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EstaPasta_de_trabalho"/>
  <mc:AlternateContent xmlns:mc="http://schemas.openxmlformats.org/markup-compatibility/2006">
    <mc:Choice Requires="x15">
      <x15ac:absPath xmlns:x15ac="http://schemas.microsoft.com/office/spreadsheetml/2010/11/ac" url="C:\Users\Usuário\Downloads\"/>
    </mc:Choice>
  </mc:AlternateContent>
  <xr:revisionPtr revIDLastSave="0" documentId="8_{B6CCAD2E-A35C-4B2F-91D8-FB44D7ED491F}" xr6:coauthVersionLast="47" xr6:coauthVersionMax="47" xr10:uidLastSave="{00000000-0000-0000-0000-000000000000}"/>
  <workbookProtection workbookAlgorithmName="SHA-512" workbookHashValue="dQEc6ex9eNxQquyzOrl0NApEm724DxJCF/HeFUoJohORzc70BU7dU5gPYZNDRUTiRibrx72co4U+9zMXrh06/w==" workbookSaltValue="kTh4mOwGkNg42NHv3qK3ig==" workbookSpinCount="100000" lockStructure="1"/>
  <bookViews>
    <workbookView xWindow="-120" yWindow="-120" windowWidth="29040" windowHeight="15720" tabRatio="801" activeTab="4"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BM!$C$15:$C$508</definedName>
    <definedName name="_xlnm._FilterDatabase" localSheetId="6" hidden="1">CÁLCULO!$C$15:$C$508</definedName>
    <definedName name="_xlnm._FilterDatabase" localSheetId="8" hidden="1">CRONO!$G$13:$G$73</definedName>
    <definedName name="_xlnm._FilterDatabase" localSheetId="7" hidden="1">CRONOPLE!$A$13:$A$40</definedName>
    <definedName name="_xlnm._FilterDatabase" localSheetId="5" hidden="1">EVENTOS!$A$13:$A$33</definedName>
    <definedName name="_xlnm._FilterDatabase" localSheetId="4" hidden="1">ORÇAMENTO!$L$15:$L$508</definedName>
    <definedName name="_xlnm._FilterDatabase" localSheetId="10" hidden="1">PLE!$A$13:$A$42</definedName>
    <definedName name="_xlnm._FilterDatabase" localSheetId="9" hidden="1">QCI!$C$13:$C$16</definedName>
    <definedName name="_xlnm._FilterDatabase" localSheetId="12" hidden="1">RRE!$D$13:$D$21</definedName>
    <definedName name="ACOMPANHAMENTO" hidden="1">MENU!$J$4</definedName>
    <definedName name="AdmLocal" hidden="1">CÁLCULO!$A$11</definedName>
    <definedName name="_xlnm.Print_Area" localSheetId="3">BDI!$J$1:$S$93</definedName>
    <definedName name="_xlnm.Print_Area" localSheetId="11">BM!$D$1:$O$523</definedName>
    <definedName name="_xlnm.Print_Area" localSheetId="6">CÁLCULO!$D$6:$M$516</definedName>
    <definedName name="_xlnm.Print_Area" localSheetId="8">CRONO!$I$1:$AG$73</definedName>
    <definedName name="_xlnm.Print_Area" localSheetId="2">DADOS!$A$1:$C$31</definedName>
    <definedName name="_xlnm.Print_Area" localSheetId="5">EVENTOS!$C$2:$Z$33</definedName>
    <definedName name="_xlnm.Print_Area" localSheetId="1">MENU!$A$1:$I$25</definedName>
    <definedName name="_xlnm.Print_Area" localSheetId="13">OFÍCIO!$A$1:$G$56</definedName>
    <definedName name="_xlnm.Print_Area" localSheetId="4">ORÇAMENTO!$O$1:$Y$525</definedName>
    <definedName name="_xlnm.Print_Area" localSheetId="10">PLE!$B$3:$AG$43</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BM!$C$15:$C$508</definedName>
    <definedName name="BM.firstrow" hidden="1">BM!$15:$15</definedName>
    <definedName name="BM.FormulaMed" hidden="1">BM!$AO$7</definedName>
    <definedName name="BM.lastrow" hidden="1">BM!$508:$508</definedName>
    <definedName name="BM.LinhaPadrão" hidden="1">BM!$14:$14</definedName>
    <definedName name="BM.MaxMed" hidden="1">IF(RegimeExecucao="Global",1,BM!$G1)</definedName>
    <definedName name="BM.MCAIXA.Filter" hidden="1">BM!$C$15:$Z$508</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CÁLCULO!$C$15:$C$508</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CÁLCULO!$AI:$AI</definedName>
    <definedName name="CÁLCULO.lastrow" hidden="1">CÁLCULO!$508:$508</definedName>
    <definedName name="CÁLCULO.LinhaPadrão" hidden="1">CÁLCULO!$14:$14</definedName>
    <definedName name="CÁLCULO.margemrow" hidden="1">CÁLCULO!$516:$516</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CÁLCULO!$508:$508</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CÁLCULO!$508:$508</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CÁLCULO!$508:$508</definedName>
    <definedName name="CÁLCULO.nEvento" hidden="1">CÁLCULO!$M$12</definedName>
    <definedName name="CÁLCULO.NúmeroDeEventos" hidden="1">IF(AUTOEVENTO&lt;&gt;"manual",MAX(CÁLCULO!$M$15:$M$508),MAX(OFFSET(EVENTOS!$C$1:$C$26,1,0)))</definedName>
    <definedName name="CÁLCULO.NúmeroDeFrentes" hidden="1">COLUMN(CÁLCULO!$AI$15)-COLUMN(CÁLCULO!$Q$15)</definedName>
    <definedName name="CÁLCULO.Título" hidden="1">CÁLCULO!$F$6</definedName>
    <definedName name="CÁLCULO.TotalAdmLocal" hidden="1">IF(AUTOEVENTO="manual",SUMIF(CÁLCULO!$M$15:$M$508,1,ORÇAMENTO!$X$15:$X$508),0)</definedName>
    <definedName name="CRONO.ColAux" hidden="1">CRONO!$M:$R</definedName>
    <definedName name="CRONO.ColunaPadrão" hidden="1">CRONO!$E:$E</definedName>
    <definedName name="CRONO.Erro" hidden="1">CRONO!$K$10</definedName>
    <definedName name="CRONO.Filtro" hidden="1">CRONO!$G$13:$G$73</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CRONO!$56:$56</definedName>
    <definedName name="CRONO.lastrow2" hidden="1">CRONO!$68:$68</definedName>
    <definedName name="CRONO.LinhaPadrão" hidden="1">CRONO!$1:$3</definedName>
    <definedName name="CRONO.LinhasNecessarias" hidden="1">COUNTIF(QCI!$B$13:$B$15,"Manual")+COUNTIF(QCI!$B$13:$B$15,"SemiAuto")+COUNT(ORÇAMENTO.ListaCrono)</definedName>
    <definedName name="CRONO.Lista.AdmLocal" hidden="1">CRONO!$A$13:$A$56</definedName>
    <definedName name="CRONO.Lista.Níveis" hidden="1">CRONO!$A$9:$A$11</definedName>
    <definedName name="CRONO.margemrow" hidden="1">CRONO!$73:$73</definedName>
    <definedName name="CRONO.MaxParc" hidden="1">CRONO!$H1048576+CRONO!A1</definedName>
    <definedName name="CRONO.NivelExibicao" hidden="1">CRONO!$H$10</definedName>
    <definedName name="CRONO.Parcela1" hidden="1">CRONO!$U$12:$U$13</definedName>
    <definedName name="CRONO.ParcelaFinal" hidden="1">MATCH(100%,CRONO!$U$62:$AG$62,0)</definedName>
    <definedName name="CRONO.Título" hidden="1">CRONO!$S$4</definedName>
    <definedName name="CRONOPLE.ColunaPadrão" hidden="1">CRONOPLE!$E:$E</definedName>
    <definedName name="CRONOPLE.Erro" hidden="1">CRONOPLE!$B$6</definedName>
    <definedName name="CRONOPLE.Filtro" hidden="1">CRONOPLE!$A$13:$A$40</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CRONOPLE!$26:$26</definedName>
    <definedName name="CRONOPLE.lastrow2" hidden="1">CRONOPLE!$35:$35</definedName>
    <definedName name="CRONOPLE.LinhaPadrão" hidden="1">CRONOPLE!$1:$1</definedName>
    <definedName name="CRONOPLE.Lista.AdmLocal" hidden="1">CRONOPLE!$F$15:$F$26</definedName>
    <definedName name="CRONOPLE.margemrow" hidden="1">CRONOPLE!$42:$42</definedName>
    <definedName name="CRONOPLE.Título" hidden="1">CRONOPLE!$G$2</definedName>
    <definedName name="CRONOPLE.ValorDoEvento" hidden="1">SUMIF(CÁLCULO!$M$15:$M$508,CRONOPLE!$B1,OFFSET(CÁLCULO!$AI$15:$AI$508,0,CRONOPLE!A$12))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EVENTOS!$26:$26</definedName>
    <definedName name="EVENTOS.LinhaPadrão" hidden="1">EVENTOS!$1:$1</definedName>
    <definedName name="EVENTOS.Lista" hidden="1">EVENTOS!$C$15:OFFSET(EVENTOS!$C$26,-1,0)</definedName>
    <definedName name="EVENTOS.Lista.Agrupar" hidden="1">EVENTOS!$B$6:$B$9</definedName>
    <definedName name="EVENTOS.ListaValidacao" hidden="1">EVENTOS!$B$15:OFFSET(EVENTOS!$B$26,-1,0)</definedName>
    <definedName name="EVENTOS.Manual.Preenchidos" hidden="1">EVENTOS!$C$10</definedName>
    <definedName name="EVENTOS.MargemRow" hidden="1">EVENTOS!$33:$33</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BM!$D$511</definedName>
    <definedName name="Import.BMAFAcumulado" hidden="1">OFFSET(BM!$R$15,1,0):OFFSET(BM!$R$508,-1,0)</definedName>
    <definedName name="Import.BMArred" hidden="1">BM!$A$9</definedName>
    <definedName name="Import.CNPJ" hidden="1">DADOS!$C$39</definedName>
    <definedName name="Import.Código" hidden="1">OFFSET(ORÇAMENTO!$Q$15,1,0):OFFSET(ORÇAMENTO!$Q$508,-1,0)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OFFSET(CRONOPLE!$F$15,1,1):OFFSET(CRONOPLE!$AF$26,-1,-1)</definedName>
    <definedName name="Import.CTEF" hidden="1">DADOS!$C$37</definedName>
    <definedName name="Import.CustoUnitário" hidden="1">OFFSET(ORÇAMENTO!$U$15,1,0):OFFSET(ORÇAMENTO!$U$508,-1,0)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OFFSET(ORÇAMENTO!$R$15,1,0):OFFSET(ORÇAMENTO!$R$508,-1,0)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OFFSET(EVENTOS!$D$15,1,0):OFFSET(EVENTOS!$D$26,-1,0)</definedName>
    <definedName name="Import.Fonte" hidden="1">OFFSET(ORÇAMENTO!$P$15,1,0):OFFSET(ORÇAMENTO!$P$508,-1,0)</definedName>
    <definedName name="Import.FrenteDeObra" hidden="1">CÁLCULO!$Q$12:OFFSET(CÁLCULO!$AI$12,0,-1)</definedName>
    <definedName name="Import.MacrosserviçoAdmLocal" hidden="1">CRONO!$H$67</definedName>
    <definedName name="Import.Município" hidden="1">DADOS!$C$6</definedName>
    <definedName name="Import.Nível" hidden="1">OFFSET(ORÇAMENTO!$M$15,1,0):OFFSET(ORÇAMENTO!$M$508,-1,0)</definedName>
    <definedName name="Import.Ofício.Dest" hidden="1">OFÍCIO!$B$11</definedName>
    <definedName name="Import.Ofício.GIGOV" hidden="1">OFÍCIO!$C$11</definedName>
    <definedName name="Import.Ofício.Num" hidden="1">OFÍCIO!$C$6</definedName>
    <definedName name="Import.OpcaoBDI" hidden="1">OFFSET(ORÇAMENTO!$V$15,1,0):OFFSET(ORÇAMENTO!$V$508,-1,0)</definedName>
    <definedName name="Import.ORÇAMENTO.DivRecurso" hidden="1">OFFSET(ORÇAMENTO!$Y$15,1,0):OFFSET(ORÇAMENTO!$Y$508,-1,0)</definedName>
    <definedName name="Import.ORÇAMENTO.Obs" hidden="1">ORÇAMENTO!$O$514</definedName>
    <definedName name="Import.PLE" hidden="1">OFFSET(PLE!$G$15,1,1):OFFSET(PLE!$AG$26,-1,-1)</definedName>
    <definedName name="Import.PLE.Datas" hidden="1">PLE!$I$29:$AF$29</definedName>
    <definedName name="Import.PLQ" hidden="1">OFFSET(CÁLCULO!$P$15,1,1):OFFSET(CÁLCULO!$AI$508,-1,-1)</definedName>
    <definedName name="Import.PLQ.MemCalc" hidden="1">OFFSET(CÁLCULO!$I$15,1,0):OFFSET(CÁLCULO!$I$508,-1,0)</definedName>
    <definedName name="Import.PLQ.nAgrupEvent" hidden="1">OFFSET(CÁLCULO!$K$15,1,0):OFFSET(CÁLCULO!$K$508,-1,0)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OFFSET(ORÇAMENTO!$AJ$15,1,0):OFFSET(ORÇAMENTO!$AJ$508,-1,0)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OFFSET(ORÇAMENTO!$S$15,1,0):OFFSET(ORÇAMENTO!$S$508,-1,0)</definedName>
    <definedName name="Import.UnitarioLicitado" hidden="1">OFFSET(ORÇAMENTO!$AL$15,1,0):OFFSET(ORÇAMENTO!$AL$508,-1,0)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ORÇAMENTO!$L$15:$L$508</definedName>
    <definedName name="ORÇAMENTO.firstrow" hidden="1">ORÇAMENTO!$15:$15</definedName>
    <definedName name="ORÇAMENTO.Fonte" hidden="1">ORÇAMENTO!$P1</definedName>
    <definedName name="ORÇAMENTO.lastrow" hidden="1">ORÇAMENTO!$508:$508</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OFFSET(ORÇAMENTO!$AD$15,1,0):OFFSET(ORÇAMENTO!$AD$508,-1,0)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OFFSET(ORÇAMENTO!$P$15,1,0):OFFSET(ORÇAMENTO!$S$508,-1,0)</definedName>
    <definedName name="ORÇAMENTO.PasteFormat2" hidden="1">OFFSET(ORÇAMENTO!$U$15,1,0):OFFSET(ORÇAMENTO!$V$508,-1,0)</definedName>
    <definedName name="ORÇAMENTO.PrecoUnitarioLicitado" hidden="1">ORÇAMENTO!$AL1</definedName>
    <definedName name="ORÇAMENTO.QuantBM" hidden="1">ORÇAMENTO!$AJ1</definedName>
    <definedName name="ORÇAMENTO.RangeQuant" hidden="1">OFFSET(ORÇAMENTO!$T$15,1,0):OFFSET(ORÇAMENTO!$T$508,-1,0)</definedName>
    <definedName name="ORÇAMENTO.SumCPMANUAL" hidden="1">SUMIF(ORÇAMENTO!$Z$15:$Z$508,"CP",ORÇAMENTO!$AA$15:$AA$508)</definedName>
    <definedName name="ORÇAMENTO.SumINVMANUAL" hidden="1">SUMIF(ORÇAMENTO!$Z$15:$Z$508,"RP",ORÇAMENTO!$X$15:$X$508)+SUMIF(ORÇAMENTO!$Z$15:$Z$508,"CP",ORÇAMENTO!$X$15:$X$508)+SUMIF(ORÇAMENTO!$Z$15:$Z$508,"OU",ORÇAMENTO!$X$15:$X$508)</definedName>
    <definedName name="ORÇAMENTO.SumOUTROSMANUAL" hidden="1">SUMIF(ORÇAMENTO!$Z$15:$Z$508,"OU",ORÇAMENTO!$AB$15:$AB$508)</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PLE!$A$13:$A$42</definedName>
    <definedName name="PLE.FirstCol" hidden="1">PLE!$G:$G</definedName>
    <definedName name="PLE.firstrow" hidden="1">PLE!$15:$15</definedName>
    <definedName name="PLE.FrenteRow" hidden="1">PLE!$11:$11</definedName>
    <definedName name="PLE.LastCol" hidden="1">PLE!$AG:$AG</definedName>
    <definedName name="PLE.lastrow" hidden="1">PLE!$26:$26</definedName>
    <definedName name="PLE.LinhaPadrão" hidden="1">PLE!$1:$1</definedName>
    <definedName name="PLE.margemrow" hidden="1">PLE!$43:$43</definedName>
    <definedName name="PLE.Medicao" hidden="1">PLE!$J$9</definedName>
    <definedName name="PLE.MEDIÇÕES.firstrow" hidden="1">PLE!$27:$27</definedName>
    <definedName name="PLE.MEDIÇÕES.lastrow" hidden="1">PLE!$37:$37</definedName>
    <definedName name="PLE.MEDIÇÕES.LinhaPadrão" hidden="1">PLE!$27:$34</definedName>
    <definedName name="PLE.Título" hidden="1">PLE!$H$3</definedName>
    <definedName name="PLE.ValorDoEvento" hidden="1">SUMIF(CÁLCULO!$M$15:$M$508,PLE!$B1,OFFSET(CÁLCULO!$AI$15:$AI$508,0,PLE!A$12))</definedName>
    <definedName name="PO.ValoresBDI" hidden="1">OFFSET(ORÇAMENTO!$AH$15,1,0):OFFSET(ORÇAMENTO!$AH$508,-1,0)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OFFSET(DADOS!$L$2,1,0,COUNTA(DADOS!$L:$L)-1,1)</definedName>
    <definedName name="QCI.lastrow" hidden="1">QCI!$15:$15</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440" i="6" l="1"/>
  <c r="X439" i="6"/>
  <c r="X437" i="6"/>
  <c r="X436" i="6"/>
  <c r="AJ436" i="5"/>
  <c r="AJ440" i="5"/>
  <c r="A440" i="5"/>
  <c r="AJ439" i="5"/>
  <c r="AJ437" i="5"/>
  <c r="A437" i="5"/>
  <c r="A17" i="5"/>
  <c r="AJ193" i="5"/>
  <c r="AJ192" i="5"/>
  <c r="AJ151" i="5"/>
  <c r="AJ64" i="5"/>
  <c r="AJ63" i="5"/>
  <c r="A438" i="5" l="1"/>
  <c r="A436" i="5"/>
  <c r="AJ507" i="5"/>
  <c r="AJ501" i="5"/>
  <c r="AJ496" i="5"/>
  <c r="AJ495" i="5"/>
  <c r="AJ487" i="5"/>
  <c r="AJ488" i="5" s="1"/>
  <c r="AJ490" i="5" s="1"/>
  <c r="AJ491" i="5" s="1"/>
  <c r="AJ485" i="5"/>
  <c r="AJ482" i="5"/>
  <c r="AJ481" i="5" s="1"/>
  <c r="AJ409" i="5"/>
  <c r="AJ356" i="5"/>
  <c r="AJ349" i="5"/>
  <c r="AJ348" i="5"/>
  <c r="AJ347" i="5"/>
  <c r="AJ346" i="5"/>
  <c r="AJ345" i="5"/>
  <c r="AJ344" i="5"/>
  <c r="AJ343" i="5"/>
  <c r="AJ342" i="5"/>
  <c r="AJ339" i="5"/>
  <c r="AJ338" i="5"/>
  <c r="AJ322" i="5"/>
  <c r="AJ321" i="5"/>
  <c r="AJ316" i="5"/>
  <c r="AJ315" i="5"/>
  <c r="AJ313" i="5"/>
  <c r="AJ300" i="5"/>
  <c r="AJ301" i="5" s="1"/>
  <c r="AJ292" i="5"/>
  <c r="AJ290" i="5"/>
  <c r="AJ288" i="5"/>
  <c r="AJ287" i="5"/>
  <c r="AJ276" i="5"/>
  <c r="AJ275" i="5"/>
  <c r="AJ274" i="5"/>
  <c r="AJ261" i="5"/>
  <c r="AJ260" i="5"/>
  <c r="AJ210" i="5"/>
  <c r="AJ206" i="5"/>
  <c r="AJ203" i="5"/>
  <c r="AJ200" i="5"/>
  <c r="AJ196" i="5"/>
  <c r="AJ189" i="5"/>
  <c r="AJ190" i="5" s="1"/>
  <c r="AJ186" i="5"/>
  <c r="AJ182" i="5"/>
  <c r="AJ172" i="5"/>
  <c r="AJ171" i="5"/>
  <c r="AJ170" i="5"/>
  <c r="AJ167" i="5"/>
  <c r="AJ154" i="5"/>
  <c r="AJ157" i="5" s="1"/>
  <c r="AJ153" i="5"/>
  <c r="AJ152" i="5"/>
  <c r="AJ150" i="5"/>
  <c r="AJ149" i="5"/>
  <c r="AJ146" i="5"/>
  <c r="AJ145" i="5"/>
  <c r="AJ144" i="5"/>
  <c r="AJ143" i="5"/>
  <c r="AJ141" i="5"/>
  <c r="AJ142" i="5" s="1"/>
  <c r="AJ136" i="5"/>
  <c r="AJ131" i="5"/>
  <c r="AJ128" i="5"/>
  <c r="AJ126" i="5"/>
  <c r="AJ121" i="5"/>
  <c r="AJ120" i="5"/>
  <c r="AJ116" i="5"/>
  <c r="AJ112" i="5"/>
  <c r="AJ114" i="5" s="1"/>
  <c r="AJ111" i="5"/>
  <c r="AJ109" i="5"/>
  <c r="AJ110" i="5" s="1"/>
  <c r="AJ108" i="5"/>
  <c r="AJ104" i="5"/>
  <c r="AJ103" i="5"/>
  <c r="AJ101" i="5"/>
  <c r="AJ102" i="5" s="1"/>
  <c r="AJ99" i="5"/>
  <c r="AJ97" i="5"/>
  <c r="AJ90" i="5"/>
  <c r="AJ88" i="5"/>
  <c r="AJ89" i="5" s="1"/>
  <c r="AJ82" i="5"/>
  <c r="AJ85" i="5" s="1"/>
  <c r="AJ80" i="5"/>
  <c r="AJ79" i="5"/>
  <c r="AJ77" i="5"/>
  <c r="AJ86" i="5" s="1"/>
  <c r="AJ74" i="5"/>
  <c r="AJ76" i="5" s="1"/>
  <c r="AJ67" i="5"/>
  <c r="AJ69" i="5" s="1"/>
  <c r="AJ66" i="5"/>
  <c r="AJ71" i="5"/>
  <c r="AJ53" i="5"/>
  <c r="AJ56" i="5" s="1"/>
  <c r="AJ47" i="5"/>
  <c r="AJ46" i="5" s="1"/>
  <c r="AJ94" i="5" l="1"/>
  <c r="AJ73" i="5"/>
  <c r="AJ81" i="5" s="1"/>
  <c r="AJ155" i="5"/>
  <c r="AJ324" i="5"/>
  <c r="AJ325" i="5" s="1"/>
  <c r="AJ123" i="5"/>
  <c r="AJ117" i="5"/>
  <c r="AJ355" i="5"/>
  <c r="AJ156" i="5"/>
  <c r="AJ115" i="5"/>
  <c r="AJ113" i="5"/>
  <c r="AJ65" i="5"/>
  <c r="AJ83" i="5"/>
  <c r="AJ68" i="5"/>
  <c r="AJ84" i="5"/>
  <c r="AJ54" i="5"/>
  <c r="AJ55" i="5"/>
  <c r="AJ45" i="5"/>
  <c r="A505" i="5" l="1"/>
  <c r="A502" i="5"/>
  <c r="A497" i="5"/>
  <c r="Z495" i="6"/>
  <c r="Z496" i="6"/>
  <c r="Z487" i="6"/>
  <c r="A25" i="7"/>
  <c r="A23" i="5"/>
  <c r="A22" i="5"/>
  <c r="A21" i="5"/>
  <c r="A20" i="5"/>
  <c r="Z507" i="6" l="1"/>
  <c r="V342" i="6"/>
  <c r="V200" i="6"/>
  <c r="V186" i="6"/>
  <c r="V171" i="6"/>
  <c r="V154" i="6"/>
  <c r="V156" i="6" s="1"/>
  <c r="V151" i="6"/>
  <c r="V146" i="6"/>
  <c r="T121" i="6"/>
  <c r="T112" i="6"/>
  <c r="T114" i="6" s="1"/>
  <c r="S90" i="6"/>
  <c r="T113" i="6" l="1"/>
  <c r="R82" i="6"/>
  <c r="R74" i="6"/>
  <c r="R73" i="6" s="1"/>
  <c r="R67" i="6"/>
  <c r="R68" i="6" s="1"/>
  <c r="R66" i="6"/>
  <c r="Q53" i="6"/>
  <c r="Q56" i="6" s="1"/>
  <c r="Z501" i="6"/>
  <c r="Z488" i="6"/>
  <c r="Z490" i="6" s="1"/>
  <c r="Z491" i="6" s="1"/>
  <c r="Z485" i="6"/>
  <c r="Z482" i="6"/>
  <c r="Z481" i="6" s="1"/>
  <c r="X409" i="6"/>
  <c r="V356" i="6"/>
  <c r="V349" i="6"/>
  <c r="V348" i="6"/>
  <c r="V347" i="6"/>
  <c r="V346" i="6"/>
  <c r="V345" i="6"/>
  <c r="V344" i="6"/>
  <c r="V343" i="6"/>
  <c r="V339" i="6"/>
  <c r="V338" i="6"/>
  <c r="U322" i="6"/>
  <c r="U321" i="6"/>
  <c r="U316" i="6"/>
  <c r="U315" i="6"/>
  <c r="U313" i="6"/>
  <c r="U300" i="6"/>
  <c r="U301" i="6" s="1"/>
  <c r="U292" i="6"/>
  <c r="U290" i="6"/>
  <c r="U288" i="6"/>
  <c r="U287" i="6"/>
  <c r="T276" i="6"/>
  <c r="T275" i="6"/>
  <c r="T274" i="6"/>
  <c r="S261" i="6"/>
  <c r="S260" i="6"/>
  <c r="AA210" i="6"/>
  <c r="Z210" i="6"/>
  <c r="V206" i="6"/>
  <c r="V203" i="6"/>
  <c r="V196" i="6"/>
  <c r="V189" i="6"/>
  <c r="V190" i="6" s="1"/>
  <c r="V182" i="6"/>
  <c r="V172" i="6"/>
  <c r="V170" i="6"/>
  <c r="V167" i="6"/>
  <c r="V157" i="6"/>
  <c r="V155" i="6"/>
  <c r="V153" i="6"/>
  <c r="V152" i="6"/>
  <c r="V150" i="6"/>
  <c r="V149" i="6"/>
  <c r="V145" i="6"/>
  <c r="V144" i="6"/>
  <c r="V143" i="6"/>
  <c r="V141" i="6"/>
  <c r="V142" i="6" s="1"/>
  <c r="U136" i="6"/>
  <c r="U131" i="6"/>
  <c r="T128" i="6"/>
  <c r="T126" i="6"/>
  <c r="T120" i="6"/>
  <c r="T116" i="6"/>
  <c r="T111" i="6"/>
  <c r="T109" i="6"/>
  <c r="T117" i="6" s="1"/>
  <c r="T108" i="6"/>
  <c r="S104" i="6"/>
  <c r="S103" i="6"/>
  <c r="S101" i="6"/>
  <c r="S102" i="6" s="1"/>
  <c r="S99" i="6"/>
  <c r="S97" i="6"/>
  <c r="S88" i="6"/>
  <c r="S89" i="6" s="1"/>
  <c r="R80" i="6"/>
  <c r="R79" i="6"/>
  <c r="R77" i="6"/>
  <c r="R86" i="6" s="1"/>
  <c r="R69" i="6"/>
  <c r="R64" i="6"/>
  <c r="R63" i="6"/>
  <c r="Q47" i="6"/>
  <c r="Q45" i="6" s="1"/>
  <c r="CM15" i="6"/>
  <c r="CL15" i="6"/>
  <c r="CK15" i="6"/>
  <c r="CJ15" i="6"/>
  <c r="CI15" i="6"/>
  <c r="CH15" i="6"/>
  <c r="CG15" i="6"/>
  <c r="CF15" i="6"/>
  <c r="BT15" i="6"/>
  <c r="BS15" i="6"/>
  <c r="BR15" i="6"/>
  <c r="BQ15" i="6"/>
  <c r="BP15" i="6"/>
  <c r="BO15" i="6"/>
  <c r="BN15" i="6"/>
  <c r="BM15" i="6"/>
  <c r="AB514" i="6" a="1"/>
  <c r="AC10" i="6"/>
  <c r="AA10" i="6"/>
  <c r="H14" i="13"/>
  <c r="G14" i="13"/>
  <c r="E14" i="13"/>
  <c r="S14" i="11"/>
  <c r="J14" i="11"/>
  <c r="I14" i="13" s="1"/>
  <c r="D14" i="11"/>
  <c r="A14" i="11"/>
  <c r="B14" i="8"/>
  <c r="A24" i="7"/>
  <c r="A23" i="7"/>
  <c r="A22" i="7"/>
  <c r="A21" i="7"/>
  <c r="A20" i="7"/>
  <c r="A19" i="7"/>
  <c r="A18" i="7"/>
  <c r="A17" i="7"/>
  <c r="A16" i="7"/>
  <c r="F506" i="12"/>
  <c r="E506" i="12"/>
  <c r="F503" i="12"/>
  <c r="E503" i="12"/>
  <c r="F500" i="12"/>
  <c r="E500" i="12"/>
  <c r="F498" i="12"/>
  <c r="E498" i="12"/>
  <c r="F492" i="12"/>
  <c r="E492" i="12"/>
  <c r="F489" i="12"/>
  <c r="E489" i="12"/>
  <c r="F486" i="12"/>
  <c r="E486" i="12"/>
  <c r="F483" i="12"/>
  <c r="E483" i="12"/>
  <c r="F480" i="12"/>
  <c r="E480" i="12"/>
  <c r="F479" i="12"/>
  <c r="E479" i="12"/>
  <c r="F474" i="12"/>
  <c r="E474" i="12"/>
  <c r="F462" i="12"/>
  <c r="E462" i="12"/>
  <c r="F459" i="12"/>
  <c r="E459" i="12"/>
  <c r="F457" i="12"/>
  <c r="E457" i="12"/>
  <c r="F453" i="12"/>
  <c r="E453" i="12"/>
  <c r="F442" i="12"/>
  <c r="E442" i="12"/>
  <c r="F441" i="12"/>
  <c r="E441" i="12"/>
  <c r="F434" i="12"/>
  <c r="E434" i="12"/>
  <c r="F410" i="12"/>
  <c r="E410" i="12"/>
  <c r="F400" i="12"/>
  <c r="E400" i="12"/>
  <c r="F395" i="12"/>
  <c r="E395" i="12"/>
  <c r="F385" i="12"/>
  <c r="E385" i="12"/>
  <c r="F384" i="12"/>
  <c r="E384" i="12"/>
  <c r="F377" i="12"/>
  <c r="E377" i="12"/>
  <c r="F370" i="12"/>
  <c r="E370" i="12"/>
  <c r="F366" i="12"/>
  <c r="E366" i="12"/>
  <c r="F362" i="12"/>
  <c r="E362" i="12"/>
  <c r="F361" i="12"/>
  <c r="E361" i="12"/>
  <c r="F360" i="12"/>
  <c r="E360" i="12"/>
  <c r="F357" i="12"/>
  <c r="E357" i="12"/>
  <c r="F354" i="12"/>
  <c r="E354" i="12"/>
  <c r="F341" i="12"/>
  <c r="E341" i="12"/>
  <c r="F340" i="12"/>
  <c r="E340" i="12"/>
  <c r="F337" i="12"/>
  <c r="E337" i="12"/>
  <c r="F327" i="12"/>
  <c r="E327" i="12"/>
  <c r="F326" i="12"/>
  <c r="E326" i="12"/>
  <c r="F323" i="12"/>
  <c r="E323" i="12"/>
  <c r="F317" i="12"/>
  <c r="E317" i="12"/>
  <c r="F314" i="12"/>
  <c r="E314" i="12"/>
  <c r="F312" i="12"/>
  <c r="E312" i="12"/>
  <c r="F303" i="12"/>
  <c r="E303" i="12"/>
  <c r="F302" i="12"/>
  <c r="E302" i="12"/>
  <c r="F299" i="12"/>
  <c r="E299" i="12"/>
  <c r="F293" i="12"/>
  <c r="E293" i="12"/>
  <c r="F289" i="12"/>
  <c r="E289" i="12"/>
  <c r="F286" i="12"/>
  <c r="E286" i="12"/>
  <c r="F278" i="12"/>
  <c r="E278" i="12"/>
  <c r="F277" i="12"/>
  <c r="E277" i="12"/>
  <c r="F272" i="12"/>
  <c r="E272" i="12"/>
  <c r="F264" i="12"/>
  <c r="E264" i="12"/>
  <c r="F263" i="12"/>
  <c r="E263" i="12"/>
  <c r="F259" i="12"/>
  <c r="E259" i="12"/>
  <c r="F246" i="12"/>
  <c r="E246" i="12"/>
  <c r="F245" i="12"/>
  <c r="E245" i="12"/>
  <c r="F244" i="12"/>
  <c r="E244" i="12"/>
  <c r="F235" i="12"/>
  <c r="E235" i="12"/>
  <c r="F224" i="12"/>
  <c r="E224" i="12"/>
  <c r="F216" i="12"/>
  <c r="E216" i="12"/>
  <c r="F215" i="12"/>
  <c r="E215" i="12"/>
  <c r="F208" i="12"/>
  <c r="E208" i="12"/>
  <c r="F207" i="12"/>
  <c r="E207" i="12"/>
  <c r="F201" i="12"/>
  <c r="E201" i="12"/>
  <c r="F194" i="12"/>
  <c r="E194" i="12"/>
  <c r="F188" i="12"/>
  <c r="E188" i="12"/>
  <c r="F173" i="12"/>
  <c r="E173" i="12"/>
  <c r="F159" i="12"/>
  <c r="E159" i="12"/>
  <c r="F148" i="12"/>
  <c r="E148" i="12"/>
  <c r="F147" i="12"/>
  <c r="E147" i="12"/>
  <c r="F140" i="12"/>
  <c r="E140" i="12"/>
  <c r="F134" i="12"/>
  <c r="E134" i="12"/>
  <c r="F129" i="12"/>
  <c r="E129" i="12"/>
  <c r="F124" i="12"/>
  <c r="E124" i="12"/>
  <c r="F118" i="12"/>
  <c r="E118" i="12"/>
  <c r="F106" i="12"/>
  <c r="E106" i="12"/>
  <c r="F105" i="12"/>
  <c r="E105" i="12"/>
  <c r="F100" i="12"/>
  <c r="E100" i="12"/>
  <c r="F95" i="12"/>
  <c r="E95" i="12"/>
  <c r="F87" i="12"/>
  <c r="E87" i="12"/>
  <c r="F72" i="12"/>
  <c r="E72" i="12"/>
  <c r="F61" i="12"/>
  <c r="E61" i="12"/>
  <c r="F60" i="12"/>
  <c r="E60" i="12"/>
  <c r="F59" i="12"/>
  <c r="E59" i="12"/>
  <c r="F57" i="12"/>
  <c r="E57" i="12"/>
  <c r="F52" i="12"/>
  <c r="E52" i="12"/>
  <c r="F49" i="12"/>
  <c r="E49" i="12"/>
  <c r="F48" i="12"/>
  <c r="E48" i="12"/>
  <c r="F44" i="12"/>
  <c r="E44" i="12"/>
  <c r="F42" i="12"/>
  <c r="E42" i="12"/>
  <c r="F30" i="12"/>
  <c r="E30" i="12"/>
  <c r="F28" i="12"/>
  <c r="E28" i="12"/>
  <c r="F27" i="12"/>
  <c r="E27" i="12"/>
  <c r="F25" i="12"/>
  <c r="E25" i="12"/>
  <c r="F24" i="12"/>
  <c r="E24" i="12"/>
  <c r="F18" i="12"/>
  <c r="E18" i="12"/>
  <c r="F16" i="12"/>
  <c r="E16" i="12"/>
  <c r="F506" i="6"/>
  <c r="F503" i="6"/>
  <c r="F500" i="6"/>
  <c r="F498" i="6"/>
  <c r="F492" i="6"/>
  <c r="F489" i="6"/>
  <c r="F486" i="6"/>
  <c r="F483" i="6"/>
  <c r="F480" i="6"/>
  <c r="F479" i="6"/>
  <c r="F474" i="6"/>
  <c r="F462" i="6"/>
  <c r="F459" i="6"/>
  <c r="F457" i="6"/>
  <c r="F453" i="6"/>
  <c r="F442" i="6"/>
  <c r="F441" i="6"/>
  <c r="F434" i="6"/>
  <c r="F410" i="6"/>
  <c r="F400" i="6"/>
  <c r="F395" i="6"/>
  <c r="F385" i="6"/>
  <c r="F384" i="6"/>
  <c r="F377" i="6"/>
  <c r="F370" i="6"/>
  <c r="F366" i="6"/>
  <c r="F362" i="6"/>
  <c r="F361" i="6"/>
  <c r="F360" i="6"/>
  <c r="F357" i="6"/>
  <c r="F354" i="6"/>
  <c r="F341" i="6"/>
  <c r="F340" i="6"/>
  <c r="F337" i="6"/>
  <c r="F327" i="6"/>
  <c r="F326" i="6"/>
  <c r="F323" i="6"/>
  <c r="F317" i="6"/>
  <c r="F314" i="6"/>
  <c r="F312" i="6"/>
  <c r="F303" i="6"/>
  <c r="F302" i="6"/>
  <c r="F299" i="6"/>
  <c r="F293" i="6"/>
  <c r="F289" i="6"/>
  <c r="F286" i="6"/>
  <c r="F278" i="6"/>
  <c r="F277" i="6"/>
  <c r="F272" i="6"/>
  <c r="F264" i="6"/>
  <c r="F263" i="6"/>
  <c r="F259" i="6"/>
  <c r="F246" i="6"/>
  <c r="F245" i="6"/>
  <c r="F244" i="6"/>
  <c r="F235" i="6"/>
  <c r="F224" i="6"/>
  <c r="F216" i="6"/>
  <c r="F215" i="6"/>
  <c r="F208" i="6"/>
  <c r="F207" i="6"/>
  <c r="F201" i="6"/>
  <c r="F194" i="6"/>
  <c r="F188" i="6"/>
  <c r="F173" i="6"/>
  <c r="F159" i="6"/>
  <c r="F148" i="6"/>
  <c r="F147" i="6"/>
  <c r="F140" i="6"/>
  <c r="F134" i="6"/>
  <c r="F129" i="6"/>
  <c r="F124" i="6"/>
  <c r="F118" i="6"/>
  <c r="F106" i="6"/>
  <c r="F105" i="6"/>
  <c r="F100" i="6"/>
  <c r="F95" i="6"/>
  <c r="F87" i="6"/>
  <c r="F72" i="6"/>
  <c r="F61" i="6"/>
  <c r="F60" i="6"/>
  <c r="F59" i="6"/>
  <c r="F57" i="6"/>
  <c r="F52" i="6"/>
  <c r="F49" i="6"/>
  <c r="F48" i="6"/>
  <c r="F44" i="6"/>
  <c r="F42" i="6"/>
  <c r="F30" i="6"/>
  <c r="F28" i="6"/>
  <c r="F27" i="6"/>
  <c r="F25" i="6"/>
  <c r="F24" i="6"/>
  <c r="F18" i="6"/>
  <c r="F16" i="6"/>
  <c r="A507" i="5"/>
  <c r="A506" i="5"/>
  <c r="A504" i="5"/>
  <c r="A503" i="5"/>
  <c r="A501" i="5"/>
  <c r="A500" i="5"/>
  <c r="A499" i="5"/>
  <c r="A498" i="5"/>
  <c r="A496" i="5"/>
  <c r="A495" i="5"/>
  <c r="A494" i="5"/>
  <c r="A493" i="5"/>
  <c r="A492" i="5"/>
  <c r="A491" i="5"/>
  <c r="A490" i="5"/>
  <c r="A489" i="5"/>
  <c r="A488" i="5"/>
  <c r="A487" i="5"/>
  <c r="A486" i="5"/>
  <c r="A485" i="5"/>
  <c r="A484" i="5"/>
  <c r="A483" i="5"/>
  <c r="A482" i="5"/>
  <c r="A481" i="5"/>
  <c r="A480" i="5"/>
  <c r="A479" i="5"/>
  <c r="A478" i="5"/>
  <c r="A477" i="5"/>
  <c r="A476" i="5"/>
  <c r="A475" i="5"/>
  <c r="A474" i="5"/>
  <c r="A473" i="5"/>
  <c r="A472" i="5"/>
  <c r="A471" i="5"/>
  <c r="A470" i="5"/>
  <c r="A469" i="5"/>
  <c r="A468" i="5"/>
  <c r="A467" i="5"/>
  <c r="A466" i="5"/>
  <c r="A465" i="5"/>
  <c r="A464" i="5"/>
  <c r="A463" i="5"/>
  <c r="A462" i="5"/>
  <c r="A461" i="5"/>
  <c r="A460" i="5"/>
  <c r="A459" i="5"/>
  <c r="A458" i="5"/>
  <c r="A457" i="5"/>
  <c r="A456" i="5"/>
  <c r="A455" i="5"/>
  <c r="A454" i="5"/>
  <c r="A453" i="5"/>
  <c r="A452" i="5"/>
  <c r="A451" i="5"/>
  <c r="A450" i="5"/>
  <c r="A449" i="5"/>
  <c r="A448" i="5"/>
  <c r="A447" i="5"/>
  <c r="A446" i="5"/>
  <c r="A445" i="5"/>
  <c r="A444" i="5"/>
  <c r="A443" i="5"/>
  <c r="A442" i="5"/>
  <c r="A441" i="5"/>
  <c r="A439" i="5"/>
  <c r="A435" i="5"/>
  <c r="A434" i="5"/>
  <c r="A433" i="5"/>
  <c r="A432" i="5"/>
  <c r="A431" i="5"/>
  <c r="A430" i="5"/>
  <c r="A429" i="5"/>
  <c r="A428" i="5"/>
  <c r="A427" i="5"/>
  <c r="A426" i="5"/>
  <c r="A425" i="5"/>
  <c r="A424" i="5"/>
  <c r="A423" i="5"/>
  <c r="A422" i="5"/>
  <c r="A421" i="5"/>
  <c r="A420" i="5"/>
  <c r="A419" i="5"/>
  <c r="A418" i="5"/>
  <c r="A417" i="5"/>
  <c r="A416" i="5"/>
  <c r="A415" i="5"/>
  <c r="A414" i="5"/>
  <c r="A413" i="5"/>
  <c r="A412" i="5"/>
  <c r="A411" i="5"/>
  <c r="A410" i="5"/>
  <c r="A409" i="5"/>
  <c r="A408" i="5"/>
  <c r="A407" i="5"/>
  <c r="A406" i="5"/>
  <c r="A405" i="5"/>
  <c r="A404" i="5"/>
  <c r="A403" i="5"/>
  <c r="A402" i="5"/>
  <c r="A401" i="5"/>
  <c r="A400" i="5"/>
  <c r="A399" i="5"/>
  <c r="A398" i="5"/>
  <c r="A397" i="5"/>
  <c r="A396" i="5"/>
  <c r="A395" i="5"/>
  <c r="A394" i="5"/>
  <c r="A393" i="5"/>
  <c r="A392" i="5"/>
  <c r="A391" i="5"/>
  <c r="A390" i="5"/>
  <c r="A389" i="5"/>
  <c r="A388" i="5"/>
  <c r="A387" i="5"/>
  <c r="A386" i="5"/>
  <c r="A385" i="5"/>
  <c r="A384" i="5"/>
  <c r="A383" i="5"/>
  <c r="A382" i="5"/>
  <c r="A381" i="5"/>
  <c r="A380" i="5"/>
  <c r="A379" i="5"/>
  <c r="A378" i="5"/>
  <c r="A377" i="5"/>
  <c r="A376" i="5"/>
  <c r="A375" i="5"/>
  <c r="A374" i="5"/>
  <c r="A373" i="5"/>
  <c r="A372" i="5"/>
  <c r="A371" i="5"/>
  <c r="A370" i="5"/>
  <c r="A369" i="5"/>
  <c r="A368" i="5"/>
  <c r="A367" i="5"/>
  <c r="A366" i="5"/>
  <c r="A365" i="5"/>
  <c r="A364" i="5"/>
  <c r="A363" i="5"/>
  <c r="A362" i="5"/>
  <c r="A361" i="5"/>
  <c r="A360" i="5"/>
  <c r="A359" i="5"/>
  <c r="A358" i="5"/>
  <c r="A357" i="5"/>
  <c r="A356" i="5"/>
  <c r="A355" i="5"/>
  <c r="A354" i="5"/>
  <c r="A353" i="5"/>
  <c r="A352" i="5"/>
  <c r="A351" i="5"/>
  <c r="A350" i="5"/>
  <c r="A349" i="5"/>
  <c r="A348" i="5"/>
  <c r="A347" i="5"/>
  <c r="A346" i="5"/>
  <c r="A345" i="5"/>
  <c r="A344" i="5"/>
  <c r="A343" i="5"/>
  <c r="A342" i="5"/>
  <c r="A341" i="5"/>
  <c r="A340" i="5"/>
  <c r="A339" i="5"/>
  <c r="A338" i="5"/>
  <c r="A337" i="5"/>
  <c r="A336" i="5"/>
  <c r="A335" i="5"/>
  <c r="A334" i="5"/>
  <c r="A333" i="5"/>
  <c r="A332" i="5"/>
  <c r="A331" i="5"/>
  <c r="A330" i="5"/>
  <c r="A329" i="5"/>
  <c r="A328" i="5"/>
  <c r="A327" i="5"/>
  <c r="A326" i="5"/>
  <c r="A325" i="5"/>
  <c r="A324" i="5"/>
  <c r="A323" i="5"/>
  <c r="A322" i="5"/>
  <c r="A321" i="5"/>
  <c r="A320" i="5"/>
  <c r="A319" i="5"/>
  <c r="A318" i="5"/>
  <c r="A317" i="5"/>
  <c r="A316" i="5"/>
  <c r="A315" i="5"/>
  <c r="A314" i="5"/>
  <c r="A313" i="5"/>
  <c r="A312" i="5"/>
  <c r="A311" i="5"/>
  <c r="A310" i="5"/>
  <c r="A309" i="5"/>
  <c r="A308" i="5"/>
  <c r="A307" i="5"/>
  <c r="A306" i="5"/>
  <c r="A305" i="5"/>
  <c r="A304" i="5"/>
  <c r="A303" i="5"/>
  <c r="A302" i="5"/>
  <c r="A301" i="5"/>
  <c r="A300" i="5"/>
  <c r="A299" i="5"/>
  <c r="A298" i="5"/>
  <c r="A297" i="5"/>
  <c r="A296" i="5"/>
  <c r="A295" i="5"/>
  <c r="A294" i="5"/>
  <c r="A293" i="5"/>
  <c r="A292" i="5"/>
  <c r="A291" i="5"/>
  <c r="A290" i="5"/>
  <c r="A289" i="5"/>
  <c r="A288" i="5"/>
  <c r="A287" i="5"/>
  <c r="A286" i="5"/>
  <c r="A285" i="5"/>
  <c r="A284" i="5"/>
  <c r="A283" i="5"/>
  <c r="A282" i="5"/>
  <c r="A281" i="5"/>
  <c r="A280" i="5"/>
  <c r="A279" i="5"/>
  <c r="A278" i="5"/>
  <c r="A277" i="5"/>
  <c r="A276" i="5"/>
  <c r="A275" i="5"/>
  <c r="A274" i="5"/>
  <c r="A273" i="5"/>
  <c r="A272" i="5"/>
  <c r="A271" i="5"/>
  <c r="A270" i="5"/>
  <c r="A269" i="5"/>
  <c r="A268" i="5"/>
  <c r="A267" i="5"/>
  <c r="A266" i="5"/>
  <c r="A265" i="5"/>
  <c r="A264" i="5"/>
  <c r="A263" i="5"/>
  <c r="A262" i="5"/>
  <c r="A261" i="5"/>
  <c r="A260" i="5"/>
  <c r="A259" i="5"/>
  <c r="A258" i="5"/>
  <c r="A257" i="5"/>
  <c r="A256" i="5"/>
  <c r="A255" i="5"/>
  <c r="A254" i="5"/>
  <c r="A253" i="5"/>
  <c r="A252" i="5"/>
  <c r="A251" i="5"/>
  <c r="A250" i="5"/>
  <c r="A249" i="5"/>
  <c r="A248" i="5"/>
  <c r="A247" i="5"/>
  <c r="A246" i="5"/>
  <c r="A245" i="5"/>
  <c r="A244" i="5"/>
  <c r="A243" i="5"/>
  <c r="A242" i="5"/>
  <c r="A241" i="5"/>
  <c r="A240" i="5"/>
  <c r="A239" i="5"/>
  <c r="A238" i="5"/>
  <c r="A237" i="5"/>
  <c r="A236" i="5"/>
  <c r="A235" i="5"/>
  <c r="A234" i="5"/>
  <c r="A233" i="5"/>
  <c r="A232" i="5"/>
  <c r="A231" i="5"/>
  <c r="A230" i="5"/>
  <c r="A229" i="5"/>
  <c r="A228" i="5"/>
  <c r="A227" i="5"/>
  <c r="A226" i="5"/>
  <c r="A225" i="5"/>
  <c r="A224" i="5"/>
  <c r="A223" i="5"/>
  <c r="A222"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7"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19" i="5"/>
  <c r="A18" i="5"/>
  <c r="C16" i="5"/>
  <c r="A16" i="5"/>
  <c r="B16" i="5" l="1"/>
  <c r="C17" i="5"/>
  <c r="U324" i="6"/>
  <c r="U325" i="6" s="1"/>
  <c r="T123" i="6"/>
  <c r="T110" i="6"/>
  <c r="Q46" i="6"/>
  <c r="Q54" i="6"/>
  <c r="Q55" i="6"/>
  <c r="R76" i="6"/>
  <c r="R81" i="6" s="1"/>
  <c r="R84" i="6"/>
  <c r="R83" i="6"/>
  <c r="AE16" i="5"/>
  <c r="E16" i="5"/>
  <c r="B14" i="11" s="1"/>
  <c r="T115" i="6"/>
  <c r="V355" i="6"/>
  <c r="N16" i="5"/>
  <c r="D16" i="6" s="1"/>
  <c r="N16" i="6" s="1"/>
  <c r="F16" i="5"/>
  <c r="H16" i="5"/>
  <c r="A16" i="12"/>
  <c r="B16" i="6"/>
  <c r="W16" i="5"/>
  <c r="H16" i="12" s="1"/>
  <c r="G16" i="5"/>
  <c r="I16" i="5"/>
  <c r="B17" i="8"/>
  <c r="AB515" i="6"/>
  <c r="AB514" i="6"/>
  <c r="AB516" i="6"/>
  <c r="R71" i="6"/>
  <c r="R65" i="6"/>
  <c r="S94" i="6"/>
  <c r="R85" i="6"/>
  <c r="C165" i="3"/>
  <c r="G11" i="5" a="1"/>
  <c r="G11" i="5" s="1"/>
  <c r="F10" i="5"/>
  <c r="F11" i="5" a="1"/>
  <c r="AE17" i="5" l="1"/>
  <c r="B17" i="5"/>
  <c r="C18" i="5" s="1"/>
  <c r="B18" i="5" s="1"/>
  <c r="N17" i="5"/>
  <c r="E17" i="5"/>
  <c r="B17" i="6"/>
  <c r="I17" i="5"/>
  <c r="H17" i="5"/>
  <c r="G17" i="5"/>
  <c r="W17" i="5"/>
  <c r="H17" i="12" s="1"/>
  <c r="F17" i="5"/>
  <c r="A17" i="12"/>
  <c r="AD16" i="5"/>
  <c r="A14" i="13"/>
  <c r="G16" i="6"/>
  <c r="H16" i="6" a="1"/>
  <c r="H16" i="6" s="1"/>
  <c r="T16" i="5" s="1"/>
  <c r="G16" i="12" s="1"/>
  <c r="M16" i="6"/>
  <c r="K14" i="11"/>
  <c r="J14" i="13" s="1"/>
  <c r="G14" i="11"/>
  <c r="F14" i="13" s="1"/>
  <c r="C14" i="13"/>
  <c r="B20" i="8"/>
  <c r="F11" i="5"/>
  <c r="H18" i="5" l="1"/>
  <c r="N18" i="5"/>
  <c r="D18" i="6" s="1"/>
  <c r="W18" i="5"/>
  <c r="H18" i="12" s="1"/>
  <c r="A18" i="12"/>
  <c r="C19" i="5"/>
  <c r="B18" i="6"/>
  <c r="I18" i="5"/>
  <c r="AE18" i="5"/>
  <c r="E18" i="5"/>
  <c r="G18" i="5"/>
  <c r="F18" i="5"/>
  <c r="D17" i="6"/>
  <c r="AD17" i="5"/>
  <c r="AD18" i="5" s="1"/>
  <c r="F17" i="6"/>
  <c r="E17" i="12"/>
  <c r="B23" i="8"/>
  <c r="C171" i="3"/>
  <c r="C170" i="3"/>
  <c r="C169" i="3"/>
  <c r="C166" i="3"/>
  <c r="C160" i="3"/>
  <c r="C159" i="3"/>
  <c r="C20" i="5" l="1"/>
  <c r="B19" i="6"/>
  <c r="B19" i="5"/>
  <c r="K19" i="5"/>
  <c r="E19" i="5"/>
  <c r="A19" i="12"/>
  <c r="D19" i="5"/>
  <c r="B19" i="12" s="1"/>
  <c r="G19" i="5"/>
  <c r="AD19" i="5"/>
  <c r="J19" i="5"/>
  <c r="AE19" i="5"/>
  <c r="F19" i="5"/>
  <c r="H19" i="5"/>
  <c r="N19" i="5"/>
  <c r="D19" i="6" s="1"/>
  <c r="G17" i="6"/>
  <c r="N17" i="6"/>
  <c r="M17" i="6"/>
  <c r="H17" i="6" a="1"/>
  <c r="H17" i="6" s="1"/>
  <c r="T17" i="5" s="1"/>
  <c r="H18" i="6" a="1"/>
  <c r="H18" i="6" s="1"/>
  <c r="T18" i="5" s="1"/>
  <c r="G18" i="6"/>
  <c r="N18" i="6"/>
  <c r="M18" i="6"/>
  <c r="B26" i="8"/>
  <c r="X9" i="5"/>
  <c r="W9" i="5"/>
  <c r="V9" i="5"/>
  <c r="U9" i="5"/>
  <c r="T9" i="5"/>
  <c r="B20" i="5" l="1"/>
  <c r="J20" i="5"/>
  <c r="K20" i="5"/>
  <c r="C21" i="5"/>
  <c r="N20" i="5"/>
  <c r="D20" i="6" s="1"/>
  <c r="B20" i="6"/>
  <c r="AD20" i="5"/>
  <c r="G20" i="5"/>
  <c r="D20" i="5"/>
  <c r="B20" i="12" s="1"/>
  <c r="H20" i="5"/>
  <c r="E20" i="5"/>
  <c r="A20" i="12"/>
  <c r="AE20" i="5"/>
  <c r="F20" i="5"/>
  <c r="G17" i="12"/>
  <c r="G18" i="12"/>
  <c r="B29" i="8"/>
  <c r="C177" i="3"/>
  <c r="C175" i="3"/>
  <c r="A21" i="12" l="1"/>
  <c r="H21" i="5"/>
  <c r="AE21" i="5"/>
  <c r="N21" i="5"/>
  <c r="D21" i="6" s="1"/>
  <c r="G21" i="5"/>
  <c r="B21" i="6"/>
  <c r="AD21" i="5"/>
  <c r="C22" i="5"/>
  <c r="J21" i="5"/>
  <c r="K21" i="5"/>
  <c r="B21" i="5"/>
  <c r="E21" i="5"/>
  <c r="F21" i="5"/>
  <c r="D21" i="5"/>
  <c r="B21" i="12" s="1"/>
  <c r="B32" i="8"/>
  <c r="C157" i="3"/>
  <c r="C173" i="3"/>
  <c r="C167" i="3"/>
  <c r="C164" i="3"/>
  <c r="C163" i="3"/>
  <c r="C161" i="3"/>
  <c r="H22" i="5" l="1"/>
  <c r="E22" i="5"/>
  <c r="B22" i="5"/>
  <c r="G22" i="5"/>
  <c r="C23" i="5"/>
  <c r="N22" i="5"/>
  <c r="D22" i="6" s="1"/>
  <c r="AD22" i="5"/>
  <c r="AE22" i="5"/>
  <c r="F22" i="5"/>
  <c r="A22" i="12"/>
  <c r="K22" i="5"/>
  <c r="J22" i="5"/>
  <c r="D22" i="5"/>
  <c r="B22" i="12" s="1"/>
  <c r="B22" i="6"/>
  <c r="B35" i="8"/>
  <c r="C153" i="3"/>
  <c r="C151" i="3"/>
  <c r="B23" i="6" l="1"/>
  <c r="B23" i="5"/>
  <c r="C24" i="5" s="1"/>
  <c r="A24" i="12" s="1"/>
  <c r="G23" i="5"/>
  <c r="H23" i="5"/>
  <c r="AD23" i="5"/>
  <c r="D23" i="5"/>
  <c r="B23" i="12" s="1"/>
  <c r="J23" i="5"/>
  <c r="AE23" i="5"/>
  <c r="A23" i="12"/>
  <c r="N23" i="5"/>
  <c r="D23" i="6" s="1"/>
  <c r="F23" i="5"/>
  <c r="K23" i="5"/>
  <c r="E23" i="5"/>
  <c r="B38" i="8"/>
  <c r="A12" i="6"/>
  <c r="E24" i="5" l="1"/>
  <c r="AD24" i="5"/>
  <c r="F24" i="5"/>
  <c r="B24" i="6"/>
  <c r="W24" i="5"/>
  <c r="H24" i="12" s="1"/>
  <c r="I24" i="5"/>
  <c r="H24" i="5"/>
  <c r="N24" i="5"/>
  <c r="D24" i="6" s="1"/>
  <c r="G24" i="6" s="1"/>
  <c r="G24" i="5"/>
  <c r="J18" i="5" s="1"/>
  <c r="B24" i="5"/>
  <c r="C25" i="5" s="1"/>
  <c r="H25" i="5" s="1"/>
  <c r="AE24" i="5"/>
  <c r="A17" i="6"/>
  <c r="B41" i="8"/>
  <c r="A480" i="6"/>
  <c r="A457" i="6"/>
  <c r="A462" i="6"/>
  <c r="A506" i="6"/>
  <c r="A479" i="6"/>
  <c r="A441" i="6"/>
  <c r="A442" i="6"/>
  <c r="A384" i="6"/>
  <c r="A434" i="6"/>
  <c r="A410" i="6"/>
  <c r="A459" i="6"/>
  <c r="A453" i="6"/>
  <c r="A360" i="6"/>
  <c r="A385" i="6"/>
  <c r="A327" i="6"/>
  <c r="A361" i="6"/>
  <c r="A246" i="6"/>
  <c r="A244" i="6"/>
  <c r="A235" i="6"/>
  <c r="A216" i="6"/>
  <c r="A245" i="6"/>
  <c r="A215" i="6"/>
  <c r="A173" i="6"/>
  <c r="A159" i="6"/>
  <c r="A147" i="6"/>
  <c r="A224" i="6"/>
  <c r="A188" i="6"/>
  <c r="A207" i="6"/>
  <c r="A148" i="6"/>
  <c r="A201" i="6"/>
  <c r="A208" i="6"/>
  <c r="A105" i="6"/>
  <c r="A134" i="6"/>
  <c r="A140" i="6"/>
  <c r="A60" i="6"/>
  <c r="A194" i="6"/>
  <c r="A49" i="6"/>
  <c r="A25" i="6"/>
  <c r="A42" i="6"/>
  <c r="A30" i="6"/>
  <c r="A28" i="6"/>
  <c r="A16" i="6"/>
  <c r="A52" i="6"/>
  <c r="A48" i="6"/>
  <c r="A24" i="6"/>
  <c r="A57" i="6"/>
  <c r="A59" i="6"/>
  <c r="A18" i="6"/>
  <c r="A27" i="6"/>
  <c r="A44" i="6"/>
  <c r="A11" i="6"/>
  <c r="C147" i="3"/>
  <c r="C149" i="3"/>
  <c r="C145" i="3"/>
  <c r="C143" i="3"/>
  <c r="C141" i="3"/>
  <c r="U11" i="4"/>
  <c r="U10" i="4"/>
  <c r="Y26" i="4"/>
  <c r="Z26" i="4" s="1"/>
  <c r="Y106" i="4"/>
  <c r="Z106" i="4" s="1"/>
  <c r="Y66" i="4"/>
  <c r="Z66" i="4" s="1"/>
  <c r="R64" i="4"/>
  <c r="R63" i="4"/>
  <c r="R23" i="4"/>
  <c r="R24" i="4"/>
  <c r="C133" i="3"/>
  <c r="M24" i="6" l="1"/>
  <c r="I25" i="5"/>
  <c r="H24" i="6" a="1"/>
  <c r="H24" i="6" s="1"/>
  <c r="T24" i="5" s="1"/>
  <c r="G24" i="12" s="1"/>
  <c r="AE25" i="5"/>
  <c r="W25" i="5"/>
  <c r="H25" i="12" s="1"/>
  <c r="C26" i="5"/>
  <c r="N24" i="6"/>
  <c r="F25" i="5"/>
  <c r="A25" i="12"/>
  <c r="B25" i="6"/>
  <c r="G25" i="5"/>
  <c r="E25" i="5"/>
  <c r="B25" i="5"/>
  <c r="N25" i="5"/>
  <c r="D25" i="6" s="1"/>
  <c r="H25" i="6" s="1" a="1"/>
  <c r="H25" i="6" s="1"/>
  <c r="T25" i="5" s="1"/>
  <c r="G25" i="12" s="1"/>
  <c r="AD25" i="5"/>
  <c r="B44" i="8"/>
  <c r="X26" i="4"/>
  <c r="X106" i="4"/>
  <c r="X66" i="4"/>
  <c r="C137" i="3"/>
  <c r="C135" i="3"/>
  <c r="C132" i="3"/>
  <c r="J26" i="5" l="1"/>
  <c r="B26" i="5"/>
  <c r="C27" i="5" s="1"/>
  <c r="B27" i="6" s="1"/>
  <c r="E26" i="5"/>
  <c r="D26" i="5"/>
  <c r="B26" i="12" s="1"/>
  <c r="G26" i="5"/>
  <c r="F26" i="5"/>
  <c r="H26" i="5"/>
  <c r="A26" i="12"/>
  <c r="B26" i="6"/>
  <c r="N26" i="5"/>
  <c r="D26" i="6" s="1"/>
  <c r="AE26" i="5"/>
  <c r="AD26" i="5"/>
  <c r="K26" i="5"/>
  <c r="M25" i="6"/>
  <c r="G25" i="6"/>
  <c r="N25" i="6"/>
  <c r="B47"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N27" i="5" l="1"/>
  <c r="D27" i="6" s="1"/>
  <c r="N27" i="6" s="1"/>
  <c r="I27" i="5"/>
  <c r="AD27" i="5"/>
  <c r="W27" i="5"/>
  <c r="H27" i="12" s="1"/>
  <c r="F27" i="5"/>
  <c r="A27" i="12"/>
  <c r="B27" i="5"/>
  <c r="C28" i="5" s="1"/>
  <c r="AE28" i="5" s="1"/>
  <c r="AE27" i="5"/>
  <c r="G27" i="5"/>
  <c r="H27" i="5"/>
  <c r="E27" i="5"/>
  <c r="B50" i="8"/>
  <c r="J4" i="15"/>
  <c r="AB13" i="12" a="1"/>
  <c r="AB13" i="12" s="1"/>
  <c r="I30" i="10"/>
  <c r="M27" i="6" l="1"/>
  <c r="H27" i="6" a="1"/>
  <c r="H27" i="6" s="1"/>
  <c r="T27" i="5" s="1"/>
  <c r="G27" i="12" s="1"/>
  <c r="G27" i="6"/>
  <c r="B28" i="6"/>
  <c r="W28" i="5"/>
  <c r="H28" i="12" s="1"/>
  <c r="I28" i="5"/>
  <c r="N28" i="5"/>
  <c r="D28" i="6" s="1"/>
  <c r="H28" i="6" s="1" a="1"/>
  <c r="H28" i="6" s="1"/>
  <c r="T28" i="5" s="1"/>
  <c r="G28" i="12" s="1"/>
  <c r="G28" i="5"/>
  <c r="J25" i="5" s="1"/>
  <c r="E28" i="5"/>
  <c r="C29" i="5"/>
  <c r="A28" i="12"/>
  <c r="H28" i="5"/>
  <c r="F28" i="5"/>
  <c r="B28" i="5"/>
  <c r="AD28" i="5"/>
  <c r="K14" i="13"/>
  <c r="B53" i="8"/>
  <c r="P7" i="13"/>
  <c r="F8" i="7"/>
  <c r="F10" i="12" a="1"/>
  <c r="F10" i="12" s="1"/>
  <c r="M8" i="12" a="1"/>
  <c r="M8" i="12" s="1"/>
  <c r="H68" i="8" a="1"/>
  <c r="H68" i="8" s="1"/>
  <c r="H66" i="8" a="1"/>
  <c r="H66" i="8" s="1"/>
  <c r="F7" i="6" a="1"/>
  <c r="F7" i="6" s="1"/>
  <c r="F6" i="6" a="1"/>
  <c r="F6" i="6" s="1"/>
  <c r="Q1" i="6" a="1"/>
  <c r="Q1" i="6" s="1"/>
  <c r="O1" i="6" a="1"/>
  <c r="O1" i="6" s="1"/>
  <c r="C11" i="7" a="1"/>
  <c r="C11" i="7" s="1"/>
  <c r="G22" i="15" a="1"/>
  <c r="G22" i="15" s="1"/>
  <c r="C22" i="15" a="1"/>
  <c r="C22" i="15" s="1"/>
  <c r="C122" i="3"/>
  <c r="C120" i="3"/>
  <c r="A29" i="12" l="1"/>
  <c r="G28" i="6"/>
  <c r="M28" i="6"/>
  <c r="N28" i="6"/>
  <c r="D29" i="5"/>
  <c r="B29" i="12" s="1"/>
  <c r="G29" i="5"/>
  <c r="N29" i="5"/>
  <c r="D29" i="6" s="1"/>
  <c r="AE29" i="5"/>
  <c r="J29" i="5"/>
  <c r="F29" i="5"/>
  <c r="H29" i="5"/>
  <c r="B29" i="5"/>
  <c r="C30" i="5" s="1"/>
  <c r="E29" i="5"/>
  <c r="B29" i="6"/>
  <c r="K29" i="5"/>
  <c r="AD29" i="5"/>
  <c r="R1" i="6" a="1"/>
  <c r="R1" i="6" s="1"/>
  <c r="S67" i="4"/>
  <c r="U67" i="4" s="1"/>
  <c r="S107" i="4"/>
  <c r="U107" i="4" s="1"/>
  <c r="S27" i="4"/>
  <c r="U27" i="4" s="1"/>
  <c r="C124" i="3"/>
  <c r="G30" i="5" l="1"/>
  <c r="B30" i="6"/>
  <c r="A30" i="12"/>
  <c r="N30" i="5"/>
  <c r="D30" i="6" s="1"/>
  <c r="M30" i="6" s="1"/>
  <c r="B30" i="5"/>
  <c r="AD30" i="5"/>
  <c r="H30" i="5"/>
  <c r="C31" i="5"/>
  <c r="AE30" i="5"/>
  <c r="E30" i="5"/>
  <c r="I30" i="5"/>
  <c r="W30" i="5"/>
  <c r="H30" i="12" s="1"/>
  <c r="F30" i="5"/>
  <c r="S1" i="6" a="1"/>
  <c r="S1" i="6" s="1"/>
  <c r="H28" i="9"/>
  <c r="E31" i="5" l="1"/>
  <c r="AE31" i="5"/>
  <c r="N30" i="6"/>
  <c r="G30" i="6"/>
  <c r="C32" i="5"/>
  <c r="K31" i="5"/>
  <c r="H30" i="6" a="1"/>
  <c r="H30" i="6" s="1"/>
  <c r="T30" i="5" s="1"/>
  <c r="G30" i="12" s="1"/>
  <c r="AD31" i="5"/>
  <c r="J31" i="5"/>
  <c r="D31" i="5"/>
  <c r="B31" i="12" s="1"/>
  <c r="B31" i="5"/>
  <c r="H31" i="5"/>
  <c r="G31" i="5"/>
  <c r="A31" i="12"/>
  <c r="N31" i="5"/>
  <c r="D31" i="6" s="1"/>
  <c r="B31" i="6"/>
  <c r="F31" i="5"/>
  <c r="T1" i="6" a="1"/>
  <c r="T1" i="6" s="1"/>
  <c r="C94" i="3"/>
  <c r="C92" i="3"/>
  <c r="D32" i="5" l="1"/>
  <c r="B32" i="12" s="1"/>
  <c r="N32" i="5"/>
  <c r="D32" i="6" s="1"/>
  <c r="B32" i="6"/>
  <c r="C33" i="5"/>
  <c r="K32" i="5"/>
  <c r="G32" i="5"/>
  <c r="F32" i="5"/>
  <c r="A32" i="12"/>
  <c r="H32" i="5"/>
  <c r="E32" i="5"/>
  <c r="AD32" i="5"/>
  <c r="AE32" i="5"/>
  <c r="B32" i="5"/>
  <c r="J32" i="5"/>
  <c r="U1" i="6" a="1"/>
  <c r="U1" i="6" s="1"/>
  <c r="C98" i="3"/>
  <c r="AD33" i="5" l="1"/>
  <c r="B33" i="5"/>
  <c r="E33" i="5"/>
  <c r="H33" i="5"/>
  <c r="F33" i="5"/>
  <c r="K33" i="5"/>
  <c r="G33" i="5"/>
  <c r="N33" i="5"/>
  <c r="D33" i="6" s="1"/>
  <c r="D33" i="5"/>
  <c r="B33" i="12" s="1"/>
  <c r="J33" i="5"/>
  <c r="C34" i="5"/>
  <c r="AE33" i="5"/>
  <c r="B33" i="6"/>
  <c r="A33" i="12"/>
  <c r="V1" i="6" a="1"/>
  <c r="V1" i="6" s="1"/>
  <c r="C5" i="14"/>
  <c r="E2" i="12"/>
  <c r="J34" i="5" l="1"/>
  <c r="B34" i="5"/>
  <c r="A34" i="12"/>
  <c r="G34" i="5"/>
  <c r="AD34" i="5"/>
  <c r="C35" i="5"/>
  <c r="K34" i="5"/>
  <c r="E34" i="5"/>
  <c r="F34" i="5"/>
  <c r="B34" i="6"/>
  <c r="N34" i="5"/>
  <c r="D34" i="6" s="1"/>
  <c r="H34" i="5"/>
  <c r="D34" i="5"/>
  <c r="B34" i="12" s="1"/>
  <c r="AE34" i="5"/>
  <c r="W1" i="6" a="1"/>
  <c r="W1" i="6" s="1"/>
  <c r="S12" i="11"/>
  <c r="AE35" i="5" l="1"/>
  <c r="H35" i="5"/>
  <c r="D35" i="5"/>
  <c r="B35" i="12" s="1"/>
  <c r="A35" i="12"/>
  <c r="F35" i="5"/>
  <c r="G35" i="5"/>
  <c r="B35" i="5"/>
  <c r="C36" i="5"/>
  <c r="E35" i="5"/>
  <c r="K35" i="5"/>
  <c r="N35" i="5"/>
  <c r="D35" i="6" s="1"/>
  <c r="J35" i="5"/>
  <c r="B35" i="6"/>
  <c r="AD35" i="5"/>
  <c r="X1" i="6" a="1"/>
  <c r="X1" i="6" s="1"/>
  <c r="C1" i="7" a="1"/>
  <c r="C1" i="7" s="1"/>
  <c r="D40" i="2"/>
  <c r="D39" i="2"/>
  <c r="D41" i="2"/>
  <c r="D37" i="2"/>
  <c r="D38" i="2"/>
  <c r="D36" i="2"/>
  <c r="C37" i="5" l="1"/>
  <c r="AD37" i="5" s="1"/>
  <c r="N36" i="5"/>
  <c r="D36" i="6" s="1"/>
  <c r="K36" i="5"/>
  <c r="B36" i="5"/>
  <c r="F36" i="5"/>
  <c r="AE36" i="5"/>
  <c r="H36" i="5"/>
  <c r="AD36" i="5"/>
  <c r="E36" i="5"/>
  <c r="G36" i="5"/>
  <c r="D36" i="5"/>
  <c r="B36" i="12" s="1"/>
  <c r="A36" i="12"/>
  <c r="B36" i="6"/>
  <c r="J36" i="5"/>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E37" i="5" l="1"/>
  <c r="D37" i="5"/>
  <c r="B37" i="12" s="1"/>
  <c r="B37" i="6"/>
  <c r="K37" i="5"/>
  <c r="A37" i="12"/>
  <c r="J37" i="5"/>
  <c r="G37" i="5"/>
  <c r="E37" i="5"/>
  <c r="C38" i="5"/>
  <c r="B38" i="6" s="1"/>
  <c r="H37" i="5"/>
  <c r="N37" i="5"/>
  <c r="D37" i="6" s="1"/>
  <c r="F37" i="5"/>
  <c r="B37" i="5"/>
  <c r="Z1" i="6" a="1"/>
  <c r="Z1" i="6" s="1"/>
  <c r="AA1" i="6" s="1" a="1"/>
  <c r="AA1" i="6" s="1"/>
  <c r="D27" i="2"/>
  <c r="D15" i="2"/>
  <c r="D35" i="2"/>
  <c r="D3" i="2"/>
  <c r="F38" i="5" l="1"/>
  <c r="B38" i="5"/>
  <c r="D38" i="5"/>
  <c r="B38" i="12" s="1"/>
  <c r="A38" i="12"/>
  <c r="G38" i="5"/>
  <c r="N38" i="5"/>
  <c r="D38" i="6" s="1"/>
  <c r="C39" i="5"/>
  <c r="K38" i="5"/>
  <c r="H38" i="5"/>
  <c r="AE38" i="5"/>
  <c r="AD38" i="5"/>
  <c r="E38" i="5"/>
  <c r="J38" i="5"/>
  <c r="AB1" i="6" a="1"/>
  <c r="AB1" i="6" s="1"/>
  <c r="H10" i="7"/>
  <c r="G39" i="5" l="1"/>
  <c r="E39" i="5"/>
  <c r="A39" i="12"/>
  <c r="B39" i="6"/>
  <c r="D39" i="5"/>
  <c r="B39" i="12" s="1"/>
  <c r="H39" i="5"/>
  <c r="C40" i="5"/>
  <c r="N40" i="5" s="1"/>
  <c r="D40" i="6" s="1"/>
  <c r="J39" i="5"/>
  <c r="AD39" i="5"/>
  <c r="K39" i="5"/>
  <c r="N39" i="5"/>
  <c r="D39" i="6" s="1"/>
  <c r="AE39" i="5"/>
  <c r="B39" i="5"/>
  <c r="F39" i="5"/>
  <c r="AC1" i="6" a="1"/>
  <c r="AC1" i="6" s="1"/>
  <c r="AG68" i="8"/>
  <c r="B40" i="5" l="1"/>
  <c r="G40" i="5"/>
  <c r="D40" i="5"/>
  <c r="B40" i="12" s="1"/>
  <c r="K40" i="5"/>
  <c r="A40" i="12"/>
  <c r="AE40" i="5"/>
  <c r="B40" i="6"/>
  <c r="F40" i="5"/>
  <c r="C41" i="5"/>
  <c r="N41" i="5" s="1"/>
  <c r="D41" i="6" s="1"/>
  <c r="E40" i="5"/>
  <c r="AD40" i="5"/>
  <c r="H40" i="5"/>
  <c r="J40" i="5"/>
  <c r="AD1" i="6" a="1"/>
  <c r="AD1" i="6" s="1"/>
  <c r="C103" i="3"/>
  <c r="C100" i="3"/>
  <c r="C96" i="3"/>
  <c r="K41" i="5" l="1"/>
  <c r="G41" i="5"/>
  <c r="E41" i="5"/>
  <c r="F41" i="5"/>
  <c r="AE41" i="5"/>
  <c r="J41" i="5"/>
  <c r="A41" i="12"/>
  <c r="D41" i="5"/>
  <c r="B41" i="12" s="1"/>
  <c r="H41" i="5"/>
  <c r="B41" i="6"/>
  <c r="AD41" i="5"/>
  <c r="B41" i="5"/>
  <c r="C42" i="5" s="1"/>
  <c r="A42" i="12" s="1"/>
  <c r="AE1" i="6" a="1"/>
  <c r="AE1" i="6" s="1"/>
  <c r="C93" i="3"/>
  <c r="I42" i="5" l="1"/>
  <c r="N42" i="5"/>
  <c r="D42" i="6" s="1"/>
  <c r="N42" i="6" s="1"/>
  <c r="B42" i="5"/>
  <c r="B42" i="6"/>
  <c r="F42" i="5"/>
  <c r="E42" i="5"/>
  <c r="C43" i="5"/>
  <c r="J43" i="5" s="1"/>
  <c r="W42" i="5"/>
  <c r="H42" i="12" s="1"/>
  <c r="G42" i="5"/>
  <c r="H42" i="5"/>
  <c r="AE42" i="5"/>
  <c r="AD42" i="5"/>
  <c r="AF1" i="6" a="1"/>
  <c r="AF1" i="6" s="1"/>
  <c r="C112" i="3"/>
  <c r="C108" i="3"/>
  <c r="C70" i="3"/>
  <c r="L26" i="13"/>
  <c r="L25" i="13" s="1"/>
  <c r="C84" i="3"/>
  <c r="G43" i="5" l="1"/>
  <c r="G42" i="6"/>
  <c r="B43" i="5"/>
  <c r="C44" i="5" s="1"/>
  <c r="N44" i="5" s="1"/>
  <c r="D44" i="6" s="1"/>
  <c r="H44" i="6" s="1" a="1"/>
  <c r="H44" i="6" s="1"/>
  <c r="T44" i="5" s="1"/>
  <c r="G44" i="12" s="1"/>
  <c r="H42" i="6" a="1"/>
  <c r="H42" i="6" s="1"/>
  <c r="T42" i="5" s="1"/>
  <c r="G42" i="12" s="1"/>
  <c r="AD43" i="5"/>
  <c r="E43" i="5"/>
  <c r="AE43" i="5"/>
  <c r="A43" i="12"/>
  <c r="B43" i="6"/>
  <c r="D43" i="5"/>
  <c r="B43" i="12" s="1"/>
  <c r="K43" i="5"/>
  <c r="N43" i="5"/>
  <c r="D43" i="6" s="1"/>
  <c r="F43" i="5"/>
  <c r="H43" i="5"/>
  <c r="M42" i="6"/>
  <c r="AG1" i="6" a="1"/>
  <c r="AG1" i="6" s="1"/>
  <c r="C56" i="3"/>
  <c r="B44" i="5" l="1"/>
  <c r="AE44" i="5"/>
  <c r="H44" i="5"/>
  <c r="E44" i="5"/>
  <c r="G44" i="5"/>
  <c r="W44" i="5"/>
  <c r="H44" i="12" s="1"/>
  <c r="B44" i="6"/>
  <c r="I44" i="5"/>
  <c r="C45" i="5"/>
  <c r="C46" i="5" s="1"/>
  <c r="M44" i="6"/>
  <c r="N44" i="6"/>
  <c r="G44" i="6"/>
  <c r="A44" i="12"/>
  <c r="AD44" i="5"/>
  <c r="F44" i="5"/>
  <c r="AH1" i="6" a="1"/>
  <c r="AH1" i="6" s="1"/>
  <c r="Q13" i="6"/>
  <c r="A1" i="7"/>
  <c r="V31" i="7" a="1"/>
  <c r="V31" i="7" s="1"/>
  <c r="Y5" i="7"/>
  <c r="X5" i="7"/>
  <c r="P5" i="7"/>
  <c r="C60" i="3"/>
  <c r="S4" i="8"/>
  <c r="F5" i="7"/>
  <c r="E45" i="5" l="1"/>
  <c r="E46" i="5" s="1"/>
  <c r="B45" i="6"/>
  <c r="A45" i="12"/>
  <c r="J45" i="5"/>
  <c r="G45" i="5"/>
  <c r="G46" i="5" s="1"/>
  <c r="N45" i="5"/>
  <c r="D45" i="6" s="1"/>
  <c r="H45" i="6" s="1" a="1"/>
  <c r="H45" i="6" s="1"/>
  <c r="T45" i="5" s="1"/>
  <c r="F45" i="5"/>
  <c r="F46" i="5" s="1"/>
  <c r="AE45" i="5"/>
  <c r="B45" i="5"/>
  <c r="B46" i="5" s="1"/>
  <c r="AD45" i="5"/>
  <c r="H45" i="5"/>
  <c r="H46" i="5" s="1"/>
  <c r="K45" i="5"/>
  <c r="D45" i="5"/>
  <c r="B45" i="12" s="1"/>
  <c r="J46" i="5"/>
  <c r="B46" i="6"/>
  <c r="C47" i="5"/>
  <c r="N46" i="5"/>
  <c r="D46" i="6" s="1"/>
  <c r="H46" i="6" s="1" a="1"/>
  <c r="H46" i="6" s="1"/>
  <c r="T46" i="5" s="1"/>
  <c r="A46" i="12"/>
  <c r="AE46" i="5"/>
  <c r="D46" i="5"/>
  <c r="B46" i="12" s="1"/>
  <c r="K46" i="5"/>
  <c r="AD46" i="5"/>
  <c r="H20" i="6" a="1"/>
  <c r="H20" i="6" s="1"/>
  <c r="T20" i="5" s="1"/>
  <c r="H21" i="6" a="1"/>
  <c r="H21" i="6" s="1"/>
  <c r="T21" i="5" s="1"/>
  <c r="H23" i="6" a="1"/>
  <c r="H23" i="6" s="1"/>
  <c r="T23" i="5" s="1"/>
  <c r="H22" i="6" a="1"/>
  <c r="H22" i="6" s="1"/>
  <c r="T22" i="5" s="1"/>
  <c r="H29" i="6" a="1"/>
  <c r="H29" i="6" s="1"/>
  <c r="T29" i="5" s="1"/>
  <c r="H26" i="6" a="1"/>
  <c r="H26" i="6" s="1"/>
  <c r="T26" i="5" s="1"/>
  <c r="H19" i="6" a="1"/>
  <c r="H19" i="6" s="1"/>
  <c r="T19" i="5" s="1"/>
  <c r="H43" i="6" a="1"/>
  <c r="H43" i="6" s="1"/>
  <c r="T43" i="5" s="1"/>
  <c r="R13" i="6"/>
  <c r="S13" i="6" s="1"/>
  <c r="V32" i="7"/>
  <c r="V33" i="7"/>
  <c r="N5" i="7"/>
  <c r="O5" i="7"/>
  <c r="AE47" i="5" l="1"/>
  <c r="AD47" i="5"/>
  <c r="K47" i="5"/>
  <c r="H47" i="5"/>
  <c r="B47" i="5"/>
  <c r="C48" i="5" s="1"/>
  <c r="G48" i="5" s="1"/>
  <c r="B47" i="6"/>
  <c r="E47" i="5"/>
  <c r="J47" i="5"/>
  <c r="F47" i="5"/>
  <c r="D47" i="5"/>
  <c r="B47" i="12" s="1"/>
  <c r="G47" i="5"/>
  <c r="N47" i="5"/>
  <c r="D47" i="6" s="1"/>
  <c r="H47" i="6" s="1" a="1"/>
  <c r="H47" i="6" s="1"/>
  <c r="T47" i="5" s="1"/>
  <c r="G47" i="12" s="1"/>
  <c r="A47" i="12"/>
  <c r="G22" i="12"/>
  <c r="G23" i="12"/>
  <c r="G21" i="12"/>
  <c r="G20" i="12"/>
  <c r="G19" i="12"/>
  <c r="G26" i="12"/>
  <c r="G29" i="12"/>
  <c r="G43" i="12"/>
  <c r="G46" i="12"/>
  <c r="G45" i="12"/>
  <c r="T13" i="6"/>
  <c r="E10" i="7"/>
  <c r="C57" i="3"/>
  <c r="C82" i="3"/>
  <c r="C77" i="3"/>
  <c r="B39" i="9"/>
  <c r="D32" i="7"/>
  <c r="V38" i="9" a="1"/>
  <c r="V40" i="9" s="1"/>
  <c r="B36" i="9"/>
  <c r="J28" i="9"/>
  <c r="L28" i="9" s="1"/>
  <c r="N28" i="9" s="1"/>
  <c r="P28" i="9" s="1"/>
  <c r="R28" i="9" s="1"/>
  <c r="T28" i="9" s="1"/>
  <c r="V28" i="9" s="1"/>
  <c r="X28" i="9" s="1"/>
  <c r="Z28" i="9" s="1"/>
  <c r="AB28" i="9" s="1"/>
  <c r="AD28" i="9" s="1"/>
  <c r="M5" i="9"/>
  <c r="J5" i="9"/>
  <c r="G5" i="9"/>
  <c r="B5" i="9"/>
  <c r="A48" i="12" l="1"/>
  <c r="AD48" i="5"/>
  <c r="H48" i="5"/>
  <c r="B48" i="5"/>
  <c r="C49" i="5" s="1"/>
  <c r="AE49" i="5" s="1"/>
  <c r="AE48" i="5"/>
  <c r="B48" i="6"/>
  <c r="W48" i="5"/>
  <c r="H48" i="12" s="1"/>
  <c r="N48" i="5"/>
  <c r="D48" i="6" s="1"/>
  <c r="M48" i="6" s="1"/>
  <c r="I48" i="5"/>
  <c r="E48" i="5"/>
  <c r="F48" i="5"/>
  <c r="U13" i="6"/>
  <c r="V38" i="9"/>
  <c r="V39" i="9"/>
  <c r="L31" i="7" a="1"/>
  <c r="L33" i="7" s="1"/>
  <c r="D29" i="7"/>
  <c r="C5" i="7"/>
  <c r="F49" i="5" l="1"/>
  <c r="E49" i="5"/>
  <c r="W49" i="5"/>
  <c r="H49" i="12" s="1"/>
  <c r="N49" i="5"/>
  <c r="D49" i="6" s="1"/>
  <c r="N49" i="6" s="1"/>
  <c r="B49" i="6"/>
  <c r="H49" i="5"/>
  <c r="I49" i="5"/>
  <c r="G49" i="5"/>
  <c r="A49" i="12"/>
  <c r="N48" i="6"/>
  <c r="C50" i="5"/>
  <c r="AD49" i="5"/>
  <c r="G48" i="6"/>
  <c r="B49" i="5"/>
  <c r="H48" i="6" a="1"/>
  <c r="H48" i="6" s="1"/>
  <c r="T48" i="5" s="1"/>
  <c r="G48" i="12" s="1"/>
  <c r="V13" i="6"/>
  <c r="L31" i="7"/>
  <c r="L32" i="7"/>
  <c r="C69" i="3"/>
  <c r="C86" i="3"/>
  <c r="C81" i="3"/>
  <c r="C80" i="3"/>
  <c r="C79" i="3"/>
  <c r="C76" i="3"/>
  <c r="C75" i="3"/>
  <c r="C74" i="3"/>
  <c r="C67" i="3"/>
  <c r="C65" i="3"/>
  <c r="C64" i="3"/>
  <c r="C61" i="3"/>
  <c r="C62" i="3"/>
  <c r="C59" i="3"/>
  <c r="C58" i="3"/>
  <c r="C72" i="3"/>
  <c r="S108" i="4" a="1"/>
  <c r="S108" i="4" s="1"/>
  <c r="S68" i="4" a="1"/>
  <c r="S68" i="4" s="1"/>
  <c r="S28" i="4" a="1"/>
  <c r="S28" i="4" s="1"/>
  <c r="J50" i="5" l="1"/>
  <c r="H49" i="6" a="1"/>
  <c r="H49" i="6" s="1"/>
  <c r="T49" i="5" s="1"/>
  <c r="G49" i="12" s="1"/>
  <c r="B50" i="5"/>
  <c r="F50" i="5"/>
  <c r="H50" i="5"/>
  <c r="B50" i="6"/>
  <c r="A50" i="12"/>
  <c r="G49" i="6"/>
  <c r="AE50" i="5"/>
  <c r="K50" i="5"/>
  <c r="C51" i="5"/>
  <c r="M49" i="6"/>
  <c r="AD50" i="5"/>
  <c r="D50" i="5"/>
  <c r="B50" i="12" s="1"/>
  <c r="E50" i="5"/>
  <c r="N50" i="5"/>
  <c r="D50" i="6" s="1"/>
  <c r="H50" i="6" s="1" a="1"/>
  <c r="H50" i="6" s="1"/>
  <c r="T50" i="5" s="1"/>
  <c r="G50" i="12" s="1"/>
  <c r="G50" i="5"/>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BV13" i="6"/>
  <c r="BV12" i="6" s="1"/>
  <c r="AJ13" i="6"/>
  <c r="AJ12" i="6" s="1"/>
  <c r="BC13" i="6"/>
  <c r="BC12" i="6" s="1"/>
  <c r="H12" i="10"/>
  <c r="H11" i="10" s="1"/>
  <c r="CE15" i="6"/>
  <c r="CD15" i="6"/>
  <c r="CC15" i="6"/>
  <c r="CB15" i="6"/>
  <c r="CA15" i="6"/>
  <c r="BZ15" i="6"/>
  <c r="BY15" i="6"/>
  <c r="BX15" i="6"/>
  <c r="BW15" i="6"/>
  <c r="BV15" i="6"/>
  <c r="G12" i="9"/>
  <c r="C20" i="3"/>
  <c r="C22" i="3"/>
  <c r="C24" i="3"/>
  <c r="C26" i="3"/>
  <c r="C28" i="3"/>
  <c r="C19" i="3"/>
  <c r="C15" i="3"/>
  <c r="C14" i="3"/>
  <c r="C12" i="3"/>
  <c r="I27" i="11"/>
  <c r="I26" i="11"/>
  <c r="AA71" i="8" a="1"/>
  <c r="T514" i="6" a="1"/>
  <c r="T516" i="6" s="1"/>
  <c r="I514" i="6" a="1"/>
  <c r="I515" i="6" s="1"/>
  <c r="C2" i="4"/>
  <c r="Z7" i="11"/>
  <c r="V12" i="8"/>
  <c r="E12" i="8"/>
  <c r="A14" i="5"/>
  <c r="C14" i="5" s="1"/>
  <c r="BL15" i="6"/>
  <c r="BK15" i="6"/>
  <c r="BJ15" i="6"/>
  <c r="BI15" i="6"/>
  <c r="BH15" i="6"/>
  <c r="BG15" i="6"/>
  <c r="BF15" i="6"/>
  <c r="BE15" i="6"/>
  <c r="BD15" i="6"/>
  <c r="BC15" i="6"/>
  <c r="D12" i="11"/>
  <c r="A12" i="11" s="1"/>
  <c r="L30" i="13"/>
  <c r="C8" i="4"/>
  <c r="C9" i="4"/>
  <c r="C10" i="4"/>
  <c r="C11" i="4"/>
  <c r="C12" i="4"/>
  <c r="C13" i="4"/>
  <c r="L37"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517" i="12"/>
  <c r="E518" i="12"/>
  <c r="K520" i="12" a="1"/>
  <c r="K522" i="12" s="1"/>
  <c r="E10" i="6"/>
  <c r="I10" i="6"/>
  <c r="K10" i="6"/>
  <c r="S10" i="6"/>
  <c r="U10" i="6"/>
  <c r="O13" i="6"/>
  <c r="O15" i="6" s="1"/>
  <c r="O11" i="6" s="1"/>
  <c r="B15" i="6"/>
  <c r="C15" i="6"/>
  <c r="D15" i="6"/>
  <c r="E15" i="6"/>
  <c r="B508" i="6"/>
  <c r="C508" i="6"/>
  <c r="F512" i="6"/>
  <c r="S5" i="8"/>
  <c r="Z7" i="8"/>
  <c r="AF7" i="8"/>
  <c r="I8" i="8"/>
  <c r="L8" i="8"/>
  <c r="U8" i="8"/>
  <c r="Z8" i="8"/>
  <c r="AF8" i="8"/>
  <c r="E13" i="8"/>
  <c r="V13" i="8"/>
  <c r="W13" i="8" s="1"/>
  <c r="X13" i="8" s="1"/>
  <c r="Y13" i="8" s="1"/>
  <c r="Z13" i="8" s="1"/>
  <c r="AA13" i="8" s="1"/>
  <c r="AB13" i="8" s="1"/>
  <c r="AC13" i="8" s="1"/>
  <c r="AD13" i="8" s="1"/>
  <c r="AE13" i="8" s="1"/>
  <c r="AF13" i="8" s="1"/>
  <c r="T58" i="8"/>
  <c r="T63" i="8"/>
  <c r="I69"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18" i="5"/>
  <c r="M15" i="5"/>
  <c r="N15" i="5"/>
  <c r="O15" i="5"/>
  <c r="O521" i="5"/>
  <c r="T523" i="5" a="1"/>
  <c r="T523" i="5" s="1"/>
  <c r="B1" i="10"/>
  <c r="H4" i="10"/>
  <c r="V6" i="10"/>
  <c r="AE6" i="10"/>
  <c r="B7" i="10"/>
  <c r="H7" i="10"/>
  <c r="O7" i="10"/>
  <c r="V7" i="10"/>
  <c r="AE7" i="10"/>
  <c r="F12" i="10"/>
  <c r="F11" i="10" s="1"/>
  <c r="B38" i="10"/>
  <c r="W40" i="10" a="1"/>
  <c r="W41" i="10" s="1"/>
  <c r="D4" i="11"/>
  <c r="G4" i="11"/>
  <c r="J4" i="11"/>
  <c r="M6" i="11"/>
  <c r="D7" i="11"/>
  <c r="L7" i="11"/>
  <c r="M7" i="11"/>
  <c r="N7" i="11"/>
  <c r="J12" i="11"/>
  <c r="I12" i="13" s="1"/>
  <c r="L13" i="11"/>
  <c r="L9" i="11" s="1"/>
  <c r="D24" i="11"/>
  <c r="F1" i="13"/>
  <c r="E4" i="13"/>
  <c r="I4" i="13"/>
  <c r="P4" i="13"/>
  <c r="M6" i="13"/>
  <c r="E7" i="13"/>
  <c r="I7" i="13"/>
  <c r="M7" i="13"/>
  <c r="N7" i="13"/>
  <c r="M11" i="13"/>
  <c r="Y11" i="13"/>
  <c r="G12" i="13"/>
  <c r="H12" i="13"/>
  <c r="J16" i="13"/>
  <c r="AC2" i="13" s="1"/>
  <c r="E26" i="13"/>
  <c r="E30" i="13"/>
  <c r="F31" i="13"/>
  <c r="M31" i="13"/>
  <c r="E32" i="13"/>
  <c r="F32" i="13"/>
  <c r="L32" i="13"/>
  <c r="M32" i="13"/>
  <c r="M33" i="13"/>
  <c r="L34" i="13"/>
  <c r="M34" i="13"/>
  <c r="E37" i="13"/>
  <c r="E39" i="13"/>
  <c r="L39" i="13"/>
  <c r="E40" i="13"/>
  <c r="L40" i="13"/>
  <c r="D515" i="12"/>
  <c r="O8" i="5"/>
  <c r="AD51" i="5" l="1"/>
  <c r="J51" i="5"/>
  <c r="F51" i="5"/>
  <c r="N51" i="5"/>
  <c r="D51" i="6" s="1"/>
  <c r="H51" i="6" s="1" a="1"/>
  <c r="H51" i="6" s="1"/>
  <c r="T51" i="5" s="1"/>
  <c r="G51" i="12" s="1"/>
  <c r="H51" i="5"/>
  <c r="K51" i="5"/>
  <c r="B51" i="5"/>
  <c r="C52" i="5" s="1"/>
  <c r="H52" i="5" s="1"/>
  <c r="AE51" i="5"/>
  <c r="B51" i="6"/>
  <c r="D51" i="5"/>
  <c r="B51" i="12" s="1"/>
  <c r="A51" i="12"/>
  <c r="G51" i="5"/>
  <c r="E51" i="5"/>
  <c r="K130" i="4"/>
  <c r="U108" i="4"/>
  <c r="U68" i="4"/>
  <c r="U28" i="4"/>
  <c r="A15" i="6" a="1"/>
  <c r="A15" i="6" s="1"/>
  <c r="B14" i="6"/>
  <c r="S109" i="4"/>
  <c r="S69" i="4"/>
  <c r="S29" i="4"/>
  <c r="C34" i="4"/>
  <c r="C45" i="4"/>
  <c r="BW13" i="6"/>
  <c r="BW12" i="6" s="1"/>
  <c r="K50" i="4"/>
  <c r="N9" i="10"/>
  <c r="C33" i="4"/>
  <c r="C48" i="4"/>
  <c r="C27" i="4"/>
  <c r="A16" i="4"/>
  <c r="W12" i="8"/>
  <c r="X13" i="6"/>
  <c r="O7" i="11"/>
  <c r="AC13" i="12"/>
  <c r="K30" i="10"/>
  <c r="W43" i="10"/>
  <c r="E12" i="13"/>
  <c r="C47" i="4"/>
  <c r="C23" i="4"/>
  <c r="A30" i="4"/>
  <c r="A31" i="4" s="1"/>
  <c r="C31" i="4" s="1"/>
  <c r="C46" i="4"/>
  <c r="C28" i="4"/>
  <c r="K523" i="12"/>
  <c r="C21" i="4"/>
  <c r="C22" i="4"/>
  <c r="K132" i="4"/>
  <c r="B39" i="14"/>
  <c r="W42" i="10"/>
  <c r="K520" i="12"/>
  <c r="T525" i="5"/>
  <c r="B37" i="14"/>
  <c r="C14" i="14"/>
  <c r="O7" i="13"/>
  <c r="T515" i="6"/>
  <c r="P125" i="4"/>
  <c r="I72" i="8"/>
  <c r="I516" i="6"/>
  <c r="I514" i="6"/>
  <c r="AK13" i="6"/>
  <c r="AK12" i="6" s="1"/>
  <c r="BD13" i="6"/>
  <c r="BD12" i="6" s="1"/>
  <c r="B14" i="5"/>
  <c r="F14" i="5"/>
  <c r="G15" i="9"/>
  <c r="H15" i="10"/>
  <c r="S110" i="4"/>
  <c r="I12" i="10"/>
  <c r="H12" i="9"/>
  <c r="S30" i="4"/>
  <c r="A36" i="4"/>
  <c r="C35" i="4"/>
  <c r="C24" i="4"/>
  <c r="AA72" i="8"/>
  <c r="AA73" i="8"/>
  <c r="AA71" i="8"/>
  <c r="P45" i="4"/>
  <c r="K14" i="5"/>
  <c r="J14" i="5"/>
  <c r="H14" i="5"/>
  <c r="A14" i="12"/>
  <c r="D14" i="5"/>
  <c r="B14" i="12" s="1"/>
  <c r="AD14" i="5"/>
  <c r="E14" i="5"/>
  <c r="G14" i="5"/>
  <c r="AE14" i="5"/>
  <c r="N14" i="5"/>
  <c r="E521" i="12"/>
  <c r="B41" i="10"/>
  <c r="F515" i="6"/>
  <c r="O524" i="5"/>
  <c r="D27" i="11"/>
  <c r="W40" i="10"/>
  <c r="A4" i="4"/>
  <c r="K51" i="4"/>
  <c r="K521" i="12"/>
  <c r="S70" i="4"/>
  <c r="K91" i="4"/>
  <c r="T514" i="6"/>
  <c r="K90" i="4"/>
  <c r="T524" i="5"/>
  <c r="G52" i="5" l="1"/>
  <c r="B52" i="6"/>
  <c r="A52" i="12"/>
  <c r="E52" i="5"/>
  <c r="W52" i="5"/>
  <c r="H52" i="12" s="1"/>
  <c r="I52" i="5"/>
  <c r="AE52" i="5"/>
  <c r="AD52" i="5"/>
  <c r="C53" i="5"/>
  <c r="N52" i="5"/>
  <c r="D52" i="6" s="1"/>
  <c r="G52" i="6" s="1"/>
  <c r="B52" i="5"/>
  <c r="F52" i="5"/>
  <c r="AK17" i="6"/>
  <c r="BX17" i="6"/>
  <c r="BQ17" i="6"/>
  <c r="BE17" i="6"/>
  <c r="CM17" i="6"/>
  <c r="BD17" i="6"/>
  <c r="BZ17" i="6"/>
  <c r="BJ17" i="6"/>
  <c r="CK17" i="6"/>
  <c r="BI17" i="6"/>
  <c r="CF17" i="6"/>
  <c r="BK17" i="6"/>
  <c r="BF17" i="6"/>
  <c r="BR17" i="6"/>
  <c r="CA17" i="6"/>
  <c r="BY17" i="6"/>
  <c r="BC17" i="6"/>
  <c r="BS17" i="6"/>
  <c r="CE17" i="6"/>
  <c r="BM17" i="6"/>
  <c r="BG17" i="6"/>
  <c r="CC17" i="6"/>
  <c r="CB17" i="6"/>
  <c r="BT17" i="6"/>
  <c r="BN17" i="6"/>
  <c r="BH17" i="6"/>
  <c r="BW17" i="6"/>
  <c r="CH17" i="6"/>
  <c r="CL17" i="6"/>
  <c r="CD17" i="6"/>
  <c r="CJ17" i="6"/>
  <c r="BL17" i="6"/>
  <c r="CI17" i="6"/>
  <c r="BP17" i="6"/>
  <c r="BO17" i="6"/>
  <c r="CG17" i="6"/>
  <c r="BV17" i="6"/>
  <c r="AJ17" i="6"/>
  <c r="AJ48" i="6"/>
  <c r="AJ44" i="6"/>
  <c r="AJ42" i="6"/>
  <c r="AJ30" i="6"/>
  <c r="AJ25" i="6"/>
  <c r="AJ49" i="6"/>
  <c r="AJ24" i="6"/>
  <c r="AJ28" i="6"/>
  <c r="AK16" i="6"/>
  <c r="AK18" i="6"/>
  <c r="AK24" i="6"/>
  <c r="AK25" i="6"/>
  <c r="AK27" i="6"/>
  <c r="AK28" i="6"/>
  <c r="AK30" i="6"/>
  <c r="AK42" i="6"/>
  <c r="AK44" i="6"/>
  <c r="AK48" i="6"/>
  <c r="AK49" i="6"/>
  <c r="AJ27" i="6"/>
  <c r="AJ18" i="6"/>
  <c r="BH16" i="6"/>
  <c r="BJ16" i="6"/>
  <c r="BZ16" i="6"/>
  <c r="CJ18" i="6"/>
  <c r="CB18" i="6"/>
  <c r="BF18" i="6"/>
  <c r="BP24" i="6"/>
  <c r="BT24" i="6"/>
  <c r="CM24" i="6"/>
  <c r="BW25" i="6"/>
  <c r="BV25" i="6"/>
  <c r="BQ25" i="6"/>
  <c r="BG16" i="6"/>
  <c r="BX25" i="6"/>
  <c r="BS16" i="6"/>
  <c r="CK18" i="6"/>
  <c r="BC24" i="6"/>
  <c r="BG27" i="6"/>
  <c r="BC27" i="6"/>
  <c r="BD16" i="6"/>
  <c r="CI16" i="6"/>
  <c r="BI16" i="6"/>
  <c r="BN18" i="6"/>
  <c r="BX18" i="6"/>
  <c r="BR18" i="6"/>
  <c r="BI24" i="6"/>
  <c r="BK24" i="6"/>
  <c r="BJ24" i="6"/>
  <c r="BZ25" i="6"/>
  <c r="BI25" i="6"/>
  <c r="BY25" i="6"/>
  <c r="CJ16" i="6"/>
  <c r="CH16" i="6"/>
  <c r="BN16" i="6"/>
  <c r="BL18" i="6"/>
  <c r="BQ18" i="6"/>
  <c r="BG24" i="6"/>
  <c r="CK25" i="6"/>
  <c r="CI25" i="6"/>
  <c r="BW24" i="6"/>
  <c r="BS25" i="6"/>
  <c r="BF24" i="6"/>
  <c r="CF25" i="6"/>
  <c r="BP18" i="6"/>
  <c r="CE18" i="6"/>
  <c r="CC24" i="6"/>
  <c r="BV24" i="6"/>
  <c r="BK16" i="6"/>
  <c r="BW18" i="6"/>
  <c r="BH24" i="6"/>
  <c r="BR25" i="6"/>
  <c r="BD24" i="6"/>
  <c r="CG18" i="6"/>
  <c r="BE24" i="6"/>
  <c r="CA24" i="6"/>
  <c r="BE25" i="6"/>
  <c r="BR16" i="6"/>
  <c r="CA16" i="6"/>
  <c r="BE16" i="6"/>
  <c r="CC18" i="6"/>
  <c r="BG18" i="6"/>
  <c r="CD18" i="6"/>
  <c r="BO24" i="6"/>
  <c r="CK24" i="6"/>
  <c r="CG25" i="6"/>
  <c r="CB25" i="6"/>
  <c r="BC18" i="6"/>
  <c r="BS24" i="6"/>
  <c r="BD25" i="6"/>
  <c r="BP25" i="6"/>
  <c r="CB16" i="6"/>
  <c r="BX24" i="6"/>
  <c r="CM25" i="6"/>
  <c r="CL18" i="6"/>
  <c r="BO25" i="6"/>
  <c r="BT16" i="6"/>
  <c r="CD16" i="6"/>
  <c r="BD27" i="6"/>
  <c r="CF16" i="6"/>
  <c r="BW16" i="6"/>
  <c r="BL16" i="6"/>
  <c r="BY18" i="6"/>
  <c r="BZ18" i="6"/>
  <c r="CI24" i="6"/>
  <c r="CJ25" i="6"/>
  <c r="BT18" i="6"/>
  <c r="BO16" i="6"/>
  <c r="CC25" i="6"/>
  <c r="BW27" i="6"/>
  <c r="CL16" i="6"/>
  <c r="BQ16" i="6"/>
  <c r="CG16" i="6"/>
  <c r="CI18" i="6"/>
  <c r="CM18" i="6"/>
  <c r="CF18" i="6"/>
  <c r="BN24" i="6"/>
  <c r="CB24" i="6"/>
  <c r="CH24" i="6"/>
  <c r="CD25" i="6"/>
  <c r="BM25" i="6"/>
  <c r="BM18" i="6"/>
  <c r="BH25" i="6"/>
  <c r="BE18" i="6"/>
  <c r="BJ25" i="6"/>
  <c r="BL24" i="6"/>
  <c r="BC16" i="6"/>
  <c r="BS18" i="6"/>
  <c r="CL24" i="6"/>
  <c r="CK27" i="6"/>
  <c r="BS27" i="6"/>
  <c r="CD27" i="6"/>
  <c r="BZ27" i="6"/>
  <c r="BF16" i="6"/>
  <c r="BN25" i="6"/>
  <c r="BZ24" i="6"/>
  <c r="BM16" i="6"/>
  <c r="BL25" i="6"/>
  <c r="BF25" i="6"/>
  <c r="CC16" i="6"/>
  <c r="BX16" i="6"/>
  <c r="BP16" i="6"/>
  <c r="BV18" i="6"/>
  <c r="BH18" i="6"/>
  <c r="BJ18" i="6"/>
  <c r="CG24" i="6"/>
  <c r="BY24" i="6"/>
  <c r="CJ24" i="6"/>
  <c r="CL25" i="6"/>
  <c r="BK25" i="6"/>
  <c r="BG25" i="6"/>
  <c r="BH27" i="6"/>
  <c r="BQ24" i="6"/>
  <c r="BY16" i="6"/>
  <c r="CE16" i="6"/>
  <c r="BV16" i="6"/>
  <c r="BI18" i="6"/>
  <c r="BD18" i="6"/>
  <c r="CA18" i="6"/>
  <c r="CD24" i="6"/>
  <c r="BM24" i="6"/>
  <c r="BR24" i="6"/>
  <c r="BC25" i="6"/>
  <c r="CH25" i="6"/>
  <c r="CE25" i="6"/>
  <c r="CM16" i="6"/>
  <c r="CF24" i="6"/>
  <c r="CI27" i="6"/>
  <c r="CK16" i="6"/>
  <c r="BK18" i="6"/>
  <c r="CA25" i="6"/>
  <c r="BT25" i="6"/>
  <c r="CH18" i="6"/>
  <c r="BO18" i="6"/>
  <c r="CE24" i="6"/>
  <c r="CH27" i="6"/>
  <c r="CB27" i="6"/>
  <c r="BY27" i="6"/>
  <c r="BT27" i="6"/>
  <c r="CG27" i="6"/>
  <c r="CL27" i="6"/>
  <c r="CC27" i="6"/>
  <c r="BL27" i="6"/>
  <c r="BQ27" i="6"/>
  <c r="CA27" i="6"/>
  <c r="CF27" i="6"/>
  <c r="BJ27" i="6"/>
  <c r="BN27" i="6"/>
  <c r="CM27" i="6"/>
  <c r="BE27" i="6"/>
  <c r="BF27" i="6"/>
  <c r="CE27" i="6"/>
  <c r="BI27" i="6"/>
  <c r="BM27" i="6"/>
  <c r="BO27" i="6"/>
  <c r="BV27" i="6"/>
  <c r="BR27" i="6"/>
  <c r="CJ27" i="6"/>
  <c r="BP27" i="6"/>
  <c r="BX27" i="6"/>
  <c r="BK27" i="6"/>
  <c r="CL28" i="6"/>
  <c r="BO28" i="6"/>
  <c r="BX28" i="6"/>
  <c r="CG28" i="6"/>
  <c r="BW28" i="6"/>
  <c r="CH28" i="6"/>
  <c r="CB28" i="6"/>
  <c r="CA28" i="6"/>
  <c r="BP28" i="6"/>
  <c r="BZ28" i="6"/>
  <c r="BI28" i="6"/>
  <c r="BM28" i="6"/>
  <c r="CI28" i="6"/>
  <c r="BV28" i="6"/>
  <c r="CM28" i="6"/>
  <c r="BY28" i="6"/>
  <c r="CK28" i="6"/>
  <c r="BH28" i="6"/>
  <c r="BQ28" i="6"/>
  <c r="BT28" i="6"/>
  <c r="BN28" i="6"/>
  <c r="BD28" i="6"/>
  <c r="CC28" i="6"/>
  <c r="BC28" i="6"/>
  <c r="CJ28" i="6"/>
  <c r="BR28" i="6"/>
  <c r="BL28" i="6"/>
  <c r="BJ28" i="6"/>
  <c r="BK28" i="6"/>
  <c r="BE28" i="6"/>
  <c r="CD28" i="6"/>
  <c r="BF28" i="6"/>
  <c r="BG28" i="6"/>
  <c r="CE28" i="6"/>
  <c r="BS28" i="6"/>
  <c r="CF28" i="6"/>
  <c r="CG30" i="6"/>
  <c r="BC30" i="6"/>
  <c r="BJ30" i="6"/>
  <c r="CA30" i="6"/>
  <c r="BF30" i="6"/>
  <c r="CD30" i="6"/>
  <c r="BN30" i="6"/>
  <c r="BM30" i="6"/>
  <c r="BV30" i="6"/>
  <c r="BI30" i="6"/>
  <c r="BG30" i="6"/>
  <c r="BE30" i="6"/>
  <c r="BL30" i="6"/>
  <c r="CC30" i="6"/>
  <c r="BH30" i="6"/>
  <c r="CF30" i="6"/>
  <c r="BQ30" i="6"/>
  <c r="BY30" i="6"/>
  <c r="BK30" i="6"/>
  <c r="CM30" i="6"/>
  <c r="BD30" i="6"/>
  <c r="CB30" i="6"/>
  <c r="CI30" i="6"/>
  <c r="CH30" i="6"/>
  <c r="BX30" i="6"/>
  <c r="CE30" i="6"/>
  <c r="BP30" i="6"/>
  <c r="BZ30" i="6"/>
  <c r="BT30" i="6"/>
  <c r="BR30" i="6"/>
  <c r="CL30" i="6"/>
  <c r="CJ30" i="6"/>
  <c r="BW30" i="6"/>
  <c r="BO30" i="6"/>
  <c r="CK30" i="6"/>
  <c r="BS30" i="6"/>
  <c r="BM42" i="6"/>
  <c r="CE42" i="6"/>
  <c r="BF42" i="6"/>
  <c r="BV42" i="6"/>
  <c r="CH42" i="6"/>
  <c r="BC42" i="6"/>
  <c r="BJ42" i="6"/>
  <c r="BI42" i="6"/>
  <c r="CM42" i="6"/>
  <c r="BN42" i="6"/>
  <c r="BK42" i="6"/>
  <c r="CA42" i="6"/>
  <c r="BY42" i="6"/>
  <c r="BW42" i="6"/>
  <c r="BX42" i="6"/>
  <c r="BQ42" i="6"/>
  <c r="BO42" i="6"/>
  <c r="CI42" i="6"/>
  <c r="CF42" i="6"/>
  <c r="BH42" i="6"/>
  <c r="CC42" i="6"/>
  <c r="BZ42" i="6"/>
  <c r="BT42" i="6"/>
  <c r="CL42" i="6"/>
  <c r="BP42" i="6"/>
  <c r="BR42" i="6"/>
  <c r="BL42" i="6"/>
  <c r="CD42" i="6"/>
  <c r="BG42" i="6"/>
  <c r="CJ42" i="6"/>
  <c r="BE42" i="6"/>
  <c r="CB42" i="6"/>
  <c r="BS42" i="6"/>
  <c r="CG42" i="6"/>
  <c r="BD42" i="6"/>
  <c r="CK42" i="6"/>
  <c r="BW44" i="6"/>
  <c r="CE44" i="6"/>
  <c r="BK44" i="6"/>
  <c r="CI44" i="6"/>
  <c r="BM44" i="6"/>
  <c r="BX44" i="6"/>
  <c r="BF44" i="6"/>
  <c r="BD44" i="6"/>
  <c r="BI44" i="6"/>
  <c r="BH44" i="6"/>
  <c r="CG44" i="6"/>
  <c r="BP44" i="6"/>
  <c r="BT44" i="6"/>
  <c r="BG44" i="6"/>
  <c r="CM44" i="6"/>
  <c r="BY44" i="6"/>
  <c r="CB44" i="6"/>
  <c r="CH44" i="6"/>
  <c r="BN44" i="6"/>
  <c r="CC44" i="6"/>
  <c r="BR44" i="6"/>
  <c r="CA44" i="6"/>
  <c r="BL44" i="6"/>
  <c r="BS44" i="6"/>
  <c r="BC44" i="6"/>
  <c r="CJ44" i="6"/>
  <c r="BE44" i="6"/>
  <c r="CL44" i="6"/>
  <c r="CK44" i="6"/>
  <c r="BV44" i="6"/>
  <c r="BZ44" i="6"/>
  <c r="CD44" i="6"/>
  <c r="BJ44" i="6"/>
  <c r="CF44" i="6"/>
  <c r="BO44" i="6"/>
  <c r="BQ44" i="6"/>
  <c r="CM48" i="6"/>
  <c r="BJ48" i="6"/>
  <c r="CA48" i="6"/>
  <c r="BW48" i="6"/>
  <c r="CI48" i="6"/>
  <c r="BF48" i="6"/>
  <c r="BV48" i="6"/>
  <c r="CG48" i="6"/>
  <c r="CD48" i="6"/>
  <c r="BZ48" i="6"/>
  <c r="BP48" i="6"/>
  <c r="BI48" i="6"/>
  <c r="BE48" i="6"/>
  <c r="BL48" i="6"/>
  <c r="BO48" i="6"/>
  <c r="BN48" i="6"/>
  <c r="CC48" i="6"/>
  <c r="BY48" i="6"/>
  <c r="BM48" i="6"/>
  <c r="BH48" i="6"/>
  <c r="BD48" i="6"/>
  <c r="CL48" i="6"/>
  <c r="BT48" i="6"/>
  <c r="BK48" i="6"/>
  <c r="CK48" i="6"/>
  <c r="BS48" i="6"/>
  <c r="CB48" i="6"/>
  <c r="BX48" i="6"/>
  <c r="CJ48" i="6"/>
  <c r="BR48" i="6"/>
  <c r="BG48" i="6"/>
  <c r="BC48" i="6"/>
  <c r="CF48" i="6"/>
  <c r="BG49" i="6"/>
  <c r="CJ49" i="6"/>
  <c r="BN49" i="6"/>
  <c r="BC49" i="6"/>
  <c r="BJ49" i="6"/>
  <c r="CA49" i="6"/>
  <c r="BF49" i="6"/>
  <c r="CE48" i="6"/>
  <c r="BT49" i="6"/>
  <c r="BV49" i="6"/>
  <c r="BI49" i="6"/>
  <c r="BE49" i="6"/>
  <c r="BQ48" i="6"/>
  <c r="CH48" i="6"/>
  <c r="BQ49" i="6"/>
  <c r="BH49" i="6"/>
  <c r="CI49" i="6"/>
  <c r="CD49" i="6"/>
  <c r="CH49" i="6"/>
  <c r="CF49" i="6"/>
  <c r="BW49" i="6"/>
  <c r="BY49" i="6"/>
  <c r="BP49" i="6"/>
  <c r="CG49" i="6"/>
  <c r="BK49" i="6"/>
  <c r="CK49" i="6"/>
  <c r="CB49" i="6"/>
  <c r="CL49" i="6"/>
  <c r="CE49" i="6"/>
  <c r="CC49" i="6"/>
  <c r="BX49" i="6"/>
  <c r="BL49" i="6"/>
  <c r="BM49" i="6"/>
  <c r="BD49" i="6"/>
  <c r="BR49" i="6"/>
  <c r="CM49" i="6"/>
  <c r="BS49" i="6"/>
  <c r="BZ49" i="6"/>
  <c r="BO49" i="6"/>
  <c r="AJ16" i="6"/>
  <c r="U97" i="4"/>
  <c r="U57" i="4"/>
  <c r="C15" i="7" a="1"/>
  <c r="C15" i="7" s="1"/>
  <c r="B10" i="9"/>
  <c r="M30" i="10"/>
  <c r="M35" i="10" s="1" a="1"/>
  <c r="M35" i="10" s="1"/>
  <c r="I12" i="9"/>
  <c r="U17" i="4"/>
  <c r="U14" i="4" s="1"/>
  <c r="T21" i="4" s="1"/>
  <c r="H5" i="5"/>
  <c r="X8" i="5" s="1" a="1"/>
  <c r="X8" i="5" s="1"/>
  <c r="F5" i="5"/>
  <c r="AH440" i="5" s="1"/>
  <c r="G5" i="5"/>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X13" i="6"/>
  <c r="BX12" i="6" s="1"/>
  <c r="C30" i="4"/>
  <c r="C16" i="4"/>
  <c r="A17" i="4"/>
  <c r="X12" i="8"/>
  <c r="AD13" i="12"/>
  <c r="Y13" i="6"/>
  <c r="B42" i="14"/>
  <c r="AL13" i="6"/>
  <c r="AL12" i="6" s="1"/>
  <c r="AL17" i="6" s="1"/>
  <c r="BE13" i="6"/>
  <c r="BE12" i="6" s="1"/>
  <c r="B8" i="14"/>
  <c r="I10" i="13"/>
  <c r="I11" i="10"/>
  <c r="J12" i="10"/>
  <c r="D14" i="6"/>
  <c r="C4" i="4"/>
  <c r="A5" i="4"/>
  <c r="C36" i="4"/>
  <c r="A37" i="4"/>
  <c r="C37" i="4" s="1"/>
  <c r="D53" i="5" l="1"/>
  <c r="B53" i="12" s="1"/>
  <c r="AH17" i="5"/>
  <c r="AN17" i="5" s="1"/>
  <c r="AH437" i="5"/>
  <c r="A53" i="12"/>
  <c r="C54" i="5"/>
  <c r="J53" i="5"/>
  <c r="AD53" i="5"/>
  <c r="N53" i="5"/>
  <c r="D53" i="6" s="1"/>
  <c r="H53" i="6" s="1" a="1"/>
  <c r="H53" i="6" s="1"/>
  <c r="T53" i="5" s="1"/>
  <c r="G53" i="12" s="1"/>
  <c r="G53" i="5"/>
  <c r="K53" i="5"/>
  <c r="AE53" i="5"/>
  <c r="B53" i="6"/>
  <c r="E53" i="5"/>
  <c r="H53" i="5"/>
  <c r="F53" i="5"/>
  <c r="B53" i="5"/>
  <c r="H52" i="6" a="1"/>
  <c r="H52" i="6" s="1"/>
  <c r="T52" i="5" s="1"/>
  <c r="G52" i="12" s="1"/>
  <c r="M52" i="6"/>
  <c r="BI52" i="6" s="1"/>
  <c r="N52" i="6"/>
  <c r="AH505" i="5"/>
  <c r="AH436" i="5"/>
  <c r="AH438" i="5"/>
  <c r="AH497" i="5"/>
  <c r="AH502" i="5"/>
  <c r="AH19" i="5"/>
  <c r="AH22" i="5"/>
  <c r="AH20" i="5"/>
  <c r="AH23" i="5"/>
  <c r="AH21" i="5"/>
  <c r="AH506" i="5"/>
  <c r="AH503" i="5"/>
  <c r="AH500" i="5"/>
  <c r="AH498" i="5"/>
  <c r="AH495" i="5"/>
  <c r="AH493" i="5"/>
  <c r="AH491" i="5"/>
  <c r="AH489" i="5"/>
  <c r="AH487" i="5"/>
  <c r="AH485" i="5"/>
  <c r="AH483" i="5"/>
  <c r="AH481" i="5"/>
  <c r="AH479" i="5"/>
  <c r="AH477" i="5"/>
  <c r="AH475" i="5"/>
  <c r="AH473" i="5"/>
  <c r="AH471" i="5"/>
  <c r="AH469" i="5"/>
  <c r="AH507" i="5"/>
  <c r="AH504" i="5"/>
  <c r="AH501" i="5"/>
  <c r="AH499" i="5"/>
  <c r="AH496" i="5"/>
  <c r="AH494" i="5"/>
  <c r="AH492" i="5"/>
  <c r="AH490" i="5"/>
  <c r="AH488" i="5"/>
  <c r="AH486" i="5"/>
  <c r="AH484" i="5"/>
  <c r="AH482" i="5"/>
  <c r="AH480" i="5"/>
  <c r="AH478" i="5"/>
  <c r="AH476" i="5"/>
  <c r="AH474" i="5"/>
  <c r="AN474" i="5" s="1"/>
  <c r="AH472" i="5"/>
  <c r="AH470" i="5"/>
  <c r="AH465" i="5"/>
  <c r="AH457" i="5"/>
  <c r="AN457" i="5" s="1"/>
  <c r="AH449" i="5"/>
  <c r="AH433" i="5"/>
  <c r="AH361" i="5"/>
  <c r="AN361" i="5" s="1"/>
  <c r="AH351" i="5"/>
  <c r="AH341" i="5"/>
  <c r="AN341" i="5" s="1"/>
  <c r="AH339" i="5"/>
  <c r="AH337" i="5"/>
  <c r="AH335" i="5"/>
  <c r="AH327" i="5"/>
  <c r="AN327" i="5" s="1"/>
  <c r="AH325" i="5"/>
  <c r="AH323" i="5"/>
  <c r="AH321" i="5"/>
  <c r="AH319" i="5"/>
  <c r="AH317" i="5"/>
  <c r="AH316" i="5"/>
  <c r="AH314" i="5"/>
  <c r="AH464" i="5"/>
  <c r="AH456" i="5"/>
  <c r="AH448" i="5"/>
  <c r="AH431" i="5"/>
  <c r="AH427" i="5"/>
  <c r="AH419" i="5"/>
  <c r="AH411" i="5"/>
  <c r="AH404" i="5"/>
  <c r="AH396" i="5"/>
  <c r="AH388" i="5"/>
  <c r="AH380" i="5"/>
  <c r="AH372" i="5"/>
  <c r="AH364" i="5"/>
  <c r="AH360" i="5"/>
  <c r="AH428" i="5"/>
  <c r="AH420" i="5"/>
  <c r="AH412" i="5"/>
  <c r="AH405" i="5"/>
  <c r="AH397" i="5"/>
  <c r="AH389" i="5"/>
  <c r="AH381" i="5"/>
  <c r="AH373" i="5"/>
  <c r="AH463" i="5"/>
  <c r="AH455" i="5"/>
  <c r="AH447" i="5"/>
  <c r="AH442" i="5"/>
  <c r="AN442" i="5" s="1"/>
  <c r="AH358" i="5"/>
  <c r="AH462" i="5"/>
  <c r="AN462" i="5" s="1"/>
  <c r="AH454" i="5"/>
  <c r="AH446" i="5"/>
  <c r="AH439" i="5"/>
  <c r="AH421" i="5"/>
  <c r="AH413" i="5"/>
  <c r="AH406" i="5"/>
  <c r="AH398" i="5"/>
  <c r="AH390" i="5"/>
  <c r="AH382" i="5"/>
  <c r="AH374" i="5"/>
  <c r="AH366" i="5"/>
  <c r="AH357" i="5"/>
  <c r="AH434" i="5"/>
  <c r="AH422" i="5"/>
  <c r="AH414" i="5"/>
  <c r="AH407" i="5"/>
  <c r="AH399" i="5"/>
  <c r="AH391" i="5"/>
  <c r="AH383" i="5"/>
  <c r="AH375" i="5"/>
  <c r="AH367" i="5"/>
  <c r="AH461" i="5"/>
  <c r="AH453" i="5"/>
  <c r="AN453" i="5" s="1"/>
  <c r="AH445" i="5"/>
  <c r="AH432" i="5"/>
  <c r="AH429" i="5"/>
  <c r="AH355" i="5"/>
  <c r="AH342" i="5"/>
  <c r="AH340" i="5"/>
  <c r="AH338" i="5"/>
  <c r="AH326" i="5"/>
  <c r="AH324" i="5"/>
  <c r="AH322" i="5"/>
  <c r="AH320" i="5"/>
  <c r="AH318" i="5"/>
  <c r="AH315" i="5"/>
  <c r="AH313" i="5"/>
  <c r="AH460" i="5"/>
  <c r="AH452" i="5"/>
  <c r="AH444" i="5"/>
  <c r="AH423" i="5"/>
  <c r="AH415" i="5"/>
  <c r="AH408" i="5"/>
  <c r="AH400" i="5"/>
  <c r="AH392" i="5"/>
  <c r="AH384" i="5"/>
  <c r="AH376" i="5"/>
  <c r="AH368" i="5"/>
  <c r="AH468" i="5"/>
  <c r="AH424" i="5"/>
  <c r="AH416" i="5"/>
  <c r="AH409" i="5"/>
  <c r="AH401" i="5"/>
  <c r="AH393" i="5"/>
  <c r="AH385" i="5"/>
  <c r="AH377" i="5"/>
  <c r="AH467" i="5"/>
  <c r="AH459" i="5"/>
  <c r="AN459" i="5" s="1"/>
  <c r="AH451" i="5"/>
  <c r="AH443" i="5"/>
  <c r="AH430" i="5"/>
  <c r="AH466" i="5"/>
  <c r="AH458" i="5"/>
  <c r="AH450" i="5"/>
  <c r="AH441" i="5"/>
  <c r="AN441" i="5" s="1"/>
  <c r="AH425" i="5"/>
  <c r="AH417" i="5"/>
  <c r="AH402" i="5"/>
  <c r="AH394" i="5"/>
  <c r="AH386" i="5"/>
  <c r="AH378" i="5"/>
  <c r="AH370" i="5"/>
  <c r="AH362" i="5"/>
  <c r="AH356" i="5"/>
  <c r="AH301" i="5"/>
  <c r="AH410" i="5"/>
  <c r="AH354" i="5"/>
  <c r="AH418" i="5"/>
  <c r="AH371" i="5"/>
  <c r="AH299" i="5"/>
  <c r="AH297" i="5"/>
  <c r="AH295" i="5"/>
  <c r="AH293" i="5"/>
  <c r="AN293" i="5" s="1"/>
  <c r="AH292" i="5"/>
  <c r="AH290" i="5"/>
  <c r="AH288" i="5"/>
  <c r="AH286" i="5"/>
  <c r="AH278" i="5"/>
  <c r="AH276" i="5"/>
  <c r="AH274" i="5"/>
  <c r="AH272" i="5"/>
  <c r="AH264" i="5"/>
  <c r="AH262" i="5"/>
  <c r="AH260" i="5"/>
  <c r="AH256" i="5"/>
  <c r="AH246" i="5"/>
  <c r="AN246" i="5" s="1"/>
  <c r="AH244" i="5"/>
  <c r="AH242" i="5"/>
  <c r="AH240" i="5"/>
  <c r="AH238" i="5"/>
  <c r="AH236" i="5"/>
  <c r="AH234" i="5"/>
  <c r="AH232" i="5"/>
  <c r="AH230" i="5"/>
  <c r="AH228" i="5"/>
  <c r="AH226" i="5"/>
  <c r="AH224" i="5"/>
  <c r="AH426" i="5"/>
  <c r="AH379" i="5"/>
  <c r="AH435" i="5"/>
  <c r="AH387" i="5"/>
  <c r="AH359" i="5"/>
  <c r="AH303" i="5"/>
  <c r="AH395" i="5"/>
  <c r="AH369" i="5"/>
  <c r="AH365" i="5"/>
  <c r="AH363" i="5"/>
  <c r="AH302" i="5"/>
  <c r="AH298" i="5"/>
  <c r="AH296" i="5"/>
  <c r="AH294" i="5"/>
  <c r="AH291" i="5"/>
  <c r="AH289" i="5"/>
  <c r="AH287" i="5"/>
  <c r="AH277" i="5"/>
  <c r="AH275" i="5"/>
  <c r="AH273" i="5"/>
  <c r="AH263" i="5"/>
  <c r="AH261" i="5"/>
  <c r="AH259" i="5"/>
  <c r="AH255" i="5"/>
  <c r="AH245" i="5"/>
  <c r="AH243" i="5"/>
  <c r="AH241" i="5"/>
  <c r="AH239" i="5"/>
  <c r="AH237" i="5"/>
  <c r="AH235" i="5"/>
  <c r="AN235" i="5" s="1"/>
  <c r="AH403" i="5"/>
  <c r="AH217" i="5"/>
  <c r="AH204" i="5"/>
  <c r="AH197" i="5"/>
  <c r="AH207" i="5"/>
  <c r="AN207" i="5" s="1"/>
  <c r="AH218" i="5"/>
  <c r="AH200" i="5"/>
  <c r="AH231" i="5"/>
  <c r="AH225" i="5"/>
  <c r="AH219" i="5"/>
  <c r="AH210" i="5"/>
  <c r="AH203" i="5"/>
  <c r="AH66" i="5"/>
  <c r="AH62" i="5"/>
  <c r="AH60" i="5"/>
  <c r="AH300" i="5"/>
  <c r="AH220" i="5"/>
  <c r="AH206" i="5"/>
  <c r="AH199" i="5"/>
  <c r="AH196" i="5"/>
  <c r="AH194" i="5"/>
  <c r="AH192" i="5"/>
  <c r="AH190" i="5"/>
  <c r="AH188" i="5"/>
  <c r="AH186" i="5"/>
  <c r="AH184" i="5"/>
  <c r="AH182" i="5"/>
  <c r="AH180" i="5"/>
  <c r="AH178" i="5"/>
  <c r="AH176" i="5"/>
  <c r="AH174" i="5"/>
  <c r="AH172" i="5"/>
  <c r="AH170" i="5"/>
  <c r="AH168" i="5"/>
  <c r="AH166" i="5"/>
  <c r="AH164" i="5"/>
  <c r="AH162" i="5"/>
  <c r="AH160" i="5"/>
  <c r="AH158" i="5"/>
  <c r="AH156" i="5"/>
  <c r="AH154" i="5"/>
  <c r="AH152" i="5"/>
  <c r="AH150" i="5"/>
  <c r="AH148" i="5"/>
  <c r="AH146" i="5"/>
  <c r="AH144" i="5"/>
  <c r="AH142" i="5"/>
  <c r="AH140" i="5"/>
  <c r="AH138" i="5"/>
  <c r="AH136" i="5"/>
  <c r="AH134" i="5"/>
  <c r="AH132" i="5"/>
  <c r="AH130" i="5"/>
  <c r="AH128" i="5"/>
  <c r="AH126" i="5"/>
  <c r="AH124" i="5"/>
  <c r="AH122" i="5"/>
  <c r="AH120" i="5"/>
  <c r="AH118" i="5"/>
  <c r="AH116" i="5"/>
  <c r="AH114" i="5"/>
  <c r="AH112" i="5"/>
  <c r="AH110" i="5"/>
  <c r="AH108" i="5"/>
  <c r="AH106" i="5"/>
  <c r="AH104" i="5"/>
  <c r="AH102" i="5"/>
  <c r="AH100" i="5"/>
  <c r="AH98" i="5"/>
  <c r="AH96" i="5"/>
  <c r="AH94" i="5"/>
  <c r="AH92" i="5"/>
  <c r="AH90" i="5"/>
  <c r="AH88" i="5"/>
  <c r="AH86" i="5"/>
  <c r="AH84" i="5"/>
  <c r="AH82" i="5"/>
  <c r="AH80" i="5"/>
  <c r="AH78" i="5"/>
  <c r="AH76" i="5"/>
  <c r="AH74" i="5"/>
  <c r="AH72" i="5"/>
  <c r="AH70" i="5"/>
  <c r="AH68" i="5"/>
  <c r="AH64" i="5"/>
  <c r="AH58" i="5"/>
  <c r="AH312" i="5"/>
  <c r="AH221" i="5"/>
  <c r="AH213" i="5"/>
  <c r="AH209" i="5"/>
  <c r="AH229" i="5"/>
  <c r="AH202" i="5"/>
  <c r="AH222" i="5"/>
  <c r="AH214" i="5"/>
  <c r="AH212" i="5"/>
  <c r="AH205" i="5"/>
  <c r="AH223" i="5"/>
  <c r="AH215" i="5"/>
  <c r="AH198" i="5"/>
  <c r="AH233" i="5"/>
  <c r="AH227" i="5"/>
  <c r="AH216" i="5"/>
  <c r="AH211" i="5"/>
  <c r="AH195" i="5"/>
  <c r="AH193" i="5"/>
  <c r="AH191" i="5"/>
  <c r="AH189" i="5"/>
  <c r="AH187" i="5"/>
  <c r="AH185" i="5"/>
  <c r="AH183" i="5"/>
  <c r="AH181" i="5"/>
  <c r="AH179" i="5"/>
  <c r="AH177" i="5"/>
  <c r="AH175" i="5"/>
  <c r="AH173" i="5"/>
  <c r="AH171" i="5"/>
  <c r="AH169" i="5"/>
  <c r="AH167" i="5"/>
  <c r="AH165" i="5"/>
  <c r="AH163" i="5"/>
  <c r="AH161" i="5"/>
  <c r="AH159" i="5"/>
  <c r="AH157" i="5"/>
  <c r="AH155" i="5"/>
  <c r="AH153" i="5"/>
  <c r="AH151" i="5"/>
  <c r="AH149" i="5"/>
  <c r="AH147" i="5"/>
  <c r="AH145" i="5"/>
  <c r="AH143" i="5"/>
  <c r="AH141" i="5"/>
  <c r="AH139" i="5"/>
  <c r="AH137" i="5"/>
  <c r="AH135" i="5"/>
  <c r="AH133" i="5"/>
  <c r="AH131" i="5"/>
  <c r="AH129" i="5"/>
  <c r="AH127" i="5"/>
  <c r="AH125" i="5"/>
  <c r="AH123" i="5"/>
  <c r="AH121" i="5"/>
  <c r="AH119" i="5"/>
  <c r="AH117" i="5"/>
  <c r="AH115" i="5"/>
  <c r="AH113" i="5"/>
  <c r="AH111" i="5"/>
  <c r="AH109" i="5"/>
  <c r="AH107" i="5"/>
  <c r="AH105" i="5"/>
  <c r="AH103" i="5"/>
  <c r="AH101" i="5"/>
  <c r="AH99" i="5"/>
  <c r="AH97" i="5"/>
  <c r="AH95" i="5"/>
  <c r="AH93" i="5"/>
  <c r="AH91" i="5"/>
  <c r="AH89" i="5"/>
  <c r="AH87" i="5"/>
  <c r="AH85" i="5"/>
  <c r="AH83" i="5"/>
  <c r="AH81" i="5"/>
  <c r="AH79" i="5"/>
  <c r="AH77" i="5"/>
  <c r="AH75" i="5"/>
  <c r="AH73" i="5"/>
  <c r="AH71" i="5"/>
  <c r="AH69" i="5"/>
  <c r="AH67" i="5"/>
  <c r="AH208" i="5"/>
  <c r="AN208" i="5" s="1"/>
  <c r="AH55" i="5"/>
  <c r="AH44" i="5"/>
  <c r="AH46" i="5"/>
  <c r="AH33" i="5"/>
  <c r="AH65" i="5"/>
  <c r="AH35" i="5"/>
  <c r="AH61" i="5"/>
  <c r="AH57" i="5"/>
  <c r="AH48" i="5"/>
  <c r="AH26" i="5"/>
  <c r="AH53" i="5"/>
  <c r="AH50" i="5"/>
  <c r="AH37" i="5"/>
  <c r="AH29" i="5"/>
  <c r="AH18" i="5"/>
  <c r="AN18" i="5" s="1"/>
  <c r="AH52" i="5"/>
  <c r="AH39" i="5"/>
  <c r="AH54" i="5"/>
  <c r="AH41" i="5"/>
  <c r="AH56" i="5"/>
  <c r="AH43" i="5"/>
  <c r="AH32" i="5"/>
  <c r="AH25" i="5"/>
  <c r="AH45" i="5"/>
  <c r="AH34" i="5"/>
  <c r="AH28" i="5"/>
  <c r="AH27" i="5"/>
  <c r="AH63" i="5"/>
  <c r="AH59" i="5"/>
  <c r="AH47" i="5"/>
  <c r="AH36" i="5"/>
  <c r="AH16" i="5"/>
  <c r="AN16" i="5" s="1"/>
  <c r="AH49" i="5"/>
  <c r="AH38" i="5"/>
  <c r="AH31" i="5"/>
  <c r="AH24" i="5"/>
  <c r="AH42" i="5"/>
  <c r="AH30" i="5"/>
  <c r="AH201" i="5"/>
  <c r="AH51" i="5"/>
  <c r="AH40" i="5"/>
  <c r="AL16" i="6"/>
  <c r="AL18" i="6"/>
  <c r="AL24" i="6"/>
  <c r="AL25" i="6"/>
  <c r="AL27" i="6"/>
  <c r="AL28" i="6"/>
  <c r="AL30" i="6"/>
  <c r="AL42" i="6"/>
  <c r="AL44" i="6"/>
  <c r="AL48" i="6"/>
  <c r="AL49" i="6"/>
  <c r="W8" i="5" a="1"/>
  <c r="W8" i="5" s="1"/>
  <c r="AH353" i="5"/>
  <c r="AH349" i="5"/>
  <c r="AH347" i="5"/>
  <c r="AH345" i="5"/>
  <c r="AH343" i="5"/>
  <c r="AH333" i="5"/>
  <c r="AH331" i="5"/>
  <c r="AH329" i="5"/>
  <c r="AH352" i="5"/>
  <c r="AH350" i="5"/>
  <c r="AH348" i="5"/>
  <c r="AH346" i="5"/>
  <c r="AH344" i="5"/>
  <c r="AH336" i="5"/>
  <c r="AH334" i="5"/>
  <c r="AH332" i="5"/>
  <c r="AH330" i="5"/>
  <c r="AH328" i="5"/>
  <c r="AH310" i="5"/>
  <c r="AH309" i="5"/>
  <c r="AH308" i="5"/>
  <c r="AH284" i="5"/>
  <c r="AH282" i="5"/>
  <c r="AH280" i="5"/>
  <c r="AH270" i="5"/>
  <c r="AH268" i="5"/>
  <c r="AH266" i="5"/>
  <c r="AH258" i="5"/>
  <c r="AH254" i="5"/>
  <c r="AH252" i="5"/>
  <c r="AH250" i="5"/>
  <c r="AH248" i="5"/>
  <c r="AH307" i="5"/>
  <c r="AH306" i="5"/>
  <c r="AH305" i="5"/>
  <c r="AH304" i="5"/>
  <c r="AH285" i="5"/>
  <c r="AH283" i="5"/>
  <c r="AH281" i="5"/>
  <c r="AH279" i="5"/>
  <c r="AH271" i="5"/>
  <c r="AH269" i="5"/>
  <c r="AH267" i="5"/>
  <c r="AH265" i="5"/>
  <c r="AH257" i="5"/>
  <c r="AH253" i="5"/>
  <c r="AH251" i="5"/>
  <c r="AH249" i="5"/>
  <c r="AH247" i="5"/>
  <c r="AH311" i="5"/>
  <c r="H14" i="6" a="1"/>
  <c r="H14" i="6" s="1"/>
  <c r="U94" i="4"/>
  <c r="T101" i="4" s="1"/>
  <c r="U54" i="4"/>
  <c r="T61" i="4" s="1"/>
  <c r="B15" i="9"/>
  <c r="B16" i="9" s="1"/>
  <c r="T57" i="4"/>
  <c r="T97" i="4"/>
  <c r="T22" i="4"/>
  <c r="T23" i="4"/>
  <c r="T24" i="4"/>
  <c r="T25" i="4"/>
  <c r="T26" i="4"/>
  <c r="U26" i="4" s="1"/>
  <c r="T17" i="4"/>
  <c r="V8" i="5" a="1"/>
  <c r="V8" i="5" s="1"/>
  <c r="O30" i="10"/>
  <c r="J12" i="9"/>
  <c r="AH14" i="5"/>
  <c r="W14" i="5" s="1"/>
  <c r="H14" i="12" s="1"/>
  <c r="BY13" i="6"/>
  <c r="A18" i="4"/>
  <c r="C17" i="4"/>
  <c r="Y12" i="8"/>
  <c r="AE13" i="12"/>
  <c r="Z13" i="6"/>
  <c r="AA13" i="6" s="1"/>
  <c r="AM13" i="6"/>
  <c r="BF13" i="6"/>
  <c r="K12" i="10"/>
  <c r="J11" i="10"/>
  <c r="C5" i="4"/>
  <c r="A6" i="4"/>
  <c r="N54" i="5" l="1"/>
  <c r="D54" i="6" s="1"/>
  <c r="H54" i="6" s="1" a="1"/>
  <c r="H54" i="6" s="1"/>
  <c r="T54" i="5" s="1"/>
  <c r="G54" i="12" s="1"/>
  <c r="B54" i="6"/>
  <c r="D54" i="5"/>
  <c r="B54" i="12" s="1"/>
  <c r="AE54" i="5"/>
  <c r="A54" i="12"/>
  <c r="J54" i="5"/>
  <c r="K54" i="5"/>
  <c r="C55" i="5"/>
  <c r="AD54" i="5"/>
  <c r="H54" i="5"/>
  <c r="F54" i="5"/>
  <c r="E54" i="5"/>
  <c r="G54" i="5"/>
  <c r="B54" i="5"/>
  <c r="BY52" i="6"/>
  <c r="BQ52" i="6"/>
  <c r="CD52" i="6"/>
  <c r="BK52" i="6"/>
  <c r="CJ52" i="6"/>
  <c r="BH52" i="6"/>
  <c r="BE52" i="6"/>
  <c r="BO52" i="6"/>
  <c r="BP52" i="6"/>
  <c r="BM52" i="6"/>
  <c r="CC52" i="6"/>
  <c r="BX52" i="6"/>
  <c r="CF52" i="6"/>
  <c r="CG52" i="6"/>
  <c r="BZ52" i="6"/>
  <c r="BW52" i="6"/>
  <c r="CK52" i="6"/>
  <c r="BR52" i="6"/>
  <c r="BJ52" i="6"/>
  <c r="AL52" i="6"/>
  <c r="BN52" i="6"/>
  <c r="CM52" i="6"/>
  <c r="AK52" i="6"/>
  <c r="CL52" i="6"/>
  <c r="CA52" i="6"/>
  <c r="BL52" i="6"/>
  <c r="BV52" i="6"/>
  <c r="BT52" i="6"/>
  <c r="BF52" i="6"/>
  <c r="AJ52" i="6"/>
  <c r="BC52" i="6"/>
  <c r="CI52" i="6"/>
  <c r="CE52" i="6"/>
  <c r="CB52" i="6"/>
  <c r="CH52" i="6"/>
  <c r="BD52" i="6"/>
  <c r="BS52" i="6"/>
  <c r="BG52" i="6"/>
  <c r="BF12" i="6"/>
  <c r="BY12" i="6"/>
  <c r="AB13" i="6"/>
  <c r="B17" i="9"/>
  <c r="C16" i="9"/>
  <c r="F16" i="9" s="1"/>
  <c r="T62" i="4"/>
  <c r="T63" i="4"/>
  <c r="T64" i="4"/>
  <c r="T66" i="4"/>
  <c r="U66" i="4" s="1"/>
  <c r="T65" i="4"/>
  <c r="T102" i="4"/>
  <c r="T104" i="4"/>
  <c r="T103" i="4"/>
  <c r="T106" i="4"/>
  <c r="U106" i="4" s="1"/>
  <c r="T105" i="4"/>
  <c r="U7" i="4"/>
  <c r="H29" i="10"/>
  <c r="O35" i="10" a="1"/>
  <c r="O35" i="10" s="1"/>
  <c r="Q30" i="10"/>
  <c r="Q35" i="10" s="1" a="1"/>
  <c r="Q35" i="10" s="1"/>
  <c r="K12" i="9"/>
  <c r="AN14" i="5"/>
  <c r="BZ13" i="6"/>
  <c r="AN13" i="6"/>
  <c r="AN12" i="6" s="1"/>
  <c r="AN17" i="6" s="1"/>
  <c r="AM12" i="6"/>
  <c r="AM17" i="6" s="1"/>
  <c r="A19" i="4"/>
  <c r="C19" i="4" s="1"/>
  <c r="C18" i="4"/>
  <c r="Z12" i="8"/>
  <c r="AF13" i="12"/>
  <c r="BG13" i="6"/>
  <c r="L12" i="10"/>
  <c r="A7" i="4"/>
  <c r="C7" i="4" s="1"/>
  <c r="C6" i="4"/>
  <c r="AE55" i="5" l="1"/>
  <c r="G55" i="5"/>
  <c r="F55" i="5"/>
  <c r="B55" i="6"/>
  <c r="N55" i="5"/>
  <c r="D55" i="6" s="1"/>
  <c r="H55" i="6" s="1" a="1"/>
  <c r="H55" i="6" s="1"/>
  <c r="T55" i="5" s="1"/>
  <c r="G55" i="12" s="1"/>
  <c r="A55" i="12"/>
  <c r="D55" i="5"/>
  <c r="B55" i="12" s="1"/>
  <c r="C56" i="5"/>
  <c r="H55" i="5"/>
  <c r="E55" i="5"/>
  <c r="B55" i="5"/>
  <c r="K55" i="5"/>
  <c r="AD55" i="5"/>
  <c r="J55" i="5"/>
  <c r="AM16" i="6"/>
  <c r="AM18" i="6"/>
  <c r="AM24" i="6"/>
  <c r="AM25" i="6"/>
  <c r="AM27" i="6"/>
  <c r="AM28" i="6"/>
  <c r="AM30" i="6"/>
  <c r="AM42" i="6"/>
  <c r="AM44" i="6"/>
  <c r="AM48" i="6"/>
  <c r="AM49" i="6"/>
  <c r="AM52" i="6"/>
  <c r="AN16" i="6"/>
  <c r="AN18" i="6"/>
  <c r="AN24" i="6"/>
  <c r="AN25" i="6"/>
  <c r="AN27" i="6"/>
  <c r="AN28" i="6"/>
  <c r="AN30" i="6"/>
  <c r="AN42" i="6"/>
  <c r="AN44" i="6"/>
  <c r="AN48" i="6"/>
  <c r="AN49" i="6"/>
  <c r="AN52" i="6"/>
  <c r="B18" i="9"/>
  <c r="C17" i="9"/>
  <c r="F17" i="9" s="1"/>
  <c r="AC13" i="6"/>
  <c r="X29" i="4"/>
  <c r="S30" i="10"/>
  <c r="S35" i="10" s="1" a="1"/>
  <c r="S35" i="10" s="1"/>
  <c r="L12" i="9"/>
  <c r="BZ12" i="6"/>
  <c r="BG12" i="6"/>
  <c r="AO13" i="6"/>
  <c r="AO12" i="6" s="1"/>
  <c r="AO17" i="6" s="1"/>
  <c r="CA13" i="6"/>
  <c r="AA12" i="8"/>
  <c r="AG13" i="12"/>
  <c r="BH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56" i="5" l="1"/>
  <c r="C57" i="5" s="1"/>
  <c r="W57" i="5" s="1"/>
  <c r="H57" i="12" s="1"/>
  <c r="N56" i="5"/>
  <c r="D56" i="6" s="1"/>
  <c r="H56" i="6" s="1" a="1"/>
  <c r="H56" i="6" s="1"/>
  <c r="T56" i="5" s="1"/>
  <c r="G56" i="12" s="1"/>
  <c r="K56" i="5"/>
  <c r="AE56" i="5"/>
  <c r="AD56" i="5"/>
  <c r="B56" i="6"/>
  <c r="G56" i="5"/>
  <c r="E56" i="5"/>
  <c r="J56" i="5"/>
  <c r="H56" i="5"/>
  <c r="D56" i="5"/>
  <c r="B56" i="12" s="1"/>
  <c r="A56" i="12"/>
  <c r="F56" i="5"/>
  <c r="AO16" i="6"/>
  <c r="AO18" i="6"/>
  <c r="AO24" i="6"/>
  <c r="AO25" i="6"/>
  <c r="AO27" i="6"/>
  <c r="AO28" i="6"/>
  <c r="AO30" i="6"/>
  <c r="AO42" i="6"/>
  <c r="AO44" i="6"/>
  <c r="AO48" i="6"/>
  <c r="AO49" i="6"/>
  <c r="AO52" i="6"/>
  <c r="AD13" i="6"/>
  <c r="B19" i="9"/>
  <c r="C18" i="9"/>
  <c r="F18" i="9" s="1"/>
  <c r="U29" i="4"/>
  <c r="U69" i="4"/>
  <c r="U65" i="4"/>
  <c r="U103" i="4"/>
  <c r="U61" i="4"/>
  <c r="U105" i="4"/>
  <c r="U64" i="4"/>
  <c r="U102" i="4"/>
  <c r="U62" i="4"/>
  <c r="U21" i="4"/>
  <c r="U23" i="4"/>
  <c r="U104" i="4"/>
  <c r="U101" i="4"/>
  <c r="U24" i="4"/>
  <c r="U25" i="4"/>
  <c r="U22" i="4"/>
  <c r="U63" i="4"/>
  <c r="U109" i="4"/>
  <c r="K112" i="4" s="1"/>
  <c r="U30" i="10"/>
  <c r="U35" i="10" s="1" a="1"/>
  <c r="U35" i="10" s="1"/>
  <c r="M12" i="9"/>
  <c r="CA12" i="6"/>
  <c r="BH12" i="6"/>
  <c r="AP13" i="6"/>
  <c r="AP12" i="6" s="1"/>
  <c r="AP17" i="6" s="1"/>
  <c r="CB13" i="6"/>
  <c r="AB12" i="8"/>
  <c r="AH13" i="12"/>
  <c r="BI13" i="6"/>
  <c r="M11" i="10"/>
  <c r="N12" i="10"/>
  <c r="I57" i="5" l="1"/>
  <c r="F57" i="5"/>
  <c r="H57" i="5"/>
  <c r="B57" i="5"/>
  <c r="G57" i="5"/>
  <c r="B57" i="6"/>
  <c r="N57" i="5"/>
  <c r="D57" i="6" s="1"/>
  <c r="M57" i="6" s="1"/>
  <c r="BG57" i="6" s="1"/>
  <c r="A57" i="12"/>
  <c r="AD57" i="5"/>
  <c r="E57" i="5"/>
  <c r="C58" i="5"/>
  <c r="AE57" i="5"/>
  <c r="AP16" i="6"/>
  <c r="AP18" i="6"/>
  <c r="AP24" i="6"/>
  <c r="AP25" i="6"/>
  <c r="AP27" i="6"/>
  <c r="AP28" i="6"/>
  <c r="AP30" i="6"/>
  <c r="AP42" i="6"/>
  <c r="AP44" i="6"/>
  <c r="AP48" i="6"/>
  <c r="AP49" i="6"/>
  <c r="AP52" i="6"/>
  <c r="B20" i="9"/>
  <c r="C19" i="9"/>
  <c r="F19" i="9" s="1"/>
  <c r="AE13" i="6"/>
  <c r="AB10" i="12"/>
  <c r="W30" i="10"/>
  <c r="W35" i="10" s="1" a="1"/>
  <c r="W35" i="10" s="1"/>
  <c r="N12" i="9"/>
  <c r="J72" i="4"/>
  <c r="U8" i="4"/>
  <c r="CB12" i="6"/>
  <c r="BI12" i="6"/>
  <c r="AQ13" i="6"/>
  <c r="AQ12" i="6" s="1"/>
  <c r="AQ17" i="6" s="1"/>
  <c r="CC13" i="6"/>
  <c r="AC12" i="8"/>
  <c r="AI13" i="12"/>
  <c r="K72" i="4"/>
  <c r="J112" i="4"/>
  <c r="BJ13" i="6"/>
  <c r="O12" i="10"/>
  <c r="N11" i="10"/>
  <c r="K32" i="4"/>
  <c r="J32" i="4"/>
  <c r="F58" i="5" l="1"/>
  <c r="H58" i="5"/>
  <c r="B58" i="6"/>
  <c r="AD58" i="5"/>
  <c r="G58" i="5"/>
  <c r="N58" i="5"/>
  <c r="D58" i="6" s="1"/>
  <c r="H58" i="6" s="1" a="1"/>
  <c r="H58" i="6" s="1"/>
  <c r="T58" i="5" s="1"/>
  <c r="G58" i="12" s="1"/>
  <c r="A58" i="12"/>
  <c r="J58" i="5"/>
  <c r="K58" i="5"/>
  <c r="B58" i="5"/>
  <c r="C59" i="5" s="1"/>
  <c r="W59" i="5" s="1"/>
  <c r="H59" i="12" s="1"/>
  <c r="AE58" i="5"/>
  <c r="D58" i="5"/>
  <c r="B58" i="12" s="1"/>
  <c r="N57" i="6"/>
  <c r="E58" i="5"/>
  <c r="G57" i="6"/>
  <c r="H57" i="6" a="1"/>
  <c r="H57" i="6" s="1"/>
  <c r="AO57" i="6" s="1"/>
  <c r="CB57" i="6"/>
  <c r="BJ57" i="6"/>
  <c r="CJ57" i="6"/>
  <c r="BK57" i="6"/>
  <c r="CF57" i="6"/>
  <c r="BE57" i="6"/>
  <c r="CC57" i="6"/>
  <c r="BP57" i="6"/>
  <c r="CI57" i="6"/>
  <c r="BN57" i="6"/>
  <c r="BF57" i="6"/>
  <c r="BR57" i="6"/>
  <c r="CL57" i="6"/>
  <c r="BV57" i="6"/>
  <c r="CD57" i="6"/>
  <c r="BT57" i="6"/>
  <c r="BO57" i="6"/>
  <c r="BI57" i="6"/>
  <c r="BH57" i="6"/>
  <c r="BM57" i="6"/>
  <c r="CH57" i="6"/>
  <c r="BS57" i="6"/>
  <c r="CK57" i="6"/>
  <c r="CG57" i="6"/>
  <c r="BD57" i="6"/>
  <c r="BQ57" i="6"/>
  <c r="BZ57" i="6"/>
  <c r="BL57" i="6"/>
  <c r="CA57" i="6"/>
  <c r="CE57" i="6"/>
  <c r="CM57" i="6"/>
  <c r="BY57" i="6"/>
  <c r="BX57" i="6"/>
  <c r="BC57" i="6"/>
  <c r="BW57" i="6"/>
  <c r="B21" i="9"/>
  <c r="C20" i="9"/>
  <c r="F20" i="9" s="1"/>
  <c r="AQ16" i="6"/>
  <c r="AQ18" i="6"/>
  <c r="AQ24" i="6"/>
  <c r="AQ25" i="6"/>
  <c r="AQ27" i="6"/>
  <c r="AQ28" i="6"/>
  <c r="AQ30" i="6"/>
  <c r="AQ42" i="6"/>
  <c r="AQ44" i="6"/>
  <c r="AQ48" i="6"/>
  <c r="AQ49" i="6"/>
  <c r="AQ52" i="6"/>
  <c r="AF13" i="6"/>
  <c r="O12" i="9"/>
  <c r="Y30" i="10"/>
  <c r="Y35" i="10" s="1" a="1"/>
  <c r="Y35" i="10" s="1"/>
  <c r="T11" i="11"/>
  <c r="CC12" i="6"/>
  <c r="BJ12" i="6"/>
  <c r="AR13" i="6"/>
  <c r="AR12" i="6" s="1"/>
  <c r="AR17" i="6" s="1"/>
  <c r="CD13" i="6"/>
  <c r="AD12" i="8"/>
  <c r="AJ13" i="12"/>
  <c r="BK13" i="6"/>
  <c r="P12" i="10"/>
  <c r="O11" i="10"/>
  <c r="AQ57" i="6" l="1"/>
  <c r="F59" i="5"/>
  <c r="H59" i="5"/>
  <c r="B59" i="5"/>
  <c r="C60" i="5" s="1"/>
  <c r="AD60" i="5" s="1"/>
  <c r="AD59" i="5"/>
  <c r="A59" i="12"/>
  <c r="N59" i="5"/>
  <c r="D59" i="6" s="1"/>
  <c r="H59" i="6" s="1" a="1"/>
  <c r="H59" i="6" s="1"/>
  <c r="AE59" i="5"/>
  <c r="AL57" i="6"/>
  <c r="B59" i="6"/>
  <c r="T57" i="5"/>
  <c r="G57" i="12" s="1"/>
  <c r="E59" i="5"/>
  <c r="E60" i="5" s="1"/>
  <c r="AJ57" i="6"/>
  <c r="AK57" i="6"/>
  <c r="G59" i="5"/>
  <c r="J57" i="5" s="1"/>
  <c r="AM57" i="6"/>
  <c r="I59" i="5"/>
  <c r="AN57" i="6"/>
  <c r="AP57" i="6"/>
  <c r="AG13" i="6"/>
  <c r="AR16" i="6"/>
  <c r="AR18" i="6"/>
  <c r="AR24" i="6"/>
  <c r="AR25" i="6"/>
  <c r="AR27" i="6"/>
  <c r="AR28" i="6"/>
  <c r="AR30" i="6"/>
  <c r="AR42" i="6"/>
  <c r="AR44" i="6"/>
  <c r="AR48" i="6"/>
  <c r="AR49" i="6"/>
  <c r="AR52" i="6"/>
  <c r="AR57" i="6"/>
  <c r="B22" i="9"/>
  <c r="C21" i="9"/>
  <c r="F21" i="9" s="1"/>
  <c r="P12" i="9"/>
  <c r="AA30" i="10"/>
  <c r="AA35" i="10" s="1" a="1"/>
  <c r="AA35" i="10" s="1"/>
  <c r="CD12" i="6"/>
  <c r="BK12" i="6"/>
  <c r="AS13" i="6"/>
  <c r="AT13" i="6" s="1"/>
  <c r="CE13" i="6"/>
  <c r="AE12" i="8"/>
  <c r="AK13" i="12"/>
  <c r="BL13" i="6"/>
  <c r="Q12" i="10"/>
  <c r="P11" i="10"/>
  <c r="B60" i="5" l="1"/>
  <c r="C61" i="5" s="1"/>
  <c r="H60" i="5"/>
  <c r="W60" i="5"/>
  <c r="H60" i="12" s="1"/>
  <c r="F60" i="5"/>
  <c r="I60" i="5"/>
  <c r="N59" i="6"/>
  <c r="M59" i="6"/>
  <c r="BO59" i="6" s="1"/>
  <c r="B60" i="6"/>
  <c r="G59" i="6"/>
  <c r="A60" i="12"/>
  <c r="AE60" i="5"/>
  <c r="G60" i="5"/>
  <c r="G61" i="5" s="1"/>
  <c r="N60" i="5"/>
  <c r="D60" i="6" s="1"/>
  <c r="M60" i="6" s="1"/>
  <c r="BC59" i="6"/>
  <c r="BE59" i="6"/>
  <c r="BM13" i="6"/>
  <c r="BN13" i="6" s="1"/>
  <c r="CF13" i="6"/>
  <c r="CG13" i="6" s="1"/>
  <c r="T59" i="5"/>
  <c r="G59" i="12" s="1"/>
  <c r="AD61" i="5"/>
  <c r="H61" i="5"/>
  <c r="F61" i="5"/>
  <c r="AE61" i="5"/>
  <c r="E61" i="5"/>
  <c r="C62" i="5"/>
  <c r="W61" i="5"/>
  <c r="H61" i="12" s="1"/>
  <c r="I61" i="5"/>
  <c r="B61" i="6"/>
  <c r="A61" i="12"/>
  <c r="N61" i="5"/>
  <c r="D61" i="6" s="1"/>
  <c r="B61" i="5"/>
  <c r="B23" i="9"/>
  <c r="C22" i="9"/>
  <c r="F22" i="9" s="1"/>
  <c r="AH13" i="6"/>
  <c r="AT12" i="6"/>
  <c r="AT17" i="6" s="1"/>
  <c r="AU13" i="6"/>
  <c r="AS12" i="6"/>
  <c r="AS17" i="6" s="1"/>
  <c r="Q12" i="9"/>
  <c r="AC30" i="10"/>
  <c r="AC35" i="10" s="1" a="1"/>
  <c r="AC35" i="10" s="1"/>
  <c r="CE12" i="6"/>
  <c r="BL12" i="6"/>
  <c r="AF12" i="8"/>
  <c r="AL13" i="12"/>
  <c r="Q11" i="10"/>
  <c r="R12" i="10"/>
  <c r="AJ59" i="6" l="1"/>
  <c r="AK59" i="6"/>
  <c r="BL59" i="6"/>
  <c r="CF59" i="6"/>
  <c r="CL59" i="6"/>
  <c r="AL59" i="6"/>
  <c r="AO59" i="6"/>
  <c r="AQ59" i="6"/>
  <c r="AR59" i="6"/>
  <c r="AP59" i="6"/>
  <c r="BG59" i="6"/>
  <c r="BP59" i="6"/>
  <c r="BJ59" i="6"/>
  <c r="AN59" i="6"/>
  <c r="BT59" i="6"/>
  <c r="CB59" i="6"/>
  <c r="CM59" i="6"/>
  <c r="BK59" i="6"/>
  <c r="CA59" i="6"/>
  <c r="BD59" i="6"/>
  <c r="CK59" i="6"/>
  <c r="BW59" i="6"/>
  <c r="BS59" i="6"/>
  <c r="CD59" i="6"/>
  <c r="CI59" i="6"/>
  <c r="CH59" i="6"/>
  <c r="BH59" i="6"/>
  <c r="BN59" i="6"/>
  <c r="CE59" i="6"/>
  <c r="BF59" i="6"/>
  <c r="CJ59" i="6"/>
  <c r="BM59" i="6"/>
  <c r="BR59" i="6"/>
  <c r="BZ59" i="6"/>
  <c r="BV59" i="6"/>
  <c r="BI59" i="6"/>
  <c r="CC59" i="6"/>
  <c r="BQ59" i="6"/>
  <c r="N60" i="6"/>
  <c r="H60" i="6" a="1"/>
  <c r="H60" i="6" s="1"/>
  <c r="AK60" i="6" s="1"/>
  <c r="G60" i="6"/>
  <c r="BY59" i="6"/>
  <c r="AM59" i="6"/>
  <c r="BX59" i="6"/>
  <c r="CG59" i="6"/>
  <c r="CF12" i="6"/>
  <c r="BM12" i="6"/>
  <c r="BP60" i="6"/>
  <c r="BZ60" i="6"/>
  <c r="CE60" i="6"/>
  <c r="BJ60" i="6"/>
  <c r="BO60" i="6"/>
  <c r="CF60" i="6"/>
  <c r="BS60" i="6"/>
  <c r="CD60" i="6"/>
  <c r="BI60" i="6"/>
  <c r="BV60" i="6"/>
  <c r="CB60" i="6"/>
  <c r="BT60" i="6"/>
  <c r="BF60" i="6"/>
  <c r="BQ60" i="6"/>
  <c r="CG60" i="6"/>
  <c r="CJ60" i="6"/>
  <c r="BH60" i="6"/>
  <c r="CM60" i="6"/>
  <c r="BL60" i="6"/>
  <c r="BC60" i="6"/>
  <c r="BK60" i="6"/>
  <c r="BR60" i="6"/>
  <c r="CA60" i="6"/>
  <c r="BX60" i="6"/>
  <c r="BE60" i="6"/>
  <c r="BN60" i="6"/>
  <c r="CK60" i="6"/>
  <c r="CH60" i="6"/>
  <c r="BW60" i="6"/>
  <c r="BG60" i="6"/>
  <c r="BM60" i="6"/>
  <c r="CL60" i="6"/>
  <c r="BY60" i="6"/>
  <c r="CI60" i="6"/>
  <c r="CC60" i="6"/>
  <c r="BD60" i="6"/>
  <c r="M61" i="6"/>
  <c r="CH61" i="6" s="1"/>
  <c r="H61" i="6" a="1"/>
  <c r="H61" i="6" s="1"/>
  <c r="G61" i="6"/>
  <c r="N61" i="6"/>
  <c r="J62" i="5"/>
  <c r="A62" i="12"/>
  <c r="C63" i="5"/>
  <c r="G62" i="5"/>
  <c r="B62" i="6"/>
  <c r="F62" i="5"/>
  <c r="H62" i="5"/>
  <c r="E62" i="5"/>
  <c r="AD62" i="5"/>
  <c r="D62" i="5"/>
  <c r="B62" i="12" s="1"/>
  <c r="B62" i="5"/>
  <c r="AE62" i="5"/>
  <c r="N62" i="5"/>
  <c r="D62" i="6" s="1"/>
  <c r="H62" i="6" s="1" a="1"/>
  <c r="H62" i="6" s="1"/>
  <c r="T62" i="5" s="1"/>
  <c r="G62" i="12" s="1"/>
  <c r="K62" i="5"/>
  <c r="AS16" i="6"/>
  <c r="AS18" i="6"/>
  <c r="AS24" i="6"/>
  <c r="AS25" i="6"/>
  <c r="AS27" i="6"/>
  <c r="AS28" i="6"/>
  <c r="AS30" i="6"/>
  <c r="AS42" i="6"/>
  <c r="AS44" i="6"/>
  <c r="AS48" i="6"/>
  <c r="AS49" i="6"/>
  <c r="AS52" i="6"/>
  <c r="AS57" i="6"/>
  <c r="AS59" i="6"/>
  <c r="AV13" i="6"/>
  <c r="AU12" i="6"/>
  <c r="AU17" i="6" s="1"/>
  <c r="AT16" i="6"/>
  <c r="AT18" i="6"/>
  <c r="AT24" i="6"/>
  <c r="AT25" i="6"/>
  <c r="AT27" i="6"/>
  <c r="AT28" i="6"/>
  <c r="AT30" i="6"/>
  <c r="AT42" i="6"/>
  <c r="AT44" i="6"/>
  <c r="AT48" i="6"/>
  <c r="AT49" i="6"/>
  <c r="AT52" i="6"/>
  <c r="AT57" i="6"/>
  <c r="AT59" i="6"/>
  <c r="BO13" i="6"/>
  <c r="BN12" i="6"/>
  <c r="CG12" i="6"/>
  <c r="CH13" i="6"/>
  <c r="B24" i="9"/>
  <c r="C23" i="9"/>
  <c r="F23" i="9" s="1"/>
  <c r="R12" i="9"/>
  <c r="AE30" i="10"/>
  <c r="AE35" i="10" s="1" a="1"/>
  <c r="AE35" i="10" s="1"/>
  <c r="AM13" i="12"/>
  <c r="R11" i="10"/>
  <c r="S12" i="10"/>
  <c r="AT60" i="6" l="1"/>
  <c r="AS60" i="6"/>
  <c r="AM60" i="6"/>
  <c r="AJ60" i="6"/>
  <c r="AQ60" i="6"/>
  <c r="AP60" i="6"/>
  <c r="AO60" i="6"/>
  <c r="AN60" i="6"/>
  <c r="AL60" i="6"/>
  <c r="AR60" i="6"/>
  <c r="T60" i="5"/>
  <c r="G60" i="12" s="1"/>
  <c r="AN61" i="6"/>
  <c r="BR61" i="6"/>
  <c r="AO61" i="6"/>
  <c r="BD61" i="6"/>
  <c r="AT61" i="6"/>
  <c r="AS61" i="6"/>
  <c r="CA61" i="6"/>
  <c r="CI61" i="6"/>
  <c r="BT61" i="6"/>
  <c r="BP61" i="6"/>
  <c r="AM61" i="6"/>
  <c r="CL61" i="6"/>
  <c r="CD61" i="6"/>
  <c r="AR61" i="6"/>
  <c r="AL61" i="6"/>
  <c r="A63" i="12"/>
  <c r="D63" i="5"/>
  <c r="B63" i="12" s="1"/>
  <c r="B63" i="6"/>
  <c r="AE63" i="5"/>
  <c r="B63" i="5"/>
  <c r="G63" i="5"/>
  <c r="E63" i="5"/>
  <c r="AD63" i="5"/>
  <c r="K63" i="5"/>
  <c r="J63" i="5"/>
  <c r="H63" i="5"/>
  <c r="N63" i="5"/>
  <c r="D63" i="6" s="1"/>
  <c r="H63" i="6" s="1" a="1"/>
  <c r="H63" i="6" s="1"/>
  <c r="T63" i="5" s="1"/>
  <c r="G63" i="12" s="1"/>
  <c r="F63" i="5"/>
  <c r="C64" i="5"/>
  <c r="L21" i="12" a="1"/>
  <c r="L21" i="12" s="1"/>
  <c r="J21" i="12" a="1"/>
  <c r="J21" i="12" s="1"/>
  <c r="J20" i="12" a="1"/>
  <c r="J20" i="12" s="1"/>
  <c r="L22" i="12" a="1"/>
  <c r="L22" i="12" s="1"/>
  <c r="J22" i="12" a="1"/>
  <c r="J22" i="12" s="1"/>
  <c r="L20" i="12" a="1"/>
  <c r="L20" i="12" s="1"/>
  <c r="L23" i="12" a="1"/>
  <c r="L23" i="12" s="1"/>
  <c r="J23" i="12" a="1"/>
  <c r="J23" i="12" s="1"/>
  <c r="T61" i="5"/>
  <c r="G61" i="12" s="1"/>
  <c r="AJ61" i="6"/>
  <c r="AK61" i="6"/>
  <c r="AP61" i="6"/>
  <c r="CM61" i="6"/>
  <c r="BW61" i="6"/>
  <c r="BK61" i="6"/>
  <c r="BM61" i="6"/>
  <c r="BL61" i="6"/>
  <c r="BS61" i="6"/>
  <c r="BC61" i="6"/>
  <c r="CG61" i="6"/>
  <c r="BG61" i="6"/>
  <c r="BV61" i="6"/>
  <c r="BJ61" i="6"/>
  <c r="BF61" i="6"/>
  <c r="CF61" i="6"/>
  <c r="CB61" i="6"/>
  <c r="CC61" i="6"/>
  <c r="BQ61" i="6"/>
  <c r="BI61" i="6"/>
  <c r="CE61" i="6"/>
  <c r="CJ61" i="6"/>
  <c r="BZ61" i="6"/>
  <c r="BE61" i="6"/>
  <c r="BO61" i="6"/>
  <c r="CK61" i="6"/>
  <c r="AQ61" i="6"/>
  <c r="BN61" i="6"/>
  <c r="BH61" i="6"/>
  <c r="BX61" i="6"/>
  <c r="BY61" i="6"/>
  <c r="AU16" i="6"/>
  <c r="AU18" i="6"/>
  <c r="AU24" i="6"/>
  <c r="AU25" i="6"/>
  <c r="AU27" i="6"/>
  <c r="AU28" i="6"/>
  <c r="AU30" i="6"/>
  <c r="AU42" i="6"/>
  <c r="AU44" i="6"/>
  <c r="AU48" i="6"/>
  <c r="AU49" i="6"/>
  <c r="AU52" i="6"/>
  <c r="AU57" i="6"/>
  <c r="AU59" i="6"/>
  <c r="AU60" i="6"/>
  <c r="AU61" i="6"/>
  <c r="AW13" i="6"/>
  <c r="AV12" i="6"/>
  <c r="AV17" i="6" s="1"/>
  <c r="BP13" i="6"/>
  <c r="BO12" i="6"/>
  <c r="C24" i="9"/>
  <c r="F24" i="9" s="1"/>
  <c r="J26" i="12" a="1"/>
  <c r="J26" i="12" s="1"/>
  <c r="J31" i="12" a="1"/>
  <c r="J31" i="12" s="1"/>
  <c r="L39" i="12" a="1"/>
  <c r="L39" i="12" s="1"/>
  <c r="J19" i="12" a="1"/>
  <c r="J19" i="12" s="1"/>
  <c r="L26" i="12" a="1"/>
  <c r="L26" i="12" s="1"/>
  <c r="L31" i="12" a="1"/>
  <c r="L31" i="12" s="1"/>
  <c r="J29" i="12" a="1"/>
  <c r="J29" i="12" s="1"/>
  <c r="J36" i="12" a="1"/>
  <c r="J36" i="12" s="1"/>
  <c r="J47" i="12" a="1"/>
  <c r="J47" i="12" s="1"/>
  <c r="L47" i="12" a="1"/>
  <c r="L47" i="12" s="1"/>
  <c r="J39" i="12" a="1"/>
  <c r="J39" i="12" s="1"/>
  <c r="L50" i="12" a="1"/>
  <c r="L50" i="12" s="1"/>
  <c r="J46" i="12" a="1"/>
  <c r="J46" i="12" s="1"/>
  <c r="J53" i="12" a="1"/>
  <c r="J53" i="12" s="1"/>
  <c r="J51" i="12" a="1"/>
  <c r="J51" i="12" s="1"/>
  <c r="L29" i="12" a="1"/>
  <c r="L29" i="12" s="1"/>
  <c r="L40" i="12" a="1"/>
  <c r="L40" i="12" s="1"/>
  <c r="J50" i="12" a="1"/>
  <c r="J50" i="12" s="1"/>
  <c r="J40" i="12" a="1"/>
  <c r="J40" i="12" s="1"/>
  <c r="J38" i="12" a="1"/>
  <c r="J38" i="12" s="1"/>
  <c r="L38" i="12" a="1"/>
  <c r="L38" i="12" s="1"/>
  <c r="J43" i="12" a="1"/>
  <c r="J43" i="12" s="1"/>
  <c r="J41" i="12" a="1"/>
  <c r="J41" i="12" s="1"/>
  <c r="L34" i="12" a="1"/>
  <c r="L34" i="12" s="1"/>
  <c r="J33" i="12" a="1"/>
  <c r="J33" i="12" s="1"/>
  <c r="J32" i="12" a="1"/>
  <c r="J32" i="12" s="1"/>
  <c r="J34" i="12" a="1"/>
  <c r="J34" i="12" s="1"/>
  <c r="L46" i="12" a="1"/>
  <c r="L46" i="12" s="1"/>
  <c r="J37" i="12" a="1"/>
  <c r="J37" i="12" s="1"/>
  <c r="J54" i="12" a="1"/>
  <c r="J54" i="12" s="1"/>
  <c r="L33" i="12" a="1"/>
  <c r="L33" i="12" s="1"/>
  <c r="J35" i="12" a="1"/>
  <c r="J35" i="12" s="1"/>
  <c r="L19" i="12" a="1"/>
  <c r="L19" i="12" s="1"/>
  <c r="J45" i="12" a="1"/>
  <c r="J45" i="12" s="1"/>
  <c r="L53" i="12" a="1"/>
  <c r="L53" i="12" s="1"/>
  <c r="L43" i="12" a="1"/>
  <c r="L43" i="12" s="1"/>
  <c r="L54" i="12" a="1"/>
  <c r="L54" i="12" s="1"/>
  <c r="L55" i="12" a="1"/>
  <c r="L55" i="12" s="1"/>
  <c r="L41" i="12" a="1"/>
  <c r="L41" i="12" s="1"/>
  <c r="J55" i="12" a="1"/>
  <c r="J55" i="12" s="1"/>
  <c r="L51" i="12" a="1"/>
  <c r="L51" i="12" s="1"/>
  <c r="L45" i="12" a="1"/>
  <c r="L45" i="12" s="1"/>
  <c r="L32" i="12" a="1"/>
  <c r="L32" i="12" s="1"/>
  <c r="L35" i="12" a="1"/>
  <c r="L35" i="12" s="1"/>
  <c r="L36" i="12" a="1"/>
  <c r="L36" i="12" s="1"/>
  <c r="L37" i="12" a="1"/>
  <c r="L37" i="12" s="1"/>
  <c r="J56" i="12" a="1"/>
  <c r="J56" i="12" s="1"/>
  <c r="L56" i="12" a="1"/>
  <c r="L56" i="12" s="1"/>
  <c r="L58" i="12" a="1"/>
  <c r="L58" i="12" s="1"/>
  <c r="J58" i="12" a="1"/>
  <c r="J58" i="12" s="1"/>
  <c r="L62" i="12" a="1"/>
  <c r="L62" i="12" s="1"/>
  <c r="J62" i="12" a="1"/>
  <c r="J62" i="12" s="1"/>
  <c r="CH12" i="6"/>
  <c r="CI13" i="6"/>
  <c r="J14" i="12" a="1"/>
  <c r="J14" i="12" s="1"/>
  <c r="L14" i="12" a="1"/>
  <c r="L14" i="12" s="1"/>
  <c r="S12" i="9"/>
  <c r="AO7" i="12"/>
  <c r="T12" i="10"/>
  <c r="S11" i="10"/>
  <c r="L63" i="12" l="1" a="1"/>
  <c r="L63" i="12" s="1"/>
  <c r="J63" i="12" a="1"/>
  <c r="J63" i="12" s="1"/>
  <c r="B25" i="9"/>
  <c r="C25" i="9" s="1"/>
  <c r="F25" i="9" s="1"/>
  <c r="K20" i="12"/>
  <c r="K22" i="12"/>
  <c r="K23" i="12"/>
  <c r="K21" i="12"/>
  <c r="H64" i="5"/>
  <c r="F64" i="5"/>
  <c r="E64" i="5"/>
  <c r="D64" i="5"/>
  <c r="B64" i="12" s="1"/>
  <c r="B64" i="5"/>
  <c r="AD64" i="5"/>
  <c r="K64" i="5"/>
  <c r="J64" i="5"/>
  <c r="N64" i="5"/>
  <c r="D64" i="6" s="1"/>
  <c r="H64" i="6" s="1" a="1"/>
  <c r="H64" i="6" s="1"/>
  <c r="T64" i="5" s="1"/>
  <c r="G64" i="12" s="1"/>
  <c r="C65" i="5"/>
  <c r="AE64" i="5"/>
  <c r="B64" i="6"/>
  <c r="A64" i="12"/>
  <c r="G64" i="5"/>
  <c r="K62" i="12"/>
  <c r="K56" i="12"/>
  <c r="K43" i="12"/>
  <c r="K53" i="12"/>
  <c r="K19" i="12"/>
  <c r="K38" i="12"/>
  <c r="K32" i="12"/>
  <c r="K58" i="12"/>
  <c r="K35" i="12"/>
  <c r="K31" i="12"/>
  <c r="K51" i="12"/>
  <c r="K40" i="12"/>
  <c r="K26" i="12"/>
  <c r="K36" i="12"/>
  <c r="K33" i="12"/>
  <c r="K45" i="12"/>
  <c r="K46" i="12"/>
  <c r="K29" i="12"/>
  <c r="K41" i="12"/>
  <c r="K39" i="12"/>
  <c r="BP12" i="6"/>
  <c r="BQ13" i="6"/>
  <c r="AV16" i="6"/>
  <c r="AV18" i="6"/>
  <c r="AV24" i="6"/>
  <c r="AV25" i="6"/>
  <c r="AV27" i="6"/>
  <c r="AV28" i="6"/>
  <c r="AV30" i="6"/>
  <c r="AV42" i="6"/>
  <c r="AV44" i="6"/>
  <c r="AV48" i="6"/>
  <c r="AV49" i="6"/>
  <c r="AV52" i="6"/>
  <c r="AV57" i="6"/>
  <c r="AV59" i="6"/>
  <c r="AV60" i="6"/>
  <c r="AV61" i="6"/>
  <c r="AX13" i="6"/>
  <c r="AW12" i="6"/>
  <c r="AW17" i="6" s="1"/>
  <c r="K55" i="12"/>
  <c r="K54" i="12"/>
  <c r="K34" i="12"/>
  <c r="K50" i="12"/>
  <c r="CJ13" i="6"/>
  <c r="CI12" i="6"/>
  <c r="K37" i="12"/>
  <c r="K47" i="12"/>
  <c r="T12" i="9"/>
  <c r="K14" i="12"/>
  <c r="U12" i="10"/>
  <c r="T11" i="10"/>
  <c r="K63" i="12" l="1"/>
  <c r="F65" i="5"/>
  <c r="G65" i="5"/>
  <c r="E65" i="5"/>
  <c r="D65" i="5"/>
  <c r="B65" i="12" s="1"/>
  <c r="K65" i="5"/>
  <c r="AE65" i="5"/>
  <c r="C66" i="5"/>
  <c r="B65" i="5"/>
  <c r="N65" i="5"/>
  <c r="D65" i="6" s="1"/>
  <c r="H65" i="6" s="1" a="1"/>
  <c r="H65" i="6" s="1"/>
  <c r="T65" i="5" s="1"/>
  <c r="G65" i="12" s="1"/>
  <c r="A65" i="12"/>
  <c r="B65" i="6"/>
  <c r="AD65" i="5"/>
  <c r="J65" i="5"/>
  <c r="H65" i="5"/>
  <c r="L64" i="12" a="1"/>
  <c r="L64" i="12" s="1"/>
  <c r="J64" i="12" a="1"/>
  <c r="J64" i="12" s="1"/>
  <c r="AW16" i="6"/>
  <c r="AW18" i="6"/>
  <c r="AW24" i="6"/>
  <c r="AW25" i="6"/>
  <c r="AW27" i="6"/>
  <c r="AW28" i="6"/>
  <c r="AW30" i="6"/>
  <c r="AW42" i="6"/>
  <c r="AW44" i="6"/>
  <c r="AW48" i="6"/>
  <c r="AW49" i="6"/>
  <c r="AW52" i="6"/>
  <c r="AW57" i="6"/>
  <c r="AW59" i="6"/>
  <c r="AW60" i="6"/>
  <c r="AW61" i="6"/>
  <c r="AY13" i="6"/>
  <c r="AX12" i="6"/>
  <c r="AX17" i="6" s="1"/>
  <c r="BQ12" i="6"/>
  <c r="BR13" i="6"/>
  <c r="CK13" i="6"/>
  <c r="CJ12" i="6"/>
  <c r="U12" i="9"/>
  <c r="V12" i="10"/>
  <c r="U11" i="10"/>
  <c r="K64" i="12" l="1"/>
  <c r="L65" i="12" a="1"/>
  <c r="L65" i="12" s="1"/>
  <c r="J65" i="12" a="1"/>
  <c r="J65" i="12" s="1"/>
  <c r="A66" i="12"/>
  <c r="C67" i="5"/>
  <c r="B66" i="6"/>
  <c r="G66" i="5"/>
  <c r="H66" i="5"/>
  <c r="F66" i="5"/>
  <c r="E66" i="5"/>
  <c r="D66" i="5"/>
  <c r="B66" i="12" s="1"/>
  <c r="B66" i="5"/>
  <c r="AD66" i="5"/>
  <c r="AE66" i="5"/>
  <c r="N66" i="5"/>
  <c r="D66" i="6" s="1"/>
  <c r="H66" i="6" s="1" a="1"/>
  <c r="H66" i="6" s="1"/>
  <c r="T66" i="5" s="1"/>
  <c r="G66" i="12" s="1"/>
  <c r="K66" i="5"/>
  <c r="J66" i="5"/>
  <c r="AY12" i="6"/>
  <c r="AY17" i="6" s="1"/>
  <c r="AZ13" i="6"/>
  <c r="AX16" i="6"/>
  <c r="AX18" i="6"/>
  <c r="AX24" i="6"/>
  <c r="AX25" i="6"/>
  <c r="AX27" i="6"/>
  <c r="AX28" i="6"/>
  <c r="AX30" i="6"/>
  <c r="AX42" i="6"/>
  <c r="AX44" i="6"/>
  <c r="AX48" i="6"/>
  <c r="AX49" i="6"/>
  <c r="AX52" i="6"/>
  <c r="AX57" i="6"/>
  <c r="AX59" i="6"/>
  <c r="AX60" i="6"/>
  <c r="AX61" i="6"/>
  <c r="BR12" i="6"/>
  <c r="BS13" i="6"/>
  <c r="CL13" i="6"/>
  <c r="CK12" i="6"/>
  <c r="V12" i="9"/>
  <c r="W12" i="10"/>
  <c r="V11" i="10"/>
  <c r="K65" i="12" l="1"/>
  <c r="B67" i="5"/>
  <c r="K67" i="5"/>
  <c r="AD67" i="5"/>
  <c r="J67" i="5"/>
  <c r="N67" i="5"/>
  <c r="D67" i="6" s="1"/>
  <c r="H67" i="6" s="1" a="1"/>
  <c r="H67" i="6" s="1"/>
  <c r="T67" i="5" s="1"/>
  <c r="G67" i="12" s="1"/>
  <c r="A67" i="12"/>
  <c r="H67" i="5"/>
  <c r="F67" i="5"/>
  <c r="E67" i="5"/>
  <c r="C68" i="5"/>
  <c r="G67" i="5"/>
  <c r="D67" i="5"/>
  <c r="B67" i="12" s="1"/>
  <c r="B67" i="6"/>
  <c r="AE67" i="5"/>
  <c r="L66" i="12" a="1"/>
  <c r="L66" i="12" s="1"/>
  <c r="J66" i="12" a="1"/>
  <c r="J66" i="12" s="1"/>
  <c r="AZ12" i="6"/>
  <c r="AZ17" i="6" s="1"/>
  <c r="BA13" i="6"/>
  <c r="BA12" i="6" s="1"/>
  <c r="BA17" i="6" s="1"/>
  <c r="AY16" i="6"/>
  <c r="AY18" i="6"/>
  <c r="AY24" i="6"/>
  <c r="AY25" i="6"/>
  <c r="AY27" i="6"/>
  <c r="AY28" i="6"/>
  <c r="AY30" i="6"/>
  <c r="AY42" i="6"/>
  <c r="AY44" i="6"/>
  <c r="AY48" i="6"/>
  <c r="AY49" i="6"/>
  <c r="AY52" i="6"/>
  <c r="AY57" i="6"/>
  <c r="AY59" i="6"/>
  <c r="AY60" i="6"/>
  <c r="AY61" i="6"/>
  <c r="BS12" i="6"/>
  <c r="BT13" i="6"/>
  <c r="CL12" i="6"/>
  <c r="CM13" i="6"/>
  <c r="W12" i="9"/>
  <c r="W11" i="10"/>
  <c r="X12" i="10"/>
  <c r="CM12" i="6" l="1"/>
  <c r="BT12" i="6"/>
  <c r="B68" i="5"/>
  <c r="J68" i="5"/>
  <c r="AD68" i="5"/>
  <c r="N68" i="5"/>
  <c r="D68" i="6" s="1"/>
  <c r="H68" i="6" s="1" a="1"/>
  <c r="H68" i="6" s="1"/>
  <c r="T68" i="5" s="1"/>
  <c r="G68" i="12" s="1"/>
  <c r="K68" i="5"/>
  <c r="H68" i="5"/>
  <c r="G68" i="5"/>
  <c r="A68" i="12"/>
  <c r="C69" i="5"/>
  <c r="B68" i="6"/>
  <c r="AE68" i="5"/>
  <c r="F68" i="5"/>
  <c r="E68" i="5"/>
  <c r="D68" i="5"/>
  <c r="B68" i="12" s="1"/>
  <c r="K66" i="12"/>
  <c r="L67" i="12" a="1"/>
  <c r="L67" i="12" s="1"/>
  <c r="J67" i="12" a="1"/>
  <c r="J67" i="12" s="1"/>
  <c r="BA16" i="6"/>
  <c r="BA18" i="6"/>
  <c r="BA24" i="6"/>
  <c r="BA25" i="6"/>
  <c r="BA27" i="6"/>
  <c r="BA28" i="6"/>
  <c r="BA30" i="6"/>
  <c r="BA42" i="6"/>
  <c r="BA44" i="6"/>
  <c r="BA48" i="6"/>
  <c r="BA49" i="6"/>
  <c r="BA52" i="6"/>
  <c r="BA57" i="6"/>
  <c r="BA59" i="6"/>
  <c r="BA60" i="6"/>
  <c r="BA61" i="6"/>
  <c r="AZ16" i="6"/>
  <c r="AZ18" i="6"/>
  <c r="AZ24" i="6"/>
  <c r="AZ25" i="6"/>
  <c r="AZ27" i="6"/>
  <c r="AZ28" i="6"/>
  <c r="AZ30" i="6"/>
  <c r="AZ42" i="6"/>
  <c r="AZ44" i="6"/>
  <c r="AZ48" i="6"/>
  <c r="AZ49" i="6"/>
  <c r="AZ52" i="6"/>
  <c r="AZ57" i="6"/>
  <c r="AZ59" i="6"/>
  <c r="AZ60" i="6"/>
  <c r="AZ61" i="6"/>
  <c r="X12" i="9"/>
  <c r="Y12" i="10"/>
  <c r="X11" i="10"/>
  <c r="K67" i="12" l="1"/>
  <c r="H69" i="5"/>
  <c r="D69" i="5"/>
  <c r="B69" i="12" s="1"/>
  <c r="G69" i="5"/>
  <c r="AD69" i="5"/>
  <c r="N69" i="5"/>
  <c r="D69" i="6" s="1"/>
  <c r="H69" i="6" s="1" a="1"/>
  <c r="H69" i="6" s="1"/>
  <c r="T69" i="5" s="1"/>
  <c r="G69" i="12" s="1"/>
  <c r="E69" i="5"/>
  <c r="C70" i="5"/>
  <c r="K69" i="5"/>
  <c r="A69" i="12"/>
  <c r="AE69" i="5"/>
  <c r="B69" i="6"/>
  <c r="J69" i="5"/>
  <c r="B69" i="5"/>
  <c r="F69" i="5"/>
  <c r="L68" i="12" a="1"/>
  <c r="L68" i="12" s="1"/>
  <c r="J68" i="12" a="1"/>
  <c r="J68" i="12" s="1"/>
  <c r="Y12" i="9"/>
  <c r="Y11" i="10"/>
  <c r="Z12" i="10"/>
  <c r="K68" i="12" l="1"/>
  <c r="L69" i="12" a="1"/>
  <c r="L69" i="12" s="1"/>
  <c r="J69" i="12" a="1"/>
  <c r="J69" i="12" s="1"/>
  <c r="J70" i="5"/>
  <c r="N70" i="5"/>
  <c r="D70" i="6" s="1"/>
  <c r="H70" i="6" s="1" a="1"/>
  <c r="H70" i="6" s="1"/>
  <c r="T70" i="5" s="1"/>
  <c r="G70" i="12" s="1"/>
  <c r="K70" i="5"/>
  <c r="G70" i="5"/>
  <c r="A70" i="12"/>
  <c r="C71" i="5"/>
  <c r="AE70" i="5"/>
  <c r="B70" i="6"/>
  <c r="AD70" i="5"/>
  <c r="H70" i="5"/>
  <c r="F70" i="5"/>
  <c r="E70" i="5"/>
  <c r="D70" i="5"/>
  <c r="B70" i="12" s="1"/>
  <c r="B70" i="5"/>
  <c r="Z12" i="9"/>
  <c r="Z11" i="10"/>
  <c r="AA12" i="10"/>
  <c r="K69" i="12" l="1"/>
  <c r="B71" i="6"/>
  <c r="B71" i="5"/>
  <c r="C72" i="5" s="1"/>
  <c r="AD71" i="5"/>
  <c r="K71" i="5"/>
  <c r="E71" i="5"/>
  <c r="J71" i="5"/>
  <c r="H71" i="5"/>
  <c r="F71" i="5"/>
  <c r="D71" i="5"/>
  <c r="B71" i="12" s="1"/>
  <c r="N71" i="5"/>
  <c r="D71" i="6" s="1"/>
  <c r="H71" i="6" s="1" a="1"/>
  <c r="H71" i="6" s="1"/>
  <c r="T71" i="5" s="1"/>
  <c r="G71" i="12" s="1"/>
  <c r="G71" i="5"/>
  <c r="A71" i="12"/>
  <c r="AE71" i="5"/>
  <c r="L70" i="12" a="1"/>
  <c r="L70" i="12" s="1"/>
  <c r="J70" i="12" a="1"/>
  <c r="J70" i="12" s="1"/>
  <c r="AA12" i="9"/>
  <c r="AB12" i="10"/>
  <c r="AA11" i="10"/>
  <c r="J71" i="12" l="1" a="1"/>
  <c r="J71" i="12" s="1"/>
  <c r="L71" i="12" a="1"/>
  <c r="L71" i="12" s="1"/>
  <c r="K70" i="12"/>
  <c r="N72" i="5"/>
  <c r="D72" i="6" s="1"/>
  <c r="AE72" i="5"/>
  <c r="I72" i="5"/>
  <c r="G72" i="5"/>
  <c r="C73" i="5"/>
  <c r="A72" i="12"/>
  <c r="B72" i="6"/>
  <c r="H72" i="5"/>
  <c r="W72" i="5"/>
  <c r="H72" i="12" s="1"/>
  <c r="F72" i="5"/>
  <c r="E72" i="5"/>
  <c r="B72" i="5"/>
  <c r="AD72" i="5"/>
  <c r="AB12" i="9"/>
  <c r="AB11" i="10"/>
  <c r="AC12" i="10"/>
  <c r="K71" i="12" l="1"/>
  <c r="F73" i="5"/>
  <c r="D73" i="5"/>
  <c r="B73" i="12" s="1"/>
  <c r="G73" i="5"/>
  <c r="C74" i="5"/>
  <c r="K73" i="5"/>
  <c r="N73" i="5"/>
  <c r="D73" i="6" s="1"/>
  <c r="H73" i="6" s="1" a="1"/>
  <c r="H73" i="6" s="1"/>
  <c r="T73" i="5" s="1"/>
  <c r="G73" i="12" s="1"/>
  <c r="AE73" i="5"/>
  <c r="AD73" i="5"/>
  <c r="A73" i="12"/>
  <c r="E73" i="5"/>
  <c r="B73" i="6"/>
  <c r="B73" i="5"/>
  <c r="J73" i="5"/>
  <c r="H73" i="5"/>
  <c r="G72" i="6"/>
  <c r="H72" i="6" a="1"/>
  <c r="H72" i="6" s="1"/>
  <c r="N72" i="6"/>
  <c r="M72" i="6"/>
  <c r="AC12" i="9"/>
  <c r="AC11" i="10"/>
  <c r="AD12" i="10"/>
  <c r="L73" i="12" l="1" a="1"/>
  <c r="L73" i="12" s="1"/>
  <c r="J73" i="12" a="1"/>
  <c r="J73" i="12" s="1"/>
  <c r="T72" i="5"/>
  <c r="G72" i="12" s="1"/>
  <c r="AW72" i="6"/>
  <c r="AX72" i="6"/>
  <c r="AY72" i="6"/>
  <c r="AN72" i="6"/>
  <c r="AZ72" i="6"/>
  <c r="AV72" i="6"/>
  <c r="AS72" i="6"/>
  <c r="AP72" i="6"/>
  <c r="AK72" i="6"/>
  <c r="AQ72" i="6"/>
  <c r="AM72" i="6"/>
  <c r="BA72" i="6"/>
  <c r="AO72" i="6"/>
  <c r="AU72" i="6"/>
  <c r="AR72" i="6"/>
  <c r="AJ72" i="6"/>
  <c r="AT72" i="6"/>
  <c r="AL72" i="6"/>
  <c r="H74" i="5"/>
  <c r="F74" i="5"/>
  <c r="E74" i="5"/>
  <c r="D74" i="5"/>
  <c r="B74" i="12" s="1"/>
  <c r="B74" i="5"/>
  <c r="AD74" i="5"/>
  <c r="J74" i="5"/>
  <c r="N74" i="5"/>
  <c r="D74" i="6" s="1"/>
  <c r="H74" i="6" s="1" a="1"/>
  <c r="H74" i="6" s="1"/>
  <c r="T74" i="5" s="1"/>
  <c r="G74" i="12" s="1"/>
  <c r="G74" i="5"/>
  <c r="AE74" i="5"/>
  <c r="K74" i="5"/>
  <c r="A74" i="12"/>
  <c r="C75" i="5"/>
  <c r="B74" i="6"/>
  <c r="BO72" i="6"/>
  <c r="BK72" i="6"/>
  <c r="CC72" i="6"/>
  <c r="BG72" i="6"/>
  <c r="BQ72" i="6"/>
  <c r="BI72" i="6"/>
  <c r="CB72" i="6"/>
  <c r="CJ72" i="6"/>
  <c r="CM72" i="6"/>
  <c r="BW72" i="6"/>
  <c r="BF72" i="6"/>
  <c r="CD72" i="6"/>
  <c r="BP72" i="6"/>
  <c r="CH72" i="6"/>
  <c r="BD72" i="6"/>
  <c r="BE72" i="6"/>
  <c r="BS72" i="6"/>
  <c r="BZ72" i="6"/>
  <c r="BL72" i="6"/>
  <c r="BM72" i="6"/>
  <c r="CF72" i="6"/>
  <c r="CA72" i="6"/>
  <c r="BX72" i="6"/>
  <c r="BY72" i="6"/>
  <c r="BT72" i="6"/>
  <c r="BC72" i="6"/>
  <c r="CL72" i="6"/>
  <c r="CI72" i="6"/>
  <c r="BR72" i="6"/>
  <c r="BN72" i="6"/>
  <c r="BV72" i="6"/>
  <c r="BJ72" i="6"/>
  <c r="CG72" i="6"/>
  <c r="BH72" i="6"/>
  <c r="CK72" i="6"/>
  <c r="CE72" i="6"/>
  <c r="AD12" i="9"/>
  <c r="AE12" i="10"/>
  <c r="AD11" i="10"/>
  <c r="K73" i="12" l="1"/>
  <c r="G75" i="5"/>
  <c r="C76" i="5"/>
  <c r="E75" i="5"/>
  <c r="N75" i="5"/>
  <c r="D75" i="6" s="1"/>
  <c r="H75" i="6" s="1" a="1"/>
  <c r="H75" i="6" s="1"/>
  <c r="T75" i="5" s="1"/>
  <c r="G75" i="12" s="1"/>
  <c r="A75" i="12"/>
  <c r="B75" i="6"/>
  <c r="AE75" i="5"/>
  <c r="B75" i="5"/>
  <c r="AD75" i="5"/>
  <c r="K75" i="5"/>
  <c r="J75" i="5"/>
  <c r="H75" i="5"/>
  <c r="D75" i="5"/>
  <c r="B75" i="12" s="1"/>
  <c r="F75" i="5"/>
  <c r="L74" i="12" a="1"/>
  <c r="L74" i="12" s="1"/>
  <c r="J74" i="12" a="1"/>
  <c r="J74" i="12" s="1"/>
  <c r="AE12" i="9"/>
  <c r="AE11" i="10"/>
  <c r="AF12" i="10"/>
  <c r="L75" i="12" l="1" a="1"/>
  <c r="L75" i="12" s="1"/>
  <c r="J75" i="12" a="1"/>
  <c r="J75" i="12" s="1"/>
  <c r="K74" i="12"/>
  <c r="H76" i="5"/>
  <c r="F76" i="5"/>
  <c r="E76" i="5"/>
  <c r="AD76" i="5"/>
  <c r="D76" i="5"/>
  <c r="B76" i="12" s="1"/>
  <c r="G76" i="5"/>
  <c r="K76" i="5"/>
  <c r="B76" i="5"/>
  <c r="J76" i="5"/>
  <c r="C77" i="5"/>
  <c r="AE76" i="5"/>
  <c r="A76" i="12"/>
  <c r="B76" i="6"/>
  <c r="N76" i="5"/>
  <c r="D76" i="6" s="1"/>
  <c r="H76" i="6" s="1" a="1"/>
  <c r="H76" i="6" s="1"/>
  <c r="T76" i="5" s="1"/>
  <c r="G76" i="12" s="1"/>
  <c r="AF11" i="10"/>
  <c r="K75" i="12" l="1"/>
  <c r="L76" i="12" a="1"/>
  <c r="L76" i="12" s="1"/>
  <c r="J76" i="12" a="1"/>
  <c r="J76" i="12" s="1"/>
  <c r="E77" i="5"/>
  <c r="A77" i="12"/>
  <c r="AE77" i="5"/>
  <c r="B77" i="6"/>
  <c r="N77" i="5"/>
  <c r="D77" i="6" s="1"/>
  <c r="H77" i="6" s="1" a="1"/>
  <c r="H77" i="6" s="1"/>
  <c r="T77" i="5" s="1"/>
  <c r="G77" i="12" s="1"/>
  <c r="B77" i="5"/>
  <c r="AD77" i="5"/>
  <c r="F77" i="5"/>
  <c r="K77" i="5"/>
  <c r="J77" i="5"/>
  <c r="H77" i="5"/>
  <c r="D77" i="5"/>
  <c r="B77" i="12" s="1"/>
  <c r="G77" i="5"/>
  <c r="C78" i="5"/>
  <c r="M1" i="6"/>
  <c r="J17" i="6" s="1" a="1"/>
  <c r="J17" i="6" s="1"/>
  <c r="K76" i="12" l="1"/>
  <c r="E78" i="5"/>
  <c r="B78" i="5"/>
  <c r="AD78" i="5"/>
  <c r="D78" i="5"/>
  <c r="B78" i="12" s="1"/>
  <c r="J78" i="5"/>
  <c r="G78" i="5"/>
  <c r="C79" i="5"/>
  <c r="A78" i="12"/>
  <c r="N78" i="5"/>
  <c r="D78" i="6" s="1"/>
  <c r="H78" i="6" s="1" a="1"/>
  <c r="H78" i="6" s="1"/>
  <c r="T78" i="5" s="1"/>
  <c r="G78" i="12" s="1"/>
  <c r="K78" i="5"/>
  <c r="F78" i="5"/>
  <c r="AE78" i="5"/>
  <c r="B78" i="6"/>
  <c r="H78" i="5"/>
  <c r="J77" i="12" a="1"/>
  <c r="J77" i="12" s="1"/>
  <c r="L77" i="12" a="1"/>
  <c r="L77" i="12" s="1"/>
  <c r="J16" i="6" a="1"/>
  <c r="J16" i="6" s="1"/>
  <c r="J18" i="6" a="1"/>
  <c r="J18" i="6" s="1"/>
  <c r="J24" i="6" a="1"/>
  <c r="J24" i="6" s="1"/>
  <c r="J25" i="6" a="1"/>
  <c r="J25" i="6" s="1"/>
  <c r="J27" i="6" a="1"/>
  <c r="J27" i="6" s="1"/>
  <c r="J28" i="6" a="1"/>
  <c r="J28" i="6" s="1"/>
  <c r="J30" i="6" a="1"/>
  <c r="J30" i="6" s="1"/>
  <c r="J42" i="6" a="1"/>
  <c r="J42" i="6" s="1"/>
  <c r="J44" i="6" a="1"/>
  <c r="J44" i="6" s="1"/>
  <c r="J48" i="6" a="1"/>
  <c r="J48" i="6" s="1"/>
  <c r="J49" i="6" a="1"/>
  <c r="J49" i="6" s="1"/>
  <c r="J52" i="6" a="1"/>
  <c r="J52" i="6" s="1"/>
  <c r="J57" i="6" a="1"/>
  <c r="J57" i="6" s="1"/>
  <c r="J59" i="6" a="1"/>
  <c r="J59" i="6" s="1"/>
  <c r="J60" i="6" a="1"/>
  <c r="J60" i="6" s="1"/>
  <c r="J61" i="6" a="1"/>
  <c r="J61" i="6" s="1"/>
  <c r="J72" i="6" a="1"/>
  <c r="J72"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77" i="12" l="1"/>
  <c r="L78" i="12" a="1"/>
  <c r="L78" i="12" s="1"/>
  <c r="J78" i="12" a="1"/>
  <c r="J78" i="12" s="1"/>
  <c r="H79" i="5"/>
  <c r="F79" i="5"/>
  <c r="D79" i="5"/>
  <c r="B79" i="12" s="1"/>
  <c r="E79" i="5"/>
  <c r="B79" i="6"/>
  <c r="C80" i="5"/>
  <c r="G79" i="5"/>
  <c r="A79" i="12"/>
  <c r="AE79" i="5"/>
  <c r="K79" i="5"/>
  <c r="N79" i="5"/>
  <c r="D79" i="6" s="1"/>
  <c r="H79" i="6" s="1" a="1"/>
  <c r="H79" i="6" s="1"/>
  <c r="T79" i="5" s="1"/>
  <c r="G79" i="12" s="1"/>
  <c r="B79" i="5"/>
  <c r="AD79" i="5"/>
  <c r="J79" i="5"/>
  <c r="I10" i="7"/>
  <c r="K13" i="7"/>
  <c r="L13" i="7" s="1"/>
  <c r="J10" i="7"/>
  <c r="K78" i="12" l="1"/>
  <c r="J79" i="12" a="1"/>
  <c r="J79" i="12" s="1"/>
  <c r="L79" i="12" a="1"/>
  <c r="L79" i="12" s="1"/>
  <c r="B80" i="5"/>
  <c r="E80" i="5"/>
  <c r="AD80" i="5"/>
  <c r="J80" i="5"/>
  <c r="C81" i="5"/>
  <c r="A80" i="12"/>
  <c r="F80" i="5"/>
  <c r="AE80" i="5"/>
  <c r="N80" i="5"/>
  <c r="D80" i="6" s="1"/>
  <c r="H80" i="6" s="1" a="1"/>
  <c r="H80" i="6" s="1"/>
  <c r="T80" i="5" s="1"/>
  <c r="K80" i="5"/>
  <c r="G80" i="5"/>
  <c r="B80" i="6"/>
  <c r="H80" i="5"/>
  <c r="D80" i="5"/>
  <c r="B80" i="12" s="1"/>
  <c r="M13" i="7"/>
  <c r="L10" i="7"/>
  <c r="K79" i="12" l="1"/>
  <c r="L80" i="12" a="1"/>
  <c r="L80" i="12" s="1"/>
  <c r="J80" i="12" a="1"/>
  <c r="J80" i="12" s="1"/>
  <c r="K81" i="5"/>
  <c r="J81" i="5"/>
  <c r="H81" i="5"/>
  <c r="F81" i="5"/>
  <c r="D81" i="5"/>
  <c r="B81" i="12" s="1"/>
  <c r="C82" i="5"/>
  <c r="AE81" i="5"/>
  <c r="E81" i="5"/>
  <c r="A81" i="12"/>
  <c r="N81" i="5"/>
  <c r="D81" i="6" s="1"/>
  <c r="H81" i="6" s="1" a="1"/>
  <c r="H81" i="6" s="1"/>
  <c r="T81" i="5" s="1"/>
  <c r="B81" i="6"/>
  <c r="G81" i="5"/>
  <c r="B81" i="5"/>
  <c r="AD81" i="5"/>
  <c r="G80" i="12"/>
  <c r="N13" i="7"/>
  <c r="M10" i="7"/>
  <c r="K80" i="12" l="1"/>
  <c r="D82" i="5"/>
  <c r="B82" i="12" s="1"/>
  <c r="B82" i="5"/>
  <c r="H82" i="5"/>
  <c r="AD82" i="5"/>
  <c r="J82" i="5"/>
  <c r="C83" i="5"/>
  <c r="AE82" i="5"/>
  <c r="G82" i="5"/>
  <c r="F82" i="5"/>
  <c r="B82" i="6"/>
  <c r="K82" i="5"/>
  <c r="E82" i="5"/>
  <c r="N82" i="5"/>
  <c r="D82" i="6" s="1"/>
  <c r="H82" i="6" s="1" a="1"/>
  <c r="H82" i="6" s="1"/>
  <c r="T82" i="5" s="1"/>
  <c r="A82" i="12"/>
  <c r="L81" i="12" a="1"/>
  <c r="L81" i="12" s="1"/>
  <c r="J81" i="12" a="1"/>
  <c r="J81" i="12" s="1"/>
  <c r="G81" i="12"/>
  <c r="O13" i="7"/>
  <c r="N10" i="7"/>
  <c r="K81" i="12" l="1"/>
  <c r="AD83" i="5"/>
  <c r="K83" i="5"/>
  <c r="J83" i="5"/>
  <c r="H83" i="5"/>
  <c r="F83" i="5"/>
  <c r="AE83" i="5"/>
  <c r="N83" i="5"/>
  <c r="D83" i="6" s="1"/>
  <c r="H83" i="6" s="1" a="1"/>
  <c r="H83" i="6" s="1"/>
  <c r="T83" i="5" s="1"/>
  <c r="B83" i="6"/>
  <c r="D83" i="5"/>
  <c r="B83" i="12" s="1"/>
  <c r="G83" i="5"/>
  <c r="A83" i="12"/>
  <c r="E83" i="5"/>
  <c r="B83" i="5"/>
  <c r="C84" i="5"/>
  <c r="L82" i="12" a="1"/>
  <c r="L82" i="12" s="1"/>
  <c r="J82" i="12" a="1"/>
  <c r="J82" i="12" s="1"/>
  <c r="G82" i="12"/>
  <c r="P13" i="7"/>
  <c r="O10" i="7"/>
  <c r="K82" i="12" l="1"/>
  <c r="L83" i="12" a="1"/>
  <c r="L83" i="12" s="1"/>
  <c r="J83" i="12" a="1"/>
  <c r="J83" i="12" s="1"/>
  <c r="J84" i="5"/>
  <c r="AE84" i="5"/>
  <c r="N84" i="5"/>
  <c r="D84" i="6" s="1"/>
  <c r="H84" i="6" s="1" a="1"/>
  <c r="H84" i="6" s="1"/>
  <c r="T84" i="5" s="1"/>
  <c r="K84" i="5"/>
  <c r="G84" i="5"/>
  <c r="C85" i="5"/>
  <c r="H84" i="5"/>
  <c r="A84" i="12"/>
  <c r="F84" i="5"/>
  <c r="AD84" i="5"/>
  <c r="B84" i="6"/>
  <c r="E84" i="5"/>
  <c r="D84" i="5"/>
  <c r="B84" i="12" s="1"/>
  <c r="B84" i="5"/>
  <c r="G83" i="12"/>
  <c r="Q13" i="7"/>
  <c r="P10" i="7"/>
  <c r="K83" i="12" l="1"/>
  <c r="L84" i="12" a="1"/>
  <c r="L84" i="12" s="1"/>
  <c r="J84" i="12" a="1"/>
  <c r="J84" i="12" s="1"/>
  <c r="D85" i="5"/>
  <c r="B85" i="12" s="1"/>
  <c r="AE85" i="5"/>
  <c r="N85" i="5"/>
  <c r="D85" i="6" s="1"/>
  <c r="H85" i="6" s="1" a="1"/>
  <c r="H85" i="6" s="1"/>
  <c r="T85" i="5" s="1"/>
  <c r="E85" i="5"/>
  <c r="K85" i="5"/>
  <c r="H85" i="5"/>
  <c r="G85" i="5"/>
  <c r="A85" i="12"/>
  <c r="C86" i="5"/>
  <c r="B85" i="6"/>
  <c r="B85" i="5"/>
  <c r="AD85" i="5"/>
  <c r="J85" i="5"/>
  <c r="F85" i="5"/>
  <c r="G84" i="12"/>
  <c r="R13" i="7"/>
  <c r="Q10" i="7"/>
  <c r="K84" i="12" l="1"/>
  <c r="AD86" i="5"/>
  <c r="J86" i="5"/>
  <c r="AE86" i="5"/>
  <c r="B86" i="5"/>
  <c r="C87" i="5" s="1"/>
  <c r="N86" i="5"/>
  <c r="D86" i="6" s="1"/>
  <c r="H86" i="6" s="1" a="1"/>
  <c r="H86" i="6" s="1"/>
  <c r="T86" i="5" s="1"/>
  <c r="G86" i="5"/>
  <c r="K86" i="5"/>
  <c r="A86" i="12"/>
  <c r="B86" i="6"/>
  <c r="H86" i="5"/>
  <c r="F86" i="5"/>
  <c r="E86" i="5"/>
  <c r="D86" i="5"/>
  <c r="B86" i="12" s="1"/>
  <c r="L85" i="12" a="1"/>
  <c r="L85" i="12" s="1"/>
  <c r="J85" i="12" a="1"/>
  <c r="J85" i="12" s="1"/>
  <c r="G85" i="12"/>
  <c r="S13" i="7"/>
  <c r="R10" i="7"/>
  <c r="J86" i="12" l="1" a="1"/>
  <c r="J86" i="12" s="1"/>
  <c r="L86" i="12" a="1"/>
  <c r="L86" i="12" s="1"/>
  <c r="AE87" i="5"/>
  <c r="N87" i="5"/>
  <c r="D87" i="6" s="1"/>
  <c r="I87" i="5"/>
  <c r="G87" i="5"/>
  <c r="C88" i="5"/>
  <c r="E87" i="5"/>
  <c r="A87" i="12"/>
  <c r="B87" i="6"/>
  <c r="J87" i="6" s="1" a="1"/>
  <c r="J87" i="6" s="1"/>
  <c r="F87" i="5"/>
  <c r="B87" i="5"/>
  <c r="AD87" i="5"/>
  <c r="H87" i="5"/>
  <c r="W87" i="5"/>
  <c r="H87" i="12" s="1"/>
  <c r="K85" i="12"/>
  <c r="G86" i="12"/>
  <c r="T13" i="7"/>
  <c r="S10" i="7"/>
  <c r="K86" i="12" l="1"/>
  <c r="F88" i="5"/>
  <c r="E88" i="5"/>
  <c r="AE88" i="5"/>
  <c r="D88" i="5"/>
  <c r="B88" i="12" s="1"/>
  <c r="AD88" i="5"/>
  <c r="J88" i="5"/>
  <c r="B88" i="6"/>
  <c r="B88" i="5"/>
  <c r="K88" i="5"/>
  <c r="A88" i="12"/>
  <c r="G88" i="5"/>
  <c r="H88" i="5"/>
  <c r="N88" i="5"/>
  <c r="D88" i="6" s="1"/>
  <c r="H88" i="6" s="1" a="1"/>
  <c r="H88" i="6" s="1"/>
  <c r="T88" i="5" s="1"/>
  <c r="C89" i="5"/>
  <c r="G87" i="6"/>
  <c r="M87" i="6"/>
  <c r="BS87" i="6" s="1"/>
  <c r="H87" i="6" a="1"/>
  <c r="H87" i="6" s="1"/>
  <c r="N87" i="6"/>
  <c r="U13" i="7"/>
  <c r="T10" i="7"/>
  <c r="AW87" i="6" l="1"/>
  <c r="CI87" i="6"/>
  <c r="CM87" i="6"/>
  <c r="AP87" i="6"/>
  <c r="BF87" i="6"/>
  <c r="AK87" i="6"/>
  <c r="D89" i="5"/>
  <c r="B89" i="12" s="1"/>
  <c r="C90" i="5"/>
  <c r="E89" i="5"/>
  <c r="N89" i="5"/>
  <c r="D89" i="6" s="1"/>
  <c r="H89" i="6" s="1" a="1"/>
  <c r="H89" i="6" s="1"/>
  <c r="T89" i="5" s="1"/>
  <c r="G89" i="5"/>
  <c r="A89" i="12"/>
  <c r="B89" i="6"/>
  <c r="AE89" i="5"/>
  <c r="B89" i="5"/>
  <c r="AD89" i="5"/>
  <c r="K89" i="5"/>
  <c r="J89" i="5"/>
  <c r="F89" i="5"/>
  <c r="H89" i="5"/>
  <c r="AX87" i="6"/>
  <c r="CL87" i="6"/>
  <c r="J88" i="12" a="1"/>
  <c r="J88" i="12" s="1"/>
  <c r="L88" i="12" a="1"/>
  <c r="L88" i="12" s="1"/>
  <c r="CF87" i="6"/>
  <c r="BC87" i="6"/>
  <c r="T87" i="5"/>
  <c r="G87" i="12" s="1"/>
  <c r="AY87" i="6"/>
  <c r="AU87" i="6"/>
  <c r="AM87" i="6"/>
  <c r="BA87" i="6"/>
  <c r="AS87" i="6"/>
  <c r="AJ87" i="6"/>
  <c r="AO87" i="6"/>
  <c r="AN87" i="6"/>
  <c r="AV87" i="6"/>
  <c r="AR87" i="6"/>
  <c r="AT87" i="6"/>
  <c r="AZ87" i="6"/>
  <c r="CA87" i="6"/>
  <c r="BH87" i="6"/>
  <c r="BQ87" i="6"/>
  <c r="BV87" i="6"/>
  <c r="CJ87" i="6"/>
  <c r="BM87" i="6"/>
  <c r="CG87" i="6"/>
  <c r="CK87" i="6"/>
  <c r="BY87" i="6"/>
  <c r="BE87" i="6"/>
  <c r="CC87" i="6"/>
  <c r="BI87" i="6"/>
  <c r="CD87" i="6"/>
  <c r="CH87" i="6"/>
  <c r="BP87" i="6"/>
  <c r="BJ87" i="6"/>
  <c r="BR87" i="6"/>
  <c r="BO87" i="6"/>
  <c r="BG87" i="6"/>
  <c r="BW87" i="6"/>
  <c r="BZ87" i="6"/>
  <c r="BX87" i="6"/>
  <c r="BK87" i="6"/>
  <c r="BD87" i="6"/>
  <c r="BN87" i="6"/>
  <c r="CB87" i="6"/>
  <c r="CE87" i="6"/>
  <c r="BL87" i="6"/>
  <c r="AQ87" i="6"/>
  <c r="BT87" i="6"/>
  <c r="AL87" i="6"/>
  <c r="G88" i="12"/>
  <c r="V13" i="7"/>
  <c r="U10" i="7"/>
  <c r="K11" i="10"/>
  <c r="K10" i="7"/>
  <c r="K88" i="12" l="1"/>
  <c r="L89" i="12" a="1"/>
  <c r="L89" i="12" s="1"/>
  <c r="J89" i="12" a="1"/>
  <c r="J89" i="12" s="1"/>
  <c r="J90" i="5"/>
  <c r="N90" i="5"/>
  <c r="D90" i="6" s="1"/>
  <c r="H90" i="6" s="1" a="1"/>
  <c r="H90" i="6" s="1"/>
  <c r="T90" i="5" s="1"/>
  <c r="K90" i="5"/>
  <c r="G90" i="5"/>
  <c r="A90" i="12"/>
  <c r="C91" i="5"/>
  <c r="B90" i="6"/>
  <c r="AE90" i="5"/>
  <c r="H90" i="5"/>
  <c r="F90" i="5"/>
  <c r="D90" i="5"/>
  <c r="B90" i="12" s="1"/>
  <c r="E90" i="5"/>
  <c r="B90" i="5"/>
  <c r="AD90" i="5"/>
  <c r="G89" i="12"/>
  <c r="W13" i="7"/>
  <c r="V10" i="7"/>
  <c r="T14" i="5"/>
  <c r="J91" i="5" l="1"/>
  <c r="N91" i="5"/>
  <c r="D91" i="6" s="1"/>
  <c r="H91" i="6" s="1" a="1"/>
  <c r="H91" i="6" s="1"/>
  <c r="T91" i="5" s="1"/>
  <c r="H91" i="5"/>
  <c r="C92" i="5"/>
  <c r="F91" i="5"/>
  <c r="D91" i="5"/>
  <c r="B91" i="12" s="1"/>
  <c r="G91" i="5"/>
  <c r="B91" i="6"/>
  <c r="A91" i="12"/>
  <c r="AE91" i="5"/>
  <c r="E91" i="5"/>
  <c r="B91" i="5"/>
  <c r="K91" i="5"/>
  <c r="AD91" i="5"/>
  <c r="L90" i="12" a="1"/>
  <c r="L90" i="12" s="1"/>
  <c r="J90" i="12" a="1"/>
  <c r="J90" i="12" s="1"/>
  <c r="K89" i="12"/>
  <c r="G90" i="12"/>
  <c r="X13" i="7"/>
  <c r="W10" i="7"/>
  <c r="G14" i="12"/>
  <c r="J91" i="12" l="1" a="1"/>
  <c r="J91" i="12" s="1"/>
  <c r="L91" i="12" a="1"/>
  <c r="L91" i="12" s="1"/>
  <c r="AD92" i="5"/>
  <c r="N92" i="5"/>
  <c r="D92" i="6" s="1"/>
  <c r="H92" i="6" s="1" a="1"/>
  <c r="H92" i="6" s="1"/>
  <c r="T92" i="5" s="1"/>
  <c r="G92" i="5"/>
  <c r="J92" i="5"/>
  <c r="K92" i="5"/>
  <c r="C93" i="5"/>
  <c r="A92" i="12"/>
  <c r="B92" i="6"/>
  <c r="AE92" i="5"/>
  <c r="H92" i="5"/>
  <c r="F92" i="5"/>
  <c r="E92" i="5"/>
  <c r="D92" i="5"/>
  <c r="B92" i="12" s="1"/>
  <c r="B92" i="5"/>
  <c r="K90" i="12"/>
  <c r="G91" i="12"/>
  <c r="Y13" i="7"/>
  <c r="X10" i="7"/>
  <c r="A8" i="9"/>
  <c r="B7" i="9" a="1"/>
  <c r="B7" i="9" s="1"/>
  <c r="K91" i="12" l="1"/>
  <c r="L92" i="12" a="1"/>
  <c r="L92" i="12" s="1"/>
  <c r="J92" i="12" a="1"/>
  <c r="J92" i="12" s="1"/>
  <c r="B93" i="5"/>
  <c r="AD93" i="5"/>
  <c r="K93" i="5"/>
  <c r="E93" i="5"/>
  <c r="H93" i="5"/>
  <c r="J93" i="5"/>
  <c r="F93" i="5"/>
  <c r="C94" i="5"/>
  <c r="D93" i="5"/>
  <c r="B93" i="12" s="1"/>
  <c r="G93" i="5"/>
  <c r="A93" i="12"/>
  <c r="N93" i="5"/>
  <c r="D93" i="6" s="1"/>
  <c r="H93" i="6" s="1" a="1"/>
  <c r="H93" i="6" s="1"/>
  <c r="T93" i="5" s="1"/>
  <c r="AE93" i="5"/>
  <c r="B93" i="6"/>
  <c r="G92" i="12"/>
  <c r="Y10" i="7"/>
  <c r="D15" i="7"/>
  <c r="C16" i="7" s="1" a="1"/>
  <c r="C16" i="7" s="1"/>
  <c r="B15" i="10"/>
  <c r="B16" i="10" s="1"/>
  <c r="K92" i="12" l="1"/>
  <c r="B94" i="5"/>
  <c r="C95" i="5" s="1"/>
  <c r="AD94" i="5"/>
  <c r="J94" i="5"/>
  <c r="N94" i="5"/>
  <c r="D94" i="6" s="1"/>
  <c r="H94" i="6" s="1" a="1"/>
  <c r="H94" i="6" s="1"/>
  <c r="T94" i="5" s="1"/>
  <c r="K94" i="5"/>
  <c r="G94" i="5"/>
  <c r="D94" i="5"/>
  <c r="B94" i="12" s="1"/>
  <c r="A94" i="12"/>
  <c r="AE94" i="5"/>
  <c r="F94" i="5"/>
  <c r="B94" i="6"/>
  <c r="H94" i="5"/>
  <c r="E94" i="5"/>
  <c r="L93" i="12" a="1"/>
  <c r="L93" i="12" s="1"/>
  <c r="J93" i="12" a="1"/>
  <c r="J93" i="12" s="1"/>
  <c r="C17" i="7" a="1"/>
  <c r="C17" i="7" s="1"/>
  <c r="B16" i="7"/>
  <c r="G93" i="12"/>
  <c r="B17" i="10"/>
  <c r="C16" i="10"/>
  <c r="A16" i="10" s="1"/>
  <c r="A15" i="10"/>
  <c r="B15" i="7"/>
  <c r="C15" i="9"/>
  <c r="F15" i="9" s="1"/>
  <c r="C15" i="10"/>
  <c r="A15" i="7"/>
  <c r="J94" i="12" l="1" a="1"/>
  <c r="J94" i="12" s="1"/>
  <c r="L94" i="12" a="1"/>
  <c r="L94" i="12" s="1"/>
  <c r="K93" i="12"/>
  <c r="N95" i="5"/>
  <c r="D95" i="6" s="1"/>
  <c r="I95" i="5"/>
  <c r="C96" i="5"/>
  <c r="G95" i="5"/>
  <c r="E95" i="5"/>
  <c r="A95" i="12"/>
  <c r="AE95" i="5"/>
  <c r="B95" i="6"/>
  <c r="J95" i="6" s="1" a="1"/>
  <c r="J95" i="6" s="1"/>
  <c r="AD95" i="5"/>
  <c r="B95" i="5"/>
  <c r="H95" i="5"/>
  <c r="F95" i="5"/>
  <c r="W95" i="5"/>
  <c r="H95" i="12" s="1"/>
  <c r="B18" i="10"/>
  <c r="C17" i="10"/>
  <c r="A17" i="10" s="1"/>
  <c r="B17" i="7"/>
  <c r="C18" i="7" a="1"/>
  <c r="C18" i="7" s="1"/>
  <c r="G94" i="12"/>
  <c r="D21" i="2"/>
  <c r="K94" i="12" l="1"/>
  <c r="B96" i="5"/>
  <c r="AD96" i="5"/>
  <c r="F96" i="5"/>
  <c r="J96" i="5"/>
  <c r="AE96" i="5"/>
  <c r="N96" i="5"/>
  <c r="D96" i="6" s="1"/>
  <c r="H96" i="6" s="1" a="1"/>
  <c r="H96" i="6" s="1"/>
  <c r="T96" i="5" s="1"/>
  <c r="E96" i="5"/>
  <c r="D96" i="5"/>
  <c r="B96" i="12" s="1"/>
  <c r="K96" i="5"/>
  <c r="C97" i="5"/>
  <c r="H96" i="5"/>
  <c r="A96" i="12"/>
  <c r="G96" i="5"/>
  <c r="B96" i="6"/>
  <c r="H95" i="6" a="1"/>
  <c r="H95" i="6" s="1"/>
  <c r="G95" i="6"/>
  <c r="N95" i="6"/>
  <c r="M95" i="6"/>
  <c r="BX95" i="6" s="1"/>
  <c r="B19" i="10"/>
  <c r="C18" i="10"/>
  <c r="A18" i="10" s="1"/>
  <c r="C19" i="7" a="1"/>
  <c r="C19" i="7" s="1"/>
  <c r="B18" i="7"/>
  <c r="I15" i="12"/>
  <c r="M15" i="12"/>
  <c r="J15" i="12" s="1"/>
  <c r="O15" i="12"/>
  <c r="AQ95" i="6" l="1"/>
  <c r="AW95" i="6"/>
  <c r="K97" i="5"/>
  <c r="J97" i="5"/>
  <c r="G97" i="5"/>
  <c r="H97" i="5"/>
  <c r="F97" i="5"/>
  <c r="D97" i="5"/>
  <c r="B97" i="12" s="1"/>
  <c r="A97" i="12"/>
  <c r="E97" i="5"/>
  <c r="B97" i="6"/>
  <c r="C98" i="5"/>
  <c r="B97" i="5"/>
  <c r="AE97" i="5"/>
  <c r="N97" i="5"/>
  <c r="D97" i="6" s="1"/>
  <c r="H97" i="6" s="1" a="1"/>
  <c r="H97" i="6" s="1"/>
  <c r="T97" i="5" s="1"/>
  <c r="AD97" i="5"/>
  <c r="AZ95" i="6"/>
  <c r="T95" i="5"/>
  <c r="G95" i="12" s="1"/>
  <c r="BA95" i="6"/>
  <c r="AJ95" i="6"/>
  <c r="AX95" i="6"/>
  <c r="AR95" i="6"/>
  <c r="AS95" i="6"/>
  <c r="AM95" i="6"/>
  <c r="AK95" i="6"/>
  <c r="AT95" i="6"/>
  <c r="AU95" i="6"/>
  <c r="AO95" i="6"/>
  <c r="AY95" i="6"/>
  <c r="AN95" i="6"/>
  <c r="AP95" i="6"/>
  <c r="AV95" i="6"/>
  <c r="AL95" i="6"/>
  <c r="CL95" i="6"/>
  <c r="BC95" i="6"/>
  <c r="BD95" i="6"/>
  <c r="BH95" i="6"/>
  <c r="CE95" i="6"/>
  <c r="BN95" i="6"/>
  <c r="CC95" i="6"/>
  <c r="BL95" i="6"/>
  <c r="CM95" i="6"/>
  <c r="CH95" i="6"/>
  <c r="BK95" i="6"/>
  <c r="CD95" i="6"/>
  <c r="BG95" i="6"/>
  <c r="CJ95" i="6"/>
  <c r="BZ95" i="6"/>
  <c r="BT95" i="6"/>
  <c r="BY95" i="6"/>
  <c r="BM95" i="6"/>
  <c r="BE95" i="6"/>
  <c r="BQ95" i="6"/>
  <c r="BW95" i="6"/>
  <c r="BP95" i="6"/>
  <c r="CG95" i="6"/>
  <c r="CI95" i="6"/>
  <c r="BO95" i="6"/>
  <c r="CF95" i="6"/>
  <c r="CA95" i="6"/>
  <c r="CB95" i="6"/>
  <c r="BF95" i="6"/>
  <c r="CK95" i="6"/>
  <c r="BV95" i="6"/>
  <c r="BJ95" i="6"/>
  <c r="J96" i="12" a="1"/>
  <c r="J96" i="12" s="1"/>
  <c r="L96" i="12" a="1"/>
  <c r="L96" i="12" s="1"/>
  <c r="BS95" i="6"/>
  <c r="BR95" i="6"/>
  <c r="BI95" i="6"/>
  <c r="C20" i="7" a="1"/>
  <c r="C20" i="7" s="1"/>
  <c r="B19" i="7"/>
  <c r="G96" i="12"/>
  <c r="B20" i="10"/>
  <c r="C19" i="10"/>
  <c r="A19" i="10" s="1"/>
  <c r="L15" i="12"/>
  <c r="K15" i="12" s="1"/>
  <c r="N15" i="12"/>
  <c r="P10" i="12"/>
  <c r="O10" i="12" s="1"/>
  <c r="E98" i="5" l="1"/>
  <c r="C99" i="5"/>
  <c r="D98" i="5"/>
  <c r="B98" i="12" s="1"/>
  <c r="B98" i="5"/>
  <c r="AE98" i="5"/>
  <c r="N98" i="5"/>
  <c r="D98" i="6" s="1"/>
  <c r="H98" i="6" s="1" a="1"/>
  <c r="H98" i="6" s="1"/>
  <c r="T98" i="5" s="1"/>
  <c r="J98" i="5"/>
  <c r="B98" i="6"/>
  <c r="K98" i="5"/>
  <c r="AD98" i="5"/>
  <c r="H98" i="5"/>
  <c r="A98" i="12"/>
  <c r="G98" i="5"/>
  <c r="F98" i="5"/>
  <c r="L97" i="12" a="1"/>
  <c r="L97" i="12" s="1"/>
  <c r="J97" i="12" a="1"/>
  <c r="J97" i="12" s="1"/>
  <c r="K96" i="12"/>
  <c r="B20" i="7"/>
  <c r="C21" i="7" a="1"/>
  <c r="C21" i="7" s="1"/>
  <c r="G97" i="12"/>
  <c r="B21" i="10"/>
  <c r="C20" i="10"/>
  <c r="A20" i="10" s="1"/>
  <c r="A14" i="6"/>
  <c r="K97" i="12" l="1"/>
  <c r="J98" i="12" a="1"/>
  <c r="J98" i="12" s="1"/>
  <c r="L98" i="12" a="1"/>
  <c r="L98" i="12" s="1"/>
  <c r="B99" i="5"/>
  <c r="C100" i="5" s="1"/>
  <c r="N99" i="5"/>
  <c r="D99" i="6" s="1"/>
  <c r="H99" i="6" s="1" a="1"/>
  <c r="H99" i="6" s="1"/>
  <c r="T99" i="5" s="1"/>
  <c r="D99" i="5"/>
  <c r="B99" i="12" s="1"/>
  <c r="AE99" i="5"/>
  <c r="J99" i="5"/>
  <c r="AD99" i="5"/>
  <c r="K99" i="5"/>
  <c r="H99" i="5"/>
  <c r="G99" i="5"/>
  <c r="F99" i="5"/>
  <c r="A99" i="12"/>
  <c r="E99" i="5"/>
  <c r="B99" i="6"/>
  <c r="B22" i="10"/>
  <c r="C21" i="10"/>
  <c r="A21" i="10" s="1"/>
  <c r="C22" i="7" a="1"/>
  <c r="C22" i="7" s="1"/>
  <c r="B21" i="7"/>
  <c r="G98" i="12"/>
  <c r="N14" i="6"/>
  <c r="M14" i="6"/>
  <c r="K98" i="12" l="1"/>
  <c r="G100" i="5"/>
  <c r="F100" i="5"/>
  <c r="E100" i="5"/>
  <c r="W100" i="5"/>
  <c r="H100" i="12" s="1"/>
  <c r="B100" i="5"/>
  <c r="AE100" i="5"/>
  <c r="N100" i="5"/>
  <c r="D100" i="6" s="1"/>
  <c r="AD100" i="5"/>
  <c r="I100" i="5"/>
  <c r="C101" i="5"/>
  <c r="A100" i="12"/>
  <c r="B100" i="6"/>
  <c r="J100" i="6" s="1" a="1"/>
  <c r="J100" i="6" s="1"/>
  <c r="H100" i="5"/>
  <c r="L99" i="12" a="1"/>
  <c r="L99" i="12" s="1"/>
  <c r="J99" i="12" a="1"/>
  <c r="J99" i="12" s="1"/>
  <c r="C23" i="7" a="1"/>
  <c r="C23" i="7" s="1"/>
  <c r="B22" i="7"/>
  <c r="BQ14" i="6"/>
  <c r="CI14" i="6"/>
  <c r="BP14" i="6"/>
  <c r="CH14" i="6"/>
  <c r="BO14" i="6"/>
  <c r="CJ14" i="6"/>
  <c r="BN14" i="6"/>
  <c r="CL14" i="6"/>
  <c r="CM14" i="6"/>
  <c r="BM14" i="6"/>
  <c r="CK14" i="6"/>
  <c r="CG14" i="6"/>
  <c r="CF14" i="6"/>
  <c r="BT14" i="6"/>
  <c r="BS14" i="6"/>
  <c r="BR14" i="6"/>
  <c r="AT14" i="6"/>
  <c r="AU14" i="6"/>
  <c r="AV14" i="6"/>
  <c r="AW14" i="6"/>
  <c r="AX14" i="6"/>
  <c r="AY14" i="6"/>
  <c r="AZ14" i="6"/>
  <c r="BA14" i="6"/>
  <c r="G99" i="12"/>
  <c r="B23" i="10"/>
  <c r="C22" i="10"/>
  <c r="A22" i="10" s="1"/>
  <c r="BC14" i="6"/>
  <c r="BD14" i="6"/>
  <c r="BH14" i="6"/>
  <c r="BE14" i="6"/>
  <c r="BF14" i="6"/>
  <c r="BJ14" i="6"/>
  <c r="BI14" i="6"/>
  <c r="BL14" i="6"/>
  <c r="BK14" i="6"/>
  <c r="BG14" i="6"/>
  <c r="CD14" i="6"/>
  <c r="AL14" i="6"/>
  <c r="AP14" i="6"/>
  <c r="BV14" i="6"/>
  <c r="AO14" i="6"/>
  <c r="BX14" i="6"/>
  <c r="BZ14" i="6"/>
  <c r="AJ14" i="6"/>
  <c r="BW14" i="6"/>
  <c r="CC14" i="6"/>
  <c r="AK14" i="6"/>
  <c r="CB14" i="6"/>
  <c r="AM14" i="6"/>
  <c r="AQ14" i="6"/>
  <c r="AR14" i="6"/>
  <c r="AS14" i="6"/>
  <c r="CE14" i="6"/>
  <c r="CA14" i="6"/>
  <c r="AN14" i="6"/>
  <c r="BY14" i="6"/>
  <c r="K99" i="12" l="1"/>
  <c r="AD101" i="5"/>
  <c r="J101" i="5"/>
  <c r="K101" i="5"/>
  <c r="H101" i="5"/>
  <c r="G101" i="5"/>
  <c r="F101" i="5"/>
  <c r="D101" i="5"/>
  <c r="B101" i="12" s="1"/>
  <c r="E101" i="5"/>
  <c r="B101" i="6"/>
  <c r="C102" i="5"/>
  <c r="A101" i="12"/>
  <c r="B101" i="5"/>
  <c r="AE101" i="5"/>
  <c r="N101" i="5"/>
  <c r="D101" i="6" s="1"/>
  <c r="H101" i="6" s="1" a="1"/>
  <c r="H101" i="6" s="1"/>
  <c r="T101" i="5" s="1"/>
  <c r="H100" i="6" a="1"/>
  <c r="H100" i="6" s="1"/>
  <c r="G100" i="6"/>
  <c r="N100" i="6"/>
  <c r="M100" i="6"/>
  <c r="BO100" i="6" s="1"/>
  <c r="B23" i="7"/>
  <c r="C24" i="7" a="1"/>
  <c r="C24" i="7" s="1"/>
  <c r="B24" i="10"/>
  <c r="C23" i="10"/>
  <c r="A23" i="10" s="1"/>
  <c r="X14" i="5" a="1"/>
  <c r="X14" i="5" s="1"/>
  <c r="BC100" i="6" l="1"/>
  <c r="AV100" i="6"/>
  <c r="BH100" i="6"/>
  <c r="AS100" i="6"/>
  <c r="BV100" i="6"/>
  <c r="BS100" i="6"/>
  <c r="L101" i="12" a="1"/>
  <c r="L101" i="12" s="1"/>
  <c r="J101" i="12" a="1"/>
  <c r="J101" i="12" s="1"/>
  <c r="N102" i="5"/>
  <c r="D102" i="6" s="1"/>
  <c r="H102" i="6" s="1" a="1"/>
  <c r="H102" i="6" s="1"/>
  <c r="T102" i="5" s="1"/>
  <c r="AD102" i="5"/>
  <c r="C103" i="5"/>
  <c r="K102" i="5"/>
  <c r="J102" i="5"/>
  <c r="H102" i="5"/>
  <c r="A102" i="12"/>
  <c r="B102" i="5"/>
  <c r="B102" i="6"/>
  <c r="G102" i="5"/>
  <c r="F102" i="5"/>
  <c r="E102" i="5"/>
  <c r="D102" i="5"/>
  <c r="B102" i="12" s="1"/>
  <c r="AE102" i="5"/>
  <c r="BK100" i="6"/>
  <c r="BR100" i="6"/>
  <c r="BX100" i="6"/>
  <c r="BL100" i="6"/>
  <c r="CL100" i="6"/>
  <c r="BQ100" i="6"/>
  <c r="BZ100" i="6"/>
  <c r="CK100" i="6"/>
  <c r="BN100" i="6"/>
  <c r="BJ100" i="6"/>
  <c r="BG100" i="6"/>
  <c r="BF100" i="6"/>
  <c r="CM100" i="6"/>
  <c r="CC100" i="6"/>
  <c r="CF100" i="6"/>
  <c r="BD100" i="6"/>
  <c r="BT100" i="6"/>
  <c r="BI100" i="6"/>
  <c r="BP100" i="6"/>
  <c r="CB100" i="6"/>
  <c r="BW100" i="6"/>
  <c r="CJ100" i="6"/>
  <c r="CD100" i="6"/>
  <c r="BE100" i="6"/>
  <c r="CE100" i="6"/>
  <c r="CA100" i="6"/>
  <c r="CH100" i="6"/>
  <c r="CI100" i="6"/>
  <c r="BM100" i="6"/>
  <c r="AP100" i="6"/>
  <c r="AM100" i="6"/>
  <c r="AU100" i="6"/>
  <c r="T100" i="5"/>
  <c r="G100" i="12" s="1"/>
  <c r="AY100" i="6"/>
  <c r="AZ100" i="6"/>
  <c r="AT100" i="6"/>
  <c r="AO100" i="6"/>
  <c r="AW100" i="6"/>
  <c r="AJ100" i="6"/>
  <c r="AN100" i="6"/>
  <c r="AR100" i="6"/>
  <c r="AQ100" i="6"/>
  <c r="AX100" i="6"/>
  <c r="AK100" i="6"/>
  <c r="BA100" i="6"/>
  <c r="AL100" i="6"/>
  <c r="BY100" i="6"/>
  <c r="CG100" i="6"/>
  <c r="C24" i="10"/>
  <c r="A24" i="10" s="1"/>
  <c r="C25" i="7" a="1"/>
  <c r="C25" i="7" s="1"/>
  <c r="B24" i="7"/>
  <c r="G101" i="12"/>
  <c r="I14" i="5"/>
  <c r="Z14" i="5"/>
  <c r="I14" i="12"/>
  <c r="L14" i="5"/>
  <c r="AM14" i="5"/>
  <c r="A505" i="6" l="1"/>
  <c r="A437" i="6"/>
  <c r="A440" i="6"/>
  <c r="A436" i="6"/>
  <c r="A438" i="6"/>
  <c r="A497" i="6"/>
  <c r="A502" i="6"/>
  <c r="B25" i="10"/>
  <c r="C25" i="10" s="1"/>
  <c r="A25" i="10" s="1"/>
  <c r="B25" i="7"/>
  <c r="A22" i="6"/>
  <c r="N22" i="6" s="1"/>
  <c r="A23" i="6"/>
  <c r="A20" i="6"/>
  <c r="N20" i="6" s="1"/>
  <c r="A21" i="6"/>
  <c r="K101" i="12"/>
  <c r="J102" i="12" a="1"/>
  <c r="J102" i="12" s="1"/>
  <c r="L102" i="12" a="1"/>
  <c r="L102" i="12" s="1"/>
  <c r="D103" i="5"/>
  <c r="B103" i="12" s="1"/>
  <c r="A103" i="12"/>
  <c r="E103" i="5"/>
  <c r="B103" i="6"/>
  <c r="C104" i="5"/>
  <c r="B103" i="5"/>
  <c r="AE103" i="5"/>
  <c r="N103" i="5"/>
  <c r="D103" i="6" s="1"/>
  <c r="H103" i="6" s="1" a="1"/>
  <c r="H103" i="6" s="1"/>
  <c r="T103" i="5" s="1"/>
  <c r="AD103" i="5"/>
  <c r="K103" i="5"/>
  <c r="J103" i="5"/>
  <c r="H103" i="5"/>
  <c r="G103" i="5"/>
  <c r="F103" i="5"/>
  <c r="G102" i="12"/>
  <c r="A86" i="6"/>
  <c r="A97" i="6"/>
  <c r="A427" i="6"/>
  <c r="A164" i="6"/>
  <c r="A158" i="6"/>
  <c r="A473" i="6"/>
  <c r="A352" i="6"/>
  <c r="A321" i="6"/>
  <c r="A402" i="6"/>
  <c r="A198" i="6"/>
  <c r="A115" i="6"/>
  <c r="A417" i="6"/>
  <c r="A487" i="6"/>
  <c r="A19" i="6"/>
  <c r="A454" i="6"/>
  <c r="A183" i="6"/>
  <c r="A326" i="6"/>
  <c r="A486" i="6"/>
  <c r="A395" i="6"/>
  <c r="A248" i="6"/>
  <c r="A219" i="6"/>
  <c r="A484" i="6"/>
  <c r="A154" i="6"/>
  <c r="A443" i="6"/>
  <c r="A314" i="6"/>
  <c r="A283" i="6"/>
  <c r="A205" i="6"/>
  <c r="A299" i="6"/>
  <c r="A280" i="6"/>
  <c r="A172" i="6"/>
  <c r="A370" i="6"/>
  <c r="A357" i="6"/>
  <c r="A176" i="6"/>
  <c r="A470" i="6"/>
  <c r="A401" i="6"/>
  <c r="A416" i="6"/>
  <c r="A141" i="6"/>
  <c r="A382" i="6"/>
  <c r="A265" i="6"/>
  <c r="A312" i="6"/>
  <c r="A334" i="6"/>
  <c r="A137" i="6"/>
  <c r="A447" i="6"/>
  <c r="A336" i="6"/>
  <c r="A253" i="6"/>
  <c r="A472" i="6"/>
  <c r="A222" i="6"/>
  <c r="A227" i="6"/>
  <c r="A396" i="6"/>
  <c r="A491" i="6"/>
  <c r="A353" i="6"/>
  <c r="A156" i="6"/>
  <c r="A333" i="6"/>
  <c r="A305" i="6"/>
  <c r="A47" i="6"/>
  <c r="A342" i="6"/>
  <c r="A426" i="6"/>
  <c r="A138" i="6"/>
  <c r="A295" i="6"/>
  <c r="A75" i="6"/>
  <c r="A126" i="6"/>
  <c r="A33" i="6"/>
  <c r="A192" i="6"/>
  <c r="A338" i="6"/>
  <c r="A34" i="6"/>
  <c r="A70" i="6"/>
  <c r="A412" i="6"/>
  <c r="A389" i="6"/>
  <c r="A348" i="6"/>
  <c r="A78" i="6"/>
  <c r="A346" i="6"/>
  <c r="A106" i="6"/>
  <c r="A330" i="6"/>
  <c r="A84" i="6"/>
  <c r="A155" i="6"/>
  <c r="A259" i="6"/>
  <c r="A340" i="6"/>
  <c r="A282" i="6"/>
  <c r="A369" i="6"/>
  <c r="A456" i="6"/>
  <c r="A498" i="6"/>
  <c r="A296" i="6"/>
  <c r="A56" i="6"/>
  <c r="A387" i="6"/>
  <c r="A329" i="6"/>
  <c r="A503" i="6"/>
  <c r="A494" i="6"/>
  <c r="A311" i="6"/>
  <c r="A291" i="6"/>
  <c r="A223" i="6"/>
  <c r="A350" i="6"/>
  <c r="A431" i="6"/>
  <c r="A239" i="6"/>
  <c r="A184" i="6"/>
  <c r="A306" i="6"/>
  <c r="A435" i="6"/>
  <c r="A40" i="6"/>
  <c r="A429" i="6"/>
  <c r="A31" i="6"/>
  <c r="A112" i="6"/>
  <c r="A104" i="6"/>
  <c r="A58" i="6"/>
  <c r="A195" i="6"/>
  <c r="A366" i="6"/>
  <c r="A225" i="6"/>
  <c r="A337" i="6"/>
  <c r="A226" i="6"/>
  <c r="A193" i="6"/>
  <c r="A363" i="6"/>
  <c r="A381" i="6"/>
  <c r="A405" i="6"/>
  <c r="A53" i="6"/>
  <c r="A199" i="6"/>
  <c r="A331" i="6"/>
  <c r="A83" i="6"/>
  <c r="A117" i="6"/>
  <c r="A145" i="6"/>
  <c r="A409" i="6"/>
  <c r="A290" i="6"/>
  <c r="A451" i="6"/>
  <c r="A307" i="6"/>
  <c r="A35" i="6"/>
  <c r="A196" i="6"/>
  <c r="A231" i="6"/>
  <c r="A206" i="6"/>
  <c r="A482" i="6"/>
  <c r="A397" i="6"/>
  <c r="A169" i="6"/>
  <c r="A89" i="6"/>
  <c r="A463" i="6"/>
  <c r="A213" i="6"/>
  <c r="A422" i="6"/>
  <c r="A428" i="6"/>
  <c r="A214" i="6"/>
  <c r="A150" i="6"/>
  <c r="A236" i="6"/>
  <c r="A254" i="6"/>
  <c r="A237" i="6"/>
  <c r="A101" i="6"/>
  <c r="A432" i="6"/>
  <c r="A240" i="6"/>
  <c r="A300" i="6"/>
  <c r="A359" i="6"/>
  <c r="A160" i="6"/>
  <c r="A419" i="6"/>
  <c r="A124" i="6"/>
  <c r="A189" i="6"/>
  <c r="A378" i="6"/>
  <c r="A133" i="6"/>
  <c r="A82" i="6"/>
  <c r="A120" i="6"/>
  <c r="A221" i="6"/>
  <c r="A294" i="6"/>
  <c r="A162" i="6"/>
  <c r="A477" i="6"/>
  <c r="A243" i="6"/>
  <c r="A269" i="6"/>
  <c r="A174" i="6"/>
  <c r="A263" i="6"/>
  <c r="A284" i="6"/>
  <c r="A79" i="6"/>
  <c r="A368" i="6"/>
  <c r="A315" i="6"/>
  <c r="A261" i="6"/>
  <c r="A50" i="6"/>
  <c r="A461" i="6"/>
  <c r="A157" i="6"/>
  <c r="A32" i="6"/>
  <c r="A267" i="6"/>
  <c r="A165" i="6"/>
  <c r="A182" i="6"/>
  <c r="A153" i="6"/>
  <c r="A122" i="6"/>
  <c r="A339" i="6"/>
  <c r="A285" i="6"/>
  <c r="A163" i="6"/>
  <c r="A130" i="6"/>
  <c r="A358" i="6"/>
  <c r="A344" i="6"/>
  <c r="A375" i="6"/>
  <c r="A116" i="6"/>
  <c r="A448" i="6"/>
  <c r="A81" i="6"/>
  <c r="A495" i="6"/>
  <c r="A71" i="6"/>
  <c r="A322" i="6"/>
  <c r="A488" i="6"/>
  <c r="A144" i="6"/>
  <c r="A297" i="6"/>
  <c r="A316" i="6"/>
  <c r="A118" i="6"/>
  <c r="A464" i="6"/>
  <c r="A149" i="6"/>
  <c r="A228" i="6"/>
  <c r="A111" i="6"/>
  <c r="A310" i="6"/>
  <c r="A271" i="6"/>
  <c r="A489" i="6"/>
  <c r="A501" i="6"/>
  <c r="A391" i="6"/>
  <c r="A439" i="6"/>
  <c r="A179" i="6"/>
  <c r="A386" i="6"/>
  <c r="A475" i="6"/>
  <c r="A374" i="6"/>
  <c r="A458" i="6"/>
  <c r="A407" i="6"/>
  <c r="A278" i="6"/>
  <c r="A249" i="6"/>
  <c r="A161" i="6"/>
  <c r="A212" i="6"/>
  <c r="A420" i="6"/>
  <c r="A26" i="6"/>
  <c r="A413" i="6"/>
  <c r="A68" i="6"/>
  <c r="A234" i="6"/>
  <c r="A398" i="6"/>
  <c r="A185" i="6"/>
  <c r="A119" i="6"/>
  <c r="A388" i="6"/>
  <c r="A351" i="6"/>
  <c r="A250" i="6"/>
  <c r="A217" i="6"/>
  <c r="A103" i="6"/>
  <c r="A200" i="6"/>
  <c r="A242" i="6"/>
  <c r="A288" i="6"/>
  <c r="A69" i="6"/>
  <c r="A469" i="6"/>
  <c r="A166" i="6"/>
  <c r="A275" i="6"/>
  <c r="A365" i="6"/>
  <c r="A92" i="6"/>
  <c r="A507" i="6"/>
  <c r="A45" i="6"/>
  <c r="A43" i="6"/>
  <c r="A444" i="6"/>
  <c r="A320" i="6"/>
  <c r="A54" i="6"/>
  <c r="A317" i="6"/>
  <c r="A96" i="6"/>
  <c r="A308" i="6"/>
  <c r="A313" i="6"/>
  <c r="A247" i="6"/>
  <c r="A400" i="6"/>
  <c r="A304" i="6"/>
  <c r="A127" i="6"/>
  <c r="A102" i="6"/>
  <c r="A132" i="6"/>
  <c r="A418" i="6"/>
  <c r="A73" i="6"/>
  <c r="A411" i="6"/>
  <c r="A490" i="6"/>
  <c r="A252" i="6"/>
  <c r="A390" i="6"/>
  <c r="A373" i="6"/>
  <c r="A178" i="6"/>
  <c r="A433" i="6"/>
  <c r="A210" i="6"/>
  <c r="A347" i="6"/>
  <c r="A114" i="6"/>
  <c r="A87" i="6"/>
  <c r="A471" i="6"/>
  <c r="A493" i="6"/>
  <c r="A29" i="6"/>
  <c r="A74" i="6"/>
  <c r="A62" i="6"/>
  <c r="A63" i="6"/>
  <c r="A121" i="6"/>
  <c r="A77" i="6"/>
  <c r="A274" i="6"/>
  <c r="A303" i="6"/>
  <c r="A281" i="6"/>
  <c r="A414" i="6"/>
  <c r="A323" i="6"/>
  <c r="A430" i="6"/>
  <c r="A211" i="6"/>
  <c r="A393" i="6"/>
  <c r="A450" i="6"/>
  <c r="A218" i="6"/>
  <c r="A108" i="6"/>
  <c r="A139" i="6"/>
  <c r="A399" i="6"/>
  <c r="A380" i="6"/>
  <c r="A238" i="6"/>
  <c r="A125" i="6"/>
  <c r="A38" i="6"/>
  <c r="A95" i="6"/>
  <c r="A85" i="6"/>
  <c r="A65" i="6"/>
  <c r="A379" i="6"/>
  <c r="A403" i="6"/>
  <c r="A504" i="6"/>
  <c r="A364" i="6"/>
  <c r="A80" i="6"/>
  <c r="A425" i="6"/>
  <c r="A455" i="6"/>
  <c r="A483" i="6"/>
  <c r="A367" i="6"/>
  <c r="A99" i="6"/>
  <c r="A136" i="6"/>
  <c r="A167" i="6"/>
  <c r="A39" i="6"/>
  <c r="A270" i="6"/>
  <c r="A301" i="6"/>
  <c r="A37" i="6"/>
  <c r="A345" i="6"/>
  <c r="A64" i="6"/>
  <c r="A355" i="6"/>
  <c r="A151" i="6"/>
  <c r="A187" i="6"/>
  <c r="A251" i="6"/>
  <c r="A465" i="6"/>
  <c r="A481" i="6"/>
  <c r="A264" i="6"/>
  <c r="A143" i="6"/>
  <c r="A146" i="6"/>
  <c r="A383" i="6"/>
  <c r="A175" i="6"/>
  <c r="A319" i="6"/>
  <c r="A325" i="6"/>
  <c r="A152" i="6"/>
  <c r="A168" i="6"/>
  <c r="A349" i="6"/>
  <c r="A260" i="6"/>
  <c r="A181" i="6"/>
  <c r="A177" i="6"/>
  <c r="A203" i="6"/>
  <c r="A292" i="6"/>
  <c r="A277" i="6"/>
  <c r="A449" i="6"/>
  <c r="A466" i="6"/>
  <c r="A94" i="6"/>
  <c r="A485" i="6"/>
  <c r="A421" i="6"/>
  <c r="A332" i="6"/>
  <c r="A341" i="6"/>
  <c r="A110" i="6"/>
  <c r="A204" i="6"/>
  <c r="A302" i="6"/>
  <c r="A61" i="6"/>
  <c r="A107" i="6"/>
  <c r="A170" i="6"/>
  <c r="A452" i="6"/>
  <c r="A404" i="6"/>
  <c r="A180" i="6"/>
  <c r="A55" i="6"/>
  <c r="A41" i="6"/>
  <c r="A446" i="6"/>
  <c r="A197" i="6"/>
  <c r="A209" i="6"/>
  <c r="A500" i="6"/>
  <c r="A478" i="6"/>
  <c r="A377" i="6"/>
  <c r="A492" i="6"/>
  <c r="A445" i="6"/>
  <c r="A67" i="6"/>
  <c r="A257" i="6"/>
  <c r="A496" i="6"/>
  <c r="A423" i="6"/>
  <c r="A98" i="6"/>
  <c r="A255" i="6"/>
  <c r="A356" i="6"/>
  <c r="A171" i="6"/>
  <c r="A262" i="6"/>
  <c r="A91" i="6"/>
  <c r="A474" i="6"/>
  <c r="A36" i="6"/>
  <c r="A362" i="6"/>
  <c r="A220" i="6"/>
  <c r="A372" i="6"/>
  <c r="A123" i="6"/>
  <c r="A415" i="6"/>
  <c r="A131" i="6"/>
  <c r="A88" i="6"/>
  <c r="A233" i="6"/>
  <c r="A467" i="6"/>
  <c r="A289" i="6"/>
  <c r="A232" i="6"/>
  <c r="A230" i="6"/>
  <c r="A273" i="6"/>
  <c r="A113" i="6"/>
  <c r="A142" i="6"/>
  <c r="A335" i="6"/>
  <c r="A202" i="6"/>
  <c r="A129" i="6"/>
  <c r="A276" i="6"/>
  <c r="A93" i="6"/>
  <c r="A318" i="6"/>
  <c r="A354" i="6"/>
  <c r="A293" i="6"/>
  <c r="A309" i="6"/>
  <c r="A324" i="6"/>
  <c r="A499" i="6"/>
  <c r="A76" i="6"/>
  <c r="A266" i="6"/>
  <c r="A287" i="6"/>
  <c r="A90" i="6"/>
  <c r="A371" i="6"/>
  <c r="A286" i="6"/>
  <c r="A135" i="6"/>
  <c r="A128" i="6"/>
  <c r="A460" i="6"/>
  <c r="A279" i="6"/>
  <c r="A51" i="6"/>
  <c r="A186" i="6"/>
  <c r="A268" i="6"/>
  <c r="A66" i="6"/>
  <c r="A229" i="6"/>
  <c r="A272" i="6"/>
  <c r="A376" i="6"/>
  <c r="A72" i="6"/>
  <c r="A241" i="6"/>
  <c r="A258" i="6"/>
  <c r="A343" i="6"/>
  <c r="A424" i="6"/>
  <c r="A392" i="6"/>
  <c r="A100" i="6"/>
  <c r="A298" i="6"/>
  <c r="A476" i="6"/>
  <c r="A190" i="6"/>
  <c r="A406" i="6"/>
  <c r="A468" i="6"/>
  <c r="A328" i="6"/>
  <c r="A191" i="6"/>
  <c r="A394" i="6"/>
  <c r="A256" i="6"/>
  <c r="A408" i="6"/>
  <c r="A109" i="6"/>
  <c r="A46" i="6"/>
  <c r="O14" i="5"/>
  <c r="C14" i="6"/>
  <c r="M14" i="12"/>
  <c r="AO14" i="12"/>
  <c r="C14" i="12"/>
  <c r="O14" i="12"/>
  <c r="AB14" i="5"/>
  <c r="AA14" i="5"/>
  <c r="M22" i="6" l="1"/>
  <c r="CA22" i="6" s="1"/>
  <c r="N23" i="6"/>
  <c r="M23" i="6"/>
  <c r="M20" i="6"/>
  <c r="BC20" i="6" s="1"/>
  <c r="N21" i="6"/>
  <c r="M21" i="6"/>
  <c r="K102" i="12"/>
  <c r="F104" i="5"/>
  <c r="E104" i="5"/>
  <c r="D104" i="5"/>
  <c r="B104" i="12" s="1"/>
  <c r="AD104" i="5"/>
  <c r="B104" i="5"/>
  <c r="C105" i="5" s="1"/>
  <c r="AE104" i="5"/>
  <c r="N104" i="5"/>
  <c r="D104" i="6" s="1"/>
  <c r="H104" i="6" s="1" a="1"/>
  <c r="H104" i="6" s="1"/>
  <c r="T104" i="5" s="1"/>
  <c r="J104" i="5"/>
  <c r="G104" i="5"/>
  <c r="A104" i="12"/>
  <c r="K104" i="5"/>
  <c r="B104" i="6"/>
  <c r="H104" i="5"/>
  <c r="L103" i="12" a="1"/>
  <c r="L103" i="12" s="1"/>
  <c r="J103" i="12" a="1"/>
  <c r="J103" i="12" s="1"/>
  <c r="M88" i="6"/>
  <c r="N88" i="6"/>
  <c r="N55" i="6"/>
  <c r="M55" i="6"/>
  <c r="N38" i="6"/>
  <c r="M38" i="6"/>
  <c r="M73" i="6"/>
  <c r="N73" i="6"/>
  <c r="M54" i="6"/>
  <c r="N54" i="6"/>
  <c r="M68" i="6"/>
  <c r="N68" i="6"/>
  <c r="M75" i="6"/>
  <c r="N75" i="6"/>
  <c r="M63" i="6"/>
  <c r="N63" i="6"/>
  <c r="N51" i="6"/>
  <c r="M51" i="6"/>
  <c r="N67" i="6"/>
  <c r="M67" i="6"/>
  <c r="N56" i="6"/>
  <c r="M56" i="6"/>
  <c r="N36" i="6"/>
  <c r="M36" i="6"/>
  <c r="N94" i="6"/>
  <c r="M94" i="6"/>
  <c r="M26" i="6"/>
  <c r="N26" i="6"/>
  <c r="N50" i="6"/>
  <c r="M50" i="6"/>
  <c r="N78" i="6"/>
  <c r="M78" i="6"/>
  <c r="M64" i="6"/>
  <c r="N64" i="6"/>
  <c r="M102" i="6"/>
  <c r="N102" i="6"/>
  <c r="N43" i="6"/>
  <c r="M43" i="6"/>
  <c r="N103" i="6"/>
  <c r="M103" i="6"/>
  <c r="M89" i="6"/>
  <c r="N89" i="6"/>
  <c r="N91" i="6"/>
  <c r="M91" i="6"/>
  <c r="N80" i="6"/>
  <c r="M80" i="6"/>
  <c r="N45" i="6"/>
  <c r="M45" i="6"/>
  <c r="N46" i="6"/>
  <c r="M46" i="6"/>
  <c r="N37" i="6"/>
  <c r="M37" i="6"/>
  <c r="N77" i="6"/>
  <c r="M77" i="6"/>
  <c r="N101" i="6"/>
  <c r="M101" i="6"/>
  <c r="M83" i="6"/>
  <c r="N83" i="6"/>
  <c r="M47" i="6"/>
  <c r="N47" i="6"/>
  <c r="N93" i="6"/>
  <c r="M93" i="6"/>
  <c r="N92" i="6"/>
  <c r="M92" i="6"/>
  <c r="N71" i="6"/>
  <c r="M71" i="6"/>
  <c r="N79" i="6"/>
  <c r="M79" i="6"/>
  <c r="N82" i="6"/>
  <c r="M82" i="6"/>
  <c r="N58" i="6"/>
  <c r="M58" i="6"/>
  <c r="N70" i="6"/>
  <c r="M70" i="6"/>
  <c r="M90" i="6"/>
  <c r="N90" i="6"/>
  <c r="M39" i="6"/>
  <c r="N39" i="6"/>
  <c r="M62" i="6"/>
  <c r="N62" i="6"/>
  <c r="N81" i="6"/>
  <c r="M81" i="6"/>
  <c r="N53" i="6"/>
  <c r="M53" i="6"/>
  <c r="N98" i="6"/>
  <c r="M98" i="6"/>
  <c r="M65" i="6"/>
  <c r="N65" i="6"/>
  <c r="M74" i="6"/>
  <c r="N74" i="6"/>
  <c r="N31" i="6"/>
  <c r="M31" i="6"/>
  <c r="N34" i="6"/>
  <c r="M34" i="6"/>
  <c r="M85" i="6"/>
  <c r="N85" i="6"/>
  <c r="M29" i="6"/>
  <c r="N29" i="6"/>
  <c r="N96" i="6"/>
  <c r="M96" i="6"/>
  <c r="M35" i="6"/>
  <c r="N35" i="6"/>
  <c r="M84" i="6"/>
  <c r="N84" i="6"/>
  <c r="M33" i="6"/>
  <c r="N33" i="6"/>
  <c r="N19" i="6"/>
  <c r="M19" i="6"/>
  <c r="N97" i="6"/>
  <c r="M97" i="6"/>
  <c r="M66" i="6"/>
  <c r="N66" i="6"/>
  <c r="N76" i="6"/>
  <c r="M76" i="6"/>
  <c r="N41" i="6"/>
  <c r="M41" i="6"/>
  <c r="N99" i="6"/>
  <c r="M99" i="6"/>
  <c r="N69" i="6"/>
  <c r="M69" i="6"/>
  <c r="N32" i="6"/>
  <c r="M32" i="6"/>
  <c r="M40" i="6"/>
  <c r="N40" i="6"/>
  <c r="N86" i="6"/>
  <c r="M86" i="6"/>
  <c r="G103" i="12"/>
  <c r="N14" i="12"/>
  <c r="Y14" i="12"/>
  <c r="D14" i="12"/>
  <c r="E14" i="6"/>
  <c r="AZ22" i="6" l="1"/>
  <c r="BA22" i="6"/>
  <c r="BT22" i="6"/>
  <c r="CM22" i="6"/>
  <c r="BS22" i="6"/>
  <c r="CL22" i="6"/>
  <c r="AY22" i="6"/>
  <c r="BR22" i="6"/>
  <c r="CK22" i="6"/>
  <c r="AX22" i="6"/>
  <c r="AW22" i="6"/>
  <c r="BQ22" i="6"/>
  <c r="CJ22" i="6"/>
  <c r="AV22" i="6"/>
  <c r="BP22" i="6"/>
  <c r="CI22" i="6"/>
  <c r="BO22" i="6"/>
  <c r="CH22" i="6"/>
  <c r="AU22" i="6"/>
  <c r="BM22" i="6"/>
  <c r="CF22" i="6"/>
  <c r="AT22" i="6"/>
  <c r="BN22" i="6"/>
  <c r="CG22" i="6"/>
  <c r="BL22" i="6"/>
  <c r="CE22" i="6"/>
  <c r="CD22" i="6"/>
  <c r="BK22" i="6"/>
  <c r="CB22" i="6"/>
  <c r="BI22" i="6"/>
  <c r="BH22" i="6"/>
  <c r="BZ22" i="6"/>
  <c r="BG22" i="6"/>
  <c r="BY22" i="6"/>
  <c r="BF22" i="6"/>
  <c r="BE22" i="6"/>
  <c r="BX22" i="6"/>
  <c r="BV22" i="6"/>
  <c r="BW22" i="6"/>
  <c r="BJ22" i="6"/>
  <c r="CC22" i="6"/>
  <c r="BC22" i="6"/>
  <c r="BD22" i="6"/>
  <c r="CK20" i="6"/>
  <c r="CG20" i="6"/>
  <c r="AX20" i="6"/>
  <c r="AW20" i="6"/>
  <c r="BK20" i="6"/>
  <c r="CJ20" i="6"/>
  <c r="BJ20" i="6"/>
  <c r="BQ20" i="6"/>
  <c r="BI20" i="6"/>
  <c r="BP20" i="6"/>
  <c r="CA20" i="6"/>
  <c r="BT20" i="6"/>
  <c r="CI20" i="6"/>
  <c r="BH20" i="6"/>
  <c r="CM20" i="6"/>
  <c r="CH20" i="6"/>
  <c r="BZ20" i="6"/>
  <c r="AZ20" i="6"/>
  <c r="BM20" i="6"/>
  <c r="BG20" i="6"/>
  <c r="AY20" i="6"/>
  <c r="CF20" i="6"/>
  <c r="BX20" i="6"/>
  <c r="CD20" i="6"/>
  <c r="CL20" i="6"/>
  <c r="AT20" i="6"/>
  <c r="BW20" i="6"/>
  <c r="BW23" i="6"/>
  <c r="BV23" i="6"/>
  <c r="BD23" i="6"/>
  <c r="BC23" i="6"/>
  <c r="BE23" i="6"/>
  <c r="BX23" i="6"/>
  <c r="BF23" i="6"/>
  <c r="BY23" i="6"/>
  <c r="BG23" i="6"/>
  <c r="BZ23" i="6"/>
  <c r="BH23" i="6"/>
  <c r="CA23" i="6"/>
  <c r="BI23" i="6"/>
  <c r="CB23" i="6"/>
  <c r="CC23" i="6"/>
  <c r="BJ23" i="6"/>
  <c r="BK23" i="6"/>
  <c r="CD23" i="6"/>
  <c r="CE23" i="6"/>
  <c r="BL23" i="6"/>
  <c r="AT23" i="6"/>
  <c r="BM23" i="6"/>
  <c r="CG23" i="6"/>
  <c r="CF23" i="6"/>
  <c r="BN23" i="6"/>
  <c r="AU23" i="6"/>
  <c r="BO23" i="6"/>
  <c r="CH23" i="6"/>
  <c r="AV23" i="6"/>
  <c r="CI23" i="6"/>
  <c r="BP23" i="6"/>
  <c r="CJ23" i="6"/>
  <c r="AW23" i="6"/>
  <c r="BQ23" i="6"/>
  <c r="CK23" i="6"/>
  <c r="BR23" i="6"/>
  <c r="AX23" i="6"/>
  <c r="CL23" i="6"/>
  <c r="AY23" i="6"/>
  <c r="BS23" i="6"/>
  <c r="CM23" i="6"/>
  <c r="BA23" i="6"/>
  <c r="BT23" i="6"/>
  <c r="AZ23" i="6"/>
  <c r="BR20" i="6"/>
  <c r="BN20" i="6"/>
  <c r="BL20" i="6"/>
  <c r="BY20" i="6"/>
  <c r="BA20" i="6"/>
  <c r="AV20" i="6"/>
  <c r="CE20" i="6"/>
  <c r="BF20" i="6"/>
  <c r="BE20" i="6"/>
  <c r="BD20" i="6"/>
  <c r="BO20" i="6"/>
  <c r="CC20" i="6"/>
  <c r="BV20" i="6"/>
  <c r="BS20" i="6"/>
  <c r="AU20" i="6"/>
  <c r="CB20" i="6"/>
  <c r="BD21" i="6"/>
  <c r="BC21" i="6"/>
  <c r="BW21" i="6"/>
  <c r="BV21" i="6"/>
  <c r="BE21" i="6"/>
  <c r="BX21" i="6"/>
  <c r="BF21" i="6"/>
  <c r="BY21" i="6"/>
  <c r="BG21" i="6"/>
  <c r="BZ21" i="6"/>
  <c r="BH21" i="6"/>
  <c r="CA21" i="6"/>
  <c r="BI21" i="6"/>
  <c r="CB21" i="6"/>
  <c r="CC21" i="6"/>
  <c r="BJ21" i="6"/>
  <c r="BK21" i="6"/>
  <c r="CD21" i="6"/>
  <c r="BL21" i="6"/>
  <c r="CE21" i="6"/>
  <c r="BM21" i="6"/>
  <c r="AT21" i="6"/>
  <c r="CF21" i="6"/>
  <c r="BN21" i="6"/>
  <c r="CG21" i="6"/>
  <c r="CH21" i="6"/>
  <c r="AU21" i="6"/>
  <c r="BO21" i="6"/>
  <c r="CI21" i="6"/>
  <c r="BP21" i="6"/>
  <c r="AV21" i="6"/>
  <c r="CJ21" i="6"/>
  <c r="AW21" i="6"/>
  <c r="BQ21" i="6"/>
  <c r="BR21" i="6"/>
  <c r="CK21" i="6"/>
  <c r="AX21" i="6"/>
  <c r="CL21" i="6"/>
  <c r="BS21" i="6"/>
  <c r="AY21" i="6"/>
  <c r="CM21" i="6"/>
  <c r="AZ21" i="6"/>
  <c r="BA21" i="6"/>
  <c r="BT21" i="6"/>
  <c r="J104" i="12" a="1"/>
  <c r="J104" i="12" s="1"/>
  <c r="L104" i="12" a="1"/>
  <c r="L104" i="12" s="1"/>
  <c r="M104" i="6"/>
  <c r="CB104" i="6" s="1"/>
  <c r="F105" i="5"/>
  <c r="W105" i="5"/>
  <c r="H105" i="12" s="1"/>
  <c r="I105" i="5"/>
  <c r="E105" i="5"/>
  <c r="A105" i="12"/>
  <c r="B105" i="6"/>
  <c r="J105" i="6" s="1" a="1"/>
  <c r="J105" i="6" s="1"/>
  <c r="B105" i="5"/>
  <c r="C106" i="5" s="1"/>
  <c r="AE105" i="5"/>
  <c r="N105" i="5"/>
  <c r="D105" i="6" s="1"/>
  <c r="AD105" i="5"/>
  <c r="H105" i="5"/>
  <c r="G105" i="5"/>
  <c r="N104" i="6"/>
  <c r="K103" i="12"/>
  <c r="BR97" i="6"/>
  <c r="BK97" i="6"/>
  <c r="CB97" i="6"/>
  <c r="CA97" i="6"/>
  <c r="BQ97" i="6"/>
  <c r="BG97" i="6"/>
  <c r="CK97" i="6"/>
  <c r="BP97" i="6"/>
  <c r="BX97" i="6"/>
  <c r="CE97" i="6"/>
  <c r="BC97" i="6"/>
  <c r="BO97" i="6"/>
  <c r="CL97" i="6"/>
  <c r="BN97" i="6"/>
  <c r="BF97" i="6"/>
  <c r="AZ97" i="6"/>
  <c r="BD97" i="6"/>
  <c r="BT97" i="6"/>
  <c r="CI97" i="6"/>
  <c r="BM97" i="6"/>
  <c r="BW97" i="6"/>
  <c r="CC97" i="6"/>
  <c r="BS97" i="6"/>
  <c r="BH97" i="6"/>
  <c r="CH97" i="6"/>
  <c r="CD97" i="6"/>
  <c r="BZ97" i="6"/>
  <c r="AX97" i="6"/>
  <c r="BJ97" i="6"/>
  <c r="CG97" i="6"/>
  <c r="BV97" i="6"/>
  <c r="BI97" i="6"/>
  <c r="BE97" i="6"/>
  <c r="CF97" i="6"/>
  <c r="CM97" i="6"/>
  <c r="BL97" i="6"/>
  <c r="BY97" i="6"/>
  <c r="CJ97" i="6"/>
  <c r="AT97" i="6"/>
  <c r="AW97" i="6"/>
  <c r="AU97" i="6"/>
  <c r="BA97" i="6"/>
  <c r="AY97" i="6"/>
  <c r="AV97" i="6"/>
  <c r="G104" i="12"/>
  <c r="BQ37" i="6"/>
  <c r="CI37" i="6"/>
  <c r="BP37" i="6"/>
  <c r="BY37" i="6"/>
  <c r="BK37" i="6"/>
  <c r="BO37" i="6"/>
  <c r="BD37" i="6"/>
  <c r="CB37" i="6"/>
  <c r="BN37" i="6"/>
  <c r="CH37" i="6"/>
  <c r="BG37" i="6"/>
  <c r="BM37" i="6"/>
  <c r="CE37" i="6"/>
  <c r="CL37" i="6"/>
  <c r="CA37" i="6"/>
  <c r="CJ37" i="6"/>
  <c r="BC37" i="6"/>
  <c r="CM37" i="6"/>
  <c r="BX37" i="6"/>
  <c r="BJ37" i="6"/>
  <c r="CK37" i="6"/>
  <c r="BF37" i="6"/>
  <c r="CG37" i="6"/>
  <c r="BW37" i="6"/>
  <c r="BT37" i="6"/>
  <c r="BZ37" i="6"/>
  <c r="CF37" i="6"/>
  <c r="CD37" i="6"/>
  <c r="BI37" i="6"/>
  <c r="BV37" i="6"/>
  <c r="BS37" i="6"/>
  <c r="BE37" i="6"/>
  <c r="BR37" i="6"/>
  <c r="BL37" i="6"/>
  <c r="CC37" i="6"/>
  <c r="BH37" i="6"/>
  <c r="CK91" i="6"/>
  <c r="BP91" i="6"/>
  <c r="CD91" i="6"/>
  <c r="BZ91" i="6"/>
  <c r="CJ91" i="6"/>
  <c r="BO91" i="6"/>
  <c r="BI91" i="6"/>
  <c r="BE91" i="6"/>
  <c r="BL91" i="6"/>
  <c r="CM91" i="6"/>
  <c r="BN91" i="6"/>
  <c r="BD91" i="6"/>
  <c r="BG91" i="6"/>
  <c r="BJ91" i="6"/>
  <c r="CA91" i="6"/>
  <c r="CL91" i="6"/>
  <c r="BM91" i="6"/>
  <c r="CC91" i="6"/>
  <c r="BY91" i="6"/>
  <c r="BK91" i="6"/>
  <c r="CI91" i="6"/>
  <c r="BH91" i="6"/>
  <c r="CH91" i="6"/>
  <c r="BQ91" i="6"/>
  <c r="BS91" i="6"/>
  <c r="BT91" i="6"/>
  <c r="CG91" i="6"/>
  <c r="CB91" i="6"/>
  <c r="BX91" i="6"/>
  <c r="CE91" i="6"/>
  <c r="CF91" i="6"/>
  <c r="BV91" i="6"/>
  <c r="BC91" i="6"/>
  <c r="BF91" i="6"/>
  <c r="AW91" i="6"/>
  <c r="BR91" i="6"/>
  <c r="BW91" i="6"/>
  <c r="AV91" i="6"/>
  <c r="AT91" i="6"/>
  <c r="AZ91" i="6"/>
  <c r="BA91" i="6"/>
  <c r="AU91" i="6"/>
  <c r="AY91" i="6"/>
  <c r="AX91" i="6"/>
  <c r="CM103" i="6"/>
  <c r="BO103" i="6"/>
  <c r="CC103" i="6"/>
  <c r="BY103" i="6"/>
  <c r="BK103" i="6"/>
  <c r="BJ103" i="6"/>
  <c r="BS103" i="6"/>
  <c r="BN103" i="6"/>
  <c r="AW103" i="6"/>
  <c r="BZ103" i="6"/>
  <c r="CF103" i="6"/>
  <c r="CL103" i="6"/>
  <c r="BH103" i="6"/>
  <c r="BD103" i="6"/>
  <c r="CI103" i="6"/>
  <c r="CG103" i="6"/>
  <c r="BG103" i="6"/>
  <c r="BC103" i="6"/>
  <c r="AZ103" i="6"/>
  <c r="AY103" i="6"/>
  <c r="BF103" i="6"/>
  <c r="BV103" i="6"/>
  <c r="BT103" i="6"/>
  <c r="CJ103" i="6"/>
  <c r="BE103" i="6"/>
  <c r="BP103" i="6"/>
  <c r="CH103" i="6"/>
  <c r="CB103" i="6"/>
  <c r="BX103" i="6"/>
  <c r="CE103" i="6"/>
  <c r="BR103" i="6"/>
  <c r="CA103" i="6"/>
  <c r="BW103" i="6"/>
  <c r="AX103" i="6"/>
  <c r="BM103" i="6"/>
  <c r="CK103" i="6"/>
  <c r="CD103" i="6"/>
  <c r="BQ103" i="6"/>
  <c r="BI103" i="6"/>
  <c r="BL103" i="6"/>
  <c r="AT103" i="6"/>
  <c r="AU103" i="6"/>
  <c r="BA103" i="6"/>
  <c r="AV103" i="6"/>
  <c r="CG26" i="6"/>
  <c r="CI26" i="6"/>
  <c r="BC26" i="6"/>
  <c r="CD26" i="6"/>
  <c r="BV26" i="6"/>
  <c r="BG26" i="6"/>
  <c r="BL26" i="6"/>
  <c r="BE26" i="6"/>
  <c r="CH26" i="6"/>
  <c r="BP26" i="6"/>
  <c r="BQ26" i="6"/>
  <c r="CJ26" i="6"/>
  <c r="BI26" i="6"/>
  <c r="BO26" i="6"/>
  <c r="CL26" i="6"/>
  <c r="CM26" i="6"/>
  <c r="BF26" i="6"/>
  <c r="CE26" i="6"/>
  <c r="BR26" i="6"/>
  <c r="BW26" i="6"/>
  <c r="BJ26" i="6"/>
  <c r="CF26" i="6"/>
  <c r="CA26" i="6"/>
  <c r="BX26" i="6"/>
  <c r="BS26" i="6"/>
  <c r="CB26" i="6"/>
  <c r="BZ26" i="6"/>
  <c r="CK26" i="6"/>
  <c r="BK26" i="6"/>
  <c r="BM26" i="6"/>
  <c r="BD26" i="6"/>
  <c r="BY26" i="6"/>
  <c r="BT26" i="6"/>
  <c r="BH26" i="6"/>
  <c r="CC26" i="6"/>
  <c r="BN26" i="6"/>
  <c r="AT26" i="6"/>
  <c r="AU26" i="6"/>
  <c r="AV26" i="6"/>
  <c r="AW26" i="6"/>
  <c r="AX26" i="6"/>
  <c r="AY26" i="6"/>
  <c r="BA26" i="6"/>
  <c r="AZ26" i="6"/>
  <c r="CL67" i="6"/>
  <c r="BH67" i="6"/>
  <c r="CK67" i="6"/>
  <c r="BY67" i="6"/>
  <c r="BG67" i="6"/>
  <c r="BW67" i="6"/>
  <c r="CJ67" i="6"/>
  <c r="BD67" i="6"/>
  <c r="BT67" i="6"/>
  <c r="BF67" i="6"/>
  <c r="BV67" i="6"/>
  <c r="BS67" i="6"/>
  <c r="AY67" i="6"/>
  <c r="BX67" i="6"/>
  <c r="BR67" i="6"/>
  <c r="BC67" i="6"/>
  <c r="CE67" i="6"/>
  <c r="BQ67" i="6"/>
  <c r="CI67" i="6"/>
  <c r="BP67" i="6"/>
  <c r="CD67" i="6"/>
  <c r="BK67" i="6"/>
  <c r="CC67" i="6"/>
  <c r="CH67" i="6"/>
  <c r="BO67" i="6"/>
  <c r="BI67" i="6"/>
  <c r="CG67" i="6"/>
  <c r="BN67" i="6"/>
  <c r="CB67" i="6"/>
  <c r="CF67" i="6"/>
  <c r="BM67" i="6"/>
  <c r="BZ67" i="6"/>
  <c r="BL67" i="6"/>
  <c r="CM67" i="6"/>
  <c r="BE67" i="6"/>
  <c r="BJ67" i="6"/>
  <c r="CA67" i="6"/>
  <c r="AV67" i="6"/>
  <c r="AX67" i="6"/>
  <c r="AU67" i="6"/>
  <c r="AT67" i="6"/>
  <c r="AW67" i="6"/>
  <c r="AZ67" i="6"/>
  <c r="BA67" i="6"/>
  <c r="CF68" i="6"/>
  <c r="BI68" i="6"/>
  <c r="BC68" i="6"/>
  <c r="BL68" i="6"/>
  <c r="CD68" i="6"/>
  <c r="BT68" i="6"/>
  <c r="BY68" i="6"/>
  <c r="BD68" i="6"/>
  <c r="BS68" i="6"/>
  <c r="CC68" i="6"/>
  <c r="CB68" i="6"/>
  <c r="BK68" i="6"/>
  <c r="BH68" i="6"/>
  <c r="BQ68" i="6"/>
  <c r="CA68" i="6"/>
  <c r="CM68" i="6"/>
  <c r="BW68" i="6"/>
  <c r="BM68" i="6"/>
  <c r="BG68" i="6"/>
  <c r="BR68" i="6"/>
  <c r="BP68" i="6"/>
  <c r="BV68" i="6"/>
  <c r="BJ68" i="6"/>
  <c r="BX68" i="6"/>
  <c r="CL68" i="6"/>
  <c r="BO68" i="6"/>
  <c r="BZ68" i="6"/>
  <c r="CK68" i="6"/>
  <c r="BN68" i="6"/>
  <c r="CE68" i="6"/>
  <c r="CJ68" i="6"/>
  <c r="CG68" i="6"/>
  <c r="BE68" i="6"/>
  <c r="CI68" i="6"/>
  <c r="BF68" i="6"/>
  <c r="CH68" i="6"/>
  <c r="AU68" i="6"/>
  <c r="AT68" i="6"/>
  <c r="AX68" i="6"/>
  <c r="AW68" i="6"/>
  <c r="AY68" i="6"/>
  <c r="AZ68" i="6"/>
  <c r="AV68" i="6"/>
  <c r="BA68" i="6"/>
  <c r="CG29" i="6"/>
  <c r="BM29" i="6"/>
  <c r="CB29" i="6"/>
  <c r="BX29" i="6"/>
  <c r="BD29" i="6"/>
  <c r="CF29" i="6"/>
  <c r="BG29" i="6"/>
  <c r="BC29" i="6"/>
  <c r="CI29" i="6"/>
  <c r="CE29" i="6"/>
  <c r="CK29" i="6"/>
  <c r="BJ29" i="6"/>
  <c r="CA29" i="6"/>
  <c r="BW29" i="6"/>
  <c r="CJ29" i="6"/>
  <c r="BF29" i="6"/>
  <c r="BT29" i="6"/>
  <c r="BV29" i="6"/>
  <c r="BO29" i="6"/>
  <c r="BS29" i="6"/>
  <c r="CD29" i="6"/>
  <c r="BZ29" i="6"/>
  <c r="BR29" i="6"/>
  <c r="BI29" i="6"/>
  <c r="BE29" i="6"/>
  <c r="BH29" i="6"/>
  <c r="BQ29" i="6"/>
  <c r="CM29" i="6"/>
  <c r="BP29" i="6"/>
  <c r="BL29" i="6"/>
  <c r="CC29" i="6"/>
  <c r="BY29" i="6"/>
  <c r="CL29" i="6"/>
  <c r="CH29" i="6"/>
  <c r="BN29" i="6"/>
  <c r="BK29" i="6"/>
  <c r="AT29" i="6"/>
  <c r="AU29" i="6"/>
  <c r="AV29" i="6"/>
  <c r="AW29" i="6"/>
  <c r="AX29" i="6"/>
  <c r="AY29" i="6"/>
  <c r="AZ29" i="6"/>
  <c r="BA29" i="6"/>
  <c r="CF65" i="6"/>
  <c r="BT65" i="6"/>
  <c r="BL65" i="6"/>
  <c r="CC65" i="6"/>
  <c r="BK65" i="6"/>
  <c r="BO65" i="6"/>
  <c r="BS65" i="6"/>
  <c r="BZ65" i="6"/>
  <c r="BE65" i="6"/>
  <c r="BP65" i="6"/>
  <c r="BR65" i="6"/>
  <c r="BJ65" i="6"/>
  <c r="BH65" i="6"/>
  <c r="CI65" i="6"/>
  <c r="BX65" i="6"/>
  <c r="BQ65" i="6"/>
  <c r="BI65" i="6"/>
  <c r="CM65" i="6"/>
  <c r="BV65" i="6"/>
  <c r="CL65" i="6"/>
  <c r="CE65" i="6"/>
  <c r="CK65" i="6"/>
  <c r="BN65" i="6"/>
  <c r="BY65" i="6"/>
  <c r="BD65" i="6"/>
  <c r="BG65" i="6"/>
  <c r="CA65" i="6"/>
  <c r="BW65" i="6"/>
  <c r="CD65" i="6"/>
  <c r="AW65" i="6"/>
  <c r="BF65" i="6"/>
  <c r="CJ65" i="6"/>
  <c r="BM65" i="6"/>
  <c r="CB65" i="6"/>
  <c r="BC65" i="6"/>
  <c r="CG65" i="6"/>
  <c r="CH65" i="6"/>
  <c r="AV65" i="6"/>
  <c r="AT65" i="6"/>
  <c r="AU65" i="6"/>
  <c r="AX65" i="6"/>
  <c r="AY65" i="6"/>
  <c r="AZ65" i="6"/>
  <c r="BA65" i="6"/>
  <c r="BS53" i="6"/>
  <c r="BH53" i="6"/>
  <c r="CM53" i="6"/>
  <c r="BK53" i="6"/>
  <c r="BF53" i="6"/>
  <c r="BR53" i="6"/>
  <c r="BX53" i="6"/>
  <c r="CE53" i="6"/>
  <c r="BP53" i="6"/>
  <c r="BO53" i="6"/>
  <c r="BQ53" i="6"/>
  <c r="BW53" i="6"/>
  <c r="CL53" i="6"/>
  <c r="CD53" i="6"/>
  <c r="CH53" i="6"/>
  <c r="BN53" i="6"/>
  <c r="BD53" i="6"/>
  <c r="BV53" i="6"/>
  <c r="BJ53" i="6"/>
  <c r="CG53" i="6"/>
  <c r="BM53" i="6"/>
  <c r="CB53" i="6"/>
  <c r="CC53" i="6"/>
  <c r="CJ53" i="6"/>
  <c r="CF53" i="6"/>
  <c r="BG53" i="6"/>
  <c r="BC53" i="6"/>
  <c r="BL53" i="6"/>
  <c r="CI53" i="6"/>
  <c r="CA53" i="6"/>
  <c r="CK53" i="6"/>
  <c r="BZ53" i="6"/>
  <c r="BE53" i="6"/>
  <c r="BT53" i="6"/>
  <c r="BY53" i="6"/>
  <c r="BI53" i="6"/>
  <c r="AT53" i="6"/>
  <c r="AU53" i="6"/>
  <c r="AV53" i="6"/>
  <c r="AW53" i="6"/>
  <c r="AX53" i="6"/>
  <c r="AY53" i="6"/>
  <c r="BA53" i="6"/>
  <c r="AZ53" i="6"/>
  <c r="CM79" i="6"/>
  <c r="BH79" i="6"/>
  <c r="BD79" i="6"/>
  <c r="CC79" i="6"/>
  <c r="CL79" i="6"/>
  <c r="CK79" i="6"/>
  <c r="CB79" i="6"/>
  <c r="BX79" i="6"/>
  <c r="CE79" i="6"/>
  <c r="CF79" i="6"/>
  <c r="CJ79" i="6"/>
  <c r="BG79" i="6"/>
  <c r="BC79" i="6"/>
  <c r="BJ79" i="6"/>
  <c r="BS79" i="6"/>
  <c r="BM79" i="6"/>
  <c r="BR79" i="6"/>
  <c r="CA79" i="6"/>
  <c r="BW79" i="6"/>
  <c r="BT79" i="6"/>
  <c r="BF79" i="6"/>
  <c r="BQ79" i="6"/>
  <c r="BV79" i="6"/>
  <c r="CI79" i="6"/>
  <c r="BP79" i="6"/>
  <c r="CD79" i="6"/>
  <c r="BZ79" i="6"/>
  <c r="BK79" i="6"/>
  <c r="CH79" i="6"/>
  <c r="BO79" i="6"/>
  <c r="BI79" i="6"/>
  <c r="BE79" i="6"/>
  <c r="BL79" i="6"/>
  <c r="CG79" i="6"/>
  <c r="BN79" i="6"/>
  <c r="BY79" i="6"/>
  <c r="AW79" i="6"/>
  <c r="BA79" i="6"/>
  <c r="AV79" i="6"/>
  <c r="AT79" i="6"/>
  <c r="AX79" i="6"/>
  <c r="AU79" i="6"/>
  <c r="AZ79" i="6"/>
  <c r="AY79" i="6"/>
  <c r="BS94" i="6"/>
  <c r="BR94" i="6"/>
  <c r="CD94" i="6"/>
  <c r="BZ94" i="6"/>
  <c r="BV94" i="6"/>
  <c r="BN94" i="6"/>
  <c r="BI94" i="6"/>
  <c r="BE94" i="6"/>
  <c r="BM94" i="6"/>
  <c r="BA94" i="6"/>
  <c r="CK94" i="6"/>
  <c r="BT94" i="6"/>
  <c r="BL94" i="6"/>
  <c r="CC94" i="6"/>
  <c r="BY94" i="6"/>
  <c r="CG94" i="6"/>
  <c r="BF94" i="6"/>
  <c r="CJ94" i="6"/>
  <c r="BQ94" i="6"/>
  <c r="BH94" i="6"/>
  <c r="BD94" i="6"/>
  <c r="CF94" i="6"/>
  <c r="BP94" i="6"/>
  <c r="BK94" i="6"/>
  <c r="CM94" i="6"/>
  <c r="BO94" i="6"/>
  <c r="CB94" i="6"/>
  <c r="BX94" i="6"/>
  <c r="CL94" i="6"/>
  <c r="BG94" i="6"/>
  <c r="BC94" i="6"/>
  <c r="CI94" i="6"/>
  <c r="CE94" i="6"/>
  <c r="CH94" i="6"/>
  <c r="BJ94" i="6"/>
  <c r="CA94" i="6"/>
  <c r="BW94" i="6"/>
  <c r="AU94" i="6"/>
  <c r="AT94" i="6"/>
  <c r="AW94" i="6"/>
  <c r="AV94" i="6"/>
  <c r="AY94" i="6"/>
  <c r="AZ94" i="6"/>
  <c r="AX94" i="6"/>
  <c r="BJ19" i="6"/>
  <c r="CJ19" i="6"/>
  <c r="BL19" i="6"/>
  <c r="BF19" i="6"/>
  <c r="BR19" i="6"/>
  <c r="BQ19" i="6"/>
  <c r="CH19" i="6"/>
  <c r="CC19" i="6"/>
  <c r="CI19" i="6"/>
  <c r="CB19" i="6"/>
  <c r="BN19" i="6"/>
  <c r="BH19" i="6"/>
  <c r="BI19" i="6"/>
  <c r="BX19" i="6"/>
  <c r="BV19" i="6"/>
  <c r="BW19" i="6"/>
  <c r="CF19" i="6"/>
  <c r="BE19" i="6"/>
  <c r="CM19" i="6"/>
  <c r="BD19" i="6"/>
  <c r="BG19" i="6"/>
  <c r="BY19" i="6"/>
  <c r="BS19" i="6"/>
  <c r="BP19" i="6"/>
  <c r="CG19" i="6"/>
  <c r="BT19" i="6"/>
  <c r="BM19" i="6"/>
  <c r="CD19" i="6"/>
  <c r="CE19" i="6"/>
  <c r="CL19" i="6"/>
  <c r="BZ19" i="6"/>
  <c r="CA19" i="6"/>
  <c r="BO19" i="6"/>
  <c r="CK19" i="6"/>
  <c r="BK19" i="6"/>
  <c r="BC19" i="6"/>
  <c r="AT19" i="6"/>
  <c r="AU19" i="6"/>
  <c r="AV19" i="6"/>
  <c r="AW19" i="6"/>
  <c r="AX19" i="6"/>
  <c r="AY19" i="6"/>
  <c r="BA19" i="6"/>
  <c r="AZ19" i="6"/>
  <c r="BD98" i="6"/>
  <c r="BO98" i="6"/>
  <c r="BJ98" i="6"/>
  <c r="CK98" i="6"/>
  <c r="BQ98" i="6"/>
  <c r="CB98" i="6"/>
  <c r="BX98" i="6"/>
  <c r="CJ98" i="6"/>
  <c r="CE98" i="6"/>
  <c r="CI98" i="6"/>
  <c r="BG98" i="6"/>
  <c r="BC98" i="6"/>
  <c r="CH98" i="6"/>
  <c r="CM98" i="6"/>
  <c r="BS98" i="6"/>
  <c r="CC98" i="6"/>
  <c r="BK98" i="6"/>
  <c r="CL98" i="6"/>
  <c r="BR98" i="6"/>
  <c r="BH98" i="6"/>
  <c r="CG98" i="6"/>
  <c r="CA98" i="6"/>
  <c r="BW98" i="6"/>
  <c r="BT98" i="6"/>
  <c r="BY98" i="6"/>
  <c r="CF98" i="6"/>
  <c r="BF98" i="6"/>
  <c r="CD98" i="6"/>
  <c r="BM98" i="6"/>
  <c r="BE98" i="6"/>
  <c r="BP98" i="6"/>
  <c r="BV98" i="6"/>
  <c r="BI98" i="6"/>
  <c r="BN98" i="6"/>
  <c r="BZ98" i="6"/>
  <c r="BL98" i="6"/>
  <c r="AX98" i="6"/>
  <c r="AT98" i="6"/>
  <c r="AU98" i="6"/>
  <c r="AV98" i="6"/>
  <c r="AZ98" i="6"/>
  <c r="AW98" i="6"/>
  <c r="BA98" i="6"/>
  <c r="AY98" i="6"/>
  <c r="CJ43" i="6"/>
  <c r="BN43" i="6"/>
  <c r="BF43" i="6"/>
  <c r="BM43" i="6"/>
  <c r="BV43" i="6"/>
  <c r="CG43" i="6"/>
  <c r="CM43" i="6"/>
  <c r="CL43" i="6"/>
  <c r="CD43" i="6"/>
  <c r="BL43" i="6"/>
  <c r="BJ43" i="6"/>
  <c r="BZ43" i="6"/>
  <c r="BW43" i="6"/>
  <c r="CK43" i="6"/>
  <c r="BI43" i="6"/>
  <c r="BE43" i="6"/>
  <c r="CF43" i="6"/>
  <c r="CC43" i="6"/>
  <c r="BY43" i="6"/>
  <c r="BK43" i="6"/>
  <c r="BT43" i="6"/>
  <c r="BH43" i="6"/>
  <c r="BD43" i="6"/>
  <c r="BS43" i="6"/>
  <c r="BX43" i="6"/>
  <c r="BG43" i="6"/>
  <c r="BR43" i="6"/>
  <c r="CB43" i="6"/>
  <c r="BC43" i="6"/>
  <c r="BQ43" i="6"/>
  <c r="CI43" i="6"/>
  <c r="BP43" i="6"/>
  <c r="CE43" i="6"/>
  <c r="CH43" i="6"/>
  <c r="BO43" i="6"/>
  <c r="CA43" i="6"/>
  <c r="AT43" i="6"/>
  <c r="AU43" i="6"/>
  <c r="AV43" i="6"/>
  <c r="AW43" i="6"/>
  <c r="AX43" i="6"/>
  <c r="AY43" i="6"/>
  <c r="AZ43" i="6"/>
  <c r="BA43" i="6"/>
  <c r="CK51" i="6"/>
  <c r="BS51" i="6"/>
  <c r="BG51" i="6"/>
  <c r="CA51" i="6"/>
  <c r="CJ51" i="6"/>
  <c r="BR51" i="6"/>
  <c r="BX51" i="6"/>
  <c r="BJ51" i="6"/>
  <c r="BE51" i="6"/>
  <c r="CF51" i="6"/>
  <c r="BQ51" i="6"/>
  <c r="CM51" i="6"/>
  <c r="BW51" i="6"/>
  <c r="CE51" i="6"/>
  <c r="BZ51" i="6"/>
  <c r="CI51" i="6"/>
  <c r="BI51" i="6"/>
  <c r="BD51" i="6"/>
  <c r="CH51" i="6"/>
  <c r="BV51" i="6"/>
  <c r="CG51" i="6"/>
  <c r="CD51" i="6"/>
  <c r="BY51" i="6"/>
  <c r="BP51" i="6"/>
  <c r="BL51" i="6"/>
  <c r="BH51" i="6"/>
  <c r="BC51" i="6"/>
  <c r="CC51" i="6"/>
  <c r="BO51" i="6"/>
  <c r="BN51" i="6"/>
  <c r="BM51" i="6"/>
  <c r="BK51" i="6"/>
  <c r="BF51" i="6"/>
  <c r="CL51" i="6"/>
  <c r="BT51" i="6"/>
  <c r="CB51" i="6"/>
  <c r="AT51" i="6"/>
  <c r="AU51" i="6"/>
  <c r="AV51" i="6"/>
  <c r="AW51" i="6"/>
  <c r="AX51" i="6"/>
  <c r="AY51" i="6"/>
  <c r="BA51" i="6"/>
  <c r="AZ51" i="6"/>
  <c r="BP54" i="6"/>
  <c r="BO54" i="6"/>
  <c r="CA54" i="6"/>
  <c r="BG54" i="6"/>
  <c r="BN54" i="6"/>
  <c r="BF54" i="6"/>
  <c r="BE54" i="6"/>
  <c r="BM54" i="6"/>
  <c r="BW54" i="6"/>
  <c r="CD54" i="6"/>
  <c r="BJ54" i="6"/>
  <c r="CL54" i="6"/>
  <c r="BT54" i="6"/>
  <c r="BY54" i="6"/>
  <c r="BC54" i="6"/>
  <c r="CK54" i="6"/>
  <c r="BS54" i="6"/>
  <c r="BD54" i="6"/>
  <c r="BV54" i="6"/>
  <c r="CJ54" i="6"/>
  <c r="BR54" i="6"/>
  <c r="CC54" i="6"/>
  <c r="CF54" i="6"/>
  <c r="BQ54" i="6"/>
  <c r="BL54" i="6"/>
  <c r="BK54" i="6"/>
  <c r="CM54" i="6"/>
  <c r="CB54" i="6"/>
  <c r="CI54" i="6"/>
  <c r="CE54" i="6"/>
  <c r="BI54" i="6"/>
  <c r="BX54" i="6"/>
  <c r="CH54" i="6"/>
  <c r="BZ54" i="6"/>
  <c r="CG54" i="6"/>
  <c r="BH54" i="6"/>
  <c r="AT54" i="6"/>
  <c r="AU54" i="6"/>
  <c r="AV54" i="6"/>
  <c r="AW54" i="6"/>
  <c r="AX54" i="6"/>
  <c r="AY54" i="6"/>
  <c r="AZ54" i="6"/>
  <c r="BA54" i="6"/>
  <c r="BQ85" i="6"/>
  <c r="BG85" i="6"/>
  <c r="BC85" i="6"/>
  <c r="BJ85" i="6"/>
  <c r="CA85" i="6"/>
  <c r="AU85" i="6"/>
  <c r="CI85" i="6"/>
  <c r="BP85" i="6"/>
  <c r="BX85" i="6"/>
  <c r="CE85" i="6"/>
  <c r="BO85" i="6"/>
  <c r="CH85" i="6"/>
  <c r="BV85" i="6"/>
  <c r="CG85" i="6"/>
  <c r="BN85" i="6"/>
  <c r="BF85" i="6"/>
  <c r="BI85" i="6"/>
  <c r="CF85" i="6"/>
  <c r="BM85" i="6"/>
  <c r="BW85" i="6"/>
  <c r="BE85" i="6"/>
  <c r="CM85" i="6"/>
  <c r="CD85" i="6"/>
  <c r="BZ85" i="6"/>
  <c r="CL85" i="6"/>
  <c r="CK85" i="6"/>
  <c r="AT85" i="6"/>
  <c r="CJ85" i="6"/>
  <c r="BA85" i="6"/>
  <c r="BL85" i="6"/>
  <c r="CC85" i="6"/>
  <c r="BY85" i="6"/>
  <c r="BS85" i="6"/>
  <c r="AZ85" i="6"/>
  <c r="BH85" i="6"/>
  <c r="BD85" i="6"/>
  <c r="BR85" i="6"/>
  <c r="AY85" i="6"/>
  <c r="BK85" i="6"/>
  <c r="BT85" i="6"/>
  <c r="AX85" i="6"/>
  <c r="CB85" i="6"/>
  <c r="AW85" i="6"/>
  <c r="AV85" i="6"/>
  <c r="BS81" i="6"/>
  <c r="CM81" i="6"/>
  <c r="BR81" i="6"/>
  <c r="CB81" i="6"/>
  <c r="BX81" i="6"/>
  <c r="CE81" i="6"/>
  <c r="CL81" i="6"/>
  <c r="BQ81" i="6"/>
  <c r="BG81" i="6"/>
  <c r="BC81" i="6"/>
  <c r="BJ81" i="6"/>
  <c r="CK81" i="6"/>
  <c r="BP81" i="6"/>
  <c r="CJ81" i="6"/>
  <c r="BM81" i="6"/>
  <c r="CA81" i="6"/>
  <c r="BW81" i="6"/>
  <c r="CI81" i="6"/>
  <c r="BF81" i="6"/>
  <c r="CD81" i="6"/>
  <c r="CH81" i="6"/>
  <c r="BV81" i="6"/>
  <c r="BI81" i="6"/>
  <c r="AY81" i="6"/>
  <c r="BZ81" i="6"/>
  <c r="BO81" i="6"/>
  <c r="AW81" i="6"/>
  <c r="BH81" i="6"/>
  <c r="CG81" i="6"/>
  <c r="CF81" i="6"/>
  <c r="AX81" i="6"/>
  <c r="BE81" i="6"/>
  <c r="BL81" i="6"/>
  <c r="CC81" i="6"/>
  <c r="BN81" i="6"/>
  <c r="AV81" i="6"/>
  <c r="BY81" i="6"/>
  <c r="BK81" i="6"/>
  <c r="BT81" i="6"/>
  <c r="AU81" i="6"/>
  <c r="BD81" i="6"/>
  <c r="BA81" i="6"/>
  <c r="AZ81" i="6"/>
  <c r="AT81" i="6"/>
  <c r="BT71" i="6"/>
  <c r="CE71" i="6"/>
  <c r="BS71" i="6"/>
  <c r="BL71" i="6"/>
  <c r="BX71" i="6"/>
  <c r="BC71" i="6"/>
  <c r="BR71" i="6"/>
  <c r="CB71" i="6"/>
  <c r="BH71" i="6"/>
  <c r="BQ71" i="6"/>
  <c r="BG71" i="6"/>
  <c r="BW71" i="6"/>
  <c r="AX71" i="6"/>
  <c r="CF71" i="6"/>
  <c r="CM71" i="6"/>
  <c r="BP71" i="6"/>
  <c r="BZ71" i="6"/>
  <c r="CG71" i="6"/>
  <c r="BY71" i="6"/>
  <c r="CL71" i="6"/>
  <c r="BO71" i="6"/>
  <c r="BE71" i="6"/>
  <c r="CD71" i="6"/>
  <c r="BJ71" i="6"/>
  <c r="CK71" i="6"/>
  <c r="BN71" i="6"/>
  <c r="BF71" i="6"/>
  <c r="BK71" i="6"/>
  <c r="CJ71" i="6"/>
  <c r="BM71" i="6"/>
  <c r="BV71" i="6"/>
  <c r="CC71" i="6"/>
  <c r="BI71" i="6"/>
  <c r="CI71" i="6"/>
  <c r="AZ71" i="6"/>
  <c r="CH71" i="6"/>
  <c r="AY71" i="6"/>
  <c r="CA71" i="6"/>
  <c r="AW71" i="6"/>
  <c r="BD71" i="6"/>
  <c r="AU71" i="6"/>
  <c r="AT71" i="6"/>
  <c r="BA71" i="6"/>
  <c r="AV71" i="6"/>
  <c r="BM36" i="6"/>
  <c r="BH36" i="6"/>
  <c r="BD36" i="6"/>
  <c r="CL36" i="6"/>
  <c r="BT36" i="6"/>
  <c r="BK36" i="6"/>
  <c r="BG36" i="6"/>
  <c r="CK36" i="6"/>
  <c r="BS36" i="6"/>
  <c r="CB36" i="6"/>
  <c r="BX36" i="6"/>
  <c r="CJ36" i="6"/>
  <c r="BR36" i="6"/>
  <c r="BC36" i="6"/>
  <c r="CF36" i="6"/>
  <c r="BQ36" i="6"/>
  <c r="CE36" i="6"/>
  <c r="CM36" i="6"/>
  <c r="BJ36" i="6"/>
  <c r="CA36" i="6"/>
  <c r="BW36" i="6"/>
  <c r="CI36" i="6"/>
  <c r="BF36" i="6"/>
  <c r="CH36" i="6"/>
  <c r="BV36" i="6"/>
  <c r="CG36" i="6"/>
  <c r="CD36" i="6"/>
  <c r="BZ36" i="6"/>
  <c r="BP36" i="6"/>
  <c r="BI36" i="6"/>
  <c r="BE36" i="6"/>
  <c r="BL36" i="6"/>
  <c r="BO36" i="6"/>
  <c r="BN36" i="6"/>
  <c r="CC36" i="6"/>
  <c r="BY36" i="6"/>
  <c r="CH73" i="6"/>
  <c r="BO73" i="6"/>
  <c r="BC73" i="6"/>
  <c r="BZ73" i="6"/>
  <c r="BF73" i="6"/>
  <c r="BN73" i="6"/>
  <c r="BE73" i="6"/>
  <c r="BD73" i="6"/>
  <c r="AT73" i="6"/>
  <c r="CG73" i="6"/>
  <c r="CF73" i="6"/>
  <c r="BM73" i="6"/>
  <c r="BK73" i="6"/>
  <c r="CM73" i="6"/>
  <c r="AV73" i="6"/>
  <c r="BY73" i="6"/>
  <c r="CC73" i="6"/>
  <c r="CK73" i="6"/>
  <c r="BW73" i="6"/>
  <c r="CL73" i="6"/>
  <c r="CJ73" i="6"/>
  <c r="BJ73" i="6"/>
  <c r="BT73" i="6"/>
  <c r="BV73" i="6"/>
  <c r="CA73" i="6"/>
  <c r="CD73" i="6"/>
  <c r="BX73" i="6"/>
  <c r="BS73" i="6"/>
  <c r="BI73" i="6"/>
  <c r="CI73" i="6"/>
  <c r="BR73" i="6"/>
  <c r="BL73" i="6"/>
  <c r="BQ73" i="6"/>
  <c r="BH73" i="6"/>
  <c r="BG73" i="6"/>
  <c r="BP73" i="6"/>
  <c r="CE73" i="6"/>
  <c r="CB73" i="6"/>
  <c r="BA73" i="6"/>
  <c r="AU73" i="6"/>
  <c r="AX73" i="6"/>
  <c r="AY73" i="6"/>
  <c r="AW73" i="6"/>
  <c r="AZ73" i="6"/>
  <c r="BT41" i="6"/>
  <c r="BV41" i="6"/>
  <c r="BO41" i="6"/>
  <c r="BS41" i="6"/>
  <c r="CD41" i="6"/>
  <c r="BZ41" i="6"/>
  <c r="BI41" i="6"/>
  <c r="BE41" i="6"/>
  <c r="CC41" i="6"/>
  <c r="BR41" i="6"/>
  <c r="BF41" i="6"/>
  <c r="BQ41" i="6"/>
  <c r="BH41" i="6"/>
  <c r="BG41" i="6"/>
  <c r="CM41" i="6"/>
  <c r="BP41" i="6"/>
  <c r="BL41" i="6"/>
  <c r="BY41" i="6"/>
  <c r="BD41" i="6"/>
  <c r="CL41" i="6"/>
  <c r="CH41" i="6"/>
  <c r="BN41" i="6"/>
  <c r="BK41" i="6"/>
  <c r="CG41" i="6"/>
  <c r="BM41" i="6"/>
  <c r="CB41" i="6"/>
  <c r="BX41" i="6"/>
  <c r="CF41" i="6"/>
  <c r="BC41" i="6"/>
  <c r="CI41" i="6"/>
  <c r="CE41" i="6"/>
  <c r="CK41" i="6"/>
  <c r="BJ41" i="6"/>
  <c r="CA41" i="6"/>
  <c r="BW41" i="6"/>
  <c r="CJ41" i="6"/>
  <c r="CF33" i="6"/>
  <c r="BQ33" i="6"/>
  <c r="CB33" i="6"/>
  <c r="BX33" i="6"/>
  <c r="CE33" i="6"/>
  <c r="CM33" i="6"/>
  <c r="BG33" i="6"/>
  <c r="BC33" i="6"/>
  <c r="BJ33" i="6"/>
  <c r="CA33" i="6"/>
  <c r="CI33" i="6"/>
  <c r="CG33" i="6"/>
  <c r="CD33" i="6"/>
  <c r="CH33" i="6"/>
  <c r="BW33" i="6"/>
  <c r="BF33" i="6"/>
  <c r="BP33" i="6"/>
  <c r="BV33" i="6"/>
  <c r="BI33" i="6"/>
  <c r="BO33" i="6"/>
  <c r="BZ33" i="6"/>
  <c r="BL33" i="6"/>
  <c r="BN33" i="6"/>
  <c r="BE33" i="6"/>
  <c r="BM33" i="6"/>
  <c r="CL33" i="6"/>
  <c r="BT33" i="6"/>
  <c r="CC33" i="6"/>
  <c r="BY33" i="6"/>
  <c r="BK33" i="6"/>
  <c r="CK33" i="6"/>
  <c r="BS33" i="6"/>
  <c r="BH33" i="6"/>
  <c r="BD33" i="6"/>
  <c r="CJ33" i="6"/>
  <c r="BR33" i="6"/>
  <c r="BF34" i="6"/>
  <c r="BR34" i="6"/>
  <c r="BQ34" i="6"/>
  <c r="CI34" i="6"/>
  <c r="BP34" i="6"/>
  <c r="BV34" i="6"/>
  <c r="BI34" i="6"/>
  <c r="BE34" i="6"/>
  <c r="CH34" i="6"/>
  <c r="BO34" i="6"/>
  <c r="CJ34" i="6"/>
  <c r="BN34" i="6"/>
  <c r="BL34" i="6"/>
  <c r="CC34" i="6"/>
  <c r="BY34" i="6"/>
  <c r="CF34" i="6"/>
  <c r="CA34" i="6"/>
  <c r="CD34" i="6"/>
  <c r="CM34" i="6"/>
  <c r="BM34" i="6"/>
  <c r="BH34" i="6"/>
  <c r="BD34" i="6"/>
  <c r="BX34" i="6"/>
  <c r="CL34" i="6"/>
  <c r="BK34" i="6"/>
  <c r="CB34" i="6"/>
  <c r="BG34" i="6"/>
  <c r="BJ34" i="6"/>
  <c r="CK34" i="6"/>
  <c r="CE34" i="6"/>
  <c r="CG34" i="6"/>
  <c r="BC34" i="6"/>
  <c r="BW34" i="6"/>
  <c r="BZ34" i="6"/>
  <c r="BT34" i="6"/>
  <c r="BS34" i="6"/>
  <c r="CM92" i="6"/>
  <c r="BO92" i="6"/>
  <c r="CL92" i="6"/>
  <c r="BL92" i="6"/>
  <c r="BY92" i="6"/>
  <c r="BP92" i="6"/>
  <c r="BG92" i="6"/>
  <c r="CE92" i="6"/>
  <c r="BI92" i="6"/>
  <c r="CC92" i="6"/>
  <c r="CF92" i="6"/>
  <c r="CK92" i="6"/>
  <c r="BH92" i="6"/>
  <c r="BD92" i="6"/>
  <c r="BZ92" i="6"/>
  <c r="BE92" i="6"/>
  <c r="CJ92" i="6"/>
  <c r="BK92" i="6"/>
  <c r="BF92" i="6"/>
  <c r="CI92" i="6"/>
  <c r="CB92" i="6"/>
  <c r="BX92" i="6"/>
  <c r="BC92" i="6"/>
  <c r="BN92" i="6"/>
  <c r="CD92" i="6"/>
  <c r="BQ92" i="6"/>
  <c r="BM92" i="6"/>
  <c r="BJ92" i="6"/>
  <c r="CA92" i="6"/>
  <c r="BT92" i="6"/>
  <c r="CH92" i="6"/>
  <c r="BS92" i="6"/>
  <c r="BW92" i="6"/>
  <c r="BR92" i="6"/>
  <c r="CG92" i="6"/>
  <c r="BV92" i="6"/>
  <c r="BA92" i="6"/>
  <c r="AZ92" i="6"/>
  <c r="AV92" i="6"/>
  <c r="AW92" i="6"/>
  <c r="AY92" i="6"/>
  <c r="AX92" i="6"/>
  <c r="AT92" i="6"/>
  <c r="AU92" i="6"/>
  <c r="BS47" i="6"/>
  <c r="BX47" i="6"/>
  <c r="CE47" i="6"/>
  <c r="BR47" i="6"/>
  <c r="BC47" i="6"/>
  <c r="BJ47" i="6"/>
  <c r="BQ47" i="6"/>
  <c r="CM47" i="6"/>
  <c r="BP47" i="6"/>
  <c r="CA47" i="6"/>
  <c r="BW47" i="6"/>
  <c r="CL47" i="6"/>
  <c r="BO47" i="6"/>
  <c r="BF47" i="6"/>
  <c r="CD47" i="6"/>
  <c r="CH47" i="6"/>
  <c r="BN47" i="6"/>
  <c r="BV47" i="6"/>
  <c r="BI47" i="6"/>
  <c r="CG47" i="6"/>
  <c r="BM47" i="6"/>
  <c r="BZ47" i="6"/>
  <c r="CF47" i="6"/>
  <c r="BE47" i="6"/>
  <c r="BL47" i="6"/>
  <c r="CC47" i="6"/>
  <c r="CI47" i="6"/>
  <c r="BH47" i="6"/>
  <c r="CK47" i="6"/>
  <c r="BY47" i="6"/>
  <c r="BK47" i="6"/>
  <c r="CJ47" i="6"/>
  <c r="BD47" i="6"/>
  <c r="CB47" i="6"/>
  <c r="BT47" i="6"/>
  <c r="BG47" i="6"/>
  <c r="AT47" i="6"/>
  <c r="AU47" i="6"/>
  <c r="AV47" i="6"/>
  <c r="AW47" i="6"/>
  <c r="AX47" i="6"/>
  <c r="AY47" i="6"/>
  <c r="BA47" i="6"/>
  <c r="AZ47" i="6"/>
  <c r="CM46" i="6"/>
  <c r="BM46" i="6"/>
  <c r="BH46" i="6"/>
  <c r="BD46" i="6"/>
  <c r="BK46" i="6"/>
  <c r="BG46" i="6"/>
  <c r="BC46" i="6"/>
  <c r="BP46" i="6"/>
  <c r="BE46" i="6"/>
  <c r="CC46" i="6"/>
  <c r="CL46" i="6"/>
  <c r="BV46" i="6"/>
  <c r="CK46" i="6"/>
  <c r="CB46" i="6"/>
  <c r="BX46" i="6"/>
  <c r="CE46" i="6"/>
  <c r="BI46" i="6"/>
  <c r="CG46" i="6"/>
  <c r="CF46" i="6"/>
  <c r="BT46" i="6"/>
  <c r="BJ46" i="6"/>
  <c r="CA46" i="6"/>
  <c r="BW46" i="6"/>
  <c r="BF46" i="6"/>
  <c r="BQ46" i="6"/>
  <c r="CD46" i="6"/>
  <c r="BZ46" i="6"/>
  <c r="CI46" i="6"/>
  <c r="CH46" i="6"/>
  <c r="BL46" i="6"/>
  <c r="BS46" i="6"/>
  <c r="BR46" i="6"/>
  <c r="BO46" i="6"/>
  <c r="BY46" i="6"/>
  <c r="CJ46" i="6"/>
  <c r="BN46" i="6"/>
  <c r="AT46" i="6"/>
  <c r="AU46" i="6"/>
  <c r="AV46" i="6"/>
  <c r="AW46" i="6"/>
  <c r="AX46" i="6"/>
  <c r="AY46" i="6"/>
  <c r="BA46" i="6"/>
  <c r="AZ46" i="6"/>
  <c r="BN102" i="6"/>
  <c r="BZ102" i="6"/>
  <c r="BJ102" i="6"/>
  <c r="CJ102" i="6"/>
  <c r="BF102" i="6"/>
  <c r="AY102" i="6"/>
  <c r="BE102" i="6"/>
  <c r="BT102" i="6"/>
  <c r="BL102" i="6"/>
  <c r="CC102" i="6"/>
  <c r="BD102" i="6"/>
  <c r="BM102" i="6"/>
  <c r="CK102" i="6"/>
  <c r="CA102" i="6"/>
  <c r="BR102" i="6"/>
  <c r="BH102" i="6"/>
  <c r="CG102" i="6"/>
  <c r="BQ102" i="6"/>
  <c r="BY102" i="6"/>
  <c r="BK102" i="6"/>
  <c r="CF102" i="6"/>
  <c r="BP102" i="6"/>
  <c r="CB102" i="6"/>
  <c r="CM102" i="6"/>
  <c r="BG102" i="6"/>
  <c r="BA102" i="6"/>
  <c r="CL102" i="6"/>
  <c r="BS102" i="6"/>
  <c r="BX102" i="6"/>
  <c r="CE102" i="6"/>
  <c r="BC102" i="6"/>
  <c r="CD102" i="6"/>
  <c r="AW102" i="6"/>
  <c r="BI102" i="6"/>
  <c r="AZ102" i="6"/>
  <c r="CI102" i="6"/>
  <c r="BW102" i="6"/>
  <c r="CH102" i="6"/>
  <c r="AX102" i="6"/>
  <c r="BO102" i="6"/>
  <c r="BV102" i="6"/>
  <c r="AT102" i="6"/>
  <c r="AU102" i="6"/>
  <c r="AV102" i="6"/>
  <c r="BR38" i="6"/>
  <c r="BF38" i="6"/>
  <c r="BQ38" i="6"/>
  <c r="BV38" i="6"/>
  <c r="CM38" i="6"/>
  <c r="BP38" i="6"/>
  <c r="CD38" i="6"/>
  <c r="BZ38" i="6"/>
  <c r="CL38" i="6"/>
  <c r="BO38" i="6"/>
  <c r="BI38" i="6"/>
  <c r="BE38" i="6"/>
  <c r="BL38" i="6"/>
  <c r="CH38" i="6"/>
  <c r="BN38" i="6"/>
  <c r="CG38" i="6"/>
  <c r="BM38" i="6"/>
  <c r="CC38" i="6"/>
  <c r="BY38" i="6"/>
  <c r="BK38" i="6"/>
  <c r="CF38" i="6"/>
  <c r="BH38" i="6"/>
  <c r="BD38" i="6"/>
  <c r="CI38" i="6"/>
  <c r="CK38" i="6"/>
  <c r="CB38" i="6"/>
  <c r="BX38" i="6"/>
  <c r="CE38" i="6"/>
  <c r="CJ38" i="6"/>
  <c r="BG38" i="6"/>
  <c r="BC38" i="6"/>
  <c r="BJ38" i="6"/>
  <c r="BT38" i="6"/>
  <c r="BS38" i="6"/>
  <c r="CA38" i="6"/>
  <c r="BW38" i="6"/>
  <c r="CJ40" i="6"/>
  <c r="CM40" i="6"/>
  <c r="BM40" i="6"/>
  <c r="CA40" i="6"/>
  <c r="BW40" i="6"/>
  <c r="CL40" i="6"/>
  <c r="BF40" i="6"/>
  <c r="CD40" i="6"/>
  <c r="CK40" i="6"/>
  <c r="BV40" i="6"/>
  <c r="BI40" i="6"/>
  <c r="CG40" i="6"/>
  <c r="BZ40" i="6"/>
  <c r="BE40" i="6"/>
  <c r="CC40" i="6"/>
  <c r="CF40" i="6"/>
  <c r="BL40" i="6"/>
  <c r="BQ40" i="6"/>
  <c r="BT40" i="6"/>
  <c r="BH40" i="6"/>
  <c r="BS40" i="6"/>
  <c r="BY40" i="6"/>
  <c r="BK40" i="6"/>
  <c r="BR40" i="6"/>
  <c r="BD40" i="6"/>
  <c r="CI40" i="6"/>
  <c r="BP40" i="6"/>
  <c r="CB40" i="6"/>
  <c r="BX40" i="6"/>
  <c r="CE40" i="6"/>
  <c r="BN40" i="6"/>
  <c r="CH40" i="6"/>
  <c r="BO40" i="6"/>
  <c r="BG40" i="6"/>
  <c r="BC40" i="6"/>
  <c r="BJ40" i="6"/>
  <c r="CF62" i="6"/>
  <c r="BX62" i="6"/>
  <c r="BI62" i="6"/>
  <c r="CI62" i="6"/>
  <c r="BT62" i="6"/>
  <c r="BC62" i="6"/>
  <c r="CB62" i="6"/>
  <c r="BG62" i="6"/>
  <c r="BS62" i="6"/>
  <c r="BR62" i="6"/>
  <c r="CG62" i="6"/>
  <c r="CD62" i="6"/>
  <c r="BQ62" i="6"/>
  <c r="CE62" i="6"/>
  <c r="BZ62" i="6"/>
  <c r="BW62" i="6"/>
  <c r="CM62" i="6"/>
  <c r="BP62" i="6"/>
  <c r="CC62" i="6"/>
  <c r="BJ62" i="6"/>
  <c r="CL62" i="6"/>
  <c r="BO62" i="6"/>
  <c r="BH62" i="6"/>
  <c r="BV62" i="6"/>
  <c r="BM62" i="6"/>
  <c r="BE62" i="6"/>
  <c r="BK62" i="6"/>
  <c r="CK62" i="6"/>
  <c r="BN62" i="6"/>
  <c r="CJ62" i="6"/>
  <c r="BY62" i="6"/>
  <c r="BL62" i="6"/>
  <c r="CH62" i="6"/>
  <c r="BD62" i="6"/>
  <c r="CA62" i="6"/>
  <c r="BF62" i="6"/>
  <c r="AT62" i="6"/>
  <c r="AU62" i="6"/>
  <c r="AV62" i="6"/>
  <c r="AW62" i="6"/>
  <c r="AX62" i="6"/>
  <c r="AY62" i="6"/>
  <c r="BA62" i="6"/>
  <c r="AZ62" i="6"/>
  <c r="CJ32" i="6"/>
  <c r="BL32" i="6"/>
  <c r="CC32" i="6"/>
  <c r="BY32" i="6"/>
  <c r="BT32" i="6"/>
  <c r="BH32" i="6"/>
  <c r="BD32" i="6"/>
  <c r="BS32" i="6"/>
  <c r="BK32" i="6"/>
  <c r="BR32" i="6"/>
  <c r="CB32" i="6"/>
  <c r="BQ32" i="6"/>
  <c r="BG32" i="6"/>
  <c r="CM32" i="6"/>
  <c r="BP32" i="6"/>
  <c r="BX32" i="6"/>
  <c r="CE32" i="6"/>
  <c r="CL32" i="6"/>
  <c r="BO32" i="6"/>
  <c r="BC32" i="6"/>
  <c r="BJ32" i="6"/>
  <c r="CA32" i="6"/>
  <c r="CH32" i="6"/>
  <c r="BN32" i="6"/>
  <c r="BF32" i="6"/>
  <c r="CK32" i="6"/>
  <c r="CG32" i="6"/>
  <c r="BM32" i="6"/>
  <c r="BW32" i="6"/>
  <c r="CF32" i="6"/>
  <c r="CD32" i="6"/>
  <c r="BZ32" i="6"/>
  <c r="CI32" i="6"/>
  <c r="BV32" i="6"/>
  <c r="BI32" i="6"/>
  <c r="BE32" i="6"/>
  <c r="BM84" i="6"/>
  <c r="BG84" i="6"/>
  <c r="BC84" i="6"/>
  <c r="BN84" i="6"/>
  <c r="CM84" i="6"/>
  <c r="BT84" i="6"/>
  <c r="CE84" i="6"/>
  <c r="CL84" i="6"/>
  <c r="BS84" i="6"/>
  <c r="BJ84" i="6"/>
  <c r="CA84" i="6"/>
  <c r="BW84" i="6"/>
  <c r="BX84" i="6"/>
  <c r="CK84" i="6"/>
  <c r="BR84" i="6"/>
  <c r="BF84" i="6"/>
  <c r="CJ84" i="6"/>
  <c r="BQ84" i="6"/>
  <c r="BV84" i="6"/>
  <c r="BP84" i="6"/>
  <c r="CI84" i="6"/>
  <c r="CD84" i="6"/>
  <c r="BZ84" i="6"/>
  <c r="CH84" i="6"/>
  <c r="BI84" i="6"/>
  <c r="BE84" i="6"/>
  <c r="BL84" i="6"/>
  <c r="CG84" i="6"/>
  <c r="CB84" i="6"/>
  <c r="CF84" i="6"/>
  <c r="CC84" i="6"/>
  <c r="BY84" i="6"/>
  <c r="BK84" i="6"/>
  <c r="BO84" i="6"/>
  <c r="BH84" i="6"/>
  <c r="BD84" i="6"/>
  <c r="BA84" i="6"/>
  <c r="AT84" i="6"/>
  <c r="AW84" i="6"/>
  <c r="AZ84" i="6"/>
  <c r="AX84" i="6"/>
  <c r="AV84" i="6"/>
  <c r="AU84" i="6"/>
  <c r="AY84" i="6"/>
  <c r="CJ70" i="6"/>
  <c r="BE70" i="6"/>
  <c r="BT70" i="6"/>
  <c r="CA70" i="6"/>
  <c r="BY70" i="6"/>
  <c r="CI70" i="6"/>
  <c r="BL70" i="6"/>
  <c r="BJ70" i="6"/>
  <c r="CE70" i="6"/>
  <c r="BS70" i="6"/>
  <c r="BF70" i="6"/>
  <c r="BD70" i="6"/>
  <c r="BP70" i="6"/>
  <c r="BV70" i="6"/>
  <c r="BN70" i="6"/>
  <c r="CK70" i="6"/>
  <c r="BR70" i="6"/>
  <c r="BX70" i="6"/>
  <c r="BW70" i="6"/>
  <c r="BZ70" i="6"/>
  <c r="BQ70" i="6"/>
  <c r="CG70" i="6"/>
  <c r="BK70" i="6"/>
  <c r="CH70" i="6"/>
  <c r="BO70" i="6"/>
  <c r="BC70" i="6"/>
  <c r="BG70" i="6"/>
  <c r="CC70" i="6"/>
  <c r="CF70" i="6"/>
  <c r="BM70" i="6"/>
  <c r="BH70" i="6"/>
  <c r="CM70" i="6"/>
  <c r="CD70" i="6"/>
  <c r="CL70" i="6"/>
  <c r="CB70" i="6"/>
  <c r="BI70" i="6"/>
  <c r="AZ70" i="6"/>
  <c r="AW70" i="6"/>
  <c r="AT70" i="6"/>
  <c r="AU70" i="6"/>
  <c r="BA70" i="6"/>
  <c r="AV70" i="6"/>
  <c r="AY70" i="6"/>
  <c r="AX70" i="6"/>
  <c r="CJ93" i="6"/>
  <c r="BV93" i="6"/>
  <c r="BI93" i="6"/>
  <c r="BF93" i="6"/>
  <c r="CI93" i="6"/>
  <c r="BZ93" i="6"/>
  <c r="CK93" i="6"/>
  <c r="CH93" i="6"/>
  <c r="BE93" i="6"/>
  <c r="BL93" i="6"/>
  <c r="CC93" i="6"/>
  <c r="CD93" i="6"/>
  <c r="BO93" i="6"/>
  <c r="BH93" i="6"/>
  <c r="BN93" i="6"/>
  <c r="BY93" i="6"/>
  <c r="BK93" i="6"/>
  <c r="BT93" i="6"/>
  <c r="BD93" i="6"/>
  <c r="BS93" i="6"/>
  <c r="CA93" i="6"/>
  <c r="BA93" i="6"/>
  <c r="CG93" i="6"/>
  <c r="BR93" i="6"/>
  <c r="CB93" i="6"/>
  <c r="BX93" i="6"/>
  <c r="CE93" i="6"/>
  <c r="CF93" i="6"/>
  <c r="BQ93" i="6"/>
  <c r="BG93" i="6"/>
  <c r="BC93" i="6"/>
  <c r="BJ93" i="6"/>
  <c r="BP93" i="6"/>
  <c r="CM93" i="6"/>
  <c r="CL93" i="6"/>
  <c r="BM93" i="6"/>
  <c r="BW93" i="6"/>
  <c r="AW93" i="6"/>
  <c r="AZ93" i="6"/>
  <c r="AV93" i="6"/>
  <c r="AY93" i="6"/>
  <c r="AT93" i="6"/>
  <c r="AU93" i="6"/>
  <c r="AX93" i="6"/>
  <c r="CF83" i="6"/>
  <c r="BC83" i="6"/>
  <c r="BJ83" i="6"/>
  <c r="CA83" i="6"/>
  <c r="BF83" i="6"/>
  <c r="BR83" i="6"/>
  <c r="BP83" i="6"/>
  <c r="CE83" i="6"/>
  <c r="BT83" i="6"/>
  <c r="BS83" i="6"/>
  <c r="BW83" i="6"/>
  <c r="CD83" i="6"/>
  <c r="BZ83" i="6"/>
  <c r="BL83" i="6"/>
  <c r="BQ83" i="6"/>
  <c r="BV83" i="6"/>
  <c r="BI83" i="6"/>
  <c r="CM83" i="6"/>
  <c r="CL83" i="6"/>
  <c r="BO83" i="6"/>
  <c r="BE83" i="6"/>
  <c r="CC83" i="6"/>
  <c r="BX83" i="6"/>
  <c r="CK83" i="6"/>
  <c r="BN83" i="6"/>
  <c r="BH83" i="6"/>
  <c r="CJ83" i="6"/>
  <c r="BM83" i="6"/>
  <c r="BY83" i="6"/>
  <c r="BK83" i="6"/>
  <c r="CI83" i="6"/>
  <c r="BD83" i="6"/>
  <c r="CB83" i="6"/>
  <c r="CH83" i="6"/>
  <c r="BG83" i="6"/>
  <c r="CG83" i="6"/>
  <c r="AT83" i="6"/>
  <c r="AV83" i="6"/>
  <c r="AZ83" i="6"/>
  <c r="AU83" i="6"/>
  <c r="AW83" i="6"/>
  <c r="BA83" i="6"/>
  <c r="AX83" i="6"/>
  <c r="AY83" i="6"/>
  <c r="CI64" i="6"/>
  <c r="BP64" i="6"/>
  <c r="CA64" i="6"/>
  <c r="CB64" i="6"/>
  <c r="BI64" i="6"/>
  <c r="CH64" i="6"/>
  <c r="BO64" i="6"/>
  <c r="BF64" i="6"/>
  <c r="CG64" i="6"/>
  <c r="BN64" i="6"/>
  <c r="BZ64" i="6"/>
  <c r="BG64" i="6"/>
  <c r="CF64" i="6"/>
  <c r="BM64" i="6"/>
  <c r="BW64" i="6"/>
  <c r="CM64" i="6"/>
  <c r="BY64" i="6"/>
  <c r="BE64" i="6"/>
  <c r="CL64" i="6"/>
  <c r="BV64" i="6"/>
  <c r="BD64" i="6"/>
  <c r="CK64" i="6"/>
  <c r="BX64" i="6"/>
  <c r="CE64" i="6"/>
  <c r="CJ64" i="6"/>
  <c r="BL64" i="6"/>
  <c r="BC64" i="6"/>
  <c r="BT64" i="6"/>
  <c r="BK64" i="6"/>
  <c r="CD64" i="6"/>
  <c r="BS64" i="6"/>
  <c r="CC64" i="6"/>
  <c r="BR64" i="6"/>
  <c r="BH64" i="6"/>
  <c r="BJ64" i="6"/>
  <c r="BQ64" i="6"/>
  <c r="AV64" i="6"/>
  <c r="AT64" i="6"/>
  <c r="AU64" i="6"/>
  <c r="AW64" i="6"/>
  <c r="AX64" i="6"/>
  <c r="AY64" i="6"/>
  <c r="AZ64" i="6"/>
  <c r="BA64" i="6"/>
  <c r="BT78" i="6"/>
  <c r="BL78" i="6"/>
  <c r="CC78" i="6"/>
  <c r="BS78" i="6"/>
  <c r="BH78" i="6"/>
  <c r="BG78" i="6"/>
  <c r="CM78" i="6"/>
  <c r="BR78" i="6"/>
  <c r="BY78" i="6"/>
  <c r="BK78" i="6"/>
  <c r="CL78" i="6"/>
  <c r="BQ78" i="6"/>
  <c r="BD78" i="6"/>
  <c r="CB78" i="6"/>
  <c r="CK78" i="6"/>
  <c r="BP78" i="6"/>
  <c r="CJ78" i="6"/>
  <c r="BM78" i="6"/>
  <c r="BX78" i="6"/>
  <c r="CE78" i="6"/>
  <c r="CI78" i="6"/>
  <c r="BC78" i="6"/>
  <c r="BJ78" i="6"/>
  <c r="CA78" i="6"/>
  <c r="CH78" i="6"/>
  <c r="BF78" i="6"/>
  <c r="CG78" i="6"/>
  <c r="BW78" i="6"/>
  <c r="CF78" i="6"/>
  <c r="CD78" i="6"/>
  <c r="BE78" i="6"/>
  <c r="BO78" i="6"/>
  <c r="BV78" i="6"/>
  <c r="BI78" i="6"/>
  <c r="BN78" i="6"/>
  <c r="AV78" i="6"/>
  <c r="BZ78" i="6"/>
  <c r="AZ78" i="6"/>
  <c r="BA78" i="6"/>
  <c r="AW78" i="6"/>
  <c r="AU78" i="6"/>
  <c r="AX78" i="6"/>
  <c r="AT78" i="6"/>
  <c r="AY78" i="6"/>
  <c r="CI63" i="6"/>
  <c r="CA63" i="6"/>
  <c r="BF63" i="6"/>
  <c r="CH63" i="6"/>
  <c r="CC63" i="6"/>
  <c r="CG63" i="6"/>
  <c r="BH63" i="6"/>
  <c r="BZ63" i="6"/>
  <c r="BE63" i="6"/>
  <c r="CF63" i="6"/>
  <c r="BP63" i="6"/>
  <c r="CB63" i="6"/>
  <c r="BY63" i="6"/>
  <c r="BD63" i="6"/>
  <c r="BQ63" i="6"/>
  <c r="BO63" i="6"/>
  <c r="BG63" i="6"/>
  <c r="BN63" i="6"/>
  <c r="BW63" i="6"/>
  <c r="BM63" i="6"/>
  <c r="BX63" i="6"/>
  <c r="CM63" i="6"/>
  <c r="BT63" i="6"/>
  <c r="BV63" i="6"/>
  <c r="BC63" i="6"/>
  <c r="BL63" i="6"/>
  <c r="BI63" i="6"/>
  <c r="CL63" i="6"/>
  <c r="BS63" i="6"/>
  <c r="CK63" i="6"/>
  <c r="BR63" i="6"/>
  <c r="CD63" i="6"/>
  <c r="CE63" i="6"/>
  <c r="BK63" i="6"/>
  <c r="CJ63" i="6"/>
  <c r="BJ63" i="6"/>
  <c r="AT63" i="6"/>
  <c r="AU63" i="6"/>
  <c r="AV63" i="6"/>
  <c r="AW63" i="6"/>
  <c r="AX63" i="6"/>
  <c r="AY63" i="6"/>
  <c r="BA63" i="6"/>
  <c r="AZ63" i="6"/>
  <c r="CG55" i="6"/>
  <c r="BX55" i="6"/>
  <c r="CB55" i="6"/>
  <c r="BJ55" i="6"/>
  <c r="CF55" i="6"/>
  <c r="BC55" i="6"/>
  <c r="BT55" i="6"/>
  <c r="CA55" i="6"/>
  <c r="BH55" i="6"/>
  <c r="BS55" i="6"/>
  <c r="BK55" i="6"/>
  <c r="BG55" i="6"/>
  <c r="BR55" i="6"/>
  <c r="BY55" i="6"/>
  <c r="BQ55" i="6"/>
  <c r="CI55" i="6"/>
  <c r="BP55" i="6"/>
  <c r="CD55" i="6"/>
  <c r="BF55" i="6"/>
  <c r="BW55" i="6"/>
  <c r="CH55" i="6"/>
  <c r="BO55" i="6"/>
  <c r="BI55" i="6"/>
  <c r="CE55" i="6"/>
  <c r="CJ55" i="6"/>
  <c r="BN55" i="6"/>
  <c r="BD55" i="6"/>
  <c r="BV55" i="6"/>
  <c r="CM55" i="6"/>
  <c r="BM55" i="6"/>
  <c r="BZ55" i="6"/>
  <c r="CL55" i="6"/>
  <c r="BE55" i="6"/>
  <c r="CC55" i="6"/>
  <c r="BL55" i="6"/>
  <c r="CK55" i="6"/>
  <c r="AT55" i="6"/>
  <c r="AU55" i="6"/>
  <c r="AV55" i="6"/>
  <c r="AW55" i="6"/>
  <c r="AX55" i="6"/>
  <c r="AY55" i="6"/>
  <c r="AZ55" i="6"/>
  <c r="BA55" i="6"/>
  <c r="CG31" i="6"/>
  <c r="BK31" i="6"/>
  <c r="BH31" i="6"/>
  <c r="BR31" i="6"/>
  <c r="CB31" i="6"/>
  <c r="CF31" i="6"/>
  <c r="CC31" i="6"/>
  <c r="BY31" i="6"/>
  <c r="BT31" i="6"/>
  <c r="BD31" i="6"/>
  <c r="BX31" i="6"/>
  <c r="BL31" i="6"/>
  <c r="CJ31" i="6"/>
  <c r="BS31" i="6"/>
  <c r="CL31" i="6"/>
  <c r="BQ31" i="6"/>
  <c r="BG31" i="6"/>
  <c r="BC31" i="6"/>
  <c r="CH31" i="6"/>
  <c r="BO31" i="6"/>
  <c r="BJ31" i="6"/>
  <c r="BW31" i="6"/>
  <c r="BI31" i="6"/>
  <c r="CI31" i="6"/>
  <c r="BP31" i="6"/>
  <c r="CE31" i="6"/>
  <c r="BN31" i="6"/>
  <c r="BF31" i="6"/>
  <c r="BZ31" i="6"/>
  <c r="CK31" i="6"/>
  <c r="BE31" i="6"/>
  <c r="CA31" i="6"/>
  <c r="CD31" i="6"/>
  <c r="CM31" i="6"/>
  <c r="BM31" i="6"/>
  <c r="BV31" i="6"/>
  <c r="CG39" i="6"/>
  <c r="CB39" i="6"/>
  <c r="BX39" i="6"/>
  <c r="BR39" i="6"/>
  <c r="BP39" i="6"/>
  <c r="BG39" i="6"/>
  <c r="BC39" i="6"/>
  <c r="BO39" i="6"/>
  <c r="CE39" i="6"/>
  <c r="BN39" i="6"/>
  <c r="BJ39" i="6"/>
  <c r="CA39" i="6"/>
  <c r="BM39" i="6"/>
  <c r="BF39" i="6"/>
  <c r="CK39" i="6"/>
  <c r="BZ39" i="6"/>
  <c r="CL39" i="6"/>
  <c r="BT39" i="6"/>
  <c r="BW39" i="6"/>
  <c r="BS39" i="6"/>
  <c r="BE39" i="6"/>
  <c r="CD39" i="6"/>
  <c r="CJ39" i="6"/>
  <c r="BV39" i="6"/>
  <c r="CF39" i="6"/>
  <c r="BQ39" i="6"/>
  <c r="BL39" i="6"/>
  <c r="CC39" i="6"/>
  <c r="CM39" i="6"/>
  <c r="BY39" i="6"/>
  <c r="CI39" i="6"/>
  <c r="BH39" i="6"/>
  <c r="BD39" i="6"/>
  <c r="BI39" i="6"/>
  <c r="CH39" i="6"/>
  <c r="BK39" i="6"/>
  <c r="CL101" i="6"/>
  <c r="BJ101" i="6"/>
  <c r="CA101" i="6"/>
  <c r="BW101" i="6"/>
  <c r="CK101" i="6"/>
  <c r="BF101" i="6"/>
  <c r="CJ101" i="6"/>
  <c r="BV101" i="6"/>
  <c r="CI101" i="6"/>
  <c r="CD101" i="6"/>
  <c r="BZ101" i="6"/>
  <c r="BR101" i="6"/>
  <c r="BI101" i="6"/>
  <c r="BE101" i="6"/>
  <c r="BL101" i="6"/>
  <c r="BQ101" i="6"/>
  <c r="BP101" i="6"/>
  <c r="CC101" i="6"/>
  <c r="BY101" i="6"/>
  <c r="BT101" i="6"/>
  <c r="BH101" i="6"/>
  <c r="BD101" i="6"/>
  <c r="CH101" i="6"/>
  <c r="BS101" i="6"/>
  <c r="BK101" i="6"/>
  <c r="CG101" i="6"/>
  <c r="BO101" i="6"/>
  <c r="CB101" i="6"/>
  <c r="BX101" i="6"/>
  <c r="CF101" i="6"/>
  <c r="BN101" i="6"/>
  <c r="BG101" i="6"/>
  <c r="BC101" i="6"/>
  <c r="CM101" i="6"/>
  <c r="BM101" i="6"/>
  <c r="CE101" i="6"/>
  <c r="BA101" i="6"/>
  <c r="AV101" i="6"/>
  <c r="AU101" i="6"/>
  <c r="AT101" i="6"/>
  <c r="AX101" i="6"/>
  <c r="AW101" i="6"/>
  <c r="AZ101" i="6"/>
  <c r="AY101" i="6"/>
  <c r="BO45" i="6"/>
  <c r="BZ45" i="6"/>
  <c r="BI45" i="6"/>
  <c r="BN45" i="6"/>
  <c r="BE45" i="6"/>
  <c r="BL45" i="6"/>
  <c r="CD45" i="6"/>
  <c r="BM45" i="6"/>
  <c r="CL45" i="6"/>
  <c r="BT45" i="6"/>
  <c r="CC45" i="6"/>
  <c r="BY45" i="6"/>
  <c r="BK45" i="6"/>
  <c r="CK45" i="6"/>
  <c r="BS45" i="6"/>
  <c r="BH45" i="6"/>
  <c r="BD45" i="6"/>
  <c r="CJ45" i="6"/>
  <c r="BR45" i="6"/>
  <c r="BW45" i="6"/>
  <c r="CF45" i="6"/>
  <c r="BQ45" i="6"/>
  <c r="CB45" i="6"/>
  <c r="BX45" i="6"/>
  <c r="CE45" i="6"/>
  <c r="CH45" i="6"/>
  <c r="CM45" i="6"/>
  <c r="BG45" i="6"/>
  <c r="BC45" i="6"/>
  <c r="BJ45" i="6"/>
  <c r="CA45" i="6"/>
  <c r="BV45" i="6"/>
  <c r="CI45" i="6"/>
  <c r="CG45" i="6"/>
  <c r="BF45" i="6"/>
  <c r="BP45" i="6"/>
  <c r="AT45" i="6"/>
  <c r="AU45" i="6"/>
  <c r="AV45" i="6"/>
  <c r="AW45" i="6"/>
  <c r="AX45" i="6"/>
  <c r="AY45" i="6"/>
  <c r="BA45" i="6"/>
  <c r="AZ45" i="6"/>
  <c r="BQ76" i="6"/>
  <c r="CI76" i="6"/>
  <c r="BP76" i="6"/>
  <c r="CA76" i="6"/>
  <c r="BI76" i="6"/>
  <c r="BZ76" i="6"/>
  <c r="CH76" i="6"/>
  <c r="BO76" i="6"/>
  <c r="BF76" i="6"/>
  <c r="CG76" i="6"/>
  <c r="BN76" i="6"/>
  <c r="BG76" i="6"/>
  <c r="BY76" i="6"/>
  <c r="CF76" i="6"/>
  <c r="BM76" i="6"/>
  <c r="BW76" i="6"/>
  <c r="CM76" i="6"/>
  <c r="BE76" i="6"/>
  <c r="BX76" i="6"/>
  <c r="CL76" i="6"/>
  <c r="BV76" i="6"/>
  <c r="BD76" i="6"/>
  <c r="CK76" i="6"/>
  <c r="CE76" i="6"/>
  <c r="BK76" i="6"/>
  <c r="CJ76" i="6"/>
  <c r="BL76" i="6"/>
  <c r="BC76" i="6"/>
  <c r="BT76" i="6"/>
  <c r="BH76" i="6"/>
  <c r="BS76" i="6"/>
  <c r="AZ76" i="6"/>
  <c r="CD76" i="6"/>
  <c r="BJ76" i="6"/>
  <c r="AX76" i="6"/>
  <c r="CB76" i="6"/>
  <c r="BR76" i="6"/>
  <c r="AY76" i="6"/>
  <c r="CC76" i="6"/>
  <c r="AW76" i="6"/>
  <c r="AU76" i="6"/>
  <c r="BA76" i="6"/>
  <c r="AV76" i="6"/>
  <c r="AT76" i="6"/>
  <c r="BQ58" i="6"/>
  <c r="BF58" i="6"/>
  <c r="CI58" i="6"/>
  <c r="BP58" i="6"/>
  <c r="BL58" i="6"/>
  <c r="BZ58" i="6"/>
  <c r="BI58" i="6"/>
  <c r="BY58" i="6"/>
  <c r="BT58" i="6"/>
  <c r="CH58" i="6"/>
  <c r="BO58" i="6"/>
  <c r="BN58" i="6"/>
  <c r="CC58" i="6"/>
  <c r="BD58" i="6"/>
  <c r="BK58" i="6"/>
  <c r="CD58" i="6"/>
  <c r="CJ58" i="6"/>
  <c r="BG58" i="6"/>
  <c r="CM58" i="6"/>
  <c r="BM58" i="6"/>
  <c r="BH58" i="6"/>
  <c r="BE58" i="6"/>
  <c r="CG58" i="6"/>
  <c r="CL58" i="6"/>
  <c r="BX58" i="6"/>
  <c r="CK58" i="6"/>
  <c r="CA58" i="6"/>
  <c r="CE58" i="6"/>
  <c r="BV58" i="6"/>
  <c r="BW58" i="6"/>
  <c r="CF58" i="6"/>
  <c r="BS58" i="6"/>
  <c r="BC58" i="6"/>
  <c r="BR58" i="6"/>
  <c r="CB58" i="6"/>
  <c r="BJ58" i="6"/>
  <c r="AT58" i="6"/>
  <c r="AU58" i="6"/>
  <c r="AV58" i="6"/>
  <c r="AW58" i="6"/>
  <c r="AX58" i="6"/>
  <c r="AY58" i="6"/>
  <c r="BA58" i="6"/>
  <c r="AZ58" i="6"/>
  <c r="CM50" i="6"/>
  <c r="BP50" i="6"/>
  <c r="CD50" i="6"/>
  <c r="BZ50" i="6"/>
  <c r="BL50" i="6"/>
  <c r="CL50" i="6"/>
  <c r="BO50" i="6"/>
  <c r="BI50" i="6"/>
  <c r="BE50" i="6"/>
  <c r="CH50" i="6"/>
  <c r="BN50" i="6"/>
  <c r="CG50" i="6"/>
  <c r="BM50" i="6"/>
  <c r="CC50" i="6"/>
  <c r="BY50" i="6"/>
  <c r="BK50" i="6"/>
  <c r="CF50" i="6"/>
  <c r="BH50" i="6"/>
  <c r="BD50" i="6"/>
  <c r="CI50" i="6"/>
  <c r="CK50" i="6"/>
  <c r="CB50" i="6"/>
  <c r="BX50" i="6"/>
  <c r="BJ50" i="6"/>
  <c r="CJ50" i="6"/>
  <c r="BG50" i="6"/>
  <c r="BC50" i="6"/>
  <c r="BT50" i="6"/>
  <c r="BS50" i="6"/>
  <c r="CA50" i="6"/>
  <c r="BW50" i="6"/>
  <c r="CE50" i="6"/>
  <c r="BR50" i="6"/>
  <c r="BF50" i="6"/>
  <c r="BQ50" i="6"/>
  <c r="BV50" i="6"/>
  <c r="AT50" i="6"/>
  <c r="AU50" i="6"/>
  <c r="AV50" i="6"/>
  <c r="AW50" i="6"/>
  <c r="AX50" i="6"/>
  <c r="AY50" i="6"/>
  <c r="BA50" i="6"/>
  <c r="AZ50" i="6"/>
  <c r="CL69" i="6"/>
  <c r="BS69" i="6"/>
  <c r="BG69" i="6"/>
  <c r="BE69" i="6"/>
  <c r="BL69" i="6"/>
  <c r="CK69" i="6"/>
  <c r="BR69" i="6"/>
  <c r="BD69" i="6"/>
  <c r="CJ69" i="6"/>
  <c r="BQ69" i="6"/>
  <c r="BX69" i="6"/>
  <c r="CE69" i="6"/>
  <c r="BK69" i="6"/>
  <c r="BT69" i="6"/>
  <c r="CI69" i="6"/>
  <c r="BC69" i="6"/>
  <c r="CH69" i="6"/>
  <c r="CC69" i="6"/>
  <c r="BJ69" i="6"/>
  <c r="CM69" i="6"/>
  <c r="CG69" i="6"/>
  <c r="BW69" i="6"/>
  <c r="BH69" i="6"/>
  <c r="CB69" i="6"/>
  <c r="CF69" i="6"/>
  <c r="CA69" i="6"/>
  <c r="BP69" i="6"/>
  <c r="BV69" i="6"/>
  <c r="BF69" i="6"/>
  <c r="BO69" i="6"/>
  <c r="BZ69" i="6"/>
  <c r="BN69" i="6"/>
  <c r="CD69" i="6"/>
  <c r="BM69" i="6"/>
  <c r="BI69" i="6"/>
  <c r="BY69" i="6"/>
  <c r="AT69" i="6"/>
  <c r="AW69" i="6"/>
  <c r="AY69" i="6"/>
  <c r="AZ69" i="6"/>
  <c r="BA69" i="6"/>
  <c r="AU69" i="6"/>
  <c r="AV69" i="6"/>
  <c r="AX69" i="6"/>
  <c r="BR35" i="6"/>
  <c r="BC35" i="6"/>
  <c r="BJ35" i="6"/>
  <c r="BQ35" i="6"/>
  <c r="CM35" i="6"/>
  <c r="BP35" i="6"/>
  <c r="CA35" i="6"/>
  <c r="BW35" i="6"/>
  <c r="CL35" i="6"/>
  <c r="BO35" i="6"/>
  <c r="BF35" i="6"/>
  <c r="CD35" i="6"/>
  <c r="CH35" i="6"/>
  <c r="BN35" i="6"/>
  <c r="BV35" i="6"/>
  <c r="BI35" i="6"/>
  <c r="CG35" i="6"/>
  <c r="BM35" i="6"/>
  <c r="BZ35" i="6"/>
  <c r="CF35" i="6"/>
  <c r="BE35" i="6"/>
  <c r="BL35" i="6"/>
  <c r="CC35" i="6"/>
  <c r="CI35" i="6"/>
  <c r="BH35" i="6"/>
  <c r="CK35" i="6"/>
  <c r="BY35" i="6"/>
  <c r="BK35" i="6"/>
  <c r="BG35" i="6"/>
  <c r="CJ35" i="6"/>
  <c r="BD35" i="6"/>
  <c r="CB35" i="6"/>
  <c r="BT35" i="6"/>
  <c r="BS35" i="6"/>
  <c r="BX35" i="6"/>
  <c r="CE35" i="6"/>
  <c r="CF66" i="6"/>
  <c r="BV66" i="6"/>
  <c r="BP66" i="6"/>
  <c r="CE66" i="6"/>
  <c r="BZ66" i="6"/>
  <c r="BO66" i="6"/>
  <c r="BJ66" i="6"/>
  <c r="BI66" i="6"/>
  <c r="BN66" i="6"/>
  <c r="BH66" i="6"/>
  <c r="BM66" i="6"/>
  <c r="AT66" i="6"/>
  <c r="BG66" i="6"/>
  <c r="CM66" i="6"/>
  <c r="BT66" i="6"/>
  <c r="BY66" i="6"/>
  <c r="CA66" i="6"/>
  <c r="BE66" i="6"/>
  <c r="CL66" i="6"/>
  <c r="BS66" i="6"/>
  <c r="BD66" i="6"/>
  <c r="BF66" i="6"/>
  <c r="BC66" i="6"/>
  <c r="CK66" i="6"/>
  <c r="BR66" i="6"/>
  <c r="CD66" i="6"/>
  <c r="CJ66" i="6"/>
  <c r="BQ66" i="6"/>
  <c r="BL66" i="6"/>
  <c r="BX66" i="6"/>
  <c r="CI66" i="6"/>
  <c r="CC66" i="6"/>
  <c r="CH66" i="6"/>
  <c r="BK66" i="6"/>
  <c r="BW66" i="6"/>
  <c r="CG66" i="6"/>
  <c r="CB66" i="6"/>
  <c r="AU66" i="6"/>
  <c r="AV66" i="6"/>
  <c r="AW66" i="6"/>
  <c r="AX66" i="6"/>
  <c r="AY66" i="6"/>
  <c r="AZ66" i="6"/>
  <c r="BA66" i="6"/>
  <c r="CH96" i="6"/>
  <c r="CC96" i="6"/>
  <c r="BY96" i="6"/>
  <c r="BK96" i="6"/>
  <c r="BO96" i="6"/>
  <c r="BH96" i="6"/>
  <c r="BD96" i="6"/>
  <c r="BT96" i="6"/>
  <c r="BX96" i="6"/>
  <c r="BM96" i="6"/>
  <c r="AT96" i="6"/>
  <c r="BG96" i="6"/>
  <c r="BC96" i="6"/>
  <c r="BS96" i="6"/>
  <c r="CJ96" i="6"/>
  <c r="CI96" i="6"/>
  <c r="CB96" i="6"/>
  <c r="CA96" i="6"/>
  <c r="BN96" i="6"/>
  <c r="AU96" i="6"/>
  <c r="CG96" i="6"/>
  <c r="CE96" i="6"/>
  <c r="CF96" i="6"/>
  <c r="BR96" i="6"/>
  <c r="BJ96" i="6"/>
  <c r="BW96" i="6"/>
  <c r="BE96" i="6"/>
  <c r="AZ96" i="6"/>
  <c r="AY96" i="6"/>
  <c r="CM96" i="6"/>
  <c r="BQ96" i="6"/>
  <c r="BF96" i="6"/>
  <c r="CL96" i="6"/>
  <c r="BP96" i="6"/>
  <c r="BV96" i="6"/>
  <c r="BZ96" i="6"/>
  <c r="BI96" i="6"/>
  <c r="CK96" i="6"/>
  <c r="BA96" i="6"/>
  <c r="CD96" i="6"/>
  <c r="BL96" i="6"/>
  <c r="AW96" i="6"/>
  <c r="AV96" i="6"/>
  <c r="AX96" i="6"/>
  <c r="CI90" i="6"/>
  <c r="BP90" i="6"/>
  <c r="BX90" i="6"/>
  <c r="CE90" i="6"/>
  <c r="CH90" i="6"/>
  <c r="BC90" i="6"/>
  <c r="BJ90" i="6"/>
  <c r="CA90" i="6"/>
  <c r="BZ90" i="6"/>
  <c r="BO90" i="6"/>
  <c r="BI90" i="6"/>
  <c r="BE90" i="6"/>
  <c r="CM90" i="6"/>
  <c r="BF90" i="6"/>
  <c r="CK90" i="6"/>
  <c r="CD90" i="6"/>
  <c r="CL90" i="6"/>
  <c r="BW90" i="6"/>
  <c r="BN90" i="6"/>
  <c r="BV90" i="6"/>
  <c r="BR90" i="6"/>
  <c r="BD90" i="6"/>
  <c r="BT90" i="6"/>
  <c r="BL90" i="6"/>
  <c r="CC90" i="6"/>
  <c r="BM90" i="6"/>
  <c r="BH90" i="6"/>
  <c r="CB90" i="6"/>
  <c r="CG90" i="6"/>
  <c r="BS90" i="6"/>
  <c r="BY90" i="6"/>
  <c r="BK90" i="6"/>
  <c r="BG90" i="6"/>
  <c r="CF90" i="6"/>
  <c r="CJ90" i="6"/>
  <c r="BQ90" i="6"/>
  <c r="AY90" i="6"/>
  <c r="BA90" i="6"/>
  <c r="AT90" i="6"/>
  <c r="AV90" i="6"/>
  <c r="AU90" i="6"/>
  <c r="AZ90" i="6"/>
  <c r="AW90" i="6"/>
  <c r="AX90" i="6"/>
  <c r="CI77" i="6"/>
  <c r="BJ77" i="6"/>
  <c r="BY77" i="6"/>
  <c r="BH77" i="6"/>
  <c r="CH77" i="6"/>
  <c r="BZ77" i="6"/>
  <c r="BL77" i="6"/>
  <c r="CG77" i="6"/>
  <c r="CD77" i="6"/>
  <c r="BE77" i="6"/>
  <c r="BD77" i="6"/>
  <c r="CC77" i="6"/>
  <c r="CF77" i="6"/>
  <c r="BI77" i="6"/>
  <c r="BN77" i="6"/>
  <c r="BX77" i="6"/>
  <c r="BM77" i="6"/>
  <c r="BS77" i="6"/>
  <c r="CB77" i="6"/>
  <c r="BW77" i="6"/>
  <c r="CK77" i="6"/>
  <c r="CM77" i="6"/>
  <c r="BR77" i="6"/>
  <c r="BK77" i="6"/>
  <c r="BG77" i="6"/>
  <c r="BP77" i="6"/>
  <c r="CL77" i="6"/>
  <c r="BQ77" i="6"/>
  <c r="BV77" i="6"/>
  <c r="CJ77" i="6"/>
  <c r="BO77" i="6"/>
  <c r="CE77" i="6"/>
  <c r="BF77" i="6"/>
  <c r="BC77" i="6"/>
  <c r="BT77" i="6"/>
  <c r="CA77" i="6"/>
  <c r="AY77" i="6"/>
  <c r="AU77" i="6"/>
  <c r="AT77" i="6"/>
  <c r="AW77" i="6"/>
  <c r="AZ77" i="6"/>
  <c r="AV77" i="6"/>
  <c r="AX77" i="6"/>
  <c r="BA77" i="6"/>
  <c r="CL80" i="6"/>
  <c r="BM80" i="6"/>
  <c r="CD80" i="6"/>
  <c r="BZ80" i="6"/>
  <c r="CM80" i="6"/>
  <c r="CK80" i="6"/>
  <c r="BT80" i="6"/>
  <c r="BV80" i="6"/>
  <c r="BI80" i="6"/>
  <c r="BE80" i="6"/>
  <c r="CI80" i="6"/>
  <c r="BY80" i="6"/>
  <c r="BW80" i="6"/>
  <c r="CJ80" i="6"/>
  <c r="BS80" i="6"/>
  <c r="BL80" i="6"/>
  <c r="CC80" i="6"/>
  <c r="BN80" i="6"/>
  <c r="CH80" i="6"/>
  <c r="BH80" i="6"/>
  <c r="BD80" i="6"/>
  <c r="CG80" i="6"/>
  <c r="BK80" i="6"/>
  <c r="CF80" i="6"/>
  <c r="CB80" i="6"/>
  <c r="BX80" i="6"/>
  <c r="BR80" i="6"/>
  <c r="BG80" i="6"/>
  <c r="BC80" i="6"/>
  <c r="BQ80" i="6"/>
  <c r="CE80" i="6"/>
  <c r="BP80" i="6"/>
  <c r="BJ80" i="6"/>
  <c r="CA80" i="6"/>
  <c r="BO80" i="6"/>
  <c r="BF80" i="6"/>
  <c r="AT80" i="6"/>
  <c r="AW80" i="6"/>
  <c r="AX80" i="6"/>
  <c r="AU80" i="6"/>
  <c r="AY80" i="6"/>
  <c r="AV80" i="6"/>
  <c r="AZ80" i="6"/>
  <c r="BA80" i="6"/>
  <c r="CJ56" i="6"/>
  <c r="BH56" i="6"/>
  <c r="BT56" i="6"/>
  <c r="BK56" i="6"/>
  <c r="CA56" i="6"/>
  <c r="BS56" i="6"/>
  <c r="BY56" i="6"/>
  <c r="BR56" i="6"/>
  <c r="BD56" i="6"/>
  <c r="BI56" i="6"/>
  <c r="BQ56" i="6"/>
  <c r="CM56" i="6"/>
  <c r="BP56" i="6"/>
  <c r="BW56" i="6"/>
  <c r="BZ56" i="6"/>
  <c r="BG56" i="6"/>
  <c r="CL56" i="6"/>
  <c r="BO56" i="6"/>
  <c r="BF56" i="6"/>
  <c r="CH56" i="6"/>
  <c r="BN56" i="6"/>
  <c r="CE56" i="6"/>
  <c r="BX56" i="6"/>
  <c r="BE56" i="6"/>
  <c r="CG56" i="6"/>
  <c r="BM56" i="6"/>
  <c r="BJ56" i="6"/>
  <c r="CF56" i="6"/>
  <c r="BV56" i="6"/>
  <c r="CD56" i="6"/>
  <c r="CI56" i="6"/>
  <c r="BC56" i="6"/>
  <c r="CK56" i="6"/>
  <c r="CC56" i="6"/>
  <c r="BL56" i="6"/>
  <c r="CB56" i="6"/>
  <c r="AT56" i="6"/>
  <c r="AU56" i="6"/>
  <c r="AV56" i="6"/>
  <c r="AW56" i="6"/>
  <c r="AX56" i="6"/>
  <c r="AY56" i="6"/>
  <c r="BA56" i="6"/>
  <c r="AZ56" i="6"/>
  <c r="BM75" i="6"/>
  <c r="BX75" i="6"/>
  <c r="CM75" i="6"/>
  <c r="BT75" i="6"/>
  <c r="BV75" i="6"/>
  <c r="BC75" i="6"/>
  <c r="CA75" i="6"/>
  <c r="CL75" i="6"/>
  <c r="BS75" i="6"/>
  <c r="CK75" i="6"/>
  <c r="BR75" i="6"/>
  <c r="CD75" i="6"/>
  <c r="BK75" i="6"/>
  <c r="BZ75" i="6"/>
  <c r="CJ75" i="6"/>
  <c r="BQ75" i="6"/>
  <c r="BI75" i="6"/>
  <c r="BJ75" i="6"/>
  <c r="BN75" i="6"/>
  <c r="CE75" i="6"/>
  <c r="CI75" i="6"/>
  <c r="BF75" i="6"/>
  <c r="BY75" i="6"/>
  <c r="CH75" i="6"/>
  <c r="CC75" i="6"/>
  <c r="CG75" i="6"/>
  <c r="BH75" i="6"/>
  <c r="BE75" i="6"/>
  <c r="BW75" i="6"/>
  <c r="AU75" i="6"/>
  <c r="CF75" i="6"/>
  <c r="BP75" i="6"/>
  <c r="CB75" i="6"/>
  <c r="BD75" i="6"/>
  <c r="BL75" i="6"/>
  <c r="BO75" i="6"/>
  <c r="BG75" i="6"/>
  <c r="AZ75" i="6"/>
  <c r="BA75" i="6"/>
  <c r="AT75" i="6"/>
  <c r="AV75" i="6"/>
  <c r="AW75" i="6"/>
  <c r="AX75" i="6"/>
  <c r="AY75" i="6"/>
  <c r="BM86" i="6"/>
  <c r="BE86" i="6"/>
  <c r="BL86" i="6"/>
  <c r="AW86" i="6"/>
  <c r="CD86" i="6"/>
  <c r="BT86" i="6"/>
  <c r="CF86" i="6"/>
  <c r="BF86" i="6"/>
  <c r="BI86" i="6"/>
  <c r="CM86" i="6"/>
  <c r="BS86" i="6"/>
  <c r="CC86" i="6"/>
  <c r="BY86" i="6"/>
  <c r="BK86" i="6"/>
  <c r="CL86" i="6"/>
  <c r="BR86" i="6"/>
  <c r="BH86" i="6"/>
  <c r="BD86" i="6"/>
  <c r="BZ86" i="6"/>
  <c r="CK86" i="6"/>
  <c r="BQ86" i="6"/>
  <c r="BN86" i="6"/>
  <c r="CJ86" i="6"/>
  <c r="BO86" i="6"/>
  <c r="CB86" i="6"/>
  <c r="BX86" i="6"/>
  <c r="CE86" i="6"/>
  <c r="AU86" i="6"/>
  <c r="CI86" i="6"/>
  <c r="BG86" i="6"/>
  <c r="BC86" i="6"/>
  <c r="BJ86" i="6"/>
  <c r="CH86" i="6"/>
  <c r="CG86" i="6"/>
  <c r="CA86" i="6"/>
  <c r="BW86" i="6"/>
  <c r="BP86" i="6"/>
  <c r="BV86" i="6"/>
  <c r="AZ86" i="6"/>
  <c r="AY86" i="6"/>
  <c r="AV86" i="6"/>
  <c r="BA86" i="6"/>
  <c r="AX86" i="6"/>
  <c r="AT86" i="6"/>
  <c r="BO99" i="6"/>
  <c r="BJ99" i="6"/>
  <c r="CA99" i="6"/>
  <c r="BW99" i="6"/>
  <c r="BN99" i="6"/>
  <c r="BF99" i="6"/>
  <c r="BT99" i="6"/>
  <c r="BS99" i="6"/>
  <c r="CD99" i="6"/>
  <c r="BZ99" i="6"/>
  <c r="CG99" i="6"/>
  <c r="BR99" i="6"/>
  <c r="BV99" i="6"/>
  <c r="BI99" i="6"/>
  <c r="BE99" i="6"/>
  <c r="CF99" i="6"/>
  <c r="BQ99" i="6"/>
  <c r="CJ99" i="6"/>
  <c r="BP99" i="6"/>
  <c r="BL99" i="6"/>
  <c r="CC99" i="6"/>
  <c r="BY99" i="6"/>
  <c r="CI99" i="6"/>
  <c r="BM99" i="6"/>
  <c r="BH99" i="6"/>
  <c r="BD99" i="6"/>
  <c r="CH99" i="6"/>
  <c r="BK99" i="6"/>
  <c r="CM99" i="6"/>
  <c r="CB99" i="6"/>
  <c r="BX99" i="6"/>
  <c r="CL99" i="6"/>
  <c r="BG99" i="6"/>
  <c r="BC99" i="6"/>
  <c r="CK99" i="6"/>
  <c r="CE99" i="6"/>
  <c r="AX99" i="6"/>
  <c r="AT99" i="6"/>
  <c r="AU99" i="6"/>
  <c r="AV99" i="6"/>
  <c r="AW99" i="6"/>
  <c r="AZ99" i="6"/>
  <c r="AY99" i="6"/>
  <c r="BA99" i="6"/>
  <c r="CG74" i="6"/>
  <c r="BX74" i="6"/>
  <c r="CA74" i="6"/>
  <c r="CF74" i="6"/>
  <c r="BC74" i="6"/>
  <c r="BK74" i="6"/>
  <c r="CH74" i="6"/>
  <c r="BL74" i="6"/>
  <c r="BT74" i="6"/>
  <c r="BI74" i="6"/>
  <c r="BZ74" i="6"/>
  <c r="BS74" i="6"/>
  <c r="BW74" i="6"/>
  <c r="BG74" i="6"/>
  <c r="BR74" i="6"/>
  <c r="BQ74" i="6"/>
  <c r="CE74" i="6"/>
  <c r="BF74" i="6"/>
  <c r="CM74" i="6"/>
  <c r="BP74" i="6"/>
  <c r="CC74" i="6"/>
  <c r="BJ74" i="6"/>
  <c r="BE74" i="6"/>
  <c r="CL74" i="6"/>
  <c r="BO74" i="6"/>
  <c r="BH74" i="6"/>
  <c r="CK74" i="6"/>
  <c r="BN74" i="6"/>
  <c r="CD74" i="6"/>
  <c r="AY74" i="6"/>
  <c r="CJ74" i="6"/>
  <c r="BM74" i="6"/>
  <c r="BY74" i="6"/>
  <c r="BV74" i="6"/>
  <c r="CI74" i="6"/>
  <c r="AZ74" i="6"/>
  <c r="BD74" i="6"/>
  <c r="CB74" i="6"/>
  <c r="AW74" i="6"/>
  <c r="BA74" i="6"/>
  <c r="AT74" i="6"/>
  <c r="AX74" i="6"/>
  <c r="AV74" i="6"/>
  <c r="AU74" i="6"/>
  <c r="CF82" i="6"/>
  <c r="BQ82" i="6"/>
  <c r="CB82" i="6"/>
  <c r="BX82" i="6"/>
  <c r="CM82" i="6"/>
  <c r="AU82" i="6"/>
  <c r="BW82" i="6"/>
  <c r="BV82" i="6"/>
  <c r="BP82" i="6"/>
  <c r="BO82" i="6"/>
  <c r="BG82" i="6"/>
  <c r="BC82" i="6"/>
  <c r="CL82" i="6"/>
  <c r="CE82" i="6"/>
  <c r="BZ82" i="6"/>
  <c r="BE82" i="6"/>
  <c r="CK82" i="6"/>
  <c r="AT82" i="6"/>
  <c r="BJ82" i="6"/>
  <c r="CA82" i="6"/>
  <c r="BI82" i="6"/>
  <c r="AW82" i="6"/>
  <c r="CJ82" i="6"/>
  <c r="BF82" i="6"/>
  <c r="BS82" i="6"/>
  <c r="AZ82" i="6"/>
  <c r="CG82" i="6"/>
  <c r="BR82" i="6"/>
  <c r="AY82" i="6"/>
  <c r="CD82" i="6"/>
  <c r="AX82" i="6"/>
  <c r="BT82" i="6"/>
  <c r="BK82" i="6"/>
  <c r="CI82" i="6"/>
  <c r="BN82" i="6"/>
  <c r="BL82" i="6"/>
  <c r="CC82" i="6"/>
  <c r="BY82" i="6"/>
  <c r="CH82" i="6"/>
  <c r="BM82" i="6"/>
  <c r="BH82" i="6"/>
  <c r="BD82" i="6"/>
  <c r="BA82" i="6"/>
  <c r="AV82" i="6"/>
  <c r="CK89" i="6"/>
  <c r="BN89" i="6"/>
  <c r="BG89" i="6"/>
  <c r="BC89" i="6"/>
  <c r="CJ89" i="6"/>
  <c r="BM89" i="6"/>
  <c r="CE89" i="6"/>
  <c r="BO89" i="6"/>
  <c r="CI89" i="6"/>
  <c r="BJ89" i="6"/>
  <c r="CA89" i="6"/>
  <c r="BW89" i="6"/>
  <c r="AW89" i="6"/>
  <c r="CH89" i="6"/>
  <c r="AY89" i="6"/>
  <c r="BF89" i="6"/>
  <c r="CF89" i="6"/>
  <c r="CD89" i="6"/>
  <c r="CG89" i="6"/>
  <c r="BV89" i="6"/>
  <c r="BX89" i="6"/>
  <c r="BZ89" i="6"/>
  <c r="BP89" i="6"/>
  <c r="AV89" i="6"/>
  <c r="BI89" i="6"/>
  <c r="BE89" i="6"/>
  <c r="BL89" i="6"/>
  <c r="CL89" i="6"/>
  <c r="BT89" i="6"/>
  <c r="AU89" i="6"/>
  <c r="BS89" i="6"/>
  <c r="AT89" i="6"/>
  <c r="CC89" i="6"/>
  <c r="BY89" i="6"/>
  <c r="CB89" i="6"/>
  <c r="BR89" i="6"/>
  <c r="BA89" i="6"/>
  <c r="BH89" i="6"/>
  <c r="BD89" i="6"/>
  <c r="CM89" i="6"/>
  <c r="BQ89" i="6"/>
  <c r="BK89" i="6"/>
  <c r="AZ89" i="6"/>
  <c r="AX89" i="6"/>
  <c r="BM88" i="6"/>
  <c r="CK88" i="6"/>
  <c r="BT88" i="6"/>
  <c r="CA88" i="6"/>
  <c r="BW88" i="6"/>
  <c r="CJ88" i="6"/>
  <c r="BQ88" i="6"/>
  <c r="BF88" i="6"/>
  <c r="CD88" i="6"/>
  <c r="CL88" i="6"/>
  <c r="BP88" i="6"/>
  <c r="BV88" i="6"/>
  <c r="BI88" i="6"/>
  <c r="CI88" i="6"/>
  <c r="BO88" i="6"/>
  <c r="BZ88" i="6"/>
  <c r="AX88" i="6"/>
  <c r="CH88" i="6"/>
  <c r="BE88" i="6"/>
  <c r="BL88" i="6"/>
  <c r="CC88" i="6"/>
  <c r="CG88" i="6"/>
  <c r="BH88" i="6"/>
  <c r="BC88" i="6"/>
  <c r="CF88" i="6"/>
  <c r="BY88" i="6"/>
  <c r="BK88" i="6"/>
  <c r="CM88" i="6"/>
  <c r="BD88" i="6"/>
  <c r="CB88" i="6"/>
  <c r="BS88" i="6"/>
  <c r="BG88" i="6"/>
  <c r="BJ88" i="6"/>
  <c r="BR88" i="6"/>
  <c r="BX88" i="6"/>
  <c r="CE88" i="6"/>
  <c r="BN88" i="6"/>
  <c r="AY88" i="6"/>
  <c r="AT88" i="6"/>
  <c r="AW88" i="6"/>
  <c r="AU88" i="6"/>
  <c r="AZ88" i="6"/>
  <c r="AV88" i="6"/>
  <c r="BA88" i="6"/>
  <c r="W14" i="12"/>
  <c r="X14" i="12"/>
  <c r="J100" i="5" l="1"/>
  <c r="BQ104" i="6"/>
  <c r="AW104" i="6"/>
  <c r="BF104" i="6"/>
  <c r="BI104" i="6"/>
  <c r="AU104" i="6"/>
  <c r="BJ104" i="6"/>
  <c r="BY104" i="6"/>
  <c r="CK104" i="6"/>
  <c r="BX104" i="6"/>
  <c r="BE104" i="6"/>
  <c r="BW104" i="6"/>
  <c r="BR104" i="6"/>
  <c r="BD104" i="6"/>
  <c r="BT104" i="6"/>
  <c r="BK104" i="6"/>
  <c r="BV104" i="6"/>
  <c r="CA104" i="6"/>
  <c r="CM104" i="6"/>
  <c r="BA104" i="6"/>
  <c r="BG104" i="6"/>
  <c r="BO104" i="6"/>
  <c r="AX104" i="6"/>
  <c r="CL104" i="6"/>
  <c r="AY104" i="6"/>
  <c r="BS104" i="6"/>
  <c r="CF104" i="6"/>
  <c r="AT104" i="6"/>
  <c r="CC104" i="6"/>
  <c r="CI104" i="6"/>
  <c r="CJ104" i="6"/>
  <c r="BH104" i="6"/>
  <c r="BN104" i="6"/>
  <c r="AV104" i="6"/>
  <c r="CD104" i="6"/>
  <c r="BM104" i="6"/>
  <c r="BL104" i="6"/>
  <c r="CE104" i="6"/>
  <c r="AZ104" i="6"/>
  <c r="BP104" i="6"/>
  <c r="BZ104" i="6"/>
  <c r="K104" i="12"/>
  <c r="W106" i="5"/>
  <c r="H106" i="12" s="1"/>
  <c r="B106" i="5"/>
  <c r="AE106" i="5"/>
  <c r="N106" i="5"/>
  <c r="D106" i="6" s="1"/>
  <c r="AD106" i="5"/>
  <c r="C107" i="5"/>
  <c r="A106" i="12"/>
  <c r="I106" i="5"/>
  <c r="B106" i="6"/>
  <c r="J106" i="6" s="1" a="1"/>
  <c r="J106" i="6" s="1"/>
  <c r="H106" i="5"/>
  <c r="G106" i="5"/>
  <c r="F106" i="5"/>
  <c r="E106" i="5"/>
  <c r="CG104" i="6"/>
  <c r="CH104" i="6"/>
  <c r="BC104" i="6"/>
  <c r="H105" i="6" a="1"/>
  <c r="H105" i="6" s="1"/>
  <c r="G105" i="6"/>
  <c r="N105" i="6"/>
  <c r="M105" i="6"/>
  <c r="V14" i="12"/>
  <c r="T14" i="12"/>
  <c r="U14" i="12"/>
  <c r="CK105" i="6" l="1"/>
  <c r="BJ105" i="6"/>
  <c r="BK105" i="6"/>
  <c r="BZ105" i="6"/>
  <c r="BC105" i="6"/>
  <c r="CE105" i="6"/>
  <c r="BY105" i="6"/>
  <c r="BG105" i="6"/>
  <c r="BX105" i="6"/>
  <c r="CC105" i="6"/>
  <c r="BS105" i="6"/>
  <c r="CB105" i="6"/>
  <c r="BN105" i="6"/>
  <c r="BL105" i="6"/>
  <c r="CF105" i="6"/>
  <c r="BM105" i="6"/>
  <c r="BH105" i="6"/>
  <c r="BE105" i="6"/>
  <c r="CG105" i="6"/>
  <c r="CI105" i="6"/>
  <c r="BR105" i="6"/>
  <c r="BD105" i="6"/>
  <c r="CH105" i="6"/>
  <c r="BI105" i="6"/>
  <c r="CL105" i="6"/>
  <c r="BV105" i="6"/>
  <c r="BW105" i="6"/>
  <c r="BP105" i="6"/>
  <c r="BT105" i="6"/>
  <c r="BO105" i="6"/>
  <c r="CA105" i="6"/>
  <c r="CD105" i="6"/>
  <c r="BQ105" i="6"/>
  <c r="CJ105" i="6"/>
  <c r="CM105" i="6"/>
  <c r="BF105" i="6"/>
  <c r="N107" i="5"/>
  <c r="D107" i="6" s="1"/>
  <c r="AD107" i="5"/>
  <c r="K107" i="5"/>
  <c r="J107" i="5"/>
  <c r="H107" i="5"/>
  <c r="G107" i="5"/>
  <c r="F107" i="5"/>
  <c r="D107" i="5"/>
  <c r="B107" i="12" s="1"/>
  <c r="A107" i="12"/>
  <c r="E107" i="5"/>
  <c r="B107" i="6"/>
  <c r="C108" i="5"/>
  <c r="B107" i="5"/>
  <c r="AE107" i="5"/>
  <c r="T105" i="5"/>
  <c r="G105" i="12" s="1"/>
  <c r="BA105" i="6"/>
  <c r="AV105" i="6"/>
  <c r="AR105" i="6"/>
  <c r="AY105" i="6"/>
  <c r="AL105" i="6"/>
  <c r="AP105" i="6"/>
  <c r="AQ105" i="6"/>
  <c r="AX105" i="6"/>
  <c r="AJ105" i="6"/>
  <c r="AT105" i="6"/>
  <c r="AU105" i="6"/>
  <c r="AW105" i="6"/>
  <c r="AK105" i="6"/>
  <c r="AZ105" i="6"/>
  <c r="AS105" i="6"/>
  <c r="AO105" i="6"/>
  <c r="AM105" i="6"/>
  <c r="AN105" i="6"/>
  <c r="H106" i="6" a="1"/>
  <c r="H106" i="6" s="1"/>
  <c r="G106" i="6"/>
  <c r="N106" i="6"/>
  <c r="M106" i="6"/>
  <c r="U1" i="7" a="1"/>
  <c r="U1" i="7" s="1"/>
  <c r="W1" i="7" a="1"/>
  <c r="W1" i="7" s="1"/>
  <c r="Y1" i="7" a="1"/>
  <c r="Y1" i="7" s="1"/>
  <c r="S1" i="7" a="1"/>
  <c r="S1" i="7" s="1"/>
  <c r="T1" i="7" a="1"/>
  <c r="T1" i="7" s="1"/>
  <c r="V1" i="7" a="1"/>
  <c r="V1" i="7" s="1"/>
  <c r="X1" i="7" a="1"/>
  <c r="X1" i="7" s="1"/>
  <c r="G108" i="5" l="1"/>
  <c r="F108" i="5"/>
  <c r="E108" i="5"/>
  <c r="D108" i="5"/>
  <c r="B108" i="12" s="1"/>
  <c r="B108" i="5"/>
  <c r="AE108" i="5"/>
  <c r="N108" i="5"/>
  <c r="D108" i="6" s="1"/>
  <c r="AD108" i="5"/>
  <c r="J108" i="5"/>
  <c r="A108" i="12"/>
  <c r="C109" i="5"/>
  <c r="B108" i="6"/>
  <c r="K108" i="5"/>
  <c r="H108" i="5"/>
  <c r="T106" i="5"/>
  <c r="G106" i="12" s="1"/>
  <c r="AX106" i="6"/>
  <c r="AM106" i="6"/>
  <c r="AU106" i="6"/>
  <c r="AK106" i="6"/>
  <c r="AV106" i="6"/>
  <c r="AZ106" i="6"/>
  <c r="AS106" i="6"/>
  <c r="AQ106" i="6"/>
  <c r="AO106" i="6"/>
  <c r="AJ106" i="6"/>
  <c r="AN106" i="6"/>
  <c r="AT106" i="6"/>
  <c r="AW106" i="6"/>
  <c r="AL106" i="6"/>
  <c r="AR106" i="6"/>
  <c r="BA106" i="6"/>
  <c r="AY106" i="6"/>
  <c r="AP106" i="6"/>
  <c r="L107" i="12" a="1"/>
  <c r="L107" i="12" s="1"/>
  <c r="J107" i="12" a="1"/>
  <c r="J107" i="12" s="1"/>
  <c r="BO106" i="6"/>
  <c r="BW106" i="6"/>
  <c r="CD106" i="6"/>
  <c r="CE106" i="6"/>
  <c r="CI106" i="6"/>
  <c r="CG106" i="6"/>
  <c r="BN106" i="6"/>
  <c r="BY106" i="6"/>
  <c r="CM106" i="6"/>
  <c r="BX106" i="6"/>
  <c r="BC106" i="6"/>
  <c r="BJ106" i="6"/>
  <c r="BF106" i="6"/>
  <c r="CL106" i="6"/>
  <c r="BT106" i="6"/>
  <c r="CK106" i="6"/>
  <c r="BM106" i="6"/>
  <c r="CA106" i="6"/>
  <c r="BD106" i="6"/>
  <c r="BK106" i="6"/>
  <c r="BG106" i="6"/>
  <c r="CJ106" i="6"/>
  <c r="CC106" i="6"/>
  <c r="BH106" i="6"/>
  <c r="BR106" i="6"/>
  <c r="BE106" i="6"/>
  <c r="BQ106" i="6"/>
  <c r="BV106" i="6"/>
  <c r="CH106" i="6"/>
  <c r="BP106" i="6"/>
  <c r="CB106" i="6"/>
  <c r="BZ106" i="6"/>
  <c r="CF106" i="6"/>
  <c r="BS106" i="6"/>
  <c r="BI106" i="6"/>
  <c r="BL106" i="6"/>
  <c r="N107" i="6"/>
  <c r="M107" i="6"/>
  <c r="H107" i="6" a="1"/>
  <c r="H107" i="6" s="1"/>
  <c r="F109" i="5" l="1"/>
  <c r="D109" i="5"/>
  <c r="B109" i="12" s="1"/>
  <c r="A109" i="12"/>
  <c r="C110" i="5"/>
  <c r="B109" i="6"/>
  <c r="E109" i="5"/>
  <c r="B109" i="5"/>
  <c r="AE109" i="5"/>
  <c r="N109" i="5"/>
  <c r="D109" i="6" s="1"/>
  <c r="AD109" i="5"/>
  <c r="K109" i="5"/>
  <c r="J109" i="5"/>
  <c r="H109" i="5"/>
  <c r="G109" i="5"/>
  <c r="K107" i="12"/>
  <c r="L108" i="12" a="1"/>
  <c r="L108" i="12" s="1"/>
  <c r="J108" i="12" a="1"/>
  <c r="J108" i="12" s="1"/>
  <c r="M108" i="6"/>
  <c r="BW108" i="6" s="1"/>
  <c r="H108" i="6" a="1"/>
  <c r="H108" i="6" s="1"/>
  <c r="N108" i="6"/>
  <c r="AY107" i="6"/>
  <c r="AX107" i="6"/>
  <c r="AZ107" i="6"/>
  <c r="AV107" i="6"/>
  <c r="AU107" i="6"/>
  <c r="BA107" i="6"/>
  <c r="AT107" i="6"/>
  <c r="AW107" i="6"/>
  <c r="T107" i="5"/>
  <c r="G107" i="12" s="1"/>
  <c r="CM107" i="6"/>
  <c r="BJ107" i="6"/>
  <c r="BH107" i="6"/>
  <c r="BM107" i="6"/>
  <c r="BD107" i="6"/>
  <c r="BK107" i="6"/>
  <c r="BL107" i="6"/>
  <c r="CB107" i="6"/>
  <c r="BX107" i="6"/>
  <c r="BP107" i="6"/>
  <c r="BW107" i="6"/>
  <c r="CE107" i="6"/>
  <c r="BF107" i="6"/>
  <c r="BO107" i="6"/>
  <c r="BY107" i="6"/>
  <c r="BV107" i="6"/>
  <c r="BT107" i="6"/>
  <c r="BQ107" i="6"/>
  <c r="BZ107" i="6"/>
  <c r="CJ107" i="6"/>
  <c r="CC107" i="6"/>
  <c r="CA107" i="6"/>
  <c r="BN107" i="6"/>
  <c r="CK107" i="6"/>
  <c r="CF107" i="6"/>
  <c r="BR107" i="6"/>
  <c r="BI107" i="6"/>
  <c r="BG107" i="6"/>
  <c r="BE107" i="6"/>
  <c r="BS107" i="6"/>
  <c r="BC107" i="6"/>
  <c r="CL107" i="6"/>
  <c r="CD107" i="6"/>
  <c r="CH107" i="6"/>
  <c r="CG107" i="6"/>
  <c r="CI107" i="6"/>
  <c r="K108" i="12" l="1"/>
  <c r="M109" i="6"/>
  <c r="CB109" i="6" s="1"/>
  <c r="H109" i="6" a="1"/>
  <c r="H109" i="6" s="1"/>
  <c r="N109" i="6"/>
  <c r="BA108" i="6"/>
  <c r="AY108" i="6"/>
  <c r="AZ108" i="6"/>
  <c r="AU108" i="6"/>
  <c r="AX108" i="6"/>
  <c r="AV108" i="6"/>
  <c r="T108" i="5"/>
  <c r="G108" i="12" s="1"/>
  <c r="AW108" i="6"/>
  <c r="AT108" i="6"/>
  <c r="CF108" i="6"/>
  <c r="BX108" i="6"/>
  <c r="BY108" i="6"/>
  <c r="CJ108" i="6"/>
  <c r="CA108" i="6"/>
  <c r="CB108" i="6"/>
  <c r="CC108" i="6"/>
  <c r="BT108" i="6"/>
  <c r="CK108" i="6"/>
  <c r="BM108" i="6"/>
  <c r="BP108" i="6"/>
  <c r="BZ108" i="6"/>
  <c r="BJ108" i="6"/>
  <c r="CD108" i="6"/>
  <c r="BC108" i="6"/>
  <c r="BQ108" i="6"/>
  <c r="CH108" i="6"/>
  <c r="BD108" i="6"/>
  <c r="BG108" i="6"/>
  <c r="BN108" i="6"/>
  <c r="CI108" i="6"/>
  <c r="BV108" i="6"/>
  <c r="CE108" i="6"/>
  <c r="BH108" i="6"/>
  <c r="BR108" i="6"/>
  <c r="CL108" i="6"/>
  <c r="BL108" i="6"/>
  <c r="BI108" i="6"/>
  <c r="BO108" i="6"/>
  <c r="CG108" i="6"/>
  <c r="BF108" i="6"/>
  <c r="BE108" i="6"/>
  <c r="CM108" i="6"/>
  <c r="BS108" i="6"/>
  <c r="BK108" i="6"/>
  <c r="F110" i="5"/>
  <c r="E110" i="5"/>
  <c r="D110" i="5"/>
  <c r="B110" i="12" s="1"/>
  <c r="AD110" i="5"/>
  <c r="B110" i="5"/>
  <c r="AE110" i="5"/>
  <c r="N110" i="5"/>
  <c r="D110" i="6" s="1"/>
  <c r="J110" i="5"/>
  <c r="A110" i="12"/>
  <c r="K110" i="5"/>
  <c r="B110" i="6"/>
  <c r="C111" i="5"/>
  <c r="H110" i="5"/>
  <c r="G110" i="5"/>
  <c r="L109" i="12" a="1"/>
  <c r="L109" i="12" s="1"/>
  <c r="J109" i="12" a="1"/>
  <c r="J109" i="12" s="1"/>
  <c r="R1" i="7" a="1"/>
  <c r="R1" i="7" s="1"/>
  <c r="CA109" i="6" l="1"/>
  <c r="CL109" i="6"/>
  <c r="CK109" i="6"/>
  <c r="CI109" i="6"/>
  <c r="BJ109" i="6"/>
  <c r="H111" i="5"/>
  <c r="G111" i="5"/>
  <c r="AD111" i="5"/>
  <c r="E111" i="5"/>
  <c r="F111" i="5"/>
  <c r="D111" i="5"/>
  <c r="B111" i="12" s="1"/>
  <c r="A111" i="12"/>
  <c r="B111" i="6"/>
  <c r="C112" i="5"/>
  <c r="K111" i="5"/>
  <c r="B111" i="5"/>
  <c r="AE111" i="5"/>
  <c r="N111" i="5"/>
  <c r="D111" i="6" s="1"/>
  <c r="J111" i="5"/>
  <c r="J110" i="12" a="1"/>
  <c r="J110" i="12" s="1"/>
  <c r="L110" i="12" a="1"/>
  <c r="L110" i="12" s="1"/>
  <c r="H110" i="6" a="1"/>
  <c r="H110" i="6" s="1"/>
  <c r="N110" i="6"/>
  <c r="M110" i="6"/>
  <c r="AX109" i="6"/>
  <c r="T109" i="5"/>
  <c r="G109" i="12" s="1"/>
  <c r="AZ109" i="6"/>
  <c r="AY109" i="6"/>
  <c r="AV109" i="6"/>
  <c r="BA109" i="6"/>
  <c r="AW109" i="6"/>
  <c r="AU109" i="6"/>
  <c r="AT109" i="6"/>
  <c r="K109" i="12"/>
  <c r="BC109" i="6"/>
  <c r="BH109" i="6"/>
  <c r="BD109" i="6"/>
  <c r="CG109" i="6"/>
  <c r="BQ109" i="6"/>
  <c r="BK109" i="6"/>
  <c r="BP109" i="6"/>
  <c r="CH109" i="6"/>
  <c r="BF109" i="6"/>
  <c r="BZ109" i="6"/>
  <c r="BN109" i="6"/>
  <c r="BS109" i="6"/>
  <c r="BL109" i="6"/>
  <c r="CD109" i="6"/>
  <c r="CJ109" i="6"/>
  <c r="BG109" i="6"/>
  <c r="BY109" i="6"/>
  <c r="CC109" i="6"/>
  <c r="BR109" i="6"/>
  <c r="CE109" i="6"/>
  <c r="CM109" i="6"/>
  <c r="BE109" i="6"/>
  <c r="BM109" i="6"/>
  <c r="BI109" i="6"/>
  <c r="BW109" i="6"/>
  <c r="BV109" i="6"/>
  <c r="BO109" i="6"/>
  <c r="BX109" i="6"/>
  <c r="CF109" i="6"/>
  <c r="BT109" i="6"/>
  <c r="CJ110" i="6" l="1"/>
  <c r="AU110" i="6"/>
  <c r="K110" i="12"/>
  <c r="BT110" i="6"/>
  <c r="CB110" i="6"/>
  <c r="BP110" i="6"/>
  <c r="B112" i="5"/>
  <c r="AE112" i="5"/>
  <c r="AD112" i="5"/>
  <c r="N112" i="5"/>
  <c r="D112" i="6" s="1"/>
  <c r="K112" i="5"/>
  <c r="J112" i="5"/>
  <c r="H112" i="5"/>
  <c r="A112" i="12"/>
  <c r="C113" i="5"/>
  <c r="B112" i="6"/>
  <c r="G112" i="5"/>
  <c r="F112" i="5"/>
  <c r="E112" i="5"/>
  <c r="D112" i="5"/>
  <c r="B112" i="12" s="1"/>
  <c r="BO110" i="6"/>
  <c r="CG110" i="6"/>
  <c r="CH110" i="6"/>
  <c r="CA110" i="6"/>
  <c r="BE110" i="6"/>
  <c r="BX110" i="6"/>
  <c r="CK110" i="6"/>
  <c r="CE110" i="6"/>
  <c r="BM110" i="6"/>
  <c r="BC110" i="6"/>
  <c r="BZ110" i="6"/>
  <c r="BF110" i="6"/>
  <c r="CD110" i="6"/>
  <c r="BJ110" i="6"/>
  <c r="BL110" i="6"/>
  <c r="BQ110" i="6"/>
  <c r="CL110" i="6"/>
  <c r="BR110" i="6"/>
  <c r="BS110" i="6"/>
  <c r="BV110" i="6"/>
  <c r="BI110" i="6"/>
  <c r="CM110" i="6"/>
  <c r="BG110" i="6"/>
  <c r="CI110" i="6"/>
  <c r="BH110" i="6"/>
  <c r="BY110" i="6"/>
  <c r="BN110" i="6"/>
  <c r="CF110" i="6"/>
  <c r="CC110" i="6"/>
  <c r="BD110" i="6"/>
  <c r="BK110" i="6"/>
  <c r="BW110" i="6"/>
  <c r="L111" i="12" a="1"/>
  <c r="L111" i="12" s="1"/>
  <c r="J111" i="12" a="1"/>
  <c r="J111" i="12" s="1"/>
  <c r="T110" i="5"/>
  <c r="G110" i="12" s="1"/>
  <c r="AZ110" i="6"/>
  <c r="BA110" i="6"/>
  <c r="AW110" i="6"/>
  <c r="AX110" i="6"/>
  <c r="AV110" i="6"/>
  <c r="AT110" i="6"/>
  <c r="AY110" i="6"/>
  <c r="H111" i="6" a="1"/>
  <c r="H111" i="6" s="1"/>
  <c r="N111" i="6"/>
  <c r="M111" i="6"/>
  <c r="CA111" i="6" l="1"/>
  <c r="BE111" i="6"/>
  <c r="BY111" i="6"/>
  <c r="CE111" i="6"/>
  <c r="BR111" i="6"/>
  <c r="CJ111" i="6"/>
  <c r="BI111" i="6"/>
  <c r="BN111" i="6"/>
  <c r="CH111" i="6"/>
  <c r="BK111" i="6"/>
  <c r="CK111" i="6"/>
  <c r="CB111" i="6"/>
  <c r="BV111" i="6"/>
  <c r="CG111" i="6"/>
  <c r="BC111" i="6"/>
  <c r="CC111" i="6"/>
  <c r="CI111" i="6"/>
  <c r="BW111" i="6"/>
  <c r="BL111" i="6"/>
  <c r="CF111" i="6"/>
  <c r="BP111" i="6"/>
  <c r="BZ111" i="6"/>
  <c r="BJ111" i="6"/>
  <c r="CM111" i="6"/>
  <c r="CD111" i="6"/>
  <c r="BG111" i="6"/>
  <c r="BD111" i="6"/>
  <c r="BT111" i="6"/>
  <c r="BS111" i="6"/>
  <c r="BH111" i="6"/>
  <c r="BM111" i="6"/>
  <c r="CL111" i="6"/>
  <c r="BO111" i="6"/>
  <c r="BX111" i="6"/>
  <c r="BF111" i="6"/>
  <c r="BQ111" i="6"/>
  <c r="K111" i="12"/>
  <c r="AV111" i="6"/>
  <c r="AZ111" i="6"/>
  <c r="AX111" i="6"/>
  <c r="BA111" i="6"/>
  <c r="AT111" i="6"/>
  <c r="T111" i="5"/>
  <c r="G111" i="12" s="1"/>
  <c r="AY111" i="6"/>
  <c r="AU111" i="6"/>
  <c r="AW111" i="6"/>
  <c r="AD113" i="5"/>
  <c r="K113" i="5"/>
  <c r="E113" i="5"/>
  <c r="J113" i="5"/>
  <c r="H113" i="5"/>
  <c r="F113" i="5"/>
  <c r="A113" i="12"/>
  <c r="D113" i="5"/>
  <c r="B113" i="12" s="1"/>
  <c r="B113" i="6"/>
  <c r="C114" i="5"/>
  <c r="G113" i="5"/>
  <c r="B113" i="5"/>
  <c r="AE113" i="5"/>
  <c r="N113" i="5"/>
  <c r="D113" i="6" s="1"/>
  <c r="L112" i="12" a="1"/>
  <c r="L112" i="12" s="1"/>
  <c r="J112" i="12" a="1"/>
  <c r="J112" i="12" s="1"/>
  <c r="M112" i="6"/>
  <c r="H112" i="6" a="1"/>
  <c r="H112" i="6" s="1"/>
  <c r="N112" i="6"/>
  <c r="K112" i="12" l="1"/>
  <c r="H113" i="6" a="1"/>
  <c r="H113" i="6" s="1"/>
  <c r="N113" i="6"/>
  <c r="M113" i="6"/>
  <c r="F114" i="5"/>
  <c r="E114" i="5"/>
  <c r="D114" i="5"/>
  <c r="B114" i="12" s="1"/>
  <c r="B114" i="5"/>
  <c r="AE114" i="5"/>
  <c r="N114" i="5"/>
  <c r="D114" i="6" s="1"/>
  <c r="AD114" i="5"/>
  <c r="K114" i="5"/>
  <c r="A114" i="12"/>
  <c r="J114" i="5"/>
  <c r="B114" i="6"/>
  <c r="C115" i="5"/>
  <c r="H114" i="5"/>
  <c r="G114" i="5"/>
  <c r="L113" i="12" a="1"/>
  <c r="L113" i="12" s="1"/>
  <c r="J113" i="12" a="1"/>
  <c r="J113" i="12" s="1"/>
  <c r="AZ112" i="6"/>
  <c r="AW112" i="6"/>
  <c r="AU112" i="6"/>
  <c r="AX112" i="6"/>
  <c r="BA112" i="6"/>
  <c r="AV112" i="6"/>
  <c r="AT112" i="6"/>
  <c r="AY112" i="6"/>
  <c r="T112" i="5"/>
  <c r="G112" i="12" s="1"/>
  <c r="CK112" i="6"/>
  <c r="CH112" i="6"/>
  <c r="BI112" i="6"/>
  <c r="BW112" i="6"/>
  <c r="CA112" i="6"/>
  <c r="BM112" i="6"/>
  <c r="BS112" i="6"/>
  <c r="BH112" i="6"/>
  <c r="BV112" i="6"/>
  <c r="BT112" i="6"/>
  <c r="BP112" i="6"/>
  <c r="BY112" i="6"/>
  <c r="BJ112" i="6"/>
  <c r="CI112" i="6"/>
  <c r="CF112" i="6"/>
  <c r="BQ112" i="6"/>
  <c r="BC112" i="6"/>
  <c r="CC112" i="6"/>
  <c r="BG112" i="6"/>
  <c r="CB112" i="6"/>
  <c r="BL112" i="6"/>
  <c r="CG112" i="6"/>
  <c r="BN112" i="6"/>
  <c r="BD112" i="6"/>
  <c r="BE112" i="6"/>
  <c r="CD112" i="6"/>
  <c r="BX112" i="6"/>
  <c r="CM112" i="6"/>
  <c r="CE112" i="6"/>
  <c r="BF112" i="6"/>
  <c r="CL112" i="6"/>
  <c r="BR112" i="6"/>
  <c r="BK112" i="6"/>
  <c r="BZ112" i="6"/>
  <c r="CJ112" i="6"/>
  <c r="BO112" i="6"/>
  <c r="CC113" i="6" l="1"/>
  <c r="CB113" i="6"/>
  <c r="BM113" i="6"/>
  <c r="BY113" i="6"/>
  <c r="CH113" i="6"/>
  <c r="BX113" i="6"/>
  <c r="CE113" i="6"/>
  <c r="BL113" i="6"/>
  <c r="BP113" i="6"/>
  <c r="CI113" i="6"/>
  <c r="BJ113" i="6"/>
  <c r="CA113" i="6"/>
  <c r="BW113" i="6"/>
  <c r="BS113" i="6"/>
  <c r="AT113" i="6"/>
  <c r="K113" i="12"/>
  <c r="L114" i="12" a="1"/>
  <c r="L114" i="12" s="1"/>
  <c r="J114" i="12" a="1"/>
  <c r="J114" i="12" s="1"/>
  <c r="H114" i="6" a="1"/>
  <c r="H114" i="6" s="1"/>
  <c r="N114" i="6"/>
  <c r="M114" i="6"/>
  <c r="B115" i="5"/>
  <c r="F115" i="5"/>
  <c r="A115" i="12"/>
  <c r="AE115" i="5"/>
  <c r="N115" i="5"/>
  <c r="D115" i="6" s="1"/>
  <c r="AD115" i="5"/>
  <c r="K115" i="5"/>
  <c r="J115" i="5"/>
  <c r="H115" i="5"/>
  <c r="B115" i="6"/>
  <c r="G115" i="5"/>
  <c r="D115" i="5"/>
  <c r="B115" i="12" s="1"/>
  <c r="C116" i="5"/>
  <c r="E115" i="5"/>
  <c r="CL113" i="6"/>
  <c r="BZ113" i="6"/>
  <c r="CD113" i="6"/>
  <c r="BT113" i="6"/>
  <c r="BQ113" i="6"/>
  <c r="CM113" i="6"/>
  <c r="BC113" i="6"/>
  <c r="CK113" i="6"/>
  <c r="CF113" i="6"/>
  <c r="BV113" i="6"/>
  <c r="BN113" i="6"/>
  <c r="BK113" i="6"/>
  <c r="BI113" i="6"/>
  <c r="CG113" i="6"/>
  <c r="BF113" i="6"/>
  <c r="BE113" i="6"/>
  <c r="CJ113" i="6"/>
  <c r="BG113" i="6"/>
  <c r="BD113" i="6"/>
  <c r="BH113" i="6"/>
  <c r="BR113" i="6"/>
  <c r="BO113" i="6"/>
  <c r="AW113" i="6"/>
  <c r="AU113" i="6"/>
  <c r="AX113" i="6"/>
  <c r="AZ113" i="6"/>
  <c r="AY113" i="6"/>
  <c r="T113" i="5"/>
  <c r="G113" i="12" s="1"/>
  <c r="AV113" i="6"/>
  <c r="BA113" i="6"/>
  <c r="K114" i="12" l="1"/>
  <c r="N115" i="6"/>
  <c r="M115" i="6"/>
  <c r="H115" i="6" a="1"/>
  <c r="H115" i="6" s="1"/>
  <c r="L115" i="12" a="1"/>
  <c r="L115" i="12" s="1"/>
  <c r="J115" i="12" a="1"/>
  <c r="J115" i="12" s="1"/>
  <c r="G116" i="5"/>
  <c r="F116" i="5"/>
  <c r="J116" i="5"/>
  <c r="E116" i="5"/>
  <c r="D116" i="5"/>
  <c r="B116" i="12" s="1"/>
  <c r="AE116" i="5"/>
  <c r="B116" i="5"/>
  <c r="AD116" i="5"/>
  <c r="N116" i="5"/>
  <c r="D116" i="6" s="1"/>
  <c r="A116" i="12"/>
  <c r="B116" i="6"/>
  <c r="K116" i="5"/>
  <c r="C117" i="5"/>
  <c r="H116" i="5"/>
  <c r="BT114" i="6"/>
  <c r="BN114" i="6"/>
  <c r="CL114" i="6"/>
  <c r="CM114" i="6"/>
  <c r="BO114" i="6"/>
  <c r="CI114" i="6"/>
  <c r="BK114" i="6"/>
  <c r="BL114" i="6"/>
  <c r="BE114" i="6"/>
  <c r="BM114" i="6"/>
  <c r="CA114" i="6"/>
  <c r="BI114" i="6"/>
  <c r="BQ114" i="6"/>
  <c r="BF114" i="6"/>
  <c r="BV114" i="6"/>
  <c r="CB114" i="6"/>
  <c r="CF114" i="6"/>
  <c r="BY114" i="6"/>
  <c r="BX114" i="6"/>
  <c r="BD114" i="6"/>
  <c r="CG114" i="6"/>
  <c r="BG114" i="6"/>
  <c r="BW114" i="6"/>
  <c r="BP114" i="6"/>
  <c r="BZ114" i="6"/>
  <c r="CJ114" i="6"/>
  <c r="BC114" i="6"/>
  <c r="BH114" i="6"/>
  <c r="CD114" i="6"/>
  <c r="BJ114" i="6"/>
  <c r="BS114" i="6"/>
  <c r="CE114" i="6"/>
  <c r="BR114" i="6"/>
  <c r="CC114" i="6"/>
  <c r="CH114" i="6"/>
  <c r="CK114" i="6"/>
  <c r="AV114" i="6"/>
  <c r="AY114" i="6"/>
  <c r="AZ114" i="6"/>
  <c r="T114" i="5"/>
  <c r="G114" i="12" s="1"/>
  <c r="AT114" i="6"/>
  <c r="AW114" i="6"/>
  <c r="AX114" i="6"/>
  <c r="BA114" i="6"/>
  <c r="AU114" i="6"/>
  <c r="K35" i="10" a="1"/>
  <c r="K35" i="10" s="1"/>
  <c r="AT115" i="6" l="1"/>
  <c r="K115" i="12"/>
  <c r="N117" i="5"/>
  <c r="D117" i="6" s="1"/>
  <c r="AD117" i="5"/>
  <c r="K117" i="5"/>
  <c r="D117" i="5"/>
  <c r="B117" i="12" s="1"/>
  <c r="J117" i="5"/>
  <c r="H117" i="5"/>
  <c r="G117" i="5"/>
  <c r="F117" i="5"/>
  <c r="E117" i="5"/>
  <c r="A117" i="12"/>
  <c r="B117" i="6"/>
  <c r="B117" i="5"/>
  <c r="C118" i="5" s="1"/>
  <c r="AE117" i="5"/>
  <c r="J116" i="12" a="1"/>
  <c r="J116" i="12" s="1"/>
  <c r="L116" i="12" a="1"/>
  <c r="L116" i="12" s="1"/>
  <c r="BA115" i="6"/>
  <c r="AW115" i="6"/>
  <c r="AY115" i="6"/>
  <c r="AV115" i="6"/>
  <c r="AZ115" i="6"/>
  <c r="T115" i="5"/>
  <c r="G115" i="12" s="1"/>
  <c r="AU115" i="6"/>
  <c r="AX115" i="6"/>
  <c r="N116" i="6"/>
  <c r="H116" i="6" a="1"/>
  <c r="H116" i="6" s="1"/>
  <c r="M116" i="6"/>
  <c r="CK115" i="6"/>
  <c r="BW115" i="6"/>
  <c r="BD115" i="6"/>
  <c r="BE115" i="6"/>
  <c r="CE115" i="6"/>
  <c r="BP115" i="6"/>
  <c r="BX115" i="6"/>
  <c r="CJ115" i="6"/>
  <c r="CF115" i="6"/>
  <c r="CA115" i="6"/>
  <c r="CG115" i="6"/>
  <c r="BH115" i="6"/>
  <c r="BI115" i="6"/>
  <c r="CD115" i="6"/>
  <c r="BJ115" i="6"/>
  <c r="CL115" i="6"/>
  <c r="BK115" i="6"/>
  <c r="BO115" i="6"/>
  <c r="BC115" i="6"/>
  <c r="BV115" i="6"/>
  <c r="BR115" i="6"/>
  <c r="BZ115" i="6"/>
  <c r="CB115" i="6"/>
  <c r="BF115" i="6"/>
  <c r="BS115" i="6"/>
  <c r="CH115" i="6"/>
  <c r="BY115" i="6"/>
  <c r="BQ115" i="6"/>
  <c r="CC115" i="6"/>
  <c r="CM115" i="6"/>
  <c r="BM115" i="6"/>
  <c r="BT115" i="6"/>
  <c r="BN115" i="6"/>
  <c r="CI115" i="6"/>
  <c r="BG115" i="6"/>
  <c r="BL115" i="6"/>
  <c r="K116" i="12" l="1"/>
  <c r="F118" i="5"/>
  <c r="E118" i="5"/>
  <c r="W118" i="5"/>
  <c r="H118" i="12" s="1"/>
  <c r="B118" i="5"/>
  <c r="AE118" i="5"/>
  <c r="N118" i="5"/>
  <c r="D118" i="6" s="1"/>
  <c r="H118" i="5"/>
  <c r="A118" i="12"/>
  <c r="AD118" i="5"/>
  <c r="B118" i="6"/>
  <c r="J118" i="6" s="1" a="1"/>
  <c r="J118" i="6" s="1"/>
  <c r="I118" i="5"/>
  <c r="C119" i="5"/>
  <c r="G118" i="5"/>
  <c r="L117" i="12" a="1"/>
  <c r="L117" i="12" s="1"/>
  <c r="J117" i="12" a="1"/>
  <c r="J117" i="12" s="1"/>
  <c r="BL116" i="6"/>
  <c r="BH116" i="6"/>
  <c r="BW116" i="6"/>
  <c r="BC116" i="6"/>
  <c r="BS116" i="6"/>
  <c r="BG116" i="6"/>
  <c r="CG116" i="6"/>
  <c r="CJ116" i="6"/>
  <c r="BF116" i="6"/>
  <c r="CF116" i="6"/>
  <c r="BT116" i="6"/>
  <c r="BZ116" i="6"/>
  <c r="BM116" i="6"/>
  <c r="CD116" i="6"/>
  <c r="BR116" i="6"/>
  <c r="CK116" i="6"/>
  <c r="BO116" i="6"/>
  <c r="CA116" i="6"/>
  <c r="BX116" i="6"/>
  <c r="CL116" i="6"/>
  <c r="CH116" i="6"/>
  <c r="BE116" i="6"/>
  <c r="CI116" i="6"/>
  <c r="BJ116" i="6"/>
  <c r="CB116" i="6"/>
  <c r="BK116" i="6"/>
  <c r="BI116" i="6"/>
  <c r="BV116" i="6"/>
  <c r="BP116" i="6"/>
  <c r="CE116" i="6"/>
  <c r="CM116" i="6"/>
  <c r="BN116" i="6"/>
  <c r="BY116" i="6"/>
  <c r="BQ116" i="6"/>
  <c r="CC116" i="6"/>
  <c r="BD116" i="6"/>
  <c r="T116" i="5"/>
  <c r="G116" i="12" s="1"/>
  <c r="AV116" i="6"/>
  <c r="AZ116" i="6"/>
  <c r="AY116" i="6"/>
  <c r="AU116" i="6"/>
  <c r="BA116" i="6"/>
  <c r="AT116" i="6"/>
  <c r="AW116" i="6"/>
  <c r="AX116" i="6"/>
  <c r="N117" i="6"/>
  <c r="M117" i="6"/>
  <c r="H117" i="6" a="1"/>
  <c r="H117" i="6" s="1"/>
  <c r="D8" i="9"/>
  <c r="K117" i="12" l="1"/>
  <c r="AD119" i="5"/>
  <c r="J119" i="5"/>
  <c r="K119" i="5"/>
  <c r="AE119" i="5"/>
  <c r="H119" i="5"/>
  <c r="G119" i="5"/>
  <c r="F119" i="5"/>
  <c r="N119" i="5"/>
  <c r="D119" i="6" s="1"/>
  <c r="D119" i="5"/>
  <c r="B119" i="12" s="1"/>
  <c r="B119" i="6"/>
  <c r="A119" i="12"/>
  <c r="C120" i="5"/>
  <c r="E119" i="5"/>
  <c r="B119" i="5"/>
  <c r="H118" i="6" a="1"/>
  <c r="H118" i="6" s="1"/>
  <c r="G118" i="6"/>
  <c r="N118" i="6"/>
  <c r="M118" i="6"/>
  <c r="AY117" i="6"/>
  <c r="AT117" i="6"/>
  <c r="AW117" i="6"/>
  <c r="T117" i="5"/>
  <c r="G117" i="12" s="1"/>
  <c r="AU117" i="6"/>
  <c r="AV117" i="6"/>
  <c r="AX117" i="6"/>
  <c r="AZ117" i="6"/>
  <c r="BA117" i="6"/>
  <c r="BH117" i="6"/>
  <c r="CJ117" i="6"/>
  <c r="CH117" i="6"/>
  <c r="BR117" i="6"/>
  <c r="BT117" i="6"/>
  <c r="BG117" i="6"/>
  <c r="BW117" i="6"/>
  <c r="CF117" i="6"/>
  <c r="CA117" i="6"/>
  <c r="CE117" i="6"/>
  <c r="BK117" i="6"/>
  <c r="BO117" i="6"/>
  <c r="BM117" i="6"/>
  <c r="BX117" i="6"/>
  <c r="BY117" i="6"/>
  <c r="CG117" i="6"/>
  <c r="BQ117" i="6"/>
  <c r="CK117" i="6"/>
  <c r="CM117" i="6"/>
  <c r="BZ117" i="6"/>
  <c r="CC117" i="6"/>
  <c r="CL117" i="6"/>
  <c r="CB117" i="6"/>
  <c r="BV117" i="6"/>
  <c r="BL117" i="6"/>
  <c r="BI117" i="6"/>
  <c r="BS117" i="6"/>
  <c r="BN117" i="6"/>
  <c r="BC117" i="6"/>
  <c r="BE117" i="6"/>
  <c r="CI117" i="6"/>
  <c r="CD117" i="6"/>
  <c r="BJ117" i="6"/>
  <c r="BP117" i="6"/>
  <c r="BD117" i="6"/>
  <c r="BF117" i="6"/>
  <c r="C121" i="5" l="1"/>
  <c r="H120" i="5"/>
  <c r="G120" i="5"/>
  <c r="F120" i="5"/>
  <c r="E120" i="5"/>
  <c r="D120" i="5"/>
  <c r="B120" i="12" s="1"/>
  <c r="B120" i="5"/>
  <c r="AE120" i="5"/>
  <c r="N120" i="5"/>
  <c r="D120" i="6" s="1"/>
  <c r="AD120" i="5"/>
  <c r="A120" i="12"/>
  <c r="J120" i="5"/>
  <c r="B120" i="6"/>
  <c r="K120" i="5"/>
  <c r="L119" i="12" a="1"/>
  <c r="L119" i="12" s="1"/>
  <c r="J119" i="12" a="1"/>
  <c r="J119" i="12" s="1"/>
  <c r="M119" i="6"/>
  <c r="CM119" i="6" s="1"/>
  <c r="H119" i="6" a="1"/>
  <c r="H119" i="6" s="1"/>
  <c r="N119" i="6"/>
  <c r="BG118" i="6"/>
  <c r="BW118" i="6"/>
  <c r="CA118" i="6"/>
  <c r="BX118" i="6"/>
  <c r="BR118" i="6"/>
  <c r="BD118" i="6"/>
  <c r="BJ118" i="6"/>
  <c r="CM118" i="6"/>
  <c r="CB118" i="6"/>
  <c r="BH118" i="6"/>
  <c r="BM118" i="6"/>
  <c r="CH118" i="6"/>
  <c r="BC118" i="6"/>
  <c r="BQ118" i="6"/>
  <c r="BP118" i="6"/>
  <c r="BE118" i="6"/>
  <c r="CL118" i="6"/>
  <c r="CJ118" i="6"/>
  <c r="BI118" i="6"/>
  <c r="BS118" i="6"/>
  <c r="CC118" i="6"/>
  <c r="BF118" i="6"/>
  <c r="CF118" i="6"/>
  <c r="CD118" i="6"/>
  <c r="CE118" i="6"/>
  <c r="BY118" i="6"/>
  <c r="BT118" i="6"/>
  <c r="BK118" i="6"/>
  <c r="BN118" i="6"/>
  <c r="BZ118" i="6"/>
  <c r="CI118" i="6"/>
  <c r="BO118" i="6"/>
  <c r="BL118" i="6"/>
  <c r="BV118" i="6"/>
  <c r="CG118" i="6"/>
  <c r="CK118" i="6"/>
  <c r="T118" i="5"/>
  <c r="G118" i="12" s="1"/>
  <c r="AY118" i="6"/>
  <c r="AJ118" i="6"/>
  <c r="AN118" i="6"/>
  <c r="AW118" i="6"/>
  <c r="AR118" i="6"/>
  <c r="AT118" i="6"/>
  <c r="AP118" i="6"/>
  <c r="AQ118" i="6"/>
  <c r="AK118" i="6"/>
  <c r="AZ118" i="6"/>
  <c r="BA118" i="6"/>
  <c r="AL118" i="6"/>
  <c r="AU118" i="6"/>
  <c r="AM118" i="6"/>
  <c r="AX118" i="6"/>
  <c r="AS118" i="6"/>
  <c r="AO118" i="6"/>
  <c r="AV118" i="6"/>
  <c r="AW119" i="6" l="1"/>
  <c r="BX119" i="6"/>
  <c r="CA119" i="6"/>
  <c r="K119" i="12"/>
  <c r="L120" i="12" a="1"/>
  <c r="L120" i="12" s="1"/>
  <c r="J120" i="12" a="1"/>
  <c r="J120" i="12" s="1"/>
  <c r="H120" i="6" a="1"/>
  <c r="H120" i="6" s="1"/>
  <c r="N120" i="6"/>
  <c r="M120" i="6"/>
  <c r="BZ120" i="6" s="1"/>
  <c r="AU119" i="6"/>
  <c r="BA119" i="6"/>
  <c r="T119" i="5"/>
  <c r="G119" i="12" s="1"/>
  <c r="AY119" i="6"/>
  <c r="AX119" i="6"/>
  <c r="AT119" i="6"/>
  <c r="AZ119" i="6"/>
  <c r="AV119" i="6"/>
  <c r="CL119" i="6"/>
  <c r="CK119" i="6"/>
  <c r="CG119" i="6"/>
  <c r="BK119" i="6"/>
  <c r="BI119" i="6"/>
  <c r="BG119" i="6"/>
  <c r="BV119" i="6"/>
  <c r="BM119" i="6"/>
  <c r="BT119" i="6"/>
  <c r="CJ119" i="6"/>
  <c r="BN119" i="6"/>
  <c r="BY119" i="6"/>
  <c r="CD119" i="6"/>
  <c r="CI119" i="6"/>
  <c r="BH119" i="6"/>
  <c r="CB119" i="6"/>
  <c r="CH119" i="6"/>
  <c r="BO119" i="6"/>
  <c r="BC119" i="6"/>
  <c r="CC119" i="6"/>
  <c r="CF119" i="6"/>
  <c r="BP119" i="6"/>
  <c r="BS119" i="6"/>
  <c r="BJ119" i="6"/>
  <c r="BW119" i="6"/>
  <c r="BL119" i="6"/>
  <c r="BD119" i="6"/>
  <c r="BQ119" i="6"/>
  <c r="BZ119" i="6"/>
  <c r="BE119" i="6"/>
  <c r="BR119" i="6"/>
  <c r="BF119" i="6"/>
  <c r="CE119" i="6"/>
  <c r="J121" i="5"/>
  <c r="H121" i="5"/>
  <c r="G121" i="5"/>
  <c r="F121" i="5"/>
  <c r="D121" i="5"/>
  <c r="B121" i="12" s="1"/>
  <c r="A121" i="12"/>
  <c r="C122" i="5"/>
  <c r="B121" i="6"/>
  <c r="E121" i="5"/>
  <c r="B121" i="5"/>
  <c r="AE121" i="5"/>
  <c r="AD121" i="5"/>
  <c r="N121" i="5"/>
  <c r="D121" i="6" s="1"/>
  <c r="K121" i="5"/>
  <c r="CB120" i="6" l="1"/>
  <c r="BT120" i="6"/>
  <c r="BN120" i="6"/>
  <c r="K120" i="12"/>
  <c r="B122" i="6"/>
  <c r="K122" i="5"/>
  <c r="G122" i="5"/>
  <c r="C123" i="5"/>
  <c r="H122" i="5"/>
  <c r="B122" i="5"/>
  <c r="N122" i="5"/>
  <c r="D122" i="6" s="1"/>
  <c r="F122" i="5"/>
  <c r="D122" i="5"/>
  <c r="B122" i="12" s="1"/>
  <c r="E122" i="5"/>
  <c r="AD122" i="5"/>
  <c r="AE122" i="5"/>
  <c r="A122" i="12"/>
  <c r="J122" i="5"/>
  <c r="J121" i="12" a="1"/>
  <c r="J121" i="12" s="1"/>
  <c r="L121" i="12" a="1"/>
  <c r="L121" i="12" s="1"/>
  <c r="CF120" i="6"/>
  <c r="CI120" i="6"/>
  <c r="BQ120" i="6"/>
  <c r="BS120" i="6"/>
  <c r="CD120" i="6"/>
  <c r="BE120" i="6"/>
  <c r="BV120" i="6"/>
  <c r="CM120" i="6"/>
  <c r="BL120" i="6"/>
  <c r="BH120" i="6"/>
  <c r="BC120" i="6"/>
  <c r="BX120" i="6"/>
  <c r="BI120" i="6"/>
  <c r="CH120" i="6"/>
  <c r="BP120" i="6"/>
  <c r="BD120" i="6"/>
  <c r="CK120" i="6"/>
  <c r="CE120" i="6"/>
  <c r="BW120" i="6"/>
  <c r="BG120" i="6"/>
  <c r="CG120" i="6"/>
  <c r="CA120" i="6"/>
  <c r="BK120" i="6"/>
  <c r="BO120" i="6"/>
  <c r="BY120" i="6"/>
  <c r="BM120" i="6"/>
  <c r="BJ120" i="6"/>
  <c r="CC120" i="6"/>
  <c r="CL120" i="6"/>
  <c r="BR120" i="6"/>
  <c r="CJ120" i="6"/>
  <c r="BF120" i="6"/>
  <c r="M121" i="6"/>
  <c r="BC121" i="6" s="1"/>
  <c r="H121" i="6" a="1"/>
  <c r="H121" i="6" s="1"/>
  <c r="N121" i="6"/>
  <c r="AV120" i="6"/>
  <c r="T120" i="5"/>
  <c r="G120" i="12" s="1"/>
  <c r="BA120" i="6"/>
  <c r="AZ120" i="6"/>
  <c r="AU120" i="6"/>
  <c r="AW120" i="6"/>
  <c r="AY120" i="6"/>
  <c r="AX120" i="6"/>
  <c r="AT120" i="6"/>
  <c r="AZ121" i="6" l="1"/>
  <c r="K121" i="12"/>
  <c r="CF121" i="6"/>
  <c r="CB121" i="6"/>
  <c r="BG121" i="6"/>
  <c r="J123" i="5"/>
  <c r="G123" i="5"/>
  <c r="E123" i="5"/>
  <c r="B123" i="5"/>
  <c r="C124" i="5" s="1"/>
  <c r="H123" i="5"/>
  <c r="F123" i="5"/>
  <c r="D123" i="5"/>
  <c r="B123" i="12" s="1"/>
  <c r="A123" i="12"/>
  <c r="B123" i="6"/>
  <c r="AE123" i="5"/>
  <c r="N123" i="5"/>
  <c r="D123" i="6" s="1"/>
  <c r="AD123" i="5"/>
  <c r="K123" i="5"/>
  <c r="J122" i="12" a="1"/>
  <c r="J122" i="12" s="1"/>
  <c r="L122" i="12" a="1"/>
  <c r="L122" i="12" s="1"/>
  <c r="BZ121" i="6"/>
  <c r="BJ121" i="6"/>
  <c r="BW121" i="6"/>
  <c r="BE121" i="6"/>
  <c r="AU121" i="6"/>
  <c r="T121" i="5"/>
  <c r="G121" i="12" s="1"/>
  <c r="AT121" i="6"/>
  <c r="BA121" i="6"/>
  <c r="BM121" i="6"/>
  <c r="BF121" i="6"/>
  <c r="BY121" i="6"/>
  <c r="AY121" i="6"/>
  <c r="N122" i="6"/>
  <c r="M122" i="6"/>
  <c r="H122" i="6" a="1"/>
  <c r="H122" i="6" s="1"/>
  <c r="AX121" i="6"/>
  <c r="CD121" i="6"/>
  <c r="BP121" i="6"/>
  <c r="CI121" i="6"/>
  <c r="BN121" i="6"/>
  <c r="CC121" i="6"/>
  <c r="BT121" i="6"/>
  <c r="BL121" i="6"/>
  <c r="CA121" i="6"/>
  <c r="CK121" i="6"/>
  <c r="CG121" i="6"/>
  <c r="CE121" i="6"/>
  <c r="BQ121" i="6"/>
  <c r="CL121" i="6"/>
  <c r="BH121" i="6"/>
  <c r="BV121" i="6"/>
  <c r="BX121" i="6"/>
  <c r="BD121" i="6"/>
  <c r="BI121" i="6"/>
  <c r="CM121" i="6"/>
  <c r="CH121" i="6"/>
  <c r="BO121" i="6"/>
  <c r="CJ121" i="6"/>
  <c r="BK121" i="6"/>
  <c r="AV121" i="6"/>
  <c r="BS121" i="6"/>
  <c r="BR121" i="6"/>
  <c r="AW121" i="6"/>
  <c r="K122" i="12" l="1"/>
  <c r="M123" i="6"/>
  <c r="H123" i="6" a="1"/>
  <c r="H123" i="6" s="1"/>
  <c r="N123" i="6"/>
  <c r="L123" i="12" a="1"/>
  <c r="L123" i="12" s="1"/>
  <c r="J123" i="12" a="1"/>
  <c r="J123" i="12" s="1"/>
  <c r="BA122" i="6"/>
  <c r="AY122" i="6"/>
  <c r="AT122" i="6"/>
  <c r="T122" i="5"/>
  <c r="G122" i="12" s="1"/>
  <c r="AX122" i="6"/>
  <c r="AZ122" i="6"/>
  <c r="AU122" i="6"/>
  <c r="AV122" i="6"/>
  <c r="AW122" i="6"/>
  <c r="BT122" i="6"/>
  <c r="BN122" i="6"/>
  <c r="BM122" i="6"/>
  <c r="BY122" i="6"/>
  <c r="BE122" i="6"/>
  <c r="CC122" i="6"/>
  <c r="CM122" i="6"/>
  <c r="BZ122" i="6"/>
  <c r="CD122" i="6"/>
  <c r="BW122" i="6"/>
  <c r="CK122" i="6"/>
  <c r="BL122" i="6"/>
  <c r="BJ122" i="6"/>
  <c r="BC122" i="6"/>
  <c r="CI122" i="6"/>
  <c r="BS122" i="6"/>
  <c r="BP122" i="6"/>
  <c r="BX122" i="6"/>
  <c r="CA122" i="6"/>
  <c r="CH122" i="6"/>
  <c r="BQ122" i="6"/>
  <c r="BF122" i="6"/>
  <c r="CF122" i="6"/>
  <c r="BV122" i="6"/>
  <c r="CJ122" i="6"/>
  <c r="BG122" i="6"/>
  <c r="CB122" i="6"/>
  <c r="CG122" i="6"/>
  <c r="BD122" i="6"/>
  <c r="BO122" i="6"/>
  <c r="CL122" i="6"/>
  <c r="BK122" i="6"/>
  <c r="CE122" i="6"/>
  <c r="BH122" i="6"/>
  <c r="BI122" i="6"/>
  <c r="BR122" i="6"/>
  <c r="A124" i="12"/>
  <c r="AD124" i="5"/>
  <c r="B124" i="6"/>
  <c r="J124" i="6" s="1" a="1"/>
  <c r="J124" i="6" s="1"/>
  <c r="C125" i="5"/>
  <c r="W124" i="5"/>
  <c r="H124" i="12" s="1"/>
  <c r="I124" i="5"/>
  <c r="H124" i="5"/>
  <c r="G124" i="5"/>
  <c r="F124" i="5"/>
  <c r="B124" i="5"/>
  <c r="AE124" i="5"/>
  <c r="E124" i="5"/>
  <c r="N124" i="5"/>
  <c r="D124" i="6" s="1"/>
  <c r="BW123" i="6" l="1"/>
  <c r="BI123" i="6"/>
  <c r="CL123" i="6"/>
  <c r="AV123" i="6"/>
  <c r="AY123" i="6"/>
  <c r="AW123" i="6"/>
  <c r="K123" i="12"/>
  <c r="AE125" i="5"/>
  <c r="AD125" i="5"/>
  <c r="H125" i="5"/>
  <c r="E125" i="5"/>
  <c r="N125" i="5"/>
  <c r="D125" i="6" s="1"/>
  <c r="K125" i="5"/>
  <c r="J125" i="5"/>
  <c r="C126" i="5"/>
  <c r="F125" i="5"/>
  <c r="G125" i="5"/>
  <c r="D125" i="5"/>
  <c r="B125" i="12" s="1"/>
  <c r="B125" i="6"/>
  <c r="A125" i="12"/>
  <c r="B125" i="5"/>
  <c r="G124" i="6"/>
  <c r="N124" i="6"/>
  <c r="H124" i="6" a="1"/>
  <c r="H124" i="6" s="1"/>
  <c r="M124" i="6"/>
  <c r="AU123" i="6"/>
  <c r="AZ123" i="6"/>
  <c r="AX123" i="6"/>
  <c r="BA123" i="6"/>
  <c r="AT123" i="6"/>
  <c r="T123" i="5"/>
  <c r="G123" i="12" s="1"/>
  <c r="CM123" i="6"/>
  <c r="CJ123" i="6"/>
  <c r="BV123" i="6"/>
  <c r="CC123" i="6"/>
  <c r="CG123" i="6"/>
  <c r="CI123" i="6"/>
  <c r="BC123" i="6"/>
  <c r="BY123" i="6"/>
  <c r="CB123" i="6"/>
  <c r="CE123" i="6"/>
  <c r="BN123" i="6"/>
  <c r="BX123" i="6"/>
  <c r="BS123" i="6"/>
  <c r="BL123" i="6"/>
  <c r="BZ123" i="6"/>
  <c r="BD123" i="6"/>
  <c r="BE123" i="6"/>
  <c r="BO123" i="6"/>
  <c r="BT123" i="6"/>
  <c r="BQ123" i="6"/>
  <c r="BF123" i="6"/>
  <c r="CK123" i="6"/>
  <c r="BK123" i="6"/>
  <c r="BR123" i="6"/>
  <c r="CD123" i="6"/>
  <c r="CH123" i="6"/>
  <c r="BG123" i="6"/>
  <c r="CF123" i="6"/>
  <c r="BP123" i="6"/>
  <c r="CA123" i="6"/>
  <c r="BH123" i="6"/>
  <c r="BJ123" i="6"/>
  <c r="BM123" i="6"/>
  <c r="J10" i="13"/>
  <c r="CM124" i="6" l="1"/>
  <c r="AV124" i="6"/>
  <c r="BP124" i="6"/>
  <c r="BY124" i="6"/>
  <c r="CJ124" i="6"/>
  <c r="CF124" i="6"/>
  <c r="BH124" i="6"/>
  <c r="CK124" i="6"/>
  <c r="BL124" i="6"/>
  <c r="BC124" i="6"/>
  <c r="BS124" i="6"/>
  <c r="BZ124" i="6"/>
  <c r="BX124" i="6"/>
  <c r="BG124" i="6"/>
  <c r="BN124" i="6"/>
  <c r="BI124" i="6"/>
  <c r="CC124" i="6"/>
  <c r="CL124" i="6"/>
  <c r="BW124" i="6"/>
  <c r="CI124" i="6"/>
  <c r="BQ124" i="6"/>
  <c r="BO124" i="6"/>
  <c r="CE124" i="6"/>
  <c r="CB124" i="6"/>
  <c r="BM124" i="6"/>
  <c r="BV124" i="6"/>
  <c r="BD124" i="6"/>
  <c r="BK124" i="6"/>
  <c r="T124" i="5"/>
  <c r="G124" i="12" s="1"/>
  <c r="AQ124" i="6"/>
  <c r="AU124" i="6"/>
  <c r="AL124" i="6"/>
  <c r="AW124" i="6"/>
  <c r="AN124" i="6"/>
  <c r="AT124" i="6"/>
  <c r="AJ124" i="6"/>
  <c r="AR124" i="6"/>
  <c r="AO124" i="6"/>
  <c r="AK124" i="6"/>
  <c r="AP124" i="6"/>
  <c r="AM124" i="6"/>
  <c r="AZ124" i="6"/>
  <c r="H125" i="6" a="1"/>
  <c r="H125" i="6" s="1"/>
  <c r="N125" i="6"/>
  <c r="M125" i="6"/>
  <c r="BC125" i="6" s="1"/>
  <c r="AY124" i="6"/>
  <c r="BA124" i="6"/>
  <c r="J125" i="12" a="1"/>
  <c r="J125" i="12" s="1"/>
  <c r="L125" i="12" a="1"/>
  <c r="L125" i="12" s="1"/>
  <c r="BE124" i="6"/>
  <c r="BJ124" i="6"/>
  <c r="BR124" i="6"/>
  <c r="BF124" i="6"/>
  <c r="AS124" i="6"/>
  <c r="CG124" i="6"/>
  <c r="BT124" i="6"/>
  <c r="CA124" i="6"/>
  <c r="CH124" i="6"/>
  <c r="AX124" i="6"/>
  <c r="F126" i="5"/>
  <c r="D126" i="5"/>
  <c r="B126" i="12" s="1"/>
  <c r="E126" i="5"/>
  <c r="B126" i="5"/>
  <c r="AE126" i="5"/>
  <c r="N126" i="5"/>
  <c r="D126" i="6" s="1"/>
  <c r="AD126" i="5"/>
  <c r="A126" i="12"/>
  <c r="J126" i="5"/>
  <c r="B126" i="6"/>
  <c r="K126" i="5"/>
  <c r="C127" i="5"/>
  <c r="H126" i="5"/>
  <c r="G126" i="5"/>
  <c r="CD124" i="6"/>
  <c r="CG125" i="6" l="1"/>
  <c r="K125" i="12"/>
  <c r="M126" i="6"/>
  <c r="CM126" i="6" s="1"/>
  <c r="H126" i="6" a="1"/>
  <c r="H126" i="6" s="1"/>
  <c r="N126" i="6"/>
  <c r="AU125" i="6"/>
  <c r="AY125" i="6"/>
  <c r="AW125" i="6"/>
  <c r="AV125" i="6"/>
  <c r="T125" i="5"/>
  <c r="G125" i="12" s="1"/>
  <c r="BA125" i="6"/>
  <c r="AX125" i="6"/>
  <c r="AZ125" i="6"/>
  <c r="AT125" i="6"/>
  <c r="A127" i="12"/>
  <c r="C128" i="5"/>
  <c r="B127" i="6"/>
  <c r="E127" i="5"/>
  <c r="AE127" i="5"/>
  <c r="B127" i="5"/>
  <c r="F127" i="5"/>
  <c r="J127" i="5"/>
  <c r="H127" i="5"/>
  <c r="N127" i="5"/>
  <c r="D127" i="6" s="1"/>
  <c r="AD127" i="5"/>
  <c r="K127" i="5"/>
  <c r="G127" i="5"/>
  <c r="D127" i="5"/>
  <c r="B127" i="12" s="1"/>
  <c r="L126" i="12" a="1"/>
  <c r="L126" i="12" s="1"/>
  <c r="J126" i="12" a="1"/>
  <c r="J126" i="12" s="1"/>
  <c r="BX125" i="6"/>
  <c r="BP125" i="6"/>
  <c r="BJ125" i="6"/>
  <c r="BW125" i="6"/>
  <c r="BS125" i="6"/>
  <c r="CA125" i="6"/>
  <c r="BE125" i="6"/>
  <c r="BH125" i="6"/>
  <c r="BG125" i="6"/>
  <c r="BN125" i="6"/>
  <c r="BM125" i="6"/>
  <c r="CJ125" i="6"/>
  <c r="BQ125" i="6"/>
  <c r="CF125" i="6"/>
  <c r="BD125" i="6"/>
  <c r="BO125" i="6"/>
  <c r="CK125" i="6"/>
  <c r="BY125" i="6"/>
  <c r="BV125" i="6"/>
  <c r="CH125" i="6"/>
  <c r="CD125" i="6"/>
  <c r="CL125" i="6"/>
  <c r="CE125" i="6"/>
  <c r="BF125" i="6"/>
  <c r="BZ125" i="6"/>
  <c r="BK125" i="6"/>
  <c r="BT125" i="6"/>
  <c r="BI125" i="6"/>
  <c r="BL125" i="6"/>
  <c r="CM125" i="6"/>
  <c r="CI125" i="6"/>
  <c r="CC125" i="6"/>
  <c r="CB125" i="6"/>
  <c r="BR125" i="6"/>
  <c r="C10" i="7"/>
  <c r="CI126" i="6" l="1"/>
  <c r="BX126" i="6"/>
  <c r="BD126" i="6"/>
  <c r="BS126" i="6"/>
  <c r="CH126" i="6"/>
  <c r="BP126" i="6"/>
  <c r="BG126" i="6"/>
  <c r="CG126" i="6"/>
  <c r="CC126" i="6"/>
  <c r="BO126" i="6"/>
  <c r="BV126" i="6"/>
  <c r="BY126" i="6"/>
  <c r="CF126" i="6"/>
  <c r="BK126" i="6"/>
  <c r="CJ126" i="6"/>
  <c r="BC126" i="6"/>
  <c r="BE126" i="6"/>
  <c r="BJ126" i="6"/>
  <c r="BM126" i="6"/>
  <c r="BT126" i="6"/>
  <c r="CD126" i="6"/>
  <c r="BH126" i="6"/>
  <c r="BQ126" i="6"/>
  <c r="CE126" i="6"/>
  <c r="BA126" i="6"/>
  <c r="CB126" i="6"/>
  <c r="CK126" i="6"/>
  <c r="BF126" i="6"/>
  <c r="BR126" i="6"/>
  <c r="BW126" i="6"/>
  <c r="CA126" i="6"/>
  <c r="AT126" i="6"/>
  <c r="BL126" i="6"/>
  <c r="AX126" i="6"/>
  <c r="AV126" i="6"/>
  <c r="AU126" i="6"/>
  <c r="AZ126" i="6"/>
  <c r="J128" i="5"/>
  <c r="A128" i="12"/>
  <c r="K128" i="5"/>
  <c r="H128" i="5"/>
  <c r="B128" i="6"/>
  <c r="F128" i="5"/>
  <c r="G128" i="5"/>
  <c r="E128" i="5"/>
  <c r="D128" i="5"/>
  <c r="B128" i="12" s="1"/>
  <c r="B128" i="5"/>
  <c r="C129" i="5" s="1"/>
  <c r="AE128" i="5"/>
  <c r="N128" i="5"/>
  <c r="D128" i="6" s="1"/>
  <c r="AD128" i="5"/>
  <c r="AY126" i="6"/>
  <c r="L127" i="12" a="1"/>
  <c r="L127" i="12" s="1"/>
  <c r="J127" i="12" a="1"/>
  <c r="J127" i="12" s="1"/>
  <c r="T126" i="5"/>
  <c r="G126" i="12" s="1"/>
  <c r="AW126" i="6"/>
  <c r="K126" i="12"/>
  <c r="N127" i="6"/>
  <c r="M127" i="6"/>
  <c r="H127" i="6" a="1"/>
  <c r="H127" i="6" s="1"/>
  <c r="BZ126" i="6"/>
  <c r="BN126" i="6"/>
  <c r="CL126" i="6"/>
  <c r="BI126" i="6"/>
  <c r="K127" i="12" l="1"/>
  <c r="H128" i="6" a="1"/>
  <c r="H128" i="6" s="1"/>
  <c r="M128" i="6"/>
  <c r="N128" i="6"/>
  <c r="BA127" i="6"/>
  <c r="AY127" i="6"/>
  <c r="AV127" i="6"/>
  <c r="AT127" i="6"/>
  <c r="AW127" i="6"/>
  <c r="AZ127" i="6"/>
  <c r="T127" i="5"/>
  <c r="G127" i="12" s="1"/>
  <c r="AU127" i="6"/>
  <c r="AX127" i="6"/>
  <c r="B129" i="5"/>
  <c r="AE129" i="5"/>
  <c r="N129" i="5"/>
  <c r="D129" i="6" s="1"/>
  <c r="AD129" i="5"/>
  <c r="B129" i="6"/>
  <c r="J129" i="6" s="1" a="1"/>
  <c r="J129" i="6" s="1"/>
  <c r="H129" i="5"/>
  <c r="G129" i="5"/>
  <c r="F129" i="5"/>
  <c r="W129" i="5"/>
  <c r="H129" i="12" s="1"/>
  <c r="C130" i="5"/>
  <c r="I129" i="5"/>
  <c r="A129" i="12"/>
  <c r="E129" i="5"/>
  <c r="CF127" i="6"/>
  <c r="CJ127" i="6"/>
  <c r="BW127" i="6"/>
  <c r="CB127" i="6"/>
  <c r="BK127" i="6"/>
  <c r="BE127" i="6"/>
  <c r="BV127" i="6"/>
  <c r="CC127" i="6"/>
  <c r="BT127" i="6"/>
  <c r="CG127" i="6"/>
  <c r="CK127" i="6"/>
  <c r="BR127" i="6"/>
  <c r="BJ127" i="6"/>
  <c r="CM127" i="6"/>
  <c r="CH127" i="6"/>
  <c r="BF127" i="6"/>
  <c r="BI127" i="6"/>
  <c r="BZ127" i="6"/>
  <c r="BL127" i="6"/>
  <c r="CD127" i="6"/>
  <c r="BD127" i="6"/>
  <c r="BM127" i="6"/>
  <c r="BS127" i="6"/>
  <c r="BH127" i="6"/>
  <c r="BQ127" i="6"/>
  <c r="BO127" i="6"/>
  <c r="BC127" i="6"/>
  <c r="CL127" i="6"/>
  <c r="CE127" i="6"/>
  <c r="CA127" i="6"/>
  <c r="CI127" i="6"/>
  <c r="BY127" i="6"/>
  <c r="BP127" i="6"/>
  <c r="BN127" i="6"/>
  <c r="BX127" i="6"/>
  <c r="BG127" i="6"/>
  <c r="L128" i="12" a="1"/>
  <c r="L128" i="12" s="1"/>
  <c r="J128" i="12" a="1"/>
  <c r="J128" i="12" s="1"/>
  <c r="BR128" i="6" l="1"/>
  <c r="BP128" i="6"/>
  <c r="BW128" i="6"/>
  <c r="BC128" i="6"/>
  <c r="CM128" i="6"/>
  <c r="BT128" i="6"/>
  <c r="BM128" i="6"/>
  <c r="BK128" i="6"/>
  <c r="CH128" i="6"/>
  <c r="BZ128" i="6"/>
  <c r="BH128" i="6"/>
  <c r="BY128" i="6"/>
  <c r="AU128" i="6"/>
  <c r="AY128" i="6"/>
  <c r="AV128" i="6"/>
  <c r="K128" i="12"/>
  <c r="AW128" i="6"/>
  <c r="BA128" i="6"/>
  <c r="B130" i="5"/>
  <c r="AE130" i="5"/>
  <c r="N130" i="5"/>
  <c r="D130" i="6" s="1"/>
  <c r="AD130" i="5"/>
  <c r="A130" i="12"/>
  <c r="J130" i="5"/>
  <c r="B130" i="6"/>
  <c r="K130" i="5"/>
  <c r="C131" i="5"/>
  <c r="H130" i="5"/>
  <c r="G130" i="5"/>
  <c r="F130" i="5"/>
  <c r="E130" i="5"/>
  <c r="D130" i="5"/>
  <c r="B130" i="12" s="1"/>
  <c r="H129" i="6" a="1"/>
  <c r="H129" i="6" s="1"/>
  <c r="G129" i="6"/>
  <c r="N129" i="6"/>
  <c r="M129" i="6"/>
  <c r="BY129" i="6" s="1"/>
  <c r="BJ128" i="6"/>
  <c r="CK128" i="6"/>
  <c r="CJ128" i="6"/>
  <c r="BL128" i="6"/>
  <c r="BG128" i="6"/>
  <c r="BE128" i="6"/>
  <c r="CB128" i="6"/>
  <c r="BS128" i="6"/>
  <c r="CI128" i="6"/>
  <c r="CA128" i="6"/>
  <c r="BQ128" i="6"/>
  <c r="BD128" i="6"/>
  <c r="BV128" i="6"/>
  <c r="CF128" i="6"/>
  <c r="BF128" i="6"/>
  <c r="CC128" i="6"/>
  <c r="BI128" i="6"/>
  <c r="BX128" i="6"/>
  <c r="CD128" i="6"/>
  <c r="CE128" i="6"/>
  <c r="BO128" i="6"/>
  <c r="CL128" i="6"/>
  <c r="CG128" i="6"/>
  <c r="BN128" i="6"/>
  <c r="AZ128" i="6"/>
  <c r="T128" i="5"/>
  <c r="G128" i="12" s="1"/>
  <c r="AT128" i="6"/>
  <c r="AX128" i="6"/>
  <c r="BL129" i="6" l="1"/>
  <c r="CM129" i="6"/>
  <c r="K131" i="5"/>
  <c r="J131" i="5"/>
  <c r="H131" i="5"/>
  <c r="G131" i="5"/>
  <c r="F131" i="5"/>
  <c r="AE131" i="5"/>
  <c r="D131" i="5"/>
  <c r="B131" i="12" s="1"/>
  <c r="A131" i="12"/>
  <c r="C132" i="5"/>
  <c r="B131" i="6"/>
  <c r="E131" i="5"/>
  <c r="B131" i="5"/>
  <c r="N131" i="5"/>
  <c r="D131" i="6" s="1"/>
  <c r="AD131" i="5"/>
  <c r="CI129" i="6"/>
  <c r="BH129" i="6"/>
  <c r="BM129" i="6"/>
  <c r="CB129" i="6"/>
  <c r="BE129" i="6"/>
  <c r="BK129" i="6"/>
  <c r="CK129" i="6"/>
  <c r="BN129" i="6"/>
  <c r="BV129" i="6"/>
  <c r="CF129" i="6"/>
  <c r="BP129" i="6"/>
  <c r="BZ129" i="6"/>
  <c r="CA129" i="6"/>
  <c r="CC129" i="6"/>
  <c r="BX129" i="6"/>
  <c r="CH129" i="6"/>
  <c r="BW129" i="6"/>
  <c r="CG129" i="6"/>
  <c r="BT129" i="6"/>
  <c r="BF129" i="6"/>
  <c r="CL129" i="6"/>
  <c r="BJ129" i="6"/>
  <c r="BR129" i="6"/>
  <c r="BQ129" i="6"/>
  <c r="CE129" i="6"/>
  <c r="BD129" i="6"/>
  <c r="CJ129" i="6"/>
  <c r="BI129" i="6"/>
  <c r="BS129" i="6"/>
  <c r="BC129" i="6"/>
  <c r="BO129" i="6"/>
  <c r="CD129" i="6"/>
  <c r="BG129" i="6"/>
  <c r="L130" i="12" a="1"/>
  <c r="L130" i="12" s="1"/>
  <c r="J130" i="12" a="1"/>
  <c r="J130" i="12" s="1"/>
  <c r="T129" i="5"/>
  <c r="G129" i="12" s="1"/>
  <c r="AL129" i="6"/>
  <c r="AK129" i="6"/>
  <c r="AV129" i="6"/>
  <c r="AY129" i="6"/>
  <c r="AO129" i="6"/>
  <c r="AP129" i="6"/>
  <c r="AR129" i="6"/>
  <c r="AT129" i="6"/>
  <c r="AX129" i="6"/>
  <c r="AM129" i="6"/>
  <c r="AS129" i="6"/>
  <c r="AQ129" i="6"/>
  <c r="AZ129" i="6"/>
  <c r="AU129" i="6"/>
  <c r="BA129" i="6"/>
  <c r="AN129" i="6"/>
  <c r="AW129" i="6"/>
  <c r="AJ129" i="6"/>
  <c r="N130" i="6"/>
  <c r="M130" i="6"/>
  <c r="H130" i="6" a="1"/>
  <c r="H130" i="6" s="1"/>
  <c r="K130" i="12" l="1"/>
  <c r="AZ130" i="6"/>
  <c r="AT130" i="6"/>
  <c r="T130" i="5"/>
  <c r="G130" i="12" s="1"/>
  <c r="AW130" i="6"/>
  <c r="AU130" i="6"/>
  <c r="AX130" i="6"/>
  <c r="BA130" i="6"/>
  <c r="AY130" i="6"/>
  <c r="AV130" i="6"/>
  <c r="BR130" i="6"/>
  <c r="BZ130" i="6"/>
  <c r="BO130" i="6"/>
  <c r="CM130" i="6"/>
  <c r="BV130" i="6"/>
  <c r="CC130" i="6"/>
  <c r="BT130" i="6"/>
  <c r="BM130" i="6"/>
  <c r="BX130" i="6"/>
  <c r="BS130" i="6"/>
  <c r="CK130" i="6"/>
  <c r="CG130" i="6"/>
  <c r="BG130" i="6"/>
  <c r="BH130" i="6"/>
  <c r="BN130" i="6"/>
  <c r="BQ130" i="6"/>
  <c r="BY130" i="6"/>
  <c r="CH130" i="6"/>
  <c r="CL130" i="6"/>
  <c r="BI130" i="6"/>
  <c r="BJ130" i="6"/>
  <c r="CD130" i="6"/>
  <c r="BP130" i="6"/>
  <c r="BE130" i="6"/>
  <c r="BD130" i="6"/>
  <c r="BW130" i="6"/>
  <c r="BF130" i="6"/>
  <c r="CF130" i="6"/>
  <c r="CI130" i="6"/>
  <c r="CE130" i="6"/>
  <c r="CA130" i="6"/>
  <c r="BL130" i="6"/>
  <c r="CJ130" i="6"/>
  <c r="BC130" i="6"/>
  <c r="BK130" i="6"/>
  <c r="CB130" i="6"/>
  <c r="C133" i="5"/>
  <c r="H132" i="5"/>
  <c r="G132" i="5"/>
  <c r="F132" i="5"/>
  <c r="E132" i="5"/>
  <c r="D132" i="5"/>
  <c r="B132" i="12" s="1"/>
  <c r="A132" i="12"/>
  <c r="B132" i="5"/>
  <c r="N132" i="5"/>
  <c r="D132" i="6" s="1"/>
  <c r="AD132" i="5"/>
  <c r="AE132" i="5"/>
  <c r="J132" i="5"/>
  <c r="B132" i="6"/>
  <c r="K132" i="5"/>
  <c r="L131" i="12" a="1"/>
  <c r="L131" i="12" s="1"/>
  <c r="J131" i="12" a="1"/>
  <c r="J131" i="12" s="1"/>
  <c r="N131" i="6"/>
  <c r="M131" i="6"/>
  <c r="H131" i="6" a="1"/>
  <c r="H131" i="6" s="1"/>
  <c r="K131" i="12" l="1"/>
  <c r="AE133" i="5"/>
  <c r="AD133" i="5"/>
  <c r="N133" i="5"/>
  <c r="D133" i="6" s="1"/>
  <c r="K133" i="5"/>
  <c r="J133" i="5"/>
  <c r="H133" i="5"/>
  <c r="G133" i="5"/>
  <c r="F133" i="5"/>
  <c r="D133" i="5"/>
  <c r="B133" i="12" s="1"/>
  <c r="E133" i="5"/>
  <c r="A133" i="12"/>
  <c r="B133" i="6"/>
  <c r="B133" i="5"/>
  <c r="C134" i="5" s="1"/>
  <c r="N132" i="6"/>
  <c r="M132" i="6"/>
  <c r="CJ132" i="6" s="1"/>
  <c r="H132" i="6" a="1"/>
  <c r="H132" i="6" s="1"/>
  <c r="AU131" i="6"/>
  <c r="AX131" i="6"/>
  <c r="BA131" i="6"/>
  <c r="AT131" i="6"/>
  <c r="T131" i="5"/>
  <c r="G131" i="12" s="1"/>
  <c r="AV131" i="6"/>
  <c r="AZ131" i="6"/>
  <c r="AW131" i="6"/>
  <c r="AY131" i="6"/>
  <c r="J132" i="12" a="1"/>
  <c r="J132" i="12" s="1"/>
  <c r="L132" i="12" a="1"/>
  <c r="L132" i="12" s="1"/>
  <c r="CJ131" i="6"/>
  <c r="CK131" i="6"/>
  <c r="BV131" i="6"/>
  <c r="BJ131" i="6"/>
  <c r="CA131" i="6"/>
  <c r="BQ131" i="6"/>
  <c r="BC131" i="6"/>
  <c r="CB131" i="6"/>
  <c r="CF131" i="6"/>
  <c r="BN131" i="6"/>
  <c r="BT131" i="6"/>
  <c r="CH131" i="6"/>
  <c r="CI131" i="6"/>
  <c r="BS131" i="6"/>
  <c r="BP131" i="6"/>
  <c r="BR131" i="6"/>
  <c r="BW131" i="6"/>
  <c r="BG131" i="6"/>
  <c r="BH131" i="6"/>
  <c r="CL131" i="6"/>
  <c r="BD131" i="6"/>
  <c r="BI131" i="6"/>
  <c r="CG131" i="6"/>
  <c r="BO131" i="6"/>
  <c r="BK131" i="6"/>
  <c r="BE131" i="6"/>
  <c r="CE131" i="6"/>
  <c r="CC131" i="6"/>
  <c r="BZ131" i="6"/>
  <c r="BX131" i="6"/>
  <c r="BY131" i="6"/>
  <c r="BM131" i="6"/>
  <c r="CM131" i="6"/>
  <c r="BF131" i="6"/>
  <c r="BL131" i="6"/>
  <c r="CD131" i="6"/>
  <c r="BO132" i="6" l="1"/>
  <c r="BI132" i="6"/>
  <c r="BJ132" i="6"/>
  <c r="BM132" i="6"/>
  <c r="K132" i="12"/>
  <c r="AT132" i="6"/>
  <c r="L133" i="12" a="1"/>
  <c r="L133" i="12" s="1"/>
  <c r="J133" i="12" a="1"/>
  <c r="J133" i="12" s="1"/>
  <c r="BS132" i="6"/>
  <c r="BA132" i="6"/>
  <c r="AX132" i="6"/>
  <c r="T132" i="5"/>
  <c r="G132" i="12" s="1"/>
  <c r="AU132" i="6"/>
  <c r="AY132" i="6"/>
  <c r="AZ132" i="6"/>
  <c r="AV132" i="6"/>
  <c r="AW132" i="6"/>
  <c r="CH132" i="6"/>
  <c r="CM132" i="6"/>
  <c r="BG132" i="6"/>
  <c r="BV132" i="6"/>
  <c r="CC132" i="6"/>
  <c r="CL132" i="6"/>
  <c r="CE132" i="6"/>
  <c r="CB132" i="6"/>
  <c r="CI132" i="6"/>
  <c r="BX132" i="6"/>
  <c r="BC132" i="6"/>
  <c r="BR132" i="6"/>
  <c r="BQ132" i="6"/>
  <c r="BP132" i="6"/>
  <c r="CF132" i="6"/>
  <c r="BY132" i="6"/>
  <c r="BE132" i="6"/>
  <c r="CK132" i="6"/>
  <c r="CG132" i="6"/>
  <c r="CA132" i="6"/>
  <c r="BT132" i="6"/>
  <c r="BW132" i="6"/>
  <c r="BF132" i="6"/>
  <c r="BL132" i="6"/>
  <c r="BK132" i="6"/>
  <c r="BZ132" i="6"/>
  <c r="BD132" i="6"/>
  <c r="BN132" i="6"/>
  <c r="BH132" i="6"/>
  <c r="CD132" i="6"/>
  <c r="N133" i="6"/>
  <c r="M133" i="6"/>
  <c r="H133" i="6" a="1"/>
  <c r="H133" i="6" s="1"/>
  <c r="E134" i="5"/>
  <c r="W134" i="5"/>
  <c r="H134" i="12" s="1"/>
  <c r="B134" i="5"/>
  <c r="AE134" i="5"/>
  <c r="A134" i="12"/>
  <c r="F134" i="5"/>
  <c r="N134" i="5"/>
  <c r="D134" i="6" s="1"/>
  <c r="AD134" i="5"/>
  <c r="B134" i="6"/>
  <c r="J134" i="6" s="1" a="1"/>
  <c r="J134" i="6" s="1"/>
  <c r="C135" i="5"/>
  <c r="I134" i="5"/>
  <c r="H134" i="5"/>
  <c r="G134" i="5"/>
  <c r="AU133" i="6" l="1"/>
  <c r="T133" i="5"/>
  <c r="G133" i="12" s="1"/>
  <c r="AY133" i="6"/>
  <c r="AZ133" i="6"/>
  <c r="BA133" i="6"/>
  <c r="AV133" i="6"/>
  <c r="AW133" i="6"/>
  <c r="AX133" i="6"/>
  <c r="AT133" i="6"/>
  <c r="BR133" i="6"/>
  <c r="BV133" i="6"/>
  <c r="BP133" i="6"/>
  <c r="BM133" i="6"/>
  <c r="BH133" i="6"/>
  <c r="BQ133" i="6"/>
  <c r="CL133" i="6"/>
  <c r="BO133" i="6"/>
  <c r="CJ133" i="6"/>
  <c r="BN133" i="6"/>
  <c r="CA133" i="6"/>
  <c r="BZ133" i="6"/>
  <c r="CI133" i="6"/>
  <c r="CD133" i="6"/>
  <c r="BD133" i="6"/>
  <c r="CH133" i="6"/>
  <c r="BS133" i="6"/>
  <c r="BK133" i="6"/>
  <c r="CC133" i="6"/>
  <c r="CG133" i="6"/>
  <c r="BY133" i="6"/>
  <c r="BE133" i="6"/>
  <c r="BT133" i="6"/>
  <c r="CF133" i="6"/>
  <c r="CE133" i="6"/>
  <c r="BX133" i="6"/>
  <c r="BI133" i="6"/>
  <c r="BC133" i="6"/>
  <c r="BF133" i="6"/>
  <c r="BG133" i="6"/>
  <c r="CB133" i="6"/>
  <c r="BW133" i="6"/>
  <c r="BJ133" i="6"/>
  <c r="CK133" i="6"/>
  <c r="CM133" i="6"/>
  <c r="BL133" i="6"/>
  <c r="G135" i="5"/>
  <c r="F135" i="5"/>
  <c r="D135" i="5"/>
  <c r="B135" i="12" s="1"/>
  <c r="A135" i="12"/>
  <c r="C136" i="5"/>
  <c r="B135" i="6"/>
  <c r="B135" i="5"/>
  <c r="AE135" i="5"/>
  <c r="H135" i="5"/>
  <c r="N135" i="5"/>
  <c r="D135" i="6" s="1"/>
  <c r="AD135" i="5"/>
  <c r="K135" i="5"/>
  <c r="J135" i="5"/>
  <c r="E135" i="5"/>
  <c r="H134" i="6" a="1"/>
  <c r="H134" i="6" s="1"/>
  <c r="M134" i="6"/>
  <c r="BI134" i="6" s="1"/>
  <c r="G134" i="6"/>
  <c r="N134" i="6"/>
  <c r="K133" i="12"/>
  <c r="BC134" i="6" l="1"/>
  <c r="BY134" i="6"/>
  <c r="AT134" i="6"/>
  <c r="BT134" i="6"/>
  <c r="CG134" i="6"/>
  <c r="BO134" i="6"/>
  <c r="AW134" i="6"/>
  <c r="AX134" i="6"/>
  <c r="BX134" i="6"/>
  <c r="CE134" i="6"/>
  <c r="BS134" i="6"/>
  <c r="BL134" i="6"/>
  <c r="BK134" i="6"/>
  <c r="M135" i="6"/>
  <c r="CH135" i="6" s="1"/>
  <c r="H135" i="6" a="1"/>
  <c r="H135" i="6" s="1"/>
  <c r="N135" i="6"/>
  <c r="CJ134" i="6"/>
  <c r="BH134" i="6"/>
  <c r="CB134" i="6"/>
  <c r="CA134" i="6"/>
  <c r="CM134" i="6"/>
  <c r="BP134" i="6"/>
  <c r="BW134" i="6"/>
  <c r="BG134" i="6"/>
  <c r="BR134" i="6"/>
  <c r="CK134" i="6"/>
  <c r="BE134" i="6"/>
  <c r="BJ134" i="6"/>
  <c r="BF134" i="6"/>
  <c r="CL134" i="6"/>
  <c r="CF134" i="6"/>
  <c r="BD134" i="6"/>
  <c r="CC134" i="6"/>
  <c r="BQ134" i="6"/>
  <c r="BV134" i="6"/>
  <c r="CH134" i="6"/>
  <c r="BZ134" i="6"/>
  <c r="CD134" i="6"/>
  <c r="T134" i="5"/>
  <c r="G134" i="12" s="1"/>
  <c r="BA134" i="6"/>
  <c r="AN134" i="6"/>
  <c r="AV134" i="6"/>
  <c r="AK134" i="6"/>
  <c r="AM134" i="6"/>
  <c r="AL134" i="6"/>
  <c r="AY134" i="6"/>
  <c r="AU134" i="6"/>
  <c r="BN134" i="6"/>
  <c r="AJ134" i="6"/>
  <c r="CI134" i="6"/>
  <c r="AZ134" i="6"/>
  <c r="AO134" i="6"/>
  <c r="BM134" i="6"/>
  <c r="B136" i="6"/>
  <c r="K136" i="5"/>
  <c r="H136" i="5"/>
  <c r="E136" i="5"/>
  <c r="C137" i="5"/>
  <c r="G136" i="5"/>
  <c r="F136" i="5"/>
  <c r="A136" i="12"/>
  <c r="D136" i="5"/>
  <c r="B136" i="12" s="1"/>
  <c r="N136" i="5"/>
  <c r="D136" i="6" s="1"/>
  <c r="B136" i="5"/>
  <c r="AE136" i="5"/>
  <c r="AD136" i="5"/>
  <c r="J136" i="5"/>
  <c r="AR134" i="6"/>
  <c r="AQ134" i="6"/>
  <c r="AS134" i="6"/>
  <c r="L135" i="12" a="1"/>
  <c r="L135" i="12" s="1"/>
  <c r="J135" i="12" a="1"/>
  <c r="J135" i="12" s="1"/>
  <c r="AP134" i="6"/>
  <c r="BO135" i="6" l="1"/>
  <c r="BX135" i="6"/>
  <c r="BA135" i="6"/>
  <c r="BC135" i="6"/>
  <c r="CL135" i="6"/>
  <c r="CC135" i="6"/>
  <c r="K135" i="12"/>
  <c r="AT135" i="6"/>
  <c r="N136" i="6"/>
  <c r="M136" i="6"/>
  <c r="CJ136" i="6" s="1"/>
  <c r="H136" i="6" a="1"/>
  <c r="H136" i="6" s="1"/>
  <c r="L136" i="12" a="1"/>
  <c r="L136" i="12" s="1"/>
  <c r="J136" i="12" a="1"/>
  <c r="J136" i="12" s="1"/>
  <c r="BT135" i="6"/>
  <c r="AX135" i="6"/>
  <c r="AV135" i="6"/>
  <c r="T135" i="5"/>
  <c r="G135" i="12" s="1"/>
  <c r="AU135" i="6"/>
  <c r="AW135" i="6"/>
  <c r="N137" i="5"/>
  <c r="D137" i="6" s="1"/>
  <c r="AD137" i="5"/>
  <c r="K137" i="5"/>
  <c r="J137" i="5"/>
  <c r="H137" i="5"/>
  <c r="G137" i="5"/>
  <c r="F137" i="5"/>
  <c r="D137" i="5"/>
  <c r="B137" i="12" s="1"/>
  <c r="A137" i="12"/>
  <c r="C138" i="5"/>
  <c r="B137" i="6"/>
  <c r="E137" i="5"/>
  <c r="B137" i="5"/>
  <c r="AE137" i="5"/>
  <c r="BN135" i="6"/>
  <c r="BZ135" i="6"/>
  <c r="BS135" i="6"/>
  <c r="CK135" i="6"/>
  <c r="CG135" i="6"/>
  <c r="CD135" i="6"/>
  <c r="BI135" i="6"/>
  <c r="BL135" i="6"/>
  <c r="BY135" i="6"/>
  <c r="BF135" i="6"/>
  <c r="BQ135" i="6"/>
  <c r="CE135" i="6"/>
  <c r="BK135" i="6"/>
  <c r="BG135" i="6"/>
  <c r="BH135" i="6"/>
  <c r="CM135" i="6"/>
  <c r="BM135" i="6"/>
  <c r="BD135" i="6"/>
  <c r="BV135" i="6"/>
  <c r="BP135" i="6"/>
  <c r="BW135" i="6"/>
  <c r="BE135" i="6"/>
  <c r="BR135" i="6"/>
  <c r="BJ135" i="6"/>
  <c r="CF135" i="6"/>
  <c r="CJ135" i="6"/>
  <c r="CI135" i="6"/>
  <c r="AY135" i="6"/>
  <c r="AZ135" i="6"/>
  <c r="CA135" i="6"/>
  <c r="CB135" i="6"/>
  <c r="CK136" i="6" l="1"/>
  <c r="BR136" i="6"/>
  <c r="CI136" i="6"/>
  <c r="BI136" i="6"/>
  <c r="CD136" i="6"/>
  <c r="BO136" i="6"/>
  <c r="CG136" i="6"/>
  <c r="BX136" i="6"/>
  <c r="AT136" i="6"/>
  <c r="CF136" i="6"/>
  <c r="BK136" i="6"/>
  <c r="AY136" i="6"/>
  <c r="K136" i="12"/>
  <c r="C139" i="5"/>
  <c r="H138" i="5"/>
  <c r="F138" i="5"/>
  <c r="G138" i="5"/>
  <c r="E138" i="5"/>
  <c r="D138" i="5"/>
  <c r="B138" i="12" s="1"/>
  <c r="B138" i="5"/>
  <c r="AE138" i="5"/>
  <c r="N138" i="5"/>
  <c r="D138" i="6" s="1"/>
  <c r="AD138" i="5"/>
  <c r="J138" i="5"/>
  <c r="A138" i="12"/>
  <c r="B138" i="6"/>
  <c r="K138" i="5"/>
  <c r="L137" i="12" a="1"/>
  <c r="L137" i="12" s="1"/>
  <c r="J137" i="12" a="1"/>
  <c r="J137" i="12" s="1"/>
  <c r="M137" i="6"/>
  <c r="CF137" i="6" s="1"/>
  <c r="N137" i="6"/>
  <c r="H137" i="6" a="1"/>
  <c r="H137" i="6" s="1"/>
  <c r="T136" i="5"/>
  <c r="G136" i="12" s="1"/>
  <c r="AZ136" i="6"/>
  <c r="AV136" i="6"/>
  <c r="AX136" i="6"/>
  <c r="AU136" i="6"/>
  <c r="AW136" i="6"/>
  <c r="BA136" i="6"/>
  <c r="BM136" i="6"/>
  <c r="BW136" i="6"/>
  <c r="BV136" i="6"/>
  <c r="CM136" i="6"/>
  <c r="BL136" i="6"/>
  <c r="BF136" i="6"/>
  <c r="BJ136" i="6"/>
  <c r="BD136" i="6"/>
  <c r="BP136" i="6"/>
  <c r="BH136" i="6"/>
  <c r="CA136" i="6"/>
  <c r="BY136" i="6"/>
  <c r="BG136" i="6"/>
  <c r="BQ136" i="6"/>
  <c r="BS136" i="6"/>
  <c r="CH136" i="6"/>
  <c r="BE136" i="6"/>
  <c r="CL136" i="6"/>
  <c r="CC136" i="6"/>
  <c r="BC136" i="6"/>
  <c r="CE136" i="6"/>
  <c r="CB136" i="6"/>
  <c r="BT136" i="6"/>
  <c r="BZ136" i="6"/>
  <c r="BN136" i="6"/>
  <c r="C1" i="9"/>
  <c r="F1" i="9" s="1"/>
  <c r="C1" i="10"/>
  <c r="A1" i="10" s="1"/>
  <c r="K137" i="12" l="1"/>
  <c r="L138" i="12" a="1"/>
  <c r="L138" i="12" s="1"/>
  <c r="J138" i="12" a="1"/>
  <c r="J138" i="12" s="1"/>
  <c r="M138" i="6"/>
  <c r="H138" i="6" a="1"/>
  <c r="H138" i="6" s="1"/>
  <c r="N138" i="6"/>
  <c r="AW137" i="6"/>
  <c r="AY137" i="6"/>
  <c r="BA137" i="6"/>
  <c r="AX137" i="6"/>
  <c r="AU137" i="6"/>
  <c r="AV137" i="6"/>
  <c r="AZ137" i="6"/>
  <c r="AT137" i="6"/>
  <c r="T137" i="5"/>
  <c r="G137" i="12" s="1"/>
  <c r="CD137" i="6"/>
  <c r="BL137" i="6"/>
  <c r="BT137" i="6"/>
  <c r="CM137" i="6"/>
  <c r="BQ137" i="6"/>
  <c r="BH137" i="6"/>
  <c r="BC137" i="6"/>
  <c r="BE137" i="6"/>
  <c r="BR137" i="6"/>
  <c r="BP137" i="6"/>
  <c r="CL137" i="6"/>
  <c r="CB137" i="6"/>
  <c r="BY137" i="6"/>
  <c r="BW137" i="6"/>
  <c r="BZ137" i="6"/>
  <c r="BF137" i="6"/>
  <c r="BN137" i="6"/>
  <c r="BO137" i="6"/>
  <c r="CH137" i="6"/>
  <c r="BI137" i="6"/>
  <c r="BX137" i="6"/>
  <c r="BS137" i="6"/>
  <c r="CK137" i="6"/>
  <c r="BG137" i="6"/>
  <c r="CE137" i="6"/>
  <c r="BJ137" i="6"/>
  <c r="CG137" i="6"/>
  <c r="CI137" i="6"/>
  <c r="BV137" i="6"/>
  <c r="CC137" i="6"/>
  <c r="CA137" i="6"/>
  <c r="BK137" i="6"/>
  <c r="BM137" i="6"/>
  <c r="CJ137" i="6"/>
  <c r="BD137" i="6"/>
  <c r="F139" i="5"/>
  <c r="B139" i="6"/>
  <c r="D139" i="5"/>
  <c r="B139" i="12" s="1"/>
  <c r="E139" i="5"/>
  <c r="A139" i="12"/>
  <c r="AE139" i="5"/>
  <c r="N139" i="5"/>
  <c r="D139" i="6" s="1"/>
  <c r="J139" i="5"/>
  <c r="B139" i="5"/>
  <c r="C140" i="5" s="1"/>
  <c r="H139" i="5"/>
  <c r="AD139" i="5"/>
  <c r="G139" i="5"/>
  <c r="K139" i="5"/>
  <c r="CL138" i="6" l="1"/>
  <c r="BD138" i="6"/>
  <c r="CG138" i="6"/>
  <c r="BC138" i="6"/>
  <c r="BZ138" i="6"/>
  <c r="CF138" i="6"/>
  <c r="K138" i="12"/>
  <c r="L139" i="12" a="1"/>
  <c r="L139" i="12" s="1"/>
  <c r="J139" i="12" a="1"/>
  <c r="J139" i="12" s="1"/>
  <c r="I140" i="5"/>
  <c r="F140" i="5"/>
  <c r="H140" i="5"/>
  <c r="G140" i="5"/>
  <c r="E140" i="5"/>
  <c r="W140" i="5"/>
  <c r="H140" i="12" s="1"/>
  <c r="B140" i="5"/>
  <c r="AE140" i="5"/>
  <c r="N140" i="5"/>
  <c r="D140" i="6" s="1"/>
  <c r="A140" i="12"/>
  <c r="AD140" i="5"/>
  <c r="B140" i="6"/>
  <c r="J140" i="6" s="1" a="1"/>
  <c r="J140" i="6" s="1"/>
  <c r="C141" i="5"/>
  <c r="AZ138" i="6"/>
  <c r="BA138" i="6"/>
  <c r="T138" i="5"/>
  <c r="G138" i="12" s="1"/>
  <c r="AX138" i="6"/>
  <c r="AU138" i="6"/>
  <c r="AT138" i="6"/>
  <c r="AV138" i="6"/>
  <c r="AW138" i="6"/>
  <c r="AY138" i="6"/>
  <c r="CM138" i="6"/>
  <c r="BR138" i="6"/>
  <c r="BH138" i="6"/>
  <c r="BP138" i="6"/>
  <c r="BJ138" i="6"/>
  <c r="CK138" i="6"/>
  <c r="CA138" i="6"/>
  <c r="CJ138" i="6"/>
  <c r="BK138" i="6"/>
  <c r="BG138" i="6"/>
  <c r="BX138" i="6"/>
  <c r="BE138" i="6"/>
  <c r="BM138" i="6"/>
  <c r="BS138" i="6"/>
  <c r="BT138" i="6"/>
  <c r="CC138" i="6"/>
  <c r="CD138" i="6"/>
  <c r="BW138" i="6"/>
  <c r="BY138" i="6"/>
  <c r="BN138" i="6"/>
  <c r="BI138" i="6"/>
  <c r="BL138" i="6"/>
  <c r="CE138" i="6"/>
  <c r="BF138" i="6"/>
  <c r="BV138" i="6"/>
  <c r="CB138" i="6"/>
  <c r="CH138" i="6"/>
  <c r="BQ138" i="6"/>
  <c r="CI138" i="6"/>
  <c r="BO138" i="6"/>
  <c r="N139" i="6"/>
  <c r="M139" i="6"/>
  <c r="CL139" i="6" s="1"/>
  <c r="H139" i="6" a="1"/>
  <c r="H139" i="6" s="1"/>
  <c r="T139" i="5" s="1"/>
  <c r="G139" i="12" s="1"/>
  <c r="BK139" i="6" l="1"/>
  <c r="AT139" i="6"/>
  <c r="BA139" i="6"/>
  <c r="CM139" i="6"/>
  <c r="BF139" i="6"/>
  <c r="BS139" i="6"/>
  <c r="CB139" i="6"/>
  <c r="CJ139" i="6"/>
  <c r="BR139" i="6"/>
  <c r="BD139" i="6"/>
  <c r="BW139" i="6"/>
  <c r="BE139" i="6"/>
  <c r="BC139" i="6"/>
  <c r="H140" i="6" a="1"/>
  <c r="H140" i="6" s="1"/>
  <c r="N140" i="6"/>
  <c r="M140" i="6"/>
  <c r="BE140" i="6" s="1"/>
  <c r="G140" i="6"/>
  <c r="BV139" i="6"/>
  <c r="BG139" i="6"/>
  <c r="CA139" i="6"/>
  <c r="BT139" i="6"/>
  <c r="AU139" i="6"/>
  <c r="CK139" i="6"/>
  <c r="AW139" i="6"/>
  <c r="K139" i="12"/>
  <c r="AV139" i="6"/>
  <c r="BP139" i="6"/>
  <c r="BX139" i="6"/>
  <c r="BY139" i="6"/>
  <c r="AZ139" i="6"/>
  <c r="CG139" i="6"/>
  <c r="BZ139" i="6"/>
  <c r="CE139" i="6"/>
  <c r="CD139" i="6"/>
  <c r="BL139" i="6"/>
  <c r="AY139" i="6"/>
  <c r="BM139" i="6"/>
  <c r="CF139" i="6"/>
  <c r="CH139" i="6"/>
  <c r="BO139" i="6"/>
  <c r="BQ139" i="6"/>
  <c r="CC139" i="6"/>
  <c r="BN139" i="6"/>
  <c r="AX139" i="6"/>
  <c r="CI139" i="6"/>
  <c r="H141" i="5"/>
  <c r="G141" i="5"/>
  <c r="F141" i="5"/>
  <c r="B141" i="5"/>
  <c r="N141" i="5"/>
  <c r="D141" i="6" s="1"/>
  <c r="AD141" i="5"/>
  <c r="D141" i="5"/>
  <c r="B141" i="12" s="1"/>
  <c r="A141" i="12"/>
  <c r="C142" i="5"/>
  <c r="E141" i="5"/>
  <c r="B141" i="6"/>
  <c r="J141" i="5"/>
  <c r="AE141" i="5"/>
  <c r="K141" i="5"/>
  <c r="BI139" i="6"/>
  <c r="BJ139" i="6"/>
  <c r="BH139" i="6"/>
  <c r="BI140" i="6" l="1"/>
  <c r="BO140" i="6"/>
  <c r="AX140" i="6"/>
  <c r="AZ140" i="6"/>
  <c r="CL140" i="6"/>
  <c r="AR140" i="6"/>
  <c r="B142" i="6"/>
  <c r="K142" i="5"/>
  <c r="C143" i="5"/>
  <c r="H142" i="5"/>
  <c r="G142" i="5"/>
  <c r="F142" i="5"/>
  <c r="N142" i="5"/>
  <c r="D142" i="6" s="1"/>
  <c r="E142" i="5"/>
  <c r="D142" i="5"/>
  <c r="B142" i="12" s="1"/>
  <c r="B142" i="5"/>
  <c r="AE142" i="5"/>
  <c r="AD142" i="5"/>
  <c r="A142" i="12"/>
  <c r="J142" i="5"/>
  <c r="L141" i="12" a="1"/>
  <c r="L141" i="12" s="1"/>
  <c r="J141" i="12" a="1"/>
  <c r="J141" i="12" s="1"/>
  <c r="N141" i="6"/>
  <c r="M141" i="6"/>
  <c r="BV141" i="6" s="1"/>
  <c r="H141" i="6" a="1"/>
  <c r="H141" i="6" s="1"/>
  <c r="BP140" i="6"/>
  <c r="BG140" i="6"/>
  <c r="BL140" i="6"/>
  <c r="BH140" i="6"/>
  <c r="CI140" i="6"/>
  <c r="BW140" i="6"/>
  <c r="BQ140" i="6"/>
  <c r="CG140" i="6"/>
  <c r="BN140" i="6"/>
  <c r="CA140" i="6"/>
  <c r="CJ140" i="6"/>
  <c r="CE140" i="6"/>
  <c r="CD140" i="6"/>
  <c r="BV140" i="6"/>
  <c r="CH140" i="6"/>
  <c r="CM140" i="6"/>
  <c r="CB140" i="6"/>
  <c r="BS140" i="6"/>
  <c r="BZ140" i="6"/>
  <c r="BR140" i="6"/>
  <c r="BJ140" i="6"/>
  <c r="BT140" i="6"/>
  <c r="BM140" i="6"/>
  <c r="CK140" i="6"/>
  <c r="CC140" i="6"/>
  <c r="BC140" i="6"/>
  <c r="CF140" i="6"/>
  <c r="BD140" i="6"/>
  <c r="BY140" i="6"/>
  <c r="BX140" i="6"/>
  <c r="BF140" i="6"/>
  <c r="BK140" i="6"/>
  <c r="T140" i="5"/>
  <c r="G140" i="12" s="1"/>
  <c r="BA140" i="6"/>
  <c r="AL140" i="6"/>
  <c r="AS140" i="6"/>
  <c r="AO140" i="6"/>
  <c r="AP140" i="6"/>
  <c r="AU140" i="6"/>
  <c r="AV140" i="6"/>
  <c r="AN140" i="6"/>
  <c r="AT140" i="6"/>
  <c r="AW140" i="6"/>
  <c r="AJ140" i="6"/>
  <c r="AK140" i="6"/>
  <c r="AM140" i="6"/>
  <c r="AY140" i="6"/>
  <c r="AQ140" i="6"/>
  <c r="AW141" i="6" l="1"/>
  <c r="CM141" i="6"/>
  <c r="CB141" i="6"/>
  <c r="BG141" i="6"/>
  <c r="CA141" i="6"/>
  <c r="BL141" i="6"/>
  <c r="BR141" i="6"/>
  <c r="AV141" i="6"/>
  <c r="K141" i="12"/>
  <c r="AX141" i="6"/>
  <c r="T141" i="5"/>
  <c r="G141" i="12" s="1"/>
  <c r="AY141" i="6"/>
  <c r="AT141" i="6"/>
  <c r="BA141" i="6"/>
  <c r="AZ141" i="6"/>
  <c r="M142" i="6"/>
  <c r="CC142" i="6" s="1"/>
  <c r="H142" i="6" a="1"/>
  <c r="H142" i="6" s="1"/>
  <c r="N142" i="6"/>
  <c r="CG141" i="6"/>
  <c r="CH141" i="6"/>
  <c r="BS141" i="6"/>
  <c r="CE141" i="6"/>
  <c r="BF141" i="6"/>
  <c r="BK141" i="6"/>
  <c r="BW141" i="6"/>
  <c r="CI141" i="6"/>
  <c r="BN141" i="6"/>
  <c r="BJ141" i="6"/>
  <c r="BT141" i="6"/>
  <c r="CF141" i="6"/>
  <c r="CC141" i="6"/>
  <c r="BE141" i="6"/>
  <c r="BH141" i="6"/>
  <c r="BD141" i="6"/>
  <c r="BO141" i="6"/>
  <c r="CJ141" i="6"/>
  <c r="BY141" i="6"/>
  <c r="BP141" i="6"/>
  <c r="BC141" i="6"/>
  <c r="BM141" i="6"/>
  <c r="CL141" i="6"/>
  <c r="CK141" i="6"/>
  <c r="BZ141" i="6"/>
  <c r="CD141" i="6"/>
  <c r="BI141" i="6"/>
  <c r="BQ141" i="6"/>
  <c r="K143" i="5"/>
  <c r="J143" i="5"/>
  <c r="F143" i="5"/>
  <c r="H143" i="5"/>
  <c r="C144" i="5"/>
  <c r="B143" i="5"/>
  <c r="G143" i="5"/>
  <c r="B143" i="6"/>
  <c r="AE143" i="5"/>
  <c r="D143" i="5"/>
  <c r="B143" i="12" s="1"/>
  <c r="E143" i="5"/>
  <c r="N143" i="5"/>
  <c r="D143" i="6" s="1"/>
  <c r="AD143" i="5"/>
  <c r="A143" i="12"/>
  <c r="BX141" i="6"/>
  <c r="AU141" i="6"/>
  <c r="J142" i="12" a="1"/>
  <c r="J142" i="12" s="1"/>
  <c r="L142" i="12" a="1"/>
  <c r="L142" i="12" s="1"/>
  <c r="BZ142" i="6" l="1"/>
  <c r="BY142" i="6"/>
  <c r="K142" i="12"/>
  <c r="AY142" i="6"/>
  <c r="AV142" i="6"/>
  <c r="T142" i="5"/>
  <c r="G142" i="12" s="1"/>
  <c r="AZ142" i="6"/>
  <c r="AT142" i="6"/>
  <c r="AW142" i="6"/>
  <c r="AU142" i="6"/>
  <c r="BA142" i="6"/>
  <c r="AX142" i="6"/>
  <c r="BH142" i="6"/>
  <c r="BR142" i="6"/>
  <c r="BF142" i="6"/>
  <c r="CM142" i="6"/>
  <c r="BK142" i="6"/>
  <c r="BT142" i="6"/>
  <c r="BV142" i="6"/>
  <c r="BX142" i="6"/>
  <c r="BQ142" i="6"/>
  <c r="CB142" i="6"/>
  <c r="BC142" i="6"/>
  <c r="CK142" i="6"/>
  <c r="CF142" i="6"/>
  <c r="BS142" i="6"/>
  <c r="CH142" i="6"/>
  <c r="BM142" i="6"/>
  <c r="BE142" i="6"/>
  <c r="CL142" i="6"/>
  <c r="BG142" i="6"/>
  <c r="CI142" i="6"/>
  <c r="CA142" i="6"/>
  <c r="CD142" i="6"/>
  <c r="BJ142" i="6"/>
  <c r="CG142" i="6"/>
  <c r="BW142" i="6"/>
  <c r="BD142" i="6"/>
  <c r="BI142" i="6"/>
  <c r="BO142" i="6"/>
  <c r="BP142" i="6"/>
  <c r="BN142" i="6"/>
  <c r="BL142" i="6"/>
  <c r="CJ142" i="6"/>
  <c r="CE142" i="6"/>
  <c r="B144" i="6"/>
  <c r="K144" i="5"/>
  <c r="H144" i="5"/>
  <c r="N144" i="5"/>
  <c r="D144" i="6" s="1"/>
  <c r="C145" i="5"/>
  <c r="G144" i="5"/>
  <c r="F144" i="5"/>
  <c r="E144" i="5"/>
  <c r="D144" i="5"/>
  <c r="B144" i="12" s="1"/>
  <c r="AD144" i="5"/>
  <c r="AE144" i="5"/>
  <c r="B144" i="5"/>
  <c r="A144" i="12"/>
  <c r="J144" i="5"/>
  <c r="L143" i="12" a="1"/>
  <c r="L143" i="12" s="1"/>
  <c r="J143" i="12" a="1"/>
  <c r="J143" i="12" s="1"/>
  <c r="H143" i="6" a="1"/>
  <c r="H143" i="6" s="1"/>
  <c r="N143" i="6"/>
  <c r="M143" i="6"/>
  <c r="K143" i="12" l="1"/>
  <c r="BA143" i="6"/>
  <c r="AV143" i="6"/>
  <c r="AX143" i="6"/>
  <c r="T143" i="5"/>
  <c r="G143" i="12" s="1"/>
  <c r="AW143" i="6"/>
  <c r="AT143" i="6"/>
  <c r="AY143" i="6"/>
  <c r="AU143" i="6"/>
  <c r="AZ143" i="6"/>
  <c r="B145" i="6"/>
  <c r="E145" i="5"/>
  <c r="B145" i="5"/>
  <c r="AE145" i="5"/>
  <c r="N145" i="5"/>
  <c r="D145" i="6" s="1"/>
  <c r="AD145" i="5"/>
  <c r="K145" i="5"/>
  <c r="J145" i="5"/>
  <c r="A145" i="12"/>
  <c r="C146" i="5"/>
  <c r="H145" i="5"/>
  <c r="D145" i="5"/>
  <c r="B145" i="12" s="1"/>
  <c r="G145" i="5"/>
  <c r="F145" i="5"/>
  <c r="N144" i="6"/>
  <c r="M144" i="6"/>
  <c r="BO144" i="6" s="1"/>
  <c r="H144" i="6" a="1"/>
  <c r="H144" i="6" s="1"/>
  <c r="L144" i="12" a="1"/>
  <c r="L144" i="12" s="1"/>
  <c r="J144" i="12" a="1"/>
  <c r="J144" i="12" s="1"/>
  <c r="CG143" i="6"/>
  <c r="BY143" i="6"/>
  <c r="BF143" i="6"/>
  <c r="CF143" i="6"/>
  <c r="BL143" i="6"/>
  <c r="CH143" i="6"/>
  <c r="BH143" i="6"/>
  <c r="BT143" i="6"/>
  <c r="CB143" i="6"/>
  <c r="BN143" i="6"/>
  <c r="CM143" i="6"/>
  <c r="BR143" i="6"/>
  <c r="BI143" i="6"/>
  <c r="CA143" i="6"/>
  <c r="BO143" i="6"/>
  <c r="BC143" i="6"/>
  <c r="BG143" i="6"/>
  <c r="BZ143" i="6"/>
  <c r="BP143" i="6"/>
  <c r="BK143" i="6"/>
  <c r="CL143" i="6"/>
  <c r="BX143" i="6"/>
  <c r="CI143" i="6"/>
  <c r="BD143" i="6"/>
  <c r="CC143" i="6"/>
  <c r="BM143" i="6"/>
  <c r="BW143" i="6"/>
  <c r="BE143" i="6"/>
  <c r="CD143" i="6"/>
  <c r="BS143" i="6"/>
  <c r="CK143" i="6"/>
  <c r="CE143" i="6"/>
  <c r="CJ143" i="6"/>
  <c r="BQ143" i="6"/>
  <c r="BJ143" i="6"/>
  <c r="BV143" i="6"/>
  <c r="BX144" i="6" l="1"/>
  <c r="BY144" i="6"/>
  <c r="BE144" i="6"/>
  <c r="CJ144" i="6"/>
  <c r="AZ144" i="6"/>
  <c r="CK144" i="6"/>
  <c r="BK144" i="6"/>
  <c r="BD144" i="6"/>
  <c r="BS144" i="6"/>
  <c r="BL144" i="6"/>
  <c r="BW144" i="6"/>
  <c r="CG144" i="6"/>
  <c r="CE144" i="6"/>
  <c r="AY144" i="6"/>
  <c r="BN144" i="6"/>
  <c r="CC144" i="6"/>
  <c r="K144" i="12"/>
  <c r="AE146" i="5"/>
  <c r="AD146" i="5"/>
  <c r="N146" i="5"/>
  <c r="D146" i="6" s="1"/>
  <c r="A146" i="12"/>
  <c r="K146" i="5"/>
  <c r="B146" i="6"/>
  <c r="E146" i="5"/>
  <c r="H146" i="5"/>
  <c r="G146" i="5"/>
  <c r="F146" i="5"/>
  <c r="D146" i="5"/>
  <c r="B146" i="12" s="1"/>
  <c r="B146" i="5"/>
  <c r="C147" i="5" s="1"/>
  <c r="J146" i="5"/>
  <c r="L145" i="12" a="1"/>
  <c r="L145" i="12" s="1"/>
  <c r="J145" i="12" a="1"/>
  <c r="J145" i="12" s="1"/>
  <c r="AV144" i="6"/>
  <c r="BA144" i="6"/>
  <c r="AX144" i="6"/>
  <c r="T144" i="5"/>
  <c r="G144" i="12" s="1"/>
  <c r="AT144" i="6"/>
  <c r="AU144" i="6"/>
  <c r="AW144" i="6"/>
  <c r="N145" i="6"/>
  <c r="M145" i="6"/>
  <c r="H145" i="6" a="1"/>
  <c r="H145" i="6" s="1"/>
  <c r="BP144" i="6"/>
  <c r="BQ144" i="6"/>
  <c r="CA144" i="6"/>
  <c r="BR144" i="6"/>
  <c r="BV144" i="6"/>
  <c r="BC144" i="6"/>
  <c r="CI144" i="6"/>
  <c r="BI144" i="6"/>
  <c r="BZ144" i="6"/>
  <c r="BH144" i="6"/>
  <c r="CM144" i="6"/>
  <c r="CH144" i="6"/>
  <c r="BG144" i="6"/>
  <c r="CB144" i="6"/>
  <c r="BJ144" i="6"/>
  <c r="CF144" i="6"/>
  <c r="BM144" i="6"/>
  <c r="BF144" i="6"/>
  <c r="BT144" i="6"/>
  <c r="CD144" i="6"/>
  <c r="CL144" i="6"/>
  <c r="K145" i="12" l="1"/>
  <c r="J146" i="12" a="1"/>
  <c r="J146" i="12" s="1"/>
  <c r="L146" i="12" a="1"/>
  <c r="L146" i="12" s="1"/>
  <c r="H146" i="6" a="1"/>
  <c r="H146" i="6" s="1"/>
  <c r="N146" i="6"/>
  <c r="M146" i="6"/>
  <c r="AY145" i="6"/>
  <c r="AT145" i="6"/>
  <c r="AZ145" i="6"/>
  <c r="AV145" i="6"/>
  <c r="BA145" i="6"/>
  <c r="AU145" i="6"/>
  <c r="AX145" i="6"/>
  <c r="AW145" i="6"/>
  <c r="T145" i="5"/>
  <c r="G145" i="12" s="1"/>
  <c r="BS145" i="6"/>
  <c r="CD145" i="6"/>
  <c r="BE145" i="6"/>
  <c r="BJ145" i="6"/>
  <c r="BK145" i="6"/>
  <c r="BO145" i="6"/>
  <c r="CH145" i="6"/>
  <c r="CC145" i="6"/>
  <c r="BD145" i="6"/>
  <c r="CM145" i="6"/>
  <c r="BT145" i="6"/>
  <c r="BL145" i="6"/>
  <c r="BR145" i="6"/>
  <c r="BW145" i="6"/>
  <c r="CJ145" i="6"/>
  <c r="CE145" i="6"/>
  <c r="CI145" i="6"/>
  <c r="BF145" i="6"/>
  <c r="BG145" i="6"/>
  <c r="BC145" i="6"/>
  <c r="BV145" i="6"/>
  <c r="BN145" i="6"/>
  <c r="CB145" i="6"/>
  <c r="CG145" i="6"/>
  <c r="BM145" i="6"/>
  <c r="BZ145" i="6"/>
  <c r="CF145" i="6"/>
  <c r="CK145" i="6"/>
  <c r="CA145" i="6"/>
  <c r="BQ145" i="6"/>
  <c r="BH145" i="6"/>
  <c r="BY145" i="6"/>
  <c r="BI145" i="6"/>
  <c r="BX145" i="6"/>
  <c r="CL145" i="6"/>
  <c r="BP145" i="6"/>
  <c r="AE147" i="5"/>
  <c r="H147" i="5"/>
  <c r="N147" i="5"/>
  <c r="D147" i="6" s="1"/>
  <c r="AD147" i="5"/>
  <c r="I147" i="5"/>
  <c r="G147" i="5"/>
  <c r="F147" i="5"/>
  <c r="E147" i="5"/>
  <c r="W147" i="5"/>
  <c r="H147" i="12" s="1"/>
  <c r="B147" i="6"/>
  <c r="J147" i="6" s="1" a="1"/>
  <c r="J147" i="6" s="1"/>
  <c r="A147" i="12"/>
  <c r="B147" i="5"/>
  <c r="C148" i="5" s="1"/>
  <c r="K146" i="12" l="1"/>
  <c r="H147" i="6" a="1"/>
  <c r="H147" i="6" s="1"/>
  <c r="G147" i="6"/>
  <c r="M147" i="6"/>
  <c r="CK147" i="6" s="1"/>
  <c r="N147" i="6"/>
  <c r="BR146" i="6"/>
  <c r="CF146" i="6"/>
  <c r="BC146" i="6"/>
  <c r="CC146" i="6"/>
  <c r="BK146" i="6"/>
  <c r="CA146" i="6"/>
  <c r="BN146" i="6"/>
  <c r="CK146" i="6"/>
  <c r="CH146" i="6"/>
  <c r="CI146" i="6"/>
  <c r="BT146" i="6"/>
  <c r="BI146" i="6"/>
  <c r="BD146" i="6"/>
  <c r="CM146" i="6"/>
  <c r="BM146" i="6"/>
  <c r="CB146" i="6"/>
  <c r="BW146" i="6"/>
  <c r="BV146" i="6"/>
  <c r="BF146" i="6"/>
  <c r="BE146" i="6"/>
  <c r="BJ146" i="6"/>
  <c r="BS146" i="6"/>
  <c r="CJ146" i="6"/>
  <c r="BZ146" i="6"/>
  <c r="BH146" i="6"/>
  <c r="CE146" i="6"/>
  <c r="CL146" i="6"/>
  <c r="BO146" i="6"/>
  <c r="BL146" i="6"/>
  <c r="CD146" i="6"/>
  <c r="CG146" i="6"/>
  <c r="BG146" i="6"/>
  <c r="BX146" i="6"/>
  <c r="BQ146" i="6"/>
  <c r="BP146" i="6"/>
  <c r="BY146" i="6"/>
  <c r="AY146" i="6"/>
  <c r="AU146" i="6"/>
  <c r="AW146" i="6"/>
  <c r="T146" i="5"/>
  <c r="G146" i="12" s="1"/>
  <c r="AZ146" i="6"/>
  <c r="BA146" i="6"/>
  <c r="AV146" i="6"/>
  <c r="AT146" i="6"/>
  <c r="AX146" i="6"/>
  <c r="A148" i="12"/>
  <c r="AD148" i="5"/>
  <c r="B148" i="6"/>
  <c r="J148" i="6" s="1" a="1"/>
  <c r="J148" i="6" s="1"/>
  <c r="I148" i="5"/>
  <c r="E148" i="5"/>
  <c r="C149" i="5"/>
  <c r="G148" i="5"/>
  <c r="W148" i="5"/>
  <c r="H148" i="12" s="1"/>
  <c r="F148" i="5"/>
  <c r="B148" i="5"/>
  <c r="AE148" i="5"/>
  <c r="N148" i="5"/>
  <c r="D148" i="6" s="1"/>
  <c r="H148" i="5"/>
  <c r="AK147" i="6" l="1"/>
  <c r="AN147" i="6"/>
  <c r="N149" i="5"/>
  <c r="D149" i="6" s="1"/>
  <c r="J149" i="5"/>
  <c r="AD149" i="5"/>
  <c r="K149" i="5"/>
  <c r="C150" i="5"/>
  <c r="F149" i="5"/>
  <c r="H149" i="5"/>
  <c r="G149" i="5"/>
  <c r="A149" i="12"/>
  <c r="D149" i="5"/>
  <c r="B149" i="12" s="1"/>
  <c r="B149" i="6"/>
  <c r="E149" i="5"/>
  <c r="B149" i="5"/>
  <c r="AE149" i="5"/>
  <c r="CG147" i="6"/>
  <c r="BM147" i="6"/>
  <c r="CF147" i="6"/>
  <c r="BT147" i="6"/>
  <c r="CL147" i="6"/>
  <c r="BF147" i="6"/>
  <c r="CA147" i="6"/>
  <c r="BJ147" i="6"/>
  <c r="BN147" i="6"/>
  <c r="CD147" i="6"/>
  <c r="CB147" i="6"/>
  <c r="BI147" i="6"/>
  <c r="BS147" i="6"/>
  <c r="BO147" i="6"/>
  <c r="CE147" i="6"/>
  <c r="BV147" i="6"/>
  <c r="BE147" i="6"/>
  <c r="BQ147" i="6"/>
  <c r="BP147" i="6"/>
  <c r="BC147" i="6"/>
  <c r="BG147" i="6"/>
  <c r="CC147" i="6"/>
  <c r="BL147" i="6"/>
  <c r="CI147" i="6"/>
  <c r="CM147" i="6"/>
  <c r="BZ147" i="6"/>
  <c r="CH147" i="6"/>
  <c r="CJ147" i="6"/>
  <c r="BD147" i="6"/>
  <c r="BX147" i="6"/>
  <c r="BY147" i="6"/>
  <c r="BR147" i="6"/>
  <c r="BW147" i="6"/>
  <c r="G148" i="6"/>
  <c r="N148" i="6"/>
  <c r="M148" i="6"/>
  <c r="BJ148" i="6" s="1"/>
  <c r="H148" i="6" a="1"/>
  <c r="H148" i="6" s="1"/>
  <c r="T147" i="5"/>
  <c r="G147" i="12" s="1"/>
  <c r="AR147" i="6"/>
  <c r="AL147" i="6"/>
  <c r="AQ147" i="6"/>
  <c r="AX147" i="6"/>
  <c r="AS147" i="6"/>
  <c r="AP147" i="6"/>
  <c r="AJ147" i="6"/>
  <c r="AY147" i="6"/>
  <c r="BA147" i="6"/>
  <c r="AT147" i="6"/>
  <c r="AO147" i="6"/>
  <c r="AU147" i="6"/>
  <c r="AW147" i="6"/>
  <c r="AM147" i="6"/>
  <c r="AV147" i="6"/>
  <c r="AZ147" i="6"/>
  <c r="BH147" i="6"/>
  <c r="BK147" i="6"/>
  <c r="BX148" i="6" l="1"/>
  <c r="CD148" i="6"/>
  <c r="AY148" i="6"/>
  <c r="BK148" i="6"/>
  <c r="CL148" i="6"/>
  <c r="AN148" i="6"/>
  <c r="AT148" i="6"/>
  <c r="AW148" i="6"/>
  <c r="CH148" i="6"/>
  <c r="AJ148" i="6"/>
  <c r="AS148" i="6"/>
  <c r="L149" i="12" a="1"/>
  <c r="L149" i="12" s="1"/>
  <c r="J149" i="12" a="1"/>
  <c r="J149" i="12" s="1"/>
  <c r="F150" i="5"/>
  <c r="D150" i="5"/>
  <c r="B150" i="12" s="1"/>
  <c r="B150" i="5"/>
  <c r="AE150" i="5"/>
  <c r="N150" i="5"/>
  <c r="D150" i="6" s="1"/>
  <c r="AD150" i="5"/>
  <c r="J150" i="5"/>
  <c r="A150" i="12"/>
  <c r="B150" i="6"/>
  <c r="K150" i="5"/>
  <c r="C151" i="5"/>
  <c r="H150" i="5"/>
  <c r="G150" i="5"/>
  <c r="E150" i="5"/>
  <c r="T148" i="5"/>
  <c r="G148" i="12" s="1"/>
  <c r="AO148" i="6"/>
  <c r="AP148" i="6"/>
  <c r="AM148" i="6"/>
  <c r="AZ148" i="6"/>
  <c r="AK148" i="6"/>
  <c r="AL148" i="6"/>
  <c r="AR148" i="6"/>
  <c r="AV148" i="6"/>
  <c r="AU148" i="6"/>
  <c r="AQ148" i="6"/>
  <c r="BA148" i="6"/>
  <c r="CM148" i="6"/>
  <c r="CJ148" i="6"/>
  <c r="BE148" i="6"/>
  <c r="CG148" i="6"/>
  <c r="BG148" i="6"/>
  <c r="BP148" i="6"/>
  <c r="BS148" i="6"/>
  <c r="CE148" i="6"/>
  <c r="BT148" i="6"/>
  <c r="CA148" i="6"/>
  <c r="BH148" i="6"/>
  <c r="BM148" i="6"/>
  <c r="BF148" i="6"/>
  <c r="BI148" i="6"/>
  <c r="BL148" i="6"/>
  <c r="BR148" i="6"/>
  <c r="CF148" i="6"/>
  <c r="BQ148" i="6"/>
  <c r="BD148" i="6"/>
  <c r="CB148" i="6"/>
  <c r="CC148" i="6"/>
  <c r="BC148" i="6"/>
  <c r="BW148" i="6"/>
  <c r="BY148" i="6"/>
  <c r="BN148" i="6"/>
  <c r="BZ148" i="6"/>
  <c r="CI148" i="6"/>
  <c r="CK148" i="6"/>
  <c r="BV148" i="6"/>
  <c r="BO148" i="6"/>
  <c r="M149" i="6"/>
  <c r="N149" i="6"/>
  <c r="H149" i="6" a="1"/>
  <c r="H149" i="6" s="1"/>
  <c r="AX148" i="6"/>
  <c r="K149" i="12" l="1"/>
  <c r="CG149" i="6"/>
  <c r="BS149" i="6"/>
  <c r="BI149" i="6"/>
  <c r="BY149" i="6"/>
  <c r="CH149" i="6"/>
  <c r="BG149" i="6"/>
  <c r="BC149" i="6"/>
  <c r="BX149" i="6"/>
  <c r="CK149" i="6"/>
  <c r="BN149" i="6"/>
  <c r="BD149" i="6"/>
  <c r="CF149" i="6"/>
  <c r="BE149" i="6"/>
  <c r="CD149" i="6"/>
  <c r="BR149" i="6"/>
  <c r="CL149" i="6"/>
  <c r="BO149" i="6"/>
  <c r="BZ149" i="6"/>
  <c r="CI149" i="6"/>
  <c r="BM149" i="6"/>
  <c r="BJ149" i="6"/>
  <c r="CB149" i="6"/>
  <c r="CM149" i="6"/>
  <c r="CE149" i="6"/>
  <c r="CJ149" i="6"/>
  <c r="BL149" i="6"/>
  <c r="BK149" i="6"/>
  <c r="BW149" i="6"/>
  <c r="CA149" i="6"/>
  <c r="BT149" i="6"/>
  <c r="BF149" i="6"/>
  <c r="BH149" i="6"/>
  <c r="BP149" i="6"/>
  <c r="BV149" i="6"/>
  <c r="CC149" i="6"/>
  <c r="BQ149" i="6"/>
  <c r="J150" i="12" a="1"/>
  <c r="J150" i="12" s="1"/>
  <c r="L150" i="12" a="1"/>
  <c r="L150" i="12" s="1"/>
  <c r="M150" i="6"/>
  <c r="BR150" i="6" s="1"/>
  <c r="H150" i="6" a="1"/>
  <c r="H150" i="6" s="1"/>
  <c r="N150" i="6"/>
  <c r="AW149" i="6"/>
  <c r="AU149" i="6"/>
  <c r="BA149" i="6"/>
  <c r="AT149" i="6"/>
  <c r="T149" i="5"/>
  <c r="G149" i="12" s="1"/>
  <c r="AZ149" i="6"/>
  <c r="AX149" i="6"/>
  <c r="AY149" i="6"/>
  <c r="AV149" i="6"/>
  <c r="C152" i="5"/>
  <c r="G151" i="5"/>
  <c r="J151" i="5"/>
  <c r="H151" i="5"/>
  <c r="B151" i="6"/>
  <c r="F151" i="5"/>
  <c r="D151" i="5"/>
  <c r="B151" i="12" s="1"/>
  <c r="A151" i="12"/>
  <c r="E151" i="5"/>
  <c r="B151" i="5"/>
  <c r="AE151" i="5"/>
  <c r="K151" i="5"/>
  <c r="N151" i="5"/>
  <c r="D151" i="6" s="1"/>
  <c r="AD151" i="5"/>
  <c r="BA150" i="6" l="1"/>
  <c r="BG150" i="6"/>
  <c r="CH150" i="6"/>
  <c r="BZ150" i="6"/>
  <c r="BC150" i="6"/>
  <c r="CI150" i="6"/>
  <c r="BD150" i="6"/>
  <c r="K150" i="12"/>
  <c r="BO150" i="6"/>
  <c r="BF150" i="6"/>
  <c r="AX150" i="6"/>
  <c r="AT150" i="6"/>
  <c r="AU150" i="6"/>
  <c r="M151" i="6"/>
  <c r="CJ151" i="6" s="1"/>
  <c r="N151" i="6"/>
  <c r="H151" i="6" a="1"/>
  <c r="H151" i="6" s="1"/>
  <c r="B152" i="6"/>
  <c r="K152" i="5"/>
  <c r="C153" i="5"/>
  <c r="E152" i="5"/>
  <c r="AD152" i="5"/>
  <c r="H152" i="5"/>
  <c r="F152" i="5"/>
  <c r="N152" i="5"/>
  <c r="D152" i="6" s="1"/>
  <c r="G152" i="5"/>
  <c r="J152" i="5"/>
  <c r="D152" i="5"/>
  <c r="B152" i="12" s="1"/>
  <c r="B152" i="5"/>
  <c r="AE152" i="5"/>
  <c r="A152" i="12"/>
  <c r="AW150" i="6"/>
  <c r="AV150" i="6"/>
  <c r="AY150" i="6"/>
  <c r="T150" i="5"/>
  <c r="G150" i="12" s="1"/>
  <c r="AZ150" i="6"/>
  <c r="BV150" i="6"/>
  <c r="BY150" i="6"/>
  <c r="BL150" i="6"/>
  <c r="BP150" i="6"/>
  <c r="BN150" i="6"/>
  <c r="BH150" i="6"/>
  <c r="BI150" i="6"/>
  <c r="CF150" i="6"/>
  <c r="BW150" i="6"/>
  <c r="CL150" i="6"/>
  <c r="BX150" i="6"/>
  <c r="BK150" i="6"/>
  <c r="BJ150" i="6"/>
  <c r="CD150" i="6"/>
  <c r="BE150" i="6"/>
  <c r="CB150" i="6"/>
  <c r="CA150" i="6"/>
  <c r="CK150" i="6"/>
  <c r="CE150" i="6"/>
  <c r="BM150" i="6"/>
  <c r="CC150" i="6"/>
  <c r="CG150" i="6"/>
  <c r="BS150" i="6"/>
  <c r="BQ150" i="6"/>
  <c r="CJ150" i="6"/>
  <c r="L151" i="12" a="1"/>
  <c r="L151" i="12" s="1"/>
  <c r="J151" i="12" a="1"/>
  <c r="J151" i="12" s="1"/>
  <c r="CM150" i="6"/>
  <c r="BT150" i="6"/>
  <c r="BL151" i="6" l="1"/>
  <c r="CF151" i="6"/>
  <c r="CA151" i="6"/>
  <c r="BD151" i="6"/>
  <c r="BG151" i="6"/>
  <c r="CL151" i="6"/>
  <c r="CH151" i="6"/>
  <c r="AX151" i="6"/>
  <c r="BN151" i="6"/>
  <c r="CE151" i="6"/>
  <c r="BO151" i="6"/>
  <c r="CI151" i="6"/>
  <c r="BP151" i="6"/>
  <c r="BH151" i="6"/>
  <c r="BS151" i="6"/>
  <c r="CD151" i="6"/>
  <c r="BC151" i="6"/>
  <c r="BT151" i="6"/>
  <c r="BZ151" i="6"/>
  <c r="K151" i="12"/>
  <c r="L152" i="12" a="1"/>
  <c r="L152" i="12" s="1"/>
  <c r="J152" i="12" a="1"/>
  <c r="J152" i="12" s="1"/>
  <c r="T151" i="5"/>
  <c r="G151" i="12" s="1"/>
  <c r="AV151" i="6"/>
  <c r="AY151" i="6"/>
  <c r="BA151" i="6"/>
  <c r="AW151" i="6"/>
  <c r="BR151" i="6"/>
  <c r="BF151" i="6"/>
  <c r="BX151" i="6"/>
  <c r="BE151" i="6"/>
  <c r="BK151" i="6"/>
  <c r="BY151" i="6"/>
  <c r="CC151" i="6"/>
  <c r="BM151" i="6"/>
  <c r="BW151" i="6"/>
  <c r="CM151" i="6"/>
  <c r="BI151" i="6"/>
  <c r="M152" i="6"/>
  <c r="N152" i="6"/>
  <c r="H152" i="6" a="1"/>
  <c r="H152" i="6" s="1"/>
  <c r="AT151" i="6"/>
  <c r="CB151" i="6"/>
  <c r="BQ151" i="6"/>
  <c r="AZ151" i="6"/>
  <c r="AU151" i="6"/>
  <c r="CK151" i="6"/>
  <c r="CG151" i="6"/>
  <c r="BJ151" i="6"/>
  <c r="K153" i="5"/>
  <c r="AD153" i="5"/>
  <c r="J153" i="5"/>
  <c r="H153" i="5"/>
  <c r="F153" i="5"/>
  <c r="C154" i="5"/>
  <c r="D153" i="5"/>
  <c r="B153" i="12" s="1"/>
  <c r="A153" i="12"/>
  <c r="G153" i="5"/>
  <c r="N153" i="5"/>
  <c r="D153" i="6" s="1"/>
  <c r="B153" i="6"/>
  <c r="E153" i="5"/>
  <c r="B153" i="5"/>
  <c r="AE153" i="5"/>
  <c r="BV151" i="6"/>
  <c r="CA152" i="6" l="1"/>
  <c r="BH152" i="6"/>
  <c r="K152" i="12"/>
  <c r="T152" i="5"/>
  <c r="G152" i="12" s="1"/>
  <c r="AW152" i="6"/>
  <c r="AZ152" i="6"/>
  <c r="AU152" i="6"/>
  <c r="AX152" i="6"/>
  <c r="AT152" i="6"/>
  <c r="BA152" i="6"/>
  <c r="AV152" i="6"/>
  <c r="AY152" i="6"/>
  <c r="BE152" i="6"/>
  <c r="BO152" i="6"/>
  <c r="BM152" i="6"/>
  <c r="BD152" i="6"/>
  <c r="BI152" i="6"/>
  <c r="CB152" i="6"/>
  <c r="CI152" i="6"/>
  <c r="BS152" i="6"/>
  <c r="BW152" i="6"/>
  <c r="BV152" i="6"/>
  <c r="BX152" i="6"/>
  <c r="CG152" i="6"/>
  <c r="BL152" i="6"/>
  <c r="CK152" i="6"/>
  <c r="BG152" i="6"/>
  <c r="CH152" i="6"/>
  <c r="CJ152" i="6"/>
  <c r="BQ152" i="6"/>
  <c r="BZ152" i="6"/>
  <c r="CE152" i="6"/>
  <c r="BN152" i="6"/>
  <c r="BY152" i="6"/>
  <c r="CM152" i="6"/>
  <c r="CF152" i="6"/>
  <c r="BJ152" i="6"/>
  <c r="BF152" i="6"/>
  <c r="BK152" i="6"/>
  <c r="CD152" i="6"/>
  <c r="BT152" i="6"/>
  <c r="BR152" i="6"/>
  <c r="CC152" i="6"/>
  <c r="CL152" i="6"/>
  <c r="BC152" i="6"/>
  <c r="BP152" i="6"/>
  <c r="H153" i="6" a="1"/>
  <c r="H153" i="6" s="1"/>
  <c r="N153" i="6"/>
  <c r="M153" i="6"/>
  <c r="CM153" i="6" s="1"/>
  <c r="L153" i="12" a="1"/>
  <c r="L153" i="12" s="1"/>
  <c r="J153" i="12" a="1"/>
  <c r="J153" i="12" s="1"/>
  <c r="D154" i="5"/>
  <c r="B154" i="12" s="1"/>
  <c r="B154" i="5"/>
  <c r="AE154" i="5"/>
  <c r="C155" i="5"/>
  <c r="N154" i="5"/>
  <c r="D154" i="6" s="1"/>
  <c r="AD154" i="5"/>
  <c r="J154" i="5"/>
  <c r="A154" i="12"/>
  <c r="B154" i="6"/>
  <c r="K154" i="5"/>
  <c r="H154" i="5"/>
  <c r="F154" i="5"/>
  <c r="E154" i="5"/>
  <c r="G154" i="5"/>
  <c r="BA153" i="6" l="1"/>
  <c r="BM153" i="6"/>
  <c r="CK153" i="6"/>
  <c r="BQ153" i="6"/>
  <c r="CJ153" i="6"/>
  <c r="BJ153" i="6"/>
  <c r="BK153" i="6"/>
  <c r="CD153" i="6"/>
  <c r="CB153" i="6"/>
  <c r="CF153" i="6"/>
  <c r="BF153" i="6"/>
  <c r="BG153" i="6"/>
  <c r="CL153" i="6"/>
  <c r="CA153" i="6"/>
  <c r="BX153" i="6"/>
  <c r="BE153" i="6"/>
  <c r="BT153" i="6"/>
  <c r="BI153" i="6"/>
  <c r="BP153" i="6"/>
  <c r="CI153" i="6"/>
  <c r="BV153" i="6"/>
  <c r="AT153" i="6"/>
  <c r="AY153" i="6"/>
  <c r="AX153" i="6"/>
  <c r="AU153" i="6"/>
  <c r="AV153" i="6"/>
  <c r="T153" i="5"/>
  <c r="G153" i="12" s="1"/>
  <c r="CH153" i="6"/>
  <c r="J154" i="12" a="1"/>
  <c r="J154" i="12" s="1"/>
  <c r="L154" i="12" a="1"/>
  <c r="L154" i="12" s="1"/>
  <c r="BS153" i="6"/>
  <c r="BL153" i="6"/>
  <c r="BY153" i="6"/>
  <c r="BN153" i="6"/>
  <c r="BZ153" i="6"/>
  <c r="AW153" i="6"/>
  <c r="N154" i="6"/>
  <c r="H154" i="6" a="1"/>
  <c r="H154" i="6" s="1"/>
  <c r="M154" i="6"/>
  <c r="CH154" i="6" s="1"/>
  <c r="K153" i="12"/>
  <c r="BO153" i="6"/>
  <c r="BC153" i="6"/>
  <c r="B155" i="6"/>
  <c r="E155" i="5"/>
  <c r="H155" i="5"/>
  <c r="D155" i="5"/>
  <c r="B155" i="12" s="1"/>
  <c r="B155" i="5"/>
  <c r="AE155" i="5"/>
  <c r="AD155" i="5"/>
  <c r="G155" i="5"/>
  <c r="N155" i="5"/>
  <c r="D155" i="6" s="1"/>
  <c r="K155" i="5"/>
  <c r="F155" i="5"/>
  <c r="J155" i="5"/>
  <c r="C156" i="5"/>
  <c r="A155" i="12"/>
  <c r="BH153" i="6"/>
  <c r="CC153" i="6"/>
  <c r="BD153" i="6"/>
  <c r="CE153" i="6"/>
  <c r="BR153" i="6"/>
  <c r="AZ153" i="6"/>
  <c r="CG153" i="6"/>
  <c r="BW153" i="6"/>
  <c r="K154" i="12" l="1"/>
  <c r="BZ154" i="6"/>
  <c r="N155" i="6"/>
  <c r="H155" i="6" a="1"/>
  <c r="H155" i="6" s="1"/>
  <c r="M155" i="6"/>
  <c r="AZ154" i="6"/>
  <c r="BC154" i="6"/>
  <c r="CB154" i="6"/>
  <c r="BO154" i="6"/>
  <c r="BF154" i="6"/>
  <c r="BE154" i="6"/>
  <c r="BD154" i="6"/>
  <c r="CM154" i="6"/>
  <c r="CC154" i="6"/>
  <c r="BW154" i="6"/>
  <c r="CI154" i="6"/>
  <c r="BK154" i="6"/>
  <c r="BM154" i="6"/>
  <c r="BY154" i="6"/>
  <c r="BN154" i="6"/>
  <c r="BT154" i="6"/>
  <c r="CE154" i="6"/>
  <c r="BR154" i="6"/>
  <c r="T154" i="5"/>
  <c r="G154" i="12" s="1"/>
  <c r="BA154" i="6"/>
  <c r="AU154" i="6"/>
  <c r="AY154" i="6"/>
  <c r="AT154" i="6"/>
  <c r="BG154" i="6"/>
  <c r="BQ154" i="6"/>
  <c r="CD154" i="6"/>
  <c r="AX154" i="6"/>
  <c r="BV154" i="6"/>
  <c r="L155" i="12" a="1"/>
  <c r="L155" i="12" s="1"/>
  <c r="J155" i="12" a="1"/>
  <c r="J155" i="12" s="1"/>
  <c r="BJ154" i="6"/>
  <c r="H156" i="5"/>
  <c r="G156" i="5"/>
  <c r="F156" i="5"/>
  <c r="E156" i="5"/>
  <c r="D156" i="5"/>
  <c r="B156" i="12" s="1"/>
  <c r="AD156" i="5"/>
  <c r="B156" i="5"/>
  <c r="AE156" i="5"/>
  <c r="N156" i="5"/>
  <c r="D156" i="6" s="1"/>
  <c r="A156" i="12"/>
  <c r="J156" i="5"/>
  <c r="B156" i="6"/>
  <c r="K156" i="5"/>
  <c r="C157" i="5"/>
  <c r="AW154" i="6"/>
  <c r="CK154" i="6"/>
  <c r="CJ154" i="6"/>
  <c r="BH154" i="6"/>
  <c r="CF154" i="6"/>
  <c r="BI154" i="6"/>
  <c r="AV154" i="6"/>
  <c r="BS154" i="6"/>
  <c r="CA154" i="6"/>
  <c r="BP154" i="6"/>
  <c r="BX154" i="6"/>
  <c r="CL154" i="6"/>
  <c r="CG154" i="6"/>
  <c r="BL154" i="6"/>
  <c r="BQ155" i="6" l="1"/>
  <c r="CJ155" i="6"/>
  <c r="BL155" i="6"/>
  <c r="BY155" i="6"/>
  <c r="CI155" i="6"/>
  <c r="BK155" i="6"/>
  <c r="BS155" i="6"/>
  <c r="BV155" i="6"/>
  <c r="BX155" i="6"/>
  <c r="CD155" i="6"/>
  <c r="BM155" i="6"/>
  <c r="AX155" i="6"/>
  <c r="BW155" i="6"/>
  <c r="CK155" i="6"/>
  <c r="CE155" i="6"/>
  <c r="AU155" i="6"/>
  <c r="BE155" i="6"/>
  <c r="CG155" i="6"/>
  <c r="BH155" i="6"/>
  <c r="CM155" i="6"/>
  <c r="BT155" i="6"/>
  <c r="AT155" i="6"/>
  <c r="CC155" i="6"/>
  <c r="BZ155" i="6"/>
  <c r="BN155" i="6"/>
  <c r="CB155" i="6"/>
  <c r="BA155" i="6"/>
  <c r="AW155" i="6"/>
  <c r="CL155" i="6"/>
  <c r="CF155" i="6"/>
  <c r="BP155" i="6"/>
  <c r="AZ155" i="6"/>
  <c r="L156" i="12" a="1"/>
  <c r="L156" i="12" s="1"/>
  <c r="J156" i="12" a="1"/>
  <c r="J156" i="12" s="1"/>
  <c r="M156" i="6"/>
  <c r="N156" i="6"/>
  <c r="H156" i="6" a="1"/>
  <c r="H156" i="6" s="1"/>
  <c r="K155" i="12"/>
  <c r="CH155" i="6"/>
  <c r="BJ155" i="6"/>
  <c r="BF155" i="6"/>
  <c r="BR155" i="6"/>
  <c r="CA155" i="6"/>
  <c r="BD155" i="6"/>
  <c r="BG155" i="6"/>
  <c r="BI155" i="6"/>
  <c r="BO155" i="6"/>
  <c r="BC155" i="6"/>
  <c r="T155" i="5"/>
  <c r="G155" i="12" s="1"/>
  <c r="AV155" i="6"/>
  <c r="AY155" i="6"/>
  <c r="H157" i="5"/>
  <c r="F157" i="5"/>
  <c r="B157" i="6"/>
  <c r="E157" i="5"/>
  <c r="C158" i="5"/>
  <c r="G157" i="5"/>
  <c r="D157" i="5"/>
  <c r="B157" i="12" s="1"/>
  <c r="A157" i="12"/>
  <c r="J157" i="5"/>
  <c r="B157" i="5"/>
  <c r="AD157" i="5"/>
  <c r="AE157" i="5"/>
  <c r="N157" i="5"/>
  <c r="D157" i="6" s="1"/>
  <c r="K157" i="5"/>
  <c r="BS156" i="6" l="1"/>
  <c r="BE156" i="6"/>
  <c r="BI156" i="6"/>
  <c r="BP156" i="6"/>
  <c r="CG156" i="6"/>
  <c r="CE156" i="6"/>
  <c r="BH156" i="6"/>
  <c r="BR156" i="6"/>
  <c r="CL156" i="6"/>
  <c r="BW156" i="6"/>
  <c r="BY156" i="6"/>
  <c r="BN156" i="6"/>
  <c r="L157" i="12" a="1"/>
  <c r="L157" i="12" s="1"/>
  <c r="J157" i="12" a="1"/>
  <c r="J157" i="12" s="1"/>
  <c r="G158" i="5"/>
  <c r="D158" i="5"/>
  <c r="B158" i="12" s="1"/>
  <c r="F158" i="5"/>
  <c r="B158" i="5"/>
  <c r="C159" i="5" s="1"/>
  <c r="E158" i="5"/>
  <c r="J158" i="5"/>
  <c r="AD158" i="5"/>
  <c r="AE158" i="5"/>
  <c r="N158" i="5"/>
  <c r="D158" i="6" s="1"/>
  <c r="A158" i="12"/>
  <c r="K158" i="5"/>
  <c r="B158" i="6"/>
  <c r="H158" i="5"/>
  <c r="N157" i="6"/>
  <c r="M157" i="6"/>
  <c r="H157" i="6" a="1"/>
  <c r="H157" i="6" s="1"/>
  <c r="T156" i="5"/>
  <c r="G156" i="12" s="1"/>
  <c r="AY156" i="6"/>
  <c r="AZ156" i="6"/>
  <c r="AV156" i="6"/>
  <c r="AT156" i="6"/>
  <c r="AW156" i="6"/>
  <c r="AU156" i="6"/>
  <c r="AX156" i="6"/>
  <c r="BA156" i="6"/>
  <c r="BF156" i="6"/>
  <c r="CJ156" i="6"/>
  <c r="CK156" i="6"/>
  <c r="BQ156" i="6"/>
  <c r="CM156" i="6"/>
  <c r="BV156" i="6"/>
  <c r="BM156" i="6"/>
  <c r="BO156" i="6"/>
  <c r="BX156" i="6"/>
  <c r="BL156" i="6"/>
  <c r="BJ156" i="6"/>
  <c r="CF156" i="6"/>
  <c r="CD156" i="6"/>
  <c r="BT156" i="6"/>
  <c r="BZ156" i="6"/>
  <c r="BD156" i="6"/>
  <c r="CB156" i="6"/>
  <c r="CC156" i="6"/>
  <c r="BK156" i="6"/>
  <c r="CA156" i="6"/>
  <c r="CI156" i="6"/>
  <c r="CH156" i="6"/>
  <c r="BC156" i="6"/>
  <c r="BG156" i="6"/>
  <c r="K156" i="12"/>
  <c r="BF157" i="6" l="1"/>
  <c r="BI157" i="6"/>
  <c r="BV157" i="6"/>
  <c r="CM157" i="6"/>
  <c r="CJ157" i="6"/>
  <c r="BK157" i="6"/>
  <c r="BW157" i="6"/>
  <c r="CE157" i="6"/>
  <c r="CH157" i="6"/>
  <c r="BY157" i="6"/>
  <c r="CA157" i="6"/>
  <c r="BE157" i="6"/>
  <c r="BD157" i="6"/>
  <c r="CB157" i="6"/>
  <c r="K157" i="12"/>
  <c r="W159" i="5"/>
  <c r="H159" i="12" s="1"/>
  <c r="E159" i="5"/>
  <c r="A159" i="12"/>
  <c r="B159" i="6"/>
  <c r="J159" i="6" s="1" a="1"/>
  <c r="J159" i="6" s="1"/>
  <c r="B159" i="5"/>
  <c r="AE159" i="5"/>
  <c r="N159" i="5"/>
  <c r="D159" i="6" s="1"/>
  <c r="I159" i="5"/>
  <c r="AD159" i="5"/>
  <c r="C160" i="5"/>
  <c r="H159" i="5"/>
  <c r="G159" i="5"/>
  <c r="F159" i="5"/>
  <c r="BH157" i="6"/>
  <c r="BL157" i="6"/>
  <c r="L158" i="12" a="1"/>
  <c r="L158" i="12" s="1"/>
  <c r="J158" i="12" a="1"/>
  <c r="J158" i="12" s="1"/>
  <c r="N158" i="6"/>
  <c r="H158" i="6" a="1"/>
  <c r="H158" i="6" s="1"/>
  <c r="M158" i="6"/>
  <c r="AW157" i="6"/>
  <c r="AV157" i="6"/>
  <c r="AX157" i="6"/>
  <c r="T157" i="5"/>
  <c r="G157" i="12" s="1"/>
  <c r="BA157" i="6"/>
  <c r="AT157" i="6"/>
  <c r="AU157" i="6"/>
  <c r="AY157" i="6"/>
  <c r="AZ157" i="6"/>
  <c r="CL157" i="6"/>
  <c r="BO157" i="6"/>
  <c r="BR157" i="6"/>
  <c r="BJ157" i="6"/>
  <c r="BX157" i="6"/>
  <c r="CD157" i="6"/>
  <c r="BS157" i="6"/>
  <c r="BP157" i="6"/>
  <c r="CC157" i="6"/>
  <c r="BZ157" i="6"/>
  <c r="BG157" i="6"/>
  <c r="CI157" i="6"/>
  <c r="BT157" i="6"/>
  <c r="CG157" i="6"/>
  <c r="CF157" i="6"/>
  <c r="BM157" i="6"/>
  <c r="BQ157" i="6"/>
  <c r="BC157" i="6"/>
  <c r="BN157" i="6"/>
  <c r="CK157" i="6"/>
  <c r="K158" i="12" l="1"/>
  <c r="CF158" i="6"/>
  <c r="CD158" i="6"/>
  <c r="BI158" i="6"/>
  <c r="CB158" i="6"/>
  <c r="BH158" i="6"/>
  <c r="BK158" i="6"/>
  <c r="BG158" i="6"/>
  <c r="CH158" i="6"/>
  <c r="BD158" i="6"/>
  <c r="BY158" i="6"/>
  <c r="BX158" i="6"/>
  <c r="BZ158" i="6"/>
  <c r="CL158" i="6"/>
  <c r="BP158" i="6"/>
  <c r="BC158" i="6"/>
  <c r="BJ158" i="6"/>
  <c r="BN158" i="6"/>
  <c r="CG158" i="6"/>
  <c r="BW158" i="6"/>
  <c r="BV158" i="6"/>
  <c r="CC158" i="6"/>
  <c r="CM158" i="6"/>
  <c r="BM158" i="6"/>
  <c r="BQ158" i="6"/>
  <c r="BR158" i="6"/>
  <c r="BF158" i="6"/>
  <c r="BE158" i="6"/>
  <c r="CA158" i="6"/>
  <c r="CE158" i="6"/>
  <c r="BO158" i="6"/>
  <c r="BL158" i="6"/>
  <c r="CK158" i="6"/>
  <c r="BS158" i="6"/>
  <c r="BT158" i="6"/>
  <c r="CJ158" i="6"/>
  <c r="CI158" i="6"/>
  <c r="AX158" i="6"/>
  <c r="T158" i="5"/>
  <c r="G158" i="12" s="1"/>
  <c r="AT158" i="6"/>
  <c r="AZ158" i="6"/>
  <c r="BA158" i="6"/>
  <c r="AY158" i="6"/>
  <c r="AV158" i="6"/>
  <c r="AU158" i="6"/>
  <c r="AW158" i="6"/>
  <c r="N159" i="6"/>
  <c r="H159" i="6" a="1"/>
  <c r="H159" i="6" s="1"/>
  <c r="G159" i="6"/>
  <c r="M159" i="6"/>
  <c r="BX159" i="6" s="1"/>
  <c r="F160" i="5"/>
  <c r="E160" i="5"/>
  <c r="D160" i="5"/>
  <c r="B160" i="12" s="1"/>
  <c r="B160" i="5"/>
  <c r="J160" i="5"/>
  <c r="AE160" i="5"/>
  <c r="N160" i="5"/>
  <c r="D160" i="6" s="1"/>
  <c r="AD160" i="5"/>
  <c r="K160" i="5"/>
  <c r="A160" i="12"/>
  <c r="B160" i="6"/>
  <c r="G160" i="5"/>
  <c r="C161" i="5"/>
  <c r="H160" i="5"/>
  <c r="N160" i="6" l="1"/>
  <c r="M160" i="6"/>
  <c r="BS160" i="6" s="1"/>
  <c r="H160" i="6" a="1"/>
  <c r="H160" i="6" s="1"/>
  <c r="T159" i="5"/>
  <c r="G159" i="12" s="1"/>
  <c r="AN159" i="6"/>
  <c r="AQ159" i="6"/>
  <c r="AK159" i="6"/>
  <c r="AZ159" i="6"/>
  <c r="AJ159" i="6"/>
  <c r="AY159" i="6"/>
  <c r="AV159" i="6"/>
  <c r="AS159" i="6"/>
  <c r="AM159" i="6"/>
  <c r="AX159" i="6"/>
  <c r="AL159" i="6"/>
  <c r="BA159" i="6"/>
  <c r="AR159" i="6"/>
  <c r="AU159" i="6"/>
  <c r="AT159" i="6"/>
  <c r="AW159" i="6"/>
  <c r="AO159" i="6"/>
  <c r="B161" i="5"/>
  <c r="AE161" i="5"/>
  <c r="E161" i="5"/>
  <c r="N161" i="5"/>
  <c r="D161" i="6" s="1"/>
  <c r="AD161" i="5"/>
  <c r="K161" i="5"/>
  <c r="D161" i="5"/>
  <c r="B161" i="12" s="1"/>
  <c r="J161" i="5"/>
  <c r="H161" i="5"/>
  <c r="F161" i="5"/>
  <c r="B161" i="6"/>
  <c r="C162" i="5"/>
  <c r="G161" i="5"/>
  <c r="A161" i="12"/>
  <c r="AP159" i="6"/>
  <c r="J160" i="12" a="1"/>
  <c r="J160" i="12" s="1"/>
  <c r="L160" i="12" a="1"/>
  <c r="L160" i="12" s="1"/>
  <c r="BT159" i="6"/>
  <c r="BF159" i="6"/>
  <c r="BI159" i="6"/>
  <c r="BH159" i="6"/>
  <c r="BW159" i="6"/>
  <c r="CM159" i="6"/>
  <c r="BN159" i="6"/>
  <c r="CB159" i="6"/>
  <c r="CG159" i="6"/>
  <c r="BP159" i="6"/>
  <c r="CL159" i="6"/>
  <c r="CI159" i="6"/>
  <c r="BD159" i="6"/>
  <c r="BQ159" i="6"/>
  <c r="BJ159" i="6"/>
  <c r="BZ159" i="6"/>
  <c r="CH159" i="6"/>
  <c r="CK159" i="6"/>
  <c r="BS159" i="6"/>
  <c r="BR159" i="6"/>
  <c r="CD159" i="6"/>
  <c r="BL159" i="6"/>
  <c r="BG159" i="6"/>
  <c r="CA159" i="6"/>
  <c r="CC159" i="6"/>
  <c r="CJ159" i="6"/>
  <c r="CF159" i="6"/>
  <c r="CE159" i="6"/>
  <c r="BK159" i="6"/>
  <c r="BY159" i="6"/>
  <c r="BV159" i="6"/>
  <c r="BO159" i="6"/>
  <c r="BC159" i="6"/>
  <c r="BM159" i="6"/>
  <c r="BE159" i="6"/>
  <c r="BF160" i="6" l="1"/>
  <c r="BT160" i="6"/>
  <c r="BC160" i="6"/>
  <c r="CD160" i="6"/>
  <c r="CG160" i="6"/>
  <c r="BW160" i="6"/>
  <c r="CB160" i="6"/>
  <c r="BE160" i="6"/>
  <c r="BN160" i="6"/>
  <c r="BD160" i="6"/>
  <c r="BO160" i="6"/>
  <c r="BV160" i="6"/>
  <c r="CF160" i="6"/>
  <c r="BL160" i="6"/>
  <c r="BM160" i="6"/>
  <c r="CC160" i="6"/>
  <c r="BY160" i="6"/>
  <c r="BP160" i="6"/>
  <c r="BI160" i="6"/>
  <c r="AU160" i="6"/>
  <c r="CJ160" i="6"/>
  <c r="BJ160" i="6"/>
  <c r="CA160" i="6"/>
  <c r="BZ160" i="6"/>
  <c r="BX160" i="6"/>
  <c r="BH160" i="6"/>
  <c r="BR160" i="6"/>
  <c r="BK160" i="6"/>
  <c r="CI160" i="6"/>
  <c r="CH160" i="6"/>
  <c r="CM160" i="6"/>
  <c r="AV160" i="6"/>
  <c r="CE160" i="6"/>
  <c r="AY160" i="6"/>
  <c r="AW160" i="6"/>
  <c r="K160" i="12"/>
  <c r="AT160" i="6"/>
  <c r="AX160" i="6"/>
  <c r="C163" i="5"/>
  <c r="H162" i="5"/>
  <c r="G162" i="5"/>
  <c r="F162" i="5"/>
  <c r="J162" i="5"/>
  <c r="E162" i="5"/>
  <c r="K162" i="5"/>
  <c r="D162" i="5"/>
  <c r="B162" i="12" s="1"/>
  <c r="A162" i="12"/>
  <c r="B162" i="5"/>
  <c r="AE162" i="5"/>
  <c r="AD162" i="5"/>
  <c r="B162" i="6"/>
  <c r="N162" i="5"/>
  <c r="D162" i="6" s="1"/>
  <c r="L161" i="12" a="1"/>
  <c r="L161" i="12" s="1"/>
  <c r="J161" i="12" a="1"/>
  <c r="J161" i="12" s="1"/>
  <c r="AZ160" i="6"/>
  <c r="T160" i="5"/>
  <c r="G160" i="12" s="1"/>
  <c r="BA160" i="6"/>
  <c r="CK160" i="6"/>
  <c r="BG160" i="6"/>
  <c r="CL160" i="6"/>
  <c r="BQ160" i="6"/>
  <c r="N161" i="6"/>
  <c r="M161" i="6"/>
  <c r="H161" i="6" a="1"/>
  <c r="H161" i="6" s="1"/>
  <c r="K161" i="12" l="1"/>
  <c r="L162" i="12" a="1"/>
  <c r="L162" i="12" s="1"/>
  <c r="J162" i="12" a="1"/>
  <c r="J162" i="12" s="1"/>
  <c r="H162" i="6" a="1"/>
  <c r="H162" i="6" s="1"/>
  <c r="N162" i="6"/>
  <c r="M162" i="6"/>
  <c r="BF162" i="6" s="1"/>
  <c r="AV161" i="6"/>
  <c r="AU161" i="6"/>
  <c r="BA161" i="6"/>
  <c r="AZ161" i="6"/>
  <c r="AW161" i="6"/>
  <c r="T161" i="5"/>
  <c r="G161" i="12" s="1"/>
  <c r="AT161" i="6"/>
  <c r="AX161" i="6"/>
  <c r="AY161" i="6"/>
  <c r="BQ161" i="6"/>
  <c r="CL161" i="6"/>
  <c r="CB161" i="6"/>
  <c r="CA161" i="6"/>
  <c r="BE161" i="6"/>
  <c r="BO161" i="6"/>
  <c r="BI161" i="6"/>
  <c r="CG161" i="6"/>
  <c r="BG161" i="6"/>
  <c r="BJ161" i="6"/>
  <c r="BL161" i="6"/>
  <c r="BT161" i="6"/>
  <c r="BD161" i="6"/>
  <c r="BX161" i="6"/>
  <c r="CC161" i="6"/>
  <c r="BP161" i="6"/>
  <c r="CI161" i="6"/>
  <c r="BC161" i="6"/>
  <c r="CM161" i="6"/>
  <c r="BW161" i="6"/>
  <c r="CE161" i="6"/>
  <c r="BN161" i="6"/>
  <c r="BK161" i="6"/>
  <c r="BY161" i="6"/>
  <c r="BV161" i="6"/>
  <c r="BM161" i="6"/>
  <c r="BZ161" i="6"/>
  <c r="CK161" i="6"/>
  <c r="CH161" i="6"/>
  <c r="CF161" i="6"/>
  <c r="BS161" i="6"/>
  <c r="CD161" i="6"/>
  <c r="BF161" i="6"/>
  <c r="CJ161" i="6"/>
  <c r="BR161" i="6"/>
  <c r="BH161" i="6"/>
  <c r="H163" i="5"/>
  <c r="G163" i="5"/>
  <c r="E163" i="5"/>
  <c r="A163" i="12"/>
  <c r="B163" i="5"/>
  <c r="F163" i="5"/>
  <c r="B163" i="6"/>
  <c r="D163" i="5"/>
  <c r="B163" i="12" s="1"/>
  <c r="K163" i="5"/>
  <c r="C164" i="5"/>
  <c r="J163" i="5"/>
  <c r="AE163" i="5"/>
  <c r="N163" i="5"/>
  <c r="D163" i="6" s="1"/>
  <c r="AD163" i="5"/>
  <c r="BG162" i="6" l="1"/>
  <c r="K162" i="12"/>
  <c r="BT162" i="6"/>
  <c r="BP162" i="6"/>
  <c r="CL162" i="6"/>
  <c r="BQ162" i="6"/>
  <c r="CJ162" i="6"/>
  <c r="BK162" i="6"/>
  <c r="BW162" i="6"/>
  <c r="BD162" i="6"/>
  <c r="CM162" i="6"/>
  <c r="BS162" i="6"/>
  <c r="CD162" i="6"/>
  <c r="CH162" i="6"/>
  <c r="CB162" i="6"/>
  <c r="CA162" i="6"/>
  <c r="BE162" i="6"/>
  <c r="BH162" i="6"/>
  <c r="BR162" i="6"/>
  <c r="BV162" i="6"/>
  <c r="CK162" i="6"/>
  <c r="BM162" i="6"/>
  <c r="BO162" i="6"/>
  <c r="BN162" i="6"/>
  <c r="BX162" i="6"/>
  <c r="BI162" i="6"/>
  <c r="CE162" i="6"/>
  <c r="CI162" i="6"/>
  <c r="CG162" i="6"/>
  <c r="B164" i="5"/>
  <c r="K164" i="5"/>
  <c r="AE164" i="5"/>
  <c r="N164" i="5"/>
  <c r="D164" i="6" s="1"/>
  <c r="A164" i="12"/>
  <c r="J164" i="5"/>
  <c r="AD164" i="5"/>
  <c r="E164" i="5"/>
  <c r="B164" i="6"/>
  <c r="D164" i="5"/>
  <c r="B164" i="12" s="1"/>
  <c r="C165" i="5"/>
  <c r="H164" i="5"/>
  <c r="G164" i="5"/>
  <c r="F164" i="5"/>
  <c r="BY162" i="6"/>
  <c r="AW162" i="6"/>
  <c r="AV162" i="6"/>
  <c r="AU162" i="6"/>
  <c r="AZ162" i="6"/>
  <c r="AY162" i="6"/>
  <c r="AT162" i="6"/>
  <c r="T162" i="5"/>
  <c r="G162" i="12" s="1"/>
  <c r="AX162" i="6"/>
  <c r="BL162" i="6"/>
  <c r="BJ162" i="6"/>
  <c r="BC162" i="6"/>
  <c r="CC162" i="6"/>
  <c r="CF162" i="6"/>
  <c r="L163" i="12" a="1"/>
  <c r="L163" i="12" s="1"/>
  <c r="J163" i="12" a="1"/>
  <c r="J163" i="12" s="1"/>
  <c r="BA162" i="6"/>
  <c r="M163" i="6"/>
  <c r="H163" i="6" a="1"/>
  <c r="H163" i="6" s="1"/>
  <c r="N163" i="6"/>
  <c r="BZ162" i="6"/>
  <c r="K163" i="12" l="1"/>
  <c r="J164" i="12" a="1"/>
  <c r="J164" i="12" s="1"/>
  <c r="L164" i="12" a="1"/>
  <c r="L164" i="12" s="1"/>
  <c r="N164" i="6"/>
  <c r="M164" i="6"/>
  <c r="H164" i="6" a="1"/>
  <c r="H164" i="6" s="1"/>
  <c r="CM163" i="6"/>
  <c r="BZ163" i="6"/>
  <c r="BY163" i="6"/>
  <c r="BO163" i="6"/>
  <c r="BL163" i="6"/>
  <c r="CA163" i="6"/>
  <c r="CG163" i="6"/>
  <c r="BC163" i="6"/>
  <c r="CF163" i="6"/>
  <c r="BQ163" i="6"/>
  <c r="CL163" i="6"/>
  <c r="CI163" i="6"/>
  <c r="BP163" i="6"/>
  <c r="BJ163" i="6"/>
  <c r="BD163" i="6"/>
  <c r="BX163" i="6"/>
  <c r="CD163" i="6"/>
  <c r="CJ163" i="6"/>
  <c r="BG163" i="6"/>
  <c r="BW163" i="6"/>
  <c r="BT163" i="6"/>
  <c r="BF163" i="6"/>
  <c r="CC163" i="6"/>
  <c r="BE163" i="6"/>
  <c r="CH163" i="6"/>
  <c r="BS163" i="6"/>
  <c r="CE163" i="6"/>
  <c r="CK163" i="6"/>
  <c r="BV163" i="6"/>
  <c r="BH163" i="6"/>
  <c r="BK163" i="6"/>
  <c r="CB163" i="6"/>
  <c r="BM163" i="6"/>
  <c r="BI163" i="6"/>
  <c r="BR163" i="6"/>
  <c r="BN163" i="6"/>
  <c r="B165" i="6"/>
  <c r="E165" i="5"/>
  <c r="B165" i="5"/>
  <c r="AE165" i="5"/>
  <c r="D165" i="5"/>
  <c r="B165" i="12" s="1"/>
  <c r="N165" i="5"/>
  <c r="D165" i="6" s="1"/>
  <c r="A165" i="12"/>
  <c r="AD165" i="5"/>
  <c r="K165" i="5"/>
  <c r="J165" i="5"/>
  <c r="C166" i="5"/>
  <c r="F165" i="5"/>
  <c r="H165" i="5"/>
  <c r="G165" i="5"/>
  <c r="BA163" i="6"/>
  <c r="T163" i="5"/>
  <c r="G163" i="12" s="1"/>
  <c r="AW163" i="6"/>
  <c r="AU163" i="6"/>
  <c r="AT163" i="6"/>
  <c r="AY163" i="6"/>
  <c r="AV163" i="6"/>
  <c r="AX163" i="6"/>
  <c r="AZ163" i="6"/>
  <c r="CI164" i="6" l="1"/>
  <c r="BS164" i="6"/>
  <c r="K164" i="12"/>
  <c r="B166" i="5"/>
  <c r="AE166" i="5"/>
  <c r="N166" i="5"/>
  <c r="D166" i="6" s="1"/>
  <c r="AD166" i="5"/>
  <c r="J166" i="5"/>
  <c r="A166" i="12"/>
  <c r="E166" i="5"/>
  <c r="B166" i="6"/>
  <c r="K166" i="5"/>
  <c r="C167" i="5"/>
  <c r="H166" i="5"/>
  <c r="G166" i="5"/>
  <c r="F166" i="5"/>
  <c r="D166" i="5"/>
  <c r="B166" i="12" s="1"/>
  <c r="AW164" i="6"/>
  <c r="AX164" i="6"/>
  <c r="AU164" i="6"/>
  <c r="T164" i="5"/>
  <c r="G164" i="12" s="1"/>
  <c r="AY164" i="6"/>
  <c r="BA164" i="6"/>
  <c r="AV164" i="6"/>
  <c r="AT164" i="6"/>
  <c r="AZ164" i="6"/>
  <c r="CJ164" i="6"/>
  <c r="BY164" i="6"/>
  <c r="BI164" i="6"/>
  <c r="CK164" i="6"/>
  <c r="CL164" i="6"/>
  <c r="CB164" i="6"/>
  <c r="BC164" i="6"/>
  <c r="BG164" i="6"/>
  <c r="BZ164" i="6"/>
  <c r="BL164" i="6"/>
  <c r="BW164" i="6"/>
  <c r="BN164" i="6"/>
  <c r="BX164" i="6"/>
  <c r="BV164" i="6"/>
  <c r="BP164" i="6"/>
  <c r="CE164" i="6"/>
  <c r="CG164" i="6"/>
  <c r="BF164" i="6"/>
  <c r="BQ164" i="6"/>
  <c r="CA164" i="6"/>
  <c r="CH164" i="6"/>
  <c r="BJ164" i="6"/>
  <c r="CM164" i="6"/>
  <c r="CD164" i="6"/>
  <c r="BT164" i="6"/>
  <c r="BD164" i="6"/>
  <c r="BH164" i="6"/>
  <c r="BM164" i="6"/>
  <c r="BO164" i="6"/>
  <c r="BR164" i="6"/>
  <c r="BK164" i="6"/>
  <c r="CC164" i="6"/>
  <c r="CF164" i="6"/>
  <c r="BE164" i="6"/>
  <c r="L165" i="12" a="1"/>
  <c r="L165" i="12" s="1"/>
  <c r="J165" i="12" a="1"/>
  <c r="J165" i="12" s="1"/>
  <c r="H165" i="6" a="1"/>
  <c r="H165" i="6" s="1"/>
  <c r="N165" i="6"/>
  <c r="M165" i="6"/>
  <c r="K165" i="12" l="1"/>
  <c r="AU165" i="6"/>
  <c r="AW165" i="6"/>
  <c r="T165" i="5"/>
  <c r="G165" i="12" s="1"/>
  <c r="BA165" i="6"/>
  <c r="AV165" i="6"/>
  <c r="AZ165" i="6"/>
  <c r="AT165" i="6"/>
  <c r="AX165" i="6"/>
  <c r="AY165" i="6"/>
  <c r="B167" i="5"/>
  <c r="AE167" i="5"/>
  <c r="N167" i="5"/>
  <c r="D167" i="6" s="1"/>
  <c r="AD167" i="5"/>
  <c r="K167" i="5"/>
  <c r="J167" i="5"/>
  <c r="C168" i="5"/>
  <c r="A167" i="12"/>
  <c r="H167" i="5"/>
  <c r="D167" i="5"/>
  <c r="B167" i="12" s="1"/>
  <c r="G167" i="5"/>
  <c r="E167" i="5"/>
  <c r="F167" i="5"/>
  <c r="B167" i="6"/>
  <c r="J166" i="12" a="1"/>
  <c r="J166" i="12" s="1"/>
  <c r="L166" i="12" a="1"/>
  <c r="L166" i="12" s="1"/>
  <c r="H166" i="6" a="1"/>
  <c r="H166" i="6" s="1"/>
  <c r="N166" i="6"/>
  <c r="M166" i="6"/>
  <c r="CI165" i="6"/>
  <c r="BX165" i="6"/>
  <c r="BZ165" i="6"/>
  <c r="BM165" i="6"/>
  <c r="BQ165" i="6"/>
  <c r="CH165" i="6"/>
  <c r="BL165" i="6"/>
  <c r="BR165" i="6"/>
  <c r="CF165" i="6"/>
  <c r="BY165" i="6"/>
  <c r="CB165" i="6"/>
  <c r="BW165" i="6"/>
  <c r="CC165" i="6"/>
  <c r="BJ165" i="6"/>
  <c r="BE165" i="6"/>
  <c r="CL165" i="6"/>
  <c r="BI165" i="6"/>
  <c r="CG165" i="6"/>
  <c r="CD165" i="6"/>
  <c r="BS165" i="6"/>
  <c r="BC165" i="6"/>
  <c r="CA165" i="6"/>
  <c r="BK165" i="6"/>
  <c r="BH165" i="6"/>
  <c r="CE165" i="6"/>
  <c r="CJ165" i="6"/>
  <c r="BV165" i="6"/>
  <c r="CK165" i="6"/>
  <c r="BP165" i="6"/>
  <c r="CM165" i="6"/>
  <c r="BD165" i="6"/>
  <c r="BT165" i="6"/>
  <c r="BF165" i="6"/>
  <c r="BG165" i="6"/>
  <c r="BO165" i="6"/>
  <c r="BN165" i="6"/>
  <c r="M167" i="6" l="1"/>
  <c r="BC167" i="6" s="1"/>
  <c r="N167" i="6"/>
  <c r="H167" i="6" a="1"/>
  <c r="H167" i="6" s="1"/>
  <c r="J167" i="12" a="1"/>
  <c r="J167" i="12" s="1"/>
  <c r="L167" i="12" a="1"/>
  <c r="L167" i="12" s="1"/>
  <c r="BI166" i="6"/>
  <c r="BM166" i="6"/>
  <c r="CG166" i="6"/>
  <c r="BE166" i="6"/>
  <c r="CD166" i="6"/>
  <c r="BK166" i="6"/>
  <c r="BF166" i="6"/>
  <c r="CE166" i="6"/>
  <c r="BY166" i="6"/>
  <c r="CM166" i="6"/>
  <c r="CF166" i="6"/>
  <c r="BP166" i="6"/>
  <c r="BX166" i="6"/>
  <c r="BZ166" i="6"/>
  <c r="BV166" i="6"/>
  <c r="CJ166" i="6"/>
  <c r="BR166" i="6"/>
  <c r="CH166" i="6"/>
  <c r="BQ166" i="6"/>
  <c r="BN166" i="6"/>
  <c r="BD166" i="6"/>
  <c r="BL166" i="6"/>
  <c r="BJ166" i="6"/>
  <c r="BH166" i="6"/>
  <c r="CL166" i="6"/>
  <c r="BT166" i="6"/>
  <c r="CI166" i="6"/>
  <c r="CK166" i="6"/>
  <c r="CB166" i="6"/>
  <c r="BC166" i="6"/>
  <c r="BW166" i="6"/>
  <c r="BG166" i="6"/>
  <c r="BO166" i="6"/>
  <c r="CA166" i="6"/>
  <c r="BS166" i="6"/>
  <c r="CC166" i="6"/>
  <c r="G168" i="5"/>
  <c r="F168" i="5"/>
  <c r="E168" i="5"/>
  <c r="B168" i="5"/>
  <c r="D168" i="5"/>
  <c r="B168" i="12" s="1"/>
  <c r="B168" i="6"/>
  <c r="AE168" i="5"/>
  <c r="K168" i="5"/>
  <c r="AD168" i="5"/>
  <c r="A168" i="12"/>
  <c r="J168" i="5"/>
  <c r="C169" i="5"/>
  <c r="H168" i="5"/>
  <c r="N168" i="5"/>
  <c r="D168" i="6" s="1"/>
  <c r="AT166" i="6"/>
  <c r="AW166" i="6"/>
  <c r="AZ166" i="6"/>
  <c r="T166" i="5"/>
  <c r="G166" i="12" s="1"/>
  <c r="AU166" i="6"/>
  <c r="AV166" i="6"/>
  <c r="AX166" i="6"/>
  <c r="BA166" i="6"/>
  <c r="AY166" i="6"/>
  <c r="K166" i="12"/>
  <c r="CD167" i="6" l="1"/>
  <c r="BL167" i="6"/>
  <c r="CA167" i="6"/>
  <c r="AZ167" i="6"/>
  <c r="CE167" i="6"/>
  <c r="CK167" i="6"/>
  <c r="BK167" i="6"/>
  <c r="BS167" i="6"/>
  <c r="CH167" i="6"/>
  <c r="BW167" i="6"/>
  <c r="BZ167" i="6"/>
  <c r="BO167" i="6"/>
  <c r="BQ167" i="6"/>
  <c r="BJ167" i="6"/>
  <c r="BR167" i="6"/>
  <c r="CJ167" i="6"/>
  <c r="BH167" i="6"/>
  <c r="BY167" i="6"/>
  <c r="AU167" i="6"/>
  <c r="CC167" i="6"/>
  <c r="BF167" i="6"/>
  <c r="CL167" i="6"/>
  <c r="K167" i="12"/>
  <c r="BA167" i="6"/>
  <c r="K169" i="5"/>
  <c r="F169" i="5"/>
  <c r="J169" i="5"/>
  <c r="C170" i="5"/>
  <c r="H169" i="5"/>
  <c r="G169" i="5"/>
  <c r="AE169" i="5"/>
  <c r="A169" i="12"/>
  <c r="D169" i="5"/>
  <c r="B169" i="12" s="1"/>
  <c r="B169" i="6"/>
  <c r="AD169" i="5"/>
  <c r="E169" i="5"/>
  <c r="B169" i="5"/>
  <c r="N169" i="5"/>
  <c r="D169" i="6" s="1"/>
  <c r="J168" i="12" a="1"/>
  <c r="J168" i="12" s="1"/>
  <c r="L168" i="12" a="1"/>
  <c r="L168" i="12" s="1"/>
  <c r="AW167" i="6"/>
  <c r="AX167" i="6"/>
  <c r="T167" i="5"/>
  <c r="G167" i="12" s="1"/>
  <c r="AV167" i="6"/>
  <c r="AT167" i="6"/>
  <c r="N168" i="6"/>
  <c r="H168" i="6" a="1"/>
  <c r="H168" i="6" s="1"/>
  <c r="M168" i="6"/>
  <c r="AY167" i="6"/>
  <c r="CF167" i="6"/>
  <c r="BM167" i="6"/>
  <c r="BD167" i="6"/>
  <c r="CM167" i="6"/>
  <c r="BN167" i="6"/>
  <c r="CG167" i="6"/>
  <c r="BV167" i="6"/>
  <c r="BI167" i="6"/>
  <c r="BX167" i="6"/>
  <c r="CB167" i="6"/>
  <c r="BP167" i="6"/>
  <c r="BE167" i="6"/>
  <c r="BG167" i="6"/>
  <c r="BT167" i="6"/>
  <c r="CI167" i="6"/>
  <c r="K168" i="12" l="1"/>
  <c r="BM168" i="6"/>
  <c r="BT168" i="6"/>
  <c r="BP168" i="6"/>
  <c r="BN168" i="6"/>
  <c r="BF168" i="6"/>
  <c r="CD168" i="6"/>
  <c r="BZ168" i="6"/>
  <c r="BH168" i="6"/>
  <c r="BO168" i="6"/>
  <c r="BK168" i="6"/>
  <c r="CJ168" i="6"/>
  <c r="CA168" i="6"/>
  <c r="BY168" i="6"/>
  <c r="CH168" i="6"/>
  <c r="CE168" i="6"/>
  <c r="BS168" i="6"/>
  <c r="BR168" i="6"/>
  <c r="BI168" i="6"/>
  <c r="BX168" i="6"/>
  <c r="CB168" i="6"/>
  <c r="CG168" i="6"/>
  <c r="BL168" i="6"/>
  <c r="CI168" i="6"/>
  <c r="BD168" i="6"/>
  <c r="BG168" i="6"/>
  <c r="BJ168" i="6"/>
  <c r="BC168" i="6"/>
  <c r="BV168" i="6"/>
  <c r="CL168" i="6"/>
  <c r="CF168" i="6"/>
  <c r="CM168" i="6"/>
  <c r="BW168" i="6"/>
  <c r="BE168" i="6"/>
  <c r="CC168" i="6"/>
  <c r="BQ168" i="6"/>
  <c r="CK168" i="6"/>
  <c r="AU168" i="6"/>
  <c r="AV168" i="6"/>
  <c r="AX168" i="6"/>
  <c r="AW168" i="6"/>
  <c r="AY168" i="6"/>
  <c r="AZ168" i="6"/>
  <c r="BA168" i="6"/>
  <c r="T168" i="5"/>
  <c r="G168" i="12" s="1"/>
  <c r="AT168" i="6"/>
  <c r="J169" i="12" a="1"/>
  <c r="J169" i="12" s="1"/>
  <c r="L169" i="12" a="1"/>
  <c r="L169" i="12" s="1"/>
  <c r="C171" i="5"/>
  <c r="H170" i="5"/>
  <c r="G170" i="5"/>
  <c r="AE170" i="5"/>
  <c r="F170" i="5"/>
  <c r="E170" i="5"/>
  <c r="D170" i="5"/>
  <c r="B170" i="12" s="1"/>
  <c r="B170" i="5"/>
  <c r="K170" i="5"/>
  <c r="B170" i="6"/>
  <c r="N170" i="5"/>
  <c r="D170" i="6" s="1"/>
  <c r="AD170" i="5"/>
  <c r="A170" i="12"/>
  <c r="J170" i="5"/>
  <c r="N169" i="6"/>
  <c r="M169" i="6"/>
  <c r="H169" i="6" a="1"/>
  <c r="H169" i="6" s="1"/>
  <c r="K169" i="12" l="1"/>
  <c r="L170" i="12" a="1"/>
  <c r="L170" i="12" s="1"/>
  <c r="J170" i="12" a="1"/>
  <c r="J170" i="12" s="1"/>
  <c r="C172" i="5"/>
  <c r="H171" i="5"/>
  <c r="G171" i="5"/>
  <c r="D171" i="5"/>
  <c r="B171" i="12" s="1"/>
  <c r="N171" i="5"/>
  <c r="D171" i="6" s="1"/>
  <c r="F171" i="5"/>
  <c r="A171" i="12"/>
  <c r="B171" i="6"/>
  <c r="E171" i="5"/>
  <c r="B171" i="5"/>
  <c r="AE171" i="5"/>
  <c r="K171" i="5"/>
  <c r="AD171" i="5"/>
  <c r="J171" i="5"/>
  <c r="H170" i="6" a="1"/>
  <c r="H170" i="6" s="1"/>
  <c r="T170" i="5" s="1"/>
  <c r="G170" i="12" s="1"/>
  <c r="M170" i="6"/>
  <c r="N170" i="6"/>
  <c r="T169" i="5"/>
  <c r="G169" i="12" s="1"/>
  <c r="AY169" i="6"/>
  <c r="AV169" i="6"/>
  <c r="AZ169" i="6"/>
  <c r="AW169" i="6"/>
  <c r="BA169" i="6"/>
  <c r="AT169" i="6"/>
  <c r="AU169" i="6"/>
  <c r="AX169" i="6"/>
  <c r="CL169" i="6"/>
  <c r="BX169" i="6"/>
  <c r="CE169" i="6"/>
  <c r="BF169" i="6"/>
  <c r="CM169" i="6"/>
  <c r="CB169" i="6"/>
  <c r="BY169" i="6"/>
  <c r="BN169" i="6"/>
  <c r="BQ169" i="6"/>
  <c r="CC169" i="6"/>
  <c r="BZ169" i="6"/>
  <c r="CD169" i="6"/>
  <c r="CI169" i="6"/>
  <c r="CH169" i="6"/>
  <c r="BT169" i="6"/>
  <c r="BW169" i="6"/>
  <c r="CK169" i="6"/>
  <c r="CA169" i="6"/>
  <c r="CF169" i="6"/>
  <c r="BO169" i="6"/>
  <c r="BK169" i="6"/>
  <c r="BJ169" i="6"/>
  <c r="BL169" i="6"/>
  <c r="BR169" i="6"/>
  <c r="BP169" i="6"/>
  <c r="BC169" i="6"/>
  <c r="BD169" i="6"/>
  <c r="BE169" i="6"/>
  <c r="BG169" i="6"/>
  <c r="BH169" i="6"/>
  <c r="BI169" i="6"/>
  <c r="BV169" i="6"/>
  <c r="BS169" i="6"/>
  <c r="CG169" i="6"/>
  <c r="CJ169" i="6"/>
  <c r="BM169" i="6"/>
  <c r="CB170" i="6" l="1"/>
  <c r="BV170" i="6"/>
  <c r="BN170" i="6"/>
  <c r="BD170" i="6"/>
  <c r="BJ170" i="6"/>
  <c r="CC170" i="6"/>
  <c r="CA170" i="6"/>
  <c r="BA170" i="6"/>
  <c r="BR170" i="6"/>
  <c r="K170" i="12"/>
  <c r="CM170" i="6"/>
  <c r="CE170" i="6"/>
  <c r="BP170" i="6"/>
  <c r="BO170" i="6"/>
  <c r="BI170" i="6"/>
  <c r="BM170" i="6"/>
  <c r="BG170" i="6"/>
  <c r="AY170" i="6"/>
  <c r="BC170" i="6"/>
  <c r="BK170" i="6"/>
  <c r="CI170" i="6"/>
  <c r="CL170" i="6"/>
  <c r="CG170" i="6"/>
  <c r="AW170" i="6"/>
  <c r="J171" i="12" a="1"/>
  <c r="J171" i="12" s="1"/>
  <c r="L171" i="12" a="1"/>
  <c r="L171" i="12" s="1"/>
  <c r="H171" i="6" a="1"/>
  <c r="H171" i="6" s="1"/>
  <c r="N171" i="6"/>
  <c r="M171" i="6"/>
  <c r="BH170" i="6"/>
  <c r="BY170" i="6"/>
  <c r="BF170" i="6"/>
  <c r="BX170" i="6"/>
  <c r="BE170" i="6"/>
  <c r="CJ170" i="6"/>
  <c r="CH170" i="6"/>
  <c r="BT170" i="6"/>
  <c r="AD172" i="5"/>
  <c r="J172" i="5"/>
  <c r="K172" i="5"/>
  <c r="B172" i="6"/>
  <c r="A172" i="12"/>
  <c r="H172" i="5"/>
  <c r="F172" i="5"/>
  <c r="G172" i="5"/>
  <c r="E172" i="5"/>
  <c r="B172" i="5"/>
  <c r="C173" i="5" s="1"/>
  <c r="D172" i="5"/>
  <c r="B172" i="12" s="1"/>
  <c r="AE172" i="5"/>
  <c r="N172" i="5"/>
  <c r="D172" i="6" s="1"/>
  <c r="CK170" i="6"/>
  <c r="AU170" i="6"/>
  <c r="AV170" i="6"/>
  <c r="CF170" i="6"/>
  <c r="AZ170" i="6"/>
  <c r="BZ170" i="6"/>
  <c r="CD170" i="6"/>
  <c r="BL170" i="6"/>
  <c r="BQ170" i="6"/>
  <c r="BW170" i="6"/>
  <c r="BS170" i="6"/>
  <c r="AT170" i="6"/>
  <c r="AX170" i="6"/>
  <c r="K171" i="12" l="1"/>
  <c r="L172" i="12" a="1"/>
  <c r="L172" i="12" s="1"/>
  <c r="J172" i="12" a="1"/>
  <c r="J172" i="12" s="1"/>
  <c r="CL171" i="6"/>
  <c r="BR171" i="6"/>
  <c r="BS171" i="6"/>
  <c r="BF171" i="6"/>
  <c r="BE171" i="6"/>
  <c r="BW171" i="6"/>
  <c r="BK171" i="6"/>
  <c r="CG171" i="6"/>
  <c r="BN171" i="6"/>
  <c r="BO171" i="6"/>
  <c r="BQ171" i="6"/>
  <c r="CI171" i="6"/>
  <c r="CF171" i="6"/>
  <c r="CK171" i="6"/>
  <c r="BH171" i="6"/>
  <c r="BC171" i="6"/>
  <c r="BV171" i="6"/>
  <c r="BI171" i="6"/>
  <c r="BY171" i="6"/>
  <c r="CJ171" i="6"/>
  <c r="BP171" i="6"/>
  <c r="BL171" i="6"/>
  <c r="CD171" i="6"/>
  <c r="CE171" i="6"/>
  <c r="BD171" i="6"/>
  <c r="BT171" i="6"/>
  <c r="CA171" i="6"/>
  <c r="CM171" i="6"/>
  <c r="CH171" i="6"/>
  <c r="BG171" i="6"/>
  <c r="BJ171" i="6"/>
  <c r="BZ171" i="6"/>
  <c r="BM171" i="6"/>
  <c r="BX171" i="6"/>
  <c r="CB171" i="6"/>
  <c r="CC171" i="6"/>
  <c r="T171" i="5"/>
  <c r="G171" i="12" s="1"/>
  <c r="AT171" i="6"/>
  <c r="AY171" i="6"/>
  <c r="AU171" i="6"/>
  <c r="AW171" i="6"/>
  <c r="AZ171" i="6"/>
  <c r="AV171" i="6"/>
  <c r="BA171" i="6"/>
  <c r="AX171" i="6"/>
  <c r="H172" i="6" a="1"/>
  <c r="H172" i="6" s="1"/>
  <c r="N172" i="6"/>
  <c r="M172" i="6"/>
  <c r="CI172" i="6" s="1"/>
  <c r="G173" i="5"/>
  <c r="F173" i="5"/>
  <c r="W173" i="5"/>
  <c r="H173" i="12" s="1"/>
  <c r="I173" i="5"/>
  <c r="A173" i="12"/>
  <c r="E173" i="5"/>
  <c r="C174" i="5"/>
  <c r="B173" i="6"/>
  <c r="J173" i="6" s="1" a="1"/>
  <c r="J173" i="6" s="1"/>
  <c r="B173" i="5"/>
  <c r="AE173" i="5"/>
  <c r="N173" i="5"/>
  <c r="D173" i="6" s="1"/>
  <c r="AD173" i="5"/>
  <c r="H173" i="5"/>
  <c r="K172" i="12" l="1"/>
  <c r="BP172" i="6"/>
  <c r="BS172" i="6"/>
  <c r="BR172" i="6"/>
  <c r="BW172" i="6"/>
  <c r="BZ172" i="6"/>
  <c r="BC172" i="6"/>
  <c r="BL172" i="6"/>
  <c r="CD172" i="6"/>
  <c r="CJ172" i="6"/>
  <c r="BE172" i="6"/>
  <c r="CF172" i="6"/>
  <c r="CB172" i="6"/>
  <c r="BJ172" i="6"/>
  <c r="CK172" i="6"/>
  <c r="BN172" i="6"/>
  <c r="CE172" i="6"/>
  <c r="BH172" i="6"/>
  <c r="CG172" i="6"/>
  <c r="BO172" i="6"/>
  <c r="BV172" i="6"/>
  <c r="BG172" i="6"/>
  <c r="BT172" i="6"/>
  <c r="CH172" i="6"/>
  <c r="BX172" i="6"/>
  <c r="BY172" i="6"/>
  <c r="CL172" i="6"/>
  <c r="F174" i="5"/>
  <c r="E174" i="5"/>
  <c r="D174" i="5"/>
  <c r="B174" i="12" s="1"/>
  <c r="K174" i="5"/>
  <c r="C175" i="5"/>
  <c r="B174" i="5"/>
  <c r="N174" i="5"/>
  <c r="D174" i="6" s="1"/>
  <c r="J174" i="5"/>
  <c r="AE174" i="5"/>
  <c r="A174" i="12"/>
  <c r="B174" i="6"/>
  <c r="H174" i="5"/>
  <c r="AD174" i="5"/>
  <c r="G174" i="5"/>
  <c r="BF172" i="6"/>
  <c r="AW172" i="6"/>
  <c r="AX172" i="6"/>
  <c r="AT172" i="6"/>
  <c r="AY172" i="6"/>
  <c r="BA172" i="6"/>
  <c r="AV172" i="6"/>
  <c r="AZ172" i="6"/>
  <c r="T172" i="5"/>
  <c r="G172" i="12" s="1"/>
  <c r="BI172" i="6"/>
  <c r="CA172" i="6"/>
  <c r="CM172" i="6"/>
  <c r="BQ172" i="6"/>
  <c r="AU172" i="6"/>
  <c r="BM172" i="6"/>
  <c r="H173" i="6" a="1"/>
  <c r="H173" i="6" s="1"/>
  <c r="G173" i="6"/>
  <c r="N173" i="6"/>
  <c r="M173" i="6"/>
  <c r="BK172" i="6"/>
  <c r="BD172" i="6"/>
  <c r="CC172" i="6"/>
  <c r="J174" i="12" l="1" a="1"/>
  <c r="J174" i="12" s="1"/>
  <c r="L174" i="12" a="1"/>
  <c r="L174" i="12" s="1"/>
  <c r="BM173" i="6"/>
  <c r="CD173" i="6"/>
  <c r="BW173" i="6"/>
  <c r="BV173" i="6"/>
  <c r="CL173" i="6"/>
  <c r="BD173" i="6"/>
  <c r="CC173" i="6"/>
  <c r="BY173" i="6"/>
  <c r="BN173" i="6"/>
  <c r="CI173" i="6"/>
  <c r="BG173" i="6"/>
  <c r="CJ173" i="6"/>
  <c r="BZ173" i="6"/>
  <c r="CK173" i="6"/>
  <c r="CB173" i="6"/>
  <c r="BS173" i="6"/>
  <c r="CF173" i="6"/>
  <c r="BR173" i="6"/>
  <c r="BF173" i="6"/>
  <c r="BJ173" i="6"/>
  <c r="BO173" i="6"/>
  <c r="BH173" i="6"/>
  <c r="BT173" i="6"/>
  <c r="CM173" i="6"/>
  <c r="BI173" i="6"/>
  <c r="CE173" i="6"/>
  <c r="CG173" i="6"/>
  <c r="BP173" i="6"/>
  <c r="BC173" i="6"/>
  <c r="BQ173" i="6"/>
  <c r="BL173" i="6"/>
  <c r="CH173" i="6"/>
  <c r="BX173" i="6"/>
  <c r="BK173" i="6"/>
  <c r="BE173" i="6"/>
  <c r="CA173" i="6"/>
  <c r="N174" i="6"/>
  <c r="M174" i="6"/>
  <c r="CL174" i="6" s="1"/>
  <c r="H174" i="6" a="1"/>
  <c r="H174" i="6" s="1"/>
  <c r="T173" i="5"/>
  <c r="G173" i="12" s="1"/>
  <c r="AP173" i="6"/>
  <c r="AY173" i="6"/>
  <c r="AU173" i="6"/>
  <c r="AM173" i="6"/>
  <c r="AJ173" i="6"/>
  <c r="AO173" i="6"/>
  <c r="AK173" i="6"/>
  <c r="AN173" i="6"/>
  <c r="AZ173" i="6"/>
  <c r="AS173" i="6"/>
  <c r="AQ173" i="6"/>
  <c r="BA173" i="6"/>
  <c r="AL173" i="6"/>
  <c r="AW173" i="6"/>
  <c r="AT173" i="6"/>
  <c r="AV173" i="6"/>
  <c r="AR173" i="6"/>
  <c r="AX173" i="6"/>
  <c r="AE175" i="5"/>
  <c r="N175" i="5"/>
  <c r="D175" i="6" s="1"/>
  <c r="AD175" i="5"/>
  <c r="K175" i="5"/>
  <c r="J175" i="5"/>
  <c r="E175" i="5"/>
  <c r="B175" i="5"/>
  <c r="C176" i="5"/>
  <c r="H175" i="5"/>
  <c r="D175" i="5"/>
  <c r="B175" i="12" s="1"/>
  <c r="G175" i="5"/>
  <c r="F175" i="5"/>
  <c r="A175" i="12"/>
  <c r="B175" i="6"/>
  <c r="AW174" i="6" l="1"/>
  <c r="BJ174" i="6"/>
  <c r="BR174" i="6"/>
  <c r="BV174" i="6"/>
  <c r="CF174" i="6"/>
  <c r="K174" i="12"/>
  <c r="AV174" i="6"/>
  <c r="D176" i="5"/>
  <c r="B176" i="12" s="1"/>
  <c r="H176" i="5"/>
  <c r="B176" i="5"/>
  <c r="E176" i="5"/>
  <c r="AE176" i="5"/>
  <c r="J176" i="5"/>
  <c r="N176" i="5"/>
  <c r="D176" i="6" s="1"/>
  <c r="AD176" i="5"/>
  <c r="A176" i="12"/>
  <c r="B176" i="6"/>
  <c r="K176" i="5"/>
  <c r="C177" i="5"/>
  <c r="G176" i="5"/>
  <c r="F176" i="5"/>
  <c r="AZ174" i="6"/>
  <c r="AX174" i="6"/>
  <c r="AY174" i="6"/>
  <c r="AT174" i="6"/>
  <c r="T174" i="5"/>
  <c r="G174" i="12" s="1"/>
  <c r="AU174" i="6"/>
  <c r="BA174" i="6"/>
  <c r="BL174" i="6"/>
  <c r="CA174" i="6"/>
  <c r="BT174" i="6"/>
  <c r="BZ174" i="6"/>
  <c r="BE174" i="6"/>
  <c r="BI174" i="6"/>
  <c r="CJ174" i="6"/>
  <c r="CH174" i="6"/>
  <c r="CD174" i="6"/>
  <c r="CE174" i="6"/>
  <c r="CK174" i="6"/>
  <c r="CI174" i="6"/>
  <c r="BD174" i="6"/>
  <c r="BS174" i="6"/>
  <c r="BH174" i="6"/>
  <c r="BC174" i="6"/>
  <c r="CG174" i="6"/>
  <c r="BG174" i="6"/>
  <c r="BN174" i="6"/>
  <c r="BK174" i="6"/>
  <c r="BM174" i="6"/>
  <c r="BF174" i="6"/>
  <c r="BP174" i="6"/>
  <c r="BO174" i="6"/>
  <c r="BQ174" i="6"/>
  <c r="BX174" i="6"/>
  <c r="CM174" i="6"/>
  <c r="CB174" i="6"/>
  <c r="BY174" i="6"/>
  <c r="BW174" i="6"/>
  <c r="CC174" i="6"/>
  <c r="M175" i="6"/>
  <c r="BJ175" i="6" s="1"/>
  <c r="H175" i="6" a="1"/>
  <c r="H175" i="6" s="1"/>
  <c r="N175" i="6"/>
  <c r="J175" i="12" a="1"/>
  <c r="J175" i="12" s="1"/>
  <c r="L175" i="12" a="1"/>
  <c r="L175" i="12" s="1"/>
  <c r="K175" i="12" l="1"/>
  <c r="L176" i="12" a="1"/>
  <c r="L176" i="12" s="1"/>
  <c r="J176" i="12" a="1"/>
  <c r="J176" i="12" s="1"/>
  <c r="N176" i="6"/>
  <c r="M176" i="6"/>
  <c r="H176" i="6" a="1"/>
  <c r="H176" i="6" s="1"/>
  <c r="AW175" i="6"/>
  <c r="AV175" i="6"/>
  <c r="T175" i="5"/>
  <c r="G175" i="12" s="1"/>
  <c r="AU175" i="6"/>
  <c r="AZ175" i="6"/>
  <c r="BA175" i="6"/>
  <c r="AT175" i="6"/>
  <c r="AX175" i="6"/>
  <c r="AY175" i="6"/>
  <c r="BM175" i="6"/>
  <c r="BI175" i="6"/>
  <c r="CM175" i="6"/>
  <c r="CC175" i="6"/>
  <c r="BC175" i="6"/>
  <c r="CG175" i="6"/>
  <c r="BX175" i="6"/>
  <c r="BF175" i="6"/>
  <c r="BD175" i="6"/>
  <c r="BE175" i="6"/>
  <c r="BQ175" i="6"/>
  <c r="BN175" i="6"/>
  <c r="CL175" i="6"/>
  <c r="CE175" i="6"/>
  <c r="BV175" i="6"/>
  <c r="BK175" i="6"/>
  <c r="BG175" i="6"/>
  <c r="CF175" i="6"/>
  <c r="BH175" i="6"/>
  <c r="CB175" i="6"/>
  <c r="BP175" i="6"/>
  <c r="CI175" i="6"/>
  <c r="BZ175" i="6"/>
  <c r="BR175" i="6"/>
  <c r="CH175" i="6"/>
  <c r="BO175" i="6"/>
  <c r="BL175" i="6"/>
  <c r="BS175" i="6"/>
  <c r="BW175" i="6"/>
  <c r="CK175" i="6"/>
  <c r="CA175" i="6"/>
  <c r="CD175" i="6"/>
  <c r="CJ175" i="6"/>
  <c r="BT175" i="6"/>
  <c r="J177" i="5"/>
  <c r="C178" i="5"/>
  <c r="H177" i="5"/>
  <c r="G177" i="5"/>
  <c r="F177" i="5"/>
  <c r="N177" i="5"/>
  <c r="D177" i="6" s="1"/>
  <c r="A177" i="12"/>
  <c r="D177" i="5"/>
  <c r="B177" i="12" s="1"/>
  <c r="B177" i="6"/>
  <c r="E177" i="5"/>
  <c r="B177" i="5"/>
  <c r="AE177" i="5"/>
  <c r="AD177" i="5"/>
  <c r="K177" i="5"/>
  <c r="BY175" i="6"/>
  <c r="J177" i="12" l="1" a="1"/>
  <c r="J177" i="12" s="1"/>
  <c r="L177" i="12" a="1"/>
  <c r="L177" i="12" s="1"/>
  <c r="H177" i="6" a="1"/>
  <c r="H177" i="6" s="1"/>
  <c r="N177" i="6"/>
  <c r="M177" i="6"/>
  <c r="BA176" i="6"/>
  <c r="AT176" i="6"/>
  <c r="AX176" i="6"/>
  <c r="AZ176" i="6"/>
  <c r="T176" i="5"/>
  <c r="G176" i="12" s="1"/>
  <c r="AY176" i="6"/>
  <c r="AV176" i="6"/>
  <c r="AU176" i="6"/>
  <c r="AW176" i="6"/>
  <c r="CG176" i="6"/>
  <c r="BJ176" i="6"/>
  <c r="CA176" i="6"/>
  <c r="CE176" i="6"/>
  <c r="BF176" i="6"/>
  <c r="CJ176" i="6"/>
  <c r="BK176" i="6"/>
  <c r="BZ176" i="6"/>
  <c r="BY176" i="6"/>
  <c r="CK176" i="6"/>
  <c r="BS176" i="6"/>
  <c r="BV176" i="6"/>
  <c r="BH176" i="6"/>
  <c r="BT176" i="6"/>
  <c r="CH176" i="6"/>
  <c r="BC176" i="6"/>
  <c r="BL176" i="6"/>
  <c r="CF176" i="6"/>
  <c r="BN176" i="6"/>
  <c r="CC176" i="6"/>
  <c r="BQ176" i="6"/>
  <c r="BR176" i="6"/>
  <c r="BI176" i="6"/>
  <c r="BD176" i="6"/>
  <c r="CM176" i="6"/>
  <c r="BG176" i="6"/>
  <c r="BO176" i="6"/>
  <c r="CL176" i="6"/>
  <c r="CD176" i="6"/>
  <c r="BW176" i="6"/>
  <c r="BX176" i="6"/>
  <c r="BE176" i="6"/>
  <c r="CB176" i="6"/>
  <c r="BM176" i="6"/>
  <c r="BP176" i="6"/>
  <c r="CI176" i="6"/>
  <c r="A178" i="12"/>
  <c r="J178" i="5"/>
  <c r="B178" i="6"/>
  <c r="K178" i="5"/>
  <c r="C179" i="5"/>
  <c r="G178" i="5"/>
  <c r="H178" i="5"/>
  <c r="E178" i="5"/>
  <c r="F178" i="5"/>
  <c r="D178" i="5"/>
  <c r="B178" i="12" s="1"/>
  <c r="AE178" i="5"/>
  <c r="N178" i="5"/>
  <c r="D178" i="6" s="1"/>
  <c r="B178" i="5"/>
  <c r="AD178" i="5"/>
  <c r="K176" i="12"/>
  <c r="BJ177" i="6" l="1"/>
  <c r="BK177" i="6"/>
  <c r="BF177" i="6"/>
  <c r="BR177" i="6"/>
  <c r="BX177" i="6"/>
  <c r="BY177" i="6"/>
  <c r="BW177" i="6"/>
  <c r="CF177" i="6"/>
  <c r="AU177" i="6"/>
  <c r="CD177" i="6"/>
  <c r="K177" i="12"/>
  <c r="AT177" i="6"/>
  <c r="BC177" i="6"/>
  <c r="CI177" i="6"/>
  <c r="BN177" i="6"/>
  <c r="CM177" i="6"/>
  <c r="BP177" i="6"/>
  <c r="BE177" i="6"/>
  <c r="J179" i="5"/>
  <c r="C180" i="5"/>
  <c r="H179" i="5"/>
  <c r="G179" i="5"/>
  <c r="B179" i="5"/>
  <c r="F179" i="5"/>
  <c r="D179" i="5"/>
  <c r="B179" i="12" s="1"/>
  <c r="A179" i="12"/>
  <c r="B179" i="6"/>
  <c r="E179" i="5"/>
  <c r="AE179" i="5"/>
  <c r="N179" i="5"/>
  <c r="D179" i="6" s="1"/>
  <c r="AD179" i="5"/>
  <c r="K179" i="5"/>
  <c r="AY177" i="6"/>
  <c r="T177" i="5"/>
  <c r="G177" i="12" s="1"/>
  <c r="AV177" i="6"/>
  <c r="AX177" i="6"/>
  <c r="BA177" i="6"/>
  <c r="AZ177" i="6"/>
  <c r="L178" i="12" a="1"/>
  <c r="L178" i="12" s="1"/>
  <c r="J178" i="12" a="1"/>
  <c r="J178" i="12" s="1"/>
  <c r="N178" i="6"/>
  <c r="M178" i="6"/>
  <c r="BS178" i="6" s="1"/>
  <c r="H178" i="6" a="1"/>
  <c r="H178" i="6" s="1"/>
  <c r="BV177" i="6"/>
  <c r="BD177" i="6"/>
  <c r="CK177" i="6"/>
  <c r="CL177" i="6"/>
  <c r="BL177" i="6"/>
  <c r="BM177" i="6"/>
  <c r="BH177" i="6"/>
  <c r="CJ177" i="6"/>
  <c r="CC177" i="6"/>
  <c r="BI177" i="6"/>
  <c r="BG177" i="6"/>
  <c r="BQ177" i="6"/>
  <c r="BS177" i="6"/>
  <c r="CA177" i="6"/>
  <c r="CE177" i="6"/>
  <c r="CH177" i="6"/>
  <c r="BO177" i="6"/>
  <c r="CB177" i="6"/>
  <c r="BZ177" i="6"/>
  <c r="CG177" i="6"/>
  <c r="AW177" i="6"/>
  <c r="BT177" i="6"/>
  <c r="AY178" i="6" l="1"/>
  <c r="K178" i="12"/>
  <c r="BG178" i="6"/>
  <c r="BC178" i="6"/>
  <c r="BI178" i="6"/>
  <c r="BJ178" i="6"/>
  <c r="BR178" i="6"/>
  <c r="AX178" i="6"/>
  <c r="CI178" i="6"/>
  <c r="BD178" i="6"/>
  <c r="CE178" i="6"/>
  <c r="BQ178" i="6"/>
  <c r="AZ178" i="6"/>
  <c r="J179" i="12" a="1"/>
  <c r="J179" i="12" s="1"/>
  <c r="L179" i="12" a="1"/>
  <c r="L179" i="12" s="1"/>
  <c r="AT178" i="6"/>
  <c r="AW178" i="6"/>
  <c r="T178" i="5"/>
  <c r="G178" i="12" s="1"/>
  <c r="AU178" i="6"/>
  <c r="CF178" i="6"/>
  <c r="BM178" i="6"/>
  <c r="BF178" i="6"/>
  <c r="BK178" i="6"/>
  <c r="BO178" i="6"/>
  <c r="CD178" i="6"/>
  <c r="BH178" i="6"/>
  <c r="BY178" i="6"/>
  <c r="BE178" i="6"/>
  <c r="CL178" i="6"/>
  <c r="BP178" i="6"/>
  <c r="CC178" i="6"/>
  <c r="CJ178" i="6"/>
  <c r="BW178" i="6"/>
  <c r="BX178" i="6"/>
  <c r="BV178" i="6"/>
  <c r="BT178" i="6"/>
  <c r="CK178" i="6"/>
  <c r="CA178" i="6"/>
  <c r="CH178" i="6"/>
  <c r="CB178" i="6"/>
  <c r="AV178" i="6"/>
  <c r="D180" i="5"/>
  <c r="B180" i="12" s="1"/>
  <c r="B180" i="5"/>
  <c r="AE180" i="5"/>
  <c r="N180" i="5"/>
  <c r="D180" i="6" s="1"/>
  <c r="A180" i="12"/>
  <c r="AD180" i="5"/>
  <c r="J180" i="5"/>
  <c r="B180" i="6"/>
  <c r="K180" i="5"/>
  <c r="C181" i="5"/>
  <c r="H180" i="5"/>
  <c r="G180" i="5"/>
  <c r="F180" i="5"/>
  <c r="E180" i="5"/>
  <c r="BA178" i="6"/>
  <c r="BL178" i="6"/>
  <c r="CM178" i="6"/>
  <c r="BN178" i="6"/>
  <c r="CG178" i="6"/>
  <c r="H179" i="6" a="1"/>
  <c r="H179" i="6" s="1"/>
  <c r="N179" i="6"/>
  <c r="M179" i="6"/>
  <c r="BZ178" i="6"/>
  <c r="K179" i="12" l="1"/>
  <c r="L180" i="12" a="1"/>
  <c r="L180" i="12" s="1"/>
  <c r="J180" i="12" a="1"/>
  <c r="J180" i="12" s="1"/>
  <c r="N180" i="6"/>
  <c r="H180" i="6" a="1"/>
  <c r="H180" i="6" s="1"/>
  <c r="M180" i="6"/>
  <c r="BI180" i="6" s="1"/>
  <c r="BJ179" i="6"/>
  <c r="BN179" i="6"/>
  <c r="BC179" i="6"/>
  <c r="BR179" i="6"/>
  <c r="CC179" i="6"/>
  <c r="CD179" i="6"/>
  <c r="CF179" i="6"/>
  <c r="CG179" i="6"/>
  <c r="CK179" i="6"/>
  <c r="BG179" i="6"/>
  <c r="CA179" i="6"/>
  <c r="BY179" i="6"/>
  <c r="BZ179" i="6"/>
  <c r="BM179" i="6"/>
  <c r="BS179" i="6"/>
  <c r="BW179" i="6"/>
  <c r="CE179" i="6"/>
  <c r="BX179" i="6"/>
  <c r="CJ179" i="6"/>
  <c r="BK179" i="6"/>
  <c r="BP179" i="6"/>
  <c r="BV179" i="6"/>
  <c r="CB179" i="6"/>
  <c r="CM179" i="6"/>
  <c r="BT179" i="6"/>
  <c r="BO179" i="6"/>
  <c r="BD179" i="6"/>
  <c r="BQ179" i="6"/>
  <c r="BF179" i="6"/>
  <c r="CI179" i="6"/>
  <c r="CL179" i="6"/>
  <c r="BH179" i="6"/>
  <c r="BE179" i="6"/>
  <c r="BI179" i="6"/>
  <c r="BL179" i="6"/>
  <c r="CH179" i="6"/>
  <c r="G181" i="5"/>
  <c r="AD181" i="5"/>
  <c r="F181" i="5"/>
  <c r="N181" i="5"/>
  <c r="D181" i="6" s="1"/>
  <c r="A181" i="12"/>
  <c r="D181" i="5"/>
  <c r="B181" i="12" s="1"/>
  <c r="B181" i="6"/>
  <c r="E181" i="5"/>
  <c r="B181" i="5"/>
  <c r="AE181" i="5"/>
  <c r="H181" i="5"/>
  <c r="K181" i="5"/>
  <c r="J181" i="5"/>
  <c r="C182" i="5"/>
  <c r="AU179" i="6"/>
  <c r="AW179" i="6"/>
  <c r="T179" i="5"/>
  <c r="G179" i="12" s="1"/>
  <c r="AZ179" i="6"/>
  <c r="AY179" i="6"/>
  <c r="AX179" i="6"/>
  <c r="BA179" i="6"/>
  <c r="AT179" i="6"/>
  <c r="AV179" i="6"/>
  <c r="BX180" i="6" l="1"/>
  <c r="CC180" i="6"/>
  <c r="BR180" i="6"/>
  <c r="AT180" i="6"/>
  <c r="BT180" i="6"/>
  <c r="BF180" i="6"/>
  <c r="CM180" i="6"/>
  <c r="CE180" i="6"/>
  <c r="AV180" i="6"/>
  <c r="K180" i="12"/>
  <c r="CF180" i="6"/>
  <c r="CK180" i="6"/>
  <c r="BP180" i="6"/>
  <c r="BN180" i="6"/>
  <c r="BQ180" i="6"/>
  <c r="BH180" i="6"/>
  <c r="CI180" i="6"/>
  <c r="BV180" i="6"/>
  <c r="BE180" i="6"/>
  <c r="BG180" i="6"/>
  <c r="BL180" i="6"/>
  <c r="BO180" i="6"/>
  <c r="BY180" i="6"/>
  <c r="CB180" i="6"/>
  <c r="BZ180" i="6"/>
  <c r="BW180" i="6"/>
  <c r="CA180" i="6"/>
  <c r="CJ180" i="6"/>
  <c r="BS180" i="6"/>
  <c r="BK180" i="6"/>
  <c r="BD180" i="6"/>
  <c r="CD180" i="6"/>
  <c r="CG180" i="6"/>
  <c r="BJ180" i="6"/>
  <c r="CH180" i="6"/>
  <c r="BM180" i="6"/>
  <c r="CL180" i="6"/>
  <c r="BC180" i="6"/>
  <c r="L181" i="12" a="1"/>
  <c r="L181" i="12" s="1"/>
  <c r="J181" i="12" a="1"/>
  <c r="J181" i="12" s="1"/>
  <c r="AW180" i="6"/>
  <c r="T180" i="5"/>
  <c r="G180" i="12" s="1"/>
  <c r="AY180" i="6"/>
  <c r="AX180" i="6"/>
  <c r="AZ180" i="6"/>
  <c r="AU180" i="6"/>
  <c r="BA180" i="6"/>
  <c r="N181" i="6"/>
  <c r="M181" i="6"/>
  <c r="H181" i="6" a="1"/>
  <c r="H181" i="6" s="1"/>
  <c r="B182" i="6"/>
  <c r="K182" i="5"/>
  <c r="AE182" i="5"/>
  <c r="C183" i="5"/>
  <c r="H182" i="5"/>
  <c r="G182" i="5"/>
  <c r="F182" i="5"/>
  <c r="AD182" i="5"/>
  <c r="D182" i="5"/>
  <c r="B182" i="12" s="1"/>
  <c r="E182" i="5"/>
  <c r="B182" i="5"/>
  <c r="A182" i="12"/>
  <c r="N182" i="5"/>
  <c r="D182" i="6" s="1"/>
  <c r="J182" i="5"/>
  <c r="C184" i="5" l="1"/>
  <c r="H183" i="5"/>
  <c r="G183" i="5"/>
  <c r="B183" i="6"/>
  <c r="F183" i="5"/>
  <c r="A183" i="12"/>
  <c r="D183" i="5"/>
  <c r="B183" i="12" s="1"/>
  <c r="E183" i="5"/>
  <c r="B183" i="5"/>
  <c r="AE183" i="5"/>
  <c r="AD183" i="5"/>
  <c r="K183" i="5"/>
  <c r="N183" i="5"/>
  <c r="D183" i="6" s="1"/>
  <c r="J183" i="5"/>
  <c r="N182" i="6"/>
  <c r="H182" i="6" a="1"/>
  <c r="H182" i="6" s="1"/>
  <c r="T182" i="5" s="1"/>
  <c r="G182" i="12" s="1"/>
  <c r="M182" i="6"/>
  <c r="K181" i="12"/>
  <c r="L182" i="12" a="1"/>
  <c r="L182" i="12" s="1"/>
  <c r="J182" i="12" a="1"/>
  <c r="J182" i="12" s="1"/>
  <c r="AU181" i="6"/>
  <c r="AY181" i="6"/>
  <c r="T181" i="5"/>
  <c r="G181" i="12" s="1"/>
  <c r="AW181" i="6"/>
  <c r="AX181" i="6"/>
  <c r="AZ181" i="6"/>
  <c r="AV181" i="6"/>
  <c r="BA181" i="6"/>
  <c r="AT181" i="6"/>
  <c r="BT181" i="6"/>
  <c r="CK181" i="6"/>
  <c r="BK181" i="6"/>
  <c r="CF181" i="6"/>
  <c r="BE181" i="6"/>
  <c r="CC181" i="6"/>
  <c r="CA181" i="6"/>
  <c r="BC181" i="6"/>
  <c r="BJ181" i="6"/>
  <c r="CL181" i="6"/>
  <c r="BL181" i="6"/>
  <c r="CD181" i="6"/>
  <c r="BG181" i="6"/>
  <c r="BD181" i="6"/>
  <c r="BH181" i="6"/>
  <c r="BZ181" i="6"/>
  <c r="BI181" i="6"/>
  <c r="BV181" i="6"/>
  <c r="BF181" i="6"/>
  <c r="BO181" i="6"/>
  <c r="CG181" i="6"/>
  <c r="CJ181" i="6"/>
  <c r="BM181" i="6"/>
  <c r="CE181" i="6"/>
  <c r="BP181" i="6"/>
  <c r="BN181" i="6"/>
  <c r="BX181" i="6"/>
  <c r="BY181" i="6"/>
  <c r="BW181" i="6"/>
  <c r="BQ181" i="6"/>
  <c r="BR181" i="6"/>
  <c r="BS181" i="6"/>
  <c r="CM181" i="6"/>
  <c r="CH181" i="6"/>
  <c r="CI181" i="6"/>
  <c r="CB181" i="6"/>
  <c r="CB182" i="6" l="1"/>
  <c r="CD182" i="6"/>
  <c r="BW182" i="6"/>
  <c r="BG182" i="6"/>
  <c r="BP182" i="6"/>
  <c r="BS182" i="6"/>
  <c r="BF182" i="6"/>
  <c r="BZ182" i="6"/>
  <c r="K182" i="12"/>
  <c r="AY182" i="6"/>
  <c r="AV182" i="6"/>
  <c r="BQ182" i="6"/>
  <c r="BJ182" i="6"/>
  <c r="BK182" i="6"/>
  <c r="BT182" i="6"/>
  <c r="CC182" i="6"/>
  <c r="CE182" i="6"/>
  <c r="BR182" i="6"/>
  <c r="AX182" i="6"/>
  <c r="CG182" i="6"/>
  <c r="BM182" i="6"/>
  <c r="AZ182" i="6"/>
  <c r="BD182" i="6"/>
  <c r="BL182" i="6"/>
  <c r="J183" i="12" a="1"/>
  <c r="J183" i="12" s="1"/>
  <c r="L183" i="12" a="1"/>
  <c r="L183" i="12" s="1"/>
  <c r="CK182" i="6"/>
  <c r="AW182" i="6"/>
  <c r="BH182" i="6"/>
  <c r="BA182" i="6"/>
  <c r="CL182" i="6"/>
  <c r="BX182" i="6"/>
  <c r="CJ182" i="6"/>
  <c r="BV182" i="6"/>
  <c r="H183" i="6" a="1"/>
  <c r="H183" i="6" s="1"/>
  <c r="N183" i="6"/>
  <c r="M183" i="6"/>
  <c r="CM183" i="6" s="1"/>
  <c r="B184" i="6"/>
  <c r="K184" i="5"/>
  <c r="F184" i="5"/>
  <c r="C185" i="5"/>
  <c r="G184" i="5"/>
  <c r="H184" i="5"/>
  <c r="E184" i="5"/>
  <c r="D184" i="5"/>
  <c r="B184" i="12" s="1"/>
  <c r="B184" i="5"/>
  <c r="N184" i="5"/>
  <c r="D184" i="6" s="1"/>
  <c r="AD184" i="5"/>
  <c r="AE184" i="5"/>
  <c r="A184" i="12"/>
  <c r="J184" i="5"/>
  <c r="BI182" i="6"/>
  <c r="AU182" i="6"/>
  <c r="CF182" i="6"/>
  <c r="BC182" i="6"/>
  <c r="BY182" i="6"/>
  <c r="CM182" i="6"/>
  <c r="CI182" i="6"/>
  <c r="BN182" i="6"/>
  <c r="BE182" i="6"/>
  <c r="AT182" i="6"/>
  <c r="CA182" i="6"/>
  <c r="CH182" i="6"/>
  <c r="BO182" i="6"/>
  <c r="K183" i="12" l="1"/>
  <c r="AV183" i="6"/>
  <c r="CD183" i="6"/>
  <c r="AE185" i="5"/>
  <c r="E185" i="5"/>
  <c r="N185" i="5"/>
  <c r="D185" i="6" s="1"/>
  <c r="AD185" i="5"/>
  <c r="J185" i="5"/>
  <c r="H185" i="5"/>
  <c r="G185" i="5"/>
  <c r="C186" i="5"/>
  <c r="D185" i="5"/>
  <c r="B185" i="12" s="1"/>
  <c r="B185" i="6"/>
  <c r="A185" i="12"/>
  <c r="B185" i="5"/>
  <c r="K185" i="5"/>
  <c r="F185" i="5"/>
  <c r="L184" i="12" a="1"/>
  <c r="L184" i="12" s="1"/>
  <c r="J184" i="12" a="1"/>
  <c r="J184" i="12" s="1"/>
  <c r="CG183" i="6"/>
  <c r="BM183" i="6"/>
  <c r="BE183" i="6"/>
  <c r="BN183" i="6"/>
  <c r="CE183" i="6"/>
  <c r="CL183" i="6"/>
  <c r="BI183" i="6"/>
  <c r="BH183" i="6"/>
  <c r="BV183" i="6"/>
  <c r="BC183" i="6"/>
  <c r="BX183" i="6"/>
  <c r="BP183" i="6"/>
  <c r="BO183" i="6"/>
  <c r="BG183" i="6"/>
  <c r="BD183" i="6"/>
  <c r="CJ183" i="6"/>
  <c r="BS183" i="6"/>
  <c r="BZ183" i="6"/>
  <c r="CC183" i="6"/>
  <c r="CF183" i="6"/>
  <c r="BR183" i="6"/>
  <c r="BJ183" i="6"/>
  <c r="BT183" i="6"/>
  <c r="BF183" i="6"/>
  <c r="CI183" i="6"/>
  <c r="CK183" i="6"/>
  <c r="CH183" i="6"/>
  <c r="BL183" i="6"/>
  <c r="CA183" i="6"/>
  <c r="BK183" i="6"/>
  <c r="BW183" i="6"/>
  <c r="CB183" i="6"/>
  <c r="BQ183" i="6"/>
  <c r="BY183" i="6"/>
  <c r="N184" i="6"/>
  <c r="M184" i="6"/>
  <c r="H184" i="6" a="1"/>
  <c r="H184" i="6" s="1"/>
  <c r="AZ183" i="6"/>
  <c r="AX183" i="6"/>
  <c r="T183" i="5"/>
  <c r="G183" i="12" s="1"/>
  <c r="AT183" i="6"/>
  <c r="AW183" i="6"/>
  <c r="AU183" i="6"/>
  <c r="AY183" i="6"/>
  <c r="BA183" i="6"/>
  <c r="K184" i="12" l="1"/>
  <c r="L185" i="12" a="1"/>
  <c r="L185" i="12" s="1"/>
  <c r="J185" i="12" a="1"/>
  <c r="J185" i="12" s="1"/>
  <c r="H186" i="5"/>
  <c r="G186" i="5"/>
  <c r="F186" i="5"/>
  <c r="E186" i="5"/>
  <c r="D186" i="5"/>
  <c r="B186" i="12" s="1"/>
  <c r="B186" i="5"/>
  <c r="AD186" i="5"/>
  <c r="K186" i="5"/>
  <c r="AE186" i="5"/>
  <c r="J186" i="5"/>
  <c r="N186" i="5"/>
  <c r="D186" i="6" s="1"/>
  <c r="A186" i="12"/>
  <c r="B186" i="6"/>
  <c r="C187" i="5"/>
  <c r="AV184" i="6"/>
  <c r="AU184" i="6"/>
  <c r="AX184" i="6"/>
  <c r="BA184" i="6"/>
  <c r="AY184" i="6"/>
  <c r="AW184" i="6"/>
  <c r="T184" i="5"/>
  <c r="G184" i="12" s="1"/>
  <c r="AZ184" i="6"/>
  <c r="BP184" i="6"/>
  <c r="BN184" i="6"/>
  <c r="CI184" i="6"/>
  <c r="CF184" i="6"/>
  <c r="BR184" i="6"/>
  <c r="BD184" i="6"/>
  <c r="BW184" i="6"/>
  <c r="BK184" i="6"/>
  <c r="CC184" i="6"/>
  <c r="CJ184" i="6"/>
  <c r="BF184" i="6"/>
  <c r="BJ184" i="6"/>
  <c r="BS184" i="6"/>
  <c r="BY184" i="6"/>
  <c r="BL184" i="6"/>
  <c r="BT184" i="6"/>
  <c r="CK184" i="6"/>
  <c r="CA184" i="6"/>
  <c r="BI184" i="6"/>
  <c r="BQ184" i="6"/>
  <c r="CL184" i="6"/>
  <c r="CG184" i="6"/>
  <c r="BE184" i="6"/>
  <c r="BV184" i="6"/>
  <c r="BC184" i="6"/>
  <c r="BO184" i="6"/>
  <c r="CM184" i="6"/>
  <c r="BG184" i="6"/>
  <c r="CD184" i="6"/>
  <c r="BZ184" i="6"/>
  <c r="CB184" i="6"/>
  <c r="CH184" i="6"/>
  <c r="CE184" i="6"/>
  <c r="BM184" i="6"/>
  <c r="BX184" i="6"/>
  <c r="AT184" i="6"/>
  <c r="N185" i="6"/>
  <c r="M185" i="6"/>
  <c r="H185" i="6" a="1"/>
  <c r="H185" i="6" s="1"/>
  <c r="BH184" i="6"/>
  <c r="K185" i="12" l="1"/>
  <c r="F187" i="5"/>
  <c r="D187" i="5"/>
  <c r="B187" i="12" s="1"/>
  <c r="E187" i="5"/>
  <c r="A187" i="12"/>
  <c r="B187" i="6"/>
  <c r="B187" i="5"/>
  <c r="C188" i="5" s="1"/>
  <c r="AE187" i="5"/>
  <c r="N187" i="5"/>
  <c r="D187" i="6" s="1"/>
  <c r="AD187" i="5"/>
  <c r="K187" i="5"/>
  <c r="J187" i="5"/>
  <c r="H187" i="5"/>
  <c r="G187" i="5"/>
  <c r="AZ185" i="6"/>
  <c r="BA185" i="6"/>
  <c r="T185" i="5"/>
  <c r="G185" i="12" s="1"/>
  <c r="AY185" i="6"/>
  <c r="AW185" i="6"/>
  <c r="AT185" i="6"/>
  <c r="AV185" i="6"/>
  <c r="AU185" i="6"/>
  <c r="AX185" i="6"/>
  <c r="CE185" i="6"/>
  <c r="CG185" i="6"/>
  <c r="BJ185" i="6"/>
  <c r="BM185" i="6"/>
  <c r="CL185" i="6"/>
  <c r="BH185" i="6"/>
  <c r="BN185" i="6"/>
  <c r="CC185" i="6"/>
  <c r="CA185" i="6"/>
  <c r="BC185" i="6"/>
  <c r="CJ185" i="6"/>
  <c r="BZ185" i="6"/>
  <c r="BS185" i="6"/>
  <c r="CI185" i="6"/>
  <c r="CM185" i="6"/>
  <c r="CH185" i="6"/>
  <c r="CK185" i="6"/>
  <c r="CF185" i="6"/>
  <c r="BT185" i="6"/>
  <c r="BG185" i="6"/>
  <c r="CD185" i="6"/>
  <c r="BW185" i="6"/>
  <c r="BI185" i="6"/>
  <c r="BQ185" i="6"/>
  <c r="BY185" i="6"/>
  <c r="BP185" i="6"/>
  <c r="BV185" i="6"/>
  <c r="BL185" i="6"/>
  <c r="BO185" i="6"/>
  <c r="BX185" i="6"/>
  <c r="BD185" i="6"/>
  <c r="BR185" i="6"/>
  <c r="BK185" i="6"/>
  <c r="BE185" i="6"/>
  <c r="BF185" i="6"/>
  <c r="CB185" i="6"/>
  <c r="L186" i="12" a="1"/>
  <c r="L186" i="12" s="1"/>
  <c r="J186" i="12" a="1"/>
  <c r="J186" i="12" s="1"/>
  <c r="M186" i="6"/>
  <c r="H186" i="6" a="1"/>
  <c r="H186" i="6" s="1"/>
  <c r="N186" i="6"/>
  <c r="K186" i="12" l="1"/>
  <c r="M187" i="6"/>
  <c r="H187" i="6" a="1"/>
  <c r="H187" i="6" s="1"/>
  <c r="N187" i="6"/>
  <c r="I188" i="5"/>
  <c r="A188" i="12"/>
  <c r="H188" i="5"/>
  <c r="G188" i="5"/>
  <c r="F188" i="5"/>
  <c r="AD188" i="5"/>
  <c r="E188" i="5"/>
  <c r="N188" i="5"/>
  <c r="D188" i="6" s="1"/>
  <c r="W188" i="5"/>
  <c r="H188" i="12" s="1"/>
  <c r="B188" i="5"/>
  <c r="AE188" i="5"/>
  <c r="B188" i="6"/>
  <c r="J188" i="6" s="1" a="1"/>
  <c r="J188" i="6" s="1"/>
  <c r="C189" i="5"/>
  <c r="L187" i="12" a="1"/>
  <c r="L187" i="12" s="1"/>
  <c r="J187" i="12" a="1"/>
  <c r="J187" i="12" s="1"/>
  <c r="AV186" i="6"/>
  <c r="AT186" i="6"/>
  <c r="AZ186" i="6"/>
  <c r="AY186" i="6"/>
  <c r="AW186" i="6"/>
  <c r="BA186" i="6"/>
  <c r="AX186" i="6"/>
  <c r="AU186" i="6"/>
  <c r="T186" i="5"/>
  <c r="G186" i="12" s="1"/>
  <c r="BR186" i="6"/>
  <c r="CH186" i="6"/>
  <c r="BI186" i="6"/>
  <c r="BV186" i="6"/>
  <c r="CA186" i="6"/>
  <c r="BT186" i="6"/>
  <c r="BG186" i="6"/>
  <c r="CL186" i="6"/>
  <c r="BE186" i="6"/>
  <c r="BM186" i="6"/>
  <c r="BK186" i="6"/>
  <c r="CM186" i="6"/>
  <c r="BJ186" i="6"/>
  <c r="CI186" i="6"/>
  <c r="BH186" i="6"/>
  <c r="CC186" i="6"/>
  <c r="BW186" i="6"/>
  <c r="BL186" i="6"/>
  <c r="CF186" i="6"/>
  <c r="BZ186" i="6"/>
  <c r="CE186" i="6"/>
  <c r="BN186" i="6"/>
  <c r="BQ186" i="6"/>
  <c r="BS186" i="6"/>
  <c r="CG186" i="6"/>
  <c r="BD186" i="6"/>
  <c r="BC186" i="6"/>
  <c r="CJ186" i="6"/>
  <c r="CB186" i="6"/>
  <c r="BP186" i="6"/>
  <c r="BF186" i="6"/>
  <c r="BO186" i="6"/>
  <c r="CD186" i="6"/>
  <c r="BY186" i="6"/>
  <c r="BX186" i="6"/>
  <c r="CK186" i="6"/>
  <c r="K187" i="12" l="1"/>
  <c r="G188" i="6"/>
  <c r="N188" i="6"/>
  <c r="M188" i="6"/>
  <c r="H188" i="6" a="1"/>
  <c r="H188" i="6" s="1"/>
  <c r="A189" i="12"/>
  <c r="D189" i="5"/>
  <c r="B189" i="12" s="1"/>
  <c r="B189" i="6"/>
  <c r="E189" i="5"/>
  <c r="B189" i="5"/>
  <c r="AE189" i="5"/>
  <c r="N189" i="5"/>
  <c r="D189" i="6" s="1"/>
  <c r="AD189" i="5"/>
  <c r="K189" i="5"/>
  <c r="J189" i="5"/>
  <c r="H189" i="5"/>
  <c r="C190" i="5"/>
  <c r="G189" i="5"/>
  <c r="F189" i="5"/>
  <c r="AT187" i="6"/>
  <c r="AW187" i="6"/>
  <c r="BA187" i="6"/>
  <c r="AU187" i="6"/>
  <c r="AY187" i="6"/>
  <c r="AX187" i="6"/>
  <c r="T187" i="5"/>
  <c r="G187" i="12" s="1"/>
  <c r="AZ187" i="6"/>
  <c r="AV187" i="6"/>
  <c r="CI187" i="6"/>
  <c r="BR187" i="6"/>
  <c r="CE187" i="6"/>
  <c r="BM187" i="6"/>
  <c r="BK187" i="6"/>
  <c r="BO187" i="6"/>
  <c r="BX187" i="6"/>
  <c r="CB187" i="6"/>
  <c r="BH187" i="6"/>
  <c r="BS187" i="6"/>
  <c r="BN187" i="6"/>
  <c r="BT187" i="6"/>
  <c r="CG187" i="6"/>
  <c r="BC187" i="6"/>
  <c r="BP187" i="6"/>
  <c r="CK187" i="6"/>
  <c r="BL187" i="6"/>
  <c r="CC187" i="6"/>
  <c r="BW187" i="6"/>
  <c r="CM187" i="6"/>
  <c r="BZ187" i="6"/>
  <c r="BQ187" i="6"/>
  <c r="BE187" i="6"/>
  <c r="BI187" i="6"/>
  <c r="CJ187" i="6"/>
  <c r="CA187" i="6"/>
  <c r="BD187" i="6"/>
  <c r="CH187" i="6"/>
  <c r="BJ187" i="6"/>
  <c r="BV187" i="6"/>
  <c r="CD187" i="6"/>
  <c r="BY187" i="6"/>
  <c r="CL187" i="6"/>
  <c r="BF187" i="6"/>
  <c r="BG187" i="6"/>
  <c r="CF187" i="6"/>
  <c r="AQ188" i="6" l="1"/>
  <c r="N189" i="6"/>
  <c r="M189" i="6"/>
  <c r="H189" i="6" a="1"/>
  <c r="H189" i="6" s="1"/>
  <c r="L189" i="12" a="1"/>
  <c r="L189" i="12" s="1"/>
  <c r="J189" i="12" a="1"/>
  <c r="J189" i="12" s="1"/>
  <c r="AE190" i="5"/>
  <c r="N190" i="5"/>
  <c r="D190" i="6" s="1"/>
  <c r="AD190" i="5"/>
  <c r="J190" i="5"/>
  <c r="D190" i="5"/>
  <c r="B190" i="12" s="1"/>
  <c r="B190" i="5"/>
  <c r="A190" i="12"/>
  <c r="B190" i="6"/>
  <c r="K190" i="5"/>
  <c r="C191" i="5"/>
  <c r="H190" i="5"/>
  <c r="G190" i="5"/>
  <c r="F190" i="5"/>
  <c r="E190" i="5"/>
  <c r="T188" i="5"/>
  <c r="G188" i="12" s="1"/>
  <c r="AV188" i="6"/>
  <c r="AX188" i="6"/>
  <c r="AZ188" i="6"/>
  <c r="AR188" i="6"/>
  <c r="AO188" i="6"/>
  <c r="AK188" i="6"/>
  <c r="AY188" i="6"/>
  <c r="BA188" i="6"/>
  <c r="AU188" i="6"/>
  <c r="AM188" i="6"/>
  <c r="AP188" i="6"/>
  <c r="AW188" i="6"/>
  <c r="AN188" i="6"/>
  <c r="AT188" i="6"/>
  <c r="AL188" i="6"/>
  <c r="AS188" i="6"/>
  <c r="AJ188" i="6"/>
  <c r="CK188" i="6"/>
  <c r="CF188" i="6"/>
  <c r="BQ188" i="6"/>
  <c r="BY188" i="6"/>
  <c r="CM188" i="6"/>
  <c r="BV188" i="6"/>
  <c r="BW188" i="6"/>
  <c r="BC188" i="6"/>
  <c r="BD188" i="6"/>
  <c r="CA188" i="6"/>
  <c r="BS188" i="6"/>
  <c r="BG188" i="6"/>
  <c r="BH188" i="6"/>
  <c r="BT188" i="6"/>
  <c r="BL188" i="6"/>
  <c r="BO188" i="6"/>
  <c r="BK188" i="6"/>
  <c r="BE188" i="6"/>
  <c r="BR188" i="6"/>
  <c r="CG188" i="6"/>
  <c r="CI188" i="6"/>
  <c r="CJ188" i="6"/>
  <c r="CD188" i="6"/>
  <c r="BP188" i="6"/>
  <c r="BX188" i="6"/>
  <c r="BJ188" i="6"/>
  <c r="CB188" i="6"/>
  <c r="CH188" i="6"/>
  <c r="BM188" i="6"/>
  <c r="BZ188" i="6"/>
  <c r="BF188" i="6"/>
  <c r="CE188" i="6"/>
  <c r="CC188" i="6"/>
  <c r="BN188" i="6"/>
  <c r="BI188" i="6"/>
  <c r="CL188" i="6"/>
  <c r="AU189" i="6" l="1"/>
  <c r="BK189" i="6"/>
  <c r="CH189" i="6"/>
  <c r="BC189" i="6"/>
  <c r="CK189" i="6"/>
  <c r="K189" i="12"/>
  <c r="L190" i="12" a="1"/>
  <c r="L190" i="12" s="1"/>
  <c r="J190" i="12" a="1"/>
  <c r="J190" i="12" s="1"/>
  <c r="N190" i="6"/>
  <c r="M190" i="6"/>
  <c r="H190" i="6" a="1"/>
  <c r="H190" i="6" s="1"/>
  <c r="B191" i="6"/>
  <c r="E191" i="5"/>
  <c r="B191" i="5"/>
  <c r="AE191" i="5"/>
  <c r="N191" i="5"/>
  <c r="D191" i="6" s="1"/>
  <c r="AD191" i="5"/>
  <c r="K191" i="5"/>
  <c r="J191" i="5"/>
  <c r="G191" i="5"/>
  <c r="C192" i="5"/>
  <c r="H191" i="5"/>
  <c r="F191" i="5"/>
  <c r="A191" i="12"/>
  <c r="D191" i="5"/>
  <c r="B191" i="12" s="1"/>
  <c r="AY189" i="6"/>
  <c r="T189" i="5"/>
  <c r="G189" i="12" s="1"/>
  <c r="AX189" i="6"/>
  <c r="AV189" i="6"/>
  <c r="AZ189" i="6"/>
  <c r="AT189" i="6"/>
  <c r="AW189" i="6"/>
  <c r="BA189" i="6"/>
  <c r="BT189" i="6"/>
  <c r="BI189" i="6"/>
  <c r="BD189" i="6"/>
  <c r="BP189" i="6"/>
  <c r="BJ189" i="6"/>
  <c r="CF189" i="6"/>
  <c r="BF189" i="6"/>
  <c r="BY189" i="6"/>
  <c r="CA189" i="6"/>
  <c r="BO189" i="6"/>
  <c r="CL189" i="6"/>
  <c r="BL189" i="6"/>
  <c r="CI189" i="6"/>
  <c r="CC189" i="6"/>
  <c r="BX189" i="6"/>
  <c r="BN189" i="6"/>
  <c r="BG189" i="6"/>
  <c r="CB189" i="6"/>
  <c r="CM189" i="6"/>
  <c r="BE189" i="6"/>
  <c r="CD189" i="6"/>
  <c r="BH189" i="6"/>
  <c r="BW189" i="6"/>
  <c r="BV189" i="6"/>
  <c r="CJ189" i="6"/>
  <c r="BZ189" i="6"/>
  <c r="BM189" i="6"/>
  <c r="CE189" i="6"/>
  <c r="BQ189" i="6"/>
  <c r="BS189" i="6"/>
  <c r="BR189" i="6"/>
  <c r="CG189" i="6"/>
  <c r="K190" i="12" l="1"/>
  <c r="M191" i="6"/>
  <c r="N191" i="6"/>
  <c r="H191" i="6" a="1"/>
  <c r="H191" i="6" s="1"/>
  <c r="J191" i="12" a="1"/>
  <c r="J191" i="12" s="1"/>
  <c r="L191" i="12" a="1"/>
  <c r="L191" i="12" s="1"/>
  <c r="AW190" i="6"/>
  <c r="AX190" i="6"/>
  <c r="AT190" i="6"/>
  <c r="AY190" i="6"/>
  <c r="AZ190" i="6"/>
  <c r="T190" i="5"/>
  <c r="G190" i="12" s="1"/>
  <c r="AV190" i="6"/>
  <c r="AU190" i="6"/>
  <c r="BA190" i="6"/>
  <c r="CF190" i="6"/>
  <c r="CA190" i="6"/>
  <c r="BY190" i="6"/>
  <c r="BH190" i="6"/>
  <c r="BZ190" i="6"/>
  <c r="BD190" i="6"/>
  <c r="CM190" i="6"/>
  <c r="CH190" i="6"/>
  <c r="CI190" i="6"/>
  <c r="CL190" i="6"/>
  <c r="BJ190" i="6"/>
  <c r="CC190" i="6"/>
  <c r="BC190" i="6"/>
  <c r="BK190" i="6"/>
  <c r="CK190" i="6"/>
  <c r="CJ190" i="6"/>
  <c r="BO190" i="6"/>
  <c r="BG190" i="6"/>
  <c r="BN190" i="6"/>
  <c r="BP190" i="6"/>
  <c r="BW190" i="6"/>
  <c r="BF190" i="6"/>
  <c r="CE190" i="6"/>
  <c r="CB190" i="6"/>
  <c r="BM190" i="6"/>
  <c r="BX190" i="6"/>
  <c r="BE190" i="6"/>
  <c r="CG190" i="6"/>
  <c r="BQ190" i="6"/>
  <c r="BR190" i="6"/>
  <c r="BL190" i="6"/>
  <c r="CD190" i="6"/>
  <c r="BI190" i="6"/>
  <c r="BV190" i="6"/>
  <c r="BS190" i="6"/>
  <c r="BT190" i="6"/>
  <c r="F192" i="5"/>
  <c r="E192" i="5"/>
  <c r="B192" i="5"/>
  <c r="AE192" i="5"/>
  <c r="C193" i="5"/>
  <c r="D192" i="5"/>
  <c r="B192" i="12" s="1"/>
  <c r="K192" i="5"/>
  <c r="N192" i="5"/>
  <c r="D192" i="6" s="1"/>
  <c r="H192" i="5"/>
  <c r="AD192" i="5"/>
  <c r="B192" i="6"/>
  <c r="A192" i="12"/>
  <c r="J192" i="5"/>
  <c r="G192" i="5"/>
  <c r="BW191" i="6" l="1"/>
  <c r="K191" i="12"/>
  <c r="N192" i="6"/>
  <c r="M192" i="6"/>
  <c r="H192" i="6" a="1"/>
  <c r="H192" i="6" s="1"/>
  <c r="B193" i="6"/>
  <c r="B193" i="5"/>
  <c r="C194" i="5" s="1"/>
  <c r="N193" i="5"/>
  <c r="D193" i="6" s="1"/>
  <c r="AE193" i="5"/>
  <c r="AD193" i="5"/>
  <c r="D193" i="5"/>
  <c r="B193" i="12" s="1"/>
  <c r="A193" i="12"/>
  <c r="K193" i="5"/>
  <c r="J193" i="5"/>
  <c r="F193" i="5"/>
  <c r="H193" i="5"/>
  <c r="G193" i="5"/>
  <c r="E193" i="5"/>
  <c r="T191" i="5"/>
  <c r="G191" i="12" s="1"/>
  <c r="BA191" i="6"/>
  <c r="AX191" i="6"/>
  <c r="AY191" i="6"/>
  <c r="AT191" i="6"/>
  <c r="AW191" i="6"/>
  <c r="AZ191" i="6"/>
  <c r="AU191" i="6"/>
  <c r="AV191" i="6"/>
  <c r="L192" i="12" a="1"/>
  <c r="L192" i="12" s="1"/>
  <c r="J192" i="12" a="1"/>
  <c r="J192" i="12" s="1"/>
  <c r="CK191" i="6"/>
  <c r="BK191" i="6"/>
  <c r="BS191" i="6"/>
  <c r="BR191" i="6"/>
  <c r="BG191" i="6"/>
  <c r="BH191" i="6"/>
  <c r="BL191" i="6"/>
  <c r="BT191" i="6"/>
  <c r="BN191" i="6"/>
  <c r="BP191" i="6"/>
  <c r="CL191" i="6"/>
  <c r="CH191" i="6"/>
  <c r="CC191" i="6"/>
  <c r="BF191" i="6"/>
  <c r="BX191" i="6"/>
  <c r="BQ191" i="6"/>
  <c r="BC191" i="6"/>
  <c r="BD191" i="6"/>
  <c r="CD191" i="6"/>
  <c r="CB191" i="6"/>
  <c r="CM191" i="6"/>
  <c r="CI191" i="6"/>
  <c r="BO191" i="6"/>
  <c r="BY191" i="6"/>
  <c r="CF191" i="6"/>
  <c r="CJ191" i="6"/>
  <c r="CE191" i="6"/>
  <c r="BM191" i="6"/>
  <c r="BJ191" i="6"/>
  <c r="BZ191" i="6"/>
  <c r="BV191" i="6"/>
  <c r="BE191" i="6"/>
  <c r="CG191" i="6"/>
  <c r="CA191" i="6"/>
  <c r="BI191" i="6"/>
  <c r="AU192" i="6" l="1"/>
  <c r="BC192" i="6"/>
  <c r="BL192" i="6"/>
  <c r="BK192" i="6"/>
  <c r="CK192" i="6"/>
  <c r="CL192" i="6"/>
  <c r="BR192" i="6"/>
  <c r="BQ192" i="6"/>
  <c r="CC192" i="6"/>
  <c r="BV192" i="6"/>
  <c r="BI192" i="6"/>
  <c r="BN192" i="6"/>
  <c r="BW192" i="6"/>
  <c r="CA192" i="6"/>
  <c r="CJ192" i="6"/>
  <c r="BA192" i="6"/>
  <c r="BE192" i="6"/>
  <c r="AX192" i="6"/>
  <c r="AW192" i="6"/>
  <c r="K192" i="12"/>
  <c r="J193" i="12" a="1"/>
  <c r="J193" i="12" s="1"/>
  <c r="L193" i="12" a="1"/>
  <c r="L193" i="12" s="1"/>
  <c r="AZ192" i="6"/>
  <c r="AY192" i="6"/>
  <c r="AT192" i="6"/>
  <c r="T192" i="5"/>
  <c r="G192" i="12" s="1"/>
  <c r="CF192" i="6"/>
  <c r="BO192" i="6"/>
  <c r="CH192" i="6"/>
  <c r="CD192" i="6"/>
  <c r="CI192" i="6"/>
  <c r="BJ192" i="6"/>
  <c r="BH192" i="6"/>
  <c r="BP192" i="6"/>
  <c r="CM192" i="6"/>
  <c r="CG192" i="6"/>
  <c r="CE192" i="6"/>
  <c r="BF192" i="6"/>
  <c r="BT192" i="6"/>
  <c r="BM192" i="6"/>
  <c r="BZ192" i="6"/>
  <c r="BG192" i="6"/>
  <c r="BX192" i="6"/>
  <c r="CB192" i="6"/>
  <c r="BY192" i="6"/>
  <c r="BD192" i="6"/>
  <c r="BS192" i="6"/>
  <c r="N193" i="6"/>
  <c r="H193" i="6" a="1"/>
  <c r="H193" i="6" s="1"/>
  <c r="M193" i="6"/>
  <c r="G194" i="5"/>
  <c r="E194" i="5"/>
  <c r="F194" i="5"/>
  <c r="W194" i="5"/>
  <c r="H194" i="12" s="1"/>
  <c r="B194" i="5"/>
  <c r="AE194" i="5"/>
  <c r="N194" i="5"/>
  <c r="D194" i="6" s="1"/>
  <c r="AD194" i="5"/>
  <c r="B194" i="6"/>
  <c r="J194" i="6" s="1" a="1"/>
  <c r="J194" i="6" s="1"/>
  <c r="A194" i="12"/>
  <c r="C195" i="5"/>
  <c r="I194" i="5"/>
  <c r="H194" i="5"/>
  <c r="AV192" i="6"/>
  <c r="K193" i="12" l="1"/>
  <c r="CA193" i="6"/>
  <c r="CD193" i="6"/>
  <c r="BC193" i="6"/>
  <c r="BQ193" i="6"/>
  <c r="CI193" i="6"/>
  <c r="BX193" i="6"/>
  <c r="BP193" i="6"/>
  <c r="BO193" i="6"/>
  <c r="BG193" i="6"/>
  <c r="CM193" i="6"/>
  <c r="BV193" i="6"/>
  <c r="BT193" i="6"/>
  <c r="CH193" i="6"/>
  <c r="BJ193" i="6"/>
  <c r="BL193" i="6"/>
  <c r="BN193" i="6"/>
  <c r="BW193" i="6"/>
  <c r="BM193" i="6"/>
  <c r="CB193" i="6"/>
  <c r="BD193" i="6"/>
  <c r="CJ193" i="6"/>
  <c r="CG193" i="6"/>
  <c r="BR193" i="6"/>
  <c r="BH193" i="6"/>
  <c r="BY193" i="6"/>
  <c r="CF193" i="6"/>
  <c r="CL193" i="6"/>
  <c r="CE193" i="6"/>
  <c r="CK193" i="6"/>
  <c r="BE193" i="6"/>
  <c r="BS193" i="6"/>
  <c r="BZ193" i="6"/>
  <c r="BI193" i="6"/>
  <c r="BF193" i="6"/>
  <c r="BK193" i="6"/>
  <c r="CC193" i="6"/>
  <c r="A195" i="12"/>
  <c r="D195" i="5"/>
  <c r="B195" i="12" s="1"/>
  <c r="B195" i="5"/>
  <c r="B195" i="6"/>
  <c r="E195" i="5"/>
  <c r="AE195" i="5"/>
  <c r="AD195" i="5"/>
  <c r="J195" i="5"/>
  <c r="C196" i="5"/>
  <c r="H195" i="5"/>
  <c r="G195" i="5"/>
  <c r="N195" i="5"/>
  <c r="D195" i="6" s="1"/>
  <c r="K195" i="5"/>
  <c r="F195" i="5"/>
  <c r="AU193" i="6"/>
  <c r="AZ193" i="6"/>
  <c r="AT193" i="6"/>
  <c r="AV193" i="6"/>
  <c r="AX193" i="6"/>
  <c r="AW193" i="6"/>
  <c r="AY193" i="6"/>
  <c r="T193" i="5"/>
  <c r="G193" i="12" s="1"/>
  <c r="BA193" i="6"/>
  <c r="H194" i="6" a="1"/>
  <c r="H194" i="6" s="1"/>
  <c r="G194" i="6"/>
  <c r="M194" i="6"/>
  <c r="N194" i="6"/>
  <c r="BQ194" i="6" l="1"/>
  <c r="N196" i="5"/>
  <c r="D196" i="6" s="1"/>
  <c r="A196" i="12"/>
  <c r="AD196" i="5"/>
  <c r="J196" i="5"/>
  <c r="B196" i="6"/>
  <c r="D196" i="5"/>
  <c r="B196" i="12" s="1"/>
  <c r="K196" i="5"/>
  <c r="AE196" i="5"/>
  <c r="C197" i="5"/>
  <c r="H196" i="5"/>
  <c r="B196" i="5"/>
  <c r="G196" i="5"/>
  <c r="F196" i="5"/>
  <c r="E196" i="5"/>
  <c r="CL194" i="6"/>
  <c r="BV194" i="6"/>
  <c r="BD194" i="6"/>
  <c r="BF194" i="6"/>
  <c r="BM194" i="6"/>
  <c r="BR194" i="6"/>
  <c r="BK194" i="6"/>
  <c r="CG194" i="6"/>
  <c r="CJ194" i="6"/>
  <c r="BO194" i="6"/>
  <c r="BW194" i="6"/>
  <c r="CF194" i="6"/>
  <c r="BX194" i="6"/>
  <c r="BN194" i="6"/>
  <c r="CH194" i="6"/>
  <c r="CE194" i="6"/>
  <c r="BH194" i="6"/>
  <c r="BI194" i="6"/>
  <c r="CK194" i="6"/>
  <c r="BS194" i="6"/>
  <c r="CC194" i="6"/>
  <c r="BZ194" i="6"/>
  <c r="CI194" i="6"/>
  <c r="BP194" i="6"/>
  <c r="BL194" i="6"/>
  <c r="BY194" i="6"/>
  <c r="BE194" i="6"/>
  <c r="BT194" i="6"/>
  <c r="CD194" i="6"/>
  <c r="CB194" i="6"/>
  <c r="T194" i="5"/>
  <c r="G194" i="12" s="1"/>
  <c r="AR194" i="6"/>
  <c r="AW194" i="6"/>
  <c r="AP194" i="6"/>
  <c r="AS194" i="6"/>
  <c r="AZ194" i="6"/>
  <c r="AO194" i="6"/>
  <c r="AM194" i="6"/>
  <c r="AT194" i="6"/>
  <c r="BA194" i="6"/>
  <c r="AQ194" i="6"/>
  <c r="AY194" i="6"/>
  <c r="AV194" i="6"/>
  <c r="AL194" i="6"/>
  <c r="AK194" i="6"/>
  <c r="AJ194" i="6"/>
  <c r="AU194" i="6"/>
  <c r="AX194" i="6"/>
  <c r="CA194" i="6"/>
  <c r="BC194" i="6"/>
  <c r="BJ194" i="6"/>
  <c r="BG194" i="6"/>
  <c r="L195" i="12" a="1"/>
  <c r="L195" i="12" s="1"/>
  <c r="J195" i="12" a="1"/>
  <c r="J195" i="12" s="1"/>
  <c r="AN194" i="6"/>
  <c r="N195" i="6"/>
  <c r="M195" i="6"/>
  <c r="H195" i="6" a="1"/>
  <c r="H195" i="6" s="1"/>
  <c r="CM194" i="6"/>
  <c r="AX195" i="6" l="1"/>
  <c r="AZ195" i="6"/>
  <c r="BA195" i="6"/>
  <c r="T195" i="5"/>
  <c r="G195" i="12" s="1"/>
  <c r="AT195" i="6"/>
  <c r="AV195" i="6"/>
  <c r="AU195" i="6"/>
  <c r="AY195" i="6"/>
  <c r="AW195" i="6"/>
  <c r="CK195" i="6"/>
  <c r="BT195" i="6"/>
  <c r="BV195" i="6"/>
  <c r="CA195" i="6"/>
  <c r="CE195" i="6"/>
  <c r="BY195" i="6"/>
  <c r="BW195" i="6"/>
  <c r="BO195" i="6"/>
  <c r="BM195" i="6"/>
  <c r="BX195" i="6"/>
  <c r="BN195" i="6"/>
  <c r="BS195" i="6"/>
  <c r="CF195" i="6"/>
  <c r="BI195" i="6"/>
  <c r="CI195" i="6"/>
  <c r="BQ195" i="6"/>
  <c r="CB195" i="6"/>
  <c r="CC195" i="6"/>
  <c r="BD195" i="6"/>
  <c r="CH195" i="6"/>
  <c r="BL195" i="6"/>
  <c r="CL195" i="6"/>
  <c r="BR195" i="6"/>
  <c r="BP195" i="6"/>
  <c r="BJ195" i="6"/>
  <c r="BE195" i="6"/>
  <c r="BC195" i="6"/>
  <c r="BG195" i="6"/>
  <c r="BH195" i="6"/>
  <c r="CG195" i="6"/>
  <c r="CD195" i="6"/>
  <c r="BZ195" i="6"/>
  <c r="BF195" i="6"/>
  <c r="CM195" i="6"/>
  <c r="CJ195" i="6"/>
  <c r="BK195" i="6"/>
  <c r="H197" i="5"/>
  <c r="C198" i="5"/>
  <c r="G197" i="5"/>
  <c r="F197" i="5"/>
  <c r="A197" i="12"/>
  <c r="D197" i="5"/>
  <c r="B197" i="12" s="1"/>
  <c r="B197" i="6"/>
  <c r="E197" i="5"/>
  <c r="B197" i="5"/>
  <c r="N197" i="5"/>
  <c r="D197" i="6" s="1"/>
  <c r="AE197" i="5"/>
  <c r="AD197" i="5"/>
  <c r="K197" i="5"/>
  <c r="J197" i="5"/>
  <c r="K195" i="12"/>
  <c r="J196" i="12" a="1"/>
  <c r="J196" i="12" s="1"/>
  <c r="L196" i="12" a="1"/>
  <c r="L196" i="12" s="1"/>
  <c r="M196" i="6"/>
  <c r="H196" i="6" a="1"/>
  <c r="H196" i="6" s="1"/>
  <c r="N196" i="6"/>
  <c r="K196" i="12" l="1"/>
  <c r="B198" i="5"/>
  <c r="AD198" i="5"/>
  <c r="K198" i="5"/>
  <c r="A198" i="12"/>
  <c r="J198" i="5"/>
  <c r="C199" i="5"/>
  <c r="B198" i="6"/>
  <c r="H198" i="5"/>
  <c r="AE198" i="5"/>
  <c r="G198" i="5"/>
  <c r="F198" i="5"/>
  <c r="E198" i="5"/>
  <c r="D198" i="5"/>
  <c r="B198" i="12" s="1"/>
  <c r="N198" i="5"/>
  <c r="D198" i="6" s="1"/>
  <c r="N197" i="6"/>
  <c r="M197" i="6"/>
  <c r="BN197" i="6" s="1"/>
  <c r="H197" i="6" a="1"/>
  <c r="H197" i="6" s="1"/>
  <c r="T196" i="5"/>
  <c r="G196" i="12" s="1"/>
  <c r="AW196" i="6"/>
  <c r="AT196" i="6"/>
  <c r="AX196" i="6"/>
  <c r="AV196" i="6"/>
  <c r="BA196" i="6"/>
  <c r="AY196" i="6"/>
  <c r="AU196" i="6"/>
  <c r="AZ196" i="6"/>
  <c r="CM196" i="6"/>
  <c r="CI196" i="6"/>
  <c r="BD196" i="6"/>
  <c r="BZ196" i="6"/>
  <c r="BC196" i="6"/>
  <c r="BH196" i="6"/>
  <c r="BJ196" i="6"/>
  <c r="BP196" i="6"/>
  <c r="BR196" i="6"/>
  <c r="BY196" i="6"/>
  <c r="CJ196" i="6"/>
  <c r="CF196" i="6"/>
  <c r="BM196" i="6"/>
  <c r="BW196" i="6"/>
  <c r="BX196" i="6"/>
  <c r="BE196" i="6"/>
  <c r="CH196" i="6"/>
  <c r="CB196" i="6"/>
  <c r="BS196" i="6"/>
  <c r="CK196" i="6"/>
  <c r="BI196" i="6"/>
  <c r="BV196" i="6"/>
  <c r="BQ196" i="6"/>
  <c r="CD196" i="6"/>
  <c r="BF196" i="6"/>
  <c r="CA196" i="6"/>
  <c r="BK196" i="6"/>
  <c r="CC196" i="6"/>
  <c r="BG196" i="6"/>
  <c r="BO196" i="6"/>
  <c r="BL196" i="6"/>
  <c r="BT196" i="6"/>
  <c r="BN196" i="6"/>
  <c r="CG196" i="6"/>
  <c r="CL196" i="6"/>
  <c r="CE196" i="6"/>
  <c r="J197" i="12" a="1"/>
  <c r="J197" i="12" s="1"/>
  <c r="L197" i="12" a="1"/>
  <c r="L197" i="12" s="1"/>
  <c r="BE197" i="6" l="1"/>
  <c r="BT197" i="6"/>
  <c r="CI197" i="6"/>
  <c r="CB197" i="6"/>
  <c r="CD197" i="6"/>
  <c r="CE197" i="6"/>
  <c r="BY197" i="6"/>
  <c r="BF197" i="6"/>
  <c r="BX197" i="6"/>
  <c r="CJ197" i="6"/>
  <c r="BZ197" i="6"/>
  <c r="CM197" i="6"/>
  <c r="CK197" i="6"/>
  <c r="AY197" i="6"/>
  <c r="AU197" i="6"/>
  <c r="T197" i="5"/>
  <c r="G197" i="12" s="1"/>
  <c r="AT197" i="6"/>
  <c r="AZ197" i="6"/>
  <c r="AX197" i="6"/>
  <c r="BM197" i="6"/>
  <c r="CH197" i="6"/>
  <c r="BO197" i="6"/>
  <c r="BR197" i="6"/>
  <c r="BI197" i="6"/>
  <c r="CL197" i="6"/>
  <c r="BP197" i="6"/>
  <c r="BL197" i="6"/>
  <c r="BK197" i="6"/>
  <c r="BV197" i="6"/>
  <c r="CF197" i="6"/>
  <c r="BW197" i="6"/>
  <c r="CC197" i="6"/>
  <c r="CG197" i="6"/>
  <c r="AV197" i="6"/>
  <c r="B199" i="5"/>
  <c r="N199" i="5"/>
  <c r="D199" i="6" s="1"/>
  <c r="AE199" i="5"/>
  <c r="K199" i="5"/>
  <c r="AD199" i="5"/>
  <c r="G199" i="5"/>
  <c r="A199" i="12"/>
  <c r="B199" i="6"/>
  <c r="J199" i="5"/>
  <c r="H199" i="5"/>
  <c r="C200" i="5"/>
  <c r="F199" i="5"/>
  <c r="D199" i="5"/>
  <c r="B199" i="12" s="1"/>
  <c r="E199" i="5"/>
  <c r="AW197" i="6"/>
  <c r="BJ197" i="6"/>
  <c r="BD197" i="6"/>
  <c r="CA197" i="6"/>
  <c r="L198" i="12" a="1"/>
  <c r="L198" i="12" s="1"/>
  <c r="J198" i="12" a="1"/>
  <c r="J198" i="12" s="1"/>
  <c r="BA197" i="6"/>
  <c r="BQ197" i="6"/>
  <c r="BS197" i="6"/>
  <c r="N198" i="6"/>
  <c r="M198" i="6"/>
  <c r="H198" i="6" a="1"/>
  <c r="H198" i="6" s="1"/>
  <c r="BG197" i="6"/>
  <c r="K197" i="12"/>
  <c r="BH197" i="6"/>
  <c r="BC197" i="6"/>
  <c r="T198" i="5" l="1"/>
  <c r="G198" i="12" s="1"/>
  <c r="AY198" i="6"/>
  <c r="AW198" i="6"/>
  <c r="AZ198" i="6"/>
  <c r="BA198" i="6"/>
  <c r="AU198" i="6"/>
  <c r="AT198" i="6"/>
  <c r="AX198" i="6"/>
  <c r="AV198" i="6"/>
  <c r="M199" i="6"/>
  <c r="BO199" i="6" s="1"/>
  <c r="H199" i="6" a="1"/>
  <c r="H199" i="6" s="1"/>
  <c r="N199" i="6"/>
  <c r="CH198" i="6"/>
  <c r="BM198" i="6"/>
  <c r="BG198" i="6"/>
  <c r="BJ198" i="6"/>
  <c r="BQ198" i="6"/>
  <c r="BI198" i="6"/>
  <c r="CA198" i="6"/>
  <c r="BD198" i="6"/>
  <c r="CM198" i="6"/>
  <c r="BR198" i="6"/>
  <c r="BN198" i="6"/>
  <c r="CI198" i="6"/>
  <c r="BY198" i="6"/>
  <c r="BH198" i="6"/>
  <c r="CE198" i="6"/>
  <c r="BP198" i="6"/>
  <c r="CF198" i="6"/>
  <c r="BS198" i="6"/>
  <c r="BE198" i="6"/>
  <c r="CJ198" i="6"/>
  <c r="BV198" i="6"/>
  <c r="CL198" i="6"/>
  <c r="BK198" i="6"/>
  <c r="BO198" i="6"/>
  <c r="CC198" i="6"/>
  <c r="BZ198" i="6"/>
  <c r="CD198" i="6"/>
  <c r="BX198" i="6"/>
  <c r="CG198" i="6"/>
  <c r="CK198" i="6"/>
  <c r="BC198" i="6"/>
  <c r="CB198" i="6"/>
  <c r="BW198" i="6"/>
  <c r="BL198" i="6"/>
  <c r="BF198" i="6"/>
  <c r="BT198" i="6"/>
  <c r="AD200" i="5"/>
  <c r="K200" i="5"/>
  <c r="J200" i="5"/>
  <c r="H200" i="5"/>
  <c r="AE200" i="5"/>
  <c r="G200" i="5"/>
  <c r="E200" i="5"/>
  <c r="A200" i="12"/>
  <c r="F200" i="5"/>
  <c r="B200" i="6"/>
  <c r="B200" i="5"/>
  <c r="C201" i="5" s="1"/>
  <c r="D200" i="5"/>
  <c r="B200" i="12" s="1"/>
  <c r="N200" i="5"/>
  <c r="D200" i="6" s="1"/>
  <c r="K198" i="12"/>
  <c r="L199" i="12" a="1"/>
  <c r="L199" i="12" s="1"/>
  <c r="J199" i="12" a="1"/>
  <c r="J199" i="12" s="1"/>
  <c r="AT199" i="6" l="1"/>
  <c r="BT199" i="6"/>
  <c r="BX199" i="6"/>
  <c r="BK199" i="6"/>
  <c r="BJ199" i="6"/>
  <c r="K199" i="12"/>
  <c r="A201" i="12"/>
  <c r="B201" i="5"/>
  <c r="H201" i="5"/>
  <c r="B201" i="6"/>
  <c r="J201" i="6" s="1" a="1"/>
  <c r="J201" i="6" s="1"/>
  <c r="I201" i="5"/>
  <c r="G201" i="5"/>
  <c r="C202" i="5"/>
  <c r="N201" i="5"/>
  <c r="D201" i="6" s="1"/>
  <c r="W201" i="5"/>
  <c r="H201" i="12" s="1"/>
  <c r="AE201" i="5"/>
  <c r="AD201" i="5"/>
  <c r="F201" i="5"/>
  <c r="E201" i="5"/>
  <c r="BA199" i="6"/>
  <c r="AV199" i="6"/>
  <c r="AY199" i="6"/>
  <c r="T199" i="5"/>
  <c r="G199" i="12" s="1"/>
  <c r="AZ199" i="6"/>
  <c r="AW199" i="6"/>
  <c r="AU199" i="6"/>
  <c r="AX199" i="6"/>
  <c r="CC199" i="6"/>
  <c r="CK199" i="6"/>
  <c r="BQ199" i="6"/>
  <c r="BR199" i="6"/>
  <c r="CL199" i="6"/>
  <c r="BN199" i="6"/>
  <c r="CH199" i="6"/>
  <c r="BW199" i="6"/>
  <c r="CG199" i="6"/>
  <c r="CI199" i="6"/>
  <c r="BY199" i="6"/>
  <c r="BP199" i="6"/>
  <c r="BZ199" i="6"/>
  <c r="CD199" i="6"/>
  <c r="CM199" i="6"/>
  <c r="BF199" i="6"/>
  <c r="BD199" i="6"/>
  <c r="BI199" i="6"/>
  <c r="BM199" i="6"/>
  <c r="BL199" i="6"/>
  <c r="CJ199" i="6"/>
  <c r="CF199" i="6"/>
  <c r="CA199" i="6"/>
  <c r="CB199" i="6"/>
  <c r="BE199" i="6"/>
  <c r="BC199" i="6"/>
  <c r="CE199" i="6"/>
  <c r="BG199" i="6"/>
  <c r="BS199" i="6"/>
  <c r="BV199" i="6"/>
  <c r="BH199" i="6"/>
  <c r="L200" i="12" a="1"/>
  <c r="L200" i="12" s="1"/>
  <c r="J200" i="12" a="1"/>
  <c r="J200" i="12" s="1"/>
  <c r="M200" i="6"/>
  <c r="BF200" i="6" s="1"/>
  <c r="H200" i="6" a="1"/>
  <c r="H200" i="6" s="1"/>
  <c r="N200" i="6"/>
  <c r="BA200" i="6" l="1"/>
  <c r="K200" i="12"/>
  <c r="BV200" i="6"/>
  <c r="BH200" i="6"/>
  <c r="AZ200" i="6"/>
  <c r="AW200" i="6"/>
  <c r="AV200" i="6"/>
  <c r="T200" i="5"/>
  <c r="G200" i="12" s="1"/>
  <c r="AY200" i="6"/>
  <c r="AU200" i="6"/>
  <c r="H201" i="6" a="1"/>
  <c r="H201" i="6" s="1"/>
  <c r="G201" i="6"/>
  <c r="M201" i="6"/>
  <c r="N201" i="6"/>
  <c r="CG200" i="6"/>
  <c r="CJ200" i="6"/>
  <c r="CD200" i="6"/>
  <c r="CF200" i="6"/>
  <c r="CK200" i="6"/>
  <c r="BG200" i="6"/>
  <c r="CB200" i="6"/>
  <c r="CC200" i="6"/>
  <c r="BZ200" i="6"/>
  <c r="BR200" i="6"/>
  <c r="BY200" i="6"/>
  <c r="BL200" i="6"/>
  <c r="BD200" i="6"/>
  <c r="CM200" i="6"/>
  <c r="BK200" i="6"/>
  <c r="CE200" i="6"/>
  <c r="BE200" i="6"/>
  <c r="CL200" i="6"/>
  <c r="BI200" i="6"/>
  <c r="CA200" i="6"/>
  <c r="BT200" i="6"/>
  <c r="BC200" i="6"/>
  <c r="BS200" i="6"/>
  <c r="CH200" i="6"/>
  <c r="CI200" i="6"/>
  <c r="BP200" i="6"/>
  <c r="AT200" i="6"/>
  <c r="E202" i="5"/>
  <c r="J202" i="5"/>
  <c r="B202" i="6"/>
  <c r="D202" i="5"/>
  <c r="B202" i="12" s="1"/>
  <c r="N202" i="5"/>
  <c r="D202" i="6" s="1"/>
  <c r="AE202" i="5"/>
  <c r="G202" i="5"/>
  <c r="K202" i="5"/>
  <c r="A202" i="12"/>
  <c r="AD202" i="5"/>
  <c r="B202" i="5"/>
  <c r="H202" i="5"/>
  <c r="C203" i="5"/>
  <c r="F202" i="5"/>
  <c r="BM200" i="6"/>
  <c r="BX200" i="6"/>
  <c r="BO200" i="6"/>
  <c r="BW200" i="6"/>
  <c r="BN200" i="6"/>
  <c r="BQ200" i="6"/>
  <c r="BJ200" i="6"/>
  <c r="AX200" i="6"/>
  <c r="L202" i="12" l="1" a="1"/>
  <c r="L202" i="12" s="1"/>
  <c r="J202" i="12" a="1"/>
  <c r="J202" i="12" s="1"/>
  <c r="CM201" i="6"/>
  <c r="CC201" i="6"/>
  <c r="BE201" i="6"/>
  <c r="CI201" i="6"/>
  <c r="BD201" i="6"/>
  <c r="BI201" i="6"/>
  <c r="CK201" i="6"/>
  <c r="BF201" i="6"/>
  <c r="BN201" i="6"/>
  <c r="BC201" i="6"/>
  <c r="BJ201" i="6"/>
  <c r="CB201" i="6"/>
  <c r="BH201" i="6"/>
  <c r="BV201" i="6"/>
  <c r="BO201" i="6"/>
  <c r="BS201" i="6"/>
  <c r="BX201" i="6"/>
  <c r="BZ201" i="6"/>
  <c r="BK201" i="6"/>
  <c r="BM201" i="6"/>
  <c r="CJ201" i="6"/>
  <c r="CD201" i="6"/>
  <c r="CF201" i="6"/>
  <c r="BQ201" i="6"/>
  <c r="BL201" i="6"/>
  <c r="CL201" i="6"/>
  <c r="CE201" i="6"/>
  <c r="BW201" i="6"/>
  <c r="BP201" i="6"/>
  <c r="CG201" i="6"/>
  <c r="BR201" i="6"/>
  <c r="BY201" i="6"/>
  <c r="BG201" i="6"/>
  <c r="CH201" i="6"/>
  <c r="BT201" i="6"/>
  <c r="CA201" i="6"/>
  <c r="T201" i="5"/>
  <c r="G201" i="12" s="1"/>
  <c r="AZ201" i="6"/>
  <c r="AY201" i="6"/>
  <c r="AS201" i="6"/>
  <c r="AO201" i="6"/>
  <c r="AR201" i="6"/>
  <c r="AL201" i="6"/>
  <c r="BA201" i="6"/>
  <c r="AP201" i="6"/>
  <c r="AQ201" i="6"/>
  <c r="AT201" i="6"/>
  <c r="AK201" i="6"/>
  <c r="AX201" i="6"/>
  <c r="AJ201" i="6"/>
  <c r="AU201" i="6"/>
  <c r="AW201" i="6"/>
  <c r="AN201" i="6"/>
  <c r="AM201" i="6"/>
  <c r="AV201" i="6"/>
  <c r="M202" i="6"/>
  <c r="N202" i="6"/>
  <c r="H202" i="6" a="1"/>
  <c r="H202" i="6" s="1"/>
  <c r="AE203" i="5"/>
  <c r="AD203" i="5"/>
  <c r="K203" i="5"/>
  <c r="B203" i="5"/>
  <c r="J203" i="5"/>
  <c r="C204" i="5"/>
  <c r="A203" i="12"/>
  <c r="F203" i="5"/>
  <c r="B203" i="6"/>
  <c r="G203" i="5"/>
  <c r="H203" i="5"/>
  <c r="E203" i="5"/>
  <c r="D203" i="5"/>
  <c r="B203" i="12" s="1"/>
  <c r="N203" i="5"/>
  <c r="D203" i="6" s="1"/>
  <c r="BZ202" i="6" l="1"/>
  <c r="BG202" i="6"/>
  <c r="CB202" i="6"/>
  <c r="BV202" i="6"/>
  <c r="CK202" i="6"/>
  <c r="K202" i="12"/>
  <c r="BA202" i="6"/>
  <c r="AT202" i="6"/>
  <c r="T202" i="5"/>
  <c r="G202" i="12" s="1"/>
  <c r="AZ202" i="6"/>
  <c r="AV202" i="6"/>
  <c r="AU202" i="6"/>
  <c r="AY202" i="6"/>
  <c r="N203" i="6"/>
  <c r="M203" i="6"/>
  <c r="BO203" i="6" s="1"/>
  <c r="H203" i="6" a="1"/>
  <c r="H203" i="6" s="1"/>
  <c r="CI202" i="6"/>
  <c r="BN202" i="6"/>
  <c r="BW202" i="6"/>
  <c r="BK202" i="6"/>
  <c r="CD202" i="6"/>
  <c r="BM202" i="6"/>
  <c r="BH202" i="6"/>
  <c r="BO202" i="6"/>
  <c r="CE202" i="6"/>
  <c r="BQ202" i="6"/>
  <c r="BD202" i="6"/>
  <c r="BI202" i="6"/>
  <c r="CM202" i="6"/>
  <c r="CL202" i="6"/>
  <c r="CG202" i="6"/>
  <c r="CC202" i="6"/>
  <c r="CH202" i="6"/>
  <c r="BR202" i="6"/>
  <c r="BC202" i="6"/>
  <c r="BJ202" i="6"/>
  <c r="CJ202" i="6"/>
  <c r="CA202" i="6"/>
  <c r="BL202" i="6"/>
  <c r="BE202" i="6"/>
  <c r="BP202" i="6"/>
  <c r="BX202" i="6"/>
  <c r="AW202" i="6"/>
  <c r="BT202" i="6"/>
  <c r="BS202" i="6"/>
  <c r="AX202" i="6"/>
  <c r="CF202" i="6"/>
  <c r="L203" i="12" a="1"/>
  <c r="L203" i="12" s="1"/>
  <c r="J203" i="12" a="1"/>
  <c r="J203" i="12" s="1"/>
  <c r="G204" i="5"/>
  <c r="D204" i="5"/>
  <c r="B204" i="12" s="1"/>
  <c r="F204" i="5"/>
  <c r="B204" i="5"/>
  <c r="K204" i="5"/>
  <c r="A204" i="12"/>
  <c r="E204" i="5"/>
  <c r="B204" i="6"/>
  <c r="N204" i="5"/>
  <c r="D204" i="6" s="1"/>
  <c r="AE204" i="5"/>
  <c r="AD204" i="5"/>
  <c r="C205" i="5"/>
  <c r="J204" i="5"/>
  <c r="H204" i="5"/>
  <c r="BF202" i="6"/>
  <c r="BY202" i="6"/>
  <c r="BF203" i="6" l="1"/>
  <c r="CJ203" i="6"/>
  <c r="BW203" i="6"/>
  <c r="BD203" i="6"/>
  <c r="BI203" i="6"/>
  <c r="BT203" i="6"/>
  <c r="BE203" i="6"/>
  <c r="BX203" i="6"/>
  <c r="BK203" i="6"/>
  <c r="BJ203" i="6"/>
  <c r="CF203" i="6"/>
  <c r="BG203" i="6"/>
  <c r="AT203" i="6"/>
  <c r="K203" i="12"/>
  <c r="CD203" i="6"/>
  <c r="BP203" i="6"/>
  <c r="J204" i="12" a="1"/>
  <c r="J204" i="12" s="1"/>
  <c r="L204" i="12" a="1"/>
  <c r="L204" i="12" s="1"/>
  <c r="BA203" i="6"/>
  <c r="T203" i="5"/>
  <c r="G203" i="12" s="1"/>
  <c r="AZ203" i="6"/>
  <c r="CA203" i="6"/>
  <c r="BV203" i="6"/>
  <c r="BC203" i="6"/>
  <c r="BQ203" i="6"/>
  <c r="CM203" i="6"/>
  <c r="CB203" i="6"/>
  <c r="BS203" i="6"/>
  <c r="BM203" i="6"/>
  <c r="CC203" i="6"/>
  <c r="BZ203" i="6"/>
  <c r="BR203" i="6"/>
  <c r="BY203" i="6"/>
  <c r="CH203" i="6"/>
  <c r="CE203" i="6"/>
  <c r="BH203" i="6"/>
  <c r="BL203" i="6"/>
  <c r="BN203" i="6"/>
  <c r="CG203" i="6"/>
  <c r="AX203" i="6"/>
  <c r="K205" i="5"/>
  <c r="B205" i="6"/>
  <c r="J205" i="5"/>
  <c r="G205" i="5"/>
  <c r="F205" i="5"/>
  <c r="C206" i="5"/>
  <c r="AE205" i="5"/>
  <c r="D205" i="5"/>
  <c r="B205" i="12" s="1"/>
  <c r="E205" i="5"/>
  <c r="B205" i="5"/>
  <c r="N205" i="5"/>
  <c r="D205" i="6" s="1"/>
  <c r="A205" i="12"/>
  <c r="H205" i="5"/>
  <c r="AD205" i="5"/>
  <c r="AV203" i="6"/>
  <c r="H204" i="6" a="1"/>
  <c r="H204" i="6" s="1"/>
  <c r="N204" i="6"/>
  <c r="M204" i="6"/>
  <c r="AU203" i="6"/>
  <c r="AY203" i="6"/>
  <c r="CK203" i="6"/>
  <c r="CI203" i="6"/>
  <c r="AW203" i="6"/>
  <c r="CL203" i="6"/>
  <c r="AX204" i="6" l="1"/>
  <c r="BD204" i="6"/>
  <c r="K204" i="12"/>
  <c r="CB204" i="6"/>
  <c r="CI204" i="6"/>
  <c r="BP204" i="6"/>
  <c r="CE204" i="6"/>
  <c r="BH204" i="6"/>
  <c r="AW204" i="6"/>
  <c r="CH204" i="6"/>
  <c r="BY204" i="6"/>
  <c r="BM204" i="6"/>
  <c r="CM204" i="6"/>
  <c r="L205" i="12" a="1"/>
  <c r="L205" i="12" s="1"/>
  <c r="J205" i="12" a="1"/>
  <c r="J205" i="12" s="1"/>
  <c r="CD204" i="6"/>
  <c r="N205" i="6"/>
  <c r="M205" i="6"/>
  <c r="H205" i="6" a="1"/>
  <c r="H205" i="6" s="1"/>
  <c r="AZ204" i="6"/>
  <c r="CJ204" i="6"/>
  <c r="BE204" i="6"/>
  <c r="BO204" i="6"/>
  <c r="BF204" i="6"/>
  <c r="BR204" i="6"/>
  <c r="CK204" i="6"/>
  <c r="BJ204" i="6"/>
  <c r="BQ204" i="6"/>
  <c r="BN204" i="6"/>
  <c r="BV204" i="6"/>
  <c r="BL204" i="6"/>
  <c r="CC204" i="6"/>
  <c r="BT204" i="6"/>
  <c r="BW204" i="6"/>
  <c r="CF204" i="6"/>
  <c r="BC204" i="6"/>
  <c r="A206" i="12"/>
  <c r="H206" i="5"/>
  <c r="B206" i="6"/>
  <c r="B206" i="5"/>
  <c r="C207" i="5" s="1"/>
  <c r="G206" i="5"/>
  <c r="N206" i="5"/>
  <c r="D206" i="6" s="1"/>
  <c r="F206" i="5"/>
  <c r="E206" i="5"/>
  <c r="D206" i="5"/>
  <c r="B206" i="12" s="1"/>
  <c r="AE206" i="5"/>
  <c r="AD206" i="5"/>
  <c r="K206" i="5"/>
  <c r="J206" i="5"/>
  <c r="CL204" i="6"/>
  <c r="BS204" i="6"/>
  <c r="BZ204" i="6"/>
  <c r="BA204" i="6"/>
  <c r="T204" i="5"/>
  <c r="G204" i="12" s="1"/>
  <c r="AY204" i="6"/>
  <c r="AV204" i="6"/>
  <c r="AT204" i="6"/>
  <c r="CA204" i="6"/>
  <c r="BK204" i="6"/>
  <c r="AU204" i="6"/>
  <c r="BG204" i="6"/>
  <c r="CG204" i="6"/>
  <c r="BX204" i="6"/>
  <c r="BI204" i="6"/>
  <c r="AZ205" i="6" l="1"/>
  <c r="CF205" i="6"/>
  <c r="BP205" i="6"/>
  <c r="CH205" i="6"/>
  <c r="BQ205" i="6"/>
  <c r="BJ205" i="6"/>
  <c r="BD205" i="6"/>
  <c r="BW205" i="6"/>
  <c r="CK205" i="6"/>
  <c r="BX205" i="6"/>
  <c r="BE205" i="6"/>
  <c r="CB205" i="6"/>
  <c r="CM205" i="6"/>
  <c r="BT205" i="6"/>
  <c r="K205" i="12"/>
  <c r="M206" i="6"/>
  <c r="H206" i="6" a="1"/>
  <c r="H206" i="6" s="1"/>
  <c r="N206" i="6"/>
  <c r="T205" i="5"/>
  <c r="G205" i="12" s="1"/>
  <c r="BA205" i="6"/>
  <c r="AY205" i="6"/>
  <c r="AV205" i="6"/>
  <c r="AT205" i="6"/>
  <c r="AW205" i="6"/>
  <c r="AX205" i="6"/>
  <c r="AU205" i="6"/>
  <c r="BR205" i="6"/>
  <c r="BN205" i="6"/>
  <c r="CE205" i="6"/>
  <c r="BL205" i="6"/>
  <c r="BV205" i="6"/>
  <c r="BY205" i="6"/>
  <c r="BF205" i="6"/>
  <c r="BS205" i="6"/>
  <c r="BM205" i="6"/>
  <c r="CJ205" i="6"/>
  <c r="BO205" i="6"/>
  <c r="CD205" i="6"/>
  <c r="CL205" i="6"/>
  <c r="BG205" i="6"/>
  <c r="CA205" i="6"/>
  <c r="BK205" i="6"/>
  <c r="CC205" i="6"/>
  <c r="CI205" i="6"/>
  <c r="BZ205" i="6"/>
  <c r="BI205" i="6"/>
  <c r="BH205" i="6"/>
  <c r="CG205" i="6"/>
  <c r="BC205" i="6"/>
  <c r="N207" i="5"/>
  <c r="D207" i="6" s="1"/>
  <c r="AD207" i="5"/>
  <c r="AE207" i="5"/>
  <c r="I207" i="5"/>
  <c r="G207" i="5"/>
  <c r="F207" i="5"/>
  <c r="E207" i="5"/>
  <c r="A207" i="12"/>
  <c r="W207" i="5"/>
  <c r="H207" i="12" s="1"/>
  <c r="B207" i="6"/>
  <c r="J207" i="6" s="1" a="1"/>
  <c r="J207" i="6" s="1"/>
  <c r="H207" i="5"/>
  <c r="B207" i="5"/>
  <c r="C208" i="5" s="1"/>
  <c r="L206" i="12" a="1"/>
  <c r="L206" i="12" s="1"/>
  <c r="J206" i="12" a="1"/>
  <c r="J206" i="12" s="1"/>
  <c r="CG206" i="6" l="1"/>
  <c r="BV206" i="6"/>
  <c r="BF206" i="6"/>
  <c r="CC206" i="6"/>
  <c r="CJ206" i="6"/>
  <c r="CH206" i="6"/>
  <c r="BE206" i="6"/>
  <c r="BL206" i="6"/>
  <c r="K206" i="12"/>
  <c r="AW206" i="6"/>
  <c r="AV206" i="6"/>
  <c r="T206" i="5"/>
  <c r="G206" i="12" s="1"/>
  <c r="AY206" i="6"/>
  <c r="BA206" i="6"/>
  <c r="AT206" i="6"/>
  <c r="AZ206" i="6"/>
  <c r="AU206" i="6"/>
  <c r="AX206" i="6"/>
  <c r="N207" i="6"/>
  <c r="M207" i="6"/>
  <c r="H207" i="6" a="1"/>
  <c r="H207" i="6" s="1"/>
  <c r="G207" i="6"/>
  <c r="CI206" i="6"/>
  <c r="BM206" i="6"/>
  <c r="BT206" i="6"/>
  <c r="BW206" i="6"/>
  <c r="CD206" i="6"/>
  <c r="CM206" i="6"/>
  <c r="BJ206" i="6"/>
  <c r="BK206" i="6"/>
  <c r="BD206" i="6"/>
  <c r="BI206" i="6"/>
  <c r="CK206" i="6"/>
  <c r="BX206" i="6"/>
  <c r="BR206" i="6"/>
  <c r="CA206" i="6"/>
  <c r="BZ206" i="6"/>
  <c r="BC206" i="6"/>
  <c r="BH206" i="6"/>
  <c r="CB206" i="6"/>
  <c r="BG206" i="6"/>
  <c r="BS206" i="6"/>
  <c r="CL206" i="6"/>
  <c r="BP206" i="6"/>
  <c r="CE206" i="6"/>
  <c r="BQ206" i="6"/>
  <c r="CF206" i="6"/>
  <c r="BY206" i="6"/>
  <c r="C209" i="5"/>
  <c r="F208" i="5"/>
  <c r="E208" i="5"/>
  <c r="AD208" i="5"/>
  <c r="G208" i="5"/>
  <c r="W208" i="5"/>
  <c r="H208" i="12" s="1"/>
  <c r="B208" i="5"/>
  <c r="A208" i="12"/>
  <c r="I208" i="5"/>
  <c r="N208" i="5"/>
  <c r="D208" i="6" s="1"/>
  <c r="B208" i="6"/>
  <c r="J208" i="6" s="1" a="1"/>
  <c r="J208" i="6" s="1"/>
  <c r="AE208" i="5"/>
  <c r="H208" i="5"/>
  <c r="BN206" i="6"/>
  <c r="BO206" i="6"/>
  <c r="AU207" i="6" l="1"/>
  <c r="BM207" i="6"/>
  <c r="CH207" i="6"/>
  <c r="N209" i="5"/>
  <c r="D209" i="6" s="1"/>
  <c r="AE209" i="5"/>
  <c r="H209" i="5"/>
  <c r="J209" i="5"/>
  <c r="AD209" i="5"/>
  <c r="A209" i="12"/>
  <c r="B209" i="6"/>
  <c r="K209" i="5"/>
  <c r="F209" i="5"/>
  <c r="G209" i="5"/>
  <c r="C210" i="5"/>
  <c r="E209" i="5"/>
  <c r="D209" i="5"/>
  <c r="B209" i="12" s="1"/>
  <c r="B209" i="5"/>
  <c r="N208" i="6"/>
  <c r="H208" i="6" a="1"/>
  <c r="H208" i="6" s="1"/>
  <c r="M208" i="6"/>
  <c r="BJ208" i="6" s="1"/>
  <c r="G208" i="6"/>
  <c r="T207" i="5"/>
  <c r="G207" i="12" s="1"/>
  <c r="AP207" i="6"/>
  <c r="AZ207" i="6"/>
  <c r="AT207" i="6"/>
  <c r="AN207" i="6"/>
  <c r="AY207" i="6"/>
  <c r="AK207" i="6"/>
  <c r="AM207" i="6"/>
  <c r="AL207" i="6"/>
  <c r="AR207" i="6"/>
  <c r="AV207" i="6"/>
  <c r="AW207" i="6"/>
  <c r="AO207" i="6"/>
  <c r="AJ207" i="6"/>
  <c r="AS207" i="6"/>
  <c r="AX207" i="6"/>
  <c r="AQ207" i="6"/>
  <c r="BA207" i="6"/>
  <c r="BS207" i="6"/>
  <c r="CD207" i="6"/>
  <c r="CL207" i="6"/>
  <c r="BF207" i="6"/>
  <c r="CG207" i="6"/>
  <c r="BE207" i="6"/>
  <c r="CA207" i="6"/>
  <c r="BD207" i="6"/>
  <c r="CE207" i="6"/>
  <c r="BP207" i="6"/>
  <c r="BK207" i="6"/>
  <c r="BN207" i="6"/>
  <c r="BH207" i="6"/>
  <c r="CK207" i="6"/>
  <c r="CC207" i="6"/>
  <c r="BR207" i="6"/>
  <c r="BL207" i="6"/>
  <c r="CB207" i="6"/>
  <c r="BZ207" i="6"/>
  <c r="BI207" i="6"/>
  <c r="BC207" i="6"/>
  <c r="BG207" i="6"/>
  <c r="BO207" i="6"/>
  <c r="BJ207" i="6"/>
  <c r="BT207" i="6"/>
  <c r="BX207" i="6"/>
  <c r="CJ207" i="6"/>
  <c r="CM207" i="6"/>
  <c r="BY207" i="6"/>
  <c r="BV207" i="6"/>
  <c r="CI207" i="6"/>
  <c r="CF207" i="6"/>
  <c r="BW207" i="6"/>
  <c r="BQ207" i="6"/>
  <c r="AO208" i="6" l="1"/>
  <c r="CG208" i="6"/>
  <c r="BK208" i="6"/>
  <c r="BQ208" i="6"/>
  <c r="BS208" i="6"/>
  <c r="BM208" i="6"/>
  <c r="CH208" i="6"/>
  <c r="CM208" i="6"/>
  <c r="CE208" i="6"/>
  <c r="BE208" i="6"/>
  <c r="BC208" i="6"/>
  <c r="BI208" i="6"/>
  <c r="CK208" i="6"/>
  <c r="CD208" i="6"/>
  <c r="BG208" i="6"/>
  <c r="BR208" i="6"/>
  <c r="BN208" i="6"/>
  <c r="BP208" i="6"/>
  <c r="BZ208" i="6"/>
  <c r="BH208" i="6"/>
  <c r="BO208" i="6"/>
  <c r="CF208" i="6"/>
  <c r="CL208" i="6"/>
  <c r="BD208" i="6"/>
  <c r="CJ208" i="6"/>
  <c r="BV208" i="6"/>
  <c r="BX208" i="6"/>
  <c r="CB208" i="6"/>
  <c r="BL208" i="6"/>
  <c r="CC208" i="6"/>
  <c r="T208" i="5"/>
  <c r="G208" i="12" s="1"/>
  <c r="AL208" i="6"/>
  <c r="BA208" i="6"/>
  <c r="AP208" i="6"/>
  <c r="AM208" i="6"/>
  <c r="AU208" i="6"/>
  <c r="AX208" i="6"/>
  <c r="AN208" i="6"/>
  <c r="AQ208" i="6"/>
  <c r="AV208" i="6"/>
  <c r="AT208" i="6"/>
  <c r="AY208" i="6"/>
  <c r="AW208" i="6"/>
  <c r="AZ208" i="6"/>
  <c r="AS208" i="6"/>
  <c r="H209" i="6" a="1"/>
  <c r="H209" i="6" s="1"/>
  <c r="M209" i="6"/>
  <c r="CJ209" i="6" s="1"/>
  <c r="N209" i="6"/>
  <c r="CI208" i="6"/>
  <c r="B210" i="6"/>
  <c r="G210" i="5"/>
  <c r="B210" i="5"/>
  <c r="E210" i="5"/>
  <c r="N210" i="5"/>
  <c r="D210" i="6" s="1"/>
  <c r="AE210" i="5"/>
  <c r="AD210" i="5"/>
  <c r="K210" i="5"/>
  <c r="H210" i="5"/>
  <c r="J210" i="5"/>
  <c r="F210" i="5"/>
  <c r="D210" i="5"/>
  <c r="B210" i="12" s="1"/>
  <c r="A210" i="12"/>
  <c r="C211" i="5"/>
  <c r="AJ208" i="6"/>
  <c r="AR208" i="6"/>
  <c r="CA208" i="6"/>
  <c r="BY208" i="6"/>
  <c r="AK208" i="6"/>
  <c r="BF208" i="6"/>
  <c r="BT208" i="6"/>
  <c r="J209" i="12" a="1"/>
  <c r="J209" i="12" s="1"/>
  <c r="L209" i="12" a="1"/>
  <c r="L209" i="12" s="1"/>
  <c r="BW208" i="6"/>
  <c r="K209" i="12" l="1"/>
  <c r="BH209" i="6"/>
  <c r="BI209" i="6"/>
  <c r="BK209" i="6"/>
  <c r="BR209" i="6"/>
  <c r="CK209" i="6"/>
  <c r="CD209" i="6"/>
  <c r="BP209" i="6"/>
  <c r="CB209" i="6"/>
  <c r="CI209" i="6"/>
  <c r="BX209" i="6"/>
  <c r="BS209" i="6"/>
  <c r="CC209" i="6"/>
  <c r="BD209" i="6"/>
  <c r="BG209" i="6"/>
  <c r="BE209" i="6"/>
  <c r="BF209" i="6"/>
  <c r="BL209" i="6"/>
  <c r="CE209" i="6"/>
  <c r="BT209" i="6"/>
  <c r="CH209" i="6"/>
  <c r="BM209" i="6"/>
  <c r="BY209" i="6"/>
  <c r="BV209" i="6"/>
  <c r="CM209" i="6"/>
  <c r="BJ209" i="6"/>
  <c r="CA209" i="6"/>
  <c r="CG209" i="6"/>
  <c r="BW209" i="6"/>
  <c r="BZ209" i="6"/>
  <c r="CL209" i="6"/>
  <c r="BC209" i="6"/>
  <c r="BO209" i="6"/>
  <c r="BQ209" i="6"/>
  <c r="CF209" i="6"/>
  <c r="AT209" i="6"/>
  <c r="AY209" i="6"/>
  <c r="T209" i="5"/>
  <c r="G209" i="12" s="1"/>
  <c r="BA209" i="6"/>
  <c r="AV209" i="6"/>
  <c r="AZ209" i="6"/>
  <c r="AX209" i="6"/>
  <c r="AU209" i="6"/>
  <c r="AW209" i="6"/>
  <c r="N210" i="6"/>
  <c r="M210" i="6"/>
  <c r="CE210" i="6" s="1"/>
  <c r="H210" i="6" a="1"/>
  <c r="H210" i="6" s="1"/>
  <c r="BN209" i="6"/>
  <c r="N211" i="5"/>
  <c r="D211" i="6" s="1"/>
  <c r="AE211" i="5"/>
  <c r="J211" i="5"/>
  <c r="AD211" i="5"/>
  <c r="K211" i="5"/>
  <c r="B211" i="5"/>
  <c r="G211" i="5"/>
  <c r="C212" i="5"/>
  <c r="B211" i="6"/>
  <c r="F211" i="5"/>
  <c r="E211" i="5"/>
  <c r="A211" i="12"/>
  <c r="D211" i="5"/>
  <c r="B211" i="12" s="1"/>
  <c r="H211" i="5"/>
  <c r="L210" i="12" a="1"/>
  <c r="L210" i="12" s="1"/>
  <c r="J210" i="12" a="1"/>
  <c r="J210" i="12" s="1"/>
  <c r="BW210" i="6" l="1"/>
  <c r="BO210" i="6"/>
  <c r="B212" i="6"/>
  <c r="AE212" i="5"/>
  <c r="H212" i="5"/>
  <c r="B212" i="5"/>
  <c r="J212" i="5"/>
  <c r="C213" i="5"/>
  <c r="G212" i="5"/>
  <c r="D212" i="5"/>
  <c r="B212" i="12" s="1"/>
  <c r="F212" i="5"/>
  <c r="E212" i="5"/>
  <c r="N212" i="5"/>
  <c r="D212" i="6" s="1"/>
  <c r="AD212" i="5"/>
  <c r="A212" i="12"/>
  <c r="K212" i="5"/>
  <c r="AY210" i="6"/>
  <c r="AW210" i="6"/>
  <c r="AZ210" i="6"/>
  <c r="BA210" i="6"/>
  <c r="AU210" i="6"/>
  <c r="T210" i="5"/>
  <c r="G210" i="12" s="1"/>
  <c r="AV210" i="6"/>
  <c r="AT210" i="6"/>
  <c r="CH210" i="6"/>
  <c r="CJ210" i="6"/>
  <c r="CL210" i="6"/>
  <c r="BP210" i="6"/>
  <c r="BN210" i="6"/>
  <c r="BF210" i="6"/>
  <c r="BH210" i="6"/>
  <c r="BX210" i="6"/>
  <c r="BL210" i="6"/>
  <c r="CA210" i="6"/>
  <c r="CC210" i="6"/>
  <c r="BG210" i="6"/>
  <c r="BE210" i="6"/>
  <c r="BY210" i="6"/>
  <c r="CG210" i="6"/>
  <c r="CM210" i="6"/>
  <c r="BQ210" i="6"/>
  <c r="BK210" i="6"/>
  <c r="BJ210" i="6"/>
  <c r="CF210" i="6"/>
  <c r="BR210" i="6"/>
  <c r="CK210" i="6"/>
  <c r="BI210" i="6"/>
  <c r="CI210" i="6"/>
  <c r="BZ210" i="6"/>
  <c r="BV210" i="6"/>
  <c r="CB210" i="6"/>
  <c r="BS210" i="6"/>
  <c r="K210" i="12"/>
  <c r="BT210" i="6"/>
  <c r="M211" i="6"/>
  <c r="BV211" i="6" s="1"/>
  <c r="N211" i="6"/>
  <c r="H211" i="6" a="1"/>
  <c r="H211" i="6" s="1"/>
  <c r="BC210" i="6"/>
  <c r="J211" i="12" a="1"/>
  <c r="J211" i="12" s="1"/>
  <c r="L211" i="12" a="1"/>
  <c r="L211" i="12" s="1"/>
  <c r="BM210" i="6"/>
  <c r="AX210" i="6"/>
  <c r="CD210" i="6"/>
  <c r="BD210" i="6"/>
  <c r="AY211" i="6" l="1"/>
  <c r="BO211" i="6"/>
  <c r="K211" i="12"/>
  <c r="BQ211" i="6"/>
  <c r="BD211" i="6"/>
  <c r="CJ211" i="6"/>
  <c r="AU211" i="6"/>
  <c r="AV211" i="6"/>
  <c r="T211" i="5"/>
  <c r="G211" i="12" s="1"/>
  <c r="AT211" i="6"/>
  <c r="BI211" i="6"/>
  <c r="AW211" i="6"/>
  <c r="E213" i="5"/>
  <c r="N213" i="5"/>
  <c r="D213" i="6" s="1"/>
  <c r="D213" i="5"/>
  <c r="B213" i="12" s="1"/>
  <c r="C214" i="5"/>
  <c r="B213" i="5"/>
  <c r="J213" i="5"/>
  <c r="AD213" i="5"/>
  <c r="K213" i="5"/>
  <c r="A213" i="12"/>
  <c r="AE213" i="5"/>
  <c r="B213" i="6"/>
  <c r="G213" i="5"/>
  <c r="H213" i="5"/>
  <c r="F213" i="5"/>
  <c r="BM211" i="6"/>
  <c r="BZ211" i="6"/>
  <c r="BK211" i="6"/>
  <c r="CC211" i="6"/>
  <c r="CK211" i="6"/>
  <c r="BT211" i="6"/>
  <c r="BG211" i="6"/>
  <c r="CI211" i="6"/>
  <c r="BY211" i="6"/>
  <c r="BL211" i="6"/>
  <c r="BH211" i="6"/>
  <c r="CB211" i="6"/>
  <c r="CL211" i="6"/>
  <c r="BF211" i="6"/>
  <c r="AZ211" i="6"/>
  <c r="CG211" i="6"/>
  <c r="BJ211" i="6"/>
  <c r="BW211" i="6"/>
  <c r="BE211" i="6"/>
  <c r="BN211" i="6"/>
  <c r="CF211" i="6"/>
  <c r="CE211" i="6"/>
  <c r="J212" i="12" a="1"/>
  <c r="J212" i="12" s="1"/>
  <c r="L212" i="12" a="1"/>
  <c r="L212" i="12" s="1"/>
  <c r="CH211" i="6"/>
  <c r="BX211" i="6"/>
  <c r="BR211" i="6"/>
  <c r="H212" i="6" a="1"/>
  <c r="H212" i="6" s="1"/>
  <c r="M212" i="6"/>
  <c r="BY212" i="6" s="1"/>
  <c r="N212" i="6"/>
  <c r="CA211" i="6"/>
  <c r="BP211" i="6"/>
  <c r="CM211" i="6"/>
  <c r="CD211" i="6"/>
  <c r="BS211" i="6"/>
  <c r="BA211" i="6"/>
  <c r="AX211" i="6"/>
  <c r="BC211" i="6"/>
  <c r="K212" i="12" l="1"/>
  <c r="T212" i="5"/>
  <c r="G212" i="12" s="1"/>
  <c r="AW212" i="6"/>
  <c r="AZ212" i="6"/>
  <c r="AY212" i="6"/>
  <c r="AX212" i="6"/>
  <c r="AV212" i="6"/>
  <c r="BA212" i="6"/>
  <c r="AT212" i="6"/>
  <c r="AU212" i="6"/>
  <c r="AD214" i="5"/>
  <c r="E214" i="5"/>
  <c r="F214" i="5"/>
  <c r="G214" i="5"/>
  <c r="N214" i="5"/>
  <c r="D214" i="6" s="1"/>
  <c r="H214" i="5"/>
  <c r="AE214" i="5"/>
  <c r="B214" i="5"/>
  <c r="C215" i="5" s="1"/>
  <c r="D214" i="5"/>
  <c r="B214" i="12" s="1"/>
  <c r="K214" i="5"/>
  <c r="J214" i="5"/>
  <c r="A214" i="12"/>
  <c r="B214" i="6"/>
  <c r="M213" i="6"/>
  <c r="N213" i="6"/>
  <c r="H213" i="6" a="1"/>
  <c r="H213" i="6" s="1"/>
  <c r="J213" i="12" a="1"/>
  <c r="J213" i="12" s="1"/>
  <c r="L213" i="12" a="1"/>
  <c r="L213" i="12" s="1"/>
  <c r="CM212" i="6"/>
  <c r="CI212" i="6"/>
  <c r="CA212" i="6"/>
  <c r="BT212" i="6"/>
  <c r="CL212" i="6"/>
  <c r="BM212" i="6"/>
  <c r="BI212" i="6"/>
  <c r="BO212" i="6"/>
  <c r="BC212" i="6"/>
  <c r="CD212" i="6"/>
  <c r="BV212" i="6"/>
  <c r="CH212" i="6"/>
  <c r="BX212" i="6"/>
  <c r="BR212" i="6"/>
  <c r="CE212" i="6"/>
  <c r="CJ212" i="6"/>
  <c r="BQ212" i="6"/>
  <c r="BH212" i="6"/>
  <c r="BG212" i="6"/>
  <c r="BK212" i="6"/>
  <c r="BP212" i="6"/>
  <c r="BZ212" i="6"/>
  <c r="BJ212" i="6"/>
  <c r="BW212" i="6"/>
  <c r="BE212" i="6"/>
  <c r="CK212" i="6"/>
  <c r="BF212" i="6"/>
  <c r="CB212" i="6"/>
  <c r="BL212" i="6"/>
  <c r="BN212" i="6"/>
  <c r="CC212" i="6"/>
  <c r="CG212" i="6"/>
  <c r="BD212" i="6"/>
  <c r="CF212" i="6"/>
  <c r="BS212" i="6"/>
  <c r="BM213" i="6" l="1"/>
  <c r="BT213" i="6"/>
  <c r="BV213" i="6"/>
  <c r="BO213" i="6"/>
  <c r="BZ213" i="6"/>
  <c r="BR213" i="6"/>
  <c r="BY213" i="6"/>
  <c r="CK213" i="6"/>
  <c r="BJ213" i="6"/>
  <c r="BL213" i="6"/>
  <c r="BK213" i="6"/>
  <c r="BD213" i="6"/>
  <c r="CD213" i="6"/>
  <c r="BN213" i="6"/>
  <c r="BW213" i="6"/>
  <c r="BX213" i="6"/>
  <c r="BQ213" i="6"/>
  <c r="CM213" i="6"/>
  <c r="BC213" i="6"/>
  <c r="CH213" i="6"/>
  <c r="CB213" i="6"/>
  <c r="CE213" i="6"/>
  <c r="BS213" i="6"/>
  <c r="BG213" i="6"/>
  <c r="BH213" i="6"/>
  <c r="CJ213" i="6"/>
  <c r="CF213" i="6"/>
  <c r="BE213" i="6"/>
  <c r="CI213" i="6"/>
  <c r="CA213" i="6"/>
  <c r="CC213" i="6"/>
  <c r="CG213" i="6"/>
  <c r="BF213" i="6"/>
  <c r="CL213" i="6"/>
  <c r="BP213" i="6"/>
  <c r="L214" i="12" a="1"/>
  <c r="L214" i="12" s="1"/>
  <c r="J214" i="12" a="1"/>
  <c r="J214" i="12" s="1"/>
  <c r="AE215" i="5"/>
  <c r="G215" i="5"/>
  <c r="E215" i="5"/>
  <c r="B215" i="5"/>
  <c r="C216" i="5" s="1"/>
  <c r="B215" i="6"/>
  <c r="J215" i="6" s="1" a="1"/>
  <c r="J215" i="6" s="1"/>
  <c r="I215" i="5"/>
  <c r="W215" i="5"/>
  <c r="H215" i="12" s="1"/>
  <c r="A215" i="12"/>
  <c r="N215" i="5"/>
  <c r="D215" i="6" s="1"/>
  <c r="AD215" i="5"/>
  <c r="H215" i="5"/>
  <c r="F215" i="5"/>
  <c r="BI213" i="6"/>
  <c r="K213" i="12"/>
  <c r="N214" i="6"/>
  <c r="H214" i="6" a="1"/>
  <c r="H214" i="6" s="1"/>
  <c r="M214" i="6"/>
  <c r="AX213" i="6"/>
  <c r="AZ213" i="6"/>
  <c r="BA213" i="6"/>
  <c r="AY213" i="6"/>
  <c r="AU213" i="6"/>
  <c r="AW213" i="6"/>
  <c r="AT213" i="6"/>
  <c r="T213" i="5"/>
  <c r="G213" i="12" s="1"/>
  <c r="AV213" i="6"/>
  <c r="K214" i="12" l="1"/>
  <c r="H215" i="6" a="1"/>
  <c r="H215" i="6" s="1"/>
  <c r="N215" i="6"/>
  <c r="M215" i="6"/>
  <c r="G215" i="6"/>
  <c r="CG214" i="6"/>
  <c r="BZ214" i="6"/>
  <c r="CL214" i="6"/>
  <c r="BM214" i="6"/>
  <c r="BO214" i="6"/>
  <c r="BF214" i="6"/>
  <c r="CM214" i="6"/>
  <c r="BT214" i="6"/>
  <c r="BK214" i="6"/>
  <c r="CD214" i="6"/>
  <c r="BW214" i="6"/>
  <c r="BP214" i="6"/>
  <c r="CE214" i="6"/>
  <c r="BX214" i="6"/>
  <c r="BC214" i="6"/>
  <c r="BL214" i="6"/>
  <c r="BY214" i="6"/>
  <c r="BQ214" i="6"/>
  <c r="CA214" i="6"/>
  <c r="BN214" i="6"/>
  <c r="CB214" i="6"/>
  <c r="BR214" i="6"/>
  <c r="CF214" i="6"/>
  <c r="CJ214" i="6"/>
  <c r="BD214" i="6"/>
  <c r="CK214" i="6"/>
  <c r="CH214" i="6"/>
  <c r="BH214" i="6"/>
  <c r="BS214" i="6"/>
  <c r="BI214" i="6"/>
  <c r="BJ214" i="6"/>
  <c r="BV214" i="6"/>
  <c r="BE214" i="6"/>
  <c r="CC214" i="6"/>
  <c r="BG214" i="6"/>
  <c r="CI214" i="6"/>
  <c r="AV214" i="6"/>
  <c r="AU214" i="6"/>
  <c r="T214" i="5"/>
  <c r="G214" i="12" s="1"/>
  <c r="AY214" i="6"/>
  <c r="BA214" i="6"/>
  <c r="AT214" i="6"/>
  <c r="AZ214" i="6"/>
  <c r="AW214" i="6"/>
  <c r="AX214" i="6"/>
  <c r="H216" i="5"/>
  <c r="G216" i="5"/>
  <c r="E216" i="5"/>
  <c r="N216" i="5"/>
  <c r="D216" i="6" s="1"/>
  <c r="C217" i="5"/>
  <c r="W216" i="5"/>
  <c r="H216" i="12" s="1"/>
  <c r="F216" i="5"/>
  <c r="A216" i="12"/>
  <c r="B216" i="6"/>
  <c r="J216" i="6" s="1" a="1"/>
  <c r="J216" i="6" s="1"/>
  <c r="B216" i="5"/>
  <c r="AD216" i="5"/>
  <c r="AE216" i="5"/>
  <c r="I216" i="5"/>
  <c r="AY215" i="6" l="1"/>
  <c r="BA215" i="6"/>
  <c r="CA215" i="6"/>
  <c r="BE215" i="6"/>
  <c r="BJ215" i="6"/>
  <c r="BH215" i="6"/>
  <c r="BW215" i="6"/>
  <c r="BL215" i="6"/>
  <c r="BP215" i="6"/>
  <c r="CI215" i="6"/>
  <c r="BF215" i="6"/>
  <c r="CM215" i="6"/>
  <c r="AQ215" i="6"/>
  <c r="AL215" i="6"/>
  <c r="AO215" i="6"/>
  <c r="AW215" i="6"/>
  <c r="AN215" i="6"/>
  <c r="BQ215" i="6"/>
  <c r="BV215" i="6"/>
  <c r="CF215" i="6"/>
  <c r="CK215" i="6"/>
  <c r="CE215" i="6"/>
  <c r="AR215" i="6"/>
  <c r="BO215" i="6"/>
  <c r="CH215" i="6"/>
  <c r="AU215" i="6"/>
  <c r="AT215" i="6"/>
  <c r="D217" i="5"/>
  <c r="B217" i="12" s="1"/>
  <c r="B217" i="6"/>
  <c r="A217" i="12"/>
  <c r="B217" i="5"/>
  <c r="C218" i="5"/>
  <c r="AE217" i="5"/>
  <c r="J217" i="5"/>
  <c r="AD217" i="5"/>
  <c r="G217" i="5"/>
  <c r="H217" i="5"/>
  <c r="F217" i="5"/>
  <c r="N217" i="5"/>
  <c r="D217" i="6" s="1"/>
  <c r="K217" i="5"/>
  <c r="E217" i="5"/>
  <c r="AJ215" i="6"/>
  <c r="M216" i="6"/>
  <c r="BM216" i="6" s="1"/>
  <c r="H216" i="6" a="1"/>
  <c r="H216" i="6" s="1"/>
  <c r="T216" i="5" s="1"/>
  <c r="G216" i="12" s="1"/>
  <c r="G216" i="6"/>
  <c r="N216" i="6"/>
  <c r="CL215" i="6"/>
  <c r="CC215" i="6"/>
  <c r="BT215" i="6"/>
  <c r="BZ215" i="6"/>
  <c r="BX215" i="6"/>
  <c r="BY215" i="6"/>
  <c r="BN215" i="6"/>
  <c r="BS215" i="6"/>
  <c r="CJ215" i="6"/>
  <c r="BC215" i="6"/>
  <c r="BG215" i="6"/>
  <c r="BM215" i="6"/>
  <c r="CB215" i="6"/>
  <c r="CG215" i="6"/>
  <c r="CD215" i="6"/>
  <c r="BK215" i="6"/>
  <c r="BR215" i="6"/>
  <c r="BD215" i="6"/>
  <c r="BI215" i="6"/>
  <c r="T215" i="5"/>
  <c r="G215" i="12" s="1"/>
  <c r="AZ215" i="6"/>
  <c r="AM215" i="6"/>
  <c r="AX215" i="6"/>
  <c r="AS215" i="6"/>
  <c r="AK215" i="6"/>
  <c r="AP215" i="6"/>
  <c r="AV215" i="6"/>
  <c r="BL216" i="6" l="1"/>
  <c r="CC216" i="6"/>
  <c r="AK216" i="6"/>
  <c r="AO216" i="6"/>
  <c r="AZ216" i="6"/>
  <c r="AM216" i="6"/>
  <c r="BR216" i="6"/>
  <c r="BH216" i="6"/>
  <c r="AS216" i="6"/>
  <c r="AT216" i="6"/>
  <c r="AL216" i="6"/>
  <c r="AX216" i="6"/>
  <c r="BQ216" i="6"/>
  <c r="BO216" i="6"/>
  <c r="BE216" i="6"/>
  <c r="BD216" i="6"/>
  <c r="BJ216" i="6"/>
  <c r="AV216" i="6"/>
  <c r="BA216" i="6"/>
  <c r="BT216" i="6"/>
  <c r="AR216" i="6"/>
  <c r="BV216" i="6"/>
  <c r="CM216" i="6"/>
  <c r="BW216" i="6"/>
  <c r="BF216" i="6"/>
  <c r="CA216" i="6"/>
  <c r="BP216" i="6"/>
  <c r="CI216" i="6"/>
  <c r="BY216" i="6"/>
  <c r="BG216" i="6"/>
  <c r="CG216" i="6"/>
  <c r="AW216" i="6"/>
  <c r="AQ216" i="6"/>
  <c r="CD216" i="6"/>
  <c r="BN216" i="6"/>
  <c r="AE218" i="5"/>
  <c r="G218" i="5"/>
  <c r="E218" i="5"/>
  <c r="A218" i="12"/>
  <c r="F218" i="5"/>
  <c r="K218" i="5"/>
  <c r="D218" i="5"/>
  <c r="B218" i="12" s="1"/>
  <c r="B218" i="5"/>
  <c r="AD218" i="5"/>
  <c r="B218" i="6"/>
  <c r="C219" i="5"/>
  <c r="H218" i="5"/>
  <c r="J218" i="5"/>
  <c r="N218" i="5"/>
  <c r="D218" i="6" s="1"/>
  <c r="J217" i="12" a="1"/>
  <c r="J217" i="12" s="1"/>
  <c r="L217" i="12" a="1"/>
  <c r="L217" i="12" s="1"/>
  <c r="CH216" i="6"/>
  <c r="BI216" i="6"/>
  <c r="BC216" i="6"/>
  <c r="CE216" i="6"/>
  <c r="M217" i="6"/>
  <c r="CM217" i="6" s="1"/>
  <c r="N217" i="6"/>
  <c r="H217" i="6" a="1"/>
  <c r="H217" i="6" s="1"/>
  <c r="BK216" i="6"/>
  <c r="AP216" i="6"/>
  <c r="BX216" i="6"/>
  <c r="AY216" i="6"/>
  <c r="CF216" i="6"/>
  <c r="AN216" i="6"/>
  <c r="BS216" i="6"/>
  <c r="CJ216" i="6"/>
  <c r="CB216" i="6"/>
  <c r="CL216" i="6"/>
  <c r="CK216" i="6"/>
  <c r="AJ216" i="6"/>
  <c r="AU216" i="6"/>
  <c r="BZ216" i="6"/>
  <c r="AU217" i="6" l="1"/>
  <c r="BI217" i="6"/>
  <c r="K217" i="12"/>
  <c r="CI217" i="6"/>
  <c r="BP217" i="6"/>
  <c r="AW217" i="6"/>
  <c r="CF217" i="6"/>
  <c r="CJ217" i="6"/>
  <c r="BC217" i="6"/>
  <c r="L218" i="12" a="1"/>
  <c r="L218" i="12" s="1"/>
  <c r="J218" i="12" a="1"/>
  <c r="J218" i="12" s="1"/>
  <c r="AZ217" i="6"/>
  <c r="AT217" i="6"/>
  <c r="T217" i="5"/>
  <c r="G217" i="12" s="1"/>
  <c r="AX217" i="6"/>
  <c r="BA217" i="6"/>
  <c r="N218" i="6"/>
  <c r="H218" i="6" a="1"/>
  <c r="H218" i="6" s="1"/>
  <c r="M218" i="6"/>
  <c r="BW217" i="6"/>
  <c r="BX217" i="6"/>
  <c r="BK217" i="6"/>
  <c r="CC217" i="6"/>
  <c r="CD217" i="6"/>
  <c r="BV217" i="6"/>
  <c r="BL217" i="6"/>
  <c r="BT217" i="6"/>
  <c r="CG217" i="6"/>
  <c r="CA217" i="6"/>
  <c r="CH217" i="6"/>
  <c r="BJ217" i="6"/>
  <c r="BM217" i="6"/>
  <c r="BQ217" i="6"/>
  <c r="CL217" i="6"/>
  <c r="BY217" i="6"/>
  <c r="BE217" i="6"/>
  <c r="BO217" i="6"/>
  <c r="BD217" i="6"/>
  <c r="CE217" i="6"/>
  <c r="BG217" i="6"/>
  <c r="BH217" i="6"/>
  <c r="CB217" i="6"/>
  <c r="BS217" i="6"/>
  <c r="BF217" i="6"/>
  <c r="BN217" i="6"/>
  <c r="BR217" i="6"/>
  <c r="AD219" i="5"/>
  <c r="H219" i="5"/>
  <c r="G219" i="5"/>
  <c r="F219" i="5"/>
  <c r="J219" i="5"/>
  <c r="C220" i="5"/>
  <c r="AE219" i="5"/>
  <c r="N219" i="5"/>
  <c r="D219" i="6" s="1"/>
  <c r="K219" i="5"/>
  <c r="E219" i="5"/>
  <c r="A219" i="12"/>
  <c r="D219" i="5"/>
  <c r="B219" i="12" s="1"/>
  <c r="B219" i="6"/>
  <c r="B219" i="5"/>
  <c r="AY217" i="6"/>
  <c r="CK217" i="6"/>
  <c r="BZ217" i="6"/>
  <c r="AV217" i="6"/>
  <c r="BX218" i="6" l="1"/>
  <c r="BG218" i="6"/>
  <c r="CG218" i="6"/>
  <c r="CK218" i="6"/>
  <c r="BE218" i="6"/>
  <c r="CB218" i="6"/>
  <c r="BD218" i="6"/>
  <c r="CH218" i="6"/>
  <c r="K218" i="12"/>
  <c r="BL218" i="6"/>
  <c r="AV218" i="6"/>
  <c r="AU218" i="6"/>
  <c r="T218" i="5"/>
  <c r="G218" i="12" s="1"/>
  <c r="L219" i="12" a="1"/>
  <c r="L219" i="12" s="1"/>
  <c r="J219" i="12" a="1"/>
  <c r="J219" i="12" s="1"/>
  <c r="AZ218" i="6"/>
  <c r="AW218" i="6"/>
  <c r="N219" i="6"/>
  <c r="M219" i="6"/>
  <c r="BK219" i="6" s="1"/>
  <c r="H219" i="6" a="1"/>
  <c r="H219" i="6" s="1"/>
  <c r="AX218" i="6"/>
  <c r="AY218" i="6"/>
  <c r="F220" i="5"/>
  <c r="N220" i="5"/>
  <c r="D220" i="6" s="1"/>
  <c r="B220" i="5"/>
  <c r="H220" i="5"/>
  <c r="AD220" i="5"/>
  <c r="C221" i="5"/>
  <c r="J220" i="5"/>
  <c r="K220" i="5"/>
  <c r="D220" i="5"/>
  <c r="B220" i="12" s="1"/>
  <c r="AE220" i="5"/>
  <c r="A220" i="12"/>
  <c r="G220" i="5"/>
  <c r="B220" i="6"/>
  <c r="E220" i="5"/>
  <c r="AT218" i="6"/>
  <c r="BA218" i="6"/>
  <c r="CE218" i="6"/>
  <c r="BM218" i="6"/>
  <c r="BI218" i="6"/>
  <c r="CM218" i="6"/>
  <c r="CI218" i="6"/>
  <c r="CF218" i="6"/>
  <c r="BH218" i="6"/>
  <c r="CA218" i="6"/>
  <c r="BZ218" i="6"/>
  <c r="BN218" i="6"/>
  <c r="BC218" i="6"/>
  <c r="CC218" i="6"/>
  <c r="BK218" i="6"/>
  <c r="BJ218" i="6"/>
  <c r="BS218" i="6"/>
  <c r="BW218" i="6"/>
  <c r="CJ218" i="6"/>
  <c r="BY218" i="6"/>
  <c r="CD218" i="6"/>
  <c r="BR218" i="6"/>
  <c r="BV218" i="6"/>
  <c r="BT218" i="6"/>
  <c r="CL218" i="6"/>
  <c r="BO218" i="6"/>
  <c r="BQ218" i="6"/>
  <c r="BF218" i="6"/>
  <c r="BP218" i="6"/>
  <c r="BN219" i="6" l="1"/>
  <c r="AZ219" i="6"/>
  <c r="BJ219" i="6"/>
  <c r="CI219" i="6"/>
  <c r="CE219" i="6"/>
  <c r="BC219" i="6"/>
  <c r="BH219" i="6"/>
  <c r="CA219" i="6"/>
  <c r="CD219" i="6"/>
  <c r="BM219" i="6"/>
  <c r="CH219" i="6"/>
  <c r="CK219" i="6"/>
  <c r="CG219" i="6"/>
  <c r="BQ219" i="6"/>
  <c r="BP219" i="6"/>
  <c r="K219" i="12"/>
  <c r="BG219" i="6"/>
  <c r="BY219" i="6"/>
  <c r="CC219" i="6"/>
  <c r="BX219" i="6"/>
  <c r="BV219" i="6"/>
  <c r="BF219" i="6"/>
  <c r="BI219" i="6"/>
  <c r="CB219" i="6"/>
  <c r="CJ219" i="6"/>
  <c r="CM219" i="6"/>
  <c r="BW219" i="6"/>
  <c r="CF219" i="6"/>
  <c r="BZ219" i="6"/>
  <c r="CL219" i="6"/>
  <c r="L220" i="12" a="1"/>
  <c r="L220" i="12" s="1"/>
  <c r="J220" i="12" a="1"/>
  <c r="J220" i="12" s="1"/>
  <c r="AY219" i="6"/>
  <c r="AT219" i="6"/>
  <c r="AV219" i="6"/>
  <c r="AX219" i="6"/>
  <c r="F221" i="5"/>
  <c r="N221" i="5"/>
  <c r="D221" i="6" s="1"/>
  <c r="D221" i="5"/>
  <c r="B221" i="12" s="1"/>
  <c r="E221" i="5"/>
  <c r="B221" i="5"/>
  <c r="AD221" i="5"/>
  <c r="C222" i="5"/>
  <c r="G221" i="5"/>
  <c r="H221" i="5"/>
  <c r="B221" i="6"/>
  <c r="K221" i="5"/>
  <c r="J221" i="5"/>
  <c r="AE221" i="5"/>
  <c r="A221" i="12"/>
  <c r="AW219" i="6"/>
  <c r="T219" i="5"/>
  <c r="G219" i="12" s="1"/>
  <c r="BO219" i="6"/>
  <c r="BT219" i="6"/>
  <c r="BD219" i="6"/>
  <c r="BL219" i="6"/>
  <c r="BA219" i="6"/>
  <c r="H220" i="6" a="1"/>
  <c r="H220" i="6" s="1"/>
  <c r="M220" i="6"/>
  <c r="N220" i="6"/>
  <c r="BS219" i="6"/>
  <c r="AU219" i="6"/>
  <c r="BE219" i="6"/>
  <c r="BR219" i="6"/>
  <c r="K220" i="12" l="1"/>
  <c r="L221" i="12" a="1"/>
  <c r="L221" i="12" s="1"/>
  <c r="J221" i="12" a="1"/>
  <c r="J221" i="12" s="1"/>
  <c r="M221" i="6"/>
  <c r="BI221" i="6" s="1"/>
  <c r="H221" i="6" a="1"/>
  <c r="H221" i="6" s="1"/>
  <c r="N221" i="6"/>
  <c r="BR220" i="6"/>
  <c r="CI220" i="6"/>
  <c r="BM220" i="6"/>
  <c r="CM220" i="6"/>
  <c r="CK220" i="6"/>
  <c r="BG220" i="6"/>
  <c r="CL220" i="6"/>
  <c r="BH220" i="6"/>
  <c r="BC220" i="6"/>
  <c r="BP220" i="6"/>
  <c r="BT220" i="6"/>
  <c r="BL220" i="6"/>
  <c r="BN220" i="6"/>
  <c r="BJ220" i="6"/>
  <c r="BD220" i="6"/>
  <c r="BQ220" i="6"/>
  <c r="CD220" i="6"/>
  <c r="CF220" i="6"/>
  <c r="BF220" i="6"/>
  <c r="BI220" i="6"/>
  <c r="BW220" i="6"/>
  <c r="BS220" i="6"/>
  <c r="CA220" i="6"/>
  <c r="BV220" i="6"/>
  <c r="BZ220" i="6"/>
  <c r="CE220" i="6"/>
  <c r="CB220" i="6"/>
  <c r="CJ220" i="6"/>
  <c r="BY220" i="6"/>
  <c r="BK220" i="6"/>
  <c r="BO220" i="6"/>
  <c r="CH220" i="6"/>
  <c r="CG220" i="6"/>
  <c r="CC220" i="6"/>
  <c r="BE220" i="6"/>
  <c r="BX220" i="6"/>
  <c r="AX220" i="6"/>
  <c r="AY220" i="6"/>
  <c r="AV220" i="6"/>
  <c r="AZ220" i="6"/>
  <c r="BA220" i="6"/>
  <c r="AW220" i="6"/>
  <c r="AT220" i="6"/>
  <c r="T220" i="5"/>
  <c r="G220" i="12" s="1"/>
  <c r="AU220" i="6"/>
  <c r="F222" i="5"/>
  <c r="B222" i="5"/>
  <c r="AD222" i="5"/>
  <c r="D222" i="5"/>
  <c r="B222" i="12" s="1"/>
  <c r="G222" i="5"/>
  <c r="AE222" i="5"/>
  <c r="E222" i="5"/>
  <c r="C223" i="5"/>
  <c r="N222" i="5"/>
  <c r="D222" i="6" s="1"/>
  <c r="B222" i="6"/>
  <c r="K222" i="5"/>
  <c r="J222" i="5"/>
  <c r="A222" i="12"/>
  <c r="H222" i="5"/>
  <c r="AT221" i="6" l="1"/>
  <c r="CF221" i="6"/>
  <c r="CH221" i="6"/>
  <c r="BM221" i="6"/>
  <c r="CL221" i="6"/>
  <c r="K221" i="12"/>
  <c r="L222" i="12" a="1"/>
  <c r="L222" i="12" s="1"/>
  <c r="J222" i="12" a="1"/>
  <c r="J222" i="12" s="1"/>
  <c r="N222" i="6"/>
  <c r="M222" i="6"/>
  <c r="BM222" i="6" s="1"/>
  <c r="H222" i="6" a="1"/>
  <c r="H222" i="6" s="1"/>
  <c r="T222" i="5" s="1"/>
  <c r="G222" i="12" s="1"/>
  <c r="AW221" i="6"/>
  <c r="BA221" i="6"/>
  <c r="AV221" i="6"/>
  <c r="AZ221" i="6"/>
  <c r="T221" i="5"/>
  <c r="G221" i="12" s="1"/>
  <c r="AY221" i="6"/>
  <c r="AU221" i="6"/>
  <c r="CB221" i="6"/>
  <c r="CE221" i="6"/>
  <c r="BD221" i="6"/>
  <c r="CJ221" i="6"/>
  <c r="BK221" i="6"/>
  <c r="BJ221" i="6"/>
  <c r="CA221" i="6"/>
  <c r="BN221" i="6"/>
  <c r="BQ221" i="6"/>
  <c r="BZ221" i="6"/>
  <c r="CI221" i="6"/>
  <c r="BY221" i="6"/>
  <c r="BX221" i="6"/>
  <c r="BR221" i="6"/>
  <c r="BT221" i="6"/>
  <c r="BV221" i="6"/>
  <c r="CM221" i="6"/>
  <c r="BL221" i="6"/>
  <c r="CC221" i="6"/>
  <c r="BP221" i="6"/>
  <c r="CG221" i="6"/>
  <c r="CD221" i="6"/>
  <c r="BC221" i="6"/>
  <c r="CK221" i="6"/>
  <c r="BO221" i="6"/>
  <c r="BW221" i="6"/>
  <c r="BE221" i="6"/>
  <c r="BS221" i="6"/>
  <c r="BH221" i="6"/>
  <c r="BF221" i="6"/>
  <c r="BG221" i="6"/>
  <c r="F223" i="5"/>
  <c r="AE223" i="5"/>
  <c r="G223" i="5"/>
  <c r="E223" i="5"/>
  <c r="B223" i="6"/>
  <c r="D223" i="5"/>
  <c r="B223" i="12" s="1"/>
  <c r="B223" i="5"/>
  <c r="C224" i="5" s="1"/>
  <c r="N223" i="5"/>
  <c r="D223" i="6" s="1"/>
  <c r="K223" i="5"/>
  <c r="J223" i="5"/>
  <c r="A223" i="12"/>
  <c r="AD223" i="5"/>
  <c r="H223" i="5"/>
  <c r="AX221" i="6"/>
  <c r="CI222" i="6" l="1"/>
  <c r="BP222" i="6"/>
  <c r="BZ222" i="6"/>
  <c r="CF222" i="6"/>
  <c r="BR222" i="6"/>
  <c r="BV222" i="6"/>
  <c r="BQ222" i="6"/>
  <c r="CA222" i="6"/>
  <c r="AW222" i="6"/>
  <c r="BC222" i="6"/>
  <c r="AX222" i="6"/>
  <c r="BD222" i="6"/>
  <c r="BK222" i="6"/>
  <c r="BH222" i="6"/>
  <c r="BF222" i="6"/>
  <c r="CK222" i="6"/>
  <c r="BI222" i="6"/>
  <c r="BA222" i="6"/>
  <c r="BW222" i="6"/>
  <c r="K222" i="12"/>
  <c r="AV222" i="6"/>
  <c r="BY222" i="6"/>
  <c r="CC222" i="6"/>
  <c r="BX222" i="6"/>
  <c r="CL222" i="6"/>
  <c r="CM222" i="6"/>
  <c r="BL222" i="6"/>
  <c r="AU222" i="6"/>
  <c r="AT222" i="6"/>
  <c r="CB222" i="6"/>
  <c r="BS222" i="6"/>
  <c r="CH222" i="6"/>
  <c r="BE222" i="6"/>
  <c r="L223" i="12" a="1"/>
  <c r="L223" i="12" s="1"/>
  <c r="J223" i="12" a="1"/>
  <c r="J223" i="12" s="1"/>
  <c r="BO222" i="6"/>
  <c r="BG222" i="6"/>
  <c r="N223" i="6"/>
  <c r="H223" i="6" a="1"/>
  <c r="H223" i="6" s="1"/>
  <c r="M223" i="6"/>
  <c r="CC223" i="6" s="1"/>
  <c r="BJ222" i="6"/>
  <c r="CE222" i="6"/>
  <c r="H224" i="5"/>
  <c r="G224" i="5"/>
  <c r="F224" i="5"/>
  <c r="C225" i="5"/>
  <c r="W224" i="5"/>
  <c r="H224" i="12" s="1"/>
  <c r="A224" i="12"/>
  <c r="N224" i="5"/>
  <c r="D224" i="6" s="1"/>
  <c r="B224" i="6"/>
  <c r="J224" i="6" s="1" a="1"/>
  <c r="J224" i="6" s="1"/>
  <c r="B224" i="5"/>
  <c r="AD224" i="5"/>
  <c r="AE224" i="5"/>
  <c r="E224" i="5"/>
  <c r="I224" i="5"/>
  <c r="CJ222" i="6"/>
  <c r="CG222" i="6"/>
  <c r="CD222" i="6"/>
  <c r="AZ222" i="6"/>
  <c r="BT222" i="6"/>
  <c r="AY222" i="6"/>
  <c r="BN222" i="6"/>
  <c r="AW223" i="6" l="1"/>
  <c r="CM223" i="6"/>
  <c r="BW223" i="6"/>
  <c r="CF223" i="6"/>
  <c r="K223" i="12"/>
  <c r="BX223" i="6"/>
  <c r="CH223" i="6"/>
  <c r="CD223" i="6"/>
  <c r="CK223" i="6"/>
  <c r="CA223" i="6"/>
  <c r="BQ223" i="6"/>
  <c r="AT223" i="6"/>
  <c r="T223" i="5"/>
  <c r="G223" i="12" s="1"/>
  <c r="AZ223" i="6"/>
  <c r="AX223" i="6"/>
  <c r="AV223" i="6"/>
  <c r="M224" i="6"/>
  <c r="BH224" i="6" s="1"/>
  <c r="G224" i="6"/>
  <c r="N224" i="6"/>
  <c r="H224" i="6" a="1"/>
  <c r="H224" i="6" s="1"/>
  <c r="BR223" i="6"/>
  <c r="H225" i="5"/>
  <c r="F225" i="5"/>
  <c r="C226" i="5"/>
  <c r="J225" i="5"/>
  <c r="K225" i="5"/>
  <c r="N225" i="5"/>
  <c r="D225" i="6" s="1"/>
  <c r="G225" i="5"/>
  <c r="E225" i="5"/>
  <c r="D225" i="5"/>
  <c r="B225" i="12" s="1"/>
  <c r="B225" i="6"/>
  <c r="AE225" i="5"/>
  <c r="A225" i="12"/>
  <c r="B225" i="5"/>
  <c r="AD225" i="5"/>
  <c r="BA223" i="6"/>
  <c r="AU223" i="6"/>
  <c r="AY223" i="6"/>
  <c r="BD223" i="6"/>
  <c r="BK223" i="6"/>
  <c r="BV223" i="6"/>
  <c r="BH223" i="6"/>
  <c r="CE223" i="6"/>
  <c r="BO223" i="6"/>
  <c r="BE223" i="6"/>
  <c r="CL223" i="6"/>
  <c r="BG223" i="6"/>
  <c r="CJ223" i="6"/>
  <c r="CG223" i="6"/>
  <c r="BS223" i="6"/>
  <c r="BT223" i="6"/>
  <c r="BJ223" i="6"/>
  <c r="BF223" i="6"/>
  <c r="CB223" i="6"/>
  <c r="BC223" i="6"/>
  <c r="BY223" i="6"/>
  <c r="BI223" i="6"/>
  <c r="BP223" i="6"/>
  <c r="BN223" i="6"/>
  <c r="CI223" i="6"/>
  <c r="BZ223" i="6"/>
  <c r="BM223" i="6"/>
  <c r="BL223" i="6"/>
  <c r="AZ224" i="6" l="1"/>
  <c r="CI224" i="6"/>
  <c r="BI224" i="6"/>
  <c r="CB224" i="6"/>
  <c r="AO224" i="6"/>
  <c r="BQ224" i="6"/>
  <c r="BL224" i="6"/>
  <c r="AY224" i="6"/>
  <c r="CA224" i="6"/>
  <c r="BV224" i="6"/>
  <c r="CK224" i="6"/>
  <c r="BN224" i="6"/>
  <c r="CJ224" i="6"/>
  <c r="T224" i="5"/>
  <c r="G224" i="12" s="1"/>
  <c r="AX224" i="6"/>
  <c r="AS224" i="6"/>
  <c r="AU224" i="6"/>
  <c r="AL224" i="6"/>
  <c r="AM224" i="6"/>
  <c r="AJ224" i="6"/>
  <c r="BA224" i="6"/>
  <c r="AR224" i="6"/>
  <c r="AV224" i="6"/>
  <c r="AQ224" i="6"/>
  <c r="AK224" i="6"/>
  <c r="AN224" i="6"/>
  <c r="AT224" i="6"/>
  <c r="M225" i="6"/>
  <c r="BT225" i="6" s="1"/>
  <c r="N225" i="6"/>
  <c r="H225" i="6" a="1"/>
  <c r="H225" i="6" s="1"/>
  <c r="BK224" i="6"/>
  <c r="BG224" i="6"/>
  <c r="BS224" i="6"/>
  <c r="BO224" i="6"/>
  <c r="CG224" i="6"/>
  <c r="BR224" i="6"/>
  <c r="BJ224" i="6"/>
  <c r="CH224" i="6"/>
  <c r="BF224" i="6"/>
  <c r="BT224" i="6"/>
  <c r="CM224" i="6"/>
  <c r="BY224" i="6"/>
  <c r="BM224" i="6"/>
  <c r="CE224" i="6"/>
  <c r="CC224" i="6"/>
  <c r="BZ224" i="6"/>
  <c r="BW224" i="6"/>
  <c r="BE224" i="6"/>
  <c r="CD224" i="6"/>
  <c r="BX224" i="6"/>
  <c r="BD224" i="6"/>
  <c r="CL224" i="6"/>
  <c r="BP224" i="6"/>
  <c r="BC224" i="6"/>
  <c r="AP224" i="6"/>
  <c r="B226" i="5"/>
  <c r="AD226" i="5"/>
  <c r="C227" i="5"/>
  <c r="N226" i="5"/>
  <c r="D226" i="6" s="1"/>
  <c r="K226" i="5"/>
  <c r="G226" i="5"/>
  <c r="AE226" i="5"/>
  <c r="H226" i="5"/>
  <c r="A226" i="12"/>
  <c r="E226" i="5"/>
  <c r="B226" i="6"/>
  <c r="F226" i="5"/>
  <c r="D226" i="5"/>
  <c r="B226" i="12" s="1"/>
  <c r="J226" i="5"/>
  <c r="CF224" i="6"/>
  <c r="J225" i="12" a="1"/>
  <c r="J225" i="12" s="1"/>
  <c r="L225" i="12" a="1"/>
  <c r="L225" i="12" s="1"/>
  <c r="AW224" i="6"/>
  <c r="BH225" i="6" l="1"/>
  <c r="CI225" i="6"/>
  <c r="CC225" i="6"/>
  <c r="BQ225" i="6"/>
  <c r="BW225" i="6"/>
  <c r="BR225" i="6"/>
  <c r="K225" i="12"/>
  <c r="L226" i="12" a="1"/>
  <c r="L226" i="12" s="1"/>
  <c r="J226" i="12" a="1"/>
  <c r="J226" i="12" s="1"/>
  <c r="AT225" i="6"/>
  <c r="AX225" i="6"/>
  <c r="AU225" i="6"/>
  <c r="AW225" i="6"/>
  <c r="T225" i="5"/>
  <c r="G225" i="12" s="1"/>
  <c r="AZ225" i="6"/>
  <c r="AY225" i="6"/>
  <c r="AV225" i="6"/>
  <c r="CJ225" i="6"/>
  <c r="BG225" i="6"/>
  <c r="BL225" i="6"/>
  <c r="BN225" i="6"/>
  <c r="CM225" i="6"/>
  <c r="BJ225" i="6"/>
  <c r="BX225" i="6"/>
  <c r="CD225" i="6"/>
  <c r="BP225" i="6"/>
  <c r="CE225" i="6"/>
  <c r="BI225" i="6"/>
  <c r="CF225" i="6"/>
  <c r="BS225" i="6"/>
  <c r="CA225" i="6"/>
  <c r="BC225" i="6"/>
  <c r="BM225" i="6"/>
  <c r="BF225" i="6"/>
  <c r="CL225" i="6"/>
  <c r="CK225" i="6"/>
  <c r="BO225" i="6"/>
  <c r="CH225" i="6"/>
  <c r="BZ225" i="6"/>
  <c r="BD225" i="6"/>
  <c r="BE225" i="6"/>
  <c r="BY225" i="6"/>
  <c r="CB225" i="6"/>
  <c r="BK225" i="6"/>
  <c r="BV225" i="6"/>
  <c r="CG225" i="6"/>
  <c r="BA225" i="6"/>
  <c r="M226" i="6"/>
  <c r="N226" i="6"/>
  <c r="H226" i="6" a="1"/>
  <c r="H226" i="6" s="1"/>
  <c r="AE227" i="5"/>
  <c r="E227" i="5"/>
  <c r="B227" i="5"/>
  <c r="D227" i="5"/>
  <c r="B227" i="12" s="1"/>
  <c r="K227" i="5"/>
  <c r="C228" i="5"/>
  <c r="A227" i="12"/>
  <c r="B227" i="6"/>
  <c r="N227" i="5"/>
  <c r="D227" i="6" s="1"/>
  <c r="AD227" i="5"/>
  <c r="J227" i="5"/>
  <c r="H227" i="5"/>
  <c r="F227" i="5"/>
  <c r="G227" i="5"/>
  <c r="K226" i="12" l="1"/>
  <c r="AV226" i="6"/>
  <c r="AX226" i="6"/>
  <c r="AU226" i="6"/>
  <c r="AW226" i="6"/>
  <c r="AT226" i="6"/>
  <c r="BA226" i="6"/>
  <c r="AZ226" i="6"/>
  <c r="T226" i="5"/>
  <c r="G226" i="12" s="1"/>
  <c r="AY226" i="6"/>
  <c r="CK226" i="6"/>
  <c r="BH226" i="6"/>
  <c r="BS226" i="6"/>
  <c r="BQ226" i="6"/>
  <c r="BZ226" i="6"/>
  <c r="BL226" i="6"/>
  <c r="CG226" i="6"/>
  <c r="BO226" i="6"/>
  <c r="CA226" i="6"/>
  <c r="BR226" i="6"/>
  <c r="BN226" i="6"/>
  <c r="BT226" i="6"/>
  <c r="BX226" i="6"/>
  <c r="CM226" i="6"/>
  <c r="BD226" i="6"/>
  <c r="BE226" i="6"/>
  <c r="BF226" i="6"/>
  <c r="BW226" i="6"/>
  <c r="CE226" i="6"/>
  <c r="BP226" i="6"/>
  <c r="CC226" i="6"/>
  <c r="CL226" i="6"/>
  <c r="BI226" i="6"/>
  <c r="CH226" i="6"/>
  <c r="BY226" i="6"/>
  <c r="BG226" i="6"/>
  <c r="BJ226" i="6"/>
  <c r="BM226" i="6"/>
  <c r="BV226" i="6"/>
  <c r="CJ226" i="6"/>
  <c r="BC226" i="6"/>
  <c r="CF226" i="6"/>
  <c r="CI226" i="6"/>
  <c r="CD226" i="6"/>
  <c r="CB226" i="6"/>
  <c r="BK226" i="6"/>
  <c r="H227" i="6" a="1"/>
  <c r="H227" i="6" s="1"/>
  <c r="T227" i="5" s="1"/>
  <c r="G227" i="12" s="1"/>
  <c r="M227" i="6"/>
  <c r="BO227" i="6" s="1"/>
  <c r="N227" i="6"/>
  <c r="L227" i="12" a="1"/>
  <c r="L227" i="12" s="1"/>
  <c r="J227" i="12" a="1"/>
  <c r="J227" i="12" s="1"/>
  <c r="AE228" i="5"/>
  <c r="G228" i="5"/>
  <c r="H228" i="5"/>
  <c r="E228" i="5"/>
  <c r="A228" i="12"/>
  <c r="B228" i="5"/>
  <c r="B228" i="6"/>
  <c r="AD228" i="5"/>
  <c r="F228" i="5"/>
  <c r="D228" i="5"/>
  <c r="B228" i="12" s="1"/>
  <c r="C229" i="5"/>
  <c r="N228" i="5"/>
  <c r="D228" i="6" s="1"/>
  <c r="K228" i="5"/>
  <c r="J228" i="5"/>
  <c r="BK227" i="6" l="1"/>
  <c r="CF227" i="6"/>
  <c r="BJ227" i="6"/>
  <c r="BH227" i="6"/>
  <c r="AX227" i="6"/>
  <c r="BR227" i="6"/>
  <c r="CK227" i="6"/>
  <c r="BX227" i="6"/>
  <c r="BT227" i="6"/>
  <c r="CD227" i="6"/>
  <c r="BY227" i="6"/>
  <c r="BV227" i="6"/>
  <c r="BW227" i="6"/>
  <c r="H228" i="6" a="1"/>
  <c r="H228" i="6" s="1"/>
  <c r="M228" i="6"/>
  <c r="BD228" i="6" s="1"/>
  <c r="N228" i="6"/>
  <c r="AW227" i="6"/>
  <c r="BM227" i="6"/>
  <c r="CG227" i="6"/>
  <c r="D229" i="5"/>
  <c r="B229" i="12" s="1"/>
  <c r="A229" i="12"/>
  <c r="AE229" i="5"/>
  <c r="E229" i="5"/>
  <c r="B229" i="6"/>
  <c r="AD229" i="5"/>
  <c r="J229" i="5"/>
  <c r="H229" i="5"/>
  <c r="F229" i="5"/>
  <c r="B229" i="5"/>
  <c r="C230" i="5"/>
  <c r="N229" i="5"/>
  <c r="D229" i="6" s="1"/>
  <c r="K229" i="5"/>
  <c r="G229" i="5"/>
  <c r="CE227" i="6"/>
  <c r="CL227" i="6"/>
  <c r="BI227" i="6"/>
  <c r="BC227" i="6"/>
  <c r="AV227" i="6"/>
  <c r="BE227" i="6"/>
  <c r="CA227" i="6"/>
  <c r="CH227" i="6"/>
  <c r="BA227" i="6"/>
  <c r="CI227" i="6"/>
  <c r="BQ227" i="6"/>
  <c r="CM227" i="6"/>
  <c r="BG227" i="6"/>
  <c r="CB227" i="6"/>
  <c r="BP227" i="6"/>
  <c r="K227" i="12"/>
  <c r="CJ227" i="6"/>
  <c r="BL227" i="6"/>
  <c r="BF227" i="6"/>
  <c r="BD227" i="6"/>
  <c r="L228" i="12" a="1"/>
  <c r="L228" i="12" s="1"/>
  <c r="J228" i="12" a="1"/>
  <c r="J228" i="12" s="1"/>
  <c r="AZ227" i="6"/>
  <c r="CC227" i="6"/>
  <c r="AY227" i="6"/>
  <c r="BN227" i="6"/>
  <c r="AU227" i="6"/>
  <c r="BZ227" i="6"/>
  <c r="AT227" i="6"/>
  <c r="BS227" i="6"/>
  <c r="BS228" i="6" l="1"/>
  <c r="BH228" i="6"/>
  <c r="BY228" i="6"/>
  <c r="BL228" i="6"/>
  <c r="CB228" i="6"/>
  <c r="BR228" i="6"/>
  <c r="BO228" i="6"/>
  <c r="CL228" i="6"/>
  <c r="BI228" i="6"/>
  <c r="BC228" i="6"/>
  <c r="AT228" i="6"/>
  <c r="CK228" i="6"/>
  <c r="BK228" i="6"/>
  <c r="CM228" i="6"/>
  <c r="BX228" i="6"/>
  <c r="AX228" i="6"/>
  <c r="CF228" i="6"/>
  <c r="AW228" i="6"/>
  <c r="AY228" i="6"/>
  <c r="AU228" i="6"/>
  <c r="BE228" i="6"/>
  <c r="CI228" i="6"/>
  <c r="K228" i="12"/>
  <c r="BM228" i="6"/>
  <c r="CE228" i="6"/>
  <c r="BW228" i="6"/>
  <c r="BT228" i="6"/>
  <c r="BN228" i="6"/>
  <c r="CJ228" i="6"/>
  <c r="BV228" i="6"/>
  <c r="BP228" i="6"/>
  <c r="BF228" i="6"/>
  <c r="CC228" i="6"/>
  <c r="BG228" i="6"/>
  <c r="CG228" i="6"/>
  <c r="CD228" i="6"/>
  <c r="CH228" i="6"/>
  <c r="AZ228" i="6"/>
  <c r="T228" i="5"/>
  <c r="G228" i="12" s="1"/>
  <c r="L229" i="12" a="1"/>
  <c r="L229" i="12" s="1"/>
  <c r="J229" i="12" a="1"/>
  <c r="J229" i="12" s="1"/>
  <c r="N229" i="6"/>
  <c r="M229" i="6"/>
  <c r="CF229" i="6" s="1"/>
  <c r="H229" i="6" a="1"/>
  <c r="H229" i="6" s="1"/>
  <c r="B230" i="5"/>
  <c r="AD230" i="5"/>
  <c r="AE230" i="5"/>
  <c r="G230" i="5"/>
  <c r="E230" i="5"/>
  <c r="J230" i="5"/>
  <c r="C231" i="5"/>
  <c r="N230" i="5"/>
  <c r="D230" i="6" s="1"/>
  <c r="B230" i="6"/>
  <c r="A230" i="12"/>
  <c r="K230" i="5"/>
  <c r="H230" i="5"/>
  <c r="F230" i="5"/>
  <c r="D230" i="5"/>
  <c r="B230" i="12" s="1"/>
  <c r="CA228" i="6"/>
  <c r="AV228" i="6"/>
  <c r="BZ228" i="6"/>
  <c r="BA228" i="6"/>
  <c r="BJ228" i="6"/>
  <c r="BQ228" i="6"/>
  <c r="BR229" i="6" l="1"/>
  <c r="BK229" i="6"/>
  <c r="CM229" i="6"/>
  <c r="BZ229" i="6"/>
  <c r="BO229" i="6"/>
  <c r="J230" i="12" a="1"/>
  <c r="J230" i="12" s="1"/>
  <c r="L230" i="12" a="1"/>
  <c r="L230" i="12" s="1"/>
  <c r="BA229" i="6"/>
  <c r="T229" i="5"/>
  <c r="G229" i="12" s="1"/>
  <c r="AY229" i="6"/>
  <c r="AT229" i="6"/>
  <c r="AZ229" i="6"/>
  <c r="AX229" i="6"/>
  <c r="AU229" i="6"/>
  <c r="AW229" i="6"/>
  <c r="AV229" i="6"/>
  <c r="N230" i="6"/>
  <c r="M230" i="6"/>
  <c r="CG230" i="6" s="1"/>
  <c r="H230" i="6" a="1"/>
  <c r="H230" i="6" s="1"/>
  <c r="K229" i="12"/>
  <c r="BH229" i="6"/>
  <c r="BW229" i="6"/>
  <c r="CB229" i="6"/>
  <c r="CG229" i="6"/>
  <c r="BC229" i="6"/>
  <c r="CK229" i="6"/>
  <c r="BX229" i="6"/>
  <c r="BM229" i="6"/>
  <c r="CH229" i="6"/>
  <c r="CA229" i="6"/>
  <c r="BF229" i="6"/>
  <c r="BE229" i="6"/>
  <c r="BT229" i="6"/>
  <c r="CL229" i="6"/>
  <c r="BJ229" i="6"/>
  <c r="BP229" i="6"/>
  <c r="BS229" i="6"/>
  <c r="BV229" i="6"/>
  <c r="BY229" i="6"/>
  <c r="BD229" i="6"/>
  <c r="CD229" i="6"/>
  <c r="CE229" i="6"/>
  <c r="BI229" i="6"/>
  <c r="BN229" i="6"/>
  <c r="BG229" i="6"/>
  <c r="BL229" i="6"/>
  <c r="BQ229" i="6"/>
  <c r="CI229" i="6"/>
  <c r="CC229" i="6"/>
  <c r="CJ229" i="6"/>
  <c r="F231" i="5"/>
  <c r="C232" i="5"/>
  <c r="N231" i="5"/>
  <c r="D231" i="6" s="1"/>
  <c r="H231" i="5"/>
  <c r="K231" i="5"/>
  <c r="G231" i="5"/>
  <c r="AE231" i="5"/>
  <c r="E231" i="5"/>
  <c r="A231" i="12"/>
  <c r="D231" i="5"/>
  <c r="B231" i="12" s="1"/>
  <c r="B231" i="6"/>
  <c r="B231" i="5"/>
  <c r="AD231" i="5"/>
  <c r="J231" i="5"/>
  <c r="K230" i="12" l="1"/>
  <c r="BK230" i="6"/>
  <c r="BJ230" i="6"/>
  <c r="BG230" i="6"/>
  <c r="CE230" i="6"/>
  <c r="AX230" i="6"/>
  <c r="CJ230" i="6"/>
  <c r="CI230" i="6"/>
  <c r="BC230" i="6"/>
  <c r="BY230" i="6"/>
  <c r="CA230" i="6"/>
  <c r="BD230" i="6"/>
  <c r="BQ230" i="6"/>
  <c r="BO230" i="6"/>
  <c r="CC230" i="6"/>
  <c r="AV230" i="6"/>
  <c r="N231" i="6"/>
  <c r="M231" i="6"/>
  <c r="CE231" i="6" s="1"/>
  <c r="H231" i="6" a="1"/>
  <c r="H231" i="6" s="1"/>
  <c r="AD232" i="5"/>
  <c r="C233" i="5"/>
  <c r="H232" i="5"/>
  <c r="N232" i="5"/>
  <c r="D232" i="6" s="1"/>
  <c r="AE232" i="5"/>
  <c r="K232" i="5"/>
  <c r="J232" i="5"/>
  <c r="A232" i="12"/>
  <c r="E232" i="5"/>
  <c r="B232" i="6"/>
  <c r="G232" i="5"/>
  <c r="B232" i="5"/>
  <c r="F232" i="5"/>
  <c r="D232" i="5"/>
  <c r="B232" i="12" s="1"/>
  <c r="T230" i="5"/>
  <c r="G230" i="12" s="1"/>
  <c r="AW230" i="6"/>
  <c r="AT230" i="6"/>
  <c r="AY230" i="6"/>
  <c r="CL230" i="6"/>
  <c r="BR230" i="6"/>
  <c r="BT230" i="6"/>
  <c r="BM230" i="6"/>
  <c r="BP230" i="6"/>
  <c r="BZ230" i="6"/>
  <c r="BE230" i="6"/>
  <c r="CK230" i="6"/>
  <c r="BX230" i="6"/>
  <c r="BH230" i="6"/>
  <c r="CF230" i="6"/>
  <c r="AZ230" i="6"/>
  <c r="BF230" i="6"/>
  <c r="BA230" i="6"/>
  <c r="AU230" i="6"/>
  <c r="L231" i="12" a="1"/>
  <c r="L231" i="12" s="1"/>
  <c r="J231" i="12" a="1"/>
  <c r="J231" i="12" s="1"/>
  <c r="BL230" i="6"/>
  <c r="CH230" i="6"/>
  <c r="BV230" i="6"/>
  <c r="BN230" i="6"/>
  <c r="BS230" i="6"/>
  <c r="BW230" i="6"/>
  <c r="CM230" i="6"/>
  <c r="BI230" i="6"/>
  <c r="CD230" i="6"/>
  <c r="CB230" i="6"/>
  <c r="CG231" i="6" l="1"/>
  <c r="BA231" i="6"/>
  <c r="BX231" i="6"/>
  <c r="CF231" i="6"/>
  <c r="BP231" i="6"/>
  <c r="BD231" i="6"/>
  <c r="BK231" i="6"/>
  <c r="BV231" i="6"/>
  <c r="CM231" i="6"/>
  <c r="CB231" i="6"/>
  <c r="BZ231" i="6"/>
  <c r="BM231" i="6"/>
  <c r="CD231" i="6"/>
  <c r="BQ231" i="6"/>
  <c r="AZ231" i="6"/>
  <c r="AW231" i="6"/>
  <c r="K231" i="12"/>
  <c r="J232" i="12" a="1"/>
  <c r="J232" i="12" s="1"/>
  <c r="L232" i="12" a="1"/>
  <c r="L232" i="12" s="1"/>
  <c r="M232" i="6"/>
  <c r="CH232" i="6" s="1"/>
  <c r="N232" i="6"/>
  <c r="H232" i="6" a="1"/>
  <c r="H232" i="6" s="1"/>
  <c r="F233" i="5"/>
  <c r="D233" i="5"/>
  <c r="B233" i="12" s="1"/>
  <c r="A233" i="12"/>
  <c r="H233" i="5"/>
  <c r="G233" i="5"/>
  <c r="AE233" i="5"/>
  <c r="E233" i="5"/>
  <c r="B233" i="5"/>
  <c r="C234" i="5"/>
  <c r="K233" i="5"/>
  <c r="B233" i="6"/>
  <c r="N233" i="5"/>
  <c r="D233" i="6" s="1"/>
  <c r="AD233" i="5"/>
  <c r="J233" i="5"/>
  <c r="AX231" i="6"/>
  <c r="AT231" i="6"/>
  <c r="AU231" i="6"/>
  <c r="T231" i="5"/>
  <c r="G231" i="12" s="1"/>
  <c r="AV231" i="6"/>
  <c r="AY231" i="6"/>
  <c r="BJ231" i="6"/>
  <c r="CJ231" i="6"/>
  <c r="BI231" i="6"/>
  <c r="BC231" i="6"/>
  <c r="CC231" i="6"/>
  <c r="CK231" i="6"/>
  <c r="BR231" i="6"/>
  <c r="BL231" i="6"/>
  <c r="BW231" i="6"/>
  <c r="CH231" i="6"/>
  <c r="BS231" i="6"/>
  <c r="BT231" i="6"/>
  <c r="BN231" i="6"/>
  <c r="CA231" i="6"/>
  <c r="BE231" i="6"/>
  <c r="CI231" i="6"/>
  <c r="BG231" i="6"/>
  <c r="BH231" i="6"/>
  <c r="BY231" i="6"/>
  <c r="CL231" i="6"/>
  <c r="BF231" i="6"/>
  <c r="BO231" i="6"/>
  <c r="K232" i="12" l="1"/>
  <c r="J233" i="12" a="1"/>
  <c r="J233" i="12" s="1"/>
  <c r="L233" i="12" a="1"/>
  <c r="L233" i="12" s="1"/>
  <c r="H233" i="6" a="1"/>
  <c r="H233" i="6" s="1"/>
  <c r="N233" i="6"/>
  <c r="M233" i="6"/>
  <c r="CB233" i="6" s="1"/>
  <c r="AV232" i="6"/>
  <c r="AU232" i="6"/>
  <c r="AT232" i="6"/>
  <c r="AZ232" i="6"/>
  <c r="AW232" i="6"/>
  <c r="AY232" i="6"/>
  <c r="BA232" i="6"/>
  <c r="T232" i="5"/>
  <c r="G232" i="12" s="1"/>
  <c r="AX232" i="6"/>
  <c r="CL232" i="6"/>
  <c r="BV232" i="6"/>
  <c r="BW232" i="6"/>
  <c r="CG232" i="6"/>
  <c r="BZ232" i="6"/>
  <c r="BI232" i="6"/>
  <c r="CA232" i="6"/>
  <c r="BK232" i="6"/>
  <c r="BT232" i="6"/>
  <c r="BE232" i="6"/>
  <c r="BC232" i="6"/>
  <c r="BD232" i="6"/>
  <c r="CI232" i="6"/>
  <c r="BM232" i="6"/>
  <c r="BP232" i="6"/>
  <c r="BL232" i="6"/>
  <c r="BY232" i="6"/>
  <c r="CC232" i="6"/>
  <c r="CM232" i="6"/>
  <c r="CD232" i="6"/>
  <c r="BG232" i="6"/>
  <c r="BH232" i="6"/>
  <c r="BS232" i="6"/>
  <c r="CJ232" i="6"/>
  <c r="BN232" i="6"/>
  <c r="BJ232" i="6"/>
  <c r="CE232" i="6"/>
  <c r="CF232" i="6"/>
  <c r="BF232" i="6"/>
  <c r="BX232" i="6"/>
  <c r="BQ232" i="6"/>
  <c r="CB232" i="6"/>
  <c r="BR232" i="6"/>
  <c r="CK232" i="6"/>
  <c r="BO232" i="6"/>
  <c r="K234" i="5"/>
  <c r="F234" i="5"/>
  <c r="N234" i="5"/>
  <c r="D234" i="6" s="1"/>
  <c r="E234" i="5"/>
  <c r="J234" i="5"/>
  <c r="G234" i="5"/>
  <c r="AD234" i="5"/>
  <c r="H234" i="5"/>
  <c r="AE234" i="5"/>
  <c r="A234" i="12"/>
  <c r="B234" i="6"/>
  <c r="B234" i="5"/>
  <c r="C235" i="5" s="1"/>
  <c r="D234" i="5"/>
  <c r="B234" i="12" s="1"/>
  <c r="CJ233" i="6" l="1"/>
  <c r="BW233" i="6"/>
  <c r="BL233" i="6"/>
  <c r="CC233" i="6"/>
  <c r="K233" i="12"/>
  <c r="N234" i="6"/>
  <c r="M234" i="6"/>
  <c r="BG234" i="6" s="1"/>
  <c r="H234" i="6" a="1"/>
  <c r="H234" i="6" s="1"/>
  <c r="F235" i="5"/>
  <c r="E235" i="5"/>
  <c r="W235" i="5"/>
  <c r="H235" i="12" s="1"/>
  <c r="C236" i="5"/>
  <c r="AE235" i="5"/>
  <c r="I235" i="5"/>
  <c r="B235" i="5"/>
  <c r="A235" i="12"/>
  <c r="N235" i="5"/>
  <c r="D235" i="6" s="1"/>
  <c r="B235" i="6"/>
  <c r="J235" i="6" s="1" a="1"/>
  <c r="J235" i="6" s="1"/>
  <c r="H235" i="5"/>
  <c r="G235" i="5"/>
  <c r="AD235" i="5"/>
  <c r="BS233" i="6"/>
  <c r="BT233" i="6"/>
  <c r="BG233" i="6"/>
  <c r="BY233" i="6"/>
  <c r="BF233" i="6"/>
  <c r="BM233" i="6"/>
  <c r="BC233" i="6"/>
  <c r="CI233" i="6"/>
  <c r="CG233" i="6"/>
  <c r="BP233" i="6"/>
  <c r="CA233" i="6"/>
  <c r="BJ233" i="6"/>
  <c r="CD233" i="6"/>
  <c r="BH233" i="6"/>
  <c r="BN233" i="6"/>
  <c r="BQ233" i="6"/>
  <c r="BX233" i="6"/>
  <c r="BZ233" i="6"/>
  <c r="BV233" i="6"/>
  <c r="CE233" i="6"/>
  <c r="CF233" i="6"/>
  <c r="BE233" i="6"/>
  <c r="CL233" i="6"/>
  <c r="BD233" i="6"/>
  <c r="BI233" i="6"/>
  <c r="BO233" i="6"/>
  <c r="BR233" i="6"/>
  <c r="CM233" i="6"/>
  <c r="J234" i="12" a="1"/>
  <c r="J234" i="12" s="1"/>
  <c r="L234" i="12" a="1"/>
  <c r="L234" i="12" s="1"/>
  <c r="AT233" i="6"/>
  <c r="T233" i="5"/>
  <c r="G233" i="12" s="1"/>
  <c r="AZ233" i="6"/>
  <c r="AU233" i="6"/>
  <c r="AY233" i="6"/>
  <c r="AX233" i="6"/>
  <c r="BA233" i="6"/>
  <c r="AV233" i="6"/>
  <c r="CK233" i="6"/>
  <c r="BK233" i="6"/>
  <c r="AW233" i="6"/>
  <c r="CH233" i="6"/>
  <c r="BO234" i="6" l="1"/>
  <c r="CG234" i="6"/>
  <c r="CM234" i="6"/>
  <c r="CI234" i="6"/>
  <c r="CA234" i="6"/>
  <c r="BS234" i="6"/>
  <c r="BF234" i="6"/>
  <c r="BW234" i="6"/>
  <c r="BN234" i="6"/>
  <c r="AZ234" i="6"/>
  <c r="CK234" i="6"/>
  <c r="CL234" i="6"/>
  <c r="AU234" i="6"/>
  <c r="BA234" i="6"/>
  <c r="AX234" i="6"/>
  <c r="CF234" i="6"/>
  <c r="K234" i="12"/>
  <c r="N236" i="5"/>
  <c r="D236" i="6" s="1"/>
  <c r="C237" i="5"/>
  <c r="H236" i="5"/>
  <c r="J236" i="5"/>
  <c r="A236" i="12"/>
  <c r="E236" i="5"/>
  <c r="G236" i="5"/>
  <c r="B236" i="6"/>
  <c r="F236" i="5"/>
  <c r="D236" i="5"/>
  <c r="B236" i="12" s="1"/>
  <c r="B236" i="5"/>
  <c r="AD236" i="5"/>
  <c r="K236" i="5"/>
  <c r="AE236" i="5"/>
  <c r="T234" i="5"/>
  <c r="G234" i="12" s="1"/>
  <c r="AY234" i="6"/>
  <c r="AW234" i="6"/>
  <c r="AV234" i="6"/>
  <c r="AT234" i="6"/>
  <c r="N235" i="6"/>
  <c r="G235" i="6"/>
  <c r="M235" i="6"/>
  <c r="H235" i="6" a="1"/>
  <c r="H235" i="6" s="1"/>
  <c r="BT234" i="6"/>
  <c r="BZ234" i="6"/>
  <c r="CD234" i="6"/>
  <c r="BI234" i="6"/>
  <c r="BC234" i="6"/>
  <c r="CH234" i="6"/>
  <c r="BL234" i="6"/>
  <c r="BM234" i="6"/>
  <c r="BV234" i="6"/>
  <c r="BR234" i="6"/>
  <c r="CB234" i="6"/>
  <c r="CJ234" i="6"/>
  <c r="BJ234" i="6"/>
  <c r="BD234" i="6"/>
  <c r="BQ234" i="6"/>
  <c r="BH234" i="6"/>
  <c r="CC234" i="6"/>
  <c r="BK234" i="6"/>
  <c r="CE234" i="6"/>
  <c r="BY234" i="6"/>
  <c r="BE234" i="6"/>
  <c r="BX234" i="6"/>
  <c r="BP234" i="6"/>
  <c r="T235" i="5" l="1"/>
  <c r="G235" i="12" s="1"/>
  <c r="AZ235" i="6"/>
  <c r="AQ235" i="6"/>
  <c r="AU235" i="6"/>
  <c r="AR235" i="6"/>
  <c r="AW235" i="6"/>
  <c r="AS235" i="6"/>
  <c r="AJ235" i="6"/>
  <c r="AX235" i="6"/>
  <c r="AN235" i="6"/>
  <c r="AV235" i="6"/>
  <c r="AM235" i="6"/>
  <c r="AO235" i="6"/>
  <c r="AY235" i="6"/>
  <c r="BA235" i="6"/>
  <c r="AL235" i="6"/>
  <c r="AK235" i="6"/>
  <c r="AP235" i="6"/>
  <c r="AT235" i="6"/>
  <c r="BT235" i="6"/>
  <c r="CD235" i="6"/>
  <c r="CB235" i="6"/>
  <c r="BP235" i="6"/>
  <c r="BE235" i="6"/>
  <c r="BQ235" i="6"/>
  <c r="CJ235" i="6"/>
  <c r="CM235" i="6"/>
  <c r="BS235" i="6"/>
  <c r="BK235" i="6"/>
  <c r="BI235" i="6"/>
  <c r="BN235" i="6"/>
  <c r="BF235" i="6"/>
  <c r="BY235" i="6"/>
  <c r="BG235" i="6"/>
  <c r="BZ235" i="6"/>
  <c r="CA235" i="6"/>
  <c r="CC235" i="6"/>
  <c r="CI235" i="6"/>
  <c r="CK235" i="6"/>
  <c r="CE235" i="6"/>
  <c r="CG235" i="6"/>
  <c r="BL235" i="6"/>
  <c r="BV235" i="6"/>
  <c r="BR235" i="6"/>
  <c r="CH235" i="6"/>
  <c r="CL235" i="6"/>
  <c r="BJ235" i="6"/>
  <c r="BC235" i="6"/>
  <c r="BO235" i="6"/>
  <c r="BM235" i="6"/>
  <c r="BW235" i="6"/>
  <c r="BD235" i="6"/>
  <c r="CF235" i="6"/>
  <c r="BX235" i="6"/>
  <c r="BH235" i="6"/>
  <c r="J236" i="12" a="1"/>
  <c r="J236" i="12" s="1"/>
  <c r="L236" i="12" a="1"/>
  <c r="L236" i="12" s="1"/>
  <c r="C238" i="5"/>
  <c r="B237" i="5"/>
  <c r="G237" i="5"/>
  <c r="A237" i="12"/>
  <c r="B237" i="6"/>
  <c r="AE237" i="5"/>
  <c r="J237" i="5"/>
  <c r="AD237" i="5"/>
  <c r="H237" i="5"/>
  <c r="F237" i="5"/>
  <c r="D237" i="5"/>
  <c r="B237" i="12" s="1"/>
  <c r="E237" i="5"/>
  <c r="N237" i="5"/>
  <c r="D237" i="6" s="1"/>
  <c r="K237" i="5"/>
  <c r="M236" i="6"/>
  <c r="H236" i="6" a="1"/>
  <c r="H236" i="6" s="1"/>
  <c r="N236" i="6"/>
  <c r="K236" i="12" l="1"/>
  <c r="CK236" i="6"/>
  <c r="BX236" i="6"/>
  <c r="CI236" i="6"/>
  <c r="CB236" i="6"/>
  <c r="BD236" i="6"/>
  <c r="BM236" i="6"/>
  <c r="BK236" i="6"/>
  <c r="BH236" i="6"/>
  <c r="CL236" i="6"/>
  <c r="BN236" i="6"/>
  <c r="CC236" i="6"/>
  <c r="CG236" i="6"/>
  <c r="BP236" i="6"/>
  <c r="BE236" i="6"/>
  <c r="CF236" i="6"/>
  <c r="BY236" i="6"/>
  <c r="CJ236" i="6"/>
  <c r="BI236" i="6"/>
  <c r="BV236" i="6"/>
  <c r="BC236" i="6"/>
  <c r="CH236" i="6"/>
  <c r="BQ236" i="6"/>
  <c r="CM236" i="6"/>
  <c r="CA236" i="6"/>
  <c r="BO236" i="6"/>
  <c r="CD236" i="6"/>
  <c r="BZ236" i="6"/>
  <c r="BJ236" i="6"/>
  <c r="BR236" i="6"/>
  <c r="BW236" i="6"/>
  <c r="BL236" i="6"/>
  <c r="BS236" i="6"/>
  <c r="BF236" i="6"/>
  <c r="CE236" i="6"/>
  <c r="BG236" i="6"/>
  <c r="BT236" i="6"/>
  <c r="N237" i="6"/>
  <c r="M237" i="6"/>
  <c r="BZ237" i="6" s="1"/>
  <c r="H237" i="6" a="1"/>
  <c r="H237" i="6" s="1"/>
  <c r="J238" i="5"/>
  <c r="K238" i="5"/>
  <c r="N238" i="5"/>
  <c r="D238" i="6" s="1"/>
  <c r="C239" i="5"/>
  <c r="G238" i="5"/>
  <c r="H238" i="5"/>
  <c r="A238" i="12"/>
  <c r="E238" i="5"/>
  <c r="B238" i="6"/>
  <c r="AE238" i="5"/>
  <c r="F238" i="5"/>
  <c r="D238" i="5"/>
  <c r="B238" i="12" s="1"/>
  <c r="B238" i="5"/>
  <c r="AD238" i="5"/>
  <c r="AU236" i="6"/>
  <c r="AW236" i="6"/>
  <c r="AX236" i="6"/>
  <c r="AY236" i="6"/>
  <c r="AV236" i="6"/>
  <c r="AZ236" i="6"/>
  <c r="BA236" i="6"/>
  <c r="AT236" i="6"/>
  <c r="T236" i="5"/>
  <c r="G236" i="12" s="1"/>
  <c r="J237" i="12" a="1"/>
  <c r="J237" i="12" s="1"/>
  <c r="L237" i="12" a="1"/>
  <c r="L237" i="12" s="1"/>
  <c r="BC237" i="6" l="1"/>
  <c r="BG237" i="6"/>
  <c r="BT237" i="6"/>
  <c r="BH237" i="6"/>
  <c r="BD237" i="6"/>
  <c r="BL237" i="6"/>
  <c r="AU237" i="6"/>
  <c r="CK237" i="6"/>
  <c r="CH237" i="6"/>
  <c r="BS237" i="6"/>
  <c r="BJ237" i="6"/>
  <c r="AV237" i="6"/>
  <c r="K237" i="12"/>
  <c r="AE239" i="5"/>
  <c r="A239" i="12"/>
  <c r="K239" i="5"/>
  <c r="B239" i="6"/>
  <c r="N239" i="5"/>
  <c r="D239" i="6" s="1"/>
  <c r="AD239" i="5"/>
  <c r="J239" i="5"/>
  <c r="H239" i="5"/>
  <c r="F239" i="5"/>
  <c r="E239" i="5"/>
  <c r="D239" i="5"/>
  <c r="B239" i="12" s="1"/>
  <c r="C240" i="5"/>
  <c r="G239" i="5"/>
  <c r="B239" i="5"/>
  <c r="H238" i="6" a="1"/>
  <c r="H238" i="6" s="1"/>
  <c r="N238" i="6"/>
  <c r="M238" i="6"/>
  <c r="BR238" i="6" s="1"/>
  <c r="AZ237" i="6"/>
  <c r="AX237" i="6"/>
  <c r="T237" i="5"/>
  <c r="G237" i="12" s="1"/>
  <c r="AW237" i="6"/>
  <c r="AY237" i="6"/>
  <c r="AT237" i="6"/>
  <c r="CG237" i="6"/>
  <c r="BR237" i="6"/>
  <c r="CB237" i="6"/>
  <c r="CJ237" i="6"/>
  <c r="CE237" i="6"/>
  <c r="CI237" i="6"/>
  <c r="BY237" i="6"/>
  <c r="BQ237" i="6"/>
  <c r="BE237" i="6"/>
  <c r="BF237" i="6"/>
  <c r="BX237" i="6"/>
  <c r="BM237" i="6"/>
  <c r="CF237" i="6"/>
  <c r="BN237" i="6"/>
  <c r="BI237" i="6"/>
  <c r="BO237" i="6"/>
  <c r="BW237" i="6"/>
  <c r="BP237" i="6"/>
  <c r="BK237" i="6"/>
  <c r="BV237" i="6"/>
  <c r="CC237" i="6"/>
  <c r="CA237" i="6"/>
  <c r="BA237" i="6"/>
  <c r="CM237" i="6"/>
  <c r="CL237" i="6"/>
  <c r="J238" i="12" a="1"/>
  <c r="J238" i="12" s="1"/>
  <c r="L238" i="12" a="1"/>
  <c r="L238" i="12" s="1"/>
  <c r="CD237" i="6"/>
  <c r="BW238" i="6" l="1"/>
  <c r="CD238" i="6"/>
  <c r="BZ238" i="6"/>
  <c r="AY238" i="6"/>
  <c r="BG238" i="6"/>
  <c r="K238" i="12"/>
  <c r="BS238" i="6"/>
  <c r="CK238" i="6"/>
  <c r="CL238" i="6"/>
  <c r="BI238" i="6"/>
  <c r="BY238" i="6"/>
  <c r="CC238" i="6"/>
  <c r="BO238" i="6"/>
  <c r="CG238" i="6"/>
  <c r="BQ238" i="6"/>
  <c r="BH238" i="6"/>
  <c r="BX238" i="6"/>
  <c r="BV238" i="6"/>
  <c r="BM238" i="6"/>
  <c r="CM238" i="6"/>
  <c r="CB238" i="6"/>
  <c r="CA238" i="6"/>
  <c r="BL238" i="6"/>
  <c r="BD238" i="6"/>
  <c r="BJ238" i="6"/>
  <c r="CH238" i="6"/>
  <c r="BK238" i="6"/>
  <c r="BN238" i="6"/>
  <c r="CJ238" i="6"/>
  <c r="CI238" i="6"/>
  <c r="BP238" i="6"/>
  <c r="CF238" i="6"/>
  <c r="BC238" i="6"/>
  <c r="BF238" i="6"/>
  <c r="BT238" i="6"/>
  <c r="BE238" i="6"/>
  <c r="CE238" i="6"/>
  <c r="N239" i="6"/>
  <c r="H239" i="6" a="1"/>
  <c r="H239" i="6" s="1"/>
  <c r="M239" i="6"/>
  <c r="BA238" i="6"/>
  <c r="AW238" i="6"/>
  <c r="AZ238" i="6"/>
  <c r="AX238" i="6"/>
  <c r="AT238" i="6"/>
  <c r="T238" i="5"/>
  <c r="G238" i="12" s="1"/>
  <c r="AV238" i="6"/>
  <c r="J239" i="12" a="1"/>
  <c r="J239" i="12" s="1"/>
  <c r="L239" i="12" a="1"/>
  <c r="L239" i="12" s="1"/>
  <c r="AU238" i="6"/>
  <c r="B240" i="5"/>
  <c r="AD240" i="5"/>
  <c r="N240" i="5"/>
  <c r="D240" i="6" s="1"/>
  <c r="C241" i="5"/>
  <c r="D240" i="5"/>
  <c r="B240" i="12" s="1"/>
  <c r="K240" i="5"/>
  <c r="AE240" i="5"/>
  <c r="J240" i="5"/>
  <c r="A240" i="12"/>
  <c r="G240" i="5"/>
  <c r="B240" i="6"/>
  <c r="H240" i="5"/>
  <c r="E240" i="5"/>
  <c r="F240" i="5"/>
  <c r="K239" i="12" l="1"/>
  <c r="H240" i="6" a="1"/>
  <c r="H240" i="6" s="1"/>
  <c r="N240" i="6"/>
  <c r="M240" i="6"/>
  <c r="BX240" i="6" s="1"/>
  <c r="CK239" i="6"/>
  <c r="BG239" i="6"/>
  <c r="BN239" i="6"/>
  <c r="BP239" i="6"/>
  <c r="BS239" i="6"/>
  <c r="CF239" i="6"/>
  <c r="BD239" i="6"/>
  <c r="BR239" i="6"/>
  <c r="BZ239" i="6"/>
  <c r="BH239" i="6"/>
  <c r="CI239" i="6"/>
  <c r="CJ239" i="6"/>
  <c r="BM239" i="6"/>
  <c r="BQ239" i="6"/>
  <c r="BT239" i="6"/>
  <c r="BY239" i="6"/>
  <c r="CM239" i="6"/>
  <c r="CB239" i="6"/>
  <c r="BK239" i="6"/>
  <c r="CC239" i="6"/>
  <c r="CD239" i="6"/>
  <c r="BL239" i="6"/>
  <c r="BF239" i="6"/>
  <c r="BJ239" i="6"/>
  <c r="BE239" i="6"/>
  <c r="BO239" i="6"/>
  <c r="BC239" i="6"/>
  <c r="CG239" i="6"/>
  <c r="CH239" i="6"/>
  <c r="CL239" i="6"/>
  <c r="BI239" i="6"/>
  <c r="BW239" i="6"/>
  <c r="CE239" i="6"/>
  <c r="BV239" i="6"/>
  <c r="CA239" i="6"/>
  <c r="BX239" i="6"/>
  <c r="AT239" i="6"/>
  <c r="T239" i="5"/>
  <c r="G239" i="12" s="1"/>
  <c r="AW239" i="6"/>
  <c r="AV239" i="6"/>
  <c r="AU239" i="6"/>
  <c r="AZ239" i="6"/>
  <c r="AX239" i="6"/>
  <c r="BA239" i="6"/>
  <c r="AY239" i="6"/>
  <c r="J240" i="12" a="1"/>
  <c r="J240" i="12" s="1"/>
  <c r="L240" i="12" a="1"/>
  <c r="L240" i="12" s="1"/>
  <c r="F241" i="5"/>
  <c r="B241" i="5"/>
  <c r="N241" i="5"/>
  <c r="D241" i="6" s="1"/>
  <c r="AD241" i="5"/>
  <c r="E241" i="5"/>
  <c r="G241" i="5"/>
  <c r="J241" i="5"/>
  <c r="D241" i="5"/>
  <c r="B241" i="12" s="1"/>
  <c r="C242" i="5"/>
  <c r="AE241" i="5"/>
  <c r="B241" i="6"/>
  <c r="A241" i="12"/>
  <c r="H241" i="5"/>
  <c r="K241" i="5"/>
  <c r="BD240" i="6" l="1"/>
  <c r="CB240" i="6"/>
  <c r="BN240" i="6"/>
  <c r="CC240" i="6"/>
  <c r="BS240" i="6"/>
  <c r="BK240" i="6"/>
  <c r="BR240" i="6"/>
  <c r="BP240" i="6"/>
  <c r="BC240" i="6"/>
  <c r="BG240" i="6"/>
  <c r="BT240" i="6"/>
  <c r="CM240" i="6"/>
  <c r="A242" i="12"/>
  <c r="C243" i="5"/>
  <c r="G242" i="5"/>
  <c r="E242" i="5"/>
  <c r="B242" i="5"/>
  <c r="B242" i="6"/>
  <c r="H242" i="5"/>
  <c r="F242" i="5"/>
  <c r="AE242" i="5"/>
  <c r="D242" i="5"/>
  <c r="B242" i="12" s="1"/>
  <c r="J242" i="5"/>
  <c r="AD242" i="5"/>
  <c r="K242" i="5"/>
  <c r="N242" i="5"/>
  <c r="D242" i="6" s="1"/>
  <c r="K240" i="12"/>
  <c r="M241" i="6"/>
  <c r="H241" i="6" a="1"/>
  <c r="H241" i="6" s="1"/>
  <c r="T241" i="5" s="1"/>
  <c r="G241" i="12" s="1"/>
  <c r="N241" i="6"/>
  <c r="J241" i="12" a="1"/>
  <c r="J241" i="12" s="1"/>
  <c r="L241" i="12" a="1"/>
  <c r="L241" i="12" s="1"/>
  <c r="CI240" i="6"/>
  <c r="CD240" i="6"/>
  <c r="CA240" i="6"/>
  <c r="BJ240" i="6"/>
  <c r="CF240" i="6"/>
  <c r="BV240" i="6"/>
  <c r="BH240" i="6"/>
  <c r="BQ240" i="6"/>
  <c r="BL240" i="6"/>
  <c r="BM240" i="6"/>
  <c r="BE240" i="6"/>
  <c r="CG240" i="6"/>
  <c r="CH240" i="6"/>
  <c r="BI240" i="6"/>
  <c r="BF240" i="6"/>
  <c r="BO240" i="6"/>
  <c r="CK240" i="6"/>
  <c r="BZ240" i="6"/>
  <c r="CL240" i="6"/>
  <c r="CJ240" i="6"/>
  <c r="BY240" i="6"/>
  <c r="CE240" i="6"/>
  <c r="BW240" i="6"/>
  <c r="AY240" i="6"/>
  <c r="AZ240" i="6"/>
  <c r="T240" i="5"/>
  <c r="G240" i="12" s="1"/>
  <c r="BA240" i="6"/>
  <c r="AU240" i="6"/>
  <c r="AT240" i="6"/>
  <c r="AV240" i="6"/>
  <c r="AW240" i="6"/>
  <c r="AX240" i="6"/>
  <c r="CH241" i="6" l="1"/>
  <c r="BI241" i="6"/>
  <c r="CA241" i="6"/>
  <c r="BY241" i="6"/>
  <c r="AU241" i="6"/>
  <c r="K241" i="12"/>
  <c r="CJ241" i="6"/>
  <c r="BO241" i="6"/>
  <c r="BM241" i="6"/>
  <c r="BW241" i="6"/>
  <c r="BH241" i="6"/>
  <c r="BF241" i="6"/>
  <c r="CD241" i="6"/>
  <c r="AX241" i="6"/>
  <c r="CG241" i="6"/>
  <c r="CC241" i="6"/>
  <c r="BV241" i="6"/>
  <c r="CB241" i="6"/>
  <c r="AV241" i="6"/>
  <c r="AY241" i="6"/>
  <c r="AT241" i="6"/>
  <c r="BN241" i="6"/>
  <c r="AZ241" i="6"/>
  <c r="CM241" i="6"/>
  <c r="BR241" i="6"/>
  <c r="BT241" i="6"/>
  <c r="BK241" i="6"/>
  <c r="BJ241" i="6"/>
  <c r="BP241" i="6"/>
  <c r="BC241" i="6"/>
  <c r="BZ241" i="6"/>
  <c r="BA241" i="6"/>
  <c r="CK241" i="6"/>
  <c r="BS241" i="6"/>
  <c r="CF241" i="6"/>
  <c r="CL241" i="6"/>
  <c r="BQ241" i="6"/>
  <c r="BX241" i="6"/>
  <c r="BE241" i="6"/>
  <c r="N242" i="6"/>
  <c r="M242" i="6"/>
  <c r="H242" i="6" a="1"/>
  <c r="H242" i="6" s="1"/>
  <c r="D243" i="5"/>
  <c r="B243" i="12" s="1"/>
  <c r="G243" i="5"/>
  <c r="B243" i="5"/>
  <c r="C244" i="5" s="1"/>
  <c r="AE243" i="5"/>
  <c r="N243" i="5"/>
  <c r="D243" i="6" s="1"/>
  <c r="B243" i="6"/>
  <c r="AD243" i="5"/>
  <c r="K243" i="5"/>
  <c r="H243" i="5"/>
  <c r="J243" i="5"/>
  <c r="F243" i="5"/>
  <c r="E243" i="5"/>
  <c r="A243" i="12"/>
  <c r="CI241" i="6"/>
  <c r="AW241" i="6"/>
  <c r="BL241" i="6"/>
  <c r="J242" i="12" a="1"/>
  <c r="J242" i="12" s="1"/>
  <c r="L242" i="12" a="1"/>
  <c r="L242" i="12" s="1"/>
  <c r="CE241" i="6"/>
  <c r="BD241" i="6"/>
  <c r="BG241" i="6"/>
  <c r="K242" i="12" l="1"/>
  <c r="AY242" i="6"/>
  <c r="T242" i="5"/>
  <c r="G242" i="12" s="1"/>
  <c r="AV242" i="6"/>
  <c r="AT242" i="6"/>
  <c r="AU242" i="6"/>
  <c r="AX242" i="6"/>
  <c r="AZ242" i="6"/>
  <c r="AW242" i="6"/>
  <c r="BA242" i="6"/>
  <c r="J243" i="12" a="1"/>
  <c r="J243" i="12" s="1"/>
  <c r="L243" i="12" a="1"/>
  <c r="L243" i="12" s="1"/>
  <c r="BH242" i="6"/>
  <c r="BQ242" i="6"/>
  <c r="BN242" i="6"/>
  <c r="BL242" i="6"/>
  <c r="BP242" i="6"/>
  <c r="CK242" i="6"/>
  <c r="CF242" i="6"/>
  <c r="BT242" i="6"/>
  <c r="CI242" i="6"/>
  <c r="BW242" i="6"/>
  <c r="BJ242" i="6"/>
  <c r="BE242" i="6"/>
  <c r="BR242" i="6"/>
  <c r="BC242" i="6"/>
  <c r="BK242" i="6"/>
  <c r="BI242" i="6"/>
  <c r="BG242" i="6"/>
  <c r="CJ242" i="6"/>
  <c r="BS242" i="6"/>
  <c r="BY242" i="6"/>
  <c r="BO242" i="6"/>
  <c r="CD242" i="6"/>
  <c r="CL242" i="6"/>
  <c r="CC242" i="6"/>
  <c r="BD242" i="6"/>
  <c r="CG242" i="6"/>
  <c r="BM242" i="6"/>
  <c r="BZ242" i="6"/>
  <c r="BF242" i="6"/>
  <c r="CE242" i="6"/>
  <c r="CM242" i="6"/>
  <c r="BV242" i="6"/>
  <c r="CA242" i="6"/>
  <c r="BX242" i="6"/>
  <c r="CB242" i="6"/>
  <c r="CH242" i="6"/>
  <c r="H243" i="6" a="1"/>
  <c r="H243" i="6" s="1"/>
  <c r="M243" i="6"/>
  <c r="N243" i="6"/>
  <c r="H244" i="5"/>
  <c r="G244" i="5"/>
  <c r="F244" i="5"/>
  <c r="A244" i="12"/>
  <c r="I244" i="5"/>
  <c r="B244" i="6"/>
  <c r="J244" i="6" s="1" a="1"/>
  <c r="J244" i="6" s="1"/>
  <c r="AD244" i="5"/>
  <c r="E244" i="5"/>
  <c r="W244" i="5"/>
  <c r="H244" i="12" s="1"/>
  <c r="B244" i="5"/>
  <c r="C245" i="5" s="1"/>
  <c r="N244" i="5"/>
  <c r="D244" i="6" s="1"/>
  <c r="AE244" i="5"/>
  <c r="K243" i="12" l="1"/>
  <c r="A245" i="12"/>
  <c r="B245" i="5"/>
  <c r="C246" i="5" s="1"/>
  <c r="B245" i="6"/>
  <c r="J245" i="6" s="1" a="1"/>
  <c r="J245" i="6" s="1"/>
  <c r="AD245" i="5"/>
  <c r="H245" i="5"/>
  <c r="W245" i="5"/>
  <c r="H245" i="12" s="1"/>
  <c r="G245" i="5"/>
  <c r="F245" i="5"/>
  <c r="E245" i="5"/>
  <c r="I245" i="5"/>
  <c r="AE245" i="5"/>
  <c r="N245" i="5"/>
  <c r="D245" i="6" s="1"/>
  <c r="H244" i="6" a="1"/>
  <c r="H244" i="6" s="1"/>
  <c r="G244" i="6"/>
  <c r="N244" i="6"/>
  <c r="M244" i="6"/>
  <c r="BY244" i="6" s="1"/>
  <c r="CK243" i="6"/>
  <c r="CC243" i="6"/>
  <c r="CL243" i="6"/>
  <c r="CI243" i="6"/>
  <c r="CG243" i="6"/>
  <c r="BP243" i="6"/>
  <c r="BG243" i="6"/>
  <c r="BL243" i="6"/>
  <c r="BK243" i="6"/>
  <c r="BW243" i="6"/>
  <c r="BV243" i="6"/>
  <c r="BN243" i="6"/>
  <c r="BZ243" i="6"/>
  <c r="CD243" i="6"/>
  <c r="BY243" i="6"/>
  <c r="CA243" i="6"/>
  <c r="CM243" i="6"/>
  <c r="CJ243" i="6"/>
  <c r="BJ243" i="6"/>
  <c r="CB243" i="6"/>
  <c r="BS243" i="6"/>
  <c r="BF243" i="6"/>
  <c r="BX243" i="6"/>
  <c r="BT243" i="6"/>
  <c r="BQ243" i="6"/>
  <c r="CE243" i="6"/>
  <c r="BE243" i="6"/>
  <c r="BC243" i="6"/>
  <c r="BI243" i="6"/>
  <c r="BO243" i="6"/>
  <c r="BD243" i="6"/>
  <c r="BM243" i="6"/>
  <c r="BR243" i="6"/>
  <c r="BH243" i="6"/>
  <c r="CH243" i="6"/>
  <c r="CF243" i="6"/>
  <c r="AT243" i="6"/>
  <c r="AY243" i="6"/>
  <c r="BA243" i="6"/>
  <c r="AV243" i="6"/>
  <c r="AZ243" i="6"/>
  <c r="AW243" i="6"/>
  <c r="AU243" i="6"/>
  <c r="AX243" i="6"/>
  <c r="T243" i="5"/>
  <c r="G243" i="12" s="1"/>
  <c r="BR244" i="6" l="1"/>
  <c r="BV244" i="6"/>
  <c r="AU244" i="6"/>
  <c r="CI244" i="6"/>
  <c r="BQ244" i="6"/>
  <c r="BD244" i="6"/>
  <c r="BZ244" i="6"/>
  <c r="AJ244" i="6"/>
  <c r="CG244" i="6"/>
  <c r="BK244" i="6"/>
  <c r="CM244" i="6"/>
  <c r="CE244" i="6"/>
  <c r="BJ244" i="6"/>
  <c r="CC244" i="6"/>
  <c r="BN244" i="6"/>
  <c r="BX244" i="6"/>
  <c r="BO244" i="6"/>
  <c r="BL244" i="6"/>
  <c r="BM244" i="6"/>
  <c r="BF244" i="6"/>
  <c r="CB244" i="6"/>
  <c r="CD244" i="6"/>
  <c r="CA244" i="6"/>
  <c r="CK244" i="6"/>
  <c r="CL244" i="6"/>
  <c r="BH244" i="6"/>
  <c r="BE244" i="6"/>
  <c r="BP244" i="6"/>
  <c r="BT244" i="6"/>
  <c r="CF244" i="6"/>
  <c r="BS244" i="6"/>
  <c r="BG244" i="6"/>
  <c r="CJ244" i="6"/>
  <c r="T244" i="5"/>
  <c r="G244" i="12" s="1"/>
  <c r="AO244" i="6"/>
  <c r="AZ244" i="6"/>
  <c r="AX244" i="6"/>
  <c r="AS244" i="6"/>
  <c r="AT244" i="6"/>
  <c r="AW244" i="6"/>
  <c r="AQ244" i="6"/>
  <c r="AK244" i="6"/>
  <c r="AP244" i="6"/>
  <c r="AY244" i="6"/>
  <c r="AN244" i="6"/>
  <c r="AR244" i="6"/>
  <c r="AV244" i="6"/>
  <c r="AL244" i="6"/>
  <c r="AM244" i="6"/>
  <c r="BW244" i="6"/>
  <c r="W246" i="5"/>
  <c r="H246" i="12" s="1"/>
  <c r="F246" i="5"/>
  <c r="B246" i="5"/>
  <c r="AD246" i="5"/>
  <c r="AE246" i="5"/>
  <c r="N246" i="5"/>
  <c r="D246" i="6" s="1"/>
  <c r="H246" i="5"/>
  <c r="I246" i="5"/>
  <c r="C247" i="5"/>
  <c r="A246" i="12"/>
  <c r="G246" i="5"/>
  <c r="B246" i="6"/>
  <c r="J246" i="6" s="1" a="1"/>
  <c r="J246" i="6" s="1"/>
  <c r="E246" i="5"/>
  <c r="BI244" i="6"/>
  <c r="BA244" i="6"/>
  <c r="CH244" i="6"/>
  <c r="N245" i="6"/>
  <c r="M245" i="6"/>
  <c r="H245" i="6" a="1"/>
  <c r="H245" i="6" s="1"/>
  <c r="G245" i="6"/>
  <c r="BC244" i="6"/>
  <c r="AE247" i="5" l="1"/>
  <c r="D247" i="5"/>
  <c r="B247" i="12" s="1"/>
  <c r="N247" i="5"/>
  <c r="D247" i="6" s="1"/>
  <c r="E247" i="5"/>
  <c r="G247" i="5"/>
  <c r="A247" i="12"/>
  <c r="C248" i="5"/>
  <c r="F247" i="5"/>
  <c r="B247" i="6"/>
  <c r="B247" i="5"/>
  <c r="AD247" i="5"/>
  <c r="K247" i="5"/>
  <c r="H247" i="5"/>
  <c r="J247" i="5"/>
  <c r="T245" i="5"/>
  <c r="G245" i="12" s="1"/>
  <c r="AS245" i="6"/>
  <c r="AU245" i="6"/>
  <c r="AW245" i="6"/>
  <c r="AP245" i="6"/>
  <c r="AQ245" i="6"/>
  <c r="AO245" i="6"/>
  <c r="AJ245" i="6"/>
  <c r="AZ245" i="6"/>
  <c r="AM245" i="6"/>
  <c r="AT245" i="6"/>
  <c r="AV245" i="6"/>
  <c r="BA245" i="6"/>
  <c r="AN245" i="6"/>
  <c r="AK245" i="6"/>
  <c r="AX245" i="6"/>
  <c r="AR245" i="6"/>
  <c r="AL245" i="6"/>
  <c r="AY245" i="6"/>
  <c r="CH245" i="6"/>
  <c r="BT245" i="6"/>
  <c r="BS245" i="6"/>
  <c r="CI245" i="6"/>
  <c r="BD245" i="6"/>
  <c r="CL245" i="6"/>
  <c r="BH245" i="6"/>
  <c r="BQ245" i="6"/>
  <c r="BG245" i="6"/>
  <c r="BF245" i="6"/>
  <c r="BP245" i="6"/>
  <c r="CB245" i="6"/>
  <c r="CM245" i="6"/>
  <c r="BO245" i="6"/>
  <c r="CJ245" i="6"/>
  <c r="BJ245" i="6"/>
  <c r="BW245" i="6"/>
  <c r="CG245" i="6"/>
  <c r="BK245" i="6"/>
  <c r="BE245" i="6"/>
  <c r="BR245" i="6"/>
  <c r="BN245" i="6"/>
  <c r="BI245" i="6"/>
  <c r="BM245" i="6"/>
  <c r="CF245" i="6"/>
  <c r="BY245" i="6"/>
  <c r="BC245" i="6"/>
  <c r="CC245" i="6"/>
  <c r="CA245" i="6"/>
  <c r="BZ245" i="6"/>
  <c r="BL245" i="6"/>
  <c r="BV245" i="6"/>
  <c r="CD245" i="6"/>
  <c r="CE245" i="6"/>
  <c r="BX245" i="6"/>
  <c r="CK245" i="6"/>
  <c r="N246" i="6"/>
  <c r="M246" i="6"/>
  <c r="CD246" i="6" s="1"/>
  <c r="G246" i="6"/>
  <c r="H246" i="6" a="1"/>
  <c r="H246" i="6" s="1"/>
  <c r="AT246" i="6" l="1"/>
  <c r="AX246" i="6"/>
  <c r="BX246" i="6"/>
  <c r="BT246" i="6"/>
  <c r="CC246" i="6"/>
  <c r="BL246" i="6"/>
  <c r="CJ246" i="6"/>
  <c r="BO246" i="6"/>
  <c r="BQ246" i="6"/>
  <c r="CA246" i="6"/>
  <c r="CH246" i="6"/>
  <c r="BN246" i="6"/>
  <c r="BJ246" i="6"/>
  <c r="BD246" i="6"/>
  <c r="BC246" i="6"/>
  <c r="BM246" i="6"/>
  <c r="CE246" i="6"/>
  <c r="BE246" i="6"/>
  <c r="BY246" i="6"/>
  <c r="BP246" i="6"/>
  <c r="CB246" i="6"/>
  <c r="CK246" i="6"/>
  <c r="CM246" i="6"/>
  <c r="CG246" i="6"/>
  <c r="BR246" i="6"/>
  <c r="CI246" i="6"/>
  <c r="BW246" i="6"/>
  <c r="BK246" i="6"/>
  <c r="BI246" i="6"/>
  <c r="BG246" i="6"/>
  <c r="BH246" i="6"/>
  <c r="BF246" i="6"/>
  <c r="CF246" i="6"/>
  <c r="BV246" i="6"/>
  <c r="BA246" i="6"/>
  <c r="K248" i="5"/>
  <c r="J248" i="5"/>
  <c r="G248" i="5"/>
  <c r="N248" i="5"/>
  <c r="D248" i="6" s="1"/>
  <c r="AE248" i="5"/>
  <c r="H248" i="5"/>
  <c r="A248" i="12"/>
  <c r="C249" i="5"/>
  <c r="AD248" i="5"/>
  <c r="B248" i="6"/>
  <c r="F248" i="5"/>
  <c r="E248" i="5"/>
  <c r="D248" i="5"/>
  <c r="B248" i="12" s="1"/>
  <c r="B248" i="5"/>
  <c r="J247" i="12" a="1"/>
  <c r="J247" i="12" s="1"/>
  <c r="L247" i="12" a="1"/>
  <c r="L247" i="12" s="1"/>
  <c r="CL246" i="6"/>
  <c r="BZ246" i="6"/>
  <c r="N247" i="6"/>
  <c r="M247" i="6"/>
  <c r="H247" i="6" a="1"/>
  <c r="H247" i="6" s="1"/>
  <c r="BS246" i="6"/>
  <c r="T246" i="5"/>
  <c r="G246" i="12" s="1"/>
  <c r="AL246" i="6"/>
  <c r="AN246" i="6"/>
  <c r="AR246" i="6"/>
  <c r="AQ246" i="6"/>
  <c r="AM246" i="6"/>
  <c r="AU246" i="6"/>
  <c r="AJ246" i="6"/>
  <c r="AP246" i="6"/>
  <c r="AY246" i="6"/>
  <c r="AZ246" i="6"/>
  <c r="AO246" i="6"/>
  <c r="AW246" i="6"/>
  <c r="AS246" i="6"/>
  <c r="AV246" i="6"/>
  <c r="AK246" i="6"/>
  <c r="AU247" i="6" l="1"/>
  <c r="BA247" i="6"/>
  <c r="AZ247" i="6"/>
  <c r="AV247" i="6"/>
  <c r="AT247" i="6"/>
  <c r="T247" i="5"/>
  <c r="G247" i="12" s="1"/>
  <c r="AW247" i="6"/>
  <c r="AY247" i="6"/>
  <c r="AX247" i="6"/>
  <c r="CF247" i="6"/>
  <c r="CG247" i="6"/>
  <c r="BD247" i="6"/>
  <c r="CK247" i="6"/>
  <c r="CJ247" i="6"/>
  <c r="CL247" i="6"/>
  <c r="BC247" i="6"/>
  <c r="BH247" i="6"/>
  <c r="CH247" i="6"/>
  <c r="CM247" i="6"/>
  <c r="BG247" i="6"/>
  <c r="BZ247" i="6"/>
  <c r="BV247" i="6"/>
  <c r="BS247" i="6"/>
  <c r="CI247" i="6"/>
  <c r="BX247" i="6"/>
  <c r="BI247" i="6"/>
  <c r="BP247" i="6"/>
  <c r="BL247" i="6"/>
  <c r="BE247" i="6"/>
  <c r="BK247" i="6"/>
  <c r="BW247" i="6"/>
  <c r="CA247" i="6"/>
  <c r="CB247" i="6"/>
  <c r="BJ247" i="6"/>
  <c r="BQ247" i="6"/>
  <c r="BF247" i="6"/>
  <c r="BN247" i="6"/>
  <c r="BT247" i="6"/>
  <c r="CE247" i="6"/>
  <c r="BY247" i="6"/>
  <c r="CD247" i="6"/>
  <c r="BR247" i="6"/>
  <c r="CC247" i="6"/>
  <c r="BM247" i="6"/>
  <c r="BO247" i="6"/>
  <c r="H249" i="5"/>
  <c r="F249" i="5"/>
  <c r="A249" i="12"/>
  <c r="E249" i="5"/>
  <c r="B249" i="5"/>
  <c r="D249" i="5"/>
  <c r="B249" i="12" s="1"/>
  <c r="AE249" i="5"/>
  <c r="N249" i="5"/>
  <c r="D249" i="6" s="1"/>
  <c r="G249" i="5"/>
  <c r="C250" i="5"/>
  <c r="J249" i="5"/>
  <c r="B249" i="6"/>
  <c r="AD249" i="5"/>
  <c r="K249" i="5"/>
  <c r="L248" i="12" a="1"/>
  <c r="L248" i="12" s="1"/>
  <c r="J248" i="12" a="1"/>
  <c r="J248" i="12" s="1"/>
  <c r="K247" i="12"/>
  <c r="H248" i="6" a="1"/>
  <c r="H248" i="6" s="1"/>
  <c r="M248" i="6"/>
  <c r="N248" i="6"/>
  <c r="K248" i="12" l="1"/>
  <c r="J249" i="12" a="1"/>
  <c r="J249" i="12" s="1"/>
  <c r="L249" i="12" a="1"/>
  <c r="L249" i="12" s="1"/>
  <c r="J250" i="5"/>
  <c r="N250" i="5"/>
  <c r="D250" i="6" s="1"/>
  <c r="H250" i="5"/>
  <c r="C251" i="5"/>
  <c r="A250" i="12"/>
  <c r="G250" i="5"/>
  <c r="B250" i="6"/>
  <c r="AE250" i="5"/>
  <c r="F250" i="5"/>
  <c r="E250" i="5"/>
  <c r="D250" i="5"/>
  <c r="B250" i="12" s="1"/>
  <c r="B250" i="5"/>
  <c r="AD250" i="5"/>
  <c r="K250" i="5"/>
  <c r="N249" i="6"/>
  <c r="M249" i="6"/>
  <c r="H249" i="6" a="1"/>
  <c r="H249" i="6" s="1"/>
  <c r="CH248" i="6"/>
  <c r="BW248" i="6"/>
  <c r="BM248" i="6"/>
  <c r="CL248" i="6"/>
  <c r="CF248" i="6"/>
  <c r="BH248" i="6"/>
  <c r="CC248" i="6"/>
  <c r="BC248" i="6"/>
  <c r="BF248" i="6"/>
  <c r="BS248" i="6"/>
  <c r="BO248" i="6"/>
  <c r="BG248" i="6"/>
  <c r="BI248" i="6"/>
  <c r="CJ248" i="6"/>
  <c r="BZ248" i="6"/>
  <c r="BT248" i="6"/>
  <c r="BR248" i="6"/>
  <c r="CB248" i="6"/>
  <c r="CD248" i="6"/>
  <c r="BK248" i="6"/>
  <c r="CM248" i="6"/>
  <c r="BX248" i="6"/>
  <c r="BE248" i="6"/>
  <c r="BY248" i="6"/>
  <c r="CK248" i="6"/>
  <c r="CE248" i="6"/>
  <c r="CI248" i="6"/>
  <c r="BJ248" i="6"/>
  <c r="BQ248" i="6"/>
  <c r="BL248" i="6"/>
  <c r="BP248" i="6"/>
  <c r="CA248" i="6"/>
  <c r="BD248" i="6"/>
  <c r="BV248" i="6"/>
  <c r="CG248" i="6"/>
  <c r="BN248" i="6"/>
  <c r="AV248" i="6"/>
  <c r="AZ248" i="6"/>
  <c r="BA248" i="6"/>
  <c r="AX248" i="6"/>
  <c r="AT248" i="6"/>
  <c r="AU248" i="6"/>
  <c r="T248" i="5"/>
  <c r="G248" i="12" s="1"/>
  <c r="AW248" i="6"/>
  <c r="AY248" i="6"/>
  <c r="K249" i="12" l="1"/>
  <c r="AZ249" i="6"/>
  <c r="T249" i="5"/>
  <c r="G249" i="12" s="1"/>
  <c r="AV249" i="6"/>
  <c r="AY249" i="6"/>
  <c r="AT249" i="6"/>
  <c r="AW249" i="6"/>
  <c r="BA249" i="6"/>
  <c r="AX249" i="6"/>
  <c r="AU249" i="6"/>
  <c r="J250" i="12" a="1"/>
  <c r="J250" i="12" s="1"/>
  <c r="L250" i="12" a="1"/>
  <c r="L250" i="12" s="1"/>
  <c r="CJ249" i="6"/>
  <c r="BR249" i="6"/>
  <c r="CD249" i="6"/>
  <c r="BJ249" i="6"/>
  <c r="CM249" i="6"/>
  <c r="CA249" i="6"/>
  <c r="BC249" i="6"/>
  <c r="BS249" i="6"/>
  <c r="CI249" i="6"/>
  <c r="BG249" i="6"/>
  <c r="BN249" i="6"/>
  <c r="BH249" i="6"/>
  <c r="CL249" i="6"/>
  <c r="BD249" i="6"/>
  <c r="BO249" i="6"/>
  <c r="BT249" i="6"/>
  <c r="BE249" i="6"/>
  <c r="BV249" i="6"/>
  <c r="CF249" i="6"/>
  <c r="BK249" i="6"/>
  <c r="BZ249" i="6"/>
  <c r="BW249" i="6"/>
  <c r="CG249" i="6"/>
  <c r="CE249" i="6"/>
  <c r="BX249" i="6"/>
  <c r="BQ249" i="6"/>
  <c r="BI249" i="6"/>
  <c r="BM249" i="6"/>
  <c r="CH249" i="6"/>
  <c r="BP249" i="6"/>
  <c r="BL249" i="6"/>
  <c r="BY249" i="6"/>
  <c r="BF249" i="6"/>
  <c r="CK249" i="6"/>
  <c r="CB249" i="6"/>
  <c r="CC249" i="6"/>
  <c r="F251" i="5"/>
  <c r="E251" i="5"/>
  <c r="D251" i="5"/>
  <c r="B251" i="12" s="1"/>
  <c r="N251" i="5"/>
  <c r="D251" i="6" s="1"/>
  <c r="G251" i="5"/>
  <c r="C252" i="5"/>
  <c r="AE251" i="5"/>
  <c r="A251" i="12"/>
  <c r="B251" i="5"/>
  <c r="AD251" i="5"/>
  <c r="K251" i="5"/>
  <c r="J251" i="5"/>
  <c r="H251" i="5"/>
  <c r="B251" i="6"/>
  <c r="H250" i="6" a="1"/>
  <c r="H250" i="6" s="1"/>
  <c r="N250" i="6"/>
  <c r="M250" i="6"/>
  <c r="K250" i="12" l="1"/>
  <c r="J251" i="12" a="1"/>
  <c r="J251" i="12" s="1"/>
  <c r="L251" i="12" a="1"/>
  <c r="L251" i="12" s="1"/>
  <c r="AD252" i="5"/>
  <c r="J252" i="5"/>
  <c r="K252" i="5"/>
  <c r="N252" i="5"/>
  <c r="D252" i="6" s="1"/>
  <c r="H252" i="5"/>
  <c r="A252" i="12"/>
  <c r="G252" i="5"/>
  <c r="B252" i="6"/>
  <c r="AE252" i="5"/>
  <c r="F252" i="5"/>
  <c r="B252" i="5"/>
  <c r="E252" i="5"/>
  <c r="D252" i="5"/>
  <c r="B252" i="12" s="1"/>
  <c r="C253" i="5"/>
  <c r="CG250" i="6"/>
  <c r="BO250" i="6"/>
  <c r="CL250" i="6"/>
  <c r="BI250" i="6"/>
  <c r="CI250" i="6"/>
  <c r="BZ250" i="6"/>
  <c r="BT250" i="6"/>
  <c r="BX250" i="6"/>
  <c r="BY250" i="6"/>
  <c r="BH250" i="6"/>
  <c r="BK250" i="6"/>
  <c r="CB250" i="6"/>
  <c r="BP250" i="6"/>
  <c r="CM250" i="6"/>
  <c r="BW250" i="6"/>
  <c r="BQ250" i="6"/>
  <c r="BD250" i="6"/>
  <c r="CJ250" i="6"/>
  <c r="CC250" i="6"/>
  <c r="BR250" i="6"/>
  <c r="BE250" i="6"/>
  <c r="BV250" i="6"/>
  <c r="BC250" i="6"/>
  <c r="BL250" i="6"/>
  <c r="BM250" i="6"/>
  <c r="BS250" i="6"/>
  <c r="CF250" i="6"/>
  <c r="BF250" i="6"/>
  <c r="BJ250" i="6"/>
  <c r="CE250" i="6"/>
  <c r="CA250" i="6"/>
  <c r="CK250" i="6"/>
  <c r="CH250" i="6"/>
  <c r="BN250" i="6"/>
  <c r="CD250" i="6"/>
  <c r="BG250" i="6"/>
  <c r="N251" i="6"/>
  <c r="H251" i="6" a="1"/>
  <c r="H251" i="6" s="1"/>
  <c r="M251" i="6"/>
  <c r="BE251" i="6" s="1"/>
  <c r="AW250" i="6"/>
  <c r="AZ250" i="6"/>
  <c r="AT250" i="6"/>
  <c r="AU250" i="6"/>
  <c r="AY250" i="6"/>
  <c r="T250" i="5"/>
  <c r="G250" i="12" s="1"/>
  <c r="BA250" i="6"/>
  <c r="AX250" i="6"/>
  <c r="AV250" i="6"/>
  <c r="K251" i="12" l="1"/>
  <c r="J252" i="12" a="1"/>
  <c r="J252" i="12" s="1"/>
  <c r="L252" i="12" a="1"/>
  <c r="L252" i="12" s="1"/>
  <c r="CG251" i="6"/>
  <c r="BK251" i="6"/>
  <c r="BZ251" i="6"/>
  <c r="BF251" i="6"/>
  <c r="CC251" i="6"/>
  <c r="BO251" i="6"/>
  <c r="BT251" i="6"/>
  <c r="CL251" i="6"/>
  <c r="CJ251" i="6"/>
  <c r="CE251" i="6"/>
  <c r="BI251" i="6"/>
  <c r="BW251" i="6"/>
  <c r="BH251" i="6"/>
  <c r="CM251" i="6"/>
  <c r="BR251" i="6"/>
  <c r="BG251" i="6"/>
  <c r="BY251" i="6"/>
  <c r="CH251" i="6"/>
  <c r="CA251" i="6"/>
  <c r="BJ251" i="6"/>
  <c r="BM251" i="6"/>
  <c r="BP251" i="6"/>
  <c r="CB251" i="6"/>
  <c r="BN251" i="6"/>
  <c r="BV251" i="6"/>
  <c r="CK251" i="6"/>
  <c r="BD251" i="6"/>
  <c r="CF251" i="6"/>
  <c r="BS251" i="6"/>
  <c r="BQ251" i="6"/>
  <c r="CI251" i="6"/>
  <c r="BL251" i="6"/>
  <c r="BC251" i="6"/>
  <c r="BX251" i="6"/>
  <c r="T251" i="5"/>
  <c r="G251" i="12" s="1"/>
  <c r="AV251" i="6"/>
  <c r="BA251" i="6"/>
  <c r="AW251" i="6"/>
  <c r="AX251" i="6"/>
  <c r="AT251" i="6"/>
  <c r="AZ251" i="6"/>
  <c r="AU251" i="6"/>
  <c r="AY251" i="6"/>
  <c r="H252" i="6" a="1"/>
  <c r="H252" i="6" s="1"/>
  <c r="N252" i="6"/>
  <c r="M252" i="6"/>
  <c r="CD251" i="6"/>
  <c r="J253" i="5"/>
  <c r="F253" i="5"/>
  <c r="C254" i="5"/>
  <c r="E253" i="5"/>
  <c r="G253" i="5"/>
  <c r="B253" i="5"/>
  <c r="D253" i="5"/>
  <c r="B253" i="12" s="1"/>
  <c r="N253" i="5"/>
  <c r="D253" i="6" s="1"/>
  <c r="A253" i="12"/>
  <c r="B253" i="6"/>
  <c r="AE253" i="5"/>
  <c r="AD253" i="5"/>
  <c r="K253" i="5"/>
  <c r="H253" i="5"/>
  <c r="K252" i="12" l="1"/>
  <c r="CF252" i="6"/>
  <c r="CG252" i="6"/>
  <c r="BF252" i="6"/>
  <c r="BI252" i="6"/>
  <c r="BJ252" i="6"/>
  <c r="CB252" i="6"/>
  <c r="CK252" i="6"/>
  <c r="BM252" i="6"/>
  <c r="CL252" i="6"/>
  <c r="BR252" i="6"/>
  <c r="CI252" i="6"/>
  <c r="CC252" i="6"/>
  <c r="CD252" i="6"/>
  <c r="CE252" i="6"/>
  <c r="BX252" i="6"/>
  <c r="BN252" i="6"/>
  <c r="BP252" i="6"/>
  <c r="BK252" i="6"/>
  <c r="BV252" i="6"/>
  <c r="CM252" i="6"/>
  <c r="CJ252" i="6"/>
  <c r="BS252" i="6"/>
  <c r="BO252" i="6"/>
  <c r="BC252" i="6"/>
  <c r="BD252" i="6"/>
  <c r="BG252" i="6"/>
  <c r="BY252" i="6"/>
  <c r="BE252" i="6"/>
  <c r="CA252" i="6"/>
  <c r="BT252" i="6"/>
  <c r="BL252" i="6"/>
  <c r="BQ252" i="6"/>
  <c r="BZ252" i="6"/>
  <c r="BH252" i="6"/>
  <c r="BW252" i="6"/>
  <c r="CH252" i="6"/>
  <c r="J253" i="12" a="1"/>
  <c r="J253" i="12" s="1"/>
  <c r="L253" i="12" a="1"/>
  <c r="L253" i="12" s="1"/>
  <c r="AV252" i="6"/>
  <c r="BA252" i="6"/>
  <c r="AX252" i="6"/>
  <c r="AW252" i="6"/>
  <c r="AU252" i="6"/>
  <c r="AZ252" i="6"/>
  <c r="AY252" i="6"/>
  <c r="AT252" i="6"/>
  <c r="T252" i="5"/>
  <c r="G252" i="12" s="1"/>
  <c r="H253" i="6" a="1"/>
  <c r="H253" i="6" s="1"/>
  <c r="N253" i="6"/>
  <c r="M253" i="6"/>
  <c r="BH253" i="6" s="1"/>
  <c r="F254" i="5"/>
  <c r="E254" i="5"/>
  <c r="D254" i="5"/>
  <c r="B254" i="12" s="1"/>
  <c r="H254" i="5"/>
  <c r="G254" i="5"/>
  <c r="B254" i="6"/>
  <c r="B254" i="5"/>
  <c r="AD254" i="5"/>
  <c r="K254" i="5"/>
  <c r="J254" i="5"/>
  <c r="N254" i="5"/>
  <c r="D254" i="6" s="1"/>
  <c r="C255" i="5"/>
  <c r="A254" i="12"/>
  <c r="AE254" i="5"/>
  <c r="K253" i="12" l="1"/>
  <c r="BY253" i="6"/>
  <c r="AY253" i="6"/>
  <c r="BR253" i="6"/>
  <c r="BP253" i="6"/>
  <c r="BT253" i="6"/>
  <c r="BL253" i="6"/>
  <c r="AV253" i="6"/>
  <c r="BA253" i="6"/>
  <c r="BI253" i="6"/>
  <c r="BZ253" i="6"/>
  <c r="BS253" i="6"/>
  <c r="CE253" i="6"/>
  <c r="J254" i="12" a="1"/>
  <c r="J254" i="12" s="1"/>
  <c r="L254" i="12" a="1"/>
  <c r="L254" i="12" s="1"/>
  <c r="F255" i="5"/>
  <c r="E255" i="5"/>
  <c r="D255" i="5"/>
  <c r="B255" i="12" s="1"/>
  <c r="H255" i="5"/>
  <c r="N255" i="5"/>
  <c r="D255" i="6" s="1"/>
  <c r="G255" i="5"/>
  <c r="C256" i="5"/>
  <c r="B255" i="5"/>
  <c r="A255" i="12"/>
  <c r="B255" i="6"/>
  <c r="AE255" i="5"/>
  <c r="AD255" i="5"/>
  <c r="K255" i="5"/>
  <c r="J255" i="5"/>
  <c r="BM253" i="6"/>
  <c r="N254" i="6"/>
  <c r="M254" i="6"/>
  <c r="BH254" i="6" s="1"/>
  <c r="H254" i="6" a="1"/>
  <c r="H254" i="6" s="1"/>
  <c r="BE253" i="6"/>
  <c r="BQ253" i="6"/>
  <c r="AT253" i="6"/>
  <c r="CH253" i="6"/>
  <c r="CD253" i="6"/>
  <c r="CL253" i="6"/>
  <c r="CG253" i="6"/>
  <c r="BF253" i="6"/>
  <c r="CI253" i="6"/>
  <c r="CB253" i="6"/>
  <c r="BD253" i="6"/>
  <c r="CJ253" i="6"/>
  <c r="BX253" i="6"/>
  <c r="BJ253" i="6"/>
  <c r="BW253" i="6"/>
  <c r="CM253" i="6"/>
  <c r="BG253" i="6"/>
  <c r="CA253" i="6"/>
  <c r="CK253" i="6"/>
  <c r="BK253" i="6"/>
  <c r="BC253" i="6"/>
  <c r="CC253" i="6"/>
  <c r="BN253" i="6"/>
  <c r="AW253" i="6"/>
  <c r="AZ253" i="6"/>
  <c r="T253" i="5"/>
  <c r="G253" i="12" s="1"/>
  <c r="AU253" i="6"/>
  <c r="AX253" i="6"/>
  <c r="CF253" i="6"/>
  <c r="BO253" i="6"/>
  <c r="BV253" i="6"/>
  <c r="BV254" i="6" l="1"/>
  <c r="BN254" i="6"/>
  <c r="K254" i="12"/>
  <c r="CA254" i="6"/>
  <c r="L255" i="12" a="1"/>
  <c r="L255" i="12" s="1"/>
  <c r="J255" i="12" a="1"/>
  <c r="J255" i="12" s="1"/>
  <c r="AD256" i="5"/>
  <c r="K256" i="5"/>
  <c r="J256" i="5"/>
  <c r="H256" i="5"/>
  <c r="A256" i="12"/>
  <c r="N256" i="5"/>
  <c r="D256" i="6" s="1"/>
  <c r="C257" i="5"/>
  <c r="AE256" i="5"/>
  <c r="B256" i="5"/>
  <c r="G256" i="5"/>
  <c r="B256" i="6"/>
  <c r="F256" i="5"/>
  <c r="E256" i="5"/>
  <c r="D256" i="5"/>
  <c r="B256" i="12" s="1"/>
  <c r="AZ254" i="6"/>
  <c r="AY254" i="6"/>
  <c r="T254" i="5"/>
  <c r="G254" i="12" s="1"/>
  <c r="AT254" i="6"/>
  <c r="AV254" i="6"/>
  <c r="AW254" i="6"/>
  <c r="AU254" i="6"/>
  <c r="BP254" i="6"/>
  <c r="BC254" i="6"/>
  <c r="CG254" i="6"/>
  <c r="BM254" i="6"/>
  <c r="BT254" i="6"/>
  <c r="CD254" i="6"/>
  <c r="BD254" i="6"/>
  <c r="BR254" i="6"/>
  <c r="BG254" i="6"/>
  <c r="CC254" i="6"/>
  <c r="CH254" i="6"/>
  <c r="CL254" i="6"/>
  <c r="BO254" i="6"/>
  <c r="BS254" i="6"/>
  <c r="BY254" i="6"/>
  <c r="CF254" i="6"/>
  <c r="CE254" i="6"/>
  <c r="BX254" i="6"/>
  <c r="CI254" i="6"/>
  <c r="BL254" i="6"/>
  <c r="CJ254" i="6"/>
  <c r="CB254" i="6"/>
  <c r="BQ254" i="6"/>
  <c r="CM254" i="6"/>
  <c r="BE254" i="6"/>
  <c r="BZ254" i="6"/>
  <c r="CK254" i="6"/>
  <c r="BI254" i="6"/>
  <c r="BW254" i="6"/>
  <c r="BF254" i="6"/>
  <c r="BJ254" i="6"/>
  <c r="H255" i="6" a="1"/>
  <c r="H255" i="6" s="1"/>
  <c r="N255" i="6"/>
  <c r="M255" i="6"/>
  <c r="AX254" i="6"/>
  <c r="BK254" i="6"/>
  <c r="BA254" i="6"/>
  <c r="CF255" i="6" l="1"/>
  <c r="CM255" i="6"/>
  <c r="BP255" i="6"/>
  <c r="BL255" i="6"/>
  <c r="BQ255" i="6"/>
  <c r="BO255" i="6"/>
  <c r="CH255" i="6"/>
  <c r="BM255" i="6"/>
  <c r="BX255" i="6"/>
  <c r="CB255" i="6"/>
  <c r="CE255" i="6"/>
  <c r="CL255" i="6"/>
  <c r="BK255" i="6"/>
  <c r="BC255" i="6"/>
  <c r="BV255" i="6"/>
  <c r="BE255" i="6"/>
  <c r="BR255" i="6"/>
  <c r="BF255" i="6"/>
  <c r="BI255" i="6"/>
  <c r="BN255" i="6"/>
  <c r="BD255" i="6"/>
  <c r="CK255" i="6"/>
  <c r="BT255" i="6"/>
  <c r="CD255" i="6"/>
  <c r="BW255" i="6"/>
  <c r="BH255" i="6"/>
  <c r="BG255" i="6"/>
  <c r="CI255" i="6"/>
  <c r="BS255" i="6"/>
  <c r="CJ255" i="6"/>
  <c r="CA255" i="6"/>
  <c r="CG255" i="6"/>
  <c r="BZ255" i="6"/>
  <c r="BJ255" i="6"/>
  <c r="CC255" i="6"/>
  <c r="BY255" i="6"/>
  <c r="H257" i="5"/>
  <c r="F257" i="5"/>
  <c r="N257" i="5"/>
  <c r="D257" i="6" s="1"/>
  <c r="B257" i="6"/>
  <c r="AD257" i="5"/>
  <c r="E257" i="5"/>
  <c r="D257" i="5"/>
  <c r="B257" i="12" s="1"/>
  <c r="G257" i="5"/>
  <c r="C258" i="5"/>
  <c r="A257" i="12"/>
  <c r="B257" i="5"/>
  <c r="AE257" i="5"/>
  <c r="K257" i="5"/>
  <c r="J257" i="5"/>
  <c r="M256" i="6"/>
  <c r="H256" i="6" a="1"/>
  <c r="H256" i="6" s="1"/>
  <c r="N256" i="6"/>
  <c r="AW255" i="6"/>
  <c r="AY255" i="6"/>
  <c r="BA255" i="6"/>
  <c r="AT255" i="6"/>
  <c r="AU255" i="6"/>
  <c r="AZ255" i="6"/>
  <c r="T255" i="5"/>
  <c r="G255" i="12" s="1"/>
  <c r="AX255" i="6"/>
  <c r="AV255" i="6"/>
  <c r="J256" i="12" a="1"/>
  <c r="J256" i="12" s="1"/>
  <c r="L256" i="12" a="1"/>
  <c r="L256" i="12" s="1"/>
  <c r="K255" i="12"/>
  <c r="J257" i="12" l="1" a="1"/>
  <c r="J257" i="12" s="1"/>
  <c r="L257" i="12" a="1"/>
  <c r="L257" i="12" s="1"/>
  <c r="K258" i="5"/>
  <c r="J258" i="5"/>
  <c r="H258" i="5"/>
  <c r="G258" i="5"/>
  <c r="F258" i="5"/>
  <c r="AE258" i="5"/>
  <c r="A258" i="12"/>
  <c r="N258" i="5"/>
  <c r="D258" i="6" s="1"/>
  <c r="B258" i="6"/>
  <c r="E258" i="5"/>
  <c r="B258" i="5"/>
  <c r="C259" i="5" s="1"/>
  <c r="D258" i="5"/>
  <c r="B258" i="12" s="1"/>
  <c r="AD258" i="5"/>
  <c r="K256" i="12"/>
  <c r="AY256" i="6"/>
  <c r="AU256" i="6"/>
  <c r="AZ256" i="6"/>
  <c r="AX256" i="6"/>
  <c r="T256" i="5"/>
  <c r="G256" i="12" s="1"/>
  <c r="BA256" i="6"/>
  <c r="AT256" i="6"/>
  <c r="AW256" i="6"/>
  <c r="AV256" i="6"/>
  <c r="CK256" i="6"/>
  <c r="BF256" i="6"/>
  <c r="BQ256" i="6"/>
  <c r="BK256" i="6"/>
  <c r="CI256" i="6"/>
  <c r="BR256" i="6"/>
  <c r="BI256" i="6"/>
  <c r="BJ256" i="6"/>
  <c r="BE256" i="6"/>
  <c r="BY256" i="6"/>
  <c r="BW256" i="6"/>
  <c r="BL256" i="6"/>
  <c r="CH256" i="6"/>
  <c r="BM256" i="6"/>
  <c r="CA256" i="6"/>
  <c r="BX256" i="6"/>
  <c r="CL256" i="6"/>
  <c r="CE256" i="6"/>
  <c r="CC256" i="6"/>
  <c r="BV256" i="6"/>
  <c r="BT256" i="6"/>
  <c r="CB256" i="6"/>
  <c r="BO256" i="6"/>
  <c r="BC256" i="6"/>
  <c r="BZ256" i="6"/>
  <c r="BS256" i="6"/>
  <c r="BG256" i="6"/>
  <c r="CG256" i="6"/>
  <c r="CJ256" i="6"/>
  <c r="BN256" i="6"/>
  <c r="CF256" i="6"/>
  <c r="CM256" i="6"/>
  <c r="BP256" i="6"/>
  <c r="BD256" i="6"/>
  <c r="BH256" i="6"/>
  <c r="CD256" i="6"/>
  <c r="H257" i="6" a="1"/>
  <c r="H257" i="6" s="1"/>
  <c r="N257" i="6"/>
  <c r="M257" i="6"/>
  <c r="K257" i="12" l="1"/>
  <c r="N258" i="6"/>
  <c r="M258" i="6"/>
  <c r="H258" i="6" a="1"/>
  <c r="H258" i="6" s="1"/>
  <c r="J258" i="12" a="1"/>
  <c r="J258" i="12" s="1"/>
  <c r="L258" i="12" a="1"/>
  <c r="L258" i="12" s="1"/>
  <c r="BT257" i="6"/>
  <c r="CK257" i="6"/>
  <c r="BI257" i="6"/>
  <c r="CL257" i="6"/>
  <c r="BR257" i="6"/>
  <c r="BD257" i="6"/>
  <c r="BX257" i="6"/>
  <c r="BS257" i="6"/>
  <c r="BE257" i="6"/>
  <c r="CI257" i="6"/>
  <c r="BM257" i="6"/>
  <c r="BF257" i="6"/>
  <c r="CM257" i="6"/>
  <c r="BG257" i="6"/>
  <c r="CH257" i="6"/>
  <c r="CE257" i="6"/>
  <c r="BV257" i="6"/>
  <c r="BZ257" i="6"/>
  <c r="BK257" i="6"/>
  <c r="BN257" i="6"/>
  <c r="CF257" i="6"/>
  <c r="BQ257" i="6"/>
  <c r="BO257" i="6"/>
  <c r="CG257" i="6"/>
  <c r="BH257" i="6"/>
  <c r="BW257" i="6"/>
  <c r="BC257" i="6"/>
  <c r="CB257" i="6"/>
  <c r="BY257" i="6"/>
  <c r="BP257" i="6"/>
  <c r="CA257" i="6"/>
  <c r="CJ257" i="6"/>
  <c r="CC257" i="6"/>
  <c r="BJ257" i="6"/>
  <c r="CD257" i="6"/>
  <c r="BL257" i="6"/>
  <c r="AW257" i="6"/>
  <c r="AX257" i="6"/>
  <c r="AT257" i="6"/>
  <c r="BA257" i="6"/>
  <c r="AV257" i="6"/>
  <c r="AZ257" i="6"/>
  <c r="AY257" i="6"/>
  <c r="AU257" i="6"/>
  <c r="T257" i="5"/>
  <c r="G257" i="12" s="1"/>
  <c r="G259" i="5"/>
  <c r="AE259" i="5"/>
  <c r="B259" i="6"/>
  <c r="J259" i="6" s="1" a="1"/>
  <c r="J259" i="6" s="1"/>
  <c r="A259" i="12"/>
  <c r="N259" i="5"/>
  <c r="D259" i="6" s="1"/>
  <c r="AD259" i="5"/>
  <c r="C260" i="5"/>
  <c r="H259" i="5"/>
  <c r="F259" i="5"/>
  <c r="E259" i="5"/>
  <c r="W259" i="5"/>
  <c r="H259" i="12" s="1"/>
  <c r="I259" i="5"/>
  <c r="B259" i="5"/>
  <c r="K258" i="12" l="1"/>
  <c r="A260" i="12"/>
  <c r="AE260" i="5"/>
  <c r="B260" i="6"/>
  <c r="N260" i="5"/>
  <c r="D260" i="6" s="1"/>
  <c r="E260" i="5"/>
  <c r="D260" i="5"/>
  <c r="B260" i="12" s="1"/>
  <c r="C261" i="5"/>
  <c r="B260" i="5"/>
  <c r="AD260" i="5"/>
  <c r="F260" i="5"/>
  <c r="K260" i="5"/>
  <c r="J260" i="5"/>
  <c r="H260" i="5"/>
  <c r="G260" i="5"/>
  <c r="N259" i="6"/>
  <c r="M259" i="6"/>
  <c r="H259" i="6" a="1"/>
  <c r="H259" i="6" s="1"/>
  <c r="G259" i="6"/>
  <c r="AZ258" i="6"/>
  <c r="T258" i="5"/>
  <c r="G258" i="12" s="1"/>
  <c r="AT258" i="6"/>
  <c r="AX258" i="6"/>
  <c r="AW258" i="6"/>
  <c r="AY258" i="6"/>
  <c r="BA258" i="6"/>
  <c r="AU258" i="6"/>
  <c r="AV258" i="6"/>
  <c r="BD258" i="6"/>
  <c r="CF258" i="6"/>
  <c r="BL258" i="6"/>
  <c r="BV258" i="6"/>
  <c r="CL258" i="6"/>
  <c r="BW258" i="6"/>
  <c r="BR258" i="6"/>
  <c r="BT258" i="6"/>
  <c r="BK258" i="6"/>
  <c r="BY258" i="6"/>
  <c r="BC258" i="6"/>
  <c r="CI258" i="6"/>
  <c r="BG258" i="6"/>
  <c r="BJ258" i="6"/>
  <c r="CA258" i="6"/>
  <c r="BH258" i="6"/>
  <c r="CD258" i="6"/>
  <c r="CK258" i="6"/>
  <c r="BM258" i="6"/>
  <c r="CB258" i="6"/>
  <c r="BZ258" i="6"/>
  <c r="BX258" i="6"/>
  <c r="BF258" i="6"/>
  <c r="CE258" i="6"/>
  <c r="CH258" i="6"/>
  <c r="BP258" i="6"/>
  <c r="BS258" i="6"/>
  <c r="CG258" i="6"/>
  <c r="BQ258" i="6"/>
  <c r="CM258" i="6"/>
  <c r="CJ258" i="6"/>
  <c r="BI258" i="6"/>
  <c r="BO258" i="6"/>
  <c r="BE258" i="6"/>
  <c r="BN258" i="6"/>
  <c r="CC258" i="6"/>
  <c r="BC259" i="6" l="1"/>
  <c r="BT259" i="6"/>
  <c r="E261" i="5"/>
  <c r="N261" i="5"/>
  <c r="D261" i="6" s="1"/>
  <c r="G261" i="5"/>
  <c r="AE261" i="5"/>
  <c r="A261" i="12"/>
  <c r="B261" i="5"/>
  <c r="K261" i="5"/>
  <c r="B261" i="6"/>
  <c r="J261" i="5"/>
  <c r="AD261" i="5"/>
  <c r="C262" i="5"/>
  <c r="D261" i="5"/>
  <c r="B261" i="12" s="1"/>
  <c r="H261" i="5"/>
  <c r="F261" i="5"/>
  <c r="T259" i="5"/>
  <c r="G259" i="12" s="1"/>
  <c r="AM259" i="6"/>
  <c r="AX259" i="6"/>
  <c r="AY259" i="6"/>
  <c r="AL259" i="6"/>
  <c r="AP259" i="6"/>
  <c r="AT259" i="6"/>
  <c r="AZ259" i="6"/>
  <c r="AR259" i="6"/>
  <c r="AK259" i="6"/>
  <c r="AN259" i="6"/>
  <c r="BA259" i="6"/>
  <c r="AU259" i="6"/>
  <c r="AQ259" i="6"/>
  <c r="AV259" i="6"/>
  <c r="AW259" i="6"/>
  <c r="AS259" i="6"/>
  <c r="AJ259" i="6"/>
  <c r="AO259" i="6"/>
  <c r="CI259" i="6"/>
  <c r="BR259" i="6"/>
  <c r="BM259" i="6"/>
  <c r="BX259" i="6"/>
  <c r="BH259" i="6"/>
  <c r="CH259" i="6"/>
  <c r="CA259" i="6"/>
  <c r="CG259" i="6"/>
  <c r="CK259" i="6"/>
  <c r="BL259" i="6"/>
  <c r="BE259" i="6"/>
  <c r="BS259" i="6"/>
  <c r="CF259" i="6"/>
  <c r="BZ259" i="6"/>
  <c r="BI259" i="6"/>
  <c r="BW259" i="6"/>
  <c r="CC259" i="6"/>
  <c r="BG259" i="6"/>
  <c r="BD259" i="6"/>
  <c r="BO259" i="6"/>
  <c r="BN259" i="6"/>
  <c r="BP259" i="6"/>
  <c r="BY259" i="6"/>
  <c r="BK259" i="6"/>
  <c r="CJ259" i="6"/>
  <c r="CD259" i="6"/>
  <c r="CL259" i="6"/>
  <c r="BF259" i="6"/>
  <c r="BQ259" i="6"/>
  <c r="BJ259" i="6"/>
  <c r="BV259" i="6"/>
  <c r="CB259" i="6"/>
  <c r="CM259" i="6"/>
  <c r="CE259" i="6"/>
  <c r="M260" i="6"/>
  <c r="H260" i="6" a="1"/>
  <c r="H260" i="6" s="1"/>
  <c r="N260" i="6"/>
  <c r="J260" i="12" a="1"/>
  <c r="J260" i="12" s="1"/>
  <c r="L260" i="12" a="1"/>
  <c r="L260" i="12" s="1"/>
  <c r="K260" i="12" l="1"/>
  <c r="D262" i="5"/>
  <c r="B262" i="12" s="1"/>
  <c r="B262" i="5"/>
  <c r="C263" i="5" s="1"/>
  <c r="AD262" i="5"/>
  <c r="J262" i="5"/>
  <c r="K262" i="5"/>
  <c r="N262" i="5"/>
  <c r="D262" i="6" s="1"/>
  <c r="G262" i="5"/>
  <c r="A262" i="12"/>
  <c r="AE262" i="5"/>
  <c r="B262" i="6"/>
  <c r="F262" i="5"/>
  <c r="E262" i="5"/>
  <c r="H262" i="5"/>
  <c r="AY260" i="6"/>
  <c r="AW260" i="6"/>
  <c r="AX260" i="6"/>
  <c r="BA260" i="6"/>
  <c r="AU260" i="6"/>
  <c r="AT260" i="6"/>
  <c r="AZ260" i="6"/>
  <c r="AV260" i="6"/>
  <c r="T260" i="5"/>
  <c r="G260" i="12" s="1"/>
  <c r="BV260" i="6"/>
  <c r="BI260" i="6"/>
  <c r="BC260" i="6"/>
  <c r="BQ260" i="6"/>
  <c r="CD260" i="6"/>
  <c r="BO260" i="6"/>
  <c r="BS260" i="6"/>
  <c r="CC260" i="6"/>
  <c r="CF260" i="6"/>
  <c r="CG260" i="6"/>
  <c r="BZ260" i="6"/>
  <c r="CJ260" i="6"/>
  <c r="CB260" i="6"/>
  <c r="BY260" i="6"/>
  <c r="BR260" i="6"/>
  <c r="BH260" i="6"/>
  <c r="CK260" i="6"/>
  <c r="BF260" i="6"/>
  <c r="BN260" i="6"/>
  <c r="BW260" i="6"/>
  <c r="BL260" i="6"/>
  <c r="BJ260" i="6"/>
  <c r="BM260" i="6"/>
  <c r="CE260" i="6"/>
  <c r="BD260" i="6"/>
  <c r="BE260" i="6"/>
  <c r="CM260" i="6"/>
  <c r="BP260" i="6"/>
  <c r="BT260" i="6"/>
  <c r="BG260" i="6"/>
  <c r="BX260" i="6"/>
  <c r="CH260" i="6"/>
  <c r="BK260" i="6"/>
  <c r="CI260" i="6"/>
  <c r="CA260" i="6"/>
  <c r="CL260" i="6"/>
  <c r="J261" i="12" a="1"/>
  <c r="J261" i="12" s="1"/>
  <c r="L261" i="12" a="1"/>
  <c r="L261" i="12" s="1"/>
  <c r="N261" i="6"/>
  <c r="M261" i="6"/>
  <c r="H261" i="6" a="1"/>
  <c r="H261" i="6" s="1"/>
  <c r="K261" i="12" l="1"/>
  <c r="L262" i="12" a="1"/>
  <c r="L262" i="12" s="1"/>
  <c r="J262" i="12" a="1"/>
  <c r="J262" i="12" s="1"/>
  <c r="N262" i="6"/>
  <c r="H262" i="6" a="1"/>
  <c r="H262" i="6" s="1"/>
  <c r="M262" i="6"/>
  <c r="AY261" i="6"/>
  <c r="AV261" i="6"/>
  <c r="T261" i="5"/>
  <c r="G261" i="12" s="1"/>
  <c r="AX261" i="6"/>
  <c r="AT261" i="6"/>
  <c r="AZ261" i="6"/>
  <c r="AU261" i="6"/>
  <c r="AW261" i="6"/>
  <c r="BA261" i="6"/>
  <c r="CC261" i="6"/>
  <c r="BS261" i="6"/>
  <c r="BD261" i="6"/>
  <c r="CA261" i="6"/>
  <c r="BE261" i="6"/>
  <c r="BM261" i="6"/>
  <c r="BT261" i="6"/>
  <c r="BQ261" i="6"/>
  <c r="CK261" i="6"/>
  <c r="BX261" i="6"/>
  <c r="CL261" i="6"/>
  <c r="BY261" i="6"/>
  <c r="CH261" i="6"/>
  <c r="BK261" i="6"/>
  <c r="BH261" i="6"/>
  <c r="BN261" i="6"/>
  <c r="BI261" i="6"/>
  <c r="BJ261" i="6"/>
  <c r="CJ261" i="6"/>
  <c r="BZ261" i="6"/>
  <c r="BV261" i="6"/>
  <c r="BC261" i="6"/>
  <c r="CE261" i="6"/>
  <c r="BW261" i="6"/>
  <c r="CD261" i="6"/>
  <c r="CM261" i="6"/>
  <c r="BG261" i="6"/>
  <c r="CI261" i="6"/>
  <c r="BL261" i="6"/>
  <c r="BF261" i="6"/>
  <c r="BO261" i="6"/>
  <c r="CF261" i="6"/>
  <c r="BP261" i="6"/>
  <c r="BR261" i="6"/>
  <c r="CB261" i="6"/>
  <c r="CG261" i="6"/>
  <c r="AE263" i="5"/>
  <c r="A263" i="12"/>
  <c r="I263" i="5"/>
  <c r="N263" i="5"/>
  <c r="D263" i="6" s="1"/>
  <c r="H263" i="5"/>
  <c r="G263" i="5"/>
  <c r="B263" i="5"/>
  <c r="C264" i="5" s="1"/>
  <c r="AD263" i="5"/>
  <c r="B263" i="6"/>
  <c r="J263" i="6" s="1" a="1"/>
  <c r="J263" i="6" s="1"/>
  <c r="F263" i="5"/>
  <c r="E263" i="5"/>
  <c r="W263" i="5"/>
  <c r="H263" i="12" s="1"/>
  <c r="W264" i="5" l="1"/>
  <c r="H264" i="12" s="1"/>
  <c r="B264" i="5"/>
  <c r="AD264" i="5"/>
  <c r="C265" i="5"/>
  <c r="F264" i="5"/>
  <c r="AE264" i="5"/>
  <c r="N264" i="5"/>
  <c r="D264" i="6" s="1"/>
  <c r="I264" i="5"/>
  <c r="A264" i="12"/>
  <c r="E264" i="5"/>
  <c r="G264" i="5"/>
  <c r="H264" i="5"/>
  <c r="B264" i="6"/>
  <c r="J264" i="6" s="1" a="1"/>
  <c r="J264" i="6" s="1"/>
  <c r="G263" i="6"/>
  <c r="N263" i="6"/>
  <c r="M263" i="6"/>
  <c r="BV263" i="6" s="1"/>
  <c r="H263" i="6" a="1"/>
  <c r="H263" i="6" s="1"/>
  <c r="BS262" i="6"/>
  <c r="BP262" i="6"/>
  <c r="BL262" i="6"/>
  <c r="CB262" i="6"/>
  <c r="CM262" i="6"/>
  <c r="BQ262" i="6"/>
  <c r="BX262" i="6"/>
  <c r="BM262" i="6"/>
  <c r="BY262" i="6"/>
  <c r="BZ262" i="6"/>
  <c r="BR262" i="6"/>
  <c r="BN262" i="6"/>
  <c r="CH262" i="6"/>
  <c r="BF262" i="6"/>
  <c r="BO262" i="6"/>
  <c r="CE262" i="6"/>
  <c r="CJ262" i="6"/>
  <c r="CF262" i="6"/>
  <c r="CI262" i="6"/>
  <c r="CA262" i="6"/>
  <c r="BK262" i="6"/>
  <c r="BD262" i="6"/>
  <c r="BH262" i="6"/>
  <c r="BJ262" i="6"/>
  <c r="BT262" i="6"/>
  <c r="BG262" i="6"/>
  <c r="BW262" i="6"/>
  <c r="CC262" i="6"/>
  <c r="CD262" i="6"/>
  <c r="CK262" i="6"/>
  <c r="BE262" i="6"/>
  <c r="CG262" i="6"/>
  <c r="BC262" i="6"/>
  <c r="BI262" i="6"/>
  <c r="BV262" i="6"/>
  <c r="CL262" i="6"/>
  <c r="AT262" i="6"/>
  <c r="AY262" i="6"/>
  <c r="AZ262" i="6"/>
  <c r="AW262" i="6"/>
  <c r="AU262" i="6"/>
  <c r="AX262" i="6"/>
  <c r="T262" i="5"/>
  <c r="G262" i="12" s="1"/>
  <c r="BA262" i="6"/>
  <c r="AV262" i="6"/>
  <c r="K262" i="12"/>
  <c r="BY263" i="6" l="1"/>
  <c r="BD263" i="6"/>
  <c r="CK263" i="6"/>
  <c r="BF263" i="6"/>
  <c r="CA263" i="6"/>
  <c r="T263" i="5"/>
  <c r="G263" i="12" s="1"/>
  <c r="AM263" i="6"/>
  <c r="BA263" i="6"/>
  <c r="AK263" i="6"/>
  <c r="AV263" i="6"/>
  <c r="AP263" i="6"/>
  <c r="AL263" i="6"/>
  <c r="AU263" i="6"/>
  <c r="AY263" i="6"/>
  <c r="AS263" i="6"/>
  <c r="AX263" i="6"/>
  <c r="AO263" i="6"/>
  <c r="AZ263" i="6"/>
  <c r="AN263" i="6"/>
  <c r="AQ263" i="6"/>
  <c r="AR263" i="6"/>
  <c r="AJ263" i="6"/>
  <c r="AW263" i="6"/>
  <c r="AT263" i="6"/>
  <c r="N264" i="6"/>
  <c r="M264" i="6"/>
  <c r="H264" i="6" a="1"/>
  <c r="H264" i="6" s="1"/>
  <c r="G264" i="6"/>
  <c r="BP263" i="6"/>
  <c r="BX263" i="6"/>
  <c r="CC263" i="6"/>
  <c r="BR263" i="6"/>
  <c r="CD263" i="6"/>
  <c r="BE263" i="6"/>
  <c r="BM263" i="6"/>
  <c r="BZ263" i="6"/>
  <c r="CB263" i="6"/>
  <c r="CE263" i="6"/>
  <c r="BJ263" i="6"/>
  <c r="BQ263" i="6"/>
  <c r="CL263" i="6"/>
  <c r="CF263" i="6"/>
  <c r="BS263" i="6"/>
  <c r="CH263" i="6"/>
  <c r="BL263" i="6"/>
  <c r="BI263" i="6"/>
  <c r="CG263" i="6"/>
  <c r="CJ263" i="6"/>
  <c r="CI263" i="6"/>
  <c r="BG263" i="6"/>
  <c r="CM263" i="6"/>
  <c r="BC263" i="6"/>
  <c r="BH263" i="6"/>
  <c r="BT263" i="6"/>
  <c r="BO263" i="6"/>
  <c r="F265" i="5"/>
  <c r="D265" i="5"/>
  <c r="B265" i="12" s="1"/>
  <c r="E265" i="5"/>
  <c r="B265" i="5"/>
  <c r="N265" i="5"/>
  <c r="D265" i="6" s="1"/>
  <c r="AE265" i="5"/>
  <c r="A265" i="12"/>
  <c r="G265" i="5"/>
  <c r="C266" i="5"/>
  <c r="B265" i="6"/>
  <c r="J265" i="5"/>
  <c r="AD265" i="5"/>
  <c r="K265" i="5"/>
  <c r="H265" i="5"/>
  <c r="BK263" i="6"/>
  <c r="BN263" i="6"/>
  <c r="BW263" i="6"/>
  <c r="AJ264" i="6" l="1"/>
  <c r="AN264" i="6"/>
  <c r="H266" i="5"/>
  <c r="C267" i="5"/>
  <c r="G266" i="5"/>
  <c r="A266" i="12"/>
  <c r="AE266" i="5"/>
  <c r="B266" i="6"/>
  <c r="N266" i="5"/>
  <c r="D266" i="6" s="1"/>
  <c r="F266" i="5"/>
  <c r="B266" i="5"/>
  <c r="E266" i="5"/>
  <c r="AD266" i="5"/>
  <c r="D266" i="5"/>
  <c r="B266" i="12" s="1"/>
  <c r="K266" i="5"/>
  <c r="J266" i="5"/>
  <c r="T264" i="5"/>
  <c r="G264" i="12" s="1"/>
  <c r="AV264" i="6"/>
  <c r="AR264" i="6"/>
  <c r="AU264" i="6"/>
  <c r="AZ264" i="6"/>
  <c r="AW264" i="6"/>
  <c r="AY264" i="6"/>
  <c r="AT264" i="6"/>
  <c r="AK264" i="6"/>
  <c r="AL264" i="6"/>
  <c r="AX264" i="6"/>
  <c r="AS264" i="6"/>
  <c r="AO264" i="6"/>
  <c r="AP264" i="6"/>
  <c r="AQ264" i="6"/>
  <c r="BA264" i="6"/>
  <c r="AM264" i="6"/>
  <c r="J265" i="12" a="1"/>
  <c r="J265" i="12" s="1"/>
  <c r="L265" i="12" a="1"/>
  <c r="L265" i="12" s="1"/>
  <c r="BD264" i="6"/>
  <c r="BH264" i="6"/>
  <c r="BW264" i="6"/>
  <c r="BK264" i="6"/>
  <c r="CA264" i="6"/>
  <c r="BS264" i="6"/>
  <c r="BM264" i="6"/>
  <c r="CD264" i="6"/>
  <c r="CK264" i="6"/>
  <c r="BL264" i="6"/>
  <c r="BJ264" i="6"/>
  <c r="CM264" i="6"/>
  <c r="CF264" i="6"/>
  <c r="CH264" i="6"/>
  <c r="BX264" i="6"/>
  <c r="BE264" i="6"/>
  <c r="BI264" i="6"/>
  <c r="CC264" i="6"/>
  <c r="BC264" i="6"/>
  <c r="CG264" i="6"/>
  <c r="CI264" i="6"/>
  <c r="BY264" i="6"/>
  <c r="BV264" i="6"/>
  <c r="CE264" i="6"/>
  <c r="BO264" i="6"/>
  <c r="CL264" i="6"/>
  <c r="BF264" i="6"/>
  <c r="BR264" i="6"/>
  <c r="CB264" i="6"/>
  <c r="BN264" i="6"/>
  <c r="CJ264" i="6"/>
  <c r="BT264" i="6"/>
  <c r="BP264" i="6"/>
  <c r="BQ264" i="6"/>
  <c r="BG264" i="6"/>
  <c r="BZ264" i="6"/>
  <c r="N265" i="6"/>
  <c r="M265" i="6"/>
  <c r="H265" i="6" a="1"/>
  <c r="H265" i="6" s="1"/>
  <c r="CM265" i="6" l="1"/>
  <c r="AX265" i="6"/>
  <c r="K265" i="12"/>
  <c r="CB265" i="6"/>
  <c r="BV265" i="6"/>
  <c r="CK265" i="6"/>
  <c r="AT265" i="6"/>
  <c r="BD265" i="6"/>
  <c r="BO265" i="6"/>
  <c r="CE265" i="6"/>
  <c r="BQ265" i="6"/>
  <c r="BX265" i="6"/>
  <c r="CF265" i="6"/>
  <c r="BM265" i="6"/>
  <c r="BC265" i="6"/>
  <c r="BL265" i="6"/>
  <c r="N266" i="6"/>
  <c r="M266" i="6"/>
  <c r="CC266" i="6" s="1"/>
  <c r="H266" i="6" a="1"/>
  <c r="H266" i="6" s="1"/>
  <c r="L266" i="12" a="1"/>
  <c r="L266" i="12" s="1"/>
  <c r="J266" i="12" a="1"/>
  <c r="J266" i="12" s="1"/>
  <c r="AW265" i="6"/>
  <c r="N267" i="5"/>
  <c r="D267" i="6" s="1"/>
  <c r="G267" i="5"/>
  <c r="H267" i="5"/>
  <c r="A267" i="12"/>
  <c r="B267" i="5"/>
  <c r="K267" i="5"/>
  <c r="B267" i="6"/>
  <c r="AE267" i="5"/>
  <c r="AD267" i="5"/>
  <c r="F267" i="5"/>
  <c r="D267" i="5"/>
  <c r="B267" i="12" s="1"/>
  <c r="J267" i="5"/>
  <c r="C268" i="5"/>
  <c r="E267" i="5"/>
  <c r="BZ265" i="6"/>
  <c r="AZ265" i="6"/>
  <c r="BA265" i="6"/>
  <c r="AU265" i="6"/>
  <c r="AV265" i="6"/>
  <c r="T265" i="5"/>
  <c r="G265" i="12" s="1"/>
  <c r="AY265" i="6"/>
  <c r="BH265" i="6"/>
  <c r="CC265" i="6"/>
  <c r="CD265" i="6"/>
  <c r="BY265" i="6"/>
  <c r="BE265" i="6"/>
  <c r="BS265" i="6"/>
  <c r="BW265" i="6"/>
  <c r="BF265" i="6"/>
  <c r="CL265" i="6"/>
  <c r="BT265" i="6"/>
  <c r="CH265" i="6"/>
  <c r="CJ265" i="6"/>
  <c r="BN265" i="6"/>
  <c r="CA265" i="6"/>
  <c r="BP265" i="6"/>
  <c r="CG265" i="6"/>
  <c r="BI265" i="6"/>
  <c r="CI265" i="6"/>
  <c r="BG265" i="6"/>
  <c r="BK265" i="6"/>
  <c r="BR265" i="6"/>
  <c r="BJ265" i="6"/>
  <c r="BC266" i="6" l="1"/>
  <c r="CG266" i="6"/>
  <c r="K266" i="12"/>
  <c r="L267" i="12" a="1"/>
  <c r="L267" i="12" s="1"/>
  <c r="J267" i="12" a="1"/>
  <c r="J267" i="12" s="1"/>
  <c r="B268" i="5"/>
  <c r="AD268" i="5"/>
  <c r="G268" i="5"/>
  <c r="K268" i="5"/>
  <c r="J268" i="5"/>
  <c r="AE268" i="5"/>
  <c r="N268" i="5"/>
  <c r="D268" i="6" s="1"/>
  <c r="A268" i="12"/>
  <c r="B268" i="6"/>
  <c r="C269" i="5"/>
  <c r="H268" i="5"/>
  <c r="F268" i="5"/>
  <c r="E268" i="5"/>
  <c r="D268" i="5"/>
  <c r="B268" i="12" s="1"/>
  <c r="H267" i="6" a="1"/>
  <c r="H267" i="6" s="1"/>
  <c r="M267" i="6"/>
  <c r="N267" i="6"/>
  <c r="AX266" i="6"/>
  <c r="AW266" i="6"/>
  <c r="AV266" i="6"/>
  <c r="AY266" i="6"/>
  <c r="T266" i="5"/>
  <c r="G266" i="12" s="1"/>
  <c r="AT266" i="6"/>
  <c r="AZ266" i="6"/>
  <c r="BA266" i="6"/>
  <c r="AU266" i="6"/>
  <c r="CK266" i="6"/>
  <c r="BW266" i="6"/>
  <c r="BY266" i="6"/>
  <c r="BT266" i="6"/>
  <c r="BR266" i="6"/>
  <c r="CJ266" i="6"/>
  <c r="CL266" i="6"/>
  <c r="BE266" i="6"/>
  <c r="BZ266" i="6"/>
  <c r="BI266" i="6"/>
  <c r="CB266" i="6"/>
  <c r="BL266" i="6"/>
  <c r="BM266" i="6"/>
  <c r="BS266" i="6"/>
  <c r="CH266" i="6"/>
  <c r="CA266" i="6"/>
  <c r="BQ266" i="6"/>
  <c r="BX266" i="6"/>
  <c r="BG266" i="6"/>
  <c r="BN266" i="6"/>
  <c r="CF266" i="6"/>
  <c r="CI266" i="6"/>
  <c r="BO266" i="6"/>
  <c r="CD266" i="6"/>
  <c r="BH266" i="6"/>
  <c r="BP266" i="6"/>
  <c r="CM266" i="6"/>
  <c r="CE266" i="6"/>
  <c r="BD266" i="6"/>
  <c r="BK266" i="6"/>
  <c r="BV266" i="6"/>
  <c r="BJ266" i="6"/>
  <c r="BF266" i="6"/>
  <c r="K267" i="12" l="1"/>
  <c r="E269" i="5"/>
  <c r="D269" i="5"/>
  <c r="B269" i="12" s="1"/>
  <c r="AE269" i="5"/>
  <c r="A269" i="12"/>
  <c r="AD269" i="5"/>
  <c r="K269" i="5"/>
  <c r="N269" i="5"/>
  <c r="D269" i="6" s="1"/>
  <c r="B269" i="5"/>
  <c r="B269" i="6"/>
  <c r="H269" i="5"/>
  <c r="G269" i="5"/>
  <c r="J269" i="5"/>
  <c r="C270" i="5"/>
  <c r="F269" i="5"/>
  <c r="J268" i="12" a="1"/>
  <c r="J268" i="12" s="1"/>
  <c r="L268" i="12" a="1"/>
  <c r="L268" i="12" s="1"/>
  <c r="N268" i="6"/>
  <c r="M268" i="6"/>
  <c r="H268" i="6" a="1"/>
  <c r="H268" i="6" s="1"/>
  <c r="BL267" i="6"/>
  <c r="CJ267" i="6"/>
  <c r="BZ267" i="6"/>
  <c r="BO267" i="6"/>
  <c r="BG267" i="6"/>
  <c r="CD267" i="6"/>
  <c r="CG267" i="6"/>
  <c r="BD267" i="6"/>
  <c r="CL267" i="6"/>
  <c r="BH267" i="6"/>
  <c r="CC267" i="6"/>
  <c r="CE267" i="6"/>
  <c r="BP267" i="6"/>
  <c r="BJ267" i="6"/>
  <c r="BC267" i="6"/>
  <c r="BW267" i="6"/>
  <c r="CH267" i="6"/>
  <c r="BQ267" i="6"/>
  <c r="BR267" i="6"/>
  <c r="BM267" i="6"/>
  <c r="BE267" i="6"/>
  <c r="CM267" i="6"/>
  <c r="BX267" i="6"/>
  <c r="BI267" i="6"/>
  <c r="BT267" i="6"/>
  <c r="BF267" i="6"/>
  <c r="CB267" i="6"/>
  <c r="BY267" i="6"/>
  <c r="BV267" i="6"/>
  <c r="CI267" i="6"/>
  <c r="BN267" i="6"/>
  <c r="BS267" i="6"/>
  <c r="CF267" i="6"/>
  <c r="BK267" i="6"/>
  <c r="CA267" i="6"/>
  <c r="CK267" i="6"/>
  <c r="AT267" i="6"/>
  <c r="AX267" i="6"/>
  <c r="T267" i="5"/>
  <c r="G267" i="12" s="1"/>
  <c r="AW267" i="6"/>
  <c r="BA267" i="6"/>
  <c r="AU267" i="6"/>
  <c r="AY267" i="6"/>
  <c r="AZ267" i="6"/>
  <c r="AV267" i="6"/>
  <c r="AX268" i="6" l="1"/>
  <c r="AZ268" i="6"/>
  <c r="AT268" i="6"/>
  <c r="BA268" i="6"/>
  <c r="AY268" i="6"/>
  <c r="AU268" i="6"/>
  <c r="AV268" i="6"/>
  <c r="AW268" i="6"/>
  <c r="T268" i="5"/>
  <c r="G268" i="12" s="1"/>
  <c r="H269" i="6" a="1"/>
  <c r="H269" i="6" s="1"/>
  <c r="M269" i="6"/>
  <c r="N269" i="6"/>
  <c r="CL268" i="6"/>
  <c r="BC268" i="6"/>
  <c r="CH268" i="6"/>
  <c r="BN268" i="6"/>
  <c r="BQ268" i="6"/>
  <c r="BZ268" i="6"/>
  <c r="BI268" i="6"/>
  <c r="BP268" i="6"/>
  <c r="CJ268" i="6"/>
  <c r="CB268" i="6"/>
  <c r="CE268" i="6"/>
  <c r="CA268" i="6"/>
  <c r="CD268" i="6"/>
  <c r="CC268" i="6"/>
  <c r="CK268" i="6"/>
  <c r="BM268" i="6"/>
  <c r="BX268" i="6"/>
  <c r="BF268" i="6"/>
  <c r="BT268" i="6"/>
  <c r="CM268" i="6"/>
  <c r="BR268" i="6"/>
  <c r="CF268" i="6"/>
  <c r="BV268" i="6"/>
  <c r="BD268" i="6"/>
  <c r="BL268" i="6"/>
  <c r="BW268" i="6"/>
  <c r="BO268" i="6"/>
  <c r="BG268" i="6"/>
  <c r="BS268" i="6"/>
  <c r="BE268" i="6"/>
  <c r="BK268" i="6"/>
  <c r="CG268" i="6"/>
  <c r="BJ268" i="6"/>
  <c r="BY268" i="6"/>
  <c r="BH268" i="6"/>
  <c r="CI268" i="6"/>
  <c r="K268" i="12"/>
  <c r="J269" i="12" a="1"/>
  <c r="J269" i="12" s="1"/>
  <c r="L269" i="12" a="1"/>
  <c r="L269" i="12" s="1"/>
  <c r="A270" i="12"/>
  <c r="G270" i="5"/>
  <c r="B270" i="6"/>
  <c r="AE270" i="5"/>
  <c r="C271" i="5"/>
  <c r="E270" i="5"/>
  <c r="F270" i="5"/>
  <c r="D270" i="5"/>
  <c r="B270" i="12" s="1"/>
  <c r="B270" i="5"/>
  <c r="AD270" i="5"/>
  <c r="K270" i="5"/>
  <c r="N270" i="5"/>
  <c r="D270" i="6" s="1"/>
  <c r="J270" i="5"/>
  <c r="H270" i="5"/>
  <c r="K269" i="12" l="1"/>
  <c r="CD269" i="6"/>
  <c r="BR269" i="6"/>
  <c r="BF269" i="6"/>
  <c r="CI269" i="6"/>
  <c r="CC269" i="6"/>
  <c r="BQ269" i="6"/>
  <c r="CM269" i="6"/>
  <c r="BE269" i="6"/>
  <c r="CG269" i="6"/>
  <c r="BY269" i="6"/>
  <c r="CJ269" i="6"/>
  <c r="BO269" i="6"/>
  <c r="CL269" i="6"/>
  <c r="BZ269" i="6"/>
  <c r="BW269" i="6"/>
  <c r="BL269" i="6"/>
  <c r="CB269" i="6"/>
  <c r="BH269" i="6"/>
  <c r="CA269" i="6"/>
  <c r="BG269" i="6"/>
  <c r="BI269" i="6"/>
  <c r="BJ269" i="6"/>
  <c r="BX269" i="6"/>
  <c r="CK269" i="6"/>
  <c r="BM269" i="6"/>
  <c r="BT269" i="6"/>
  <c r="BP269" i="6"/>
  <c r="CE269" i="6"/>
  <c r="CH269" i="6"/>
  <c r="BN269" i="6"/>
  <c r="BV269" i="6"/>
  <c r="CF269" i="6"/>
  <c r="BC269" i="6"/>
  <c r="BK269" i="6"/>
  <c r="BS269" i="6"/>
  <c r="BD269" i="6"/>
  <c r="AU269" i="6"/>
  <c r="AZ269" i="6"/>
  <c r="AW269" i="6"/>
  <c r="AX269" i="6"/>
  <c r="AT269" i="6"/>
  <c r="BA269" i="6"/>
  <c r="AY269" i="6"/>
  <c r="AV269" i="6"/>
  <c r="T269" i="5"/>
  <c r="G269" i="12" s="1"/>
  <c r="D271" i="5"/>
  <c r="B271" i="12" s="1"/>
  <c r="AE271" i="5"/>
  <c r="N271" i="5"/>
  <c r="D271" i="6" s="1"/>
  <c r="G271" i="5"/>
  <c r="B271" i="5"/>
  <c r="C272" i="5" s="1"/>
  <c r="A271" i="12"/>
  <c r="B271" i="6"/>
  <c r="AD271" i="5"/>
  <c r="K271" i="5"/>
  <c r="J271" i="5"/>
  <c r="F271" i="5"/>
  <c r="H271" i="5"/>
  <c r="E271" i="5"/>
  <c r="J270" i="12" a="1"/>
  <c r="J270" i="12" s="1"/>
  <c r="L270" i="12" a="1"/>
  <c r="L270" i="12" s="1"/>
  <c r="N270" i="6"/>
  <c r="M270" i="6"/>
  <c r="BW270" i="6" s="1"/>
  <c r="H270" i="6" a="1"/>
  <c r="H270" i="6" s="1"/>
  <c r="BF270" i="6" l="1"/>
  <c r="AZ270" i="6"/>
  <c r="AY270" i="6"/>
  <c r="BA270" i="6"/>
  <c r="AX270" i="6"/>
  <c r="AU270" i="6"/>
  <c r="AV270" i="6"/>
  <c r="T270" i="5"/>
  <c r="G270" i="12" s="1"/>
  <c r="BP270" i="6"/>
  <c r="BJ270" i="6"/>
  <c r="CH270" i="6"/>
  <c r="CC270" i="6"/>
  <c r="CB270" i="6"/>
  <c r="BL270" i="6"/>
  <c r="BI270" i="6"/>
  <c r="BC270" i="6"/>
  <c r="CF270" i="6"/>
  <c r="BO270" i="6"/>
  <c r="CI270" i="6"/>
  <c r="CL270" i="6"/>
  <c r="BY270" i="6"/>
  <c r="BZ270" i="6"/>
  <c r="CE270" i="6"/>
  <c r="BQ270" i="6"/>
  <c r="CM270" i="6"/>
  <c r="BD270" i="6"/>
  <c r="BM270" i="6"/>
  <c r="BK270" i="6"/>
  <c r="BV270" i="6"/>
  <c r="CJ270" i="6"/>
  <c r="BN270" i="6"/>
  <c r="BX270" i="6"/>
  <c r="BG270" i="6"/>
  <c r="CG270" i="6"/>
  <c r="BH270" i="6"/>
  <c r="BS270" i="6"/>
  <c r="CA270" i="6"/>
  <c r="CK270" i="6"/>
  <c r="BR270" i="6"/>
  <c r="BE270" i="6"/>
  <c r="K270" i="12"/>
  <c r="L271" i="12" a="1"/>
  <c r="L271" i="12" s="1"/>
  <c r="J271" i="12" a="1"/>
  <c r="J271" i="12" s="1"/>
  <c r="I272" i="5"/>
  <c r="F272" i="5"/>
  <c r="W272" i="5"/>
  <c r="H272" i="12" s="1"/>
  <c r="E272" i="5"/>
  <c r="N272" i="5"/>
  <c r="D272" i="6" s="1"/>
  <c r="A272" i="12"/>
  <c r="B272" i="5"/>
  <c r="AD272" i="5"/>
  <c r="G272" i="5"/>
  <c r="AE272" i="5"/>
  <c r="H272" i="5"/>
  <c r="B272" i="6"/>
  <c r="J272" i="6" s="1" a="1"/>
  <c r="J272" i="6" s="1"/>
  <c r="C273" i="5"/>
  <c r="AW270" i="6"/>
  <c r="AT270" i="6"/>
  <c r="N271" i="6"/>
  <c r="H271" i="6" a="1"/>
  <c r="H271" i="6" s="1"/>
  <c r="M271" i="6"/>
  <c r="BT270" i="6"/>
  <c r="CD270" i="6"/>
  <c r="K271" i="12" l="1"/>
  <c r="AX271" i="6"/>
  <c r="AU271" i="6"/>
  <c r="AY271" i="6"/>
  <c r="BA271" i="6"/>
  <c r="AT271" i="6"/>
  <c r="AZ271" i="6"/>
  <c r="AV271" i="6"/>
  <c r="T271" i="5"/>
  <c r="G271" i="12" s="1"/>
  <c r="AW271" i="6"/>
  <c r="G272" i="6"/>
  <c r="M272" i="6"/>
  <c r="BJ272" i="6" s="1"/>
  <c r="H272" i="6" a="1"/>
  <c r="H272" i="6" s="1"/>
  <c r="N272" i="6"/>
  <c r="H273" i="5"/>
  <c r="F273" i="5"/>
  <c r="E273" i="5"/>
  <c r="D273" i="5"/>
  <c r="B273" i="12" s="1"/>
  <c r="AD273" i="5"/>
  <c r="K273" i="5"/>
  <c r="AE273" i="5"/>
  <c r="N273" i="5"/>
  <c r="D273" i="6" s="1"/>
  <c r="A273" i="12"/>
  <c r="G273" i="5"/>
  <c r="C274" i="5"/>
  <c r="B273" i="6"/>
  <c r="B273" i="5"/>
  <c r="J273" i="5"/>
  <c r="CF271" i="6"/>
  <c r="CH271" i="6"/>
  <c r="CB271" i="6"/>
  <c r="CD271" i="6"/>
  <c r="CM271" i="6"/>
  <c r="BD271" i="6"/>
  <c r="CC271" i="6"/>
  <c r="BL271" i="6"/>
  <c r="CL271" i="6"/>
  <c r="CA271" i="6"/>
  <c r="BH271" i="6"/>
  <c r="CK271" i="6"/>
  <c r="BJ271" i="6"/>
  <c r="BW271" i="6"/>
  <c r="BI271" i="6"/>
  <c r="BQ271" i="6"/>
  <c r="CE271" i="6"/>
  <c r="BC271" i="6"/>
  <c r="BX271" i="6"/>
  <c r="BG271" i="6"/>
  <c r="BY271" i="6"/>
  <c r="BV271" i="6"/>
  <c r="BE271" i="6"/>
  <c r="BS271" i="6"/>
  <c r="BM271" i="6"/>
  <c r="BT271" i="6"/>
  <c r="CI271" i="6"/>
  <c r="BO271" i="6"/>
  <c r="CJ271" i="6"/>
  <c r="BF271" i="6"/>
  <c r="BR271" i="6"/>
  <c r="BN271" i="6"/>
  <c r="BK271" i="6"/>
  <c r="BZ271" i="6"/>
  <c r="BP271" i="6"/>
  <c r="CG271" i="6"/>
  <c r="CK272" i="6" l="1"/>
  <c r="AZ272" i="6"/>
  <c r="BX272" i="6"/>
  <c r="AQ272" i="6"/>
  <c r="AT272" i="6"/>
  <c r="CF272" i="6"/>
  <c r="CL272" i="6"/>
  <c r="CI272" i="6"/>
  <c r="BC272" i="6"/>
  <c r="CE272" i="6"/>
  <c r="CA272" i="6"/>
  <c r="BZ272" i="6"/>
  <c r="T272" i="5"/>
  <c r="G272" i="12" s="1"/>
  <c r="AS272" i="6"/>
  <c r="AO272" i="6"/>
  <c r="AL272" i="6"/>
  <c r="AU272" i="6"/>
  <c r="AW272" i="6"/>
  <c r="BA272" i="6"/>
  <c r="AX272" i="6"/>
  <c r="AK272" i="6"/>
  <c r="AY272" i="6"/>
  <c r="AJ272" i="6"/>
  <c r="AR272" i="6"/>
  <c r="AN272" i="6"/>
  <c r="AV272" i="6"/>
  <c r="CH272" i="6"/>
  <c r="CJ272" i="6"/>
  <c r="BY272" i="6"/>
  <c r="BP272" i="6"/>
  <c r="CG272" i="6"/>
  <c r="BG272" i="6"/>
  <c r="BO272" i="6"/>
  <c r="BK272" i="6"/>
  <c r="CD272" i="6"/>
  <c r="BQ272" i="6"/>
  <c r="BN272" i="6"/>
  <c r="BW272" i="6"/>
  <c r="BM272" i="6"/>
  <c r="BF272" i="6"/>
  <c r="BI272" i="6"/>
  <c r="BR272" i="6"/>
  <c r="CB272" i="6"/>
  <c r="BV272" i="6"/>
  <c r="AP272" i="6"/>
  <c r="N274" i="5"/>
  <c r="D274" i="6" s="1"/>
  <c r="F274" i="5"/>
  <c r="B274" i="5"/>
  <c r="A274" i="12"/>
  <c r="H274" i="5"/>
  <c r="B274" i="6"/>
  <c r="G274" i="5"/>
  <c r="C275" i="5"/>
  <c r="E274" i="5"/>
  <c r="D274" i="5"/>
  <c r="B274" i="12" s="1"/>
  <c r="K274" i="5"/>
  <c r="AD274" i="5"/>
  <c r="J274" i="5"/>
  <c r="AE274" i="5"/>
  <c r="AM272" i="6"/>
  <c r="BD272" i="6"/>
  <c r="BL272" i="6"/>
  <c r="BT272" i="6"/>
  <c r="CC272" i="6"/>
  <c r="BH272" i="6"/>
  <c r="J273" i="12" a="1"/>
  <c r="J273" i="12" s="1"/>
  <c r="L273" i="12" a="1"/>
  <c r="L273" i="12" s="1"/>
  <c r="BE272" i="6"/>
  <c r="CM272" i="6"/>
  <c r="BS272" i="6"/>
  <c r="N273" i="6"/>
  <c r="M273" i="6"/>
  <c r="H273" i="6" a="1"/>
  <c r="H273" i="6" s="1"/>
  <c r="K273" i="12" l="1"/>
  <c r="CG273" i="6"/>
  <c r="BR273" i="6"/>
  <c r="BO273" i="6"/>
  <c r="CE273" i="6"/>
  <c r="BK273" i="6"/>
  <c r="CD273" i="6"/>
  <c r="CJ273" i="6"/>
  <c r="CM273" i="6"/>
  <c r="CK273" i="6"/>
  <c r="BP273" i="6"/>
  <c r="BT273" i="6"/>
  <c r="BF273" i="6"/>
  <c r="BH273" i="6"/>
  <c r="BL273" i="6"/>
  <c r="BD273" i="6"/>
  <c r="BQ273" i="6"/>
  <c r="BZ273" i="6"/>
  <c r="BG273" i="6"/>
  <c r="CI273" i="6"/>
  <c r="BN273" i="6"/>
  <c r="CF273" i="6"/>
  <c r="BW273" i="6"/>
  <c r="CH273" i="6"/>
  <c r="CC273" i="6"/>
  <c r="CA273" i="6"/>
  <c r="CB273" i="6"/>
  <c r="BJ273" i="6"/>
  <c r="BS273" i="6"/>
  <c r="BI273" i="6"/>
  <c r="BC273" i="6"/>
  <c r="CL273" i="6"/>
  <c r="BY273" i="6"/>
  <c r="BE273" i="6"/>
  <c r="BV273" i="6"/>
  <c r="BX273" i="6"/>
  <c r="BM273" i="6"/>
  <c r="H274" i="6" a="1"/>
  <c r="H274" i="6" s="1"/>
  <c r="N274" i="6"/>
  <c r="M274" i="6"/>
  <c r="H275" i="5"/>
  <c r="F275" i="5"/>
  <c r="N275" i="5"/>
  <c r="D275" i="6" s="1"/>
  <c r="E275" i="5"/>
  <c r="D275" i="5"/>
  <c r="B275" i="12" s="1"/>
  <c r="G275" i="5"/>
  <c r="A275" i="12"/>
  <c r="B275" i="5"/>
  <c r="B275" i="6"/>
  <c r="AE275" i="5"/>
  <c r="AD275" i="5"/>
  <c r="C276" i="5"/>
  <c r="K275" i="5"/>
  <c r="J275" i="5"/>
  <c r="AX273" i="6"/>
  <c r="AY273" i="6"/>
  <c r="BA273" i="6"/>
  <c r="AW273" i="6"/>
  <c r="AU273" i="6"/>
  <c r="AZ273" i="6"/>
  <c r="T273" i="5"/>
  <c r="G273" i="12" s="1"/>
  <c r="AT273" i="6"/>
  <c r="AV273" i="6"/>
  <c r="J274" i="12" a="1"/>
  <c r="J274" i="12" s="1"/>
  <c r="L274" i="12" a="1"/>
  <c r="L274" i="12" s="1"/>
  <c r="CD274" i="6" l="1"/>
  <c r="BW274" i="6"/>
  <c r="BL274" i="6"/>
  <c r="BK274" i="6"/>
  <c r="BZ274" i="6"/>
  <c r="BY274" i="6"/>
  <c r="CJ274" i="6"/>
  <c r="AZ274" i="6"/>
  <c r="BT274" i="6"/>
  <c r="BJ274" i="6"/>
  <c r="BN274" i="6"/>
  <c r="K274" i="12"/>
  <c r="BC274" i="6"/>
  <c r="N275" i="6"/>
  <c r="M275" i="6"/>
  <c r="BZ275" i="6" s="1"/>
  <c r="H275" i="6" a="1"/>
  <c r="H275" i="6" s="1"/>
  <c r="N276" i="5"/>
  <c r="D276" i="6" s="1"/>
  <c r="H276" i="5"/>
  <c r="A276" i="12"/>
  <c r="G276" i="5"/>
  <c r="E276" i="5"/>
  <c r="B276" i="5"/>
  <c r="C277" i="5" s="1"/>
  <c r="B276" i="6"/>
  <c r="D276" i="5"/>
  <c r="B276" i="12" s="1"/>
  <c r="AD276" i="5"/>
  <c r="F276" i="5"/>
  <c r="K276" i="5"/>
  <c r="AE276" i="5"/>
  <c r="J276" i="5"/>
  <c r="BO274" i="6"/>
  <c r="BG274" i="6"/>
  <c r="CB274" i="6"/>
  <c r="BM274" i="6"/>
  <c r="BR274" i="6"/>
  <c r="BS274" i="6"/>
  <c r="BP274" i="6"/>
  <c r="CK274" i="6"/>
  <c r="CM274" i="6"/>
  <c r="BI274" i="6"/>
  <c r="CH274" i="6"/>
  <c r="CF274" i="6"/>
  <c r="BE274" i="6"/>
  <c r="BD274" i="6"/>
  <c r="CL274" i="6"/>
  <c r="BV274" i="6"/>
  <c r="CI274" i="6"/>
  <c r="BQ274" i="6"/>
  <c r="CA274" i="6"/>
  <c r="BF274" i="6"/>
  <c r="CG274" i="6"/>
  <c r="BX274" i="6"/>
  <c r="BH274" i="6"/>
  <c r="CE274" i="6"/>
  <c r="CC274" i="6"/>
  <c r="J275" i="12" a="1"/>
  <c r="J275" i="12" s="1"/>
  <c r="L275" i="12" a="1"/>
  <c r="L275" i="12" s="1"/>
  <c r="BA274" i="6"/>
  <c r="T274" i="5"/>
  <c r="G274" i="12" s="1"/>
  <c r="AW274" i="6"/>
  <c r="AT274" i="6"/>
  <c r="AY274" i="6"/>
  <c r="AV274" i="6"/>
  <c r="AX274" i="6"/>
  <c r="AU274" i="6"/>
  <c r="BJ275" i="6" l="1"/>
  <c r="BH275" i="6"/>
  <c r="CH275" i="6"/>
  <c r="CE275" i="6"/>
  <c r="BA275" i="6"/>
  <c r="BX275" i="6"/>
  <c r="CD275" i="6"/>
  <c r="CL275" i="6"/>
  <c r="BF275" i="6"/>
  <c r="BY275" i="6"/>
  <c r="BM275" i="6"/>
  <c r="AZ275" i="6"/>
  <c r="AX275" i="6"/>
  <c r="AU275" i="6"/>
  <c r="K275" i="12"/>
  <c r="G277" i="5"/>
  <c r="A277" i="12"/>
  <c r="B277" i="6"/>
  <c r="J277" i="6" s="1" a="1"/>
  <c r="J277" i="6" s="1"/>
  <c r="F277" i="5"/>
  <c r="AD277" i="5"/>
  <c r="AE277" i="5"/>
  <c r="I277" i="5"/>
  <c r="H277" i="5"/>
  <c r="E277" i="5"/>
  <c r="W277" i="5"/>
  <c r="H277" i="12" s="1"/>
  <c r="N277" i="5"/>
  <c r="D277" i="6" s="1"/>
  <c r="B277" i="5"/>
  <c r="C278" i="5" s="1"/>
  <c r="L276" i="12" a="1"/>
  <c r="L276" i="12" s="1"/>
  <c r="J276" i="12" a="1"/>
  <c r="J276" i="12" s="1"/>
  <c r="N276" i="6"/>
  <c r="M276" i="6"/>
  <c r="H276" i="6" a="1"/>
  <c r="H276" i="6" s="1"/>
  <c r="AV275" i="6"/>
  <c r="AW275" i="6"/>
  <c r="AY275" i="6"/>
  <c r="T275" i="5"/>
  <c r="G275" i="12" s="1"/>
  <c r="AT275" i="6"/>
  <c r="CK275" i="6"/>
  <c r="BG275" i="6"/>
  <c r="BS275" i="6"/>
  <c r="CF275" i="6"/>
  <c r="CJ275" i="6"/>
  <c r="CM275" i="6"/>
  <c r="BR275" i="6"/>
  <c r="BQ275" i="6"/>
  <c r="BW275" i="6"/>
  <c r="BN275" i="6"/>
  <c r="BI275" i="6"/>
  <c r="BP275" i="6"/>
  <c r="CA275" i="6"/>
  <c r="CI275" i="6"/>
  <c r="BE275" i="6"/>
  <c r="BK275" i="6"/>
  <c r="BO275" i="6"/>
  <c r="BV275" i="6"/>
  <c r="CB275" i="6"/>
  <c r="BT275" i="6"/>
  <c r="CC275" i="6"/>
  <c r="CG275" i="6"/>
  <c r="BC275" i="6"/>
  <c r="BL275" i="6"/>
  <c r="BD275" i="6"/>
  <c r="J272" i="5" l="1"/>
  <c r="K276" i="12"/>
  <c r="AU276" i="6"/>
  <c r="AV276" i="6"/>
  <c r="T276" i="5"/>
  <c r="G276" i="12" s="1"/>
  <c r="AZ276" i="6"/>
  <c r="AY276" i="6"/>
  <c r="AW276" i="6"/>
  <c r="AX276" i="6"/>
  <c r="BA276" i="6"/>
  <c r="AT276" i="6"/>
  <c r="CI276" i="6"/>
  <c r="BV276" i="6"/>
  <c r="BO276" i="6"/>
  <c r="BD276" i="6"/>
  <c r="BI276" i="6"/>
  <c r="BR276" i="6"/>
  <c r="BZ276" i="6"/>
  <c r="CD276" i="6"/>
  <c r="CG276" i="6"/>
  <c r="CL276" i="6"/>
  <c r="BH276" i="6"/>
  <c r="BW276" i="6"/>
  <c r="CB276" i="6"/>
  <c r="CH276" i="6"/>
  <c r="BS276" i="6"/>
  <c r="CE276" i="6"/>
  <c r="BN276" i="6"/>
  <c r="BY276" i="6"/>
  <c r="BE276" i="6"/>
  <c r="BM276" i="6"/>
  <c r="CC276" i="6"/>
  <c r="CJ276" i="6"/>
  <c r="CF276" i="6"/>
  <c r="BF276" i="6"/>
  <c r="BC276" i="6"/>
  <c r="BT276" i="6"/>
  <c r="BG276" i="6"/>
  <c r="CA276" i="6"/>
  <c r="CM276" i="6"/>
  <c r="BJ276" i="6"/>
  <c r="CK276" i="6"/>
  <c r="BK276" i="6"/>
  <c r="BP276" i="6"/>
  <c r="BX276" i="6"/>
  <c r="BQ276" i="6"/>
  <c r="BL276" i="6"/>
  <c r="B278" i="6"/>
  <c r="J278" i="6" s="1" a="1"/>
  <c r="J278" i="6" s="1"/>
  <c r="C279" i="5"/>
  <c r="I278" i="5"/>
  <c r="F278" i="5"/>
  <c r="E278" i="5"/>
  <c r="B278" i="5"/>
  <c r="W278" i="5"/>
  <c r="H278" i="12" s="1"/>
  <c r="N278" i="5"/>
  <c r="D278" i="6" s="1"/>
  <c r="AD278" i="5"/>
  <c r="G278" i="5"/>
  <c r="H278" i="5"/>
  <c r="A278" i="12"/>
  <c r="AE278" i="5"/>
  <c r="N277" i="6"/>
  <c r="H277" i="6" a="1"/>
  <c r="H277" i="6" s="1"/>
  <c r="M277" i="6"/>
  <c r="G277" i="6"/>
  <c r="J279" i="5" l="1"/>
  <c r="B279" i="5"/>
  <c r="C280" i="5"/>
  <c r="B279" i="6"/>
  <c r="H279" i="5"/>
  <c r="F279" i="5"/>
  <c r="E279" i="5"/>
  <c r="D279" i="5"/>
  <c r="B279" i="12" s="1"/>
  <c r="N279" i="5"/>
  <c r="D279" i="6" s="1"/>
  <c r="G279" i="5"/>
  <c r="AD279" i="5"/>
  <c r="AE279" i="5"/>
  <c r="A279" i="12"/>
  <c r="K279" i="5"/>
  <c r="H278" i="6" a="1"/>
  <c r="H278" i="6" s="1"/>
  <c r="G278" i="6"/>
  <c r="N278" i="6"/>
  <c r="M278" i="6"/>
  <c r="CC278" i="6" s="1"/>
  <c r="BJ277" i="6"/>
  <c r="BN277" i="6"/>
  <c r="CL277" i="6"/>
  <c r="BK277" i="6"/>
  <c r="CB277" i="6"/>
  <c r="CH277" i="6"/>
  <c r="BG277" i="6"/>
  <c r="BC277" i="6"/>
  <c r="BY277" i="6"/>
  <c r="BD277" i="6"/>
  <c r="BW277" i="6"/>
  <c r="BF277" i="6"/>
  <c r="BP277" i="6"/>
  <c r="CC277" i="6"/>
  <c r="BE277" i="6"/>
  <c r="CM277" i="6"/>
  <c r="BH277" i="6"/>
  <c r="BV277" i="6"/>
  <c r="BM277" i="6"/>
  <c r="CF277" i="6"/>
  <c r="BL277" i="6"/>
  <c r="BI277" i="6"/>
  <c r="CI277" i="6"/>
  <c r="CA277" i="6"/>
  <c r="BQ277" i="6"/>
  <c r="BT277" i="6"/>
  <c r="CJ277" i="6"/>
  <c r="BO277" i="6"/>
  <c r="CK277" i="6"/>
  <c r="BR277" i="6"/>
  <c r="BZ277" i="6"/>
  <c r="CE277" i="6"/>
  <c r="CD277" i="6"/>
  <c r="BX277" i="6"/>
  <c r="BS277" i="6"/>
  <c r="CG277" i="6"/>
  <c r="T277" i="5"/>
  <c r="G277" i="12" s="1"/>
  <c r="AK277" i="6"/>
  <c r="AP277" i="6"/>
  <c r="AV277" i="6"/>
  <c r="AU277" i="6"/>
  <c r="AJ277" i="6"/>
  <c r="AX277" i="6"/>
  <c r="AW277" i="6"/>
  <c r="AL277" i="6"/>
  <c r="AQ277" i="6"/>
  <c r="AZ277" i="6"/>
  <c r="AM277" i="6"/>
  <c r="AT277" i="6"/>
  <c r="AN277" i="6"/>
  <c r="AR277" i="6"/>
  <c r="AO277" i="6"/>
  <c r="AY277" i="6"/>
  <c r="AS277" i="6"/>
  <c r="BA277" i="6"/>
  <c r="BE278" i="6" l="1"/>
  <c r="BY278" i="6"/>
  <c r="BZ278" i="6"/>
  <c r="N279" i="6"/>
  <c r="M279" i="6"/>
  <c r="H279" i="6" a="1"/>
  <c r="H279" i="6" s="1"/>
  <c r="BR278" i="6"/>
  <c r="BS278" i="6"/>
  <c r="CB278" i="6"/>
  <c r="BJ278" i="6"/>
  <c r="CM278" i="6"/>
  <c r="BX278" i="6"/>
  <c r="BO278" i="6"/>
  <c r="BF278" i="6"/>
  <c r="BN278" i="6"/>
  <c r="CL278" i="6"/>
  <c r="CE278" i="6"/>
  <c r="BP278" i="6"/>
  <c r="BI278" i="6"/>
  <c r="CH278" i="6"/>
  <c r="BC278" i="6"/>
  <c r="BH278" i="6"/>
  <c r="BG278" i="6"/>
  <c r="CF278" i="6"/>
  <c r="BQ278" i="6"/>
  <c r="CD278" i="6"/>
  <c r="BW278" i="6"/>
  <c r="CI278" i="6"/>
  <c r="CA278" i="6"/>
  <c r="CJ278" i="6"/>
  <c r="BL278" i="6"/>
  <c r="BT278" i="6"/>
  <c r="BV278" i="6"/>
  <c r="BM278" i="6"/>
  <c r="CG278" i="6"/>
  <c r="CK278" i="6"/>
  <c r="BD278" i="6"/>
  <c r="BK278" i="6"/>
  <c r="T278" i="5"/>
  <c r="G278" i="12" s="1"/>
  <c r="AR278" i="6"/>
  <c r="AS278" i="6"/>
  <c r="BA278" i="6"/>
  <c r="AW278" i="6"/>
  <c r="AY278" i="6"/>
  <c r="AK278" i="6"/>
  <c r="AM278" i="6"/>
  <c r="AQ278" i="6"/>
  <c r="AJ278" i="6"/>
  <c r="AN278" i="6"/>
  <c r="AO278" i="6"/>
  <c r="AX278" i="6"/>
  <c r="AZ278" i="6"/>
  <c r="AT278" i="6"/>
  <c r="AV278" i="6"/>
  <c r="AP278" i="6"/>
  <c r="AU278" i="6"/>
  <c r="AL278" i="6"/>
  <c r="G280" i="5"/>
  <c r="AE280" i="5"/>
  <c r="A280" i="12"/>
  <c r="H280" i="5"/>
  <c r="B280" i="6"/>
  <c r="N280" i="5"/>
  <c r="D280" i="6" s="1"/>
  <c r="C281" i="5"/>
  <c r="F280" i="5"/>
  <c r="E280" i="5"/>
  <c r="D280" i="5"/>
  <c r="B280" i="12" s="1"/>
  <c r="B280" i="5"/>
  <c r="AD280" i="5"/>
  <c r="J280" i="5"/>
  <c r="K280" i="5"/>
  <c r="J279" i="12" a="1"/>
  <c r="J279" i="12" s="1"/>
  <c r="L279" i="12" a="1"/>
  <c r="L279" i="12" s="1"/>
  <c r="AV279" i="6" l="1"/>
  <c r="BO279" i="6"/>
  <c r="BE279" i="6"/>
  <c r="BA279" i="6"/>
  <c r="AW279" i="6"/>
  <c r="K279" i="12"/>
  <c r="J280" i="12" a="1"/>
  <c r="J280" i="12" s="1"/>
  <c r="L280" i="12" a="1"/>
  <c r="L280" i="12" s="1"/>
  <c r="AX279" i="6"/>
  <c r="AY279" i="6"/>
  <c r="T279" i="5"/>
  <c r="G279" i="12" s="1"/>
  <c r="AU279" i="6"/>
  <c r="AT279" i="6"/>
  <c r="AZ279" i="6"/>
  <c r="E281" i="5"/>
  <c r="G281" i="5"/>
  <c r="D281" i="5"/>
  <c r="B281" i="12" s="1"/>
  <c r="AE281" i="5"/>
  <c r="N281" i="5"/>
  <c r="D281" i="6" s="1"/>
  <c r="A281" i="12"/>
  <c r="B281" i="6"/>
  <c r="B281" i="5"/>
  <c r="AD281" i="5"/>
  <c r="K281" i="5"/>
  <c r="J281" i="5"/>
  <c r="C282" i="5"/>
  <c r="H281" i="5"/>
  <c r="F281" i="5"/>
  <c r="CK279" i="6"/>
  <c r="BY279" i="6"/>
  <c r="BK279" i="6"/>
  <c r="CH279" i="6"/>
  <c r="BX279" i="6"/>
  <c r="BH279" i="6"/>
  <c r="BF279" i="6"/>
  <c r="BS279" i="6"/>
  <c r="BR279" i="6"/>
  <c r="CG279" i="6"/>
  <c r="CB279" i="6"/>
  <c r="CM279" i="6"/>
  <c r="CA279" i="6"/>
  <c r="BC279" i="6"/>
  <c r="BL279" i="6"/>
  <c r="BT279" i="6"/>
  <c r="BG279" i="6"/>
  <c r="CC279" i="6"/>
  <c r="BI279" i="6"/>
  <c r="CE279" i="6"/>
  <c r="BV279" i="6"/>
  <c r="CI279" i="6"/>
  <c r="BP279" i="6"/>
  <c r="BW279" i="6"/>
  <c r="CJ279" i="6"/>
  <c r="BJ279" i="6"/>
  <c r="BN279" i="6"/>
  <c r="BM279" i="6"/>
  <c r="BD279" i="6"/>
  <c r="CL279" i="6"/>
  <c r="CD279" i="6"/>
  <c r="CF279" i="6"/>
  <c r="BQ279" i="6"/>
  <c r="BZ279" i="6"/>
  <c r="N280" i="6"/>
  <c r="M280" i="6"/>
  <c r="BL280" i="6" s="1"/>
  <c r="H280" i="6" a="1"/>
  <c r="H280" i="6" s="1"/>
  <c r="K280" i="12" l="1"/>
  <c r="J281" i="12" a="1"/>
  <c r="J281" i="12" s="1"/>
  <c r="L281" i="12" a="1"/>
  <c r="L281" i="12" s="1"/>
  <c r="CA280" i="6"/>
  <c r="N281" i="6"/>
  <c r="M281" i="6"/>
  <c r="H281" i="6" a="1"/>
  <c r="H281" i="6" s="1"/>
  <c r="BY280" i="6"/>
  <c r="CI280" i="6"/>
  <c r="AV280" i="6"/>
  <c r="AW280" i="6"/>
  <c r="T280" i="5"/>
  <c r="G280" i="12" s="1"/>
  <c r="AU280" i="6"/>
  <c r="AY280" i="6"/>
  <c r="AX280" i="6"/>
  <c r="AT280" i="6"/>
  <c r="AZ280" i="6"/>
  <c r="BA280" i="6"/>
  <c r="BN280" i="6"/>
  <c r="BD280" i="6"/>
  <c r="BJ280" i="6"/>
  <c r="BH280" i="6"/>
  <c r="BC280" i="6"/>
  <c r="BF280" i="6"/>
  <c r="CD280" i="6"/>
  <c r="CC280" i="6"/>
  <c r="CF280" i="6"/>
  <c r="CG280" i="6"/>
  <c r="BQ280" i="6"/>
  <c r="BT280" i="6"/>
  <c r="CK280" i="6"/>
  <c r="BO280" i="6"/>
  <c r="BI280" i="6"/>
  <c r="CB280" i="6"/>
  <c r="BG280" i="6"/>
  <c r="BK280" i="6"/>
  <c r="BE280" i="6"/>
  <c r="CE280" i="6"/>
  <c r="BP280" i="6"/>
  <c r="CH280" i="6"/>
  <c r="BX280" i="6"/>
  <c r="BV280" i="6"/>
  <c r="BW280" i="6"/>
  <c r="CJ280" i="6"/>
  <c r="BR280" i="6"/>
  <c r="BM280" i="6"/>
  <c r="CM280" i="6"/>
  <c r="BS280" i="6"/>
  <c r="CL280" i="6"/>
  <c r="AE282" i="5"/>
  <c r="A282" i="12"/>
  <c r="N282" i="5"/>
  <c r="D282" i="6" s="1"/>
  <c r="G282" i="5"/>
  <c r="B282" i="5"/>
  <c r="H282" i="5"/>
  <c r="D282" i="5"/>
  <c r="B282" i="12" s="1"/>
  <c r="K282" i="5"/>
  <c r="B282" i="6"/>
  <c r="C283" i="5"/>
  <c r="F282" i="5"/>
  <c r="E282" i="5"/>
  <c r="J282" i="5"/>
  <c r="AD282" i="5"/>
  <c r="BZ280" i="6"/>
  <c r="BF281" i="6" l="1"/>
  <c r="CI281" i="6"/>
  <c r="BS281" i="6"/>
  <c r="K281" i="12"/>
  <c r="BA281" i="6"/>
  <c r="AT281" i="6"/>
  <c r="AW281" i="6"/>
  <c r="AX281" i="6"/>
  <c r="AY281" i="6"/>
  <c r="AV281" i="6"/>
  <c r="AU281" i="6"/>
  <c r="AZ281" i="6"/>
  <c r="T281" i="5"/>
  <c r="G281" i="12" s="1"/>
  <c r="N282" i="6"/>
  <c r="M282" i="6"/>
  <c r="BJ282" i="6" s="1"/>
  <c r="H282" i="6" a="1"/>
  <c r="H282" i="6" s="1"/>
  <c r="J282" i="12" a="1"/>
  <c r="J282" i="12" s="1"/>
  <c r="L282" i="12" a="1"/>
  <c r="L282" i="12" s="1"/>
  <c r="CL281" i="6"/>
  <c r="CC281" i="6"/>
  <c r="CM281" i="6"/>
  <c r="BY281" i="6"/>
  <c r="BT281" i="6"/>
  <c r="CE281" i="6"/>
  <c r="CF281" i="6"/>
  <c r="BC281" i="6"/>
  <c r="CA281" i="6"/>
  <c r="CD281" i="6"/>
  <c r="BM281" i="6"/>
  <c r="BR281" i="6"/>
  <c r="BK281" i="6"/>
  <c r="BE281" i="6"/>
  <c r="BW281" i="6"/>
  <c r="BZ281" i="6"/>
  <c r="BN281" i="6"/>
  <c r="BV281" i="6"/>
  <c r="CG281" i="6"/>
  <c r="BP281" i="6"/>
  <c r="BJ281" i="6"/>
  <c r="BX281" i="6"/>
  <c r="BH281" i="6"/>
  <c r="CJ281" i="6"/>
  <c r="BD281" i="6"/>
  <c r="BI281" i="6"/>
  <c r="BQ281" i="6"/>
  <c r="BL281" i="6"/>
  <c r="CH281" i="6"/>
  <c r="CK281" i="6"/>
  <c r="J283" i="5"/>
  <c r="C284" i="5"/>
  <c r="H283" i="5"/>
  <c r="F283" i="5"/>
  <c r="E283" i="5"/>
  <c r="A283" i="12"/>
  <c r="D283" i="5"/>
  <c r="B283" i="12" s="1"/>
  <c r="B283" i="5"/>
  <c r="N283" i="5"/>
  <c r="D283" i="6" s="1"/>
  <c r="G283" i="5"/>
  <c r="B283" i="6"/>
  <c r="AE283" i="5"/>
  <c r="AD283" i="5"/>
  <c r="K283" i="5"/>
  <c r="BG281" i="6"/>
  <c r="CB281" i="6"/>
  <c r="BO281" i="6"/>
  <c r="K282" i="12" l="1"/>
  <c r="BP282" i="6"/>
  <c r="BO282" i="6"/>
  <c r="CI282" i="6"/>
  <c r="BC282" i="6"/>
  <c r="BV282" i="6"/>
  <c r="BL282" i="6"/>
  <c r="BW282" i="6"/>
  <c r="BX282" i="6"/>
  <c r="BA282" i="6"/>
  <c r="AT282" i="6"/>
  <c r="BQ282" i="6"/>
  <c r="CD282" i="6"/>
  <c r="AU282" i="6"/>
  <c r="AZ282" i="6"/>
  <c r="BE282" i="6"/>
  <c r="BZ282" i="6"/>
  <c r="BM282" i="6"/>
  <c r="CB282" i="6"/>
  <c r="J283" i="12" a="1"/>
  <c r="J283" i="12" s="1"/>
  <c r="L283" i="12" a="1"/>
  <c r="L283" i="12" s="1"/>
  <c r="AE284" i="5"/>
  <c r="AD284" i="5"/>
  <c r="N284" i="5"/>
  <c r="D284" i="6" s="1"/>
  <c r="K284" i="5"/>
  <c r="A284" i="12"/>
  <c r="H284" i="5"/>
  <c r="E284" i="5"/>
  <c r="J284" i="5"/>
  <c r="B284" i="5"/>
  <c r="B284" i="6"/>
  <c r="G284" i="5"/>
  <c r="F284" i="5"/>
  <c r="C285" i="5"/>
  <c r="D284" i="5"/>
  <c r="B284" i="12" s="1"/>
  <c r="N283" i="6"/>
  <c r="M283" i="6"/>
  <c r="BR283" i="6" s="1"/>
  <c r="H283" i="6" a="1"/>
  <c r="H283" i="6" s="1"/>
  <c r="T283" i="5" s="1"/>
  <c r="G283" i="12" s="1"/>
  <c r="T282" i="5"/>
  <c r="G282" i="12" s="1"/>
  <c r="AX282" i="6"/>
  <c r="AV282" i="6"/>
  <c r="AY282" i="6"/>
  <c r="AW282" i="6"/>
  <c r="CK282" i="6"/>
  <c r="BN282" i="6"/>
  <c r="BT282" i="6"/>
  <c r="CC282" i="6"/>
  <c r="BR282" i="6"/>
  <c r="CH282" i="6"/>
  <c r="CF282" i="6"/>
  <c r="CJ282" i="6"/>
  <c r="CL282" i="6"/>
  <c r="BD282" i="6"/>
  <c r="BF282" i="6"/>
  <c r="CG282" i="6"/>
  <c r="BK282" i="6"/>
  <c r="BH282" i="6"/>
  <c r="BY282" i="6"/>
  <c r="CM282" i="6"/>
  <c r="CE282" i="6"/>
  <c r="CA282" i="6"/>
  <c r="BG282" i="6"/>
  <c r="BI282" i="6"/>
  <c r="BS282" i="6"/>
  <c r="K283" i="12" l="1"/>
  <c r="BJ283" i="6"/>
  <c r="BH283" i="6"/>
  <c r="BK283" i="6"/>
  <c r="CE283" i="6"/>
  <c r="BI283" i="6"/>
  <c r="BM283" i="6"/>
  <c r="BN283" i="6"/>
  <c r="BF283" i="6"/>
  <c r="BV283" i="6"/>
  <c r="CH283" i="6"/>
  <c r="CB283" i="6"/>
  <c r="CJ283" i="6"/>
  <c r="BO283" i="6"/>
  <c r="CL283" i="6"/>
  <c r="CI283" i="6"/>
  <c r="CA283" i="6"/>
  <c r="CM283" i="6"/>
  <c r="BP283" i="6"/>
  <c r="BQ283" i="6"/>
  <c r="BY283" i="6"/>
  <c r="AZ283" i="6"/>
  <c r="J284" i="12" a="1"/>
  <c r="J284" i="12" s="1"/>
  <c r="L284" i="12" a="1"/>
  <c r="L284" i="12" s="1"/>
  <c r="BG283" i="6"/>
  <c r="BZ283" i="6"/>
  <c r="CK283" i="6"/>
  <c r="BW283" i="6"/>
  <c r="BC283" i="6"/>
  <c r="N284" i="6"/>
  <c r="M284" i="6"/>
  <c r="H284" i="6" a="1"/>
  <c r="H284" i="6" s="1"/>
  <c r="CC283" i="6"/>
  <c r="CD283" i="6"/>
  <c r="AT283" i="6"/>
  <c r="AU283" i="6"/>
  <c r="AX283" i="6"/>
  <c r="AW283" i="6"/>
  <c r="AD285" i="5"/>
  <c r="J285" i="5"/>
  <c r="K285" i="5"/>
  <c r="H285" i="5"/>
  <c r="B285" i="5"/>
  <c r="C286" i="5" s="1"/>
  <c r="B285" i="6"/>
  <c r="G285" i="5"/>
  <c r="F285" i="5"/>
  <c r="E285" i="5"/>
  <c r="A285" i="12"/>
  <c r="D285" i="5"/>
  <c r="B285" i="12" s="1"/>
  <c r="AE285" i="5"/>
  <c r="N285" i="5"/>
  <c r="D285" i="6" s="1"/>
  <c r="CG283" i="6"/>
  <c r="BT283" i="6"/>
  <c r="AY283" i="6"/>
  <c r="BL283" i="6"/>
  <c r="CF283" i="6"/>
  <c r="BS283" i="6"/>
  <c r="BE283" i="6"/>
  <c r="AV283" i="6"/>
  <c r="BA283" i="6"/>
  <c r="BX283" i="6"/>
  <c r="BD283" i="6"/>
  <c r="K284" i="12" l="1"/>
  <c r="A286" i="12"/>
  <c r="G286" i="5"/>
  <c r="B286" i="6"/>
  <c r="J286" i="6" s="1" a="1"/>
  <c r="J286" i="6" s="1"/>
  <c r="C287" i="5"/>
  <c r="N286" i="5"/>
  <c r="D286" i="6" s="1"/>
  <c r="I286" i="5"/>
  <c r="E286" i="5"/>
  <c r="F286" i="5"/>
  <c r="W286" i="5"/>
  <c r="H286" i="12" s="1"/>
  <c r="AD286" i="5"/>
  <c r="B286" i="5"/>
  <c r="AE286" i="5"/>
  <c r="H286" i="5"/>
  <c r="CK284" i="6"/>
  <c r="BR284" i="6"/>
  <c r="BJ284" i="6"/>
  <c r="CJ284" i="6"/>
  <c r="CD284" i="6"/>
  <c r="BH284" i="6"/>
  <c r="BZ284" i="6"/>
  <c r="BG284" i="6"/>
  <c r="CG284" i="6"/>
  <c r="BE284" i="6"/>
  <c r="BX284" i="6"/>
  <c r="CI284" i="6"/>
  <c r="BI284" i="6"/>
  <c r="BT284" i="6"/>
  <c r="BM284" i="6"/>
  <c r="BK284" i="6"/>
  <c r="BQ284" i="6"/>
  <c r="CA284" i="6"/>
  <c r="CM284" i="6"/>
  <c r="BO284" i="6"/>
  <c r="BL284" i="6"/>
  <c r="CH284" i="6"/>
  <c r="BW284" i="6"/>
  <c r="BY284" i="6"/>
  <c r="BS284" i="6"/>
  <c r="BD284" i="6"/>
  <c r="CB284" i="6"/>
  <c r="CF284" i="6"/>
  <c r="BP284" i="6"/>
  <c r="CL284" i="6"/>
  <c r="BN284" i="6"/>
  <c r="BC284" i="6"/>
  <c r="BF284" i="6"/>
  <c r="BV284" i="6"/>
  <c r="CE284" i="6"/>
  <c r="CC284" i="6"/>
  <c r="M285" i="6"/>
  <c r="CK285" i="6" s="1"/>
  <c r="N285" i="6"/>
  <c r="H285" i="6" a="1"/>
  <c r="H285" i="6" s="1"/>
  <c r="L285" i="12" a="1"/>
  <c r="L285" i="12" s="1"/>
  <c r="J285" i="12" a="1"/>
  <c r="J285" i="12" s="1"/>
  <c r="AU284" i="6"/>
  <c r="AY284" i="6"/>
  <c r="AV284" i="6"/>
  <c r="T284" i="5"/>
  <c r="G284" i="12" s="1"/>
  <c r="BA284" i="6"/>
  <c r="AT284" i="6"/>
  <c r="AW284" i="6"/>
  <c r="AZ284" i="6"/>
  <c r="AX284" i="6"/>
  <c r="BC285" i="6" l="1"/>
  <c r="CI285" i="6"/>
  <c r="CE285" i="6"/>
  <c r="BX285" i="6"/>
  <c r="AY285" i="6"/>
  <c r="BP285" i="6"/>
  <c r="BR285" i="6"/>
  <c r="BV285" i="6"/>
  <c r="CF285" i="6"/>
  <c r="K285" i="12"/>
  <c r="AT285" i="6"/>
  <c r="AU285" i="6"/>
  <c r="AX285" i="6"/>
  <c r="AW285" i="6"/>
  <c r="T285" i="5"/>
  <c r="G285" i="12" s="1"/>
  <c r="AZ285" i="6"/>
  <c r="BA285" i="6"/>
  <c r="G286" i="6"/>
  <c r="H286" i="6" a="1"/>
  <c r="H286" i="6" s="1"/>
  <c r="N286" i="6"/>
  <c r="M286" i="6"/>
  <c r="CL285" i="6"/>
  <c r="CG285" i="6"/>
  <c r="BM285" i="6"/>
  <c r="BF285" i="6"/>
  <c r="BJ285" i="6"/>
  <c r="BN285" i="6"/>
  <c r="BH285" i="6"/>
  <c r="BE285" i="6"/>
  <c r="BS285" i="6"/>
  <c r="CH285" i="6"/>
  <c r="BQ285" i="6"/>
  <c r="BT285" i="6"/>
  <c r="CJ285" i="6"/>
  <c r="BL285" i="6"/>
  <c r="BI285" i="6"/>
  <c r="BZ285" i="6"/>
  <c r="CM285" i="6"/>
  <c r="CC285" i="6"/>
  <c r="BW285" i="6"/>
  <c r="BD285" i="6"/>
  <c r="BK285" i="6"/>
  <c r="H287" i="5"/>
  <c r="B287" i="5"/>
  <c r="G287" i="5"/>
  <c r="D287" i="5"/>
  <c r="B287" i="12" s="1"/>
  <c r="F287" i="5"/>
  <c r="B287" i="6"/>
  <c r="E287" i="5"/>
  <c r="AE287" i="5"/>
  <c r="N287" i="5"/>
  <c r="D287" i="6" s="1"/>
  <c r="A287" i="12"/>
  <c r="AD287" i="5"/>
  <c r="K287" i="5"/>
  <c r="J287" i="5"/>
  <c r="C288" i="5"/>
  <c r="CB285" i="6"/>
  <c r="BY285" i="6"/>
  <c r="BG285" i="6"/>
  <c r="BO285" i="6"/>
  <c r="AV285" i="6"/>
  <c r="CD285" i="6"/>
  <c r="CA285" i="6"/>
  <c r="T286" i="5" l="1"/>
  <c r="G286" i="12" s="1"/>
  <c r="BA286" i="6"/>
  <c r="AL286" i="6"/>
  <c r="AR286" i="6"/>
  <c r="AU286" i="6"/>
  <c r="AW286" i="6"/>
  <c r="AS286" i="6"/>
  <c r="AP286" i="6"/>
  <c r="AO286" i="6"/>
  <c r="AM286" i="6"/>
  <c r="AJ286" i="6"/>
  <c r="AY286" i="6"/>
  <c r="AV286" i="6"/>
  <c r="AZ286" i="6"/>
  <c r="AQ286" i="6"/>
  <c r="AK286" i="6"/>
  <c r="AT286" i="6"/>
  <c r="AX286" i="6"/>
  <c r="AN286" i="6"/>
  <c r="N288" i="5"/>
  <c r="D288" i="6" s="1"/>
  <c r="H288" i="5"/>
  <c r="AD288" i="5"/>
  <c r="G288" i="5"/>
  <c r="K288" i="5"/>
  <c r="J288" i="5"/>
  <c r="A288" i="12"/>
  <c r="B288" i="6"/>
  <c r="E288" i="5"/>
  <c r="F288" i="5"/>
  <c r="D288" i="5"/>
  <c r="B288" i="12" s="1"/>
  <c r="B288" i="5"/>
  <c r="C289" i="5" s="1"/>
  <c r="AE288" i="5"/>
  <c r="L287" i="12" a="1"/>
  <c r="L287" i="12" s="1"/>
  <c r="J287" i="12" a="1"/>
  <c r="J287" i="12" s="1"/>
  <c r="H287" i="6" a="1"/>
  <c r="H287" i="6" s="1"/>
  <c r="M287" i="6"/>
  <c r="CK287" i="6" s="1"/>
  <c r="N287" i="6"/>
  <c r="CJ286" i="6"/>
  <c r="BF286" i="6"/>
  <c r="BZ286" i="6"/>
  <c r="CE286" i="6"/>
  <c r="BS286" i="6"/>
  <c r="BO286" i="6"/>
  <c r="CG286" i="6"/>
  <c r="CC286" i="6"/>
  <c r="CH286" i="6"/>
  <c r="BR286" i="6"/>
  <c r="BG286" i="6"/>
  <c r="BL286" i="6"/>
  <c r="CI286" i="6"/>
  <c r="CM286" i="6"/>
  <c r="CA286" i="6"/>
  <c r="BT286" i="6"/>
  <c r="BI286" i="6"/>
  <c r="BX286" i="6"/>
  <c r="BP286" i="6"/>
  <c r="BH286" i="6"/>
  <c r="BN286" i="6"/>
  <c r="BK286" i="6"/>
  <c r="CD286" i="6"/>
  <c r="CB286" i="6"/>
  <c r="BQ286" i="6"/>
  <c r="BV286" i="6"/>
  <c r="BM286" i="6"/>
  <c r="BE286" i="6"/>
  <c r="CK286" i="6"/>
  <c r="BJ286" i="6"/>
  <c r="BD286" i="6"/>
  <c r="BW286" i="6"/>
  <c r="BC286" i="6"/>
  <c r="BY286" i="6"/>
  <c r="CL286" i="6"/>
  <c r="CF286" i="6"/>
  <c r="CH287" i="6" l="1"/>
  <c r="BE287" i="6"/>
  <c r="CL287" i="6"/>
  <c r="BD287" i="6"/>
  <c r="BY287" i="6"/>
  <c r="AT287" i="6"/>
  <c r="BN287" i="6"/>
  <c r="BL287" i="6"/>
  <c r="CA287" i="6"/>
  <c r="CF287" i="6"/>
  <c r="BK287" i="6"/>
  <c r="CG287" i="6"/>
  <c r="BV287" i="6"/>
  <c r="K287" i="12"/>
  <c r="AX287" i="6"/>
  <c r="BP287" i="6"/>
  <c r="CB287" i="6"/>
  <c r="BX287" i="6"/>
  <c r="AV287" i="6"/>
  <c r="CD287" i="6"/>
  <c r="BZ287" i="6"/>
  <c r="BQ287" i="6"/>
  <c r="BF287" i="6"/>
  <c r="AZ287" i="6"/>
  <c r="CE287" i="6"/>
  <c r="BT287" i="6"/>
  <c r="AY287" i="6"/>
  <c r="BO287" i="6"/>
  <c r="BC287" i="6"/>
  <c r="M288" i="6"/>
  <c r="CH288" i="6" s="1"/>
  <c r="N288" i="6"/>
  <c r="H288" i="6" a="1"/>
  <c r="H288" i="6" s="1"/>
  <c r="H289" i="5"/>
  <c r="G289" i="5"/>
  <c r="W289" i="5"/>
  <c r="H289" i="12" s="1"/>
  <c r="B289" i="6"/>
  <c r="J289" i="6" s="1" a="1"/>
  <c r="J289" i="6" s="1"/>
  <c r="F289" i="5"/>
  <c r="N289" i="5"/>
  <c r="D289" i="6" s="1"/>
  <c r="E289" i="5"/>
  <c r="AE289" i="5"/>
  <c r="A289" i="12"/>
  <c r="B289" i="5"/>
  <c r="I289" i="5"/>
  <c r="AD289" i="5"/>
  <c r="C290" i="5"/>
  <c r="CI287" i="6"/>
  <c r="AW287" i="6"/>
  <c r="T287" i="5"/>
  <c r="G287" i="12" s="1"/>
  <c r="AU287" i="6"/>
  <c r="CC287" i="6"/>
  <c r="L288" i="12" a="1"/>
  <c r="L288" i="12" s="1"/>
  <c r="J288" i="12" a="1"/>
  <c r="J288" i="12" s="1"/>
  <c r="CJ287" i="6"/>
  <c r="BJ287" i="6"/>
  <c r="CM287" i="6"/>
  <c r="BR287" i="6"/>
  <c r="BW287" i="6"/>
  <c r="BH287" i="6"/>
  <c r="BI287" i="6"/>
  <c r="BA287" i="6"/>
  <c r="BG287" i="6"/>
  <c r="BS287" i="6"/>
  <c r="BM287" i="6"/>
  <c r="BS288" i="6" l="1"/>
  <c r="BK288" i="6"/>
  <c r="CA288" i="6"/>
  <c r="BN288" i="6"/>
  <c r="BI288" i="6"/>
  <c r="CJ288" i="6"/>
  <c r="N289" i="6"/>
  <c r="M289" i="6"/>
  <c r="CL289" i="6" s="1"/>
  <c r="H289" i="6" a="1"/>
  <c r="H289" i="6" s="1"/>
  <c r="G289" i="6"/>
  <c r="B290" i="5"/>
  <c r="AE290" i="5"/>
  <c r="A290" i="12"/>
  <c r="N290" i="5"/>
  <c r="D290" i="6" s="1"/>
  <c r="AD290" i="5"/>
  <c r="K290" i="5"/>
  <c r="H290" i="5"/>
  <c r="J290" i="5"/>
  <c r="B290" i="6"/>
  <c r="G290" i="5"/>
  <c r="D290" i="5"/>
  <c r="B290" i="12" s="1"/>
  <c r="C291" i="5"/>
  <c r="F290" i="5"/>
  <c r="E290" i="5"/>
  <c r="AU288" i="6"/>
  <c r="AY288" i="6"/>
  <c r="AV288" i="6"/>
  <c r="AT288" i="6"/>
  <c r="AX288" i="6"/>
  <c r="T288" i="5"/>
  <c r="G288" i="12" s="1"/>
  <c r="AW288" i="6"/>
  <c r="AZ288" i="6"/>
  <c r="K288" i="12"/>
  <c r="CI288" i="6"/>
  <c r="BO288" i="6"/>
  <c r="BY288" i="6"/>
  <c r="BX288" i="6"/>
  <c r="BP288" i="6"/>
  <c r="CF288" i="6"/>
  <c r="CE288" i="6"/>
  <c r="BG288" i="6"/>
  <c r="BR288" i="6"/>
  <c r="BT288" i="6"/>
  <c r="BW288" i="6"/>
  <c r="BV288" i="6"/>
  <c r="BH288" i="6"/>
  <c r="CC288" i="6"/>
  <c r="CL288" i="6"/>
  <c r="BL288" i="6"/>
  <c r="BE288" i="6"/>
  <c r="CB288" i="6"/>
  <c r="CG288" i="6"/>
  <c r="BF288" i="6"/>
  <c r="CM288" i="6"/>
  <c r="BQ288" i="6"/>
  <c r="BJ288" i="6"/>
  <c r="BC288" i="6"/>
  <c r="BD288" i="6"/>
  <c r="CK288" i="6"/>
  <c r="BZ288" i="6"/>
  <c r="CD288" i="6"/>
  <c r="BM288" i="6"/>
  <c r="BA288" i="6"/>
  <c r="BE289" i="6" l="1"/>
  <c r="CM289" i="6"/>
  <c r="AP289" i="6"/>
  <c r="BX289" i="6"/>
  <c r="AX289" i="6"/>
  <c r="M290" i="6"/>
  <c r="BS290" i="6" s="1"/>
  <c r="N290" i="6"/>
  <c r="H290" i="6" a="1"/>
  <c r="H290" i="6" s="1"/>
  <c r="J290" i="12" a="1"/>
  <c r="J290" i="12" s="1"/>
  <c r="L290" i="12" a="1"/>
  <c r="L290" i="12" s="1"/>
  <c r="B291" i="6"/>
  <c r="B291" i="5"/>
  <c r="AD291" i="5"/>
  <c r="H291" i="5"/>
  <c r="N291" i="5"/>
  <c r="D291" i="6" s="1"/>
  <c r="A291" i="12"/>
  <c r="K291" i="5"/>
  <c r="J291" i="5"/>
  <c r="C292" i="5"/>
  <c r="AE291" i="5"/>
  <c r="G291" i="5"/>
  <c r="F291" i="5"/>
  <c r="E291" i="5"/>
  <c r="D291" i="5"/>
  <c r="B291" i="12" s="1"/>
  <c r="T289" i="5"/>
  <c r="G289" i="12" s="1"/>
  <c r="AS289" i="6"/>
  <c r="AY289" i="6"/>
  <c r="AT289" i="6"/>
  <c r="AR289" i="6"/>
  <c r="AO289" i="6"/>
  <c r="AN289" i="6"/>
  <c r="AJ289" i="6"/>
  <c r="AU289" i="6"/>
  <c r="AL289" i="6"/>
  <c r="AK289" i="6"/>
  <c r="AZ289" i="6"/>
  <c r="AM289" i="6"/>
  <c r="BA289" i="6"/>
  <c r="AV289" i="6"/>
  <c r="AW289" i="6"/>
  <c r="AQ289" i="6"/>
  <c r="BM289" i="6"/>
  <c r="BF289" i="6"/>
  <c r="CC289" i="6"/>
  <c r="BW289" i="6"/>
  <c r="BK289" i="6"/>
  <c r="BL289" i="6"/>
  <c r="BJ289" i="6"/>
  <c r="CI289" i="6"/>
  <c r="BV289" i="6"/>
  <c r="CK289" i="6"/>
  <c r="BI289" i="6"/>
  <c r="CE289" i="6"/>
  <c r="BQ289" i="6"/>
  <c r="BS289" i="6"/>
  <c r="CJ289" i="6"/>
  <c r="CD289" i="6"/>
  <c r="BZ289" i="6"/>
  <c r="BY289" i="6"/>
  <c r="BN289" i="6"/>
  <c r="CB289" i="6"/>
  <c r="BC289" i="6"/>
  <c r="CF289" i="6"/>
  <c r="CG289" i="6"/>
  <c r="BP289" i="6"/>
  <c r="BT289" i="6"/>
  <c r="BD289" i="6"/>
  <c r="BG289" i="6"/>
  <c r="BR289" i="6"/>
  <c r="CA289" i="6"/>
  <c r="BO289" i="6"/>
  <c r="BH289" i="6"/>
  <c r="CH289" i="6"/>
  <c r="H291" i="6" l="1" a="1"/>
  <c r="H291" i="6" s="1"/>
  <c r="N291" i="6"/>
  <c r="M291" i="6"/>
  <c r="CM291" i="6" s="1"/>
  <c r="L291" i="12" a="1"/>
  <c r="L291" i="12" s="1"/>
  <c r="J291" i="12" a="1"/>
  <c r="J291" i="12" s="1"/>
  <c r="K290" i="12"/>
  <c r="AW290" i="6"/>
  <c r="AX290" i="6"/>
  <c r="AZ290" i="6"/>
  <c r="AU290" i="6"/>
  <c r="T290" i="5"/>
  <c r="G290" i="12" s="1"/>
  <c r="AY290" i="6"/>
  <c r="BA290" i="6"/>
  <c r="AV290" i="6"/>
  <c r="AT290" i="6"/>
  <c r="D292" i="5"/>
  <c r="B292" i="12" s="1"/>
  <c r="B292" i="5"/>
  <c r="N292" i="5"/>
  <c r="D292" i="6" s="1"/>
  <c r="AE292" i="5"/>
  <c r="F292" i="5"/>
  <c r="AD292" i="5"/>
  <c r="K292" i="5"/>
  <c r="J292" i="5"/>
  <c r="H292" i="5"/>
  <c r="A292" i="12"/>
  <c r="G292" i="5"/>
  <c r="B292" i="6"/>
  <c r="E292" i="5"/>
  <c r="BK290" i="6"/>
  <c r="CH290" i="6"/>
  <c r="BO290" i="6"/>
  <c r="BM290" i="6"/>
  <c r="BC290" i="6"/>
  <c r="CK290" i="6"/>
  <c r="BN290" i="6"/>
  <c r="CI290" i="6"/>
  <c r="CE290" i="6"/>
  <c r="BF290" i="6"/>
  <c r="BX290" i="6"/>
  <c r="CM290" i="6"/>
  <c r="BI290" i="6"/>
  <c r="BL290" i="6"/>
  <c r="BH290" i="6"/>
  <c r="BG290" i="6"/>
  <c r="CB290" i="6"/>
  <c r="BE290" i="6"/>
  <c r="BJ290" i="6"/>
  <c r="CF290" i="6"/>
  <c r="CA290" i="6"/>
  <c r="BW290" i="6"/>
  <c r="BR290" i="6"/>
  <c r="BV290" i="6"/>
  <c r="BY290" i="6"/>
  <c r="BQ290" i="6"/>
  <c r="BT290" i="6"/>
  <c r="CC290" i="6"/>
  <c r="BZ290" i="6"/>
  <c r="CD290" i="6"/>
  <c r="CG290" i="6"/>
  <c r="CJ290" i="6"/>
  <c r="BP290" i="6"/>
  <c r="CL290" i="6"/>
  <c r="BD290" i="6"/>
  <c r="BH291" i="6" l="1"/>
  <c r="CF291" i="6"/>
  <c r="BW291" i="6"/>
  <c r="BO291" i="6"/>
  <c r="BI291" i="6"/>
  <c r="CC291" i="6"/>
  <c r="BP291" i="6"/>
  <c r="N292" i="6"/>
  <c r="M292" i="6"/>
  <c r="H292" i="6" a="1"/>
  <c r="H292" i="6" s="1"/>
  <c r="C293" i="5"/>
  <c r="J292" i="12" a="1"/>
  <c r="J292" i="12" s="1"/>
  <c r="L292" i="12" a="1"/>
  <c r="L292" i="12" s="1"/>
  <c r="K291" i="12"/>
  <c r="BF291" i="6"/>
  <c r="CK291" i="6"/>
  <c r="CE291" i="6"/>
  <c r="BT291" i="6"/>
  <c r="BG291" i="6"/>
  <c r="BJ291" i="6"/>
  <c r="CA291" i="6"/>
  <c r="BY291" i="6"/>
  <c r="BC291" i="6"/>
  <c r="CJ291" i="6"/>
  <c r="BQ291" i="6"/>
  <c r="CB291" i="6"/>
  <c r="BK291" i="6"/>
  <c r="BM291" i="6"/>
  <c r="BS291" i="6"/>
  <c r="CL291" i="6"/>
  <c r="BZ291" i="6"/>
  <c r="BV291" i="6"/>
  <c r="BD291" i="6"/>
  <c r="BL291" i="6"/>
  <c r="BR291" i="6"/>
  <c r="CH291" i="6"/>
  <c r="CD291" i="6"/>
  <c r="CG291" i="6"/>
  <c r="CI291" i="6"/>
  <c r="BX291" i="6"/>
  <c r="BE291" i="6"/>
  <c r="BN291" i="6"/>
  <c r="AY291" i="6"/>
  <c r="BA291" i="6"/>
  <c r="AX291" i="6"/>
  <c r="AU291" i="6"/>
  <c r="AZ291" i="6"/>
  <c r="AW291" i="6"/>
  <c r="AV291" i="6"/>
  <c r="T291" i="5"/>
  <c r="G291" i="12" s="1"/>
  <c r="AT291" i="6"/>
  <c r="CJ292" i="6" l="1"/>
  <c r="BM292" i="6"/>
  <c r="CG292" i="6"/>
  <c r="BE292" i="6"/>
  <c r="CM292" i="6"/>
  <c r="BX292" i="6"/>
  <c r="BH292" i="6"/>
  <c r="BY292" i="6"/>
  <c r="BP292" i="6"/>
  <c r="AV292" i="6"/>
  <c r="AT292" i="6"/>
  <c r="AW292" i="6"/>
  <c r="K292" i="12"/>
  <c r="C294" i="5"/>
  <c r="I293" i="5"/>
  <c r="E293" i="5"/>
  <c r="F293" i="5"/>
  <c r="W293" i="5"/>
  <c r="H293" i="12" s="1"/>
  <c r="B293" i="5"/>
  <c r="AE293" i="5"/>
  <c r="H293" i="5"/>
  <c r="N293" i="5"/>
  <c r="D293" i="6" s="1"/>
  <c r="AD293" i="5"/>
  <c r="G293" i="5"/>
  <c r="A293" i="12"/>
  <c r="B293" i="6"/>
  <c r="J293" i="6" s="1" a="1"/>
  <c r="J293" i="6" s="1"/>
  <c r="AU292" i="6"/>
  <c r="T292" i="5"/>
  <c r="G292" i="12" s="1"/>
  <c r="AY292" i="6"/>
  <c r="AZ292" i="6"/>
  <c r="AX292" i="6"/>
  <c r="BA292" i="6"/>
  <c r="BN292" i="6"/>
  <c r="CK292" i="6"/>
  <c r="CC292" i="6"/>
  <c r="BI292" i="6"/>
  <c r="CL292" i="6"/>
  <c r="CE292" i="6"/>
  <c r="CD292" i="6"/>
  <c r="BQ292" i="6"/>
  <c r="BR292" i="6"/>
  <c r="BO292" i="6"/>
  <c r="CB292" i="6"/>
  <c r="CH292" i="6"/>
  <c r="BD292" i="6"/>
  <c r="BW292" i="6"/>
  <c r="BL292" i="6"/>
  <c r="BZ292" i="6"/>
  <c r="CA292" i="6"/>
  <c r="BS292" i="6"/>
  <c r="BV292" i="6"/>
  <c r="BT292" i="6"/>
  <c r="BK292" i="6"/>
  <c r="BJ292" i="6"/>
  <c r="BC292" i="6"/>
  <c r="BF292" i="6"/>
  <c r="CI292" i="6"/>
  <c r="BG292" i="6"/>
  <c r="CF292" i="6"/>
  <c r="M293" i="6" l="1"/>
  <c r="N293" i="6"/>
  <c r="H293" i="6" a="1"/>
  <c r="H293" i="6" s="1"/>
  <c r="G293" i="6"/>
  <c r="J294" i="5"/>
  <c r="C295" i="5"/>
  <c r="N294" i="5"/>
  <c r="D294" i="6" s="1"/>
  <c r="H294" i="5"/>
  <c r="G294" i="5"/>
  <c r="E294" i="5"/>
  <c r="B294" i="6"/>
  <c r="AD294" i="5"/>
  <c r="F294" i="5"/>
  <c r="B294" i="5"/>
  <c r="D294" i="5"/>
  <c r="B294" i="12" s="1"/>
  <c r="AE294" i="5"/>
  <c r="A294" i="12"/>
  <c r="K294" i="5"/>
  <c r="AE295" i="5" l="1"/>
  <c r="K295" i="5"/>
  <c r="N295" i="5"/>
  <c r="D295" i="6" s="1"/>
  <c r="B295" i="6"/>
  <c r="D295" i="5"/>
  <c r="B295" i="12" s="1"/>
  <c r="AD295" i="5"/>
  <c r="A295" i="12"/>
  <c r="E295" i="5"/>
  <c r="J295" i="5"/>
  <c r="G295" i="5"/>
  <c r="H295" i="5"/>
  <c r="C296" i="5"/>
  <c r="F295" i="5"/>
  <c r="B295" i="5"/>
  <c r="J294" i="12" a="1"/>
  <c r="J294" i="12" s="1"/>
  <c r="L294" i="12" a="1"/>
  <c r="L294" i="12" s="1"/>
  <c r="T293" i="5"/>
  <c r="G293" i="12" s="1"/>
  <c r="AN293" i="6"/>
  <c r="AW293" i="6"/>
  <c r="AK293" i="6"/>
  <c r="AZ293" i="6"/>
  <c r="AU293" i="6"/>
  <c r="AY293" i="6"/>
  <c r="AO293" i="6"/>
  <c r="BA293" i="6"/>
  <c r="AQ293" i="6"/>
  <c r="AS293" i="6"/>
  <c r="AR293" i="6"/>
  <c r="AL293" i="6"/>
  <c r="AP293" i="6"/>
  <c r="AV293" i="6"/>
  <c r="AX293" i="6"/>
  <c r="AM293" i="6"/>
  <c r="AT293" i="6"/>
  <c r="AJ293" i="6"/>
  <c r="N294" i="6"/>
  <c r="M294" i="6"/>
  <c r="H294" i="6" a="1"/>
  <c r="H294" i="6" s="1"/>
  <c r="BT293" i="6"/>
  <c r="BJ293" i="6"/>
  <c r="BQ293" i="6"/>
  <c r="BD293" i="6"/>
  <c r="BG293" i="6"/>
  <c r="CA293" i="6"/>
  <c r="BH293" i="6"/>
  <c r="CH293" i="6"/>
  <c r="CD293" i="6"/>
  <c r="BE293" i="6"/>
  <c r="CB293" i="6"/>
  <c r="BN293" i="6"/>
  <c r="BC293" i="6"/>
  <c r="BY293" i="6"/>
  <c r="CF293" i="6"/>
  <c r="BR293" i="6"/>
  <c r="CJ293" i="6"/>
  <c r="BV293" i="6"/>
  <c r="CL293" i="6"/>
  <c r="BZ293" i="6"/>
  <c r="BP293" i="6"/>
  <c r="BO293" i="6"/>
  <c r="BL293" i="6"/>
  <c r="BF293" i="6"/>
  <c r="CC293" i="6"/>
  <c r="BX293" i="6"/>
  <c r="BI293" i="6"/>
  <c r="BM293" i="6"/>
  <c r="CK293" i="6"/>
  <c r="BW293" i="6"/>
  <c r="BK293" i="6"/>
  <c r="CM293" i="6"/>
  <c r="BS293" i="6"/>
  <c r="CE293" i="6"/>
  <c r="CI293" i="6"/>
  <c r="CG293" i="6"/>
  <c r="BD294" i="6" l="1"/>
  <c r="K294" i="12"/>
  <c r="J295" i="12" a="1"/>
  <c r="J295" i="12" s="1"/>
  <c r="L295" i="12" a="1"/>
  <c r="L295" i="12" s="1"/>
  <c r="CL294" i="6"/>
  <c r="AU294" i="6"/>
  <c r="AT294" i="6"/>
  <c r="AW294" i="6"/>
  <c r="AY294" i="6"/>
  <c r="AX294" i="6"/>
  <c r="AZ294" i="6"/>
  <c r="T294" i="5"/>
  <c r="G294" i="12" s="1"/>
  <c r="AV294" i="6"/>
  <c r="BA294" i="6"/>
  <c r="BN294" i="6"/>
  <c r="CE294" i="6"/>
  <c r="BV294" i="6"/>
  <c r="BW294" i="6"/>
  <c r="CC294" i="6"/>
  <c r="CI294" i="6"/>
  <c r="BH294" i="6"/>
  <c r="BO294" i="6"/>
  <c r="CH294" i="6"/>
  <c r="CF294" i="6"/>
  <c r="BC294" i="6"/>
  <c r="BL294" i="6"/>
  <c r="CG294" i="6"/>
  <c r="CJ294" i="6"/>
  <c r="CA294" i="6"/>
  <c r="BT294" i="6"/>
  <c r="BK294" i="6"/>
  <c r="BS294" i="6"/>
  <c r="BX294" i="6"/>
  <c r="CM294" i="6"/>
  <c r="BI294" i="6"/>
  <c r="BF294" i="6"/>
  <c r="BE294" i="6"/>
  <c r="BY294" i="6"/>
  <c r="CK294" i="6"/>
  <c r="BG294" i="6"/>
  <c r="CB294" i="6"/>
  <c r="CD294" i="6"/>
  <c r="BQ294" i="6"/>
  <c r="BZ294" i="6"/>
  <c r="BM294" i="6"/>
  <c r="BJ294" i="6"/>
  <c r="N295" i="6"/>
  <c r="H295" i="6" a="1"/>
  <c r="H295" i="6" s="1"/>
  <c r="M295" i="6"/>
  <c r="BR294" i="6"/>
  <c r="AD296" i="5"/>
  <c r="F296" i="5"/>
  <c r="K296" i="5"/>
  <c r="J296" i="5"/>
  <c r="C297" i="5"/>
  <c r="H296" i="5"/>
  <c r="G296" i="5"/>
  <c r="E296" i="5"/>
  <c r="D296" i="5"/>
  <c r="B296" i="12" s="1"/>
  <c r="AE296" i="5"/>
  <c r="A296" i="12"/>
  <c r="N296" i="5"/>
  <c r="D296" i="6" s="1"/>
  <c r="B296" i="6"/>
  <c r="B296" i="5"/>
  <c r="BP294" i="6"/>
  <c r="K295" i="12" l="1"/>
  <c r="N296" i="6"/>
  <c r="H296" i="6" a="1"/>
  <c r="H296" i="6" s="1"/>
  <c r="M296" i="6"/>
  <c r="L296" i="12" a="1"/>
  <c r="L296" i="12" s="1"/>
  <c r="J296" i="12" a="1"/>
  <c r="J296" i="12" s="1"/>
  <c r="BC295" i="6"/>
  <c r="BI295" i="6"/>
  <c r="BH295" i="6"/>
  <c r="CK295" i="6"/>
  <c r="BW295" i="6"/>
  <c r="CA295" i="6"/>
  <c r="BK295" i="6"/>
  <c r="BS295" i="6"/>
  <c r="CM295" i="6"/>
  <c r="BQ295" i="6"/>
  <c r="CJ295" i="6"/>
  <c r="BJ295" i="6"/>
  <c r="CF295" i="6"/>
  <c r="BO295" i="6"/>
  <c r="BP295" i="6"/>
  <c r="CL295" i="6"/>
  <c r="CH295" i="6"/>
  <c r="CG295" i="6"/>
  <c r="BG295" i="6"/>
  <c r="CI295" i="6"/>
  <c r="CE295" i="6"/>
  <c r="BZ295" i="6"/>
  <c r="BY295" i="6"/>
  <c r="CB295" i="6"/>
  <c r="BE295" i="6"/>
  <c r="BR295" i="6"/>
  <c r="BN295" i="6"/>
  <c r="CC295" i="6"/>
  <c r="BL295" i="6"/>
  <c r="BV295" i="6"/>
  <c r="BM295" i="6"/>
  <c r="BF295" i="6"/>
  <c r="BD295" i="6"/>
  <c r="BX295" i="6"/>
  <c r="CD295" i="6"/>
  <c r="BT295" i="6"/>
  <c r="AY295" i="6"/>
  <c r="AV295" i="6"/>
  <c r="AZ295" i="6"/>
  <c r="AW295" i="6"/>
  <c r="AX295" i="6"/>
  <c r="AT295" i="6"/>
  <c r="T295" i="5"/>
  <c r="G295" i="12" s="1"/>
  <c r="AU295" i="6"/>
  <c r="BA295" i="6"/>
  <c r="AE297" i="5"/>
  <c r="B297" i="5"/>
  <c r="N297" i="5"/>
  <c r="D297" i="6" s="1"/>
  <c r="K297" i="5"/>
  <c r="F297" i="5"/>
  <c r="AD297" i="5"/>
  <c r="H297" i="5"/>
  <c r="J297" i="5"/>
  <c r="A297" i="12"/>
  <c r="G297" i="5"/>
  <c r="B297" i="6"/>
  <c r="E297" i="5"/>
  <c r="C298" i="5"/>
  <c r="D297" i="5"/>
  <c r="B297" i="12" s="1"/>
  <c r="AU296" i="6" l="1"/>
  <c r="BR296" i="6"/>
  <c r="CG296" i="6"/>
  <c r="BN296" i="6"/>
  <c r="BD296" i="6"/>
  <c r="BS296" i="6"/>
  <c r="CB296" i="6"/>
  <c r="BM296" i="6"/>
  <c r="CD296" i="6"/>
  <c r="BZ296" i="6"/>
  <c r="CA296" i="6"/>
  <c r="CI296" i="6"/>
  <c r="BF296" i="6"/>
  <c r="BJ296" i="6"/>
  <c r="CL296" i="6"/>
  <c r="CE296" i="6"/>
  <c r="AY296" i="6"/>
  <c r="AW296" i="6"/>
  <c r="AZ296" i="6"/>
  <c r="AT296" i="6"/>
  <c r="CM296" i="6"/>
  <c r="BK296" i="6"/>
  <c r="BW296" i="6"/>
  <c r="CC296" i="6"/>
  <c r="CJ296" i="6"/>
  <c r="BV296" i="6"/>
  <c r="BH296" i="6"/>
  <c r="CH296" i="6"/>
  <c r="BC296" i="6"/>
  <c r="BT296" i="6"/>
  <c r="K296" i="12"/>
  <c r="M297" i="6"/>
  <c r="N297" i="6"/>
  <c r="H297" i="6" a="1"/>
  <c r="H297" i="6" s="1"/>
  <c r="AD298" i="5"/>
  <c r="K298" i="5"/>
  <c r="F298" i="5"/>
  <c r="G298" i="5"/>
  <c r="J298" i="5"/>
  <c r="H298" i="5"/>
  <c r="N298" i="5"/>
  <c r="D298" i="6" s="1"/>
  <c r="E298" i="5"/>
  <c r="D298" i="5"/>
  <c r="B298" i="12" s="1"/>
  <c r="AE298" i="5"/>
  <c r="A298" i="12"/>
  <c r="B298" i="5"/>
  <c r="C299" i="5" s="1"/>
  <c r="B298" i="6"/>
  <c r="L297" i="12" a="1"/>
  <c r="L297" i="12" s="1"/>
  <c r="J297" i="12" a="1"/>
  <c r="J297" i="12" s="1"/>
  <c r="BY296" i="6"/>
  <c r="BX296" i="6"/>
  <c r="BL296" i="6"/>
  <c r="BQ296" i="6"/>
  <c r="BE296" i="6"/>
  <c r="CK296" i="6"/>
  <c r="BG296" i="6"/>
  <c r="BO296" i="6"/>
  <c r="BI296" i="6"/>
  <c r="CF296" i="6"/>
  <c r="BP296" i="6"/>
  <c r="BA296" i="6"/>
  <c r="T296" i="5"/>
  <c r="G296" i="12" s="1"/>
  <c r="AV296" i="6"/>
  <c r="AX296" i="6"/>
  <c r="BT297" i="6" l="1"/>
  <c r="BG297" i="6"/>
  <c r="BC297" i="6"/>
  <c r="BV297" i="6"/>
  <c r="BW297" i="6"/>
  <c r="CE297" i="6"/>
  <c r="BO297" i="6"/>
  <c r="BD297" i="6"/>
  <c r="BY297" i="6"/>
  <c r="BI297" i="6"/>
  <c r="BM297" i="6"/>
  <c r="BX297" i="6"/>
  <c r="CB297" i="6"/>
  <c r="BS297" i="6"/>
  <c r="BQ297" i="6"/>
  <c r="CK297" i="6"/>
  <c r="CJ297" i="6"/>
  <c r="BK297" i="6"/>
  <c r="AV297" i="6"/>
  <c r="BJ297" i="6"/>
  <c r="AW297" i="6"/>
  <c r="AU297" i="6"/>
  <c r="K297" i="12"/>
  <c r="AZ297" i="6"/>
  <c r="B299" i="5"/>
  <c r="AE299" i="5"/>
  <c r="AD299" i="5"/>
  <c r="A299" i="12"/>
  <c r="G299" i="5"/>
  <c r="H299" i="5"/>
  <c r="F299" i="5"/>
  <c r="I299" i="5"/>
  <c r="B299" i="6"/>
  <c r="J299" i="6" s="1" a="1"/>
  <c r="J299" i="6" s="1"/>
  <c r="C300" i="5"/>
  <c r="E299" i="5"/>
  <c r="N299" i="5"/>
  <c r="D299" i="6" s="1"/>
  <c r="W299" i="5"/>
  <c r="H299" i="12" s="1"/>
  <c r="T297" i="5"/>
  <c r="G297" i="12" s="1"/>
  <c r="BA297" i="6"/>
  <c r="AT297" i="6"/>
  <c r="AX297" i="6"/>
  <c r="J298" i="12" a="1"/>
  <c r="J298" i="12" s="1"/>
  <c r="L298" i="12" a="1"/>
  <c r="L298" i="12" s="1"/>
  <c r="AY297" i="6"/>
  <c r="CF297" i="6"/>
  <c r="BZ297" i="6"/>
  <c r="CG297" i="6"/>
  <c r="BR297" i="6"/>
  <c r="BP297" i="6"/>
  <c r="BF297" i="6"/>
  <c r="CD297" i="6"/>
  <c r="BE297" i="6"/>
  <c r="BL297" i="6"/>
  <c r="CA297" i="6"/>
  <c r="CI297" i="6"/>
  <c r="CH297" i="6"/>
  <c r="CM297" i="6"/>
  <c r="BH297" i="6"/>
  <c r="BN297" i="6"/>
  <c r="CC297" i="6"/>
  <c r="N298" i="6"/>
  <c r="H298" i="6" a="1"/>
  <c r="H298" i="6" s="1"/>
  <c r="M298" i="6"/>
  <c r="CL297" i="6"/>
  <c r="G300" i="5" l="1"/>
  <c r="F300" i="5"/>
  <c r="E300" i="5"/>
  <c r="C301" i="5"/>
  <c r="A300" i="12"/>
  <c r="D300" i="5"/>
  <c r="B300" i="12" s="1"/>
  <c r="B300" i="6"/>
  <c r="B300" i="5"/>
  <c r="AD300" i="5"/>
  <c r="N300" i="5"/>
  <c r="D300" i="6" s="1"/>
  <c r="AE300" i="5"/>
  <c r="K300" i="5"/>
  <c r="J300" i="5"/>
  <c r="H300" i="5"/>
  <c r="K298" i="12"/>
  <c r="CI298" i="6"/>
  <c r="BL298" i="6"/>
  <c r="CM298" i="6"/>
  <c r="BV298" i="6"/>
  <c r="CK298" i="6"/>
  <c r="BY298" i="6"/>
  <c r="CC298" i="6"/>
  <c r="BK298" i="6"/>
  <c r="BE298" i="6"/>
  <c r="BZ298" i="6"/>
  <c r="BC298" i="6"/>
  <c r="BT298" i="6"/>
  <c r="CJ298" i="6"/>
  <c r="BG298" i="6"/>
  <c r="BR298" i="6"/>
  <c r="CA298" i="6"/>
  <c r="BX298" i="6"/>
  <c r="BH298" i="6"/>
  <c r="BJ298" i="6"/>
  <c r="BS298" i="6"/>
  <c r="BW298" i="6"/>
  <c r="BO298" i="6"/>
  <c r="CH298" i="6"/>
  <c r="CE298" i="6"/>
  <c r="BI298" i="6"/>
  <c r="CD298" i="6"/>
  <c r="BQ298" i="6"/>
  <c r="CL298" i="6"/>
  <c r="BN298" i="6"/>
  <c r="BP298" i="6"/>
  <c r="CB298" i="6"/>
  <c r="CF298" i="6"/>
  <c r="BD298" i="6"/>
  <c r="BF298" i="6"/>
  <c r="BM298" i="6"/>
  <c r="CG298" i="6"/>
  <c r="AY298" i="6"/>
  <c r="T298" i="5"/>
  <c r="G298" i="12" s="1"/>
  <c r="AT298" i="6"/>
  <c r="AV298" i="6"/>
  <c r="AX298" i="6"/>
  <c r="AZ298" i="6"/>
  <c r="BA298" i="6"/>
  <c r="AW298" i="6"/>
  <c r="AU298" i="6"/>
  <c r="M299" i="6"/>
  <c r="N299" i="6"/>
  <c r="H299" i="6" a="1"/>
  <c r="H299" i="6" s="1"/>
  <c r="G299" i="6"/>
  <c r="M300" i="6" l="1"/>
  <c r="N300" i="6"/>
  <c r="H300" i="6" a="1"/>
  <c r="H300" i="6" s="1"/>
  <c r="J300" i="12" a="1"/>
  <c r="J300" i="12" s="1"/>
  <c r="L300" i="12" a="1"/>
  <c r="L300" i="12" s="1"/>
  <c r="T299" i="5"/>
  <c r="G299" i="12" s="1"/>
  <c r="AL299" i="6"/>
  <c r="AQ299" i="6"/>
  <c r="AR299" i="6"/>
  <c r="AU299" i="6"/>
  <c r="AX299" i="6"/>
  <c r="AJ299" i="6"/>
  <c r="AK299" i="6"/>
  <c r="AM299" i="6"/>
  <c r="AW299" i="6"/>
  <c r="AN299" i="6"/>
  <c r="AZ299" i="6"/>
  <c r="AY299" i="6"/>
  <c r="AP299" i="6"/>
  <c r="AT299" i="6"/>
  <c r="AO299" i="6"/>
  <c r="AS299" i="6"/>
  <c r="BA299" i="6"/>
  <c r="AV299" i="6"/>
  <c r="G301" i="5"/>
  <c r="E301" i="5"/>
  <c r="N301" i="5"/>
  <c r="D301" i="6" s="1"/>
  <c r="D301" i="5"/>
  <c r="B301" i="12" s="1"/>
  <c r="AD301" i="5"/>
  <c r="B301" i="5"/>
  <c r="C302" i="5" s="1"/>
  <c r="K301" i="5"/>
  <c r="A301" i="12"/>
  <c r="B301" i="6"/>
  <c r="F301" i="5"/>
  <c r="AE301" i="5"/>
  <c r="J301" i="5"/>
  <c r="H301" i="5"/>
  <c r="BW299" i="6"/>
  <c r="BF299" i="6"/>
  <c r="BL299" i="6"/>
  <c r="BP299" i="6"/>
  <c r="CB299" i="6"/>
  <c r="BM299" i="6"/>
  <c r="CC299" i="6"/>
  <c r="CJ299" i="6"/>
  <c r="CL299" i="6"/>
  <c r="CE299" i="6"/>
  <c r="CI299" i="6"/>
  <c r="CK299" i="6"/>
  <c r="BR299" i="6"/>
  <c r="BG299" i="6"/>
  <c r="BI299" i="6"/>
  <c r="BS299" i="6"/>
  <c r="BK299" i="6"/>
  <c r="CG299" i="6"/>
  <c r="BO299" i="6"/>
  <c r="CA299" i="6"/>
  <c r="BJ299" i="6"/>
  <c r="BN299" i="6"/>
  <c r="CD299" i="6"/>
  <c r="BC299" i="6"/>
  <c r="BV299" i="6"/>
  <c r="BH299" i="6"/>
  <c r="CF299" i="6"/>
  <c r="BX299" i="6"/>
  <c r="CM299" i="6"/>
  <c r="BT299" i="6"/>
  <c r="BQ299" i="6"/>
  <c r="BD299" i="6"/>
  <c r="BY299" i="6"/>
  <c r="CH299" i="6"/>
  <c r="BE299" i="6"/>
  <c r="BZ299" i="6"/>
  <c r="AW300" i="6" l="1"/>
  <c r="BL300" i="6"/>
  <c r="CK300" i="6"/>
  <c r="BT300" i="6"/>
  <c r="CA300" i="6"/>
  <c r="BG300" i="6"/>
  <c r="K300" i="12"/>
  <c r="J301" i="12" a="1"/>
  <c r="J301" i="12" s="1"/>
  <c r="L301" i="12" a="1"/>
  <c r="L301" i="12" s="1"/>
  <c r="AE302" i="5"/>
  <c r="A302" i="12"/>
  <c r="B302" i="6"/>
  <c r="J302" i="6" s="1" a="1"/>
  <c r="J302" i="6" s="1"/>
  <c r="AD302" i="5"/>
  <c r="F302" i="5"/>
  <c r="N302" i="5"/>
  <c r="D302" i="6" s="1"/>
  <c r="W302" i="5"/>
  <c r="H302" i="12" s="1"/>
  <c r="I302" i="5"/>
  <c r="H302" i="5"/>
  <c r="J299" i="5" s="1"/>
  <c r="G302" i="5"/>
  <c r="E302" i="5"/>
  <c r="B302" i="5"/>
  <c r="C303" i="5" s="1"/>
  <c r="M301" i="6"/>
  <c r="N301" i="6"/>
  <c r="H301" i="6" a="1"/>
  <c r="H301" i="6" s="1"/>
  <c r="AY300" i="6"/>
  <c r="AT300" i="6"/>
  <c r="T300" i="5"/>
  <c r="G300" i="12" s="1"/>
  <c r="BA300" i="6"/>
  <c r="AX300" i="6"/>
  <c r="AU300" i="6"/>
  <c r="AZ300" i="6"/>
  <c r="AV300" i="6"/>
  <c r="BP300" i="6"/>
  <c r="BW300" i="6"/>
  <c r="BS300" i="6"/>
  <c r="CF300" i="6"/>
  <c r="CB300" i="6"/>
  <c r="CG300" i="6"/>
  <c r="CH300" i="6"/>
  <c r="BV300" i="6"/>
  <c r="BY300" i="6"/>
  <c r="BO300" i="6"/>
  <c r="CE300" i="6"/>
  <c r="BK300" i="6"/>
  <c r="BZ300" i="6"/>
  <c r="BI300" i="6"/>
  <c r="BX300" i="6"/>
  <c r="CD300" i="6"/>
  <c r="BR300" i="6"/>
  <c r="CC300" i="6"/>
  <c r="BJ300" i="6"/>
  <c r="BM300" i="6"/>
  <c r="BH300" i="6"/>
  <c r="BC300" i="6"/>
  <c r="CJ300" i="6"/>
  <c r="BN300" i="6"/>
  <c r="CL300" i="6"/>
  <c r="BF300" i="6"/>
  <c r="CI300" i="6"/>
  <c r="BD300" i="6"/>
  <c r="BE300" i="6"/>
  <c r="CM300" i="6"/>
  <c r="BQ300" i="6"/>
  <c r="BJ301" i="6" l="1"/>
  <c r="BG301" i="6"/>
  <c r="AW301" i="6"/>
  <c r="BR301" i="6"/>
  <c r="BX301" i="6"/>
  <c r="AX301" i="6"/>
  <c r="CG301" i="6"/>
  <c r="BV301" i="6"/>
  <c r="AZ301" i="6"/>
  <c r="T301" i="5"/>
  <c r="G301" i="12" s="1"/>
  <c r="AV301" i="6"/>
  <c r="AU301" i="6"/>
  <c r="BZ301" i="6"/>
  <c r="H302" i="6" a="1"/>
  <c r="H302" i="6" s="1"/>
  <c r="T302" i="5" s="1"/>
  <c r="G302" i="12" s="1"/>
  <c r="G302" i="6"/>
  <c r="N302" i="6"/>
  <c r="M302" i="6"/>
  <c r="CG302" i="6" s="1"/>
  <c r="BI301" i="6"/>
  <c r="BN301" i="6"/>
  <c r="CL301" i="6"/>
  <c r="CC301" i="6"/>
  <c r="BE301" i="6"/>
  <c r="CE301" i="6"/>
  <c r="BF301" i="6"/>
  <c r="CM301" i="6"/>
  <c r="BQ301" i="6"/>
  <c r="CJ301" i="6"/>
  <c r="CF301" i="6"/>
  <c r="BT301" i="6"/>
  <c r="BY301" i="6"/>
  <c r="CI301" i="6"/>
  <c r="BD301" i="6"/>
  <c r="BH301" i="6"/>
  <c r="BP301" i="6"/>
  <c r="CH301" i="6"/>
  <c r="CD301" i="6"/>
  <c r="BO301" i="6"/>
  <c r="CA301" i="6"/>
  <c r="AE303" i="5"/>
  <c r="I303" i="5"/>
  <c r="B303" i="6"/>
  <c r="J303" i="6" s="1" a="1"/>
  <c r="J303" i="6" s="1"/>
  <c r="F303" i="5"/>
  <c r="G303" i="5"/>
  <c r="A303" i="12"/>
  <c r="H303" i="5"/>
  <c r="AD303" i="5"/>
  <c r="E303" i="5"/>
  <c r="C304" i="5"/>
  <c r="W303" i="5"/>
  <c r="H303" i="12" s="1"/>
  <c r="N303" i="5"/>
  <c r="D303" i="6" s="1"/>
  <c r="B303" i="5"/>
  <c r="AY301" i="6"/>
  <c r="BK301" i="6"/>
  <c r="BA301" i="6"/>
  <c r="BM301" i="6"/>
  <c r="BS301" i="6"/>
  <c r="BC301" i="6"/>
  <c r="CK301" i="6"/>
  <c r="AT301" i="6"/>
  <c r="BW301" i="6"/>
  <c r="CB301" i="6"/>
  <c r="BL301" i="6"/>
  <c r="K301" i="12"/>
  <c r="CB302" i="6" l="1"/>
  <c r="CL302" i="6"/>
  <c r="BS302" i="6"/>
  <c r="BM302" i="6"/>
  <c r="BT302" i="6"/>
  <c r="BJ302" i="6"/>
  <c r="BD302" i="6"/>
  <c r="BN302" i="6"/>
  <c r="CM302" i="6"/>
  <c r="CH302" i="6"/>
  <c r="BC302" i="6"/>
  <c r="BY302" i="6"/>
  <c r="BQ302" i="6"/>
  <c r="BG302" i="6"/>
  <c r="CD302" i="6"/>
  <c r="BW302" i="6"/>
  <c r="BF302" i="6"/>
  <c r="BV302" i="6"/>
  <c r="BX302" i="6"/>
  <c r="BI302" i="6"/>
  <c r="BE302" i="6"/>
  <c r="BZ302" i="6"/>
  <c r="CF302" i="6"/>
  <c r="CK302" i="6"/>
  <c r="BH302" i="6"/>
  <c r="CA302" i="6"/>
  <c r="CI302" i="6"/>
  <c r="AV302" i="6"/>
  <c r="AO302" i="6"/>
  <c r="AU302" i="6"/>
  <c r="AR302" i="6"/>
  <c r="AW302" i="6"/>
  <c r="AZ302" i="6"/>
  <c r="AQ302" i="6"/>
  <c r="AS302" i="6"/>
  <c r="AK302" i="6"/>
  <c r="AN302" i="6"/>
  <c r="AM302" i="6"/>
  <c r="AY302" i="6"/>
  <c r="AL302" i="6"/>
  <c r="BA302" i="6"/>
  <c r="AJ302" i="6"/>
  <c r="CE302" i="6"/>
  <c r="AT302" i="6"/>
  <c r="M303" i="6"/>
  <c r="CK303" i="6" s="1"/>
  <c r="G303" i="6"/>
  <c r="H303" i="6" a="1"/>
  <c r="H303" i="6" s="1"/>
  <c r="N303" i="6"/>
  <c r="BR302" i="6"/>
  <c r="CJ302" i="6"/>
  <c r="J304" i="5"/>
  <c r="G304" i="5"/>
  <c r="E304" i="5"/>
  <c r="C305" i="5"/>
  <c r="D304" i="5"/>
  <c r="B304" i="12" s="1"/>
  <c r="B304" i="5"/>
  <c r="N304" i="5"/>
  <c r="D304" i="6" s="1"/>
  <c r="AD304" i="5"/>
  <c r="A304" i="12"/>
  <c r="K304" i="5"/>
  <c r="F304" i="5"/>
  <c r="B304" i="6"/>
  <c r="H304" i="5"/>
  <c r="AE304" i="5"/>
  <c r="AX302" i="6"/>
  <c r="BO302" i="6"/>
  <c r="CC302" i="6"/>
  <c r="AP302" i="6"/>
  <c r="BP302" i="6"/>
  <c r="BK302" i="6"/>
  <c r="BL302" i="6"/>
  <c r="BP303" i="6" l="1"/>
  <c r="CM303" i="6"/>
  <c r="BI303" i="6"/>
  <c r="N304" i="6"/>
  <c r="M304" i="6"/>
  <c r="H304" i="6" a="1"/>
  <c r="H304" i="6" s="1"/>
  <c r="T303" i="5"/>
  <c r="G303" i="12" s="1"/>
  <c r="AO303" i="6"/>
  <c r="AU303" i="6"/>
  <c r="AX303" i="6"/>
  <c r="AK303" i="6"/>
  <c r="AL303" i="6"/>
  <c r="AZ303" i="6"/>
  <c r="AS303" i="6"/>
  <c r="AQ303" i="6"/>
  <c r="AN303" i="6"/>
  <c r="AP303" i="6"/>
  <c r="AR303" i="6"/>
  <c r="AM303" i="6"/>
  <c r="BA303" i="6"/>
  <c r="AT303" i="6"/>
  <c r="AJ303" i="6"/>
  <c r="J305" i="5"/>
  <c r="B305" i="6"/>
  <c r="F305" i="5"/>
  <c r="A305" i="12"/>
  <c r="H305" i="5"/>
  <c r="G305" i="5"/>
  <c r="N305" i="5"/>
  <c r="D305" i="6" s="1"/>
  <c r="K305" i="5"/>
  <c r="AE305" i="5"/>
  <c r="AD305" i="5"/>
  <c r="E305" i="5"/>
  <c r="C306" i="5"/>
  <c r="B305" i="5"/>
  <c r="D305" i="5"/>
  <c r="B305" i="12" s="1"/>
  <c r="CL303" i="6"/>
  <c r="CC303" i="6"/>
  <c r="BT303" i="6"/>
  <c r="CJ303" i="6"/>
  <c r="BY303" i="6"/>
  <c r="BS303" i="6"/>
  <c r="BC303" i="6"/>
  <c r="CF303" i="6"/>
  <c r="BZ303" i="6"/>
  <c r="CH303" i="6"/>
  <c r="BE303" i="6"/>
  <c r="BR303" i="6"/>
  <c r="BK303" i="6"/>
  <c r="BN303" i="6"/>
  <c r="BH303" i="6"/>
  <c r="BL303" i="6"/>
  <c r="CB303" i="6"/>
  <c r="CD303" i="6"/>
  <c r="BO303" i="6"/>
  <c r="BW303" i="6"/>
  <c r="BD303" i="6"/>
  <c r="BM303" i="6"/>
  <c r="BQ303" i="6"/>
  <c r="BJ303" i="6"/>
  <c r="CE303" i="6"/>
  <c r="CI303" i="6"/>
  <c r="AV303" i="6"/>
  <c r="CG303" i="6"/>
  <c r="BG303" i="6"/>
  <c r="AY303" i="6"/>
  <c r="CA303" i="6"/>
  <c r="AW303" i="6"/>
  <c r="BF303" i="6"/>
  <c r="BX303" i="6"/>
  <c r="L304" i="12" a="1"/>
  <c r="L304" i="12" s="1"/>
  <c r="J304" i="12" a="1"/>
  <c r="J304" i="12" s="1"/>
  <c r="BV303" i="6"/>
  <c r="AV304" i="6" l="1"/>
  <c r="BM304" i="6"/>
  <c r="CA304" i="6"/>
  <c r="CM304" i="6"/>
  <c r="CD304" i="6"/>
  <c r="CK304" i="6"/>
  <c r="BR304" i="6"/>
  <c r="BW304" i="6"/>
  <c r="CB304" i="6"/>
  <c r="CG304" i="6"/>
  <c r="CI304" i="6"/>
  <c r="BV304" i="6"/>
  <c r="BX304" i="6"/>
  <c r="BQ304" i="6"/>
  <c r="CF304" i="6"/>
  <c r="BA304" i="6"/>
  <c r="BJ304" i="6"/>
  <c r="AX304" i="6"/>
  <c r="AE306" i="5"/>
  <c r="J306" i="5"/>
  <c r="G306" i="5"/>
  <c r="A306" i="12"/>
  <c r="E306" i="5"/>
  <c r="B306" i="6"/>
  <c r="K306" i="5"/>
  <c r="AD306" i="5"/>
  <c r="F306" i="5"/>
  <c r="H306" i="5"/>
  <c r="C307" i="5"/>
  <c r="D306" i="5"/>
  <c r="B306" i="12" s="1"/>
  <c r="B306" i="5"/>
  <c r="N306" i="5"/>
  <c r="D306" i="6" s="1"/>
  <c r="H305" i="6" a="1"/>
  <c r="H305" i="6" s="1"/>
  <c r="N305" i="6"/>
  <c r="M305" i="6"/>
  <c r="AY304" i="6"/>
  <c r="AZ304" i="6"/>
  <c r="AU304" i="6"/>
  <c r="T304" i="5"/>
  <c r="G304" i="12" s="1"/>
  <c r="AT304" i="6"/>
  <c r="AW304" i="6"/>
  <c r="K304" i="12"/>
  <c r="L305" i="12" a="1"/>
  <c r="L305" i="12" s="1"/>
  <c r="J305" i="12" a="1"/>
  <c r="J305" i="12" s="1"/>
  <c r="CJ304" i="6"/>
  <c r="BE304" i="6"/>
  <c r="BF304" i="6"/>
  <c r="BL304" i="6"/>
  <c r="BZ304" i="6"/>
  <c r="BD304" i="6"/>
  <c r="CE304" i="6"/>
  <c r="BT304" i="6"/>
  <c r="BK304" i="6"/>
  <c r="BS304" i="6"/>
  <c r="BH304" i="6"/>
  <c r="BG304" i="6"/>
  <c r="CL304" i="6"/>
  <c r="BY304" i="6"/>
  <c r="BP304" i="6"/>
  <c r="BC304" i="6"/>
  <c r="CC304" i="6"/>
  <c r="CH304" i="6"/>
  <c r="BO304" i="6"/>
  <c r="BI304" i="6"/>
  <c r="BN304" i="6"/>
  <c r="A307" i="12" l="1"/>
  <c r="E307" i="5"/>
  <c r="AD307" i="5"/>
  <c r="B307" i="6"/>
  <c r="D307" i="5"/>
  <c r="B307" i="12" s="1"/>
  <c r="AE307" i="5"/>
  <c r="F307" i="5"/>
  <c r="G307" i="5"/>
  <c r="B307" i="5"/>
  <c r="N307" i="5"/>
  <c r="D307" i="6" s="1"/>
  <c r="K307" i="5"/>
  <c r="J307" i="5"/>
  <c r="H307" i="5"/>
  <c r="C308" i="5"/>
  <c r="BE305" i="6"/>
  <c r="BN305" i="6"/>
  <c r="BW305" i="6"/>
  <c r="BT305" i="6"/>
  <c r="CM305" i="6"/>
  <c r="CF305" i="6"/>
  <c r="BM305" i="6"/>
  <c r="BS305" i="6"/>
  <c r="CB305" i="6"/>
  <c r="CL305" i="6"/>
  <c r="BY305" i="6"/>
  <c r="CG305" i="6"/>
  <c r="BF305" i="6"/>
  <c r="BK305" i="6"/>
  <c r="CC305" i="6"/>
  <c r="BJ305" i="6"/>
  <c r="CA305" i="6"/>
  <c r="BP305" i="6"/>
  <c r="BH305" i="6"/>
  <c r="BR305" i="6"/>
  <c r="CI305" i="6"/>
  <c r="CE305" i="6"/>
  <c r="BC305" i="6"/>
  <c r="CJ305" i="6"/>
  <c r="BO305" i="6"/>
  <c r="BD305" i="6"/>
  <c r="CD305" i="6"/>
  <c r="BI305" i="6"/>
  <c r="CH305" i="6"/>
  <c r="BL305" i="6"/>
  <c r="CK305" i="6"/>
  <c r="BG305" i="6"/>
  <c r="BQ305" i="6"/>
  <c r="BX305" i="6"/>
  <c r="BV305" i="6"/>
  <c r="BZ305" i="6"/>
  <c r="J306" i="12" a="1"/>
  <c r="J306" i="12" s="1"/>
  <c r="L306" i="12" a="1"/>
  <c r="L306" i="12" s="1"/>
  <c r="AY305" i="6"/>
  <c r="AV305" i="6"/>
  <c r="BA305" i="6"/>
  <c r="AU305" i="6"/>
  <c r="AW305" i="6"/>
  <c r="T305" i="5"/>
  <c r="G305" i="12" s="1"/>
  <c r="AT305" i="6"/>
  <c r="AX305" i="6"/>
  <c r="AZ305" i="6"/>
  <c r="N306" i="6"/>
  <c r="M306" i="6"/>
  <c r="H306" i="6" a="1"/>
  <c r="H306" i="6" s="1"/>
  <c r="K305" i="12"/>
  <c r="M307" i="6" l="1"/>
  <c r="H307" i="6" a="1"/>
  <c r="H307" i="6" s="1"/>
  <c r="N307" i="6"/>
  <c r="T306" i="5"/>
  <c r="G306" i="12" s="1"/>
  <c r="AV306" i="6"/>
  <c r="BA306" i="6"/>
  <c r="AX306" i="6"/>
  <c r="AW306" i="6"/>
  <c r="AT306" i="6"/>
  <c r="AY306" i="6"/>
  <c r="AZ306" i="6"/>
  <c r="AU306" i="6"/>
  <c r="K306" i="12"/>
  <c r="CL306" i="6"/>
  <c r="BZ306" i="6"/>
  <c r="BO306" i="6"/>
  <c r="BF306" i="6"/>
  <c r="BX306" i="6"/>
  <c r="BE306" i="6"/>
  <c r="CG306" i="6"/>
  <c r="CB306" i="6"/>
  <c r="BQ306" i="6"/>
  <c r="CK306" i="6"/>
  <c r="BT306" i="6"/>
  <c r="CM306" i="6"/>
  <c r="BJ306" i="6"/>
  <c r="CH306" i="6"/>
  <c r="CF306" i="6"/>
  <c r="CI306" i="6"/>
  <c r="CJ306" i="6"/>
  <c r="BC306" i="6"/>
  <c r="BP306" i="6"/>
  <c r="BI306" i="6"/>
  <c r="CE306" i="6"/>
  <c r="BY306" i="6"/>
  <c r="CC306" i="6"/>
  <c r="BG306" i="6"/>
  <c r="BM306" i="6"/>
  <c r="BV306" i="6"/>
  <c r="BL306" i="6"/>
  <c r="BW306" i="6"/>
  <c r="BD306" i="6"/>
  <c r="CA306" i="6"/>
  <c r="BR306" i="6"/>
  <c r="BN306" i="6"/>
  <c r="BH306" i="6"/>
  <c r="BK306" i="6"/>
  <c r="BS306" i="6"/>
  <c r="CD306" i="6"/>
  <c r="J308" i="5"/>
  <c r="H308" i="5"/>
  <c r="A308" i="12"/>
  <c r="G308" i="5"/>
  <c r="D308" i="5"/>
  <c r="B308" i="12" s="1"/>
  <c r="F308" i="5"/>
  <c r="B308" i="6"/>
  <c r="C309" i="5"/>
  <c r="AD308" i="5"/>
  <c r="N308" i="5"/>
  <c r="D308" i="6" s="1"/>
  <c r="E308" i="5"/>
  <c r="B308" i="5"/>
  <c r="K308" i="5"/>
  <c r="AE308" i="5"/>
  <c r="L307" i="12" a="1"/>
  <c r="L307" i="12" s="1"/>
  <c r="J307" i="12" a="1"/>
  <c r="J307" i="12" s="1"/>
  <c r="N308" i="6" l="1"/>
  <c r="H308" i="6" a="1"/>
  <c r="H308" i="6" s="1"/>
  <c r="M308" i="6"/>
  <c r="CE308" i="6" s="1"/>
  <c r="G309" i="5"/>
  <c r="A309" i="12"/>
  <c r="E309" i="5"/>
  <c r="B309" i="6"/>
  <c r="B309" i="5"/>
  <c r="F309" i="5"/>
  <c r="AD309" i="5"/>
  <c r="C310" i="5"/>
  <c r="K309" i="5"/>
  <c r="D309" i="5"/>
  <c r="B309" i="12" s="1"/>
  <c r="N309" i="5"/>
  <c r="D309" i="6" s="1"/>
  <c r="AE309" i="5"/>
  <c r="J309" i="5"/>
  <c r="H309" i="5"/>
  <c r="K307" i="12"/>
  <c r="L308" i="12" a="1"/>
  <c r="L308" i="12" s="1"/>
  <c r="J308" i="12" a="1"/>
  <c r="J308" i="12" s="1"/>
  <c r="AY307" i="6"/>
  <c r="AZ307" i="6"/>
  <c r="T307" i="5"/>
  <c r="G307" i="12" s="1"/>
  <c r="AT307" i="6"/>
  <c r="AU307" i="6"/>
  <c r="AV307" i="6"/>
  <c r="AW307" i="6"/>
  <c r="AX307" i="6"/>
  <c r="BA307" i="6"/>
  <c r="CH307" i="6"/>
  <c r="BJ307" i="6"/>
  <c r="BC307" i="6"/>
  <c r="BL307" i="6"/>
  <c r="BS307" i="6"/>
  <c r="CD307" i="6"/>
  <c r="BK307" i="6"/>
  <c r="BT307" i="6"/>
  <c r="CC307" i="6"/>
  <c r="CK307" i="6"/>
  <c r="BZ307" i="6"/>
  <c r="BH307" i="6"/>
  <c r="CB307" i="6"/>
  <c r="BP307" i="6"/>
  <c r="CJ307" i="6"/>
  <c r="BX307" i="6"/>
  <c r="CF307" i="6"/>
  <c r="BD307" i="6"/>
  <c r="CL307" i="6"/>
  <c r="BM307" i="6"/>
  <c r="CE307" i="6"/>
  <c r="BY307" i="6"/>
  <c r="BI307" i="6"/>
  <c r="BN307" i="6"/>
  <c r="BQ307" i="6"/>
  <c r="BF307" i="6"/>
  <c r="BG307" i="6"/>
  <c r="BV307" i="6"/>
  <c r="BW307" i="6"/>
  <c r="BR307" i="6"/>
  <c r="CG307" i="6"/>
  <c r="BO307" i="6"/>
  <c r="CI307" i="6"/>
  <c r="CA307" i="6"/>
  <c r="CM307" i="6"/>
  <c r="BE307" i="6"/>
  <c r="BD308" i="6" l="1"/>
  <c r="CA308" i="6"/>
  <c r="BF308" i="6"/>
  <c r="CL308" i="6"/>
  <c r="AW308" i="6"/>
  <c r="BP308" i="6"/>
  <c r="CG308" i="6"/>
  <c r="BW308" i="6"/>
  <c r="BV308" i="6"/>
  <c r="CM308" i="6"/>
  <c r="BY308" i="6"/>
  <c r="AY308" i="6"/>
  <c r="AX308" i="6"/>
  <c r="K308" i="12"/>
  <c r="G310" i="5"/>
  <c r="C311" i="5"/>
  <c r="E310" i="5"/>
  <c r="D310" i="5"/>
  <c r="B310" i="12" s="1"/>
  <c r="A310" i="12"/>
  <c r="B310" i="5"/>
  <c r="B310" i="6"/>
  <c r="AD310" i="5"/>
  <c r="N310" i="5"/>
  <c r="D310" i="6" s="1"/>
  <c r="F310" i="5"/>
  <c r="K310" i="5"/>
  <c r="AE310" i="5"/>
  <c r="J310" i="5"/>
  <c r="H310" i="5"/>
  <c r="J309" i="12" a="1"/>
  <c r="J309" i="12" s="1"/>
  <c r="L309" i="12" a="1"/>
  <c r="L309" i="12" s="1"/>
  <c r="N309" i="6"/>
  <c r="H309" i="6" a="1"/>
  <c r="H309" i="6" s="1"/>
  <c r="M309" i="6"/>
  <c r="BQ308" i="6"/>
  <c r="BT308" i="6"/>
  <c r="BZ308" i="6"/>
  <c r="CF308" i="6"/>
  <c r="BR308" i="6"/>
  <c r="CD308" i="6"/>
  <c r="BC308" i="6"/>
  <c r="CH308" i="6"/>
  <c r="BN308" i="6"/>
  <c r="BG308" i="6"/>
  <c r="CC308" i="6"/>
  <c r="CK308" i="6"/>
  <c r="BO308" i="6"/>
  <c r="BJ308" i="6"/>
  <c r="BS308" i="6"/>
  <c r="CJ308" i="6"/>
  <c r="BH308" i="6"/>
  <c r="CI308" i="6"/>
  <c r="BX308" i="6"/>
  <c r="BL308" i="6"/>
  <c r="BK308" i="6"/>
  <c r="BI308" i="6"/>
  <c r="BE308" i="6"/>
  <c r="BM308" i="6"/>
  <c r="CB308" i="6"/>
  <c r="AU308" i="6"/>
  <c r="AV308" i="6"/>
  <c r="T308" i="5"/>
  <c r="G308" i="12" s="1"/>
  <c r="BA308" i="6"/>
  <c r="AZ308" i="6"/>
  <c r="AT308" i="6"/>
  <c r="K309" i="12" l="1"/>
  <c r="M310" i="6"/>
  <c r="N310" i="6"/>
  <c r="H310" i="6" a="1"/>
  <c r="H310" i="6" s="1"/>
  <c r="CG309" i="6"/>
  <c r="BY309" i="6"/>
  <c r="BH309" i="6"/>
  <c r="CK309" i="6"/>
  <c r="BZ309" i="6"/>
  <c r="BC309" i="6"/>
  <c r="BT309" i="6"/>
  <c r="BF309" i="6"/>
  <c r="BS309" i="6"/>
  <c r="BI309" i="6"/>
  <c r="BO309" i="6"/>
  <c r="CI309" i="6"/>
  <c r="BK309" i="6"/>
  <c r="CB309" i="6"/>
  <c r="CC309" i="6"/>
  <c r="BX309" i="6"/>
  <c r="CD309" i="6"/>
  <c r="BM309" i="6"/>
  <c r="CA309" i="6"/>
  <c r="BL309" i="6"/>
  <c r="CE309" i="6"/>
  <c r="CH309" i="6"/>
  <c r="BJ309" i="6"/>
  <c r="BG309" i="6"/>
  <c r="BD309" i="6"/>
  <c r="BN309" i="6"/>
  <c r="CJ309" i="6"/>
  <c r="CM309" i="6"/>
  <c r="BV309" i="6"/>
  <c r="CF309" i="6"/>
  <c r="BW309" i="6"/>
  <c r="BR309" i="6"/>
  <c r="BQ309" i="6"/>
  <c r="BE309" i="6"/>
  <c r="BP309" i="6"/>
  <c r="CL309" i="6"/>
  <c r="AW309" i="6"/>
  <c r="AU309" i="6"/>
  <c r="AX309" i="6"/>
  <c r="T309" i="5"/>
  <c r="G309" i="12" s="1"/>
  <c r="AZ309" i="6"/>
  <c r="AV309" i="6"/>
  <c r="BA309" i="6"/>
  <c r="AY309" i="6"/>
  <c r="AT309" i="6"/>
  <c r="J310" i="12" a="1"/>
  <c r="J310" i="12" s="1"/>
  <c r="L310" i="12" a="1"/>
  <c r="L310" i="12" s="1"/>
  <c r="H311" i="5"/>
  <c r="G311" i="5"/>
  <c r="F311" i="5"/>
  <c r="A311" i="12"/>
  <c r="D311" i="5"/>
  <c r="B311" i="12" s="1"/>
  <c r="B311" i="6"/>
  <c r="AD311" i="5"/>
  <c r="B311" i="5"/>
  <c r="C312" i="5" s="1"/>
  <c r="N311" i="5"/>
  <c r="D311" i="6" s="1"/>
  <c r="K311" i="5"/>
  <c r="AE311" i="5"/>
  <c r="J311" i="5"/>
  <c r="E311" i="5"/>
  <c r="BX310" i="6" l="1"/>
  <c r="CL310" i="6"/>
  <c r="BA310" i="6"/>
  <c r="K310" i="12"/>
  <c r="N311" i="6"/>
  <c r="M311" i="6"/>
  <c r="BX311" i="6" s="1"/>
  <c r="H311" i="6" a="1"/>
  <c r="H311" i="6" s="1"/>
  <c r="H312" i="5"/>
  <c r="G312" i="5"/>
  <c r="E312" i="5"/>
  <c r="C313" i="5"/>
  <c r="W312" i="5"/>
  <c r="H312" i="12" s="1"/>
  <c r="B312" i="5"/>
  <c r="N312" i="5"/>
  <c r="D312" i="6" s="1"/>
  <c r="A312" i="12"/>
  <c r="B312" i="6"/>
  <c r="J312" i="6" s="1" a="1"/>
  <c r="J312" i="6" s="1"/>
  <c r="AD312" i="5"/>
  <c r="F312" i="5"/>
  <c r="AE312" i="5"/>
  <c r="I312" i="5"/>
  <c r="L311" i="12" a="1"/>
  <c r="L311" i="12" s="1"/>
  <c r="J311" i="12" a="1"/>
  <c r="J311" i="12" s="1"/>
  <c r="T310" i="5"/>
  <c r="G310" i="12" s="1"/>
  <c r="AU310" i="6"/>
  <c r="AW310" i="6"/>
  <c r="AT310" i="6"/>
  <c r="AZ310" i="6"/>
  <c r="AX310" i="6"/>
  <c r="AV310" i="6"/>
  <c r="AY310" i="6"/>
  <c r="CB310" i="6"/>
  <c r="BI310" i="6"/>
  <c r="CG310" i="6"/>
  <c r="BT310" i="6"/>
  <c r="BP310" i="6"/>
  <c r="BN310" i="6"/>
  <c r="BM310" i="6"/>
  <c r="CJ310" i="6"/>
  <c r="CF310" i="6"/>
  <c r="BL310" i="6"/>
  <c r="CE310" i="6"/>
  <c r="BW310" i="6"/>
  <c r="CD310" i="6"/>
  <c r="CK310" i="6"/>
  <c r="BH310" i="6"/>
  <c r="CC310" i="6"/>
  <c r="BY310" i="6"/>
  <c r="BO310" i="6"/>
  <c r="BR310" i="6"/>
  <c r="BC310" i="6"/>
  <c r="BD310" i="6"/>
  <c r="BE310" i="6"/>
  <c r="BZ310" i="6"/>
  <c r="BQ310" i="6"/>
  <c r="CI310" i="6"/>
  <c r="BK310" i="6"/>
  <c r="BS310" i="6"/>
  <c r="BG310" i="6"/>
  <c r="CH310" i="6"/>
  <c r="BF310" i="6"/>
  <c r="CM310" i="6"/>
  <c r="BV310" i="6"/>
  <c r="BJ310" i="6"/>
  <c r="CA310" i="6"/>
  <c r="BD311" i="6" l="1"/>
  <c r="CB311" i="6"/>
  <c r="CG311" i="6"/>
  <c r="BI311" i="6"/>
  <c r="BF311" i="6"/>
  <c r="BA311" i="6"/>
  <c r="K311" i="12"/>
  <c r="H312" i="6" a="1"/>
  <c r="H312" i="6" s="1"/>
  <c r="G312" i="6"/>
  <c r="N312" i="6"/>
  <c r="M312" i="6"/>
  <c r="G313" i="5"/>
  <c r="E313" i="5"/>
  <c r="A313" i="12"/>
  <c r="B313" i="5"/>
  <c r="C314" i="5" s="1"/>
  <c r="F313" i="5"/>
  <c r="D313" i="5"/>
  <c r="B313" i="12" s="1"/>
  <c r="AD313" i="5"/>
  <c r="N313" i="5"/>
  <c r="D313" i="6" s="1"/>
  <c r="K313" i="5"/>
  <c r="AE313" i="5"/>
  <c r="J313" i="5"/>
  <c r="H313" i="5"/>
  <c r="B313" i="6"/>
  <c r="AU311" i="6"/>
  <c r="AZ311" i="6"/>
  <c r="T311" i="5"/>
  <c r="G311" i="12" s="1"/>
  <c r="AT311" i="6"/>
  <c r="AX311" i="6"/>
  <c r="AV311" i="6"/>
  <c r="AW311" i="6"/>
  <c r="CK311" i="6"/>
  <c r="BK311" i="6"/>
  <c r="CC311" i="6"/>
  <c r="BN311" i="6"/>
  <c r="BJ311" i="6"/>
  <c r="BS311" i="6"/>
  <c r="BC311" i="6"/>
  <c r="BY311" i="6"/>
  <c r="BZ311" i="6"/>
  <c r="CE311" i="6"/>
  <c r="CJ311" i="6"/>
  <c r="BH311" i="6"/>
  <c r="BT311" i="6"/>
  <c r="BV311" i="6"/>
  <c r="BP311" i="6"/>
  <c r="BM311" i="6"/>
  <c r="BW311" i="6"/>
  <c r="BE311" i="6"/>
  <c r="CL311" i="6"/>
  <c r="BR311" i="6"/>
  <c r="BQ311" i="6"/>
  <c r="BL311" i="6"/>
  <c r="CA311" i="6"/>
  <c r="CI311" i="6"/>
  <c r="BO311" i="6"/>
  <c r="CM311" i="6"/>
  <c r="BG311" i="6"/>
  <c r="CF311" i="6"/>
  <c r="CD311" i="6"/>
  <c r="CH311" i="6"/>
  <c r="AY311" i="6"/>
  <c r="BE312" i="6" l="1"/>
  <c r="CF312" i="6"/>
  <c r="CK312" i="6"/>
  <c r="BT312" i="6"/>
  <c r="AN312" i="6"/>
  <c r="AT312" i="6"/>
  <c r="BX312" i="6"/>
  <c r="BV312" i="6"/>
  <c r="BS312" i="6"/>
  <c r="N313" i="6"/>
  <c r="M313" i="6"/>
  <c r="BJ313" i="6" s="1"/>
  <c r="H313" i="6" a="1"/>
  <c r="H313" i="6" s="1"/>
  <c r="N314" i="5"/>
  <c r="D314" i="6" s="1"/>
  <c r="H314" i="5"/>
  <c r="B314" i="5"/>
  <c r="I314" i="5"/>
  <c r="A314" i="12"/>
  <c r="AE314" i="5"/>
  <c r="G314" i="5"/>
  <c r="W314" i="5"/>
  <c r="H314" i="12" s="1"/>
  <c r="E314" i="5"/>
  <c r="B314" i="6"/>
  <c r="J314" i="6" s="1" a="1"/>
  <c r="J314" i="6" s="1"/>
  <c r="AD314" i="5"/>
  <c r="F314" i="5"/>
  <c r="C315" i="5"/>
  <c r="J313" i="12" a="1"/>
  <c r="J313" i="12" s="1"/>
  <c r="L313" i="12" a="1"/>
  <c r="L313" i="12" s="1"/>
  <c r="BN312" i="6"/>
  <c r="BJ312" i="6"/>
  <c r="BP312" i="6"/>
  <c r="CM312" i="6"/>
  <c r="BW312" i="6"/>
  <c r="BF312" i="6"/>
  <c r="BO312" i="6"/>
  <c r="BK312" i="6"/>
  <c r="CH312" i="6"/>
  <c r="BY312" i="6"/>
  <c r="CL312" i="6"/>
  <c r="CG312" i="6"/>
  <c r="BI312" i="6"/>
  <c r="BG312" i="6"/>
  <c r="BC312" i="6"/>
  <c r="BD312" i="6"/>
  <c r="BM312" i="6"/>
  <c r="BZ312" i="6"/>
  <c r="BQ312" i="6"/>
  <c r="CB312" i="6"/>
  <c r="BR312" i="6"/>
  <c r="CE312" i="6"/>
  <c r="BL312" i="6"/>
  <c r="CJ312" i="6"/>
  <c r="CI312" i="6"/>
  <c r="BH312" i="6"/>
  <c r="CD312" i="6"/>
  <c r="CC312" i="6"/>
  <c r="CA312" i="6"/>
  <c r="T312" i="5"/>
  <c r="G312" i="12" s="1"/>
  <c r="AW312" i="6"/>
  <c r="AS312" i="6"/>
  <c r="AR312" i="6"/>
  <c r="AX312" i="6"/>
  <c r="BA312" i="6"/>
  <c r="AM312" i="6"/>
  <c r="AJ312" i="6"/>
  <c r="AZ312" i="6"/>
  <c r="AP312" i="6"/>
  <c r="AL312" i="6"/>
  <c r="AU312" i="6"/>
  <c r="AV312" i="6"/>
  <c r="AK312" i="6"/>
  <c r="AQ312" i="6"/>
  <c r="AO312" i="6"/>
  <c r="AY312" i="6"/>
  <c r="AT313" i="6" l="1"/>
  <c r="BZ313" i="6"/>
  <c r="BS313" i="6"/>
  <c r="CH313" i="6"/>
  <c r="CF313" i="6"/>
  <c r="BL313" i="6"/>
  <c r="CC313" i="6"/>
  <c r="CI313" i="6"/>
  <c r="BR313" i="6"/>
  <c r="BY313" i="6"/>
  <c r="BK313" i="6"/>
  <c r="BX313" i="6"/>
  <c r="BI313" i="6"/>
  <c r="BG313" i="6"/>
  <c r="BE313" i="6"/>
  <c r="CB313" i="6"/>
  <c r="CD313" i="6"/>
  <c r="CK313" i="6"/>
  <c r="BO313" i="6"/>
  <c r="BM313" i="6"/>
  <c r="CL313" i="6"/>
  <c r="CJ313" i="6"/>
  <c r="AU313" i="6"/>
  <c r="AY313" i="6"/>
  <c r="AZ313" i="6"/>
  <c r="K313" i="12"/>
  <c r="AX313" i="6"/>
  <c r="T313" i="5"/>
  <c r="G313" i="12" s="1"/>
  <c r="AV313" i="6"/>
  <c r="BA313" i="6"/>
  <c r="AW313" i="6"/>
  <c r="BQ313" i="6"/>
  <c r="CE313" i="6"/>
  <c r="BH313" i="6"/>
  <c r="BD313" i="6"/>
  <c r="BC313" i="6"/>
  <c r="CM313" i="6"/>
  <c r="BV313" i="6"/>
  <c r="BW313" i="6"/>
  <c r="CG313" i="6"/>
  <c r="BN313" i="6"/>
  <c r="BT313" i="6"/>
  <c r="BP313" i="6"/>
  <c r="CA313" i="6"/>
  <c r="BF313" i="6"/>
  <c r="AE315" i="5"/>
  <c r="H315" i="5"/>
  <c r="A315" i="12"/>
  <c r="B315" i="6"/>
  <c r="G315" i="5"/>
  <c r="J315" i="5"/>
  <c r="F315" i="5"/>
  <c r="D315" i="5"/>
  <c r="B315" i="12" s="1"/>
  <c r="B315" i="5"/>
  <c r="AD315" i="5"/>
  <c r="E315" i="5"/>
  <c r="N315" i="5"/>
  <c r="D315" i="6" s="1"/>
  <c r="C316" i="5"/>
  <c r="K315" i="5"/>
  <c r="H314" i="6" a="1"/>
  <c r="H314" i="6" s="1"/>
  <c r="G314" i="6"/>
  <c r="N314" i="6"/>
  <c r="M314" i="6"/>
  <c r="T314" i="5" l="1"/>
  <c r="G314" i="12" s="1"/>
  <c r="AN314" i="6"/>
  <c r="AO314" i="6"/>
  <c r="AU314" i="6"/>
  <c r="BA314" i="6"/>
  <c r="AX314" i="6"/>
  <c r="AT314" i="6"/>
  <c r="AJ314" i="6"/>
  <c r="AV314" i="6"/>
  <c r="AP314" i="6"/>
  <c r="AY314" i="6"/>
  <c r="AZ314" i="6"/>
  <c r="AQ314" i="6"/>
  <c r="AW314" i="6"/>
  <c r="AK314" i="6"/>
  <c r="AL314" i="6"/>
  <c r="AM314" i="6"/>
  <c r="AS314" i="6"/>
  <c r="AR314" i="6"/>
  <c r="L315" i="12" a="1"/>
  <c r="L315" i="12" s="1"/>
  <c r="J315" i="12" a="1"/>
  <c r="J315" i="12" s="1"/>
  <c r="A316" i="12"/>
  <c r="N316" i="5"/>
  <c r="D316" i="6" s="1"/>
  <c r="B316" i="6"/>
  <c r="D316" i="5"/>
  <c r="B316" i="12" s="1"/>
  <c r="AD316" i="5"/>
  <c r="E316" i="5"/>
  <c r="J316" i="5"/>
  <c r="F316" i="5"/>
  <c r="G316" i="5"/>
  <c r="K316" i="5"/>
  <c r="H316" i="5"/>
  <c r="AE316" i="5"/>
  <c r="B316" i="5"/>
  <c r="M315" i="6"/>
  <c r="BL315" i="6" s="1"/>
  <c r="H315" i="6" a="1"/>
  <c r="H315" i="6" s="1"/>
  <c r="N315" i="6"/>
  <c r="CH314" i="6"/>
  <c r="BY314" i="6"/>
  <c r="CL314" i="6"/>
  <c r="CG314" i="6"/>
  <c r="CM314" i="6"/>
  <c r="BV314" i="6"/>
  <c r="BN314" i="6"/>
  <c r="BW314" i="6"/>
  <c r="BI314" i="6"/>
  <c r="CK314" i="6"/>
  <c r="BE314" i="6"/>
  <c r="BQ314" i="6"/>
  <c r="CA314" i="6"/>
  <c r="BX314" i="6"/>
  <c r="BD314" i="6"/>
  <c r="BH314" i="6"/>
  <c r="BO314" i="6"/>
  <c r="CE314" i="6"/>
  <c r="BS314" i="6"/>
  <c r="BP314" i="6"/>
  <c r="BR314" i="6"/>
  <c r="BJ314" i="6"/>
  <c r="CB314" i="6"/>
  <c r="BZ314" i="6"/>
  <c r="CF314" i="6"/>
  <c r="CI314" i="6"/>
  <c r="BT314" i="6"/>
  <c r="CC314" i="6"/>
  <c r="BC314" i="6"/>
  <c r="BG314" i="6"/>
  <c r="BL314" i="6"/>
  <c r="CJ314" i="6"/>
  <c r="BM314" i="6"/>
  <c r="BK314" i="6"/>
  <c r="CD314" i="6"/>
  <c r="BF314" i="6"/>
  <c r="AT315" i="6" l="1"/>
  <c r="CB315" i="6"/>
  <c r="BE315" i="6"/>
  <c r="BN315" i="6"/>
  <c r="BR315" i="6"/>
  <c r="BD315" i="6"/>
  <c r="AX315" i="6"/>
  <c r="BM315" i="6"/>
  <c r="BI315" i="6"/>
  <c r="CG315" i="6"/>
  <c r="BP315" i="6"/>
  <c r="BX315" i="6"/>
  <c r="CJ315" i="6"/>
  <c r="K315" i="12"/>
  <c r="AW315" i="6"/>
  <c r="AZ315" i="6"/>
  <c r="AY315" i="6"/>
  <c r="BA315" i="6"/>
  <c r="T315" i="5"/>
  <c r="G315" i="12" s="1"/>
  <c r="AU315" i="6"/>
  <c r="BW315" i="6"/>
  <c r="CL315" i="6"/>
  <c r="BY315" i="6"/>
  <c r="BF315" i="6"/>
  <c r="CA315" i="6"/>
  <c r="CI315" i="6"/>
  <c r="BC315" i="6"/>
  <c r="BG315" i="6"/>
  <c r="BZ315" i="6"/>
  <c r="CE315" i="6"/>
  <c r="CK315" i="6"/>
  <c r="CM315" i="6"/>
  <c r="CF315" i="6"/>
  <c r="BT315" i="6"/>
  <c r="M316" i="6"/>
  <c r="CF316" i="6" s="1"/>
  <c r="H316" i="6" a="1"/>
  <c r="H316" i="6" s="1"/>
  <c r="N316" i="6"/>
  <c r="C317" i="5"/>
  <c r="L316" i="12" a="1"/>
  <c r="L316" i="12" s="1"/>
  <c r="J316" i="12" a="1"/>
  <c r="J316" i="12" s="1"/>
  <c r="CD315" i="6"/>
  <c r="BK315" i="6"/>
  <c r="CC315" i="6"/>
  <c r="BS315" i="6"/>
  <c r="BH315" i="6"/>
  <c r="BJ315" i="6"/>
  <c r="BQ315" i="6"/>
  <c r="AV315" i="6"/>
  <c r="BO315" i="6"/>
  <c r="BV315" i="6"/>
  <c r="CH315" i="6"/>
  <c r="AW316" i="6" l="1"/>
  <c r="CC316" i="6"/>
  <c r="BK316" i="6"/>
  <c r="AV316" i="6"/>
  <c r="K316" i="12"/>
  <c r="CK316" i="6"/>
  <c r="CI316" i="6"/>
  <c r="CM316" i="6"/>
  <c r="BS316" i="6"/>
  <c r="BI316" i="6"/>
  <c r="BG316" i="6"/>
  <c r="BO316" i="6"/>
  <c r="BT316" i="6"/>
  <c r="BY316" i="6"/>
  <c r="CG316" i="6"/>
  <c r="BC316" i="6"/>
  <c r="BM316" i="6"/>
  <c r="BV316" i="6"/>
  <c r="BP316" i="6"/>
  <c r="BW316" i="6"/>
  <c r="BD316" i="6"/>
  <c r="BJ316" i="6"/>
  <c r="CB316" i="6"/>
  <c r="CH316" i="6"/>
  <c r="BX316" i="6"/>
  <c r="BZ316" i="6"/>
  <c r="BH316" i="6"/>
  <c r="CE316" i="6"/>
  <c r="BL316" i="6"/>
  <c r="CL316" i="6"/>
  <c r="BF316" i="6"/>
  <c r="BE316" i="6"/>
  <c r="BR316" i="6"/>
  <c r="CJ316" i="6"/>
  <c r="CA316" i="6"/>
  <c r="BQ316" i="6"/>
  <c r="BN316" i="6"/>
  <c r="CD316" i="6"/>
  <c r="E317" i="5"/>
  <c r="B317" i="5"/>
  <c r="B317" i="6"/>
  <c r="J317" i="6" s="1" a="1"/>
  <c r="J317" i="6" s="1"/>
  <c r="C318" i="5"/>
  <c r="N317" i="5"/>
  <c r="D317" i="6" s="1"/>
  <c r="A317" i="12"/>
  <c r="AE317" i="5"/>
  <c r="H317" i="5"/>
  <c r="G317" i="5"/>
  <c r="W317" i="5"/>
  <c r="H317" i="12" s="1"/>
  <c r="F317" i="5"/>
  <c r="AD317" i="5"/>
  <c r="I317" i="5"/>
  <c r="AX316" i="6"/>
  <c r="BA316" i="6"/>
  <c r="AT316" i="6"/>
  <c r="AY316" i="6"/>
  <c r="AZ316" i="6"/>
  <c r="T316" i="5"/>
  <c r="G316" i="12" s="1"/>
  <c r="AU316" i="6"/>
  <c r="N317" i="6" l="1"/>
  <c r="M317" i="6"/>
  <c r="BS317" i="6" s="1"/>
  <c r="H317" i="6" a="1"/>
  <c r="H317" i="6" s="1"/>
  <c r="G317" i="6"/>
  <c r="C319" i="5"/>
  <c r="H318" i="5"/>
  <c r="A318" i="12"/>
  <c r="K318" i="5"/>
  <c r="AE318" i="5"/>
  <c r="D318" i="5"/>
  <c r="B318" i="12" s="1"/>
  <c r="G318" i="5"/>
  <c r="B318" i="5"/>
  <c r="F318" i="5"/>
  <c r="E318" i="5"/>
  <c r="N318" i="5"/>
  <c r="D318" i="6" s="1"/>
  <c r="B318" i="6"/>
  <c r="J318" i="5"/>
  <c r="AD318" i="5"/>
  <c r="M318" i="6" l="1"/>
  <c r="BI318" i="6" s="1"/>
  <c r="H318" i="6" a="1"/>
  <c r="H318" i="6" s="1"/>
  <c r="N318" i="6"/>
  <c r="T317" i="5"/>
  <c r="G317" i="12" s="1"/>
  <c r="AP317" i="6"/>
  <c r="AM317" i="6"/>
  <c r="AX317" i="6"/>
  <c r="AK317" i="6"/>
  <c r="BA317" i="6"/>
  <c r="AZ317" i="6"/>
  <c r="AN317" i="6"/>
  <c r="AS317" i="6"/>
  <c r="AW317" i="6"/>
  <c r="AJ317" i="6"/>
  <c r="AV317" i="6"/>
  <c r="AR317" i="6"/>
  <c r="AT317" i="6"/>
  <c r="AQ317" i="6"/>
  <c r="AU317" i="6"/>
  <c r="AY317" i="6"/>
  <c r="AO317" i="6"/>
  <c r="BO317" i="6"/>
  <c r="BT317" i="6"/>
  <c r="BE317" i="6"/>
  <c r="BV317" i="6"/>
  <c r="CL317" i="6"/>
  <c r="CC317" i="6"/>
  <c r="BR317" i="6"/>
  <c r="CE317" i="6"/>
  <c r="BG317" i="6"/>
  <c r="BP317" i="6"/>
  <c r="CM317" i="6"/>
  <c r="CH317" i="6"/>
  <c r="CF317" i="6"/>
  <c r="BX317" i="6"/>
  <c r="BK317" i="6"/>
  <c r="CG317" i="6"/>
  <c r="CI317" i="6"/>
  <c r="BQ317" i="6"/>
  <c r="CD317" i="6"/>
  <c r="BJ317" i="6"/>
  <c r="CK317" i="6"/>
  <c r="BN317" i="6"/>
  <c r="BD317" i="6"/>
  <c r="CB317" i="6"/>
  <c r="BY317" i="6"/>
  <c r="BL317" i="6"/>
  <c r="BC317" i="6"/>
  <c r="BH317" i="6"/>
  <c r="BF317" i="6"/>
  <c r="BM317" i="6"/>
  <c r="BZ317" i="6"/>
  <c r="CJ317" i="6"/>
  <c r="BW317" i="6"/>
  <c r="CA317" i="6"/>
  <c r="BI317" i="6"/>
  <c r="AL317" i="6"/>
  <c r="J318" i="12" a="1"/>
  <c r="J318" i="12" s="1"/>
  <c r="L318" i="12" a="1"/>
  <c r="L318" i="12" s="1"/>
  <c r="D319" i="5"/>
  <c r="B319" i="12" s="1"/>
  <c r="J319" i="5"/>
  <c r="AD319" i="5"/>
  <c r="F319" i="5"/>
  <c r="C320" i="5"/>
  <c r="H319" i="5"/>
  <c r="N319" i="5"/>
  <c r="D319" i="6" s="1"/>
  <c r="K319" i="5"/>
  <c r="AE319" i="5"/>
  <c r="G319" i="5"/>
  <c r="A319" i="12"/>
  <c r="E319" i="5"/>
  <c r="B319" i="6"/>
  <c r="B319" i="5"/>
  <c r="BM318" i="6" l="1"/>
  <c r="BE318" i="6"/>
  <c r="BR318" i="6"/>
  <c r="BL318" i="6"/>
  <c r="CG318" i="6"/>
  <c r="CH318" i="6"/>
  <c r="AX318" i="6"/>
  <c r="BP318" i="6"/>
  <c r="BJ318" i="6"/>
  <c r="CB318" i="6"/>
  <c r="BK318" i="6"/>
  <c r="BX318" i="6"/>
  <c r="AV318" i="6"/>
  <c r="AW318" i="6"/>
  <c r="BG318" i="6"/>
  <c r="CI318" i="6"/>
  <c r="BT318" i="6"/>
  <c r="AY318" i="6"/>
  <c r="CE318" i="6"/>
  <c r="AZ318" i="6"/>
  <c r="CK318" i="6"/>
  <c r="BN318" i="6"/>
  <c r="BV318" i="6"/>
  <c r="AU318" i="6"/>
  <c r="CA318" i="6"/>
  <c r="BO318" i="6"/>
  <c r="CD318" i="6"/>
  <c r="CM318" i="6"/>
  <c r="BS318" i="6"/>
  <c r="CL318" i="6"/>
  <c r="CJ318" i="6"/>
  <c r="AT318" i="6"/>
  <c r="CF318" i="6"/>
  <c r="BH318" i="6"/>
  <c r="J319" i="12" a="1"/>
  <c r="J319" i="12" s="1"/>
  <c r="L319" i="12" a="1"/>
  <c r="L319" i="12" s="1"/>
  <c r="H319" i="6" a="1"/>
  <c r="H319" i="6" s="1"/>
  <c r="N319" i="6"/>
  <c r="M319" i="6"/>
  <c r="K318" i="12"/>
  <c r="N320" i="5"/>
  <c r="D320" i="6" s="1"/>
  <c r="K320" i="5"/>
  <c r="AE320" i="5"/>
  <c r="AD320" i="5"/>
  <c r="A320" i="12"/>
  <c r="H320" i="5"/>
  <c r="B320" i="6"/>
  <c r="G320" i="5"/>
  <c r="J320" i="5"/>
  <c r="F320" i="5"/>
  <c r="D320" i="5"/>
  <c r="B320" i="12" s="1"/>
  <c r="E320" i="5"/>
  <c r="B320" i="5"/>
  <c r="C321" i="5"/>
  <c r="BA318" i="6"/>
  <c r="T318" i="5"/>
  <c r="G318" i="12" s="1"/>
  <c r="CC318" i="6"/>
  <c r="BY318" i="6"/>
  <c r="BD318" i="6"/>
  <c r="BF318" i="6"/>
  <c r="BC318" i="6"/>
  <c r="BW318" i="6"/>
  <c r="BZ318" i="6"/>
  <c r="BQ318" i="6"/>
  <c r="CH319" i="6" l="1"/>
  <c r="BO319" i="6"/>
  <c r="AV319" i="6"/>
  <c r="AW319" i="6"/>
  <c r="BW319" i="6"/>
  <c r="BZ319" i="6"/>
  <c r="BG319" i="6"/>
  <c r="BM319" i="6"/>
  <c r="CJ319" i="6"/>
  <c r="BT319" i="6"/>
  <c r="BS319" i="6"/>
  <c r="CD319" i="6"/>
  <c r="BF319" i="6"/>
  <c r="K319" i="12"/>
  <c r="N320" i="6"/>
  <c r="M320" i="6"/>
  <c r="H320" i="6" a="1"/>
  <c r="H320" i="6" s="1"/>
  <c r="CL319" i="6"/>
  <c r="BV319" i="6"/>
  <c r="CK319" i="6"/>
  <c r="BE319" i="6"/>
  <c r="CC319" i="6"/>
  <c r="CF319" i="6"/>
  <c r="BI319" i="6"/>
  <c r="BP319" i="6"/>
  <c r="BD319" i="6"/>
  <c r="BN319" i="6"/>
  <c r="BY319" i="6"/>
  <c r="BH319" i="6"/>
  <c r="BQ319" i="6"/>
  <c r="BL319" i="6"/>
  <c r="BJ319" i="6"/>
  <c r="CA319" i="6"/>
  <c r="BR319" i="6"/>
  <c r="CM319" i="6"/>
  <c r="CE319" i="6"/>
  <c r="CB319" i="6"/>
  <c r="BK319" i="6"/>
  <c r="BX319" i="6"/>
  <c r="AZ319" i="6"/>
  <c r="AY319" i="6"/>
  <c r="AU319" i="6"/>
  <c r="AT319" i="6"/>
  <c r="BA319" i="6"/>
  <c r="AX319" i="6"/>
  <c r="T319" i="5"/>
  <c r="G319" i="12" s="1"/>
  <c r="J320" i="12" a="1"/>
  <c r="J320" i="12" s="1"/>
  <c r="L320" i="12" a="1"/>
  <c r="L320" i="12" s="1"/>
  <c r="BC319" i="6"/>
  <c r="CI319" i="6"/>
  <c r="C322" i="5"/>
  <c r="K321" i="5"/>
  <c r="AE321" i="5"/>
  <c r="H321" i="5"/>
  <c r="G321" i="5"/>
  <c r="AD321" i="5"/>
  <c r="E321" i="5"/>
  <c r="A321" i="12"/>
  <c r="B321" i="5"/>
  <c r="J321" i="5"/>
  <c r="F321" i="5"/>
  <c r="B321" i="6"/>
  <c r="N321" i="5"/>
  <c r="D321" i="6" s="1"/>
  <c r="D321" i="5"/>
  <c r="B321" i="12" s="1"/>
  <c r="CG319" i="6"/>
  <c r="BR320" i="6" l="1"/>
  <c r="BV320" i="6"/>
  <c r="CD320" i="6"/>
  <c r="CK320" i="6"/>
  <c r="BO320" i="6"/>
  <c r="BL320" i="6"/>
  <c r="BY320" i="6"/>
  <c r="CB320" i="6"/>
  <c r="BF320" i="6"/>
  <c r="BD320" i="6"/>
  <c r="BH320" i="6"/>
  <c r="BS320" i="6"/>
  <c r="CM320" i="6"/>
  <c r="AV320" i="6"/>
  <c r="BQ320" i="6"/>
  <c r="CI320" i="6"/>
  <c r="AW320" i="6"/>
  <c r="BZ320" i="6"/>
  <c r="K320" i="12"/>
  <c r="H321" i="6" a="1"/>
  <c r="H321" i="6" s="1"/>
  <c r="N321" i="6"/>
  <c r="M321" i="6"/>
  <c r="BT321" i="6" s="1"/>
  <c r="K322" i="5"/>
  <c r="H322" i="5"/>
  <c r="AE322" i="5"/>
  <c r="J322" i="5"/>
  <c r="AD322" i="5"/>
  <c r="G322" i="5"/>
  <c r="E322" i="5"/>
  <c r="A322" i="12"/>
  <c r="B322" i="5"/>
  <c r="C323" i="5" s="1"/>
  <c r="B322" i="6"/>
  <c r="F322" i="5"/>
  <c r="D322" i="5"/>
  <c r="B322" i="12" s="1"/>
  <c r="N322" i="5"/>
  <c r="D322" i="6" s="1"/>
  <c r="AT320" i="6"/>
  <c r="AY320" i="6"/>
  <c r="AZ320" i="6"/>
  <c r="T320" i="5"/>
  <c r="G320" i="12" s="1"/>
  <c r="AU320" i="6"/>
  <c r="AX320" i="6"/>
  <c r="BA320" i="6"/>
  <c r="J321" i="12" a="1"/>
  <c r="J321" i="12" s="1"/>
  <c r="L321" i="12" a="1"/>
  <c r="L321" i="12" s="1"/>
  <c r="CH320" i="6"/>
  <c r="BP320" i="6"/>
  <c r="CG320" i="6"/>
  <c r="BE320" i="6"/>
  <c r="BC320" i="6"/>
  <c r="CL320" i="6"/>
  <c r="BJ320" i="6"/>
  <c r="CC320" i="6"/>
  <c r="BT320" i="6"/>
  <c r="BM320" i="6"/>
  <c r="CF320" i="6"/>
  <c r="BI320" i="6"/>
  <c r="BX320" i="6"/>
  <c r="CA320" i="6"/>
  <c r="CE320" i="6"/>
  <c r="BG320" i="6"/>
  <c r="CJ320" i="6"/>
  <c r="BN320" i="6"/>
  <c r="BW320" i="6"/>
  <c r="BK320" i="6"/>
  <c r="BG321" i="6" l="1"/>
  <c r="CK321" i="6"/>
  <c r="AT321" i="6"/>
  <c r="BP321" i="6"/>
  <c r="BQ321" i="6"/>
  <c r="CM321" i="6"/>
  <c r="AV321" i="6"/>
  <c r="BW321" i="6"/>
  <c r="BS321" i="6"/>
  <c r="BX321" i="6"/>
  <c r="CI321" i="6"/>
  <c r="BE321" i="6"/>
  <c r="BH321" i="6"/>
  <c r="CL321" i="6"/>
  <c r="CC321" i="6"/>
  <c r="BF321" i="6"/>
  <c r="CG321" i="6"/>
  <c r="AY321" i="6"/>
  <c r="AW321" i="6"/>
  <c r="K321" i="12"/>
  <c r="BM321" i="6"/>
  <c r="H322" i="6" a="1"/>
  <c r="H322" i="6" s="1"/>
  <c r="N322" i="6"/>
  <c r="M322" i="6"/>
  <c r="BQ322" i="6" s="1"/>
  <c r="CF321" i="6"/>
  <c r="CB321" i="6"/>
  <c r="CD321" i="6"/>
  <c r="BR321" i="6"/>
  <c r="BC321" i="6"/>
  <c r="BD321" i="6"/>
  <c r="BI321" i="6"/>
  <c r="BJ321" i="6"/>
  <c r="AU321" i="6"/>
  <c r="T321" i="5"/>
  <c r="G321" i="12" s="1"/>
  <c r="AE323" i="5"/>
  <c r="H323" i="5"/>
  <c r="G323" i="5"/>
  <c r="AD323" i="5"/>
  <c r="A323" i="12"/>
  <c r="B323" i="6"/>
  <c r="J323" i="6" s="1" a="1"/>
  <c r="J323" i="6" s="1"/>
  <c r="I323" i="5"/>
  <c r="N323" i="5"/>
  <c r="D323" i="6" s="1"/>
  <c r="W323" i="5"/>
  <c r="H323" i="12" s="1"/>
  <c r="E323" i="5"/>
  <c r="B323" i="5"/>
  <c r="F323" i="5"/>
  <c r="C324" i="5"/>
  <c r="BK321" i="6"/>
  <c r="J322" i="12" a="1"/>
  <c r="J322" i="12" s="1"/>
  <c r="L322" i="12" a="1"/>
  <c r="L322" i="12" s="1"/>
  <c r="CE321" i="6"/>
  <c r="BN321" i="6"/>
  <c r="AZ321" i="6"/>
  <c r="BL321" i="6"/>
  <c r="BY321" i="6"/>
  <c r="BV321" i="6"/>
  <c r="AX321" i="6"/>
  <c r="BA321" i="6"/>
  <c r="BZ321" i="6"/>
  <c r="CH321" i="6"/>
  <c r="BO321" i="6"/>
  <c r="CJ321" i="6"/>
  <c r="CA321" i="6"/>
  <c r="AT322" i="6" l="1"/>
  <c r="BE322" i="6"/>
  <c r="BI322" i="6"/>
  <c r="CE322" i="6"/>
  <c r="CF322" i="6"/>
  <c r="BM322" i="6"/>
  <c r="BW322" i="6"/>
  <c r="CK322" i="6"/>
  <c r="BX322" i="6"/>
  <c r="CB322" i="6"/>
  <c r="AX322" i="6"/>
  <c r="BZ322" i="6"/>
  <c r="CD322" i="6"/>
  <c r="K322" i="12"/>
  <c r="N323" i="6"/>
  <c r="G323" i="6"/>
  <c r="H323" i="6" a="1"/>
  <c r="H323" i="6" s="1"/>
  <c r="M323" i="6"/>
  <c r="BP322" i="6"/>
  <c r="CL322" i="6"/>
  <c r="BR322" i="6"/>
  <c r="CC322" i="6"/>
  <c r="BH322" i="6"/>
  <c r="BO322" i="6"/>
  <c r="CJ322" i="6"/>
  <c r="BN322" i="6"/>
  <c r="BC322" i="6"/>
  <c r="BT322" i="6"/>
  <c r="BJ322" i="6"/>
  <c r="BG322" i="6"/>
  <c r="BK322" i="6"/>
  <c r="BY322" i="6"/>
  <c r="BD322" i="6"/>
  <c r="CA322" i="6"/>
  <c r="CI322" i="6"/>
  <c r="BL322" i="6"/>
  <c r="BS322" i="6"/>
  <c r="CM322" i="6"/>
  <c r="CH322" i="6"/>
  <c r="CG322" i="6"/>
  <c r="BF322" i="6"/>
  <c r="BV322" i="6"/>
  <c r="AD324" i="5"/>
  <c r="C325" i="5"/>
  <c r="K324" i="5"/>
  <c r="E324" i="5"/>
  <c r="H324" i="5"/>
  <c r="AE324" i="5"/>
  <c r="A324" i="12"/>
  <c r="B324" i="5"/>
  <c r="B324" i="6"/>
  <c r="D324" i="5"/>
  <c r="B324" i="12" s="1"/>
  <c r="G324" i="5"/>
  <c r="F324" i="5"/>
  <c r="N324" i="5"/>
  <c r="D324" i="6" s="1"/>
  <c r="J324" i="5"/>
  <c r="AZ322" i="6"/>
  <c r="AV322" i="6"/>
  <c r="AY322" i="6"/>
  <c r="T322" i="5"/>
  <c r="G322" i="12" s="1"/>
  <c r="AW322" i="6"/>
  <c r="AU322" i="6"/>
  <c r="BA322" i="6"/>
  <c r="L324" i="12" l="1" a="1"/>
  <c r="L324" i="12" s="1"/>
  <c r="J324" i="12" a="1"/>
  <c r="J324" i="12" s="1"/>
  <c r="A325" i="12"/>
  <c r="B325" i="5"/>
  <c r="C326" i="5" s="1"/>
  <c r="B325" i="6"/>
  <c r="D325" i="5"/>
  <c r="B325" i="12" s="1"/>
  <c r="F325" i="5"/>
  <c r="K325" i="5"/>
  <c r="AD325" i="5"/>
  <c r="J325" i="5"/>
  <c r="G325" i="5"/>
  <c r="N325" i="5"/>
  <c r="D325" i="6" s="1"/>
  <c r="E325" i="5"/>
  <c r="AE325" i="5"/>
  <c r="H325" i="5"/>
  <c r="M324" i="6"/>
  <c r="H324" i="6" a="1"/>
  <c r="H324" i="6" s="1"/>
  <c r="N324" i="6"/>
  <c r="BE323" i="6"/>
  <c r="BK323" i="6"/>
  <c r="BO323" i="6"/>
  <c r="CL323" i="6"/>
  <c r="BP323" i="6"/>
  <c r="CB323" i="6"/>
  <c r="CC323" i="6"/>
  <c r="BQ323" i="6"/>
  <c r="BJ323" i="6"/>
  <c r="CK323" i="6"/>
  <c r="CF323" i="6"/>
  <c r="BT323" i="6"/>
  <c r="CI323" i="6"/>
  <c r="BR323" i="6"/>
  <c r="BC323" i="6"/>
  <c r="BD323" i="6"/>
  <c r="BI323" i="6"/>
  <c r="CA323" i="6"/>
  <c r="BL323" i="6"/>
  <c r="BX323" i="6"/>
  <c r="CE323" i="6"/>
  <c r="BZ323" i="6"/>
  <c r="BH323" i="6"/>
  <c r="CJ323" i="6"/>
  <c r="CG323" i="6"/>
  <c r="CH323" i="6"/>
  <c r="BN323" i="6"/>
  <c r="CM323" i="6"/>
  <c r="BY323" i="6"/>
  <c r="BS323" i="6"/>
  <c r="BM323" i="6"/>
  <c r="BW323" i="6"/>
  <c r="CD323" i="6"/>
  <c r="BF323" i="6"/>
  <c r="BG323" i="6"/>
  <c r="BV323" i="6"/>
  <c r="T323" i="5"/>
  <c r="G323" i="12" s="1"/>
  <c r="AO323" i="6"/>
  <c r="AK323" i="6"/>
  <c r="AQ323" i="6"/>
  <c r="AT323" i="6"/>
  <c r="BA323" i="6"/>
  <c r="AS323" i="6"/>
  <c r="AM323" i="6"/>
  <c r="AJ323" i="6"/>
  <c r="AU323" i="6"/>
  <c r="AN323" i="6"/>
  <c r="AL323" i="6"/>
  <c r="AP323" i="6"/>
  <c r="AR323" i="6"/>
  <c r="AZ323" i="6"/>
  <c r="AX323" i="6"/>
  <c r="AW323" i="6"/>
  <c r="AY323" i="6"/>
  <c r="AV323" i="6"/>
  <c r="K324" i="12" l="1"/>
  <c r="AV324" i="6"/>
  <c r="CJ324" i="6"/>
  <c r="BX324" i="6"/>
  <c r="BR324" i="6"/>
  <c r="BW324" i="6"/>
  <c r="CA324" i="6"/>
  <c r="BG324" i="6"/>
  <c r="BL324" i="6"/>
  <c r="BY324" i="6"/>
  <c r="CD324" i="6"/>
  <c r="BE324" i="6"/>
  <c r="BF324" i="6"/>
  <c r="BC324" i="6"/>
  <c r="BN324" i="6"/>
  <c r="BT324" i="6"/>
  <c r="N326" i="5"/>
  <c r="D326" i="6" s="1"/>
  <c r="H326" i="5"/>
  <c r="J323" i="5" s="1"/>
  <c r="A326" i="12"/>
  <c r="B326" i="6"/>
  <c r="J326" i="6" s="1" a="1"/>
  <c r="J326" i="6" s="1"/>
  <c r="F326" i="5"/>
  <c r="W326" i="5"/>
  <c r="H326" i="12" s="1"/>
  <c r="AD326" i="5"/>
  <c r="I326" i="5"/>
  <c r="AE326" i="5"/>
  <c r="G326" i="5"/>
  <c r="E326" i="5"/>
  <c r="B326" i="5"/>
  <c r="C327" i="5" s="1"/>
  <c r="BV324" i="6"/>
  <c r="L325" i="12" a="1"/>
  <c r="L325" i="12" s="1"/>
  <c r="J325" i="12" a="1"/>
  <c r="J325" i="12" s="1"/>
  <c r="BH324" i="6"/>
  <c r="BS324" i="6"/>
  <c r="T324" i="5"/>
  <c r="G324" i="12" s="1"/>
  <c r="AX324" i="6"/>
  <c r="AW324" i="6"/>
  <c r="BI324" i="6"/>
  <c r="CC324" i="6"/>
  <c r="H325" i="6" a="1"/>
  <c r="H325" i="6" s="1"/>
  <c r="N325" i="6"/>
  <c r="M325" i="6"/>
  <c r="AY324" i="6"/>
  <c r="CH324" i="6"/>
  <c r="BZ324" i="6"/>
  <c r="CF324" i="6"/>
  <c r="CK324" i="6"/>
  <c r="CM324" i="6"/>
  <c r="CI324" i="6"/>
  <c r="AZ324" i="6"/>
  <c r="BP324" i="6"/>
  <c r="CG324" i="6"/>
  <c r="AT324" i="6"/>
  <c r="CE324" i="6"/>
  <c r="BO324" i="6"/>
  <c r="BM324" i="6"/>
  <c r="CL324" i="6"/>
  <c r="AU324" i="6"/>
  <c r="BA324" i="6"/>
  <c r="BJ324" i="6"/>
  <c r="BQ324" i="6"/>
  <c r="BK324" i="6"/>
  <c r="BD324" i="6"/>
  <c r="CB324" i="6"/>
  <c r="K325" i="12" l="1"/>
  <c r="BJ325" i="6"/>
  <c r="BF325" i="6"/>
  <c r="BM325" i="6"/>
  <c r="BP325" i="6"/>
  <c r="CG325" i="6"/>
  <c r="BT325" i="6"/>
  <c r="CA325" i="6"/>
  <c r="CL325" i="6"/>
  <c r="BC325" i="6"/>
  <c r="BG325" i="6"/>
  <c r="BK325" i="6"/>
  <c r="CM325" i="6"/>
  <c r="BL325" i="6"/>
  <c r="BV325" i="6"/>
  <c r="BE325" i="6"/>
  <c r="BR325" i="6"/>
  <c r="CB325" i="6"/>
  <c r="BN325" i="6"/>
  <c r="BS325" i="6"/>
  <c r="BQ325" i="6"/>
  <c r="CD325" i="6"/>
  <c r="BI325" i="6"/>
  <c r="BD325" i="6"/>
  <c r="CI325" i="6"/>
  <c r="BW325" i="6"/>
  <c r="BO325" i="6"/>
  <c r="BH325" i="6"/>
  <c r="BX325" i="6"/>
  <c r="CF325" i="6"/>
  <c r="CJ325" i="6"/>
  <c r="BZ325" i="6"/>
  <c r="CH325" i="6"/>
  <c r="CK325" i="6"/>
  <c r="BY325" i="6"/>
  <c r="CE325" i="6"/>
  <c r="CC325" i="6"/>
  <c r="H326" i="6" a="1"/>
  <c r="H326" i="6" s="1"/>
  <c r="G326" i="6"/>
  <c r="M326" i="6"/>
  <c r="N326" i="6"/>
  <c r="E327" i="5"/>
  <c r="AD327" i="5"/>
  <c r="A327" i="12"/>
  <c r="B327" i="5"/>
  <c r="B327" i="6"/>
  <c r="J327" i="6" s="1" a="1"/>
  <c r="J327" i="6" s="1"/>
  <c r="W327" i="5"/>
  <c r="H327" i="12" s="1"/>
  <c r="F327" i="5"/>
  <c r="AE327" i="5"/>
  <c r="C328" i="5"/>
  <c r="N327" i="5"/>
  <c r="D327" i="6" s="1"/>
  <c r="H327" i="5"/>
  <c r="I327" i="5"/>
  <c r="G327" i="5"/>
  <c r="AT325" i="6"/>
  <c r="T325" i="5"/>
  <c r="G325" i="12" s="1"/>
  <c r="AU325" i="6"/>
  <c r="BA325" i="6"/>
  <c r="AV325" i="6"/>
  <c r="AZ325" i="6"/>
  <c r="AW325" i="6"/>
  <c r="AX325" i="6"/>
  <c r="AY325" i="6"/>
  <c r="CG326" i="6" l="1"/>
  <c r="CK326" i="6"/>
  <c r="BX326" i="6"/>
  <c r="CI326" i="6"/>
  <c r="BH326" i="6"/>
  <c r="CL326" i="6"/>
  <c r="BN326" i="6"/>
  <c r="CF326" i="6"/>
  <c r="BP326" i="6"/>
  <c r="BG326" i="6"/>
  <c r="CA326" i="6"/>
  <c r="BE326" i="6"/>
  <c r="CH326" i="6"/>
  <c r="CM326" i="6"/>
  <c r="BO326" i="6"/>
  <c r="BW326" i="6"/>
  <c r="BS326" i="6"/>
  <c r="BJ326" i="6"/>
  <c r="BI326" i="6"/>
  <c r="BV326" i="6"/>
  <c r="BC326" i="6"/>
  <c r="BD326" i="6"/>
  <c r="BM326" i="6"/>
  <c r="BK326" i="6"/>
  <c r="CC326" i="6"/>
  <c r="BQ326" i="6"/>
  <c r="BR326" i="6"/>
  <c r="BL326" i="6"/>
  <c r="CJ326" i="6"/>
  <c r="BZ326" i="6"/>
  <c r="CB326" i="6"/>
  <c r="BT326" i="6"/>
  <c r="CD326" i="6"/>
  <c r="BF326" i="6"/>
  <c r="BY326" i="6"/>
  <c r="CE326" i="6"/>
  <c r="N327" i="6"/>
  <c r="M327" i="6"/>
  <c r="H327" i="6" a="1"/>
  <c r="H327" i="6" s="1"/>
  <c r="G327" i="6"/>
  <c r="D328" i="5"/>
  <c r="B328" i="12" s="1"/>
  <c r="H328" i="5"/>
  <c r="AD328" i="5"/>
  <c r="C329" i="5"/>
  <c r="N328" i="5"/>
  <c r="D328" i="6" s="1"/>
  <c r="K328" i="5"/>
  <c r="F328" i="5"/>
  <c r="E328" i="5"/>
  <c r="J328" i="5"/>
  <c r="AE328" i="5"/>
  <c r="G328" i="5"/>
  <c r="A328" i="12"/>
  <c r="B328" i="6"/>
  <c r="B328" i="5"/>
  <c r="T326" i="5"/>
  <c r="G326" i="12" s="1"/>
  <c r="AV326" i="6"/>
  <c r="AQ326" i="6"/>
  <c r="AN326" i="6"/>
  <c r="AY326" i="6"/>
  <c r="BA326" i="6"/>
  <c r="AW326" i="6"/>
  <c r="AK326" i="6"/>
  <c r="AU326" i="6"/>
  <c r="AO326" i="6"/>
  <c r="AM326" i="6"/>
  <c r="AS326" i="6"/>
  <c r="AZ326" i="6"/>
  <c r="AT326" i="6"/>
  <c r="AL326" i="6"/>
  <c r="AJ326" i="6"/>
  <c r="AP326" i="6"/>
  <c r="AX326" i="6"/>
  <c r="AR326" i="6"/>
  <c r="M328" i="6" l="1"/>
  <c r="N328" i="6"/>
  <c r="H328" i="6" a="1"/>
  <c r="H328" i="6" s="1"/>
  <c r="B329" i="6"/>
  <c r="H329" i="5"/>
  <c r="D329" i="5"/>
  <c r="B329" i="12" s="1"/>
  <c r="AD329" i="5"/>
  <c r="B329" i="5"/>
  <c r="J329" i="5"/>
  <c r="F329" i="5"/>
  <c r="N329" i="5"/>
  <c r="D329" i="6" s="1"/>
  <c r="AE329" i="5"/>
  <c r="G329" i="5"/>
  <c r="E329" i="5"/>
  <c r="C330" i="5"/>
  <c r="A329" i="12"/>
  <c r="K329" i="5"/>
  <c r="L328" i="12" a="1"/>
  <c r="L328" i="12" s="1"/>
  <c r="J328" i="12" a="1"/>
  <c r="J328" i="12" s="1"/>
  <c r="T327" i="5"/>
  <c r="G327" i="12" s="1"/>
  <c r="AP327" i="6"/>
  <c r="AX327" i="6"/>
  <c r="AQ327" i="6"/>
  <c r="AK327" i="6"/>
  <c r="AU327" i="6"/>
  <c r="AZ327" i="6"/>
  <c r="AV327" i="6"/>
  <c r="AN327" i="6"/>
  <c r="AW327" i="6"/>
  <c r="AM327" i="6"/>
  <c r="AS327" i="6"/>
  <c r="AR327" i="6"/>
  <c r="BA327" i="6"/>
  <c r="AT327" i="6"/>
  <c r="AY327" i="6"/>
  <c r="AO327" i="6"/>
  <c r="AL327" i="6"/>
  <c r="CG327" i="6"/>
  <c r="BI327" i="6"/>
  <c r="BT327" i="6"/>
  <c r="BJ327" i="6"/>
  <c r="BD327" i="6"/>
  <c r="CI327" i="6"/>
  <c r="BC327" i="6"/>
  <c r="BH327" i="6"/>
  <c r="BR327" i="6"/>
  <c r="BK327" i="6"/>
  <c r="CH327" i="6"/>
  <c r="BY327" i="6"/>
  <c r="BO327" i="6"/>
  <c r="BQ327" i="6"/>
  <c r="CD327" i="6"/>
  <c r="BG327" i="6"/>
  <c r="CF327" i="6"/>
  <c r="BX327" i="6"/>
  <c r="CL327" i="6"/>
  <c r="BS327" i="6"/>
  <c r="BP327" i="6"/>
  <c r="BF327" i="6"/>
  <c r="BN327" i="6"/>
  <c r="CC327" i="6"/>
  <c r="BL327" i="6"/>
  <c r="BV327" i="6"/>
  <c r="CE327" i="6"/>
  <c r="CB327" i="6"/>
  <c r="CK327" i="6"/>
  <c r="CM327" i="6"/>
  <c r="BE327" i="6"/>
  <c r="BZ327" i="6"/>
  <c r="BW327" i="6"/>
  <c r="CA327" i="6"/>
  <c r="CJ327" i="6"/>
  <c r="BM327" i="6"/>
  <c r="AJ327" i="6"/>
  <c r="AX328" i="6" l="1"/>
  <c r="CH328" i="6"/>
  <c r="BS328" i="6"/>
  <c r="BE328" i="6"/>
  <c r="BH328" i="6"/>
  <c r="BT328" i="6"/>
  <c r="BX328" i="6"/>
  <c r="BO328" i="6"/>
  <c r="BL328" i="6"/>
  <c r="BG328" i="6"/>
  <c r="CD328" i="6"/>
  <c r="CC328" i="6"/>
  <c r="BC328" i="6"/>
  <c r="BZ328" i="6"/>
  <c r="BQ328" i="6"/>
  <c r="CM328" i="6"/>
  <c r="BR328" i="6"/>
  <c r="CB328" i="6"/>
  <c r="BJ328" i="6"/>
  <c r="CF328" i="6"/>
  <c r="BK328" i="6"/>
  <c r="AY328" i="6"/>
  <c r="BA328" i="6"/>
  <c r="AZ328" i="6"/>
  <c r="N329" i="6"/>
  <c r="M329" i="6"/>
  <c r="CF329" i="6" s="1"/>
  <c r="H329" i="6" a="1"/>
  <c r="H329" i="6" s="1"/>
  <c r="T329" i="5" s="1"/>
  <c r="G329" i="12" s="1"/>
  <c r="K328" i="12"/>
  <c r="J329" i="12" a="1"/>
  <c r="J329" i="12" s="1"/>
  <c r="L329" i="12" a="1"/>
  <c r="L329" i="12" s="1"/>
  <c r="J330" i="5"/>
  <c r="F330" i="5"/>
  <c r="D330" i="5"/>
  <c r="B330" i="12" s="1"/>
  <c r="N330" i="5"/>
  <c r="D330" i="6" s="1"/>
  <c r="AD330" i="5"/>
  <c r="C331" i="5"/>
  <c r="B330" i="5"/>
  <c r="K330" i="5"/>
  <c r="E330" i="5"/>
  <c r="H330" i="5"/>
  <c r="AE330" i="5"/>
  <c r="G330" i="5"/>
  <c r="A330" i="12"/>
  <c r="B330" i="6"/>
  <c r="AV328" i="6"/>
  <c r="T328" i="5"/>
  <c r="G328" i="12" s="1"/>
  <c r="AU328" i="6"/>
  <c r="AT328" i="6"/>
  <c r="AW328" i="6"/>
  <c r="BP328" i="6"/>
  <c r="BY328" i="6"/>
  <c r="CJ328" i="6"/>
  <c r="BF328" i="6"/>
  <c r="BM328" i="6"/>
  <c r="CI328" i="6"/>
  <c r="CG328" i="6"/>
  <c r="BD328" i="6"/>
  <c r="CL328" i="6"/>
  <c r="CK328" i="6"/>
  <c r="CE328" i="6"/>
  <c r="CA328" i="6"/>
  <c r="BI328" i="6"/>
  <c r="BV328" i="6"/>
  <c r="BW328" i="6"/>
  <c r="BN328" i="6"/>
  <c r="CM329" i="6" l="1"/>
  <c r="BL329" i="6"/>
  <c r="BE329" i="6"/>
  <c r="BR329" i="6"/>
  <c r="BX329" i="6"/>
  <c r="BW329" i="6"/>
  <c r="CJ329" i="6"/>
  <c r="BH329" i="6"/>
  <c r="BY329" i="6"/>
  <c r="BQ329" i="6"/>
  <c r="BM329" i="6"/>
  <c r="BF329" i="6"/>
  <c r="CI329" i="6"/>
  <c r="BZ329" i="6"/>
  <c r="CD329" i="6"/>
  <c r="BO329" i="6"/>
  <c r="BT329" i="6"/>
  <c r="CK329" i="6"/>
  <c r="BG329" i="6"/>
  <c r="BD329" i="6"/>
  <c r="BI329" i="6"/>
  <c r="BJ329" i="6"/>
  <c r="CH329" i="6"/>
  <c r="BS329" i="6"/>
  <c r="CG329" i="6"/>
  <c r="CB329" i="6"/>
  <c r="BK329" i="6"/>
  <c r="CE329" i="6"/>
  <c r="BV329" i="6"/>
  <c r="AZ329" i="6"/>
  <c r="CL329" i="6"/>
  <c r="BN329" i="6"/>
  <c r="AX329" i="6"/>
  <c r="K329" i="12"/>
  <c r="AY329" i="6"/>
  <c r="AU329" i="6"/>
  <c r="F331" i="5"/>
  <c r="C332" i="5"/>
  <c r="N331" i="5"/>
  <c r="D331" i="6" s="1"/>
  <c r="K331" i="5"/>
  <c r="AE331" i="5"/>
  <c r="A331" i="12"/>
  <c r="H331" i="5"/>
  <c r="G331" i="5"/>
  <c r="E331" i="5"/>
  <c r="B331" i="6"/>
  <c r="B331" i="5"/>
  <c r="AD331" i="5"/>
  <c r="D331" i="5"/>
  <c r="B331" i="12" s="1"/>
  <c r="J331" i="5"/>
  <c r="BA329" i="6"/>
  <c r="H330" i="6" a="1"/>
  <c r="H330" i="6" s="1"/>
  <c r="N330" i="6"/>
  <c r="M330" i="6"/>
  <c r="AV329" i="6"/>
  <c r="J330" i="12" a="1"/>
  <c r="J330" i="12" s="1"/>
  <c r="L330" i="12" a="1"/>
  <c r="L330" i="12" s="1"/>
  <c r="AT329" i="6"/>
  <c r="AW329" i="6"/>
  <c r="BP329" i="6"/>
  <c r="BC329" i="6"/>
  <c r="CA329" i="6"/>
  <c r="CC329" i="6"/>
  <c r="K330" i="12" l="1"/>
  <c r="BP330" i="6"/>
  <c r="BS330" i="6"/>
  <c r="BL330" i="6"/>
  <c r="CJ330" i="6"/>
  <c r="CF330" i="6"/>
  <c r="BX330" i="6"/>
  <c r="CA330" i="6"/>
  <c r="CI330" i="6"/>
  <c r="BD330" i="6"/>
  <c r="BF330" i="6"/>
  <c r="BT330" i="6"/>
  <c r="CB330" i="6"/>
  <c r="BJ330" i="6"/>
  <c r="BI330" i="6"/>
  <c r="BH330" i="6"/>
  <c r="CL330" i="6"/>
  <c r="BW330" i="6"/>
  <c r="BQ330" i="6"/>
  <c r="CC330" i="6"/>
  <c r="BK330" i="6"/>
  <c r="BO330" i="6"/>
  <c r="BM330" i="6"/>
  <c r="BE330" i="6"/>
  <c r="CG330" i="6"/>
  <c r="CM330" i="6"/>
  <c r="CE330" i="6"/>
  <c r="BG330" i="6"/>
  <c r="BZ330" i="6"/>
  <c r="CD330" i="6"/>
  <c r="BN330" i="6"/>
  <c r="CK330" i="6"/>
  <c r="BY330" i="6"/>
  <c r="BR330" i="6"/>
  <c r="BC330" i="6"/>
  <c r="L331" i="12" a="1"/>
  <c r="L331" i="12" s="1"/>
  <c r="J331" i="12" a="1"/>
  <c r="J331" i="12" s="1"/>
  <c r="T330" i="5"/>
  <c r="G330" i="12" s="1"/>
  <c r="AU330" i="6"/>
  <c r="BA330" i="6"/>
  <c r="AY330" i="6"/>
  <c r="AZ330" i="6"/>
  <c r="AV330" i="6"/>
  <c r="AT330" i="6"/>
  <c r="AW330" i="6"/>
  <c r="AX330" i="6"/>
  <c r="N331" i="6"/>
  <c r="M331" i="6"/>
  <c r="CD331" i="6" s="1"/>
  <c r="H331" i="6" a="1"/>
  <c r="H331" i="6" s="1"/>
  <c r="AE332" i="5"/>
  <c r="G332" i="5"/>
  <c r="E332" i="5"/>
  <c r="C333" i="5"/>
  <c r="B332" i="5"/>
  <c r="AD332" i="5"/>
  <c r="D332" i="5"/>
  <c r="B332" i="12" s="1"/>
  <c r="N332" i="5"/>
  <c r="D332" i="6" s="1"/>
  <c r="A332" i="12"/>
  <c r="K332" i="5"/>
  <c r="H332" i="5"/>
  <c r="F332" i="5"/>
  <c r="B332" i="6"/>
  <c r="J332" i="5"/>
  <c r="CH330" i="6"/>
  <c r="BV330" i="6"/>
  <c r="K331" i="12" l="1"/>
  <c r="T331" i="5"/>
  <c r="G331" i="12" s="1"/>
  <c r="AU331" i="6"/>
  <c r="AW331" i="6"/>
  <c r="BA331" i="6"/>
  <c r="AT331" i="6"/>
  <c r="AY331" i="6"/>
  <c r="AV331" i="6"/>
  <c r="AX331" i="6"/>
  <c r="AZ331" i="6"/>
  <c r="L332" i="12" a="1"/>
  <c r="L332" i="12" s="1"/>
  <c r="J332" i="12" a="1"/>
  <c r="J332" i="12" s="1"/>
  <c r="H332" i="6" a="1"/>
  <c r="H332" i="6" s="1"/>
  <c r="M332" i="6"/>
  <c r="CA332" i="6" s="1"/>
  <c r="N332" i="6"/>
  <c r="K333" i="5"/>
  <c r="B333" i="5"/>
  <c r="H333" i="5"/>
  <c r="AE333" i="5"/>
  <c r="B333" i="6"/>
  <c r="G333" i="5"/>
  <c r="A333" i="12"/>
  <c r="E333" i="5"/>
  <c r="D333" i="5"/>
  <c r="B333" i="12" s="1"/>
  <c r="AD333" i="5"/>
  <c r="J333" i="5"/>
  <c r="F333" i="5"/>
  <c r="C334" i="5"/>
  <c r="N333" i="5"/>
  <c r="D333" i="6" s="1"/>
  <c r="BW331" i="6"/>
  <c r="BK331" i="6"/>
  <c r="CA331" i="6"/>
  <c r="BQ331" i="6"/>
  <c r="BY331" i="6"/>
  <c r="BF331" i="6"/>
  <c r="CE331" i="6"/>
  <c r="CM331" i="6"/>
  <c r="BM331" i="6"/>
  <c r="BX331" i="6"/>
  <c r="CJ331" i="6"/>
  <c r="BS331" i="6"/>
  <c r="BD331" i="6"/>
  <c r="BE331" i="6"/>
  <c r="CL331" i="6"/>
  <c r="BR331" i="6"/>
  <c r="BH331" i="6"/>
  <c r="BZ331" i="6"/>
  <c r="CB331" i="6"/>
  <c r="CF331" i="6"/>
  <c r="CG331" i="6"/>
  <c r="BG331" i="6"/>
  <c r="BI331" i="6"/>
  <c r="BL331" i="6"/>
  <c r="BT331" i="6"/>
  <c r="BN331" i="6"/>
  <c r="BJ331" i="6"/>
  <c r="BV331" i="6"/>
  <c r="CH331" i="6"/>
  <c r="BO331" i="6"/>
  <c r="CK331" i="6"/>
  <c r="BC331" i="6"/>
  <c r="CC331" i="6"/>
  <c r="BP331" i="6"/>
  <c r="CI331" i="6"/>
  <c r="BF332" i="6" l="1"/>
  <c r="BQ332" i="6"/>
  <c r="BY332" i="6"/>
  <c r="CF332" i="6"/>
  <c r="CG332" i="6"/>
  <c r="BJ332" i="6"/>
  <c r="CI332" i="6"/>
  <c r="BX332" i="6"/>
  <c r="BS332" i="6"/>
  <c r="BK332" i="6"/>
  <c r="CK332" i="6"/>
  <c r="BN332" i="6"/>
  <c r="AT332" i="6"/>
  <c r="CH332" i="6"/>
  <c r="K332" i="12"/>
  <c r="CC332" i="6"/>
  <c r="BL332" i="6"/>
  <c r="J334" i="5"/>
  <c r="F334" i="5"/>
  <c r="K334" i="5"/>
  <c r="B334" i="5"/>
  <c r="D334" i="5"/>
  <c r="B334" i="12" s="1"/>
  <c r="N334" i="5"/>
  <c r="D334" i="6" s="1"/>
  <c r="AD334" i="5"/>
  <c r="H334" i="5"/>
  <c r="C335" i="5"/>
  <c r="E334" i="5"/>
  <c r="A334" i="12"/>
  <c r="AE334" i="5"/>
  <c r="G334" i="5"/>
  <c r="B334" i="6"/>
  <c r="AU332" i="6"/>
  <c r="AZ332" i="6"/>
  <c r="BA332" i="6"/>
  <c r="J333" i="12" a="1"/>
  <c r="J333" i="12" s="1"/>
  <c r="L333" i="12" a="1"/>
  <c r="L333" i="12" s="1"/>
  <c r="AX332" i="6"/>
  <c r="AY332" i="6"/>
  <c r="BI332" i="6"/>
  <c r="BT332" i="6"/>
  <c r="T332" i="5"/>
  <c r="G332" i="12" s="1"/>
  <c r="AV332" i="6"/>
  <c r="AW332" i="6"/>
  <c r="H333" i="6" a="1"/>
  <c r="H333" i="6" s="1"/>
  <c r="M333" i="6"/>
  <c r="N333" i="6"/>
  <c r="BC332" i="6"/>
  <c r="CD332" i="6"/>
  <c r="CB332" i="6"/>
  <c r="BG332" i="6"/>
  <c r="BH332" i="6"/>
  <c r="BO332" i="6"/>
  <c r="CE332" i="6"/>
  <c r="BW332" i="6"/>
  <c r="BV332" i="6"/>
  <c r="BM332" i="6"/>
  <c r="BZ332" i="6"/>
  <c r="CJ332" i="6"/>
  <c r="BE332" i="6"/>
  <c r="CM332" i="6"/>
  <c r="BR332" i="6"/>
  <c r="CL332" i="6"/>
  <c r="BD332" i="6"/>
  <c r="BP332" i="6"/>
  <c r="K333" i="12" l="1"/>
  <c r="J334" i="12" a="1"/>
  <c r="J334" i="12" s="1"/>
  <c r="L334" i="12" a="1"/>
  <c r="L334" i="12" s="1"/>
  <c r="G335" i="5"/>
  <c r="A335" i="12"/>
  <c r="F335" i="5"/>
  <c r="E335" i="5"/>
  <c r="B335" i="6"/>
  <c r="D335" i="5"/>
  <c r="B335" i="12" s="1"/>
  <c r="AD335" i="5"/>
  <c r="B335" i="5"/>
  <c r="C336" i="5"/>
  <c r="N335" i="5"/>
  <c r="D335" i="6" s="1"/>
  <c r="H335" i="5"/>
  <c r="J335" i="5"/>
  <c r="K335" i="5"/>
  <c r="AE335" i="5"/>
  <c r="H334" i="6" a="1"/>
  <c r="H334" i="6" s="1"/>
  <c r="N334" i="6"/>
  <c r="M334" i="6"/>
  <c r="BR334" i="6" s="1"/>
  <c r="CM333" i="6"/>
  <c r="CC333" i="6"/>
  <c r="BL333" i="6"/>
  <c r="BW333" i="6"/>
  <c r="BT333" i="6"/>
  <c r="CF333" i="6"/>
  <c r="BV333" i="6"/>
  <c r="BO333" i="6"/>
  <c r="CJ333" i="6"/>
  <c r="BC333" i="6"/>
  <c r="BI333" i="6"/>
  <c r="BP333" i="6"/>
  <c r="BS333" i="6"/>
  <c r="BX333" i="6"/>
  <c r="BZ333" i="6"/>
  <c r="CG333" i="6"/>
  <c r="CH333" i="6"/>
  <c r="CA333" i="6"/>
  <c r="BF333" i="6"/>
  <c r="CD333" i="6"/>
  <c r="BM333" i="6"/>
  <c r="CK333" i="6"/>
  <c r="BD333" i="6"/>
  <c r="BG333" i="6"/>
  <c r="CL333" i="6"/>
  <c r="BJ333" i="6"/>
  <c r="CE333" i="6"/>
  <c r="BN333" i="6"/>
  <c r="CB333" i="6"/>
  <c r="BQ333" i="6"/>
  <c r="BR333" i="6"/>
  <c r="BY333" i="6"/>
  <c r="CI333" i="6"/>
  <c r="BH333" i="6"/>
  <c r="BK333" i="6"/>
  <c r="BE333" i="6"/>
  <c r="AX333" i="6"/>
  <c r="AT333" i="6"/>
  <c r="AV333" i="6"/>
  <c r="AZ333" i="6"/>
  <c r="T333" i="5"/>
  <c r="G333" i="12" s="1"/>
  <c r="AU333" i="6"/>
  <c r="AW333" i="6"/>
  <c r="AY333" i="6"/>
  <c r="BA333" i="6"/>
  <c r="BW334" i="6" l="1"/>
  <c r="K334" i="12"/>
  <c r="H335" i="6" a="1"/>
  <c r="H335" i="6" s="1"/>
  <c r="N335" i="6"/>
  <c r="M335" i="6"/>
  <c r="G336" i="5"/>
  <c r="N336" i="5"/>
  <c r="D336" i="6" s="1"/>
  <c r="H336" i="5"/>
  <c r="E336" i="5"/>
  <c r="A336" i="12"/>
  <c r="B336" i="5"/>
  <c r="C337" i="5" s="1"/>
  <c r="J336" i="5"/>
  <c r="F336" i="5"/>
  <c r="B336" i="6"/>
  <c r="AE336" i="5"/>
  <c r="D336" i="5"/>
  <c r="B336" i="12" s="1"/>
  <c r="AD336" i="5"/>
  <c r="K336" i="5"/>
  <c r="BF334" i="6"/>
  <c r="CG334" i="6"/>
  <c r="CK334" i="6"/>
  <c r="BV334" i="6"/>
  <c r="CI334" i="6"/>
  <c r="BN334" i="6"/>
  <c r="BI334" i="6"/>
  <c r="CH334" i="6"/>
  <c r="CC334" i="6"/>
  <c r="CD334" i="6"/>
  <c r="BZ334" i="6"/>
  <c r="CJ334" i="6"/>
  <c r="CM334" i="6"/>
  <c r="BD334" i="6"/>
  <c r="BH334" i="6"/>
  <c r="BS334" i="6"/>
  <c r="CA334" i="6"/>
  <c r="BE334" i="6"/>
  <c r="BJ334" i="6"/>
  <c r="BT334" i="6"/>
  <c r="BQ334" i="6"/>
  <c r="BY334" i="6"/>
  <c r="CL334" i="6"/>
  <c r="BP334" i="6"/>
  <c r="BC334" i="6"/>
  <c r="BO334" i="6"/>
  <c r="BG334" i="6"/>
  <c r="CB334" i="6"/>
  <c r="CE334" i="6"/>
  <c r="CF334" i="6"/>
  <c r="BK334" i="6"/>
  <c r="BL334" i="6"/>
  <c r="BX334" i="6"/>
  <c r="BM334" i="6"/>
  <c r="T334" i="5"/>
  <c r="G334" i="12" s="1"/>
  <c r="AX334" i="6"/>
  <c r="AV334" i="6"/>
  <c r="AZ334" i="6"/>
  <c r="AT334" i="6"/>
  <c r="AU334" i="6"/>
  <c r="AY334" i="6"/>
  <c r="AW334" i="6"/>
  <c r="BA334" i="6"/>
  <c r="L335" i="12" a="1"/>
  <c r="L335" i="12" s="1"/>
  <c r="J335" i="12" a="1"/>
  <c r="J335" i="12" s="1"/>
  <c r="K335" i="12" l="1"/>
  <c r="A337" i="12"/>
  <c r="B337" i="5"/>
  <c r="C338" i="5"/>
  <c r="B337" i="6"/>
  <c r="J337" i="6" s="1" a="1"/>
  <c r="J337" i="6" s="1"/>
  <c r="W337" i="5"/>
  <c r="H337" i="12" s="1"/>
  <c r="E337" i="5"/>
  <c r="F337" i="5"/>
  <c r="N337" i="5"/>
  <c r="D337" i="6" s="1"/>
  <c r="AD337" i="5"/>
  <c r="I337" i="5"/>
  <c r="AE337" i="5"/>
  <c r="H337" i="5"/>
  <c r="G337" i="5"/>
  <c r="L336" i="12" a="1"/>
  <c r="L336" i="12" s="1"/>
  <c r="J336" i="12" a="1"/>
  <c r="J336" i="12" s="1"/>
  <c r="N336" i="6"/>
  <c r="M336" i="6"/>
  <c r="CL336" i="6" s="1"/>
  <c r="H336" i="6" a="1"/>
  <c r="H336" i="6" s="1"/>
  <c r="BO335" i="6"/>
  <c r="CM335" i="6"/>
  <c r="BQ335" i="6"/>
  <c r="BJ335" i="6"/>
  <c r="CE335" i="6"/>
  <c r="BD335" i="6"/>
  <c r="BE335" i="6"/>
  <c r="BF335" i="6"/>
  <c r="CG335" i="6"/>
  <c r="BH335" i="6"/>
  <c r="BI335" i="6"/>
  <c r="CL335" i="6"/>
  <c r="BK335" i="6"/>
  <c r="BR335" i="6"/>
  <c r="BV335" i="6"/>
  <c r="BT335" i="6"/>
  <c r="BM335" i="6"/>
  <c r="BG335" i="6"/>
  <c r="CH335" i="6"/>
  <c r="BY335" i="6"/>
  <c r="CK335" i="6"/>
  <c r="CD335" i="6"/>
  <c r="BX335" i="6"/>
  <c r="CC335" i="6"/>
  <c r="BZ335" i="6"/>
  <c r="CB335" i="6"/>
  <c r="BL335" i="6"/>
  <c r="BN335" i="6"/>
  <c r="BW335" i="6"/>
  <c r="BS335" i="6"/>
  <c r="CI335" i="6"/>
  <c r="BP335" i="6"/>
  <c r="BC335" i="6"/>
  <c r="CA335" i="6"/>
  <c r="CF335" i="6"/>
  <c r="CJ335" i="6"/>
  <c r="AX335" i="6"/>
  <c r="AW335" i="6"/>
  <c r="T335" i="5"/>
  <c r="G335" i="12" s="1"/>
  <c r="AU335" i="6"/>
  <c r="AY335" i="6"/>
  <c r="BA335" i="6"/>
  <c r="AV335" i="6"/>
  <c r="AZ335" i="6"/>
  <c r="AT335" i="6"/>
  <c r="BL336" i="6" l="1"/>
  <c r="H337" i="6" a="1"/>
  <c r="H337" i="6" s="1"/>
  <c r="G337" i="6"/>
  <c r="N337" i="6"/>
  <c r="M337" i="6"/>
  <c r="AY336" i="6"/>
  <c r="AT336" i="6"/>
  <c r="AW336" i="6"/>
  <c r="T336" i="5"/>
  <c r="G336" i="12" s="1"/>
  <c r="AX336" i="6"/>
  <c r="AZ336" i="6"/>
  <c r="AU336" i="6"/>
  <c r="BA336" i="6"/>
  <c r="AV336" i="6"/>
  <c r="CJ336" i="6"/>
  <c r="CB336" i="6"/>
  <c r="BH336" i="6"/>
  <c r="BQ336" i="6"/>
  <c r="BM336" i="6"/>
  <c r="BJ336" i="6"/>
  <c r="CC336" i="6"/>
  <c r="BD336" i="6"/>
  <c r="BT336" i="6"/>
  <c r="BI336" i="6"/>
  <c r="BC336" i="6"/>
  <c r="BY336" i="6"/>
  <c r="CM336" i="6"/>
  <c r="BV336" i="6"/>
  <c r="CH336" i="6"/>
  <c r="BX336" i="6"/>
  <c r="BR336" i="6"/>
  <c r="CD336" i="6"/>
  <c r="BP336" i="6"/>
  <c r="BN336" i="6"/>
  <c r="CA336" i="6"/>
  <c r="BK336" i="6"/>
  <c r="BW336" i="6"/>
  <c r="BE336" i="6"/>
  <c r="BF336" i="6"/>
  <c r="CK336" i="6"/>
  <c r="BS336" i="6"/>
  <c r="CI336" i="6"/>
  <c r="BO336" i="6"/>
  <c r="CF336" i="6"/>
  <c r="BZ336" i="6"/>
  <c r="BG336" i="6"/>
  <c r="CE336" i="6"/>
  <c r="CG336" i="6"/>
  <c r="N338" i="5"/>
  <c r="D338" i="6" s="1"/>
  <c r="A338" i="12"/>
  <c r="K338" i="5"/>
  <c r="C339" i="5"/>
  <c r="B338" i="6"/>
  <c r="H338" i="5"/>
  <c r="J338" i="5"/>
  <c r="F338" i="5"/>
  <c r="B338" i="5"/>
  <c r="D338" i="5"/>
  <c r="B338" i="12" s="1"/>
  <c r="AD338" i="5"/>
  <c r="AE338" i="5"/>
  <c r="G338" i="5"/>
  <c r="E338" i="5"/>
  <c r="K336" i="12"/>
  <c r="CJ337" i="6" l="1"/>
  <c r="N338" i="6"/>
  <c r="M338" i="6"/>
  <c r="H338" i="6" a="1"/>
  <c r="H338" i="6" s="1"/>
  <c r="CH337" i="6"/>
  <c r="BC337" i="6"/>
  <c r="BS337" i="6"/>
  <c r="BG337" i="6"/>
  <c r="CG337" i="6"/>
  <c r="BD337" i="6"/>
  <c r="BH337" i="6"/>
  <c r="BL337" i="6"/>
  <c r="BV337" i="6"/>
  <c r="CK337" i="6"/>
  <c r="BW337" i="6"/>
  <c r="BN337" i="6"/>
  <c r="BX337" i="6"/>
  <c r="CB337" i="6"/>
  <c r="CM337" i="6"/>
  <c r="BT337" i="6"/>
  <c r="BY337" i="6"/>
  <c r="BQ337" i="6"/>
  <c r="BZ337" i="6"/>
  <c r="BE337" i="6"/>
  <c r="CC337" i="6"/>
  <c r="CD337" i="6"/>
  <c r="BI337" i="6"/>
  <c r="CA337" i="6"/>
  <c r="CI337" i="6"/>
  <c r="CE337" i="6"/>
  <c r="BO337" i="6"/>
  <c r="BP337" i="6"/>
  <c r="CL337" i="6"/>
  <c r="BJ337" i="6"/>
  <c r="BM337" i="6"/>
  <c r="CF337" i="6"/>
  <c r="BR337" i="6"/>
  <c r="BK337" i="6"/>
  <c r="BF337" i="6"/>
  <c r="A339" i="12"/>
  <c r="B339" i="5"/>
  <c r="C340" i="5" s="1"/>
  <c r="G339" i="5"/>
  <c r="B339" i="6"/>
  <c r="D339" i="5"/>
  <c r="B339" i="12" s="1"/>
  <c r="E339" i="5"/>
  <c r="AD339" i="5"/>
  <c r="J339" i="5"/>
  <c r="F339" i="5"/>
  <c r="N339" i="5"/>
  <c r="D339" i="6" s="1"/>
  <c r="AE339" i="5"/>
  <c r="K339" i="5"/>
  <c r="H339" i="5"/>
  <c r="J338" i="12" a="1"/>
  <c r="J338" i="12" s="1"/>
  <c r="L338" i="12" a="1"/>
  <c r="L338" i="12" s="1"/>
  <c r="T337" i="5"/>
  <c r="G337" i="12" s="1"/>
  <c r="AY337" i="6"/>
  <c r="AO337" i="6"/>
  <c r="AQ337" i="6"/>
  <c r="AX337" i="6"/>
  <c r="AJ337" i="6"/>
  <c r="AN337" i="6"/>
  <c r="AR337" i="6"/>
  <c r="AZ337" i="6"/>
  <c r="AK337" i="6"/>
  <c r="AT337" i="6"/>
  <c r="AL337" i="6"/>
  <c r="AP337" i="6"/>
  <c r="AW337" i="6"/>
  <c r="AM337" i="6"/>
  <c r="AV337" i="6"/>
  <c r="BA337" i="6"/>
  <c r="AU337" i="6"/>
  <c r="AS337" i="6"/>
  <c r="CL338" i="6" l="1"/>
  <c r="BP338" i="6"/>
  <c r="CD338" i="6"/>
  <c r="BO338" i="6"/>
  <c r="AW338" i="6"/>
  <c r="CB338" i="6"/>
  <c r="BY338" i="6"/>
  <c r="BJ338" i="6"/>
  <c r="CG338" i="6"/>
  <c r="BR338" i="6"/>
  <c r="BH338" i="6"/>
  <c r="AT338" i="6"/>
  <c r="BX338" i="6"/>
  <c r="CJ338" i="6"/>
  <c r="BT338" i="6"/>
  <c r="CF338" i="6"/>
  <c r="CH338" i="6"/>
  <c r="BW338" i="6"/>
  <c r="BK338" i="6"/>
  <c r="BN338" i="6"/>
  <c r="CE338" i="6"/>
  <c r="BS338" i="6"/>
  <c r="BF338" i="6"/>
  <c r="CA338" i="6"/>
  <c r="CM338" i="6"/>
  <c r="AU338" i="6"/>
  <c r="BZ338" i="6"/>
  <c r="BA338" i="6"/>
  <c r="K338" i="12"/>
  <c r="J339" i="12" a="1"/>
  <c r="J339" i="12" s="1"/>
  <c r="L339" i="12" a="1"/>
  <c r="L339" i="12" s="1"/>
  <c r="N339" i="6"/>
  <c r="H339" i="6" a="1"/>
  <c r="H339" i="6" s="1"/>
  <c r="M339" i="6"/>
  <c r="AV338" i="6"/>
  <c r="T338" i="5"/>
  <c r="G338" i="12" s="1"/>
  <c r="AY338" i="6"/>
  <c r="AZ338" i="6"/>
  <c r="AX338" i="6"/>
  <c r="BC338" i="6"/>
  <c r="BQ338" i="6"/>
  <c r="BE338" i="6"/>
  <c r="CC338" i="6"/>
  <c r="BV338" i="6"/>
  <c r="BL338" i="6"/>
  <c r="BM338" i="6"/>
  <c r="BG338" i="6"/>
  <c r="CK338" i="6"/>
  <c r="BI338" i="6"/>
  <c r="CI338" i="6"/>
  <c r="AE340" i="5"/>
  <c r="G340" i="5"/>
  <c r="B340" i="5"/>
  <c r="C341" i="5" s="1"/>
  <c r="A340" i="12"/>
  <c r="E340" i="5"/>
  <c r="W340" i="5"/>
  <c r="H340" i="12" s="1"/>
  <c r="B340" i="6"/>
  <c r="J340" i="6" s="1" a="1"/>
  <c r="J340" i="6" s="1"/>
  <c r="F340" i="5"/>
  <c r="I340" i="5"/>
  <c r="AD340" i="5"/>
  <c r="N340" i="5"/>
  <c r="D340" i="6" s="1"/>
  <c r="H340" i="5"/>
  <c r="BD338" i="6"/>
  <c r="J337" i="5" l="1"/>
  <c r="CB339" i="6"/>
  <c r="K339" i="12"/>
  <c r="AV339" i="6"/>
  <c r="BK339" i="6"/>
  <c r="BX339" i="6"/>
  <c r="CE339" i="6"/>
  <c r="BI339" i="6"/>
  <c r="BM339" i="6"/>
  <c r="I341" i="5"/>
  <c r="A341" i="12"/>
  <c r="H341" i="5"/>
  <c r="AE341" i="5"/>
  <c r="W341" i="5"/>
  <c r="H341" i="12" s="1"/>
  <c r="F341" i="5"/>
  <c r="G341" i="5"/>
  <c r="E341" i="5"/>
  <c r="B341" i="5"/>
  <c r="C342" i="5"/>
  <c r="N341" i="5"/>
  <c r="D341" i="6" s="1"/>
  <c r="B341" i="6"/>
  <c r="J341" i="6" s="1" a="1"/>
  <c r="J341" i="6" s="1"/>
  <c r="AD341" i="5"/>
  <c r="CA339" i="6"/>
  <c r="BE339" i="6"/>
  <c r="BV339" i="6"/>
  <c r="BS339" i="6"/>
  <c r="CI339" i="6"/>
  <c r="BH339" i="6"/>
  <c r="CK339" i="6"/>
  <c r="CG339" i="6"/>
  <c r="BT339" i="6"/>
  <c r="CJ339" i="6"/>
  <c r="BN339" i="6"/>
  <c r="CM339" i="6"/>
  <c r="CL339" i="6"/>
  <c r="BD339" i="6"/>
  <c r="BZ339" i="6"/>
  <c r="BY339" i="6"/>
  <c r="BP339" i="6"/>
  <c r="CD339" i="6"/>
  <c r="BJ339" i="6"/>
  <c r="CF339" i="6"/>
  <c r="BR339" i="6"/>
  <c r="CC339" i="6"/>
  <c r="CH339" i="6"/>
  <c r="BF339" i="6"/>
  <c r="BW339" i="6"/>
  <c r="BO339" i="6"/>
  <c r="BG339" i="6"/>
  <c r="BC339" i="6"/>
  <c r="BL339" i="6"/>
  <c r="H340" i="6" a="1"/>
  <c r="H340" i="6" s="1"/>
  <c r="G340" i="6"/>
  <c r="N340" i="6"/>
  <c r="M340" i="6"/>
  <c r="CL340" i="6" s="1"/>
  <c r="BA339" i="6"/>
  <c r="AU339" i="6"/>
  <c r="AZ339" i="6"/>
  <c r="AY339" i="6"/>
  <c r="T339" i="5"/>
  <c r="G339" i="12" s="1"/>
  <c r="AX339" i="6"/>
  <c r="AW339" i="6"/>
  <c r="AT339" i="6"/>
  <c r="BQ339" i="6"/>
  <c r="CE340" i="6" l="1"/>
  <c r="AT340" i="6"/>
  <c r="BA340" i="6"/>
  <c r="BQ340" i="6"/>
  <c r="BS340" i="6"/>
  <c r="BT340" i="6"/>
  <c r="BC340" i="6"/>
  <c r="C343" i="5"/>
  <c r="B342" i="5"/>
  <c r="N342" i="5"/>
  <c r="D342" i="6" s="1"/>
  <c r="E342" i="5"/>
  <c r="K342" i="5"/>
  <c r="A342" i="12"/>
  <c r="H342" i="5"/>
  <c r="AD342" i="5"/>
  <c r="AE342" i="5"/>
  <c r="G342" i="5"/>
  <c r="J342" i="5"/>
  <c r="D342" i="5"/>
  <c r="B342" i="12" s="1"/>
  <c r="B342" i="6"/>
  <c r="F342" i="5"/>
  <c r="BR340" i="6"/>
  <c r="AZ340" i="6"/>
  <c r="BW340" i="6"/>
  <c r="BF340" i="6"/>
  <c r="CG340" i="6"/>
  <c r="BP340" i="6"/>
  <c r="CH340" i="6"/>
  <c r="CK340" i="6"/>
  <c r="BD340" i="6"/>
  <c r="CJ340" i="6"/>
  <c r="BY340" i="6"/>
  <c r="BG340" i="6"/>
  <c r="BE340" i="6"/>
  <c r="BI340" i="6"/>
  <c r="BN340" i="6"/>
  <c r="CM340" i="6"/>
  <c r="BV340" i="6"/>
  <c r="BZ340" i="6"/>
  <c r="BJ340" i="6"/>
  <c r="CC340" i="6"/>
  <c r="CB340" i="6"/>
  <c r="BM340" i="6"/>
  <c r="BO340" i="6"/>
  <c r="AM340" i="6"/>
  <c r="AS340" i="6"/>
  <c r="CI340" i="6"/>
  <c r="CA340" i="6"/>
  <c r="CD340" i="6"/>
  <c r="BL340" i="6"/>
  <c r="BH340" i="6"/>
  <c r="AY340" i="6"/>
  <c r="T340" i="5"/>
  <c r="G340" i="12" s="1"/>
  <c r="AU340" i="6"/>
  <c r="AP340" i="6"/>
  <c r="AR340" i="6"/>
  <c r="AK340" i="6"/>
  <c r="AN340" i="6"/>
  <c r="AV340" i="6"/>
  <c r="AW340" i="6"/>
  <c r="AQ340" i="6"/>
  <c r="AL340" i="6"/>
  <c r="AX340" i="6"/>
  <c r="AJ340" i="6"/>
  <c r="AO340" i="6"/>
  <c r="BX340" i="6"/>
  <c r="CF340" i="6"/>
  <c r="BK340" i="6"/>
  <c r="G341" i="6"/>
  <c r="N341" i="6"/>
  <c r="M341" i="6"/>
  <c r="H341" i="6" a="1"/>
  <c r="H341" i="6" s="1"/>
  <c r="A343" i="12" l="1"/>
  <c r="E343" i="5"/>
  <c r="B343" i="6"/>
  <c r="B343" i="5"/>
  <c r="AD343" i="5"/>
  <c r="J343" i="5"/>
  <c r="D343" i="5"/>
  <c r="B343" i="12" s="1"/>
  <c r="C344" i="5"/>
  <c r="F343" i="5"/>
  <c r="N343" i="5"/>
  <c r="D343" i="6" s="1"/>
  <c r="K343" i="5"/>
  <c r="H343" i="5"/>
  <c r="AE343" i="5"/>
  <c r="G343" i="5"/>
  <c r="L342" i="12" a="1"/>
  <c r="L342" i="12" s="1"/>
  <c r="J342" i="12" a="1"/>
  <c r="J342" i="12" s="1"/>
  <c r="T341" i="5"/>
  <c r="G341" i="12" s="1"/>
  <c r="AK341" i="6"/>
  <c r="AL341" i="6"/>
  <c r="AV341" i="6"/>
  <c r="BA341" i="6"/>
  <c r="AZ341" i="6"/>
  <c r="AP341" i="6"/>
  <c r="AO341" i="6"/>
  <c r="AX341" i="6"/>
  <c r="AU341" i="6"/>
  <c r="AR341" i="6"/>
  <c r="AT341" i="6"/>
  <c r="AY341" i="6"/>
  <c r="AM341" i="6"/>
  <c r="AS341" i="6"/>
  <c r="AN341" i="6"/>
  <c r="AQ341" i="6"/>
  <c r="AJ341" i="6"/>
  <c r="AW341" i="6"/>
  <c r="CL341" i="6"/>
  <c r="CE341" i="6"/>
  <c r="CI341" i="6"/>
  <c r="CD341" i="6"/>
  <c r="CA341" i="6"/>
  <c r="CJ341" i="6"/>
  <c r="CK341" i="6"/>
  <c r="BD341" i="6"/>
  <c r="BR341" i="6"/>
  <c r="BF341" i="6"/>
  <c r="BJ341" i="6"/>
  <c r="BO341" i="6"/>
  <c r="CH341" i="6"/>
  <c r="BT341" i="6"/>
  <c r="BL341" i="6"/>
  <c r="BN341" i="6"/>
  <c r="BE341" i="6"/>
  <c r="BK341" i="6"/>
  <c r="CG341" i="6"/>
  <c r="BS341" i="6"/>
  <c r="BY341" i="6"/>
  <c r="CF341" i="6"/>
  <c r="BQ341" i="6"/>
  <c r="BH341" i="6"/>
  <c r="CM341" i="6"/>
  <c r="BC341" i="6"/>
  <c r="BI341" i="6"/>
  <c r="CB341" i="6"/>
  <c r="BX341" i="6"/>
  <c r="CC341" i="6"/>
  <c r="BP341" i="6"/>
  <c r="BV341" i="6"/>
  <c r="BG341" i="6"/>
  <c r="BZ341" i="6"/>
  <c r="BW341" i="6"/>
  <c r="BM341" i="6"/>
  <c r="M342" i="6"/>
  <c r="BF342" i="6" s="1"/>
  <c r="H342" i="6" a="1"/>
  <c r="H342" i="6" s="1"/>
  <c r="N342" i="6"/>
  <c r="CC342" i="6" l="1"/>
  <c r="CG342" i="6"/>
  <c r="CF342" i="6"/>
  <c r="CD342" i="6"/>
  <c r="BW342" i="6"/>
  <c r="BP342" i="6"/>
  <c r="CA342" i="6"/>
  <c r="CL342" i="6"/>
  <c r="BI342" i="6"/>
  <c r="BQ342" i="6"/>
  <c r="BR342" i="6"/>
  <c r="BT342" i="6"/>
  <c r="BV342" i="6"/>
  <c r="CH342" i="6"/>
  <c r="BG342" i="6"/>
  <c r="BX342" i="6"/>
  <c r="BC342" i="6"/>
  <c r="CI342" i="6"/>
  <c r="BS342" i="6"/>
  <c r="BL342" i="6"/>
  <c r="CJ342" i="6"/>
  <c r="BJ342" i="6"/>
  <c r="CB342" i="6"/>
  <c r="BD342" i="6"/>
  <c r="BK342" i="6"/>
  <c r="BO342" i="6"/>
  <c r="BH342" i="6"/>
  <c r="CE342" i="6"/>
  <c r="CM342" i="6"/>
  <c r="CK342" i="6"/>
  <c r="BY342" i="6"/>
  <c r="BM342" i="6"/>
  <c r="BE342" i="6"/>
  <c r="BN342" i="6"/>
  <c r="T342" i="5"/>
  <c r="G342" i="12" s="1"/>
  <c r="AU342" i="6"/>
  <c r="AX342" i="6"/>
  <c r="AW342" i="6"/>
  <c r="AT342" i="6"/>
  <c r="AY342" i="6"/>
  <c r="BA342" i="6"/>
  <c r="AZ342" i="6"/>
  <c r="AV342" i="6"/>
  <c r="N343" i="6"/>
  <c r="M343" i="6"/>
  <c r="H343" i="6" a="1"/>
  <c r="H343" i="6" s="1"/>
  <c r="AE344" i="5"/>
  <c r="G344" i="5"/>
  <c r="AD344" i="5"/>
  <c r="E344" i="5"/>
  <c r="B344" i="5"/>
  <c r="C345" i="5"/>
  <c r="B344" i="6"/>
  <c r="N344" i="5"/>
  <c r="D344" i="6" s="1"/>
  <c r="K344" i="5"/>
  <c r="H344" i="5"/>
  <c r="A344" i="12"/>
  <c r="D344" i="5"/>
  <c r="B344" i="12" s="1"/>
  <c r="J344" i="5"/>
  <c r="F344" i="5"/>
  <c r="BZ342" i="6"/>
  <c r="K342" i="12"/>
  <c r="L343" i="12" a="1"/>
  <c r="L343" i="12" s="1"/>
  <c r="J343" i="12" a="1"/>
  <c r="J343" i="12" s="1"/>
  <c r="K343" i="12" l="1"/>
  <c r="AW343" i="6"/>
  <c r="AU343" i="6"/>
  <c r="T343" i="5"/>
  <c r="G343" i="12" s="1"/>
  <c r="AX343" i="6"/>
  <c r="AV343" i="6"/>
  <c r="AY343" i="6"/>
  <c r="AZ343" i="6"/>
  <c r="AT343" i="6"/>
  <c r="L344" i="12" a="1"/>
  <c r="L344" i="12" s="1"/>
  <c r="J344" i="12" a="1"/>
  <c r="J344" i="12" s="1"/>
  <c r="BP343" i="6"/>
  <c r="CL343" i="6"/>
  <c r="CJ343" i="6"/>
  <c r="CF343" i="6"/>
  <c r="CK343" i="6"/>
  <c r="BR343" i="6"/>
  <c r="BZ343" i="6"/>
  <c r="CB343" i="6"/>
  <c r="BH343" i="6"/>
  <c r="BS343" i="6"/>
  <c r="CG343" i="6"/>
  <c r="BI343" i="6"/>
  <c r="CA343" i="6"/>
  <c r="BF343" i="6"/>
  <c r="BJ343" i="6"/>
  <c r="BG343" i="6"/>
  <c r="BC343" i="6"/>
  <c r="BD343" i="6"/>
  <c r="BW343" i="6"/>
  <c r="BN343" i="6"/>
  <c r="BV343" i="6"/>
  <c r="BO343" i="6"/>
  <c r="BQ343" i="6"/>
  <c r="CI343" i="6"/>
  <c r="CH343" i="6"/>
  <c r="CM343" i="6"/>
  <c r="BY343" i="6"/>
  <c r="BM343" i="6"/>
  <c r="BK343" i="6"/>
  <c r="CC343" i="6"/>
  <c r="BT343" i="6"/>
  <c r="BL343" i="6"/>
  <c r="CD343" i="6"/>
  <c r="CE343" i="6"/>
  <c r="BE343" i="6"/>
  <c r="BX343" i="6"/>
  <c r="M344" i="6"/>
  <c r="BY344" i="6" s="1"/>
  <c r="H344" i="6" a="1"/>
  <c r="H344" i="6" s="1"/>
  <c r="N344" i="6"/>
  <c r="D345" i="5"/>
  <c r="B345" i="12" s="1"/>
  <c r="J345" i="5"/>
  <c r="AD345" i="5"/>
  <c r="N345" i="5"/>
  <c r="D345" i="6" s="1"/>
  <c r="B345" i="6"/>
  <c r="F345" i="5"/>
  <c r="B345" i="5"/>
  <c r="C346" i="5"/>
  <c r="G345" i="5"/>
  <c r="K345" i="5"/>
  <c r="H345" i="5"/>
  <c r="AE345" i="5"/>
  <c r="A345" i="12"/>
  <c r="E345" i="5"/>
  <c r="BA343" i="6"/>
  <c r="K344" i="12" l="1"/>
  <c r="CB344" i="6"/>
  <c r="AX344" i="6"/>
  <c r="CG344" i="6"/>
  <c r="AU344" i="6"/>
  <c r="BC344" i="6"/>
  <c r="CH344" i="6"/>
  <c r="M345" i="6"/>
  <c r="CM345" i="6" s="1"/>
  <c r="N345" i="6"/>
  <c r="H345" i="6" a="1"/>
  <c r="H345" i="6" s="1"/>
  <c r="L345" i="12" a="1"/>
  <c r="L345" i="12" s="1"/>
  <c r="J345" i="12" a="1"/>
  <c r="J345" i="12" s="1"/>
  <c r="AY344" i="6"/>
  <c r="AW344" i="6"/>
  <c r="AZ344" i="6"/>
  <c r="BA344" i="6"/>
  <c r="T344" i="5"/>
  <c r="G344" i="12" s="1"/>
  <c r="AV344" i="6"/>
  <c r="AT344" i="6"/>
  <c r="D346" i="5"/>
  <c r="B346" i="12" s="1"/>
  <c r="AD346" i="5"/>
  <c r="C347" i="5"/>
  <c r="N346" i="5"/>
  <c r="D346" i="6" s="1"/>
  <c r="K346" i="5"/>
  <c r="H346" i="5"/>
  <c r="AE346" i="5"/>
  <c r="B346" i="6"/>
  <c r="G346" i="5"/>
  <c r="F346" i="5"/>
  <c r="A346" i="12"/>
  <c r="E346" i="5"/>
  <c r="B346" i="5"/>
  <c r="J346" i="5"/>
  <c r="CA344" i="6"/>
  <c r="BW344" i="6"/>
  <c r="BZ344" i="6"/>
  <c r="CD344" i="6"/>
  <c r="BJ344" i="6"/>
  <c r="BM344" i="6"/>
  <c r="BO344" i="6"/>
  <c r="CJ344" i="6"/>
  <c r="BL344" i="6"/>
  <c r="BV344" i="6"/>
  <c r="CL344" i="6"/>
  <c r="BT344" i="6"/>
  <c r="BQ344" i="6"/>
  <c r="CM344" i="6"/>
  <c r="BP344" i="6"/>
  <c r="BH344" i="6"/>
  <c r="BF344" i="6"/>
  <c r="BD344" i="6"/>
  <c r="BE344" i="6"/>
  <c r="BR344" i="6"/>
  <c r="BK344" i="6"/>
  <c r="BI344" i="6"/>
  <c r="CE344" i="6"/>
  <c r="BS344" i="6"/>
  <c r="CK344" i="6"/>
  <c r="BX344" i="6"/>
  <c r="CC344" i="6"/>
  <c r="BN344" i="6"/>
  <c r="CF344" i="6"/>
  <c r="CI344" i="6"/>
  <c r="BG344" i="6"/>
  <c r="BM345" i="6" l="1"/>
  <c r="BE345" i="6"/>
  <c r="AZ345" i="6"/>
  <c r="BV345" i="6"/>
  <c r="CI345" i="6"/>
  <c r="BL345" i="6"/>
  <c r="BI345" i="6"/>
  <c r="CK345" i="6"/>
  <c r="BZ345" i="6"/>
  <c r="BN345" i="6"/>
  <c r="AT345" i="6"/>
  <c r="BD345" i="6"/>
  <c r="BY345" i="6"/>
  <c r="BO345" i="6"/>
  <c r="BK345" i="6"/>
  <c r="CC345" i="6"/>
  <c r="K345" i="12"/>
  <c r="BH345" i="6"/>
  <c r="CE345" i="6"/>
  <c r="CB345" i="6"/>
  <c r="CD345" i="6"/>
  <c r="AX345" i="6"/>
  <c r="AW345" i="6"/>
  <c r="AU345" i="6"/>
  <c r="M346" i="6"/>
  <c r="N346" i="6"/>
  <c r="H346" i="6" a="1"/>
  <c r="H346" i="6" s="1"/>
  <c r="A347" i="12"/>
  <c r="K347" i="5"/>
  <c r="D347" i="5"/>
  <c r="B347" i="12" s="1"/>
  <c r="AE347" i="5"/>
  <c r="B347" i="6"/>
  <c r="H347" i="5"/>
  <c r="AD347" i="5"/>
  <c r="J347" i="5"/>
  <c r="F347" i="5"/>
  <c r="G347" i="5"/>
  <c r="E347" i="5"/>
  <c r="B347" i="5"/>
  <c r="C348" i="5"/>
  <c r="N347" i="5"/>
  <c r="D347" i="6" s="1"/>
  <c r="T345" i="5"/>
  <c r="G345" i="12" s="1"/>
  <c r="BA345" i="6"/>
  <c r="BG345" i="6"/>
  <c r="BQ345" i="6"/>
  <c r="CH345" i="6"/>
  <c r="BJ345" i="6"/>
  <c r="CF345" i="6"/>
  <c r="BF345" i="6"/>
  <c r="CL345" i="6"/>
  <c r="BT345" i="6"/>
  <c r="BP345" i="6"/>
  <c r="BW345" i="6"/>
  <c r="BR345" i="6"/>
  <c r="CJ345" i="6"/>
  <c r="CA345" i="6"/>
  <c r="BC345" i="6"/>
  <c r="BX345" i="6"/>
  <c r="L346" i="12" a="1"/>
  <c r="L346" i="12" s="1"/>
  <c r="J346" i="12" a="1"/>
  <c r="J346" i="12" s="1"/>
  <c r="CG345" i="6"/>
  <c r="AV345" i="6"/>
  <c r="AY345" i="6"/>
  <c r="BS345" i="6"/>
  <c r="H347" i="6" l="1" a="1"/>
  <c r="H347" i="6" s="1"/>
  <c r="N347" i="6"/>
  <c r="M347" i="6"/>
  <c r="K348" i="5"/>
  <c r="H348" i="5"/>
  <c r="A348" i="12"/>
  <c r="N348" i="5"/>
  <c r="D348" i="6" s="1"/>
  <c r="AE348" i="5"/>
  <c r="AD348" i="5"/>
  <c r="G348" i="5"/>
  <c r="E348" i="5"/>
  <c r="B348" i="6"/>
  <c r="B348" i="5"/>
  <c r="J348" i="5"/>
  <c r="F348" i="5"/>
  <c r="D348" i="5"/>
  <c r="B348" i="12" s="1"/>
  <c r="C349" i="5"/>
  <c r="L347" i="12" a="1"/>
  <c r="L347" i="12" s="1"/>
  <c r="J347" i="12" a="1"/>
  <c r="J347" i="12" s="1"/>
  <c r="AZ346" i="6"/>
  <c r="BA346" i="6"/>
  <c r="AY346" i="6"/>
  <c r="AT346" i="6"/>
  <c r="AU346" i="6"/>
  <c r="AV346" i="6"/>
  <c r="AW346" i="6"/>
  <c r="AX346" i="6"/>
  <c r="T346" i="5"/>
  <c r="G346" i="12" s="1"/>
  <c r="BS346" i="6"/>
  <c r="BG346" i="6"/>
  <c r="CI346" i="6"/>
  <c r="BP346" i="6"/>
  <c r="BW346" i="6"/>
  <c r="CG346" i="6"/>
  <c r="BT346" i="6"/>
  <c r="BK346" i="6"/>
  <c r="BD346" i="6"/>
  <c r="CL346" i="6"/>
  <c r="CB346" i="6"/>
  <c r="BX346" i="6"/>
  <c r="CM346" i="6"/>
  <c r="BM346" i="6"/>
  <c r="BJ346" i="6"/>
  <c r="BZ346" i="6"/>
  <c r="CH346" i="6"/>
  <c r="BH346" i="6"/>
  <c r="BQ346" i="6"/>
  <c r="BV346" i="6"/>
  <c r="CE346" i="6"/>
  <c r="BN346" i="6"/>
  <c r="BR346" i="6"/>
  <c r="CC346" i="6"/>
  <c r="BO346" i="6"/>
  <c r="CD346" i="6"/>
  <c r="BF346" i="6"/>
  <c r="CA346" i="6"/>
  <c r="BI346" i="6"/>
  <c r="CK346" i="6"/>
  <c r="BY346" i="6"/>
  <c r="BC346" i="6"/>
  <c r="BL346" i="6"/>
  <c r="CJ346" i="6"/>
  <c r="CF346" i="6"/>
  <c r="BE346" i="6"/>
  <c r="K346" i="12"/>
  <c r="BE347" i="6" l="1"/>
  <c r="BW347" i="6"/>
  <c r="M348" i="6"/>
  <c r="N348" i="6"/>
  <c r="H348" i="6" a="1"/>
  <c r="H348" i="6" s="1"/>
  <c r="K347" i="12"/>
  <c r="J348" i="12" a="1"/>
  <c r="J348" i="12" s="1"/>
  <c r="L348" i="12" a="1"/>
  <c r="L348" i="12" s="1"/>
  <c r="AE349" i="5"/>
  <c r="E349" i="5"/>
  <c r="G349" i="5"/>
  <c r="A349" i="12"/>
  <c r="B349" i="6"/>
  <c r="B349" i="5"/>
  <c r="D349" i="5"/>
  <c r="B349" i="12" s="1"/>
  <c r="AD349" i="5"/>
  <c r="J349" i="5"/>
  <c r="C350" i="5"/>
  <c r="N349" i="5"/>
  <c r="D349" i="6" s="1"/>
  <c r="K349" i="5"/>
  <c r="F349" i="5"/>
  <c r="H349" i="5"/>
  <c r="CM347" i="6"/>
  <c r="BP347" i="6"/>
  <c r="CJ347" i="6"/>
  <c r="CC347" i="6"/>
  <c r="CG347" i="6"/>
  <c r="BJ347" i="6"/>
  <c r="CH347" i="6"/>
  <c r="BF347" i="6"/>
  <c r="BO347" i="6"/>
  <c r="BD347" i="6"/>
  <c r="BC347" i="6"/>
  <c r="CA347" i="6"/>
  <c r="CI347" i="6"/>
  <c r="BH347" i="6"/>
  <c r="BM347" i="6"/>
  <c r="CD347" i="6"/>
  <c r="BR347" i="6"/>
  <c r="BG347" i="6"/>
  <c r="BK347" i="6"/>
  <c r="CL347" i="6"/>
  <c r="BX347" i="6"/>
  <c r="CB347" i="6"/>
  <c r="BY347" i="6"/>
  <c r="BQ347" i="6"/>
  <c r="BV347" i="6"/>
  <c r="BI347" i="6"/>
  <c r="BL347" i="6"/>
  <c r="BZ347" i="6"/>
  <c r="CK347" i="6"/>
  <c r="BT347" i="6"/>
  <c r="CE347" i="6"/>
  <c r="BS347" i="6"/>
  <c r="BN347" i="6"/>
  <c r="CF347" i="6"/>
  <c r="T347" i="5"/>
  <c r="G347" i="12" s="1"/>
  <c r="AV347" i="6"/>
  <c r="AY347" i="6"/>
  <c r="AT347" i="6"/>
  <c r="AW347" i="6"/>
  <c r="AX347" i="6"/>
  <c r="AZ347" i="6"/>
  <c r="BA347" i="6"/>
  <c r="AU347" i="6"/>
  <c r="K348" i="12" l="1"/>
  <c r="L349" i="12" a="1"/>
  <c r="L349" i="12" s="1"/>
  <c r="J349" i="12" a="1"/>
  <c r="J349" i="12" s="1"/>
  <c r="H349" i="6" a="1"/>
  <c r="H349" i="6" s="1"/>
  <c r="N349" i="6"/>
  <c r="M349" i="6"/>
  <c r="AE350" i="5"/>
  <c r="AD350" i="5"/>
  <c r="G350" i="5"/>
  <c r="E350" i="5"/>
  <c r="B350" i="5"/>
  <c r="C351" i="5"/>
  <c r="J350" i="5"/>
  <c r="N350" i="5"/>
  <c r="D350" i="6" s="1"/>
  <c r="A350" i="12"/>
  <c r="K350" i="5"/>
  <c r="B350" i="6"/>
  <c r="H350" i="5"/>
  <c r="F350" i="5"/>
  <c r="D350" i="5"/>
  <c r="B350" i="12" s="1"/>
  <c r="AW348" i="6"/>
  <c r="AZ348" i="6"/>
  <c r="AU348" i="6"/>
  <c r="AX348" i="6"/>
  <c r="BA348" i="6"/>
  <c r="T348" i="5"/>
  <c r="G348" i="12" s="1"/>
  <c r="AV348" i="6"/>
  <c r="AY348" i="6"/>
  <c r="AT348" i="6"/>
  <c r="CJ348" i="6"/>
  <c r="BJ348" i="6"/>
  <c r="BS348" i="6"/>
  <c r="CK348" i="6"/>
  <c r="CH348" i="6"/>
  <c r="BM348" i="6"/>
  <c r="BT348" i="6"/>
  <c r="BC348" i="6"/>
  <c r="CB348" i="6"/>
  <c r="CC348" i="6"/>
  <c r="BY348" i="6"/>
  <c r="BD348" i="6"/>
  <c r="BL348" i="6"/>
  <c r="CD348" i="6"/>
  <c r="CI348" i="6"/>
  <c r="BW348" i="6"/>
  <c r="BN348" i="6"/>
  <c r="BE348" i="6"/>
  <c r="BF348" i="6"/>
  <c r="BR348" i="6"/>
  <c r="BZ348" i="6"/>
  <c r="CE348" i="6"/>
  <c r="CF348" i="6"/>
  <c r="BQ348" i="6"/>
  <c r="CL348" i="6"/>
  <c r="BX348" i="6"/>
  <c r="BK348" i="6"/>
  <c r="BO348" i="6"/>
  <c r="CA348" i="6"/>
  <c r="CG348" i="6"/>
  <c r="CM348" i="6"/>
  <c r="BG348" i="6"/>
  <c r="BI348" i="6"/>
  <c r="BH348" i="6"/>
  <c r="BV348" i="6"/>
  <c r="BP348" i="6"/>
  <c r="BQ349" i="6" l="1"/>
  <c r="CM349" i="6"/>
  <c r="BE349" i="6"/>
  <c r="BP349" i="6"/>
  <c r="BF349" i="6"/>
  <c r="AU349" i="6"/>
  <c r="K349" i="12"/>
  <c r="CH349" i="6"/>
  <c r="BN349" i="6"/>
  <c r="CD349" i="6"/>
  <c r="BR349" i="6"/>
  <c r="CF349" i="6"/>
  <c r="BK349" i="6"/>
  <c r="BX349" i="6"/>
  <c r="BH349" i="6"/>
  <c r="BO349" i="6"/>
  <c r="CC349" i="6"/>
  <c r="BG349" i="6"/>
  <c r="BC349" i="6"/>
  <c r="BJ349" i="6"/>
  <c r="BZ349" i="6"/>
  <c r="CK349" i="6"/>
  <c r="CB349" i="6"/>
  <c r="CA349" i="6"/>
  <c r="BW349" i="6"/>
  <c r="CI349" i="6"/>
  <c r="BS349" i="6"/>
  <c r="CE349" i="6"/>
  <c r="CG349" i="6"/>
  <c r="BL349" i="6"/>
  <c r="BM349" i="6"/>
  <c r="BD349" i="6"/>
  <c r="BV349" i="6"/>
  <c r="CJ349" i="6"/>
  <c r="BY349" i="6"/>
  <c r="CL349" i="6"/>
  <c r="BT349" i="6"/>
  <c r="L350" i="12" a="1"/>
  <c r="L350" i="12" s="1"/>
  <c r="J350" i="12" a="1"/>
  <c r="J350" i="12" s="1"/>
  <c r="N350" i="6"/>
  <c r="M350" i="6"/>
  <c r="BD350" i="6" s="1"/>
  <c r="H350" i="6" a="1"/>
  <c r="H350" i="6" s="1"/>
  <c r="AV349" i="6"/>
  <c r="T349" i="5"/>
  <c r="G349" i="12" s="1"/>
  <c r="AX349" i="6"/>
  <c r="AZ349" i="6"/>
  <c r="AY349" i="6"/>
  <c r="AW349" i="6"/>
  <c r="AT349" i="6"/>
  <c r="BI349" i="6"/>
  <c r="C352" i="5"/>
  <c r="N351" i="5"/>
  <c r="D351" i="6" s="1"/>
  <c r="K351" i="5"/>
  <c r="H351" i="5"/>
  <c r="B351" i="5"/>
  <c r="E351" i="5"/>
  <c r="AE351" i="5"/>
  <c r="G351" i="5"/>
  <c r="A351" i="12"/>
  <c r="B351" i="6"/>
  <c r="D351" i="5"/>
  <c r="B351" i="12" s="1"/>
  <c r="AD351" i="5"/>
  <c r="J351" i="5"/>
  <c r="F351" i="5"/>
  <c r="BA349" i="6"/>
  <c r="K350" i="12" l="1"/>
  <c r="T350" i="5"/>
  <c r="G350" i="12" s="1"/>
  <c r="AT350" i="6"/>
  <c r="AU350" i="6"/>
  <c r="AV350" i="6"/>
  <c r="AW350" i="6"/>
  <c r="AX350" i="6"/>
  <c r="BA350" i="6"/>
  <c r="AZ350" i="6"/>
  <c r="L351" i="12" a="1"/>
  <c r="L351" i="12" s="1"/>
  <c r="J351" i="12" a="1"/>
  <c r="J351" i="12" s="1"/>
  <c r="AY350" i="6"/>
  <c r="CH350" i="6"/>
  <c r="CE350" i="6"/>
  <c r="BH350" i="6"/>
  <c r="BN350" i="6"/>
  <c r="BX350" i="6"/>
  <c r="CC350" i="6"/>
  <c r="BE350" i="6"/>
  <c r="BS350" i="6"/>
  <c r="BL350" i="6"/>
  <c r="BR350" i="6"/>
  <c r="CL350" i="6"/>
  <c r="BI350" i="6"/>
  <c r="BZ350" i="6"/>
  <c r="CI350" i="6"/>
  <c r="BM350" i="6"/>
  <c r="BV350" i="6"/>
  <c r="CA350" i="6"/>
  <c r="BJ350" i="6"/>
  <c r="CF350" i="6"/>
  <c r="CD350" i="6"/>
  <c r="CJ350" i="6"/>
  <c r="BC350" i="6"/>
  <c r="BQ350" i="6"/>
  <c r="BG350" i="6"/>
  <c r="BO350" i="6"/>
  <c r="BP350" i="6"/>
  <c r="CK350" i="6"/>
  <c r="CG350" i="6"/>
  <c r="CM350" i="6"/>
  <c r="BT350" i="6"/>
  <c r="CB350" i="6"/>
  <c r="BW350" i="6"/>
  <c r="BY350" i="6"/>
  <c r="J352" i="5"/>
  <c r="D352" i="5"/>
  <c r="B352" i="12" s="1"/>
  <c r="F352" i="5"/>
  <c r="AD352" i="5"/>
  <c r="C353" i="5"/>
  <c r="N352" i="5"/>
  <c r="D352" i="6" s="1"/>
  <c r="K352" i="5"/>
  <c r="H352" i="5"/>
  <c r="B352" i="5"/>
  <c r="AE352" i="5"/>
  <c r="G352" i="5"/>
  <c r="A352" i="12"/>
  <c r="E352" i="5"/>
  <c r="B352" i="6"/>
  <c r="N351" i="6"/>
  <c r="M351" i="6"/>
  <c r="CB351" i="6" s="1"/>
  <c r="H351" i="6" a="1"/>
  <c r="H351" i="6" s="1"/>
  <c r="T351" i="5" s="1"/>
  <c r="G351" i="12" s="1"/>
  <c r="BF350" i="6"/>
  <c r="BK350" i="6"/>
  <c r="BF351" i="6" l="1"/>
  <c r="K351" i="12"/>
  <c r="AX351" i="6"/>
  <c r="AU351" i="6"/>
  <c r="AW351" i="6"/>
  <c r="BP351" i="6"/>
  <c r="BM351" i="6"/>
  <c r="CI351" i="6"/>
  <c r="BE351" i="6"/>
  <c r="BT351" i="6"/>
  <c r="AT351" i="6"/>
  <c r="CM351" i="6"/>
  <c r="BJ351" i="6"/>
  <c r="BK351" i="6"/>
  <c r="CD351" i="6"/>
  <c r="BR351" i="6"/>
  <c r="BW351" i="6"/>
  <c r="BV351" i="6"/>
  <c r="BI351" i="6"/>
  <c r="BS351" i="6"/>
  <c r="BA351" i="6"/>
  <c r="H352" i="6" a="1"/>
  <c r="H352" i="6" s="1"/>
  <c r="M352" i="6"/>
  <c r="BT352" i="6" s="1"/>
  <c r="N352" i="6"/>
  <c r="BX351" i="6"/>
  <c r="CF351" i="6"/>
  <c r="BH351" i="6"/>
  <c r="BZ351" i="6"/>
  <c r="A353" i="12"/>
  <c r="H353" i="5"/>
  <c r="B353" i="6"/>
  <c r="J353" i="5"/>
  <c r="D353" i="5"/>
  <c r="B353" i="12" s="1"/>
  <c r="AD353" i="5"/>
  <c r="F353" i="5"/>
  <c r="AE353" i="5"/>
  <c r="G353" i="5"/>
  <c r="E353" i="5"/>
  <c r="B353" i="5"/>
  <c r="C354" i="5" s="1"/>
  <c r="K353" i="5"/>
  <c r="N353" i="5"/>
  <c r="D353" i="6" s="1"/>
  <c r="CG351" i="6"/>
  <c r="BY351" i="6"/>
  <c r="CH351" i="6"/>
  <c r="BQ351" i="6"/>
  <c r="AY351" i="6"/>
  <c r="CA351" i="6"/>
  <c r="CE351" i="6"/>
  <c r="BG351" i="6"/>
  <c r="BN351" i="6"/>
  <c r="CJ351" i="6"/>
  <c r="BO351" i="6"/>
  <c r="BC351" i="6"/>
  <c r="BL351" i="6"/>
  <c r="AZ351" i="6"/>
  <c r="CC351" i="6"/>
  <c r="L352" i="12" a="1"/>
  <c r="L352" i="12" s="1"/>
  <c r="J352" i="12" a="1"/>
  <c r="J352" i="12" s="1"/>
  <c r="CK351" i="6"/>
  <c r="BD351" i="6"/>
  <c r="AV351" i="6"/>
  <c r="CL351" i="6"/>
  <c r="AW352" i="6" l="1"/>
  <c r="BM352" i="6"/>
  <c r="CF352" i="6"/>
  <c r="CC352" i="6"/>
  <c r="CA352" i="6"/>
  <c r="AZ352" i="6"/>
  <c r="BN352" i="6"/>
  <c r="BK352" i="6"/>
  <c r="CE352" i="6"/>
  <c r="BO352" i="6"/>
  <c r="BJ352" i="6"/>
  <c r="BZ352" i="6"/>
  <c r="BQ352" i="6"/>
  <c r="BH352" i="6"/>
  <c r="BD352" i="6"/>
  <c r="N353" i="6"/>
  <c r="M353" i="6"/>
  <c r="BT353" i="6" s="1"/>
  <c r="H353" i="6" a="1"/>
  <c r="H353" i="6" s="1"/>
  <c r="L353" i="12" a="1"/>
  <c r="L353" i="12" s="1"/>
  <c r="J353" i="12" a="1"/>
  <c r="J353" i="12" s="1"/>
  <c r="B354" i="6"/>
  <c r="J354" i="6" s="1" a="1"/>
  <c r="J354" i="6" s="1"/>
  <c r="F354" i="5"/>
  <c r="AD354" i="5"/>
  <c r="A354" i="12"/>
  <c r="W354" i="5"/>
  <c r="H354" i="12" s="1"/>
  <c r="E354" i="5"/>
  <c r="AE354" i="5"/>
  <c r="H354" i="5"/>
  <c r="G354" i="5"/>
  <c r="C355" i="5"/>
  <c r="N354" i="5"/>
  <c r="D354" i="6" s="1"/>
  <c r="I354" i="5"/>
  <c r="B354" i="5"/>
  <c r="BP352" i="6"/>
  <c r="BF352" i="6"/>
  <c r="CJ352" i="6"/>
  <c r="CB352" i="6"/>
  <c r="CG352" i="6"/>
  <c r="BG352" i="6"/>
  <c r="BI352" i="6"/>
  <c r="BV352" i="6"/>
  <c r="CL352" i="6"/>
  <c r="BW352" i="6"/>
  <c r="BX352" i="6"/>
  <c r="BC352" i="6"/>
  <c r="BR352" i="6"/>
  <c r="CK352" i="6"/>
  <c r="BE352" i="6"/>
  <c r="CD352" i="6"/>
  <c r="BS352" i="6"/>
  <c r="BY352" i="6"/>
  <c r="CH352" i="6"/>
  <c r="CI352" i="6"/>
  <c r="AU352" i="6"/>
  <c r="AX352" i="6"/>
  <c r="AT352" i="6"/>
  <c r="AY352" i="6"/>
  <c r="T352" i="5"/>
  <c r="G352" i="12" s="1"/>
  <c r="AV352" i="6"/>
  <c r="BL352" i="6"/>
  <c r="K352" i="12"/>
  <c r="CM352" i="6"/>
  <c r="BA352" i="6"/>
  <c r="CM353" i="6" l="1"/>
  <c r="AY353" i="6"/>
  <c r="BE353" i="6"/>
  <c r="BW353" i="6"/>
  <c r="BX353" i="6"/>
  <c r="CH353" i="6"/>
  <c r="CA353" i="6"/>
  <c r="BV353" i="6"/>
  <c r="BR353" i="6"/>
  <c r="BJ353" i="6"/>
  <c r="BI353" i="6"/>
  <c r="H354" i="6" a="1"/>
  <c r="H354" i="6" s="1"/>
  <c r="G354" i="6"/>
  <c r="N354" i="6"/>
  <c r="M354" i="6"/>
  <c r="CF354" i="6" s="1"/>
  <c r="AD355" i="5"/>
  <c r="F355" i="5"/>
  <c r="N355" i="5"/>
  <c r="D355" i="6" s="1"/>
  <c r="G355" i="5"/>
  <c r="C356" i="5"/>
  <c r="A355" i="12"/>
  <c r="J355" i="5"/>
  <c r="H355" i="5"/>
  <c r="B355" i="6"/>
  <c r="K355" i="5"/>
  <c r="E355" i="5"/>
  <c r="B355" i="5"/>
  <c r="AE355" i="5"/>
  <c r="D355" i="5"/>
  <c r="B355" i="12" s="1"/>
  <c r="K353" i="12"/>
  <c r="AZ353" i="6"/>
  <c r="T353" i="5"/>
  <c r="G353" i="12" s="1"/>
  <c r="AX353" i="6"/>
  <c r="BA353" i="6"/>
  <c r="AT353" i="6"/>
  <c r="AV353" i="6"/>
  <c r="AU353" i="6"/>
  <c r="CL353" i="6"/>
  <c r="BQ353" i="6"/>
  <c r="CC353" i="6"/>
  <c r="CG353" i="6"/>
  <c r="BH353" i="6"/>
  <c r="BG353" i="6"/>
  <c r="BN353" i="6"/>
  <c r="BO353" i="6"/>
  <c r="CF353" i="6"/>
  <c r="BK353" i="6"/>
  <c r="CJ353" i="6"/>
  <c r="CK353" i="6"/>
  <c r="BC353" i="6"/>
  <c r="CB353" i="6"/>
  <c r="BM353" i="6"/>
  <c r="BY353" i="6"/>
  <c r="CE353" i="6"/>
  <c r="CD353" i="6"/>
  <c r="CI353" i="6"/>
  <c r="BZ353" i="6"/>
  <c r="BD353" i="6"/>
  <c r="BF353" i="6"/>
  <c r="BS353" i="6"/>
  <c r="BL353" i="6"/>
  <c r="BP353" i="6"/>
  <c r="AW353" i="6"/>
  <c r="L355" i="12" l="1" a="1"/>
  <c r="L355" i="12" s="1"/>
  <c r="J355" i="12" a="1"/>
  <c r="J355" i="12" s="1"/>
  <c r="D356" i="5"/>
  <c r="B356" i="12" s="1"/>
  <c r="B356" i="5"/>
  <c r="C357" i="5" s="1"/>
  <c r="A356" i="12"/>
  <c r="AE356" i="5"/>
  <c r="B356" i="6"/>
  <c r="K356" i="5"/>
  <c r="E356" i="5"/>
  <c r="H356" i="5"/>
  <c r="F356" i="5"/>
  <c r="N356" i="5"/>
  <c r="D356" i="6" s="1"/>
  <c r="AD356" i="5"/>
  <c r="J356" i="5"/>
  <c r="G356" i="5"/>
  <c r="M355" i="6"/>
  <c r="H355" i="6" a="1"/>
  <c r="H355" i="6" s="1"/>
  <c r="N355" i="6"/>
  <c r="BV354" i="6"/>
  <c r="CB354" i="6"/>
  <c r="CJ354" i="6"/>
  <c r="CL354" i="6"/>
  <c r="BZ354" i="6"/>
  <c r="BW354" i="6"/>
  <c r="BO354" i="6"/>
  <c r="BJ354" i="6"/>
  <c r="BP354" i="6"/>
  <c r="CA354" i="6"/>
  <c r="CD354" i="6"/>
  <c r="BS354" i="6"/>
  <c r="BK354" i="6"/>
  <c r="BG354" i="6"/>
  <c r="BX354" i="6"/>
  <c r="CE354" i="6"/>
  <c r="BD354" i="6"/>
  <c r="BE354" i="6"/>
  <c r="CM354" i="6"/>
  <c r="BH354" i="6"/>
  <c r="BY354" i="6"/>
  <c r="CC354" i="6"/>
  <c r="CH354" i="6"/>
  <c r="BI354" i="6"/>
  <c r="BQ354" i="6"/>
  <c r="BM354" i="6"/>
  <c r="BF354" i="6"/>
  <c r="CK354" i="6"/>
  <c r="BL354" i="6"/>
  <c r="CI354" i="6"/>
  <c r="CG354" i="6"/>
  <c r="BN354" i="6"/>
  <c r="BC354" i="6"/>
  <c r="BT354" i="6"/>
  <c r="BR354" i="6"/>
  <c r="T354" i="5"/>
  <c r="G354" i="12" s="1"/>
  <c r="AM354" i="6"/>
  <c r="AV354" i="6"/>
  <c r="AR354" i="6"/>
  <c r="AJ354" i="6"/>
  <c r="AN354" i="6"/>
  <c r="BA354" i="6"/>
  <c r="AU354" i="6"/>
  <c r="AX354" i="6"/>
  <c r="AZ354" i="6"/>
  <c r="AK354" i="6"/>
  <c r="AW354" i="6"/>
  <c r="AQ354" i="6"/>
  <c r="AS354" i="6"/>
  <c r="AT354" i="6"/>
  <c r="AY354" i="6"/>
  <c r="AO354" i="6"/>
  <c r="AP354" i="6"/>
  <c r="AL354" i="6"/>
  <c r="K355" i="12" l="1"/>
  <c r="H356" i="6" a="1"/>
  <c r="H356" i="6" s="1"/>
  <c r="N356" i="6"/>
  <c r="M356" i="6"/>
  <c r="AT355" i="6"/>
  <c r="AU355" i="6"/>
  <c r="T355" i="5"/>
  <c r="G355" i="12" s="1"/>
  <c r="AZ355" i="6"/>
  <c r="AV355" i="6"/>
  <c r="BA355" i="6"/>
  <c r="AY355" i="6"/>
  <c r="AW355" i="6"/>
  <c r="AX355" i="6"/>
  <c r="J356" i="12" a="1"/>
  <c r="J356" i="12" s="1"/>
  <c r="L356" i="12" a="1"/>
  <c r="L356" i="12" s="1"/>
  <c r="CL355" i="6"/>
  <c r="BX355" i="6"/>
  <c r="BP355" i="6"/>
  <c r="BT355" i="6"/>
  <c r="BZ355" i="6"/>
  <c r="BN355" i="6"/>
  <c r="BW355" i="6"/>
  <c r="BH355" i="6"/>
  <c r="BQ355" i="6"/>
  <c r="CD355" i="6"/>
  <c r="CE355" i="6"/>
  <c r="BI355" i="6"/>
  <c r="BY355" i="6"/>
  <c r="CJ355" i="6"/>
  <c r="BV355" i="6"/>
  <c r="BE355" i="6"/>
  <c r="BG355" i="6"/>
  <c r="CH355" i="6"/>
  <c r="BC355" i="6"/>
  <c r="BD355" i="6"/>
  <c r="BF355" i="6"/>
  <c r="CB355" i="6"/>
  <c r="CM355" i="6"/>
  <c r="CK355" i="6"/>
  <c r="CF355" i="6"/>
  <c r="BS355" i="6"/>
  <c r="CA355" i="6"/>
  <c r="CG355" i="6"/>
  <c r="BJ355" i="6"/>
  <c r="BR355" i="6"/>
  <c r="BM355" i="6"/>
  <c r="CI355" i="6"/>
  <c r="CC355" i="6"/>
  <c r="BO355" i="6"/>
  <c r="BK355" i="6"/>
  <c r="BL355" i="6"/>
  <c r="H357" i="5"/>
  <c r="G357" i="5"/>
  <c r="AD357" i="5"/>
  <c r="W357" i="5"/>
  <c r="H357" i="12" s="1"/>
  <c r="N357" i="5"/>
  <c r="D357" i="6" s="1"/>
  <c r="F357" i="5"/>
  <c r="A357" i="12"/>
  <c r="B357" i="5"/>
  <c r="B357" i="6"/>
  <c r="J357" i="6" s="1" a="1"/>
  <c r="J357" i="6" s="1"/>
  <c r="AE357" i="5"/>
  <c r="I357" i="5"/>
  <c r="E357" i="5"/>
  <c r="C358" i="5"/>
  <c r="M357" i="6" l="1"/>
  <c r="H357" i="6" a="1"/>
  <c r="H357" i="6" s="1"/>
  <c r="G357" i="6"/>
  <c r="N357" i="6"/>
  <c r="N358" i="5"/>
  <c r="D358" i="6" s="1"/>
  <c r="AE358" i="5"/>
  <c r="B358" i="5"/>
  <c r="J358" i="5"/>
  <c r="AD358" i="5"/>
  <c r="G358" i="5"/>
  <c r="F358" i="5"/>
  <c r="A358" i="12"/>
  <c r="C359" i="5"/>
  <c r="K358" i="5"/>
  <c r="H358" i="5"/>
  <c r="D358" i="5"/>
  <c r="B358" i="12" s="1"/>
  <c r="B358" i="6"/>
  <c r="E358" i="5"/>
  <c r="CJ356" i="6"/>
  <c r="CB356" i="6"/>
  <c r="CK356" i="6"/>
  <c r="CD356" i="6"/>
  <c r="BP356" i="6"/>
  <c r="BW356" i="6"/>
  <c r="CL356" i="6"/>
  <c r="BT356" i="6"/>
  <c r="CA356" i="6"/>
  <c r="CH356" i="6"/>
  <c r="BC356" i="6"/>
  <c r="BJ356" i="6"/>
  <c r="BD356" i="6"/>
  <c r="BX356" i="6"/>
  <c r="BH356" i="6"/>
  <c r="BL356" i="6"/>
  <c r="CM356" i="6"/>
  <c r="BE356" i="6"/>
  <c r="BI356" i="6"/>
  <c r="CI356" i="6"/>
  <c r="BS356" i="6"/>
  <c r="CG356" i="6"/>
  <c r="BM356" i="6"/>
  <c r="CF356" i="6"/>
  <c r="BO356" i="6"/>
  <c r="BV356" i="6"/>
  <c r="BR356" i="6"/>
  <c r="BZ356" i="6"/>
  <c r="BK356" i="6"/>
  <c r="BF356" i="6"/>
  <c r="CE356" i="6"/>
  <c r="BY356" i="6"/>
  <c r="BG356" i="6"/>
  <c r="BQ356" i="6"/>
  <c r="CC356" i="6"/>
  <c r="BN356" i="6"/>
  <c r="K356" i="12"/>
  <c r="AW356" i="6"/>
  <c r="AZ356" i="6"/>
  <c r="T356" i="5"/>
  <c r="G356" i="12" s="1"/>
  <c r="BA356" i="6"/>
  <c r="AX356" i="6"/>
  <c r="AY356" i="6"/>
  <c r="AT356" i="6"/>
  <c r="AU356" i="6"/>
  <c r="AV356" i="6"/>
  <c r="CH357" i="6" l="1"/>
  <c r="BM357" i="6"/>
  <c r="CI357" i="6"/>
  <c r="BN357" i="6"/>
  <c r="CB357" i="6"/>
  <c r="AX357" i="6"/>
  <c r="BW357" i="6"/>
  <c r="BJ357" i="6"/>
  <c r="CE357" i="6"/>
  <c r="BR357" i="6"/>
  <c r="CA357" i="6"/>
  <c r="H358" i="6" a="1"/>
  <c r="H358" i="6" s="1"/>
  <c r="M358" i="6"/>
  <c r="N358" i="6"/>
  <c r="T357" i="5"/>
  <c r="G357" i="12" s="1"/>
  <c r="AU357" i="6"/>
  <c r="AV357" i="6"/>
  <c r="AN357" i="6"/>
  <c r="AR357" i="6"/>
  <c r="AY357" i="6"/>
  <c r="AK357" i="6"/>
  <c r="AQ357" i="6"/>
  <c r="AJ357" i="6"/>
  <c r="AP357" i="6"/>
  <c r="AW357" i="6"/>
  <c r="AO357" i="6"/>
  <c r="AT357" i="6"/>
  <c r="BA357" i="6"/>
  <c r="CL357" i="6"/>
  <c r="BY357" i="6"/>
  <c r="CG357" i="6"/>
  <c r="CC357" i="6"/>
  <c r="BG357" i="6"/>
  <c r="BQ357" i="6"/>
  <c r="CF357" i="6"/>
  <c r="BE357" i="6"/>
  <c r="BI357" i="6"/>
  <c r="BZ357" i="6"/>
  <c r="BX357" i="6"/>
  <c r="BV357" i="6"/>
  <c r="BC357" i="6"/>
  <c r="BK357" i="6"/>
  <c r="BT357" i="6"/>
  <c r="BD357" i="6"/>
  <c r="CM357" i="6"/>
  <c r="BL357" i="6"/>
  <c r="BH357" i="6"/>
  <c r="CK357" i="6"/>
  <c r="BF357" i="6"/>
  <c r="BO357" i="6"/>
  <c r="BP357" i="6"/>
  <c r="BS357" i="6"/>
  <c r="AD359" i="5"/>
  <c r="H359" i="5"/>
  <c r="F359" i="5"/>
  <c r="D359" i="5"/>
  <c r="B359" i="12" s="1"/>
  <c r="A359" i="12"/>
  <c r="G359" i="5"/>
  <c r="E359" i="5"/>
  <c r="K359" i="5"/>
  <c r="B359" i="6"/>
  <c r="B359" i="5"/>
  <c r="C360" i="5" s="1"/>
  <c r="N359" i="5"/>
  <c r="D359" i="6" s="1"/>
  <c r="AE359" i="5"/>
  <c r="J359" i="5"/>
  <c r="AZ357" i="6"/>
  <c r="AS357" i="6"/>
  <c r="J358" i="12" a="1"/>
  <c r="J358" i="12" s="1"/>
  <c r="L358" i="12" a="1"/>
  <c r="L358" i="12" s="1"/>
  <c r="CD357" i="6"/>
  <c r="CJ357" i="6"/>
  <c r="AL357" i="6"/>
  <c r="AM357" i="6"/>
  <c r="CE358" i="6" l="1"/>
  <c r="BL358" i="6"/>
  <c r="K358" i="12"/>
  <c r="J359" i="12" a="1"/>
  <c r="J359" i="12" s="1"/>
  <c r="L359" i="12" a="1"/>
  <c r="L359" i="12" s="1"/>
  <c r="N359" i="6"/>
  <c r="M359" i="6"/>
  <c r="BG359" i="6" s="1"/>
  <c r="H359" i="6" a="1"/>
  <c r="H359" i="6" s="1"/>
  <c r="H360" i="5"/>
  <c r="W360" i="5"/>
  <c r="H360" i="12" s="1"/>
  <c r="B360" i="5"/>
  <c r="C361" i="5" s="1"/>
  <c r="N360" i="5"/>
  <c r="D360" i="6" s="1"/>
  <c r="F360" i="5"/>
  <c r="A360" i="12"/>
  <c r="G360" i="5"/>
  <c r="AE360" i="5"/>
  <c r="B360" i="6"/>
  <c r="J360" i="6" s="1" a="1"/>
  <c r="J360" i="6" s="1"/>
  <c r="AD360" i="5"/>
  <c r="E360" i="5"/>
  <c r="I360" i="5"/>
  <c r="CI358" i="6"/>
  <c r="CA358" i="6"/>
  <c r="BM358" i="6"/>
  <c r="CH358" i="6"/>
  <c r="BK358" i="6"/>
  <c r="CG358" i="6"/>
  <c r="BY358" i="6"/>
  <c r="BH358" i="6"/>
  <c r="CB358" i="6"/>
  <c r="BI358" i="6"/>
  <c r="CM358" i="6"/>
  <c r="CC358" i="6"/>
  <c r="CL358" i="6"/>
  <c r="CJ358" i="6"/>
  <c r="BC358" i="6"/>
  <c r="BN358" i="6"/>
  <c r="BW358" i="6"/>
  <c r="BX358" i="6"/>
  <c r="BS358" i="6"/>
  <c r="BE358" i="6"/>
  <c r="BV358" i="6"/>
  <c r="BO358" i="6"/>
  <c r="CK358" i="6"/>
  <c r="BP358" i="6"/>
  <c r="CD358" i="6"/>
  <c r="BQ358" i="6"/>
  <c r="BD358" i="6"/>
  <c r="BT358" i="6"/>
  <c r="BF358" i="6"/>
  <c r="BZ358" i="6"/>
  <c r="BG358" i="6"/>
  <c r="BR358" i="6"/>
  <c r="BJ358" i="6"/>
  <c r="CF358" i="6"/>
  <c r="AY358" i="6"/>
  <c r="T358" i="5"/>
  <c r="G358" i="12" s="1"/>
  <c r="BA358" i="6"/>
  <c r="AV358" i="6"/>
  <c r="AZ358" i="6"/>
  <c r="AT358" i="6"/>
  <c r="AW358" i="6"/>
  <c r="AX358" i="6"/>
  <c r="AU358" i="6"/>
  <c r="J354" i="5" l="1"/>
  <c r="BP359" i="6"/>
  <c r="BS359" i="6"/>
  <c r="CG359" i="6"/>
  <c r="BQ359" i="6"/>
  <c r="K359" i="12"/>
  <c r="BD359" i="6"/>
  <c r="BZ359" i="6"/>
  <c r="BA359" i="6"/>
  <c r="BV359" i="6"/>
  <c r="CM359" i="6"/>
  <c r="BW359" i="6"/>
  <c r="CI359" i="6"/>
  <c r="AZ359" i="6"/>
  <c r="CK359" i="6"/>
  <c r="BX359" i="6"/>
  <c r="BH359" i="6"/>
  <c r="N360" i="6"/>
  <c r="M360" i="6"/>
  <c r="H360" i="6" a="1"/>
  <c r="H360" i="6" s="1"/>
  <c r="G360" i="6"/>
  <c r="BM359" i="6"/>
  <c r="CE359" i="6"/>
  <c r="AU359" i="6"/>
  <c r="AY359" i="6"/>
  <c r="T359" i="5"/>
  <c r="G359" i="12" s="1"/>
  <c r="AW359" i="6"/>
  <c r="AV359" i="6"/>
  <c r="AX359" i="6"/>
  <c r="BJ359" i="6"/>
  <c r="BR359" i="6"/>
  <c r="CL359" i="6"/>
  <c r="CJ359" i="6"/>
  <c r="BF359" i="6"/>
  <c r="CF359" i="6"/>
  <c r="BY359" i="6"/>
  <c r="BL359" i="6"/>
  <c r="CH359" i="6"/>
  <c r="CC359" i="6"/>
  <c r="CB359" i="6"/>
  <c r="BT359" i="6"/>
  <c r="BO359" i="6"/>
  <c r="CA359" i="6"/>
  <c r="BE359" i="6"/>
  <c r="BN359" i="6"/>
  <c r="BK359" i="6"/>
  <c r="BI359" i="6"/>
  <c r="BC359" i="6"/>
  <c r="AT359" i="6"/>
  <c r="I361" i="5"/>
  <c r="AD361" i="5"/>
  <c r="H361" i="5"/>
  <c r="G361" i="5"/>
  <c r="B361" i="6"/>
  <c r="J361" i="6" s="1" a="1"/>
  <c r="J361" i="6" s="1"/>
  <c r="F361" i="5"/>
  <c r="W361" i="5"/>
  <c r="H361" i="12" s="1"/>
  <c r="B361" i="5"/>
  <c r="A361" i="12"/>
  <c r="E361" i="5"/>
  <c r="N361" i="5"/>
  <c r="D361" i="6" s="1"/>
  <c r="AE361" i="5"/>
  <c r="CD359" i="6"/>
  <c r="C362" i="5" l="1"/>
  <c r="T360" i="5"/>
  <c r="G360" i="12" s="1"/>
  <c r="AR360" i="6"/>
  <c r="AO360" i="6"/>
  <c r="AZ360" i="6"/>
  <c r="AT360" i="6"/>
  <c r="AM360" i="6"/>
  <c r="AL360" i="6"/>
  <c r="AW360" i="6"/>
  <c r="AP360" i="6"/>
  <c r="AK360" i="6"/>
  <c r="AU360" i="6"/>
  <c r="AY360" i="6"/>
  <c r="AQ360" i="6"/>
  <c r="AN360" i="6"/>
  <c r="AS360" i="6"/>
  <c r="AV360" i="6"/>
  <c r="AX360" i="6"/>
  <c r="AJ360" i="6"/>
  <c r="BA360" i="6"/>
  <c r="BS360" i="6"/>
  <c r="CD360" i="6"/>
  <c r="BH360" i="6"/>
  <c r="BF360" i="6"/>
  <c r="BY360" i="6"/>
  <c r="BO360" i="6"/>
  <c r="CK360" i="6"/>
  <c r="BI360" i="6"/>
  <c r="BX360" i="6"/>
  <c r="CG360" i="6"/>
  <c r="CL360" i="6"/>
  <c r="CF360" i="6"/>
  <c r="BP360" i="6"/>
  <c r="BC360" i="6"/>
  <c r="BN360" i="6"/>
  <c r="BR360" i="6"/>
  <c r="CI360" i="6"/>
  <c r="BZ360" i="6"/>
  <c r="BG360" i="6"/>
  <c r="BQ360" i="6"/>
  <c r="CC360" i="6"/>
  <c r="CH360" i="6"/>
  <c r="BL360" i="6"/>
  <c r="CA360" i="6"/>
  <c r="CE360" i="6"/>
  <c r="BW360" i="6"/>
  <c r="CB360" i="6"/>
  <c r="BK360" i="6"/>
  <c r="BE360" i="6"/>
  <c r="BD360" i="6"/>
  <c r="BT360" i="6"/>
  <c r="CJ360" i="6"/>
  <c r="BV360" i="6"/>
  <c r="CM360" i="6"/>
  <c r="BM360" i="6"/>
  <c r="BJ360" i="6"/>
  <c r="G361" i="6"/>
  <c r="N361" i="6"/>
  <c r="M361" i="6"/>
  <c r="H361" i="6" a="1"/>
  <c r="H361" i="6" s="1"/>
  <c r="BL361" i="6" l="1"/>
  <c r="BI361" i="6"/>
  <c r="CE361" i="6"/>
  <c r="BP361" i="6"/>
  <c r="BJ361" i="6"/>
  <c r="BY361" i="6"/>
  <c r="BK361" i="6"/>
  <c r="BH361" i="6"/>
  <c r="BE361" i="6"/>
  <c r="BO361" i="6"/>
  <c r="AM361" i="6"/>
  <c r="AN361" i="6"/>
  <c r="CI361" i="6"/>
  <c r="AL361" i="6"/>
  <c r="AT361" i="6"/>
  <c r="AJ361" i="6"/>
  <c r="CB361" i="6"/>
  <c r="BX361" i="6"/>
  <c r="BG361" i="6"/>
  <c r="AU361" i="6"/>
  <c r="AZ361" i="6"/>
  <c r="AO361" i="6"/>
  <c r="BZ361" i="6"/>
  <c r="BN361" i="6"/>
  <c r="AK361" i="6"/>
  <c r="AV361" i="6"/>
  <c r="CA361" i="6"/>
  <c r="CL361" i="6"/>
  <c r="AR361" i="6"/>
  <c r="BD361" i="6"/>
  <c r="BQ361" i="6"/>
  <c r="AY361" i="6"/>
  <c r="AQ361" i="6"/>
  <c r="AP361" i="6"/>
  <c r="A362" i="12"/>
  <c r="B362" i="5"/>
  <c r="B362" i="6"/>
  <c r="J362" i="6" s="1" a="1"/>
  <c r="J362" i="6" s="1"/>
  <c r="E362" i="5"/>
  <c r="AE362" i="5"/>
  <c r="G362" i="5"/>
  <c r="F362" i="5"/>
  <c r="AD362" i="5"/>
  <c r="C363" i="5"/>
  <c r="W362" i="5"/>
  <c r="H362" i="12" s="1"/>
  <c r="N362" i="5"/>
  <c r="D362" i="6" s="1"/>
  <c r="H362" i="5"/>
  <c r="I362" i="5"/>
  <c r="BF361" i="6"/>
  <c r="BC361" i="6"/>
  <c r="CK361" i="6"/>
  <c r="BA361" i="6"/>
  <c r="CJ361" i="6"/>
  <c r="BR361" i="6"/>
  <c r="CG361" i="6"/>
  <c r="BV361" i="6"/>
  <c r="CH361" i="6"/>
  <c r="CF361" i="6"/>
  <c r="CD361" i="6"/>
  <c r="T361" i="5"/>
  <c r="G361" i="12" s="1"/>
  <c r="AS361" i="6"/>
  <c r="BS361" i="6"/>
  <c r="AW361" i="6"/>
  <c r="AX361" i="6"/>
  <c r="CM361" i="6"/>
  <c r="BT361" i="6"/>
  <c r="CC361" i="6"/>
  <c r="BM361" i="6"/>
  <c r="BW361" i="6"/>
  <c r="N362" i="6" l="1"/>
  <c r="M362" i="6"/>
  <c r="BO362" i="6" s="1"/>
  <c r="H362" i="6" a="1"/>
  <c r="H362" i="6" s="1"/>
  <c r="G362" i="6"/>
  <c r="G363" i="5"/>
  <c r="B363" i="5"/>
  <c r="D363" i="5"/>
  <c r="B363" i="12" s="1"/>
  <c r="AE363" i="5"/>
  <c r="A363" i="12"/>
  <c r="B363" i="6"/>
  <c r="C364" i="5"/>
  <c r="N363" i="5"/>
  <c r="D363" i="6" s="1"/>
  <c r="K363" i="5"/>
  <c r="F363" i="5"/>
  <c r="AD363" i="5"/>
  <c r="E363" i="5"/>
  <c r="J363" i="5"/>
  <c r="H363" i="5"/>
  <c r="AU362" i="6" l="1"/>
  <c r="CB362" i="6"/>
  <c r="BY362" i="6"/>
  <c r="CI362" i="6"/>
  <c r="BQ362" i="6"/>
  <c r="CJ362" i="6"/>
  <c r="BI362" i="6"/>
  <c r="AS362" i="6"/>
  <c r="CF362" i="6"/>
  <c r="BG362" i="6"/>
  <c r="CE362" i="6"/>
  <c r="CH362" i="6"/>
  <c r="AJ362" i="6"/>
  <c r="BE362" i="6"/>
  <c r="CC362" i="6"/>
  <c r="AT362" i="6"/>
  <c r="AX362" i="6"/>
  <c r="CL362" i="6"/>
  <c r="AW362" i="6"/>
  <c r="BJ362" i="6"/>
  <c r="BF362" i="6"/>
  <c r="BK362" i="6"/>
  <c r="CG362" i="6"/>
  <c r="AY362" i="6"/>
  <c r="BC362" i="6"/>
  <c r="BM362" i="6"/>
  <c r="H363" i="6" a="1"/>
  <c r="H363" i="6" s="1"/>
  <c r="N363" i="6"/>
  <c r="M363" i="6"/>
  <c r="BQ363" i="6" s="1"/>
  <c r="C365" i="5"/>
  <c r="A364" i="12"/>
  <c r="B364" i="5"/>
  <c r="B364" i="6"/>
  <c r="J364" i="5"/>
  <c r="E364" i="5"/>
  <c r="AD364" i="5"/>
  <c r="K364" i="5"/>
  <c r="N364" i="5"/>
  <c r="D364" i="6" s="1"/>
  <c r="AE364" i="5"/>
  <c r="H364" i="5"/>
  <c r="G364" i="5"/>
  <c r="F364" i="5"/>
  <c r="D364" i="5"/>
  <c r="B364" i="12" s="1"/>
  <c r="J363" i="12" a="1"/>
  <c r="J363" i="12" s="1"/>
  <c r="L363" i="12" a="1"/>
  <c r="L363" i="12" s="1"/>
  <c r="T362" i="5"/>
  <c r="G362" i="12" s="1"/>
  <c r="AL362" i="6"/>
  <c r="BA362" i="6"/>
  <c r="AQ362" i="6"/>
  <c r="AR362" i="6"/>
  <c r="AZ362" i="6"/>
  <c r="AN362" i="6"/>
  <c r="AV362" i="6"/>
  <c r="AO362" i="6"/>
  <c r="AM362" i="6"/>
  <c r="AP362" i="6"/>
  <c r="AK362" i="6"/>
  <c r="BR362" i="6"/>
  <c r="BW362" i="6"/>
  <c r="BZ362" i="6"/>
  <c r="BV362" i="6"/>
  <c r="BS362" i="6"/>
  <c r="BN362" i="6"/>
  <c r="CK362" i="6"/>
  <c r="CD362" i="6"/>
  <c r="BT362" i="6"/>
  <c r="BX362" i="6"/>
  <c r="BD362" i="6"/>
  <c r="BP362" i="6"/>
  <c r="CM362" i="6"/>
  <c r="BH362" i="6"/>
  <c r="BL362" i="6"/>
  <c r="CA362" i="6"/>
  <c r="BH363" i="6" l="1"/>
  <c r="AV363" i="6"/>
  <c r="CM363" i="6"/>
  <c r="BA363" i="6"/>
  <c r="AU363" i="6"/>
  <c r="AX363" i="6"/>
  <c r="K363" i="12"/>
  <c r="H364" i="6" a="1"/>
  <c r="H364" i="6" s="1"/>
  <c r="N364" i="6"/>
  <c r="M364" i="6"/>
  <c r="BD364" i="6" s="1"/>
  <c r="J364" i="12" a="1"/>
  <c r="J364" i="12" s="1"/>
  <c r="L364" i="12" a="1"/>
  <c r="L364" i="12" s="1"/>
  <c r="AE365" i="5"/>
  <c r="AD365" i="5"/>
  <c r="H365" i="5"/>
  <c r="A365" i="12"/>
  <c r="D365" i="5"/>
  <c r="B365" i="12" s="1"/>
  <c r="G365" i="5"/>
  <c r="K365" i="5"/>
  <c r="B365" i="5"/>
  <c r="C366" i="5" s="1"/>
  <c r="N365" i="5"/>
  <c r="D365" i="6" s="1"/>
  <c r="E365" i="5"/>
  <c r="B365" i="6"/>
  <c r="F365" i="5"/>
  <c r="J365" i="5"/>
  <c r="BJ363" i="6"/>
  <c r="BY363" i="6"/>
  <c r="BC363" i="6"/>
  <c r="BW363" i="6"/>
  <c r="BS363" i="6"/>
  <c r="BT363" i="6"/>
  <c r="CL363" i="6"/>
  <c r="CF363" i="6"/>
  <c r="BF363" i="6"/>
  <c r="CB363" i="6"/>
  <c r="CC363" i="6"/>
  <c r="CI363" i="6"/>
  <c r="CG363" i="6"/>
  <c r="CA363" i="6"/>
  <c r="BR363" i="6"/>
  <c r="CH363" i="6"/>
  <c r="BM363" i="6"/>
  <c r="BL363" i="6"/>
  <c r="CJ363" i="6"/>
  <c r="BX363" i="6"/>
  <c r="BE363" i="6"/>
  <c r="BN363" i="6"/>
  <c r="BD363" i="6"/>
  <c r="BZ363" i="6"/>
  <c r="CD363" i="6"/>
  <c r="CK363" i="6"/>
  <c r="BV363" i="6"/>
  <c r="BO363" i="6"/>
  <c r="CE363" i="6"/>
  <c r="BG363" i="6"/>
  <c r="BK363" i="6"/>
  <c r="BP363" i="6"/>
  <c r="BI363" i="6"/>
  <c r="AW363" i="6"/>
  <c r="AT363" i="6"/>
  <c r="T363" i="5"/>
  <c r="G363" i="12" s="1"/>
  <c r="AY363" i="6"/>
  <c r="AZ363" i="6"/>
  <c r="CH364" i="6" l="1"/>
  <c r="CK364" i="6"/>
  <c r="CE364" i="6"/>
  <c r="BK364" i="6"/>
  <c r="CD364" i="6"/>
  <c r="BR364" i="6"/>
  <c r="BQ364" i="6"/>
  <c r="K364" i="12"/>
  <c r="BW364" i="6"/>
  <c r="BX364" i="6"/>
  <c r="H365" i="6" a="1"/>
  <c r="H365" i="6" s="1"/>
  <c r="M365" i="6"/>
  <c r="CK365" i="6" s="1"/>
  <c r="N365" i="6"/>
  <c r="F366" i="5"/>
  <c r="A366" i="12"/>
  <c r="G366" i="5"/>
  <c r="E366" i="5"/>
  <c r="B366" i="6"/>
  <c r="J366" i="6" s="1" a="1"/>
  <c r="J366" i="6" s="1"/>
  <c r="B366" i="5"/>
  <c r="W366" i="5"/>
  <c r="H366" i="12" s="1"/>
  <c r="AD366" i="5"/>
  <c r="C367" i="5"/>
  <c r="H366" i="5"/>
  <c r="N366" i="5"/>
  <c r="D366" i="6" s="1"/>
  <c r="I366" i="5"/>
  <c r="AE366" i="5"/>
  <c r="BT364" i="6"/>
  <c r="BH364" i="6"/>
  <c r="CJ364" i="6"/>
  <c r="BY364" i="6"/>
  <c r="BZ364" i="6"/>
  <c r="BF364" i="6"/>
  <c r="BL364" i="6"/>
  <c r="CC364" i="6"/>
  <c r="BO364" i="6"/>
  <c r="CB364" i="6"/>
  <c r="CM364" i="6"/>
  <c r="BG364" i="6"/>
  <c r="BV364" i="6"/>
  <c r="BN364" i="6"/>
  <c r="CA364" i="6"/>
  <c r="BJ364" i="6"/>
  <c r="BP364" i="6"/>
  <c r="BM364" i="6"/>
  <c r="BS364" i="6"/>
  <c r="CI364" i="6"/>
  <c r="BC364" i="6"/>
  <c r="BI364" i="6"/>
  <c r="CL364" i="6"/>
  <c r="CF364" i="6"/>
  <c r="BE364" i="6"/>
  <c r="CG364" i="6"/>
  <c r="J365" i="12" a="1"/>
  <c r="J365" i="12" s="1"/>
  <c r="L365" i="12" a="1"/>
  <c r="L365" i="12" s="1"/>
  <c r="AY364" i="6"/>
  <c r="BA364" i="6"/>
  <c r="AV364" i="6"/>
  <c r="T364" i="5"/>
  <c r="G364" i="12" s="1"/>
  <c r="AZ364" i="6"/>
  <c r="AT364" i="6"/>
  <c r="AW364" i="6"/>
  <c r="AX364" i="6"/>
  <c r="AU364" i="6"/>
  <c r="BC365" i="6" l="1"/>
  <c r="BT365" i="6"/>
  <c r="AW365" i="6"/>
  <c r="BW365" i="6"/>
  <c r="G366" i="6"/>
  <c r="M366" i="6"/>
  <c r="N366" i="6"/>
  <c r="H366" i="6" a="1"/>
  <c r="H366" i="6" s="1"/>
  <c r="CI365" i="6"/>
  <c r="CJ365" i="6"/>
  <c r="BQ365" i="6"/>
  <c r="CH365" i="6"/>
  <c r="BF365" i="6"/>
  <c r="BS365" i="6"/>
  <c r="CF365" i="6"/>
  <c r="BM365" i="6"/>
  <c r="BE365" i="6"/>
  <c r="BX365" i="6"/>
  <c r="CL365" i="6"/>
  <c r="BJ365" i="6"/>
  <c r="BO365" i="6"/>
  <c r="BZ365" i="6"/>
  <c r="CA365" i="6"/>
  <c r="BY365" i="6"/>
  <c r="BP365" i="6"/>
  <c r="CE365" i="6"/>
  <c r="BH365" i="6"/>
  <c r="CM365" i="6"/>
  <c r="BN365" i="6"/>
  <c r="CG365" i="6"/>
  <c r="BG365" i="6"/>
  <c r="BL365" i="6"/>
  <c r="CC365" i="6"/>
  <c r="BK365" i="6"/>
  <c r="BD365" i="6"/>
  <c r="BV365" i="6"/>
  <c r="CB365" i="6"/>
  <c r="CD365" i="6"/>
  <c r="BR365" i="6"/>
  <c r="BI365" i="6"/>
  <c r="K365" i="12"/>
  <c r="AU365" i="6"/>
  <c r="T365" i="5"/>
  <c r="G365" i="12" s="1"/>
  <c r="AX365" i="6"/>
  <c r="AV365" i="6"/>
  <c r="AY365" i="6"/>
  <c r="BA365" i="6"/>
  <c r="AT365" i="6"/>
  <c r="AZ365" i="6"/>
  <c r="AD367" i="5"/>
  <c r="H367" i="5"/>
  <c r="G367" i="5"/>
  <c r="AE367" i="5"/>
  <c r="D367" i="5"/>
  <c r="B367" i="12" s="1"/>
  <c r="B367" i="6"/>
  <c r="K367" i="5"/>
  <c r="A367" i="12"/>
  <c r="C368" i="5"/>
  <c r="F367" i="5"/>
  <c r="E367" i="5"/>
  <c r="B367" i="5"/>
  <c r="N367" i="5"/>
  <c r="D367" i="6" s="1"/>
  <c r="J367" i="5"/>
  <c r="M367" i="6" l="1"/>
  <c r="H367" i="6" a="1"/>
  <c r="H367" i="6" s="1"/>
  <c r="T367" i="5" s="1"/>
  <c r="G367" i="12" s="1"/>
  <c r="N367" i="6"/>
  <c r="H368" i="5"/>
  <c r="A368" i="12"/>
  <c r="J368" i="5"/>
  <c r="B368" i="6"/>
  <c r="G368" i="5"/>
  <c r="E368" i="5"/>
  <c r="K368" i="5"/>
  <c r="AD368" i="5"/>
  <c r="F368" i="5"/>
  <c r="D368" i="5"/>
  <c r="B368" i="12" s="1"/>
  <c r="C369" i="5"/>
  <c r="B368" i="5"/>
  <c r="N368" i="5"/>
  <c r="D368" i="6" s="1"/>
  <c r="AE368" i="5"/>
  <c r="J367" i="12" a="1"/>
  <c r="J367" i="12" s="1"/>
  <c r="L367" i="12" a="1"/>
  <c r="L367" i="12" s="1"/>
  <c r="T366" i="5"/>
  <c r="G366" i="12" s="1"/>
  <c r="AU366" i="6"/>
  <c r="AW366" i="6"/>
  <c r="AQ366" i="6"/>
  <c r="AJ366" i="6"/>
  <c r="AO366" i="6"/>
  <c r="AN366" i="6"/>
  <c r="AM366" i="6"/>
  <c r="AS366" i="6"/>
  <c r="AP366" i="6"/>
  <c r="AV366" i="6"/>
  <c r="BA366" i="6"/>
  <c r="AY366" i="6"/>
  <c r="AX366" i="6"/>
  <c r="AL366" i="6"/>
  <c r="AR366" i="6"/>
  <c r="AK366" i="6"/>
  <c r="AZ366" i="6"/>
  <c r="AT366" i="6"/>
  <c r="BT366" i="6"/>
  <c r="BF366" i="6"/>
  <c r="BG366" i="6"/>
  <c r="BM366" i="6"/>
  <c r="CM366" i="6"/>
  <c r="BN366" i="6"/>
  <c r="BI366" i="6"/>
  <c r="CI366" i="6"/>
  <c r="CF366" i="6"/>
  <c r="BL366" i="6"/>
  <c r="BJ366" i="6"/>
  <c r="BX366" i="6"/>
  <c r="BC366" i="6"/>
  <c r="BH366" i="6"/>
  <c r="BZ366" i="6"/>
  <c r="BW366" i="6"/>
  <c r="CK366" i="6"/>
  <c r="BS366" i="6"/>
  <c r="CA366" i="6"/>
  <c r="CB366" i="6"/>
  <c r="BV366" i="6"/>
  <c r="BP366" i="6"/>
  <c r="CJ366" i="6"/>
  <c r="BO366" i="6"/>
  <c r="BY366" i="6"/>
  <c r="CC366" i="6"/>
  <c r="CG366" i="6"/>
  <c r="BQ366" i="6"/>
  <c r="BK366" i="6"/>
  <c r="BD366" i="6"/>
  <c r="CE366" i="6"/>
  <c r="CL366" i="6"/>
  <c r="CD366" i="6"/>
  <c r="CH366" i="6"/>
  <c r="BR366" i="6"/>
  <c r="BE366" i="6"/>
  <c r="BH367" i="6" l="1"/>
  <c r="CA367" i="6"/>
  <c r="BF367" i="6"/>
  <c r="CL367" i="6"/>
  <c r="BS367" i="6"/>
  <c r="CB367" i="6"/>
  <c r="BV367" i="6"/>
  <c r="BL367" i="6"/>
  <c r="BI367" i="6"/>
  <c r="BZ367" i="6"/>
  <c r="BJ367" i="6"/>
  <c r="BO367" i="6"/>
  <c r="CI367" i="6"/>
  <c r="BG367" i="6"/>
  <c r="BK367" i="6"/>
  <c r="BQ367" i="6"/>
  <c r="CJ367" i="6"/>
  <c r="CH367" i="6"/>
  <c r="CE367" i="6"/>
  <c r="BA367" i="6"/>
  <c r="AY367" i="6"/>
  <c r="AU367" i="6"/>
  <c r="AX367" i="6"/>
  <c r="AZ367" i="6"/>
  <c r="AV367" i="6"/>
  <c r="CG367" i="6"/>
  <c r="BX367" i="6"/>
  <c r="BY367" i="6"/>
  <c r="L368" i="12" a="1"/>
  <c r="L368" i="12" s="1"/>
  <c r="J368" i="12" a="1"/>
  <c r="J368" i="12" s="1"/>
  <c r="BN367" i="6"/>
  <c r="N368" i="6"/>
  <c r="H368" i="6" a="1"/>
  <c r="H368" i="6" s="1"/>
  <c r="M368" i="6"/>
  <c r="CF367" i="6"/>
  <c r="K367" i="12"/>
  <c r="BP367" i="6"/>
  <c r="BE367" i="6"/>
  <c r="A369" i="12"/>
  <c r="N369" i="5"/>
  <c r="D369" i="6" s="1"/>
  <c r="B369" i="6"/>
  <c r="K369" i="5"/>
  <c r="J369" i="5"/>
  <c r="AE369" i="5"/>
  <c r="F369" i="5"/>
  <c r="E369" i="5"/>
  <c r="AD369" i="5"/>
  <c r="H369" i="5"/>
  <c r="G369" i="5"/>
  <c r="D369" i="5"/>
  <c r="B369" i="12" s="1"/>
  <c r="B369" i="5"/>
  <c r="C370" i="5" s="1"/>
  <c r="CC367" i="6"/>
  <c r="BD367" i="6"/>
  <c r="BM367" i="6"/>
  <c r="AT367" i="6"/>
  <c r="BR367" i="6"/>
  <c r="CD367" i="6"/>
  <c r="CK367" i="6"/>
  <c r="BC367" i="6"/>
  <c r="CM367" i="6"/>
  <c r="AW367" i="6"/>
  <c r="BW367" i="6"/>
  <c r="BT367" i="6"/>
  <c r="BS368" i="6" l="1"/>
  <c r="CF368" i="6"/>
  <c r="AW368" i="6"/>
  <c r="BF368" i="6"/>
  <c r="BO368" i="6"/>
  <c r="K368" i="12"/>
  <c r="CB368" i="6"/>
  <c r="BD368" i="6"/>
  <c r="BX368" i="6"/>
  <c r="BJ368" i="6"/>
  <c r="CK368" i="6"/>
  <c r="BG368" i="6"/>
  <c r="BM368" i="6"/>
  <c r="CC368" i="6"/>
  <c r="CI368" i="6"/>
  <c r="CE368" i="6"/>
  <c r="CA368" i="6"/>
  <c r="BW368" i="6"/>
  <c r="BC368" i="6"/>
  <c r="BY368" i="6"/>
  <c r="BP368" i="6"/>
  <c r="BK368" i="6"/>
  <c r="BV368" i="6"/>
  <c r="BL368" i="6"/>
  <c r="CM368" i="6"/>
  <c r="BH368" i="6"/>
  <c r="BT368" i="6"/>
  <c r="CL368" i="6"/>
  <c r="CJ368" i="6"/>
  <c r="BI368" i="6"/>
  <c r="BR368" i="6"/>
  <c r="CH368" i="6"/>
  <c r="CD368" i="6"/>
  <c r="BE368" i="6"/>
  <c r="BZ368" i="6"/>
  <c r="CG368" i="6"/>
  <c r="BQ368" i="6"/>
  <c r="BN368" i="6"/>
  <c r="T368" i="5"/>
  <c r="G368" i="12" s="1"/>
  <c r="AT368" i="6"/>
  <c r="BA368" i="6"/>
  <c r="AV368" i="6"/>
  <c r="AU368" i="6"/>
  <c r="AY368" i="6"/>
  <c r="AX368" i="6"/>
  <c r="AZ368" i="6"/>
  <c r="H369" i="6" a="1"/>
  <c r="H369" i="6" s="1"/>
  <c r="N369" i="6"/>
  <c r="M369" i="6"/>
  <c r="AD370" i="5"/>
  <c r="I370" i="5"/>
  <c r="A370" i="12"/>
  <c r="AE370" i="5"/>
  <c r="H370" i="5"/>
  <c r="K366" i="5" s="1"/>
  <c r="G370" i="5"/>
  <c r="F370" i="5"/>
  <c r="C371" i="5"/>
  <c r="B370" i="5"/>
  <c r="W370" i="5"/>
  <c r="H370" i="12" s="1"/>
  <c r="N370" i="5"/>
  <c r="D370" i="6" s="1"/>
  <c r="B370" i="6"/>
  <c r="J370" i="6" s="1" a="1"/>
  <c r="J370" i="6" s="1"/>
  <c r="E370" i="5"/>
  <c r="J369" i="12" a="1"/>
  <c r="J369" i="12" s="1"/>
  <c r="L369" i="12" a="1"/>
  <c r="L369" i="12" s="1"/>
  <c r="CK369" i="6" l="1"/>
  <c r="BI369" i="6"/>
  <c r="CB369" i="6"/>
  <c r="BT369" i="6"/>
  <c r="BF369" i="6"/>
  <c r="BO369" i="6"/>
  <c r="BQ369" i="6"/>
  <c r="CD369" i="6"/>
  <c r="BD369" i="6"/>
  <c r="BX369" i="6"/>
  <c r="BZ369" i="6"/>
  <c r="BL369" i="6"/>
  <c r="BM369" i="6"/>
  <c r="CH369" i="6"/>
  <c r="CA369" i="6"/>
  <c r="BS369" i="6"/>
  <c r="CG369" i="6"/>
  <c r="CF369" i="6"/>
  <c r="BR369" i="6"/>
  <c r="CL369" i="6"/>
  <c r="BC369" i="6"/>
  <c r="BH369" i="6"/>
  <c r="CI369" i="6"/>
  <c r="CE369" i="6"/>
  <c r="BG369" i="6"/>
  <c r="BJ369" i="6"/>
  <c r="BK369" i="6"/>
  <c r="BE369" i="6"/>
  <c r="BN369" i="6"/>
  <c r="BY369" i="6"/>
  <c r="BP369" i="6"/>
  <c r="BV369" i="6"/>
  <c r="CM369" i="6"/>
  <c r="H370" i="6" a="1"/>
  <c r="H370" i="6" s="1"/>
  <c r="G370" i="6"/>
  <c r="N370" i="6"/>
  <c r="M370" i="6"/>
  <c r="BZ370" i="6" s="1"/>
  <c r="AX369" i="6"/>
  <c r="AU369" i="6"/>
  <c r="AZ369" i="6"/>
  <c r="T369" i="5"/>
  <c r="G369" i="12" s="1"/>
  <c r="AW369" i="6"/>
  <c r="AV369" i="6"/>
  <c r="AY369" i="6"/>
  <c r="BA369" i="6"/>
  <c r="F371" i="5"/>
  <c r="AE371" i="5"/>
  <c r="N371" i="5"/>
  <c r="D371" i="6" s="1"/>
  <c r="E371" i="5"/>
  <c r="C372" i="5"/>
  <c r="J371" i="5"/>
  <c r="AD371" i="5"/>
  <c r="G371" i="5"/>
  <c r="H371" i="5"/>
  <c r="D371" i="5"/>
  <c r="B371" i="12" s="1"/>
  <c r="A371" i="12"/>
  <c r="B371" i="5"/>
  <c r="B371" i="6"/>
  <c r="K371" i="5"/>
  <c r="CJ369" i="6"/>
  <c r="AT369" i="6"/>
  <c r="CC369" i="6"/>
  <c r="K369" i="12"/>
  <c r="BW369" i="6"/>
  <c r="CJ370" i="6" l="1"/>
  <c r="AS370" i="6"/>
  <c r="BO370" i="6"/>
  <c r="BR370" i="6"/>
  <c r="BG370" i="6"/>
  <c r="CA370" i="6"/>
  <c r="BI370" i="6"/>
  <c r="BV370" i="6"/>
  <c r="BX370" i="6"/>
  <c r="BT370" i="6"/>
  <c r="AR370" i="6"/>
  <c r="AY370" i="6"/>
  <c r="AP370" i="6"/>
  <c r="AV370" i="6"/>
  <c r="AL370" i="6"/>
  <c r="J372" i="5"/>
  <c r="AE372" i="5"/>
  <c r="H372" i="5"/>
  <c r="G372" i="5"/>
  <c r="F372" i="5"/>
  <c r="D372" i="5"/>
  <c r="B372" i="12" s="1"/>
  <c r="A372" i="12"/>
  <c r="C373" i="5"/>
  <c r="B372" i="5"/>
  <c r="B372" i="6"/>
  <c r="E372" i="5"/>
  <c r="AD372" i="5"/>
  <c r="K372" i="5"/>
  <c r="N372" i="5"/>
  <c r="D372" i="6" s="1"/>
  <c r="H371" i="6" a="1"/>
  <c r="H371" i="6" s="1"/>
  <c r="N371" i="6"/>
  <c r="M371" i="6"/>
  <c r="CM370" i="6"/>
  <c r="BH370" i="6"/>
  <c r="CI370" i="6"/>
  <c r="CE370" i="6"/>
  <c r="CB370" i="6"/>
  <c r="BS370" i="6"/>
  <c r="CH370" i="6"/>
  <c r="CL370" i="6"/>
  <c r="BE370" i="6"/>
  <c r="CK370" i="6"/>
  <c r="BN370" i="6"/>
  <c r="BD370" i="6"/>
  <c r="BM370" i="6"/>
  <c r="BP370" i="6"/>
  <c r="BW370" i="6"/>
  <c r="CC370" i="6"/>
  <c r="BQ370" i="6"/>
  <c r="BL370" i="6"/>
  <c r="BY370" i="6"/>
  <c r="BC370" i="6"/>
  <c r="BJ370" i="6"/>
  <c r="CD370" i="6"/>
  <c r="J371" i="12" a="1"/>
  <c r="J371" i="12" s="1"/>
  <c r="L371" i="12" a="1"/>
  <c r="L371" i="12" s="1"/>
  <c r="CF370" i="6"/>
  <c r="BK370" i="6"/>
  <c r="CG370" i="6"/>
  <c r="BF370" i="6"/>
  <c r="AN370" i="6"/>
  <c r="T370" i="5"/>
  <c r="G370" i="12" s="1"/>
  <c r="AJ370" i="6"/>
  <c r="BA370" i="6"/>
  <c r="AU370" i="6"/>
  <c r="AX370" i="6"/>
  <c r="AT370" i="6"/>
  <c r="AQ370" i="6"/>
  <c r="AW370" i="6"/>
  <c r="AZ370" i="6"/>
  <c r="AM370" i="6"/>
  <c r="AO370" i="6"/>
  <c r="AK370" i="6"/>
  <c r="BC371" i="6" l="1"/>
  <c r="AV371" i="6"/>
  <c r="BO371" i="6"/>
  <c r="BR371" i="6"/>
  <c r="BW371" i="6"/>
  <c r="CJ371" i="6"/>
  <c r="AU371" i="6"/>
  <c r="K371" i="12"/>
  <c r="AX371" i="6"/>
  <c r="D373" i="5"/>
  <c r="B373" i="12" s="1"/>
  <c r="B373" i="6"/>
  <c r="C374" i="5"/>
  <c r="K373" i="5"/>
  <c r="B373" i="5"/>
  <c r="F373" i="5"/>
  <c r="G373" i="5"/>
  <c r="E373" i="5"/>
  <c r="N373" i="5"/>
  <c r="D373" i="6" s="1"/>
  <c r="AE373" i="5"/>
  <c r="J373" i="5"/>
  <c r="A373" i="12"/>
  <c r="AD373" i="5"/>
  <c r="H373" i="5"/>
  <c r="L372" i="12" a="1"/>
  <c r="L372" i="12" s="1"/>
  <c r="J372" i="12" a="1"/>
  <c r="J372" i="12" s="1"/>
  <c r="CK371" i="6"/>
  <c r="BM371" i="6"/>
  <c r="BK371" i="6"/>
  <c r="CA371" i="6"/>
  <c r="BQ371" i="6"/>
  <c r="CD371" i="6"/>
  <c r="CC371" i="6"/>
  <c r="CI371" i="6"/>
  <c r="CG371" i="6"/>
  <c r="BG371" i="6"/>
  <c r="CL371" i="6"/>
  <c r="BE371" i="6"/>
  <c r="BI371" i="6"/>
  <c r="BS371" i="6"/>
  <c r="BD371" i="6"/>
  <c r="BP371" i="6"/>
  <c r="BT371" i="6"/>
  <c r="CF371" i="6"/>
  <c r="BF371" i="6"/>
  <c r="CH371" i="6"/>
  <c r="CM371" i="6"/>
  <c r="BH371" i="6"/>
  <c r="BJ371" i="6"/>
  <c r="BZ371" i="6"/>
  <c r="BL371" i="6"/>
  <c r="CB371" i="6"/>
  <c r="BV371" i="6"/>
  <c r="BY371" i="6"/>
  <c r="CE371" i="6"/>
  <c r="BN371" i="6"/>
  <c r="AY371" i="6"/>
  <c r="AZ371" i="6"/>
  <c r="AW371" i="6"/>
  <c r="T371" i="5"/>
  <c r="G371" i="12" s="1"/>
  <c r="BA371" i="6"/>
  <c r="AT371" i="6"/>
  <c r="N372" i="6"/>
  <c r="M372" i="6"/>
  <c r="H372" i="6" a="1"/>
  <c r="H372" i="6" s="1"/>
  <c r="BX371" i="6"/>
  <c r="K372" i="12" l="1"/>
  <c r="J373" i="12" a="1"/>
  <c r="J373" i="12" s="1"/>
  <c r="L373" i="12" a="1"/>
  <c r="L373" i="12" s="1"/>
  <c r="M373" i="6"/>
  <c r="N373" i="6"/>
  <c r="H373" i="6" a="1"/>
  <c r="H373" i="6" s="1"/>
  <c r="T372" i="5"/>
  <c r="G372" i="12" s="1"/>
  <c r="BA372" i="6"/>
  <c r="AW372" i="6"/>
  <c r="AY372" i="6"/>
  <c r="AZ372" i="6"/>
  <c r="AV372" i="6"/>
  <c r="AT372" i="6"/>
  <c r="AX372" i="6"/>
  <c r="BO372" i="6"/>
  <c r="CL372" i="6"/>
  <c r="CI372" i="6"/>
  <c r="CG372" i="6"/>
  <c r="BV372" i="6"/>
  <c r="CA372" i="6"/>
  <c r="BL372" i="6"/>
  <c r="BR372" i="6"/>
  <c r="CE372" i="6"/>
  <c r="CB372" i="6"/>
  <c r="BF372" i="6"/>
  <c r="BW372" i="6"/>
  <c r="BY372" i="6"/>
  <c r="BZ372" i="6"/>
  <c r="BC372" i="6"/>
  <c r="BX372" i="6"/>
  <c r="CM372" i="6"/>
  <c r="BJ372" i="6"/>
  <c r="BG372" i="6"/>
  <c r="CC372" i="6"/>
  <c r="CD372" i="6"/>
  <c r="BQ372" i="6"/>
  <c r="BM372" i="6"/>
  <c r="CF372" i="6"/>
  <c r="BI372" i="6"/>
  <c r="CH372" i="6"/>
  <c r="BS372" i="6"/>
  <c r="BK372" i="6"/>
  <c r="BP372" i="6"/>
  <c r="BE372" i="6"/>
  <c r="CJ372" i="6"/>
  <c r="BD372" i="6"/>
  <c r="CK372" i="6"/>
  <c r="BT372" i="6"/>
  <c r="BH372" i="6"/>
  <c r="BN372" i="6"/>
  <c r="AU372" i="6"/>
  <c r="J374" i="5"/>
  <c r="G374" i="5"/>
  <c r="F374" i="5"/>
  <c r="AE374" i="5"/>
  <c r="B374" i="6"/>
  <c r="C375" i="5"/>
  <c r="H374" i="5"/>
  <c r="A374" i="12"/>
  <c r="E374" i="5"/>
  <c r="D374" i="5"/>
  <c r="B374" i="12" s="1"/>
  <c r="AD374" i="5"/>
  <c r="K374" i="5"/>
  <c r="N374" i="5"/>
  <c r="D374" i="6" s="1"/>
  <c r="B374" i="5"/>
  <c r="BC373" i="6" l="1"/>
  <c r="BE373" i="6"/>
  <c r="K373" i="12"/>
  <c r="L374" i="12" a="1"/>
  <c r="L374" i="12" s="1"/>
  <c r="J374" i="12" a="1"/>
  <c r="J374" i="12" s="1"/>
  <c r="AE375" i="5"/>
  <c r="H375" i="5"/>
  <c r="AD375" i="5"/>
  <c r="A375" i="12"/>
  <c r="G375" i="5"/>
  <c r="E375" i="5"/>
  <c r="B375" i="6"/>
  <c r="D375" i="5"/>
  <c r="B375" i="12" s="1"/>
  <c r="K375" i="5"/>
  <c r="F375" i="5"/>
  <c r="B375" i="5"/>
  <c r="C376" i="5"/>
  <c r="N375" i="5"/>
  <c r="D375" i="6" s="1"/>
  <c r="J375" i="5"/>
  <c r="AT373" i="6"/>
  <c r="T373" i="5"/>
  <c r="G373" i="12" s="1"/>
  <c r="AU373" i="6"/>
  <c r="AZ373" i="6"/>
  <c r="AX373" i="6"/>
  <c r="AY373" i="6"/>
  <c r="AV373" i="6"/>
  <c r="BA373" i="6"/>
  <c r="AW373" i="6"/>
  <c r="N374" i="6"/>
  <c r="M374" i="6"/>
  <c r="BS374" i="6" s="1"/>
  <c r="H374" i="6" a="1"/>
  <c r="H374" i="6" s="1"/>
  <c r="CJ373" i="6"/>
  <c r="BM373" i="6"/>
  <c r="BG373" i="6"/>
  <c r="BL373" i="6"/>
  <c r="BQ373" i="6"/>
  <c r="BJ373" i="6"/>
  <c r="BH373" i="6"/>
  <c r="CB373" i="6"/>
  <c r="CF373" i="6"/>
  <c r="CD373" i="6"/>
  <c r="BV373" i="6"/>
  <c r="BY373" i="6"/>
  <c r="BS373" i="6"/>
  <c r="BR373" i="6"/>
  <c r="CA373" i="6"/>
  <c r="BP373" i="6"/>
  <c r="CC373" i="6"/>
  <c r="BD373" i="6"/>
  <c r="CE373" i="6"/>
  <c r="BW373" i="6"/>
  <c r="CM373" i="6"/>
  <c r="CK373" i="6"/>
  <c r="BI373" i="6"/>
  <c r="BF373" i="6"/>
  <c r="BX373" i="6"/>
  <c r="BT373" i="6"/>
  <c r="BN373" i="6"/>
  <c r="CH373" i="6"/>
  <c r="CI373" i="6"/>
  <c r="BK373" i="6"/>
  <c r="BO373" i="6"/>
  <c r="CL373" i="6"/>
  <c r="BZ373" i="6"/>
  <c r="CG373" i="6"/>
  <c r="L375" i="12" l="1" a="1"/>
  <c r="L375" i="12" s="1"/>
  <c r="J375" i="12" a="1"/>
  <c r="J375" i="12" s="1"/>
  <c r="AT374" i="6"/>
  <c r="AW374" i="6"/>
  <c r="AZ374" i="6"/>
  <c r="BA374" i="6"/>
  <c r="AX374" i="6"/>
  <c r="AY374" i="6"/>
  <c r="AV374" i="6"/>
  <c r="T374" i="5"/>
  <c r="G374" i="12" s="1"/>
  <c r="AU374" i="6"/>
  <c r="CL374" i="6"/>
  <c r="BD374" i="6"/>
  <c r="BF374" i="6"/>
  <c r="BE374" i="6"/>
  <c r="BQ374" i="6"/>
  <c r="CH374" i="6"/>
  <c r="CF374" i="6"/>
  <c r="CC374" i="6"/>
  <c r="CE374" i="6"/>
  <c r="BI374" i="6"/>
  <c r="CJ374" i="6"/>
  <c r="BJ374" i="6"/>
  <c r="CM374" i="6"/>
  <c r="BH374" i="6"/>
  <c r="CA374" i="6"/>
  <c r="CB374" i="6"/>
  <c r="CG374" i="6"/>
  <c r="BX374" i="6"/>
  <c r="BG374" i="6"/>
  <c r="BO374" i="6"/>
  <c r="BC374" i="6"/>
  <c r="BK374" i="6"/>
  <c r="BN374" i="6"/>
  <c r="CI374" i="6"/>
  <c r="BW374" i="6"/>
  <c r="BR374" i="6"/>
  <c r="BL374" i="6"/>
  <c r="BT374" i="6"/>
  <c r="BP374" i="6"/>
  <c r="BZ374" i="6"/>
  <c r="BV374" i="6"/>
  <c r="CK374" i="6"/>
  <c r="CD374" i="6"/>
  <c r="BY374" i="6"/>
  <c r="M375" i="6"/>
  <c r="N375" i="6"/>
  <c r="H375" i="6" a="1"/>
  <c r="H375" i="6" s="1"/>
  <c r="H376" i="5"/>
  <c r="A376" i="12"/>
  <c r="B376" i="6"/>
  <c r="E376" i="5"/>
  <c r="D376" i="5"/>
  <c r="B376" i="12" s="1"/>
  <c r="AD376" i="5"/>
  <c r="G376" i="5"/>
  <c r="K376" i="5"/>
  <c r="F376" i="5"/>
  <c r="AE376" i="5"/>
  <c r="B376" i="5"/>
  <c r="C377" i="5" s="1"/>
  <c r="N376" i="5"/>
  <c r="D376" i="6" s="1"/>
  <c r="J376" i="5"/>
  <c r="K374" i="12"/>
  <c r="BM374" i="6"/>
  <c r="K375" i="12" l="1"/>
  <c r="N376" i="6"/>
  <c r="H376" i="6" a="1"/>
  <c r="H376" i="6" s="1"/>
  <c r="M376" i="6"/>
  <c r="T375" i="5"/>
  <c r="G375" i="12" s="1"/>
  <c r="AW375" i="6"/>
  <c r="BA375" i="6"/>
  <c r="AX375" i="6"/>
  <c r="AZ375" i="6"/>
  <c r="AU375" i="6"/>
  <c r="AT375" i="6"/>
  <c r="AV375" i="6"/>
  <c r="AY375" i="6"/>
  <c r="A377" i="12"/>
  <c r="AE377" i="5"/>
  <c r="B377" i="6"/>
  <c r="J377" i="6" s="1" a="1"/>
  <c r="J377" i="6" s="1"/>
  <c r="F377" i="5"/>
  <c r="E377" i="5"/>
  <c r="AD377" i="5"/>
  <c r="H377" i="5"/>
  <c r="G377" i="5"/>
  <c r="B377" i="5"/>
  <c r="C378" i="5"/>
  <c r="W377" i="5"/>
  <c r="H377" i="12" s="1"/>
  <c r="I377" i="5"/>
  <c r="N377" i="5"/>
  <c r="D377" i="6" s="1"/>
  <c r="BP375" i="6"/>
  <c r="BE375" i="6"/>
  <c r="BL375" i="6"/>
  <c r="BS375" i="6"/>
  <c r="BV375" i="6"/>
  <c r="CM375" i="6"/>
  <c r="CC375" i="6"/>
  <c r="BR375" i="6"/>
  <c r="BH375" i="6"/>
  <c r="CF375" i="6"/>
  <c r="CI375" i="6"/>
  <c r="BK375" i="6"/>
  <c r="BJ375" i="6"/>
  <c r="BZ375" i="6"/>
  <c r="BW375" i="6"/>
  <c r="CE375" i="6"/>
  <c r="BN375" i="6"/>
  <c r="BY375" i="6"/>
  <c r="CK375" i="6"/>
  <c r="BI375" i="6"/>
  <c r="BT375" i="6"/>
  <c r="CG375" i="6"/>
  <c r="BF375" i="6"/>
  <c r="BG375" i="6"/>
  <c r="CL375" i="6"/>
  <c r="BO375" i="6"/>
  <c r="BQ375" i="6"/>
  <c r="CD375" i="6"/>
  <c r="CB375" i="6"/>
  <c r="BD375" i="6"/>
  <c r="BX375" i="6"/>
  <c r="CH375" i="6"/>
  <c r="BM375" i="6"/>
  <c r="CA375" i="6"/>
  <c r="BC375" i="6"/>
  <c r="CJ375" i="6"/>
  <c r="J376" i="12" a="1"/>
  <c r="J376" i="12" s="1"/>
  <c r="L376" i="12" a="1"/>
  <c r="L376" i="12" s="1"/>
  <c r="BJ376" i="6" l="1"/>
  <c r="BS376" i="6"/>
  <c r="CF376" i="6"/>
  <c r="BI376" i="6"/>
  <c r="CH376" i="6"/>
  <c r="AX376" i="6"/>
  <c r="BH376" i="6"/>
  <c r="BX376" i="6"/>
  <c r="BP376" i="6"/>
  <c r="CB376" i="6"/>
  <c r="CG376" i="6"/>
  <c r="AZ376" i="6"/>
  <c r="AY376" i="6"/>
  <c r="BO376" i="6"/>
  <c r="BG376" i="6"/>
  <c r="BA376" i="6"/>
  <c r="CL376" i="6"/>
  <c r="BN376" i="6"/>
  <c r="BK376" i="6"/>
  <c r="CD376" i="6"/>
  <c r="BC376" i="6"/>
  <c r="BW376" i="6"/>
  <c r="BE376" i="6"/>
  <c r="AV376" i="6"/>
  <c r="BV376" i="6"/>
  <c r="CC376" i="6"/>
  <c r="BY376" i="6"/>
  <c r="BQ376" i="6"/>
  <c r="CA376" i="6"/>
  <c r="CI376" i="6"/>
  <c r="BM376" i="6"/>
  <c r="AW376" i="6"/>
  <c r="CE376" i="6"/>
  <c r="BL376" i="6"/>
  <c r="AT376" i="6"/>
  <c r="BD376" i="6"/>
  <c r="G377" i="6"/>
  <c r="N377" i="6"/>
  <c r="M377" i="6"/>
  <c r="H377" i="6" a="1"/>
  <c r="H377" i="6" s="1"/>
  <c r="CJ376" i="6"/>
  <c r="BZ376" i="6"/>
  <c r="BT376" i="6"/>
  <c r="BR376" i="6"/>
  <c r="BF376" i="6"/>
  <c r="CM376" i="6"/>
  <c r="T376" i="5"/>
  <c r="G376" i="12" s="1"/>
  <c r="AU376" i="6"/>
  <c r="E378" i="5"/>
  <c r="AD378" i="5"/>
  <c r="K378" i="5"/>
  <c r="AE378" i="5"/>
  <c r="B378" i="6"/>
  <c r="H378" i="5"/>
  <c r="G378" i="5"/>
  <c r="F378" i="5"/>
  <c r="A378" i="12"/>
  <c r="D378" i="5"/>
  <c r="B378" i="12" s="1"/>
  <c r="C379" i="5"/>
  <c r="B378" i="5"/>
  <c r="N378" i="5"/>
  <c r="D378" i="6" s="1"/>
  <c r="J378" i="5"/>
  <c r="CK376" i="6"/>
  <c r="K376" i="12"/>
  <c r="L378" i="12" l="1" a="1"/>
  <c r="L378" i="12" s="1"/>
  <c r="J378" i="12" a="1"/>
  <c r="J378" i="12" s="1"/>
  <c r="T377" i="5"/>
  <c r="G377" i="12" s="1"/>
  <c r="AS377" i="6"/>
  <c r="AY377" i="6"/>
  <c r="AN377" i="6"/>
  <c r="AT377" i="6"/>
  <c r="BA377" i="6"/>
  <c r="AO377" i="6"/>
  <c r="AZ377" i="6"/>
  <c r="AL377" i="6"/>
  <c r="AQ377" i="6"/>
  <c r="AW377" i="6"/>
  <c r="AX377" i="6"/>
  <c r="AJ377" i="6"/>
  <c r="AP377" i="6"/>
  <c r="AU377" i="6"/>
  <c r="AK377" i="6"/>
  <c r="AR377" i="6"/>
  <c r="AV377" i="6"/>
  <c r="AM377" i="6"/>
  <c r="AE379" i="5"/>
  <c r="K379" i="5"/>
  <c r="AD379" i="5"/>
  <c r="H379" i="5"/>
  <c r="G379" i="5"/>
  <c r="D379" i="5"/>
  <c r="B379" i="12" s="1"/>
  <c r="B379" i="5"/>
  <c r="J379" i="5"/>
  <c r="F379" i="5"/>
  <c r="A379" i="12"/>
  <c r="C380" i="5"/>
  <c r="B379" i="6"/>
  <c r="N379" i="5"/>
  <c r="D379" i="6" s="1"/>
  <c r="E379" i="5"/>
  <c r="BZ377" i="6"/>
  <c r="CA377" i="6"/>
  <c r="BE377" i="6"/>
  <c r="CH377" i="6"/>
  <c r="BD377" i="6"/>
  <c r="BT377" i="6"/>
  <c r="CB377" i="6"/>
  <c r="BM377" i="6"/>
  <c r="BO377" i="6"/>
  <c r="BC377" i="6"/>
  <c r="BS377" i="6"/>
  <c r="CE377" i="6"/>
  <c r="CC377" i="6"/>
  <c r="BW377" i="6"/>
  <c r="BK377" i="6"/>
  <c r="CJ377" i="6"/>
  <c r="BF377" i="6"/>
  <c r="CD377" i="6"/>
  <c r="BP377" i="6"/>
  <c r="BV377" i="6"/>
  <c r="BX377" i="6"/>
  <c r="BY377" i="6"/>
  <c r="BJ377" i="6"/>
  <c r="CK377" i="6"/>
  <c r="CL377" i="6"/>
  <c r="CG377" i="6"/>
  <c r="BI377" i="6"/>
  <c r="BQ377" i="6"/>
  <c r="BN377" i="6"/>
  <c r="BH377" i="6"/>
  <c r="CM377" i="6"/>
  <c r="BR377" i="6"/>
  <c r="BL377" i="6"/>
  <c r="BG377" i="6"/>
  <c r="CF377" i="6"/>
  <c r="CI377" i="6"/>
  <c r="M378" i="6"/>
  <c r="N378" i="6"/>
  <c r="H378" i="6" a="1"/>
  <c r="H378" i="6" s="1"/>
  <c r="N379" i="6" l="1"/>
  <c r="H379" i="6" a="1"/>
  <c r="H379" i="6" s="1"/>
  <c r="M379" i="6"/>
  <c r="K380" i="5"/>
  <c r="J380" i="5"/>
  <c r="N380" i="5"/>
  <c r="D380" i="6" s="1"/>
  <c r="H380" i="5"/>
  <c r="AE380" i="5"/>
  <c r="G380" i="5"/>
  <c r="F380" i="5"/>
  <c r="A380" i="12"/>
  <c r="D380" i="5"/>
  <c r="B380" i="12" s="1"/>
  <c r="AD380" i="5"/>
  <c r="C381" i="5"/>
  <c r="B380" i="6"/>
  <c r="B380" i="5"/>
  <c r="E380" i="5"/>
  <c r="J379" i="12" a="1"/>
  <c r="J379" i="12" s="1"/>
  <c r="L379" i="12" a="1"/>
  <c r="L379" i="12" s="1"/>
  <c r="K378" i="12"/>
  <c r="T378" i="5"/>
  <c r="G378" i="12" s="1"/>
  <c r="BA378" i="6"/>
  <c r="AX378" i="6"/>
  <c r="AT378" i="6"/>
  <c r="AY378" i="6"/>
  <c r="AZ378" i="6"/>
  <c r="AV378" i="6"/>
  <c r="AW378" i="6"/>
  <c r="AU378" i="6"/>
  <c r="BP378" i="6"/>
  <c r="BG378" i="6"/>
  <c r="BD378" i="6"/>
  <c r="CA378" i="6"/>
  <c r="CJ378" i="6"/>
  <c r="BH378" i="6"/>
  <c r="BL378" i="6"/>
  <c r="CM378" i="6"/>
  <c r="BR378" i="6"/>
  <c r="BZ378" i="6"/>
  <c r="CG378" i="6"/>
  <c r="BX378" i="6"/>
  <c r="BV378" i="6"/>
  <c r="BS378" i="6"/>
  <c r="CF378" i="6"/>
  <c r="BN378" i="6"/>
  <c r="BQ378" i="6"/>
  <c r="BC378" i="6"/>
  <c r="BJ378" i="6"/>
  <c r="CC378" i="6"/>
  <c r="BK378" i="6"/>
  <c r="BY378" i="6"/>
  <c r="BE378" i="6"/>
  <c r="BW378" i="6"/>
  <c r="BM378" i="6"/>
  <c r="CH378" i="6"/>
  <c r="BT378" i="6"/>
  <c r="BF378" i="6"/>
  <c r="BO378" i="6"/>
  <c r="CE378" i="6"/>
  <c r="CK378" i="6"/>
  <c r="BI378" i="6"/>
  <c r="CI378" i="6"/>
  <c r="CB378" i="6"/>
  <c r="CL378" i="6"/>
  <c r="CD378" i="6"/>
  <c r="BH379" i="6" l="1"/>
  <c r="BG379" i="6"/>
  <c r="BW379" i="6"/>
  <c r="BC379" i="6"/>
  <c r="BN379" i="6"/>
  <c r="CI379" i="6"/>
  <c r="CJ379" i="6"/>
  <c r="BS379" i="6"/>
  <c r="BM379" i="6"/>
  <c r="AV379" i="6"/>
  <c r="CA379" i="6"/>
  <c r="AX379" i="6"/>
  <c r="BZ379" i="6"/>
  <c r="K379" i="12"/>
  <c r="J380" i="12" a="1"/>
  <c r="J380" i="12" s="1"/>
  <c r="L380" i="12" a="1"/>
  <c r="L380" i="12" s="1"/>
  <c r="BP379" i="6"/>
  <c r="BV379" i="6"/>
  <c r="CE379" i="6"/>
  <c r="CK379" i="6"/>
  <c r="BK379" i="6"/>
  <c r="BJ379" i="6"/>
  <c r="BT379" i="6"/>
  <c r="BD379" i="6"/>
  <c r="CM379" i="6"/>
  <c r="CB379" i="6"/>
  <c r="CG379" i="6"/>
  <c r="BF379" i="6"/>
  <c r="BX379" i="6"/>
  <c r="BQ379" i="6"/>
  <c r="AU379" i="6"/>
  <c r="AT379" i="6"/>
  <c r="BA379" i="6"/>
  <c r="T379" i="5"/>
  <c r="G379" i="12" s="1"/>
  <c r="AZ379" i="6"/>
  <c r="AW379" i="6"/>
  <c r="M380" i="6"/>
  <c r="N380" i="6"/>
  <c r="H380" i="6" a="1"/>
  <c r="H380" i="6" s="1"/>
  <c r="CL379" i="6"/>
  <c r="BI379" i="6"/>
  <c r="BE379" i="6"/>
  <c r="BO379" i="6"/>
  <c r="K381" i="5"/>
  <c r="F381" i="5"/>
  <c r="E381" i="5"/>
  <c r="G381" i="5"/>
  <c r="D381" i="5"/>
  <c r="B381" i="12" s="1"/>
  <c r="N381" i="5"/>
  <c r="D381" i="6" s="1"/>
  <c r="H381" i="5"/>
  <c r="A381" i="12"/>
  <c r="J381" i="5"/>
  <c r="AE381" i="5"/>
  <c r="AD381" i="5"/>
  <c r="C382" i="5"/>
  <c r="B381" i="5"/>
  <c r="B381" i="6"/>
  <c r="CH379" i="6"/>
  <c r="BL379" i="6"/>
  <c r="CD379" i="6"/>
  <c r="AY379" i="6"/>
  <c r="CF379" i="6"/>
  <c r="BY379" i="6"/>
  <c r="CC379" i="6"/>
  <c r="BR379" i="6"/>
  <c r="K380" i="12" l="1"/>
  <c r="H381" i="6" a="1"/>
  <c r="H381" i="6" s="1"/>
  <c r="M381" i="6"/>
  <c r="N381" i="6"/>
  <c r="BK380" i="6"/>
  <c r="BE380" i="6"/>
  <c r="CC380" i="6"/>
  <c r="CA380" i="6"/>
  <c r="BS380" i="6"/>
  <c r="CD380" i="6"/>
  <c r="CI380" i="6"/>
  <c r="BT380" i="6"/>
  <c r="CB380" i="6"/>
  <c r="CL380" i="6"/>
  <c r="BM380" i="6"/>
  <c r="BX380" i="6"/>
  <c r="BV380" i="6"/>
  <c r="BC380" i="6"/>
  <c r="CK380" i="6"/>
  <c r="BN380" i="6"/>
  <c r="CE380" i="6"/>
  <c r="BO380" i="6"/>
  <c r="BY380" i="6"/>
  <c r="BW380" i="6"/>
  <c r="CJ380" i="6"/>
  <c r="BP380" i="6"/>
  <c r="BH380" i="6"/>
  <c r="BQ380" i="6"/>
  <c r="BI380" i="6"/>
  <c r="CM380" i="6"/>
  <c r="BJ380" i="6"/>
  <c r="BD380" i="6"/>
  <c r="BL380" i="6"/>
  <c r="CG380" i="6"/>
  <c r="BR380" i="6"/>
  <c r="BF380" i="6"/>
  <c r="BG380" i="6"/>
  <c r="CH380" i="6"/>
  <c r="CF380" i="6"/>
  <c r="BZ380" i="6"/>
  <c r="AE382" i="5"/>
  <c r="A382" i="12"/>
  <c r="H382" i="5"/>
  <c r="D382" i="5"/>
  <c r="B382" i="12" s="1"/>
  <c r="G382" i="5"/>
  <c r="B382" i="6"/>
  <c r="AD382" i="5"/>
  <c r="K382" i="5"/>
  <c r="C383" i="5"/>
  <c r="B382" i="5"/>
  <c r="E382" i="5"/>
  <c r="N382" i="5"/>
  <c r="D382" i="6" s="1"/>
  <c r="J382" i="5"/>
  <c r="F382" i="5"/>
  <c r="J381" i="12" a="1"/>
  <c r="J381" i="12" s="1"/>
  <c r="L381" i="12" a="1"/>
  <c r="L381" i="12" s="1"/>
  <c r="AV380" i="6"/>
  <c r="AX380" i="6"/>
  <c r="AT380" i="6"/>
  <c r="AZ380" i="6"/>
  <c r="T380" i="5"/>
  <c r="G380" i="12" s="1"/>
  <c r="AW380" i="6"/>
  <c r="BA380" i="6"/>
  <c r="AU380" i="6"/>
  <c r="AY380" i="6"/>
  <c r="BL381" i="6" l="1"/>
  <c r="CB381" i="6"/>
  <c r="CJ381" i="6"/>
  <c r="BD381" i="6"/>
  <c r="CC381" i="6"/>
  <c r="BT381" i="6"/>
  <c r="BK381" i="6"/>
  <c r="BW381" i="6"/>
  <c r="BG381" i="6"/>
  <c r="BX381" i="6"/>
  <c r="BS381" i="6"/>
  <c r="CL381" i="6"/>
  <c r="BI381" i="6"/>
  <c r="BR381" i="6"/>
  <c r="BF381" i="6"/>
  <c r="BO381" i="6"/>
  <c r="BZ381" i="6"/>
  <c r="CA381" i="6"/>
  <c r="BV381" i="6"/>
  <c r="CK381" i="6"/>
  <c r="CD381" i="6"/>
  <c r="AT381" i="6"/>
  <c r="AX381" i="6"/>
  <c r="AU381" i="6"/>
  <c r="J382" i="12" a="1"/>
  <c r="J382" i="12" s="1"/>
  <c r="L382" i="12" a="1"/>
  <c r="L382" i="12" s="1"/>
  <c r="K381" i="12"/>
  <c r="M382" i="6"/>
  <c r="BT382" i="6" s="1"/>
  <c r="H382" i="6" a="1"/>
  <c r="H382" i="6" s="1"/>
  <c r="N382" i="6"/>
  <c r="B383" i="6"/>
  <c r="K383" i="5"/>
  <c r="F383" i="5"/>
  <c r="E383" i="5"/>
  <c r="B383" i="5"/>
  <c r="C384" i="5" s="1"/>
  <c r="N383" i="5"/>
  <c r="D383" i="6" s="1"/>
  <c r="AD383" i="5"/>
  <c r="J383" i="5"/>
  <c r="G383" i="5"/>
  <c r="AE383" i="5"/>
  <c r="H383" i="5"/>
  <c r="A383" i="12"/>
  <c r="D383" i="5"/>
  <c r="B383" i="12" s="1"/>
  <c r="CH381" i="6"/>
  <c r="CI381" i="6"/>
  <c r="BY381" i="6"/>
  <c r="BJ381" i="6"/>
  <c r="BC381" i="6"/>
  <c r="BH381" i="6"/>
  <c r="BN381" i="6"/>
  <c r="CF381" i="6"/>
  <c r="BE381" i="6"/>
  <c r="BP381" i="6"/>
  <c r="CG381" i="6"/>
  <c r="CM381" i="6"/>
  <c r="BQ381" i="6"/>
  <c r="BM381" i="6"/>
  <c r="CE381" i="6"/>
  <c r="AW381" i="6"/>
  <c r="BA381" i="6"/>
  <c r="T381" i="5"/>
  <c r="G381" i="12" s="1"/>
  <c r="AV381" i="6"/>
  <c r="AY381" i="6"/>
  <c r="AZ381" i="6"/>
  <c r="AZ382" i="6" l="1"/>
  <c r="BL382" i="6"/>
  <c r="CB382" i="6"/>
  <c r="BP382" i="6"/>
  <c r="BV382" i="6"/>
  <c r="BE382" i="6"/>
  <c r="BS382" i="6"/>
  <c r="CI382" i="6"/>
  <c r="AV382" i="6"/>
  <c r="BA382" i="6"/>
  <c r="BX382" i="6"/>
  <c r="CC382" i="6"/>
  <c r="BK382" i="6"/>
  <c r="BO382" i="6"/>
  <c r="CG382" i="6"/>
  <c r="CM382" i="6"/>
  <c r="BW382" i="6"/>
  <c r="L383" i="12" a="1"/>
  <c r="L383" i="12" s="1"/>
  <c r="J383" i="12" a="1"/>
  <c r="J383" i="12" s="1"/>
  <c r="AW382" i="6"/>
  <c r="AU382" i="6"/>
  <c r="AY382" i="6"/>
  <c r="CE382" i="6"/>
  <c r="M383" i="6"/>
  <c r="N383" i="6"/>
  <c r="H383" i="6" a="1"/>
  <c r="H383" i="6" s="1"/>
  <c r="T382" i="5"/>
  <c r="G382" i="12" s="1"/>
  <c r="AX382" i="6"/>
  <c r="G384" i="5"/>
  <c r="A384" i="12"/>
  <c r="B384" i="6"/>
  <c r="J384" i="6" s="1" a="1"/>
  <c r="J384" i="6" s="1"/>
  <c r="E384" i="5"/>
  <c r="AD384" i="5"/>
  <c r="H384" i="5"/>
  <c r="F384" i="5"/>
  <c r="N384" i="5"/>
  <c r="D384" i="6" s="1"/>
  <c r="I384" i="5"/>
  <c r="B384" i="5"/>
  <c r="C385" i="5" s="1"/>
  <c r="W384" i="5"/>
  <c r="H384" i="12" s="1"/>
  <c r="AE384" i="5"/>
  <c r="CK382" i="6"/>
  <c r="BF382" i="6"/>
  <c r="BI382" i="6"/>
  <c r="CJ382" i="6"/>
  <c r="CA382" i="6"/>
  <c r="BQ382" i="6"/>
  <c r="CD382" i="6"/>
  <c r="BJ382" i="6"/>
  <c r="BY382" i="6"/>
  <c r="CL382" i="6"/>
  <c r="BR382" i="6"/>
  <c r="BC382" i="6"/>
  <c r="CH382" i="6"/>
  <c r="BM382" i="6"/>
  <c r="BH382" i="6"/>
  <c r="CF382" i="6"/>
  <c r="BD382" i="6"/>
  <c r="AT382" i="6"/>
  <c r="BG382" i="6"/>
  <c r="BN382" i="6"/>
  <c r="K382" i="12"/>
  <c r="BZ382" i="6"/>
  <c r="BV383" i="6" l="1"/>
  <c r="CA383" i="6"/>
  <c r="CB383" i="6"/>
  <c r="BE383" i="6"/>
  <c r="BN383" i="6"/>
  <c r="AW383" i="6"/>
  <c r="K383" i="12"/>
  <c r="F385" i="5"/>
  <c r="E385" i="5"/>
  <c r="AD385" i="5"/>
  <c r="H385" i="5"/>
  <c r="B385" i="5"/>
  <c r="G385" i="5"/>
  <c r="C386" i="5"/>
  <c r="W385" i="5"/>
  <c r="H385" i="12" s="1"/>
  <c r="B385" i="6"/>
  <c r="J385" i="6" s="1" a="1"/>
  <c r="J385" i="6" s="1"/>
  <c r="N385" i="5"/>
  <c r="D385" i="6" s="1"/>
  <c r="A385" i="12"/>
  <c r="AE385" i="5"/>
  <c r="I385" i="5"/>
  <c r="AU383" i="6"/>
  <c r="T383" i="5"/>
  <c r="G383" i="12" s="1"/>
  <c r="AT383" i="6"/>
  <c r="AY383" i="6"/>
  <c r="AV383" i="6"/>
  <c r="AZ383" i="6"/>
  <c r="H384" i="6" a="1"/>
  <c r="H384" i="6" s="1"/>
  <c r="N384" i="6"/>
  <c r="G384" i="6"/>
  <c r="M384" i="6"/>
  <c r="BK383" i="6"/>
  <c r="BC383" i="6"/>
  <c r="CF383" i="6"/>
  <c r="BJ383" i="6"/>
  <c r="BT383" i="6"/>
  <c r="CK383" i="6"/>
  <c r="BY383" i="6"/>
  <c r="BX383" i="6"/>
  <c r="BW383" i="6"/>
  <c r="BQ383" i="6"/>
  <c r="BO383" i="6"/>
  <c r="CJ383" i="6"/>
  <c r="BD383" i="6"/>
  <c r="CL383" i="6"/>
  <c r="BI383" i="6"/>
  <c r="BM383" i="6"/>
  <c r="BS383" i="6"/>
  <c r="CM383" i="6"/>
  <c r="CD383" i="6"/>
  <c r="CE383" i="6"/>
  <c r="BZ383" i="6"/>
  <c r="BR383" i="6"/>
  <c r="CI383" i="6"/>
  <c r="BP383" i="6"/>
  <c r="BH383" i="6"/>
  <c r="BG383" i="6"/>
  <c r="CC383" i="6"/>
  <c r="BF383" i="6"/>
  <c r="CH383" i="6"/>
  <c r="CG383" i="6"/>
  <c r="BL383" i="6"/>
  <c r="BA383" i="6"/>
  <c r="AX383" i="6"/>
  <c r="CB384" i="6" l="1"/>
  <c r="BC384" i="6"/>
  <c r="CC384" i="6"/>
  <c r="BZ384" i="6"/>
  <c r="BG384" i="6"/>
  <c r="BT384" i="6"/>
  <c r="BS384" i="6"/>
  <c r="AQ384" i="6"/>
  <c r="AL384" i="6"/>
  <c r="CH384" i="6"/>
  <c r="BR384" i="6"/>
  <c r="CG384" i="6"/>
  <c r="CK384" i="6"/>
  <c r="CE384" i="6"/>
  <c r="BD384" i="6"/>
  <c r="CI384" i="6"/>
  <c r="BV384" i="6"/>
  <c r="BK384" i="6"/>
  <c r="BN384" i="6"/>
  <c r="CD384" i="6"/>
  <c r="BX384" i="6"/>
  <c r="BH384" i="6"/>
  <c r="CA384" i="6"/>
  <c r="CL384" i="6"/>
  <c r="BM384" i="6"/>
  <c r="BI384" i="6"/>
  <c r="BO384" i="6"/>
  <c r="CM384" i="6"/>
  <c r="BY384" i="6"/>
  <c r="BF384" i="6"/>
  <c r="CJ384" i="6"/>
  <c r="BL384" i="6"/>
  <c r="BP384" i="6"/>
  <c r="CF384" i="6"/>
  <c r="BW384" i="6"/>
  <c r="BJ384" i="6"/>
  <c r="BE384" i="6"/>
  <c r="BQ384" i="6"/>
  <c r="M385" i="6"/>
  <c r="G385" i="6"/>
  <c r="N385" i="6"/>
  <c r="H385" i="6" a="1"/>
  <c r="H385" i="6" s="1"/>
  <c r="T384" i="5"/>
  <c r="G384" i="12" s="1"/>
  <c r="AU384" i="6"/>
  <c r="AW384" i="6"/>
  <c r="AS384" i="6"/>
  <c r="AK384" i="6"/>
  <c r="AX384" i="6"/>
  <c r="AZ384" i="6"/>
  <c r="AM384" i="6"/>
  <c r="AO384" i="6"/>
  <c r="AN384" i="6"/>
  <c r="AP384" i="6"/>
  <c r="BA384" i="6"/>
  <c r="AJ384" i="6"/>
  <c r="AY384" i="6"/>
  <c r="AR384" i="6"/>
  <c r="AT384" i="6"/>
  <c r="K386" i="5"/>
  <c r="AE386" i="5"/>
  <c r="H386" i="5"/>
  <c r="G386" i="5"/>
  <c r="F386" i="5"/>
  <c r="D386" i="5"/>
  <c r="B386" i="12" s="1"/>
  <c r="E386" i="5"/>
  <c r="C387" i="5"/>
  <c r="B386" i="5"/>
  <c r="A386" i="12"/>
  <c r="N386" i="5"/>
  <c r="D386" i="6" s="1"/>
  <c r="B386" i="6"/>
  <c r="J386" i="5"/>
  <c r="AD386" i="5"/>
  <c r="AV384" i="6"/>
  <c r="CD385" i="6" l="1"/>
  <c r="BV385" i="6"/>
  <c r="CH385" i="6"/>
  <c r="CB385" i="6"/>
  <c r="M386" i="6"/>
  <c r="N386" i="6"/>
  <c r="H386" i="6" a="1"/>
  <c r="H386" i="6" s="1"/>
  <c r="J386" i="12" a="1"/>
  <c r="J386" i="12" s="1"/>
  <c r="L386" i="12" a="1"/>
  <c r="L386" i="12" s="1"/>
  <c r="E387" i="5"/>
  <c r="J387" i="5"/>
  <c r="AE387" i="5"/>
  <c r="G387" i="5"/>
  <c r="AD387" i="5"/>
  <c r="H387" i="5"/>
  <c r="D387" i="5"/>
  <c r="B387" i="12" s="1"/>
  <c r="F387" i="5"/>
  <c r="B387" i="5"/>
  <c r="C388" i="5"/>
  <c r="A387" i="12"/>
  <c r="N387" i="5"/>
  <c r="D387" i="6" s="1"/>
  <c r="B387" i="6"/>
  <c r="K387" i="5"/>
  <c r="T385" i="5"/>
  <c r="G385" i="12" s="1"/>
  <c r="AV385" i="6"/>
  <c r="AU385" i="6"/>
  <c r="AJ385" i="6"/>
  <c r="AY385" i="6"/>
  <c r="AK385" i="6"/>
  <c r="AQ385" i="6"/>
  <c r="AR385" i="6"/>
  <c r="AS385" i="6"/>
  <c r="AM385" i="6"/>
  <c r="AW385" i="6"/>
  <c r="BA385" i="6"/>
  <c r="AT385" i="6"/>
  <c r="AO385" i="6"/>
  <c r="AP385" i="6"/>
  <c r="AZ385" i="6"/>
  <c r="AN385" i="6"/>
  <c r="AL385" i="6"/>
  <c r="AX385" i="6"/>
  <c r="BT385" i="6"/>
  <c r="BH385" i="6"/>
  <c r="BW385" i="6"/>
  <c r="CE385" i="6"/>
  <c r="BF385" i="6"/>
  <c r="BR385" i="6"/>
  <c r="CI385" i="6"/>
  <c r="BS385" i="6"/>
  <c r="CF385" i="6"/>
  <c r="CM385" i="6"/>
  <c r="BY385" i="6"/>
  <c r="BD385" i="6"/>
  <c r="BX385" i="6"/>
  <c r="CC385" i="6"/>
  <c r="BZ385" i="6"/>
  <c r="BQ385" i="6"/>
  <c r="CG385" i="6"/>
  <c r="BM385" i="6"/>
  <c r="CJ385" i="6"/>
  <c r="BK385" i="6"/>
  <c r="BJ385" i="6"/>
  <c r="CA385" i="6"/>
  <c r="BE385" i="6"/>
  <c r="CK385" i="6"/>
  <c r="BN385" i="6"/>
  <c r="BG385" i="6"/>
  <c r="BI385" i="6"/>
  <c r="BC385" i="6"/>
  <c r="BP385" i="6"/>
  <c r="BO385" i="6"/>
  <c r="CL385" i="6"/>
  <c r="BL385" i="6"/>
  <c r="CI386" i="6" l="1"/>
  <c r="BY386" i="6"/>
  <c r="BI386" i="6"/>
  <c r="CK386" i="6"/>
  <c r="BS386" i="6"/>
  <c r="CH386" i="6"/>
  <c r="CF386" i="6"/>
  <c r="BG386" i="6"/>
  <c r="BL386" i="6"/>
  <c r="CB386" i="6"/>
  <c r="BV386" i="6"/>
  <c r="BM386" i="6"/>
  <c r="BZ386" i="6"/>
  <c r="BH386" i="6"/>
  <c r="BW386" i="6"/>
  <c r="BD386" i="6"/>
  <c r="CL386" i="6"/>
  <c r="BX386" i="6"/>
  <c r="BN386" i="6"/>
  <c r="CD386" i="6"/>
  <c r="AT386" i="6"/>
  <c r="BR386" i="6"/>
  <c r="CC386" i="6"/>
  <c r="BO386" i="6"/>
  <c r="BE386" i="6"/>
  <c r="BQ386" i="6"/>
  <c r="CJ386" i="6"/>
  <c r="BF386" i="6"/>
  <c r="BP386" i="6"/>
  <c r="AX386" i="6"/>
  <c r="BA386" i="6"/>
  <c r="AV386" i="6"/>
  <c r="AY386" i="6"/>
  <c r="K386" i="12"/>
  <c r="H387" i="6" a="1"/>
  <c r="H387" i="6" s="1"/>
  <c r="N387" i="6"/>
  <c r="M387" i="6"/>
  <c r="AU386" i="6"/>
  <c r="J387" i="12" a="1"/>
  <c r="J387" i="12" s="1"/>
  <c r="L387" i="12" a="1"/>
  <c r="L387" i="12" s="1"/>
  <c r="D388" i="5"/>
  <c r="B388" i="12" s="1"/>
  <c r="E388" i="5"/>
  <c r="A388" i="12"/>
  <c r="C389" i="5"/>
  <c r="B388" i="5"/>
  <c r="B388" i="6"/>
  <c r="AE388" i="5"/>
  <c r="AD388" i="5"/>
  <c r="K388" i="5"/>
  <c r="N388" i="5"/>
  <c r="D388" i="6" s="1"/>
  <c r="J388" i="5"/>
  <c r="H388" i="5"/>
  <c r="G388" i="5"/>
  <c r="F388" i="5"/>
  <c r="T386" i="5"/>
  <c r="G386" i="12" s="1"/>
  <c r="AW386" i="6"/>
  <c r="AZ386" i="6"/>
  <c r="BK386" i="6"/>
  <c r="CG386" i="6"/>
  <c r="BJ386" i="6"/>
  <c r="CA386" i="6"/>
  <c r="CM386" i="6"/>
  <c r="CE386" i="6"/>
  <c r="BT386" i="6"/>
  <c r="BC386" i="6"/>
  <c r="BV387" i="6" l="1"/>
  <c r="BC387" i="6"/>
  <c r="CL387" i="6"/>
  <c r="BO387" i="6"/>
  <c r="BZ387" i="6"/>
  <c r="BQ387" i="6"/>
  <c r="BF387" i="6"/>
  <c r="CC387" i="6"/>
  <c r="K387" i="12"/>
  <c r="F389" i="5"/>
  <c r="AE389" i="5"/>
  <c r="B389" i="5"/>
  <c r="E389" i="5"/>
  <c r="AD389" i="5"/>
  <c r="C390" i="5"/>
  <c r="N389" i="5"/>
  <c r="D389" i="6" s="1"/>
  <c r="H389" i="5"/>
  <c r="J389" i="5"/>
  <c r="K389" i="5"/>
  <c r="G389" i="5"/>
  <c r="B389" i="6"/>
  <c r="D389" i="5"/>
  <c r="B389" i="12" s="1"/>
  <c r="A389" i="12"/>
  <c r="J388" i="12" a="1"/>
  <c r="J388" i="12" s="1"/>
  <c r="L388" i="12" a="1"/>
  <c r="L388" i="12" s="1"/>
  <c r="N388" i="6"/>
  <c r="M388" i="6"/>
  <c r="H388" i="6" a="1"/>
  <c r="H388" i="6" s="1"/>
  <c r="BR387" i="6"/>
  <c r="BH387" i="6"/>
  <c r="BY387" i="6"/>
  <c r="CH387" i="6"/>
  <c r="CM387" i="6"/>
  <c r="CB387" i="6"/>
  <c r="CJ387" i="6"/>
  <c r="BW387" i="6"/>
  <c r="BX387" i="6"/>
  <c r="CK387" i="6"/>
  <c r="BS387" i="6"/>
  <c r="BD387" i="6"/>
  <c r="BM387" i="6"/>
  <c r="BG387" i="6"/>
  <c r="BE387" i="6"/>
  <c r="BL387" i="6"/>
  <c r="CF387" i="6"/>
  <c r="BK387" i="6"/>
  <c r="CE387" i="6"/>
  <c r="CG387" i="6"/>
  <c r="BP387" i="6"/>
  <c r="CA387" i="6"/>
  <c r="BI387" i="6"/>
  <c r="BN387" i="6"/>
  <c r="BJ387" i="6"/>
  <c r="BT387" i="6"/>
  <c r="CD387" i="6"/>
  <c r="CI387" i="6"/>
  <c r="T387" i="5"/>
  <c r="G387" i="12" s="1"/>
  <c r="AY387" i="6"/>
  <c r="BA387" i="6"/>
  <c r="AV387" i="6"/>
  <c r="AU387" i="6"/>
  <c r="AZ387" i="6"/>
  <c r="AT387" i="6"/>
  <c r="AW387" i="6"/>
  <c r="AX387" i="6"/>
  <c r="K388" i="12" l="1"/>
  <c r="BA388" i="6"/>
  <c r="AY388" i="6"/>
  <c r="AZ388" i="6"/>
  <c r="AV388" i="6"/>
  <c r="AX388" i="6"/>
  <c r="AT388" i="6"/>
  <c r="T388" i="5"/>
  <c r="G388" i="12" s="1"/>
  <c r="AU388" i="6"/>
  <c r="AW388" i="6"/>
  <c r="N389" i="6"/>
  <c r="M389" i="6"/>
  <c r="H389" i="6" a="1"/>
  <c r="H389" i="6" s="1"/>
  <c r="BT388" i="6"/>
  <c r="BH388" i="6"/>
  <c r="CH388" i="6"/>
  <c r="CK388" i="6"/>
  <c r="BI388" i="6"/>
  <c r="CL388" i="6"/>
  <c r="BM388" i="6"/>
  <c r="CF388" i="6"/>
  <c r="BV388" i="6"/>
  <c r="BO388" i="6"/>
  <c r="CB388" i="6"/>
  <c r="BL388" i="6"/>
  <c r="BW388" i="6"/>
  <c r="BX388" i="6"/>
  <c r="BE388" i="6"/>
  <c r="CI388" i="6"/>
  <c r="CC388" i="6"/>
  <c r="BK388" i="6"/>
  <c r="CD388" i="6"/>
  <c r="BZ388" i="6"/>
  <c r="BY388" i="6"/>
  <c r="CJ388" i="6"/>
  <c r="CG388" i="6"/>
  <c r="BQ388" i="6"/>
  <c r="CM388" i="6"/>
  <c r="BC388" i="6"/>
  <c r="BJ388" i="6"/>
  <c r="BF388" i="6"/>
  <c r="BP388" i="6"/>
  <c r="CE388" i="6"/>
  <c r="BR388" i="6"/>
  <c r="BG388" i="6"/>
  <c r="BN388" i="6"/>
  <c r="CA388" i="6"/>
  <c r="BS388" i="6"/>
  <c r="BD388" i="6"/>
  <c r="AE390" i="5"/>
  <c r="H390" i="5"/>
  <c r="G390" i="5"/>
  <c r="J390" i="5"/>
  <c r="AD390" i="5"/>
  <c r="C391" i="5"/>
  <c r="A390" i="12"/>
  <c r="F390" i="5"/>
  <c r="N390" i="5"/>
  <c r="D390" i="6" s="1"/>
  <c r="B390" i="6"/>
  <c r="D390" i="5"/>
  <c r="B390" i="12" s="1"/>
  <c r="E390" i="5"/>
  <c r="K390" i="5"/>
  <c r="B390" i="5"/>
  <c r="J389" i="12" a="1"/>
  <c r="J389" i="12" s="1"/>
  <c r="L389" i="12" a="1"/>
  <c r="L389" i="12" s="1"/>
  <c r="K389" i="12" l="1"/>
  <c r="T389" i="5"/>
  <c r="G389" i="12" s="1"/>
  <c r="BA389" i="6"/>
  <c r="AU389" i="6"/>
  <c r="AZ389" i="6"/>
  <c r="AX389" i="6"/>
  <c r="AV389" i="6"/>
  <c r="AY389" i="6"/>
  <c r="AT389" i="6"/>
  <c r="AW389" i="6"/>
  <c r="CI389" i="6"/>
  <c r="BX389" i="6"/>
  <c r="CD389" i="6"/>
  <c r="BN389" i="6"/>
  <c r="BQ389" i="6"/>
  <c r="BO389" i="6"/>
  <c r="BV389" i="6"/>
  <c r="BH389" i="6"/>
  <c r="BY389" i="6"/>
  <c r="CF389" i="6"/>
  <c r="BC389" i="6"/>
  <c r="CJ389" i="6"/>
  <c r="CB389" i="6"/>
  <c r="CE389" i="6"/>
  <c r="BE389" i="6"/>
  <c r="CH389" i="6"/>
  <c r="BT389" i="6"/>
  <c r="BM389" i="6"/>
  <c r="BI389" i="6"/>
  <c r="BF389" i="6"/>
  <c r="BD389" i="6"/>
  <c r="BL389" i="6"/>
  <c r="CK389" i="6"/>
  <c r="CL389" i="6"/>
  <c r="BZ389" i="6"/>
  <c r="BJ389" i="6"/>
  <c r="BW389" i="6"/>
  <c r="CC389" i="6"/>
  <c r="BG389" i="6"/>
  <c r="CG389" i="6"/>
  <c r="BR389" i="6"/>
  <c r="BP389" i="6"/>
  <c r="BK389" i="6"/>
  <c r="CA389" i="6"/>
  <c r="CM389" i="6"/>
  <c r="BS389" i="6"/>
  <c r="N390" i="6"/>
  <c r="H390" i="6" a="1"/>
  <c r="H390" i="6" s="1"/>
  <c r="M390" i="6"/>
  <c r="BZ390" i="6" s="1"/>
  <c r="L390" i="12" a="1"/>
  <c r="L390" i="12" s="1"/>
  <c r="J390" i="12" a="1"/>
  <c r="J390" i="12" s="1"/>
  <c r="N391" i="5"/>
  <c r="D391" i="6" s="1"/>
  <c r="J391" i="5"/>
  <c r="AE391" i="5"/>
  <c r="G391" i="5"/>
  <c r="AD391" i="5"/>
  <c r="H391" i="5"/>
  <c r="A391" i="12"/>
  <c r="B391" i="6"/>
  <c r="D391" i="5"/>
  <c r="B391" i="12" s="1"/>
  <c r="K391" i="5"/>
  <c r="F391" i="5"/>
  <c r="E391" i="5"/>
  <c r="B391" i="5"/>
  <c r="C392" i="5"/>
  <c r="BW390" i="6" l="1"/>
  <c r="BC390" i="6"/>
  <c r="BN390" i="6"/>
  <c r="AZ390" i="6"/>
  <c r="AY390" i="6"/>
  <c r="BH390" i="6"/>
  <c r="AX390" i="6"/>
  <c r="BV390" i="6"/>
  <c r="BK390" i="6"/>
  <c r="CE390" i="6"/>
  <c r="CH390" i="6"/>
  <c r="BD390" i="6"/>
  <c r="BG390" i="6"/>
  <c r="AU390" i="6"/>
  <c r="CJ390" i="6"/>
  <c r="BA390" i="6"/>
  <c r="BO390" i="6"/>
  <c r="BR390" i="6"/>
  <c r="BE390" i="6"/>
  <c r="CC390" i="6"/>
  <c r="K390" i="12"/>
  <c r="J391" i="12" a="1"/>
  <c r="J391" i="12" s="1"/>
  <c r="L391" i="12" a="1"/>
  <c r="L391" i="12" s="1"/>
  <c r="CM390" i="6"/>
  <c r="CI390" i="6"/>
  <c r="BP390" i="6"/>
  <c r="D392" i="5"/>
  <c r="B392" i="12" s="1"/>
  <c r="C393" i="5"/>
  <c r="H392" i="5"/>
  <c r="B392" i="5"/>
  <c r="N392" i="5"/>
  <c r="D392" i="6" s="1"/>
  <c r="J392" i="5"/>
  <c r="AE392" i="5"/>
  <c r="F392" i="5"/>
  <c r="A392" i="12"/>
  <c r="B392" i="6"/>
  <c r="G392" i="5"/>
  <c r="E392" i="5"/>
  <c r="AD392" i="5"/>
  <c r="K392" i="5"/>
  <c r="CF390" i="6"/>
  <c r="CD390" i="6"/>
  <c r="CG390" i="6"/>
  <c r="CK390" i="6"/>
  <c r="CA390" i="6"/>
  <c r="BI390" i="6"/>
  <c r="CL390" i="6"/>
  <c r="BS390" i="6"/>
  <c r="BT390" i="6"/>
  <c r="BL390" i="6"/>
  <c r="BF390" i="6"/>
  <c r="BJ390" i="6"/>
  <c r="BX390" i="6"/>
  <c r="BY390" i="6"/>
  <c r="BM390" i="6"/>
  <c r="CB390" i="6"/>
  <c r="M391" i="6"/>
  <c r="N391" i="6"/>
  <c r="H391" i="6" a="1"/>
  <c r="H391" i="6" s="1"/>
  <c r="AV390" i="6"/>
  <c r="T390" i="5"/>
  <c r="G390" i="12" s="1"/>
  <c r="AT390" i="6"/>
  <c r="AW390" i="6"/>
  <c r="BQ390" i="6"/>
  <c r="K391" i="12" l="1"/>
  <c r="M392" i="6"/>
  <c r="H392" i="6" a="1"/>
  <c r="H392" i="6" s="1"/>
  <c r="N392" i="6"/>
  <c r="F393" i="5"/>
  <c r="H393" i="5"/>
  <c r="E393" i="5"/>
  <c r="AD393" i="5"/>
  <c r="B393" i="6"/>
  <c r="G393" i="5"/>
  <c r="K393" i="5"/>
  <c r="D393" i="5"/>
  <c r="B393" i="12" s="1"/>
  <c r="N393" i="5"/>
  <c r="D393" i="6" s="1"/>
  <c r="B393" i="5"/>
  <c r="C394" i="5"/>
  <c r="A393" i="12"/>
  <c r="J393" i="5"/>
  <c r="AE393" i="5"/>
  <c r="AT391" i="6"/>
  <c r="AY391" i="6"/>
  <c r="T391" i="5"/>
  <c r="G391" i="12" s="1"/>
  <c r="BA391" i="6"/>
  <c r="AV391" i="6"/>
  <c r="AZ391" i="6"/>
  <c r="AW391" i="6"/>
  <c r="AX391" i="6"/>
  <c r="J392" i="12" a="1"/>
  <c r="J392" i="12" s="1"/>
  <c r="L392" i="12" a="1"/>
  <c r="L392" i="12" s="1"/>
  <c r="BZ391" i="6"/>
  <c r="BS391" i="6"/>
  <c r="BM391" i="6"/>
  <c r="BL391" i="6"/>
  <c r="CB391" i="6"/>
  <c r="BY391" i="6"/>
  <c r="BE391" i="6"/>
  <c r="CE391" i="6"/>
  <c r="BC391" i="6"/>
  <c r="BD391" i="6"/>
  <c r="CK391" i="6"/>
  <c r="BW391" i="6"/>
  <c r="CJ391" i="6"/>
  <c r="CL391" i="6"/>
  <c r="BK391" i="6"/>
  <c r="CI391" i="6"/>
  <c r="BX391" i="6"/>
  <c r="BP391" i="6"/>
  <c r="BT391" i="6"/>
  <c r="BN391" i="6"/>
  <c r="BQ391" i="6"/>
  <c r="CD391" i="6"/>
  <c r="CM391" i="6"/>
  <c r="BJ391" i="6"/>
  <c r="BF391" i="6"/>
  <c r="CG391" i="6"/>
  <c r="BV391" i="6"/>
  <c r="BI391" i="6"/>
  <c r="BG391" i="6"/>
  <c r="BR391" i="6"/>
  <c r="CF391" i="6"/>
  <c r="CH391" i="6"/>
  <c r="BH391" i="6"/>
  <c r="CA391" i="6"/>
  <c r="CC391" i="6"/>
  <c r="BO391" i="6"/>
  <c r="AU391" i="6"/>
  <c r="BM392" i="6" l="1"/>
  <c r="BI392" i="6"/>
  <c r="CG392" i="6"/>
  <c r="BP392" i="6"/>
  <c r="BT392" i="6"/>
  <c r="CL392" i="6"/>
  <c r="AW392" i="6"/>
  <c r="CM392" i="6"/>
  <c r="BD392" i="6"/>
  <c r="BA392" i="6"/>
  <c r="AZ392" i="6"/>
  <c r="BE392" i="6"/>
  <c r="BC392" i="6"/>
  <c r="CF392" i="6"/>
  <c r="BF392" i="6"/>
  <c r="BQ392" i="6"/>
  <c r="BV392" i="6"/>
  <c r="CK392" i="6"/>
  <c r="BR392" i="6"/>
  <c r="CC392" i="6"/>
  <c r="BJ392" i="6"/>
  <c r="BG392" i="6"/>
  <c r="AX392" i="6"/>
  <c r="AT392" i="6"/>
  <c r="BK392" i="6"/>
  <c r="AU392" i="6"/>
  <c r="J393" i="12" a="1"/>
  <c r="J393" i="12" s="1"/>
  <c r="L393" i="12" a="1"/>
  <c r="L393" i="12" s="1"/>
  <c r="K392" i="12"/>
  <c r="E394" i="5"/>
  <c r="AD394" i="5"/>
  <c r="K394" i="5"/>
  <c r="AE394" i="5"/>
  <c r="J394" i="5"/>
  <c r="H394" i="5"/>
  <c r="G394" i="5"/>
  <c r="A394" i="12"/>
  <c r="F394" i="5"/>
  <c r="B394" i="5"/>
  <c r="C395" i="5" s="1"/>
  <c r="D394" i="5"/>
  <c r="B394" i="12" s="1"/>
  <c r="N394" i="5"/>
  <c r="D394" i="6" s="1"/>
  <c r="B394" i="6"/>
  <c r="N393" i="6"/>
  <c r="M393" i="6"/>
  <c r="H393" i="6" a="1"/>
  <c r="H393" i="6" s="1"/>
  <c r="T392" i="5"/>
  <c r="G392" i="12" s="1"/>
  <c r="AV392" i="6"/>
  <c r="AY392" i="6"/>
  <c r="BS392" i="6"/>
  <c r="BL392" i="6"/>
  <c r="CE392" i="6"/>
  <c r="BN392" i="6"/>
  <c r="BX392" i="6"/>
  <c r="CB392" i="6"/>
  <c r="BY392" i="6"/>
  <c r="CI392" i="6"/>
  <c r="CH392" i="6"/>
  <c r="BW392" i="6"/>
  <c r="BZ392" i="6"/>
  <c r="CD392" i="6"/>
  <c r="CA392" i="6"/>
  <c r="BO392" i="6"/>
  <c r="CJ392" i="6"/>
  <c r="BH392" i="6"/>
  <c r="CC393" i="6" l="1"/>
  <c r="BE393" i="6"/>
  <c r="K393" i="12"/>
  <c r="CL393" i="6"/>
  <c r="J394" i="12" a="1"/>
  <c r="J394" i="12" s="1"/>
  <c r="L394" i="12" a="1"/>
  <c r="L394" i="12" s="1"/>
  <c r="AX393" i="6"/>
  <c r="AY393" i="6"/>
  <c r="AU393" i="6"/>
  <c r="BA393" i="6"/>
  <c r="AT393" i="6"/>
  <c r="AV393" i="6"/>
  <c r="AW393" i="6"/>
  <c r="AZ393" i="6"/>
  <c r="T393" i="5"/>
  <c r="G393" i="12" s="1"/>
  <c r="CJ393" i="6"/>
  <c r="BJ393" i="6"/>
  <c r="BZ393" i="6"/>
  <c r="CM393" i="6"/>
  <c r="CK393" i="6"/>
  <c r="BC393" i="6"/>
  <c r="CA393" i="6"/>
  <c r="BK393" i="6"/>
  <c r="BL393" i="6"/>
  <c r="CE393" i="6"/>
  <c r="BV393" i="6"/>
  <c r="BX393" i="6"/>
  <c r="BN393" i="6"/>
  <c r="BD393" i="6"/>
  <c r="CI393" i="6"/>
  <c r="BS393" i="6"/>
  <c r="CB393" i="6"/>
  <c r="BH393" i="6"/>
  <c r="BG393" i="6"/>
  <c r="BP393" i="6"/>
  <c r="BY393" i="6"/>
  <c r="BF393" i="6"/>
  <c r="BW393" i="6"/>
  <c r="BM393" i="6"/>
  <c r="BQ393" i="6"/>
  <c r="BT393" i="6"/>
  <c r="CD393" i="6"/>
  <c r="CF393" i="6"/>
  <c r="BO393" i="6"/>
  <c r="BR393" i="6"/>
  <c r="CG393" i="6"/>
  <c r="CH393" i="6"/>
  <c r="BI393" i="6"/>
  <c r="H394" i="6" a="1"/>
  <c r="H394" i="6" s="1"/>
  <c r="N394" i="6"/>
  <c r="M394" i="6"/>
  <c r="B395" i="6"/>
  <c r="J395" i="6" s="1" a="1"/>
  <c r="J395" i="6" s="1"/>
  <c r="A395" i="12"/>
  <c r="F395" i="5"/>
  <c r="E395" i="5"/>
  <c r="AE395" i="5"/>
  <c r="AD395" i="5"/>
  <c r="I395" i="5"/>
  <c r="H395" i="5"/>
  <c r="W395" i="5"/>
  <c r="H395" i="12" s="1"/>
  <c r="G395" i="5"/>
  <c r="B395" i="5"/>
  <c r="C396" i="5"/>
  <c r="N395" i="5"/>
  <c r="D395" i="6" s="1"/>
  <c r="K394" i="12" l="1"/>
  <c r="E396" i="5"/>
  <c r="AD396" i="5"/>
  <c r="N396" i="5"/>
  <c r="D396" i="6" s="1"/>
  <c r="K396" i="5"/>
  <c r="J396" i="5"/>
  <c r="AE396" i="5"/>
  <c r="H396" i="5"/>
  <c r="G396" i="5"/>
  <c r="F396" i="5"/>
  <c r="D396" i="5"/>
  <c r="B396" i="12" s="1"/>
  <c r="A396" i="12"/>
  <c r="C397" i="5"/>
  <c r="B396" i="6"/>
  <c r="B396" i="5"/>
  <c r="CH394" i="6"/>
  <c r="BL394" i="6"/>
  <c r="BF394" i="6"/>
  <c r="CG394" i="6"/>
  <c r="BE394" i="6"/>
  <c r="BQ394" i="6"/>
  <c r="BD394" i="6"/>
  <c r="BI394" i="6"/>
  <c r="CK394" i="6"/>
  <c r="CM394" i="6"/>
  <c r="BH394" i="6"/>
  <c r="BY394" i="6"/>
  <c r="BW394" i="6"/>
  <c r="BO394" i="6"/>
  <c r="CA394" i="6"/>
  <c r="BX394" i="6"/>
  <c r="BT394" i="6"/>
  <c r="CD394" i="6"/>
  <c r="BZ394" i="6"/>
  <c r="BJ394" i="6"/>
  <c r="CB394" i="6"/>
  <c r="BM394" i="6"/>
  <c r="CE394" i="6"/>
  <c r="BR394" i="6"/>
  <c r="BP394" i="6"/>
  <c r="CF394" i="6"/>
  <c r="CC394" i="6"/>
  <c r="BC394" i="6"/>
  <c r="CL394" i="6"/>
  <c r="CI394" i="6"/>
  <c r="BV394" i="6"/>
  <c r="BK394" i="6"/>
  <c r="BN394" i="6"/>
  <c r="CJ394" i="6"/>
  <c r="BG394" i="6"/>
  <c r="BS394" i="6"/>
  <c r="T394" i="5"/>
  <c r="G394" i="12" s="1"/>
  <c r="AY394" i="6"/>
  <c r="AW394" i="6"/>
  <c r="AT394" i="6"/>
  <c r="AZ394" i="6"/>
  <c r="BA394" i="6"/>
  <c r="AV394" i="6"/>
  <c r="AX394" i="6"/>
  <c r="AU394" i="6"/>
  <c r="N395" i="6"/>
  <c r="M395" i="6"/>
  <c r="BI395" i="6" s="1"/>
  <c r="H395" i="6" a="1"/>
  <c r="H395" i="6" s="1"/>
  <c r="G395" i="6"/>
  <c r="AX395" i="6" l="1"/>
  <c r="AO395" i="6"/>
  <c r="BT395" i="6"/>
  <c r="AV395" i="6"/>
  <c r="AJ395" i="6"/>
  <c r="BJ395" i="6"/>
  <c r="AQ395" i="6"/>
  <c r="BS395" i="6"/>
  <c r="BV395" i="6"/>
  <c r="AM395" i="6"/>
  <c r="BK395" i="6"/>
  <c r="BC395" i="6"/>
  <c r="M396" i="6"/>
  <c r="N396" i="6"/>
  <c r="H396" i="6" a="1"/>
  <c r="H396" i="6" s="1"/>
  <c r="T395" i="5"/>
  <c r="G395" i="12" s="1"/>
  <c r="AU395" i="6"/>
  <c r="AZ395" i="6"/>
  <c r="AR395" i="6"/>
  <c r="AL395" i="6"/>
  <c r="AP395" i="6"/>
  <c r="BW395" i="6"/>
  <c r="CG395" i="6"/>
  <c r="BP395" i="6"/>
  <c r="CK395" i="6"/>
  <c r="BX395" i="6"/>
  <c r="BN395" i="6"/>
  <c r="CJ395" i="6"/>
  <c r="BF395" i="6"/>
  <c r="BQ395" i="6"/>
  <c r="BE395" i="6"/>
  <c r="CL395" i="6"/>
  <c r="BL395" i="6"/>
  <c r="CI395" i="6"/>
  <c r="BM395" i="6"/>
  <c r="BR395" i="6"/>
  <c r="BD395" i="6"/>
  <c r="CB395" i="6"/>
  <c r="BO395" i="6"/>
  <c r="BH395" i="6"/>
  <c r="CH395" i="6"/>
  <c r="CM395" i="6"/>
  <c r="CD395" i="6"/>
  <c r="BA395" i="6"/>
  <c r="AT395" i="6"/>
  <c r="CA395" i="6"/>
  <c r="AW395" i="6"/>
  <c r="G397" i="5"/>
  <c r="K397" i="5"/>
  <c r="H397" i="5"/>
  <c r="D397" i="5"/>
  <c r="B397" i="12" s="1"/>
  <c r="A397" i="12"/>
  <c r="B397" i="5"/>
  <c r="B397" i="6"/>
  <c r="C398" i="5"/>
  <c r="N397" i="5"/>
  <c r="D397" i="6" s="1"/>
  <c r="E397" i="5"/>
  <c r="J397" i="5"/>
  <c r="AE397" i="5"/>
  <c r="AD397" i="5"/>
  <c r="F397" i="5"/>
  <c r="CC395" i="6"/>
  <c r="J396" i="12" a="1"/>
  <c r="J396" i="12" s="1"/>
  <c r="L396" i="12" a="1"/>
  <c r="L396" i="12" s="1"/>
  <c r="BY395" i="6"/>
  <c r="AN395" i="6"/>
  <c r="AY395" i="6"/>
  <c r="BZ395" i="6"/>
  <c r="CE395" i="6"/>
  <c r="CF395" i="6"/>
  <c r="AS395" i="6"/>
  <c r="AK395" i="6"/>
  <c r="BG395" i="6"/>
  <c r="H397" i="6" l="1" a="1"/>
  <c r="H397" i="6" s="1"/>
  <c r="N397" i="6"/>
  <c r="M397" i="6"/>
  <c r="B398" i="5"/>
  <c r="N398" i="5"/>
  <c r="D398" i="6" s="1"/>
  <c r="J398" i="5"/>
  <c r="K398" i="5"/>
  <c r="AE398" i="5"/>
  <c r="H398" i="5"/>
  <c r="G398" i="5"/>
  <c r="A398" i="12"/>
  <c r="F398" i="5"/>
  <c r="B398" i="6"/>
  <c r="D398" i="5"/>
  <c r="B398" i="12" s="1"/>
  <c r="E398" i="5"/>
  <c r="AD398" i="5"/>
  <c r="C399" i="5"/>
  <c r="K396" i="12"/>
  <c r="L397" i="12" a="1"/>
  <c r="L397" i="12" s="1"/>
  <c r="J397" i="12" a="1"/>
  <c r="J397" i="12" s="1"/>
  <c r="AX396" i="6"/>
  <c r="AU396" i="6"/>
  <c r="T396" i="5"/>
  <c r="G396" i="12" s="1"/>
  <c r="AY396" i="6"/>
  <c r="AT396" i="6"/>
  <c r="AW396" i="6"/>
  <c r="AV396" i="6"/>
  <c r="AZ396" i="6"/>
  <c r="BA396" i="6"/>
  <c r="BS396" i="6"/>
  <c r="CM396" i="6"/>
  <c r="BI396" i="6"/>
  <c r="CE396" i="6"/>
  <c r="CI396" i="6"/>
  <c r="BX396" i="6"/>
  <c r="BN396" i="6"/>
  <c r="BR396" i="6"/>
  <c r="CG396" i="6"/>
  <c r="BK396" i="6"/>
  <c r="BO396" i="6"/>
  <c r="BY396" i="6"/>
  <c r="CC396" i="6"/>
  <c r="CB396" i="6"/>
  <c r="CK396" i="6"/>
  <c r="CF396" i="6"/>
  <c r="BE396" i="6"/>
  <c r="BM396" i="6"/>
  <c r="CJ396" i="6"/>
  <c r="BV396" i="6"/>
  <c r="BD396" i="6"/>
  <c r="BL396" i="6"/>
  <c r="BZ396" i="6"/>
  <c r="CD396" i="6"/>
  <c r="BQ396" i="6"/>
  <c r="BP396" i="6"/>
  <c r="CL396" i="6"/>
  <c r="BJ396" i="6"/>
  <c r="BT396" i="6"/>
  <c r="BH396" i="6"/>
  <c r="BW396" i="6"/>
  <c r="CA396" i="6"/>
  <c r="CH396" i="6"/>
  <c r="BC396" i="6"/>
  <c r="BF396" i="6"/>
  <c r="BG396" i="6"/>
  <c r="AX397" i="6" l="1"/>
  <c r="AU397" i="6"/>
  <c r="CD397" i="6"/>
  <c r="CK397" i="6"/>
  <c r="BZ397" i="6"/>
  <c r="BF397" i="6"/>
  <c r="BE397" i="6"/>
  <c r="BW397" i="6"/>
  <c r="BG397" i="6"/>
  <c r="CM397" i="6"/>
  <c r="BH397" i="6"/>
  <c r="BQ397" i="6"/>
  <c r="BD397" i="6"/>
  <c r="BN397" i="6"/>
  <c r="BT397" i="6"/>
  <c r="BV397" i="6"/>
  <c r="AW397" i="6"/>
  <c r="AV397" i="6"/>
  <c r="CJ397" i="6"/>
  <c r="CE397" i="6"/>
  <c r="AT397" i="6"/>
  <c r="BI397" i="6"/>
  <c r="AY397" i="6"/>
  <c r="CA397" i="6"/>
  <c r="AZ397" i="6"/>
  <c r="BL397" i="6"/>
  <c r="CB397" i="6"/>
  <c r="CF397" i="6"/>
  <c r="BS397" i="6"/>
  <c r="BP397" i="6"/>
  <c r="K397" i="12"/>
  <c r="E399" i="5"/>
  <c r="AE399" i="5"/>
  <c r="B399" i="5"/>
  <c r="C400" i="5" s="1"/>
  <c r="N399" i="5"/>
  <c r="D399" i="6" s="1"/>
  <c r="J399" i="5"/>
  <c r="H399" i="5"/>
  <c r="AD399" i="5"/>
  <c r="G399" i="5"/>
  <c r="A399" i="12"/>
  <c r="D399" i="5"/>
  <c r="B399" i="12" s="1"/>
  <c r="B399" i="6"/>
  <c r="K399" i="5"/>
  <c r="F399" i="5"/>
  <c r="N398" i="6"/>
  <c r="M398" i="6"/>
  <c r="H398" i="6" a="1"/>
  <c r="H398" i="6" s="1"/>
  <c r="BM397" i="6"/>
  <c r="BO397" i="6"/>
  <c r="BR397" i="6"/>
  <c r="BK397" i="6"/>
  <c r="BY397" i="6"/>
  <c r="BJ397" i="6"/>
  <c r="CC397" i="6"/>
  <c r="BX397" i="6"/>
  <c r="BC397" i="6"/>
  <c r="CI397" i="6"/>
  <c r="CH397" i="6"/>
  <c r="CL397" i="6"/>
  <c r="CG397" i="6"/>
  <c r="L398" i="12" a="1"/>
  <c r="L398" i="12" s="1"/>
  <c r="J398" i="12" a="1"/>
  <c r="J398" i="12" s="1"/>
  <c r="T397" i="5"/>
  <c r="G397" i="12" s="1"/>
  <c r="BA397" i="6"/>
  <c r="K398" i="12" l="1"/>
  <c r="L399" i="12" a="1"/>
  <c r="L399" i="12" s="1"/>
  <c r="J399" i="12" a="1"/>
  <c r="J399" i="12" s="1"/>
  <c r="AZ398" i="6"/>
  <c r="BA398" i="6"/>
  <c r="T398" i="5"/>
  <c r="G398" i="12" s="1"/>
  <c r="AU398" i="6"/>
  <c r="AT398" i="6"/>
  <c r="AX398" i="6"/>
  <c r="AV398" i="6"/>
  <c r="AW398" i="6"/>
  <c r="AY398" i="6"/>
  <c r="N399" i="6"/>
  <c r="H399" i="6" a="1"/>
  <c r="H399" i="6" s="1"/>
  <c r="M399" i="6"/>
  <c r="BT399" i="6" s="1"/>
  <c r="CM398" i="6"/>
  <c r="BX398" i="6"/>
  <c r="BT398" i="6"/>
  <c r="CE398" i="6"/>
  <c r="BV398" i="6"/>
  <c r="CA398" i="6"/>
  <c r="BZ398" i="6"/>
  <c r="BN398" i="6"/>
  <c r="CL398" i="6"/>
  <c r="BI398" i="6"/>
  <c r="CI398" i="6"/>
  <c r="CJ398" i="6"/>
  <c r="BO398" i="6"/>
  <c r="CD398" i="6"/>
  <c r="BP398" i="6"/>
  <c r="BR398" i="6"/>
  <c r="BD398" i="6"/>
  <c r="CK398" i="6"/>
  <c r="CG398" i="6"/>
  <c r="BK398" i="6"/>
  <c r="BS398" i="6"/>
  <c r="BY398" i="6"/>
  <c r="BJ398" i="6"/>
  <c r="BH398" i="6"/>
  <c r="CF398" i="6"/>
  <c r="BL398" i="6"/>
  <c r="BM398" i="6"/>
  <c r="CB398" i="6"/>
  <c r="BE398" i="6"/>
  <c r="BW398" i="6"/>
  <c r="CC398" i="6"/>
  <c r="CH398" i="6"/>
  <c r="BC398" i="6"/>
  <c r="BG398" i="6"/>
  <c r="BF398" i="6"/>
  <c r="BQ398" i="6"/>
  <c r="F400" i="5"/>
  <c r="C401" i="5"/>
  <c r="B400" i="5"/>
  <c r="W400" i="5"/>
  <c r="H400" i="12" s="1"/>
  <c r="I400" i="5"/>
  <c r="N400" i="5"/>
  <c r="D400" i="6" s="1"/>
  <c r="AE400" i="5"/>
  <c r="H400" i="5"/>
  <c r="A400" i="12"/>
  <c r="G400" i="5"/>
  <c r="AD400" i="5"/>
  <c r="B400" i="6"/>
  <c r="J400" i="6" s="1" a="1"/>
  <c r="J400" i="6" s="1"/>
  <c r="E400" i="5"/>
  <c r="BE399" i="6" l="1"/>
  <c r="K399" i="12"/>
  <c r="N400" i="6"/>
  <c r="M400" i="6"/>
  <c r="H400" i="6" a="1"/>
  <c r="H400" i="6" s="1"/>
  <c r="G400" i="6"/>
  <c r="AD401" i="5"/>
  <c r="D401" i="5"/>
  <c r="B401" i="12" s="1"/>
  <c r="B401" i="5"/>
  <c r="H401" i="5"/>
  <c r="G401" i="5"/>
  <c r="C402" i="5"/>
  <c r="N401" i="5"/>
  <c r="D401" i="6" s="1"/>
  <c r="J401" i="5"/>
  <c r="A401" i="12"/>
  <c r="B401" i="6"/>
  <c r="AE401" i="5"/>
  <c r="K401" i="5"/>
  <c r="F401" i="5"/>
  <c r="E401" i="5"/>
  <c r="CK399" i="6"/>
  <c r="BJ399" i="6"/>
  <c r="BQ399" i="6"/>
  <c r="BF399" i="6"/>
  <c r="BD399" i="6"/>
  <c r="BR399" i="6"/>
  <c r="CE399" i="6"/>
  <c r="BH399" i="6"/>
  <c r="CG399" i="6"/>
  <c r="CL399" i="6"/>
  <c r="BO399" i="6"/>
  <c r="CH399" i="6"/>
  <c r="CI399" i="6"/>
  <c r="BK399" i="6"/>
  <c r="BY399" i="6"/>
  <c r="BL399" i="6"/>
  <c r="BW399" i="6"/>
  <c r="BV399" i="6"/>
  <c r="BI399" i="6"/>
  <c r="CC399" i="6"/>
  <c r="CD399" i="6"/>
  <c r="CM399" i="6"/>
  <c r="BN399" i="6"/>
  <c r="CB399" i="6"/>
  <c r="BP399" i="6"/>
  <c r="BC399" i="6"/>
  <c r="BM399" i="6"/>
  <c r="CJ399" i="6"/>
  <c r="BG399" i="6"/>
  <c r="BX399" i="6"/>
  <c r="CF399" i="6"/>
  <c r="BZ399" i="6"/>
  <c r="BS399" i="6"/>
  <c r="CA399" i="6"/>
  <c r="AW399" i="6"/>
  <c r="AU399" i="6"/>
  <c r="T399" i="5"/>
  <c r="G399" i="12" s="1"/>
  <c r="AX399" i="6"/>
  <c r="AV399" i="6"/>
  <c r="AY399" i="6"/>
  <c r="AT399" i="6"/>
  <c r="BA399" i="6"/>
  <c r="AZ399" i="6"/>
  <c r="BI400" i="6" l="1"/>
  <c r="BA400" i="6"/>
  <c r="BX400" i="6"/>
  <c r="BR400" i="6"/>
  <c r="CC400" i="6"/>
  <c r="BT400" i="6"/>
  <c r="AR400" i="6"/>
  <c r="BH400" i="6"/>
  <c r="BV400" i="6"/>
  <c r="CM400" i="6"/>
  <c r="B402" i="6"/>
  <c r="J402" i="5"/>
  <c r="E402" i="5"/>
  <c r="G402" i="5"/>
  <c r="AD402" i="5"/>
  <c r="K402" i="5"/>
  <c r="H402" i="5"/>
  <c r="AE402" i="5"/>
  <c r="F402" i="5"/>
  <c r="D402" i="5"/>
  <c r="B402" i="12" s="1"/>
  <c r="C403" i="5"/>
  <c r="B402" i="5"/>
  <c r="A402" i="12"/>
  <c r="N402" i="5"/>
  <c r="D402" i="6" s="1"/>
  <c r="T400" i="5"/>
  <c r="G400" i="12" s="1"/>
  <c r="AT400" i="6"/>
  <c r="AL400" i="6"/>
  <c r="AZ400" i="6"/>
  <c r="AP400" i="6"/>
  <c r="AM400" i="6"/>
  <c r="AO400" i="6"/>
  <c r="AX400" i="6"/>
  <c r="AY400" i="6"/>
  <c r="AW400" i="6"/>
  <c r="AJ400" i="6"/>
  <c r="AS400" i="6"/>
  <c r="BN400" i="6"/>
  <c r="BC400" i="6"/>
  <c r="CB400" i="6"/>
  <c r="BQ400" i="6"/>
  <c r="CI400" i="6"/>
  <c r="BD400" i="6"/>
  <c r="CL400" i="6"/>
  <c r="BJ400" i="6"/>
  <c r="BM400" i="6"/>
  <c r="BW400" i="6"/>
  <c r="CA400" i="6"/>
  <c r="BF400" i="6"/>
  <c r="BS400" i="6"/>
  <c r="BO400" i="6"/>
  <c r="BK400" i="6"/>
  <c r="BP400" i="6"/>
  <c r="CK400" i="6"/>
  <c r="CG400" i="6"/>
  <c r="CJ400" i="6"/>
  <c r="BY400" i="6"/>
  <c r="CF400" i="6"/>
  <c r="BG400" i="6"/>
  <c r="BL400" i="6"/>
  <c r="CD400" i="6"/>
  <c r="AU400" i="6"/>
  <c r="CE400" i="6"/>
  <c r="AQ400" i="6"/>
  <c r="J401" i="12" a="1"/>
  <c r="J401" i="12" s="1"/>
  <c r="L401" i="12" a="1"/>
  <c r="L401" i="12" s="1"/>
  <c r="CH400" i="6"/>
  <c r="AN400" i="6"/>
  <c r="BZ400" i="6"/>
  <c r="AK400" i="6"/>
  <c r="H401" i="6" a="1"/>
  <c r="H401" i="6" s="1"/>
  <c r="M401" i="6"/>
  <c r="N401" i="6"/>
  <c r="AV400" i="6"/>
  <c r="BE400" i="6"/>
  <c r="K401" i="12" l="1"/>
  <c r="AY401" i="6"/>
  <c r="AZ401" i="6"/>
  <c r="T401" i="5"/>
  <c r="G401" i="12" s="1"/>
  <c r="AV401" i="6"/>
  <c r="BA401" i="6"/>
  <c r="AW401" i="6"/>
  <c r="AT401" i="6"/>
  <c r="AX401" i="6"/>
  <c r="AU401" i="6"/>
  <c r="G403" i="5"/>
  <c r="B403" i="5"/>
  <c r="A403" i="12"/>
  <c r="C404" i="5"/>
  <c r="B403" i="6"/>
  <c r="N403" i="5"/>
  <c r="D403" i="6" s="1"/>
  <c r="F403" i="5"/>
  <c r="K403" i="5"/>
  <c r="D403" i="5"/>
  <c r="B403" i="12" s="1"/>
  <c r="E403" i="5"/>
  <c r="J403" i="5"/>
  <c r="AE403" i="5"/>
  <c r="AD403" i="5"/>
  <c r="H403" i="5"/>
  <c r="M402" i="6"/>
  <c r="H402" i="6" a="1"/>
  <c r="H402" i="6" s="1"/>
  <c r="N402" i="6"/>
  <c r="BS401" i="6"/>
  <c r="BK401" i="6"/>
  <c r="CM401" i="6"/>
  <c r="BP401" i="6"/>
  <c r="CF401" i="6"/>
  <c r="BD401" i="6"/>
  <c r="BL401" i="6"/>
  <c r="BW401" i="6"/>
  <c r="BY401" i="6"/>
  <c r="BE401" i="6"/>
  <c r="CK401" i="6"/>
  <c r="CC401" i="6"/>
  <c r="CD401" i="6"/>
  <c r="CB401" i="6"/>
  <c r="CE401" i="6"/>
  <c r="BO401" i="6"/>
  <c r="BH401" i="6"/>
  <c r="BF401" i="6"/>
  <c r="BI401" i="6"/>
  <c r="CL401" i="6"/>
  <c r="BX401" i="6"/>
  <c r="BV401" i="6"/>
  <c r="BG401" i="6"/>
  <c r="CH401" i="6"/>
  <c r="BQ401" i="6"/>
  <c r="CI401" i="6"/>
  <c r="BM401" i="6"/>
  <c r="BC401" i="6"/>
  <c r="BT401" i="6"/>
  <c r="CA401" i="6"/>
  <c r="BN401" i="6"/>
  <c r="BJ401" i="6"/>
  <c r="CG401" i="6"/>
  <c r="BZ401" i="6"/>
  <c r="CJ401" i="6"/>
  <c r="BR401" i="6"/>
  <c r="J402" i="12" a="1"/>
  <c r="J402" i="12" s="1"/>
  <c r="L402" i="12" a="1"/>
  <c r="L402" i="12" s="1"/>
  <c r="BI402" i="6" l="1"/>
  <c r="BQ402" i="6"/>
  <c r="BC402" i="6"/>
  <c r="BH402" i="6"/>
  <c r="BG402" i="6"/>
  <c r="BO402" i="6"/>
  <c r="BD402" i="6"/>
  <c r="CK402" i="6"/>
  <c r="CL402" i="6"/>
  <c r="BY402" i="6"/>
  <c r="CF402" i="6"/>
  <c r="CB402" i="6"/>
  <c r="CI402" i="6"/>
  <c r="BK402" i="6"/>
  <c r="BZ402" i="6"/>
  <c r="CJ402" i="6"/>
  <c r="BV402" i="6"/>
  <c r="BM402" i="6"/>
  <c r="BL402" i="6"/>
  <c r="CE402" i="6"/>
  <c r="BF402" i="6"/>
  <c r="BT402" i="6"/>
  <c r="CD402" i="6"/>
  <c r="CM402" i="6"/>
  <c r="BX402" i="6"/>
  <c r="BW402" i="6"/>
  <c r="CC402" i="6"/>
  <c r="BP402" i="6"/>
  <c r="BN402" i="6"/>
  <c r="BR402" i="6"/>
  <c r="CH402" i="6"/>
  <c r="BE402" i="6"/>
  <c r="CA402" i="6"/>
  <c r="CG402" i="6"/>
  <c r="BS402" i="6"/>
  <c r="BJ402" i="6"/>
  <c r="J403" i="12" a="1"/>
  <c r="J403" i="12" s="1"/>
  <c r="L403" i="12" a="1"/>
  <c r="L403" i="12" s="1"/>
  <c r="K402" i="12"/>
  <c r="H403" i="6" a="1"/>
  <c r="H403" i="6" s="1"/>
  <c r="M403" i="6"/>
  <c r="N403" i="6"/>
  <c r="AY402" i="6"/>
  <c r="AV402" i="6"/>
  <c r="AZ402" i="6"/>
  <c r="AT402" i="6"/>
  <c r="BA402" i="6"/>
  <c r="T402" i="5"/>
  <c r="G402" i="12" s="1"/>
  <c r="AW402" i="6"/>
  <c r="AU402" i="6"/>
  <c r="AX402" i="6"/>
  <c r="J404" i="5"/>
  <c r="AE404" i="5"/>
  <c r="H404" i="5"/>
  <c r="K404" i="5"/>
  <c r="D404" i="5"/>
  <c r="B404" i="12" s="1"/>
  <c r="G404" i="5"/>
  <c r="A404" i="12"/>
  <c r="B404" i="5"/>
  <c r="AD404" i="5"/>
  <c r="F404" i="5"/>
  <c r="C405" i="5"/>
  <c r="E404" i="5"/>
  <c r="B404" i="6"/>
  <c r="N404" i="5"/>
  <c r="D404" i="6" s="1"/>
  <c r="BD403" i="6" l="1"/>
  <c r="AU403" i="6"/>
  <c r="CM403" i="6"/>
  <c r="K403" i="12"/>
  <c r="M404" i="6"/>
  <c r="H404" i="6" a="1"/>
  <c r="H404" i="6" s="1"/>
  <c r="N404" i="6"/>
  <c r="B405" i="6"/>
  <c r="C406" i="5"/>
  <c r="E405" i="5"/>
  <c r="K405" i="5"/>
  <c r="F405" i="5"/>
  <c r="H405" i="5"/>
  <c r="AD405" i="5"/>
  <c r="AE405" i="5"/>
  <c r="N405" i="5"/>
  <c r="D405" i="6" s="1"/>
  <c r="B405" i="5"/>
  <c r="J405" i="5"/>
  <c r="A405" i="12"/>
  <c r="G405" i="5"/>
  <c r="D405" i="5"/>
  <c r="B405" i="12" s="1"/>
  <c r="BO403" i="6"/>
  <c r="CL403" i="6"/>
  <c r="BE403" i="6"/>
  <c r="BF403" i="6"/>
  <c r="BH403" i="6"/>
  <c r="BM403" i="6"/>
  <c r="CI403" i="6"/>
  <c r="BN403" i="6"/>
  <c r="BR403" i="6"/>
  <c r="BG403" i="6"/>
  <c r="BJ403" i="6"/>
  <c r="CF403" i="6"/>
  <c r="BZ403" i="6"/>
  <c r="BC403" i="6"/>
  <c r="CB403" i="6"/>
  <c r="BK403" i="6"/>
  <c r="CH403" i="6"/>
  <c r="CE403" i="6"/>
  <c r="CK403" i="6"/>
  <c r="BY403" i="6"/>
  <c r="CA403" i="6"/>
  <c r="BP403" i="6"/>
  <c r="CC403" i="6"/>
  <c r="BI403" i="6"/>
  <c r="BQ403" i="6"/>
  <c r="BS403" i="6"/>
  <c r="CD403" i="6"/>
  <c r="BV403" i="6"/>
  <c r="CG403" i="6"/>
  <c r="CJ403" i="6"/>
  <c r="BT403" i="6"/>
  <c r="BX403" i="6"/>
  <c r="BW403" i="6"/>
  <c r="BL403" i="6"/>
  <c r="AW403" i="6"/>
  <c r="AV403" i="6"/>
  <c r="AT403" i="6"/>
  <c r="AX403" i="6"/>
  <c r="AY403" i="6"/>
  <c r="T403" i="5"/>
  <c r="G403" i="12" s="1"/>
  <c r="BA403" i="6"/>
  <c r="L404" i="12" a="1"/>
  <c r="L404" i="12" s="1"/>
  <c r="J404" i="12" a="1"/>
  <c r="J404" i="12" s="1"/>
  <c r="AZ403" i="6"/>
  <c r="AT404" i="6" l="1"/>
  <c r="CJ404" i="6"/>
  <c r="CM404" i="6"/>
  <c r="BF404" i="6"/>
  <c r="CC404" i="6"/>
  <c r="BQ404" i="6"/>
  <c r="CL404" i="6"/>
  <c r="BK404" i="6"/>
  <c r="CF404" i="6"/>
  <c r="BP404" i="6"/>
  <c r="BZ404" i="6"/>
  <c r="BE404" i="6"/>
  <c r="BI404" i="6"/>
  <c r="BC404" i="6"/>
  <c r="BR404" i="6"/>
  <c r="BM404" i="6"/>
  <c r="BV404" i="6"/>
  <c r="CG404" i="6"/>
  <c r="BY404" i="6"/>
  <c r="AW404" i="6"/>
  <c r="CD404" i="6"/>
  <c r="BN404" i="6"/>
  <c r="CH404" i="6"/>
  <c r="CB404" i="6"/>
  <c r="BA404" i="6"/>
  <c r="K404" i="12"/>
  <c r="AE406" i="5"/>
  <c r="H406" i="5"/>
  <c r="F406" i="5"/>
  <c r="C407" i="5"/>
  <c r="B406" i="6"/>
  <c r="D406" i="5"/>
  <c r="B406" i="12" s="1"/>
  <c r="E406" i="5"/>
  <c r="K406" i="5"/>
  <c r="AD406" i="5"/>
  <c r="B406" i="5"/>
  <c r="N406" i="5"/>
  <c r="D406" i="6" s="1"/>
  <c r="J406" i="5"/>
  <c r="G406" i="5"/>
  <c r="A406" i="12"/>
  <c r="J405" i="12" a="1"/>
  <c r="J405" i="12" s="1"/>
  <c r="L405" i="12" a="1"/>
  <c r="L405" i="12" s="1"/>
  <c r="AV404" i="6"/>
  <c r="AX404" i="6"/>
  <c r="T404" i="5"/>
  <c r="G404" i="12" s="1"/>
  <c r="BT404" i="6"/>
  <c r="CI404" i="6"/>
  <c r="BL404" i="6"/>
  <c r="BG404" i="6"/>
  <c r="CE404" i="6"/>
  <c r="N405" i="6"/>
  <c r="M405" i="6"/>
  <c r="H405" i="6" a="1"/>
  <c r="H405" i="6" s="1"/>
  <c r="CK404" i="6"/>
  <c r="BS404" i="6"/>
  <c r="BJ404" i="6"/>
  <c r="AZ404" i="6"/>
  <c r="CA404" i="6"/>
  <c r="AY404" i="6"/>
  <c r="BO404" i="6"/>
  <c r="BD404" i="6"/>
  <c r="AU404" i="6"/>
  <c r="BH404" i="6"/>
  <c r="BX404" i="6"/>
  <c r="BW404" i="6"/>
  <c r="K405" i="12" l="1"/>
  <c r="H406" i="6" a="1"/>
  <c r="H406" i="6" s="1"/>
  <c r="N406" i="6"/>
  <c r="M406" i="6"/>
  <c r="B407" i="6"/>
  <c r="D407" i="5"/>
  <c r="B407" i="12" s="1"/>
  <c r="K407" i="5"/>
  <c r="E407" i="5"/>
  <c r="F407" i="5"/>
  <c r="A407" i="12"/>
  <c r="B407" i="5"/>
  <c r="C408" i="5"/>
  <c r="N407" i="5"/>
  <c r="D407" i="6" s="1"/>
  <c r="AE407" i="5"/>
  <c r="J407" i="5"/>
  <c r="G407" i="5"/>
  <c r="AD407" i="5"/>
  <c r="H407" i="5"/>
  <c r="AU405" i="6"/>
  <c r="BA405" i="6"/>
  <c r="AY405" i="6"/>
  <c r="AW405" i="6"/>
  <c r="T405" i="5"/>
  <c r="G405" i="12" s="1"/>
  <c r="AT405" i="6"/>
  <c r="AV405" i="6"/>
  <c r="AZ405" i="6"/>
  <c r="AX405" i="6"/>
  <c r="BN405" i="6"/>
  <c r="BW405" i="6"/>
  <c r="BS405" i="6"/>
  <c r="CC405" i="6"/>
  <c r="CG405" i="6"/>
  <c r="BL405" i="6"/>
  <c r="BF405" i="6"/>
  <c r="BX405" i="6"/>
  <c r="BG405" i="6"/>
  <c r="BK405" i="6"/>
  <c r="CB405" i="6"/>
  <c r="CD405" i="6"/>
  <c r="BE405" i="6"/>
  <c r="BP405" i="6"/>
  <c r="BJ405" i="6"/>
  <c r="BV405" i="6"/>
  <c r="CJ405" i="6"/>
  <c r="CA405" i="6"/>
  <c r="BZ405" i="6"/>
  <c r="BI405" i="6"/>
  <c r="BY405" i="6"/>
  <c r="CM405" i="6"/>
  <c r="CL405" i="6"/>
  <c r="BM405" i="6"/>
  <c r="CK405" i="6"/>
  <c r="BO405" i="6"/>
  <c r="BT405" i="6"/>
  <c r="BD405" i="6"/>
  <c r="CF405" i="6"/>
  <c r="BC405" i="6"/>
  <c r="BQ405" i="6"/>
  <c r="BH405" i="6"/>
  <c r="CH405" i="6"/>
  <c r="CE405" i="6"/>
  <c r="CI405" i="6"/>
  <c r="BR405" i="6"/>
  <c r="L406" i="12" a="1"/>
  <c r="L406" i="12" s="1"/>
  <c r="J406" i="12" a="1"/>
  <c r="J406" i="12" s="1"/>
  <c r="BF406" i="6" l="1"/>
  <c r="CA406" i="6"/>
  <c r="CM406" i="6"/>
  <c r="CE406" i="6"/>
  <c r="CJ406" i="6"/>
  <c r="CF406" i="6"/>
  <c r="CB406" i="6"/>
  <c r="BA406" i="6"/>
  <c r="AU406" i="6"/>
  <c r="BI406" i="6"/>
  <c r="BE406" i="6"/>
  <c r="BW406" i="6"/>
  <c r="BZ406" i="6"/>
  <c r="K406" i="12"/>
  <c r="M407" i="6"/>
  <c r="H407" i="6" a="1"/>
  <c r="H407" i="6" s="1"/>
  <c r="N407" i="6"/>
  <c r="C409" i="5"/>
  <c r="B408" i="5"/>
  <c r="N408" i="5"/>
  <c r="D408" i="6" s="1"/>
  <c r="J408" i="5"/>
  <c r="AE408" i="5"/>
  <c r="A408" i="12"/>
  <c r="H408" i="5"/>
  <c r="B408" i="6"/>
  <c r="G408" i="5"/>
  <c r="E408" i="5"/>
  <c r="AD408" i="5"/>
  <c r="D408" i="5"/>
  <c r="B408" i="12" s="1"/>
  <c r="K408" i="5"/>
  <c r="F408" i="5"/>
  <c r="BM406" i="6"/>
  <c r="BH406" i="6"/>
  <c r="BG406" i="6"/>
  <c r="BC406" i="6"/>
  <c r="BT406" i="6"/>
  <c r="CL406" i="6"/>
  <c r="BV406" i="6"/>
  <c r="BY406" i="6"/>
  <c r="BL406" i="6"/>
  <c r="CK406" i="6"/>
  <c r="BS406" i="6"/>
  <c r="CD406" i="6"/>
  <c r="BN406" i="6"/>
  <c r="BQ406" i="6"/>
  <c r="BP406" i="6"/>
  <c r="BO406" i="6"/>
  <c r="BJ406" i="6"/>
  <c r="CH406" i="6"/>
  <c r="BX406" i="6"/>
  <c r="BK406" i="6"/>
  <c r="BD406" i="6"/>
  <c r="CC406" i="6"/>
  <c r="BR406" i="6"/>
  <c r="CI406" i="6"/>
  <c r="CG406" i="6"/>
  <c r="J407" i="12" a="1"/>
  <c r="J407" i="12" s="1"/>
  <c r="L407" i="12" a="1"/>
  <c r="L407" i="12" s="1"/>
  <c r="AV406" i="6"/>
  <c r="AY406" i="6"/>
  <c r="AW406" i="6"/>
  <c r="AZ406" i="6"/>
  <c r="T406" i="5"/>
  <c r="G406" i="12" s="1"/>
  <c r="AT406" i="6"/>
  <c r="AX406" i="6"/>
  <c r="K407" i="12" l="1"/>
  <c r="J408" i="12" a="1"/>
  <c r="J408" i="12" s="1"/>
  <c r="L408" i="12" a="1"/>
  <c r="L408" i="12" s="1"/>
  <c r="M408" i="6"/>
  <c r="N408" i="6"/>
  <c r="H408" i="6" a="1"/>
  <c r="H408" i="6" s="1"/>
  <c r="AD409" i="5"/>
  <c r="G409" i="5"/>
  <c r="AE409" i="5"/>
  <c r="H409" i="5"/>
  <c r="D409" i="5"/>
  <c r="B409" i="12" s="1"/>
  <c r="A409" i="12"/>
  <c r="B409" i="5"/>
  <c r="N409" i="5"/>
  <c r="D409" i="6" s="1"/>
  <c r="E409" i="5"/>
  <c r="J409" i="5"/>
  <c r="F409" i="5"/>
  <c r="B409" i="6"/>
  <c r="K409" i="5"/>
  <c r="AX407" i="6"/>
  <c r="AV407" i="6"/>
  <c r="T407" i="5"/>
  <c r="G407" i="12" s="1"/>
  <c r="AT407" i="6"/>
  <c r="AZ407" i="6"/>
  <c r="AU407" i="6"/>
  <c r="AY407" i="6"/>
  <c r="AW407" i="6"/>
  <c r="BA407" i="6"/>
  <c r="BM407" i="6"/>
  <c r="BG407" i="6"/>
  <c r="BV407" i="6"/>
  <c r="CL407" i="6"/>
  <c r="BW407" i="6"/>
  <c r="BT407" i="6"/>
  <c r="BH407" i="6"/>
  <c r="BN407" i="6"/>
  <c r="CC407" i="6"/>
  <c r="CI407" i="6"/>
  <c r="CB407" i="6"/>
  <c r="BI407" i="6"/>
  <c r="BD407" i="6"/>
  <c r="CA407" i="6"/>
  <c r="CJ407" i="6"/>
  <c r="BS407" i="6"/>
  <c r="BK407" i="6"/>
  <c r="CD407" i="6"/>
  <c r="BJ407" i="6"/>
  <c r="CK407" i="6"/>
  <c r="BL407" i="6"/>
  <c r="CG407" i="6"/>
  <c r="BC407" i="6"/>
  <c r="BP407" i="6"/>
  <c r="CF407" i="6"/>
  <c r="BY407" i="6"/>
  <c r="BZ407" i="6"/>
  <c r="CE407" i="6"/>
  <c r="CM407" i="6"/>
  <c r="BO407" i="6"/>
  <c r="BQ407" i="6"/>
  <c r="BF407" i="6"/>
  <c r="CH407" i="6"/>
  <c r="BX407" i="6"/>
  <c r="BE407" i="6"/>
  <c r="BR407" i="6"/>
  <c r="K408" i="12" l="1"/>
  <c r="C410" i="5"/>
  <c r="L409" i="12" a="1"/>
  <c r="L409" i="12" s="1"/>
  <c r="J409" i="12" a="1"/>
  <c r="J409" i="12" s="1"/>
  <c r="T408" i="5"/>
  <c r="G408" i="12" s="1"/>
  <c r="AW408" i="6"/>
  <c r="AU408" i="6"/>
  <c r="AZ408" i="6"/>
  <c r="AV408" i="6"/>
  <c r="AX408" i="6"/>
  <c r="BA408" i="6"/>
  <c r="AY408" i="6"/>
  <c r="AT408" i="6"/>
  <c r="BQ408" i="6"/>
  <c r="CA408" i="6"/>
  <c r="BX408" i="6"/>
  <c r="BR408" i="6"/>
  <c r="BJ408" i="6"/>
  <c r="BS408" i="6"/>
  <c r="BM408" i="6"/>
  <c r="BI408" i="6"/>
  <c r="BD408" i="6"/>
  <c r="BW408" i="6"/>
  <c r="CD408" i="6"/>
  <c r="BE408" i="6"/>
  <c r="CF408" i="6"/>
  <c r="CG408" i="6"/>
  <c r="BN408" i="6"/>
  <c r="CE408" i="6"/>
  <c r="CJ408" i="6"/>
  <c r="CL408" i="6"/>
  <c r="BV408" i="6"/>
  <c r="BL408" i="6"/>
  <c r="CB408" i="6"/>
  <c r="BH408" i="6"/>
  <c r="BK408" i="6"/>
  <c r="CK408" i="6"/>
  <c r="CI408" i="6"/>
  <c r="BO408" i="6"/>
  <c r="BY408" i="6"/>
  <c r="CC408" i="6"/>
  <c r="BZ408" i="6"/>
  <c r="BC408" i="6"/>
  <c r="CM408" i="6"/>
  <c r="BF408" i="6"/>
  <c r="CH408" i="6"/>
  <c r="BP408" i="6"/>
  <c r="BT408" i="6"/>
  <c r="BG408" i="6"/>
  <c r="N409" i="6"/>
  <c r="M409" i="6"/>
  <c r="H409" i="6" a="1"/>
  <c r="H409" i="6" s="1"/>
  <c r="H410" i="5" l="1"/>
  <c r="B410" i="5"/>
  <c r="C411" i="5"/>
  <c r="W410" i="5"/>
  <c r="H410" i="12" s="1"/>
  <c r="B410" i="6"/>
  <c r="J410" i="6" s="1" a="1"/>
  <c r="J410" i="6" s="1"/>
  <c r="F410" i="5"/>
  <c r="E410" i="5"/>
  <c r="G410" i="5"/>
  <c r="AE410" i="5"/>
  <c r="N410" i="5"/>
  <c r="D410" i="6" s="1"/>
  <c r="I410" i="5"/>
  <c r="AD410" i="5"/>
  <c r="A410" i="12"/>
  <c r="AY409" i="6"/>
  <c r="BA409" i="6"/>
  <c r="AZ409" i="6"/>
  <c r="AW409" i="6"/>
  <c r="AV409" i="6"/>
  <c r="AX409" i="6"/>
  <c r="AU409" i="6"/>
  <c r="AT409" i="6"/>
  <c r="T409" i="5"/>
  <c r="G409" i="12" s="1"/>
  <c r="BK409" i="6"/>
  <c r="BD409" i="6"/>
  <c r="BV409" i="6"/>
  <c r="BT409" i="6"/>
  <c r="BC409" i="6"/>
  <c r="CL409" i="6"/>
  <c r="CA409" i="6"/>
  <c r="CG409" i="6"/>
  <c r="BJ409" i="6"/>
  <c r="BX409" i="6"/>
  <c r="CI409" i="6"/>
  <c r="CE409" i="6"/>
  <c r="BY409" i="6"/>
  <c r="BP409" i="6"/>
  <c r="BR409" i="6"/>
  <c r="CB409" i="6"/>
  <c r="BE409" i="6"/>
  <c r="BH409" i="6"/>
  <c r="CF409" i="6"/>
  <c r="BM409" i="6"/>
  <c r="BZ409" i="6"/>
  <c r="BO409" i="6"/>
  <c r="BW409" i="6"/>
  <c r="BG409" i="6"/>
  <c r="BI409" i="6"/>
  <c r="BS409" i="6"/>
  <c r="CC409" i="6"/>
  <c r="CK409" i="6"/>
  <c r="CM409" i="6"/>
  <c r="BN409" i="6"/>
  <c r="BL409" i="6"/>
  <c r="CD409" i="6"/>
  <c r="BQ409" i="6"/>
  <c r="CH409" i="6"/>
  <c r="CJ409" i="6"/>
  <c r="BF409" i="6"/>
  <c r="K409" i="12"/>
  <c r="G410" i="6" l="1"/>
  <c r="H410" i="6" a="1"/>
  <c r="H410" i="6" s="1"/>
  <c r="N410" i="6"/>
  <c r="M410" i="6"/>
  <c r="AD411" i="5"/>
  <c r="K411" i="5"/>
  <c r="N411" i="5"/>
  <c r="D411" i="6" s="1"/>
  <c r="AE411" i="5"/>
  <c r="J411" i="5"/>
  <c r="E411" i="5"/>
  <c r="D411" i="5"/>
  <c r="B411" i="12" s="1"/>
  <c r="H411" i="5"/>
  <c r="G411" i="5"/>
  <c r="B411" i="5"/>
  <c r="F411" i="5"/>
  <c r="A411" i="12"/>
  <c r="C412" i="5"/>
  <c r="B411" i="6"/>
  <c r="BS410" i="6" l="1"/>
  <c r="E412" i="5"/>
  <c r="N412" i="5"/>
  <c r="D412" i="6" s="1"/>
  <c r="J412" i="5"/>
  <c r="AE412" i="5"/>
  <c r="AD412" i="5"/>
  <c r="D412" i="5"/>
  <c r="B412" i="12" s="1"/>
  <c r="H412" i="5"/>
  <c r="G412" i="5"/>
  <c r="F412" i="5"/>
  <c r="B412" i="5"/>
  <c r="A412" i="12"/>
  <c r="B412" i="6"/>
  <c r="C413" i="5"/>
  <c r="K412" i="5"/>
  <c r="L411" i="12" a="1"/>
  <c r="L411" i="12" s="1"/>
  <c r="J411" i="12" a="1"/>
  <c r="J411" i="12" s="1"/>
  <c r="BG410" i="6"/>
  <c r="CD410" i="6"/>
  <c r="BL410" i="6"/>
  <c r="BV410" i="6"/>
  <c r="CL410" i="6"/>
  <c r="BN410" i="6"/>
  <c r="BC410" i="6"/>
  <c r="CH410" i="6"/>
  <c r="CA410" i="6"/>
  <c r="BT410" i="6"/>
  <c r="CB410" i="6"/>
  <c r="CK410" i="6"/>
  <c r="BM410" i="6"/>
  <c r="BH410" i="6"/>
  <c r="BJ410" i="6"/>
  <c r="BO410" i="6"/>
  <c r="CM410" i="6"/>
  <c r="BX410" i="6"/>
  <c r="CJ410" i="6"/>
  <c r="CF410" i="6"/>
  <c r="BD410" i="6"/>
  <c r="BF410" i="6"/>
  <c r="CC410" i="6"/>
  <c r="CI410" i="6"/>
  <c r="BE410" i="6"/>
  <c r="BP410" i="6"/>
  <c r="BY410" i="6"/>
  <c r="BI410" i="6"/>
  <c r="BW410" i="6"/>
  <c r="CG410" i="6"/>
  <c r="BR410" i="6"/>
  <c r="CE410" i="6"/>
  <c r="BK410" i="6"/>
  <c r="BQ410" i="6"/>
  <c r="T410" i="5"/>
  <c r="G410" i="12" s="1"/>
  <c r="AW410" i="6"/>
  <c r="AK410" i="6"/>
  <c r="BA410" i="6"/>
  <c r="AN410" i="6"/>
  <c r="AZ410" i="6"/>
  <c r="AT410" i="6"/>
  <c r="AM410" i="6"/>
  <c r="AY410" i="6"/>
  <c r="AS410" i="6"/>
  <c r="AR410" i="6"/>
  <c r="AV410" i="6"/>
  <c r="AO410" i="6"/>
  <c r="AU410" i="6"/>
  <c r="AP410" i="6"/>
  <c r="AQ410" i="6"/>
  <c r="AX410" i="6"/>
  <c r="AL410" i="6"/>
  <c r="AJ410" i="6"/>
  <c r="BZ410" i="6"/>
  <c r="H411" i="6" a="1"/>
  <c r="H411" i="6" s="1"/>
  <c r="M411" i="6"/>
  <c r="N411" i="6"/>
  <c r="CI411" i="6" l="1"/>
  <c r="CH411" i="6"/>
  <c r="BM411" i="6"/>
  <c r="CJ411" i="6"/>
  <c r="CA411" i="6"/>
  <c r="BV411" i="6"/>
  <c r="BT411" i="6"/>
  <c r="BF411" i="6"/>
  <c r="CM411" i="6"/>
  <c r="BK411" i="6"/>
  <c r="CD411" i="6"/>
  <c r="BN411" i="6"/>
  <c r="BY411" i="6"/>
  <c r="CB411" i="6"/>
  <c r="BC411" i="6"/>
  <c r="BL411" i="6"/>
  <c r="BH411" i="6"/>
  <c r="BD411" i="6"/>
  <c r="BJ411" i="6"/>
  <c r="BP411" i="6"/>
  <c r="CF411" i="6"/>
  <c r="CC411" i="6"/>
  <c r="CL411" i="6"/>
  <c r="BG411" i="6"/>
  <c r="CE411" i="6"/>
  <c r="BI411" i="6"/>
  <c r="BE411" i="6"/>
  <c r="BW411" i="6"/>
  <c r="BS411" i="6"/>
  <c r="BX411" i="6"/>
  <c r="BQ411" i="6"/>
  <c r="BZ411" i="6"/>
  <c r="BO411" i="6"/>
  <c r="CK411" i="6"/>
  <c r="BR411" i="6"/>
  <c r="CG411" i="6"/>
  <c r="BA411" i="6"/>
  <c r="AT411" i="6"/>
  <c r="AU411" i="6"/>
  <c r="AV411" i="6"/>
  <c r="AY411" i="6"/>
  <c r="AW411" i="6"/>
  <c r="AZ411" i="6"/>
  <c r="T411" i="5"/>
  <c r="G411" i="12" s="1"/>
  <c r="AX411" i="6"/>
  <c r="J412" i="12" a="1"/>
  <c r="J412" i="12" s="1"/>
  <c r="L412" i="12" a="1"/>
  <c r="L412" i="12" s="1"/>
  <c r="K411" i="12"/>
  <c r="N412" i="6"/>
  <c r="M412" i="6"/>
  <c r="H412" i="6" a="1"/>
  <c r="H412" i="6" s="1"/>
  <c r="B413" i="6"/>
  <c r="D413" i="5"/>
  <c r="B413" i="12" s="1"/>
  <c r="E413" i="5"/>
  <c r="AD413" i="5"/>
  <c r="G413" i="5"/>
  <c r="K413" i="5"/>
  <c r="C414" i="5"/>
  <c r="B413" i="5"/>
  <c r="N413" i="5"/>
  <c r="D413" i="6" s="1"/>
  <c r="F413" i="5"/>
  <c r="J413" i="5"/>
  <c r="AE413" i="5"/>
  <c r="H413" i="5"/>
  <c r="A413" i="12"/>
  <c r="K412" i="12" l="1"/>
  <c r="N413" i="6"/>
  <c r="M413" i="6"/>
  <c r="H413" i="6" a="1"/>
  <c r="H413" i="6" s="1"/>
  <c r="T413" i="5" s="1"/>
  <c r="G413" i="12" s="1"/>
  <c r="C415" i="5"/>
  <c r="N414" i="5"/>
  <c r="D414" i="6" s="1"/>
  <c r="A414" i="12"/>
  <c r="J414" i="5"/>
  <c r="K414" i="5"/>
  <c r="E414" i="5"/>
  <c r="AE414" i="5"/>
  <c r="AD414" i="5"/>
  <c r="H414" i="5"/>
  <c r="D414" i="5"/>
  <c r="B414" i="12" s="1"/>
  <c r="G414" i="5"/>
  <c r="B414" i="5"/>
  <c r="B414" i="6"/>
  <c r="F414" i="5"/>
  <c r="J413" i="12" a="1"/>
  <c r="J413" i="12" s="1"/>
  <c r="L413" i="12" a="1"/>
  <c r="L413" i="12" s="1"/>
  <c r="AT412" i="6"/>
  <c r="AU412" i="6"/>
  <c r="T412" i="5"/>
  <c r="G412" i="12" s="1"/>
  <c r="AV412" i="6"/>
  <c r="AY412" i="6"/>
  <c r="AZ412" i="6"/>
  <c r="AX412" i="6"/>
  <c r="BA412" i="6"/>
  <c r="AW412" i="6"/>
  <c r="CC412" i="6"/>
  <c r="BD412" i="6"/>
  <c r="CM412" i="6"/>
  <c r="BY412" i="6"/>
  <c r="BL412" i="6"/>
  <c r="BT412" i="6"/>
  <c r="BN412" i="6"/>
  <c r="BP412" i="6"/>
  <c r="CH412" i="6"/>
  <c r="BF412" i="6"/>
  <c r="BX412" i="6"/>
  <c r="CJ412" i="6"/>
  <c r="CG412" i="6"/>
  <c r="CB412" i="6"/>
  <c r="BE412" i="6"/>
  <c r="BK412" i="6"/>
  <c r="CA412" i="6"/>
  <c r="BQ412" i="6"/>
  <c r="BI412" i="6"/>
  <c r="BJ412" i="6"/>
  <c r="BH412" i="6"/>
  <c r="BV412" i="6"/>
  <c r="CF412" i="6"/>
  <c r="CI412" i="6"/>
  <c r="CL412" i="6"/>
  <c r="BC412" i="6"/>
  <c r="CE412" i="6"/>
  <c r="BR412" i="6"/>
  <c r="BW412" i="6"/>
  <c r="BO412" i="6"/>
  <c r="CK412" i="6"/>
  <c r="BZ412" i="6"/>
  <c r="CD412" i="6"/>
  <c r="BM412" i="6"/>
  <c r="BG412" i="6"/>
  <c r="BS412" i="6"/>
  <c r="BN413" i="6" l="1"/>
  <c r="CA413" i="6"/>
  <c r="CL413" i="6"/>
  <c r="BV413" i="6"/>
  <c r="CB413" i="6"/>
  <c r="BX413" i="6"/>
  <c r="BQ413" i="6"/>
  <c r="CI413" i="6"/>
  <c r="BC413" i="6"/>
  <c r="BR413" i="6"/>
  <c r="BY413" i="6"/>
  <c r="BM413" i="6"/>
  <c r="CC413" i="6"/>
  <c r="BF413" i="6"/>
  <c r="CE413" i="6"/>
  <c r="BE413" i="6"/>
  <c r="BO413" i="6"/>
  <c r="CG413" i="6"/>
  <c r="BJ413" i="6"/>
  <c r="BL413" i="6"/>
  <c r="BK413" i="6"/>
  <c r="CD413" i="6"/>
  <c r="BS413" i="6"/>
  <c r="BP413" i="6"/>
  <c r="BZ413" i="6"/>
  <c r="CF413" i="6"/>
  <c r="BI413" i="6"/>
  <c r="CH413" i="6"/>
  <c r="AY413" i="6"/>
  <c r="CK413" i="6"/>
  <c r="BG413" i="6"/>
  <c r="BD413" i="6"/>
  <c r="BH413" i="6"/>
  <c r="BT413" i="6"/>
  <c r="CM413" i="6"/>
  <c r="CJ413" i="6"/>
  <c r="AZ413" i="6"/>
  <c r="BA413" i="6"/>
  <c r="AV413" i="6"/>
  <c r="AX413" i="6"/>
  <c r="AU413" i="6"/>
  <c r="AT413" i="6"/>
  <c r="BW413" i="6"/>
  <c r="K413" i="12"/>
  <c r="L414" i="12" a="1"/>
  <c r="L414" i="12" s="1"/>
  <c r="J414" i="12" a="1"/>
  <c r="J414" i="12" s="1"/>
  <c r="N414" i="6"/>
  <c r="H414" i="6" a="1"/>
  <c r="H414" i="6" s="1"/>
  <c r="M414" i="6"/>
  <c r="F415" i="5"/>
  <c r="D415" i="5"/>
  <c r="B415" i="12" s="1"/>
  <c r="C416" i="5"/>
  <c r="B415" i="5"/>
  <c r="J415" i="5"/>
  <c r="N415" i="5"/>
  <c r="D415" i="6" s="1"/>
  <c r="AE415" i="5"/>
  <c r="G415" i="5"/>
  <c r="E415" i="5"/>
  <c r="A415" i="12"/>
  <c r="H415" i="5"/>
  <c r="B415" i="6"/>
  <c r="AD415" i="5"/>
  <c r="K415" i="5"/>
  <c r="AW413" i="6"/>
  <c r="K414" i="12" l="1"/>
  <c r="N415" i="6"/>
  <c r="M415" i="6"/>
  <c r="H415" i="6" a="1"/>
  <c r="H415" i="6" s="1"/>
  <c r="F416" i="5"/>
  <c r="AD416" i="5"/>
  <c r="H416" i="5"/>
  <c r="G416" i="5"/>
  <c r="D416" i="5"/>
  <c r="B416" i="12" s="1"/>
  <c r="C417" i="5"/>
  <c r="B416" i="5"/>
  <c r="N416" i="5"/>
  <c r="D416" i="6" s="1"/>
  <c r="K416" i="5"/>
  <c r="E416" i="5"/>
  <c r="A416" i="12"/>
  <c r="J416" i="5"/>
  <c r="B416" i="6"/>
  <c r="AE416" i="5"/>
  <c r="CJ414" i="6"/>
  <c r="CA414" i="6"/>
  <c r="BP414" i="6"/>
  <c r="CB414" i="6"/>
  <c r="BZ414" i="6"/>
  <c r="CL414" i="6"/>
  <c r="BY414" i="6"/>
  <c r="BL414" i="6"/>
  <c r="BW414" i="6"/>
  <c r="BN414" i="6"/>
  <c r="BQ414" i="6"/>
  <c r="BE414" i="6"/>
  <c r="CD414" i="6"/>
  <c r="CM414" i="6"/>
  <c r="BK414" i="6"/>
  <c r="CI414" i="6"/>
  <c r="BD414" i="6"/>
  <c r="BM414" i="6"/>
  <c r="CC414" i="6"/>
  <c r="BR414" i="6"/>
  <c r="CK414" i="6"/>
  <c r="BJ414" i="6"/>
  <c r="BH414" i="6"/>
  <c r="BS414" i="6"/>
  <c r="BC414" i="6"/>
  <c r="BG414" i="6"/>
  <c r="CG414" i="6"/>
  <c r="BI414" i="6"/>
  <c r="BV414" i="6"/>
  <c r="CF414" i="6"/>
  <c r="CH414" i="6"/>
  <c r="BT414" i="6"/>
  <c r="BF414" i="6"/>
  <c r="BX414" i="6"/>
  <c r="CE414" i="6"/>
  <c r="BO414" i="6"/>
  <c r="AX414" i="6"/>
  <c r="AV414" i="6"/>
  <c r="T414" i="5"/>
  <c r="G414" i="12" s="1"/>
  <c r="AT414" i="6"/>
  <c r="AU414" i="6"/>
  <c r="BA414" i="6"/>
  <c r="AY414" i="6"/>
  <c r="AZ414" i="6"/>
  <c r="AW414" i="6"/>
  <c r="J415" i="12" a="1"/>
  <c r="J415" i="12" s="1"/>
  <c r="L415" i="12" a="1"/>
  <c r="L415" i="12" s="1"/>
  <c r="BA415" i="6" l="1"/>
  <c r="CL415" i="6"/>
  <c r="BT415" i="6"/>
  <c r="BG415" i="6"/>
  <c r="BS415" i="6"/>
  <c r="BH415" i="6"/>
  <c r="BO415" i="6"/>
  <c r="BM415" i="6"/>
  <c r="CK415" i="6"/>
  <c r="CF415" i="6"/>
  <c r="BF415" i="6"/>
  <c r="BV415" i="6"/>
  <c r="BL415" i="6"/>
  <c r="CI415" i="6"/>
  <c r="BC415" i="6"/>
  <c r="BK415" i="6"/>
  <c r="BZ415" i="6"/>
  <c r="CG415" i="6"/>
  <c r="BR415" i="6"/>
  <c r="AX415" i="6"/>
  <c r="AV415" i="6"/>
  <c r="AZ415" i="6"/>
  <c r="BX415" i="6"/>
  <c r="BN415" i="6"/>
  <c r="CE415" i="6"/>
  <c r="CB415" i="6"/>
  <c r="CM415" i="6"/>
  <c r="CD415" i="6"/>
  <c r="CJ415" i="6"/>
  <c r="AT415" i="6"/>
  <c r="BJ415" i="6"/>
  <c r="BD415" i="6"/>
  <c r="AY415" i="6"/>
  <c r="K415" i="12"/>
  <c r="J416" i="12" a="1"/>
  <c r="J416" i="12" s="1"/>
  <c r="L416" i="12" a="1"/>
  <c r="L416" i="12" s="1"/>
  <c r="N416" i="6"/>
  <c r="H416" i="6" a="1"/>
  <c r="H416" i="6" s="1"/>
  <c r="M416" i="6"/>
  <c r="A417" i="12"/>
  <c r="N417" i="5"/>
  <c r="D417" i="6" s="1"/>
  <c r="B417" i="6"/>
  <c r="J417" i="5"/>
  <c r="E417" i="5"/>
  <c r="AD417" i="5"/>
  <c r="B417" i="5"/>
  <c r="K417" i="5"/>
  <c r="AE417" i="5"/>
  <c r="G417" i="5"/>
  <c r="H417" i="5"/>
  <c r="F417" i="5"/>
  <c r="D417" i="5"/>
  <c r="B417" i="12" s="1"/>
  <c r="C418" i="5"/>
  <c r="T415" i="5"/>
  <c r="G415" i="12" s="1"/>
  <c r="AU415" i="6"/>
  <c r="CA415" i="6"/>
  <c r="BE415" i="6"/>
  <c r="BI415" i="6"/>
  <c r="CH415" i="6"/>
  <c r="BY415" i="6"/>
  <c r="CC415" i="6"/>
  <c r="BP415" i="6"/>
  <c r="BW415" i="6"/>
  <c r="BQ415" i="6"/>
  <c r="AW415" i="6"/>
  <c r="K416" i="12" l="1"/>
  <c r="K418" i="5"/>
  <c r="F418" i="5"/>
  <c r="E418" i="5"/>
  <c r="AE418" i="5"/>
  <c r="AD418" i="5"/>
  <c r="G418" i="5"/>
  <c r="H418" i="5"/>
  <c r="N418" i="5"/>
  <c r="D418" i="6" s="1"/>
  <c r="J418" i="5"/>
  <c r="B418" i="6"/>
  <c r="D418" i="5"/>
  <c r="B418" i="12" s="1"/>
  <c r="C419" i="5"/>
  <c r="B418" i="5"/>
  <c r="A418" i="12"/>
  <c r="H417" i="6" a="1"/>
  <c r="H417" i="6" s="1"/>
  <c r="N417" i="6"/>
  <c r="M417" i="6"/>
  <c r="BT417" i="6" s="1"/>
  <c r="L417" i="12" a="1"/>
  <c r="L417" i="12" s="1"/>
  <c r="J417" i="12" a="1"/>
  <c r="J417" i="12" s="1"/>
  <c r="CA416" i="6"/>
  <c r="BW416" i="6"/>
  <c r="BX416" i="6"/>
  <c r="BD416" i="6"/>
  <c r="BZ416" i="6"/>
  <c r="BF416" i="6"/>
  <c r="BT416" i="6"/>
  <c r="CK416" i="6"/>
  <c r="BE416" i="6"/>
  <c r="BM416" i="6"/>
  <c r="BS416" i="6"/>
  <c r="CF416" i="6"/>
  <c r="BV416" i="6"/>
  <c r="BJ416" i="6"/>
  <c r="CG416" i="6"/>
  <c r="BY416" i="6"/>
  <c r="BL416" i="6"/>
  <c r="BG416" i="6"/>
  <c r="BK416" i="6"/>
  <c r="BI416" i="6"/>
  <c r="CJ416" i="6"/>
  <c r="BN416" i="6"/>
  <c r="CM416" i="6"/>
  <c r="BO416" i="6"/>
  <c r="CH416" i="6"/>
  <c r="CC416" i="6"/>
  <c r="BC416" i="6"/>
  <c r="BH416" i="6"/>
  <c r="CD416" i="6"/>
  <c r="BQ416" i="6"/>
  <c r="BP416" i="6"/>
  <c r="BR416" i="6"/>
  <c r="CL416" i="6"/>
  <c r="CI416" i="6"/>
  <c r="CE416" i="6"/>
  <c r="CB416" i="6"/>
  <c r="T416" i="5"/>
  <c r="G416" i="12" s="1"/>
  <c r="AY416" i="6"/>
  <c r="AU416" i="6"/>
  <c r="AT416" i="6"/>
  <c r="AV416" i="6"/>
  <c r="BA416" i="6"/>
  <c r="AX416" i="6"/>
  <c r="AZ416" i="6"/>
  <c r="AW416" i="6"/>
  <c r="AV417" i="6" l="1"/>
  <c r="K417" i="12"/>
  <c r="E419" i="5"/>
  <c r="K419" i="5"/>
  <c r="AD419" i="5"/>
  <c r="N419" i="5"/>
  <c r="D419" i="6" s="1"/>
  <c r="J419" i="5"/>
  <c r="H419" i="5"/>
  <c r="F419" i="5"/>
  <c r="AE419" i="5"/>
  <c r="A419" i="12"/>
  <c r="G419" i="5"/>
  <c r="D419" i="5"/>
  <c r="B419" i="12" s="1"/>
  <c r="C420" i="5"/>
  <c r="B419" i="6"/>
  <c r="B419" i="5"/>
  <c r="N418" i="6"/>
  <c r="M418" i="6"/>
  <c r="BP418" i="6" s="1"/>
  <c r="H418" i="6" a="1"/>
  <c r="H418" i="6" s="1"/>
  <c r="CC417" i="6"/>
  <c r="CH417" i="6"/>
  <c r="CF417" i="6"/>
  <c r="BV417" i="6"/>
  <c r="BM417" i="6"/>
  <c r="BN417" i="6"/>
  <c r="CE417" i="6"/>
  <c r="BP417" i="6"/>
  <c r="CJ417" i="6"/>
  <c r="BD417" i="6"/>
  <c r="BL417" i="6"/>
  <c r="CK417" i="6"/>
  <c r="BE417" i="6"/>
  <c r="CL417" i="6"/>
  <c r="BY417" i="6"/>
  <c r="BI417" i="6"/>
  <c r="BO417" i="6"/>
  <c r="CM417" i="6"/>
  <c r="BF417" i="6"/>
  <c r="BG417" i="6"/>
  <c r="BK417" i="6"/>
  <c r="BZ417" i="6"/>
  <c r="BW417" i="6"/>
  <c r="BH417" i="6"/>
  <c r="BS417" i="6"/>
  <c r="CD417" i="6"/>
  <c r="CA417" i="6"/>
  <c r="BX417" i="6"/>
  <c r="BJ417" i="6"/>
  <c r="CB417" i="6"/>
  <c r="BR417" i="6"/>
  <c r="BQ417" i="6"/>
  <c r="CG417" i="6"/>
  <c r="BC417" i="6"/>
  <c r="CI417" i="6"/>
  <c r="AX417" i="6"/>
  <c r="T417" i="5"/>
  <c r="G417" i="12" s="1"/>
  <c r="AW417" i="6"/>
  <c r="BA417" i="6"/>
  <c r="AY417" i="6"/>
  <c r="AT417" i="6"/>
  <c r="AU417" i="6"/>
  <c r="AZ417" i="6"/>
  <c r="L418" i="12" a="1"/>
  <c r="L418" i="12" s="1"/>
  <c r="J418" i="12" a="1"/>
  <c r="J418" i="12" s="1"/>
  <c r="K418" i="12" l="1"/>
  <c r="A420" i="12"/>
  <c r="B420" i="5"/>
  <c r="C421" i="5"/>
  <c r="AE420" i="5"/>
  <c r="B420" i="6"/>
  <c r="K420" i="5"/>
  <c r="F420" i="5"/>
  <c r="E420" i="5"/>
  <c r="N420" i="5"/>
  <c r="D420" i="6" s="1"/>
  <c r="J420" i="5"/>
  <c r="AD420" i="5"/>
  <c r="H420" i="5"/>
  <c r="G420" i="5"/>
  <c r="D420" i="5"/>
  <c r="B420" i="12" s="1"/>
  <c r="L419" i="12" a="1"/>
  <c r="L419" i="12" s="1"/>
  <c r="J419" i="12" a="1"/>
  <c r="J419" i="12" s="1"/>
  <c r="AY418" i="6"/>
  <c r="BA418" i="6"/>
  <c r="AX418" i="6"/>
  <c r="AZ418" i="6"/>
  <c r="AU418" i="6"/>
  <c r="AV418" i="6"/>
  <c r="T418" i="5"/>
  <c r="G418" i="12" s="1"/>
  <c r="AT418" i="6"/>
  <c r="BN418" i="6"/>
  <c r="BO418" i="6"/>
  <c r="BC418" i="6"/>
  <c r="CJ418" i="6"/>
  <c r="BL418" i="6"/>
  <c r="CA418" i="6"/>
  <c r="CM418" i="6"/>
  <c r="CE418" i="6"/>
  <c r="CD418" i="6"/>
  <c r="BI418" i="6"/>
  <c r="BW418" i="6"/>
  <c r="CB418" i="6"/>
  <c r="BR418" i="6"/>
  <c r="BD418" i="6"/>
  <c r="CK418" i="6"/>
  <c r="BX418" i="6"/>
  <c r="BE418" i="6"/>
  <c r="BT418" i="6"/>
  <c r="BQ418" i="6"/>
  <c r="BY418" i="6"/>
  <c r="CL418" i="6"/>
  <c r="BV418" i="6"/>
  <c r="CH418" i="6"/>
  <c r="BK418" i="6"/>
  <c r="BH418" i="6"/>
  <c r="BG418" i="6"/>
  <c r="BS418" i="6"/>
  <c r="BF418" i="6"/>
  <c r="BZ418" i="6"/>
  <c r="CI418" i="6"/>
  <c r="BM418" i="6"/>
  <c r="CG418" i="6"/>
  <c r="CC418" i="6"/>
  <c r="BJ418" i="6"/>
  <c r="CF418" i="6"/>
  <c r="N419" i="6"/>
  <c r="M419" i="6"/>
  <c r="H419" i="6" a="1"/>
  <c r="H419" i="6" s="1"/>
  <c r="AW418" i="6"/>
  <c r="K419" i="12" l="1"/>
  <c r="M420" i="6"/>
  <c r="H420" i="6" a="1"/>
  <c r="H420" i="6" s="1"/>
  <c r="N420" i="6"/>
  <c r="A421" i="12"/>
  <c r="F421" i="5"/>
  <c r="AD421" i="5"/>
  <c r="B421" i="6"/>
  <c r="D421" i="5"/>
  <c r="B421" i="12" s="1"/>
  <c r="E421" i="5"/>
  <c r="C422" i="5"/>
  <c r="K421" i="5"/>
  <c r="B421" i="5"/>
  <c r="N421" i="5"/>
  <c r="D421" i="6" s="1"/>
  <c r="J421" i="5"/>
  <c r="AE421" i="5"/>
  <c r="H421" i="5"/>
  <c r="G421" i="5"/>
  <c r="AX419" i="6"/>
  <c r="AU419" i="6"/>
  <c r="T419" i="5"/>
  <c r="G419" i="12" s="1"/>
  <c r="AZ419" i="6"/>
  <c r="AT419" i="6"/>
  <c r="AY419" i="6"/>
  <c r="AW419" i="6"/>
  <c r="AV419" i="6"/>
  <c r="BA419" i="6"/>
  <c r="BZ419" i="6"/>
  <c r="BG419" i="6"/>
  <c r="BK419" i="6"/>
  <c r="BF419" i="6"/>
  <c r="BR419" i="6"/>
  <c r="BN419" i="6"/>
  <c r="BV419" i="6"/>
  <c r="BY419" i="6"/>
  <c r="BM419" i="6"/>
  <c r="CG419" i="6"/>
  <c r="CC419" i="6"/>
  <c r="BJ419" i="6"/>
  <c r="CL419" i="6"/>
  <c r="CF419" i="6"/>
  <c r="BW419" i="6"/>
  <c r="BH419" i="6"/>
  <c r="CI419" i="6"/>
  <c r="CE419" i="6"/>
  <c r="BL419" i="6"/>
  <c r="BX419" i="6"/>
  <c r="BQ419" i="6"/>
  <c r="BP419" i="6"/>
  <c r="CB419" i="6"/>
  <c r="CH419" i="6"/>
  <c r="CA419" i="6"/>
  <c r="CK419" i="6"/>
  <c r="BT419" i="6"/>
  <c r="CD419" i="6"/>
  <c r="CJ419" i="6"/>
  <c r="BI419" i="6"/>
  <c r="BO419" i="6"/>
  <c r="BD419" i="6"/>
  <c r="BS419" i="6"/>
  <c r="BE419" i="6"/>
  <c r="BC419" i="6"/>
  <c r="CM419" i="6"/>
  <c r="L420" i="12" a="1"/>
  <c r="L420" i="12" s="1"/>
  <c r="J420" i="12" a="1"/>
  <c r="J420" i="12" s="1"/>
  <c r="BA420" i="6" l="1"/>
  <c r="K420" i="12"/>
  <c r="J422" i="5"/>
  <c r="AD422" i="5"/>
  <c r="AE422" i="5"/>
  <c r="H422" i="5"/>
  <c r="A422" i="12"/>
  <c r="G422" i="5"/>
  <c r="B422" i="6"/>
  <c r="D422" i="5"/>
  <c r="B422" i="12" s="1"/>
  <c r="K422" i="5"/>
  <c r="F422" i="5"/>
  <c r="E422" i="5"/>
  <c r="B422" i="5"/>
  <c r="C423" i="5"/>
  <c r="N422" i="5"/>
  <c r="D422" i="6" s="1"/>
  <c r="L421" i="12" a="1"/>
  <c r="L421" i="12" s="1"/>
  <c r="J421" i="12" a="1"/>
  <c r="J421" i="12" s="1"/>
  <c r="AX420" i="6"/>
  <c r="AT420" i="6"/>
  <c r="T420" i="5"/>
  <c r="G420" i="12" s="1"/>
  <c r="AW420" i="6"/>
  <c r="AY420" i="6"/>
  <c r="AZ420" i="6"/>
  <c r="AU420" i="6"/>
  <c r="AV420" i="6"/>
  <c r="M421" i="6"/>
  <c r="H421" i="6" a="1"/>
  <c r="H421" i="6" s="1"/>
  <c r="N421" i="6"/>
  <c r="CH420" i="6"/>
  <c r="CM420" i="6"/>
  <c r="BO420" i="6"/>
  <c r="CA420" i="6"/>
  <c r="BX420" i="6"/>
  <c r="BJ420" i="6"/>
  <c r="CB420" i="6"/>
  <c r="BS420" i="6"/>
  <c r="BG420" i="6"/>
  <c r="CG420" i="6"/>
  <c r="BZ420" i="6"/>
  <c r="BD420" i="6"/>
  <c r="CD420" i="6"/>
  <c r="BY420" i="6"/>
  <c r="BH420" i="6"/>
  <c r="BR420" i="6"/>
  <c r="BM420" i="6"/>
  <c r="BF420" i="6"/>
  <c r="CJ420" i="6"/>
  <c r="CF420" i="6"/>
  <c r="CE420" i="6"/>
  <c r="CI420" i="6"/>
  <c r="BL420" i="6"/>
  <c r="BW420" i="6"/>
  <c r="BC420" i="6"/>
  <c r="CC420" i="6"/>
  <c r="BN420" i="6"/>
  <c r="BK420" i="6"/>
  <c r="CK420" i="6"/>
  <c r="BE420" i="6"/>
  <c r="BP420" i="6"/>
  <c r="BI420" i="6"/>
  <c r="BT420" i="6"/>
  <c r="BV420" i="6"/>
  <c r="CL420" i="6"/>
  <c r="BQ420" i="6"/>
  <c r="K421" i="12" l="1"/>
  <c r="J422" i="12" a="1"/>
  <c r="J422" i="12" s="1"/>
  <c r="L422" i="12" a="1"/>
  <c r="L422" i="12" s="1"/>
  <c r="T421" i="5"/>
  <c r="G421" i="12" s="1"/>
  <c r="AV421" i="6"/>
  <c r="AY421" i="6"/>
  <c r="AW421" i="6"/>
  <c r="AX421" i="6"/>
  <c r="AZ421" i="6"/>
  <c r="AT421" i="6"/>
  <c r="AU421" i="6"/>
  <c r="BA421" i="6"/>
  <c r="H422" i="6" a="1"/>
  <c r="H422" i="6" s="1"/>
  <c r="N422" i="6"/>
  <c r="M422" i="6"/>
  <c r="CL421" i="6"/>
  <c r="BP421" i="6"/>
  <c r="CH421" i="6"/>
  <c r="CB421" i="6"/>
  <c r="BD421" i="6"/>
  <c r="BK421" i="6"/>
  <c r="BR421" i="6"/>
  <c r="BF421" i="6"/>
  <c r="BH421" i="6"/>
  <c r="CI421" i="6"/>
  <c r="BI421" i="6"/>
  <c r="BL421" i="6"/>
  <c r="BN421" i="6"/>
  <c r="BJ421" i="6"/>
  <c r="CA421" i="6"/>
  <c r="BY421" i="6"/>
  <c r="BC421" i="6"/>
  <c r="CM421" i="6"/>
  <c r="BT421" i="6"/>
  <c r="BO421" i="6"/>
  <c r="BV421" i="6"/>
  <c r="BM421" i="6"/>
  <c r="CF421" i="6"/>
  <c r="CK421" i="6"/>
  <c r="BS421" i="6"/>
  <c r="CC421" i="6"/>
  <c r="CE421" i="6"/>
  <c r="BG421" i="6"/>
  <c r="BX421" i="6"/>
  <c r="BE421" i="6"/>
  <c r="CJ421" i="6"/>
  <c r="CD421" i="6"/>
  <c r="CG421" i="6"/>
  <c r="BQ421" i="6"/>
  <c r="BZ421" i="6"/>
  <c r="BW421" i="6"/>
  <c r="D423" i="5"/>
  <c r="B423" i="12" s="1"/>
  <c r="C424" i="5"/>
  <c r="B423" i="5"/>
  <c r="N423" i="5"/>
  <c r="D423" i="6" s="1"/>
  <c r="J423" i="5"/>
  <c r="AE423" i="5"/>
  <c r="A423" i="12"/>
  <c r="H423" i="5"/>
  <c r="B423" i="6"/>
  <c r="G423" i="5"/>
  <c r="E423" i="5"/>
  <c r="AD423" i="5"/>
  <c r="K423" i="5"/>
  <c r="F423" i="5"/>
  <c r="K422" i="12" l="1"/>
  <c r="AY422" i="6"/>
  <c r="T422" i="5"/>
  <c r="G422" i="12" s="1"/>
  <c r="BA422" i="6"/>
  <c r="AZ422" i="6"/>
  <c r="AU422" i="6"/>
  <c r="AW422" i="6"/>
  <c r="AT422" i="6"/>
  <c r="AV422" i="6"/>
  <c r="AX422" i="6"/>
  <c r="L423" i="12" a="1"/>
  <c r="L423" i="12" s="1"/>
  <c r="J423" i="12" a="1"/>
  <c r="J423" i="12" s="1"/>
  <c r="N423" i="6"/>
  <c r="M423" i="6"/>
  <c r="H423" i="6" a="1"/>
  <c r="H423" i="6" s="1"/>
  <c r="D424" i="5"/>
  <c r="B424" i="12" s="1"/>
  <c r="B424" i="5"/>
  <c r="C425" i="5"/>
  <c r="N424" i="5"/>
  <c r="D424" i="6" s="1"/>
  <c r="A424" i="12"/>
  <c r="B424" i="6"/>
  <c r="AE424" i="5"/>
  <c r="K424" i="5"/>
  <c r="F424" i="5"/>
  <c r="E424" i="5"/>
  <c r="AD424" i="5"/>
  <c r="H424" i="5"/>
  <c r="J424" i="5"/>
  <c r="G424" i="5"/>
  <c r="CK422" i="6"/>
  <c r="BV422" i="6"/>
  <c r="BR422" i="6"/>
  <c r="CL422" i="6"/>
  <c r="BO422" i="6"/>
  <c r="CD422" i="6"/>
  <c r="BF422" i="6"/>
  <c r="BC422" i="6"/>
  <c r="BZ422" i="6"/>
  <c r="CI422" i="6"/>
  <c r="BP422" i="6"/>
  <c r="BK422" i="6"/>
  <c r="BG422" i="6"/>
  <c r="BD422" i="6"/>
  <c r="CG422" i="6"/>
  <c r="CB422" i="6"/>
  <c r="BT422" i="6"/>
  <c r="BL422" i="6"/>
  <c r="BW422" i="6"/>
  <c r="BM422" i="6"/>
  <c r="CA422" i="6"/>
  <c r="CF422" i="6"/>
  <c r="BJ422" i="6"/>
  <c r="BH422" i="6"/>
  <c r="BQ422" i="6"/>
  <c r="CH422" i="6"/>
  <c r="BY422" i="6"/>
  <c r="BS422" i="6"/>
  <c r="BX422" i="6"/>
  <c r="CC422" i="6"/>
  <c r="CE422" i="6"/>
  <c r="CM422" i="6"/>
  <c r="CJ422" i="6"/>
  <c r="BE422" i="6"/>
  <c r="BI422" i="6"/>
  <c r="BN422" i="6"/>
  <c r="BL423" i="6" l="1"/>
  <c r="K423" i="12"/>
  <c r="CK423" i="6"/>
  <c r="AT423" i="6"/>
  <c r="BV423" i="6"/>
  <c r="AV423" i="6"/>
  <c r="CC423" i="6"/>
  <c r="CL423" i="6"/>
  <c r="BA423" i="6"/>
  <c r="AU423" i="6"/>
  <c r="AZ423" i="6"/>
  <c r="T423" i="5"/>
  <c r="G423" i="12" s="1"/>
  <c r="AX423" i="6"/>
  <c r="AW423" i="6"/>
  <c r="AY423" i="6"/>
  <c r="L424" i="12" a="1"/>
  <c r="L424" i="12" s="1"/>
  <c r="J424" i="12" a="1"/>
  <c r="J424" i="12" s="1"/>
  <c r="BN423" i="6"/>
  <c r="BI423" i="6"/>
  <c r="BQ423" i="6"/>
  <c r="BJ423" i="6"/>
  <c r="CD423" i="6"/>
  <c r="CE423" i="6"/>
  <c r="CM423" i="6"/>
  <c r="BT423" i="6"/>
  <c r="BE423" i="6"/>
  <c r="BX423" i="6"/>
  <c r="BO423" i="6"/>
  <c r="CB423" i="6"/>
  <c r="CJ423" i="6"/>
  <c r="CA423" i="6"/>
  <c r="BW423" i="6"/>
  <c r="BK423" i="6"/>
  <c r="BG423" i="6"/>
  <c r="BR423" i="6"/>
  <c r="BY423" i="6"/>
  <c r="CF423" i="6"/>
  <c r="CH423" i="6"/>
  <c r="CI423" i="6"/>
  <c r="BM423" i="6"/>
  <c r="BZ423" i="6"/>
  <c r="BH423" i="6"/>
  <c r="BS423" i="6"/>
  <c r="BF423" i="6"/>
  <c r="BP423" i="6"/>
  <c r="CG423" i="6"/>
  <c r="BC423" i="6"/>
  <c r="N424" i="6"/>
  <c r="M424" i="6"/>
  <c r="H424" i="6" a="1"/>
  <c r="H424" i="6" s="1"/>
  <c r="A425" i="12"/>
  <c r="N425" i="5"/>
  <c r="D425" i="6" s="1"/>
  <c r="J425" i="5"/>
  <c r="B425" i="6"/>
  <c r="E425" i="5"/>
  <c r="AD425" i="5"/>
  <c r="K425" i="5"/>
  <c r="AE425" i="5"/>
  <c r="H425" i="5"/>
  <c r="G425" i="5"/>
  <c r="F425" i="5"/>
  <c r="D425" i="5"/>
  <c r="B425" i="12" s="1"/>
  <c r="C426" i="5"/>
  <c r="B425" i="5"/>
  <c r="BD423" i="6"/>
  <c r="M425" i="6" l="1"/>
  <c r="H425" i="6" a="1"/>
  <c r="H425" i="6" s="1"/>
  <c r="N425" i="6"/>
  <c r="K424" i="12"/>
  <c r="H426" i="5"/>
  <c r="G426" i="5"/>
  <c r="B426" i="5"/>
  <c r="C427" i="5"/>
  <c r="B426" i="6"/>
  <c r="N426" i="5"/>
  <c r="D426" i="6" s="1"/>
  <c r="A426" i="12"/>
  <c r="E426" i="5"/>
  <c r="K426" i="5"/>
  <c r="F426" i="5"/>
  <c r="J426" i="5"/>
  <c r="AE426" i="5"/>
  <c r="AD426" i="5"/>
  <c r="D426" i="5"/>
  <c r="B426" i="12" s="1"/>
  <c r="L425" i="12" a="1"/>
  <c r="L425" i="12" s="1"/>
  <c r="J425" i="12" a="1"/>
  <c r="J425" i="12" s="1"/>
  <c r="AT424" i="6"/>
  <c r="AZ424" i="6"/>
  <c r="AU424" i="6"/>
  <c r="BA424" i="6"/>
  <c r="AW424" i="6"/>
  <c r="AX424" i="6"/>
  <c r="AV424" i="6"/>
  <c r="T424" i="5"/>
  <c r="G424" i="12" s="1"/>
  <c r="AY424" i="6"/>
  <c r="BS424" i="6"/>
  <c r="BD424" i="6"/>
  <c r="BN424" i="6"/>
  <c r="BO424" i="6"/>
  <c r="CC424" i="6"/>
  <c r="BZ424" i="6"/>
  <c r="CJ424" i="6"/>
  <c r="CK424" i="6"/>
  <c r="BX424" i="6"/>
  <c r="CB424" i="6"/>
  <c r="BG424" i="6"/>
  <c r="CA424" i="6"/>
  <c r="BI424" i="6"/>
  <c r="CH424" i="6"/>
  <c r="BC424" i="6"/>
  <c r="CI424" i="6"/>
  <c r="CD424" i="6"/>
  <c r="BF424" i="6"/>
  <c r="CE424" i="6"/>
  <c r="BE424" i="6"/>
  <c r="BJ424" i="6"/>
  <c r="BR424" i="6"/>
  <c r="BH424" i="6"/>
  <c r="BP424" i="6"/>
  <c r="BQ424" i="6"/>
  <c r="CG424" i="6"/>
  <c r="CM424" i="6"/>
  <c r="BK424" i="6"/>
  <c r="BT424" i="6"/>
  <c r="BL424" i="6"/>
  <c r="BM424" i="6"/>
  <c r="BW424" i="6"/>
  <c r="CL424" i="6"/>
  <c r="BY424" i="6"/>
  <c r="BV424" i="6"/>
  <c r="CF424" i="6"/>
  <c r="BF425" i="6" l="1"/>
  <c r="CG425" i="6"/>
  <c r="CL425" i="6"/>
  <c r="BR425" i="6"/>
  <c r="BA425" i="6"/>
  <c r="AY425" i="6"/>
  <c r="BN425" i="6"/>
  <c r="BM425" i="6"/>
  <c r="CE425" i="6"/>
  <c r="AX425" i="6"/>
  <c r="BS425" i="6"/>
  <c r="CK425" i="6"/>
  <c r="CB425" i="6"/>
  <c r="BC425" i="6"/>
  <c r="BE425" i="6"/>
  <c r="CF425" i="6"/>
  <c r="CC425" i="6"/>
  <c r="BX425" i="6"/>
  <c r="CM425" i="6"/>
  <c r="BP425" i="6"/>
  <c r="BG425" i="6"/>
  <c r="AW425" i="6"/>
  <c r="CH425" i="6"/>
  <c r="BY425" i="6"/>
  <c r="BL425" i="6"/>
  <c r="BD425" i="6"/>
  <c r="BZ425" i="6"/>
  <c r="K425" i="12"/>
  <c r="T425" i="5"/>
  <c r="G425" i="12" s="1"/>
  <c r="AT425" i="6"/>
  <c r="AZ425" i="6"/>
  <c r="L426" i="12" a="1"/>
  <c r="L426" i="12" s="1"/>
  <c r="J426" i="12" a="1"/>
  <c r="J426" i="12" s="1"/>
  <c r="CJ425" i="6"/>
  <c r="CA425" i="6"/>
  <c r="BW425" i="6"/>
  <c r="BK425" i="6"/>
  <c r="BV425" i="6"/>
  <c r="BQ425" i="6"/>
  <c r="BO425" i="6"/>
  <c r="BI425" i="6"/>
  <c r="BT425" i="6"/>
  <c r="CI425" i="6"/>
  <c r="CD425" i="6"/>
  <c r="BJ425" i="6"/>
  <c r="AU425" i="6"/>
  <c r="M426" i="6"/>
  <c r="H426" i="6" a="1"/>
  <c r="H426" i="6" s="1"/>
  <c r="N426" i="6"/>
  <c r="AV425" i="6"/>
  <c r="BH425" i="6"/>
  <c r="B427" i="6"/>
  <c r="B427" i="5"/>
  <c r="E427" i="5"/>
  <c r="AD427" i="5"/>
  <c r="K427" i="5"/>
  <c r="N427" i="5"/>
  <c r="D427" i="6" s="1"/>
  <c r="C428" i="5"/>
  <c r="J427" i="5"/>
  <c r="AE427" i="5"/>
  <c r="A427" i="12"/>
  <c r="H427" i="5"/>
  <c r="G427" i="5"/>
  <c r="F427" i="5"/>
  <c r="D427" i="5"/>
  <c r="B427" i="12" s="1"/>
  <c r="K426" i="12" l="1"/>
  <c r="AU426" i="6"/>
  <c r="AY426" i="6"/>
  <c r="T426" i="5"/>
  <c r="G426" i="12" s="1"/>
  <c r="AV426" i="6"/>
  <c r="AZ426" i="6"/>
  <c r="BA426" i="6"/>
  <c r="AT426" i="6"/>
  <c r="AW426" i="6"/>
  <c r="AX426" i="6"/>
  <c r="J427" i="12" a="1"/>
  <c r="J427" i="12" s="1"/>
  <c r="L427" i="12" a="1"/>
  <c r="L427" i="12" s="1"/>
  <c r="CM426" i="6"/>
  <c r="BQ426" i="6"/>
  <c r="CJ426" i="6"/>
  <c r="CF426" i="6"/>
  <c r="BW426" i="6"/>
  <c r="CB426" i="6"/>
  <c r="BF426" i="6"/>
  <c r="BY426" i="6"/>
  <c r="BZ426" i="6"/>
  <c r="CE426" i="6"/>
  <c r="BX426" i="6"/>
  <c r="BD426" i="6"/>
  <c r="BK426" i="6"/>
  <c r="BP426" i="6"/>
  <c r="CL426" i="6"/>
  <c r="CG426" i="6"/>
  <c r="CA426" i="6"/>
  <c r="CC426" i="6"/>
  <c r="CK426" i="6"/>
  <c r="BR426" i="6"/>
  <c r="BM426" i="6"/>
  <c r="BH426" i="6"/>
  <c r="BS426" i="6"/>
  <c r="BN426" i="6"/>
  <c r="BJ426" i="6"/>
  <c r="BC426" i="6"/>
  <c r="CH426" i="6"/>
  <c r="CD426" i="6"/>
  <c r="BO426" i="6"/>
  <c r="BT426" i="6"/>
  <c r="BG426" i="6"/>
  <c r="CI426" i="6"/>
  <c r="BL426" i="6"/>
  <c r="BI426" i="6"/>
  <c r="BV426" i="6"/>
  <c r="BE426" i="6"/>
  <c r="K428" i="5"/>
  <c r="N428" i="5"/>
  <c r="D428" i="6" s="1"/>
  <c r="F428" i="5"/>
  <c r="E428" i="5"/>
  <c r="D428" i="5"/>
  <c r="B428" i="12" s="1"/>
  <c r="A428" i="12"/>
  <c r="J428" i="5"/>
  <c r="AE428" i="5"/>
  <c r="AD428" i="5"/>
  <c r="H428" i="5"/>
  <c r="G428" i="5"/>
  <c r="B428" i="6"/>
  <c r="C429" i="5"/>
  <c r="B428" i="5"/>
  <c r="M427" i="6"/>
  <c r="BP427" i="6" s="1"/>
  <c r="H427" i="6" a="1"/>
  <c r="H427" i="6" s="1"/>
  <c r="N427" i="6"/>
  <c r="AZ427" i="6" l="1"/>
  <c r="CM427" i="6"/>
  <c r="BE427" i="6"/>
  <c r="BC427" i="6"/>
  <c r="BI427" i="6"/>
  <c r="CC427" i="6"/>
  <c r="BF427" i="6"/>
  <c r="BZ427" i="6"/>
  <c r="K427" i="12"/>
  <c r="CK427" i="6"/>
  <c r="AU427" i="6"/>
  <c r="L428" i="12" a="1"/>
  <c r="L428" i="12" s="1"/>
  <c r="J428" i="12" a="1"/>
  <c r="J428" i="12" s="1"/>
  <c r="AY427" i="6"/>
  <c r="AX427" i="6"/>
  <c r="AV427" i="6"/>
  <c r="T427" i="5"/>
  <c r="G427" i="12" s="1"/>
  <c r="AT427" i="6"/>
  <c r="AW427" i="6"/>
  <c r="BA427" i="6"/>
  <c r="BS427" i="6"/>
  <c r="CF427" i="6"/>
  <c r="CL427" i="6"/>
  <c r="BY427" i="6"/>
  <c r="BH427" i="6"/>
  <c r="CG427" i="6"/>
  <c r="BD427" i="6"/>
  <c r="CH427" i="6"/>
  <c r="BJ427" i="6"/>
  <c r="BK427" i="6"/>
  <c r="BR427" i="6"/>
  <c r="CE427" i="6"/>
  <c r="BO427" i="6"/>
  <c r="BL427" i="6"/>
  <c r="BN427" i="6"/>
  <c r="BT427" i="6"/>
  <c r="CA427" i="6"/>
  <c r="CB427" i="6"/>
  <c r="CD427" i="6"/>
  <c r="CI427" i="6"/>
  <c r="N428" i="6"/>
  <c r="M428" i="6"/>
  <c r="BX428" i="6" s="1"/>
  <c r="H428" i="6" a="1"/>
  <c r="H428" i="6" s="1"/>
  <c r="H429" i="5"/>
  <c r="A429" i="12"/>
  <c r="F429" i="5"/>
  <c r="B429" i="6"/>
  <c r="D429" i="5"/>
  <c r="B429" i="12" s="1"/>
  <c r="E429" i="5"/>
  <c r="K429" i="5"/>
  <c r="AE429" i="5"/>
  <c r="AD429" i="5"/>
  <c r="B429" i="5"/>
  <c r="G429" i="5"/>
  <c r="N429" i="5"/>
  <c r="D429" i="6" s="1"/>
  <c r="C430" i="5"/>
  <c r="J429" i="5"/>
  <c r="CJ427" i="6"/>
  <c r="BW427" i="6"/>
  <c r="BQ427" i="6"/>
  <c r="BX427" i="6"/>
  <c r="BG427" i="6"/>
  <c r="BM427" i="6"/>
  <c r="BV427" i="6"/>
  <c r="AU428" i="6" l="1"/>
  <c r="BZ428" i="6"/>
  <c r="BJ428" i="6"/>
  <c r="BP428" i="6"/>
  <c r="CH428" i="6"/>
  <c r="K428" i="12"/>
  <c r="CL428" i="6"/>
  <c r="BC428" i="6"/>
  <c r="BY428" i="6"/>
  <c r="F430" i="5"/>
  <c r="E430" i="5"/>
  <c r="D430" i="5"/>
  <c r="B430" i="12" s="1"/>
  <c r="AE430" i="5"/>
  <c r="H430" i="5"/>
  <c r="AD430" i="5"/>
  <c r="K430" i="5"/>
  <c r="B430" i="6"/>
  <c r="A430" i="12"/>
  <c r="B430" i="5"/>
  <c r="N430" i="5"/>
  <c r="D430" i="6" s="1"/>
  <c r="J430" i="5"/>
  <c r="C431" i="5"/>
  <c r="G430" i="5"/>
  <c r="BL428" i="6"/>
  <c r="H429" i="6" a="1"/>
  <c r="H429" i="6" s="1"/>
  <c r="T429" i="5" s="1"/>
  <c r="G429" i="12" s="1"/>
  <c r="N429" i="6"/>
  <c r="M429" i="6"/>
  <c r="CB429" i="6" s="1"/>
  <c r="AZ428" i="6"/>
  <c r="BA428" i="6"/>
  <c r="T428" i="5"/>
  <c r="G428" i="12" s="1"/>
  <c r="AT428" i="6"/>
  <c r="AW428" i="6"/>
  <c r="CG428" i="6"/>
  <c r="BT428" i="6"/>
  <c r="CA428" i="6"/>
  <c r="CE428" i="6"/>
  <c r="CD428" i="6"/>
  <c r="CC428" i="6"/>
  <c r="BW428" i="6"/>
  <c r="BO428" i="6"/>
  <c r="CJ428" i="6"/>
  <c r="CI428" i="6"/>
  <c r="BN428" i="6"/>
  <c r="CM428" i="6"/>
  <c r="BR428" i="6"/>
  <c r="BD428" i="6"/>
  <c r="CF428" i="6"/>
  <c r="BK428" i="6"/>
  <c r="BQ428" i="6"/>
  <c r="BM428" i="6"/>
  <c r="BS428" i="6"/>
  <c r="BG428" i="6"/>
  <c r="BV428" i="6"/>
  <c r="CB428" i="6"/>
  <c r="BF428" i="6"/>
  <c r="CK428" i="6"/>
  <c r="BE428" i="6"/>
  <c r="AY428" i="6"/>
  <c r="AV428" i="6"/>
  <c r="AX428" i="6"/>
  <c r="BI428" i="6"/>
  <c r="L429" i="12" a="1"/>
  <c r="L429" i="12" s="1"/>
  <c r="J429" i="12" a="1"/>
  <c r="J429" i="12" s="1"/>
  <c r="BH428" i="6"/>
  <c r="BJ429" i="6" l="1"/>
  <c r="CH429" i="6"/>
  <c r="BH429" i="6"/>
  <c r="BK429" i="6"/>
  <c r="BQ429" i="6"/>
  <c r="CJ429" i="6"/>
  <c r="BR429" i="6"/>
  <c r="CC429" i="6"/>
  <c r="BZ429" i="6"/>
  <c r="CD429" i="6"/>
  <c r="CF429" i="6"/>
  <c r="CG429" i="6"/>
  <c r="CK429" i="6"/>
  <c r="BV429" i="6"/>
  <c r="CE429" i="6"/>
  <c r="BP429" i="6"/>
  <c r="BF429" i="6"/>
  <c r="BO429" i="6"/>
  <c r="BE429" i="6"/>
  <c r="CL429" i="6"/>
  <c r="BT429" i="6"/>
  <c r="CM429" i="6"/>
  <c r="BX429" i="6"/>
  <c r="BN429" i="6"/>
  <c r="BC429" i="6"/>
  <c r="AX429" i="6"/>
  <c r="CI429" i="6"/>
  <c r="AW429" i="6"/>
  <c r="AY429" i="6"/>
  <c r="BM429" i="6"/>
  <c r="BS429" i="6"/>
  <c r="CA429" i="6"/>
  <c r="BY429" i="6"/>
  <c r="BI429" i="6"/>
  <c r="K429" i="12"/>
  <c r="AZ429" i="6"/>
  <c r="BW429" i="6"/>
  <c r="AU429" i="6"/>
  <c r="AV429" i="6"/>
  <c r="BD429" i="6"/>
  <c r="N430" i="6"/>
  <c r="M430" i="6"/>
  <c r="H430" i="6" a="1"/>
  <c r="H430" i="6" s="1"/>
  <c r="L430" i="12" a="1"/>
  <c r="L430" i="12" s="1"/>
  <c r="J430" i="12" a="1"/>
  <c r="J430" i="12" s="1"/>
  <c r="AT429" i="6"/>
  <c r="BA429" i="6"/>
  <c r="BL429" i="6"/>
  <c r="BG429" i="6"/>
  <c r="N431" i="5"/>
  <c r="D431" i="6" s="1"/>
  <c r="AD431" i="5"/>
  <c r="K431" i="5"/>
  <c r="G431" i="5"/>
  <c r="J431" i="5"/>
  <c r="H431" i="5"/>
  <c r="D431" i="5"/>
  <c r="B431" i="12" s="1"/>
  <c r="C432" i="5"/>
  <c r="F431" i="5"/>
  <c r="B431" i="6"/>
  <c r="AE431" i="5"/>
  <c r="A431" i="12"/>
  <c r="B431" i="5"/>
  <c r="E431" i="5"/>
  <c r="M431" i="6" l="1"/>
  <c r="BT431" i="6" s="1"/>
  <c r="H431" i="6" a="1"/>
  <c r="H431" i="6" s="1"/>
  <c r="N431" i="6"/>
  <c r="L431" i="12" a="1"/>
  <c r="L431" i="12" s="1"/>
  <c r="J431" i="12" a="1"/>
  <c r="J431" i="12" s="1"/>
  <c r="F432" i="5"/>
  <c r="E432" i="5"/>
  <c r="AE432" i="5"/>
  <c r="N432" i="5"/>
  <c r="D432" i="6" s="1"/>
  <c r="C433" i="5"/>
  <c r="J432" i="5"/>
  <c r="G432" i="5"/>
  <c r="H432" i="5"/>
  <c r="K432" i="5"/>
  <c r="D432" i="5"/>
  <c r="B432" i="12" s="1"/>
  <c r="A432" i="12"/>
  <c r="AD432" i="5"/>
  <c r="B432" i="6"/>
  <c r="B432" i="5"/>
  <c r="K430" i="12"/>
  <c r="AU430" i="6"/>
  <c r="AY430" i="6"/>
  <c r="AX430" i="6"/>
  <c r="AV430" i="6"/>
  <c r="AT430" i="6"/>
  <c r="AW430" i="6"/>
  <c r="AZ430" i="6"/>
  <c r="T430" i="5"/>
  <c r="G430" i="12" s="1"/>
  <c r="BA430" i="6"/>
  <c r="BQ430" i="6"/>
  <c r="BZ430" i="6"/>
  <c r="CJ430" i="6"/>
  <c r="BY430" i="6"/>
  <c r="BV430" i="6"/>
  <c r="BL430" i="6"/>
  <c r="BI430" i="6"/>
  <c r="CE430" i="6"/>
  <c r="CI430" i="6"/>
  <c r="BS430" i="6"/>
  <c r="BO430" i="6"/>
  <c r="BR430" i="6"/>
  <c r="CK430" i="6"/>
  <c r="BF430" i="6"/>
  <c r="CG430" i="6"/>
  <c r="BT430" i="6"/>
  <c r="CA430" i="6"/>
  <c r="BD430" i="6"/>
  <c r="BG430" i="6"/>
  <c r="CH430" i="6"/>
  <c r="BM430" i="6"/>
  <c r="BJ430" i="6"/>
  <c r="BH430" i="6"/>
  <c r="CB430" i="6"/>
  <c r="BC430" i="6"/>
  <c r="CL430" i="6"/>
  <c r="CD430" i="6"/>
  <c r="BX430" i="6"/>
  <c r="BW430" i="6"/>
  <c r="BK430" i="6"/>
  <c r="CM430" i="6"/>
  <c r="BP430" i="6"/>
  <c r="BN430" i="6"/>
  <c r="CF430" i="6"/>
  <c r="BE430" i="6"/>
  <c r="CC430" i="6"/>
  <c r="BA431" i="6" l="1"/>
  <c r="BF431" i="6"/>
  <c r="CC431" i="6"/>
  <c r="CB431" i="6"/>
  <c r="CK431" i="6"/>
  <c r="BC431" i="6"/>
  <c r="CG431" i="6"/>
  <c r="BL431" i="6"/>
  <c r="BY431" i="6"/>
  <c r="BX431" i="6"/>
  <c r="BJ431" i="6"/>
  <c r="CD431" i="6"/>
  <c r="CI431" i="6"/>
  <c r="BD431" i="6"/>
  <c r="BW431" i="6"/>
  <c r="BS431" i="6"/>
  <c r="AY431" i="6"/>
  <c r="K431" i="12"/>
  <c r="D433" i="5"/>
  <c r="B433" i="12" s="1"/>
  <c r="J433" i="5"/>
  <c r="B433" i="5"/>
  <c r="C434" i="5" s="1"/>
  <c r="K433" i="5"/>
  <c r="A433" i="12"/>
  <c r="B433" i="6"/>
  <c r="E433" i="5"/>
  <c r="AE433" i="5"/>
  <c r="G433" i="5"/>
  <c r="N433" i="5"/>
  <c r="D433" i="6" s="1"/>
  <c r="AD433" i="5"/>
  <c r="F433" i="5"/>
  <c r="H433" i="5"/>
  <c r="H432" i="6" a="1"/>
  <c r="H432" i="6" s="1"/>
  <c r="N432" i="6"/>
  <c r="M432" i="6"/>
  <c r="T431" i="5"/>
  <c r="G431" i="12" s="1"/>
  <c r="AW431" i="6"/>
  <c r="AU431" i="6"/>
  <c r="AT431" i="6"/>
  <c r="AX431" i="6"/>
  <c r="AZ431" i="6"/>
  <c r="BN431" i="6"/>
  <c r="BO431" i="6"/>
  <c r="CL431" i="6"/>
  <c r="BR431" i="6"/>
  <c r="BZ431" i="6"/>
  <c r="BM431" i="6"/>
  <c r="CF431" i="6"/>
  <c r="BE431" i="6"/>
  <c r="CJ431" i="6"/>
  <c r="BH431" i="6"/>
  <c r="BK431" i="6"/>
  <c r="BV431" i="6"/>
  <c r="CH431" i="6"/>
  <c r="CA431" i="6"/>
  <c r="BI431" i="6"/>
  <c r="CE431" i="6"/>
  <c r="AV431" i="6"/>
  <c r="L432" i="12" a="1"/>
  <c r="L432" i="12" s="1"/>
  <c r="J432" i="12" a="1"/>
  <c r="J432" i="12" s="1"/>
  <c r="BP431" i="6"/>
  <c r="BQ431" i="6"/>
  <c r="CM431" i="6"/>
  <c r="BG431" i="6"/>
  <c r="BI432" i="6" l="1"/>
  <c r="BF432" i="6"/>
  <c r="N433" i="6"/>
  <c r="M433" i="6"/>
  <c r="BY433" i="6" s="1"/>
  <c r="H433" i="6" a="1"/>
  <c r="H433" i="6" s="1"/>
  <c r="J433" i="12" a="1"/>
  <c r="J433" i="12" s="1"/>
  <c r="L433" i="12" a="1"/>
  <c r="L433" i="12" s="1"/>
  <c r="K432" i="12"/>
  <c r="BW432" i="6"/>
  <c r="BN432" i="6"/>
  <c r="CA432" i="6"/>
  <c r="BV432" i="6"/>
  <c r="BY432" i="6"/>
  <c r="BG432" i="6"/>
  <c r="CC432" i="6"/>
  <c r="BQ432" i="6"/>
  <c r="BL432" i="6"/>
  <c r="BC432" i="6"/>
  <c r="BZ432" i="6"/>
  <c r="BX432" i="6"/>
  <c r="CH432" i="6"/>
  <c r="CD432" i="6"/>
  <c r="CB432" i="6"/>
  <c r="BP432" i="6"/>
  <c r="BR432" i="6"/>
  <c r="BD432" i="6"/>
  <c r="CL432" i="6"/>
  <c r="CF432" i="6"/>
  <c r="CI432" i="6"/>
  <c r="BS432" i="6"/>
  <c r="BK432" i="6"/>
  <c r="BT432" i="6"/>
  <c r="BM432" i="6"/>
  <c r="BO432" i="6"/>
  <c r="CK432" i="6"/>
  <c r="CG432" i="6"/>
  <c r="CJ432" i="6"/>
  <c r="BH432" i="6"/>
  <c r="BJ432" i="6"/>
  <c r="BE432" i="6"/>
  <c r="CE432" i="6"/>
  <c r="CM432" i="6"/>
  <c r="C435" i="5"/>
  <c r="H434" i="5"/>
  <c r="AD434" i="5"/>
  <c r="I434" i="5"/>
  <c r="A434" i="12"/>
  <c r="B434" i="6"/>
  <c r="J434" i="6" s="1" a="1"/>
  <c r="J434" i="6" s="1"/>
  <c r="B434" i="5"/>
  <c r="E434" i="5"/>
  <c r="AE434" i="5"/>
  <c r="F434" i="5"/>
  <c r="G434" i="5"/>
  <c r="N434" i="5"/>
  <c r="D434" i="6" s="1"/>
  <c r="W434" i="5"/>
  <c r="H434" i="12" s="1"/>
  <c r="T432" i="5"/>
  <c r="G432" i="12" s="1"/>
  <c r="BA432" i="6"/>
  <c r="AW432" i="6"/>
  <c r="AZ432" i="6"/>
  <c r="AU432" i="6"/>
  <c r="AY432" i="6"/>
  <c r="AV432" i="6"/>
  <c r="AX432" i="6"/>
  <c r="AT432" i="6"/>
  <c r="C436" i="5" l="1"/>
  <c r="BA433" i="6"/>
  <c r="BT433" i="6"/>
  <c r="CM433" i="6"/>
  <c r="CI433" i="6"/>
  <c r="CG433" i="6"/>
  <c r="BD433" i="6"/>
  <c r="BG433" i="6"/>
  <c r="BK433" i="6"/>
  <c r="BX433" i="6"/>
  <c r="AT433" i="6"/>
  <c r="AV433" i="6"/>
  <c r="BH433" i="6"/>
  <c r="K433" i="12"/>
  <c r="CD433" i="6"/>
  <c r="N435" i="5"/>
  <c r="D435" i="6" s="1"/>
  <c r="G435" i="5"/>
  <c r="AD435" i="5"/>
  <c r="K435" i="5"/>
  <c r="F435" i="5"/>
  <c r="F436" i="5" s="1"/>
  <c r="D435" i="5"/>
  <c r="B435" i="12" s="1"/>
  <c r="B435" i="5"/>
  <c r="J435" i="5"/>
  <c r="A435" i="12"/>
  <c r="B435" i="6"/>
  <c r="H435" i="5"/>
  <c r="E435" i="5"/>
  <c r="AE435" i="5"/>
  <c r="H434" i="6" a="1"/>
  <c r="H434" i="6" s="1"/>
  <c r="G434" i="6"/>
  <c r="N434" i="6"/>
  <c r="M434" i="6"/>
  <c r="T433" i="5"/>
  <c r="G433" i="12" s="1"/>
  <c r="AY433" i="6"/>
  <c r="AX433" i="6"/>
  <c r="AW433" i="6"/>
  <c r="AU433" i="6"/>
  <c r="AZ433" i="6"/>
  <c r="CL433" i="6"/>
  <c r="BN433" i="6"/>
  <c r="CJ433" i="6"/>
  <c r="BF433" i="6"/>
  <c r="BW433" i="6"/>
  <c r="CB433" i="6"/>
  <c r="CA433" i="6"/>
  <c r="CK433" i="6"/>
  <c r="BZ433" i="6"/>
  <c r="CH433" i="6"/>
  <c r="BO433" i="6"/>
  <c r="BI433" i="6"/>
  <c r="BQ433" i="6"/>
  <c r="BV433" i="6"/>
  <c r="BP433" i="6"/>
  <c r="BS433" i="6"/>
  <c r="BM433" i="6"/>
  <c r="BC433" i="6"/>
  <c r="CE433" i="6"/>
  <c r="CC433" i="6"/>
  <c r="CF433" i="6"/>
  <c r="BL433" i="6"/>
  <c r="BJ433" i="6"/>
  <c r="BE433" i="6"/>
  <c r="BR433" i="6"/>
  <c r="B436" i="5" l="1"/>
  <c r="G436" i="5"/>
  <c r="E436" i="5"/>
  <c r="H436" i="5"/>
  <c r="B436" i="6"/>
  <c r="J436" i="5"/>
  <c r="A436" i="12"/>
  <c r="L436" i="12" s="1" a="1"/>
  <c r="L436" i="12" s="1"/>
  <c r="K436" i="5"/>
  <c r="N436" i="5"/>
  <c r="D436" i="6" s="1"/>
  <c r="AD436" i="5"/>
  <c r="AE436" i="5"/>
  <c r="D436" i="5"/>
  <c r="B436" i="12" s="1"/>
  <c r="C437" i="5"/>
  <c r="AY434" i="6"/>
  <c r="CL434" i="6"/>
  <c r="AN434" i="6"/>
  <c r="AK434" i="6"/>
  <c r="AX434" i="6"/>
  <c r="BK434" i="6"/>
  <c r="AR434" i="6"/>
  <c r="BJ434" i="6"/>
  <c r="BY434" i="6"/>
  <c r="AO434" i="6"/>
  <c r="BI434" i="6"/>
  <c r="AT434" i="6"/>
  <c r="AS434" i="6"/>
  <c r="AW434" i="6"/>
  <c r="CC434" i="6"/>
  <c r="J435" i="12" a="1"/>
  <c r="J435" i="12" s="1"/>
  <c r="L435" i="12" a="1"/>
  <c r="L435" i="12" s="1"/>
  <c r="BW434" i="6"/>
  <c r="BP434" i="6"/>
  <c r="BH434" i="6"/>
  <c r="CG434" i="6"/>
  <c r="CM434" i="6"/>
  <c r="CD434" i="6"/>
  <c r="BO434" i="6"/>
  <c r="BZ434" i="6"/>
  <c r="BL434" i="6"/>
  <c r="BX434" i="6"/>
  <c r="BM434" i="6"/>
  <c r="CE434" i="6"/>
  <c r="CK434" i="6"/>
  <c r="CB434" i="6"/>
  <c r="CI434" i="6"/>
  <c r="BQ434" i="6"/>
  <c r="BS434" i="6"/>
  <c r="BF434" i="6"/>
  <c r="CF434" i="6"/>
  <c r="CJ434" i="6"/>
  <c r="CA434" i="6"/>
  <c r="BC434" i="6"/>
  <c r="BT434" i="6"/>
  <c r="BV434" i="6"/>
  <c r="BN434" i="6"/>
  <c r="BG434" i="6"/>
  <c r="BR434" i="6"/>
  <c r="T434" i="5"/>
  <c r="G434" i="12" s="1"/>
  <c r="AZ434" i="6"/>
  <c r="AM434" i="6"/>
  <c r="AV434" i="6"/>
  <c r="AP434" i="6"/>
  <c r="AQ434" i="6"/>
  <c r="BA434" i="6"/>
  <c r="AL434" i="6"/>
  <c r="AJ434" i="6"/>
  <c r="BE434" i="6"/>
  <c r="CH434" i="6"/>
  <c r="AU434" i="6"/>
  <c r="BD434" i="6"/>
  <c r="H435" i="6" a="1"/>
  <c r="H435" i="6" s="1"/>
  <c r="M435" i="6"/>
  <c r="N435" i="6"/>
  <c r="J436" i="12" l="1" a="1"/>
  <c r="J436" i="12" s="1"/>
  <c r="K436" i="12" s="1"/>
  <c r="AE437" i="5"/>
  <c r="N437" i="5"/>
  <c r="D437" i="6" s="1"/>
  <c r="N437" i="6" s="1"/>
  <c r="C438" i="5"/>
  <c r="AD437" i="5"/>
  <c r="J437" i="5"/>
  <c r="D437" i="5"/>
  <c r="B437" i="12" s="1"/>
  <c r="K437" i="5"/>
  <c r="A437" i="12"/>
  <c r="B437" i="6"/>
  <c r="F437" i="5"/>
  <c r="G437" i="5"/>
  <c r="B437" i="5"/>
  <c r="E437" i="5"/>
  <c r="H437" i="5"/>
  <c r="N436" i="6"/>
  <c r="M436" i="6"/>
  <c r="CF436" i="6" s="1"/>
  <c r="H436" i="6" a="1"/>
  <c r="H436" i="6" s="1"/>
  <c r="K435" i="12"/>
  <c r="BN435" i="6"/>
  <c r="CG435" i="6"/>
  <c r="BO435" i="6"/>
  <c r="CK435" i="6"/>
  <c r="CM435" i="6"/>
  <c r="BZ435" i="6"/>
  <c r="CB435" i="6"/>
  <c r="CF435" i="6"/>
  <c r="CA435" i="6"/>
  <c r="BD435" i="6"/>
  <c r="CC435" i="6"/>
  <c r="BC435" i="6"/>
  <c r="BM435" i="6"/>
  <c r="BR435" i="6"/>
  <c r="BJ435" i="6"/>
  <c r="BL435" i="6"/>
  <c r="BT435" i="6"/>
  <c r="BF435" i="6"/>
  <c r="CH435" i="6"/>
  <c r="BE435" i="6"/>
  <c r="BS435" i="6"/>
  <c r="BK435" i="6"/>
  <c r="BH435" i="6"/>
  <c r="BQ435" i="6"/>
  <c r="CI435" i="6"/>
  <c r="BG435" i="6"/>
  <c r="CE435" i="6"/>
  <c r="BY435" i="6"/>
  <c r="BI435" i="6"/>
  <c r="BX435" i="6"/>
  <c r="BP435" i="6"/>
  <c r="BV435" i="6"/>
  <c r="CD435" i="6"/>
  <c r="BW435" i="6"/>
  <c r="CJ435" i="6"/>
  <c r="CL435" i="6"/>
  <c r="AW435" i="6"/>
  <c r="BA435" i="6"/>
  <c r="AT435" i="6"/>
  <c r="AX435" i="6"/>
  <c r="AU435" i="6"/>
  <c r="AZ435" i="6"/>
  <c r="T435" i="5"/>
  <c r="G435" i="12" s="1"/>
  <c r="AY435" i="6"/>
  <c r="AV435" i="6"/>
  <c r="M437" i="6" l="1"/>
  <c r="CM437" i="6" s="1"/>
  <c r="H437" i="6" a="1"/>
  <c r="H437" i="6" s="1"/>
  <c r="AU437" i="6" s="1"/>
  <c r="C439" i="5"/>
  <c r="G438" i="5"/>
  <c r="B438" i="5"/>
  <c r="H438" i="5"/>
  <c r="B438" i="6"/>
  <c r="E438" i="5"/>
  <c r="J438" i="5"/>
  <c r="D438" i="5"/>
  <c r="B438" i="12" s="1"/>
  <c r="A438" i="12"/>
  <c r="AE438" i="5"/>
  <c r="K438" i="5"/>
  <c r="AD438" i="5"/>
  <c r="N438" i="5"/>
  <c r="D438" i="6" s="1"/>
  <c r="H438" i="6" s="1" a="1"/>
  <c r="H438" i="6" s="1"/>
  <c r="F438" i="5"/>
  <c r="J437" i="12" a="1"/>
  <c r="J437" i="12" s="1"/>
  <c r="L437" i="12" a="1"/>
  <c r="L437" i="12" s="1"/>
  <c r="T437" i="5"/>
  <c r="G437" i="12" s="1"/>
  <c r="T436" i="5"/>
  <c r="G436" i="12" s="1"/>
  <c r="BD437" i="6"/>
  <c r="CC437" i="6"/>
  <c r="CE437" i="6"/>
  <c r="BS437" i="6"/>
  <c r="BT437" i="6"/>
  <c r="AV437" i="6"/>
  <c r="BW437" i="6"/>
  <c r="BE437" i="6"/>
  <c r="AW437" i="6"/>
  <c r="BM437" i="6"/>
  <c r="BZ437" i="6"/>
  <c r="BQ437" i="6"/>
  <c r="BV437" i="6"/>
  <c r="CI437" i="6"/>
  <c r="CL437" i="6"/>
  <c r="CD437" i="6"/>
  <c r="AY437" i="6"/>
  <c r="BH437" i="6"/>
  <c r="BG437" i="6"/>
  <c r="BK437" i="6"/>
  <c r="BL437" i="6"/>
  <c r="BJ437" i="6"/>
  <c r="BX437" i="6"/>
  <c r="BY437" i="6"/>
  <c r="BP437" i="6"/>
  <c r="CF437" i="6"/>
  <c r="CJ437" i="6"/>
  <c r="CK437" i="6"/>
  <c r="BO437" i="6"/>
  <c r="BA437" i="6"/>
  <c r="CB437" i="6"/>
  <c r="BI437" i="6"/>
  <c r="CG437" i="6"/>
  <c r="BN437" i="6"/>
  <c r="BF437" i="6"/>
  <c r="CH437" i="6"/>
  <c r="CA437" i="6"/>
  <c r="BR437" i="6"/>
  <c r="BC437" i="6"/>
  <c r="AZ437" i="6"/>
  <c r="BW436" i="6"/>
  <c r="BK436" i="6"/>
  <c r="CJ436" i="6"/>
  <c r="BZ436" i="6"/>
  <c r="CL436" i="6"/>
  <c r="CA436" i="6"/>
  <c r="BJ436" i="6"/>
  <c r="BL436" i="6"/>
  <c r="BC436" i="6"/>
  <c r="BO436" i="6"/>
  <c r="CB436" i="6"/>
  <c r="BD436" i="6"/>
  <c r="CD436" i="6"/>
  <c r="BQ436" i="6"/>
  <c r="CI436" i="6"/>
  <c r="AU436" i="6"/>
  <c r="BH436" i="6"/>
  <c r="AX436" i="6"/>
  <c r="AY436" i="6"/>
  <c r="BT436" i="6"/>
  <c r="BF436" i="6"/>
  <c r="CG436" i="6"/>
  <c r="BX436" i="6"/>
  <c r="CK436" i="6"/>
  <c r="AW436" i="6"/>
  <c r="BR436" i="6"/>
  <c r="CE436" i="6"/>
  <c r="AV436" i="6"/>
  <c r="BI436" i="6"/>
  <c r="BY436" i="6"/>
  <c r="BA436" i="6"/>
  <c r="BP436" i="6"/>
  <c r="AT436" i="6"/>
  <c r="BV436" i="6"/>
  <c r="BN436" i="6"/>
  <c r="CC436" i="6"/>
  <c r="BG436" i="6"/>
  <c r="CH436" i="6"/>
  <c r="AZ436" i="6"/>
  <c r="BS436" i="6"/>
  <c r="BM436" i="6"/>
  <c r="CM436" i="6"/>
  <c r="BE436" i="6"/>
  <c r="M438" i="6" l="1"/>
  <c r="BM438" i="6" s="1"/>
  <c r="N438" i="6"/>
  <c r="E439" i="5"/>
  <c r="AX437" i="6"/>
  <c r="H439" i="5"/>
  <c r="K437" i="12"/>
  <c r="AT437" i="6"/>
  <c r="F439" i="5"/>
  <c r="B439" i="5"/>
  <c r="G439" i="5"/>
  <c r="J438" i="12" a="1"/>
  <c r="J438" i="12" s="1"/>
  <c r="L438" i="12" a="1"/>
  <c r="L438" i="12" s="1"/>
  <c r="C440" i="5"/>
  <c r="N439" i="5"/>
  <c r="D439" i="6" s="1"/>
  <c r="K439" i="5"/>
  <c r="A439" i="12"/>
  <c r="B439" i="6"/>
  <c r="D439" i="5"/>
  <c r="B439" i="12" s="1"/>
  <c r="AD439" i="5"/>
  <c r="J439" i="5"/>
  <c r="AE439" i="5"/>
  <c r="T438" i="5"/>
  <c r="G438" i="12" s="1"/>
  <c r="BD438" i="6"/>
  <c r="AT438" i="6"/>
  <c r="BI438" i="6"/>
  <c r="CJ438" i="6"/>
  <c r="CL438" i="6"/>
  <c r="BP438" i="6"/>
  <c r="BG438" i="6"/>
  <c r="BV438" i="6"/>
  <c r="BO438" i="6"/>
  <c r="BZ438" i="6"/>
  <c r="CC438" i="6"/>
  <c r="BS438" i="6"/>
  <c r="CH438" i="6"/>
  <c r="BE438" i="6"/>
  <c r="CF438" i="6"/>
  <c r="AY438" i="6"/>
  <c r="AV438" i="6"/>
  <c r="BQ438" i="6"/>
  <c r="CB438" i="6"/>
  <c r="AW438" i="6"/>
  <c r="BL438" i="6"/>
  <c r="BA438" i="6"/>
  <c r="CD438" i="6"/>
  <c r="BJ438" i="6"/>
  <c r="BY438" i="6"/>
  <c r="BN438" i="6"/>
  <c r="AU438" i="6"/>
  <c r="BW438" i="6"/>
  <c r="CK438" i="6"/>
  <c r="CA438" i="6"/>
  <c r="BF438" i="6"/>
  <c r="BH438" i="6"/>
  <c r="CI438" i="6"/>
  <c r="CM438" i="6"/>
  <c r="BX438" i="6"/>
  <c r="BR438" i="6"/>
  <c r="BT438" i="6"/>
  <c r="CE438" i="6"/>
  <c r="CG438" i="6"/>
  <c r="AX438" i="6"/>
  <c r="AZ438" i="6"/>
  <c r="BC438" i="6"/>
  <c r="BK438" i="6"/>
  <c r="K438" i="12" l="1"/>
  <c r="L439" i="12" a="1"/>
  <c r="L439" i="12" s="1"/>
  <c r="J439" i="12" a="1"/>
  <c r="J439" i="12" s="1"/>
  <c r="B440" i="6"/>
  <c r="D440" i="5"/>
  <c r="B440" i="12" s="1"/>
  <c r="A440" i="12"/>
  <c r="N440" i="5"/>
  <c r="D440" i="6" s="1"/>
  <c r="J440" i="5"/>
  <c r="AE440" i="5"/>
  <c r="K440" i="5"/>
  <c r="AD440" i="5"/>
  <c r="G440" i="5"/>
  <c r="F440" i="5"/>
  <c r="B440" i="5"/>
  <c r="C441" i="5" s="1"/>
  <c r="H440" i="5"/>
  <c r="E440" i="5"/>
  <c r="H439" i="6" a="1"/>
  <c r="H439" i="6" s="1"/>
  <c r="T439" i="5" s="1"/>
  <c r="G439" i="12" s="1"/>
  <c r="M439" i="6"/>
  <c r="BH439" i="6" s="1"/>
  <c r="N439" i="6"/>
  <c r="CD439" i="6" l="1"/>
  <c r="BW439" i="6"/>
  <c r="BK439" i="6"/>
  <c r="BV439" i="6"/>
  <c r="K439" i="12"/>
  <c r="CK439" i="6"/>
  <c r="BD439" i="6"/>
  <c r="BJ439" i="6"/>
  <c r="BN439" i="6"/>
  <c r="AW439" i="6"/>
  <c r="BM439" i="6"/>
  <c r="BG439" i="6"/>
  <c r="BL439" i="6"/>
  <c r="BR439" i="6"/>
  <c r="BC439" i="6"/>
  <c r="BS439" i="6"/>
  <c r="BO439" i="6"/>
  <c r="BF439" i="6"/>
  <c r="BX439" i="6"/>
  <c r="CG439" i="6"/>
  <c r="CM439" i="6"/>
  <c r="CI439" i="6"/>
  <c r="AZ439" i="6"/>
  <c r="CC439" i="6"/>
  <c r="B441" i="5"/>
  <c r="C442" i="5" s="1"/>
  <c r="B441" i="6"/>
  <c r="J441" i="6" s="1" a="1"/>
  <c r="J441" i="6" s="1"/>
  <c r="N441" i="5"/>
  <c r="D441" i="6" s="1"/>
  <c r="AE441" i="5"/>
  <c r="AD441" i="5"/>
  <c r="E441" i="5"/>
  <c r="W441" i="5"/>
  <c r="H441" i="12" s="1"/>
  <c r="A441" i="12"/>
  <c r="G441" i="5"/>
  <c r="F441" i="5"/>
  <c r="H441" i="5"/>
  <c r="I441" i="5"/>
  <c r="BA439" i="6"/>
  <c r="N440" i="6"/>
  <c r="H440" i="6" a="1"/>
  <c r="H440" i="6" s="1"/>
  <c r="T440" i="5" s="1"/>
  <c r="G440" i="12" s="1"/>
  <c r="M440" i="6"/>
  <c r="BZ440" i="6" s="1"/>
  <c r="J440" i="12" a="1"/>
  <c r="J440" i="12" s="1"/>
  <c r="L440" i="12" a="1"/>
  <c r="L440" i="12" s="1"/>
  <c r="AY439" i="6"/>
  <c r="CB439" i="6"/>
  <c r="CL439" i="6"/>
  <c r="BZ439" i="6"/>
  <c r="BQ439" i="6"/>
  <c r="AV439" i="6"/>
  <c r="CH439" i="6"/>
  <c r="CJ439" i="6"/>
  <c r="CA439" i="6"/>
  <c r="AX439" i="6"/>
  <c r="CF439" i="6"/>
  <c r="BI439" i="6"/>
  <c r="BY439" i="6"/>
  <c r="BP439" i="6"/>
  <c r="BE439" i="6"/>
  <c r="AU439" i="6"/>
  <c r="AT439" i="6"/>
  <c r="CE439" i="6"/>
  <c r="BT439" i="6"/>
  <c r="K440" i="12" l="1"/>
  <c r="BE440" i="6"/>
  <c r="CL440" i="6"/>
  <c r="E442" i="5"/>
  <c r="BM440" i="6"/>
  <c r="BF440" i="6"/>
  <c r="BO440" i="6"/>
  <c r="CK440" i="6"/>
  <c r="BN440" i="6"/>
  <c r="BL440" i="6"/>
  <c r="CC440" i="6"/>
  <c r="CM440" i="6"/>
  <c r="BK440" i="6"/>
  <c r="CA440" i="6"/>
  <c r="AX440" i="6"/>
  <c r="F442" i="5"/>
  <c r="BV440" i="6"/>
  <c r="BT440" i="6"/>
  <c r="BX440" i="6"/>
  <c r="BQ440" i="6"/>
  <c r="CI440" i="6"/>
  <c r="AY440" i="6"/>
  <c r="BR440" i="6"/>
  <c r="CB440" i="6"/>
  <c r="BS440" i="6"/>
  <c r="BH440" i="6"/>
  <c r="BA440" i="6"/>
  <c r="AV440" i="6"/>
  <c r="BD440" i="6"/>
  <c r="AT440" i="6"/>
  <c r="CH440" i="6"/>
  <c r="BI440" i="6"/>
  <c r="CF440" i="6"/>
  <c r="G441" i="6"/>
  <c r="H441" i="6" a="1"/>
  <c r="H441" i="6" s="1"/>
  <c r="T441" i="5" s="1"/>
  <c r="G441" i="12" s="1"/>
  <c r="N441" i="6"/>
  <c r="M441" i="6"/>
  <c r="CD441" i="6" s="1"/>
  <c r="BW440" i="6"/>
  <c r="BY440" i="6"/>
  <c r="BJ440" i="6"/>
  <c r="CG440" i="6"/>
  <c r="AW440" i="6"/>
  <c r="BG440" i="6"/>
  <c r="W442" i="5"/>
  <c r="H442" i="12" s="1"/>
  <c r="B442" i="6"/>
  <c r="J442" i="6" s="1" a="1"/>
  <c r="J442" i="6" s="1"/>
  <c r="AE442" i="5"/>
  <c r="G442" i="5"/>
  <c r="H442" i="5"/>
  <c r="N442" i="5"/>
  <c r="D442" i="6" s="1"/>
  <c r="I442" i="5"/>
  <c r="C443" i="5"/>
  <c r="B442" i="5"/>
  <c r="AD442" i="5"/>
  <c r="A442" i="12"/>
  <c r="BC440" i="6"/>
  <c r="CD440" i="6"/>
  <c r="BP440" i="6"/>
  <c r="AZ440" i="6"/>
  <c r="CJ440" i="6"/>
  <c r="CE440" i="6"/>
  <c r="AU440" i="6"/>
  <c r="BK441" i="6" l="1"/>
  <c r="AP441" i="6"/>
  <c r="BH441" i="6"/>
  <c r="CK441" i="6"/>
  <c r="AY441" i="6"/>
  <c r="BW441" i="6"/>
  <c r="BS441" i="6"/>
  <c r="BX441" i="6"/>
  <c r="AJ441" i="6"/>
  <c r="BE441" i="6"/>
  <c r="AO441" i="6"/>
  <c r="BZ441" i="6"/>
  <c r="BJ441" i="6"/>
  <c r="BP441" i="6"/>
  <c r="AK441" i="6"/>
  <c r="CA441" i="6"/>
  <c r="BC441" i="6"/>
  <c r="BO441" i="6"/>
  <c r="BA441" i="6"/>
  <c r="AU441" i="6"/>
  <c r="CB441" i="6"/>
  <c r="BD441" i="6"/>
  <c r="CC441" i="6"/>
  <c r="CM441" i="6"/>
  <c r="AN441" i="6"/>
  <c r="AW441" i="6"/>
  <c r="CE441" i="6"/>
  <c r="CH441" i="6"/>
  <c r="CI441" i="6"/>
  <c r="AS441" i="6"/>
  <c r="AR441" i="6"/>
  <c r="AX441" i="6"/>
  <c r="AQ441" i="6"/>
  <c r="BQ441" i="6"/>
  <c r="AV441" i="6"/>
  <c r="CJ441" i="6"/>
  <c r="BY441" i="6"/>
  <c r="AZ441" i="6"/>
  <c r="AT441" i="6"/>
  <c r="AL441" i="6"/>
  <c r="BN441" i="6"/>
  <c r="BL441" i="6"/>
  <c r="CF441" i="6"/>
  <c r="BI441" i="6"/>
  <c r="BM441" i="6"/>
  <c r="AM441" i="6"/>
  <c r="BG441" i="6"/>
  <c r="CL441" i="6"/>
  <c r="BT441" i="6"/>
  <c r="BR441" i="6"/>
  <c r="CG441" i="6"/>
  <c r="M442" i="6"/>
  <c r="BO442" i="6" s="1"/>
  <c r="N442" i="6"/>
  <c r="G442" i="6"/>
  <c r="H442" i="6" a="1"/>
  <c r="H442" i="6" s="1"/>
  <c r="T442" i="5" s="1"/>
  <c r="G442" i="12" s="1"/>
  <c r="B443" i="5"/>
  <c r="C444" i="5"/>
  <c r="N443" i="5"/>
  <c r="D443" i="6" s="1"/>
  <c r="A443" i="12"/>
  <c r="J443" i="5"/>
  <c r="H443" i="5"/>
  <c r="B443" i="6"/>
  <c r="D443" i="5"/>
  <c r="B443" i="12" s="1"/>
  <c r="AE443" i="5"/>
  <c r="E443" i="5"/>
  <c r="AD443" i="5"/>
  <c r="F443" i="5"/>
  <c r="K443" i="5"/>
  <c r="G443" i="5"/>
  <c r="BV441" i="6"/>
  <c r="BF441" i="6"/>
  <c r="BR442" i="6" l="1"/>
  <c r="BQ442" i="6"/>
  <c r="AY442" i="6"/>
  <c r="CH442" i="6"/>
  <c r="L443" i="12" a="1"/>
  <c r="L443" i="12" s="1"/>
  <c r="J443" i="12" a="1"/>
  <c r="J443" i="12" s="1"/>
  <c r="CK442" i="6"/>
  <c r="AZ442" i="6"/>
  <c r="BX442" i="6"/>
  <c r="AN442" i="6"/>
  <c r="BA442" i="6"/>
  <c r="BZ442" i="6"/>
  <c r="BV442" i="6"/>
  <c r="AO442" i="6"/>
  <c r="BK442" i="6"/>
  <c r="AS442" i="6"/>
  <c r="CI442" i="6"/>
  <c r="BH442" i="6"/>
  <c r="BL442" i="6"/>
  <c r="AU442" i="6"/>
  <c r="CE442" i="6"/>
  <c r="BF442" i="6"/>
  <c r="CB442" i="6"/>
  <c r="N444" i="5"/>
  <c r="D444" i="6" s="1"/>
  <c r="F444" i="5"/>
  <c r="B444" i="5"/>
  <c r="AE444" i="5"/>
  <c r="D444" i="5"/>
  <c r="B444" i="12" s="1"/>
  <c r="B444" i="6"/>
  <c r="E444" i="5"/>
  <c r="C445" i="5"/>
  <c r="A444" i="12"/>
  <c r="J444" i="5"/>
  <c r="AD444" i="5"/>
  <c r="K444" i="5"/>
  <c r="H444" i="5"/>
  <c r="G444" i="5"/>
  <c r="AR442" i="6"/>
  <c r="AP442" i="6"/>
  <c r="BM442" i="6"/>
  <c r="AM442" i="6"/>
  <c r="BY442" i="6"/>
  <c r="BP442" i="6"/>
  <c r="CL442" i="6"/>
  <c r="BE442" i="6"/>
  <c r="CA442" i="6"/>
  <c r="CJ442" i="6"/>
  <c r="CG442" i="6"/>
  <c r="BJ442" i="6"/>
  <c r="BT442" i="6"/>
  <c r="BN442" i="6"/>
  <c r="CM442" i="6"/>
  <c r="AV442" i="6"/>
  <c r="BI442" i="6"/>
  <c r="AK442" i="6"/>
  <c r="BS442" i="6"/>
  <c r="CF442" i="6"/>
  <c r="AW442" i="6"/>
  <c r="AJ442" i="6"/>
  <c r="AT442" i="6"/>
  <c r="H443" i="6" a="1"/>
  <c r="H443" i="6" s="1"/>
  <c r="T443" i="5" s="1"/>
  <c r="G443" i="12" s="1"/>
  <c r="M443" i="6"/>
  <c r="BX443" i="6" s="1"/>
  <c r="N443" i="6"/>
  <c r="BW442" i="6"/>
  <c r="BG442" i="6"/>
  <c r="CC442" i="6"/>
  <c r="CD442" i="6"/>
  <c r="AL442" i="6"/>
  <c r="AQ442" i="6"/>
  <c r="AX442" i="6"/>
  <c r="BC442" i="6"/>
  <c r="BD442" i="6"/>
  <c r="BW443" i="6" l="1"/>
  <c r="CF443" i="6"/>
  <c r="BM443" i="6"/>
  <c r="M444" i="6"/>
  <c r="BW444" i="6" s="1"/>
  <c r="H444" i="6" a="1"/>
  <c r="H444" i="6" s="1"/>
  <c r="T444" i="5" s="1"/>
  <c r="G444" i="12" s="1"/>
  <c r="N444" i="6"/>
  <c r="BJ443" i="6"/>
  <c r="BQ443" i="6"/>
  <c r="AT443" i="6"/>
  <c r="CE443" i="6"/>
  <c r="AV443" i="6"/>
  <c r="BY443" i="6"/>
  <c r="CG443" i="6"/>
  <c r="AY443" i="6"/>
  <c r="CD443" i="6"/>
  <c r="BG443" i="6"/>
  <c r="CC443" i="6"/>
  <c r="CH443" i="6"/>
  <c r="BT443" i="6"/>
  <c r="BK443" i="6"/>
  <c r="CJ443" i="6"/>
  <c r="BZ443" i="6"/>
  <c r="J444" i="12" a="1"/>
  <c r="J444" i="12" s="1"/>
  <c r="L444" i="12" a="1"/>
  <c r="L444" i="12" s="1"/>
  <c r="BE443" i="6"/>
  <c r="BH443" i="6"/>
  <c r="BS443" i="6"/>
  <c r="CK443" i="6"/>
  <c r="BF443" i="6"/>
  <c r="CB443" i="6"/>
  <c r="G445" i="5"/>
  <c r="K445" i="5"/>
  <c r="J445" i="5"/>
  <c r="D445" i="5"/>
  <c r="B445" i="12" s="1"/>
  <c r="N445" i="5"/>
  <c r="D445" i="6" s="1"/>
  <c r="AE445" i="5"/>
  <c r="A445" i="12"/>
  <c r="F445" i="5"/>
  <c r="B445" i="5"/>
  <c r="C446" i="5"/>
  <c r="B445" i="6"/>
  <c r="E445" i="5"/>
  <c r="H445" i="5"/>
  <c r="AD445" i="5"/>
  <c r="CM443" i="6"/>
  <c r="BD443" i="6"/>
  <c r="AX443" i="6"/>
  <c r="BP443" i="6"/>
  <c r="AZ443" i="6"/>
  <c r="BV443" i="6"/>
  <c r="BC443" i="6"/>
  <c r="BA443" i="6"/>
  <c r="BR443" i="6"/>
  <c r="CI443" i="6"/>
  <c r="CA443" i="6"/>
  <c r="BL443" i="6"/>
  <c r="BI443" i="6"/>
  <c r="AU443" i="6"/>
  <c r="BN443" i="6"/>
  <c r="AW443" i="6"/>
  <c r="CL443" i="6"/>
  <c r="BO443" i="6"/>
  <c r="K443" i="12"/>
  <c r="BJ444" i="6" l="1"/>
  <c r="BD444" i="6"/>
  <c r="BN444" i="6"/>
  <c r="BM444" i="6"/>
  <c r="CL444" i="6"/>
  <c r="BQ444" i="6"/>
  <c r="BO444" i="6"/>
  <c r="BT444" i="6"/>
  <c r="BK444" i="6"/>
  <c r="BG444" i="6"/>
  <c r="CA444" i="6"/>
  <c r="BH444" i="6"/>
  <c r="BZ444" i="6"/>
  <c r="BV444" i="6"/>
  <c r="BY444" i="6"/>
  <c r="BR444" i="6"/>
  <c r="CI444" i="6"/>
  <c r="CE444" i="6"/>
  <c r="CC444" i="6"/>
  <c r="CJ444" i="6"/>
  <c r="CF444" i="6"/>
  <c r="AZ444" i="6"/>
  <c r="CM444" i="6"/>
  <c r="CH444" i="6"/>
  <c r="BF444" i="6"/>
  <c r="BE444" i="6"/>
  <c r="BS444" i="6"/>
  <c r="BP444" i="6"/>
  <c r="BX444" i="6"/>
  <c r="CG444" i="6"/>
  <c r="K444" i="12"/>
  <c r="AV444" i="6"/>
  <c r="AW444" i="6"/>
  <c r="CD444" i="6"/>
  <c r="AY444" i="6"/>
  <c r="CK444" i="6"/>
  <c r="AX444" i="6"/>
  <c r="BC444" i="6"/>
  <c r="BI444" i="6"/>
  <c r="CB444" i="6"/>
  <c r="BL444" i="6"/>
  <c r="AU444" i="6"/>
  <c r="BA444" i="6"/>
  <c r="E446" i="5"/>
  <c r="AD446" i="5"/>
  <c r="A446" i="12"/>
  <c r="B446" i="5"/>
  <c r="H446" i="5"/>
  <c r="J446" i="5"/>
  <c r="AE446" i="5"/>
  <c r="K446" i="5"/>
  <c r="D446" i="5"/>
  <c r="B446" i="12" s="1"/>
  <c r="N446" i="5"/>
  <c r="D446" i="6" s="1"/>
  <c r="B446" i="6"/>
  <c r="C447" i="5"/>
  <c r="G446" i="5"/>
  <c r="F446" i="5"/>
  <c r="J445" i="12" a="1"/>
  <c r="J445" i="12" s="1"/>
  <c r="L445" i="12" a="1"/>
  <c r="L445" i="12" s="1"/>
  <c r="H445" i="6" a="1"/>
  <c r="H445" i="6" s="1"/>
  <c r="T445" i="5" s="1"/>
  <c r="G445" i="12" s="1"/>
  <c r="N445" i="6"/>
  <c r="M445" i="6"/>
  <c r="BP445" i="6" s="1"/>
  <c r="AT444" i="6"/>
  <c r="BJ445" i="6" l="1"/>
  <c r="CC445" i="6"/>
  <c r="CI445" i="6"/>
  <c r="CM445" i="6"/>
  <c r="K445" i="12"/>
  <c r="CJ445" i="6"/>
  <c r="BF445" i="6"/>
  <c r="BL445" i="6"/>
  <c r="AY445" i="6"/>
  <c r="BY445" i="6"/>
  <c r="CB445" i="6"/>
  <c r="BW445" i="6"/>
  <c r="CE445" i="6"/>
  <c r="BN445" i="6"/>
  <c r="BC445" i="6"/>
  <c r="BV445" i="6"/>
  <c r="BG445" i="6"/>
  <c r="CL445" i="6"/>
  <c r="BR445" i="6"/>
  <c r="BD445" i="6"/>
  <c r="AZ445" i="6"/>
  <c r="AT445" i="6"/>
  <c r="BH445" i="6"/>
  <c r="BX445" i="6"/>
  <c r="AV445" i="6"/>
  <c r="J446" i="12" a="1"/>
  <c r="J446" i="12" s="1"/>
  <c r="L446" i="12" a="1"/>
  <c r="L446" i="12" s="1"/>
  <c r="N446" i="6"/>
  <c r="M446" i="6"/>
  <c r="CF446" i="6" s="1"/>
  <c r="H446" i="6" a="1"/>
  <c r="H446" i="6" s="1"/>
  <c r="T446" i="5" s="1"/>
  <c r="G446" i="12" s="1"/>
  <c r="BO445" i="6"/>
  <c r="CA445" i="6"/>
  <c r="AX445" i="6"/>
  <c r="BE445" i="6"/>
  <c r="CK445" i="6"/>
  <c r="BA445" i="6"/>
  <c r="BK445" i="6"/>
  <c r="CG445" i="6"/>
  <c r="AU445" i="6"/>
  <c r="BQ445" i="6"/>
  <c r="CH445" i="6"/>
  <c r="BS445" i="6"/>
  <c r="AW445" i="6"/>
  <c r="BM445" i="6"/>
  <c r="CD445" i="6"/>
  <c r="CF445" i="6"/>
  <c r="BT445" i="6"/>
  <c r="BZ445" i="6"/>
  <c r="BI445" i="6"/>
  <c r="D447" i="5"/>
  <c r="B447" i="12" s="1"/>
  <c r="AE447" i="5"/>
  <c r="N447" i="5"/>
  <c r="D447" i="6" s="1"/>
  <c r="G447" i="5"/>
  <c r="B447" i="6"/>
  <c r="AD447" i="5"/>
  <c r="A447" i="12"/>
  <c r="B447" i="5"/>
  <c r="K447" i="5"/>
  <c r="H447" i="5"/>
  <c r="C448" i="5"/>
  <c r="E447" i="5"/>
  <c r="F447" i="5"/>
  <c r="J447" i="5"/>
  <c r="BA446" i="6" l="1"/>
  <c r="CG446" i="6"/>
  <c r="BZ446" i="6"/>
  <c r="BF446" i="6"/>
  <c r="BX446" i="6"/>
  <c r="BM446" i="6"/>
  <c r="BN446" i="6"/>
  <c r="BY446" i="6"/>
  <c r="BI446" i="6"/>
  <c r="BW446" i="6"/>
  <c r="AT446" i="6"/>
  <c r="BR446" i="6"/>
  <c r="BC446" i="6"/>
  <c r="CM446" i="6"/>
  <c r="BL446" i="6"/>
  <c r="BS446" i="6"/>
  <c r="CK446" i="6"/>
  <c r="BP446" i="6"/>
  <c r="BD446" i="6"/>
  <c r="CC446" i="6"/>
  <c r="AZ446" i="6"/>
  <c r="AU446" i="6"/>
  <c r="CJ446" i="6"/>
  <c r="CH446" i="6"/>
  <c r="BQ446" i="6"/>
  <c r="BK446" i="6"/>
  <c r="BH446" i="6"/>
  <c r="CI446" i="6"/>
  <c r="BJ446" i="6"/>
  <c r="CE446" i="6"/>
  <c r="BO446" i="6"/>
  <c r="CD446" i="6"/>
  <c r="CB446" i="6"/>
  <c r="BT446" i="6"/>
  <c r="BG446" i="6"/>
  <c r="BV446" i="6"/>
  <c r="CL446" i="6"/>
  <c r="BE446" i="6"/>
  <c r="AV446" i="6"/>
  <c r="AX446" i="6"/>
  <c r="CA446" i="6"/>
  <c r="G448" i="5"/>
  <c r="A448" i="12"/>
  <c r="AD448" i="5"/>
  <c r="AE448" i="5"/>
  <c r="K448" i="5"/>
  <c r="D448" i="5"/>
  <c r="B448" i="12" s="1"/>
  <c r="N448" i="5"/>
  <c r="D448" i="6" s="1"/>
  <c r="F448" i="5"/>
  <c r="J448" i="5"/>
  <c r="E448" i="5"/>
  <c r="B448" i="6"/>
  <c r="B448" i="5"/>
  <c r="H448" i="5"/>
  <c r="C449" i="5"/>
  <c r="H447" i="6" a="1"/>
  <c r="H447" i="6" s="1"/>
  <c r="T447" i="5" s="1"/>
  <c r="G447" i="12" s="1"/>
  <c r="N447" i="6"/>
  <c r="M447" i="6"/>
  <c r="CI447" i="6" s="1"/>
  <c r="AW446" i="6"/>
  <c r="J447" i="12" a="1"/>
  <c r="J447" i="12" s="1"/>
  <c r="L447" i="12" a="1"/>
  <c r="L447" i="12" s="1"/>
  <c r="AY446" i="6"/>
  <c r="K446" i="12"/>
  <c r="BJ447" i="6" l="1"/>
  <c r="CG447" i="6"/>
  <c r="K447" i="12"/>
  <c r="BX447" i="6"/>
  <c r="AV447" i="6"/>
  <c r="BC447" i="6"/>
  <c r="BS447" i="6"/>
  <c r="BO447" i="6"/>
  <c r="BV447" i="6"/>
  <c r="CC447" i="6"/>
  <c r="CH447" i="6"/>
  <c r="CD447" i="6"/>
  <c r="BG447" i="6"/>
  <c r="BR447" i="6"/>
  <c r="BT447" i="6"/>
  <c r="AU447" i="6"/>
  <c r="BK447" i="6"/>
  <c r="CF447" i="6"/>
  <c r="CE447" i="6"/>
  <c r="CJ447" i="6"/>
  <c r="BW447" i="6"/>
  <c r="AY447" i="6"/>
  <c r="CA447" i="6"/>
  <c r="BQ447" i="6"/>
  <c r="BY447" i="6"/>
  <c r="BF447" i="6"/>
  <c r="BN447" i="6"/>
  <c r="BI447" i="6"/>
  <c r="BM447" i="6"/>
  <c r="CB447" i="6"/>
  <c r="AW447" i="6"/>
  <c r="AT447" i="6"/>
  <c r="H448" i="6" a="1"/>
  <c r="H448" i="6" s="1"/>
  <c r="T448" i="5" s="1"/>
  <c r="G448" i="12" s="1"/>
  <c r="N448" i="6"/>
  <c r="M448" i="6"/>
  <c r="BP448" i="6" s="1"/>
  <c r="AX447" i="6"/>
  <c r="BA447" i="6"/>
  <c r="BH447" i="6"/>
  <c r="BZ447" i="6"/>
  <c r="CL447" i="6"/>
  <c r="D449" i="5"/>
  <c r="B449" i="12" s="1"/>
  <c r="E449" i="5"/>
  <c r="G449" i="5"/>
  <c r="B449" i="5"/>
  <c r="N449" i="5"/>
  <c r="D449" i="6" s="1"/>
  <c r="K449" i="5"/>
  <c r="H449" i="5"/>
  <c r="AD449" i="5"/>
  <c r="J449" i="5"/>
  <c r="C450" i="5"/>
  <c r="A449" i="12"/>
  <c r="F449" i="5"/>
  <c r="B449" i="6"/>
  <c r="AE449" i="5"/>
  <c r="J448" i="12" a="1"/>
  <c r="J448" i="12" s="1"/>
  <c r="L448" i="12" a="1"/>
  <c r="L448" i="12" s="1"/>
  <c r="CK447" i="6"/>
  <c r="BP447" i="6"/>
  <c r="AZ447" i="6"/>
  <c r="CM447" i="6"/>
  <c r="BL447" i="6"/>
  <c r="BD447" i="6"/>
  <c r="BE447" i="6"/>
  <c r="K448" i="12" l="1"/>
  <c r="BZ448" i="6"/>
  <c r="CI448" i="6"/>
  <c r="CM448" i="6"/>
  <c r="CB448" i="6"/>
  <c r="CL448" i="6"/>
  <c r="CK448" i="6"/>
  <c r="BK448" i="6"/>
  <c r="BJ448" i="6"/>
  <c r="BS448" i="6"/>
  <c r="CF448" i="6"/>
  <c r="BM448" i="6"/>
  <c r="BE448" i="6"/>
  <c r="BY448" i="6"/>
  <c r="BQ448" i="6"/>
  <c r="BT448" i="6"/>
  <c r="CJ448" i="6"/>
  <c r="BV448" i="6"/>
  <c r="BF448" i="6"/>
  <c r="BL448" i="6"/>
  <c r="CH448" i="6"/>
  <c r="CD448" i="6"/>
  <c r="BC448" i="6"/>
  <c r="AU448" i="6"/>
  <c r="BA448" i="6"/>
  <c r="AY448" i="6"/>
  <c r="AW448" i="6"/>
  <c r="BN448" i="6"/>
  <c r="BO448" i="6"/>
  <c r="CE448" i="6"/>
  <c r="CA448" i="6"/>
  <c r="BD448" i="6"/>
  <c r="BW448" i="6"/>
  <c r="AT448" i="6"/>
  <c r="AV448" i="6"/>
  <c r="BH448" i="6"/>
  <c r="BG448" i="6"/>
  <c r="CG448" i="6"/>
  <c r="BR448" i="6"/>
  <c r="CC448" i="6"/>
  <c r="AX448" i="6"/>
  <c r="BX448" i="6"/>
  <c r="BI448" i="6"/>
  <c r="H449" i="6" a="1"/>
  <c r="H449" i="6" s="1"/>
  <c r="T449" i="5" s="1"/>
  <c r="G449" i="12" s="1"/>
  <c r="N449" i="6"/>
  <c r="M449" i="6"/>
  <c r="BS449" i="6" s="1"/>
  <c r="L449" i="12" a="1"/>
  <c r="L449" i="12" s="1"/>
  <c r="J449" i="12" a="1"/>
  <c r="J449" i="12" s="1"/>
  <c r="AZ448" i="6"/>
  <c r="B450" i="6"/>
  <c r="K450" i="5"/>
  <c r="E450" i="5"/>
  <c r="D450" i="5"/>
  <c r="B450" i="12" s="1"/>
  <c r="B450" i="5"/>
  <c r="AE450" i="5"/>
  <c r="N450" i="5"/>
  <c r="D450" i="6" s="1"/>
  <c r="H450" i="5"/>
  <c r="G450" i="5"/>
  <c r="F450" i="5"/>
  <c r="J450" i="5"/>
  <c r="AD450" i="5"/>
  <c r="C451" i="5"/>
  <c r="A450" i="12"/>
  <c r="BD449" i="6" l="1"/>
  <c r="BY449" i="6"/>
  <c r="CB449" i="6"/>
  <c r="CC449" i="6"/>
  <c r="BL449" i="6"/>
  <c r="BJ449" i="6"/>
  <c r="CD449" i="6"/>
  <c r="BC449" i="6"/>
  <c r="K449" i="12"/>
  <c r="BO449" i="6"/>
  <c r="BT449" i="6"/>
  <c r="BW449" i="6"/>
  <c r="CF449" i="6"/>
  <c r="CE449" i="6"/>
  <c r="BK449" i="6"/>
  <c r="BV449" i="6"/>
  <c r="BM449" i="6"/>
  <c r="BQ449" i="6"/>
  <c r="CA449" i="6"/>
  <c r="BF449" i="6"/>
  <c r="BX449" i="6"/>
  <c r="CJ449" i="6"/>
  <c r="BE449" i="6"/>
  <c r="CK449" i="6"/>
  <c r="BR449" i="6"/>
  <c r="CI449" i="6"/>
  <c r="BI449" i="6"/>
  <c r="CL449" i="6"/>
  <c r="BN449" i="6"/>
  <c r="CG449" i="6"/>
  <c r="AY449" i="6"/>
  <c r="BP449" i="6"/>
  <c r="CH449" i="6"/>
  <c r="L450" i="12" a="1"/>
  <c r="L450" i="12" s="1"/>
  <c r="J450" i="12" a="1"/>
  <c r="J450" i="12" s="1"/>
  <c r="AX449" i="6"/>
  <c r="J451" i="5"/>
  <c r="D451" i="5"/>
  <c r="B451" i="12" s="1"/>
  <c r="B451" i="6"/>
  <c r="C452" i="5"/>
  <c r="A451" i="12"/>
  <c r="G451" i="5"/>
  <c r="B451" i="5"/>
  <c r="F451" i="5"/>
  <c r="E451" i="5"/>
  <c r="AE451" i="5"/>
  <c r="K451" i="5"/>
  <c r="N451" i="5"/>
  <c r="D451" i="6" s="1"/>
  <c r="H451" i="5"/>
  <c r="AD451" i="5"/>
  <c r="AZ449" i="6"/>
  <c r="AU449" i="6"/>
  <c r="BA449" i="6"/>
  <c r="BH449" i="6"/>
  <c r="H450" i="6" a="1"/>
  <c r="H450" i="6" s="1"/>
  <c r="T450" i="5" s="1"/>
  <c r="G450" i="12" s="1"/>
  <c r="N450" i="6"/>
  <c r="M450" i="6"/>
  <c r="BC450" i="6" s="1"/>
  <c r="AV449" i="6"/>
  <c r="AT449" i="6"/>
  <c r="AW449" i="6"/>
  <c r="BZ449" i="6"/>
  <c r="CM449" i="6"/>
  <c r="BG449" i="6"/>
  <c r="BE450" i="6" l="1"/>
  <c r="BZ450" i="6"/>
  <c r="CJ450" i="6"/>
  <c r="CF450" i="6"/>
  <c r="CH450" i="6"/>
  <c r="CK450" i="6"/>
  <c r="BT450" i="6"/>
  <c r="K450" i="12"/>
  <c r="CD450" i="6"/>
  <c r="AV450" i="6"/>
  <c r="AY450" i="6"/>
  <c r="BF450" i="6"/>
  <c r="BI450" i="6"/>
  <c r="AU450" i="6"/>
  <c r="CL450" i="6"/>
  <c r="BK450" i="6"/>
  <c r="J451" i="12" a="1"/>
  <c r="J451" i="12" s="1"/>
  <c r="L451" i="12" a="1"/>
  <c r="L451" i="12" s="1"/>
  <c r="AT450" i="6"/>
  <c r="CC450" i="6"/>
  <c r="BH450" i="6"/>
  <c r="BO450" i="6"/>
  <c r="BY450" i="6"/>
  <c r="G452" i="5"/>
  <c r="H452" i="5"/>
  <c r="E452" i="5"/>
  <c r="D452" i="5"/>
  <c r="B452" i="12" s="1"/>
  <c r="B452" i="6"/>
  <c r="K452" i="5"/>
  <c r="F452" i="5"/>
  <c r="N452" i="5"/>
  <c r="D452" i="6" s="1"/>
  <c r="A452" i="12"/>
  <c r="B452" i="5"/>
  <c r="C453" i="5" s="1"/>
  <c r="AE452" i="5"/>
  <c r="J452" i="5"/>
  <c r="AD452" i="5"/>
  <c r="BR450" i="6"/>
  <c r="BA450" i="6"/>
  <c r="BS450" i="6"/>
  <c r="CG450" i="6"/>
  <c r="BX450" i="6"/>
  <c r="BJ450" i="6"/>
  <c r="BL450" i="6"/>
  <c r="BP450" i="6"/>
  <c r="BW450" i="6"/>
  <c r="CI450" i="6"/>
  <c r="CB450" i="6"/>
  <c r="BQ450" i="6"/>
  <c r="AZ450" i="6"/>
  <c r="BM450" i="6"/>
  <c r="AX450" i="6"/>
  <c r="AW450" i="6"/>
  <c r="BV450" i="6"/>
  <c r="N451" i="6"/>
  <c r="M451" i="6"/>
  <c r="CG451" i="6" s="1"/>
  <c r="H451" i="6" a="1"/>
  <c r="H451" i="6" s="1"/>
  <c r="T451" i="5" s="1"/>
  <c r="G451" i="12" s="1"/>
  <c r="BG450" i="6"/>
  <c r="CE450" i="6"/>
  <c r="CM450" i="6"/>
  <c r="BD450" i="6"/>
  <c r="BN450" i="6"/>
  <c r="CA450" i="6"/>
  <c r="K451" i="12" l="1"/>
  <c r="CJ451" i="6"/>
  <c r="BK451" i="6"/>
  <c r="AT451" i="6"/>
  <c r="L452" i="12" a="1"/>
  <c r="L452" i="12" s="1"/>
  <c r="J452" i="12" a="1"/>
  <c r="J452" i="12" s="1"/>
  <c r="BD451" i="6"/>
  <c r="BH451" i="6"/>
  <c r="BL451" i="6"/>
  <c r="BX451" i="6"/>
  <c r="AW451" i="6"/>
  <c r="BM451" i="6"/>
  <c r="CC451" i="6"/>
  <c r="CA451" i="6"/>
  <c r="AU451" i="6"/>
  <c r="CF451" i="6"/>
  <c r="BI451" i="6"/>
  <c r="BQ451" i="6"/>
  <c r="BV451" i="6"/>
  <c r="CH451" i="6"/>
  <c r="BY451" i="6"/>
  <c r="BJ451" i="6"/>
  <c r="CI451" i="6"/>
  <c r="AV451" i="6"/>
  <c r="CM451" i="6"/>
  <c r="AX451" i="6"/>
  <c r="M452" i="6"/>
  <c r="BJ452" i="6" s="1"/>
  <c r="N452" i="6"/>
  <c r="H452" i="6" a="1"/>
  <c r="H452" i="6" s="1"/>
  <c r="T452" i="5" s="1"/>
  <c r="G452" i="12" s="1"/>
  <c r="CH452" i="6"/>
  <c r="BF451" i="6"/>
  <c r="BN451" i="6"/>
  <c r="BW451" i="6"/>
  <c r="BC451" i="6"/>
  <c r="BS451" i="6"/>
  <c r="BT451" i="6"/>
  <c r="BE451" i="6"/>
  <c r="CK451" i="6"/>
  <c r="BA451" i="6"/>
  <c r="CB451" i="6"/>
  <c r="CL451" i="6"/>
  <c r="BG451" i="6"/>
  <c r="BP451" i="6"/>
  <c r="BZ451" i="6"/>
  <c r="BR451" i="6"/>
  <c r="AY451" i="6"/>
  <c r="CE451" i="6"/>
  <c r="CD451" i="6"/>
  <c r="AZ451" i="6"/>
  <c r="BO451" i="6"/>
  <c r="F453" i="5"/>
  <c r="B453" i="5"/>
  <c r="C454" i="5"/>
  <c r="B453" i="6"/>
  <c r="J453" i="6" s="1" a="1"/>
  <c r="J453" i="6" s="1"/>
  <c r="N453" i="5"/>
  <c r="D453" i="6" s="1"/>
  <c r="AD453" i="5"/>
  <c r="H453" i="5"/>
  <c r="I453" i="5"/>
  <c r="G453" i="5"/>
  <c r="E453" i="5"/>
  <c r="A453" i="12"/>
  <c r="W453" i="5"/>
  <c r="H453" i="12" s="1"/>
  <c r="AE453" i="5"/>
  <c r="CI452" i="6" l="1"/>
  <c r="BS452" i="6"/>
  <c r="BF452" i="6"/>
  <c r="BT452" i="6"/>
  <c r="K452" i="12"/>
  <c r="BR452" i="6"/>
  <c r="BV452" i="6"/>
  <c r="AV452" i="6"/>
  <c r="BK452" i="6"/>
  <c r="BP452" i="6"/>
  <c r="AW452" i="6"/>
  <c r="E454" i="5"/>
  <c r="AE454" i="5"/>
  <c r="N454" i="5"/>
  <c r="D454" i="6" s="1"/>
  <c r="A454" i="12"/>
  <c r="J454" i="5"/>
  <c r="C455" i="5"/>
  <c r="D454" i="5"/>
  <c r="B454" i="12" s="1"/>
  <c r="B454" i="6"/>
  <c r="AD454" i="5"/>
  <c r="G454" i="5"/>
  <c r="K454" i="5"/>
  <c r="B454" i="5"/>
  <c r="H454" i="5"/>
  <c r="F454" i="5"/>
  <c r="CB452" i="6"/>
  <c r="BD452" i="6"/>
  <c r="BO452" i="6"/>
  <c r="AX452" i="6"/>
  <c r="BM452" i="6"/>
  <c r="AY452" i="6"/>
  <c r="BI452" i="6"/>
  <c r="CE452" i="6"/>
  <c r="CK452" i="6"/>
  <c r="AZ452" i="6"/>
  <c r="BH452" i="6"/>
  <c r="BL452" i="6"/>
  <c r="CL452" i="6"/>
  <c r="H453" i="6" a="1"/>
  <c r="H453" i="6" s="1"/>
  <c r="T453" i="5" s="1"/>
  <c r="G453" i="12" s="1"/>
  <c r="M453" i="6"/>
  <c r="BP453" i="6" s="1"/>
  <c r="G453" i="6"/>
  <c r="N453" i="6"/>
  <c r="CD452" i="6"/>
  <c r="CJ452" i="6"/>
  <c r="BC452" i="6"/>
  <c r="BG452" i="6"/>
  <c r="BZ452" i="6"/>
  <c r="CF452" i="6"/>
  <c r="BY452" i="6"/>
  <c r="BW452" i="6"/>
  <c r="CA452" i="6"/>
  <c r="CC452" i="6"/>
  <c r="CG452" i="6"/>
  <c r="AU452" i="6"/>
  <c r="BQ452" i="6"/>
  <c r="BN452" i="6"/>
  <c r="AT452" i="6"/>
  <c r="CM452" i="6"/>
  <c r="BX452" i="6"/>
  <c r="BA452" i="6"/>
  <c r="BE452" i="6"/>
  <c r="BG453" i="6" l="1"/>
  <c r="BY453" i="6"/>
  <c r="BM453" i="6"/>
  <c r="CD453" i="6"/>
  <c r="BN453" i="6"/>
  <c r="CL453" i="6"/>
  <c r="CK453" i="6"/>
  <c r="BL453" i="6"/>
  <c r="BV453" i="6"/>
  <c r="CM453" i="6"/>
  <c r="BE453" i="6"/>
  <c r="CJ453" i="6"/>
  <c r="CH453" i="6"/>
  <c r="AW453" i="6"/>
  <c r="AJ453" i="6"/>
  <c r="AZ453" i="6"/>
  <c r="AX453" i="6"/>
  <c r="BO453" i="6"/>
  <c r="BH453" i="6"/>
  <c r="AK453" i="6"/>
  <c r="AS453" i="6"/>
  <c r="AT453" i="6"/>
  <c r="CF453" i="6"/>
  <c r="BF453" i="6"/>
  <c r="CB453" i="6"/>
  <c r="CG453" i="6"/>
  <c r="AP453" i="6"/>
  <c r="BZ453" i="6"/>
  <c r="AV453" i="6"/>
  <c r="AO453" i="6"/>
  <c r="AL453" i="6"/>
  <c r="BC453" i="6"/>
  <c r="BD453" i="6"/>
  <c r="BX453" i="6"/>
  <c r="BQ453" i="6"/>
  <c r="AY453" i="6"/>
  <c r="CC453" i="6"/>
  <c r="BW453" i="6"/>
  <c r="BS453" i="6"/>
  <c r="AN453" i="6"/>
  <c r="BA453" i="6"/>
  <c r="L454" i="12" a="1"/>
  <c r="L454" i="12" s="1"/>
  <c r="J454" i="12" a="1"/>
  <c r="J454" i="12" s="1"/>
  <c r="AQ453" i="6"/>
  <c r="BK453" i="6"/>
  <c r="BR453" i="6"/>
  <c r="CI453" i="6"/>
  <c r="BT453" i="6"/>
  <c r="M454" i="6"/>
  <c r="BZ454" i="6" s="1"/>
  <c r="H454" i="6" a="1"/>
  <c r="H454" i="6" s="1"/>
  <c r="T454" i="5" s="1"/>
  <c r="G454" i="12" s="1"/>
  <c r="N454" i="6"/>
  <c r="AM453" i="6"/>
  <c r="CE453" i="6"/>
  <c r="BI453" i="6"/>
  <c r="AR453" i="6"/>
  <c r="BJ453" i="6"/>
  <c r="CA453" i="6"/>
  <c r="AU453" i="6"/>
  <c r="B455" i="5"/>
  <c r="N455" i="5"/>
  <c r="D455" i="6" s="1"/>
  <c r="E455" i="5"/>
  <c r="J455" i="5"/>
  <c r="B455" i="6"/>
  <c r="AE455" i="5"/>
  <c r="H455" i="5"/>
  <c r="A455" i="12"/>
  <c r="AD455" i="5"/>
  <c r="K455" i="5"/>
  <c r="C456" i="5"/>
  <c r="G455" i="5"/>
  <c r="F455" i="5"/>
  <c r="D455" i="5"/>
  <c r="B455" i="12" s="1"/>
  <c r="BL454" i="6" l="1"/>
  <c r="BQ454" i="6"/>
  <c r="BX454" i="6"/>
  <c r="BD454" i="6"/>
  <c r="CD454" i="6"/>
  <c r="CL454" i="6"/>
  <c r="BR454" i="6"/>
  <c r="BO454" i="6"/>
  <c r="BP454" i="6"/>
  <c r="BY454" i="6"/>
  <c r="CB454" i="6"/>
  <c r="CI454" i="6"/>
  <c r="BI454" i="6"/>
  <c r="CM454" i="6"/>
  <c r="BF454" i="6"/>
  <c r="AV454" i="6"/>
  <c r="BH454" i="6"/>
  <c r="BK454" i="6"/>
  <c r="BA454" i="6"/>
  <c r="K454" i="12"/>
  <c r="AU454" i="6"/>
  <c r="N455" i="6"/>
  <c r="M455" i="6"/>
  <c r="BV455" i="6" s="1"/>
  <c r="H455" i="6" a="1"/>
  <c r="H455" i="6" s="1"/>
  <c r="T455" i="5" s="1"/>
  <c r="G455" i="12" s="1"/>
  <c r="CK454" i="6"/>
  <c r="AT454" i="6"/>
  <c r="BC454" i="6"/>
  <c r="CJ454" i="6"/>
  <c r="AX454" i="6"/>
  <c r="CE454" i="6"/>
  <c r="BJ454" i="6"/>
  <c r="CA454" i="6"/>
  <c r="AY454" i="6"/>
  <c r="CH454" i="6"/>
  <c r="AE456" i="5"/>
  <c r="AD456" i="5"/>
  <c r="N456" i="5"/>
  <c r="D456" i="6" s="1"/>
  <c r="D456" i="5"/>
  <c r="B456" i="12" s="1"/>
  <c r="E456" i="5"/>
  <c r="B456" i="5"/>
  <c r="C457" i="5" s="1"/>
  <c r="J456" i="5"/>
  <c r="F456" i="5"/>
  <c r="B456" i="6"/>
  <c r="K456" i="5"/>
  <c r="A456" i="12"/>
  <c r="G456" i="5"/>
  <c r="H456" i="5"/>
  <c r="BV454" i="6"/>
  <c r="CG454" i="6"/>
  <c r="CC454" i="6"/>
  <c r="BS454" i="6"/>
  <c r="BN454" i="6"/>
  <c r="BG454" i="6"/>
  <c r="BE454" i="6"/>
  <c r="BW454" i="6"/>
  <c r="BM454" i="6"/>
  <c r="BT454" i="6"/>
  <c r="CF454" i="6"/>
  <c r="J455" i="12" a="1"/>
  <c r="J455" i="12" s="1"/>
  <c r="L455" i="12" a="1"/>
  <c r="L455" i="12" s="1"/>
  <c r="AW454" i="6"/>
  <c r="AZ454" i="6"/>
  <c r="CD455" i="6" l="1"/>
  <c r="BK455" i="6"/>
  <c r="BZ455" i="6"/>
  <c r="BD455" i="6"/>
  <c r="CJ455" i="6"/>
  <c r="CF455" i="6"/>
  <c r="BN455" i="6"/>
  <c r="CH455" i="6"/>
  <c r="CA455" i="6"/>
  <c r="BL455" i="6"/>
  <c r="BI455" i="6"/>
  <c r="BX455" i="6"/>
  <c r="CL455" i="6"/>
  <c r="BR455" i="6"/>
  <c r="BY455" i="6"/>
  <c r="BJ455" i="6"/>
  <c r="CK455" i="6"/>
  <c r="BC455" i="6"/>
  <c r="BE455" i="6"/>
  <c r="BT455" i="6"/>
  <c r="CG455" i="6"/>
  <c r="BM455" i="6"/>
  <c r="BO455" i="6"/>
  <c r="BP455" i="6"/>
  <c r="CC455" i="6"/>
  <c r="BW455" i="6"/>
  <c r="AX455" i="6"/>
  <c r="BH455" i="6"/>
  <c r="BF455" i="6"/>
  <c r="BS455" i="6"/>
  <c r="BG455" i="6"/>
  <c r="CM455" i="6"/>
  <c r="BQ455" i="6"/>
  <c r="CE455" i="6"/>
  <c r="CB455" i="6"/>
  <c r="CI455" i="6"/>
  <c r="K455" i="12"/>
  <c r="AZ455" i="6"/>
  <c r="AW455" i="6"/>
  <c r="J456" i="12" a="1"/>
  <c r="J456" i="12" s="1"/>
  <c r="L456" i="12" a="1"/>
  <c r="L456" i="12" s="1"/>
  <c r="AU455" i="6"/>
  <c r="BA455" i="6"/>
  <c r="C458" i="5"/>
  <c r="I457" i="5"/>
  <c r="N457" i="5"/>
  <c r="D457" i="6" s="1"/>
  <c r="B457" i="6"/>
  <c r="J457" i="6" s="1" a="1"/>
  <c r="J457" i="6" s="1"/>
  <c r="F457" i="5"/>
  <c r="AD457" i="5"/>
  <c r="A457" i="12"/>
  <c r="E457" i="5"/>
  <c r="H457" i="5"/>
  <c r="B457" i="5"/>
  <c r="AE457" i="5"/>
  <c r="W457" i="5"/>
  <c r="H457" i="12" s="1"/>
  <c r="G457" i="5"/>
  <c r="AV455" i="6"/>
  <c r="M456" i="6"/>
  <c r="BR456" i="6" s="1"/>
  <c r="N456" i="6"/>
  <c r="H456" i="6" a="1"/>
  <c r="H456" i="6" s="1"/>
  <c r="T456" i="5" s="1"/>
  <c r="G456" i="12" s="1"/>
  <c r="AY455" i="6"/>
  <c r="AT455" i="6"/>
  <c r="K456" i="12" l="1"/>
  <c r="BQ456" i="6"/>
  <c r="BO456" i="6"/>
  <c r="CK456" i="6"/>
  <c r="BE456" i="6"/>
  <c r="BS456" i="6"/>
  <c r="CB456" i="6"/>
  <c r="AW456" i="6"/>
  <c r="BG456" i="6"/>
  <c r="CE456" i="6"/>
  <c r="CF456" i="6"/>
  <c r="BX456" i="6"/>
  <c r="BM456" i="6"/>
  <c r="AE458" i="5"/>
  <c r="N458" i="5"/>
  <c r="D458" i="6" s="1"/>
  <c r="A458" i="12"/>
  <c r="AD458" i="5"/>
  <c r="J458" i="5"/>
  <c r="D458" i="5"/>
  <c r="B458" i="12" s="1"/>
  <c r="G458" i="5"/>
  <c r="F458" i="5"/>
  <c r="E458" i="5"/>
  <c r="K458" i="5"/>
  <c r="B458" i="6"/>
  <c r="H458" i="5"/>
  <c r="B458" i="5"/>
  <c r="C459" i="5" s="1"/>
  <c r="H457" i="6" a="1"/>
  <c r="H457" i="6" s="1"/>
  <c r="T457" i="5" s="1"/>
  <c r="G457" i="12" s="1"/>
  <c r="M457" i="6"/>
  <c r="BG457" i="6" s="1"/>
  <c r="G457" i="6"/>
  <c r="N457" i="6"/>
  <c r="BZ456" i="6"/>
  <c r="CI456" i="6"/>
  <c r="BH456" i="6"/>
  <c r="BC456" i="6"/>
  <c r="BA456" i="6"/>
  <c r="AU456" i="6"/>
  <c r="BW456" i="6"/>
  <c r="CA456" i="6"/>
  <c r="CD456" i="6"/>
  <c r="BV456" i="6"/>
  <c r="BI456" i="6"/>
  <c r="AY456" i="6"/>
  <c r="CG456" i="6"/>
  <c r="BK456" i="6"/>
  <c r="BY456" i="6"/>
  <c r="CM456" i="6"/>
  <c r="BF456" i="6"/>
  <c r="AV456" i="6"/>
  <c r="AZ456" i="6"/>
  <c r="CJ456" i="6"/>
  <c r="BP456" i="6"/>
  <c r="BN456" i="6"/>
  <c r="CL456" i="6"/>
  <c r="BL456" i="6"/>
  <c r="BJ456" i="6"/>
  <c r="BT456" i="6"/>
  <c r="AT456" i="6"/>
  <c r="BD456" i="6"/>
  <c r="CH456" i="6"/>
  <c r="CC456" i="6"/>
  <c r="AX456" i="6"/>
  <c r="CJ457" i="6" l="1"/>
  <c r="CF457" i="6"/>
  <c r="AT457" i="6"/>
  <c r="CD457" i="6"/>
  <c r="BL457" i="6"/>
  <c r="AY457" i="6"/>
  <c r="CE457" i="6"/>
  <c r="BS457" i="6"/>
  <c r="BZ457" i="6"/>
  <c r="CK457" i="6"/>
  <c r="CM457" i="6"/>
  <c r="CH457" i="6"/>
  <c r="CC457" i="6"/>
  <c r="AR457" i="6"/>
  <c r="BQ457" i="6"/>
  <c r="BE457" i="6"/>
  <c r="BI457" i="6"/>
  <c r="BV457" i="6"/>
  <c r="AL457" i="6"/>
  <c r="AN457" i="6"/>
  <c r="AU457" i="6"/>
  <c r="AM457" i="6"/>
  <c r="BK457" i="6"/>
  <c r="AK457" i="6"/>
  <c r="BT457" i="6"/>
  <c r="AS457" i="6"/>
  <c r="AQ457" i="6"/>
  <c r="BY457" i="6"/>
  <c r="CL457" i="6"/>
  <c r="AO457" i="6"/>
  <c r="J458" i="12" a="1"/>
  <c r="J458" i="12" s="1"/>
  <c r="L458" i="12" a="1"/>
  <c r="L458" i="12" s="1"/>
  <c r="H458" i="6" a="1"/>
  <c r="H458" i="6" s="1"/>
  <c r="T458" i="5" s="1"/>
  <c r="G458" i="12" s="1"/>
  <c r="N458" i="6"/>
  <c r="M458" i="6"/>
  <c r="BR458" i="6" s="1"/>
  <c r="AD459" i="5"/>
  <c r="N459" i="5"/>
  <c r="D459" i="6" s="1"/>
  <c r="H459" i="5"/>
  <c r="A459" i="12"/>
  <c r="B459" i="6"/>
  <c r="J459" i="6" s="1" a="1"/>
  <c r="J459" i="6" s="1"/>
  <c r="G459" i="5"/>
  <c r="I459" i="5"/>
  <c r="W459" i="5"/>
  <c r="H459" i="12" s="1"/>
  <c r="C460" i="5"/>
  <c r="F459" i="5"/>
  <c r="B459" i="5"/>
  <c r="E459" i="5"/>
  <c r="AE459" i="5"/>
  <c r="BW457" i="6"/>
  <c r="BM457" i="6"/>
  <c r="BD457" i="6"/>
  <c r="BN457" i="6"/>
  <c r="AV457" i="6"/>
  <c r="BR457" i="6"/>
  <c r="CA457" i="6"/>
  <c r="CB457" i="6"/>
  <c r="BF457" i="6"/>
  <c r="CG457" i="6"/>
  <c r="BO457" i="6"/>
  <c r="BA457" i="6"/>
  <c r="BX457" i="6"/>
  <c r="CI457" i="6"/>
  <c r="BH457" i="6"/>
  <c r="AW457" i="6"/>
  <c r="BC457" i="6"/>
  <c r="BP457" i="6"/>
  <c r="AZ457" i="6"/>
  <c r="AX457" i="6"/>
  <c r="AP457" i="6"/>
  <c r="AJ457" i="6"/>
  <c r="BJ457" i="6"/>
  <c r="K458" i="12" l="1"/>
  <c r="BN458" i="6"/>
  <c r="BX458" i="6"/>
  <c r="BQ458" i="6"/>
  <c r="BZ458" i="6"/>
  <c r="CE458" i="6"/>
  <c r="CK458" i="6"/>
  <c r="BK458" i="6"/>
  <c r="BF458" i="6"/>
  <c r="BH458" i="6"/>
  <c r="CL458" i="6"/>
  <c r="BT458" i="6"/>
  <c r="CH458" i="6"/>
  <c r="CB458" i="6"/>
  <c r="AY458" i="6"/>
  <c r="CG458" i="6"/>
  <c r="BS458" i="6"/>
  <c r="BY458" i="6"/>
  <c r="BW458" i="6"/>
  <c r="BE458" i="6"/>
  <c r="BM458" i="6"/>
  <c r="AZ458" i="6"/>
  <c r="BG458" i="6"/>
  <c r="BL458" i="6"/>
  <c r="BP458" i="6"/>
  <c r="CM458" i="6"/>
  <c r="CA458" i="6"/>
  <c r="AX458" i="6"/>
  <c r="CF458" i="6"/>
  <c r="BD458" i="6"/>
  <c r="AV458" i="6"/>
  <c r="BJ458" i="6"/>
  <c r="BO458" i="6"/>
  <c r="CC458" i="6"/>
  <c r="CI458" i="6"/>
  <c r="AU458" i="6"/>
  <c r="BA458" i="6"/>
  <c r="M459" i="6"/>
  <c r="CG459" i="6" s="1"/>
  <c r="H459" i="6" a="1"/>
  <c r="H459" i="6" s="1"/>
  <c r="T459" i="5" s="1"/>
  <c r="G459" i="12" s="1"/>
  <c r="N459" i="6"/>
  <c r="G459" i="6"/>
  <c r="N460" i="5"/>
  <c r="D460" i="6" s="1"/>
  <c r="A460" i="12"/>
  <c r="G460" i="5"/>
  <c r="K460" i="5"/>
  <c r="B460" i="6"/>
  <c r="F460" i="5"/>
  <c r="D460" i="5"/>
  <c r="B460" i="12" s="1"/>
  <c r="H460" i="5"/>
  <c r="AD460" i="5"/>
  <c r="AE460" i="5"/>
  <c r="C461" i="5"/>
  <c r="E460" i="5"/>
  <c r="J460" i="5"/>
  <c r="B460" i="5"/>
  <c r="CD458" i="6"/>
  <c r="CJ458" i="6"/>
  <c r="BI458" i="6"/>
  <c r="BV458" i="6"/>
  <c r="AW458" i="6"/>
  <c r="BC458" i="6"/>
  <c r="AT458" i="6"/>
  <c r="AT459" i="6" l="1"/>
  <c r="BQ459" i="6"/>
  <c r="CB459" i="6"/>
  <c r="CH459" i="6"/>
  <c r="BL459" i="6"/>
  <c r="BS459" i="6"/>
  <c r="BY459" i="6"/>
  <c r="AQ459" i="6"/>
  <c r="CA459" i="6"/>
  <c r="BE459" i="6"/>
  <c r="BM459" i="6"/>
  <c r="AK459" i="6"/>
  <c r="AJ459" i="6"/>
  <c r="AO459" i="6"/>
  <c r="AW459" i="6"/>
  <c r="BJ459" i="6"/>
  <c r="BG459" i="6"/>
  <c r="CI459" i="6"/>
  <c r="BW459" i="6"/>
  <c r="CJ459" i="6"/>
  <c r="CC459" i="6"/>
  <c r="BK459" i="6"/>
  <c r="BZ459" i="6"/>
  <c r="AS459" i="6"/>
  <c r="BO459" i="6"/>
  <c r="AX459" i="6"/>
  <c r="BA459" i="6"/>
  <c r="AP459" i="6"/>
  <c r="BC459" i="6"/>
  <c r="AM459" i="6"/>
  <c r="BF459" i="6"/>
  <c r="BD459" i="6"/>
  <c r="BR459" i="6"/>
  <c r="BV459" i="6"/>
  <c r="BN459" i="6"/>
  <c r="BI459" i="6"/>
  <c r="AN459" i="6"/>
  <c r="CL459" i="6"/>
  <c r="BX459" i="6"/>
  <c r="CF459" i="6"/>
  <c r="AR459" i="6"/>
  <c r="CM459" i="6"/>
  <c r="AU459" i="6"/>
  <c r="CK459" i="6"/>
  <c r="BT459" i="6"/>
  <c r="AZ459" i="6"/>
  <c r="CE459" i="6"/>
  <c r="BP459" i="6"/>
  <c r="BH459" i="6"/>
  <c r="CD459" i="6"/>
  <c r="AL459" i="6"/>
  <c r="AY459" i="6"/>
  <c r="F461" i="5"/>
  <c r="AE461" i="5"/>
  <c r="AD461" i="5"/>
  <c r="G461" i="5"/>
  <c r="D461" i="5"/>
  <c r="B461" i="12" s="1"/>
  <c r="A461" i="12"/>
  <c r="N461" i="5"/>
  <c r="D461" i="6" s="1"/>
  <c r="H461" i="5"/>
  <c r="B461" i="6"/>
  <c r="E461" i="5"/>
  <c r="K461" i="5"/>
  <c r="B461" i="5"/>
  <c r="C462" i="5" s="1"/>
  <c r="J461" i="5"/>
  <c r="J460" i="12" a="1"/>
  <c r="J460" i="12" s="1"/>
  <c r="L460" i="12" a="1"/>
  <c r="L460" i="12" s="1"/>
  <c r="AV459" i="6"/>
  <c r="N460" i="6"/>
  <c r="H460" i="6" a="1"/>
  <c r="H460" i="6" s="1"/>
  <c r="T460" i="5" s="1"/>
  <c r="G460" i="12" s="1"/>
  <c r="M460" i="6"/>
  <c r="BJ460" i="6" s="1"/>
  <c r="K460" i="12" l="1"/>
  <c r="BT460" i="6"/>
  <c r="CK460" i="6"/>
  <c r="BI460" i="6"/>
  <c r="CL460" i="6"/>
  <c r="BM460" i="6"/>
  <c r="AW460" i="6"/>
  <c r="BW460" i="6"/>
  <c r="BX460" i="6"/>
  <c r="BH460" i="6"/>
  <c r="BO460" i="6"/>
  <c r="H461" i="6" a="1"/>
  <c r="H461" i="6" s="1"/>
  <c r="T461" i="5" s="1"/>
  <c r="G461" i="12" s="1"/>
  <c r="N461" i="6"/>
  <c r="M461" i="6"/>
  <c r="BT461" i="6" s="1"/>
  <c r="AZ460" i="6"/>
  <c r="BC460" i="6"/>
  <c r="AV460" i="6"/>
  <c r="BF460" i="6"/>
  <c r="J461" i="12" a="1"/>
  <c r="J461" i="12" s="1"/>
  <c r="L461" i="12" a="1"/>
  <c r="L461" i="12" s="1"/>
  <c r="AX460" i="6"/>
  <c r="CA460" i="6"/>
  <c r="BN460" i="6"/>
  <c r="CC460" i="6"/>
  <c r="BK460" i="6"/>
  <c r="BS460" i="6"/>
  <c r="BA460" i="6"/>
  <c r="CB460" i="6"/>
  <c r="BQ460" i="6"/>
  <c r="BG460" i="6"/>
  <c r="CH460" i="6"/>
  <c r="AY460" i="6"/>
  <c r="BR460" i="6"/>
  <c r="CF460" i="6"/>
  <c r="BE460" i="6"/>
  <c r="CM460" i="6"/>
  <c r="BP460" i="6"/>
  <c r="AT460" i="6"/>
  <c r="BL460" i="6"/>
  <c r="CJ460" i="6"/>
  <c r="BY460" i="6"/>
  <c r="CG460" i="6"/>
  <c r="BZ460" i="6"/>
  <c r="BV460" i="6"/>
  <c r="N462" i="5"/>
  <c r="D462" i="6" s="1"/>
  <c r="C463" i="5"/>
  <c r="A462" i="12"/>
  <c r="F462" i="5"/>
  <c r="W462" i="5"/>
  <c r="H462" i="12" s="1"/>
  <c r="AD462" i="5"/>
  <c r="B462" i="6"/>
  <c r="J462" i="6" s="1" a="1"/>
  <c r="J462" i="6" s="1"/>
  <c r="G462" i="5"/>
  <c r="H462" i="5"/>
  <c r="B462" i="5"/>
  <c r="E462" i="5"/>
  <c r="I462" i="5"/>
  <c r="AE462" i="5"/>
  <c r="BD460" i="6"/>
  <c r="CE460" i="6"/>
  <c r="CD460" i="6"/>
  <c r="CI460" i="6"/>
  <c r="AU460" i="6"/>
  <c r="CK461" i="6" l="1"/>
  <c r="BN461" i="6"/>
  <c r="CC461" i="6"/>
  <c r="CH461" i="6"/>
  <c r="BV461" i="6"/>
  <c r="AT461" i="6"/>
  <c r="BK461" i="6"/>
  <c r="BR461" i="6"/>
  <c r="BA461" i="6"/>
  <c r="K461" i="12"/>
  <c r="BQ461" i="6"/>
  <c r="BO461" i="6"/>
  <c r="AW461" i="6"/>
  <c r="BC461" i="6"/>
  <c r="BE461" i="6"/>
  <c r="CL461" i="6"/>
  <c r="AV461" i="6"/>
  <c r="CB461" i="6"/>
  <c r="CM461" i="6"/>
  <c r="BD461" i="6"/>
  <c r="BG461" i="6"/>
  <c r="BW461" i="6"/>
  <c r="BJ461" i="6"/>
  <c r="AY461" i="6"/>
  <c r="AX461" i="6"/>
  <c r="BZ461" i="6"/>
  <c r="BH461" i="6"/>
  <c r="BI461" i="6"/>
  <c r="CD461" i="6"/>
  <c r="BL461" i="6"/>
  <c r="BF461" i="6"/>
  <c r="CE461" i="6"/>
  <c r="BM461" i="6"/>
  <c r="CF461" i="6"/>
  <c r="BP461" i="6"/>
  <c r="AZ461" i="6"/>
  <c r="AU461" i="6"/>
  <c r="CA461" i="6"/>
  <c r="CI461" i="6"/>
  <c r="BS461" i="6"/>
  <c r="BX461" i="6"/>
  <c r="CJ461" i="6"/>
  <c r="BY461" i="6"/>
  <c r="CG461" i="6"/>
  <c r="K463" i="5"/>
  <c r="F463" i="5"/>
  <c r="H463" i="5"/>
  <c r="G463" i="5"/>
  <c r="N463" i="5"/>
  <c r="D463" i="6" s="1"/>
  <c r="AE463" i="5"/>
  <c r="C464" i="5"/>
  <c r="B463" i="6"/>
  <c r="D463" i="5"/>
  <c r="B463" i="12" s="1"/>
  <c r="AD463" i="5"/>
  <c r="J463" i="5"/>
  <c r="A463" i="12"/>
  <c r="E463" i="5"/>
  <c r="B463" i="5"/>
  <c r="N462" i="6"/>
  <c r="G462" i="6"/>
  <c r="H462" i="6" a="1"/>
  <c r="H462" i="6" s="1"/>
  <c r="T462" i="5" s="1"/>
  <c r="G462" i="12" s="1"/>
  <c r="M462" i="6"/>
  <c r="CC462" i="6" s="1"/>
  <c r="BT462" i="6" l="1"/>
  <c r="AN462" i="6"/>
  <c r="BE462" i="6"/>
  <c r="CK462" i="6"/>
  <c r="AK462" i="6"/>
  <c r="BF462" i="6"/>
  <c r="CD462" i="6"/>
  <c r="AR462" i="6"/>
  <c r="BY462" i="6"/>
  <c r="BD462" i="6"/>
  <c r="CF462" i="6"/>
  <c r="BH462" i="6"/>
  <c r="AM462" i="6"/>
  <c r="BS462" i="6"/>
  <c r="BZ462" i="6"/>
  <c r="AZ462" i="6"/>
  <c r="BV462" i="6"/>
  <c r="AW462" i="6"/>
  <c r="AX462" i="6"/>
  <c r="AO462" i="6"/>
  <c r="CJ462" i="6"/>
  <c r="AP462" i="6"/>
  <c r="AJ462" i="6"/>
  <c r="BJ462" i="6"/>
  <c r="BR462" i="6"/>
  <c r="BN462" i="6"/>
  <c r="BL462" i="6"/>
  <c r="AU462" i="6"/>
  <c r="AS462" i="6"/>
  <c r="BM462" i="6"/>
  <c r="BQ462" i="6"/>
  <c r="BI462" i="6"/>
  <c r="K464" i="5"/>
  <c r="AE464" i="5"/>
  <c r="B464" i="6"/>
  <c r="H464" i="5"/>
  <c r="F464" i="5"/>
  <c r="G464" i="5"/>
  <c r="E464" i="5"/>
  <c r="N464" i="5"/>
  <c r="D464" i="6" s="1"/>
  <c r="AD464" i="5"/>
  <c r="B464" i="5"/>
  <c r="A464" i="12"/>
  <c r="J464" i="5"/>
  <c r="C465" i="5"/>
  <c r="D464" i="5"/>
  <c r="B464" i="12" s="1"/>
  <c r="H463" i="6" a="1"/>
  <c r="H463" i="6" s="1"/>
  <c r="T463" i="5" s="1"/>
  <c r="G463" i="12" s="1"/>
  <c r="M463" i="6"/>
  <c r="CE463" i="6" s="1"/>
  <c r="N463" i="6"/>
  <c r="BP462" i="6"/>
  <c r="BW462" i="6"/>
  <c r="BX462" i="6"/>
  <c r="CH462" i="6"/>
  <c r="AL462" i="6"/>
  <c r="CL462" i="6"/>
  <c r="CM462" i="6"/>
  <c r="BG462" i="6"/>
  <c r="BK462" i="6"/>
  <c r="CI462" i="6"/>
  <c r="BA462" i="6"/>
  <c r="CG462" i="6"/>
  <c r="AY462" i="6"/>
  <c r="CA462" i="6"/>
  <c r="BO462" i="6"/>
  <c r="BC462" i="6"/>
  <c r="AV462" i="6"/>
  <c r="CE462" i="6"/>
  <c r="AQ462" i="6"/>
  <c r="CB462" i="6"/>
  <c r="AT462" i="6"/>
  <c r="L463" i="12" a="1"/>
  <c r="L463" i="12" s="1"/>
  <c r="J463" i="12" a="1"/>
  <c r="J463" i="12" s="1"/>
  <c r="BC463" i="6" l="1"/>
  <c r="BR463" i="6"/>
  <c r="CC463" i="6"/>
  <c r="CH463" i="6"/>
  <c r="BM463" i="6"/>
  <c r="BJ463" i="6"/>
  <c r="BW463" i="6"/>
  <c r="BX463" i="6"/>
  <c r="CL463" i="6"/>
  <c r="AY463" i="6"/>
  <c r="CI463" i="6"/>
  <c r="BP463" i="6"/>
  <c r="BO463" i="6"/>
  <c r="BD463" i="6"/>
  <c r="BY463" i="6"/>
  <c r="CA463" i="6"/>
  <c r="BH463" i="6"/>
  <c r="BL463" i="6"/>
  <c r="BE463" i="6"/>
  <c r="CM463" i="6"/>
  <c r="AV463" i="6"/>
  <c r="BK463" i="6"/>
  <c r="AW463" i="6"/>
  <c r="BV463" i="6"/>
  <c r="CK463" i="6"/>
  <c r="A465" i="12"/>
  <c r="F465" i="5"/>
  <c r="E465" i="5"/>
  <c r="J465" i="5"/>
  <c r="G465" i="5"/>
  <c r="B465" i="6"/>
  <c r="K465" i="5"/>
  <c r="D465" i="5"/>
  <c r="B465" i="12" s="1"/>
  <c r="AD465" i="5"/>
  <c r="H465" i="5"/>
  <c r="AE465" i="5"/>
  <c r="B465" i="5"/>
  <c r="N465" i="5"/>
  <c r="D465" i="6" s="1"/>
  <c r="C466" i="5"/>
  <c r="BQ463" i="6"/>
  <c r="BN463" i="6"/>
  <c r="BT463" i="6"/>
  <c r="AT463" i="6"/>
  <c r="AX463" i="6"/>
  <c r="CB463" i="6"/>
  <c r="L464" i="12" a="1"/>
  <c r="L464" i="12" s="1"/>
  <c r="J464" i="12" a="1"/>
  <c r="J464" i="12" s="1"/>
  <c r="K463" i="12"/>
  <c r="CD463" i="6"/>
  <c r="BI463" i="6"/>
  <c r="BG463" i="6"/>
  <c r="BA463" i="6"/>
  <c r="AZ463" i="6"/>
  <c r="AU463" i="6"/>
  <c r="BS463" i="6"/>
  <c r="CG463" i="6"/>
  <c r="BZ463" i="6"/>
  <c r="CF463" i="6"/>
  <c r="BF463" i="6"/>
  <c r="CJ463" i="6"/>
  <c r="M464" i="6"/>
  <c r="BM464" i="6" s="1"/>
  <c r="N464" i="6"/>
  <c r="H464" i="6" a="1"/>
  <c r="H464" i="6" s="1"/>
  <c r="T464" i="5" s="1"/>
  <c r="G464" i="12" s="1"/>
  <c r="BL464" i="6" l="1"/>
  <c r="K464" i="12"/>
  <c r="CH464" i="6"/>
  <c r="BO464" i="6"/>
  <c r="BN464" i="6"/>
  <c r="CF464" i="6"/>
  <c r="BR464" i="6"/>
  <c r="BF464" i="6"/>
  <c r="CA464" i="6"/>
  <c r="BC464" i="6"/>
  <c r="BK464" i="6"/>
  <c r="CM464" i="6"/>
  <c r="CK464" i="6"/>
  <c r="BT464" i="6"/>
  <c r="CD464" i="6"/>
  <c r="BS464" i="6"/>
  <c r="BX464" i="6"/>
  <c r="CI464" i="6"/>
  <c r="BA464" i="6"/>
  <c r="CB464" i="6"/>
  <c r="AY464" i="6"/>
  <c r="BZ464" i="6"/>
  <c r="CC464" i="6"/>
  <c r="BH464" i="6"/>
  <c r="BV464" i="6"/>
  <c r="BQ464" i="6"/>
  <c r="CE464" i="6"/>
  <c r="BJ464" i="6"/>
  <c r="AZ464" i="6"/>
  <c r="CL464" i="6"/>
  <c r="BD464" i="6"/>
  <c r="CJ464" i="6"/>
  <c r="CG464" i="6"/>
  <c r="BG464" i="6"/>
  <c r="BI464" i="6"/>
  <c r="AT464" i="6"/>
  <c r="BE464" i="6"/>
  <c r="BP464" i="6"/>
  <c r="BY464" i="6"/>
  <c r="BW464" i="6"/>
  <c r="AU464" i="6"/>
  <c r="AX464" i="6"/>
  <c r="K466" i="5"/>
  <c r="D466" i="5"/>
  <c r="B466" i="12" s="1"/>
  <c r="H466" i="5"/>
  <c r="G466" i="5"/>
  <c r="C467" i="5"/>
  <c r="AE466" i="5"/>
  <c r="N466" i="5"/>
  <c r="D466" i="6" s="1"/>
  <c r="A466" i="12"/>
  <c r="F466" i="5"/>
  <c r="E466" i="5"/>
  <c r="AD466" i="5"/>
  <c r="B466" i="5"/>
  <c r="B466" i="6"/>
  <c r="J466" i="5"/>
  <c r="AV464" i="6"/>
  <c r="H465" i="6" a="1"/>
  <c r="H465" i="6" s="1"/>
  <c r="T465" i="5" s="1"/>
  <c r="G465" i="12" s="1"/>
  <c r="M465" i="6"/>
  <c r="CH465" i="6" s="1"/>
  <c r="N465" i="6"/>
  <c r="L465" i="12" a="1"/>
  <c r="L465" i="12" s="1"/>
  <c r="J465" i="12" a="1"/>
  <c r="J465" i="12" s="1"/>
  <c r="AW464" i="6"/>
  <c r="BW465" i="6" l="1"/>
  <c r="BF465" i="6"/>
  <c r="BL465" i="6"/>
  <c r="BI465" i="6"/>
  <c r="BG465" i="6"/>
  <c r="CG465" i="6"/>
  <c r="CB465" i="6"/>
  <c r="CD465" i="6"/>
  <c r="BS465" i="6"/>
  <c r="CI465" i="6"/>
  <c r="BO465" i="6"/>
  <c r="BX465" i="6"/>
  <c r="BH465" i="6"/>
  <c r="BM465" i="6"/>
  <c r="CC465" i="6"/>
  <c r="BC465" i="6"/>
  <c r="CL465" i="6"/>
  <c r="BN465" i="6"/>
  <c r="BY465" i="6"/>
  <c r="CK465" i="6"/>
  <c r="BP465" i="6"/>
  <c r="AW465" i="6"/>
  <c r="AZ465" i="6"/>
  <c r="AU465" i="6"/>
  <c r="AV465" i="6"/>
  <c r="H466" i="6" a="1"/>
  <c r="H466" i="6" s="1"/>
  <c r="T466" i="5" s="1"/>
  <c r="G466" i="12" s="1"/>
  <c r="N466" i="6"/>
  <c r="M466" i="6"/>
  <c r="BK466" i="6" s="1"/>
  <c r="B467" i="5"/>
  <c r="C468" i="5"/>
  <c r="AE467" i="5"/>
  <c r="A467" i="12"/>
  <c r="D467" i="5"/>
  <c r="B467" i="12" s="1"/>
  <c r="J467" i="5"/>
  <c r="N467" i="5"/>
  <c r="D467" i="6" s="1"/>
  <c r="F467" i="5"/>
  <c r="AD467" i="5"/>
  <c r="K467" i="5"/>
  <c r="G467" i="5"/>
  <c r="H467" i="5"/>
  <c r="B467" i="6"/>
  <c r="E467" i="5"/>
  <c r="K465" i="12"/>
  <c r="BT465" i="6"/>
  <c r="BK465" i="6"/>
  <c r="BR465" i="6"/>
  <c r="J466" i="12" a="1"/>
  <c r="J466" i="12" s="1"/>
  <c r="L466" i="12" a="1"/>
  <c r="L466" i="12" s="1"/>
  <c r="CM465" i="6"/>
  <c r="CJ465" i="6"/>
  <c r="CF465" i="6"/>
  <c r="CA465" i="6"/>
  <c r="BA465" i="6"/>
  <c r="BD465" i="6"/>
  <c r="BZ465" i="6"/>
  <c r="AX465" i="6"/>
  <c r="BQ465" i="6"/>
  <c r="BV465" i="6"/>
  <c r="BJ465" i="6"/>
  <c r="AT465" i="6"/>
  <c r="AY465" i="6"/>
  <c r="BE465" i="6"/>
  <c r="CE465" i="6"/>
  <c r="BC466" i="6" l="1"/>
  <c r="BJ466" i="6"/>
  <c r="BZ466" i="6"/>
  <c r="BW466" i="6"/>
  <c r="CF466" i="6"/>
  <c r="CD466" i="6"/>
  <c r="BG466" i="6"/>
  <c r="CJ466" i="6"/>
  <c r="BO466" i="6"/>
  <c r="BD466" i="6"/>
  <c r="BS466" i="6"/>
  <c r="CE466" i="6"/>
  <c r="BX466" i="6"/>
  <c r="CC466" i="6"/>
  <c r="BY466" i="6"/>
  <c r="BH466" i="6"/>
  <c r="BN466" i="6"/>
  <c r="K466" i="12"/>
  <c r="BM466" i="6"/>
  <c r="BQ466" i="6"/>
  <c r="BE466" i="6"/>
  <c r="CA466" i="6"/>
  <c r="AU466" i="6"/>
  <c r="AT466" i="6"/>
  <c r="AV466" i="6"/>
  <c r="AX466" i="6"/>
  <c r="AW466" i="6"/>
  <c r="AY466" i="6"/>
  <c r="AZ466" i="6"/>
  <c r="BA466" i="6"/>
  <c r="BF466" i="6"/>
  <c r="BV466" i="6"/>
  <c r="CL466" i="6"/>
  <c r="CM466" i="6"/>
  <c r="BR466" i="6"/>
  <c r="CB466" i="6"/>
  <c r="CK466" i="6"/>
  <c r="BL466" i="6"/>
  <c r="BP466" i="6"/>
  <c r="BT466" i="6"/>
  <c r="CI466" i="6"/>
  <c r="BI466" i="6"/>
  <c r="H467" i="6" a="1"/>
  <c r="H467" i="6" s="1"/>
  <c r="T467" i="5" s="1"/>
  <c r="G467" i="12" s="1"/>
  <c r="N467" i="6"/>
  <c r="M467" i="6"/>
  <c r="BL467" i="6" s="1"/>
  <c r="J467" i="12" a="1"/>
  <c r="J467" i="12" s="1"/>
  <c r="L467" i="12" a="1"/>
  <c r="L467" i="12" s="1"/>
  <c r="J468" i="5"/>
  <c r="E468" i="5"/>
  <c r="AE468" i="5"/>
  <c r="N468" i="5"/>
  <c r="D468" i="6" s="1"/>
  <c r="B468" i="6"/>
  <c r="G468" i="5"/>
  <c r="F468" i="5"/>
  <c r="D468" i="5"/>
  <c r="B468" i="12" s="1"/>
  <c r="K468" i="5"/>
  <c r="C469" i="5"/>
  <c r="A468" i="12"/>
  <c r="H468" i="5"/>
  <c r="AD468" i="5"/>
  <c r="B468" i="5"/>
  <c r="CH466" i="6"/>
  <c r="CG466" i="6"/>
  <c r="BX467" i="6" l="1"/>
  <c r="CA467" i="6"/>
  <c r="CJ467" i="6"/>
  <c r="AX467" i="6"/>
  <c r="CM467" i="6"/>
  <c r="AW467" i="6"/>
  <c r="BN467" i="6"/>
  <c r="CI467" i="6"/>
  <c r="CD467" i="6"/>
  <c r="BI467" i="6"/>
  <c r="CG467" i="6"/>
  <c r="CC467" i="6"/>
  <c r="CE467" i="6"/>
  <c r="BW467" i="6"/>
  <c r="BZ467" i="6"/>
  <c r="AV467" i="6"/>
  <c r="CK467" i="6"/>
  <c r="BQ467" i="6"/>
  <c r="BJ467" i="6"/>
  <c r="BS467" i="6"/>
  <c r="AZ467" i="6"/>
  <c r="BP467" i="6"/>
  <c r="BR467" i="6"/>
  <c r="BO467" i="6"/>
  <c r="BH467" i="6"/>
  <c r="CL467" i="6"/>
  <c r="AY467" i="6"/>
  <c r="AT467" i="6"/>
  <c r="BD467" i="6"/>
  <c r="CH467" i="6"/>
  <c r="CF467" i="6"/>
  <c r="BA467" i="6"/>
  <c r="BM467" i="6"/>
  <c r="K467" i="12"/>
  <c r="BY467" i="6"/>
  <c r="BE467" i="6"/>
  <c r="BC467" i="6"/>
  <c r="BF467" i="6"/>
  <c r="BT467" i="6"/>
  <c r="CB467" i="6"/>
  <c r="AU467" i="6"/>
  <c r="BG467" i="6"/>
  <c r="BK467" i="6"/>
  <c r="BV467" i="6"/>
  <c r="J468" i="12" a="1"/>
  <c r="J468" i="12" s="1"/>
  <c r="L468" i="12" a="1"/>
  <c r="L468" i="12" s="1"/>
  <c r="G469" i="5"/>
  <c r="F469" i="5"/>
  <c r="AD469" i="5"/>
  <c r="N469" i="5"/>
  <c r="D469" i="6" s="1"/>
  <c r="A469" i="12"/>
  <c r="B469" i="5"/>
  <c r="D469" i="5"/>
  <c r="B469" i="12" s="1"/>
  <c r="J469" i="5"/>
  <c r="H469" i="5"/>
  <c r="B469" i="6"/>
  <c r="K469" i="5"/>
  <c r="E469" i="5"/>
  <c r="C470" i="5"/>
  <c r="AE469" i="5"/>
  <c r="N468" i="6"/>
  <c r="M468" i="6"/>
  <c r="BY468" i="6" s="1"/>
  <c r="H468" i="6" a="1"/>
  <c r="H468" i="6" s="1"/>
  <c r="T468" i="5" s="1"/>
  <c r="G468" i="12" s="1"/>
  <c r="K468" i="12" l="1"/>
  <c r="BS468" i="6"/>
  <c r="BX468" i="6"/>
  <c r="CJ468" i="6"/>
  <c r="BG468" i="6"/>
  <c r="CA468" i="6"/>
  <c r="CH468" i="6"/>
  <c r="BO468" i="6"/>
  <c r="BI468" i="6"/>
  <c r="BK468" i="6"/>
  <c r="CF468" i="6"/>
  <c r="BM468" i="6"/>
  <c r="CE468" i="6"/>
  <c r="CD468" i="6"/>
  <c r="CK468" i="6"/>
  <c r="CM468" i="6"/>
  <c r="BN468" i="6"/>
  <c r="BP468" i="6"/>
  <c r="AZ468" i="6"/>
  <c r="AX468" i="6"/>
  <c r="BV468" i="6"/>
  <c r="BW468" i="6"/>
  <c r="J469" i="12" a="1"/>
  <c r="J469" i="12" s="1"/>
  <c r="L469" i="12" a="1"/>
  <c r="L469" i="12" s="1"/>
  <c r="H469" i="6" a="1"/>
  <c r="H469" i="6" s="1"/>
  <c r="T469" i="5" s="1"/>
  <c r="G469" i="12" s="1"/>
  <c r="N469" i="6"/>
  <c r="M469" i="6"/>
  <c r="BL469" i="6" s="1"/>
  <c r="CC468" i="6"/>
  <c r="CB468" i="6"/>
  <c r="AT468" i="6"/>
  <c r="BH468" i="6"/>
  <c r="AW468" i="6"/>
  <c r="BL468" i="6"/>
  <c r="BZ468" i="6"/>
  <c r="BE468" i="6"/>
  <c r="BR468" i="6"/>
  <c r="CG468" i="6"/>
  <c r="G470" i="5"/>
  <c r="N470" i="5"/>
  <c r="D470" i="6" s="1"/>
  <c r="F470" i="5"/>
  <c r="AD470" i="5"/>
  <c r="J470" i="5"/>
  <c r="E470" i="5"/>
  <c r="C471" i="5"/>
  <c r="H470" i="5"/>
  <c r="A470" i="12"/>
  <c r="D470" i="5"/>
  <c r="B470" i="12" s="1"/>
  <c r="AE470" i="5"/>
  <c r="B470" i="5"/>
  <c r="K470" i="5"/>
  <c r="B470" i="6"/>
  <c r="AU468" i="6"/>
  <c r="AV468" i="6"/>
  <c r="AY468" i="6"/>
  <c r="BT468" i="6"/>
  <c r="CI468" i="6"/>
  <c r="BA468" i="6"/>
  <c r="BD468" i="6"/>
  <c r="BJ468" i="6"/>
  <c r="BQ468" i="6"/>
  <c r="CL468" i="6"/>
  <c r="BC468" i="6"/>
  <c r="BF468" i="6"/>
  <c r="K469" i="12" l="1"/>
  <c r="BK469" i="6"/>
  <c r="AW469" i="6"/>
  <c r="BC469" i="6"/>
  <c r="BH469" i="6"/>
  <c r="BV469" i="6"/>
  <c r="BE469" i="6"/>
  <c r="BG469" i="6"/>
  <c r="BZ469" i="6"/>
  <c r="BT469" i="6"/>
  <c r="CL469" i="6"/>
  <c r="BS469" i="6"/>
  <c r="CM469" i="6"/>
  <c r="BQ469" i="6"/>
  <c r="AX469" i="6"/>
  <c r="BW469" i="6"/>
  <c r="BN469" i="6"/>
  <c r="BX469" i="6"/>
  <c r="CK469" i="6"/>
  <c r="CE469" i="6"/>
  <c r="CH469" i="6"/>
  <c r="BP469" i="6"/>
  <c r="CF469" i="6"/>
  <c r="BY469" i="6"/>
  <c r="AU469" i="6"/>
  <c r="CA469" i="6"/>
  <c r="BA469" i="6"/>
  <c r="BF469" i="6"/>
  <c r="J470" i="12" a="1"/>
  <c r="J470" i="12" s="1"/>
  <c r="L470" i="12" a="1"/>
  <c r="L470" i="12" s="1"/>
  <c r="AY469" i="6"/>
  <c r="G471" i="5"/>
  <c r="A471" i="12"/>
  <c r="AD471" i="5"/>
  <c r="AE471" i="5"/>
  <c r="C472" i="5"/>
  <c r="B471" i="5"/>
  <c r="B471" i="6"/>
  <c r="D471" i="5"/>
  <c r="B471" i="12" s="1"/>
  <c r="F471" i="5"/>
  <c r="E471" i="5"/>
  <c r="N471" i="5"/>
  <c r="D471" i="6" s="1"/>
  <c r="K471" i="5"/>
  <c r="H471" i="5"/>
  <c r="J471" i="5"/>
  <c r="BO469" i="6"/>
  <c r="AT469" i="6"/>
  <c r="CI469" i="6"/>
  <c r="CJ469" i="6"/>
  <c r="AZ469" i="6"/>
  <c r="CG469" i="6"/>
  <c r="BJ469" i="6"/>
  <c r="BD469" i="6"/>
  <c r="CC469" i="6"/>
  <c r="BR469" i="6"/>
  <c r="BM469" i="6"/>
  <c r="AV469" i="6"/>
  <c r="M470" i="6"/>
  <c r="BZ470" i="6" s="1"/>
  <c r="H470" i="6" a="1"/>
  <c r="H470" i="6" s="1"/>
  <c r="T470" i="5" s="1"/>
  <c r="G470" i="12" s="1"/>
  <c r="N470" i="6"/>
  <c r="CB469" i="6"/>
  <c r="CD469" i="6"/>
  <c r="BI469" i="6"/>
  <c r="K470" i="12" l="1"/>
  <c r="BP470" i="6"/>
  <c r="BH470" i="6"/>
  <c r="BC470" i="6"/>
  <c r="BX470" i="6"/>
  <c r="BR470" i="6"/>
  <c r="CF470" i="6"/>
  <c r="BF470" i="6"/>
  <c r="CA470" i="6"/>
  <c r="BG470" i="6"/>
  <c r="CC470" i="6"/>
  <c r="CG470" i="6"/>
  <c r="BI470" i="6"/>
  <c r="CB470" i="6"/>
  <c r="CD470" i="6"/>
  <c r="BS470" i="6"/>
  <c r="CK470" i="6"/>
  <c r="BL470" i="6"/>
  <c r="AW470" i="6"/>
  <c r="AV470" i="6"/>
  <c r="G472" i="5"/>
  <c r="H472" i="5"/>
  <c r="F472" i="5"/>
  <c r="K472" i="5"/>
  <c r="AE472" i="5"/>
  <c r="E472" i="5"/>
  <c r="B472" i="6"/>
  <c r="N472" i="5"/>
  <c r="D472" i="6" s="1"/>
  <c r="B472" i="5"/>
  <c r="A472" i="12"/>
  <c r="D472" i="5"/>
  <c r="B472" i="12" s="1"/>
  <c r="AD472" i="5"/>
  <c r="J472" i="5"/>
  <c r="C473" i="5"/>
  <c r="BA470" i="6"/>
  <c r="BD470" i="6"/>
  <c r="BK470" i="6"/>
  <c r="CM470" i="6"/>
  <c r="J471" i="12" a="1"/>
  <c r="J471" i="12" s="1"/>
  <c r="L471" i="12" a="1"/>
  <c r="L471" i="12" s="1"/>
  <c r="BQ470" i="6"/>
  <c r="AX470" i="6"/>
  <c r="AZ470" i="6"/>
  <c r="AY470" i="6"/>
  <c r="AT470" i="6"/>
  <c r="CH470" i="6"/>
  <c r="CI470" i="6"/>
  <c r="BV470" i="6"/>
  <c r="CJ470" i="6"/>
  <c r="BN470" i="6"/>
  <c r="BY470" i="6"/>
  <c r="BJ470" i="6"/>
  <c r="H471" i="6" a="1"/>
  <c r="H471" i="6" s="1"/>
  <c r="T471" i="5" s="1"/>
  <c r="G471" i="12" s="1"/>
  <c r="N471" i="6"/>
  <c r="M471" i="6"/>
  <c r="BY471" i="6" s="1"/>
  <c r="BO470" i="6"/>
  <c r="CL470" i="6"/>
  <c r="BE470" i="6"/>
  <c r="BW470" i="6"/>
  <c r="BT470" i="6"/>
  <c r="CE470" i="6"/>
  <c r="BM470" i="6"/>
  <c r="AU470" i="6"/>
  <c r="K471" i="12" l="1"/>
  <c r="CD471" i="6"/>
  <c r="CF471" i="6"/>
  <c r="BN471" i="6"/>
  <c r="BK471" i="6"/>
  <c r="BE471" i="6"/>
  <c r="BS471" i="6"/>
  <c r="CA471" i="6"/>
  <c r="BL471" i="6"/>
  <c r="CH471" i="6"/>
  <c r="CJ471" i="6"/>
  <c r="BO471" i="6"/>
  <c r="BW471" i="6"/>
  <c r="BR471" i="6"/>
  <c r="CK471" i="6"/>
  <c r="BP471" i="6"/>
  <c r="BX471" i="6"/>
  <c r="BZ471" i="6"/>
  <c r="BI471" i="6"/>
  <c r="BF471" i="6"/>
  <c r="BH471" i="6"/>
  <c r="BJ471" i="6"/>
  <c r="BT471" i="6"/>
  <c r="CE471" i="6"/>
  <c r="CI471" i="6"/>
  <c r="BV471" i="6"/>
  <c r="CG471" i="6"/>
  <c r="BM471" i="6"/>
  <c r="CB471" i="6"/>
  <c r="BC471" i="6"/>
  <c r="CC471" i="6"/>
  <c r="BD471" i="6"/>
  <c r="CM471" i="6"/>
  <c r="CL471" i="6"/>
  <c r="BQ471" i="6"/>
  <c r="BG471" i="6"/>
  <c r="AY471" i="6"/>
  <c r="AW471" i="6"/>
  <c r="AZ471" i="6"/>
  <c r="AT471" i="6"/>
  <c r="AU471" i="6"/>
  <c r="H472" i="6" a="1"/>
  <c r="H472" i="6" s="1"/>
  <c r="T472" i="5" s="1"/>
  <c r="G472" i="12" s="1"/>
  <c r="M472" i="6"/>
  <c r="BP472" i="6" s="1"/>
  <c r="N472" i="6"/>
  <c r="BA471" i="6"/>
  <c r="AX471" i="6"/>
  <c r="J473" i="5"/>
  <c r="A473" i="12"/>
  <c r="H473" i="5"/>
  <c r="N473" i="5"/>
  <c r="D473" i="6" s="1"/>
  <c r="G473" i="5"/>
  <c r="D473" i="5"/>
  <c r="B473" i="12" s="1"/>
  <c r="F473" i="5"/>
  <c r="B473" i="6"/>
  <c r="E473" i="5"/>
  <c r="B473" i="5"/>
  <c r="C474" i="5" s="1"/>
  <c r="AD473" i="5"/>
  <c r="K473" i="5"/>
  <c r="AE473" i="5"/>
  <c r="AV471" i="6"/>
  <c r="L472" i="12" a="1"/>
  <c r="L472" i="12" s="1"/>
  <c r="J472" i="12" a="1"/>
  <c r="J472" i="12" s="1"/>
  <c r="CC472" i="6" l="1"/>
  <c r="AT472" i="6"/>
  <c r="BT472" i="6"/>
  <c r="BS472" i="6"/>
  <c r="BK472" i="6"/>
  <c r="AU472" i="6"/>
  <c r="CH472" i="6"/>
  <c r="BO472" i="6"/>
  <c r="BC472" i="6"/>
  <c r="BA472" i="6"/>
  <c r="CK472" i="6"/>
  <c r="CM472" i="6"/>
  <c r="BH472" i="6"/>
  <c r="BI472" i="6"/>
  <c r="BE472" i="6"/>
  <c r="CB472" i="6"/>
  <c r="CI472" i="6"/>
  <c r="AX472" i="6"/>
  <c r="BM472" i="6"/>
  <c r="BG472" i="6"/>
  <c r="BV472" i="6"/>
  <c r="BN472" i="6"/>
  <c r="BD472" i="6"/>
  <c r="BR472" i="6"/>
  <c r="AZ472" i="6"/>
  <c r="CD472" i="6"/>
  <c r="CG472" i="6"/>
  <c r="BX472" i="6"/>
  <c r="AV472" i="6"/>
  <c r="AY472" i="6"/>
  <c r="CF472" i="6"/>
  <c r="BQ472" i="6"/>
  <c r="BJ472" i="6"/>
  <c r="BF472" i="6"/>
  <c r="CA472" i="6"/>
  <c r="CL472" i="6"/>
  <c r="CE472" i="6"/>
  <c r="BY472" i="6"/>
  <c r="BL472" i="6"/>
  <c r="BW472" i="6"/>
  <c r="BZ472" i="6"/>
  <c r="CJ472" i="6"/>
  <c r="H473" i="6" a="1"/>
  <c r="H473" i="6" s="1"/>
  <c r="T473" i="5" s="1"/>
  <c r="G473" i="12" s="1"/>
  <c r="N473" i="6"/>
  <c r="M473" i="6"/>
  <c r="BW473" i="6" s="1"/>
  <c r="N474" i="5"/>
  <c r="D474" i="6" s="1"/>
  <c r="C475" i="5"/>
  <c r="A474" i="12"/>
  <c r="G474" i="5"/>
  <c r="AD474" i="5"/>
  <c r="I474" i="5"/>
  <c r="E474" i="5"/>
  <c r="H474" i="5"/>
  <c r="W474" i="5"/>
  <c r="H474" i="12" s="1"/>
  <c r="F474" i="5"/>
  <c r="B474" i="5"/>
  <c r="AE474" i="5"/>
  <c r="B474" i="6"/>
  <c r="J474" i="6" s="1" a="1"/>
  <c r="J474" i="6" s="1"/>
  <c r="K472" i="12"/>
  <c r="J473" i="12" a="1"/>
  <c r="J473" i="12" s="1"/>
  <c r="L473" i="12" a="1"/>
  <c r="L473" i="12" s="1"/>
  <c r="AW472" i="6"/>
  <c r="BM473" i="6" l="1"/>
  <c r="CJ473" i="6"/>
  <c r="BH473" i="6"/>
  <c r="CM473" i="6"/>
  <c r="BD473" i="6"/>
  <c r="BC473" i="6"/>
  <c r="BR473" i="6"/>
  <c r="BO473" i="6"/>
  <c r="CL473" i="6"/>
  <c r="BL473" i="6"/>
  <c r="BN473" i="6"/>
  <c r="BV473" i="6"/>
  <c r="BZ473" i="6"/>
  <c r="CA473" i="6"/>
  <c r="BI473" i="6"/>
  <c r="CB473" i="6"/>
  <c r="BK473" i="6"/>
  <c r="CK473" i="6"/>
  <c r="BG473" i="6"/>
  <c r="CC473" i="6"/>
  <c r="CD473" i="6"/>
  <c r="CF473" i="6"/>
  <c r="BP473" i="6"/>
  <c r="BJ473" i="6"/>
  <c r="BS473" i="6"/>
  <c r="BE473" i="6"/>
  <c r="BF473" i="6"/>
  <c r="CH473" i="6"/>
  <c r="BX473" i="6"/>
  <c r="CE473" i="6"/>
  <c r="CG473" i="6"/>
  <c r="BQ473" i="6"/>
  <c r="BT473" i="6"/>
  <c r="CI473" i="6"/>
  <c r="BY473" i="6"/>
  <c r="AV473" i="6"/>
  <c r="AW473" i="6"/>
  <c r="AX473" i="6"/>
  <c r="BA473" i="6"/>
  <c r="AY473" i="6"/>
  <c r="AU473" i="6"/>
  <c r="AZ473" i="6"/>
  <c r="AT473" i="6"/>
  <c r="K473" i="12"/>
  <c r="N474" i="6"/>
  <c r="M474" i="6"/>
  <c r="BX474" i="6" s="1"/>
  <c r="G474" i="6"/>
  <c r="H474" i="6" a="1"/>
  <c r="H474" i="6" s="1"/>
  <c r="T474" i="5" s="1"/>
  <c r="G474" i="12" s="1"/>
  <c r="D475" i="5"/>
  <c r="B475" i="12" s="1"/>
  <c r="K475" i="5"/>
  <c r="E475" i="5"/>
  <c r="B475" i="5"/>
  <c r="G475" i="5"/>
  <c r="H475" i="5"/>
  <c r="A475" i="12"/>
  <c r="N475" i="5"/>
  <c r="D475" i="6" s="1"/>
  <c r="C476" i="5"/>
  <c r="B475" i="6"/>
  <c r="F475" i="5"/>
  <c r="AD475" i="5"/>
  <c r="AE475" i="5"/>
  <c r="J475" i="5"/>
  <c r="AL474" i="6" l="1"/>
  <c r="BY474" i="6"/>
  <c r="BI474" i="6"/>
  <c r="AN474" i="6"/>
  <c r="AK474" i="6"/>
  <c r="BV474" i="6"/>
  <c r="BF474" i="6"/>
  <c r="BN474" i="6"/>
  <c r="BA474" i="6"/>
  <c r="AQ474" i="6"/>
  <c r="BS474" i="6"/>
  <c r="BD474" i="6"/>
  <c r="AO474" i="6"/>
  <c r="CD474" i="6"/>
  <c r="BO474" i="6"/>
  <c r="BW474" i="6"/>
  <c r="BC474" i="6"/>
  <c r="CL474" i="6"/>
  <c r="BK474" i="6"/>
  <c r="CC474" i="6"/>
  <c r="CJ474" i="6"/>
  <c r="CG474" i="6"/>
  <c r="BM474" i="6"/>
  <c r="BR474" i="6"/>
  <c r="BE474" i="6"/>
  <c r="BG474" i="6"/>
  <c r="BZ474" i="6"/>
  <c r="BJ474" i="6"/>
  <c r="BH474" i="6"/>
  <c r="BT474" i="6"/>
  <c r="CK474" i="6"/>
  <c r="BQ474" i="6"/>
  <c r="AV474" i="6"/>
  <c r="CM474" i="6"/>
  <c r="CF474" i="6"/>
  <c r="CI474" i="6"/>
  <c r="BL474" i="6"/>
  <c r="BP474" i="6"/>
  <c r="AW474" i="6"/>
  <c r="CA474" i="6"/>
  <c r="AT474" i="6"/>
  <c r="CB474" i="6"/>
  <c r="CE474" i="6"/>
  <c r="AR474" i="6"/>
  <c r="CH474" i="6"/>
  <c r="D476" i="5"/>
  <c r="B476" i="12" s="1"/>
  <c r="AE476" i="5"/>
  <c r="B476" i="5"/>
  <c r="B476" i="6"/>
  <c r="E476" i="5"/>
  <c r="A476" i="12"/>
  <c r="AD476" i="5"/>
  <c r="F476" i="5"/>
  <c r="K476" i="5"/>
  <c r="C477" i="5"/>
  <c r="H476" i="5"/>
  <c r="G476" i="5"/>
  <c r="J476" i="5"/>
  <c r="N476" i="5"/>
  <c r="D476" i="6" s="1"/>
  <c r="M475" i="6"/>
  <c r="CK475" i="6" s="1"/>
  <c r="N475" i="6"/>
  <c r="H475" i="6" a="1"/>
  <c r="H475" i="6" s="1"/>
  <c r="T475" i="5" s="1"/>
  <c r="G475" i="12" s="1"/>
  <c r="L475" i="12" a="1"/>
  <c r="L475" i="12" s="1"/>
  <c r="J475" i="12" a="1"/>
  <c r="J475" i="12" s="1"/>
  <c r="AS474" i="6"/>
  <c r="AM474" i="6"/>
  <c r="AZ474" i="6"/>
  <c r="AP474" i="6"/>
  <c r="AY474" i="6"/>
  <c r="AJ474" i="6"/>
  <c r="AU474" i="6"/>
  <c r="AX474" i="6"/>
  <c r="CJ475" i="6" l="1"/>
  <c r="BF475" i="6"/>
  <c r="CD475" i="6"/>
  <c r="BM475" i="6"/>
  <c r="BD475" i="6"/>
  <c r="BJ475" i="6"/>
  <c r="CC475" i="6"/>
  <c r="BX475" i="6"/>
  <c r="CL475" i="6"/>
  <c r="BY475" i="6"/>
  <c r="BK475" i="6"/>
  <c r="BN475" i="6"/>
  <c r="BL475" i="6"/>
  <c r="CH475" i="6"/>
  <c r="CI475" i="6"/>
  <c r="BV475" i="6"/>
  <c r="CB475" i="6"/>
  <c r="BA475" i="6"/>
  <c r="CG475" i="6"/>
  <c r="BO475" i="6"/>
  <c r="BG475" i="6"/>
  <c r="BH475" i="6"/>
  <c r="BT475" i="6"/>
  <c r="BS475" i="6"/>
  <c r="BC475" i="6"/>
  <c r="BI475" i="6"/>
  <c r="CM475" i="6"/>
  <c r="CE475" i="6"/>
  <c r="BW475" i="6"/>
  <c r="AT475" i="6"/>
  <c r="BZ475" i="6"/>
  <c r="AU475" i="6"/>
  <c r="BQ475" i="6"/>
  <c r="BR475" i="6"/>
  <c r="CF475" i="6"/>
  <c r="J476" i="12" a="1"/>
  <c r="J476" i="12" s="1"/>
  <c r="L476" i="12" a="1"/>
  <c r="L476" i="12" s="1"/>
  <c r="AX475" i="6"/>
  <c r="AW475" i="6"/>
  <c r="M476" i="6"/>
  <c r="CK476" i="6" s="1"/>
  <c r="H476" i="6" a="1"/>
  <c r="H476" i="6" s="1"/>
  <c r="T476" i="5" s="1"/>
  <c r="G476" i="12" s="1"/>
  <c r="N476" i="6"/>
  <c r="AE477" i="5"/>
  <c r="D477" i="5"/>
  <c r="B477" i="12" s="1"/>
  <c r="N477" i="5"/>
  <c r="D477" i="6" s="1"/>
  <c r="B477" i="5"/>
  <c r="J477" i="5"/>
  <c r="G477" i="5"/>
  <c r="A477" i="12"/>
  <c r="F477" i="5"/>
  <c r="B477" i="6"/>
  <c r="AD477" i="5"/>
  <c r="C478" i="5"/>
  <c r="K477" i="5"/>
  <c r="E477" i="5"/>
  <c r="H477" i="5"/>
  <c r="K475" i="12"/>
  <c r="AY475" i="6"/>
  <c r="CA475" i="6"/>
  <c r="BE475" i="6"/>
  <c r="AV475" i="6"/>
  <c r="AZ475" i="6"/>
  <c r="BP475" i="6"/>
  <c r="BT476" i="6" l="1"/>
  <c r="BN476" i="6"/>
  <c r="CM476" i="6"/>
  <c r="BX476" i="6"/>
  <c r="BS476" i="6"/>
  <c r="BK476" i="6"/>
  <c r="CJ476" i="6"/>
  <c r="CE476" i="6"/>
  <c r="K476" i="12"/>
  <c r="BJ476" i="6"/>
  <c r="CI476" i="6"/>
  <c r="CF476" i="6"/>
  <c r="AU476" i="6"/>
  <c r="BO476" i="6"/>
  <c r="BM476" i="6"/>
  <c r="BC476" i="6"/>
  <c r="BR476" i="6"/>
  <c r="CH476" i="6"/>
  <c r="BW476" i="6"/>
  <c r="AT476" i="6"/>
  <c r="BF476" i="6"/>
  <c r="BE476" i="6"/>
  <c r="BV476" i="6"/>
  <c r="BL476" i="6"/>
  <c r="AZ476" i="6"/>
  <c r="BI476" i="6"/>
  <c r="BY476" i="6"/>
  <c r="CA476" i="6"/>
  <c r="BZ476" i="6"/>
  <c r="BQ476" i="6"/>
  <c r="J477" i="12" a="1"/>
  <c r="J477" i="12" s="1"/>
  <c r="L477" i="12" a="1"/>
  <c r="L477" i="12" s="1"/>
  <c r="H477" i="6" a="1"/>
  <c r="H477" i="6" s="1"/>
  <c r="T477" i="5" s="1"/>
  <c r="G477" i="12" s="1"/>
  <c r="M477" i="6"/>
  <c r="BF477" i="6" s="1"/>
  <c r="N477" i="6"/>
  <c r="CB476" i="6"/>
  <c r="BD476" i="6"/>
  <c r="CC476" i="6"/>
  <c r="A478" i="12"/>
  <c r="B478" i="5"/>
  <c r="C479" i="5" s="1"/>
  <c r="D478" i="5"/>
  <c r="B478" i="12" s="1"/>
  <c r="AE478" i="5"/>
  <c r="N478" i="5"/>
  <c r="D478" i="6" s="1"/>
  <c r="H478" i="5"/>
  <c r="K478" i="5"/>
  <c r="F478" i="5"/>
  <c r="J478" i="5"/>
  <c r="G478" i="5"/>
  <c r="B478" i="6"/>
  <c r="E478" i="5"/>
  <c r="AD478" i="5"/>
  <c r="BP476" i="6"/>
  <c r="AW476" i="6"/>
  <c r="BG476" i="6"/>
  <c r="AY476" i="6"/>
  <c r="BA476" i="6"/>
  <c r="AV476" i="6"/>
  <c r="CG476" i="6"/>
  <c r="CL476" i="6"/>
  <c r="BH476" i="6"/>
  <c r="AX476" i="6"/>
  <c r="CD476" i="6"/>
  <c r="K477" i="12" l="1"/>
  <c r="BE477" i="6"/>
  <c r="BJ477" i="6"/>
  <c r="BL477" i="6"/>
  <c r="CK477" i="6"/>
  <c r="BD477" i="6"/>
  <c r="CH477" i="6"/>
  <c r="CF477" i="6"/>
  <c r="CG477" i="6"/>
  <c r="BG477" i="6"/>
  <c r="AT477" i="6"/>
  <c r="BW477" i="6"/>
  <c r="CM477" i="6"/>
  <c r="BN477" i="6"/>
  <c r="CE477" i="6"/>
  <c r="BH477" i="6"/>
  <c r="CD477" i="6"/>
  <c r="BX477" i="6"/>
  <c r="BQ477" i="6"/>
  <c r="BM477" i="6"/>
  <c r="CI477" i="6"/>
  <c r="BV477" i="6"/>
  <c r="BT477" i="6"/>
  <c r="CC477" i="6"/>
  <c r="CL477" i="6"/>
  <c r="AW477" i="6"/>
  <c r="BK477" i="6"/>
  <c r="BZ477" i="6"/>
  <c r="AX477" i="6"/>
  <c r="CB477" i="6"/>
  <c r="AV477" i="6"/>
  <c r="BP477" i="6"/>
  <c r="BI477" i="6"/>
  <c r="CA477" i="6"/>
  <c r="BS477" i="6"/>
  <c r="CJ477" i="6"/>
  <c r="BC477" i="6"/>
  <c r="BY477" i="6"/>
  <c r="N478" i="6"/>
  <c r="M478" i="6"/>
  <c r="BL478" i="6" s="1"/>
  <c r="H478" i="6" a="1"/>
  <c r="H478" i="6" s="1"/>
  <c r="T478" i="5" s="1"/>
  <c r="G478" i="12" s="1"/>
  <c r="G479" i="5"/>
  <c r="B479" i="5"/>
  <c r="C480" i="5" s="1"/>
  <c r="A479" i="12"/>
  <c r="F479" i="5"/>
  <c r="AD479" i="5"/>
  <c r="AE479" i="5"/>
  <c r="I479" i="5"/>
  <c r="B479" i="6"/>
  <c r="J479" i="6" s="1" a="1"/>
  <c r="J479" i="6" s="1"/>
  <c r="E479" i="5"/>
  <c r="W479" i="5"/>
  <c r="H479" i="12" s="1"/>
  <c r="H479" i="5"/>
  <c r="N479" i="5"/>
  <c r="D479" i="6" s="1"/>
  <c r="L478" i="12" a="1"/>
  <c r="L478" i="12" s="1"/>
  <c r="J478" i="12" a="1"/>
  <c r="J478" i="12" s="1"/>
  <c r="AZ477" i="6"/>
  <c r="AY477" i="6"/>
  <c r="AU477" i="6"/>
  <c r="BO477" i="6"/>
  <c r="BA477" i="6"/>
  <c r="BR477" i="6"/>
  <c r="BW478" i="6" l="1"/>
  <c r="BJ478" i="6"/>
  <c r="BY478" i="6"/>
  <c r="BS478" i="6"/>
  <c r="CL478" i="6"/>
  <c r="BQ478" i="6"/>
  <c r="BT478" i="6"/>
  <c r="BZ478" i="6"/>
  <c r="BX478" i="6"/>
  <c r="BO478" i="6"/>
  <c r="BR478" i="6"/>
  <c r="BP478" i="6"/>
  <c r="CI478" i="6"/>
  <c r="AT478" i="6"/>
  <c r="CA478" i="6"/>
  <c r="AZ478" i="6"/>
  <c r="BI478" i="6"/>
  <c r="BH478" i="6"/>
  <c r="BV478" i="6"/>
  <c r="BD478" i="6"/>
  <c r="CM478" i="6"/>
  <c r="CE478" i="6"/>
  <c r="AV478" i="6"/>
  <c r="BA478" i="6"/>
  <c r="CB478" i="6"/>
  <c r="BM478" i="6"/>
  <c r="BN478" i="6"/>
  <c r="BC478" i="6"/>
  <c r="CK478" i="6"/>
  <c r="K478" i="12"/>
  <c r="BK478" i="6"/>
  <c r="BG478" i="6"/>
  <c r="CD478" i="6"/>
  <c r="CH478" i="6"/>
  <c r="BE478" i="6"/>
  <c r="CC478" i="6"/>
  <c r="AX478" i="6"/>
  <c r="CJ478" i="6"/>
  <c r="CG478" i="6"/>
  <c r="H479" i="6" a="1"/>
  <c r="H479" i="6" s="1"/>
  <c r="T479" i="5" s="1"/>
  <c r="G479" i="12" s="1"/>
  <c r="G479" i="6"/>
  <c r="N479" i="6"/>
  <c r="M479" i="6"/>
  <c r="CH479" i="6" s="1"/>
  <c r="AY478" i="6"/>
  <c r="AU478" i="6"/>
  <c r="AW478" i="6"/>
  <c r="B480" i="6"/>
  <c r="J480" i="6" s="1" a="1"/>
  <c r="J480" i="6" s="1"/>
  <c r="A480" i="12"/>
  <c r="F480" i="5"/>
  <c r="AD480" i="5"/>
  <c r="C481" i="5"/>
  <c r="AE480" i="5"/>
  <c r="H480" i="5"/>
  <c r="B480" i="5"/>
  <c r="I480" i="5"/>
  <c r="E480" i="5"/>
  <c r="G480" i="5"/>
  <c r="N480" i="5"/>
  <c r="D480" i="6" s="1"/>
  <c r="W480" i="5"/>
  <c r="H480" i="12" s="1"/>
  <c r="CF478" i="6"/>
  <c r="BF478" i="6"/>
  <c r="BK479" i="6" l="1"/>
  <c r="BP479" i="6"/>
  <c r="BH479" i="6"/>
  <c r="BS479" i="6"/>
  <c r="BQ479" i="6"/>
  <c r="BD479" i="6"/>
  <c r="BC479" i="6"/>
  <c r="CF479" i="6"/>
  <c r="CC479" i="6"/>
  <c r="BE479" i="6"/>
  <c r="CB479" i="6"/>
  <c r="CG479" i="6"/>
  <c r="CD479" i="6"/>
  <c r="BO479" i="6"/>
  <c r="BV479" i="6"/>
  <c r="BI479" i="6"/>
  <c r="CJ479" i="6"/>
  <c r="BX479" i="6"/>
  <c r="BZ479" i="6"/>
  <c r="BT479" i="6"/>
  <c r="CI479" i="6"/>
  <c r="BG479" i="6"/>
  <c r="CA479" i="6"/>
  <c r="CL479" i="6"/>
  <c r="AK479" i="6"/>
  <c r="BF479" i="6"/>
  <c r="BN479" i="6"/>
  <c r="AR479" i="6"/>
  <c r="CM479" i="6"/>
  <c r="AV479" i="6"/>
  <c r="AP479" i="6"/>
  <c r="AL479" i="6"/>
  <c r="AX479" i="6"/>
  <c r="AT479" i="6"/>
  <c r="AQ479" i="6"/>
  <c r="AJ479" i="6"/>
  <c r="AU479" i="6"/>
  <c r="AN479" i="6"/>
  <c r="BW479" i="6"/>
  <c r="CK479" i="6"/>
  <c r="AS479" i="6"/>
  <c r="AM479" i="6"/>
  <c r="AZ479" i="6"/>
  <c r="BY479" i="6"/>
  <c r="AO479" i="6"/>
  <c r="BR479" i="6"/>
  <c r="A481" i="12"/>
  <c r="E481" i="5"/>
  <c r="B481" i="6"/>
  <c r="B481" i="5"/>
  <c r="N481" i="5"/>
  <c r="D481" i="6" s="1"/>
  <c r="C482" i="5"/>
  <c r="F481" i="5"/>
  <c r="AE481" i="5"/>
  <c r="D481" i="5"/>
  <c r="B481" i="12" s="1"/>
  <c r="H481" i="5"/>
  <c r="G481" i="5"/>
  <c r="K481" i="5"/>
  <c r="J481" i="5"/>
  <c r="AD481" i="5"/>
  <c r="BM479" i="6"/>
  <c r="AY479" i="6"/>
  <c r="AW479" i="6"/>
  <c r="BJ479" i="6"/>
  <c r="CE479" i="6"/>
  <c r="BA479" i="6"/>
  <c r="BL479" i="6"/>
  <c r="H480" i="6" a="1"/>
  <c r="H480" i="6" s="1"/>
  <c r="T480" i="5" s="1"/>
  <c r="G480" i="12" s="1"/>
  <c r="G480" i="6"/>
  <c r="M480" i="6"/>
  <c r="BE480" i="6" s="1"/>
  <c r="N480" i="6"/>
  <c r="BS480" i="6" l="1"/>
  <c r="CE480" i="6"/>
  <c r="BF480" i="6"/>
  <c r="CF480" i="6"/>
  <c r="CH480" i="6"/>
  <c r="BQ480" i="6"/>
  <c r="BY480" i="6"/>
  <c r="BP480" i="6"/>
  <c r="CM480" i="6"/>
  <c r="CD480" i="6"/>
  <c r="BJ480" i="6"/>
  <c r="BN480" i="6"/>
  <c r="CG480" i="6"/>
  <c r="BD480" i="6"/>
  <c r="BT480" i="6"/>
  <c r="BK480" i="6"/>
  <c r="BC480" i="6"/>
  <c r="BW480" i="6"/>
  <c r="BO480" i="6"/>
  <c r="CA480" i="6"/>
  <c r="BR480" i="6"/>
  <c r="CC480" i="6"/>
  <c r="BX480" i="6"/>
  <c r="BG480" i="6"/>
  <c r="CB480" i="6"/>
  <c r="BH480" i="6"/>
  <c r="CJ480" i="6"/>
  <c r="BL480" i="6"/>
  <c r="CI480" i="6"/>
  <c r="CK480" i="6"/>
  <c r="BM480" i="6"/>
  <c r="BI480" i="6"/>
  <c r="BZ480" i="6"/>
  <c r="BV480" i="6"/>
  <c r="CL480" i="6"/>
  <c r="AQ480" i="6"/>
  <c r="AM480" i="6"/>
  <c r="AY480" i="6"/>
  <c r="AL480" i="6"/>
  <c r="AU480" i="6"/>
  <c r="AJ480" i="6"/>
  <c r="A482" i="12"/>
  <c r="AD482" i="5"/>
  <c r="N482" i="5"/>
  <c r="D482" i="6" s="1"/>
  <c r="B482" i="6"/>
  <c r="F482" i="5"/>
  <c r="B482" i="5"/>
  <c r="C483" i="5" s="1"/>
  <c r="K482" i="5"/>
  <c r="H482" i="5"/>
  <c r="AE482" i="5"/>
  <c r="J482" i="5"/>
  <c r="D482" i="5"/>
  <c r="B482" i="12" s="1"/>
  <c r="G482" i="5"/>
  <c r="E482" i="5"/>
  <c r="AS480" i="6"/>
  <c r="N481" i="6"/>
  <c r="M481" i="6"/>
  <c r="BM481" i="6" s="1"/>
  <c r="H481" i="6" a="1"/>
  <c r="H481" i="6" s="1"/>
  <c r="T481" i="5" s="1"/>
  <c r="G481" i="12" s="1"/>
  <c r="AV480" i="6"/>
  <c r="AR480" i="6"/>
  <c r="AO480" i="6"/>
  <c r="AP480" i="6"/>
  <c r="AW480" i="6"/>
  <c r="AT480" i="6"/>
  <c r="AX480" i="6"/>
  <c r="AZ480" i="6"/>
  <c r="AN480" i="6"/>
  <c r="J481" i="12" a="1"/>
  <c r="J481" i="12" s="1"/>
  <c r="L481" i="12" a="1"/>
  <c r="L481" i="12" s="1"/>
  <c r="AK480" i="6"/>
  <c r="BA480" i="6"/>
  <c r="CD481" i="6" l="1"/>
  <c r="BG481" i="6"/>
  <c r="BP481" i="6"/>
  <c r="CI481" i="6"/>
  <c r="BJ481" i="6"/>
  <c r="BO481" i="6"/>
  <c r="BS481" i="6"/>
  <c r="BV481" i="6"/>
  <c r="CK481" i="6"/>
  <c r="BC481" i="6"/>
  <c r="BT481" i="6"/>
  <c r="BX481" i="6"/>
  <c r="K481" i="12"/>
  <c r="BZ481" i="6"/>
  <c r="CG481" i="6"/>
  <c r="M482" i="6"/>
  <c r="CI482" i="6" s="1"/>
  <c r="H482" i="6" a="1"/>
  <c r="H482" i="6" s="1"/>
  <c r="T482" i="5" s="1"/>
  <c r="G482" i="12" s="1"/>
  <c r="N482" i="6"/>
  <c r="L482" i="12" a="1"/>
  <c r="L482" i="12" s="1"/>
  <c r="J482" i="12" a="1"/>
  <c r="J482" i="12" s="1"/>
  <c r="AZ481" i="6"/>
  <c r="AW481" i="6"/>
  <c r="AU481" i="6"/>
  <c r="CH481" i="6"/>
  <c r="CJ481" i="6"/>
  <c r="BE481" i="6"/>
  <c r="CM481" i="6"/>
  <c r="BD481" i="6"/>
  <c r="CL481" i="6"/>
  <c r="CC481" i="6"/>
  <c r="BK481" i="6"/>
  <c r="BH481" i="6"/>
  <c r="CA481" i="6"/>
  <c r="AV481" i="6"/>
  <c r="AT481" i="6"/>
  <c r="BQ481" i="6"/>
  <c r="BR481" i="6"/>
  <c r="AX481" i="6"/>
  <c r="CE481" i="6"/>
  <c r="AY481" i="6"/>
  <c r="BA481" i="6"/>
  <c r="BY481" i="6"/>
  <c r="CF481" i="6"/>
  <c r="BF481" i="6"/>
  <c r="BN481" i="6"/>
  <c r="BW481" i="6"/>
  <c r="CB481" i="6"/>
  <c r="BL481" i="6"/>
  <c r="BI481" i="6"/>
  <c r="AE483" i="5"/>
  <c r="AD483" i="5"/>
  <c r="B483" i="6"/>
  <c r="J483" i="6" s="1" a="1"/>
  <c r="J483" i="6" s="1"/>
  <c r="E483" i="5"/>
  <c r="N483" i="5"/>
  <c r="D483" i="6" s="1"/>
  <c r="C484" i="5"/>
  <c r="W483" i="5"/>
  <c r="H483" i="12" s="1"/>
  <c r="I483" i="5"/>
  <c r="G483" i="5"/>
  <c r="H483" i="5"/>
  <c r="A483" i="12"/>
  <c r="F483" i="5"/>
  <c r="B483" i="5"/>
  <c r="BZ482" i="6" l="1"/>
  <c r="BY482" i="6"/>
  <c r="BV482" i="6"/>
  <c r="BS482" i="6"/>
  <c r="BX482" i="6"/>
  <c r="CE482" i="6"/>
  <c r="AX482" i="6"/>
  <c r="CG482" i="6"/>
  <c r="BP482" i="6"/>
  <c r="BE482" i="6"/>
  <c r="BH482" i="6"/>
  <c r="CH482" i="6"/>
  <c r="CF482" i="6"/>
  <c r="CC482" i="6"/>
  <c r="BC482" i="6"/>
  <c r="CB482" i="6"/>
  <c r="CJ482" i="6"/>
  <c r="CD482" i="6"/>
  <c r="BK482" i="6"/>
  <c r="BJ482" i="6"/>
  <c r="BA482" i="6"/>
  <c r="AW482" i="6"/>
  <c r="CM482" i="6"/>
  <c r="BM482" i="6"/>
  <c r="BD482" i="6"/>
  <c r="BT482" i="6"/>
  <c r="BI482" i="6"/>
  <c r="BL482" i="6"/>
  <c r="BG482" i="6"/>
  <c r="CA482" i="6"/>
  <c r="AT482" i="6"/>
  <c r="CK482" i="6"/>
  <c r="BN482" i="6"/>
  <c r="K482" i="12"/>
  <c r="AV482" i="6"/>
  <c r="BR482" i="6"/>
  <c r="BW482" i="6"/>
  <c r="BO482" i="6"/>
  <c r="BQ482" i="6"/>
  <c r="CL482" i="6"/>
  <c r="BF482" i="6"/>
  <c r="H483" i="6" a="1"/>
  <c r="H483" i="6" s="1"/>
  <c r="T483" i="5" s="1"/>
  <c r="G483" i="12" s="1"/>
  <c r="N483" i="6"/>
  <c r="G483" i="6"/>
  <c r="M483" i="6"/>
  <c r="AU482" i="6"/>
  <c r="H484" i="5"/>
  <c r="AE484" i="5"/>
  <c r="G484" i="5"/>
  <c r="J484" i="5"/>
  <c r="F484" i="5"/>
  <c r="E484" i="5"/>
  <c r="B484" i="6"/>
  <c r="AD484" i="5"/>
  <c r="K484" i="5"/>
  <c r="N484" i="5"/>
  <c r="D484" i="6" s="1"/>
  <c r="A484" i="12"/>
  <c r="D484" i="5"/>
  <c r="B484" i="12" s="1"/>
  <c r="C485" i="5"/>
  <c r="B484" i="5"/>
  <c r="AZ482" i="6"/>
  <c r="AY482" i="6"/>
  <c r="AP483" i="6" l="1"/>
  <c r="AU483" i="6"/>
  <c r="CL483" i="6"/>
  <c r="AW483" i="6"/>
  <c r="CJ483" i="6"/>
  <c r="BM483" i="6"/>
  <c r="BT483" i="6"/>
  <c r="AY483" i="6"/>
  <c r="AL483" i="6"/>
  <c r="AK483" i="6"/>
  <c r="BQ483" i="6"/>
  <c r="CA483" i="6"/>
  <c r="BL483" i="6"/>
  <c r="BW483" i="6"/>
  <c r="BS483" i="6"/>
  <c r="CG483" i="6"/>
  <c r="BF483" i="6"/>
  <c r="CC483" i="6"/>
  <c r="AM483" i="6"/>
  <c r="BC483" i="6"/>
  <c r="BP483" i="6"/>
  <c r="CK483" i="6"/>
  <c r="AZ483" i="6"/>
  <c r="BZ483" i="6"/>
  <c r="CI483" i="6"/>
  <c r="AV483" i="6"/>
  <c r="AT483" i="6"/>
  <c r="BX483" i="6"/>
  <c r="BI483" i="6"/>
  <c r="BK483" i="6"/>
  <c r="BV483" i="6"/>
  <c r="AN483" i="6"/>
  <c r="BY483" i="6"/>
  <c r="BJ483" i="6"/>
  <c r="AR483" i="6"/>
  <c r="BA483" i="6"/>
  <c r="CD483" i="6"/>
  <c r="BD483" i="6"/>
  <c r="CF483" i="6"/>
  <c r="CB483" i="6"/>
  <c r="BN483" i="6"/>
  <c r="CE483" i="6"/>
  <c r="BH483" i="6"/>
  <c r="CM483" i="6"/>
  <c r="BR483" i="6"/>
  <c r="AX483" i="6"/>
  <c r="CH483" i="6"/>
  <c r="AS483" i="6"/>
  <c r="AJ483" i="6"/>
  <c r="BG483" i="6"/>
  <c r="BE483" i="6"/>
  <c r="AQ483" i="6"/>
  <c r="BO483" i="6"/>
  <c r="L484" i="12" a="1"/>
  <c r="L484" i="12" s="1"/>
  <c r="J484" i="12" a="1"/>
  <c r="J484" i="12" s="1"/>
  <c r="H484" i="6" a="1"/>
  <c r="H484" i="6" s="1"/>
  <c r="T484" i="5" s="1"/>
  <c r="G484" i="12" s="1"/>
  <c r="N484" i="6"/>
  <c r="M484" i="6"/>
  <c r="BD484" i="6" s="1"/>
  <c r="AO483" i="6"/>
  <c r="F485" i="5"/>
  <c r="N485" i="5"/>
  <c r="D485" i="6" s="1"/>
  <c r="G485" i="5"/>
  <c r="B485" i="6"/>
  <c r="D485" i="5"/>
  <c r="B485" i="12" s="1"/>
  <c r="AE485" i="5"/>
  <c r="E485" i="5"/>
  <c r="K485" i="5"/>
  <c r="J485" i="5"/>
  <c r="AD485" i="5"/>
  <c r="B485" i="5"/>
  <c r="C486" i="5" s="1"/>
  <c r="H485" i="5"/>
  <c r="A485" i="12"/>
  <c r="BI484" i="6" l="1"/>
  <c r="K484" i="12"/>
  <c r="BV484" i="6"/>
  <c r="AY484" i="6"/>
  <c r="BS484" i="6"/>
  <c r="CH484" i="6"/>
  <c r="BQ484" i="6"/>
  <c r="BN484" i="6"/>
  <c r="BF484" i="6"/>
  <c r="BR484" i="6"/>
  <c r="CA484" i="6"/>
  <c r="BE484" i="6"/>
  <c r="CE484" i="6"/>
  <c r="BH484" i="6"/>
  <c r="BX484" i="6"/>
  <c r="BK484" i="6"/>
  <c r="CK484" i="6"/>
  <c r="BW484" i="6"/>
  <c r="BO484" i="6"/>
  <c r="BC484" i="6"/>
  <c r="BL484" i="6"/>
  <c r="CM484" i="6"/>
  <c r="CF484" i="6"/>
  <c r="CC484" i="6"/>
  <c r="CG484" i="6"/>
  <c r="BZ484" i="6"/>
  <c r="AX484" i="6"/>
  <c r="BA484" i="6"/>
  <c r="AZ484" i="6"/>
  <c r="AV484" i="6"/>
  <c r="AW484" i="6"/>
  <c r="BJ484" i="6"/>
  <c r="CD484" i="6"/>
  <c r="CJ484" i="6"/>
  <c r="AT484" i="6"/>
  <c r="CL484" i="6"/>
  <c r="BY484" i="6"/>
  <c r="H485" i="6" a="1"/>
  <c r="H485" i="6" s="1"/>
  <c r="T485" i="5" s="1"/>
  <c r="G485" i="12" s="1"/>
  <c r="N485" i="6"/>
  <c r="M485" i="6"/>
  <c r="BC485" i="6" s="1"/>
  <c r="J485" i="12" a="1"/>
  <c r="J485" i="12" s="1"/>
  <c r="L485" i="12" a="1"/>
  <c r="L485" i="12" s="1"/>
  <c r="BP484" i="6"/>
  <c r="CI484" i="6"/>
  <c r="CB484" i="6"/>
  <c r="A486" i="12"/>
  <c r="B486" i="6"/>
  <c r="J486" i="6" s="1" a="1"/>
  <c r="J486" i="6" s="1"/>
  <c r="W486" i="5"/>
  <c r="H486" i="12" s="1"/>
  <c r="N486" i="5"/>
  <c r="D486" i="6" s="1"/>
  <c r="C487" i="5"/>
  <c r="H486" i="5"/>
  <c r="I486" i="5"/>
  <c r="AD486" i="5"/>
  <c r="G486" i="5"/>
  <c r="B486" i="5"/>
  <c r="F486" i="5"/>
  <c r="E486" i="5"/>
  <c r="AE486" i="5"/>
  <c r="AU484" i="6"/>
  <c r="BT484" i="6"/>
  <c r="BG484" i="6"/>
  <c r="BM484" i="6"/>
  <c r="CH485" i="6" l="1"/>
  <c r="BR485" i="6"/>
  <c r="BH485" i="6"/>
  <c r="CF485" i="6"/>
  <c r="BG485" i="6"/>
  <c r="CC485" i="6"/>
  <c r="BY485" i="6"/>
  <c r="BP485" i="6"/>
  <c r="CG485" i="6"/>
  <c r="BQ485" i="6"/>
  <c r="BM485" i="6"/>
  <c r="BE485" i="6"/>
  <c r="BS485" i="6"/>
  <c r="CE485" i="6"/>
  <c r="CD485" i="6"/>
  <c r="BV485" i="6"/>
  <c r="CM485" i="6"/>
  <c r="BF485" i="6"/>
  <c r="CK485" i="6"/>
  <c r="BZ485" i="6"/>
  <c r="CJ485" i="6"/>
  <c r="BN485" i="6"/>
  <c r="BK485" i="6"/>
  <c r="BI485" i="6"/>
  <c r="BO485" i="6"/>
  <c r="BX485" i="6"/>
  <c r="CA485" i="6"/>
  <c r="CL485" i="6"/>
  <c r="BT485" i="6"/>
  <c r="CI485" i="6"/>
  <c r="BD485" i="6"/>
  <c r="CB485" i="6"/>
  <c r="BL485" i="6"/>
  <c r="AV485" i="6"/>
  <c r="AU485" i="6"/>
  <c r="AX485" i="6"/>
  <c r="AT485" i="6"/>
  <c r="AW485" i="6"/>
  <c r="AZ485" i="6"/>
  <c r="BA485" i="6"/>
  <c r="J487" i="5"/>
  <c r="B487" i="6"/>
  <c r="B487" i="5"/>
  <c r="D487" i="5"/>
  <c r="B487" i="12" s="1"/>
  <c r="G487" i="5"/>
  <c r="H487" i="5"/>
  <c r="K487" i="5"/>
  <c r="C488" i="5"/>
  <c r="N487" i="5"/>
  <c r="D487" i="6" s="1"/>
  <c r="A487" i="12"/>
  <c r="E487" i="5"/>
  <c r="AE487" i="5"/>
  <c r="F487" i="5"/>
  <c r="AD487" i="5"/>
  <c r="H486" i="6" a="1"/>
  <c r="H486" i="6" s="1"/>
  <c r="T486" i="5" s="1"/>
  <c r="G486" i="12" s="1"/>
  <c r="G486" i="6"/>
  <c r="M486" i="6"/>
  <c r="BG486" i="6" s="1"/>
  <c r="N486" i="6"/>
  <c r="K485" i="12"/>
  <c r="BJ485" i="6"/>
  <c r="AY485" i="6"/>
  <c r="BW485" i="6"/>
  <c r="AV486" i="6" l="1"/>
  <c r="AX486" i="6"/>
  <c r="AR486" i="6"/>
  <c r="CA486" i="6"/>
  <c r="BY486" i="6"/>
  <c r="BZ486" i="6"/>
  <c r="CE486" i="6"/>
  <c r="BO486" i="6"/>
  <c r="BW486" i="6"/>
  <c r="BV486" i="6"/>
  <c r="CC486" i="6"/>
  <c r="BK486" i="6"/>
  <c r="AS486" i="6"/>
  <c r="CB486" i="6"/>
  <c r="BD486" i="6"/>
  <c r="BJ486" i="6"/>
  <c r="AZ486" i="6"/>
  <c r="AN486" i="6"/>
  <c r="AQ486" i="6"/>
  <c r="AU486" i="6"/>
  <c r="CL486" i="6"/>
  <c r="BQ486" i="6"/>
  <c r="CI486" i="6"/>
  <c r="AM486" i="6"/>
  <c r="BL486" i="6"/>
  <c r="CK486" i="6"/>
  <c r="AT486" i="6"/>
  <c r="AP486" i="6"/>
  <c r="BF486" i="6"/>
  <c r="BN486" i="6"/>
  <c r="CF486" i="6"/>
  <c r="BA486" i="6"/>
  <c r="BH486" i="6"/>
  <c r="BX486" i="6"/>
  <c r="BP486" i="6"/>
  <c r="CJ486" i="6"/>
  <c r="BE486" i="6"/>
  <c r="J487" i="12" a="1"/>
  <c r="J487" i="12" s="1"/>
  <c r="L487" i="12" a="1"/>
  <c r="L487" i="12" s="1"/>
  <c r="H487" i="6" a="1"/>
  <c r="H487" i="6" s="1"/>
  <c r="T487" i="5" s="1"/>
  <c r="G487" i="12" s="1"/>
  <c r="M487" i="6"/>
  <c r="BC487" i="6" s="1"/>
  <c r="N487" i="6"/>
  <c r="B488" i="5"/>
  <c r="C489" i="5" s="1"/>
  <c r="D488" i="5"/>
  <c r="B488" i="12" s="1"/>
  <c r="N488" i="5"/>
  <c r="D488" i="6" s="1"/>
  <c r="B488" i="6"/>
  <c r="H488" i="5"/>
  <c r="A488" i="12"/>
  <c r="AE488" i="5"/>
  <c r="J488" i="5"/>
  <c r="K488" i="5"/>
  <c r="AD488" i="5"/>
  <c r="E488" i="5"/>
  <c r="G488" i="5"/>
  <c r="F488" i="5"/>
  <c r="AJ486" i="6"/>
  <c r="AK486" i="6"/>
  <c r="CM486" i="6"/>
  <c r="AO486" i="6"/>
  <c r="BC486" i="6"/>
  <c r="BR486" i="6"/>
  <c r="BS486" i="6"/>
  <c r="CH486" i="6"/>
  <c r="CG486" i="6"/>
  <c r="CD486" i="6"/>
  <c r="AY486" i="6"/>
  <c r="AL486" i="6"/>
  <c r="AW486" i="6"/>
  <c r="BT486" i="6"/>
  <c r="BM486" i="6"/>
  <c r="BI486" i="6"/>
  <c r="BK487" i="6" l="1"/>
  <c r="CK487" i="6"/>
  <c r="BS487" i="6"/>
  <c r="AX487" i="6"/>
  <c r="CF487" i="6"/>
  <c r="K487" i="12"/>
  <c r="CC487" i="6"/>
  <c r="CM487" i="6"/>
  <c r="CI487" i="6"/>
  <c r="BQ487" i="6"/>
  <c r="CE487" i="6"/>
  <c r="BY487" i="6"/>
  <c r="CB487" i="6"/>
  <c r="BL487" i="6"/>
  <c r="CH487" i="6"/>
  <c r="CG487" i="6"/>
  <c r="BD487" i="6"/>
  <c r="BM487" i="6"/>
  <c r="BG487" i="6"/>
  <c r="BX487" i="6"/>
  <c r="CL487" i="6"/>
  <c r="AY487" i="6"/>
  <c r="BR487" i="6"/>
  <c r="AV487" i="6"/>
  <c r="BE487" i="6"/>
  <c r="BI487" i="6"/>
  <c r="BP487" i="6"/>
  <c r="CA487" i="6"/>
  <c r="CJ487" i="6"/>
  <c r="BZ487" i="6"/>
  <c r="AT487" i="6"/>
  <c r="BJ487" i="6"/>
  <c r="AW487" i="6"/>
  <c r="BF487" i="6"/>
  <c r="BT487" i="6"/>
  <c r="AZ487" i="6"/>
  <c r="CD487" i="6"/>
  <c r="BH487" i="6"/>
  <c r="BV487" i="6"/>
  <c r="BO487" i="6"/>
  <c r="BN487" i="6"/>
  <c r="BW487" i="6"/>
  <c r="J488" i="12" a="1"/>
  <c r="J488" i="12" s="1"/>
  <c r="L488" i="12" a="1"/>
  <c r="L488" i="12" s="1"/>
  <c r="M488" i="6"/>
  <c r="CD488" i="6" s="1"/>
  <c r="N488" i="6"/>
  <c r="H488" i="6" a="1"/>
  <c r="H488" i="6" s="1"/>
  <c r="T488" i="5" s="1"/>
  <c r="G488" i="12" s="1"/>
  <c r="AU487" i="6"/>
  <c r="BA487" i="6"/>
  <c r="G489" i="5"/>
  <c r="A489" i="12"/>
  <c r="W489" i="5"/>
  <c r="H489" i="12" s="1"/>
  <c r="I489" i="5"/>
  <c r="B489" i="6"/>
  <c r="J489" i="6" s="1" a="1"/>
  <c r="J489" i="6" s="1"/>
  <c r="AD489" i="5"/>
  <c r="E489" i="5"/>
  <c r="B489" i="5"/>
  <c r="AE489" i="5"/>
  <c r="C490" i="5"/>
  <c r="N489" i="5"/>
  <c r="D489" i="6" s="1"/>
  <c r="F489" i="5"/>
  <c r="H489" i="5"/>
  <c r="K488" i="12" l="1"/>
  <c r="BM488" i="6"/>
  <c r="CH488" i="6"/>
  <c r="BQ488" i="6"/>
  <c r="BX488" i="6"/>
  <c r="BZ488" i="6"/>
  <c r="BV488" i="6"/>
  <c r="BF488" i="6"/>
  <c r="BK488" i="6"/>
  <c r="BH488" i="6"/>
  <c r="CI488" i="6"/>
  <c r="CF488" i="6"/>
  <c r="CA488" i="6"/>
  <c r="AY488" i="6"/>
  <c r="BW488" i="6"/>
  <c r="BR488" i="6"/>
  <c r="BN488" i="6"/>
  <c r="CE488" i="6"/>
  <c r="BC488" i="6"/>
  <c r="CG488" i="6"/>
  <c r="CK488" i="6"/>
  <c r="BG488" i="6"/>
  <c r="BJ488" i="6"/>
  <c r="BS488" i="6"/>
  <c r="BL488" i="6"/>
  <c r="BT488" i="6"/>
  <c r="BO488" i="6"/>
  <c r="CL488" i="6"/>
  <c r="CJ488" i="6"/>
  <c r="CB488" i="6"/>
  <c r="BY488" i="6"/>
  <c r="BD488" i="6"/>
  <c r="CC488" i="6"/>
  <c r="CM488" i="6"/>
  <c r="BE488" i="6"/>
  <c r="BP488" i="6"/>
  <c r="BI488" i="6"/>
  <c r="F490" i="5"/>
  <c r="G490" i="5"/>
  <c r="K490" i="5"/>
  <c r="B490" i="5"/>
  <c r="A490" i="12"/>
  <c r="B490" i="6"/>
  <c r="AE490" i="5"/>
  <c r="J490" i="5"/>
  <c r="E490" i="5"/>
  <c r="N490" i="5"/>
  <c r="D490" i="6" s="1"/>
  <c r="C491" i="5"/>
  <c r="AD490" i="5"/>
  <c r="H490" i="5"/>
  <c r="D490" i="5"/>
  <c r="B490" i="12" s="1"/>
  <c r="BA488" i="6"/>
  <c r="AX488" i="6"/>
  <c r="AT488" i="6"/>
  <c r="AU488" i="6"/>
  <c r="AV488" i="6"/>
  <c r="AW488" i="6"/>
  <c r="N489" i="6"/>
  <c r="H489" i="6" a="1"/>
  <c r="H489" i="6" s="1"/>
  <c r="T489" i="5" s="1"/>
  <c r="G489" i="12" s="1"/>
  <c r="G489" i="6"/>
  <c r="M489" i="6"/>
  <c r="BN489" i="6" s="1"/>
  <c r="AZ488" i="6"/>
  <c r="BL489" i="6" l="1"/>
  <c r="BY489" i="6"/>
  <c r="BS489" i="6"/>
  <c r="BV489" i="6"/>
  <c r="CH489" i="6"/>
  <c r="CB489" i="6"/>
  <c r="BI489" i="6"/>
  <c r="BO489" i="6"/>
  <c r="BJ489" i="6"/>
  <c r="BQ489" i="6"/>
  <c r="BK489" i="6"/>
  <c r="BH489" i="6"/>
  <c r="BT489" i="6"/>
  <c r="CD489" i="6"/>
  <c r="CI489" i="6"/>
  <c r="BP489" i="6"/>
  <c r="CL489" i="6"/>
  <c r="BD489" i="6"/>
  <c r="BX489" i="6"/>
  <c r="BZ489" i="6"/>
  <c r="CK489" i="6"/>
  <c r="AO489" i="6"/>
  <c r="BM489" i="6"/>
  <c r="BF489" i="6"/>
  <c r="AT489" i="6"/>
  <c r="CE489" i="6"/>
  <c r="CF489" i="6"/>
  <c r="BE489" i="6"/>
  <c r="CJ489" i="6"/>
  <c r="CG489" i="6"/>
  <c r="BW489" i="6"/>
  <c r="AJ489" i="6"/>
  <c r="N491" i="5"/>
  <c r="D491" i="6" s="1"/>
  <c r="J491" i="5"/>
  <c r="K491" i="5"/>
  <c r="AD491" i="5"/>
  <c r="E491" i="5"/>
  <c r="H491" i="5"/>
  <c r="A491" i="12"/>
  <c r="G491" i="5"/>
  <c r="D491" i="5"/>
  <c r="B491" i="12" s="1"/>
  <c r="F491" i="5"/>
  <c r="B491" i="6"/>
  <c r="AE491" i="5"/>
  <c r="B491" i="5"/>
  <c r="C492" i="5" s="1"/>
  <c r="H490" i="6" a="1"/>
  <c r="H490" i="6" s="1"/>
  <c r="T490" i="5" s="1"/>
  <c r="G490" i="12" s="1"/>
  <c r="N490" i="6"/>
  <c r="M490" i="6"/>
  <c r="BM490" i="6" s="1"/>
  <c r="AP489" i="6"/>
  <c r="AX489" i="6"/>
  <c r="AM489" i="6"/>
  <c r="BA489" i="6"/>
  <c r="AQ489" i="6"/>
  <c r="AV489" i="6"/>
  <c r="J490" i="12" a="1"/>
  <c r="J490" i="12" s="1"/>
  <c r="L490" i="12" a="1"/>
  <c r="L490" i="12" s="1"/>
  <c r="AZ489" i="6"/>
  <c r="AR489" i="6"/>
  <c r="AW489" i="6"/>
  <c r="AK489" i="6"/>
  <c r="BG489" i="6"/>
  <c r="CC489" i="6"/>
  <c r="AL489" i="6"/>
  <c r="AS489" i="6"/>
  <c r="BR489" i="6"/>
  <c r="CA489" i="6"/>
  <c r="CM489" i="6"/>
  <c r="AU489" i="6"/>
  <c r="BC489" i="6"/>
  <c r="AY489" i="6"/>
  <c r="AN489" i="6"/>
  <c r="K490" i="12" l="1"/>
  <c r="BH490" i="6"/>
  <c r="CB490" i="6"/>
  <c r="CL490" i="6"/>
  <c r="BE490" i="6"/>
  <c r="CH490" i="6"/>
  <c r="CE490" i="6"/>
  <c r="AZ490" i="6"/>
  <c r="BI490" i="6"/>
  <c r="AW490" i="6"/>
  <c r="CK490" i="6"/>
  <c r="BG490" i="6"/>
  <c r="AT490" i="6"/>
  <c r="CM490" i="6"/>
  <c r="BR490" i="6"/>
  <c r="BW490" i="6"/>
  <c r="CJ490" i="6"/>
  <c r="BQ490" i="6"/>
  <c r="BL490" i="6"/>
  <c r="CF490" i="6"/>
  <c r="BA490" i="6"/>
  <c r="BX490" i="6"/>
  <c r="CD490" i="6"/>
  <c r="BZ490" i="6"/>
  <c r="BO490" i="6"/>
  <c r="BT490" i="6"/>
  <c r="BN490" i="6"/>
  <c r="BD490" i="6"/>
  <c r="BJ490" i="6"/>
  <c r="BV490" i="6"/>
  <c r="BY490" i="6"/>
  <c r="AV490" i="6"/>
  <c r="BS490" i="6"/>
  <c r="CI490" i="6"/>
  <c r="BK490" i="6"/>
  <c r="J491" i="12" a="1"/>
  <c r="J491" i="12" s="1"/>
  <c r="L491" i="12" a="1"/>
  <c r="L491" i="12" s="1"/>
  <c r="CC490" i="6"/>
  <c r="AX490" i="6"/>
  <c r="N492" i="5"/>
  <c r="D492" i="6" s="1"/>
  <c r="F492" i="5"/>
  <c r="E492" i="5"/>
  <c r="W492" i="5"/>
  <c r="H492" i="12" s="1"/>
  <c r="C493" i="5"/>
  <c r="I492" i="5"/>
  <c r="AE492" i="5"/>
  <c r="B492" i="6"/>
  <c r="J492" i="6" s="1" a="1"/>
  <c r="J492" i="6" s="1"/>
  <c r="B492" i="5"/>
  <c r="A492" i="12"/>
  <c r="H492" i="5"/>
  <c r="G492" i="5"/>
  <c r="AD492" i="5"/>
  <c r="H491" i="6" a="1"/>
  <c r="H491" i="6" s="1"/>
  <c r="T491" i="5" s="1"/>
  <c r="G491" i="12" s="1"/>
  <c r="N491" i="6"/>
  <c r="M491" i="6"/>
  <c r="BC491" i="6" s="1"/>
  <c r="AY490" i="6"/>
  <c r="BF490" i="6"/>
  <c r="CG490" i="6"/>
  <c r="BC490" i="6"/>
  <c r="AU490" i="6"/>
  <c r="BP490" i="6"/>
  <c r="CA490" i="6"/>
  <c r="K491" i="12" l="1"/>
  <c r="CC491" i="6"/>
  <c r="BP491" i="6"/>
  <c r="AV491" i="6"/>
  <c r="AU491" i="6"/>
  <c r="AW491" i="6"/>
  <c r="CK491" i="6"/>
  <c r="CL491" i="6"/>
  <c r="BF491" i="6"/>
  <c r="BR491" i="6"/>
  <c r="CD491" i="6"/>
  <c r="AY491" i="6"/>
  <c r="BT491" i="6"/>
  <c r="BK491" i="6"/>
  <c r="CI491" i="6"/>
  <c r="BG491" i="6"/>
  <c r="BQ491" i="6"/>
  <c r="BI491" i="6"/>
  <c r="A493" i="12"/>
  <c r="D493" i="5"/>
  <c r="B493" i="12" s="1"/>
  <c r="G493" i="5"/>
  <c r="H493" i="5"/>
  <c r="B493" i="6"/>
  <c r="F493" i="5"/>
  <c r="E493" i="5"/>
  <c r="C494" i="5"/>
  <c r="B493" i="5"/>
  <c r="J493" i="5"/>
  <c r="AE493" i="5"/>
  <c r="N493" i="5"/>
  <c r="D493" i="6" s="1"/>
  <c r="AD493" i="5"/>
  <c r="K493" i="5"/>
  <c r="BE491" i="6"/>
  <c r="BH491" i="6"/>
  <c r="BD491" i="6"/>
  <c r="CJ491" i="6"/>
  <c r="AX491" i="6"/>
  <c r="M492" i="6"/>
  <c r="BP492" i="6" s="1"/>
  <c r="N492" i="6"/>
  <c r="H492" i="6" a="1"/>
  <c r="H492" i="6" s="1"/>
  <c r="T492" i="5" s="1"/>
  <c r="G492" i="12" s="1"/>
  <c r="G492" i="6"/>
  <c r="BN491" i="6"/>
  <c r="CB491" i="6"/>
  <c r="CE491" i="6"/>
  <c r="BA491" i="6"/>
  <c r="CG491" i="6"/>
  <c r="BS491" i="6"/>
  <c r="CF491" i="6"/>
  <c r="BM491" i="6"/>
  <c r="BO491" i="6"/>
  <c r="BZ491" i="6"/>
  <c r="BV491" i="6"/>
  <c r="AT491" i="6"/>
  <c r="CH491" i="6"/>
  <c r="CA491" i="6"/>
  <c r="CM491" i="6"/>
  <c r="BX491" i="6"/>
  <c r="BW491" i="6"/>
  <c r="BY491" i="6"/>
  <c r="BJ491" i="6"/>
  <c r="BL491" i="6"/>
  <c r="AZ491" i="6"/>
  <c r="BC492" i="6" l="1"/>
  <c r="CI492" i="6"/>
  <c r="CE492" i="6"/>
  <c r="AM492" i="6"/>
  <c r="AQ492" i="6"/>
  <c r="AS492" i="6"/>
  <c r="AO492" i="6"/>
  <c r="CA492" i="6"/>
  <c r="CD492" i="6"/>
  <c r="AR492" i="6"/>
  <c r="BF492" i="6"/>
  <c r="AN492" i="6"/>
  <c r="BJ492" i="6"/>
  <c r="BL492" i="6"/>
  <c r="BM492" i="6"/>
  <c r="AZ492" i="6"/>
  <c r="CK492" i="6"/>
  <c r="AX492" i="6"/>
  <c r="AT492" i="6"/>
  <c r="BE492" i="6"/>
  <c r="BA492" i="6"/>
  <c r="AK492" i="6"/>
  <c r="BO492" i="6"/>
  <c r="CC492" i="6"/>
  <c r="BW492" i="6"/>
  <c r="CG492" i="6"/>
  <c r="CJ492" i="6"/>
  <c r="BK492" i="6"/>
  <c r="BY492" i="6"/>
  <c r="BX492" i="6"/>
  <c r="BS492" i="6"/>
  <c r="BH492" i="6"/>
  <c r="AU492" i="6"/>
  <c r="CL492" i="6"/>
  <c r="BN492" i="6"/>
  <c r="AJ492" i="6"/>
  <c r="BI492" i="6"/>
  <c r="CH492" i="6"/>
  <c r="BQ492" i="6"/>
  <c r="AW492" i="6"/>
  <c r="CF492" i="6"/>
  <c r="AV492" i="6"/>
  <c r="AL492" i="6"/>
  <c r="BR492" i="6"/>
  <c r="BD492" i="6"/>
  <c r="CM492" i="6"/>
  <c r="BZ492" i="6"/>
  <c r="AP492" i="6"/>
  <c r="CB492" i="6"/>
  <c r="BG492" i="6"/>
  <c r="J493" i="12" a="1"/>
  <c r="J493" i="12" s="1"/>
  <c r="L493" i="12" a="1"/>
  <c r="L493" i="12" s="1"/>
  <c r="M493" i="6"/>
  <c r="BL493" i="6" s="1"/>
  <c r="H493" i="6" a="1"/>
  <c r="H493" i="6" s="1"/>
  <c r="T493" i="5" s="1"/>
  <c r="G493" i="12" s="1"/>
  <c r="N493" i="6"/>
  <c r="AY492" i="6"/>
  <c r="BV492" i="6"/>
  <c r="BT492" i="6"/>
  <c r="H494" i="5"/>
  <c r="AD494" i="5"/>
  <c r="G494" i="5"/>
  <c r="K494" i="5"/>
  <c r="D494" i="5"/>
  <c r="B494" i="12" s="1"/>
  <c r="F494" i="5"/>
  <c r="A494" i="12"/>
  <c r="AE494" i="5"/>
  <c r="B494" i="5"/>
  <c r="E494" i="5"/>
  <c r="J494" i="5"/>
  <c r="B494" i="6"/>
  <c r="N494" i="5"/>
  <c r="D494" i="6" s="1"/>
  <c r="C495" i="5"/>
  <c r="K493" i="12" l="1"/>
  <c r="BI493" i="6"/>
  <c r="BP493" i="6"/>
  <c r="BF493" i="6"/>
  <c r="CI493" i="6"/>
  <c r="BR493" i="6"/>
  <c r="CL493" i="6"/>
  <c r="CD493" i="6"/>
  <c r="BX493" i="6"/>
  <c r="CK493" i="6"/>
  <c r="BQ493" i="6"/>
  <c r="BH493" i="6"/>
  <c r="CA493" i="6"/>
  <c r="BK493" i="6"/>
  <c r="BG493" i="6"/>
  <c r="BZ493" i="6"/>
  <c r="BD493" i="6"/>
  <c r="CF493" i="6"/>
  <c r="BW493" i="6"/>
  <c r="BM493" i="6"/>
  <c r="BC493" i="6"/>
  <c r="BS493" i="6"/>
  <c r="BV493" i="6"/>
  <c r="AY493" i="6"/>
  <c r="AT493" i="6"/>
  <c r="AU493" i="6"/>
  <c r="AZ493" i="6"/>
  <c r="CC493" i="6"/>
  <c r="CG493" i="6"/>
  <c r="CB493" i="6"/>
  <c r="BT493" i="6"/>
  <c r="BN493" i="6"/>
  <c r="BJ493" i="6"/>
  <c r="CE493" i="6"/>
  <c r="BO493" i="6"/>
  <c r="CJ493" i="6"/>
  <c r="CM493" i="6"/>
  <c r="AV493" i="6"/>
  <c r="BE493" i="6"/>
  <c r="CH493" i="6"/>
  <c r="AW493" i="6"/>
  <c r="AX493" i="6"/>
  <c r="BY493" i="6"/>
  <c r="BA493" i="6"/>
  <c r="L494" i="12" a="1"/>
  <c r="L494" i="12" s="1"/>
  <c r="J494" i="12" a="1"/>
  <c r="J494" i="12" s="1"/>
  <c r="AD495" i="5"/>
  <c r="AE495" i="5"/>
  <c r="C496" i="5"/>
  <c r="D495" i="5"/>
  <c r="B495" i="12" s="1"/>
  <c r="K495" i="5"/>
  <c r="J495" i="5"/>
  <c r="B495" i="6"/>
  <c r="F495" i="5"/>
  <c r="H495" i="5"/>
  <c r="G495" i="5"/>
  <c r="A495" i="12"/>
  <c r="N495" i="5"/>
  <c r="D495" i="6" s="1"/>
  <c r="B495" i="5"/>
  <c r="E495" i="5"/>
  <c r="M494" i="6"/>
  <c r="BZ494" i="6" s="1"/>
  <c r="N494" i="6"/>
  <c r="H494" i="6" a="1"/>
  <c r="H494" i="6" s="1"/>
  <c r="T494" i="5" s="1"/>
  <c r="G494" i="12" s="1"/>
  <c r="K494" i="12" l="1"/>
  <c r="CE494" i="6"/>
  <c r="CL494" i="6"/>
  <c r="BQ494" i="6"/>
  <c r="BR494" i="6"/>
  <c r="BP494" i="6"/>
  <c r="BF494" i="6"/>
  <c r="CG494" i="6"/>
  <c r="BK494" i="6"/>
  <c r="BV494" i="6"/>
  <c r="CH494" i="6"/>
  <c r="CJ494" i="6"/>
  <c r="CK494" i="6"/>
  <c r="BI494" i="6"/>
  <c r="CI494" i="6"/>
  <c r="BS494" i="6"/>
  <c r="AX494" i="6"/>
  <c r="BL494" i="6"/>
  <c r="AZ494" i="6"/>
  <c r="BN494" i="6"/>
  <c r="BJ494" i="6"/>
  <c r="AY494" i="6"/>
  <c r="CC494" i="6"/>
  <c r="BH494" i="6"/>
  <c r="CA494" i="6"/>
  <c r="BT494" i="6"/>
  <c r="BO494" i="6"/>
  <c r="BG494" i="6"/>
  <c r="BA494" i="6"/>
  <c r="AU494" i="6"/>
  <c r="C497" i="5"/>
  <c r="AE496" i="5"/>
  <c r="E496" i="5"/>
  <c r="B496" i="6"/>
  <c r="A496" i="12"/>
  <c r="K496" i="5"/>
  <c r="G496" i="5"/>
  <c r="J496" i="5"/>
  <c r="H496" i="5"/>
  <c r="AD496" i="5"/>
  <c r="D496" i="5"/>
  <c r="B496" i="12" s="1"/>
  <c r="N496" i="5"/>
  <c r="D496" i="6" s="1"/>
  <c r="F496" i="5"/>
  <c r="B496" i="5"/>
  <c r="BC494" i="6"/>
  <c r="CM494" i="6"/>
  <c r="AT494" i="6"/>
  <c r="CF494" i="6"/>
  <c r="CD494" i="6"/>
  <c r="BW494" i="6"/>
  <c r="BM494" i="6"/>
  <c r="H495" i="6" a="1"/>
  <c r="H495" i="6" s="1"/>
  <c r="T495" i="5" s="1"/>
  <c r="G495" i="12" s="1"/>
  <c r="N495" i="6"/>
  <c r="M495" i="6"/>
  <c r="BX495" i="6" s="1"/>
  <c r="AV494" i="6"/>
  <c r="BY494" i="6"/>
  <c r="BX494" i="6"/>
  <c r="BD494" i="6"/>
  <c r="L495" i="12" a="1"/>
  <c r="L495" i="12" s="1"/>
  <c r="J495" i="12" a="1"/>
  <c r="J495" i="12" s="1"/>
  <c r="AW494" i="6"/>
  <c r="BE494" i="6"/>
  <c r="CB494" i="6"/>
  <c r="BO495" i="6" l="1"/>
  <c r="BN495" i="6"/>
  <c r="B497" i="5"/>
  <c r="C498" i="5" s="1"/>
  <c r="W498" i="5" s="1"/>
  <c r="H498" i="12" s="1"/>
  <c r="F497" i="5"/>
  <c r="BW495" i="6"/>
  <c r="E497" i="5"/>
  <c r="BF495" i="6"/>
  <c r="CD495" i="6"/>
  <c r="BT495" i="6"/>
  <c r="BC495" i="6"/>
  <c r="BZ495" i="6"/>
  <c r="CK495" i="6"/>
  <c r="BI495" i="6"/>
  <c r="K495" i="12"/>
  <c r="CC495" i="6"/>
  <c r="CI495" i="6"/>
  <c r="AY495" i="6"/>
  <c r="BL495" i="6"/>
  <c r="AV495" i="6"/>
  <c r="CJ495" i="6"/>
  <c r="G497" i="5"/>
  <c r="CL495" i="6"/>
  <c r="CE495" i="6"/>
  <c r="AT495" i="6"/>
  <c r="BP495" i="6"/>
  <c r="BH495" i="6"/>
  <c r="BG495" i="6"/>
  <c r="BJ495" i="6"/>
  <c r="BS495" i="6"/>
  <c r="BY495" i="6"/>
  <c r="BQ495" i="6"/>
  <c r="BM495" i="6"/>
  <c r="BD495" i="6"/>
  <c r="CG495" i="6"/>
  <c r="BA495" i="6"/>
  <c r="CA495" i="6"/>
  <c r="BV495" i="6"/>
  <c r="BE495" i="6"/>
  <c r="BR495" i="6"/>
  <c r="H497" i="5"/>
  <c r="AU495" i="6"/>
  <c r="BK495" i="6"/>
  <c r="AZ495" i="6"/>
  <c r="CB495" i="6"/>
  <c r="L496" i="12" a="1"/>
  <c r="L496" i="12" s="1"/>
  <c r="J496" i="12" a="1"/>
  <c r="J496" i="12" s="1"/>
  <c r="H496" i="6" a="1"/>
  <c r="H496" i="6" s="1"/>
  <c r="T496" i="5" s="1"/>
  <c r="G496" i="12" s="1"/>
  <c r="M496" i="6"/>
  <c r="BF496" i="6" s="1"/>
  <c r="N496" i="6"/>
  <c r="AD497" i="5"/>
  <c r="K497" i="5"/>
  <c r="N497" i="5"/>
  <c r="D497" i="6" s="1"/>
  <c r="B497" i="6"/>
  <c r="D497" i="5"/>
  <c r="B497" i="12" s="1"/>
  <c r="AE497" i="5"/>
  <c r="J497" i="5"/>
  <c r="A497" i="12"/>
  <c r="AW495" i="6"/>
  <c r="CM495" i="6"/>
  <c r="CF495" i="6"/>
  <c r="CH495" i="6"/>
  <c r="AX495" i="6"/>
  <c r="G498" i="5" l="1"/>
  <c r="E498" i="5"/>
  <c r="B498" i="5"/>
  <c r="B498" i="6"/>
  <c r="J498" i="6" s="1" a="1"/>
  <c r="J498" i="6" s="1"/>
  <c r="F498" i="5"/>
  <c r="AE498" i="5"/>
  <c r="I498" i="5"/>
  <c r="C499" i="5"/>
  <c r="N499" i="5" s="1"/>
  <c r="D499" i="6" s="1"/>
  <c r="A498" i="12"/>
  <c r="H498" i="5"/>
  <c r="AD498" i="5"/>
  <c r="N498" i="5"/>
  <c r="D498" i="6" s="1"/>
  <c r="H498" i="6" s="1" a="1"/>
  <c r="H498" i="6" s="1"/>
  <c r="T498" i="5" s="1"/>
  <c r="G498" i="12" s="1"/>
  <c r="K496" i="12"/>
  <c r="BH496" i="6"/>
  <c r="BR496" i="6"/>
  <c r="CJ496" i="6"/>
  <c r="AT496" i="6"/>
  <c r="CG496" i="6"/>
  <c r="BI496" i="6"/>
  <c r="BG496" i="6"/>
  <c r="AW496" i="6"/>
  <c r="BA496" i="6"/>
  <c r="BM496" i="6"/>
  <c r="BQ496" i="6"/>
  <c r="J497" i="12" a="1"/>
  <c r="J497" i="12" s="1"/>
  <c r="L497" i="12" a="1"/>
  <c r="L497" i="12" s="1"/>
  <c r="CC496" i="6"/>
  <c r="BC496" i="6"/>
  <c r="CL496" i="6"/>
  <c r="BN496" i="6"/>
  <c r="BS496" i="6"/>
  <c r="BZ496" i="6"/>
  <c r="BX496" i="6"/>
  <c r="CD496" i="6"/>
  <c r="CA496" i="6"/>
  <c r="AU496" i="6"/>
  <c r="BY496" i="6"/>
  <c r="BE496" i="6"/>
  <c r="AX496" i="6"/>
  <c r="AV496" i="6"/>
  <c r="BW496" i="6"/>
  <c r="BP496" i="6"/>
  <c r="M497" i="6"/>
  <c r="CL497" i="6" s="1"/>
  <c r="H497" i="6" a="1"/>
  <c r="H497" i="6" s="1"/>
  <c r="T497" i="5" s="1"/>
  <c r="G497" i="12" s="1"/>
  <c r="N497" i="6"/>
  <c r="BD496" i="6"/>
  <c r="CI496" i="6"/>
  <c r="CM496" i="6"/>
  <c r="BJ496" i="6"/>
  <c r="BK496" i="6"/>
  <c r="AZ496" i="6"/>
  <c r="AY496" i="6"/>
  <c r="CE496" i="6"/>
  <c r="CH496" i="6"/>
  <c r="BT496" i="6"/>
  <c r="BV496" i="6"/>
  <c r="CF496" i="6"/>
  <c r="BL496" i="6"/>
  <c r="CB496" i="6"/>
  <c r="CK496" i="6"/>
  <c r="BO496" i="6"/>
  <c r="J61" i="5"/>
  <c r="K61" i="5"/>
  <c r="J72" i="5"/>
  <c r="K72" i="5"/>
  <c r="J87" i="5"/>
  <c r="K87" i="5"/>
  <c r="J95" i="5"/>
  <c r="J106" i="5"/>
  <c r="K106" i="5"/>
  <c r="J118" i="5"/>
  <c r="K124" i="5"/>
  <c r="J148" i="5"/>
  <c r="K148" i="5"/>
  <c r="K159" i="5"/>
  <c r="J159" i="5"/>
  <c r="K173" i="5"/>
  <c r="J173" i="5"/>
  <c r="J188" i="5"/>
  <c r="J194" i="5"/>
  <c r="J201" i="5"/>
  <c r="J208" i="5"/>
  <c r="K246" i="5"/>
  <c r="J246" i="5"/>
  <c r="J259" i="5"/>
  <c r="K259" i="5"/>
  <c r="J264" i="5"/>
  <c r="K264" i="5"/>
  <c r="K272" i="5"/>
  <c r="D272" i="5" s="1"/>
  <c r="K278" i="5"/>
  <c r="J278" i="5"/>
  <c r="J286" i="5"/>
  <c r="J289" i="5"/>
  <c r="K303" i="5"/>
  <c r="J303" i="5"/>
  <c r="J312" i="5"/>
  <c r="J314" i="5"/>
  <c r="J327" i="5"/>
  <c r="K327" i="5"/>
  <c r="J341" i="5"/>
  <c r="K341" i="5"/>
  <c r="J357" i="5"/>
  <c r="J385" i="5"/>
  <c r="J395" i="5"/>
  <c r="J400" i="5"/>
  <c r="J434" i="5"/>
  <c r="K27" i="5"/>
  <c r="K48" i="5"/>
  <c r="K59" i="5"/>
  <c r="K215" i="5"/>
  <c r="K244" i="5"/>
  <c r="K441" i="5"/>
  <c r="K18" i="5"/>
  <c r="D18" i="5" s="1"/>
  <c r="K25" i="5"/>
  <c r="D25" i="5" s="1"/>
  <c r="J28" i="5"/>
  <c r="K30" i="5"/>
  <c r="J30" i="5"/>
  <c r="J44" i="5"/>
  <c r="J42" i="5"/>
  <c r="K44" i="5"/>
  <c r="J49" i="5"/>
  <c r="J52" i="5"/>
  <c r="K57" i="5"/>
  <c r="D57" i="5" s="1"/>
  <c r="K60" i="5"/>
  <c r="J60" i="5"/>
  <c r="K105" i="5"/>
  <c r="J105" i="5"/>
  <c r="J129" i="5"/>
  <c r="J134" i="5"/>
  <c r="K140" i="5"/>
  <c r="J140" i="5"/>
  <c r="J147" i="5"/>
  <c r="J207" i="5"/>
  <c r="K216" i="5"/>
  <c r="J216" i="5"/>
  <c r="J224" i="5"/>
  <c r="K224" i="5"/>
  <c r="J235" i="5"/>
  <c r="K245" i="5"/>
  <c r="K263" i="5"/>
  <c r="J263" i="5"/>
  <c r="J277" i="5"/>
  <c r="K277" i="5"/>
  <c r="K302" i="5"/>
  <c r="J302" i="5"/>
  <c r="J326" i="5"/>
  <c r="J340" i="5"/>
  <c r="K361" i="5"/>
  <c r="J361" i="5"/>
  <c r="J384" i="5"/>
  <c r="J442" i="5"/>
  <c r="J453" i="5"/>
  <c r="J457" i="5"/>
  <c r="K462" i="5"/>
  <c r="J293" i="5"/>
  <c r="K293" i="5"/>
  <c r="J317" i="5"/>
  <c r="K317" i="5"/>
  <c r="K362" i="5"/>
  <c r="J362" i="5"/>
  <c r="J366" i="5"/>
  <c r="D366" i="5" s="1"/>
  <c r="K370" i="5"/>
  <c r="J370" i="5"/>
  <c r="J377" i="5"/>
  <c r="J410" i="5"/>
  <c r="AD499" i="5" l="1"/>
  <c r="K499" i="5"/>
  <c r="J499" i="5"/>
  <c r="E499" i="5"/>
  <c r="F499" i="5"/>
  <c r="H499" i="5"/>
  <c r="G499" i="5"/>
  <c r="D499" i="5"/>
  <c r="B499" i="12" s="1"/>
  <c r="AE499" i="5"/>
  <c r="B499" i="5"/>
  <c r="C500" i="5" s="1"/>
  <c r="AD500" i="5" s="1"/>
  <c r="G498" i="6"/>
  <c r="M498" i="6"/>
  <c r="CI498" i="6" s="1"/>
  <c r="N498" i="6"/>
  <c r="B499" i="6"/>
  <c r="A499" i="12"/>
  <c r="J499" i="12" s="1" a="1"/>
  <c r="J499" i="12" s="1"/>
  <c r="BD497" i="6"/>
  <c r="BP497" i="6"/>
  <c r="CA497" i="6"/>
  <c r="BN497" i="6"/>
  <c r="CK497" i="6"/>
  <c r="BL497" i="6"/>
  <c r="BY497" i="6"/>
  <c r="CG497" i="6"/>
  <c r="BT497" i="6"/>
  <c r="BK497" i="6"/>
  <c r="BO497" i="6"/>
  <c r="BG497" i="6"/>
  <c r="BX497" i="6"/>
  <c r="CM497" i="6"/>
  <c r="CC497" i="6"/>
  <c r="AU497" i="6"/>
  <c r="CJ497" i="6"/>
  <c r="BC497" i="6"/>
  <c r="CI497" i="6"/>
  <c r="BW497" i="6"/>
  <c r="CH497" i="6"/>
  <c r="CE497" i="6"/>
  <c r="BV497" i="6"/>
  <c r="BR497" i="6"/>
  <c r="BI497" i="6"/>
  <c r="BF497" i="6"/>
  <c r="AZ497" i="6"/>
  <c r="AV497" i="6"/>
  <c r="AY497" i="6"/>
  <c r="BA497" i="6"/>
  <c r="BH497" i="6"/>
  <c r="BJ497" i="6"/>
  <c r="BZ497" i="6"/>
  <c r="CD497" i="6"/>
  <c r="CB497" i="6"/>
  <c r="CF497" i="6"/>
  <c r="BQ497" i="6"/>
  <c r="BM497" i="6"/>
  <c r="BS497" i="6"/>
  <c r="BE497" i="6"/>
  <c r="K497" i="12"/>
  <c r="AT497" i="6"/>
  <c r="AX497" i="6"/>
  <c r="M499" i="6"/>
  <c r="CI499" i="6" s="1"/>
  <c r="H499" i="6" a="1"/>
  <c r="H499" i="6" s="1"/>
  <c r="T499" i="5" s="1"/>
  <c r="G499" i="12" s="1"/>
  <c r="N499" i="6"/>
  <c r="AW497" i="6"/>
  <c r="D259" i="5"/>
  <c r="B259" i="12" s="1"/>
  <c r="D361" i="5"/>
  <c r="B361" i="12" s="1"/>
  <c r="D303" i="5"/>
  <c r="B303" i="12" s="1"/>
  <c r="D277" i="5"/>
  <c r="B277" i="12" s="1"/>
  <c r="D341" i="5"/>
  <c r="B341" i="12" s="1"/>
  <c r="D148" i="5"/>
  <c r="B148" i="12" s="1"/>
  <c r="D61" i="5"/>
  <c r="B61" i="12" s="1"/>
  <c r="D362" i="5"/>
  <c r="B362" i="12" s="1"/>
  <c r="D302" i="5"/>
  <c r="B302" i="12" s="1"/>
  <c r="D216" i="5"/>
  <c r="B216" i="12" s="1"/>
  <c r="D263" i="5"/>
  <c r="B263" i="12" s="1"/>
  <c r="D87" i="5"/>
  <c r="B87" i="12" s="1"/>
  <c r="D44" i="5"/>
  <c r="B44" i="12" s="1"/>
  <c r="D140" i="5"/>
  <c r="B140" i="12" s="1"/>
  <c r="D72" i="5"/>
  <c r="B72" i="12" s="1"/>
  <c r="D370" i="5"/>
  <c r="B370" i="12" s="1"/>
  <c r="D30" i="5"/>
  <c r="B30" i="12" s="1"/>
  <c r="D327" i="5"/>
  <c r="B327" i="12" s="1"/>
  <c r="D224" i="5"/>
  <c r="B366" i="12"/>
  <c r="D105" i="5"/>
  <c r="B25" i="12"/>
  <c r="D173" i="5"/>
  <c r="B18" i="12"/>
  <c r="D60" i="5"/>
  <c r="D246" i="5"/>
  <c r="D159" i="5"/>
  <c r="D317" i="5"/>
  <c r="B57" i="12"/>
  <c r="D293" i="5"/>
  <c r="D278" i="5"/>
  <c r="D106" i="5"/>
  <c r="B272" i="12"/>
  <c r="D264" i="5"/>
  <c r="BN498" i="6" l="1"/>
  <c r="A500" i="12"/>
  <c r="AX498" i="6"/>
  <c r="BQ498" i="6"/>
  <c r="BM498" i="6"/>
  <c r="AV498" i="6"/>
  <c r="BW498" i="6"/>
  <c r="CJ498" i="6"/>
  <c r="AR498" i="6"/>
  <c r="AT498" i="6"/>
  <c r="N500" i="5"/>
  <c r="D500" i="6" s="1"/>
  <c r="N500" i="6" s="1"/>
  <c r="I500" i="5"/>
  <c r="AW498" i="6"/>
  <c r="CF498" i="6"/>
  <c r="BH498" i="6"/>
  <c r="BJ498" i="6"/>
  <c r="BC498" i="6"/>
  <c r="CA498" i="6"/>
  <c r="B500" i="5"/>
  <c r="CM498" i="6"/>
  <c r="BA498" i="6"/>
  <c r="G500" i="5"/>
  <c r="CB498" i="6"/>
  <c r="AL498" i="6"/>
  <c r="BY498" i="6"/>
  <c r="BZ498" i="6"/>
  <c r="B500" i="6"/>
  <c r="J500" i="6" s="1" a="1"/>
  <c r="J500" i="6" s="1"/>
  <c r="W500" i="5"/>
  <c r="H500" i="12" s="1"/>
  <c r="BL498" i="6"/>
  <c r="CL498" i="6"/>
  <c r="H500" i="5"/>
  <c r="AP498" i="6"/>
  <c r="AE500" i="5"/>
  <c r="AZ498" i="6"/>
  <c r="BR498" i="6"/>
  <c r="E500" i="5"/>
  <c r="AK498" i="6"/>
  <c r="AY498" i="6"/>
  <c r="AS498" i="6"/>
  <c r="C501" i="5"/>
  <c r="D501" i="5" s="1"/>
  <c r="B501" i="12" s="1"/>
  <c r="F500" i="5"/>
  <c r="BE498" i="6"/>
  <c r="AN498" i="6"/>
  <c r="AJ498" i="6"/>
  <c r="CG498" i="6"/>
  <c r="BT498" i="6"/>
  <c r="BP498" i="6"/>
  <c r="AU498" i="6"/>
  <c r="BG498" i="6"/>
  <c r="BF498" i="6"/>
  <c r="CK498" i="6"/>
  <c r="BV498" i="6"/>
  <c r="CD498" i="6"/>
  <c r="CH498" i="6"/>
  <c r="AQ498" i="6"/>
  <c r="BK498" i="6"/>
  <c r="AM498" i="6"/>
  <c r="CE498" i="6"/>
  <c r="L499" i="12" a="1"/>
  <c r="L499" i="12" s="1"/>
  <c r="K499" i="12" s="1"/>
  <c r="AO498" i="6"/>
  <c r="CC498" i="6"/>
  <c r="BD498" i="6"/>
  <c r="BO498" i="6"/>
  <c r="BX498" i="6"/>
  <c r="BI498" i="6"/>
  <c r="BS498" i="6"/>
  <c r="CL499" i="6"/>
  <c r="BV499" i="6"/>
  <c r="CM499" i="6"/>
  <c r="BW499" i="6"/>
  <c r="CB499" i="6"/>
  <c r="BF499" i="6"/>
  <c r="BX499" i="6"/>
  <c r="BR499" i="6"/>
  <c r="BD499" i="6"/>
  <c r="BN499" i="6"/>
  <c r="CG499" i="6"/>
  <c r="CJ499" i="6"/>
  <c r="BJ499" i="6"/>
  <c r="CH499" i="6"/>
  <c r="BC499" i="6"/>
  <c r="BI499" i="6"/>
  <c r="CK499" i="6"/>
  <c r="BQ499" i="6"/>
  <c r="BE499" i="6"/>
  <c r="BL499" i="6"/>
  <c r="BZ499" i="6"/>
  <c r="BS499" i="6"/>
  <c r="CC499" i="6"/>
  <c r="AV499" i="6"/>
  <c r="BG499" i="6"/>
  <c r="CE499" i="6"/>
  <c r="BO499" i="6"/>
  <c r="BP499" i="6"/>
  <c r="BK499" i="6"/>
  <c r="CA499" i="6"/>
  <c r="BM499" i="6"/>
  <c r="BH499" i="6"/>
  <c r="CF499" i="6"/>
  <c r="BA499" i="6"/>
  <c r="BY499" i="6"/>
  <c r="AU499" i="6"/>
  <c r="AT499" i="6"/>
  <c r="AZ499" i="6"/>
  <c r="AX499" i="6"/>
  <c r="BT499" i="6"/>
  <c r="C502" i="5"/>
  <c r="K501" i="5"/>
  <c r="AW499" i="6"/>
  <c r="AY499" i="6"/>
  <c r="CD499" i="6"/>
  <c r="K360" i="5"/>
  <c r="B106" i="12"/>
  <c r="B264" i="12"/>
  <c r="B60" i="12"/>
  <c r="B105" i="12"/>
  <c r="B293" i="12"/>
  <c r="B278" i="12"/>
  <c r="B224" i="12"/>
  <c r="B159" i="12"/>
  <c r="B246" i="12"/>
  <c r="B317" i="12"/>
  <c r="B173" i="12"/>
  <c r="G501" i="5" l="1"/>
  <c r="G502" i="5" s="1"/>
  <c r="N501" i="5"/>
  <c r="D501" i="6" s="1"/>
  <c r="N501" i="6" s="1"/>
  <c r="A501" i="12"/>
  <c r="L501" i="12" s="1" a="1"/>
  <c r="L501" i="12" s="1"/>
  <c r="J501" i="5"/>
  <c r="G500" i="6"/>
  <c r="M500" i="6"/>
  <c r="BQ500" i="6" s="1"/>
  <c r="H500" i="6" a="1"/>
  <c r="H500" i="6" s="1"/>
  <c r="T500" i="5" s="1"/>
  <c r="G500" i="12" s="1"/>
  <c r="AE501" i="5"/>
  <c r="AD501" i="5"/>
  <c r="E501" i="5"/>
  <c r="E502" i="5" s="1"/>
  <c r="B501" i="6"/>
  <c r="B501" i="5"/>
  <c r="B502" i="5" s="1"/>
  <c r="C503" i="5" s="1"/>
  <c r="H503" i="5" s="1"/>
  <c r="F501" i="5"/>
  <c r="F502" i="5" s="1"/>
  <c r="H501" i="5"/>
  <c r="H502" i="5" s="1"/>
  <c r="K502" i="5"/>
  <c r="AD502" i="5"/>
  <c r="AE502" i="5"/>
  <c r="A502" i="12"/>
  <c r="J502" i="5"/>
  <c r="N502" i="5"/>
  <c r="D502" i="6" s="1"/>
  <c r="B502" i="6"/>
  <c r="D502" i="5"/>
  <c r="B502" i="12" s="1"/>
  <c r="K498" i="5"/>
  <c r="K492" i="5"/>
  <c r="K483" i="5"/>
  <c r="K486" i="5"/>
  <c r="K457" i="5"/>
  <c r="D457" i="5" s="1"/>
  <c r="B457" i="12" s="1"/>
  <c r="K480" i="5"/>
  <c r="J459" i="5"/>
  <c r="J474" i="5"/>
  <c r="J462" i="5"/>
  <c r="D462" i="5" s="1"/>
  <c r="B462" i="12" s="1"/>
  <c r="K147" i="5"/>
  <c r="D147" i="5" s="1"/>
  <c r="B147" i="12" s="1"/>
  <c r="K453" i="5"/>
  <c r="D453" i="5" s="1"/>
  <c r="B453" i="12" s="1"/>
  <c r="K442" i="5"/>
  <c r="D442" i="5" s="1"/>
  <c r="B442" i="12" s="1"/>
  <c r="K384" i="5"/>
  <c r="D384" i="5" s="1"/>
  <c r="B384" i="12" s="1"/>
  <c r="K400" i="5"/>
  <c r="D400" i="5" s="1"/>
  <c r="B400" i="12" s="1"/>
  <c r="K395" i="5"/>
  <c r="D395" i="5" s="1"/>
  <c r="B395" i="12" s="1"/>
  <c r="K340" i="5"/>
  <c r="D340" i="5" s="1"/>
  <c r="B340" i="12" s="1"/>
  <c r="K314" i="5"/>
  <c r="D314" i="5" s="1"/>
  <c r="B314" i="12" s="1"/>
  <c r="K354" i="5"/>
  <c r="D354" i="5" s="1"/>
  <c r="B354" i="12" s="1"/>
  <c r="K357" i="5"/>
  <c r="D357" i="5" s="1"/>
  <c r="B357" i="12" s="1"/>
  <c r="K326" i="5"/>
  <c r="D326" i="5" s="1"/>
  <c r="B326" i="12" s="1"/>
  <c r="K337" i="5"/>
  <c r="D337" i="5" s="1"/>
  <c r="B337" i="12" s="1"/>
  <c r="K289" i="5"/>
  <c r="D289" i="5" s="1"/>
  <c r="B289" i="12" s="1"/>
  <c r="K312" i="5"/>
  <c r="D312" i="5" s="1"/>
  <c r="B312" i="12" s="1"/>
  <c r="K188" i="5"/>
  <c r="D188" i="5" s="1"/>
  <c r="B188" i="12" s="1"/>
  <c r="K286" i="5"/>
  <c r="D286" i="5" s="1"/>
  <c r="B286" i="12" s="1"/>
  <c r="J245" i="5"/>
  <c r="D245" i="5" s="1"/>
  <c r="B245" i="12" s="1"/>
  <c r="K207" i="5"/>
  <c r="D207" i="5" s="1"/>
  <c r="B207" i="12" s="1"/>
  <c r="K235" i="5"/>
  <c r="D235" i="5" s="1"/>
  <c r="B235" i="12" s="1"/>
  <c r="K208" i="5"/>
  <c r="D208" i="5" s="1"/>
  <c r="B208" i="12" s="1"/>
  <c r="K194" i="5"/>
  <c r="D194" i="5" s="1"/>
  <c r="B194" i="12" s="1"/>
  <c r="K52" i="5"/>
  <c r="D52" i="5" s="1"/>
  <c r="B52" i="12" s="1"/>
  <c r="K134" i="5"/>
  <c r="D134" i="5" s="1"/>
  <c r="B134" i="12" s="1"/>
  <c r="K118" i="5"/>
  <c r="D118" i="5" s="1"/>
  <c r="B118" i="12" s="1"/>
  <c r="J124" i="5"/>
  <c r="D124" i="5" s="1"/>
  <c r="B124" i="12" s="1"/>
  <c r="K129" i="5"/>
  <c r="D129" i="5" s="1"/>
  <c r="B129" i="12" s="1"/>
  <c r="K377" i="5"/>
  <c r="D377" i="5" s="1"/>
  <c r="B377" i="12" s="1"/>
  <c r="K95" i="5"/>
  <c r="D95" i="5" s="1"/>
  <c r="B95" i="12" s="1"/>
  <c r="K100" i="5"/>
  <c r="D100" i="5" s="1"/>
  <c r="B100" i="12" s="1"/>
  <c r="K42" i="5"/>
  <c r="D42" i="5" s="1"/>
  <c r="B42" i="12" s="1"/>
  <c r="K49" i="5"/>
  <c r="D49" i="5" s="1"/>
  <c r="B49" i="12" s="1"/>
  <c r="K28" i="5"/>
  <c r="D28" i="5" s="1"/>
  <c r="B28" i="12" s="1"/>
  <c r="K17" i="5"/>
  <c r="K24" i="5"/>
  <c r="K410" i="5"/>
  <c r="D410" i="5" s="1"/>
  <c r="B410" i="12" s="1"/>
  <c r="BR500" i="6" l="1"/>
  <c r="J501" i="12" a="1"/>
  <c r="J501" i="12" s="1"/>
  <c r="AT500" i="6"/>
  <c r="M501" i="6"/>
  <c r="CJ501" i="6" s="1"/>
  <c r="AP500" i="6"/>
  <c r="H501" i="6" a="1"/>
  <c r="H501" i="6" s="1"/>
  <c r="T501" i="5" s="1"/>
  <c r="G501" i="12" s="1"/>
  <c r="BC500" i="6"/>
  <c r="CK500" i="6"/>
  <c r="BY500" i="6"/>
  <c r="BK500" i="6"/>
  <c r="BH500" i="6"/>
  <c r="BO500" i="6"/>
  <c r="CM500" i="6"/>
  <c r="BG500" i="6"/>
  <c r="CL500" i="6"/>
  <c r="BT500" i="6"/>
  <c r="BJ500" i="6"/>
  <c r="BV500" i="6"/>
  <c r="BZ500" i="6"/>
  <c r="CG500" i="6"/>
  <c r="BX500" i="6"/>
  <c r="CF500" i="6"/>
  <c r="BP500" i="6"/>
  <c r="BI500" i="6"/>
  <c r="AK500" i="6"/>
  <c r="CE500" i="6"/>
  <c r="BS500" i="6"/>
  <c r="CJ500" i="6"/>
  <c r="AZ500" i="6"/>
  <c r="BW500" i="6"/>
  <c r="AL500" i="6"/>
  <c r="AR500" i="6"/>
  <c r="BN500" i="6"/>
  <c r="BF500" i="6"/>
  <c r="BM500" i="6"/>
  <c r="AQ500" i="6"/>
  <c r="CD500" i="6"/>
  <c r="BA500" i="6"/>
  <c r="AY500" i="6"/>
  <c r="CB500" i="6"/>
  <c r="CC500" i="6"/>
  <c r="CH500" i="6"/>
  <c r="AV500" i="6"/>
  <c r="AU500" i="6"/>
  <c r="AX500" i="6"/>
  <c r="BL500" i="6"/>
  <c r="AS500" i="6"/>
  <c r="AM500" i="6"/>
  <c r="AO500" i="6"/>
  <c r="CI500" i="6"/>
  <c r="BE500" i="6"/>
  <c r="AJ500" i="6"/>
  <c r="AN500" i="6"/>
  <c r="AW500" i="6"/>
  <c r="CA500" i="6"/>
  <c r="BD500" i="6"/>
  <c r="B503" i="6"/>
  <c r="J503" i="6" s="1" a="1"/>
  <c r="J503" i="6" s="1"/>
  <c r="B503" i="5"/>
  <c r="BX501" i="6"/>
  <c r="CL501" i="6"/>
  <c r="E503" i="5"/>
  <c r="CF501" i="6"/>
  <c r="CM501" i="6"/>
  <c r="F503" i="5"/>
  <c r="A503" i="12"/>
  <c r="AD503" i="5"/>
  <c r="G503" i="5"/>
  <c r="K500" i="5" s="1"/>
  <c r="I503" i="5"/>
  <c r="C504" i="5"/>
  <c r="BN501" i="6"/>
  <c r="BQ501" i="6"/>
  <c r="CD501" i="6"/>
  <c r="CA501" i="6"/>
  <c r="BT501" i="6"/>
  <c r="W503" i="5"/>
  <c r="H503" i="12" s="1"/>
  <c r="CC501" i="6"/>
  <c r="BV501" i="6"/>
  <c r="CE501" i="6"/>
  <c r="K501" i="12"/>
  <c r="BK501" i="6"/>
  <c r="BC501" i="6"/>
  <c r="BE501" i="6"/>
  <c r="AX501" i="6"/>
  <c r="CI501" i="6"/>
  <c r="BL501" i="6"/>
  <c r="CK501" i="6"/>
  <c r="BJ501" i="6"/>
  <c r="CH501" i="6"/>
  <c r="BO501" i="6"/>
  <c r="BI501" i="6"/>
  <c r="N503" i="5"/>
  <c r="D503" i="6" s="1"/>
  <c r="BS501" i="6"/>
  <c r="BM501" i="6"/>
  <c r="BH501" i="6"/>
  <c r="BD501" i="6"/>
  <c r="BG501" i="6"/>
  <c r="CB501" i="6"/>
  <c r="AE503" i="5"/>
  <c r="BP501" i="6"/>
  <c r="CG501" i="6"/>
  <c r="BR501" i="6"/>
  <c r="BW501" i="6"/>
  <c r="BZ501" i="6"/>
  <c r="BY501" i="6"/>
  <c r="L502" i="12" a="1"/>
  <c r="L502" i="12" s="1"/>
  <c r="J502" i="12" a="1"/>
  <c r="J502" i="12" s="1"/>
  <c r="H502" i="6" a="1"/>
  <c r="H502" i="6" s="1"/>
  <c r="T502" i="5" s="1"/>
  <c r="G502" i="12" s="1"/>
  <c r="M502" i="6"/>
  <c r="BI502" i="6" s="1"/>
  <c r="N502" i="6"/>
  <c r="A10" i="9"/>
  <c r="BA501" i="6" l="1"/>
  <c r="BF501" i="6"/>
  <c r="AW501" i="6"/>
  <c r="AU501" i="6"/>
  <c r="AZ501" i="6"/>
  <c r="AT501" i="6"/>
  <c r="AV501" i="6"/>
  <c r="AY501" i="6"/>
  <c r="H504" i="5"/>
  <c r="CB502" i="6"/>
  <c r="D504" i="5"/>
  <c r="B504" i="12" s="1"/>
  <c r="C505" i="5"/>
  <c r="AE505" i="5" s="1"/>
  <c r="AD504" i="5"/>
  <c r="K504" i="5"/>
  <c r="B504" i="5"/>
  <c r="G504" i="5"/>
  <c r="F504" i="5"/>
  <c r="J504" i="5"/>
  <c r="B504" i="6"/>
  <c r="CL502" i="6"/>
  <c r="BM502" i="6"/>
  <c r="K502" i="12"/>
  <c r="AE504" i="5"/>
  <c r="A504" i="12"/>
  <c r="L504" i="12" s="1" a="1"/>
  <c r="L504" i="12" s="1"/>
  <c r="CC502" i="6"/>
  <c r="E504" i="5"/>
  <c r="N504" i="5"/>
  <c r="D504" i="6" s="1"/>
  <c r="N504" i="6" s="1"/>
  <c r="BT502" i="6"/>
  <c r="CH502" i="6"/>
  <c r="BE502" i="6"/>
  <c r="BG502" i="6"/>
  <c r="CK502" i="6"/>
  <c r="BN502" i="6"/>
  <c r="BK502" i="6"/>
  <c r="BY502" i="6"/>
  <c r="BR502" i="6"/>
  <c r="BJ502" i="6"/>
  <c r="BD502" i="6"/>
  <c r="CJ502" i="6"/>
  <c r="CE502" i="6"/>
  <c r="BQ502" i="6"/>
  <c r="CD502" i="6"/>
  <c r="CM502" i="6"/>
  <c r="CI502" i="6"/>
  <c r="CG502" i="6"/>
  <c r="BX502" i="6"/>
  <c r="BV502" i="6"/>
  <c r="CA502" i="6"/>
  <c r="BP502" i="6"/>
  <c r="BF502" i="6"/>
  <c r="BZ502" i="6"/>
  <c r="BC502" i="6"/>
  <c r="BA502" i="6"/>
  <c r="M503" i="6"/>
  <c r="BR503" i="6" s="1"/>
  <c r="G503" i="6"/>
  <c r="H503" i="6" a="1"/>
  <c r="H503" i="6" s="1"/>
  <c r="AX502" i="6"/>
  <c r="N503" i="6"/>
  <c r="AU502" i="6"/>
  <c r="BO502" i="6"/>
  <c r="AW502" i="6"/>
  <c r="AY502" i="6"/>
  <c r="AV502" i="6"/>
  <c r="BH502" i="6"/>
  <c r="AZ502" i="6"/>
  <c r="AT502" i="6"/>
  <c r="BS502" i="6"/>
  <c r="BW502" i="6"/>
  <c r="BL502" i="6"/>
  <c r="CF502" i="6"/>
  <c r="AD505" i="5" l="1"/>
  <c r="K505" i="5"/>
  <c r="D505" i="5"/>
  <c r="B505" i="12" s="1"/>
  <c r="B505" i="6"/>
  <c r="N505" i="5"/>
  <c r="D505" i="6" s="1"/>
  <c r="H505" i="6" s="1" a="1"/>
  <c r="H505" i="6" s="1"/>
  <c r="T505" i="5" s="1"/>
  <c r="G505" i="12" s="1"/>
  <c r="G505" i="5"/>
  <c r="A505" i="12"/>
  <c r="L505" i="12" s="1" a="1"/>
  <c r="L505" i="12" s="1"/>
  <c r="E505" i="5"/>
  <c r="J505" i="5"/>
  <c r="B505" i="5"/>
  <c r="C506" i="5" s="1"/>
  <c r="B506" i="5" s="1"/>
  <c r="F505" i="5"/>
  <c r="H505" i="5"/>
  <c r="AX503" i="6"/>
  <c r="J504" i="12" a="1"/>
  <c r="J504" i="12" s="1"/>
  <c r="K504" i="12" s="1"/>
  <c r="BW503" i="6"/>
  <c r="CJ503" i="6"/>
  <c r="CH503" i="6"/>
  <c r="BF503" i="6"/>
  <c r="CL503" i="6"/>
  <c r="BT503" i="6"/>
  <c r="BP503" i="6"/>
  <c r="BD503" i="6"/>
  <c r="CC503" i="6"/>
  <c r="BN503" i="6"/>
  <c r="H504" i="6" a="1"/>
  <c r="H504" i="6" s="1"/>
  <c r="T504" i="5" s="1"/>
  <c r="G504" i="12" s="1"/>
  <c r="CG503" i="6"/>
  <c r="M504" i="6"/>
  <c r="BI504" i="6" s="1"/>
  <c r="AK503" i="6"/>
  <c r="BA503" i="6"/>
  <c r="AS503" i="6"/>
  <c r="CE503" i="6"/>
  <c r="BI503" i="6"/>
  <c r="BE503" i="6"/>
  <c r="AY503" i="6"/>
  <c r="BS503" i="6"/>
  <c r="CM503" i="6"/>
  <c r="CD503" i="6"/>
  <c r="BZ503" i="6"/>
  <c r="BK503" i="6"/>
  <c r="AW503" i="6"/>
  <c r="BL503" i="6"/>
  <c r="AV503" i="6"/>
  <c r="AN503" i="6"/>
  <c r="AU503" i="6"/>
  <c r="AM503" i="6"/>
  <c r="AT503" i="6"/>
  <c r="BQ503" i="6"/>
  <c r="CB503" i="6"/>
  <c r="BC503" i="6"/>
  <c r="AZ503" i="6"/>
  <c r="AP503" i="6"/>
  <c r="AJ503" i="6"/>
  <c r="BG503" i="6"/>
  <c r="CA503" i="6"/>
  <c r="T503" i="5"/>
  <c r="G503" i="12" s="1"/>
  <c r="AR503" i="6"/>
  <c r="AQ503" i="6"/>
  <c r="AL503" i="6"/>
  <c r="BV503" i="6"/>
  <c r="CK503" i="6"/>
  <c r="BM503" i="6"/>
  <c r="BX503" i="6"/>
  <c r="BO503" i="6"/>
  <c r="BH503" i="6"/>
  <c r="BJ503" i="6"/>
  <c r="BY503" i="6"/>
  <c r="AO503" i="6"/>
  <c r="CI503" i="6"/>
  <c r="CF503" i="6"/>
  <c r="J505" i="12" a="1"/>
  <c r="J505" i="12" s="1"/>
  <c r="M505" i="6" l="1"/>
  <c r="BO505" i="6" s="1"/>
  <c r="B506" i="6"/>
  <c r="J506" i="6" s="1" a="1"/>
  <c r="J506" i="6" s="1"/>
  <c r="E506" i="5"/>
  <c r="F506" i="5"/>
  <c r="AE506" i="5"/>
  <c r="N505" i="6"/>
  <c r="AD506" i="5"/>
  <c r="N506" i="5"/>
  <c r="D506" i="6" s="1"/>
  <c r="N506" i="6" s="1"/>
  <c r="CA504" i="6"/>
  <c r="G506" i="5"/>
  <c r="K503" i="5" s="1"/>
  <c r="H506" i="5"/>
  <c r="A506" i="12"/>
  <c r="BZ504" i="6"/>
  <c r="W506" i="5"/>
  <c r="H506" i="12" s="1"/>
  <c r="I506" i="5"/>
  <c r="CG504" i="6"/>
  <c r="BW504" i="6"/>
  <c r="BF504" i="6"/>
  <c r="BK504" i="6"/>
  <c r="BO504" i="6"/>
  <c r="BQ504" i="6"/>
  <c r="BS504" i="6"/>
  <c r="BN504" i="6"/>
  <c r="CL504" i="6"/>
  <c r="BG504" i="6"/>
  <c r="BT504" i="6"/>
  <c r="CM504" i="6"/>
  <c r="CD504" i="6"/>
  <c r="BH504" i="6"/>
  <c r="CE504" i="6"/>
  <c r="BM504" i="6"/>
  <c r="CC504" i="6"/>
  <c r="CF504" i="6"/>
  <c r="BE504" i="6"/>
  <c r="CH504" i="6"/>
  <c r="BJ504" i="6"/>
  <c r="BX504" i="6"/>
  <c r="CK504" i="6"/>
  <c r="BY504" i="6"/>
  <c r="BR504" i="6"/>
  <c r="BL504" i="6"/>
  <c r="CB504" i="6"/>
  <c r="BD504" i="6"/>
  <c r="BV504" i="6"/>
  <c r="BC504" i="6"/>
  <c r="CI504" i="6"/>
  <c r="BP504" i="6"/>
  <c r="CJ504" i="6"/>
  <c r="C507" i="5"/>
  <c r="K474" i="5"/>
  <c r="D474" i="5" s="1"/>
  <c r="B474" i="12" s="1"/>
  <c r="AY504" i="6"/>
  <c r="AU504" i="6"/>
  <c r="AT504" i="6"/>
  <c r="AV504" i="6"/>
  <c r="AX504" i="6"/>
  <c r="AZ504" i="6"/>
  <c r="BA504" i="6"/>
  <c r="AW504" i="6"/>
  <c r="CL505" i="6"/>
  <c r="BP505" i="6"/>
  <c r="BH505" i="6"/>
  <c r="CH505" i="6"/>
  <c r="AT505" i="6"/>
  <c r="BJ505" i="6"/>
  <c r="CD505" i="6"/>
  <c r="BE505" i="6"/>
  <c r="CC505" i="6"/>
  <c r="AX505" i="6"/>
  <c r="CG505" i="6"/>
  <c r="BY505" i="6"/>
  <c r="BF505" i="6"/>
  <c r="BA505" i="6"/>
  <c r="CB505" i="6"/>
  <c r="BM505" i="6"/>
  <c r="CF505" i="6"/>
  <c r="AW505" i="6"/>
  <c r="BR505" i="6"/>
  <c r="CJ505" i="6"/>
  <c r="CE505" i="6"/>
  <c r="CM505" i="6"/>
  <c r="BW505" i="6"/>
  <c r="BD505" i="6"/>
  <c r="AY505" i="6"/>
  <c r="AU505" i="6"/>
  <c r="CK505" i="6"/>
  <c r="BN505" i="6"/>
  <c r="AV505" i="6"/>
  <c r="BC505" i="6"/>
  <c r="BL505" i="6"/>
  <c r="BZ505" i="6"/>
  <c r="BV505" i="6"/>
  <c r="BS505" i="6"/>
  <c r="AZ505" i="6"/>
  <c r="K385" i="5"/>
  <c r="D385" i="5" s="1"/>
  <c r="B385" i="12" s="1"/>
  <c r="BI505" i="6"/>
  <c r="BT505" i="6"/>
  <c r="BX505" i="6"/>
  <c r="BG505" i="6"/>
  <c r="K505" i="12"/>
  <c r="CI505" i="6"/>
  <c r="BK505" i="6"/>
  <c r="BQ505" i="6"/>
  <c r="CA505" i="6"/>
  <c r="G506" i="6" l="1"/>
  <c r="M506" i="6"/>
  <c r="BR506" i="6" s="1"/>
  <c r="H506" i="6" a="1"/>
  <c r="H506" i="6" s="1"/>
  <c r="T506" i="5" s="1"/>
  <c r="G506" i="12" s="1"/>
  <c r="A5" i="5"/>
  <c r="F507" i="5"/>
  <c r="J441" i="5" s="1"/>
  <c r="D441" i="5" s="1"/>
  <c r="B441" i="12" s="1"/>
  <c r="K507" i="5"/>
  <c r="AD507" i="5"/>
  <c r="F26" i="8" s="1"/>
  <c r="F27" i="8" s="1"/>
  <c r="M26" i="8" s="1"/>
  <c r="Q26" i="8" s="1"/>
  <c r="N507" i="5"/>
  <c r="D507" i="6" s="1"/>
  <c r="N507" i="6" s="1"/>
  <c r="H507" i="5"/>
  <c r="K299" i="5" s="1"/>
  <c r="D299" i="5" s="1"/>
  <c r="B299" i="12" s="1"/>
  <c r="G507" i="5"/>
  <c r="J500" i="5" s="1"/>
  <c r="D500" i="5" s="1"/>
  <c r="B500" i="12" s="1"/>
  <c r="AY506" i="6"/>
  <c r="BX506" i="6"/>
  <c r="CD506" i="6"/>
  <c r="BM506" i="6"/>
  <c r="CB506" i="6"/>
  <c r="AM506" i="6"/>
  <c r="B507" i="6"/>
  <c r="BP506" i="6"/>
  <c r="BI506" i="6"/>
  <c r="BF506" i="6"/>
  <c r="CG506" i="6"/>
  <c r="CI506" i="6"/>
  <c r="BG506" i="6"/>
  <c r="CA506" i="6"/>
  <c r="AN506" i="6"/>
  <c r="CE506" i="6"/>
  <c r="CL506" i="6"/>
  <c r="AS506" i="6"/>
  <c r="BZ506" i="6"/>
  <c r="BD506" i="6"/>
  <c r="CC506" i="6"/>
  <c r="CJ506" i="6"/>
  <c r="AV506" i="6"/>
  <c r="CK506" i="6"/>
  <c r="CF506" i="6"/>
  <c r="CH506" i="6"/>
  <c r="BQ506" i="6"/>
  <c r="BT506" i="6"/>
  <c r="BO506" i="6"/>
  <c r="BJ506" i="6"/>
  <c r="BK506" i="6"/>
  <c r="BV506" i="6"/>
  <c r="BE506" i="6"/>
  <c r="D507" i="5"/>
  <c r="B507" i="12" s="1"/>
  <c r="BS506" i="6"/>
  <c r="AP506" i="6"/>
  <c r="B507" i="5"/>
  <c r="BN506" i="6"/>
  <c r="A507" i="12"/>
  <c r="AE507" i="5"/>
  <c r="E507" i="5"/>
  <c r="K16" i="5" s="1"/>
  <c r="BY506" i="6"/>
  <c r="BL506" i="6"/>
  <c r="J507" i="5"/>
  <c r="F20" i="8"/>
  <c r="F21" i="8" s="1"/>
  <c r="J20" i="8" s="1"/>
  <c r="F50" i="8"/>
  <c r="F41" i="8"/>
  <c r="F42" i="8" s="1"/>
  <c r="J41" i="8" s="1"/>
  <c r="F38" i="8"/>
  <c r="F39" i="8" s="1"/>
  <c r="M38" i="8" s="1"/>
  <c r="K201" i="5"/>
  <c r="D201" i="5" s="1"/>
  <c r="B201" i="12" s="1"/>
  <c r="F53" i="8"/>
  <c r="F1" i="8"/>
  <c r="F2" i="8" s="1"/>
  <c r="F17" i="8"/>
  <c r="F18" i="8" s="1"/>
  <c r="M12" i="6" a="1"/>
  <c r="M12" i="6" s="1"/>
  <c r="K489" i="5"/>
  <c r="K459" i="5"/>
  <c r="D459" i="5" s="1"/>
  <c r="B459" i="12" s="1"/>
  <c r="BW506" i="6" l="1"/>
  <c r="F32" i="8"/>
  <c r="F33" i="8" s="1"/>
  <c r="J32" i="8" s="1"/>
  <c r="AT506" i="6"/>
  <c r="AU506" i="6"/>
  <c r="AX506" i="6"/>
  <c r="AK506" i="6"/>
  <c r="AZ506" i="6"/>
  <c r="BA506" i="6"/>
  <c r="AO506" i="6"/>
  <c r="AW506" i="6"/>
  <c r="BC506" i="6"/>
  <c r="CM506" i="6"/>
  <c r="AL506" i="6"/>
  <c r="J215" i="5"/>
  <c r="D215" i="5" s="1"/>
  <c r="B215" i="12" s="1"/>
  <c r="AJ506" i="6"/>
  <c r="K323" i="5"/>
  <c r="D323" i="5" s="1"/>
  <c r="B323" i="12" s="1"/>
  <c r="F14" i="8"/>
  <c r="F15" i="8" s="1"/>
  <c r="M14" i="8" s="1"/>
  <c r="P14" i="8" s="1"/>
  <c r="F23" i="8"/>
  <c r="F24" i="8" s="1"/>
  <c r="J23" i="8" s="1"/>
  <c r="F44" i="8"/>
  <c r="F45" i="8" s="1"/>
  <c r="M44" i="8" s="1"/>
  <c r="S46" i="8" s="1"/>
  <c r="F47" i="8"/>
  <c r="F10" i="8" a="1"/>
  <c r="F10" i="8" s="1"/>
  <c r="F35" i="8"/>
  <c r="F36" i="8" s="1"/>
  <c r="J35" i="8" s="1"/>
  <c r="F29" i="8"/>
  <c r="F30" i="8" s="1"/>
  <c r="M29" i="8" s="1"/>
  <c r="S31" i="8" s="1"/>
  <c r="AQ506" i="6"/>
  <c r="K506" i="5"/>
  <c r="M507" i="6"/>
  <c r="W24" i="7" s="1" a="1"/>
  <c r="W24" i="7" s="1"/>
  <c r="J492" i="5"/>
  <c r="D492" i="5" s="1"/>
  <c r="B492" i="12" s="1"/>
  <c r="J498" i="5"/>
  <c r="D498" i="5" s="1"/>
  <c r="B498" i="12" s="1"/>
  <c r="J489" i="5"/>
  <c r="J486" i="5"/>
  <c r="D486" i="5" s="1"/>
  <c r="B486" i="12" s="1"/>
  <c r="J483" i="5"/>
  <c r="D483" i="5" s="1"/>
  <c r="B483" i="12" s="1"/>
  <c r="J480" i="5"/>
  <c r="D480" i="5" s="1"/>
  <c r="B480" i="12" s="1"/>
  <c r="J503" i="5"/>
  <c r="D503" i="5" s="1"/>
  <c r="B503" i="12" s="1"/>
  <c r="J506" i="5"/>
  <c r="H507" i="6" a="1"/>
  <c r="H507" i="6" s="1"/>
  <c r="T507" i="5" s="1"/>
  <c r="G507" i="12" s="1"/>
  <c r="J360" i="5"/>
  <c r="D360" i="5" s="1"/>
  <c r="B360" i="12" s="1"/>
  <c r="AR506" i="6"/>
  <c r="K434" i="5"/>
  <c r="D434" i="5" s="1"/>
  <c r="B434" i="12" s="1"/>
  <c r="BH506" i="6"/>
  <c r="J244" i="5"/>
  <c r="D244" i="5" s="1"/>
  <c r="B244" i="12" s="1"/>
  <c r="K479" i="5"/>
  <c r="J17" i="5"/>
  <c r="D17" i="5" s="1"/>
  <c r="B17" i="12" s="1"/>
  <c r="J27" i="5"/>
  <c r="D27" i="5" s="1"/>
  <c r="B27" i="12" s="1"/>
  <c r="J24" i="5"/>
  <c r="D24" i="5" s="1"/>
  <c r="B24" i="12" s="1"/>
  <c r="J26" i="8"/>
  <c r="J479" i="5"/>
  <c r="J48" i="5"/>
  <c r="D48" i="5" s="1"/>
  <c r="B48" i="12" s="1"/>
  <c r="J59" i="5"/>
  <c r="D59" i="5" s="1"/>
  <c r="B59" i="12" s="1"/>
  <c r="A12" i="13"/>
  <c r="AO12" i="13" s="1"/>
  <c r="M41" i="8"/>
  <c r="P41" i="8" s="1"/>
  <c r="B12" i="11"/>
  <c r="AB12" i="11" s="1"/>
  <c r="N12" i="11" s="1"/>
  <c r="J16" i="5"/>
  <c r="D16" i="5" s="1"/>
  <c r="B16" i="12" s="1"/>
  <c r="J14" i="8"/>
  <c r="M32" i="8"/>
  <c r="S34" i="8" s="1"/>
  <c r="J38" i="8"/>
  <c r="M20" i="8"/>
  <c r="Q20" i="8" s="1"/>
  <c r="Y19" i="7" a="1"/>
  <c r="Y19" i="7" s="1"/>
  <c r="U16" i="7" a="1"/>
  <c r="U16" i="7" s="1"/>
  <c r="T23" i="7" a="1"/>
  <c r="T23" i="7" s="1"/>
  <c r="J507" i="12" a="1"/>
  <c r="J507" i="12" s="1"/>
  <c r="L507" i="12" a="1"/>
  <c r="L507" i="12" s="1"/>
  <c r="Q14" i="8"/>
  <c r="M17" i="8"/>
  <c r="J17" i="8"/>
  <c r="S1" i="8"/>
  <c r="M1" i="8"/>
  <c r="Q1" i="8"/>
  <c r="P1" i="8"/>
  <c r="J1" i="8"/>
  <c r="O1" i="8"/>
  <c r="I1" i="8"/>
  <c r="N1" i="8"/>
  <c r="O14" i="8"/>
  <c r="P26" i="8"/>
  <c r="P38" i="8"/>
  <c r="Q38" i="8"/>
  <c r="D489" i="5"/>
  <c r="B489" i="12" s="1"/>
  <c r="A14" i="8"/>
  <c r="S16" i="8"/>
  <c r="S28" i="8"/>
  <c r="S40" i="8"/>
  <c r="M23" i="8" l="1"/>
  <c r="S25" i="8" s="1"/>
  <c r="J44" i="8"/>
  <c r="Q44" i="8"/>
  <c r="Q29" i="8"/>
  <c r="O26" i="8"/>
  <c r="P29" i="8"/>
  <c r="P44" i="8"/>
  <c r="M35" i="8"/>
  <c r="S37" i="8" s="1"/>
  <c r="D506" i="5"/>
  <c r="B506" i="12" s="1"/>
  <c r="X18" i="7" a="1"/>
  <c r="X18" i="7" s="1"/>
  <c r="V20" i="7" a="1"/>
  <c r="V20" i="7" s="1"/>
  <c r="X22" i="7" a="1"/>
  <c r="X22" i="7" s="1"/>
  <c r="Y20" i="7" a="1"/>
  <c r="Y20" i="7" s="1"/>
  <c r="S23" i="7" a="1"/>
  <c r="S23" i="7" s="1"/>
  <c r="CH507" i="6"/>
  <c r="R16" i="7" a="1"/>
  <c r="R16" i="7" s="1"/>
  <c r="V21" i="7" a="1"/>
  <c r="V21" i="7" s="1"/>
  <c r="U25" i="7" a="1"/>
  <c r="U25" i="7" s="1"/>
  <c r="R23" i="7" a="1"/>
  <c r="R23" i="7" s="1"/>
  <c r="W25" i="7" a="1"/>
  <c r="W25" i="7" s="1"/>
  <c r="R18" i="7" a="1"/>
  <c r="R18" i="7" s="1"/>
  <c r="BQ507" i="6"/>
  <c r="T24" i="7" a="1"/>
  <c r="T24" i="7" s="1"/>
  <c r="X19" i="7" a="1"/>
  <c r="X19" i="7" s="1"/>
  <c r="W23" i="7" a="1"/>
  <c r="W23" i="7" s="1"/>
  <c r="W16" i="7" a="1"/>
  <c r="W16" i="7" s="1"/>
  <c r="T25" i="7" a="1"/>
  <c r="T25" i="7" s="1"/>
  <c r="CK507" i="6"/>
  <c r="S25" i="7" a="1"/>
  <c r="S25" i="7" s="1"/>
  <c r="BI507" i="6"/>
  <c r="T16" i="7" a="1"/>
  <c r="T16" i="7" s="1"/>
  <c r="CB507" i="6"/>
  <c r="BS507" i="6"/>
  <c r="U22" i="7" a="1"/>
  <c r="U22" i="7" s="1"/>
  <c r="V16" i="7" a="1"/>
  <c r="V16" i="7" s="1"/>
  <c r="BH507" i="6"/>
  <c r="CD507" i="6"/>
  <c r="Y21" i="7" a="1"/>
  <c r="Y21" i="7" s="1"/>
  <c r="U18" i="7" a="1"/>
  <c r="U18" i="7" s="1"/>
  <c r="BC507" i="6"/>
  <c r="BY507" i="6"/>
  <c r="CL507" i="6"/>
  <c r="T18" i="7" a="1"/>
  <c r="T18" i="7" s="1"/>
  <c r="X21" i="7" a="1"/>
  <c r="X21" i="7" s="1"/>
  <c r="R17" i="7" a="1"/>
  <c r="R17" i="7" s="1"/>
  <c r="W17" i="7" a="1"/>
  <c r="W17" i="7" s="1"/>
  <c r="R20" i="7" a="1"/>
  <c r="R20" i="7" s="1"/>
  <c r="BG507" i="6"/>
  <c r="BP507" i="6"/>
  <c r="BF507" i="6"/>
  <c r="U21" i="7" a="1"/>
  <c r="U21" i="7" s="1"/>
  <c r="S20" i="7" a="1"/>
  <c r="S20" i="7" s="1"/>
  <c r="S18" i="7" a="1"/>
  <c r="S18" i="7" s="1"/>
  <c r="CI507" i="6"/>
  <c r="Y22" i="7" a="1"/>
  <c r="Y22" i="7" s="1"/>
  <c r="BE507" i="6"/>
  <c r="CM507" i="6"/>
  <c r="Y23" i="7" a="1"/>
  <c r="Y23" i="7" s="1"/>
  <c r="R21" i="7" a="1"/>
  <c r="R21" i="7" s="1"/>
  <c r="W21" i="7" a="1"/>
  <c r="W21" i="7" s="1"/>
  <c r="R19" i="7" a="1"/>
  <c r="R19" i="7" s="1"/>
  <c r="R25" i="7" a="1"/>
  <c r="R25" i="7" s="1"/>
  <c r="R22" i="7" a="1"/>
  <c r="R22" i="7" s="1"/>
  <c r="X23" i="7" a="1"/>
  <c r="X23" i="7" s="1"/>
  <c r="R24" i="7" a="1"/>
  <c r="R24" i="7" s="1"/>
  <c r="BJ507" i="6"/>
  <c r="BN507" i="6"/>
  <c r="CJ507" i="6"/>
  <c r="BM507" i="6"/>
  <c r="S19" i="7" a="1"/>
  <c r="S19" i="7" s="1"/>
  <c r="BO507" i="6"/>
  <c r="V17" i="7" a="1"/>
  <c r="V17" i="7" s="1"/>
  <c r="S24" i="7" a="1"/>
  <c r="S24" i="7" s="1"/>
  <c r="W18" i="7" a="1"/>
  <c r="W18" i="7" s="1"/>
  <c r="U23" i="7" a="1"/>
  <c r="U23" i="7" s="1"/>
  <c r="X24" i="7" a="1"/>
  <c r="X24" i="7" s="1"/>
  <c r="BL507" i="6"/>
  <c r="Y18" i="7" a="1"/>
  <c r="Y18" i="7" s="1"/>
  <c r="CA507" i="6"/>
  <c r="W20" i="7" a="1"/>
  <c r="W20" i="7" s="1"/>
  <c r="V25" i="7" a="1"/>
  <c r="V25" i="7" s="1"/>
  <c r="U24" i="7" a="1"/>
  <c r="U24" i="7" s="1"/>
  <c r="BR507" i="6"/>
  <c r="BD507" i="6"/>
  <c r="V19" i="7" a="1"/>
  <c r="V19" i="7" s="1"/>
  <c r="S17" i="7" a="1"/>
  <c r="S17" i="7" s="1"/>
  <c r="X20" i="7" a="1"/>
  <c r="X20" i="7" s="1"/>
  <c r="T20" i="7" a="1"/>
  <c r="T20" i="7" s="1"/>
  <c r="V23" i="7" a="1"/>
  <c r="V23" i="7" s="1"/>
  <c r="T19" i="7" a="1"/>
  <c r="T19" i="7" s="1"/>
  <c r="CE507" i="6"/>
  <c r="U17" i="7" a="1"/>
  <c r="U17" i="7" s="1"/>
  <c r="CF507" i="6"/>
  <c r="S21" i="7" a="1"/>
  <c r="S21" i="7" s="1"/>
  <c r="BZ507" i="6"/>
  <c r="S16" i="7" a="1"/>
  <c r="S16" i="7" s="1"/>
  <c r="X25" i="7" a="1"/>
  <c r="X25" i="7" s="1"/>
  <c r="BK507" i="6"/>
  <c r="V24" i="7" a="1"/>
  <c r="V24" i="7" s="1"/>
  <c r="T22" i="7" a="1"/>
  <c r="T22" i="7" s="1"/>
  <c r="X16" i="7" a="1"/>
  <c r="X16" i="7" s="1"/>
  <c r="Y16" i="7" a="1"/>
  <c r="Y16" i="7" s="1"/>
  <c r="BX507" i="6"/>
  <c r="W22" i="7" a="1"/>
  <c r="W22" i="7" s="1"/>
  <c r="U20" i="7" a="1"/>
  <c r="U20" i="7" s="1"/>
  <c r="V18" i="7" a="1"/>
  <c r="V18" i="7" s="1"/>
  <c r="CG507" i="6"/>
  <c r="Y24" i="7" a="1"/>
  <c r="Y24" i="7" s="1"/>
  <c r="T17" i="7" a="1"/>
  <c r="T17" i="7" s="1"/>
  <c r="J29" i="8"/>
  <c r="Y25" i="7" a="1"/>
  <c r="Y25" i="7" s="1"/>
  <c r="V22" i="7" a="1"/>
  <c r="V22" i="7" s="1"/>
  <c r="Y17" i="7" a="1"/>
  <c r="Y17" i="7" s="1"/>
  <c r="BW507" i="6"/>
  <c r="S22" i="7" a="1"/>
  <c r="S22" i="7" s="1"/>
  <c r="CC507" i="6"/>
  <c r="T21" i="7" a="1"/>
  <c r="T21" i="7" s="1"/>
  <c r="BV507" i="6"/>
  <c r="O41" i="8"/>
  <c r="O38" i="8"/>
  <c r="Q41" i="8"/>
  <c r="AU507" i="6"/>
  <c r="S43" i="8"/>
  <c r="AX507" i="6"/>
  <c r="AV507" i="6"/>
  <c r="AT507" i="6"/>
  <c r="AW507" i="6"/>
  <c r="BA507" i="6"/>
  <c r="AY507" i="6"/>
  <c r="AZ507" i="6"/>
  <c r="BT507" i="6"/>
  <c r="W19" i="7" a="1"/>
  <c r="W19" i="7" s="1"/>
  <c r="U19" i="7" a="1"/>
  <c r="U19" i="7" s="1"/>
  <c r="X17" i="7" a="1"/>
  <c r="X17" i="7" s="1"/>
  <c r="D479" i="5"/>
  <c r="B479" i="12" s="1"/>
  <c r="AL12" i="13"/>
  <c r="B12" i="13"/>
  <c r="AM12" i="13" s="1"/>
  <c r="P20" i="8"/>
  <c r="S22" i="8"/>
  <c r="O29" i="8"/>
  <c r="O12" i="11"/>
  <c r="C12" i="13"/>
  <c r="K12" i="13" s="1"/>
  <c r="Q32" i="8"/>
  <c r="P32" i="8"/>
  <c r="K12" i="11"/>
  <c r="J12" i="13" s="1"/>
  <c r="AA12" i="11"/>
  <c r="B14" i="13"/>
  <c r="G12" i="11"/>
  <c r="F12" i="13" s="1"/>
  <c r="F48" i="8"/>
  <c r="M47" i="8" s="1"/>
  <c r="F51" i="8" s="1"/>
  <c r="N50" i="8" s="1"/>
  <c r="P23" i="8"/>
  <c r="K507" i="12"/>
  <c r="O32" i="8"/>
  <c r="P35" i="8"/>
  <c r="Q23" i="8"/>
  <c r="O23" i="8"/>
  <c r="O20" i="8"/>
  <c r="O17" i="8"/>
  <c r="R1" i="8"/>
  <c r="S3" i="8"/>
  <c r="A1" i="8"/>
  <c r="G1" i="8"/>
  <c r="G2" i="8" s="1" a="1"/>
  <c r="G2" i="8" s="1"/>
  <c r="H1" i="8" a="1"/>
  <c r="H1" i="8" s="1"/>
  <c r="J2" i="8" s="1"/>
  <c r="H2" i="8" a="1"/>
  <c r="H2" i="8" s="1"/>
  <c r="S19" i="8"/>
  <c r="Q17" i="8"/>
  <c r="P17" i="8"/>
  <c r="AE34" i="10" a="1"/>
  <c r="AE34" i="10" s="1"/>
  <c r="O34" i="10" a="1"/>
  <c r="O34" i="10" s="1"/>
  <c r="I34" i="10" a="1"/>
  <c r="I34" i="10" s="1"/>
  <c r="F15" i="7" a="1"/>
  <c r="F15" i="7" s="1"/>
  <c r="O35" i="8" l="1"/>
  <c r="D15" i="5"/>
  <c r="Q35" i="8"/>
  <c r="AA34" i="10" a="1"/>
  <c r="AA34" i="10" s="1"/>
  <c r="O47" i="8"/>
  <c r="Y34" i="10" a="1"/>
  <c r="Y34" i="10" s="1"/>
  <c r="Q34" i="10" a="1"/>
  <c r="Q34" i="10" s="1"/>
  <c r="Q32" i="10" s="1"/>
  <c r="AC34" i="10" a="1"/>
  <c r="AC34" i="10" s="1"/>
  <c r="AE32" i="10" s="1"/>
  <c r="S34" i="10" a="1"/>
  <c r="S34" i="10" s="1"/>
  <c r="K34" i="10" a="1"/>
  <c r="K34" i="10" s="1"/>
  <c r="K32" i="10" s="1"/>
  <c r="W34" i="10" a="1"/>
  <c r="W34" i="10" s="1"/>
  <c r="M34" i="10" a="1"/>
  <c r="M34" i="10" s="1"/>
  <c r="O32" i="10" s="1"/>
  <c r="AK12" i="13"/>
  <c r="AJ12" i="13"/>
  <c r="AN12" i="13"/>
  <c r="O12" i="13"/>
  <c r="S12" i="13"/>
  <c r="N38" i="8"/>
  <c r="R38" i="8" s="1"/>
  <c r="F40" i="8" s="1"/>
  <c r="U12" i="13"/>
  <c r="M12" i="13"/>
  <c r="P47" i="8"/>
  <c r="P12" i="11"/>
  <c r="L12" i="13"/>
  <c r="C12" i="11"/>
  <c r="T12" i="13"/>
  <c r="Z12" i="11"/>
  <c r="R12" i="13"/>
  <c r="N35" i="8"/>
  <c r="R35" i="8" s="1"/>
  <c r="F37" i="8" s="1"/>
  <c r="N14" i="8"/>
  <c r="R14" i="8" s="1"/>
  <c r="C14" i="8" s="1"/>
  <c r="N32" i="8"/>
  <c r="R32" i="8" s="1"/>
  <c r="F34" i="8" s="1"/>
  <c r="N23" i="8"/>
  <c r="R23" i="8" s="1"/>
  <c r="F25" i="8" s="1"/>
  <c r="N26" i="8"/>
  <c r="R26" i="8" s="1"/>
  <c r="F28" i="8" s="1"/>
  <c r="N41" i="8"/>
  <c r="R41" i="8" s="1"/>
  <c r="F43" i="8" s="1"/>
  <c r="N44" i="8"/>
  <c r="Q47" i="8"/>
  <c r="S49" i="8"/>
  <c r="N20" i="8"/>
  <c r="R20" i="8" s="1"/>
  <c r="F22" i="8" s="1"/>
  <c r="N17" i="8"/>
  <c r="R17" i="8" s="1"/>
  <c r="F19" i="8" s="1"/>
  <c r="N29" i="8"/>
  <c r="R29" i="8" s="1"/>
  <c r="F31" i="8" s="1"/>
  <c r="J47" i="8"/>
  <c r="Q50" i="8"/>
  <c r="O50" i="8"/>
  <c r="M50" i="8"/>
  <c r="S52" i="8" s="1"/>
  <c r="J50" i="8"/>
  <c r="AC3" i="8" a="1"/>
  <c r="AC3" i="8" s="1"/>
  <c r="AA1" i="8" a="1"/>
  <c r="AA1" i="8" s="1"/>
  <c r="X1" i="8" a="1"/>
  <c r="X1" i="8" s="1"/>
  <c r="V3" i="8" a="1"/>
  <c r="V3" i="8" s="1"/>
  <c r="Z3" i="8" a="1"/>
  <c r="Z3" i="8" s="1"/>
  <c r="Z1" i="8" a="1"/>
  <c r="Z1" i="8" s="1"/>
  <c r="X3" i="8" a="1"/>
  <c r="X3" i="8" s="1"/>
  <c r="AE1" i="8" a="1"/>
  <c r="AE1" i="8" s="1"/>
  <c r="AF3" i="8" a="1"/>
  <c r="AF3" i="8" s="1"/>
  <c r="U1" i="8" a="1"/>
  <c r="U1" i="8" s="1"/>
  <c r="E3" i="8" a="1"/>
  <c r="E3" i="8" s="1"/>
  <c r="AB3" i="8" a="1"/>
  <c r="AB3" i="8" s="1"/>
  <c r="E1" i="8" a="1"/>
  <c r="E1" i="8" s="1"/>
  <c r="AD3" i="8" a="1"/>
  <c r="AD3" i="8" s="1"/>
  <c r="AE3" i="8" a="1"/>
  <c r="AE3" i="8" s="1"/>
  <c r="U3" i="8" a="1"/>
  <c r="U3" i="8" s="1"/>
  <c r="F3" i="8"/>
  <c r="AB1" i="8" a="1"/>
  <c r="AB1" i="8" s="1"/>
  <c r="AF1" i="8" a="1"/>
  <c r="AF1" i="8" s="1"/>
  <c r="V1" i="8" a="1"/>
  <c r="V1" i="8" s="1"/>
  <c r="Y3" i="8" a="1"/>
  <c r="Y3" i="8" s="1"/>
  <c r="W1" i="8" a="1"/>
  <c r="W1" i="8" s="1"/>
  <c r="C1" i="8"/>
  <c r="D1" i="8"/>
  <c r="W3" i="8" a="1"/>
  <c r="W3" i="8" s="1"/>
  <c r="AA3" i="8" a="1"/>
  <c r="AA3" i="8" s="1"/>
  <c r="Y1" i="8" a="1"/>
  <c r="Y1" i="8" s="1"/>
  <c r="AD1" i="8" a="1"/>
  <c r="AD1" i="8" s="1"/>
  <c r="AC1" i="8" a="1"/>
  <c r="AC1" i="8" s="1"/>
  <c r="P50" i="8"/>
  <c r="N47" i="8"/>
  <c r="R47" i="8" s="1"/>
  <c r="F49" i="8" s="1"/>
  <c r="I32" i="10" a="1"/>
  <c r="I32" i="10" s="1"/>
  <c r="Y15" i="7"/>
  <c r="Y14" i="7" s="1"/>
  <c r="T15" i="7"/>
  <c r="T14" i="7" s="1"/>
  <c r="I15" i="7"/>
  <c r="U15" i="7"/>
  <c r="U14" i="7" s="1"/>
  <c r="X15" i="7"/>
  <c r="X14" i="7" s="1"/>
  <c r="L15" i="7"/>
  <c r="Q15" i="7"/>
  <c r="A15" i="9"/>
  <c r="P15" i="7"/>
  <c r="V15" i="7"/>
  <c r="V14" i="7" s="1"/>
  <c r="S15" i="7"/>
  <c r="S14" i="7" s="1"/>
  <c r="O15" i="7"/>
  <c r="M15" i="7"/>
  <c r="J15" i="7"/>
  <c r="N15" i="7"/>
  <c r="W15" i="7"/>
  <c r="W14" i="7" s="1"/>
  <c r="K15" i="7"/>
  <c r="R15" i="7"/>
  <c r="R14" i="7" s="1"/>
  <c r="Y32" i="10" l="1"/>
  <c r="S32" i="10"/>
  <c r="AA32" i="10"/>
  <c r="M32" i="10"/>
  <c r="AC32" i="10"/>
  <c r="N12" i="13"/>
  <c r="F16" i="8"/>
  <c r="D14" i="8"/>
  <c r="P12" i="13"/>
  <c r="V12" i="13"/>
  <c r="D12" i="13"/>
  <c r="R50" i="8"/>
  <c r="F52" i="8" s="1"/>
  <c r="F54" i="8"/>
  <c r="J53" i="8" s="1"/>
  <c r="AH14" i="13"/>
  <c r="AH12" i="13"/>
  <c r="AE12" i="13"/>
  <c r="AE14" i="13"/>
  <c r="H15" i="7"/>
  <c r="E15" i="7"/>
  <c r="M53" i="8" l="1"/>
  <c r="S55" i="8" s="1"/>
  <c r="N53" i="8"/>
  <c r="Q53" i="8"/>
  <c r="P53" i="8"/>
  <c r="O44" i="8"/>
  <c r="R44" i="8" s="1"/>
  <c r="F46" i="8" s="1"/>
  <c r="U34" i="10" a="1"/>
  <c r="U34" i="10" s="1"/>
  <c r="U32" i="10" l="1"/>
  <c r="W32" i="10"/>
  <c r="C11" i="10" l="1"/>
  <c r="H40" i="6" a="1"/>
  <c r="H40" i="6" s="1"/>
  <c r="H34" i="6" a="1"/>
  <c r="H34" i="6" s="1"/>
  <c r="H39" i="6" a="1"/>
  <c r="H39" i="6" s="1"/>
  <c r="H32" i="6" a="1"/>
  <c r="H32" i="6" s="1"/>
  <c r="H37" i="6" a="1"/>
  <c r="H37" i="6" s="1"/>
  <c r="H41" i="6" a="1"/>
  <c r="H41" i="6" s="1"/>
  <c r="H33" i="6" a="1"/>
  <c r="H33" i="6" s="1"/>
  <c r="H38" i="6" a="1"/>
  <c r="H38" i="6" s="1"/>
  <c r="H35" i="6" a="1"/>
  <c r="H35" i="6" s="1"/>
  <c r="H36" i="6" a="1"/>
  <c r="H36" i="6" s="1"/>
  <c r="H31" i="6" a="1"/>
  <c r="H31" i="6" s="1"/>
  <c r="T38" i="5" l="1"/>
  <c r="G38" i="12" s="1"/>
  <c r="AX32" i="6"/>
  <c r="T31" i="5"/>
  <c r="G31" i="12" s="1"/>
  <c r="AW31" i="6"/>
  <c r="AV31" i="6"/>
  <c r="BA31" i="6"/>
  <c r="AT31" i="6"/>
  <c r="AY31" i="6"/>
  <c r="AX31" i="6"/>
  <c r="AZ31" i="6"/>
  <c r="AU31" i="6"/>
  <c r="AY32" i="6"/>
  <c r="AZ32" i="6"/>
  <c r="BA32" i="6"/>
  <c r="AV32" i="6"/>
  <c r="AU32" i="6"/>
  <c r="T32" i="5"/>
  <c r="AW32" i="6"/>
  <c r="AT32" i="6"/>
  <c r="AY35" i="6"/>
  <c r="BA35" i="6"/>
  <c r="AZ35" i="6"/>
  <c r="AU35" i="6"/>
  <c r="AT35" i="6"/>
  <c r="AV35" i="6"/>
  <c r="AW35" i="6"/>
  <c r="T35" i="5"/>
  <c r="BA39" i="6"/>
  <c r="AZ39" i="6"/>
  <c r="AY39" i="6"/>
  <c r="AX39" i="6"/>
  <c r="AT39" i="6"/>
  <c r="AU39" i="6"/>
  <c r="AV39" i="6"/>
  <c r="AW39" i="6"/>
  <c r="T39" i="5"/>
  <c r="AT37" i="6"/>
  <c r="T37" i="5"/>
  <c r="AU37" i="6"/>
  <c r="AV37" i="6"/>
  <c r="AW37" i="6"/>
  <c r="AX37" i="6"/>
  <c r="AY37" i="6"/>
  <c r="BA37" i="6"/>
  <c r="AZ37" i="6"/>
  <c r="BA38" i="6"/>
  <c r="AZ38" i="6"/>
  <c r="AT38" i="6"/>
  <c r="AV38" i="6"/>
  <c r="AW38" i="6"/>
  <c r="AX38" i="6"/>
  <c r="AY38" i="6"/>
  <c r="BA34" i="6"/>
  <c r="AX34" i="6"/>
  <c r="AZ34" i="6"/>
  <c r="AT34" i="6"/>
  <c r="AU34" i="6"/>
  <c r="AV34" i="6"/>
  <c r="AW34" i="6"/>
  <c r="AY34" i="6"/>
  <c r="T34" i="5"/>
  <c r="BA33" i="6"/>
  <c r="T33" i="5"/>
  <c r="AZ33" i="6"/>
  <c r="AT33" i="6"/>
  <c r="AV33" i="6"/>
  <c r="AW33" i="6"/>
  <c r="AX33" i="6"/>
  <c r="AU33" i="6"/>
  <c r="AU38" i="6"/>
  <c r="AY41" i="6"/>
  <c r="AZ41" i="6"/>
  <c r="T41" i="5"/>
  <c r="BA41" i="6"/>
  <c r="AT41" i="6"/>
  <c r="AU41" i="6"/>
  <c r="AV41" i="6"/>
  <c r="AW41" i="6"/>
  <c r="BA40" i="6"/>
  <c r="AZ40" i="6"/>
  <c r="AX40" i="6"/>
  <c r="AT40" i="6"/>
  <c r="AU40" i="6"/>
  <c r="T40" i="5"/>
  <c r="AV40" i="6"/>
  <c r="AW40" i="6"/>
  <c r="AY40" i="6"/>
  <c r="AX41" i="6"/>
  <c r="AY33" i="6"/>
  <c r="AV36" i="6"/>
  <c r="AU36" i="6"/>
  <c r="T36" i="5"/>
  <c r="AW36" i="6"/>
  <c r="AX36" i="6"/>
  <c r="AY36" i="6"/>
  <c r="BA36" i="6"/>
  <c r="AZ36" i="6"/>
  <c r="AT36" i="6"/>
  <c r="AX35" i="6"/>
  <c r="AZ15" i="6" l="1"/>
  <c r="AG15" i="6" s="1"/>
  <c r="AG11" i="6" s="1"/>
  <c r="AX15" i="6"/>
  <c r="AE15" i="6" s="1"/>
  <c r="AE11" i="6" s="1"/>
  <c r="AW15" i="6"/>
  <c r="AD15" i="6" s="1"/>
  <c r="AD11" i="6" s="1"/>
  <c r="G36" i="12"/>
  <c r="G34" i="12"/>
  <c r="G39" i="12"/>
  <c r="AY15" i="6"/>
  <c r="AF15" i="6" s="1"/>
  <c r="AF11" i="6" s="1"/>
  <c r="G32" i="12"/>
  <c r="AT15" i="6"/>
  <c r="AA15" i="6" s="1"/>
  <c r="AA11" i="6" s="1"/>
  <c r="BA15" i="6"/>
  <c r="AH15" i="6" s="1"/>
  <c r="AH11" i="6" s="1"/>
  <c r="G33" i="12"/>
  <c r="G35" i="12"/>
  <c r="G41" i="12"/>
  <c r="G40" i="12"/>
  <c r="G37" i="12"/>
  <c r="AU15" i="6"/>
  <c r="AB15" i="6" s="1"/>
  <c r="AB11" i="6" s="1"/>
  <c r="AV15" i="6"/>
  <c r="AC15" i="6" s="1"/>
  <c r="AC11" i="6" s="1"/>
  <c r="S47" i="8" l="1"/>
  <c r="G47" i="8" s="1"/>
  <c r="G48" i="8" s="1" a="1"/>
  <c r="G48" i="8" s="1"/>
  <c r="S53" i="8" l="1"/>
  <c r="G53" i="8" s="1"/>
  <c r="G54" i="8" s="1" a="1"/>
  <c r="G54" i="8" s="1"/>
  <c r="S50" i="8"/>
  <c r="G50" i="8" s="1"/>
  <c r="G51" i="8" s="1" a="1"/>
  <c r="G51" i="8" s="1"/>
  <c r="H48" i="8" a="1"/>
  <c r="H48" i="8" s="1"/>
  <c r="H51" i="8" l="1" a="1"/>
  <c r="H51" i="8" s="1"/>
  <c r="D47" i="8"/>
  <c r="D50" i="8"/>
  <c r="I47" i="8"/>
  <c r="A47" i="8" s="1"/>
  <c r="I50" i="8"/>
  <c r="A50" i="8" s="1"/>
  <c r="I53" i="8"/>
  <c r="A53" i="8" s="1"/>
  <c r="C47" i="8" l="1"/>
  <c r="C50" i="8"/>
  <c r="O53" i="8" l="1"/>
  <c r="R53" i="8" s="1"/>
  <c r="F55" i="8" l="1"/>
  <c r="H54" i="8" a="1"/>
  <c r="H54" i="8" s="1"/>
  <c r="D53" i="8"/>
  <c r="C53" i="8"/>
  <c r="AC49" i="8" a="1"/>
  <c r="AC49" i="8" s="1"/>
  <c r="U52" i="8" a="1"/>
  <c r="U52" i="8" s="1"/>
  <c r="AC47" i="8" l="1" a="1"/>
  <c r="AC47" i="8" s="1"/>
  <c r="V49" i="8" a="1"/>
  <c r="V49" i="8" s="1"/>
  <c r="U50" i="8" a="1"/>
  <c r="U50" i="8" s="1"/>
  <c r="U49" i="8" a="1"/>
  <c r="U49" i="8" s="1"/>
  <c r="AF52" i="8" a="1"/>
  <c r="AF52" i="8" s="1"/>
  <c r="AB52" i="8" l="1" a="1"/>
  <c r="AB52" i="8" s="1"/>
  <c r="X52" i="8" a="1"/>
  <c r="X52" i="8" s="1"/>
  <c r="U47" i="8" a="1"/>
  <c r="U47" i="8" s="1"/>
  <c r="V47" i="8" a="1"/>
  <c r="V47" i="8" s="1"/>
  <c r="AD52" i="8" a="1"/>
  <c r="AD52" i="8" s="1"/>
  <c r="AD49" i="8" s="1" a="1"/>
  <c r="AD49" i="8" s="1"/>
  <c r="AD47" i="8" s="1" a="1"/>
  <c r="AD47" i="8" s="1"/>
  <c r="W52" i="8" a="1"/>
  <c r="W52" i="8" s="1"/>
  <c r="W49" i="8" s="1" a="1"/>
  <c r="W49" i="8" s="1"/>
  <c r="W47" i="8" s="1" a="1"/>
  <c r="W47" i="8" s="1"/>
  <c r="E49" i="8" a="1"/>
  <c r="E49" i="8" s="1"/>
  <c r="Z49" i="8" a="1"/>
  <c r="Z49" i="8" s="1"/>
  <c r="AF50" i="8" a="1"/>
  <c r="AF50" i="8" s="1"/>
  <c r="AF49" i="8" a="1"/>
  <c r="AF49" i="8" s="1"/>
  <c r="Y49" i="8" a="1"/>
  <c r="Y49" i="8" s="1"/>
  <c r="AA49" i="8" a="1"/>
  <c r="AA49" i="8" s="1"/>
  <c r="AE49" i="8" a="1"/>
  <c r="AE49" i="8" s="1"/>
  <c r="X50" i="8" l="1" a="1"/>
  <c r="X50" i="8" s="1"/>
  <c r="X49" i="8" a="1"/>
  <c r="X49" i="8" s="1"/>
  <c r="AB50" i="8" a="1"/>
  <c r="AB50" i="8" s="1"/>
  <c r="AB49" i="8" a="1"/>
  <c r="AB49" i="8" s="1"/>
  <c r="W50" i="8" a="1"/>
  <c r="W50" i="8" s="1"/>
  <c r="AD50" i="8" a="1"/>
  <c r="AD50" i="8" s="1"/>
  <c r="AE47" i="8" a="1"/>
  <c r="AE47" i="8" s="1"/>
  <c r="AA47" i="8" a="1"/>
  <c r="AA47" i="8" s="1"/>
  <c r="Y47" i="8" a="1"/>
  <c r="Y47" i="8" s="1"/>
  <c r="AF47" i="8" a="1"/>
  <c r="AF47" i="8" s="1"/>
  <c r="Z47" i="8" a="1"/>
  <c r="Z47" i="8" s="1"/>
  <c r="E47" i="8" a="1"/>
  <c r="E47" i="8" s="1"/>
  <c r="AC55" i="8" l="1" a="1"/>
  <c r="AC55" i="8" s="1"/>
  <c r="U55" i="8" a="1"/>
  <c r="U55" i="8" s="1"/>
  <c r="AB47" i="8" a="1"/>
  <c r="AB47" i="8" s="1"/>
  <c r="X47" i="8" a="1"/>
  <c r="X47" i="8" s="1"/>
  <c r="H50" i="8" a="1"/>
  <c r="H50" i="8" s="1"/>
  <c r="J51" i="8" s="1"/>
  <c r="U53" i="8" l="1" a="1"/>
  <c r="U53" i="8" s="1"/>
  <c r="H47" i="8" a="1"/>
  <c r="H47" i="8" s="1"/>
  <c r="J48" i="8" s="1"/>
  <c r="AF55" i="8" a="1"/>
  <c r="AF55" i="8" s="1"/>
  <c r="E55" i="8" a="1"/>
  <c r="E55" i="8" s="1"/>
  <c r="W55" i="8" a="1"/>
  <c r="W55" i="8" s="1"/>
  <c r="Z55" i="8" a="1"/>
  <c r="Z55" i="8" s="1"/>
  <c r="Y55" i="8" a="1"/>
  <c r="Y55" i="8" s="1"/>
  <c r="AB55" i="8" a="1"/>
  <c r="AB55" i="8" s="1"/>
  <c r="X55" i="8" a="1"/>
  <c r="X55" i="8" s="1"/>
  <c r="AE55" i="8" a="1"/>
  <c r="AE55" i="8" s="1"/>
  <c r="AD55" i="8" a="1"/>
  <c r="AD55" i="8" s="1"/>
  <c r="AA55" i="8" a="1"/>
  <c r="AA55" i="8" s="1"/>
  <c r="AC52" i="8" a="1"/>
  <c r="AC52" i="8" s="1"/>
  <c r="AC50" i="8" s="1" a="1"/>
  <c r="AC50" i="8" s="1"/>
  <c r="AC53" i="8" a="1"/>
  <c r="AC53" i="8" s="1"/>
  <c r="V55" i="8" a="1"/>
  <c r="V55" i="8" s="1"/>
  <c r="AB53" i="8" l="1" a="1"/>
  <c r="AB53" i="8" s="1"/>
  <c r="W53" i="8" a="1"/>
  <c r="W53" i="8" s="1"/>
  <c r="AF53" i="8" a="1"/>
  <c r="AF53" i="8" s="1"/>
  <c r="AD53" i="8" a="1"/>
  <c r="AD53" i="8" s="1"/>
  <c r="X53" i="8" a="1"/>
  <c r="X53" i="8" s="1"/>
  <c r="Y52" i="8" a="1"/>
  <c r="Y52" i="8" s="1"/>
  <c r="Y53" i="8" a="1"/>
  <c r="Y53" i="8" s="1"/>
  <c r="Z52" i="8" a="1"/>
  <c r="Z52" i="8" s="1"/>
  <c r="Z53" i="8" a="1"/>
  <c r="Z53" i="8" s="1"/>
  <c r="AA52" i="8" a="1"/>
  <c r="AA52" i="8" s="1"/>
  <c r="AA53" i="8" a="1"/>
  <c r="AA53" i="8" s="1"/>
  <c r="AE52" i="8" a="1"/>
  <c r="AE52" i="8" s="1"/>
  <c r="AE53" i="8" a="1"/>
  <c r="AE53" i="8" s="1"/>
  <c r="E52" i="8" a="1"/>
  <c r="E52" i="8" s="1"/>
  <c r="E50" i="8" s="1" a="1"/>
  <c r="E50" i="8" s="1"/>
  <c r="E53" i="8" a="1"/>
  <c r="E53" i="8" s="1"/>
  <c r="V52" i="8" a="1"/>
  <c r="V52" i="8" s="1"/>
  <c r="V50" i="8" s="1" a="1"/>
  <c r="V50" i="8" s="1"/>
  <c r="V53" i="8" a="1"/>
  <c r="V53" i="8" s="1"/>
  <c r="AE50" i="8" l="1" a="1"/>
  <c r="AE50" i="8" s="1"/>
  <c r="AA50" i="8" a="1"/>
  <c r="AA50" i="8" s="1"/>
  <c r="Z50" i="8" a="1"/>
  <c r="Z50" i="8" s="1"/>
  <c r="Y50" i="8" a="1"/>
  <c r="Y50" i="8" s="1"/>
  <c r="H53" i="8" a="1"/>
  <c r="H53" i="8" s="1"/>
  <c r="J54" i="8" s="1"/>
  <c r="AF188" i="5"/>
  <c r="AF147" i="5"/>
  <c r="AF278" i="5"/>
  <c r="AF506" i="5"/>
  <c r="AF434" i="5"/>
  <c r="AF263" i="5"/>
  <c r="AF500" i="5"/>
  <c r="AF264" i="5"/>
  <c r="AF326" i="5"/>
  <c r="AF327" i="5"/>
  <c r="AF341" i="5"/>
  <c r="AF486" i="5"/>
  <c r="AF354" i="5"/>
  <c r="AF215" i="5"/>
  <c r="AF224" i="5"/>
  <c r="AF235" i="5"/>
  <c r="AF384" i="5"/>
  <c r="AF207" i="5"/>
  <c r="AF366" i="5"/>
  <c r="AF483" i="5"/>
  <c r="AF400" i="5"/>
  <c r="AF441" i="5"/>
  <c r="AF286" i="5"/>
  <c r="AF361" i="5"/>
  <c r="AF303" i="5"/>
  <c r="AF194" i="5"/>
  <c r="AF208" i="5"/>
  <c r="AF459" i="5"/>
  <c r="AF498" i="5"/>
  <c r="AF457" i="5"/>
  <c r="AF492" i="5"/>
  <c r="AF289" i="5"/>
  <c r="AF299" i="5"/>
  <c r="AF503" i="5"/>
  <c r="AF357" i="5"/>
  <c r="AF362" i="5"/>
  <c r="AF442" i="5"/>
  <c r="AF201" i="5"/>
  <c r="AF360" i="5"/>
  <c r="AF377" i="5"/>
  <c r="AF272" i="5"/>
  <c r="AF340" i="5"/>
  <c r="AF173" i="5"/>
  <c r="AF453" i="5"/>
  <c r="AF244" i="5"/>
  <c r="AF277" i="5"/>
  <c r="AF489" i="5"/>
  <c r="AF259" i="5"/>
  <c r="AF323" i="5"/>
  <c r="AF337" i="5"/>
  <c r="AF312" i="5"/>
  <c r="AF462" i="5"/>
  <c r="AF246" i="5"/>
  <c r="AF480" i="5"/>
  <c r="AF302" i="5"/>
  <c r="AF410" i="5"/>
  <c r="AF148" i="5"/>
  <c r="AF293" i="5"/>
  <c r="AF317" i="5"/>
  <c r="AF479" i="5"/>
  <c r="AF216" i="5"/>
  <c r="AF474" i="5"/>
  <c r="AF385" i="5"/>
  <c r="AF159" i="5"/>
  <c r="AF370" i="5"/>
  <c r="AF245" i="5"/>
  <c r="AF395" i="5"/>
  <c r="AF314" i="5"/>
  <c r="AG400" i="5" l="1"/>
  <c r="U400" i="5" s="1"/>
  <c r="AN400" i="5" s="1"/>
  <c r="AG340" i="5"/>
  <c r="U340" i="5" s="1"/>
  <c r="AN340" i="5" s="1"/>
  <c r="AG244" i="5"/>
  <c r="U244" i="5" s="1"/>
  <c r="AN244" i="5" s="1"/>
  <c r="AG208" i="5"/>
  <c r="AG148" i="5"/>
  <c r="U148" i="5" s="1"/>
  <c r="AN148" i="5" s="1"/>
  <c r="AG483" i="5"/>
  <c r="U483" i="5" s="1"/>
  <c r="AN483" i="5" s="1"/>
  <c r="AG459" i="5"/>
  <c r="AG327" i="5"/>
  <c r="AG303" i="5"/>
  <c r="U303" i="5" s="1"/>
  <c r="AN303" i="5" s="1"/>
  <c r="AG207" i="5"/>
  <c r="AG159" i="5"/>
  <c r="U159" i="5" s="1"/>
  <c r="AN159" i="5" s="1"/>
  <c r="AG147" i="5"/>
  <c r="U147" i="5" s="1"/>
  <c r="AN147" i="5" s="1"/>
  <c r="AG506" i="5"/>
  <c r="U506" i="5" s="1"/>
  <c r="AN506" i="5" s="1"/>
  <c r="AG434" i="5"/>
  <c r="U434" i="5" s="1"/>
  <c r="AN434" i="5" s="1"/>
  <c r="AG410" i="5"/>
  <c r="U410" i="5" s="1"/>
  <c r="AN410" i="5" s="1"/>
  <c r="AG362" i="5"/>
  <c r="U362" i="5" s="1"/>
  <c r="AN362" i="5" s="1"/>
  <c r="AG326" i="5"/>
  <c r="U326" i="5" s="1"/>
  <c r="AN326" i="5" s="1"/>
  <c r="AG314" i="5"/>
  <c r="U314" i="5" s="1"/>
  <c r="AN314" i="5" s="1"/>
  <c r="AG302" i="5"/>
  <c r="U302" i="5" s="1"/>
  <c r="AN302" i="5" s="1"/>
  <c r="AG278" i="5"/>
  <c r="U278" i="5" s="1"/>
  <c r="AN278" i="5" s="1"/>
  <c r="AG194" i="5"/>
  <c r="U194" i="5" s="1"/>
  <c r="AN194" i="5" s="1"/>
  <c r="AG503" i="5"/>
  <c r="U503" i="5" s="1"/>
  <c r="AN503" i="5" s="1"/>
  <c r="AG457" i="5"/>
  <c r="AG385" i="5"/>
  <c r="U385" i="5" s="1"/>
  <c r="AN385" i="5" s="1"/>
  <c r="AG361" i="5"/>
  <c r="AG337" i="5"/>
  <c r="U337" i="5" s="1"/>
  <c r="AN337" i="5" s="1"/>
  <c r="AG289" i="5"/>
  <c r="U289" i="5" s="1"/>
  <c r="AN289" i="5" s="1"/>
  <c r="AG277" i="5"/>
  <c r="U277" i="5" s="1"/>
  <c r="AN277" i="5" s="1"/>
  <c r="AG492" i="5"/>
  <c r="U492" i="5" s="1"/>
  <c r="AN492" i="5" s="1"/>
  <c r="AG480" i="5"/>
  <c r="U480" i="5" s="1"/>
  <c r="AN480" i="5" s="1"/>
  <c r="AG384" i="5"/>
  <c r="U384" i="5" s="1"/>
  <c r="AN384" i="5" s="1"/>
  <c r="AG360" i="5"/>
  <c r="U360" i="5" s="1"/>
  <c r="AN360" i="5" s="1"/>
  <c r="AG312" i="5"/>
  <c r="U312" i="5" s="1"/>
  <c r="AN312" i="5" s="1"/>
  <c r="AG264" i="5"/>
  <c r="U264" i="5" s="1"/>
  <c r="AN264" i="5" s="1"/>
  <c r="AG216" i="5"/>
  <c r="U216" i="5" s="1"/>
  <c r="AN216" i="5" s="1"/>
  <c r="AG215" i="5"/>
  <c r="U215" i="5" s="1"/>
  <c r="AN215" i="5" s="1"/>
  <c r="AG479" i="5"/>
  <c r="U479" i="5" s="1"/>
  <c r="AN479" i="5" s="1"/>
  <c r="AG395" i="5"/>
  <c r="U395" i="5" s="1"/>
  <c r="AN395" i="5" s="1"/>
  <c r="AG323" i="5"/>
  <c r="U323" i="5" s="1"/>
  <c r="AN323" i="5" s="1"/>
  <c r="AG299" i="5"/>
  <c r="U299" i="5" s="1"/>
  <c r="AN299" i="5" s="1"/>
  <c r="AG442" i="5"/>
  <c r="AG370" i="5"/>
  <c r="U370" i="5" s="1"/>
  <c r="AN370" i="5" s="1"/>
  <c r="AG286" i="5"/>
  <c r="U286" i="5" s="1"/>
  <c r="AN286" i="5" s="1"/>
  <c r="AG489" i="5"/>
  <c r="U489" i="5" s="1"/>
  <c r="AN489" i="5" s="1"/>
  <c r="AG453" i="5"/>
  <c r="AG441" i="5"/>
  <c r="AG357" i="5"/>
  <c r="U357" i="5" s="1"/>
  <c r="AN357" i="5" s="1"/>
  <c r="AG201" i="5"/>
  <c r="U201" i="5" s="1"/>
  <c r="AN201" i="5" s="1"/>
  <c r="AG500" i="5"/>
  <c r="U500" i="5" s="1"/>
  <c r="AN500" i="5" s="1"/>
  <c r="AG272" i="5"/>
  <c r="U272" i="5" s="1"/>
  <c r="AN272" i="5" s="1"/>
  <c r="AG224" i="5"/>
  <c r="U224" i="5" s="1"/>
  <c r="AN224" i="5" s="1"/>
  <c r="AG188" i="5"/>
  <c r="U188" i="5" s="1"/>
  <c r="AN188" i="5" s="1"/>
  <c r="AG263" i="5"/>
  <c r="U263" i="5" s="1"/>
  <c r="AN263" i="5" s="1"/>
  <c r="AG259" i="5"/>
  <c r="U259" i="5" s="1"/>
  <c r="AN259" i="5" s="1"/>
  <c r="AG235" i="5"/>
  <c r="AG498" i="5"/>
  <c r="U498" i="5" s="1"/>
  <c r="AN498" i="5" s="1"/>
  <c r="AG486" i="5"/>
  <c r="U486" i="5" s="1"/>
  <c r="AN486" i="5" s="1"/>
  <c r="AG474" i="5"/>
  <c r="AG462" i="5"/>
  <c r="AG366" i="5"/>
  <c r="U366" i="5" s="1"/>
  <c r="AN366" i="5" s="1"/>
  <c r="AG354" i="5"/>
  <c r="U354" i="5" s="1"/>
  <c r="AN354" i="5" s="1"/>
  <c r="AG246" i="5"/>
  <c r="AG377" i="5"/>
  <c r="U377" i="5" s="1"/>
  <c r="AN377" i="5" s="1"/>
  <c r="AG341" i="5"/>
  <c r="AG317" i="5"/>
  <c r="U317" i="5" s="1"/>
  <c r="AN317" i="5" s="1"/>
  <c r="AG293" i="5"/>
  <c r="AG245" i="5"/>
  <c r="U245" i="5" s="1"/>
  <c r="AN245" i="5" s="1"/>
  <c r="AG173" i="5"/>
  <c r="U173" i="5" s="1"/>
  <c r="AN173" i="5" s="1"/>
  <c r="AP436" i="6" l="1"/>
  <c r="AK436" i="6"/>
  <c r="AR436" i="6"/>
  <c r="AL436" i="6"/>
  <c r="AJ436" i="6"/>
  <c r="AS436" i="6"/>
  <c r="AQ436" i="6"/>
  <c r="AN436" i="6"/>
  <c r="AM436" i="6"/>
  <c r="AO436" i="6"/>
  <c r="AO437" i="6"/>
  <c r="AN437" i="6"/>
  <c r="AQ437" i="6"/>
  <c r="AJ437" i="6"/>
  <c r="AR437" i="6"/>
  <c r="AK437" i="6"/>
  <c r="AL437" i="6"/>
  <c r="AS437" i="6"/>
  <c r="AM437" i="6"/>
  <c r="AP437" i="6"/>
  <c r="AR440" i="6"/>
  <c r="AJ440" i="6"/>
  <c r="AP440" i="6"/>
  <c r="AL440" i="6"/>
  <c r="AQ440" i="6"/>
  <c r="AM440" i="6"/>
  <c r="AK440" i="6"/>
  <c r="AS440" i="6"/>
  <c r="AN440" i="6"/>
  <c r="AO440" i="6"/>
  <c r="AK365" i="6"/>
  <c r="AM365" i="6"/>
  <c r="AJ365" i="6"/>
  <c r="AR365" i="6"/>
  <c r="AS365" i="6"/>
  <c r="AO365" i="6"/>
  <c r="AL365" i="6"/>
  <c r="AQ365" i="6"/>
  <c r="AN365" i="6"/>
  <c r="AP365" i="6"/>
  <c r="AL329" i="6"/>
  <c r="AQ329" i="6"/>
  <c r="AN329" i="6"/>
  <c r="AO329" i="6"/>
  <c r="AM329" i="6"/>
  <c r="AP329" i="6"/>
  <c r="AJ329" i="6"/>
  <c r="AR329" i="6"/>
  <c r="AK329" i="6"/>
  <c r="AS329" i="6"/>
  <c r="AR401" i="6"/>
  <c r="AO401" i="6"/>
  <c r="AL401" i="6"/>
  <c r="AM401" i="6"/>
  <c r="AP401" i="6"/>
  <c r="AJ401" i="6"/>
  <c r="AK401" i="6"/>
  <c r="AS401" i="6"/>
  <c r="AN401" i="6"/>
  <c r="AQ401" i="6"/>
  <c r="AK490" i="6"/>
  <c r="AJ490" i="6"/>
  <c r="AM490" i="6"/>
  <c r="AS490" i="6"/>
  <c r="AN490" i="6"/>
  <c r="AL490" i="6"/>
  <c r="AQ490" i="6"/>
  <c r="AP490" i="6"/>
  <c r="AO490" i="6"/>
  <c r="AR490" i="6"/>
  <c r="AQ236" i="6"/>
  <c r="AM236" i="6"/>
  <c r="AR236" i="6"/>
  <c r="AL236" i="6"/>
  <c r="AS236" i="6"/>
  <c r="AP236" i="6"/>
  <c r="AO236" i="6"/>
  <c r="AK236" i="6"/>
  <c r="AJ236" i="6"/>
  <c r="AN236" i="6"/>
  <c r="AM290" i="6"/>
  <c r="AR290" i="6"/>
  <c r="AP290" i="6"/>
  <c r="AK290" i="6"/>
  <c r="AJ290" i="6"/>
  <c r="AL290" i="6"/>
  <c r="AO290" i="6"/>
  <c r="AN290" i="6"/>
  <c r="AQ290" i="6"/>
  <c r="AS290" i="6"/>
  <c r="AO86" i="6"/>
  <c r="AJ86" i="6"/>
  <c r="AQ86" i="6"/>
  <c r="AL86" i="6"/>
  <c r="AN86" i="6"/>
  <c r="AR86" i="6"/>
  <c r="AK86" i="6"/>
  <c r="AM86" i="6"/>
  <c r="AS86" i="6"/>
  <c r="AP86" i="6"/>
  <c r="AM279" i="6"/>
  <c r="AO279" i="6"/>
  <c r="AL279" i="6"/>
  <c r="AP279" i="6"/>
  <c r="AJ279" i="6"/>
  <c r="AN279" i="6"/>
  <c r="AR279" i="6"/>
  <c r="AK279" i="6"/>
  <c r="AS279" i="6"/>
  <c r="AQ279" i="6"/>
  <c r="AP165" i="6"/>
  <c r="AO165" i="6"/>
  <c r="AN165" i="6"/>
  <c r="AS165" i="6"/>
  <c r="AR165" i="6"/>
  <c r="AJ165" i="6"/>
  <c r="AM165" i="6"/>
  <c r="AQ165" i="6"/>
  <c r="AK165" i="6"/>
  <c r="AL165" i="6"/>
  <c r="AR186" i="6"/>
  <c r="AO186" i="6"/>
  <c r="AJ186" i="6"/>
  <c r="AN186" i="6"/>
  <c r="AS186" i="6"/>
  <c r="AM186" i="6"/>
  <c r="AL186" i="6"/>
  <c r="AQ186" i="6"/>
  <c r="AP186" i="6"/>
  <c r="AK186" i="6"/>
  <c r="AN234" i="6"/>
  <c r="AJ234" i="6"/>
  <c r="AL234" i="6"/>
  <c r="AR234" i="6"/>
  <c r="AK234" i="6"/>
  <c r="AP234" i="6"/>
  <c r="AQ234" i="6"/>
  <c r="AM234" i="6"/>
  <c r="AO234" i="6"/>
  <c r="AS234" i="6"/>
  <c r="AP53" i="6"/>
  <c r="AR53" i="6"/>
  <c r="AK53" i="6"/>
  <c r="AQ53" i="6"/>
  <c r="AL53" i="6"/>
  <c r="AM53" i="6"/>
  <c r="AJ53" i="6"/>
  <c r="AN53" i="6"/>
  <c r="AO53" i="6"/>
  <c r="AS53" i="6"/>
  <c r="AJ251" i="6"/>
  <c r="AL251" i="6"/>
  <c r="AN251" i="6"/>
  <c r="AQ251" i="6"/>
  <c r="AR251" i="6"/>
  <c r="AM251" i="6"/>
  <c r="AK251" i="6"/>
  <c r="AS251" i="6"/>
  <c r="AO251" i="6"/>
  <c r="AP251" i="6"/>
  <c r="AO67" i="6"/>
  <c r="AQ67" i="6"/>
  <c r="AR67" i="6"/>
  <c r="AS67" i="6"/>
  <c r="AK67" i="6"/>
  <c r="AL67" i="6"/>
  <c r="AM67" i="6"/>
  <c r="AN67" i="6"/>
  <c r="AP67" i="6"/>
  <c r="AJ67" i="6"/>
  <c r="AJ420" i="6"/>
  <c r="AM420" i="6"/>
  <c r="AP420" i="6"/>
  <c r="AK420" i="6"/>
  <c r="AL420" i="6"/>
  <c r="AN420" i="6"/>
  <c r="AQ420" i="6"/>
  <c r="AS420" i="6"/>
  <c r="AO420" i="6"/>
  <c r="AR420" i="6"/>
  <c r="AR39" i="6"/>
  <c r="AL39" i="6"/>
  <c r="AP39" i="6"/>
  <c r="AJ39" i="6"/>
  <c r="AM39" i="6"/>
  <c r="AQ39" i="6"/>
  <c r="AS39" i="6"/>
  <c r="AN39" i="6"/>
  <c r="AK39" i="6"/>
  <c r="AO39" i="6"/>
  <c r="AR51" i="6"/>
  <c r="AQ51" i="6"/>
  <c r="AK51" i="6"/>
  <c r="AJ51" i="6"/>
  <c r="AS51" i="6"/>
  <c r="AO51" i="6"/>
  <c r="AM51" i="6"/>
  <c r="AP51" i="6"/>
  <c r="AN51" i="6"/>
  <c r="AL51" i="6"/>
  <c r="AJ408" i="6"/>
  <c r="AQ408" i="6"/>
  <c r="AP408" i="6"/>
  <c r="AS408" i="6"/>
  <c r="AK408" i="6"/>
  <c r="AO408" i="6"/>
  <c r="AN408" i="6"/>
  <c r="AM408" i="6"/>
  <c r="AL408" i="6"/>
  <c r="AR408" i="6"/>
  <c r="AK47" i="6"/>
  <c r="AR47" i="6"/>
  <c r="AS47" i="6"/>
  <c r="AO47" i="6"/>
  <c r="AJ47" i="6"/>
  <c r="AN47" i="6"/>
  <c r="AM47" i="6"/>
  <c r="AL47" i="6"/>
  <c r="AQ47" i="6"/>
  <c r="AP47" i="6"/>
  <c r="AS167" i="6"/>
  <c r="AR167" i="6"/>
  <c r="AJ167" i="6"/>
  <c r="AK167" i="6"/>
  <c r="AN167" i="6"/>
  <c r="AP167" i="6"/>
  <c r="AQ167" i="6"/>
  <c r="AO167" i="6"/>
  <c r="AL167" i="6"/>
  <c r="AM167" i="6"/>
  <c r="AJ79" i="6"/>
  <c r="AR79" i="6"/>
  <c r="AP79" i="6"/>
  <c r="AN79" i="6"/>
  <c r="AL79" i="6"/>
  <c r="AO79" i="6"/>
  <c r="AS79" i="6"/>
  <c r="AK79" i="6"/>
  <c r="AM79" i="6"/>
  <c r="AQ79" i="6"/>
  <c r="AL74" i="6"/>
  <c r="AJ74" i="6"/>
  <c r="AS74" i="6"/>
  <c r="AP74" i="6"/>
  <c r="AO74" i="6"/>
  <c r="AM74" i="6"/>
  <c r="AK74" i="6"/>
  <c r="AQ74" i="6"/>
  <c r="AN74" i="6"/>
  <c r="AR74" i="6"/>
  <c r="AS331" i="6"/>
  <c r="AM331" i="6"/>
  <c r="AK331" i="6"/>
  <c r="AR331" i="6"/>
  <c r="AO331" i="6"/>
  <c r="AL331" i="6"/>
  <c r="AQ331" i="6"/>
  <c r="AJ331" i="6"/>
  <c r="AN331" i="6"/>
  <c r="AP331" i="6"/>
  <c r="AS507" i="6"/>
  <c r="AN507" i="6"/>
  <c r="AK507" i="6"/>
  <c r="AR507" i="6"/>
  <c r="AO507" i="6"/>
  <c r="AQ507" i="6"/>
  <c r="AM507" i="6"/>
  <c r="AP507" i="6"/>
  <c r="AL507" i="6"/>
  <c r="AJ507" i="6"/>
  <c r="AO406" i="6"/>
  <c r="AQ406" i="6"/>
  <c r="AR406" i="6"/>
  <c r="AP406" i="6"/>
  <c r="AM406" i="6"/>
  <c r="AS406" i="6"/>
  <c r="AL406" i="6"/>
  <c r="AJ406" i="6"/>
  <c r="AN406" i="6"/>
  <c r="AK406" i="6"/>
  <c r="AS128" i="6"/>
  <c r="AQ128" i="6"/>
  <c r="AO128" i="6"/>
  <c r="AM128" i="6"/>
  <c r="AK128" i="6"/>
  <c r="AL128" i="6"/>
  <c r="AP128" i="6"/>
  <c r="AR128" i="6"/>
  <c r="AN128" i="6"/>
  <c r="AJ128" i="6"/>
  <c r="AR153" i="6"/>
  <c r="AQ153" i="6"/>
  <c r="AS153" i="6"/>
  <c r="AO153" i="6"/>
  <c r="AM153" i="6"/>
  <c r="AL153" i="6"/>
  <c r="AP153" i="6"/>
  <c r="AJ153" i="6"/>
  <c r="AN153" i="6"/>
  <c r="AK153" i="6"/>
  <c r="AS32" i="6"/>
  <c r="AN32" i="6"/>
  <c r="AK32" i="6"/>
  <c r="AO32" i="6"/>
  <c r="AL32" i="6"/>
  <c r="AM32" i="6"/>
  <c r="AJ32" i="6"/>
  <c r="AQ32" i="6"/>
  <c r="AR32" i="6"/>
  <c r="AP32" i="6"/>
  <c r="AR40" i="6"/>
  <c r="AO40" i="6"/>
  <c r="AM40" i="6"/>
  <c r="AN40" i="6"/>
  <c r="AL40" i="6"/>
  <c r="AS40" i="6"/>
  <c r="AQ40" i="6"/>
  <c r="AK40" i="6"/>
  <c r="AP40" i="6"/>
  <c r="AJ40" i="6"/>
  <c r="AL405" i="6"/>
  <c r="AP405" i="6"/>
  <c r="AM405" i="6"/>
  <c r="AJ405" i="6"/>
  <c r="AK405" i="6"/>
  <c r="AS405" i="6"/>
  <c r="AO405" i="6"/>
  <c r="AQ405" i="6"/>
  <c r="AN405" i="6"/>
  <c r="AR405" i="6"/>
  <c r="AL171" i="6"/>
  <c r="AK171" i="6"/>
  <c r="AJ171" i="6"/>
  <c r="AS171" i="6"/>
  <c r="AP171" i="6"/>
  <c r="AM171" i="6"/>
  <c r="AN171" i="6"/>
  <c r="AR171" i="6"/>
  <c r="AQ171" i="6"/>
  <c r="AO171" i="6"/>
  <c r="AS197" i="6"/>
  <c r="AO197" i="6"/>
  <c r="AJ197" i="6"/>
  <c r="AN197" i="6"/>
  <c r="AM197" i="6"/>
  <c r="AP197" i="6"/>
  <c r="AK197" i="6"/>
  <c r="AQ197" i="6"/>
  <c r="AR197" i="6"/>
  <c r="AL197" i="6"/>
  <c r="AS101" i="6"/>
  <c r="AQ101" i="6"/>
  <c r="AL101" i="6"/>
  <c r="AM101" i="6"/>
  <c r="AK101" i="6"/>
  <c r="AP101" i="6"/>
  <c r="AJ101" i="6"/>
  <c r="AO101" i="6"/>
  <c r="AN101" i="6"/>
  <c r="AR101" i="6"/>
  <c r="AL313" i="6"/>
  <c r="AN313" i="6"/>
  <c r="AM313" i="6"/>
  <c r="AQ313" i="6"/>
  <c r="AO313" i="6"/>
  <c r="AP313" i="6"/>
  <c r="AK313" i="6"/>
  <c r="AS313" i="6"/>
  <c r="AJ313" i="6"/>
  <c r="AR313" i="6"/>
  <c r="AQ209" i="6"/>
  <c r="AP209" i="6"/>
  <c r="AO209" i="6"/>
  <c r="AN209" i="6"/>
  <c r="AS209" i="6"/>
  <c r="AL209" i="6"/>
  <c r="AK209" i="6"/>
  <c r="AR209" i="6"/>
  <c r="AM209" i="6"/>
  <c r="AJ209" i="6"/>
  <c r="AS393" i="6"/>
  <c r="AL393" i="6"/>
  <c r="AK393" i="6"/>
  <c r="AR393" i="6"/>
  <c r="AO393" i="6"/>
  <c r="AQ393" i="6"/>
  <c r="AJ393" i="6"/>
  <c r="AP393" i="6"/>
  <c r="AM393" i="6"/>
  <c r="AN393" i="6"/>
  <c r="AO501" i="6"/>
  <c r="AN501" i="6"/>
  <c r="AP501" i="6"/>
  <c r="AK501" i="6"/>
  <c r="AL501" i="6"/>
  <c r="AJ501" i="6"/>
  <c r="AQ501" i="6"/>
  <c r="AM501" i="6"/>
  <c r="AR501" i="6"/>
  <c r="AS501" i="6"/>
  <c r="AN352" i="6"/>
  <c r="AR352" i="6"/>
  <c r="AS352" i="6"/>
  <c r="AJ352" i="6"/>
  <c r="AQ352" i="6"/>
  <c r="AO352" i="6"/>
  <c r="AP352" i="6"/>
  <c r="AM352" i="6"/>
  <c r="AL352" i="6"/>
  <c r="AK352" i="6"/>
  <c r="AO157" i="6"/>
  <c r="AJ157" i="6"/>
  <c r="AR157" i="6"/>
  <c r="AP157" i="6"/>
  <c r="AM157" i="6"/>
  <c r="AS157" i="6"/>
  <c r="AK157" i="6"/>
  <c r="AL157" i="6"/>
  <c r="AQ157" i="6"/>
  <c r="AN157" i="6"/>
  <c r="AP394" i="6"/>
  <c r="AO394" i="6"/>
  <c r="AL394" i="6"/>
  <c r="AR394" i="6"/>
  <c r="AN394" i="6"/>
  <c r="AJ394" i="6"/>
  <c r="AK394" i="6"/>
  <c r="AQ394" i="6"/>
  <c r="AS394" i="6"/>
  <c r="AM394" i="6"/>
  <c r="AM414" i="6"/>
  <c r="AP414" i="6"/>
  <c r="AO414" i="6"/>
  <c r="AQ414" i="6"/>
  <c r="AJ414" i="6"/>
  <c r="AL414" i="6"/>
  <c r="AR414" i="6"/>
  <c r="AK414" i="6"/>
  <c r="AN414" i="6"/>
  <c r="AS414" i="6"/>
  <c r="AM454" i="6"/>
  <c r="AO454" i="6"/>
  <c r="AQ454" i="6"/>
  <c r="AN454" i="6"/>
  <c r="AK454" i="6"/>
  <c r="AP454" i="6"/>
  <c r="AL454" i="6"/>
  <c r="AR454" i="6"/>
  <c r="AS454" i="6"/>
  <c r="AJ454" i="6"/>
  <c r="AS267" i="6"/>
  <c r="AK267" i="6"/>
  <c r="AR267" i="6"/>
  <c r="AQ267" i="6"/>
  <c r="AP267" i="6"/>
  <c r="AN267" i="6"/>
  <c r="AJ267" i="6"/>
  <c r="AO267" i="6"/>
  <c r="AL267" i="6"/>
  <c r="AM267" i="6"/>
  <c r="AR172" i="6"/>
  <c r="AQ172" i="6"/>
  <c r="AK172" i="6"/>
  <c r="AM172" i="6"/>
  <c r="AP172" i="6"/>
  <c r="AS172" i="6"/>
  <c r="AJ172" i="6"/>
  <c r="AN172" i="6"/>
  <c r="AO172" i="6"/>
  <c r="AL172" i="6"/>
  <c r="AQ112" i="6"/>
  <c r="AM112" i="6"/>
  <c r="AO112" i="6"/>
  <c r="AP112" i="6"/>
  <c r="AR112" i="6"/>
  <c r="AL112" i="6"/>
  <c r="AS112" i="6"/>
  <c r="AK112" i="6"/>
  <c r="AN112" i="6"/>
  <c r="AJ112" i="6"/>
  <c r="AL409" i="6"/>
  <c r="AO409" i="6"/>
  <c r="AJ409" i="6"/>
  <c r="AN409" i="6"/>
  <c r="AP409" i="6"/>
  <c r="AM409" i="6"/>
  <c r="AQ409" i="6"/>
  <c r="AS409" i="6"/>
  <c r="AK409" i="6"/>
  <c r="AR409" i="6"/>
  <c r="AQ117" i="6"/>
  <c r="AS117" i="6"/>
  <c r="AN117" i="6"/>
  <c r="AO117" i="6"/>
  <c r="AP117" i="6"/>
  <c r="AJ117" i="6"/>
  <c r="AR117" i="6"/>
  <c r="AL117" i="6"/>
  <c r="AM117" i="6"/>
  <c r="AK117" i="6"/>
  <c r="AQ391" i="6"/>
  <c r="AK391" i="6"/>
  <c r="AS391" i="6"/>
  <c r="AL391" i="6"/>
  <c r="AO391" i="6"/>
  <c r="AN391" i="6"/>
  <c r="AM391" i="6"/>
  <c r="AJ391" i="6"/>
  <c r="AR391" i="6"/>
  <c r="AP391" i="6"/>
  <c r="AP283" i="6"/>
  <c r="AN283" i="6"/>
  <c r="AR283" i="6"/>
  <c r="AM283" i="6"/>
  <c r="AL283" i="6"/>
  <c r="AO283" i="6"/>
  <c r="AQ283" i="6"/>
  <c r="AJ283" i="6"/>
  <c r="AS283" i="6"/>
  <c r="AK283" i="6"/>
  <c r="AQ158" i="6"/>
  <c r="AO158" i="6"/>
  <c r="AL158" i="6"/>
  <c r="AS158" i="6"/>
  <c r="AN158" i="6"/>
  <c r="AJ158" i="6"/>
  <c r="AM158" i="6"/>
  <c r="AK158" i="6"/>
  <c r="AR158" i="6"/>
  <c r="AP158" i="6"/>
  <c r="AN375" i="6"/>
  <c r="AQ375" i="6"/>
  <c r="AR375" i="6"/>
  <c r="AP375" i="6"/>
  <c r="AK375" i="6"/>
  <c r="AJ375" i="6"/>
  <c r="AL375" i="6"/>
  <c r="AS375" i="6"/>
  <c r="AO375" i="6"/>
  <c r="AM375" i="6"/>
  <c r="AQ399" i="6"/>
  <c r="AM399" i="6"/>
  <c r="AL399" i="6"/>
  <c r="AJ399" i="6"/>
  <c r="AP399" i="6"/>
  <c r="AO399" i="6"/>
  <c r="AK399" i="6"/>
  <c r="AR399" i="6"/>
  <c r="AS399" i="6"/>
  <c r="AN399" i="6"/>
  <c r="AM193" i="6"/>
  <c r="AN193" i="6"/>
  <c r="AK193" i="6"/>
  <c r="AP193" i="6"/>
  <c r="AS193" i="6"/>
  <c r="AJ193" i="6"/>
  <c r="AO193" i="6"/>
  <c r="AL193" i="6"/>
  <c r="AR193" i="6"/>
  <c r="AQ193" i="6"/>
  <c r="AQ316" i="6"/>
  <c r="AJ316" i="6"/>
  <c r="AL316" i="6"/>
  <c r="AK316" i="6"/>
  <c r="AR316" i="6"/>
  <c r="AN316" i="6"/>
  <c r="AO316" i="6"/>
  <c r="AS316" i="6"/>
  <c r="AP316" i="6"/>
  <c r="AM316" i="6"/>
  <c r="AL166" i="6"/>
  <c r="AK166" i="6"/>
  <c r="AO166" i="6"/>
  <c r="AQ166" i="6"/>
  <c r="AS166" i="6"/>
  <c r="AP166" i="6"/>
  <c r="AM166" i="6"/>
  <c r="AN166" i="6"/>
  <c r="AR166" i="6"/>
  <c r="AJ166" i="6"/>
  <c r="AK88" i="6"/>
  <c r="AN88" i="6"/>
  <c r="AL88" i="6"/>
  <c r="AQ88" i="6"/>
  <c r="AO88" i="6"/>
  <c r="AP88" i="6"/>
  <c r="AM88" i="6"/>
  <c r="AS88" i="6"/>
  <c r="AJ88" i="6"/>
  <c r="AR88" i="6"/>
  <c r="AR367" i="6"/>
  <c r="AN367" i="6"/>
  <c r="AJ367" i="6"/>
  <c r="AK367" i="6"/>
  <c r="AQ367" i="6"/>
  <c r="AP367" i="6"/>
  <c r="AL367" i="6"/>
  <c r="AO367" i="6"/>
  <c r="AS367" i="6"/>
  <c r="AM367" i="6"/>
  <c r="AM102" i="6"/>
  <c r="AR102" i="6"/>
  <c r="AK102" i="6"/>
  <c r="AN102" i="6"/>
  <c r="AJ102" i="6"/>
  <c r="AQ102" i="6"/>
  <c r="AS102" i="6"/>
  <c r="AL102" i="6"/>
  <c r="AO102" i="6"/>
  <c r="AP102" i="6"/>
  <c r="AR135" i="6"/>
  <c r="AK135" i="6"/>
  <c r="AS135" i="6"/>
  <c r="AL135" i="6"/>
  <c r="AO135" i="6"/>
  <c r="AQ135" i="6"/>
  <c r="AN135" i="6"/>
  <c r="AM135" i="6"/>
  <c r="AP135" i="6"/>
  <c r="AJ135" i="6"/>
  <c r="AN478" i="6"/>
  <c r="AJ478" i="6"/>
  <c r="AQ478" i="6"/>
  <c r="AL478" i="6"/>
  <c r="AP478" i="6"/>
  <c r="AM478" i="6"/>
  <c r="AR478" i="6"/>
  <c r="AS478" i="6"/>
  <c r="AK478" i="6"/>
  <c r="AO478" i="6"/>
  <c r="AK407" i="6"/>
  <c r="AL407" i="6"/>
  <c r="AS407" i="6"/>
  <c r="AM407" i="6"/>
  <c r="AO407" i="6"/>
  <c r="AJ407" i="6"/>
  <c r="AR407" i="6"/>
  <c r="AQ407" i="6"/>
  <c r="AN407" i="6"/>
  <c r="AP407" i="6"/>
  <c r="AO205" i="6"/>
  <c r="AS205" i="6"/>
  <c r="AN205" i="6"/>
  <c r="AL205" i="6"/>
  <c r="AQ205" i="6"/>
  <c r="AR205" i="6"/>
  <c r="AK205" i="6"/>
  <c r="AM205" i="6"/>
  <c r="AP205" i="6"/>
  <c r="AJ205" i="6"/>
  <c r="AR185" i="6"/>
  <c r="AS185" i="6"/>
  <c r="AK185" i="6"/>
  <c r="AO185" i="6"/>
  <c r="AJ185" i="6"/>
  <c r="AM185" i="6"/>
  <c r="AN185" i="6"/>
  <c r="AP185" i="6"/>
  <c r="AQ185" i="6"/>
  <c r="AL185" i="6"/>
  <c r="AN115" i="6"/>
  <c r="AP115" i="6"/>
  <c r="AS115" i="6"/>
  <c r="AL115" i="6"/>
  <c r="AR115" i="6"/>
  <c r="AJ115" i="6"/>
  <c r="AM115" i="6"/>
  <c r="AO115" i="6"/>
  <c r="AK115" i="6"/>
  <c r="AQ115" i="6"/>
  <c r="AM73" i="6"/>
  <c r="AR73" i="6"/>
  <c r="AJ73" i="6"/>
  <c r="AP73" i="6"/>
  <c r="AK73" i="6"/>
  <c r="AL73" i="6"/>
  <c r="AO73" i="6"/>
  <c r="AN73" i="6"/>
  <c r="AS73" i="6"/>
  <c r="AQ73" i="6"/>
  <c r="AL458" i="6"/>
  <c r="AK458" i="6"/>
  <c r="AO458" i="6"/>
  <c r="AP458" i="6"/>
  <c r="AN458" i="6"/>
  <c r="AR458" i="6"/>
  <c r="AQ458" i="6"/>
  <c r="AS458" i="6"/>
  <c r="AJ458" i="6"/>
  <c r="AM458" i="6"/>
  <c r="AR163" i="6"/>
  <c r="AJ163" i="6"/>
  <c r="AL163" i="6"/>
  <c r="AK163" i="6"/>
  <c r="AO163" i="6"/>
  <c r="AN163" i="6"/>
  <c r="AQ163" i="6"/>
  <c r="AS163" i="6"/>
  <c r="AP163" i="6"/>
  <c r="AM163" i="6"/>
  <c r="AM35" i="6"/>
  <c r="AN35" i="6"/>
  <c r="AO35" i="6"/>
  <c r="AP35" i="6"/>
  <c r="AJ35" i="6"/>
  <c r="AS35" i="6"/>
  <c r="AQ35" i="6"/>
  <c r="AK35" i="6"/>
  <c r="AR35" i="6"/>
  <c r="AL35" i="6"/>
  <c r="AN242" i="6"/>
  <c r="AL242" i="6"/>
  <c r="AO242" i="6"/>
  <c r="AJ242" i="6"/>
  <c r="AR242" i="6"/>
  <c r="AS242" i="6"/>
  <c r="AK242" i="6"/>
  <c r="AQ242" i="6"/>
  <c r="AP242" i="6"/>
  <c r="AM242" i="6"/>
  <c r="AO136" i="6"/>
  <c r="AS136" i="6"/>
  <c r="AM136" i="6"/>
  <c r="AP136" i="6"/>
  <c r="AQ136" i="6"/>
  <c r="AL136" i="6"/>
  <c r="AK136" i="6"/>
  <c r="AN136" i="6"/>
  <c r="AR136" i="6"/>
  <c r="AJ136" i="6"/>
  <c r="AO120" i="6"/>
  <c r="AR120" i="6"/>
  <c r="AL120" i="6"/>
  <c r="AN120" i="6"/>
  <c r="AM120" i="6"/>
  <c r="AK120" i="6"/>
  <c r="AQ120" i="6"/>
  <c r="AJ120" i="6"/>
  <c r="AP120" i="6"/>
  <c r="AS120" i="6"/>
  <c r="AO477" i="6"/>
  <c r="AQ477" i="6"/>
  <c r="AK477" i="6"/>
  <c r="AP477" i="6"/>
  <c r="AJ477" i="6"/>
  <c r="AM477" i="6"/>
  <c r="AN477" i="6"/>
  <c r="AS477" i="6"/>
  <c r="AL477" i="6"/>
  <c r="AR477" i="6"/>
  <c r="AJ22" i="6"/>
  <c r="AL22" i="6"/>
  <c r="AK22" i="6"/>
  <c r="AM22" i="6"/>
  <c r="AP22" i="6"/>
  <c r="AO22" i="6"/>
  <c r="AN22" i="6"/>
  <c r="AR22" i="6"/>
  <c r="AS22" i="6"/>
  <c r="AQ22" i="6"/>
  <c r="AS280" i="6"/>
  <c r="AJ280" i="6"/>
  <c r="AL280" i="6"/>
  <c r="AP280" i="6"/>
  <c r="AR280" i="6"/>
  <c r="AN280" i="6"/>
  <c r="AQ280" i="6"/>
  <c r="AM280" i="6"/>
  <c r="AK280" i="6"/>
  <c r="AO280" i="6"/>
  <c r="AS330" i="6"/>
  <c r="AP330" i="6"/>
  <c r="AO330" i="6"/>
  <c r="AQ330" i="6"/>
  <c r="AM330" i="6"/>
  <c r="AR330" i="6"/>
  <c r="AK330" i="6"/>
  <c r="AN330" i="6"/>
  <c r="AJ330" i="6"/>
  <c r="AL330" i="6"/>
  <c r="AR130" i="6"/>
  <c r="AS130" i="6"/>
  <c r="AN130" i="6"/>
  <c r="AO130" i="6"/>
  <c r="AL130" i="6"/>
  <c r="AM130" i="6"/>
  <c r="AQ130" i="6"/>
  <c r="AK130" i="6"/>
  <c r="AP130" i="6"/>
  <c r="AJ130" i="6"/>
  <c r="AM92" i="6"/>
  <c r="AK92" i="6"/>
  <c r="AO92" i="6"/>
  <c r="AS92" i="6"/>
  <c r="AQ92" i="6"/>
  <c r="AJ92" i="6"/>
  <c r="AR92" i="6"/>
  <c r="AN92" i="6"/>
  <c r="AL92" i="6"/>
  <c r="AP92" i="6"/>
  <c r="AK123" i="6"/>
  <c r="AN123" i="6"/>
  <c r="AR123" i="6"/>
  <c r="AO123" i="6"/>
  <c r="AS123" i="6"/>
  <c r="AJ123" i="6"/>
  <c r="AQ123" i="6"/>
  <c r="AP123" i="6"/>
  <c r="AL123" i="6"/>
  <c r="AM123" i="6"/>
  <c r="AJ122" i="6"/>
  <c r="AP122" i="6"/>
  <c r="AR122" i="6"/>
  <c r="AO122" i="6"/>
  <c r="AN122" i="6"/>
  <c r="AS122" i="6"/>
  <c r="AK122" i="6"/>
  <c r="AL122" i="6"/>
  <c r="AM122" i="6"/>
  <c r="AQ122" i="6"/>
  <c r="AP204" i="6"/>
  <c r="AS204" i="6"/>
  <c r="AK204" i="6"/>
  <c r="AM204" i="6"/>
  <c r="AL204" i="6"/>
  <c r="AO204" i="6"/>
  <c r="AR204" i="6"/>
  <c r="AJ204" i="6"/>
  <c r="AN204" i="6"/>
  <c r="AQ204" i="6"/>
  <c r="AL344" i="6"/>
  <c r="AO344" i="6"/>
  <c r="AN344" i="6"/>
  <c r="AK344" i="6"/>
  <c r="AS344" i="6"/>
  <c r="AR344" i="6"/>
  <c r="AQ344" i="6"/>
  <c r="AP344" i="6"/>
  <c r="AJ344" i="6"/>
  <c r="AM344" i="6"/>
  <c r="AO455" i="6"/>
  <c r="AJ455" i="6"/>
  <c r="AR455" i="6"/>
  <c r="AM455" i="6"/>
  <c r="AP455" i="6"/>
  <c r="AS455" i="6"/>
  <c r="AQ455" i="6"/>
  <c r="AL455" i="6"/>
  <c r="AN455" i="6"/>
  <c r="AK455" i="6"/>
  <c r="AQ364" i="6"/>
  <c r="AL364" i="6"/>
  <c r="AJ364" i="6"/>
  <c r="AS364" i="6"/>
  <c r="AK364" i="6"/>
  <c r="AN364" i="6"/>
  <c r="AP364" i="6"/>
  <c r="AM364" i="6"/>
  <c r="AO364" i="6"/>
  <c r="AR364" i="6"/>
  <c r="AP119" i="6"/>
  <c r="AK119" i="6"/>
  <c r="AJ119" i="6"/>
  <c r="AL119" i="6"/>
  <c r="AQ119" i="6"/>
  <c r="AS119" i="6"/>
  <c r="AR119" i="6"/>
  <c r="AN119" i="6"/>
  <c r="AM119" i="6"/>
  <c r="AO119" i="6"/>
  <c r="AL243" i="6"/>
  <c r="AO243" i="6"/>
  <c r="AS243" i="6"/>
  <c r="AJ243" i="6"/>
  <c r="AM243" i="6"/>
  <c r="AR243" i="6"/>
  <c r="AK243" i="6"/>
  <c r="AN243" i="6"/>
  <c r="AP243" i="6"/>
  <c r="AQ243" i="6"/>
  <c r="AO54" i="6"/>
  <c r="AL54" i="6"/>
  <c r="AQ54" i="6"/>
  <c r="AS54" i="6"/>
  <c r="AK54" i="6"/>
  <c r="AN54" i="6"/>
  <c r="AJ54" i="6"/>
  <c r="AP54" i="6"/>
  <c r="AR54" i="6"/>
  <c r="AM54" i="6"/>
  <c r="AR335" i="6"/>
  <c r="AM335" i="6"/>
  <c r="AK335" i="6"/>
  <c r="AN335" i="6"/>
  <c r="AJ335" i="6"/>
  <c r="AP335" i="6"/>
  <c r="AQ335" i="6"/>
  <c r="AL335" i="6"/>
  <c r="AO335" i="6"/>
  <c r="AS335" i="6"/>
  <c r="AN202" i="6"/>
  <c r="AQ202" i="6"/>
  <c r="AM202" i="6"/>
  <c r="AR202" i="6"/>
  <c r="AP202" i="6"/>
  <c r="AL202" i="6"/>
  <c r="AO202" i="6"/>
  <c r="AJ202" i="6"/>
  <c r="AK202" i="6"/>
  <c r="AS202" i="6"/>
  <c r="AL276" i="6"/>
  <c r="AS276" i="6"/>
  <c r="AP276" i="6"/>
  <c r="AR276" i="6"/>
  <c r="AQ276" i="6"/>
  <c r="AM276" i="6"/>
  <c r="AO276" i="6"/>
  <c r="AN276" i="6"/>
  <c r="AJ276" i="6"/>
  <c r="AK276" i="6"/>
  <c r="AR291" i="6"/>
  <c r="AO291" i="6"/>
  <c r="AP291" i="6"/>
  <c r="AL291" i="6"/>
  <c r="AJ291" i="6"/>
  <c r="AQ291" i="6"/>
  <c r="AM291" i="6"/>
  <c r="AK291" i="6"/>
  <c r="AN291" i="6"/>
  <c r="AS291" i="6"/>
  <c r="AK203" i="6"/>
  <c r="AR203" i="6"/>
  <c r="AO203" i="6"/>
  <c r="AP203" i="6"/>
  <c r="AJ203" i="6"/>
  <c r="AS203" i="6"/>
  <c r="AN203" i="6"/>
  <c r="AL203" i="6"/>
  <c r="AQ203" i="6"/>
  <c r="AM203" i="6"/>
  <c r="AR223" i="6"/>
  <c r="AQ223" i="6"/>
  <c r="AK223" i="6"/>
  <c r="AS223" i="6"/>
  <c r="AM223" i="6"/>
  <c r="AP223" i="6"/>
  <c r="AN223" i="6"/>
  <c r="AL223" i="6"/>
  <c r="AJ223" i="6"/>
  <c r="AO223" i="6"/>
  <c r="AM34" i="6"/>
  <c r="AN34" i="6"/>
  <c r="AL34" i="6"/>
  <c r="AO34" i="6"/>
  <c r="AQ34" i="6"/>
  <c r="AR34" i="6"/>
  <c r="AK34" i="6"/>
  <c r="AJ34" i="6"/>
  <c r="AS34" i="6"/>
  <c r="AP34" i="6"/>
  <c r="AS91" i="6"/>
  <c r="AM91" i="6"/>
  <c r="AP91" i="6"/>
  <c r="AQ91" i="6"/>
  <c r="AO91" i="6"/>
  <c r="AJ91" i="6"/>
  <c r="AL91" i="6"/>
  <c r="AR91" i="6"/>
  <c r="AK91" i="6"/>
  <c r="AN91" i="6"/>
  <c r="AR371" i="6"/>
  <c r="AM371" i="6"/>
  <c r="AQ371" i="6"/>
  <c r="AJ371" i="6"/>
  <c r="AK371" i="6"/>
  <c r="AL371" i="6"/>
  <c r="AS371" i="6"/>
  <c r="AN371" i="6"/>
  <c r="AO371" i="6"/>
  <c r="AP371" i="6"/>
  <c r="AP110" i="6"/>
  <c r="AR110" i="6"/>
  <c r="AQ110" i="6"/>
  <c r="AO110" i="6"/>
  <c r="AM110" i="6"/>
  <c r="AS110" i="6"/>
  <c r="AN110" i="6"/>
  <c r="AJ110" i="6"/>
  <c r="AK110" i="6"/>
  <c r="AL110" i="6"/>
  <c r="AO446" i="6"/>
  <c r="AL446" i="6"/>
  <c r="AM446" i="6"/>
  <c r="AK446" i="6"/>
  <c r="AQ446" i="6"/>
  <c r="AJ446" i="6"/>
  <c r="AS446" i="6"/>
  <c r="AR446" i="6"/>
  <c r="AN446" i="6"/>
  <c r="AP446" i="6"/>
  <c r="AN37" i="6"/>
  <c r="AR37" i="6"/>
  <c r="AS37" i="6"/>
  <c r="AJ37" i="6"/>
  <c r="AM37" i="6"/>
  <c r="AO37" i="6"/>
  <c r="AP37" i="6"/>
  <c r="AK37" i="6"/>
  <c r="AQ37" i="6"/>
  <c r="AL37" i="6"/>
  <c r="AP281" i="6"/>
  <c r="AK281" i="6"/>
  <c r="AJ281" i="6"/>
  <c r="AR281" i="6"/>
  <c r="AQ281" i="6"/>
  <c r="AS281" i="6"/>
  <c r="AO281" i="6"/>
  <c r="AM281" i="6"/>
  <c r="AL281" i="6"/>
  <c r="AN281" i="6"/>
  <c r="AN50" i="6"/>
  <c r="AK50" i="6"/>
  <c r="AQ50" i="6"/>
  <c r="AM50" i="6"/>
  <c r="AO50" i="6"/>
  <c r="AP50" i="6"/>
  <c r="AL50" i="6"/>
  <c r="AS50" i="6"/>
  <c r="AR50" i="6"/>
  <c r="AJ50" i="6"/>
  <c r="AL250" i="6"/>
  <c r="AJ250" i="6"/>
  <c r="AQ250" i="6"/>
  <c r="AM250" i="6"/>
  <c r="AR250" i="6"/>
  <c r="AP250" i="6"/>
  <c r="AK250" i="6"/>
  <c r="AN250" i="6"/>
  <c r="AO250" i="6"/>
  <c r="AS250" i="6"/>
  <c r="AO41" i="6"/>
  <c r="AS41" i="6"/>
  <c r="AK41" i="6"/>
  <c r="AJ41" i="6"/>
  <c r="AM41" i="6"/>
  <c r="AN41" i="6"/>
  <c r="AL41" i="6"/>
  <c r="AP41" i="6"/>
  <c r="AQ41" i="6"/>
  <c r="AR41" i="6"/>
  <c r="AL253" i="6"/>
  <c r="AP253" i="6"/>
  <c r="AQ253" i="6"/>
  <c r="AJ253" i="6"/>
  <c r="AS253" i="6"/>
  <c r="AN253" i="6"/>
  <c r="AR253" i="6"/>
  <c r="AO253" i="6"/>
  <c r="AM253" i="6"/>
  <c r="AK253" i="6"/>
  <c r="AR449" i="6"/>
  <c r="AQ449" i="6"/>
  <c r="AO449" i="6"/>
  <c r="AP449" i="6"/>
  <c r="AN449" i="6"/>
  <c r="AK449" i="6"/>
  <c r="AM449" i="6"/>
  <c r="AJ449" i="6"/>
  <c r="AS449" i="6"/>
  <c r="AL449" i="6"/>
  <c r="AR447" i="6"/>
  <c r="AQ447" i="6"/>
  <c r="AP447" i="6"/>
  <c r="AM447" i="6"/>
  <c r="AJ447" i="6"/>
  <c r="AO447" i="6"/>
  <c r="AL447" i="6"/>
  <c r="AN447" i="6"/>
  <c r="AS447" i="6"/>
  <c r="AK447" i="6"/>
  <c r="AJ179" i="6"/>
  <c r="AN179" i="6"/>
  <c r="AQ179" i="6"/>
  <c r="AM179" i="6"/>
  <c r="AL179" i="6"/>
  <c r="AP179" i="6"/>
  <c r="AR179" i="6"/>
  <c r="AO179" i="6"/>
  <c r="AS179" i="6"/>
  <c r="AK179" i="6"/>
  <c r="AP248" i="6"/>
  <c r="AR248" i="6"/>
  <c r="AK248" i="6"/>
  <c r="AJ248" i="6"/>
  <c r="AM248" i="6"/>
  <c r="AN248" i="6"/>
  <c r="AS248" i="6"/>
  <c r="AO248" i="6"/>
  <c r="AL248" i="6"/>
  <c r="AQ248" i="6"/>
  <c r="AR268" i="6"/>
  <c r="AM268" i="6"/>
  <c r="AS268" i="6"/>
  <c r="AN268" i="6"/>
  <c r="AP268" i="6"/>
  <c r="AJ268" i="6"/>
  <c r="AQ268" i="6"/>
  <c r="AO268" i="6"/>
  <c r="AK268" i="6"/>
  <c r="AL268" i="6"/>
  <c r="AK491" i="6"/>
  <c r="AJ491" i="6"/>
  <c r="AN491" i="6"/>
  <c r="AL491" i="6"/>
  <c r="AR491" i="6"/>
  <c r="AO491" i="6"/>
  <c r="AP491" i="6"/>
  <c r="AQ491" i="6"/>
  <c r="AS491" i="6"/>
  <c r="AM491" i="6"/>
  <c r="AL445" i="6"/>
  <c r="AP445" i="6"/>
  <c r="AN445" i="6"/>
  <c r="AS445" i="6"/>
  <c r="AM445" i="6"/>
  <c r="AK445" i="6"/>
  <c r="AJ445" i="6"/>
  <c r="AQ445" i="6"/>
  <c r="AO445" i="6"/>
  <c r="AR445" i="6"/>
  <c r="AJ397" i="6"/>
  <c r="AS397" i="6"/>
  <c r="AK397" i="6"/>
  <c r="AL397" i="6"/>
  <c r="AP397" i="6"/>
  <c r="AN397" i="6"/>
  <c r="AR397" i="6"/>
  <c r="AO397" i="6"/>
  <c r="AM397" i="6"/>
  <c r="AQ397" i="6"/>
  <c r="AR94" i="6"/>
  <c r="AS94" i="6"/>
  <c r="AL94" i="6"/>
  <c r="AK94" i="6"/>
  <c r="AN94" i="6"/>
  <c r="AO94" i="6"/>
  <c r="AP94" i="6"/>
  <c r="AJ94" i="6"/>
  <c r="AM94" i="6"/>
  <c r="AQ94" i="6"/>
  <c r="AR195" i="6"/>
  <c r="AO195" i="6"/>
  <c r="AK195" i="6"/>
  <c r="AL195" i="6"/>
  <c r="AN195" i="6"/>
  <c r="AM195" i="6"/>
  <c r="AQ195" i="6"/>
  <c r="AJ195" i="6"/>
  <c r="AS195" i="6"/>
  <c r="AP195" i="6"/>
  <c r="AO164" i="6"/>
  <c r="AP164" i="6"/>
  <c r="AQ164" i="6"/>
  <c r="AS164" i="6"/>
  <c r="AR164" i="6"/>
  <c r="AK164" i="6"/>
  <c r="AM164" i="6"/>
  <c r="AL164" i="6"/>
  <c r="AN164" i="6"/>
  <c r="AJ164" i="6"/>
  <c r="AM68" i="6"/>
  <c r="AK68" i="6"/>
  <c r="AP68" i="6"/>
  <c r="AQ68" i="6"/>
  <c r="AO68" i="6"/>
  <c r="AL68" i="6"/>
  <c r="AS68" i="6"/>
  <c r="AN68" i="6"/>
  <c r="AR68" i="6"/>
  <c r="AJ68" i="6"/>
  <c r="AQ309" i="6"/>
  <c r="AK309" i="6"/>
  <c r="AJ309" i="6"/>
  <c r="AO309" i="6"/>
  <c r="AN309" i="6"/>
  <c r="AM309" i="6"/>
  <c r="AS309" i="6"/>
  <c r="AP309" i="6"/>
  <c r="AL309" i="6"/>
  <c r="AR309" i="6"/>
  <c r="AN439" i="6"/>
  <c r="AR439" i="6"/>
  <c r="AK439" i="6"/>
  <c r="AQ439" i="6"/>
  <c r="AL439" i="6"/>
  <c r="AO439" i="6"/>
  <c r="AM439" i="6"/>
  <c r="AP439" i="6"/>
  <c r="AJ439" i="6"/>
  <c r="AS439" i="6"/>
  <c r="AQ66" i="6"/>
  <c r="AM66" i="6"/>
  <c r="AN66" i="6"/>
  <c r="AK66" i="6"/>
  <c r="AO66" i="6"/>
  <c r="AR66" i="6"/>
  <c r="AP66" i="6"/>
  <c r="AJ66" i="6"/>
  <c r="AL66" i="6"/>
  <c r="AS66" i="6"/>
  <c r="AP125" i="6"/>
  <c r="AQ125" i="6"/>
  <c r="AO125" i="6"/>
  <c r="AK125" i="6"/>
  <c r="AM125" i="6"/>
  <c r="AS125" i="6"/>
  <c r="AJ125" i="6"/>
  <c r="AL125" i="6"/>
  <c r="AN125" i="6"/>
  <c r="AR125" i="6"/>
  <c r="AP168" i="6"/>
  <c r="AO168" i="6"/>
  <c r="AM168" i="6"/>
  <c r="AQ168" i="6"/>
  <c r="AJ168" i="6"/>
  <c r="AN168" i="6"/>
  <c r="AK168" i="6"/>
  <c r="AS168" i="6"/>
  <c r="AL168" i="6"/>
  <c r="AR168" i="6"/>
  <c r="AS143" i="6"/>
  <c r="AQ143" i="6"/>
  <c r="AP143" i="6"/>
  <c r="AM143" i="6"/>
  <c r="AK143" i="6"/>
  <c r="AR143" i="6"/>
  <c r="AL143" i="6"/>
  <c r="AJ143" i="6"/>
  <c r="AO143" i="6"/>
  <c r="AN143" i="6"/>
  <c r="AP77" i="6"/>
  <c r="AL77" i="6"/>
  <c r="AS77" i="6"/>
  <c r="AO77" i="6"/>
  <c r="AM77" i="6"/>
  <c r="AJ77" i="6"/>
  <c r="AR77" i="6"/>
  <c r="AN77" i="6"/>
  <c r="AK77" i="6"/>
  <c r="AQ77" i="6"/>
  <c r="AP353" i="6"/>
  <c r="AO353" i="6"/>
  <c r="AR353" i="6"/>
  <c r="AS353" i="6"/>
  <c r="AM353" i="6"/>
  <c r="AL353" i="6"/>
  <c r="AN353" i="6"/>
  <c r="AK353" i="6"/>
  <c r="AJ353" i="6"/>
  <c r="AQ353" i="6"/>
  <c r="AR499" i="6"/>
  <c r="AO499" i="6"/>
  <c r="AJ499" i="6"/>
  <c r="AP499" i="6"/>
  <c r="AN499" i="6"/>
  <c r="AK499" i="6"/>
  <c r="AL499" i="6"/>
  <c r="AQ499" i="6"/>
  <c r="AM499" i="6"/>
  <c r="AS499" i="6"/>
  <c r="AK387" i="6"/>
  <c r="AM387" i="6"/>
  <c r="AL387" i="6"/>
  <c r="AR387" i="6"/>
  <c r="AS387" i="6"/>
  <c r="AN387" i="6"/>
  <c r="AO387" i="6"/>
  <c r="AP387" i="6"/>
  <c r="AQ387" i="6"/>
  <c r="AJ387" i="6"/>
  <c r="AQ198" i="6"/>
  <c r="AS198" i="6"/>
  <c r="AJ198" i="6"/>
  <c r="AP198" i="6"/>
  <c r="AR198" i="6"/>
  <c r="AL198" i="6"/>
  <c r="AN198" i="6"/>
  <c r="AM198" i="6"/>
  <c r="AO198" i="6"/>
  <c r="AK198" i="6"/>
  <c r="AN29" i="6"/>
  <c r="AM29" i="6"/>
  <c r="AS29" i="6"/>
  <c r="AJ29" i="6"/>
  <c r="AK29" i="6"/>
  <c r="AO29" i="6"/>
  <c r="AL29" i="6"/>
  <c r="AP29" i="6"/>
  <c r="AR29" i="6"/>
  <c r="AQ29" i="6"/>
  <c r="AJ476" i="6"/>
  <c r="AR476" i="6"/>
  <c r="AS476" i="6"/>
  <c r="AQ476" i="6"/>
  <c r="AK476" i="6"/>
  <c r="AM476" i="6"/>
  <c r="AP476" i="6"/>
  <c r="AN476" i="6"/>
  <c r="AL476" i="6"/>
  <c r="AO476" i="6"/>
  <c r="AM137" i="6"/>
  <c r="AL137" i="6"/>
  <c r="AN137" i="6"/>
  <c r="AO137" i="6"/>
  <c r="AR137" i="6"/>
  <c r="AS137" i="6"/>
  <c r="AP137" i="6"/>
  <c r="AJ137" i="6"/>
  <c r="AQ137" i="6"/>
  <c r="AK137" i="6"/>
  <c r="AP347" i="6"/>
  <c r="AL347" i="6"/>
  <c r="AN347" i="6"/>
  <c r="AR347" i="6"/>
  <c r="AK347" i="6"/>
  <c r="AM347" i="6"/>
  <c r="AS347" i="6"/>
  <c r="AO347" i="6"/>
  <c r="AQ347" i="6"/>
  <c r="AJ347" i="6"/>
  <c r="AO255" i="6"/>
  <c r="AK255" i="6"/>
  <c r="AN255" i="6"/>
  <c r="AR255" i="6"/>
  <c r="AJ255" i="6"/>
  <c r="AS255" i="6"/>
  <c r="AP255" i="6"/>
  <c r="AM255" i="6"/>
  <c r="AQ255" i="6"/>
  <c r="AL255" i="6"/>
  <c r="AJ211" i="6"/>
  <c r="AM211" i="6"/>
  <c r="AR211" i="6"/>
  <c r="AL211" i="6"/>
  <c r="AK211" i="6"/>
  <c r="AS211" i="6"/>
  <c r="AP211" i="6"/>
  <c r="AN211" i="6"/>
  <c r="AQ211" i="6"/>
  <c r="AO211" i="6"/>
  <c r="AN121" i="6"/>
  <c r="AS121" i="6"/>
  <c r="AO121" i="6"/>
  <c r="AK121" i="6"/>
  <c r="AR121" i="6"/>
  <c r="AJ121" i="6"/>
  <c r="AQ121" i="6"/>
  <c r="AP121" i="6"/>
  <c r="AM121" i="6"/>
  <c r="AL121" i="6"/>
  <c r="AP104" i="6"/>
  <c r="AJ104" i="6"/>
  <c r="AL104" i="6"/>
  <c r="AO104" i="6"/>
  <c r="AK104" i="6"/>
  <c r="AQ104" i="6"/>
  <c r="AM104" i="6"/>
  <c r="AR104" i="6"/>
  <c r="AS104" i="6"/>
  <c r="AN104" i="6"/>
  <c r="AN257" i="6"/>
  <c r="AP257" i="6"/>
  <c r="AS257" i="6"/>
  <c r="AQ257" i="6"/>
  <c r="AM257" i="6"/>
  <c r="AR257" i="6"/>
  <c r="AK257" i="6"/>
  <c r="AJ257" i="6"/>
  <c r="AL257" i="6"/>
  <c r="AO257" i="6"/>
  <c r="AR175" i="6"/>
  <c r="AL175" i="6"/>
  <c r="AJ175" i="6"/>
  <c r="AK175" i="6"/>
  <c r="AP175" i="6"/>
  <c r="AN175" i="6"/>
  <c r="AS175" i="6"/>
  <c r="AM175" i="6"/>
  <c r="AO175" i="6"/>
  <c r="AQ175" i="6"/>
  <c r="AL149" i="6"/>
  <c r="AM149" i="6"/>
  <c r="AJ149" i="6"/>
  <c r="AR149" i="6"/>
  <c r="AN149" i="6"/>
  <c r="AS149" i="6"/>
  <c r="AK149" i="6"/>
  <c r="AQ149" i="6"/>
  <c r="AO149" i="6"/>
  <c r="AP149" i="6"/>
  <c r="AS388" i="6"/>
  <c r="AO388" i="6"/>
  <c r="AR388" i="6"/>
  <c r="AQ388" i="6"/>
  <c r="AJ388" i="6"/>
  <c r="AM388" i="6"/>
  <c r="AK388" i="6"/>
  <c r="AL388" i="6"/>
  <c r="AP388" i="6"/>
  <c r="AN388" i="6"/>
  <c r="AL261" i="6"/>
  <c r="AK261" i="6"/>
  <c r="AP261" i="6"/>
  <c r="AQ261" i="6"/>
  <c r="AR261" i="6"/>
  <c r="AM261" i="6"/>
  <c r="AJ261" i="6"/>
  <c r="AO261" i="6"/>
  <c r="AS261" i="6"/>
  <c r="AN261" i="6"/>
  <c r="AM493" i="6"/>
  <c r="AO493" i="6"/>
  <c r="AS493" i="6"/>
  <c r="AK493" i="6"/>
  <c r="AQ493" i="6"/>
  <c r="AR493" i="6"/>
  <c r="AP493" i="6"/>
  <c r="AL493" i="6"/>
  <c r="AJ493" i="6"/>
  <c r="AN493" i="6"/>
  <c r="AK233" i="6"/>
  <c r="AQ233" i="6"/>
  <c r="AS233" i="6"/>
  <c r="AN233" i="6"/>
  <c r="AJ233" i="6"/>
  <c r="AO233" i="6"/>
  <c r="AP233" i="6"/>
  <c r="AL233" i="6"/>
  <c r="AR233" i="6"/>
  <c r="AM233" i="6"/>
  <c r="AN81" i="6"/>
  <c r="AQ81" i="6"/>
  <c r="AS81" i="6"/>
  <c r="AP81" i="6"/>
  <c r="AO81" i="6"/>
  <c r="AM81" i="6"/>
  <c r="AL81" i="6"/>
  <c r="AR81" i="6"/>
  <c r="AK81" i="6"/>
  <c r="AJ81" i="6"/>
  <c r="AM304" i="6"/>
  <c r="AO304" i="6"/>
  <c r="AP304" i="6"/>
  <c r="AR304" i="6"/>
  <c r="AN304" i="6"/>
  <c r="AJ304" i="6"/>
  <c r="AS304" i="6"/>
  <c r="AQ304" i="6"/>
  <c r="AK304" i="6"/>
  <c r="AL304" i="6"/>
  <c r="AK176" i="6"/>
  <c r="AM176" i="6"/>
  <c r="AL176" i="6"/>
  <c r="AP176" i="6"/>
  <c r="AQ176" i="6"/>
  <c r="AO176" i="6"/>
  <c r="AS176" i="6"/>
  <c r="AJ176" i="6"/>
  <c r="AR176" i="6"/>
  <c r="AN176" i="6"/>
  <c r="AR62" i="6"/>
  <c r="AP62" i="6"/>
  <c r="AM62" i="6"/>
  <c r="AO62" i="6"/>
  <c r="AS62" i="6"/>
  <c r="AL62" i="6"/>
  <c r="AN62" i="6"/>
  <c r="AJ62" i="6"/>
  <c r="AK62" i="6"/>
  <c r="AQ62" i="6"/>
  <c r="AM487" i="6"/>
  <c r="AS487" i="6"/>
  <c r="AN487" i="6"/>
  <c r="AQ487" i="6"/>
  <c r="AK487" i="6"/>
  <c r="AO487" i="6"/>
  <c r="AP487" i="6"/>
  <c r="AR487" i="6"/>
  <c r="AJ487" i="6"/>
  <c r="AL487" i="6"/>
  <c r="AN389" i="6"/>
  <c r="AJ389" i="6"/>
  <c r="AQ389" i="6"/>
  <c r="AK389" i="6"/>
  <c r="AS389" i="6"/>
  <c r="AP389" i="6"/>
  <c r="AM389" i="6"/>
  <c r="AO389" i="6"/>
  <c r="AR389" i="6"/>
  <c r="AL389" i="6"/>
  <c r="AO305" i="6"/>
  <c r="AN305" i="6"/>
  <c r="AR305" i="6"/>
  <c r="AQ305" i="6"/>
  <c r="AM305" i="6"/>
  <c r="AL305" i="6"/>
  <c r="AJ305" i="6"/>
  <c r="AK305" i="6"/>
  <c r="AS305" i="6"/>
  <c r="AP305" i="6"/>
  <c r="AS403" i="6"/>
  <c r="AP403" i="6"/>
  <c r="AK403" i="6"/>
  <c r="AM403" i="6"/>
  <c r="AR403" i="6"/>
  <c r="AJ403" i="6"/>
  <c r="AO403" i="6"/>
  <c r="AN403" i="6"/>
  <c r="AQ403" i="6"/>
  <c r="AL403" i="6"/>
  <c r="AQ294" i="6"/>
  <c r="AL294" i="6"/>
  <c r="AS294" i="6"/>
  <c r="AJ294" i="6"/>
  <c r="AN294" i="6"/>
  <c r="AO294" i="6"/>
  <c r="AP294" i="6"/>
  <c r="AR294" i="6"/>
  <c r="AK294" i="6"/>
  <c r="AM294" i="6"/>
  <c r="AR348" i="6"/>
  <c r="AQ348" i="6"/>
  <c r="AK348" i="6"/>
  <c r="AO348" i="6"/>
  <c r="AJ348" i="6"/>
  <c r="AM348" i="6"/>
  <c r="AS348" i="6"/>
  <c r="AL348" i="6"/>
  <c r="AN348" i="6"/>
  <c r="AP348" i="6"/>
  <c r="AM346" i="6"/>
  <c r="AS346" i="6"/>
  <c r="AP346" i="6"/>
  <c r="AN346" i="6"/>
  <c r="AR346" i="6"/>
  <c r="AL346" i="6"/>
  <c r="AK346" i="6"/>
  <c r="AJ346" i="6"/>
  <c r="AO346" i="6"/>
  <c r="AQ346" i="6"/>
  <c r="AP349" i="6"/>
  <c r="AO349" i="6"/>
  <c r="AM349" i="6"/>
  <c r="AN349" i="6"/>
  <c r="AQ349" i="6"/>
  <c r="AR349" i="6"/>
  <c r="AJ349" i="6"/>
  <c r="AK349" i="6"/>
  <c r="AL349" i="6"/>
  <c r="AS349" i="6"/>
  <c r="AO386" i="6"/>
  <c r="AM386" i="6"/>
  <c r="AL386" i="6"/>
  <c r="AP386" i="6"/>
  <c r="AJ386" i="6"/>
  <c r="AR386" i="6"/>
  <c r="AS386" i="6"/>
  <c r="AN386" i="6"/>
  <c r="AK386" i="6"/>
  <c r="AQ386" i="6"/>
  <c r="AL212" i="6"/>
  <c r="AK212" i="6"/>
  <c r="AP212" i="6"/>
  <c r="AN212" i="6"/>
  <c r="AQ212" i="6"/>
  <c r="AS212" i="6"/>
  <c r="AM212" i="6"/>
  <c r="AO212" i="6"/>
  <c r="AJ212" i="6"/>
  <c r="AR212" i="6"/>
  <c r="AP31" i="6"/>
  <c r="AM31" i="6"/>
  <c r="AN31" i="6"/>
  <c r="AO31" i="6"/>
  <c r="AR31" i="6"/>
  <c r="AJ31" i="6"/>
  <c r="AL31" i="6"/>
  <c r="AQ31" i="6"/>
  <c r="AK31" i="6"/>
  <c r="AS31" i="6"/>
  <c r="AS152" i="6"/>
  <c r="AQ152" i="6"/>
  <c r="AK152" i="6"/>
  <c r="AO152" i="6"/>
  <c r="AN152" i="6"/>
  <c r="AL152" i="6"/>
  <c r="AM152" i="6"/>
  <c r="AR152" i="6"/>
  <c r="AJ152" i="6"/>
  <c r="AP152" i="6"/>
  <c r="AO325" i="6"/>
  <c r="AR325" i="6"/>
  <c r="AM325" i="6"/>
  <c r="AL325" i="6"/>
  <c r="AJ325" i="6"/>
  <c r="AP325" i="6"/>
  <c r="AQ325" i="6"/>
  <c r="AK325" i="6"/>
  <c r="AN325" i="6"/>
  <c r="AS325" i="6"/>
  <c r="AJ132" i="6"/>
  <c r="AK132" i="6"/>
  <c r="AQ132" i="6"/>
  <c r="AO132" i="6"/>
  <c r="AP132" i="6"/>
  <c r="AM132" i="6"/>
  <c r="AR132" i="6"/>
  <c r="AS132" i="6"/>
  <c r="AN132" i="6"/>
  <c r="AL132" i="6"/>
  <c r="AM71" i="6"/>
  <c r="AJ71" i="6"/>
  <c r="AQ71" i="6"/>
  <c r="AS71" i="6"/>
  <c r="AL71" i="6"/>
  <c r="AN71" i="6"/>
  <c r="AK71" i="6"/>
  <c r="AO71" i="6"/>
  <c r="AR71" i="6"/>
  <c r="AP71" i="6"/>
  <c r="AO20" i="6"/>
  <c r="AQ20" i="6"/>
  <c r="AN20" i="6"/>
  <c r="AR20" i="6"/>
  <c r="AS20" i="6"/>
  <c r="AJ20" i="6"/>
  <c r="AL20" i="6"/>
  <c r="AK20" i="6"/>
  <c r="AP20" i="6"/>
  <c r="AM20" i="6"/>
  <c r="AK191" i="6"/>
  <c r="AN191" i="6"/>
  <c r="AR191" i="6"/>
  <c r="AQ191" i="6"/>
  <c r="AJ191" i="6"/>
  <c r="AM191" i="6"/>
  <c r="AL191" i="6"/>
  <c r="AO191" i="6"/>
  <c r="AS191" i="6"/>
  <c r="AP191" i="6"/>
  <c r="AS307" i="6"/>
  <c r="AO307" i="6"/>
  <c r="AJ307" i="6"/>
  <c r="AN307" i="6"/>
  <c r="AM307" i="6"/>
  <c r="AK307" i="6"/>
  <c r="AQ307" i="6"/>
  <c r="AP307" i="6"/>
  <c r="AR307" i="6"/>
  <c r="AL307" i="6"/>
  <c r="AO114" i="6"/>
  <c r="AR114" i="6"/>
  <c r="AN114" i="6"/>
  <c r="AM114" i="6"/>
  <c r="AK114" i="6"/>
  <c r="AS114" i="6"/>
  <c r="AP114" i="6"/>
  <c r="AJ114" i="6"/>
  <c r="AQ114" i="6"/>
  <c r="AL114" i="6"/>
  <c r="AP378" i="6"/>
  <c r="AS378" i="6"/>
  <c r="AN378" i="6"/>
  <c r="AR378" i="6"/>
  <c r="AM378" i="6"/>
  <c r="AJ378" i="6"/>
  <c r="AK378" i="6"/>
  <c r="AL378" i="6"/>
  <c r="AQ378" i="6"/>
  <c r="AO378" i="6"/>
  <c r="AS443" i="6"/>
  <c r="AM443" i="6"/>
  <c r="AP443" i="6"/>
  <c r="AL443" i="6"/>
  <c r="AJ443" i="6"/>
  <c r="AN443" i="6"/>
  <c r="AK443" i="6"/>
  <c r="AR443" i="6"/>
  <c r="AQ443" i="6"/>
  <c r="AO443" i="6"/>
  <c r="AN225" i="6"/>
  <c r="AK225" i="6"/>
  <c r="AR225" i="6"/>
  <c r="AP225" i="6"/>
  <c r="AO225" i="6"/>
  <c r="AQ225" i="6"/>
  <c r="AL225" i="6"/>
  <c r="AJ225" i="6"/>
  <c r="AM225" i="6"/>
  <c r="AS225" i="6"/>
  <c r="AK269" i="6"/>
  <c r="AN269" i="6"/>
  <c r="AP269" i="6"/>
  <c r="AL269" i="6"/>
  <c r="AM269" i="6"/>
  <c r="AJ269" i="6"/>
  <c r="AO269" i="6"/>
  <c r="AS269" i="6"/>
  <c r="AR269" i="6"/>
  <c r="AQ269" i="6"/>
  <c r="AS334" i="6"/>
  <c r="AQ334" i="6"/>
  <c r="AP334" i="6"/>
  <c r="AK334" i="6"/>
  <c r="AL334" i="6"/>
  <c r="AO334" i="6"/>
  <c r="AR334" i="6"/>
  <c r="AJ334" i="6"/>
  <c r="AM334" i="6"/>
  <c r="AN334" i="6"/>
  <c r="AS156" i="6"/>
  <c r="AM156" i="6"/>
  <c r="AR156" i="6"/>
  <c r="AO156" i="6"/>
  <c r="AN156" i="6"/>
  <c r="AQ156" i="6"/>
  <c r="AL156" i="6"/>
  <c r="AJ156" i="6"/>
  <c r="AP156" i="6"/>
  <c r="AK156" i="6"/>
  <c r="AP318" i="6"/>
  <c r="AJ318" i="6"/>
  <c r="AN318" i="6"/>
  <c r="AM318" i="6"/>
  <c r="AL318" i="6"/>
  <c r="AQ318" i="6"/>
  <c r="AK318" i="6"/>
  <c r="AR318" i="6"/>
  <c r="AO318" i="6"/>
  <c r="AS318" i="6"/>
  <c r="AM350" i="6"/>
  <c r="AQ350" i="6"/>
  <c r="AS350" i="6"/>
  <c r="AR350" i="6"/>
  <c r="AK350" i="6"/>
  <c r="AJ350" i="6"/>
  <c r="AP350" i="6"/>
  <c r="AN350" i="6"/>
  <c r="AO350" i="6"/>
  <c r="AL350" i="6"/>
  <c r="AJ45" i="6"/>
  <c r="AQ45" i="6"/>
  <c r="AL45" i="6"/>
  <c r="AO45" i="6"/>
  <c r="AM45" i="6"/>
  <c r="AR45" i="6"/>
  <c r="AS45" i="6"/>
  <c r="AK45" i="6"/>
  <c r="AN45" i="6"/>
  <c r="AP45" i="6"/>
  <c r="AN183" i="6"/>
  <c r="AR183" i="6"/>
  <c r="AO183" i="6"/>
  <c r="AP183" i="6"/>
  <c r="AK183" i="6"/>
  <c r="AM183" i="6"/>
  <c r="AL183" i="6"/>
  <c r="AS183" i="6"/>
  <c r="AJ183" i="6"/>
  <c r="AQ183" i="6"/>
  <c r="AO339" i="6"/>
  <c r="AJ339" i="6"/>
  <c r="AL339" i="6"/>
  <c r="AK339" i="6"/>
  <c r="AN339" i="6"/>
  <c r="AQ339" i="6"/>
  <c r="AM339" i="6"/>
  <c r="AS339" i="6"/>
  <c r="AR339" i="6"/>
  <c r="AP339" i="6"/>
  <c r="AJ282" i="6"/>
  <c r="AQ282" i="6"/>
  <c r="AS282" i="6"/>
  <c r="AP282" i="6"/>
  <c r="AL282" i="6"/>
  <c r="AK282" i="6"/>
  <c r="AR282" i="6"/>
  <c r="AM282" i="6"/>
  <c r="AN282" i="6"/>
  <c r="AO282" i="6"/>
  <c r="AO484" i="6"/>
  <c r="AQ484" i="6"/>
  <c r="AK484" i="6"/>
  <c r="AM484" i="6"/>
  <c r="AS484" i="6"/>
  <c r="AL484" i="6"/>
  <c r="AJ484" i="6"/>
  <c r="AR484" i="6"/>
  <c r="AP484" i="6"/>
  <c r="AN484" i="6"/>
  <c r="AK213" i="6"/>
  <c r="AQ213" i="6"/>
  <c r="AO213" i="6"/>
  <c r="AN213" i="6"/>
  <c r="AS213" i="6"/>
  <c r="AJ213" i="6"/>
  <c r="AM213" i="6"/>
  <c r="AR213" i="6"/>
  <c r="AL213" i="6"/>
  <c r="AP213" i="6"/>
  <c r="AL390" i="6"/>
  <c r="AQ390" i="6"/>
  <c r="AP390" i="6"/>
  <c r="AJ390" i="6"/>
  <c r="AK390" i="6"/>
  <c r="AS390" i="6"/>
  <c r="AO390" i="6"/>
  <c r="AR390" i="6"/>
  <c r="AN390" i="6"/>
  <c r="AM390" i="6"/>
  <c r="AN217" i="6"/>
  <c r="AK217" i="6"/>
  <c r="AQ217" i="6"/>
  <c r="AL217" i="6"/>
  <c r="AM217" i="6"/>
  <c r="AJ217" i="6"/>
  <c r="AR217" i="6"/>
  <c r="AS217" i="6"/>
  <c r="AP217" i="6"/>
  <c r="AO217" i="6"/>
  <c r="AM177" i="6"/>
  <c r="AO177" i="6"/>
  <c r="AL177" i="6"/>
  <c r="AP177" i="6"/>
  <c r="AQ177" i="6"/>
  <c r="AK177" i="6"/>
  <c r="AS177" i="6"/>
  <c r="AJ177" i="6"/>
  <c r="AR177" i="6"/>
  <c r="AN177" i="6"/>
  <c r="AP55" i="6"/>
  <c r="AM55" i="6"/>
  <c r="AO55" i="6"/>
  <c r="AN55" i="6"/>
  <c r="AR55" i="6"/>
  <c r="AS55" i="6"/>
  <c r="AL55" i="6"/>
  <c r="AQ55" i="6"/>
  <c r="AK55" i="6"/>
  <c r="AJ55" i="6"/>
  <c r="AR310" i="6"/>
  <c r="AP310" i="6"/>
  <c r="AO310" i="6"/>
  <c r="AQ310" i="6"/>
  <c r="AK310" i="6"/>
  <c r="AN310" i="6"/>
  <c r="AS310" i="6"/>
  <c r="AL310" i="6"/>
  <c r="AJ310" i="6"/>
  <c r="AM310" i="6"/>
  <c r="AM89" i="6"/>
  <c r="AR89" i="6"/>
  <c r="AO89" i="6"/>
  <c r="AN89" i="6"/>
  <c r="AS89" i="6"/>
  <c r="AP89" i="6"/>
  <c r="AK89" i="6"/>
  <c r="AL89" i="6"/>
  <c r="AQ89" i="6"/>
  <c r="AJ89" i="6"/>
  <c r="AQ108" i="6"/>
  <c r="AM108" i="6"/>
  <c r="AR108" i="6"/>
  <c r="AN108" i="6"/>
  <c r="AJ108" i="6"/>
  <c r="AO108" i="6"/>
  <c r="AK108" i="6"/>
  <c r="AL108" i="6"/>
  <c r="AS108" i="6"/>
  <c r="AP108" i="6"/>
  <c r="AJ488" i="6"/>
  <c r="AL488" i="6"/>
  <c r="AK488" i="6"/>
  <c r="AM488" i="6"/>
  <c r="AR488" i="6"/>
  <c r="AO488" i="6"/>
  <c r="AN488" i="6"/>
  <c r="AP488" i="6"/>
  <c r="AQ488" i="6"/>
  <c r="AS488" i="6"/>
  <c r="AS174" i="6"/>
  <c r="AK174" i="6"/>
  <c r="AR174" i="6"/>
  <c r="AO174" i="6"/>
  <c r="AQ174" i="6"/>
  <c r="AM174" i="6"/>
  <c r="AL174" i="6"/>
  <c r="AP174" i="6"/>
  <c r="AJ174" i="6"/>
  <c r="AN174" i="6"/>
  <c r="AL328" i="6"/>
  <c r="AR328" i="6"/>
  <c r="AM328" i="6"/>
  <c r="AO328" i="6"/>
  <c r="AJ328" i="6"/>
  <c r="AK328" i="6"/>
  <c r="AQ328" i="6"/>
  <c r="AP328" i="6"/>
  <c r="AN328" i="6"/>
  <c r="AS328" i="6"/>
  <c r="AL196" i="6"/>
  <c r="AJ196" i="6"/>
  <c r="AM196" i="6"/>
  <c r="AO196" i="6"/>
  <c r="AK196" i="6"/>
  <c r="AS196" i="6"/>
  <c r="AP196" i="6"/>
  <c r="AN196" i="6"/>
  <c r="AR196" i="6"/>
  <c r="AQ196" i="6"/>
  <c r="AQ416" i="6"/>
  <c r="AN416" i="6"/>
  <c r="AR416" i="6"/>
  <c r="AK416" i="6"/>
  <c r="AM416" i="6"/>
  <c r="AP416" i="6"/>
  <c r="AO416" i="6"/>
  <c r="AS416" i="6"/>
  <c r="AJ416" i="6"/>
  <c r="AL416" i="6"/>
  <c r="AK308" i="6"/>
  <c r="AQ308" i="6"/>
  <c r="AS308" i="6"/>
  <c r="AR308" i="6"/>
  <c r="AJ308" i="6"/>
  <c r="AO308" i="6"/>
  <c r="AL308" i="6"/>
  <c r="AN308" i="6"/>
  <c r="AP308" i="6"/>
  <c r="AM308" i="6"/>
  <c r="AR131" i="6"/>
  <c r="AQ131" i="6"/>
  <c r="AO131" i="6"/>
  <c r="AK131" i="6"/>
  <c r="AJ131" i="6"/>
  <c r="AP131" i="6"/>
  <c r="AN131" i="6"/>
  <c r="AM131" i="6"/>
  <c r="AS131" i="6"/>
  <c r="AL131" i="6"/>
  <c r="AP182" i="6"/>
  <c r="AM182" i="6"/>
  <c r="AK182" i="6"/>
  <c r="AO182" i="6"/>
  <c r="AR182" i="6"/>
  <c r="AQ182" i="6"/>
  <c r="AL182" i="6"/>
  <c r="AN182" i="6"/>
  <c r="AJ182" i="6"/>
  <c r="AS182" i="6"/>
  <c r="AK214" i="6"/>
  <c r="AQ214" i="6"/>
  <c r="AJ214" i="6"/>
  <c r="AN214" i="6"/>
  <c r="AO214" i="6"/>
  <c r="AM214" i="6"/>
  <c r="AP214" i="6"/>
  <c r="AS214" i="6"/>
  <c r="AR214" i="6"/>
  <c r="AL214" i="6"/>
  <c r="AS363" i="6"/>
  <c r="AO363" i="6"/>
  <c r="AM363" i="6"/>
  <c r="AQ363" i="6"/>
  <c r="AL363" i="6"/>
  <c r="AN363" i="6"/>
  <c r="AJ363" i="6"/>
  <c r="AK363" i="6"/>
  <c r="AR363" i="6"/>
  <c r="AP363" i="6"/>
  <c r="AM180" i="6"/>
  <c r="AR180" i="6"/>
  <c r="AP180" i="6"/>
  <c r="AJ180" i="6"/>
  <c r="AN180" i="6"/>
  <c r="AQ180" i="6"/>
  <c r="AS180" i="6"/>
  <c r="AK180" i="6"/>
  <c r="AL180" i="6"/>
  <c r="AO180" i="6"/>
  <c r="AJ139" i="6"/>
  <c r="AQ139" i="6"/>
  <c r="AL139" i="6"/>
  <c r="AO139" i="6"/>
  <c r="AS139" i="6"/>
  <c r="AN139" i="6"/>
  <c r="AR139" i="6"/>
  <c r="AM139" i="6"/>
  <c r="AK139" i="6"/>
  <c r="AP139" i="6"/>
  <c r="AK103" i="6"/>
  <c r="AP103" i="6"/>
  <c r="AN103" i="6"/>
  <c r="AQ103" i="6"/>
  <c r="AJ103" i="6"/>
  <c r="AL103" i="6"/>
  <c r="AR103" i="6"/>
  <c r="AO103" i="6"/>
  <c r="AS103" i="6"/>
  <c r="AM103" i="6"/>
  <c r="AR98" i="6"/>
  <c r="AL98" i="6"/>
  <c r="AJ98" i="6"/>
  <c r="AN98" i="6"/>
  <c r="AQ98" i="6"/>
  <c r="AS98" i="6"/>
  <c r="AP98" i="6"/>
  <c r="AK98" i="6"/>
  <c r="AO98" i="6"/>
  <c r="AM98" i="6"/>
  <c r="AL38" i="6"/>
  <c r="AK38" i="6"/>
  <c r="AR38" i="6"/>
  <c r="AN38" i="6"/>
  <c r="AM38" i="6"/>
  <c r="AS38" i="6"/>
  <c r="AJ38" i="6"/>
  <c r="AO38" i="6"/>
  <c r="AQ38" i="6"/>
  <c r="AP38" i="6"/>
  <c r="AP138" i="6"/>
  <c r="AK138" i="6"/>
  <c r="AS138" i="6"/>
  <c r="AQ138" i="6"/>
  <c r="AR138" i="6"/>
  <c r="AL138" i="6"/>
  <c r="AJ138" i="6"/>
  <c r="AN138" i="6"/>
  <c r="AO138" i="6"/>
  <c r="AM138" i="6"/>
  <c r="AR21" i="6"/>
  <c r="AJ21" i="6"/>
  <c r="AO21" i="6"/>
  <c r="AS21" i="6"/>
  <c r="AK21" i="6"/>
  <c r="AN21" i="6"/>
  <c r="AL21" i="6"/>
  <c r="AM21" i="6"/>
  <c r="AP21" i="6"/>
  <c r="AQ21" i="6"/>
  <c r="AM58" i="6"/>
  <c r="AL58" i="6"/>
  <c r="AP58" i="6"/>
  <c r="AS58" i="6"/>
  <c r="AJ58" i="6"/>
  <c r="AQ58" i="6"/>
  <c r="AN58" i="6"/>
  <c r="AO58" i="6"/>
  <c r="AR58" i="6"/>
  <c r="AK58" i="6"/>
  <c r="AS170" i="6"/>
  <c r="AO170" i="6"/>
  <c r="AQ170" i="6"/>
  <c r="AN170" i="6"/>
  <c r="AP170" i="6"/>
  <c r="AK170" i="6"/>
  <c r="AJ170" i="6"/>
  <c r="AR170" i="6"/>
  <c r="AM170" i="6"/>
  <c r="AL170" i="6"/>
  <c r="AO284" i="6"/>
  <c r="AL284" i="6"/>
  <c r="AJ284" i="6"/>
  <c r="AK284" i="6"/>
  <c r="AM284" i="6"/>
  <c r="AP284" i="6"/>
  <c r="AR284" i="6"/>
  <c r="AN284" i="6"/>
  <c r="AS284" i="6"/>
  <c r="AQ284" i="6"/>
  <c r="AN64" i="6"/>
  <c r="AS64" i="6"/>
  <c r="AO64" i="6"/>
  <c r="AL64" i="6"/>
  <c r="AQ64" i="6"/>
  <c r="AM64" i="6"/>
  <c r="AR64" i="6"/>
  <c r="AK64" i="6"/>
  <c r="AP64" i="6"/>
  <c r="AJ64" i="6"/>
  <c r="AQ295" i="6"/>
  <c r="AR295" i="6"/>
  <c r="AO295" i="6"/>
  <c r="AS295" i="6"/>
  <c r="AP295" i="6"/>
  <c r="AN295" i="6"/>
  <c r="AM295" i="6"/>
  <c r="AJ295" i="6"/>
  <c r="AL295" i="6"/>
  <c r="AK295" i="6"/>
  <c r="AS481" i="6"/>
  <c r="AP481" i="6"/>
  <c r="AM481" i="6"/>
  <c r="AJ481" i="6"/>
  <c r="AQ481" i="6"/>
  <c r="AO481" i="6"/>
  <c r="AK481" i="6"/>
  <c r="AR481" i="6"/>
  <c r="AL481" i="6"/>
  <c r="AN481" i="6"/>
  <c r="AO396" i="6"/>
  <c r="AL396" i="6"/>
  <c r="AN396" i="6"/>
  <c r="AQ396" i="6"/>
  <c r="AP396" i="6"/>
  <c r="AR396" i="6"/>
  <c r="AM396" i="6"/>
  <c r="AS396" i="6"/>
  <c r="AK396" i="6"/>
  <c r="AJ396" i="6"/>
  <c r="AO271" i="6"/>
  <c r="AN271" i="6"/>
  <c r="AR271" i="6"/>
  <c r="AL271" i="6"/>
  <c r="AQ271" i="6"/>
  <c r="AJ271" i="6"/>
  <c r="AP271" i="6"/>
  <c r="AK271" i="6"/>
  <c r="AM271" i="6"/>
  <c r="AS271" i="6"/>
  <c r="AP285" i="6"/>
  <c r="AO285" i="6"/>
  <c r="AN285" i="6"/>
  <c r="AK285" i="6"/>
  <c r="AL285" i="6"/>
  <c r="AQ285" i="6"/>
  <c r="AM285" i="6"/>
  <c r="AS285" i="6"/>
  <c r="AJ285" i="6"/>
  <c r="AR285" i="6"/>
  <c r="AR451" i="6"/>
  <c r="AQ451" i="6"/>
  <c r="AO451" i="6"/>
  <c r="AM451" i="6"/>
  <c r="AN451" i="6"/>
  <c r="AK451" i="6"/>
  <c r="AL451" i="6"/>
  <c r="AJ451" i="6"/>
  <c r="AS451" i="6"/>
  <c r="AP451" i="6"/>
  <c r="AS63" i="6"/>
  <c r="AP63" i="6"/>
  <c r="AK63" i="6"/>
  <c r="AQ63" i="6"/>
  <c r="AM63" i="6"/>
  <c r="AJ63" i="6"/>
  <c r="AR63" i="6"/>
  <c r="AL63" i="6"/>
  <c r="AN63" i="6"/>
  <c r="AO63" i="6"/>
  <c r="AS368" i="6"/>
  <c r="AJ368" i="6"/>
  <c r="AP368" i="6"/>
  <c r="AK368" i="6"/>
  <c r="AL368" i="6"/>
  <c r="AM368" i="6"/>
  <c r="AN368" i="6"/>
  <c r="AQ368" i="6"/>
  <c r="AO368" i="6"/>
  <c r="AR368" i="6"/>
  <c r="AN151" i="6"/>
  <c r="AM151" i="6"/>
  <c r="AQ151" i="6"/>
  <c r="AS151" i="6"/>
  <c r="AO151" i="6"/>
  <c r="AR151" i="6"/>
  <c r="AL151" i="6"/>
  <c r="AJ151" i="6"/>
  <c r="AP151" i="6"/>
  <c r="AK151" i="6"/>
  <c r="AQ292" i="6"/>
  <c r="AL292" i="6"/>
  <c r="AN292" i="6"/>
  <c r="AK292" i="6"/>
  <c r="AS292" i="6"/>
  <c r="AM292" i="6"/>
  <c r="AR292" i="6"/>
  <c r="AJ292" i="6"/>
  <c r="AP292" i="6"/>
  <c r="AO292" i="6"/>
  <c r="AN133" i="6"/>
  <c r="AK133" i="6"/>
  <c r="AS133" i="6"/>
  <c r="AP133" i="6"/>
  <c r="AL133" i="6"/>
  <c r="AR133" i="6"/>
  <c r="AQ133" i="6"/>
  <c r="AM133" i="6"/>
  <c r="AJ133" i="6"/>
  <c r="AO133" i="6"/>
  <c r="AO160" i="6"/>
  <c r="AL160" i="6"/>
  <c r="AR160" i="6"/>
  <c r="AN160" i="6"/>
  <c r="AQ160" i="6"/>
  <c r="AJ160" i="6"/>
  <c r="AS160" i="6"/>
  <c r="AM160" i="6"/>
  <c r="AP160" i="6"/>
  <c r="AK160" i="6"/>
  <c r="AQ311" i="6"/>
  <c r="AK311" i="6"/>
  <c r="AR311" i="6"/>
  <c r="AP311" i="6"/>
  <c r="AL311" i="6"/>
  <c r="AJ311" i="6"/>
  <c r="AM311" i="6"/>
  <c r="AO311" i="6"/>
  <c r="AS311" i="6"/>
  <c r="AN311" i="6"/>
  <c r="AQ482" i="6"/>
  <c r="AL482" i="6"/>
  <c r="AN482" i="6"/>
  <c r="AS482" i="6"/>
  <c r="AR482" i="6"/>
  <c r="AJ482" i="6"/>
  <c r="AK482" i="6"/>
  <c r="AO482" i="6"/>
  <c r="AM482" i="6"/>
  <c r="AP482" i="6"/>
  <c r="AR46" i="6"/>
  <c r="AK46" i="6"/>
  <c r="AN46" i="6"/>
  <c r="AQ46" i="6"/>
  <c r="AM46" i="6"/>
  <c r="AP46" i="6"/>
  <c r="AO46" i="6"/>
  <c r="AL46" i="6"/>
  <c r="AJ46" i="6"/>
  <c r="AS46" i="6"/>
  <c r="AP333" i="6"/>
  <c r="AR333" i="6"/>
  <c r="AM333" i="6"/>
  <c r="AK333" i="6"/>
  <c r="AO333" i="6"/>
  <c r="AS333" i="6"/>
  <c r="AN333" i="6"/>
  <c r="AQ333" i="6"/>
  <c r="AL333" i="6"/>
  <c r="AJ333" i="6"/>
  <c r="AO141" i="6"/>
  <c r="AJ141" i="6"/>
  <c r="AS141" i="6"/>
  <c r="AR141" i="6"/>
  <c r="AN141" i="6"/>
  <c r="AK141" i="6"/>
  <c r="AP141" i="6"/>
  <c r="AL141" i="6"/>
  <c r="AQ141" i="6"/>
  <c r="AM141" i="6"/>
  <c r="AJ306" i="6"/>
  <c r="AP306" i="6"/>
  <c r="AQ306" i="6"/>
  <c r="AK306" i="6"/>
  <c r="AS306" i="6"/>
  <c r="AM306" i="6"/>
  <c r="AO306" i="6"/>
  <c r="AN306" i="6"/>
  <c r="AL306" i="6"/>
  <c r="AR306" i="6"/>
  <c r="AP23" i="6"/>
  <c r="AJ23" i="6"/>
  <c r="AK23" i="6"/>
  <c r="AL23" i="6"/>
  <c r="AQ23" i="6"/>
  <c r="AR23" i="6"/>
  <c r="AS23" i="6"/>
  <c r="AN23" i="6"/>
  <c r="AO23" i="6"/>
  <c r="AM23" i="6"/>
  <c r="AQ107" i="6"/>
  <c r="AO107" i="6"/>
  <c r="AR107" i="6"/>
  <c r="AN107" i="6"/>
  <c r="AK107" i="6"/>
  <c r="AM107" i="6"/>
  <c r="AL107" i="6"/>
  <c r="AP107" i="6"/>
  <c r="AS107" i="6"/>
  <c r="AJ107" i="6"/>
  <c r="AM90" i="6"/>
  <c r="AJ90" i="6"/>
  <c r="AK90" i="6"/>
  <c r="AS90" i="6"/>
  <c r="AL90" i="6"/>
  <c r="AP90" i="6"/>
  <c r="AR90" i="6"/>
  <c r="AQ90" i="6"/>
  <c r="AO90" i="6"/>
  <c r="AN90" i="6"/>
  <c r="AJ343" i="6"/>
  <c r="AQ343" i="6"/>
  <c r="AL343" i="6"/>
  <c r="AS343" i="6"/>
  <c r="AP343" i="6"/>
  <c r="AO343" i="6"/>
  <c r="AN343" i="6"/>
  <c r="AM343" i="6"/>
  <c r="AR343" i="6"/>
  <c r="AK343" i="6"/>
  <c r="AR404" i="6"/>
  <c r="AL404" i="6"/>
  <c r="AJ404" i="6"/>
  <c r="AS404" i="6"/>
  <c r="AK404" i="6"/>
  <c r="AQ404" i="6"/>
  <c r="AM404" i="6"/>
  <c r="AN404" i="6"/>
  <c r="AO404" i="6"/>
  <c r="AP404" i="6"/>
  <c r="AK82" i="6"/>
  <c r="AL82" i="6"/>
  <c r="AN82" i="6"/>
  <c r="AP82" i="6"/>
  <c r="AO82" i="6"/>
  <c r="AS82" i="6"/>
  <c r="AJ82" i="6"/>
  <c r="AR82" i="6"/>
  <c r="AM82" i="6"/>
  <c r="AQ82" i="6"/>
  <c r="AQ252" i="6"/>
  <c r="AS252" i="6"/>
  <c r="AM252" i="6"/>
  <c r="AN252" i="6"/>
  <c r="AR252" i="6"/>
  <c r="AP252" i="6"/>
  <c r="AK252" i="6"/>
  <c r="AO252" i="6"/>
  <c r="AL252" i="6"/>
  <c r="AJ252" i="6"/>
  <c r="AO99" i="6"/>
  <c r="AL99" i="6"/>
  <c r="AS99" i="6"/>
  <c r="AR99" i="6"/>
  <c r="AK99" i="6"/>
  <c r="AN99" i="6"/>
  <c r="AP99" i="6"/>
  <c r="AQ99" i="6"/>
  <c r="AJ99" i="6"/>
  <c r="AM99" i="6"/>
  <c r="AP80" i="6"/>
  <c r="AM80" i="6"/>
  <c r="AK80" i="6"/>
  <c r="AS80" i="6"/>
  <c r="AJ80" i="6"/>
  <c r="AQ80" i="6"/>
  <c r="AN80" i="6"/>
  <c r="AR80" i="6"/>
  <c r="AL80" i="6"/>
  <c r="AO80" i="6"/>
  <c r="AM162" i="6"/>
  <c r="AQ162" i="6"/>
  <c r="AL162" i="6"/>
  <c r="AS162" i="6"/>
  <c r="AJ162" i="6"/>
  <c r="AN162" i="6"/>
  <c r="AK162" i="6"/>
  <c r="AO162" i="6"/>
  <c r="AP162" i="6"/>
  <c r="AR162" i="6"/>
  <c r="AK109" i="6"/>
  <c r="AM109" i="6"/>
  <c r="AR109" i="6"/>
  <c r="AL109" i="6"/>
  <c r="AS109" i="6"/>
  <c r="AP109" i="6"/>
  <c r="AQ109" i="6"/>
  <c r="AN109" i="6"/>
  <c r="AJ109" i="6"/>
  <c r="AO109" i="6"/>
  <c r="AR448" i="6"/>
  <c r="AL448" i="6"/>
  <c r="AN448" i="6"/>
  <c r="AQ448" i="6"/>
  <c r="AP448" i="6"/>
  <c r="AM448" i="6"/>
  <c r="AJ448" i="6"/>
  <c r="AO448" i="6"/>
  <c r="AS448" i="6"/>
  <c r="AK448" i="6"/>
  <c r="AK495" i="6"/>
  <c r="AJ495" i="6"/>
  <c r="AP495" i="6"/>
  <c r="AS495" i="6"/>
  <c r="AO495" i="6"/>
  <c r="AR495" i="6"/>
  <c r="AN495" i="6"/>
  <c r="AL495" i="6"/>
  <c r="AQ495" i="6"/>
  <c r="AM495" i="6"/>
  <c r="AQ265" i="6"/>
  <c r="AM265" i="6"/>
  <c r="AN265" i="6"/>
  <c r="AP265" i="6"/>
  <c r="AL265" i="6"/>
  <c r="AJ265" i="6"/>
  <c r="AR265" i="6"/>
  <c r="AS265" i="6"/>
  <c r="AK265" i="6"/>
  <c r="AO265" i="6"/>
  <c r="AR494" i="6"/>
  <c r="AL494" i="6"/>
  <c r="AM494" i="6"/>
  <c r="AQ494" i="6"/>
  <c r="AN494" i="6"/>
  <c r="AK494" i="6"/>
  <c r="AJ494" i="6"/>
  <c r="AP494" i="6"/>
  <c r="AO494" i="6"/>
  <c r="AS494" i="6"/>
  <c r="AN113" i="6"/>
  <c r="AO113" i="6"/>
  <c r="AP113" i="6"/>
  <c r="AR113" i="6"/>
  <c r="AL113" i="6"/>
  <c r="AM113" i="6"/>
  <c r="AJ113" i="6"/>
  <c r="AK113" i="6"/>
  <c r="AQ113" i="6"/>
  <c r="AS113" i="6"/>
  <c r="AK154" i="6"/>
  <c r="AL154" i="6"/>
  <c r="AO154" i="6"/>
  <c r="AN154" i="6"/>
  <c r="AP154" i="6"/>
  <c r="AJ154" i="6"/>
  <c r="AS154" i="6"/>
  <c r="AQ154" i="6"/>
  <c r="AR154" i="6"/>
  <c r="AM154" i="6"/>
  <c r="AS270" i="6"/>
  <c r="AP270" i="6"/>
  <c r="AQ270" i="6"/>
  <c r="AK270" i="6"/>
  <c r="AJ270" i="6"/>
  <c r="AL270" i="6"/>
  <c r="AN270" i="6"/>
  <c r="AM270" i="6"/>
  <c r="AO270" i="6"/>
  <c r="AR270" i="6"/>
  <c r="AN127" i="6"/>
  <c r="AL127" i="6"/>
  <c r="AO127" i="6"/>
  <c r="AK127" i="6"/>
  <c r="AJ127" i="6"/>
  <c r="AM127" i="6"/>
  <c r="AS127" i="6"/>
  <c r="AQ127" i="6"/>
  <c r="AP127" i="6"/>
  <c r="AR127" i="6"/>
  <c r="AP190" i="6"/>
  <c r="AQ190" i="6"/>
  <c r="AM190" i="6"/>
  <c r="AL190" i="6"/>
  <c r="AK190" i="6"/>
  <c r="AO190" i="6"/>
  <c r="AJ190" i="6"/>
  <c r="AN190" i="6"/>
  <c r="AS190" i="6"/>
  <c r="AR190" i="6"/>
  <c r="AS111" i="6"/>
  <c r="AJ111" i="6"/>
  <c r="AR111" i="6"/>
  <c r="AQ111" i="6"/>
  <c r="AK111" i="6"/>
  <c r="AL111" i="6"/>
  <c r="AN111" i="6"/>
  <c r="AP111" i="6"/>
  <c r="AO111" i="6"/>
  <c r="AM111" i="6"/>
  <c r="AQ288" i="6"/>
  <c r="AR288" i="6"/>
  <c r="AJ288" i="6"/>
  <c r="AS288" i="6"/>
  <c r="AP288" i="6"/>
  <c r="AK288" i="6"/>
  <c r="AM288" i="6"/>
  <c r="AO288" i="6"/>
  <c r="AN288" i="6"/>
  <c r="AL288" i="6"/>
  <c r="AM199" i="6"/>
  <c r="AJ199" i="6"/>
  <c r="AN199" i="6"/>
  <c r="AS199" i="6"/>
  <c r="AK199" i="6"/>
  <c r="AR199" i="6"/>
  <c r="AL199" i="6"/>
  <c r="AQ199" i="6"/>
  <c r="AO199" i="6"/>
  <c r="AP199" i="6"/>
  <c r="AK266" i="6"/>
  <c r="AQ266" i="6"/>
  <c r="AR266" i="6"/>
  <c r="AL266" i="6"/>
  <c r="AS266" i="6"/>
  <c r="AM266" i="6"/>
  <c r="AO266" i="6"/>
  <c r="AN266" i="6"/>
  <c r="AP266" i="6"/>
  <c r="AJ266" i="6"/>
  <c r="AN96" i="6"/>
  <c r="AR96" i="6"/>
  <c r="AK96" i="6"/>
  <c r="AO96" i="6"/>
  <c r="AJ96" i="6"/>
  <c r="AL96" i="6"/>
  <c r="AS96" i="6"/>
  <c r="AM96" i="6"/>
  <c r="AP96" i="6"/>
  <c r="AQ96" i="6"/>
  <c r="AQ184" i="6"/>
  <c r="AJ184" i="6"/>
  <c r="AL184" i="6"/>
  <c r="AM184" i="6"/>
  <c r="AN184" i="6"/>
  <c r="AO184" i="6"/>
  <c r="AP184" i="6"/>
  <c r="AK184" i="6"/>
  <c r="AR184" i="6"/>
  <c r="AS184" i="6"/>
  <c r="AL33" i="6"/>
  <c r="AK33" i="6"/>
  <c r="AS33" i="6"/>
  <c r="AJ33" i="6"/>
  <c r="AM33" i="6"/>
  <c r="AN33" i="6"/>
  <c r="AP33" i="6"/>
  <c r="AQ33" i="6"/>
  <c r="AR33" i="6"/>
  <c r="AO33" i="6"/>
  <c r="AO421" i="6"/>
  <c r="AL421" i="6"/>
  <c r="AR421" i="6"/>
  <c r="AP421" i="6"/>
  <c r="AM421" i="6"/>
  <c r="AN421" i="6"/>
  <c r="AQ421" i="6"/>
  <c r="AJ421" i="6"/>
  <c r="AK421" i="6"/>
  <c r="AS421" i="6"/>
  <c r="AK413" i="6"/>
  <c r="AL413" i="6"/>
  <c r="AS413" i="6"/>
  <c r="AJ413" i="6"/>
  <c r="AM413" i="6"/>
  <c r="AP413" i="6"/>
  <c r="AR413" i="6"/>
  <c r="AO413" i="6"/>
  <c r="AN413" i="6"/>
  <c r="AQ413" i="6"/>
  <c r="AR178" i="6"/>
  <c r="AS178" i="6"/>
  <c r="AN178" i="6"/>
  <c r="AK178" i="6"/>
  <c r="AQ178" i="6"/>
  <c r="AJ178" i="6"/>
  <c r="AL178" i="6"/>
  <c r="AP178" i="6"/>
  <c r="AO178" i="6"/>
  <c r="AM178" i="6"/>
  <c r="AQ181" i="6"/>
  <c r="AO181" i="6"/>
  <c r="AP181" i="6"/>
  <c r="AJ181" i="6"/>
  <c r="AL181" i="6"/>
  <c r="AK181" i="6"/>
  <c r="AS181" i="6"/>
  <c r="AR181" i="6"/>
  <c r="AN181" i="6"/>
  <c r="AM181" i="6"/>
  <c r="AK222" i="6"/>
  <c r="AO222" i="6"/>
  <c r="AM222" i="6"/>
  <c r="AN222" i="6"/>
  <c r="AL222" i="6"/>
  <c r="AJ222" i="6"/>
  <c r="AP222" i="6"/>
  <c r="AR222" i="6"/>
  <c r="AS222" i="6"/>
  <c r="AQ222" i="6"/>
  <c r="AL169" i="6"/>
  <c r="AS169" i="6"/>
  <c r="AR169" i="6"/>
  <c r="AO169" i="6"/>
  <c r="AQ169" i="6"/>
  <c r="AK169" i="6"/>
  <c r="AN169" i="6"/>
  <c r="AJ169" i="6"/>
  <c r="AM169" i="6"/>
  <c r="AP169" i="6"/>
  <c r="AO69" i="6"/>
  <c r="AR69" i="6"/>
  <c r="AM69" i="6"/>
  <c r="AS69" i="6"/>
  <c r="AJ69" i="6"/>
  <c r="AQ69" i="6"/>
  <c r="AN69" i="6"/>
  <c r="AL69" i="6"/>
  <c r="AP69" i="6"/>
  <c r="AK69" i="6"/>
  <c r="AP497" i="6"/>
  <c r="AR497" i="6"/>
  <c r="AS497" i="6"/>
  <c r="AJ497" i="6"/>
  <c r="AK497" i="6"/>
  <c r="AL497" i="6"/>
  <c r="AN497" i="6"/>
  <c r="AQ497" i="6"/>
  <c r="AM497" i="6"/>
  <c r="AO497" i="6"/>
  <c r="AO155" i="6"/>
  <c r="AK155" i="6"/>
  <c r="AS155" i="6"/>
  <c r="AN155" i="6"/>
  <c r="AR155" i="6"/>
  <c r="AQ155" i="6"/>
  <c r="AJ155" i="6"/>
  <c r="AL155" i="6"/>
  <c r="AP155" i="6"/>
  <c r="AM155" i="6"/>
  <c r="AJ249" i="6"/>
  <c r="AO249" i="6"/>
  <c r="AL249" i="6"/>
  <c r="AS249" i="6"/>
  <c r="AN249" i="6"/>
  <c r="AP249" i="6"/>
  <c r="AK249" i="6"/>
  <c r="AQ249" i="6"/>
  <c r="AR249" i="6"/>
  <c r="AM249" i="6"/>
  <c r="AK145" i="6"/>
  <c r="AM145" i="6"/>
  <c r="AQ145" i="6"/>
  <c r="AJ145" i="6"/>
  <c r="AN145" i="6"/>
  <c r="AS145" i="6"/>
  <c r="AO145" i="6"/>
  <c r="AP145" i="6"/>
  <c r="AR145" i="6"/>
  <c r="AL145" i="6"/>
  <c r="AQ502" i="6"/>
  <c r="AK502" i="6"/>
  <c r="AR502" i="6"/>
  <c r="AJ502" i="6"/>
  <c r="AN502" i="6"/>
  <c r="AM502" i="6"/>
  <c r="AP502" i="6"/>
  <c r="AS502" i="6"/>
  <c r="AL502" i="6"/>
  <c r="AO502" i="6"/>
  <c r="AS504" i="6"/>
  <c r="AO504" i="6"/>
  <c r="AJ504" i="6"/>
  <c r="AL504" i="6"/>
  <c r="AN504" i="6"/>
  <c r="AK504" i="6"/>
  <c r="AM504" i="6"/>
  <c r="AR504" i="6"/>
  <c r="AP504" i="6"/>
  <c r="AQ504" i="6"/>
  <c r="AK411" i="6"/>
  <c r="AS411" i="6"/>
  <c r="AR411" i="6"/>
  <c r="AM411" i="6"/>
  <c r="AN411" i="6"/>
  <c r="AJ411" i="6"/>
  <c r="AO411" i="6"/>
  <c r="AQ411" i="6"/>
  <c r="AP411" i="6"/>
  <c r="AL411" i="6"/>
  <c r="AQ358" i="6"/>
  <c r="AJ358" i="6"/>
  <c r="AK358" i="6"/>
  <c r="AL358" i="6"/>
  <c r="AR358" i="6"/>
  <c r="AP358" i="6"/>
  <c r="AM358" i="6"/>
  <c r="AN358" i="6"/>
  <c r="AO358" i="6"/>
  <c r="AS358" i="6"/>
  <c r="AN402" i="6"/>
  <c r="AS402" i="6"/>
  <c r="AJ402" i="6"/>
  <c r="AO402" i="6"/>
  <c r="AL402" i="6"/>
  <c r="AR402" i="6"/>
  <c r="AP402" i="6"/>
  <c r="AQ402" i="6"/>
  <c r="AM402" i="6"/>
  <c r="AK402" i="6"/>
  <c r="AL192" i="6"/>
  <c r="AS192" i="6"/>
  <c r="AJ192" i="6"/>
  <c r="AM192" i="6"/>
  <c r="AN192" i="6"/>
  <c r="AK192" i="6"/>
  <c r="AR192" i="6"/>
  <c r="AQ192" i="6"/>
  <c r="AO192" i="6"/>
  <c r="AP192" i="6"/>
  <c r="AS84" i="6"/>
  <c r="AK84" i="6"/>
  <c r="AJ84" i="6"/>
  <c r="AQ84" i="6"/>
  <c r="AL84" i="6"/>
  <c r="AN84" i="6"/>
  <c r="AO84" i="6"/>
  <c r="AP84" i="6"/>
  <c r="AR84" i="6"/>
  <c r="AM84" i="6"/>
  <c r="AM70" i="6"/>
  <c r="AN70" i="6"/>
  <c r="AJ70" i="6"/>
  <c r="AQ70" i="6"/>
  <c r="AO70" i="6"/>
  <c r="AL70" i="6"/>
  <c r="AP70" i="6"/>
  <c r="AK70" i="6"/>
  <c r="AR70" i="6"/>
  <c r="AS70" i="6"/>
  <c r="AJ75" i="6"/>
  <c r="AR75" i="6"/>
  <c r="AM75" i="6"/>
  <c r="AK75" i="6"/>
  <c r="AQ75" i="6"/>
  <c r="AS75" i="6"/>
  <c r="AN75" i="6"/>
  <c r="AO75" i="6"/>
  <c r="AL75" i="6"/>
  <c r="AP75" i="6"/>
  <c r="AR398" i="6"/>
  <c r="AK398" i="6"/>
  <c r="AJ398" i="6"/>
  <c r="AO398" i="6"/>
  <c r="AM398" i="6"/>
  <c r="AS398" i="6"/>
  <c r="AL398" i="6"/>
  <c r="AQ398" i="6"/>
  <c r="AN398" i="6"/>
  <c r="AP398" i="6"/>
  <c r="AM450" i="6"/>
  <c r="AK450" i="6"/>
  <c r="AL450" i="6"/>
  <c r="AS450" i="6"/>
  <c r="AN450" i="6"/>
  <c r="AP450" i="6"/>
  <c r="AR450" i="6"/>
  <c r="AO450" i="6"/>
  <c r="AQ450" i="6"/>
  <c r="AJ450" i="6"/>
  <c r="AK319" i="6"/>
  <c r="AR319" i="6"/>
  <c r="AN319" i="6"/>
  <c r="AP319" i="6"/>
  <c r="AS319" i="6"/>
  <c r="AM319" i="6"/>
  <c r="AL319" i="6"/>
  <c r="AJ319" i="6"/>
  <c r="AO319" i="6"/>
  <c r="AQ319" i="6"/>
  <c r="AQ142" i="6"/>
  <c r="AN142" i="6"/>
  <c r="AM142" i="6"/>
  <c r="AR142" i="6"/>
  <c r="AO142" i="6"/>
  <c r="AJ142" i="6"/>
  <c r="AK142" i="6"/>
  <c r="AL142" i="6"/>
  <c r="AS142" i="6"/>
  <c r="AP142" i="6"/>
  <c r="AK189" i="6"/>
  <c r="AS189" i="6"/>
  <c r="AR189" i="6"/>
  <c r="AJ189" i="6"/>
  <c r="AO189" i="6"/>
  <c r="AL189" i="6"/>
  <c r="AP189" i="6"/>
  <c r="AN189" i="6"/>
  <c r="AQ189" i="6"/>
  <c r="AM189" i="6"/>
  <c r="AS254" i="6"/>
  <c r="AN254" i="6"/>
  <c r="AP254" i="6"/>
  <c r="AO254" i="6"/>
  <c r="AR254" i="6"/>
  <c r="AM254" i="6"/>
  <c r="AK254" i="6"/>
  <c r="AQ254" i="6"/>
  <c r="AJ254" i="6"/>
  <c r="AL254" i="6"/>
  <c r="AL200" i="6"/>
  <c r="AM200" i="6"/>
  <c r="AK200" i="6"/>
  <c r="AR200" i="6"/>
  <c r="AO200" i="6"/>
  <c r="AJ200" i="6"/>
  <c r="AN200" i="6"/>
  <c r="AQ200" i="6"/>
  <c r="AP200" i="6"/>
  <c r="AS200" i="6"/>
  <c r="AQ417" i="6"/>
  <c r="AO417" i="6"/>
  <c r="AK417" i="6"/>
  <c r="AL417" i="6"/>
  <c r="AJ417" i="6"/>
  <c r="AM417" i="6"/>
  <c r="AR417" i="6"/>
  <c r="AP417" i="6"/>
  <c r="AN417" i="6"/>
  <c r="AS417" i="6"/>
  <c r="AR382" i="6"/>
  <c r="AK382" i="6"/>
  <c r="AO382" i="6"/>
  <c r="AQ382" i="6"/>
  <c r="AP382" i="6"/>
  <c r="AJ382" i="6"/>
  <c r="AN382" i="6"/>
  <c r="AS382" i="6"/>
  <c r="AM382" i="6"/>
  <c r="AL382" i="6"/>
  <c r="AO36" i="6"/>
  <c r="AK36" i="6"/>
  <c r="AR36" i="6"/>
  <c r="AS36" i="6"/>
  <c r="AQ36" i="6"/>
  <c r="AP36" i="6"/>
  <c r="AL36" i="6"/>
  <c r="AN36" i="6"/>
  <c r="AJ36" i="6"/>
  <c r="AM36" i="6"/>
  <c r="AO65" i="6"/>
  <c r="AK65" i="6"/>
  <c r="AS65" i="6"/>
  <c r="AM65" i="6"/>
  <c r="AR65" i="6"/>
  <c r="AJ65" i="6"/>
  <c r="AP65" i="6"/>
  <c r="AL65" i="6"/>
  <c r="AN65" i="6"/>
  <c r="AQ65" i="6"/>
  <c r="AQ150" i="6"/>
  <c r="AN150" i="6"/>
  <c r="AR150" i="6"/>
  <c r="AO150" i="6"/>
  <c r="AK150" i="6"/>
  <c r="AS150" i="6"/>
  <c r="AP150" i="6"/>
  <c r="AJ150" i="6"/>
  <c r="AL150" i="6"/>
  <c r="AM150" i="6"/>
  <c r="AL485" i="6"/>
  <c r="AO485" i="6"/>
  <c r="AN485" i="6"/>
  <c r="AQ485" i="6"/>
  <c r="AK485" i="6"/>
  <c r="AS485" i="6"/>
  <c r="AP485" i="6"/>
  <c r="AM485" i="6"/>
  <c r="AJ485" i="6"/>
  <c r="AR485" i="6"/>
  <c r="AO345" i="6"/>
  <c r="AR345" i="6"/>
  <c r="AL345" i="6"/>
  <c r="AM345" i="6"/>
  <c r="AK345" i="6"/>
  <c r="AN345" i="6"/>
  <c r="AP345" i="6"/>
  <c r="AQ345" i="6"/>
  <c r="AS345" i="6"/>
  <c r="AJ345" i="6"/>
  <c r="AO359" i="6"/>
  <c r="AM359" i="6"/>
  <c r="AP359" i="6"/>
  <c r="AL359" i="6"/>
  <c r="AK359" i="6"/>
  <c r="AS359" i="6"/>
  <c r="AJ359" i="6"/>
  <c r="AR359" i="6"/>
  <c r="AN359" i="6"/>
  <c r="AQ359" i="6"/>
  <c r="AS392" i="6"/>
  <c r="AM392" i="6"/>
  <c r="AP392" i="6"/>
  <c r="AK392" i="6"/>
  <c r="AO392" i="6"/>
  <c r="AL392" i="6"/>
  <c r="AJ392" i="6"/>
  <c r="AR392" i="6"/>
  <c r="AN392" i="6"/>
  <c r="AQ392" i="6"/>
  <c r="AM258" i="6"/>
  <c r="AL258" i="6"/>
  <c r="AS258" i="6"/>
  <c r="AP258" i="6"/>
  <c r="AJ258" i="6"/>
  <c r="AR258" i="6"/>
  <c r="AO258" i="6"/>
  <c r="AQ258" i="6"/>
  <c r="AK258" i="6"/>
  <c r="AN258" i="6"/>
  <c r="AP83" i="6"/>
  <c r="AJ83" i="6"/>
  <c r="AM83" i="6"/>
  <c r="AK83" i="6"/>
  <c r="AN83" i="6"/>
  <c r="AS83" i="6"/>
  <c r="AR83" i="6"/>
  <c r="AL83" i="6"/>
  <c r="AO83" i="6"/>
  <c r="AQ83" i="6"/>
  <c r="AO300" i="6"/>
  <c r="AL300" i="6"/>
  <c r="AJ300" i="6"/>
  <c r="AP300" i="6"/>
  <c r="AR300" i="6"/>
  <c r="AM300" i="6"/>
  <c r="AS300" i="6"/>
  <c r="AK300" i="6"/>
  <c r="AN300" i="6"/>
  <c r="AQ300" i="6"/>
  <c r="AJ444" i="6"/>
  <c r="AL444" i="6"/>
  <c r="AS444" i="6"/>
  <c r="AO444" i="6"/>
  <c r="AM444" i="6"/>
  <c r="AK444" i="6"/>
  <c r="AR444" i="6"/>
  <c r="AP444" i="6"/>
  <c r="AN444" i="6"/>
  <c r="AQ444" i="6"/>
  <c r="AN19" i="6"/>
  <c r="AP19" i="6"/>
  <c r="AR19" i="6"/>
  <c r="AJ19" i="6"/>
  <c r="AK19" i="6"/>
  <c r="AM19" i="6"/>
  <c r="AQ19" i="6"/>
  <c r="AL19" i="6"/>
  <c r="AO19" i="6"/>
  <c r="AS19" i="6"/>
  <c r="AR336" i="6"/>
  <c r="AP336" i="6"/>
  <c r="AO336" i="6"/>
  <c r="AK336" i="6"/>
  <c r="AJ336" i="6"/>
  <c r="AQ336" i="6"/>
  <c r="AM336" i="6"/>
  <c r="AL336" i="6"/>
  <c r="AS336" i="6"/>
  <c r="AN336" i="6"/>
  <c r="AS206" i="6"/>
  <c r="AN206" i="6"/>
  <c r="AO206" i="6"/>
  <c r="AR206" i="6"/>
  <c r="AP206" i="6"/>
  <c r="AQ206" i="6"/>
  <c r="AM206" i="6"/>
  <c r="AL206" i="6"/>
  <c r="AJ206" i="6"/>
  <c r="AK206" i="6"/>
  <c r="AS161" i="6"/>
  <c r="AQ161" i="6"/>
  <c r="AR161" i="6"/>
  <c r="AL161" i="6"/>
  <c r="AJ161" i="6"/>
  <c r="AK161" i="6"/>
  <c r="AO161" i="6"/>
  <c r="AP161" i="6"/>
  <c r="AM161" i="6"/>
  <c r="AN161" i="6"/>
  <c r="AR332" i="6"/>
  <c r="AO332" i="6"/>
  <c r="AQ332" i="6"/>
  <c r="AL332" i="6"/>
  <c r="AK332" i="6"/>
  <c r="AJ332" i="6"/>
  <c r="AN332" i="6"/>
  <c r="AM332" i="6"/>
  <c r="AS332" i="6"/>
  <c r="AP332" i="6"/>
  <c r="AS126" i="6"/>
  <c r="AK126" i="6"/>
  <c r="AO126" i="6"/>
  <c r="AJ126" i="6"/>
  <c r="AR126" i="6"/>
  <c r="AM126" i="6"/>
  <c r="AQ126" i="6"/>
  <c r="AL126" i="6"/>
  <c r="AP126" i="6"/>
  <c r="AN126" i="6"/>
  <c r="AL76" i="6"/>
  <c r="AS76" i="6"/>
  <c r="AM76" i="6"/>
  <c r="AP76" i="6"/>
  <c r="AN76" i="6"/>
  <c r="AK76" i="6"/>
  <c r="AJ76" i="6"/>
  <c r="AO76" i="6"/>
  <c r="AQ76" i="6"/>
  <c r="AR76" i="6"/>
  <c r="AS116" i="6"/>
  <c r="AO116" i="6"/>
  <c r="AL116" i="6"/>
  <c r="AN116" i="6"/>
  <c r="AK116" i="6"/>
  <c r="AJ116" i="6"/>
  <c r="AQ116" i="6"/>
  <c r="AR116" i="6"/>
  <c r="AP116" i="6"/>
  <c r="AM116" i="6"/>
  <c r="AP78" i="6"/>
  <c r="AR78" i="6"/>
  <c r="AM78" i="6"/>
  <c r="AL78" i="6"/>
  <c r="AK78" i="6"/>
  <c r="AJ78" i="6"/>
  <c r="AS78" i="6"/>
  <c r="AQ78" i="6"/>
  <c r="AO78" i="6"/>
  <c r="AN78" i="6"/>
  <c r="AN93" i="6"/>
  <c r="AL93" i="6"/>
  <c r="AP93" i="6"/>
  <c r="AJ93" i="6"/>
  <c r="AQ93" i="6"/>
  <c r="AS93" i="6"/>
  <c r="AO93" i="6"/>
  <c r="AK93" i="6"/>
  <c r="AR93" i="6"/>
  <c r="AM93" i="6"/>
  <c r="AQ324" i="6"/>
  <c r="AR324" i="6"/>
  <c r="AP324" i="6"/>
  <c r="AN324" i="6"/>
  <c r="AS324" i="6"/>
  <c r="AO324" i="6"/>
  <c r="AJ324" i="6"/>
  <c r="AL324" i="6"/>
  <c r="AK324" i="6"/>
  <c r="AM324" i="6"/>
  <c r="AK187" i="6"/>
  <c r="AM187" i="6"/>
  <c r="AJ187" i="6"/>
  <c r="AN187" i="6"/>
  <c r="AS187" i="6"/>
  <c r="AQ187" i="6"/>
  <c r="AR187" i="6"/>
  <c r="AO187" i="6"/>
  <c r="AL187" i="6"/>
  <c r="AP187" i="6"/>
  <c r="AM97" i="6"/>
  <c r="AJ97" i="6"/>
  <c r="AK97" i="6"/>
  <c r="AO97" i="6"/>
  <c r="AN97" i="6"/>
  <c r="AQ97" i="6"/>
  <c r="AS97" i="6"/>
  <c r="AL97" i="6"/>
  <c r="AR97" i="6"/>
  <c r="AP97" i="6"/>
  <c r="AQ146" i="6"/>
  <c r="AN146" i="6"/>
  <c r="AR146" i="6"/>
  <c r="AJ146" i="6"/>
  <c r="AM146" i="6"/>
  <c r="AK146" i="6"/>
  <c r="AS146" i="6"/>
  <c r="AL146" i="6"/>
  <c r="AP146" i="6"/>
  <c r="AO146" i="6"/>
  <c r="AR144" i="6"/>
  <c r="AN144" i="6"/>
  <c r="AP144" i="6"/>
  <c r="AK144" i="6"/>
  <c r="AJ144" i="6"/>
  <c r="AM144" i="6"/>
  <c r="AO144" i="6"/>
  <c r="AL144" i="6"/>
  <c r="AS144" i="6"/>
  <c r="AQ144" i="6"/>
  <c r="AM247" i="6"/>
  <c r="AO247" i="6"/>
  <c r="AR247" i="6"/>
  <c r="AL247" i="6"/>
  <c r="AQ247" i="6"/>
  <c r="AK247" i="6"/>
  <c r="AS247" i="6"/>
  <c r="AN247" i="6"/>
  <c r="AJ247" i="6"/>
  <c r="AP247" i="6"/>
  <c r="AK56" i="6"/>
  <c r="AN56" i="6"/>
  <c r="AP56" i="6"/>
  <c r="AJ56" i="6"/>
  <c r="AL56" i="6"/>
  <c r="AQ56" i="6"/>
  <c r="AS56" i="6"/>
  <c r="AR56" i="6"/>
  <c r="AO56" i="6"/>
  <c r="AM56" i="6"/>
  <c r="AR85" i="6"/>
  <c r="AM85" i="6"/>
  <c r="AJ85" i="6"/>
  <c r="AO85" i="6"/>
  <c r="AQ85" i="6"/>
  <c r="AN85" i="6"/>
  <c r="AP85" i="6"/>
  <c r="AS85" i="6"/>
  <c r="AK85" i="6"/>
  <c r="AL85" i="6"/>
  <c r="AR301" i="6"/>
  <c r="AS301" i="6"/>
  <c r="AM301" i="6"/>
  <c r="AO301" i="6"/>
  <c r="AK301" i="6"/>
  <c r="AQ301" i="6"/>
  <c r="AL301" i="6"/>
  <c r="AN301" i="6"/>
  <c r="AJ301" i="6"/>
  <c r="AP301" i="6"/>
  <c r="AJ210" i="6"/>
  <c r="AP210" i="6"/>
  <c r="AL210" i="6"/>
  <c r="AS210" i="6"/>
  <c r="AQ210" i="6"/>
  <c r="AN210" i="6"/>
  <c r="AK210" i="6"/>
  <c r="AO210" i="6"/>
  <c r="AR210" i="6"/>
  <c r="AM210" i="6"/>
  <c r="AJ438" i="6" l="1"/>
  <c r="AK438" i="6"/>
  <c r="AS438" i="6"/>
  <c r="AO438" i="6"/>
  <c r="AL438" i="6"/>
  <c r="AP438" i="6"/>
  <c r="AN438" i="6"/>
  <c r="AM438" i="6"/>
  <c r="AQ438" i="6"/>
  <c r="AR438" i="6"/>
  <c r="AN466" i="6"/>
  <c r="AR466" i="6"/>
  <c r="AS466" i="6"/>
  <c r="AL466" i="6"/>
  <c r="AJ466" i="6"/>
  <c r="AM466" i="6"/>
  <c r="AO466" i="6"/>
  <c r="AK466" i="6"/>
  <c r="AP466" i="6"/>
  <c r="AQ466" i="6"/>
  <c r="AM374" i="6"/>
  <c r="AO374" i="6"/>
  <c r="AN374" i="6"/>
  <c r="AR374" i="6"/>
  <c r="AS374" i="6"/>
  <c r="AL374" i="6"/>
  <c r="AK374" i="6"/>
  <c r="AJ374" i="6"/>
  <c r="AP374" i="6"/>
  <c r="AQ374" i="6"/>
  <c r="AR412" i="6"/>
  <c r="AS412" i="6"/>
  <c r="AN412" i="6"/>
  <c r="AK412" i="6"/>
  <c r="AJ412" i="6"/>
  <c r="AM412" i="6"/>
  <c r="AL412" i="6"/>
  <c r="AO412" i="6"/>
  <c r="AP412" i="6"/>
  <c r="AQ412" i="6"/>
  <c r="AQ429" i="6"/>
  <c r="AK429" i="6"/>
  <c r="AO429" i="6"/>
  <c r="AP429" i="6"/>
  <c r="AL429" i="6"/>
  <c r="AM429" i="6"/>
  <c r="AS429" i="6"/>
  <c r="AR429" i="6"/>
  <c r="AJ429" i="6"/>
  <c r="AN429" i="6"/>
  <c r="AR273" i="6"/>
  <c r="AL273" i="6"/>
  <c r="AK273" i="6"/>
  <c r="AS273" i="6"/>
  <c r="AO273" i="6"/>
  <c r="AJ273" i="6"/>
  <c r="AM273" i="6"/>
  <c r="AN273" i="6"/>
  <c r="AQ273" i="6"/>
  <c r="AP273" i="6"/>
  <c r="AR472" i="6"/>
  <c r="AQ472" i="6"/>
  <c r="AN472" i="6"/>
  <c r="AO472" i="6"/>
  <c r="AP472" i="6"/>
  <c r="AS472" i="6"/>
  <c r="AM472" i="6"/>
  <c r="AL472" i="6"/>
  <c r="AJ472" i="6"/>
  <c r="AK472" i="6"/>
  <c r="AO422" i="6"/>
  <c r="AK422" i="6"/>
  <c r="AM422" i="6"/>
  <c r="AL422" i="6"/>
  <c r="AR422" i="6"/>
  <c r="AQ422" i="6"/>
  <c r="AP422" i="6"/>
  <c r="AJ422" i="6"/>
  <c r="AN422" i="6"/>
  <c r="AS422" i="6"/>
  <c r="AO241" i="6"/>
  <c r="AP241" i="6"/>
  <c r="AS241" i="6"/>
  <c r="AL241" i="6"/>
  <c r="AK241" i="6"/>
  <c r="AJ241" i="6"/>
  <c r="AN241" i="6"/>
  <c r="AM241" i="6"/>
  <c r="AR241" i="6"/>
  <c r="AQ241" i="6"/>
  <c r="AP296" i="6"/>
  <c r="AQ296" i="6"/>
  <c r="AR296" i="6"/>
  <c r="AS296" i="6"/>
  <c r="AL296" i="6"/>
  <c r="AO296" i="6"/>
  <c r="AN296" i="6"/>
  <c r="AM296" i="6"/>
  <c r="AJ296" i="6"/>
  <c r="AK296" i="6"/>
  <c r="AL467" i="6"/>
  <c r="AM467" i="6"/>
  <c r="AP467" i="6"/>
  <c r="AO467" i="6"/>
  <c r="AN467" i="6"/>
  <c r="AQ467" i="6"/>
  <c r="AJ467" i="6"/>
  <c r="AR467" i="6"/>
  <c r="AK467" i="6"/>
  <c r="AS467" i="6"/>
  <c r="AQ297" i="6"/>
  <c r="AK297" i="6"/>
  <c r="AN297" i="6"/>
  <c r="AJ297" i="6"/>
  <c r="AM297" i="6"/>
  <c r="AS297" i="6"/>
  <c r="AO297" i="6"/>
  <c r="AL297" i="6"/>
  <c r="AP297" i="6"/>
  <c r="AR297" i="6"/>
  <c r="AJ435" i="6"/>
  <c r="AS435" i="6"/>
  <c r="AQ435" i="6"/>
  <c r="AP435" i="6"/>
  <c r="AN435" i="6"/>
  <c r="AK435" i="6"/>
  <c r="AR435" i="6"/>
  <c r="AL435" i="6"/>
  <c r="AM435" i="6"/>
  <c r="AO435" i="6"/>
  <c r="AL496" i="6"/>
  <c r="AR496" i="6"/>
  <c r="AP496" i="6"/>
  <c r="AO496" i="6"/>
  <c r="AN496" i="6"/>
  <c r="AQ496" i="6"/>
  <c r="AJ496" i="6"/>
  <c r="AS496" i="6"/>
  <c r="AK496" i="6"/>
  <c r="AM496" i="6"/>
  <c r="AO461" i="6"/>
  <c r="AP461" i="6"/>
  <c r="AN461" i="6"/>
  <c r="AL461" i="6"/>
  <c r="AQ461" i="6"/>
  <c r="AS461" i="6"/>
  <c r="AJ461" i="6"/>
  <c r="AM461" i="6"/>
  <c r="AR461" i="6"/>
  <c r="AK461" i="6"/>
  <c r="AO428" i="6"/>
  <c r="AR428" i="6"/>
  <c r="AN428" i="6"/>
  <c r="AS428" i="6"/>
  <c r="AK428" i="6"/>
  <c r="AQ428" i="6"/>
  <c r="AL428" i="6"/>
  <c r="AJ428" i="6"/>
  <c r="AP428" i="6"/>
  <c r="AM428" i="6"/>
  <c r="AM260" i="6"/>
  <c r="AS260" i="6"/>
  <c r="AP260" i="6"/>
  <c r="AQ260" i="6"/>
  <c r="AO260" i="6"/>
  <c r="AK260" i="6"/>
  <c r="AR260" i="6"/>
  <c r="AL260" i="6"/>
  <c r="AJ260" i="6"/>
  <c r="AN260" i="6"/>
  <c r="AR218" i="6"/>
  <c r="AK218" i="6"/>
  <c r="AP218" i="6"/>
  <c r="AJ218" i="6"/>
  <c r="AN218" i="6"/>
  <c r="AM218" i="6"/>
  <c r="AQ218" i="6"/>
  <c r="AS218" i="6"/>
  <c r="AO218" i="6"/>
  <c r="AL218" i="6"/>
  <c r="AR369" i="6"/>
  <c r="AJ369" i="6"/>
  <c r="AN369" i="6"/>
  <c r="AL369" i="6"/>
  <c r="AM369" i="6"/>
  <c r="AQ369" i="6"/>
  <c r="AS369" i="6"/>
  <c r="AO369" i="6"/>
  <c r="AK369" i="6"/>
  <c r="AP369" i="6"/>
  <c r="AR430" i="6"/>
  <c r="AK430" i="6"/>
  <c r="AL430" i="6"/>
  <c r="AQ430" i="6"/>
  <c r="AJ430" i="6"/>
  <c r="AN430" i="6"/>
  <c r="AM430" i="6"/>
  <c r="AP430" i="6"/>
  <c r="AO430" i="6"/>
  <c r="AS430" i="6"/>
  <c r="AP221" i="6"/>
  <c r="AJ221" i="6"/>
  <c r="AQ221" i="6"/>
  <c r="AL221" i="6"/>
  <c r="AS221" i="6"/>
  <c r="AO221" i="6"/>
  <c r="AM221" i="6"/>
  <c r="AK221" i="6"/>
  <c r="AR221" i="6"/>
  <c r="AN221" i="6"/>
  <c r="AK275" i="6"/>
  <c r="AO275" i="6"/>
  <c r="AR275" i="6"/>
  <c r="AL275" i="6"/>
  <c r="AQ275" i="6"/>
  <c r="AM275" i="6"/>
  <c r="AS275" i="6"/>
  <c r="AP275" i="6"/>
  <c r="AJ275" i="6"/>
  <c r="AN275" i="6"/>
  <c r="AP431" i="6"/>
  <c r="AS431" i="6"/>
  <c r="AQ431" i="6"/>
  <c r="AJ431" i="6"/>
  <c r="AL431" i="6"/>
  <c r="AO431" i="6"/>
  <c r="AN431" i="6"/>
  <c r="AM431" i="6"/>
  <c r="AR431" i="6"/>
  <c r="AK431" i="6"/>
  <c r="AK338" i="6"/>
  <c r="AS338" i="6"/>
  <c r="AQ338" i="6"/>
  <c r="AN338" i="6"/>
  <c r="AR338" i="6"/>
  <c r="AM338" i="6"/>
  <c r="AO338" i="6"/>
  <c r="AJ338" i="6"/>
  <c r="AP338" i="6"/>
  <c r="AL338" i="6"/>
  <c r="AO432" i="6"/>
  <c r="AJ432" i="6"/>
  <c r="AQ432" i="6"/>
  <c r="AS432" i="6"/>
  <c r="AR432" i="6"/>
  <c r="AK432" i="6"/>
  <c r="AN432" i="6"/>
  <c r="AL432" i="6"/>
  <c r="AM432" i="6"/>
  <c r="AP432" i="6"/>
  <c r="AR463" i="6"/>
  <c r="AS463" i="6"/>
  <c r="AJ463" i="6"/>
  <c r="AN463" i="6"/>
  <c r="AK463" i="6"/>
  <c r="AQ463" i="6"/>
  <c r="AP463" i="6"/>
  <c r="AO463" i="6"/>
  <c r="AM463" i="6"/>
  <c r="AL463" i="6"/>
  <c r="AJ469" i="6"/>
  <c r="AQ469" i="6"/>
  <c r="AS469" i="6"/>
  <c r="AK469" i="6"/>
  <c r="AM469" i="6"/>
  <c r="AN469" i="6"/>
  <c r="AO469" i="6"/>
  <c r="AR469" i="6"/>
  <c r="AL469" i="6"/>
  <c r="AP469" i="6"/>
  <c r="AN237" i="6"/>
  <c r="AQ237" i="6"/>
  <c r="AR237" i="6"/>
  <c r="AM237" i="6"/>
  <c r="AO237" i="6"/>
  <c r="AS237" i="6"/>
  <c r="AL237" i="6"/>
  <c r="AK237" i="6"/>
  <c r="AJ237" i="6"/>
  <c r="AP237" i="6"/>
  <c r="AO465" i="6"/>
  <c r="AK465" i="6"/>
  <c r="AQ465" i="6"/>
  <c r="AJ465" i="6"/>
  <c r="AP465" i="6"/>
  <c r="AN465" i="6"/>
  <c r="AM465" i="6"/>
  <c r="AS465" i="6"/>
  <c r="AL465" i="6"/>
  <c r="AR465" i="6"/>
  <c r="AJ322" i="6"/>
  <c r="AK322" i="6"/>
  <c r="AS322" i="6"/>
  <c r="AL322" i="6"/>
  <c r="AN322" i="6"/>
  <c r="AQ322" i="6"/>
  <c r="AR322" i="6"/>
  <c r="AM322" i="6"/>
  <c r="AO322" i="6"/>
  <c r="AP322" i="6"/>
  <c r="AJ381" i="6"/>
  <c r="AN381" i="6"/>
  <c r="AK381" i="6"/>
  <c r="AL381" i="6"/>
  <c r="AS381" i="6"/>
  <c r="AR381" i="6"/>
  <c r="AO381" i="6"/>
  <c r="AM381" i="6"/>
  <c r="AP381" i="6"/>
  <c r="AQ381" i="6"/>
  <c r="AN262" i="6"/>
  <c r="AM262" i="6"/>
  <c r="AR262" i="6"/>
  <c r="AP262" i="6"/>
  <c r="AO262" i="6"/>
  <c r="AQ262" i="6"/>
  <c r="AL262" i="6"/>
  <c r="AS262" i="6"/>
  <c r="AK262" i="6"/>
  <c r="AJ262" i="6"/>
  <c r="AN452" i="6"/>
  <c r="AK452" i="6"/>
  <c r="AO452" i="6"/>
  <c r="AP452" i="6"/>
  <c r="AR452" i="6"/>
  <c r="AM452" i="6"/>
  <c r="AJ452" i="6"/>
  <c r="AQ452" i="6"/>
  <c r="AS452" i="6"/>
  <c r="AL452" i="6"/>
  <c r="AN460" i="6"/>
  <c r="AP460" i="6"/>
  <c r="AQ460" i="6"/>
  <c r="AO460" i="6"/>
  <c r="AK460" i="6"/>
  <c r="AS460" i="6"/>
  <c r="AR460" i="6"/>
  <c r="AL460" i="6"/>
  <c r="AM460" i="6"/>
  <c r="AJ460" i="6"/>
  <c r="AM456" i="6"/>
  <c r="AR456" i="6"/>
  <c r="AK456" i="6"/>
  <c r="AQ456" i="6"/>
  <c r="AN456" i="6"/>
  <c r="AJ456" i="6"/>
  <c r="AO456" i="6"/>
  <c r="AS456" i="6"/>
  <c r="AL456" i="6"/>
  <c r="AP456" i="6"/>
  <c r="AN229" i="6"/>
  <c r="AO229" i="6"/>
  <c r="AM229" i="6"/>
  <c r="AR229" i="6"/>
  <c r="AK229" i="6"/>
  <c r="AQ229" i="6"/>
  <c r="AS229" i="6"/>
  <c r="AP229" i="6"/>
  <c r="AJ229" i="6"/>
  <c r="AL229" i="6"/>
  <c r="AO231" i="6"/>
  <c r="AN231" i="6"/>
  <c r="AJ231" i="6"/>
  <c r="AK231" i="6"/>
  <c r="AM231" i="6"/>
  <c r="AL231" i="6"/>
  <c r="AR231" i="6"/>
  <c r="AP231" i="6"/>
  <c r="AS231" i="6"/>
  <c r="AQ231" i="6"/>
  <c r="AK380" i="6"/>
  <c r="AO380" i="6"/>
  <c r="AJ380" i="6"/>
  <c r="AM380" i="6"/>
  <c r="AR380" i="6"/>
  <c r="AL380" i="6"/>
  <c r="AQ380" i="6"/>
  <c r="AN380" i="6"/>
  <c r="AS380" i="6"/>
  <c r="AP380" i="6"/>
  <c r="AN351" i="6"/>
  <c r="AP351" i="6"/>
  <c r="AQ351" i="6"/>
  <c r="AJ351" i="6"/>
  <c r="AO351" i="6"/>
  <c r="AM351" i="6"/>
  <c r="AR351" i="6"/>
  <c r="AL351" i="6"/>
  <c r="AS351" i="6"/>
  <c r="AK351" i="6"/>
  <c r="AQ379" i="6"/>
  <c r="AK379" i="6"/>
  <c r="AR379" i="6"/>
  <c r="AN379" i="6"/>
  <c r="AJ379" i="6"/>
  <c r="AS379" i="6"/>
  <c r="AO379" i="6"/>
  <c r="AM379" i="6"/>
  <c r="AL379" i="6"/>
  <c r="AP379" i="6"/>
  <c r="AQ427" i="6"/>
  <c r="AP427" i="6"/>
  <c r="AK427" i="6"/>
  <c r="AL427" i="6"/>
  <c r="AS427" i="6"/>
  <c r="AJ427" i="6"/>
  <c r="AR427" i="6"/>
  <c r="AO427" i="6"/>
  <c r="AM427" i="6"/>
  <c r="AN427" i="6"/>
  <c r="AS274" i="6"/>
  <c r="AJ274" i="6"/>
  <c r="AK274" i="6"/>
  <c r="AM274" i="6"/>
  <c r="AO274" i="6"/>
  <c r="AL274" i="6"/>
  <c r="AP274" i="6"/>
  <c r="AN274" i="6"/>
  <c r="AR274" i="6"/>
  <c r="AQ274" i="6"/>
  <c r="AR426" i="6"/>
  <c r="AP426" i="6"/>
  <c r="AM426" i="6"/>
  <c r="AQ426" i="6"/>
  <c r="AN426" i="6"/>
  <c r="AL426" i="6"/>
  <c r="AO426" i="6"/>
  <c r="AK426" i="6"/>
  <c r="AJ426" i="6"/>
  <c r="AS426" i="6"/>
  <c r="AQ230" i="6"/>
  <c r="AO230" i="6"/>
  <c r="AP230" i="6"/>
  <c r="AS230" i="6"/>
  <c r="AL230" i="6"/>
  <c r="AM230" i="6"/>
  <c r="AR230" i="6"/>
  <c r="AK230" i="6"/>
  <c r="AN230" i="6"/>
  <c r="AJ230" i="6"/>
  <c r="AK464" i="6"/>
  <c r="AP464" i="6"/>
  <c r="AO464" i="6"/>
  <c r="AN464" i="6"/>
  <c r="AS464" i="6"/>
  <c r="AJ464" i="6"/>
  <c r="AL464" i="6"/>
  <c r="AR464" i="6"/>
  <c r="AM464" i="6"/>
  <c r="AQ464" i="6"/>
  <c r="AO43" i="6"/>
  <c r="AP43" i="6"/>
  <c r="AN43" i="6"/>
  <c r="AR43" i="6"/>
  <c r="AS43" i="6"/>
  <c r="AM43" i="6"/>
  <c r="AK43" i="6"/>
  <c r="AQ43" i="6"/>
  <c r="AJ43" i="6"/>
  <c r="AL43" i="6"/>
  <c r="AN505" i="6"/>
  <c r="AO505" i="6"/>
  <c r="AQ505" i="6"/>
  <c r="AR505" i="6"/>
  <c r="AP505" i="6"/>
  <c r="AK505" i="6"/>
  <c r="AJ505" i="6"/>
  <c r="AS505" i="6"/>
  <c r="AL505" i="6"/>
  <c r="AM505" i="6"/>
  <c r="AL418" i="6"/>
  <c r="AK418" i="6"/>
  <c r="AR418" i="6"/>
  <c r="AN418" i="6"/>
  <c r="AJ418" i="6"/>
  <c r="AQ418" i="6"/>
  <c r="AM418" i="6"/>
  <c r="AO418" i="6"/>
  <c r="AP418" i="6"/>
  <c r="AS418" i="6"/>
  <c r="AS320" i="6"/>
  <c r="AR320" i="6"/>
  <c r="AM320" i="6"/>
  <c r="AP320" i="6"/>
  <c r="AJ320" i="6"/>
  <c r="AL320" i="6"/>
  <c r="AN320" i="6"/>
  <c r="AQ320" i="6"/>
  <c r="AK320" i="6"/>
  <c r="AO320" i="6"/>
  <c r="AQ287" i="6"/>
  <c r="AJ287" i="6"/>
  <c r="AK287" i="6"/>
  <c r="AL287" i="6"/>
  <c r="AS287" i="6"/>
  <c r="AM287" i="6"/>
  <c r="AR287" i="6"/>
  <c r="AO287" i="6"/>
  <c r="AP287" i="6"/>
  <c r="AN287" i="6"/>
  <c r="AQ425" i="6"/>
  <c r="AN425" i="6"/>
  <c r="AJ425" i="6"/>
  <c r="AR425" i="6"/>
  <c r="AS425" i="6"/>
  <c r="AO425" i="6"/>
  <c r="AL425" i="6"/>
  <c r="AK425" i="6"/>
  <c r="AP425" i="6"/>
  <c r="AM425" i="6"/>
  <c r="AM468" i="6"/>
  <c r="AJ468" i="6"/>
  <c r="AR468" i="6"/>
  <c r="AS468" i="6"/>
  <c r="AP468" i="6"/>
  <c r="AN468" i="6"/>
  <c r="AO468" i="6"/>
  <c r="AL468" i="6"/>
  <c r="AQ468" i="6"/>
  <c r="AK468" i="6"/>
  <c r="AS471" i="6"/>
  <c r="AP471" i="6"/>
  <c r="AO471" i="6"/>
  <c r="AR471" i="6"/>
  <c r="AL471" i="6"/>
  <c r="AM471" i="6"/>
  <c r="AK471" i="6"/>
  <c r="AJ471" i="6"/>
  <c r="AQ471" i="6"/>
  <c r="AN471" i="6"/>
  <c r="AO342" i="6"/>
  <c r="AP342" i="6"/>
  <c r="AL342" i="6"/>
  <c r="AJ342" i="6"/>
  <c r="AN342" i="6"/>
  <c r="AQ342" i="6"/>
  <c r="AK342" i="6"/>
  <c r="AM342" i="6"/>
  <c r="AS342" i="6"/>
  <c r="AR342" i="6"/>
  <c r="AR424" i="6"/>
  <c r="AK424" i="6"/>
  <c r="AJ424" i="6"/>
  <c r="AM424" i="6"/>
  <c r="AL424" i="6"/>
  <c r="AP424" i="6"/>
  <c r="AN424" i="6"/>
  <c r="AS424" i="6"/>
  <c r="AO424" i="6"/>
  <c r="AQ424" i="6"/>
  <c r="AS321" i="6"/>
  <c r="AM321" i="6"/>
  <c r="AP321" i="6"/>
  <c r="AQ321" i="6"/>
  <c r="AO321" i="6"/>
  <c r="AN321" i="6"/>
  <c r="AR321" i="6"/>
  <c r="AL321" i="6"/>
  <c r="AJ321" i="6"/>
  <c r="AK321" i="6"/>
  <c r="AR355" i="6"/>
  <c r="AP355" i="6"/>
  <c r="AO355" i="6"/>
  <c r="AJ355" i="6"/>
  <c r="AQ355" i="6"/>
  <c r="AN355" i="6"/>
  <c r="AL355" i="6"/>
  <c r="AK355" i="6"/>
  <c r="AM355" i="6"/>
  <c r="AS355" i="6"/>
  <c r="AN372" i="6"/>
  <c r="AJ372" i="6"/>
  <c r="AL372" i="6"/>
  <c r="AM372" i="6"/>
  <c r="AP372" i="6"/>
  <c r="AQ372" i="6"/>
  <c r="AS372" i="6"/>
  <c r="AR372" i="6"/>
  <c r="AO372" i="6"/>
  <c r="AK372" i="6"/>
  <c r="AS423" i="6"/>
  <c r="AM423" i="6"/>
  <c r="AP423" i="6"/>
  <c r="AK423" i="6"/>
  <c r="AN423" i="6"/>
  <c r="AL423" i="6"/>
  <c r="AR423" i="6"/>
  <c r="AO423" i="6"/>
  <c r="AJ423" i="6"/>
  <c r="AQ423" i="6"/>
  <c r="AK315" i="6"/>
  <c r="AN315" i="6"/>
  <c r="AQ315" i="6"/>
  <c r="AO315" i="6"/>
  <c r="AJ315" i="6"/>
  <c r="AP315" i="6"/>
  <c r="AM315" i="6"/>
  <c r="AS315" i="6"/>
  <c r="AL315" i="6"/>
  <c r="AR315" i="6"/>
  <c r="AK373" i="6"/>
  <c r="AR373" i="6"/>
  <c r="AM373" i="6"/>
  <c r="AN373" i="6"/>
  <c r="AJ373" i="6"/>
  <c r="AP373" i="6"/>
  <c r="AQ373" i="6"/>
  <c r="AL373" i="6"/>
  <c r="AO373" i="6"/>
  <c r="AS373" i="6"/>
  <c r="AL376" i="6"/>
  <c r="AN376" i="6"/>
  <c r="AR376" i="6"/>
  <c r="AJ376" i="6"/>
  <c r="AP376" i="6"/>
  <c r="AM376" i="6"/>
  <c r="AS376" i="6"/>
  <c r="AQ376" i="6"/>
  <c r="AO376" i="6"/>
  <c r="AK376" i="6"/>
  <c r="AO232" i="6"/>
  <c r="AQ232" i="6"/>
  <c r="AR232" i="6"/>
  <c r="AS232" i="6"/>
  <c r="AP232" i="6"/>
  <c r="AL232" i="6"/>
  <c r="AJ232" i="6"/>
  <c r="AM232" i="6"/>
  <c r="AN232" i="6"/>
  <c r="AK232" i="6"/>
  <c r="AN239" i="6"/>
  <c r="AJ239" i="6"/>
  <c r="AM239" i="6"/>
  <c r="AP239" i="6"/>
  <c r="AQ239" i="6"/>
  <c r="AL239" i="6"/>
  <c r="AO239" i="6"/>
  <c r="AS239" i="6"/>
  <c r="AR239" i="6"/>
  <c r="AK239" i="6"/>
  <c r="AM356" i="6"/>
  <c r="AN356" i="6"/>
  <c r="AR356" i="6"/>
  <c r="AS356" i="6"/>
  <c r="AL356" i="6"/>
  <c r="AQ356" i="6"/>
  <c r="AO356" i="6"/>
  <c r="AP356" i="6"/>
  <c r="AJ356" i="6"/>
  <c r="AK356" i="6"/>
  <c r="AJ475" i="6"/>
  <c r="AM475" i="6"/>
  <c r="AN475" i="6"/>
  <c r="AQ475" i="6"/>
  <c r="AR475" i="6"/>
  <c r="AK475" i="6"/>
  <c r="AO475" i="6"/>
  <c r="AS475" i="6"/>
  <c r="AL475" i="6"/>
  <c r="AP475" i="6"/>
  <c r="AS256" i="6"/>
  <c r="AJ256" i="6"/>
  <c r="AN256" i="6"/>
  <c r="AP256" i="6"/>
  <c r="AM256" i="6"/>
  <c r="AK256" i="6"/>
  <c r="AO256" i="6"/>
  <c r="AR256" i="6"/>
  <c r="AL256" i="6"/>
  <c r="AQ256" i="6"/>
  <c r="AR433" i="6"/>
  <c r="AP433" i="6"/>
  <c r="AJ433" i="6"/>
  <c r="AO433" i="6"/>
  <c r="AL433" i="6"/>
  <c r="AQ433" i="6"/>
  <c r="AK433" i="6"/>
  <c r="AS433" i="6"/>
  <c r="AM433" i="6"/>
  <c r="AN433" i="6"/>
  <c r="AM419" i="6"/>
  <c r="AK419" i="6"/>
  <c r="AR419" i="6"/>
  <c r="AP419" i="6"/>
  <c r="AS419" i="6"/>
  <c r="AQ419" i="6"/>
  <c r="AO419" i="6"/>
  <c r="AN419" i="6"/>
  <c r="AJ419" i="6"/>
  <c r="AL419" i="6"/>
  <c r="AK226" i="6"/>
  <c r="AS226" i="6"/>
  <c r="AN226" i="6"/>
  <c r="AL226" i="6"/>
  <c r="AR226" i="6"/>
  <c r="AJ226" i="6"/>
  <c r="AM226" i="6"/>
  <c r="AO226" i="6"/>
  <c r="AQ226" i="6"/>
  <c r="AP226" i="6"/>
  <c r="AK415" i="6"/>
  <c r="AQ415" i="6"/>
  <c r="AS415" i="6"/>
  <c r="AR415" i="6"/>
  <c r="AP415" i="6"/>
  <c r="AL415" i="6"/>
  <c r="AO415" i="6"/>
  <c r="AJ415" i="6"/>
  <c r="AM415" i="6"/>
  <c r="AN415" i="6"/>
  <c r="AN240" i="6"/>
  <c r="AQ240" i="6"/>
  <c r="AP240" i="6"/>
  <c r="AM240" i="6"/>
  <c r="AL240" i="6"/>
  <c r="AR240" i="6"/>
  <c r="AK240" i="6"/>
  <c r="AJ240" i="6"/>
  <c r="AS240" i="6"/>
  <c r="AO240" i="6"/>
  <c r="AJ298" i="6"/>
  <c r="AS298" i="6"/>
  <c r="AN298" i="6"/>
  <c r="AL298" i="6"/>
  <c r="AR298" i="6"/>
  <c r="AP298" i="6"/>
  <c r="AQ298" i="6"/>
  <c r="AO298" i="6"/>
  <c r="AM298" i="6"/>
  <c r="AK298" i="6"/>
  <c r="AQ473" i="6"/>
  <c r="AN473" i="6"/>
  <c r="AJ473" i="6"/>
  <c r="AM473" i="6"/>
  <c r="AK473" i="6"/>
  <c r="AL473" i="6"/>
  <c r="AS473" i="6"/>
  <c r="AO473" i="6"/>
  <c r="AR473" i="6"/>
  <c r="AP473" i="6"/>
  <c r="AL470" i="6"/>
  <c r="AJ470" i="6"/>
  <c r="AP470" i="6"/>
  <c r="AQ470" i="6"/>
  <c r="AS470" i="6"/>
  <c r="AR470" i="6"/>
  <c r="AN470" i="6"/>
  <c r="AK470" i="6"/>
  <c r="AM470" i="6"/>
  <c r="AO470" i="6"/>
  <c r="AS383" i="6"/>
  <c r="AQ383" i="6"/>
  <c r="AL383" i="6"/>
  <c r="AR383" i="6"/>
  <c r="AJ383" i="6"/>
  <c r="AP383" i="6"/>
  <c r="AN383" i="6"/>
  <c r="AM383" i="6"/>
  <c r="AO383" i="6"/>
  <c r="AK383" i="6"/>
  <c r="U26" i="8" l="1" a="1"/>
  <c r="U26" i="8" s="1"/>
  <c r="V26" i="8" a="1"/>
  <c r="V26" i="8" s="1"/>
  <c r="AB17" i="8" a="1"/>
  <c r="AB17" i="8" s="1"/>
  <c r="X17" i="8" a="1"/>
  <c r="X17" i="8" s="1"/>
  <c r="U17" i="8" a="1"/>
  <c r="U17" i="8" s="1"/>
  <c r="W17" i="8" a="1"/>
  <c r="W17" i="8" s="1"/>
  <c r="E17" i="8" a="1"/>
  <c r="E17" i="8" s="1"/>
  <c r="AC17" i="8" a="1"/>
  <c r="AC17" i="8" s="1"/>
  <c r="AE17" i="8" a="1"/>
  <c r="AE17" i="8" s="1"/>
  <c r="AF17" i="8" a="1"/>
  <c r="AF17" i="8" s="1"/>
  <c r="Y17" i="8" a="1"/>
  <c r="Y17" i="8" s="1"/>
  <c r="V17" i="8" a="1"/>
  <c r="V17" i="8" s="1"/>
  <c r="AD17" i="8" a="1"/>
  <c r="AD17" i="8" s="1"/>
  <c r="AA17" i="8" a="1"/>
  <c r="AA17" i="8" s="1"/>
  <c r="Z17" i="8" a="1"/>
  <c r="Z17" i="8" s="1"/>
  <c r="AB29" i="8" a="1"/>
  <c r="AB29" i="8" s="1"/>
  <c r="AC26" i="8" a="1"/>
  <c r="AC26" i="8" s="1"/>
  <c r="AE26" i="8" a="1"/>
  <c r="AE26" i="8" s="1"/>
  <c r="Y26" i="8" a="1"/>
  <c r="Y26" i="8" s="1"/>
  <c r="X29" i="8" a="1"/>
  <c r="X29" i="8" s="1"/>
  <c r="AF26" i="8" a="1"/>
  <c r="AF26" i="8" s="1"/>
  <c r="Z26" i="8" a="1"/>
  <c r="Z26" i="8" s="1"/>
  <c r="AB26" i="8" a="1"/>
  <c r="AB26" i="8" s="1"/>
  <c r="X26" i="8" a="1"/>
  <c r="X26" i="8" s="1"/>
  <c r="AA26" i="8" a="1"/>
  <c r="AA26" i="8" s="1"/>
  <c r="E26" i="8" a="1"/>
  <c r="E26" i="8" s="1"/>
  <c r="AD26" i="8" a="1"/>
  <c r="AD26" i="8" s="1"/>
  <c r="W26" i="8" a="1"/>
  <c r="W26" i="8" s="1"/>
  <c r="AO220" i="6" l="1"/>
  <c r="AS220" i="6"/>
  <c r="AR220" i="6"/>
  <c r="AJ220" i="6"/>
  <c r="AK220" i="6"/>
  <c r="AP220" i="6"/>
  <c r="AQ220" i="6"/>
  <c r="AN220" i="6"/>
  <c r="AL220" i="6"/>
  <c r="AM220" i="6"/>
  <c r="AL228" i="6"/>
  <c r="AN228" i="6"/>
  <c r="AJ228" i="6"/>
  <c r="AS228" i="6"/>
  <c r="AK228" i="6"/>
  <c r="AP228" i="6"/>
  <c r="AO228" i="6"/>
  <c r="AQ228" i="6"/>
  <c r="AR228" i="6"/>
  <c r="AM228" i="6"/>
  <c r="AE41" i="8" l="1" a="1"/>
  <c r="AE41" i="8" s="1"/>
  <c r="Y41" i="8" a="1"/>
  <c r="Y41" i="8" s="1"/>
  <c r="AF41" i="8" a="1"/>
  <c r="AF41" i="8" s="1"/>
  <c r="AB41" i="8" a="1"/>
  <c r="AB41" i="8" s="1"/>
  <c r="X41" i="8" a="1"/>
  <c r="X41" i="8" s="1"/>
  <c r="Z41" i="8" a="1"/>
  <c r="Z41" i="8" s="1"/>
  <c r="V41" i="8" a="1"/>
  <c r="V41" i="8" s="1"/>
  <c r="AC41" i="8" a="1"/>
  <c r="AC41" i="8" s="1"/>
  <c r="AA41" i="8" a="1"/>
  <c r="AA41" i="8" s="1"/>
  <c r="AD41" i="8" a="1"/>
  <c r="AD41" i="8" s="1"/>
  <c r="X35" i="8" a="1"/>
  <c r="X35" i="8" s="1"/>
  <c r="Y38" i="8" a="1"/>
  <c r="Y38" i="8" s="1"/>
  <c r="W38" i="8" a="1"/>
  <c r="W38" i="8" s="1"/>
  <c r="AE38" i="8" a="1"/>
  <c r="AE38" i="8" s="1"/>
  <c r="AC38" i="8" a="1"/>
  <c r="AC38" i="8" s="1"/>
  <c r="AA38" i="8" a="1"/>
  <c r="AA38" i="8" s="1"/>
  <c r="U41" i="8" a="1"/>
  <c r="U41" i="8" s="1"/>
  <c r="Z38" i="8" a="1"/>
  <c r="Z38" i="8" s="1"/>
  <c r="V38" i="8" a="1"/>
  <c r="V38" i="8" s="1"/>
  <c r="AD38" i="8" a="1"/>
  <c r="AD38" i="8" s="1"/>
  <c r="E38" i="8" a="1"/>
  <c r="E38" i="8" s="1"/>
  <c r="AF38" i="8" a="1"/>
  <c r="AF38" i="8" s="1"/>
  <c r="U38" i="8" l="1" a="1"/>
  <c r="U38" i="8" s="1"/>
  <c r="AN238" i="6"/>
  <c r="AR238" i="6"/>
  <c r="AP238" i="6"/>
  <c r="AL238" i="6"/>
  <c r="AM238" i="6"/>
  <c r="AS238" i="6"/>
  <c r="AK238" i="6"/>
  <c r="AJ238" i="6"/>
  <c r="AO238" i="6"/>
  <c r="AQ238" i="6"/>
  <c r="AJ227" i="6"/>
  <c r="AS227" i="6"/>
  <c r="AO227" i="6"/>
  <c r="AQ227" i="6"/>
  <c r="AL227" i="6"/>
  <c r="AN227" i="6"/>
  <c r="AK227" i="6"/>
  <c r="AP227" i="6"/>
  <c r="AR227" i="6"/>
  <c r="AM227" i="6"/>
  <c r="AJ219" i="6"/>
  <c r="AM219" i="6"/>
  <c r="AS219" i="6"/>
  <c r="AP219" i="6"/>
  <c r="AO219" i="6"/>
  <c r="AN219" i="6"/>
  <c r="AK219" i="6"/>
  <c r="AQ219" i="6"/>
  <c r="AL219" i="6"/>
  <c r="AR219" i="6"/>
  <c r="AA32" i="8" l="1" a="1"/>
  <c r="AA32" i="8" s="1"/>
  <c r="X32" i="8" a="1"/>
  <c r="X32" i="8" s="1"/>
  <c r="W32" i="8" a="1"/>
  <c r="W32" i="8" s="1"/>
  <c r="AE32" i="8" a="1"/>
  <c r="AE32" i="8" s="1"/>
  <c r="AL26" i="6"/>
  <c r="AL15" i="6" s="1"/>
  <c r="AP26" i="6"/>
  <c r="AP15" i="6" s="1"/>
  <c r="AM26" i="6"/>
  <c r="AM15" i="6" s="1"/>
  <c r="AJ26" i="6"/>
  <c r="AJ15" i="6" s="1"/>
  <c r="AS26" i="6"/>
  <c r="AS15" i="6" s="1"/>
  <c r="AQ26" i="6"/>
  <c r="AQ15" i="6" s="1"/>
  <c r="AK26" i="6"/>
  <c r="AK15" i="6" s="1"/>
  <c r="AO26" i="6"/>
  <c r="AO15" i="6" s="1"/>
  <c r="AR26" i="6"/>
  <c r="AR15" i="6" s="1"/>
  <c r="AN26" i="6"/>
  <c r="AN15" i="6" s="1"/>
  <c r="U15" i="6" l="1"/>
  <c r="U11" i="6" s="1"/>
  <c r="L20" i="7" a="1"/>
  <c r="L20" i="7" s="1"/>
  <c r="L19" i="7" a="1"/>
  <c r="L19" i="7" s="1"/>
  <c r="L25" i="7" a="1"/>
  <c r="L25" i="7" s="1"/>
  <c r="L17" i="7" a="1"/>
  <c r="L17" i="7" s="1"/>
  <c r="L1" i="7" a="1"/>
  <c r="L1" i="7" s="1"/>
  <c r="L21" i="7" a="1"/>
  <c r="L21" i="7" s="1"/>
  <c r="L22" i="7" a="1"/>
  <c r="L22" i="7" s="1"/>
  <c r="L18" i="7" a="1"/>
  <c r="L18" i="7" s="1"/>
  <c r="L16" i="7" a="1"/>
  <c r="L16" i="7" s="1"/>
  <c r="L24" i="7" a="1"/>
  <c r="L24" i="7" s="1"/>
  <c r="L23" i="7" a="1"/>
  <c r="L23" i="7" s="1"/>
  <c r="Y15" i="6"/>
  <c r="Y11" i="6" s="1"/>
  <c r="P24" i="7" a="1"/>
  <c r="P24" i="7" s="1"/>
  <c r="P19" i="7" a="1"/>
  <c r="P19" i="7" s="1"/>
  <c r="P20" i="7" a="1"/>
  <c r="P20" i="7" s="1"/>
  <c r="P25" i="7" a="1"/>
  <c r="P25" i="7" s="1"/>
  <c r="P18" i="7" a="1"/>
  <c r="P18" i="7" s="1"/>
  <c r="P1" i="7" a="1"/>
  <c r="P1" i="7" s="1"/>
  <c r="P16" i="7" a="1"/>
  <c r="P16" i="7" s="1"/>
  <c r="P22" i="7" a="1"/>
  <c r="P22" i="7" s="1"/>
  <c r="P23" i="7" a="1"/>
  <c r="P23" i="7" s="1"/>
  <c r="P21" i="7" a="1"/>
  <c r="P21" i="7" s="1"/>
  <c r="P17" i="7" a="1"/>
  <c r="P17" i="7" s="1"/>
  <c r="V15" i="6"/>
  <c r="V11" i="6" s="1"/>
  <c r="M21" i="7" a="1"/>
  <c r="M21" i="7" s="1"/>
  <c r="M24" i="7" a="1"/>
  <c r="M24" i="7" s="1"/>
  <c r="M22" i="7" a="1"/>
  <c r="M22" i="7" s="1"/>
  <c r="M17" i="7" a="1"/>
  <c r="M17" i="7" s="1"/>
  <c r="M18" i="7" a="1"/>
  <c r="M18" i="7" s="1"/>
  <c r="M23" i="7" a="1"/>
  <c r="M23" i="7" s="1"/>
  <c r="M19" i="7" a="1"/>
  <c r="M19" i="7" s="1"/>
  <c r="M16" i="7" a="1"/>
  <c r="M16" i="7" s="1"/>
  <c r="M1" i="7" a="1"/>
  <c r="M1" i="7" s="1"/>
  <c r="M20" i="7" a="1"/>
  <c r="M20" i="7" s="1"/>
  <c r="M25" i="7" a="1"/>
  <c r="M25" i="7" s="1"/>
  <c r="R15" i="6"/>
  <c r="R11" i="6" s="1"/>
  <c r="I24" i="7" a="1"/>
  <c r="I24" i="7" s="1"/>
  <c r="I23" i="7" a="1"/>
  <c r="I23" i="7" s="1"/>
  <c r="I22" i="7" a="1"/>
  <c r="I22" i="7" s="1"/>
  <c r="I25" i="7" a="1"/>
  <c r="I25" i="7" s="1"/>
  <c r="I18" i="7" a="1"/>
  <c r="I18" i="7" s="1"/>
  <c r="I1" i="7" a="1"/>
  <c r="I1" i="7" s="1"/>
  <c r="I20" i="7" a="1"/>
  <c r="I20" i="7" s="1"/>
  <c r="I21" i="7" a="1"/>
  <c r="I21" i="7" s="1"/>
  <c r="I17" i="7" a="1"/>
  <c r="I17" i="7" s="1"/>
  <c r="I16" i="7" a="1"/>
  <c r="I16" i="7" s="1"/>
  <c r="I19" i="7" a="1"/>
  <c r="I19" i="7" s="1"/>
  <c r="X15" i="6"/>
  <c r="X11" i="6" s="1"/>
  <c r="O16" i="7" a="1"/>
  <c r="O16" i="7" s="1"/>
  <c r="O18" i="7" a="1"/>
  <c r="O18" i="7" s="1"/>
  <c r="O24" i="7" a="1"/>
  <c r="O24" i="7" s="1"/>
  <c r="O22" i="7" a="1"/>
  <c r="O22" i="7" s="1"/>
  <c r="O19" i="7" a="1"/>
  <c r="O19" i="7" s="1"/>
  <c r="O1" i="7" a="1"/>
  <c r="O1" i="7" s="1"/>
  <c r="O21" i="7" a="1"/>
  <c r="O21" i="7" s="1"/>
  <c r="O17" i="7" a="1"/>
  <c r="O17" i="7" s="1"/>
  <c r="O23" i="7" a="1"/>
  <c r="O23" i="7" s="1"/>
  <c r="O20" i="7" a="1"/>
  <c r="O20" i="7" s="1"/>
  <c r="O25" i="7" a="1"/>
  <c r="O25" i="7" s="1"/>
  <c r="Z15" i="6"/>
  <c r="Z11" i="6" s="1"/>
  <c r="Q25" i="7" a="1"/>
  <c r="Q25" i="7" s="1"/>
  <c r="Q20" i="7" a="1"/>
  <c r="Q20" i="7" s="1"/>
  <c r="Q24" i="7" a="1"/>
  <c r="Q24" i="7" s="1"/>
  <c r="Q23" i="7" a="1"/>
  <c r="Q23" i="7" s="1"/>
  <c r="Q18" i="7" a="1"/>
  <c r="Q18" i="7" s="1"/>
  <c r="Q22" i="7" a="1"/>
  <c r="Q22" i="7" s="1"/>
  <c r="Q17" i="7" a="1"/>
  <c r="Q17" i="7" s="1"/>
  <c r="Q1" i="7" a="1"/>
  <c r="Q1" i="7" s="1"/>
  <c r="Q21" i="7" a="1"/>
  <c r="Q21" i="7" s="1"/>
  <c r="Q19" i="7" a="1"/>
  <c r="Q19" i="7" s="1"/>
  <c r="Q16" i="7" a="1"/>
  <c r="Q16" i="7" s="1"/>
  <c r="E18" i="7" a="1"/>
  <c r="E18" i="7" s="1"/>
  <c r="E24" i="7" a="1"/>
  <c r="E24" i="7" s="1"/>
  <c r="H24" i="7" a="1"/>
  <c r="H24" i="7" s="1"/>
  <c r="F19" i="7"/>
  <c r="A19" i="9" s="1"/>
  <c r="E25" i="7" a="1"/>
  <c r="E25" i="7" s="1"/>
  <c r="F23" i="7"/>
  <c r="F24" i="7"/>
  <c r="E19" i="7" a="1"/>
  <c r="E19" i="7" s="1"/>
  <c r="H23" i="7" a="1"/>
  <c r="H23" i="7" s="1"/>
  <c r="H1" i="7" a="1"/>
  <c r="H1" i="7" s="1"/>
  <c r="H25" i="7" a="1"/>
  <c r="H25" i="7" s="1"/>
  <c r="F20" i="7"/>
  <c r="E16" i="7" a="1"/>
  <c r="E16" i="7" s="1"/>
  <c r="F21" i="7"/>
  <c r="H17" i="7" a="1"/>
  <c r="H17" i="7" s="1"/>
  <c r="E23" i="7" a="1"/>
  <c r="E23" i="7" s="1"/>
  <c r="H18" i="7" a="1"/>
  <c r="H18" i="7" s="1"/>
  <c r="F25" i="7"/>
  <c r="H19" i="7" a="1"/>
  <c r="H19" i="7" s="1"/>
  <c r="E20" i="7" a="1"/>
  <c r="E20" i="7" s="1"/>
  <c r="E22" i="7" a="1"/>
  <c r="E22" i="7" s="1"/>
  <c r="H20" i="7" a="1"/>
  <c r="H20" i="7" s="1"/>
  <c r="H22" i="7" a="1"/>
  <c r="H22" i="7" s="1"/>
  <c r="F1" i="7"/>
  <c r="F18" i="7"/>
  <c r="E17" i="7" a="1"/>
  <c r="E17" i="7" s="1"/>
  <c r="H21" i="7" a="1"/>
  <c r="H21" i="7" s="1"/>
  <c r="E1" i="7" a="1"/>
  <c r="E1" i="7" s="1"/>
  <c r="F22" i="7"/>
  <c r="Q15" i="6"/>
  <c r="Q11" i="6" s="1"/>
  <c r="H16" i="7" a="1"/>
  <c r="H16" i="7" s="1"/>
  <c r="F16" i="7"/>
  <c r="F17" i="7"/>
  <c r="E21" i="7" a="1"/>
  <c r="E21" i="7" s="1"/>
  <c r="T15" i="6"/>
  <c r="T11" i="6" s="1"/>
  <c r="K22" i="7" a="1"/>
  <c r="K22" i="7" s="1"/>
  <c r="K18" i="7" a="1"/>
  <c r="K18" i="7" s="1"/>
  <c r="K19" i="7" a="1"/>
  <c r="K19" i="7" s="1"/>
  <c r="K25" i="7" a="1"/>
  <c r="K25" i="7" s="1"/>
  <c r="K23" i="7" a="1"/>
  <c r="K23" i="7" s="1"/>
  <c r="K1" i="7" a="1"/>
  <c r="K1" i="7" s="1"/>
  <c r="K16" i="7" a="1"/>
  <c r="K16" i="7" s="1"/>
  <c r="K17" i="7" a="1"/>
  <c r="K17" i="7" s="1"/>
  <c r="K20" i="7" a="1"/>
  <c r="K20" i="7" s="1"/>
  <c r="K24" i="7" a="1"/>
  <c r="K24" i="7" s="1"/>
  <c r="K21" i="7" a="1"/>
  <c r="K21" i="7" s="1"/>
  <c r="W15" i="6"/>
  <c r="W11" i="6" s="1"/>
  <c r="N19" i="7" a="1"/>
  <c r="N19" i="7" s="1"/>
  <c r="N21" i="7" a="1"/>
  <c r="N21" i="7" s="1"/>
  <c r="N16" i="7" a="1"/>
  <c r="N16" i="7" s="1"/>
  <c r="N20" i="7" a="1"/>
  <c r="N20" i="7" s="1"/>
  <c r="N24" i="7" a="1"/>
  <c r="N24" i="7" s="1"/>
  <c r="N23" i="7" a="1"/>
  <c r="N23" i="7" s="1"/>
  <c r="N1" i="7" a="1"/>
  <c r="N1" i="7" s="1"/>
  <c r="N18" i="7" a="1"/>
  <c r="N18" i="7" s="1"/>
  <c r="N25" i="7" a="1"/>
  <c r="N25" i="7" s="1"/>
  <c r="N22" i="7" a="1"/>
  <c r="N22" i="7" s="1"/>
  <c r="N17" i="7" a="1"/>
  <c r="N17" i="7" s="1"/>
  <c r="S15" i="6"/>
  <c r="S11" i="6" s="1"/>
  <c r="J22" i="7" a="1"/>
  <c r="J22" i="7" s="1"/>
  <c r="J21" i="7" a="1"/>
  <c r="J21" i="7" s="1"/>
  <c r="J20" i="7" a="1"/>
  <c r="J20" i="7" s="1"/>
  <c r="J24" i="7" a="1"/>
  <c r="J24" i="7" s="1"/>
  <c r="J1" i="7" a="1"/>
  <c r="J1" i="7" s="1"/>
  <c r="J25" i="7" a="1"/>
  <c r="J25" i="7" s="1"/>
  <c r="J23" i="7" a="1"/>
  <c r="J23" i="7" s="1"/>
  <c r="J17" i="7" a="1"/>
  <c r="J17" i="7" s="1"/>
  <c r="J19" i="7" a="1"/>
  <c r="J19" i="7" s="1"/>
  <c r="J16" i="7" a="1"/>
  <c r="J16" i="7" s="1"/>
  <c r="J18" i="7" a="1"/>
  <c r="J18" i="7" s="1"/>
  <c r="J437" i="6" l="1" a="1"/>
  <c r="J437" i="6" s="1"/>
  <c r="J436" i="6" a="1"/>
  <c r="J436" i="6" s="1"/>
  <c r="J440" i="6" a="1"/>
  <c r="J440" i="6" s="1"/>
  <c r="J438" i="6" a="1"/>
  <c r="J438" i="6" s="1"/>
  <c r="I14" i="7"/>
  <c r="G1" i="7"/>
  <c r="A1" i="9"/>
  <c r="A20" i="9"/>
  <c r="Q14" i="7"/>
  <c r="L14" i="7"/>
  <c r="J14" i="7"/>
  <c r="A17" i="9"/>
  <c r="M14" i="7"/>
  <c r="F14" i="7"/>
  <c r="G19" i="7" s="1"/>
  <c r="A16" i="9"/>
  <c r="P14" i="7"/>
  <c r="H14" i="7"/>
  <c r="A24" i="9"/>
  <c r="I35" i="10" a="1"/>
  <c r="I35" i="10" s="1"/>
  <c r="A25" i="9"/>
  <c r="A23" i="9"/>
  <c r="A22" i="9"/>
  <c r="K14" i="7"/>
  <c r="J14" i="6" a="1"/>
  <c r="J14" i="6" s="1"/>
  <c r="J180" i="6" a="1"/>
  <c r="J180" i="6" s="1"/>
  <c r="J393" i="6" a="1"/>
  <c r="J393" i="6" s="1"/>
  <c r="J310" i="6" a="1"/>
  <c r="J310" i="6" s="1"/>
  <c r="J403" i="6" a="1"/>
  <c r="J403" i="6" s="1"/>
  <c r="J365" i="6" a="1"/>
  <c r="J365" i="6" s="1"/>
  <c r="J353" i="6" a="1"/>
  <c r="J353" i="6" s="1"/>
  <c r="J329" i="6" a="1"/>
  <c r="J329" i="6" s="1"/>
  <c r="J195" i="6" a="1"/>
  <c r="J195" i="6" s="1"/>
  <c r="J271" i="6" a="1"/>
  <c r="J271" i="6" s="1"/>
  <c r="J396" i="6" a="1"/>
  <c r="J396" i="6" s="1"/>
  <c r="J504" i="6" a="1"/>
  <c r="J504" i="6" s="1"/>
  <c r="J54" i="6" a="1"/>
  <c r="J54" i="6" s="1"/>
  <c r="J371" i="6" a="1"/>
  <c r="J371" i="6" s="1"/>
  <c r="J282" i="6" a="1"/>
  <c r="J282" i="6" s="1"/>
  <c r="J179" i="6" a="1"/>
  <c r="J179" i="6" s="1"/>
  <c r="J413" i="6" a="1"/>
  <c r="J413" i="6" s="1"/>
  <c r="J301" i="6" a="1"/>
  <c r="J301" i="6" s="1"/>
  <c r="J123" i="6" a="1"/>
  <c r="J123" i="6" s="1"/>
  <c r="J126" i="6" a="1"/>
  <c r="J126" i="6" s="1"/>
  <c r="J92" i="6" a="1"/>
  <c r="J92" i="6" s="1"/>
  <c r="J253" i="6" a="1"/>
  <c r="J253" i="6" s="1"/>
  <c r="J209" i="6" a="1"/>
  <c r="J209" i="6" s="1"/>
  <c r="J261" i="6" a="1"/>
  <c r="J261" i="6" s="1"/>
  <c r="J455" i="6" a="1"/>
  <c r="J455" i="6" s="1"/>
  <c r="J45" i="6" a="1"/>
  <c r="J45" i="6" s="1"/>
  <c r="J113" i="6" a="1"/>
  <c r="J113" i="6" s="1"/>
  <c r="J358" i="6" a="1"/>
  <c r="J358" i="6" s="1"/>
  <c r="J444" i="6" a="1"/>
  <c r="J444" i="6" s="1"/>
  <c r="J495" i="6" a="1"/>
  <c r="J495" i="6" s="1"/>
  <c r="J295" i="6" a="1"/>
  <c r="J295" i="6" s="1"/>
  <c r="J406" i="6" a="1"/>
  <c r="J406" i="6" s="1"/>
  <c r="J368" i="6" a="1"/>
  <c r="J368" i="6" s="1"/>
  <c r="J285" i="6" a="1"/>
  <c r="J285" i="6" s="1"/>
  <c r="J334" i="6" a="1"/>
  <c r="J334" i="6" s="1"/>
  <c r="J236" i="6" a="1"/>
  <c r="J236" i="6" s="1"/>
  <c r="J284" i="6" a="1"/>
  <c r="J284" i="6" s="1"/>
  <c r="J133" i="6" a="1"/>
  <c r="J133" i="6" s="1"/>
  <c r="J292" i="6" a="1"/>
  <c r="J292" i="6" s="1"/>
  <c r="J39" i="6" a="1"/>
  <c r="J39" i="6" s="1"/>
  <c r="J94" i="6" a="1"/>
  <c r="J94" i="6" s="1"/>
  <c r="J481" i="6" a="1"/>
  <c r="J481" i="6" s="1"/>
  <c r="J127" i="6" a="1"/>
  <c r="J127" i="6" s="1"/>
  <c r="J200" i="6" a="1"/>
  <c r="J200" i="6" s="1"/>
  <c r="J330" i="6" a="1"/>
  <c r="J330" i="6" s="1"/>
  <c r="J50" i="6" a="1"/>
  <c r="J50" i="6" s="1"/>
  <c r="J81" i="6" a="1"/>
  <c r="J81" i="6" s="1"/>
  <c r="J167" i="6" a="1"/>
  <c r="J167" i="6" s="1"/>
  <c r="J143" i="6" a="1"/>
  <c r="J143" i="6" s="1"/>
  <c r="J333" i="6" a="1"/>
  <c r="J333" i="6" s="1"/>
  <c r="J183" i="6" a="1"/>
  <c r="J183" i="6" s="1"/>
  <c r="J331" i="6" a="1"/>
  <c r="J331" i="6" s="1"/>
  <c r="J55" i="6" a="1"/>
  <c r="J55" i="6" s="1"/>
  <c r="J328" i="6" a="1"/>
  <c r="J328" i="6" s="1"/>
  <c r="J103" i="6" a="1"/>
  <c r="J103" i="6" s="1"/>
  <c r="J309" i="6" a="1"/>
  <c r="J309" i="6" s="1"/>
  <c r="J178" i="6" a="1"/>
  <c r="J178" i="6" s="1"/>
  <c r="J64" i="6" a="1"/>
  <c r="J64" i="6" s="1"/>
  <c r="J75" i="6" a="1"/>
  <c r="J75" i="6" s="1"/>
  <c r="J490" i="6" a="1"/>
  <c r="J490" i="6" s="1"/>
  <c r="J270" i="6" a="1"/>
  <c r="J270" i="6" s="1"/>
  <c r="J477" i="6" a="1"/>
  <c r="J477" i="6" s="1"/>
  <c r="J254" i="6" a="1"/>
  <c r="J254" i="6" s="1"/>
  <c r="J78" i="6" a="1"/>
  <c r="J78" i="6" s="1"/>
  <c r="J497" i="6" a="1"/>
  <c r="J497" i="6" s="1"/>
  <c r="J249" i="6" a="1"/>
  <c r="J249" i="6" s="1"/>
  <c r="J190" i="6" a="1"/>
  <c r="J190" i="6" s="1"/>
  <c r="J416" i="6" a="1"/>
  <c r="J416" i="6" s="1"/>
  <c r="J501" i="6" a="1"/>
  <c r="J501" i="6" s="1"/>
  <c r="J99" i="6" a="1"/>
  <c r="J99" i="6" s="1"/>
  <c r="J36" i="6" a="1"/>
  <c r="J36" i="6" s="1"/>
  <c r="J164" i="6" a="1"/>
  <c r="J164" i="6" s="1"/>
  <c r="J35" i="6" a="1"/>
  <c r="J35" i="6" s="1"/>
  <c r="J404" i="6" a="1"/>
  <c r="J404" i="6" s="1"/>
  <c r="J184" i="6" a="1"/>
  <c r="J184" i="6" s="1"/>
  <c r="J484" i="6" a="1"/>
  <c r="J484" i="6" s="1"/>
  <c r="J114" i="6" a="1"/>
  <c r="J114" i="6" s="1"/>
  <c r="J367" i="6" a="1"/>
  <c r="J367" i="6" s="1"/>
  <c r="J485" i="6" a="1"/>
  <c r="J485" i="6" s="1"/>
  <c r="J165" i="6" a="1"/>
  <c r="J165" i="6" s="1"/>
  <c r="J359" i="6" a="1"/>
  <c r="J359" i="6" s="1"/>
  <c r="J66" i="6" a="1"/>
  <c r="J66" i="6" s="1"/>
  <c r="J281" i="6" a="1"/>
  <c r="J281" i="6" s="1"/>
  <c r="J153" i="6" a="1"/>
  <c r="J153" i="6" s="1"/>
  <c r="J210" i="6" a="1"/>
  <c r="J210" i="6" s="1"/>
  <c r="J110" i="6" a="1"/>
  <c r="J110" i="6" s="1"/>
  <c r="J197" i="6" a="1"/>
  <c r="J197" i="6" s="1"/>
  <c r="J193" i="6" a="1"/>
  <c r="J193" i="6" s="1"/>
  <c r="J319" i="6" a="1"/>
  <c r="J319" i="6" s="1"/>
  <c r="J304" i="6" a="1"/>
  <c r="J304" i="6" s="1"/>
  <c r="J22" i="6" a="1"/>
  <c r="J22" i="6" s="1"/>
  <c r="J109" i="6" a="1"/>
  <c r="J109" i="6" s="1"/>
  <c r="J96" i="6" a="1"/>
  <c r="J96" i="6" s="1"/>
  <c r="J336" i="6" a="1"/>
  <c r="J336" i="6" s="1"/>
  <c r="J344" i="6" a="1"/>
  <c r="J344" i="6" s="1"/>
  <c r="J79" i="6" a="1"/>
  <c r="J79" i="6" s="1"/>
  <c r="J62" i="6" a="1"/>
  <c r="J62" i="6" s="1"/>
  <c r="J311" i="6" a="1"/>
  <c r="J311" i="6" s="1"/>
  <c r="J247" i="6" a="1"/>
  <c r="J247" i="6" s="1"/>
  <c r="J347" i="6" a="1"/>
  <c r="J347" i="6" s="1"/>
  <c r="J104" i="6" a="1"/>
  <c r="J104" i="6" s="1"/>
  <c r="J115" i="6" a="1"/>
  <c r="J115" i="6" s="1"/>
  <c r="J186" i="6" a="1"/>
  <c r="J186" i="6" s="1"/>
  <c r="J291" i="6" a="1"/>
  <c r="J291" i="6" s="1"/>
  <c r="J71" i="6" a="1"/>
  <c r="J71" i="6" s="1"/>
  <c r="J51" i="6" a="1"/>
  <c r="J51" i="6" s="1"/>
  <c r="J448" i="6" a="1"/>
  <c r="J448" i="6" s="1"/>
  <c r="J65" i="6" a="1"/>
  <c r="J65" i="6" s="1"/>
  <c r="J171" i="6" a="1"/>
  <c r="J171" i="6" s="1"/>
  <c r="J488" i="6" a="1"/>
  <c r="J488" i="6" s="1"/>
  <c r="J233" i="6" a="1"/>
  <c r="J233" i="6" s="1"/>
  <c r="J345" i="6" a="1"/>
  <c r="J345" i="6" s="1"/>
  <c r="J142" i="6" a="1"/>
  <c r="J142" i="6" s="1"/>
  <c r="J85" i="6" a="1"/>
  <c r="J85" i="6" s="1"/>
  <c r="J478" i="6" a="1"/>
  <c r="J478" i="6" s="1"/>
  <c r="J32" i="6" a="1"/>
  <c r="J32" i="6" s="1"/>
  <c r="J414" i="6" a="1"/>
  <c r="J414" i="6" s="1"/>
  <c r="J158" i="6" a="1"/>
  <c r="J158" i="6" s="1"/>
  <c r="J136" i="6" a="1"/>
  <c r="J136" i="6" s="1"/>
  <c r="J170" i="6" a="1"/>
  <c r="J170" i="6" s="1"/>
  <c r="J348" i="6" a="1"/>
  <c r="J348" i="6" s="1"/>
  <c r="J391" i="6" a="1"/>
  <c r="J391" i="6" s="1"/>
  <c r="J288" i="6" a="1"/>
  <c r="J288" i="6" s="1"/>
  <c r="J117" i="6" a="1"/>
  <c r="J117" i="6" s="1"/>
  <c r="J63" i="6" a="1"/>
  <c r="J63" i="6" s="1"/>
  <c r="J172" i="6" a="1"/>
  <c r="J172" i="6" s="1"/>
  <c r="J350" i="6" a="1"/>
  <c r="J350" i="6" s="1"/>
  <c r="J364" i="6" a="1"/>
  <c r="J364" i="6" s="1"/>
  <c r="J447" i="6" a="1"/>
  <c r="J447" i="6" s="1"/>
  <c r="J251" i="6" a="1"/>
  <c r="J251" i="6" s="1"/>
  <c r="J502" i="6" a="1"/>
  <c r="J502" i="6" s="1"/>
  <c r="J139" i="6" a="1"/>
  <c r="J139" i="6" s="1"/>
  <c r="J141" i="6" a="1"/>
  <c r="J141" i="6" s="1"/>
  <c r="J307" i="6" a="1"/>
  <c r="J307" i="6" s="1"/>
  <c r="J305" i="6" a="1"/>
  <c r="J305" i="6" s="1"/>
  <c r="J107" i="6" a="1"/>
  <c r="J107" i="6" s="1"/>
  <c r="J20" i="6" a="1"/>
  <c r="J20" i="6" s="1"/>
  <c r="J41" i="6" a="1"/>
  <c r="J41" i="6" s="1"/>
  <c r="J182" i="6" a="1"/>
  <c r="J182" i="6" s="1"/>
  <c r="J76" i="6" a="1"/>
  <c r="J76" i="6" s="1"/>
  <c r="J439" i="6" a="1"/>
  <c r="J439" i="6" s="1"/>
  <c r="J222" i="6" a="1"/>
  <c r="J222" i="6" s="1"/>
  <c r="J138" i="6" a="1"/>
  <c r="J138" i="6" s="1"/>
  <c r="J185" i="6" a="1"/>
  <c r="J185" i="6" s="1"/>
  <c r="J446" i="6" a="1"/>
  <c r="J446" i="6" s="1"/>
  <c r="J267" i="6" a="1"/>
  <c r="J267" i="6" s="1"/>
  <c r="J258" i="6" a="1"/>
  <c r="J258" i="6" s="1"/>
  <c r="J151" i="6" a="1"/>
  <c r="J151" i="6" s="1"/>
  <c r="J155" i="6" a="1"/>
  <c r="J155" i="6" s="1"/>
  <c r="J128" i="6" a="1"/>
  <c r="J128" i="6" s="1"/>
  <c r="J405" i="6" a="1"/>
  <c r="J405" i="6" s="1"/>
  <c r="J187" i="6" a="1"/>
  <c r="J187" i="6" s="1"/>
  <c r="J199" i="6" a="1"/>
  <c r="J199" i="6" s="1"/>
  <c r="J90" i="6" a="1"/>
  <c r="J90" i="6" s="1"/>
  <c r="J189" i="6" a="1"/>
  <c r="J189" i="6" s="1"/>
  <c r="J198" i="6" a="1"/>
  <c r="J198" i="6" s="1"/>
  <c r="J349" i="6" a="1"/>
  <c r="J349" i="6" s="1"/>
  <c r="J130" i="6" a="1"/>
  <c r="J130" i="6" s="1"/>
  <c r="J68" i="6" a="1"/>
  <c r="J68" i="6" s="1"/>
  <c r="J108" i="6" a="1"/>
  <c r="J108" i="6" s="1"/>
  <c r="J131" i="6" a="1"/>
  <c r="J131" i="6" s="1"/>
  <c r="J318" i="6" a="1"/>
  <c r="J318" i="6" s="1"/>
  <c r="J74" i="6" a="1"/>
  <c r="J74" i="6" s="1"/>
  <c r="J290" i="6" a="1"/>
  <c r="J290" i="6" s="1"/>
  <c r="J387" i="6" a="1"/>
  <c r="J387" i="6" s="1"/>
  <c r="J402" i="6" a="1"/>
  <c r="J402" i="6" s="1"/>
  <c r="J125" i="6" a="1"/>
  <c r="J125" i="6" s="1"/>
  <c r="J324" i="6" a="1"/>
  <c r="J324" i="6" s="1"/>
  <c r="J252" i="6" a="1"/>
  <c r="J252" i="6" s="1"/>
  <c r="J203" i="6" a="1"/>
  <c r="J203" i="6" s="1"/>
  <c r="J389" i="6" a="1"/>
  <c r="J389" i="6" s="1"/>
  <c r="J394" i="6" a="1"/>
  <c r="J394" i="6" s="1"/>
  <c r="J308" i="6" a="1"/>
  <c r="J308" i="6" s="1"/>
  <c r="J111" i="6" a="1"/>
  <c r="J111" i="6" s="1"/>
  <c r="J177" i="6" a="1"/>
  <c r="J177" i="6" s="1"/>
  <c r="J21" i="6" a="1"/>
  <c r="J21" i="6" s="1"/>
  <c r="J101" i="6" a="1"/>
  <c r="J101" i="6" s="1"/>
  <c r="J77" i="6" a="1"/>
  <c r="J77" i="6" s="1"/>
  <c r="J212" i="6" a="1"/>
  <c r="J212" i="6" s="1"/>
  <c r="J386" i="6" a="1"/>
  <c r="J386" i="6" s="1"/>
  <c r="J420" i="6" a="1"/>
  <c r="J420" i="6" s="1"/>
  <c r="J449" i="6" a="1"/>
  <c r="J449" i="6" s="1"/>
  <c r="J84" i="6" a="1"/>
  <c r="J84" i="6" s="1"/>
  <c r="J417" i="6" a="1"/>
  <c r="J417" i="6" s="1"/>
  <c r="J335" i="6" a="1"/>
  <c r="J335" i="6" s="1"/>
  <c r="J445" i="6" a="1"/>
  <c r="J445" i="6" s="1"/>
  <c r="J482" i="6" a="1"/>
  <c r="J482" i="6" s="1"/>
  <c r="J86" i="6" a="1"/>
  <c r="J86" i="6" s="1"/>
  <c r="J225" i="6" a="1"/>
  <c r="J225" i="6" s="1"/>
  <c r="J144" i="6" a="1"/>
  <c r="J144" i="6" s="1"/>
  <c r="J242" i="6" a="1"/>
  <c r="J242" i="6" s="1"/>
  <c r="J276" i="6" a="1"/>
  <c r="J276" i="6" s="1"/>
  <c r="J408" i="6" a="1"/>
  <c r="J408" i="6" s="1"/>
  <c r="J163" i="6" a="1"/>
  <c r="J163" i="6" s="1"/>
  <c r="J119" i="6" a="1"/>
  <c r="J119" i="6" s="1"/>
  <c r="J397" i="6" a="1"/>
  <c r="J397" i="6" s="1"/>
  <c r="J160" i="6" a="1"/>
  <c r="J160" i="6" s="1"/>
  <c r="J73" i="6" a="1"/>
  <c r="J73" i="6" s="1"/>
  <c r="J88" i="6" a="1"/>
  <c r="J88" i="6" s="1"/>
  <c r="J132" i="6" a="1"/>
  <c r="J132" i="6" s="1"/>
  <c r="J33" i="6" a="1"/>
  <c r="J33" i="6" s="1"/>
  <c r="J390" i="6" a="1"/>
  <c r="J390" i="6" s="1"/>
  <c r="J53" i="6" a="1"/>
  <c r="J53" i="6" s="1"/>
  <c r="J294" i="6" a="1"/>
  <c r="J294" i="6" s="1"/>
  <c r="J255" i="6" a="1"/>
  <c r="J255" i="6" s="1"/>
  <c r="J120" i="6" a="1"/>
  <c r="J120" i="6" s="1"/>
  <c r="J157" i="6" a="1"/>
  <c r="J157" i="6" s="1"/>
  <c r="J150" i="6" a="1"/>
  <c r="J150" i="6" s="1"/>
  <c r="J56" i="6" a="1"/>
  <c r="J56" i="6" s="1"/>
  <c r="J421" i="6" a="1"/>
  <c r="J421" i="6" s="1"/>
  <c r="J162" i="6" a="1"/>
  <c r="J162" i="6" s="1"/>
  <c r="J83" i="6" a="1"/>
  <c r="J83" i="6" s="1"/>
  <c r="J91" i="6" a="1"/>
  <c r="J91" i="6" s="1"/>
  <c r="J23" i="6" a="1"/>
  <c r="J23" i="6" s="1"/>
  <c r="J494" i="6" a="1"/>
  <c r="J494" i="6" s="1"/>
  <c r="J493" i="6" a="1"/>
  <c r="J493" i="6" s="1"/>
  <c r="J476" i="6" a="1"/>
  <c r="J476" i="6" s="1"/>
  <c r="J154" i="6" a="1"/>
  <c r="J154" i="6" s="1"/>
  <c r="J346" i="6" a="1"/>
  <c r="J346" i="6" s="1"/>
  <c r="J325" i="6" a="1"/>
  <c r="J325" i="6" s="1"/>
  <c r="J250" i="6" a="1"/>
  <c r="J250" i="6" s="1"/>
  <c r="J121" i="6" a="1"/>
  <c r="J121" i="6" s="1"/>
  <c r="J316" i="6" a="1"/>
  <c r="J316" i="6" s="1"/>
  <c r="J306" i="6" a="1"/>
  <c r="J306" i="6" s="1"/>
  <c r="J206" i="6" a="1"/>
  <c r="J206" i="6" s="1"/>
  <c r="J137" i="6" a="1"/>
  <c r="J137" i="6" s="1"/>
  <c r="J409" i="6" a="1"/>
  <c r="J409" i="6" s="1"/>
  <c r="J146" i="6" a="1"/>
  <c r="J146" i="6" s="1"/>
  <c r="J31" i="6" a="1"/>
  <c r="J31" i="6" s="1"/>
  <c r="J375" i="6" a="1"/>
  <c r="J375" i="6" s="1"/>
  <c r="J401" i="6" a="1"/>
  <c r="J401" i="6" s="1"/>
  <c r="J265" i="6" a="1"/>
  <c r="J265" i="6" s="1"/>
  <c r="J152" i="6" a="1"/>
  <c r="J152" i="6" s="1"/>
  <c r="J37" i="6" a="1"/>
  <c r="J37" i="6" s="1"/>
  <c r="J398" i="6" a="1"/>
  <c r="J398" i="6" s="1"/>
  <c r="J454" i="6" a="1"/>
  <c r="J454" i="6" s="1"/>
  <c r="J268" i="6" a="1"/>
  <c r="J268" i="6" s="1"/>
  <c r="J82" i="6" a="1"/>
  <c r="J82" i="6" s="1"/>
  <c r="J214" i="6" a="1"/>
  <c r="J214" i="6" s="1"/>
  <c r="J97" i="6" a="1"/>
  <c r="J97" i="6" s="1"/>
  <c r="J411" i="6" a="1"/>
  <c r="J411" i="6" s="1"/>
  <c r="J491" i="6" a="1"/>
  <c r="J491" i="6" s="1"/>
  <c r="J19" i="6" a="1"/>
  <c r="J19" i="6" s="1"/>
  <c r="J352" i="6" a="1"/>
  <c r="J352" i="6" s="1"/>
  <c r="J450" i="6" a="1"/>
  <c r="J450" i="6" s="1"/>
  <c r="J169" i="6" a="1"/>
  <c r="J169" i="6" s="1"/>
  <c r="J279" i="6" a="1"/>
  <c r="J279" i="6" s="1"/>
  <c r="J98" i="6" a="1"/>
  <c r="J98" i="6" s="1"/>
  <c r="J58" i="6" a="1"/>
  <c r="J58" i="6" s="1"/>
  <c r="J202" i="6" a="1"/>
  <c r="J202" i="6" s="1"/>
  <c r="J458" i="6" a="1"/>
  <c r="J458" i="6" s="1"/>
  <c r="J363" i="6" a="1"/>
  <c r="J363" i="6" s="1"/>
  <c r="J38" i="6" a="1"/>
  <c r="J38" i="6" s="1"/>
  <c r="J205" i="6" a="1"/>
  <c r="J205" i="6" s="1"/>
  <c r="J204" i="6" a="1"/>
  <c r="J204" i="6" s="1"/>
  <c r="J248" i="6" a="1"/>
  <c r="J248" i="6" s="1"/>
  <c r="J175" i="6" a="1"/>
  <c r="J175" i="6" s="1"/>
  <c r="J499" i="6" a="1"/>
  <c r="J499" i="6" s="1"/>
  <c r="J443" i="6" a="1"/>
  <c r="J443" i="6" s="1"/>
  <c r="J181" i="6" a="1"/>
  <c r="J181" i="6" s="1"/>
  <c r="J388" i="6" a="1"/>
  <c r="J388" i="6" s="1"/>
  <c r="J283" i="6" a="1"/>
  <c r="J283" i="6" s="1"/>
  <c r="J149" i="6" a="1"/>
  <c r="J149" i="6" s="1"/>
  <c r="J507" i="6" a="1"/>
  <c r="J507" i="6" s="1"/>
  <c r="J382" i="6" a="1"/>
  <c r="J382" i="6" s="1"/>
  <c r="J223" i="6" a="1"/>
  <c r="J223" i="6" s="1"/>
  <c r="J399" i="6" a="1"/>
  <c r="J399" i="6" s="1"/>
  <c r="J70" i="6" a="1"/>
  <c r="J70" i="6" s="1"/>
  <c r="J332" i="6" a="1"/>
  <c r="J332" i="6" s="1"/>
  <c r="J407" i="6" a="1"/>
  <c r="J407" i="6" s="1"/>
  <c r="J122" i="6" a="1"/>
  <c r="J122" i="6" s="1"/>
  <c r="J161" i="6" a="1"/>
  <c r="J161" i="6" s="1"/>
  <c r="J451" i="6" a="1"/>
  <c r="J451" i="6" s="1"/>
  <c r="J166" i="6" a="1"/>
  <c r="J166" i="6" s="1"/>
  <c r="J34" i="6" a="1"/>
  <c r="J34" i="6" s="1"/>
  <c r="J213" i="6" a="1"/>
  <c r="J213" i="6" s="1"/>
  <c r="J102" i="6" a="1"/>
  <c r="J102" i="6" s="1"/>
  <c r="J217" i="6" a="1"/>
  <c r="J217" i="6" s="1"/>
  <c r="J89" i="6" a="1"/>
  <c r="J89" i="6" s="1"/>
  <c r="J112" i="6" a="1"/>
  <c r="J112" i="6" s="1"/>
  <c r="J116" i="6" a="1"/>
  <c r="J116" i="6" s="1"/>
  <c r="J392" i="6" a="1"/>
  <c r="J392" i="6" s="1"/>
  <c r="J196" i="6" a="1"/>
  <c r="J196" i="6" s="1"/>
  <c r="J313" i="6" a="1"/>
  <c r="J313" i="6" s="1"/>
  <c r="J192" i="6" a="1"/>
  <c r="J192" i="6" s="1"/>
  <c r="J80" i="6" a="1"/>
  <c r="J80" i="6" s="1"/>
  <c r="J343" i="6" a="1"/>
  <c r="J343" i="6" s="1"/>
  <c r="J257" i="6" a="1"/>
  <c r="J257" i="6" s="1"/>
  <c r="J266" i="6" a="1"/>
  <c r="J266" i="6" s="1"/>
  <c r="J135" i="6" a="1"/>
  <c r="J135" i="6" s="1"/>
  <c r="J40" i="6" a="1"/>
  <c r="J40" i="6" s="1"/>
  <c r="J176" i="6" a="1"/>
  <c r="J176" i="6" s="1"/>
  <c r="J211" i="6" a="1"/>
  <c r="J211" i="6" s="1"/>
  <c r="J168" i="6" a="1"/>
  <c r="J168" i="6" s="1"/>
  <c r="J280" i="6" a="1"/>
  <c r="J280" i="6" s="1"/>
  <c r="J234" i="6" a="1"/>
  <c r="J234" i="6" s="1"/>
  <c r="J487" i="6" a="1"/>
  <c r="J487" i="6" s="1"/>
  <c r="J243" i="6" a="1"/>
  <c r="J243" i="6" s="1"/>
  <c r="J93" i="6" a="1"/>
  <c r="J93" i="6" s="1"/>
  <c r="J174" i="6" a="1"/>
  <c r="J174" i="6" s="1"/>
  <c r="J46" i="6" a="1"/>
  <c r="J46" i="6" s="1"/>
  <c r="J191" i="6" a="1"/>
  <c r="J191" i="6" s="1"/>
  <c r="J378" i="6" a="1"/>
  <c r="J378" i="6" s="1"/>
  <c r="J67" i="6" a="1"/>
  <c r="J67" i="6" s="1"/>
  <c r="J156" i="6" a="1"/>
  <c r="J156" i="6" s="1"/>
  <c r="J29" i="6" a="1"/>
  <c r="J29" i="6" s="1"/>
  <c r="J145" i="6" a="1"/>
  <c r="J145" i="6" s="1"/>
  <c r="J339" i="6" a="1"/>
  <c r="J339" i="6" s="1"/>
  <c r="J47" i="6" a="1"/>
  <c r="J47" i="6" s="1"/>
  <c r="J269" i="6" a="1"/>
  <c r="J269" i="6" s="1"/>
  <c r="J300" i="6" a="1"/>
  <c r="J300" i="6" s="1"/>
  <c r="J69" i="6" a="1"/>
  <c r="J69" i="6" s="1"/>
  <c r="J461" i="6" a="1"/>
  <c r="J461" i="6" s="1"/>
  <c r="J435" i="6" a="1"/>
  <c r="J435" i="6" s="1"/>
  <c r="J463" i="6" a="1"/>
  <c r="J463" i="6" s="1"/>
  <c r="J274" i="6" a="1"/>
  <c r="J274" i="6" s="1"/>
  <c r="J452" i="6" a="1"/>
  <c r="J452" i="6" s="1"/>
  <c r="J424" i="6" a="1"/>
  <c r="J424" i="6" s="1"/>
  <c r="J468" i="6" a="1"/>
  <c r="J468" i="6" s="1"/>
  <c r="J423" i="6" a="1"/>
  <c r="J423" i="6" s="1"/>
  <c r="J297" i="6" a="1"/>
  <c r="J297" i="6" s="1"/>
  <c r="J221" i="6" a="1"/>
  <c r="J221" i="6" s="1"/>
  <c r="J338" i="6" a="1"/>
  <c r="J338" i="6" s="1"/>
  <c r="J356" i="6" a="1"/>
  <c r="J356" i="6" s="1"/>
  <c r="J230" i="6" a="1"/>
  <c r="J230" i="6" s="1"/>
  <c r="J226" i="6" a="1"/>
  <c r="J226" i="6" s="1"/>
  <c r="J379" i="6" a="1"/>
  <c r="J379" i="6" s="1"/>
  <c r="J431" i="6" a="1"/>
  <c r="J431" i="6" s="1"/>
  <c r="J241" i="6" a="1"/>
  <c r="J241" i="6" s="1"/>
  <c r="J321" i="6" a="1"/>
  <c r="J321" i="6" s="1"/>
  <c r="J467" i="6" a="1"/>
  <c r="J467" i="6" s="1"/>
  <c r="J419" i="6" a="1"/>
  <c r="J419" i="6" s="1"/>
  <c r="J232" i="6" a="1"/>
  <c r="J232" i="6" s="1"/>
  <c r="J275" i="6" a="1"/>
  <c r="J275" i="6" s="1"/>
  <c r="J471" i="6" a="1"/>
  <c r="J471" i="6" s="1"/>
  <c r="J374" i="6" a="1"/>
  <c r="J374" i="6" s="1"/>
  <c r="J456" i="6" a="1"/>
  <c r="J456" i="6" s="1"/>
  <c r="J426" i="6" a="1"/>
  <c r="J426" i="6" s="1"/>
  <c r="J320" i="6" a="1"/>
  <c r="J320" i="6" s="1"/>
  <c r="J470" i="6" a="1"/>
  <c r="J470" i="6" s="1"/>
  <c r="J412" i="6" a="1"/>
  <c r="J412" i="6" s="1"/>
  <c r="J505" i="6" a="1"/>
  <c r="J505" i="6" s="1"/>
  <c r="J43" i="6" a="1"/>
  <c r="J43" i="6" s="1"/>
  <c r="J472" i="6" a="1"/>
  <c r="J472" i="6" s="1"/>
  <c r="J496" i="6" a="1"/>
  <c r="J496" i="6" s="1"/>
  <c r="J422" i="6" a="1"/>
  <c r="J422" i="6" s="1"/>
  <c r="J287" i="6" a="1"/>
  <c r="J287" i="6" s="1"/>
  <c r="J218" i="6" a="1"/>
  <c r="J218" i="6" s="1"/>
  <c r="J430" i="6" a="1"/>
  <c r="J430" i="6" s="1"/>
  <c r="J315" i="6" a="1"/>
  <c r="J315" i="6" s="1"/>
  <c r="J475" i="6" a="1"/>
  <c r="J475" i="6" s="1"/>
  <c r="J429" i="6" a="1"/>
  <c r="J429" i="6" s="1"/>
  <c r="J466" i="6" a="1"/>
  <c r="J466" i="6" s="1"/>
  <c r="J425" i="6" a="1"/>
  <c r="J425" i="6" s="1"/>
  <c r="J256" i="6" a="1"/>
  <c r="J256" i="6" s="1"/>
  <c r="J239" i="6" a="1"/>
  <c r="J239" i="6" s="1"/>
  <c r="J427" i="6" a="1"/>
  <c r="J427" i="6" s="1"/>
  <c r="J432" i="6" a="1"/>
  <c r="J432" i="6" s="1"/>
  <c r="J342" i="6" a="1"/>
  <c r="J342" i="6" s="1"/>
  <c r="J418" i="6" a="1"/>
  <c r="J418" i="6" s="1"/>
  <c r="J380" i="6" a="1"/>
  <c r="J380" i="6" s="1"/>
  <c r="J240" i="6" a="1"/>
  <c r="J240" i="6" s="1"/>
  <c r="J473" i="6" a="1"/>
  <c r="J473" i="6" s="1"/>
  <c r="J381" i="6" a="1"/>
  <c r="J381" i="6" s="1"/>
  <c r="J369" i="6" a="1"/>
  <c r="J369" i="6" s="1"/>
  <c r="J237" i="6" a="1"/>
  <c r="J237" i="6" s="1"/>
  <c r="J415" i="6" a="1"/>
  <c r="J415" i="6" s="1"/>
  <c r="J460" i="6" a="1"/>
  <c r="J460" i="6" s="1"/>
  <c r="J273" i="6" a="1"/>
  <c r="J273" i="6" s="1"/>
  <c r="J376" i="6" a="1"/>
  <c r="J376" i="6" s="1"/>
  <c r="J229" i="6" a="1"/>
  <c r="J229" i="6" s="1"/>
  <c r="J351" i="6" a="1"/>
  <c r="J351" i="6" s="1"/>
  <c r="J355" i="6" a="1"/>
  <c r="J355" i="6" s="1"/>
  <c r="J296" i="6" a="1"/>
  <c r="J296" i="6" s="1"/>
  <c r="J260" i="6" a="1"/>
  <c r="J260" i="6" s="1"/>
  <c r="J469" i="6" a="1"/>
  <c r="J469" i="6" s="1"/>
  <c r="J373" i="6" a="1"/>
  <c r="J373" i="6" s="1"/>
  <c r="J383" i="6" a="1"/>
  <c r="J383" i="6" s="1"/>
  <c r="J372" i="6" a="1"/>
  <c r="J372" i="6" s="1"/>
  <c r="J428" i="6" a="1"/>
  <c r="J428" i="6" s="1"/>
  <c r="J433" i="6" a="1"/>
  <c r="J433" i="6" s="1"/>
  <c r="J262" i="6" a="1"/>
  <c r="J262" i="6" s="1"/>
  <c r="J298" i="6" a="1"/>
  <c r="J298" i="6" s="1"/>
  <c r="J465" i="6" a="1"/>
  <c r="J465" i="6" s="1"/>
  <c r="J231" i="6" a="1"/>
  <c r="J231" i="6" s="1"/>
  <c r="J322" i="6" a="1"/>
  <c r="J322" i="6" s="1"/>
  <c r="J464" i="6" a="1"/>
  <c r="J464" i="6" s="1"/>
  <c r="J220" i="6" a="1"/>
  <c r="J220" i="6" s="1"/>
  <c r="J228" i="6" a="1"/>
  <c r="J228" i="6" s="1"/>
  <c r="J238" i="6" a="1"/>
  <c r="J238" i="6" s="1"/>
  <c r="J219" i="6" a="1"/>
  <c r="J219" i="6" s="1"/>
  <c r="J227" i="6" a="1"/>
  <c r="J227" i="6" s="1"/>
  <c r="A21" i="9"/>
  <c r="O14" i="7"/>
  <c r="N14" i="7"/>
  <c r="A18" i="9"/>
  <c r="E14" i="7"/>
  <c r="G18" i="7" l="1"/>
  <c r="G22" i="7"/>
  <c r="G21" i="7"/>
  <c r="G25" i="7"/>
  <c r="G23" i="7"/>
  <c r="G17" i="7"/>
  <c r="G24" i="7"/>
  <c r="G20" i="7"/>
  <c r="G16" i="7"/>
  <c r="AD20" i="8" l="1" a="1"/>
  <c r="AD20" i="8" s="1"/>
  <c r="V20" i="8" a="1"/>
  <c r="V20" i="8" s="1"/>
  <c r="U20" i="8" a="1"/>
  <c r="U20" i="8" s="1"/>
  <c r="Y20" i="8" a="1"/>
  <c r="Y20" i="8" s="1"/>
  <c r="AC20" i="8" a="1"/>
  <c r="AC20" i="8" s="1"/>
  <c r="AG14" i="13"/>
  <c r="AD14" i="13"/>
  <c r="X20" i="8" a="1"/>
  <c r="X20" i="8" s="1"/>
  <c r="Z20" i="8" a="1"/>
  <c r="Z20" i="8" s="1"/>
  <c r="AA20" i="8" a="1"/>
  <c r="AA20" i="8" s="1"/>
  <c r="AE20" i="8" a="1"/>
  <c r="AE20" i="8" s="1"/>
  <c r="AG12" i="13"/>
  <c r="AD12" i="13"/>
  <c r="AF12" i="13"/>
  <c r="AC12" i="13"/>
  <c r="W20" i="8" a="1"/>
  <c r="W20" i="8" s="1"/>
  <c r="E20" i="8" a="1"/>
  <c r="E20" i="8" s="1"/>
  <c r="AF14" i="13" l="1"/>
  <c r="AC14" i="13"/>
  <c r="AB20" i="8" l="1" a="1"/>
  <c r="AB20" i="8" s="1"/>
  <c r="AF20" i="8" a="1"/>
  <c r="AF20" i="8" s="1"/>
  <c r="B6" i="9" a="1"/>
  <c r="B6" i="9" s="1"/>
  <c r="M13" i="9" s="1"/>
  <c r="J26" i="6" a="1"/>
  <c r="J26" i="6" s="1"/>
  <c r="N11" i="6" s="1"/>
  <c r="I12" i="6" l="1"/>
  <c r="F11" i="6"/>
  <c r="G481" i="6" l="1"/>
  <c r="F481" i="12"/>
  <c r="AF380" i="5" l="1"/>
  <c r="AF217" i="5"/>
  <c r="AF460" i="5"/>
  <c r="AF344" i="5"/>
  <c r="AF179" i="5"/>
  <c r="AF404" i="5"/>
  <c r="AF308" i="5"/>
  <c r="AF172" i="5"/>
  <c r="AF422" i="5"/>
  <c r="AF392" i="5"/>
  <c r="AF412" i="5"/>
  <c r="AF432" i="5"/>
  <c r="AF239" i="5"/>
  <c r="AF226" i="5"/>
  <c r="AF171" i="5"/>
  <c r="AF415" i="5"/>
  <c r="AF493" i="5"/>
  <c r="AF219" i="5"/>
  <c r="AF496" i="5"/>
  <c r="AF180" i="5"/>
  <c r="AF413" i="5"/>
  <c r="AF291" i="5"/>
  <c r="AF269" i="5"/>
  <c r="AF324" i="5"/>
  <c r="AF187" i="5"/>
  <c r="AF475" i="5"/>
  <c r="AF418" i="5"/>
  <c r="AF143" i="5"/>
  <c r="AF280" i="5"/>
  <c r="AF163" i="5"/>
  <c r="AF229" i="5"/>
  <c r="AF178" i="5"/>
  <c r="AF247" i="5"/>
  <c r="AF409" i="5"/>
  <c r="AF373" i="5"/>
  <c r="AF315" i="5"/>
  <c r="AF212" i="5"/>
  <c r="AF311" i="5"/>
  <c r="AF484" i="5"/>
  <c r="AF290" i="5"/>
  <c r="AF285" i="5"/>
  <c r="AF407" i="5"/>
  <c r="AF153" i="5"/>
  <c r="AF321" i="5"/>
  <c r="AF240" i="5"/>
  <c r="AF499" i="5"/>
  <c r="AF444" i="5"/>
  <c r="AF406" i="5"/>
  <c r="AF254" i="5"/>
  <c r="AF468" i="5"/>
  <c r="AF431" i="5"/>
  <c r="AF276" i="5"/>
  <c r="AF268" i="5"/>
  <c r="AF168" i="5"/>
  <c r="AF383" i="5"/>
  <c r="AF350" i="5"/>
  <c r="AF417" i="5"/>
  <c r="AF228" i="5"/>
  <c r="AF411" i="5"/>
  <c r="AF230" i="5"/>
  <c r="AF379" i="5"/>
  <c r="AF401" i="5"/>
  <c r="AF149" i="5"/>
  <c r="AF414" i="5"/>
  <c r="AF319" i="5"/>
  <c r="AF425" i="5"/>
  <c r="AF403" i="5"/>
  <c r="AF306" i="5"/>
  <c r="AF382" i="5"/>
  <c r="AF313" i="5"/>
  <c r="AF204" i="5"/>
  <c r="AF192" i="5"/>
  <c r="AF470" i="5"/>
  <c r="AF487" i="5"/>
  <c r="AF191" i="5"/>
  <c r="AF329" i="5"/>
  <c r="AF461" i="5"/>
  <c r="AF423" i="5"/>
  <c r="AF193" i="5"/>
  <c r="AF318" i="5"/>
  <c r="AF305" i="5"/>
  <c r="AF355" i="5"/>
  <c r="AF389" i="5"/>
  <c r="AF234" i="5"/>
  <c r="AF485" i="5"/>
  <c r="AF250" i="5"/>
  <c r="AF165" i="5"/>
  <c r="AF463" i="5"/>
  <c r="AF266" i="5"/>
  <c r="AF161" i="5"/>
  <c r="AF236" i="5"/>
  <c r="AF295" i="5"/>
  <c r="AF451" i="5"/>
  <c r="AF281" i="5"/>
  <c r="AF458" i="5"/>
  <c r="AF257" i="5"/>
  <c r="AF505" i="5"/>
  <c r="AF338" i="5"/>
  <c r="AF177" i="5"/>
  <c r="AF209" i="5"/>
  <c r="AF181" i="5"/>
  <c r="AF233" i="5"/>
  <c r="AF472" i="5"/>
  <c r="AF365" i="5"/>
  <c r="AF195" i="5"/>
  <c r="AF184" i="5"/>
  <c r="AF449" i="5"/>
  <c r="AF189" i="5"/>
  <c r="AF464" i="5"/>
  <c r="AF174" i="5"/>
  <c r="AF150" i="5"/>
  <c r="AF447" i="5"/>
  <c r="AF476" i="5"/>
  <c r="AF260" i="5"/>
  <c r="AF328" i="5"/>
  <c r="AF390" i="5"/>
  <c r="AF183" i="5"/>
  <c r="AF267" i="5"/>
  <c r="AF359" i="5"/>
  <c r="AF252" i="5"/>
  <c r="AF190" i="5"/>
  <c r="AF298" i="5"/>
  <c r="AF438" i="5"/>
  <c r="AF507" i="5"/>
  <c r="AF199" i="5"/>
  <c r="AF446" i="5"/>
  <c r="AF387" i="5"/>
  <c r="AF369" i="5"/>
  <c r="AF156" i="5"/>
  <c r="AF144" i="5"/>
  <c r="AF408" i="5"/>
  <c r="AF399" i="5"/>
  <c r="AF206" i="5"/>
  <c r="AF220" i="5"/>
  <c r="AF152" i="5"/>
  <c r="AF185" i="5"/>
  <c r="AF396" i="5"/>
  <c r="AF343" i="5"/>
  <c r="AF154" i="5"/>
  <c r="AF237" i="5"/>
  <c r="AF175" i="5"/>
  <c r="AF402" i="5"/>
  <c r="AF157" i="5"/>
  <c r="AF424" i="5"/>
  <c r="AF478" i="5"/>
  <c r="AF502" i="5"/>
  <c r="AF363" i="5"/>
  <c r="AF421" i="5"/>
  <c r="AF262" i="5"/>
  <c r="AF322" i="5"/>
  <c r="AF437" i="5"/>
  <c r="AF310" i="5"/>
  <c r="AF477" i="5"/>
  <c r="AF320" i="5"/>
  <c r="AF273" i="5"/>
  <c r="AF214" i="5"/>
  <c r="AF386" i="5"/>
  <c r="AF287" i="5"/>
  <c r="AF255" i="5"/>
  <c r="AF261" i="5"/>
  <c r="AF162" i="5"/>
  <c r="AF169" i="5"/>
  <c r="AF167" i="5"/>
  <c r="AF467" i="5"/>
  <c r="AF160" i="5"/>
  <c r="AF381" i="5"/>
  <c r="AF251" i="5"/>
  <c r="AF353" i="5"/>
  <c r="AF211" i="5"/>
  <c r="AF443" i="5"/>
  <c r="AF356" i="5"/>
  <c r="AF164" i="5"/>
  <c r="AF397" i="5"/>
  <c r="AF265" i="5"/>
  <c r="AF297" i="5"/>
  <c r="AF275" i="5"/>
  <c r="AF345" i="5"/>
  <c r="AF258" i="5"/>
  <c r="AF279" i="5"/>
  <c r="AF430" i="5"/>
  <c r="AF426" i="5"/>
  <c r="AF405" i="5"/>
  <c r="AF333" i="5"/>
  <c r="AF325" i="5"/>
  <c r="AF364" i="5"/>
  <c r="AF501" i="5"/>
  <c r="AF346" i="5"/>
  <c r="AF393" i="5"/>
  <c r="AF241" i="5"/>
  <c r="AF200" i="5"/>
  <c r="AF248" i="5"/>
  <c r="AF221" i="5"/>
  <c r="AF243" i="5"/>
  <c r="AF270" i="5"/>
  <c r="AF376" i="5"/>
  <c r="AF358" i="5"/>
  <c r="AF368" i="5"/>
  <c r="AF448" i="5"/>
  <c r="AF495" i="5"/>
  <c r="AF166" i="5"/>
  <c r="AF439" i="5"/>
  <c r="AF203" i="5"/>
  <c r="AF481" i="5"/>
  <c r="AF256" i="5"/>
  <c r="AF288" i="5"/>
  <c r="AF491" i="5"/>
  <c r="AF227" i="5"/>
  <c r="AF222" i="5"/>
  <c r="AF249" i="5"/>
  <c r="AF146" i="5"/>
  <c r="AF300" i="5"/>
  <c r="AF198" i="5"/>
  <c r="AF197" i="5"/>
  <c r="AF155" i="5"/>
  <c r="AF391" i="5"/>
  <c r="AF471" i="5"/>
  <c r="AF429" i="5"/>
  <c r="AF336" i="5"/>
  <c r="AF436" i="5"/>
  <c r="AF282" i="5"/>
  <c r="AF342" i="5"/>
  <c r="AF388" i="5"/>
  <c r="AF186" i="5"/>
  <c r="AF497" i="5"/>
  <c r="AF292" i="5"/>
  <c r="AF494" i="5"/>
  <c r="AF416" i="5"/>
  <c r="AF371" i="5"/>
  <c r="AF296" i="5"/>
  <c r="AF339" i="5"/>
  <c r="AF452" i="5"/>
  <c r="AF294" i="5"/>
  <c r="AF351" i="5"/>
  <c r="AF202" i="5"/>
  <c r="AF428" i="5"/>
  <c r="AF242" i="5"/>
  <c r="AF330" i="5"/>
  <c r="AF176" i="5"/>
  <c r="AF232" i="5"/>
  <c r="AF440" i="5"/>
  <c r="AF482" i="5"/>
  <c r="AF456" i="5"/>
  <c r="AF223" i="5"/>
  <c r="AF465" i="5"/>
  <c r="AF271" i="5"/>
  <c r="AF488" i="5"/>
  <c r="AF455" i="5"/>
  <c r="AF170" i="5"/>
  <c r="AF335" i="5"/>
  <c r="AF145" i="5"/>
  <c r="AF309" i="5"/>
  <c r="AF394" i="5"/>
  <c r="AF231" i="5"/>
  <c r="AF375" i="5"/>
  <c r="AF398" i="5"/>
  <c r="AF331" i="5"/>
  <c r="AF504" i="5"/>
  <c r="AF332" i="5"/>
  <c r="AF348" i="5"/>
  <c r="AF182" i="5"/>
  <c r="AF473" i="5"/>
  <c r="AF378" i="5"/>
  <c r="AF284" i="5"/>
  <c r="AF274" i="5"/>
  <c r="AF347" i="5"/>
  <c r="AF210" i="5"/>
  <c r="AF158" i="5"/>
  <c r="AF435" i="5"/>
  <c r="AF427" i="5"/>
  <c r="AF454" i="5"/>
  <c r="AF349" i="5"/>
  <c r="AF205" i="5"/>
  <c r="AF213" i="5"/>
  <c r="AF218" i="5"/>
  <c r="AF151" i="5"/>
  <c r="AF225" i="5"/>
  <c r="AF253" i="5"/>
  <c r="AF445" i="5"/>
  <c r="AF316" i="5"/>
  <c r="AF372" i="5"/>
  <c r="AF374" i="5"/>
  <c r="AF367" i="5"/>
  <c r="AF238" i="5"/>
  <c r="AF450" i="5"/>
  <c r="AF352" i="5"/>
  <c r="AF304" i="5"/>
  <c r="AF301" i="5"/>
  <c r="AF490" i="5"/>
  <c r="AF334" i="5"/>
  <c r="AF196" i="5"/>
  <c r="AF307" i="5"/>
  <c r="AF466" i="5"/>
  <c r="AF420" i="5"/>
  <c r="AF283" i="5"/>
  <c r="AF469" i="5"/>
  <c r="AF419" i="5"/>
  <c r="AF433" i="5"/>
  <c r="AF54" i="5"/>
  <c r="AF20" i="5"/>
  <c r="AF61" i="5"/>
  <c r="AF22" i="5"/>
  <c r="AF88" i="5"/>
  <c r="AF104" i="5"/>
  <c r="AF120" i="5"/>
  <c r="AF133" i="5"/>
  <c r="AF140" i="5"/>
  <c r="AF114" i="5"/>
  <c r="AF116" i="5"/>
  <c r="AF85" i="5"/>
  <c r="AF139" i="5"/>
  <c r="AF68" i="5"/>
  <c r="AF55" i="5"/>
  <c r="AF70" i="5"/>
  <c r="AF45" i="5"/>
  <c r="AF89" i="5"/>
  <c r="AF105" i="5"/>
  <c r="AF121" i="5"/>
  <c r="AF134" i="5"/>
  <c r="AF52" i="5"/>
  <c r="AF31" i="5"/>
  <c r="AF39" i="5"/>
  <c r="AF49" i="5"/>
  <c r="AF74" i="5"/>
  <c r="AF90" i="5"/>
  <c r="AF106" i="5"/>
  <c r="AF122" i="5"/>
  <c r="AF135" i="5"/>
  <c r="AF113" i="5"/>
  <c r="AF132" i="5"/>
  <c r="AF73" i="5"/>
  <c r="AF36" i="5"/>
  <c r="AF65" i="5"/>
  <c r="AF66" i="5"/>
  <c r="AF71" i="5"/>
  <c r="AF72" i="5"/>
  <c r="AF75" i="5"/>
  <c r="AF92" i="5"/>
  <c r="AF107" i="5"/>
  <c r="AF123" i="5"/>
  <c r="AF136" i="5"/>
  <c r="AF126" i="5"/>
  <c r="AF117" i="5"/>
  <c r="AF118" i="5"/>
  <c r="AF119" i="5"/>
  <c r="AF18" i="5"/>
  <c r="AF50" i="5"/>
  <c r="AF59" i="5"/>
  <c r="AF58" i="5"/>
  <c r="AF76" i="5"/>
  <c r="AF91" i="5"/>
  <c r="AF108" i="5"/>
  <c r="AF124" i="5"/>
  <c r="AF138" i="5"/>
  <c r="AF142" i="5"/>
  <c r="AF131" i="5"/>
  <c r="AF44" i="5"/>
  <c r="AF40" i="5"/>
  <c r="AF16" i="5"/>
  <c r="AF51" i="5"/>
  <c r="AF37" i="5"/>
  <c r="AF77" i="5"/>
  <c r="AF93" i="5"/>
  <c r="AF109" i="5"/>
  <c r="AF125" i="5"/>
  <c r="AF21" i="5"/>
  <c r="AF53" i="5"/>
  <c r="AF63" i="5"/>
  <c r="AF17" i="5"/>
  <c r="AF60" i="5"/>
  <c r="AF78" i="5"/>
  <c r="AF94" i="5"/>
  <c r="AF110" i="5"/>
  <c r="AF130" i="5"/>
  <c r="AF100" i="5"/>
  <c r="AF86" i="5"/>
  <c r="AF141" i="5"/>
  <c r="AF64" i="5"/>
  <c r="AF29" i="5"/>
  <c r="AF35" i="5"/>
  <c r="AF46" i="5"/>
  <c r="AF79" i="5"/>
  <c r="AF95" i="5"/>
  <c r="AF111" i="5"/>
  <c r="AF127" i="5"/>
  <c r="AF137" i="5"/>
  <c r="AF129" i="5"/>
  <c r="AF84" i="5"/>
  <c r="AF42" i="5"/>
  <c r="AF43" i="5"/>
  <c r="AF27" i="5"/>
  <c r="AF69" i="5"/>
  <c r="AF80" i="5"/>
  <c r="AF96" i="5"/>
  <c r="AF112" i="5"/>
  <c r="AF128" i="5"/>
  <c r="AF83" i="5"/>
  <c r="AF103" i="5"/>
  <c r="AF26" i="5"/>
  <c r="AF47" i="5"/>
  <c r="AF23" i="5"/>
  <c r="AF25" i="5"/>
  <c r="AF81" i="5"/>
  <c r="AF97" i="5"/>
  <c r="AF34" i="5"/>
  <c r="AF102" i="5"/>
  <c r="AF14" i="5"/>
  <c r="AF62" i="5"/>
  <c r="AF24" i="5"/>
  <c r="AF48" i="5"/>
  <c r="AF82" i="5"/>
  <c r="AF98" i="5"/>
  <c r="AF99" i="5"/>
  <c r="AF57" i="5"/>
  <c r="AF87" i="5"/>
  <c r="AF30" i="5"/>
  <c r="AF115" i="5"/>
  <c r="AF41" i="5"/>
  <c r="AF38" i="5"/>
  <c r="AF56" i="5"/>
  <c r="AF33" i="5"/>
  <c r="AF67" i="5"/>
  <c r="AF28" i="5"/>
  <c r="AF101" i="5"/>
  <c r="AF19" i="5"/>
  <c r="AF32" i="5"/>
  <c r="AG28" i="5" l="1"/>
  <c r="U28" i="5" s="1"/>
  <c r="AG30" i="5"/>
  <c r="U30" i="5" s="1"/>
  <c r="AG87" i="5"/>
  <c r="U87" i="5" s="1"/>
  <c r="AG57" i="5"/>
  <c r="U57" i="5" s="1"/>
  <c r="AG48" i="5"/>
  <c r="U48" i="5" s="1"/>
  <c r="AG24" i="5"/>
  <c r="U24" i="5" s="1"/>
  <c r="S14" i="5"/>
  <c r="R14" i="5"/>
  <c r="AG14" i="5"/>
  <c r="AG25" i="5"/>
  <c r="U25" i="5" s="1"/>
  <c r="AG27" i="5"/>
  <c r="U27" i="5" s="1"/>
  <c r="AG42" i="5"/>
  <c r="U42" i="5" s="1"/>
  <c r="AG129" i="5"/>
  <c r="U129" i="5" s="1"/>
  <c r="AG95" i="5"/>
  <c r="U95" i="5" s="1"/>
  <c r="AG100" i="5"/>
  <c r="U100" i="5" s="1"/>
  <c r="AG60" i="5"/>
  <c r="U60" i="5" s="1"/>
  <c r="S17" i="5"/>
  <c r="AG17" i="5"/>
  <c r="AG16" i="5"/>
  <c r="AG44" i="5"/>
  <c r="U44" i="5" s="1"/>
  <c r="AG124" i="5"/>
  <c r="U124" i="5" s="1"/>
  <c r="AG59" i="5"/>
  <c r="U59" i="5" s="1"/>
  <c r="AG18" i="5"/>
  <c r="AG118" i="5"/>
  <c r="U118" i="5" s="1"/>
  <c r="AG72" i="5"/>
  <c r="U72" i="5" s="1"/>
  <c r="AG106" i="5"/>
  <c r="U106" i="5" s="1"/>
  <c r="AG49" i="5"/>
  <c r="U49" i="5" s="1"/>
  <c r="AG52" i="5"/>
  <c r="U52" i="5" s="1"/>
  <c r="AG134" i="5"/>
  <c r="U134" i="5" s="1"/>
  <c r="AG105" i="5"/>
  <c r="U105" i="5" s="1"/>
  <c r="AG140" i="5"/>
  <c r="U140" i="5" s="1"/>
  <c r="AG61" i="5"/>
  <c r="U61" i="5" s="1"/>
  <c r="R32" i="5"/>
  <c r="R56" i="5"/>
  <c r="AG99" i="5"/>
  <c r="AG102" i="5"/>
  <c r="AG47" i="5"/>
  <c r="AG112" i="5"/>
  <c r="S84" i="5"/>
  <c r="R79" i="5"/>
  <c r="R86" i="5"/>
  <c r="AG109" i="5"/>
  <c r="AG40" i="5"/>
  <c r="S91" i="5"/>
  <c r="R119" i="5"/>
  <c r="R107" i="5"/>
  <c r="AG65" i="5"/>
  <c r="AG122" i="5"/>
  <c r="R31" i="5"/>
  <c r="R55" i="5"/>
  <c r="AG114" i="5"/>
  <c r="R22" i="5"/>
  <c r="R469" i="5"/>
  <c r="AG196" i="5"/>
  <c r="S450" i="5"/>
  <c r="R316" i="5"/>
  <c r="S435" i="5"/>
  <c r="R284" i="5"/>
  <c r="R332" i="5"/>
  <c r="R394" i="5"/>
  <c r="AG455" i="5"/>
  <c r="R242" i="5"/>
  <c r="S452" i="5"/>
  <c r="R494" i="5"/>
  <c r="AG282" i="5"/>
  <c r="R391" i="5"/>
  <c r="S146" i="5"/>
  <c r="S256" i="5"/>
  <c r="R495" i="5"/>
  <c r="AG243" i="5"/>
  <c r="S393" i="5"/>
  <c r="AG333" i="5"/>
  <c r="S345" i="5"/>
  <c r="R164" i="5"/>
  <c r="R251" i="5"/>
  <c r="AG162" i="5"/>
  <c r="S214" i="5"/>
  <c r="R437" i="5"/>
  <c r="S478" i="5"/>
  <c r="S237" i="5"/>
  <c r="S152" i="5"/>
  <c r="AG156" i="5"/>
  <c r="R507" i="5"/>
  <c r="S359" i="5"/>
  <c r="R476" i="5"/>
  <c r="R189" i="5"/>
  <c r="R505" i="5"/>
  <c r="AG295" i="5"/>
  <c r="AG165" i="5"/>
  <c r="S305" i="5"/>
  <c r="S329" i="5"/>
  <c r="AG204" i="5"/>
  <c r="AG319" i="5"/>
  <c r="S230" i="5"/>
  <c r="R254" i="5"/>
  <c r="R321" i="5"/>
  <c r="R484" i="5"/>
  <c r="AG247" i="5"/>
  <c r="S143" i="5"/>
  <c r="AG269" i="5"/>
  <c r="R493" i="5"/>
  <c r="S432" i="5"/>
  <c r="R308" i="5"/>
  <c r="R380" i="5"/>
  <c r="S32" i="5"/>
  <c r="S56" i="5"/>
  <c r="R99" i="5"/>
  <c r="S102" i="5"/>
  <c r="S47" i="5"/>
  <c r="S112" i="5"/>
  <c r="AG84" i="5"/>
  <c r="AG46" i="5"/>
  <c r="AG86" i="5"/>
  <c r="R109" i="5"/>
  <c r="S40" i="5"/>
  <c r="R91" i="5"/>
  <c r="S92" i="5"/>
  <c r="R36" i="5"/>
  <c r="R122" i="5"/>
  <c r="S55" i="5"/>
  <c r="R114" i="5"/>
  <c r="S22" i="5"/>
  <c r="S334" i="5"/>
  <c r="R450" i="5"/>
  <c r="AG316" i="5"/>
  <c r="R213" i="5"/>
  <c r="R435" i="5"/>
  <c r="S284" i="5"/>
  <c r="S504" i="5"/>
  <c r="AG394" i="5"/>
  <c r="S455" i="5"/>
  <c r="R482" i="5"/>
  <c r="AG242" i="5"/>
  <c r="S292" i="5"/>
  <c r="R282" i="5"/>
  <c r="AG391" i="5"/>
  <c r="S249" i="5"/>
  <c r="R256" i="5"/>
  <c r="R448" i="5"/>
  <c r="S243" i="5"/>
  <c r="AG393" i="5"/>
  <c r="R405" i="5"/>
  <c r="R345" i="5"/>
  <c r="S164" i="5"/>
  <c r="S381" i="5"/>
  <c r="S162" i="5"/>
  <c r="AG214" i="5"/>
  <c r="S322" i="5"/>
  <c r="R478" i="5"/>
  <c r="R220" i="5"/>
  <c r="S156" i="5"/>
  <c r="S507" i="5"/>
  <c r="S267" i="5"/>
  <c r="S476" i="5"/>
  <c r="S189" i="5"/>
  <c r="R233" i="5"/>
  <c r="S505" i="5"/>
  <c r="S295" i="5"/>
  <c r="R250" i="5"/>
  <c r="R305" i="5"/>
  <c r="R329" i="5"/>
  <c r="S313" i="5"/>
  <c r="R319" i="5"/>
  <c r="S168" i="5"/>
  <c r="S254" i="5"/>
  <c r="AG311" i="5"/>
  <c r="R247" i="5"/>
  <c r="R143" i="5"/>
  <c r="R291" i="5"/>
  <c r="S493" i="5"/>
  <c r="S404" i="5"/>
  <c r="S380" i="5"/>
  <c r="AG32" i="5"/>
  <c r="AG56" i="5"/>
  <c r="S98" i="5"/>
  <c r="R102" i="5"/>
  <c r="R47" i="5"/>
  <c r="S96" i="5"/>
  <c r="R84" i="5"/>
  <c r="S46" i="5"/>
  <c r="S86" i="5"/>
  <c r="R93" i="5"/>
  <c r="AG91" i="5"/>
  <c r="AG117" i="5"/>
  <c r="AG92" i="5"/>
  <c r="S36" i="5"/>
  <c r="S122" i="5"/>
  <c r="AG55" i="5"/>
  <c r="S283" i="5"/>
  <c r="AG334" i="5"/>
  <c r="AG450" i="5"/>
  <c r="R445" i="5"/>
  <c r="S213" i="5"/>
  <c r="AG378" i="5"/>
  <c r="AG504" i="5"/>
  <c r="S394" i="5"/>
  <c r="S488" i="5"/>
  <c r="S482" i="5"/>
  <c r="S242" i="5"/>
  <c r="S339" i="5"/>
  <c r="AG292" i="5"/>
  <c r="S282" i="5"/>
  <c r="S155" i="5"/>
  <c r="R249" i="5"/>
  <c r="AG448" i="5"/>
  <c r="R243" i="5"/>
  <c r="S346" i="5"/>
  <c r="AG405" i="5"/>
  <c r="AG345" i="5"/>
  <c r="S356" i="5"/>
  <c r="R381" i="5"/>
  <c r="R162" i="5"/>
  <c r="R273" i="5"/>
  <c r="R322" i="5"/>
  <c r="AG478" i="5"/>
  <c r="R154" i="5"/>
  <c r="S220" i="5"/>
  <c r="R156" i="5"/>
  <c r="S438" i="5"/>
  <c r="AG267" i="5"/>
  <c r="AG476" i="5"/>
  <c r="AG449" i="5"/>
  <c r="S233" i="5"/>
  <c r="S236" i="5"/>
  <c r="S250" i="5"/>
  <c r="AG305" i="5"/>
  <c r="R191" i="5"/>
  <c r="R313" i="5"/>
  <c r="S319" i="5"/>
  <c r="AG411" i="5"/>
  <c r="R168" i="5"/>
  <c r="AG254" i="5"/>
  <c r="S153" i="5"/>
  <c r="S311" i="5"/>
  <c r="S247" i="5"/>
  <c r="R418" i="5"/>
  <c r="AG291" i="5"/>
  <c r="AG493" i="5"/>
  <c r="R412" i="5"/>
  <c r="AG404" i="5"/>
  <c r="R19" i="5"/>
  <c r="S38" i="5"/>
  <c r="R98" i="5"/>
  <c r="AG34" i="5"/>
  <c r="R26" i="5"/>
  <c r="R96" i="5"/>
  <c r="R46" i="5"/>
  <c r="S63" i="5"/>
  <c r="S93" i="5"/>
  <c r="R131" i="5"/>
  <c r="R76" i="5"/>
  <c r="S117" i="5"/>
  <c r="R92" i="5"/>
  <c r="AG36" i="5"/>
  <c r="R121" i="5"/>
  <c r="R68" i="5"/>
  <c r="R133" i="5"/>
  <c r="AG20" i="5"/>
  <c r="R283" i="5"/>
  <c r="R334" i="5"/>
  <c r="S238" i="5"/>
  <c r="S445" i="5"/>
  <c r="AG213" i="5"/>
  <c r="R158" i="5"/>
  <c r="S378" i="5"/>
  <c r="R504" i="5"/>
  <c r="AG309" i="5"/>
  <c r="AG488" i="5"/>
  <c r="AG482" i="5"/>
  <c r="R428" i="5"/>
  <c r="R339" i="5"/>
  <c r="R292" i="5"/>
  <c r="S436" i="5"/>
  <c r="R155" i="5"/>
  <c r="AG249" i="5"/>
  <c r="AG481" i="5"/>
  <c r="S448" i="5"/>
  <c r="S221" i="5"/>
  <c r="AG346" i="5"/>
  <c r="S405" i="5"/>
  <c r="R275" i="5"/>
  <c r="R356" i="5"/>
  <c r="AG261" i="5"/>
  <c r="S273" i="5"/>
  <c r="R424" i="5"/>
  <c r="S154" i="5"/>
  <c r="S369" i="5"/>
  <c r="R438" i="5"/>
  <c r="R267" i="5"/>
  <c r="AG447" i="5"/>
  <c r="S449" i="5"/>
  <c r="AG233" i="5"/>
  <c r="AG257" i="5"/>
  <c r="AG236" i="5"/>
  <c r="AG250" i="5"/>
  <c r="AG318" i="5"/>
  <c r="AG191" i="5"/>
  <c r="AG313" i="5"/>
  <c r="R414" i="5"/>
  <c r="S411" i="5"/>
  <c r="AG168" i="5"/>
  <c r="S406" i="5"/>
  <c r="R153" i="5"/>
  <c r="R311" i="5"/>
  <c r="AG178" i="5"/>
  <c r="S418" i="5"/>
  <c r="S291" i="5"/>
  <c r="R415" i="5"/>
  <c r="S412" i="5"/>
  <c r="R404" i="5"/>
  <c r="AG19" i="5"/>
  <c r="R38" i="5"/>
  <c r="AG98" i="5"/>
  <c r="R34" i="5"/>
  <c r="S26" i="5"/>
  <c r="AG96" i="5"/>
  <c r="R137" i="5"/>
  <c r="R35" i="5"/>
  <c r="S130" i="5"/>
  <c r="AG63" i="5"/>
  <c r="AG93" i="5"/>
  <c r="AG131" i="5"/>
  <c r="S76" i="5"/>
  <c r="R117" i="5"/>
  <c r="S75" i="5"/>
  <c r="R73" i="5"/>
  <c r="AG90" i="5"/>
  <c r="S121" i="5"/>
  <c r="S68" i="5"/>
  <c r="S133" i="5"/>
  <c r="R20" i="5"/>
  <c r="AG283" i="5"/>
  <c r="AG490" i="5"/>
  <c r="R238" i="5"/>
  <c r="AG445" i="5"/>
  <c r="AG205" i="5"/>
  <c r="AG158" i="5"/>
  <c r="R378" i="5"/>
  <c r="AG331" i="5"/>
  <c r="S309" i="5"/>
  <c r="R488" i="5"/>
  <c r="S440" i="5"/>
  <c r="S428" i="5"/>
  <c r="AG339" i="5"/>
  <c r="S497" i="5"/>
  <c r="R436" i="5"/>
  <c r="AG155" i="5"/>
  <c r="AG222" i="5"/>
  <c r="R481" i="5"/>
  <c r="AG368" i="5"/>
  <c r="R221" i="5"/>
  <c r="R346" i="5"/>
  <c r="S426" i="5"/>
  <c r="S275" i="5"/>
  <c r="AG160" i="5"/>
  <c r="S261" i="5"/>
  <c r="S262" i="5"/>
  <c r="S424" i="5"/>
  <c r="AG154" i="5"/>
  <c r="AG206" i="5"/>
  <c r="R369" i="5"/>
  <c r="AG183" i="5"/>
  <c r="S447" i="5"/>
  <c r="R449" i="5"/>
  <c r="R181" i="5"/>
  <c r="R257" i="5"/>
  <c r="R236" i="5"/>
  <c r="R485" i="5"/>
  <c r="S318" i="5"/>
  <c r="S191" i="5"/>
  <c r="AG382" i="5"/>
  <c r="AG414" i="5"/>
  <c r="R411" i="5"/>
  <c r="AG268" i="5"/>
  <c r="R406" i="5"/>
  <c r="AG153" i="5"/>
  <c r="AG212" i="5"/>
  <c r="S178" i="5"/>
  <c r="AG413" i="5"/>
  <c r="S415" i="5"/>
  <c r="AG179" i="5"/>
  <c r="S19" i="5"/>
  <c r="AG38" i="5"/>
  <c r="R82" i="5"/>
  <c r="S34" i="5"/>
  <c r="S80" i="5"/>
  <c r="S137" i="5"/>
  <c r="S35" i="5"/>
  <c r="R130" i="5"/>
  <c r="R63" i="5"/>
  <c r="R77" i="5"/>
  <c r="S131" i="5"/>
  <c r="AG76" i="5"/>
  <c r="AG126" i="5"/>
  <c r="AG75" i="5"/>
  <c r="S73" i="5"/>
  <c r="R90" i="5"/>
  <c r="AG121" i="5"/>
  <c r="AG68" i="5"/>
  <c r="AG133" i="5"/>
  <c r="S20" i="5"/>
  <c r="R420" i="5"/>
  <c r="S490" i="5"/>
  <c r="R253" i="5"/>
  <c r="R205" i="5"/>
  <c r="S158" i="5"/>
  <c r="R473" i="5"/>
  <c r="S331" i="5"/>
  <c r="R309" i="5"/>
  <c r="AG271" i="5"/>
  <c r="AG440" i="5"/>
  <c r="R296" i="5"/>
  <c r="AG497" i="5"/>
  <c r="AG436" i="5"/>
  <c r="AG197" i="5"/>
  <c r="R222" i="5"/>
  <c r="S203" i="5"/>
  <c r="S368" i="5"/>
  <c r="S501" i="5"/>
  <c r="R426" i="5"/>
  <c r="S443" i="5"/>
  <c r="S160" i="5"/>
  <c r="R261" i="5"/>
  <c r="S320" i="5"/>
  <c r="R262" i="5"/>
  <c r="S343" i="5"/>
  <c r="S206" i="5"/>
  <c r="R298" i="5"/>
  <c r="R183" i="5"/>
  <c r="R447" i="5"/>
  <c r="AG184" i="5"/>
  <c r="AG181" i="5"/>
  <c r="S257" i="5"/>
  <c r="S161" i="5"/>
  <c r="S485" i="5"/>
  <c r="R318" i="5"/>
  <c r="AG487" i="5"/>
  <c r="R382" i="5"/>
  <c r="S414" i="5"/>
  <c r="R228" i="5"/>
  <c r="R268" i="5"/>
  <c r="AG406" i="5"/>
  <c r="AG407" i="5"/>
  <c r="R212" i="5"/>
  <c r="R178" i="5"/>
  <c r="R475" i="5"/>
  <c r="S413" i="5"/>
  <c r="AG392" i="5"/>
  <c r="R179" i="5"/>
  <c r="R101" i="5"/>
  <c r="AG41" i="5"/>
  <c r="AG82" i="5"/>
  <c r="R97" i="5"/>
  <c r="R103" i="5"/>
  <c r="AG80" i="5"/>
  <c r="AG137" i="5"/>
  <c r="AG35" i="5"/>
  <c r="AG130" i="5"/>
  <c r="R53" i="5"/>
  <c r="AG77" i="5"/>
  <c r="S142" i="5"/>
  <c r="R58" i="5"/>
  <c r="R126" i="5"/>
  <c r="R75" i="5"/>
  <c r="AG73" i="5"/>
  <c r="S90" i="5"/>
  <c r="R139" i="5"/>
  <c r="R120" i="5"/>
  <c r="R54" i="5"/>
  <c r="AG420" i="5"/>
  <c r="R490" i="5"/>
  <c r="S367" i="5"/>
  <c r="S253" i="5"/>
  <c r="S205" i="5"/>
  <c r="AG210" i="5"/>
  <c r="S473" i="5"/>
  <c r="R331" i="5"/>
  <c r="S145" i="5"/>
  <c r="S271" i="5"/>
  <c r="R440" i="5"/>
  <c r="R202" i="5"/>
  <c r="S296" i="5"/>
  <c r="R497" i="5"/>
  <c r="S336" i="5"/>
  <c r="R197" i="5"/>
  <c r="S222" i="5"/>
  <c r="AG203" i="5"/>
  <c r="R368" i="5"/>
  <c r="R248" i="5"/>
  <c r="R501" i="5"/>
  <c r="S297" i="5"/>
  <c r="R443" i="5"/>
  <c r="R160" i="5"/>
  <c r="S255" i="5"/>
  <c r="R320" i="5"/>
  <c r="R157" i="5"/>
  <c r="AG343" i="5"/>
  <c r="R206" i="5"/>
  <c r="S387" i="5"/>
  <c r="S298" i="5"/>
  <c r="S183" i="5"/>
  <c r="AG150" i="5"/>
  <c r="R184" i="5"/>
  <c r="S181" i="5"/>
  <c r="R458" i="5"/>
  <c r="AG161" i="5"/>
  <c r="AG485" i="5"/>
  <c r="S193" i="5"/>
  <c r="R487" i="5"/>
  <c r="S382" i="5"/>
  <c r="S149" i="5"/>
  <c r="S228" i="5"/>
  <c r="S268" i="5"/>
  <c r="S444" i="5"/>
  <c r="S407" i="5"/>
  <c r="S212" i="5"/>
  <c r="R229" i="5"/>
  <c r="S475" i="5"/>
  <c r="R413" i="5"/>
  <c r="AG171" i="5"/>
  <c r="R392" i="5"/>
  <c r="S179" i="5"/>
  <c r="AG101" i="5"/>
  <c r="R41" i="5"/>
  <c r="S82" i="5"/>
  <c r="S97" i="5"/>
  <c r="AG103" i="5"/>
  <c r="R80" i="5"/>
  <c r="AG127" i="5"/>
  <c r="AG29" i="5"/>
  <c r="S110" i="5"/>
  <c r="S53" i="5"/>
  <c r="S77" i="5"/>
  <c r="R142" i="5"/>
  <c r="S58" i="5"/>
  <c r="S126" i="5"/>
  <c r="AG132" i="5"/>
  <c r="S74" i="5"/>
  <c r="AG89" i="5"/>
  <c r="AG139" i="5"/>
  <c r="S120" i="5"/>
  <c r="S54" i="5"/>
  <c r="S420" i="5"/>
  <c r="R301" i="5"/>
  <c r="R367" i="5"/>
  <c r="AG253" i="5"/>
  <c r="S349" i="5"/>
  <c r="R210" i="5"/>
  <c r="AG398" i="5"/>
  <c r="AG145" i="5"/>
  <c r="R271" i="5"/>
  <c r="R232" i="5"/>
  <c r="S202" i="5"/>
  <c r="R186" i="5"/>
  <c r="AG336" i="5"/>
  <c r="S197" i="5"/>
  <c r="R227" i="5"/>
  <c r="R203" i="5"/>
  <c r="R358" i="5"/>
  <c r="S248" i="5"/>
  <c r="AG501" i="5"/>
  <c r="R430" i="5"/>
  <c r="R297" i="5"/>
  <c r="AG443" i="5"/>
  <c r="S467" i="5"/>
  <c r="AG255" i="5"/>
  <c r="S421" i="5"/>
  <c r="AG157" i="5"/>
  <c r="R343" i="5"/>
  <c r="S399" i="5"/>
  <c r="R387" i="5"/>
  <c r="R390" i="5"/>
  <c r="S150" i="5"/>
  <c r="S184" i="5"/>
  <c r="S209" i="5"/>
  <c r="AG458" i="5"/>
  <c r="R161" i="5"/>
  <c r="R234" i="5"/>
  <c r="AG193" i="5"/>
  <c r="S487" i="5"/>
  <c r="AG306" i="5"/>
  <c r="AG149" i="5"/>
  <c r="S276" i="5"/>
  <c r="R444" i="5"/>
  <c r="R407" i="5"/>
  <c r="R315" i="5"/>
  <c r="S229" i="5"/>
  <c r="R180" i="5"/>
  <c r="S171" i="5"/>
  <c r="S392" i="5"/>
  <c r="R344" i="5"/>
  <c r="S101" i="5"/>
  <c r="S41" i="5"/>
  <c r="AG97" i="5"/>
  <c r="S103" i="5"/>
  <c r="R69" i="5"/>
  <c r="S127" i="5"/>
  <c r="R29" i="5"/>
  <c r="R110" i="5"/>
  <c r="AG53" i="5"/>
  <c r="AG37" i="5"/>
  <c r="AG142" i="5"/>
  <c r="AG58" i="5"/>
  <c r="S136" i="5"/>
  <c r="R71" i="5"/>
  <c r="R132" i="5"/>
  <c r="AG74" i="5"/>
  <c r="S89" i="5"/>
  <c r="S139" i="5"/>
  <c r="AG120" i="5"/>
  <c r="AG54" i="5"/>
  <c r="R466" i="5"/>
  <c r="S301" i="5"/>
  <c r="AG367" i="5"/>
  <c r="AG225" i="5"/>
  <c r="R349" i="5"/>
  <c r="S210" i="5"/>
  <c r="AG182" i="5"/>
  <c r="R398" i="5"/>
  <c r="R145" i="5"/>
  <c r="R465" i="5"/>
  <c r="S232" i="5"/>
  <c r="AG202" i="5"/>
  <c r="S371" i="5"/>
  <c r="S186" i="5"/>
  <c r="R336" i="5"/>
  <c r="R198" i="5"/>
  <c r="S227" i="5"/>
  <c r="AG439" i="5"/>
  <c r="S358" i="5"/>
  <c r="AG248" i="5"/>
  <c r="S364" i="5"/>
  <c r="S430" i="5"/>
  <c r="AG211" i="5"/>
  <c r="R467" i="5"/>
  <c r="R255" i="5"/>
  <c r="R477" i="5"/>
  <c r="R421" i="5"/>
  <c r="S157" i="5"/>
  <c r="S396" i="5"/>
  <c r="R399" i="5"/>
  <c r="AG387" i="5"/>
  <c r="R190" i="5"/>
  <c r="S390" i="5"/>
  <c r="R150" i="5"/>
  <c r="AG195" i="5"/>
  <c r="R209" i="5"/>
  <c r="S458" i="5"/>
  <c r="AG266" i="5"/>
  <c r="AG234" i="5"/>
  <c r="R193" i="5"/>
  <c r="S470" i="5"/>
  <c r="R306" i="5"/>
  <c r="R149" i="5"/>
  <c r="R417" i="5"/>
  <c r="AG276" i="5"/>
  <c r="AG444" i="5"/>
  <c r="AG285" i="5"/>
  <c r="S315" i="5"/>
  <c r="R187" i="5"/>
  <c r="S180" i="5"/>
  <c r="R171" i="5"/>
  <c r="S422" i="5"/>
  <c r="S344" i="5"/>
  <c r="AG115" i="5"/>
  <c r="S81" i="5"/>
  <c r="AG83" i="5"/>
  <c r="AG69" i="5"/>
  <c r="R127" i="5"/>
  <c r="S29" i="5"/>
  <c r="AG110" i="5"/>
  <c r="AG21" i="5"/>
  <c r="R37" i="5"/>
  <c r="R138" i="5"/>
  <c r="AG136" i="5"/>
  <c r="AG71" i="5"/>
  <c r="S132" i="5"/>
  <c r="R74" i="5"/>
  <c r="R89" i="5"/>
  <c r="R85" i="5"/>
  <c r="R104" i="5"/>
  <c r="S433" i="5"/>
  <c r="S466" i="5"/>
  <c r="AG301" i="5"/>
  <c r="R374" i="5"/>
  <c r="S225" i="5"/>
  <c r="AG349" i="5"/>
  <c r="S347" i="5"/>
  <c r="R182" i="5"/>
  <c r="S398" i="5"/>
  <c r="R335" i="5"/>
  <c r="S465" i="5"/>
  <c r="R351" i="5"/>
  <c r="R371" i="5"/>
  <c r="AG186" i="5"/>
  <c r="S429" i="5"/>
  <c r="AG198" i="5"/>
  <c r="S439" i="5"/>
  <c r="AG358" i="5"/>
  <c r="R200" i="5"/>
  <c r="AG364" i="5"/>
  <c r="R265" i="5"/>
  <c r="R211" i="5"/>
  <c r="R287" i="5"/>
  <c r="S477" i="5"/>
  <c r="AG421" i="5"/>
  <c r="R402" i="5"/>
  <c r="R396" i="5"/>
  <c r="AG399" i="5"/>
  <c r="R446" i="5"/>
  <c r="AG190" i="5"/>
  <c r="AG390" i="5"/>
  <c r="S174" i="5"/>
  <c r="R195" i="5"/>
  <c r="AG209" i="5"/>
  <c r="AG281" i="5"/>
  <c r="S266" i="5"/>
  <c r="S234" i="5"/>
  <c r="S423" i="5"/>
  <c r="R470" i="5"/>
  <c r="S306" i="5"/>
  <c r="S401" i="5"/>
  <c r="AG417" i="5"/>
  <c r="R276" i="5"/>
  <c r="R499" i="5"/>
  <c r="R285" i="5"/>
  <c r="R163" i="5"/>
  <c r="AG187" i="5"/>
  <c r="AG180" i="5"/>
  <c r="R226" i="5"/>
  <c r="R422" i="5"/>
  <c r="AG344" i="5"/>
  <c r="R67" i="5"/>
  <c r="S115" i="5"/>
  <c r="AG62" i="5"/>
  <c r="R81" i="5"/>
  <c r="R83" i="5"/>
  <c r="S69" i="5"/>
  <c r="S111" i="5"/>
  <c r="S64" i="5"/>
  <c r="S94" i="5"/>
  <c r="R21" i="5"/>
  <c r="S37" i="5"/>
  <c r="AG138" i="5"/>
  <c r="AG50" i="5"/>
  <c r="R136" i="5"/>
  <c r="S71" i="5"/>
  <c r="R113" i="5"/>
  <c r="S45" i="5"/>
  <c r="S85" i="5"/>
  <c r="S104" i="5"/>
  <c r="R433" i="5"/>
  <c r="S304" i="5"/>
  <c r="S374" i="5"/>
  <c r="R225" i="5"/>
  <c r="R454" i="5"/>
  <c r="R347" i="5"/>
  <c r="S182" i="5"/>
  <c r="AG375" i="5"/>
  <c r="S335" i="5"/>
  <c r="R176" i="5"/>
  <c r="S351" i="5"/>
  <c r="AG371" i="5"/>
  <c r="R388" i="5"/>
  <c r="R429" i="5"/>
  <c r="S198" i="5"/>
  <c r="R491" i="5"/>
  <c r="R439" i="5"/>
  <c r="S376" i="5"/>
  <c r="AG200" i="5"/>
  <c r="R364" i="5"/>
  <c r="AG279" i="5"/>
  <c r="AG265" i="5"/>
  <c r="S211" i="5"/>
  <c r="AG167" i="5"/>
  <c r="S287" i="5"/>
  <c r="AG477" i="5"/>
  <c r="S363" i="5"/>
  <c r="S402" i="5"/>
  <c r="AG396" i="5"/>
  <c r="R408" i="5"/>
  <c r="AG446" i="5"/>
  <c r="S190" i="5"/>
  <c r="S328" i="5"/>
  <c r="R174" i="5"/>
  <c r="S195" i="5"/>
  <c r="AG177" i="5"/>
  <c r="S281" i="5"/>
  <c r="R266" i="5"/>
  <c r="S389" i="5"/>
  <c r="R423" i="5"/>
  <c r="AG403" i="5"/>
  <c r="R401" i="5"/>
  <c r="S417" i="5"/>
  <c r="S431" i="5"/>
  <c r="S499" i="5"/>
  <c r="S285" i="5"/>
  <c r="R373" i="5"/>
  <c r="S163" i="5"/>
  <c r="S187" i="5"/>
  <c r="S496" i="5"/>
  <c r="S226" i="5"/>
  <c r="S460" i="5"/>
  <c r="S67" i="5"/>
  <c r="R115" i="5"/>
  <c r="R62" i="5"/>
  <c r="AG81" i="5"/>
  <c r="S83" i="5"/>
  <c r="AG111" i="5"/>
  <c r="AG64" i="5"/>
  <c r="AG94" i="5"/>
  <c r="S21" i="5"/>
  <c r="S51" i="5"/>
  <c r="S138" i="5"/>
  <c r="R50" i="5"/>
  <c r="S123" i="5"/>
  <c r="R66" i="5"/>
  <c r="AG113" i="5"/>
  <c r="AG39" i="5"/>
  <c r="AG45" i="5"/>
  <c r="AG85" i="5"/>
  <c r="AG104" i="5"/>
  <c r="AG307" i="5"/>
  <c r="AG304" i="5"/>
  <c r="AG151" i="5"/>
  <c r="AG454" i="5"/>
  <c r="AG347" i="5"/>
  <c r="S348" i="5"/>
  <c r="R375" i="5"/>
  <c r="AG335" i="5"/>
  <c r="R223" i="5"/>
  <c r="S176" i="5"/>
  <c r="AG351" i="5"/>
  <c r="R416" i="5"/>
  <c r="AG388" i="5"/>
  <c r="S300" i="5"/>
  <c r="AG491" i="5"/>
  <c r="R166" i="5"/>
  <c r="R376" i="5"/>
  <c r="S200" i="5"/>
  <c r="S325" i="5"/>
  <c r="S279" i="5"/>
  <c r="S265" i="5"/>
  <c r="S353" i="5"/>
  <c r="R167" i="5"/>
  <c r="S310" i="5"/>
  <c r="AG363" i="5"/>
  <c r="AG402" i="5"/>
  <c r="AG185" i="5"/>
  <c r="S408" i="5"/>
  <c r="S446" i="5"/>
  <c r="R252" i="5"/>
  <c r="AG328" i="5"/>
  <c r="AG174" i="5"/>
  <c r="AG365" i="5"/>
  <c r="R177" i="5"/>
  <c r="R281" i="5"/>
  <c r="S463" i="5"/>
  <c r="AG389" i="5"/>
  <c r="AG192" i="5"/>
  <c r="S403" i="5"/>
  <c r="AG401" i="5"/>
  <c r="R350" i="5"/>
  <c r="R431" i="5"/>
  <c r="AG499" i="5"/>
  <c r="AG290" i="5"/>
  <c r="S373" i="5"/>
  <c r="AG163" i="5"/>
  <c r="AG324" i="5"/>
  <c r="R496" i="5"/>
  <c r="S172" i="5"/>
  <c r="R460" i="5"/>
  <c r="AG67" i="5"/>
  <c r="S62" i="5"/>
  <c r="S128" i="5"/>
  <c r="R43" i="5"/>
  <c r="R111" i="5"/>
  <c r="R64" i="5"/>
  <c r="R94" i="5"/>
  <c r="AG125" i="5"/>
  <c r="AG51" i="5"/>
  <c r="S50" i="5"/>
  <c r="AG123" i="5"/>
  <c r="AG66" i="5"/>
  <c r="S113" i="5"/>
  <c r="S39" i="5"/>
  <c r="R45" i="5"/>
  <c r="AG116" i="5"/>
  <c r="AG88" i="5"/>
  <c r="R419" i="5"/>
  <c r="S307" i="5"/>
  <c r="R304" i="5"/>
  <c r="R372" i="5"/>
  <c r="S151" i="5"/>
  <c r="S454" i="5"/>
  <c r="R274" i="5"/>
  <c r="AG348" i="5"/>
  <c r="S375" i="5"/>
  <c r="R170" i="5"/>
  <c r="S223" i="5"/>
  <c r="AG176" i="5"/>
  <c r="R294" i="5"/>
  <c r="S416" i="5"/>
  <c r="S388" i="5"/>
  <c r="S471" i="5"/>
  <c r="R300" i="5"/>
  <c r="S491" i="5"/>
  <c r="S166" i="5"/>
  <c r="R241" i="5"/>
  <c r="R325" i="5"/>
  <c r="R279" i="5"/>
  <c r="R397" i="5"/>
  <c r="AG353" i="5"/>
  <c r="S167" i="5"/>
  <c r="AG386" i="5"/>
  <c r="R310" i="5"/>
  <c r="R363" i="5"/>
  <c r="S175" i="5"/>
  <c r="S185" i="5"/>
  <c r="AG408" i="5"/>
  <c r="S199" i="5"/>
  <c r="S252" i="5"/>
  <c r="R328" i="5"/>
  <c r="S464" i="5"/>
  <c r="S365" i="5"/>
  <c r="S177" i="5"/>
  <c r="S451" i="5"/>
  <c r="R463" i="5"/>
  <c r="R389" i="5"/>
  <c r="R461" i="5"/>
  <c r="R192" i="5"/>
  <c r="R403" i="5"/>
  <c r="S379" i="5"/>
  <c r="AG350" i="5"/>
  <c r="S240" i="5"/>
  <c r="R290" i="5"/>
  <c r="AG280" i="5"/>
  <c r="S324" i="5"/>
  <c r="R239" i="5"/>
  <c r="R172" i="5"/>
  <c r="AG33" i="5"/>
  <c r="AG23" i="5"/>
  <c r="R128" i="5"/>
  <c r="S43" i="5"/>
  <c r="S141" i="5"/>
  <c r="AG78" i="5"/>
  <c r="S125" i="5"/>
  <c r="R51" i="5"/>
  <c r="S108" i="5"/>
  <c r="R123" i="5"/>
  <c r="S66" i="5"/>
  <c r="R135" i="5"/>
  <c r="R39" i="5"/>
  <c r="R70" i="5"/>
  <c r="S116" i="5"/>
  <c r="S88" i="5"/>
  <c r="S419" i="5"/>
  <c r="R307" i="5"/>
  <c r="S352" i="5"/>
  <c r="S372" i="5"/>
  <c r="R151" i="5"/>
  <c r="S427" i="5"/>
  <c r="S274" i="5"/>
  <c r="R348" i="5"/>
  <c r="S231" i="5"/>
  <c r="AG170" i="5"/>
  <c r="AG223" i="5"/>
  <c r="AG330" i="5"/>
  <c r="S294" i="5"/>
  <c r="AG416" i="5"/>
  <c r="S342" i="5"/>
  <c r="R471" i="5"/>
  <c r="AG300" i="5"/>
  <c r="S288" i="5"/>
  <c r="AG166" i="5"/>
  <c r="S270" i="5"/>
  <c r="S241" i="5"/>
  <c r="AG325" i="5"/>
  <c r="R258" i="5"/>
  <c r="S397" i="5"/>
  <c r="R353" i="5"/>
  <c r="AG169" i="5"/>
  <c r="R386" i="5"/>
  <c r="AG310" i="5"/>
  <c r="S502" i="5"/>
  <c r="R175" i="5"/>
  <c r="R185" i="5"/>
  <c r="R144" i="5"/>
  <c r="AG199" i="5"/>
  <c r="AG252" i="5"/>
  <c r="S260" i="5"/>
  <c r="R464" i="5"/>
  <c r="R365" i="5"/>
  <c r="R338" i="5"/>
  <c r="R451" i="5"/>
  <c r="R355" i="5"/>
  <c r="S461" i="5"/>
  <c r="S192" i="5"/>
  <c r="R425" i="5"/>
  <c r="R379" i="5"/>
  <c r="S350" i="5"/>
  <c r="S468" i="5"/>
  <c r="R240" i="5"/>
  <c r="S290" i="5"/>
  <c r="AG409" i="5"/>
  <c r="S280" i="5"/>
  <c r="R324" i="5"/>
  <c r="S219" i="5"/>
  <c r="S239" i="5"/>
  <c r="AG172" i="5"/>
  <c r="AG217" i="5"/>
  <c r="S33" i="5"/>
  <c r="S23" i="5"/>
  <c r="AG128" i="5"/>
  <c r="S79" i="5"/>
  <c r="AG141" i="5"/>
  <c r="R78" i="5"/>
  <c r="R125" i="5"/>
  <c r="R108" i="5"/>
  <c r="AG119" i="5"/>
  <c r="S107" i="5"/>
  <c r="S65" i="5"/>
  <c r="S135" i="5"/>
  <c r="S31" i="5"/>
  <c r="AG70" i="5"/>
  <c r="R116" i="5"/>
  <c r="R88" i="5"/>
  <c r="S196" i="5"/>
  <c r="AG352" i="5"/>
  <c r="S218" i="5"/>
  <c r="R427" i="5"/>
  <c r="S332" i="5"/>
  <c r="R231" i="5"/>
  <c r="S170" i="5"/>
  <c r="S456" i="5"/>
  <c r="R330" i="5"/>
  <c r="AG294" i="5"/>
  <c r="AG494" i="5"/>
  <c r="R342" i="5"/>
  <c r="R146" i="5"/>
  <c r="R288" i="5"/>
  <c r="S495" i="5"/>
  <c r="AG270" i="5"/>
  <c r="R333" i="5"/>
  <c r="S258" i="5"/>
  <c r="AG397" i="5"/>
  <c r="AG251" i="5"/>
  <c r="S169" i="5"/>
  <c r="S386" i="5"/>
  <c r="AG437" i="5"/>
  <c r="AG502" i="5"/>
  <c r="AG175" i="5"/>
  <c r="R152" i="5"/>
  <c r="AG144" i="5"/>
  <c r="R199" i="5"/>
  <c r="AG359" i="5"/>
  <c r="R260" i="5"/>
  <c r="S472" i="5"/>
  <c r="S338" i="5"/>
  <c r="AG451" i="5"/>
  <c r="R165" i="5"/>
  <c r="S355" i="5"/>
  <c r="R204" i="5"/>
  <c r="S425" i="5"/>
  <c r="S383" i="5"/>
  <c r="R468" i="5"/>
  <c r="AG484" i="5"/>
  <c r="R409" i="5"/>
  <c r="R280" i="5"/>
  <c r="S269" i="5"/>
  <c r="R219" i="5"/>
  <c r="AG308" i="5"/>
  <c r="R217" i="5"/>
  <c r="R33" i="5"/>
  <c r="S99" i="5"/>
  <c r="R23" i="5"/>
  <c r="R112" i="5"/>
  <c r="AG79" i="5"/>
  <c r="R141" i="5"/>
  <c r="S78" i="5"/>
  <c r="S109" i="5"/>
  <c r="R40" i="5"/>
  <c r="AG108" i="5"/>
  <c r="S119" i="5"/>
  <c r="AG107" i="5"/>
  <c r="R65" i="5"/>
  <c r="AG135" i="5"/>
  <c r="AG31" i="5"/>
  <c r="S70" i="5"/>
  <c r="S114" i="5"/>
  <c r="AG22" i="5"/>
  <c r="S469" i="5"/>
  <c r="R196" i="5"/>
  <c r="R352" i="5"/>
  <c r="S316" i="5"/>
  <c r="R218" i="5"/>
  <c r="AG284" i="5"/>
  <c r="AG332" i="5"/>
  <c r="R455" i="5"/>
  <c r="R456" i="5"/>
  <c r="S330" i="5"/>
  <c r="R452" i="5"/>
  <c r="S494" i="5"/>
  <c r="S391" i="5"/>
  <c r="AG146" i="5"/>
  <c r="AG288" i="5"/>
  <c r="AG495" i="5"/>
  <c r="R270" i="5"/>
  <c r="R393" i="5"/>
  <c r="S333" i="5"/>
  <c r="AG258" i="5"/>
  <c r="AG164" i="5"/>
  <c r="S251" i="5"/>
  <c r="R169" i="5"/>
  <c r="R214" i="5"/>
  <c r="S437" i="5"/>
  <c r="R502" i="5"/>
  <c r="R237" i="5"/>
  <c r="AG152" i="5"/>
  <c r="S144" i="5"/>
  <c r="AG507" i="5"/>
  <c r="R359" i="5"/>
  <c r="AG189" i="5"/>
  <c r="R472" i="5"/>
  <c r="R295" i="5"/>
  <c r="S165" i="5"/>
  <c r="AG329" i="5"/>
  <c r="S204" i="5"/>
  <c r="R230" i="5"/>
  <c r="R383" i="5"/>
  <c r="S321" i="5"/>
  <c r="S484" i="5"/>
  <c r="S409" i="5"/>
  <c r="AG143" i="5"/>
  <c r="R269" i="5"/>
  <c r="R432" i="5"/>
  <c r="S308" i="5"/>
  <c r="S217" i="5"/>
  <c r="F217" i="12" l="1"/>
  <c r="G217" i="6"/>
  <c r="G308" i="6"/>
  <c r="F308" i="12"/>
  <c r="E432" i="12"/>
  <c r="F432" i="6"/>
  <c r="F269" i="6"/>
  <c r="E269" i="12"/>
  <c r="U143" i="5"/>
  <c r="G409" i="6"/>
  <c r="F409" i="12"/>
  <c r="G484" i="6"/>
  <c r="F484" i="12"/>
  <c r="G321" i="6"/>
  <c r="F321" i="12"/>
  <c r="E383" i="12"/>
  <c r="F383" i="6"/>
  <c r="E230" i="12"/>
  <c r="F230" i="6"/>
  <c r="F204" i="12"/>
  <c r="G204" i="6"/>
  <c r="U329" i="5"/>
  <c r="F165" i="12"/>
  <c r="G165" i="6"/>
  <c r="E295" i="12"/>
  <c r="F295" i="6"/>
  <c r="F472" i="6"/>
  <c r="E472" i="12"/>
  <c r="U189" i="5"/>
  <c r="F359" i="6"/>
  <c r="E359" i="12"/>
  <c r="U507" i="5"/>
  <c r="G144" i="6"/>
  <c r="F144" i="12"/>
  <c r="U152" i="5"/>
  <c r="E237" i="12"/>
  <c r="F237" i="6"/>
  <c r="E502" i="12"/>
  <c r="F502" i="6"/>
  <c r="G437" i="6"/>
  <c r="F437" i="12"/>
  <c r="F214" i="6"/>
  <c r="E214" i="12"/>
  <c r="E169" i="12"/>
  <c r="F169" i="6"/>
  <c r="G251" i="6"/>
  <c r="F251" i="12"/>
  <c r="U164" i="5"/>
  <c r="U258" i="5"/>
  <c r="G333" i="6"/>
  <c r="F333" i="12"/>
  <c r="E393" i="12"/>
  <c r="F393" i="6"/>
  <c r="F270" i="6"/>
  <c r="E270" i="12"/>
  <c r="U495" i="5"/>
  <c r="U288" i="5"/>
  <c r="U146" i="5"/>
  <c r="G391" i="6"/>
  <c r="F391" i="12"/>
  <c r="F494" i="12"/>
  <c r="G494" i="6"/>
  <c r="F452" i="6"/>
  <c r="E452" i="12"/>
  <c r="G330" i="6"/>
  <c r="F330" i="12"/>
  <c r="E456" i="12"/>
  <c r="F456" i="6"/>
  <c r="E455" i="12"/>
  <c r="F455" i="6"/>
  <c r="U332" i="5"/>
  <c r="U284" i="5"/>
  <c r="F218" i="6"/>
  <c r="E218" i="12"/>
  <c r="F316" i="12"/>
  <c r="G316" i="6"/>
  <c r="F352" i="6"/>
  <c r="E352" i="12"/>
  <c r="F196" i="6"/>
  <c r="E196" i="12"/>
  <c r="G469" i="6"/>
  <c r="F469" i="12"/>
  <c r="U22" i="5"/>
  <c r="F114" i="12"/>
  <c r="G114" i="6"/>
  <c r="F70" i="12"/>
  <c r="G70" i="6"/>
  <c r="U31" i="5"/>
  <c r="U135" i="5"/>
  <c r="F65" i="6"/>
  <c r="E65" i="12"/>
  <c r="U107" i="5"/>
  <c r="G119" i="6"/>
  <c r="F119" i="12"/>
  <c r="U108" i="5"/>
  <c r="F40" i="6"/>
  <c r="E40" i="12"/>
  <c r="F109" i="12"/>
  <c r="G109" i="6"/>
  <c r="F78" i="12"/>
  <c r="G78" i="6"/>
  <c r="E141" i="12"/>
  <c r="F141" i="6"/>
  <c r="U79" i="5"/>
  <c r="F112" i="6"/>
  <c r="E112" i="12"/>
  <c r="E23" i="12"/>
  <c r="F23" i="6"/>
  <c r="G99" i="6"/>
  <c r="F99" i="12"/>
  <c r="F33" i="6"/>
  <c r="E33" i="12"/>
  <c r="F217" i="6"/>
  <c r="E217" i="12"/>
  <c r="U308" i="5"/>
  <c r="F219" i="6"/>
  <c r="E219" i="12"/>
  <c r="F269" i="12"/>
  <c r="G269" i="6"/>
  <c r="F280" i="6"/>
  <c r="E280" i="12"/>
  <c r="E409" i="12"/>
  <c r="F409" i="6"/>
  <c r="U484" i="5"/>
  <c r="E468" i="12"/>
  <c r="F468" i="6"/>
  <c r="F383" i="12"/>
  <c r="G383" i="6"/>
  <c r="G425" i="6"/>
  <c r="F425" i="12"/>
  <c r="F204" i="6"/>
  <c r="E204" i="12"/>
  <c r="G355" i="6"/>
  <c r="F355" i="12"/>
  <c r="F165" i="6"/>
  <c r="E165" i="12"/>
  <c r="U451" i="5"/>
  <c r="F338" i="12"/>
  <c r="G338" i="6"/>
  <c r="G472" i="6"/>
  <c r="F472" i="12"/>
  <c r="E260" i="12"/>
  <c r="F260" i="6"/>
  <c r="U359" i="5"/>
  <c r="F199" i="6"/>
  <c r="E199" i="12"/>
  <c r="U144" i="5"/>
  <c r="E152" i="12"/>
  <c r="F152" i="6"/>
  <c r="U175" i="5"/>
  <c r="U502" i="5"/>
  <c r="U437" i="5"/>
  <c r="F386" i="12"/>
  <c r="G386" i="6"/>
  <c r="G169" i="6"/>
  <c r="F169" i="12"/>
  <c r="U251" i="5"/>
  <c r="U397" i="5"/>
  <c r="G258" i="6"/>
  <c r="F258" i="12"/>
  <c r="E333" i="12"/>
  <c r="F333" i="6"/>
  <c r="U270" i="5"/>
  <c r="G495" i="6"/>
  <c r="F495" i="12"/>
  <c r="F288" i="6"/>
  <c r="E288" i="12"/>
  <c r="F146" i="6"/>
  <c r="E146" i="12"/>
  <c r="E342" i="12"/>
  <c r="F342" i="6"/>
  <c r="U494" i="5"/>
  <c r="U294" i="5"/>
  <c r="E330" i="12"/>
  <c r="F330" i="6"/>
  <c r="G456" i="6"/>
  <c r="F456" i="12"/>
  <c r="G170" i="6"/>
  <c r="F170" i="12"/>
  <c r="F231" i="6"/>
  <c r="E231" i="12"/>
  <c r="G332" i="6"/>
  <c r="F332" i="12"/>
  <c r="E427" i="12"/>
  <c r="F427" i="6"/>
  <c r="F218" i="12"/>
  <c r="G218" i="6"/>
  <c r="U352" i="5"/>
  <c r="F196" i="12"/>
  <c r="G196" i="6"/>
  <c r="E88" i="12"/>
  <c r="F88" i="6"/>
  <c r="E116" i="12"/>
  <c r="F116" i="6"/>
  <c r="U70" i="5"/>
  <c r="G31" i="6"/>
  <c r="F31" i="12"/>
  <c r="G135" i="6"/>
  <c r="F135" i="12"/>
  <c r="F65" i="12"/>
  <c r="G65" i="6"/>
  <c r="G107" i="6"/>
  <c r="F107" i="12"/>
  <c r="U119" i="5"/>
  <c r="E108" i="12"/>
  <c r="F108" i="6"/>
  <c r="E125" i="12"/>
  <c r="F125" i="6"/>
  <c r="E78" i="12"/>
  <c r="F78" i="6"/>
  <c r="U141" i="5"/>
  <c r="F79" i="12"/>
  <c r="G79" i="6"/>
  <c r="U128" i="5"/>
  <c r="F23" i="12"/>
  <c r="G23" i="6"/>
  <c r="G33" i="6"/>
  <c r="F33" i="12"/>
  <c r="U217" i="5"/>
  <c r="U172" i="5"/>
  <c r="F239" i="12"/>
  <c r="G239" i="6"/>
  <c r="F219" i="12"/>
  <c r="G219" i="6"/>
  <c r="F324" i="6"/>
  <c r="E324" i="12"/>
  <c r="G280" i="6"/>
  <c r="F280" i="12"/>
  <c r="U409" i="5"/>
  <c r="F290" i="12"/>
  <c r="G290" i="6"/>
  <c r="E240" i="12"/>
  <c r="F240" i="6"/>
  <c r="F468" i="12"/>
  <c r="G468" i="6"/>
  <c r="F350" i="12"/>
  <c r="G350" i="6"/>
  <c r="E379" i="12"/>
  <c r="F379" i="6"/>
  <c r="E425" i="12"/>
  <c r="F425" i="6"/>
  <c r="F192" i="12"/>
  <c r="G192" i="6"/>
  <c r="F461" i="12"/>
  <c r="G461" i="6"/>
  <c r="E355" i="12"/>
  <c r="F355" i="6"/>
  <c r="F451" i="6"/>
  <c r="E451" i="12"/>
  <c r="E338" i="12"/>
  <c r="F338" i="6"/>
  <c r="E365" i="12"/>
  <c r="F365" i="6"/>
  <c r="F464" i="6"/>
  <c r="E464" i="12"/>
  <c r="F260" i="12"/>
  <c r="G260" i="6"/>
  <c r="U252" i="5"/>
  <c r="U199" i="5"/>
  <c r="E144" i="12"/>
  <c r="F144" i="6"/>
  <c r="F185" i="6"/>
  <c r="E185" i="12"/>
  <c r="E175" i="12"/>
  <c r="F175" i="6"/>
  <c r="G502" i="6"/>
  <c r="F502" i="12"/>
  <c r="U310" i="5"/>
  <c r="F386" i="6"/>
  <c r="E386" i="12"/>
  <c r="U169" i="5"/>
  <c r="E353" i="12"/>
  <c r="F353" i="6"/>
  <c r="G397" i="6"/>
  <c r="F397" i="12"/>
  <c r="F258" i="6"/>
  <c r="E258" i="12"/>
  <c r="U325" i="5"/>
  <c r="F241" i="12"/>
  <c r="G241" i="6"/>
  <c r="G270" i="6"/>
  <c r="F270" i="12"/>
  <c r="U166" i="5"/>
  <c r="G288" i="6"/>
  <c r="F288" i="12"/>
  <c r="U300" i="5"/>
  <c r="F471" i="6"/>
  <c r="E471" i="12"/>
  <c r="F342" i="12"/>
  <c r="G342" i="6"/>
  <c r="U416" i="5"/>
  <c r="F294" i="12"/>
  <c r="G294" i="6"/>
  <c r="U330" i="5"/>
  <c r="U223" i="5"/>
  <c r="U170" i="5"/>
  <c r="G231" i="6"/>
  <c r="F231" i="12"/>
  <c r="F348" i="6"/>
  <c r="E348" i="12"/>
  <c r="F274" i="12"/>
  <c r="G274" i="6"/>
  <c r="F427" i="12"/>
  <c r="G427" i="6"/>
  <c r="E151" i="12"/>
  <c r="F151" i="6"/>
  <c r="F372" i="12"/>
  <c r="G372" i="6"/>
  <c r="G352" i="6"/>
  <c r="F352" i="12"/>
  <c r="F307" i="6"/>
  <c r="E307" i="12"/>
  <c r="F419" i="12"/>
  <c r="G419" i="6"/>
  <c r="F88" i="12"/>
  <c r="G88" i="6"/>
  <c r="G116" i="6"/>
  <c r="F116" i="12"/>
  <c r="F70" i="6"/>
  <c r="E70" i="12"/>
  <c r="E39" i="12"/>
  <c r="F39" i="6"/>
  <c r="E135" i="12"/>
  <c r="F135" i="6"/>
  <c r="F66" i="12"/>
  <c r="G66" i="6"/>
  <c r="E123" i="12"/>
  <c r="F123" i="6"/>
  <c r="G108" i="6"/>
  <c r="F108" i="12"/>
  <c r="E51" i="12"/>
  <c r="F51" i="6"/>
  <c r="G125" i="6"/>
  <c r="F125" i="12"/>
  <c r="U78" i="5"/>
  <c r="F141" i="12"/>
  <c r="G141" i="6"/>
  <c r="G43" i="6"/>
  <c r="F43" i="12"/>
  <c r="E128" i="12"/>
  <c r="F128" i="6"/>
  <c r="U23" i="5"/>
  <c r="U33" i="5"/>
  <c r="E172" i="12"/>
  <c r="F172" i="6"/>
  <c r="F239" i="6"/>
  <c r="E239" i="12"/>
  <c r="G324" i="6"/>
  <c r="F324" i="12"/>
  <c r="U280" i="5"/>
  <c r="E290" i="12"/>
  <c r="F290" i="6"/>
  <c r="F240" i="12"/>
  <c r="G240" i="6"/>
  <c r="U350" i="5"/>
  <c r="G379" i="6"/>
  <c r="F379" i="12"/>
  <c r="F403" i="6"/>
  <c r="E403" i="12"/>
  <c r="E192" i="12"/>
  <c r="F192" i="6"/>
  <c r="E461" i="12"/>
  <c r="F461" i="6"/>
  <c r="E389" i="12"/>
  <c r="F389" i="6"/>
  <c r="E463" i="12"/>
  <c r="F463" i="6"/>
  <c r="F451" i="12"/>
  <c r="G451" i="6"/>
  <c r="G177" i="6"/>
  <c r="F177" i="12"/>
  <c r="G365" i="6"/>
  <c r="F365" i="12"/>
  <c r="F464" i="12"/>
  <c r="G464" i="6"/>
  <c r="E328" i="12"/>
  <c r="F328" i="6"/>
  <c r="G252" i="6"/>
  <c r="F252" i="12"/>
  <c r="G199" i="6"/>
  <c r="F199" i="12"/>
  <c r="U408" i="5"/>
  <c r="G185" i="6"/>
  <c r="F185" i="12"/>
  <c r="F175" i="12"/>
  <c r="G175" i="6"/>
  <c r="F363" i="6"/>
  <c r="E363" i="12"/>
  <c r="E310" i="12"/>
  <c r="F310" i="6"/>
  <c r="U386" i="5"/>
  <c r="F167" i="12"/>
  <c r="G167" i="6"/>
  <c r="U353" i="5"/>
  <c r="F397" i="6"/>
  <c r="E397" i="12"/>
  <c r="E279" i="12"/>
  <c r="F279" i="6"/>
  <c r="E325" i="12"/>
  <c r="F325" i="6"/>
  <c r="F241" i="6"/>
  <c r="E241" i="12"/>
  <c r="F166" i="12"/>
  <c r="G166" i="6"/>
  <c r="F491" i="12"/>
  <c r="G491" i="6"/>
  <c r="E300" i="12"/>
  <c r="F300" i="6"/>
  <c r="G471" i="6"/>
  <c r="F471" i="12"/>
  <c r="G388" i="6"/>
  <c r="F388" i="12"/>
  <c r="G416" i="6"/>
  <c r="F416" i="12"/>
  <c r="E294" i="12"/>
  <c r="F294" i="6"/>
  <c r="U176" i="5"/>
  <c r="F223" i="12"/>
  <c r="G223" i="6"/>
  <c r="F170" i="6"/>
  <c r="E170" i="12"/>
  <c r="G375" i="6"/>
  <c r="F375" i="12"/>
  <c r="U348" i="5"/>
  <c r="E274" i="12"/>
  <c r="F274" i="6"/>
  <c r="F454" i="12"/>
  <c r="G454" i="6"/>
  <c r="F151" i="12"/>
  <c r="G151" i="6"/>
  <c r="F372" i="6"/>
  <c r="E372" i="12"/>
  <c r="E304" i="12"/>
  <c r="F304" i="6"/>
  <c r="F307" i="12"/>
  <c r="G307" i="6"/>
  <c r="F419" i="6"/>
  <c r="E419" i="12"/>
  <c r="U88" i="5"/>
  <c r="U116" i="5"/>
  <c r="F45" i="6"/>
  <c r="E45" i="12"/>
  <c r="F39" i="12"/>
  <c r="G39" i="6"/>
  <c r="F113" i="12"/>
  <c r="G113" i="6"/>
  <c r="U66" i="5"/>
  <c r="U123" i="5"/>
  <c r="F50" i="12"/>
  <c r="G50" i="6"/>
  <c r="U51" i="5"/>
  <c r="U125" i="5"/>
  <c r="F94" i="6"/>
  <c r="E94" i="12"/>
  <c r="E64" i="12"/>
  <c r="F64" i="6"/>
  <c r="E111" i="12"/>
  <c r="F111" i="6"/>
  <c r="E43" i="12"/>
  <c r="F43" i="6"/>
  <c r="F128" i="12"/>
  <c r="G128" i="6"/>
  <c r="G62" i="6"/>
  <c r="F62" i="12"/>
  <c r="U67" i="5"/>
  <c r="E460" i="12"/>
  <c r="F460" i="6"/>
  <c r="F172" i="12"/>
  <c r="G172" i="6"/>
  <c r="F496" i="6"/>
  <c r="E496" i="12"/>
  <c r="U324" i="5"/>
  <c r="U163" i="5"/>
  <c r="F373" i="12"/>
  <c r="G373" i="6"/>
  <c r="U290" i="5"/>
  <c r="U499" i="5"/>
  <c r="E431" i="12"/>
  <c r="F431" i="6"/>
  <c r="E350" i="12"/>
  <c r="F350" i="6"/>
  <c r="U401" i="5"/>
  <c r="F403" i="12"/>
  <c r="G403" i="6"/>
  <c r="U192" i="5"/>
  <c r="U389" i="5"/>
  <c r="G463" i="6"/>
  <c r="F463" i="12"/>
  <c r="F281" i="6"/>
  <c r="E281" i="12"/>
  <c r="E177" i="12"/>
  <c r="F177" i="6"/>
  <c r="U365" i="5"/>
  <c r="U174" i="5"/>
  <c r="U328" i="5"/>
  <c r="E252" i="12"/>
  <c r="F252" i="6"/>
  <c r="F446" i="12"/>
  <c r="G446" i="6"/>
  <c r="G408" i="6"/>
  <c r="F408" i="12"/>
  <c r="U185" i="5"/>
  <c r="U402" i="5"/>
  <c r="U363" i="5"/>
  <c r="G310" i="6"/>
  <c r="F310" i="12"/>
  <c r="F167" i="6"/>
  <c r="E167" i="12"/>
  <c r="G353" i="6"/>
  <c r="F353" i="12"/>
  <c r="F265" i="12"/>
  <c r="G265" i="6"/>
  <c r="G279" i="6"/>
  <c r="F279" i="12"/>
  <c r="F325" i="12"/>
  <c r="G325" i="6"/>
  <c r="F200" i="12"/>
  <c r="G200" i="6"/>
  <c r="E376" i="12"/>
  <c r="F376" i="6"/>
  <c r="F166" i="6"/>
  <c r="E166" i="12"/>
  <c r="U491" i="5"/>
  <c r="F300" i="12"/>
  <c r="G300" i="6"/>
  <c r="U388" i="5"/>
  <c r="F416" i="6"/>
  <c r="E416" i="12"/>
  <c r="U351" i="5"/>
  <c r="F176" i="12"/>
  <c r="G176" i="6"/>
  <c r="F223" i="6"/>
  <c r="E223" i="12"/>
  <c r="U335" i="5"/>
  <c r="F375" i="6"/>
  <c r="E375" i="12"/>
  <c r="F348" i="12"/>
  <c r="G348" i="6"/>
  <c r="U347" i="5"/>
  <c r="U454" i="5"/>
  <c r="U151" i="5"/>
  <c r="U304" i="5"/>
  <c r="U307" i="5"/>
  <c r="U104" i="5"/>
  <c r="U85" i="5"/>
  <c r="U45" i="5"/>
  <c r="U39" i="5"/>
  <c r="U113" i="5"/>
  <c r="E66" i="12"/>
  <c r="F66" i="6"/>
  <c r="G123" i="6"/>
  <c r="F123" i="12"/>
  <c r="F50" i="6"/>
  <c r="E50" i="12"/>
  <c r="G138" i="6"/>
  <c r="F138" i="12"/>
  <c r="F51" i="12"/>
  <c r="G51" i="6"/>
  <c r="G21" i="6"/>
  <c r="F21" i="12"/>
  <c r="U94" i="5"/>
  <c r="U64" i="5"/>
  <c r="U111" i="5"/>
  <c r="G83" i="6"/>
  <c r="F83" i="12"/>
  <c r="U81" i="5"/>
  <c r="E62" i="12"/>
  <c r="F62" i="6"/>
  <c r="F115" i="6"/>
  <c r="E115" i="12"/>
  <c r="F67" i="12"/>
  <c r="G67" i="6"/>
  <c r="G460" i="6"/>
  <c r="F460" i="12"/>
  <c r="G226" i="6"/>
  <c r="F226" i="12"/>
  <c r="F496" i="12"/>
  <c r="G496" i="6"/>
  <c r="F187" i="12"/>
  <c r="G187" i="6"/>
  <c r="F163" i="12"/>
  <c r="G163" i="6"/>
  <c r="F373" i="6"/>
  <c r="E373" i="12"/>
  <c r="F285" i="12"/>
  <c r="G285" i="6"/>
  <c r="F499" i="12"/>
  <c r="G499" i="6"/>
  <c r="F431" i="12"/>
  <c r="G431" i="6"/>
  <c r="F417" i="12"/>
  <c r="G417" i="6"/>
  <c r="E401" i="12"/>
  <c r="F401" i="6"/>
  <c r="U403" i="5"/>
  <c r="E423" i="12"/>
  <c r="F423" i="6"/>
  <c r="G389" i="6"/>
  <c r="F389" i="12"/>
  <c r="E266" i="12"/>
  <c r="F266" i="6"/>
  <c r="F281" i="12"/>
  <c r="G281" i="6"/>
  <c r="U177" i="5"/>
  <c r="F195" i="12"/>
  <c r="G195" i="6"/>
  <c r="E174" i="12"/>
  <c r="F174" i="6"/>
  <c r="F328" i="12"/>
  <c r="G328" i="6"/>
  <c r="F190" i="12"/>
  <c r="G190" i="6"/>
  <c r="U446" i="5"/>
  <c r="E408" i="12"/>
  <c r="F408" i="6"/>
  <c r="U396" i="5"/>
  <c r="F402" i="12"/>
  <c r="G402" i="6"/>
  <c r="F363" i="12"/>
  <c r="G363" i="6"/>
  <c r="U477" i="5"/>
  <c r="G287" i="6"/>
  <c r="F287" i="12"/>
  <c r="U167" i="5"/>
  <c r="G211" i="6"/>
  <c r="F211" i="12"/>
  <c r="U265" i="5"/>
  <c r="U279" i="5"/>
  <c r="E364" i="12"/>
  <c r="F364" i="6"/>
  <c r="U200" i="5"/>
  <c r="G376" i="6"/>
  <c r="F376" i="12"/>
  <c r="F439" i="6"/>
  <c r="E439" i="12"/>
  <c r="E491" i="12"/>
  <c r="F491" i="6"/>
  <c r="G198" i="6"/>
  <c r="F198" i="12"/>
  <c r="F429" i="6"/>
  <c r="E429" i="12"/>
  <c r="E388" i="12"/>
  <c r="F388" i="6"/>
  <c r="U371" i="5"/>
  <c r="G351" i="6"/>
  <c r="F351" i="12"/>
  <c r="E176" i="12"/>
  <c r="F176" i="6"/>
  <c r="F335" i="12"/>
  <c r="G335" i="6"/>
  <c r="U375" i="5"/>
  <c r="G182" i="6"/>
  <c r="F182" i="12"/>
  <c r="F347" i="6"/>
  <c r="E347" i="12"/>
  <c r="F454" i="6"/>
  <c r="E454" i="12"/>
  <c r="F225" i="6"/>
  <c r="E225" i="12"/>
  <c r="F374" i="12"/>
  <c r="G374" i="6"/>
  <c r="G304" i="6"/>
  <c r="F304" i="12"/>
  <c r="E433" i="12"/>
  <c r="F433" i="6"/>
  <c r="F104" i="12"/>
  <c r="G104" i="6"/>
  <c r="F85" i="12"/>
  <c r="G85" i="6"/>
  <c r="G45" i="6"/>
  <c r="F45" i="12"/>
  <c r="F113" i="6"/>
  <c r="E113" i="12"/>
  <c r="F71" i="12"/>
  <c r="G71" i="6"/>
  <c r="E136" i="12"/>
  <c r="F136" i="6"/>
  <c r="U50" i="5"/>
  <c r="U138" i="5"/>
  <c r="G37" i="6"/>
  <c r="F37" i="12"/>
  <c r="F21" i="6"/>
  <c r="E21" i="12"/>
  <c r="G94" i="6"/>
  <c r="F94" i="12"/>
  <c r="F64" i="12"/>
  <c r="G64" i="6"/>
  <c r="G111" i="6"/>
  <c r="F111" i="12"/>
  <c r="G69" i="6"/>
  <c r="F69" i="12"/>
  <c r="E83" i="12"/>
  <c r="F83" i="6"/>
  <c r="E81" i="12"/>
  <c r="F81" i="6"/>
  <c r="U62" i="5"/>
  <c r="F115" i="12"/>
  <c r="G115" i="6"/>
  <c r="E67" i="12"/>
  <c r="F67" i="6"/>
  <c r="U344" i="5"/>
  <c r="F422" i="6"/>
  <c r="E422" i="12"/>
  <c r="E226" i="12"/>
  <c r="F226" i="6"/>
  <c r="U180" i="5"/>
  <c r="U187" i="5"/>
  <c r="F163" i="6"/>
  <c r="E163" i="12"/>
  <c r="F285" i="6"/>
  <c r="E285" i="12"/>
  <c r="E499" i="12"/>
  <c r="F499" i="6"/>
  <c r="E276" i="12"/>
  <c r="F276" i="6"/>
  <c r="U417" i="5"/>
  <c r="G401" i="6"/>
  <c r="F401" i="12"/>
  <c r="G306" i="6"/>
  <c r="F306" i="12"/>
  <c r="E470" i="12"/>
  <c r="F470" i="6"/>
  <c r="F423" i="12"/>
  <c r="G423" i="6"/>
  <c r="G234" i="6"/>
  <c r="F234" i="12"/>
  <c r="F266" i="12"/>
  <c r="G266" i="6"/>
  <c r="U281" i="5"/>
  <c r="U209" i="5"/>
  <c r="F195" i="6"/>
  <c r="E195" i="12"/>
  <c r="G174" i="6"/>
  <c r="F174" i="12"/>
  <c r="U390" i="5"/>
  <c r="U190" i="5"/>
  <c r="F446" i="6"/>
  <c r="E446" i="12"/>
  <c r="U399" i="5"/>
  <c r="E396" i="12"/>
  <c r="F396" i="6"/>
  <c r="E402" i="12"/>
  <c r="F402" i="6"/>
  <c r="U421" i="5"/>
  <c r="F477" i="12"/>
  <c r="G477" i="6"/>
  <c r="E287" i="12"/>
  <c r="F287" i="6"/>
  <c r="F211" i="6"/>
  <c r="E211" i="12"/>
  <c r="E265" i="12"/>
  <c r="F265" i="6"/>
  <c r="U364" i="5"/>
  <c r="E200" i="12"/>
  <c r="F200" i="6"/>
  <c r="U358" i="5"/>
  <c r="G439" i="6"/>
  <c r="F439" i="12"/>
  <c r="U198" i="5"/>
  <c r="G429" i="6"/>
  <c r="F429" i="12"/>
  <c r="U186" i="5"/>
  <c r="F371" i="6"/>
  <c r="E371" i="12"/>
  <c r="E351" i="12"/>
  <c r="F351" i="6"/>
  <c r="F465" i="12"/>
  <c r="G465" i="6"/>
  <c r="E335" i="12"/>
  <c r="F335" i="6"/>
  <c r="G398" i="6"/>
  <c r="F398" i="12"/>
  <c r="E182" i="12"/>
  <c r="F182" i="6"/>
  <c r="G347" i="6"/>
  <c r="F347" i="12"/>
  <c r="U349" i="5"/>
  <c r="G225" i="6"/>
  <c r="F225" i="12"/>
  <c r="E374" i="12"/>
  <c r="F374" i="6"/>
  <c r="U301" i="5"/>
  <c r="G466" i="6"/>
  <c r="F466" i="12"/>
  <c r="G433" i="6"/>
  <c r="F433" i="12"/>
  <c r="F104" i="6"/>
  <c r="E104" i="12"/>
  <c r="F85" i="6"/>
  <c r="E85" i="12"/>
  <c r="F89" i="6"/>
  <c r="E89" i="12"/>
  <c r="E74" i="12"/>
  <c r="F74" i="6"/>
  <c r="G132" i="6"/>
  <c r="F132" i="12"/>
  <c r="U71" i="5"/>
  <c r="U136" i="5"/>
  <c r="E138" i="12"/>
  <c r="F138" i="6"/>
  <c r="F37" i="6"/>
  <c r="E37" i="12"/>
  <c r="U21" i="5"/>
  <c r="U110" i="5"/>
  <c r="F29" i="12"/>
  <c r="G29" i="6"/>
  <c r="E127" i="12"/>
  <c r="F127" i="6"/>
  <c r="U69" i="5"/>
  <c r="U83" i="5"/>
  <c r="G81" i="6"/>
  <c r="F81" i="12"/>
  <c r="U115" i="5"/>
  <c r="G344" i="6"/>
  <c r="F344" i="12"/>
  <c r="F422" i="12"/>
  <c r="G422" i="6"/>
  <c r="E171" i="12"/>
  <c r="F171" i="6"/>
  <c r="G180" i="6"/>
  <c r="F180" i="12"/>
  <c r="F187" i="6"/>
  <c r="E187" i="12"/>
  <c r="G315" i="6"/>
  <c r="F315" i="12"/>
  <c r="U285" i="5"/>
  <c r="U444" i="5"/>
  <c r="U276" i="5"/>
  <c r="F417" i="6"/>
  <c r="E417" i="12"/>
  <c r="F149" i="6"/>
  <c r="E149" i="12"/>
  <c r="F306" i="6"/>
  <c r="E306" i="12"/>
  <c r="G470" i="6"/>
  <c r="F470" i="12"/>
  <c r="F193" i="6"/>
  <c r="E193" i="12"/>
  <c r="U234" i="5"/>
  <c r="U266" i="5"/>
  <c r="F458" i="12"/>
  <c r="G458" i="6"/>
  <c r="E209" i="12"/>
  <c r="F209" i="6"/>
  <c r="U195" i="5"/>
  <c r="F150" i="6"/>
  <c r="E150" i="12"/>
  <c r="G390" i="6"/>
  <c r="F390" i="12"/>
  <c r="F190" i="6"/>
  <c r="E190" i="12"/>
  <c r="U387" i="5"/>
  <c r="E399" i="12"/>
  <c r="F399" i="6"/>
  <c r="F396" i="12"/>
  <c r="G396" i="6"/>
  <c r="G157" i="6"/>
  <c r="F157" i="12"/>
  <c r="F421" i="6"/>
  <c r="E421" i="12"/>
  <c r="E477" i="12"/>
  <c r="F477" i="6"/>
  <c r="E255" i="12"/>
  <c r="F255" i="6"/>
  <c r="E467" i="12"/>
  <c r="F467" i="6"/>
  <c r="U211" i="5"/>
  <c r="G430" i="6"/>
  <c r="F430" i="12"/>
  <c r="G364" i="6"/>
  <c r="F364" i="12"/>
  <c r="U248" i="5"/>
  <c r="G358" i="6"/>
  <c r="F358" i="12"/>
  <c r="U439" i="5"/>
  <c r="F227" i="12"/>
  <c r="G227" i="6"/>
  <c r="F198" i="6"/>
  <c r="E198" i="12"/>
  <c r="E336" i="12"/>
  <c r="F336" i="6"/>
  <c r="F186" i="12"/>
  <c r="G186" i="6"/>
  <c r="F371" i="12"/>
  <c r="G371" i="6"/>
  <c r="U202" i="5"/>
  <c r="G232" i="6"/>
  <c r="F232" i="12"/>
  <c r="E465" i="12"/>
  <c r="F465" i="6"/>
  <c r="F145" i="6"/>
  <c r="E145" i="12"/>
  <c r="F398" i="6"/>
  <c r="E398" i="12"/>
  <c r="U182" i="5"/>
  <c r="G210" i="6"/>
  <c r="F210" i="12"/>
  <c r="E349" i="12"/>
  <c r="F349" i="6"/>
  <c r="U225" i="5"/>
  <c r="U367" i="5"/>
  <c r="F301" i="12"/>
  <c r="G301" i="6"/>
  <c r="E466" i="12"/>
  <c r="F466" i="6"/>
  <c r="U54" i="5"/>
  <c r="U120" i="5"/>
  <c r="G139" i="6"/>
  <c r="F139" i="12"/>
  <c r="F89" i="12"/>
  <c r="G89" i="6"/>
  <c r="U74" i="5"/>
  <c r="F132" i="6"/>
  <c r="E132" i="12"/>
  <c r="E71" i="12"/>
  <c r="F71" i="6"/>
  <c r="G136" i="6"/>
  <c r="F136" i="12"/>
  <c r="U58" i="5"/>
  <c r="U142" i="5"/>
  <c r="U37" i="5"/>
  <c r="U53" i="5"/>
  <c r="E110" i="12"/>
  <c r="F110" i="6"/>
  <c r="F29" i="6"/>
  <c r="E29" i="12"/>
  <c r="F127" i="12"/>
  <c r="G127" i="6"/>
  <c r="F69" i="6"/>
  <c r="E69" i="12"/>
  <c r="F103" i="12"/>
  <c r="G103" i="6"/>
  <c r="U97" i="5"/>
  <c r="G41" i="6"/>
  <c r="F41" i="12"/>
  <c r="G101" i="6"/>
  <c r="F101" i="12"/>
  <c r="F344" i="6"/>
  <c r="E344" i="12"/>
  <c r="G392" i="6"/>
  <c r="F392" i="12"/>
  <c r="G171" i="6"/>
  <c r="F171" i="12"/>
  <c r="E180" i="12"/>
  <c r="F180" i="6"/>
  <c r="F229" i="12"/>
  <c r="G229" i="6"/>
  <c r="F315" i="6"/>
  <c r="E315" i="12"/>
  <c r="E407" i="12"/>
  <c r="F407" i="6"/>
  <c r="F444" i="6"/>
  <c r="E444" i="12"/>
  <c r="F276" i="12"/>
  <c r="G276" i="6"/>
  <c r="U149" i="5"/>
  <c r="U306" i="5"/>
  <c r="F487" i="12"/>
  <c r="G487" i="6"/>
  <c r="U193" i="5"/>
  <c r="E234" i="12"/>
  <c r="F234" i="6"/>
  <c r="E161" i="12"/>
  <c r="F161" i="6"/>
  <c r="U458" i="5"/>
  <c r="F209" i="12"/>
  <c r="G209" i="6"/>
  <c r="G184" i="6"/>
  <c r="F184" i="12"/>
  <c r="G150" i="6"/>
  <c r="F150" i="12"/>
  <c r="E390" i="12"/>
  <c r="F390" i="6"/>
  <c r="E387" i="12"/>
  <c r="F387" i="6"/>
  <c r="G399" i="6"/>
  <c r="F399" i="12"/>
  <c r="F343" i="6"/>
  <c r="E343" i="12"/>
  <c r="U157" i="5"/>
  <c r="F421" i="12"/>
  <c r="G421" i="6"/>
  <c r="U255" i="5"/>
  <c r="F467" i="12"/>
  <c r="G467" i="6"/>
  <c r="U443" i="5"/>
  <c r="F297" i="6"/>
  <c r="E297" i="12"/>
  <c r="F430" i="6"/>
  <c r="E430" i="12"/>
  <c r="U501" i="5"/>
  <c r="G248" i="6"/>
  <c r="F248" i="12"/>
  <c r="F358" i="6"/>
  <c r="E358" i="12"/>
  <c r="E203" i="12"/>
  <c r="F203" i="6"/>
  <c r="F227" i="6"/>
  <c r="E227" i="12"/>
  <c r="F197" i="12"/>
  <c r="G197" i="6"/>
  <c r="U336" i="5"/>
  <c r="E186" i="12"/>
  <c r="F186" i="6"/>
  <c r="G202" i="6"/>
  <c r="F202" i="12"/>
  <c r="E232" i="12"/>
  <c r="F232" i="6"/>
  <c r="F271" i="6"/>
  <c r="E271" i="12"/>
  <c r="U145" i="5"/>
  <c r="U398" i="5"/>
  <c r="E210" i="12"/>
  <c r="F210" i="6"/>
  <c r="G349" i="6"/>
  <c r="F349" i="12"/>
  <c r="U253" i="5"/>
  <c r="E367" i="12"/>
  <c r="F367" i="6"/>
  <c r="E301" i="12"/>
  <c r="F301" i="6"/>
  <c r="F420" i="12"/>
  <c r="G420" i="6"/>
  <c r="F54" i="12"/>
  <c r="G54" i="6"/>
  <c r="F120" i="12"/>
  <c r="G120" i="6"/>
  <c r="U139" i="5"/>
  <c r="U89" i="5"/>
  <c r="F74" i="12"/>
  <c r="G74" i="6"/>
  <c r="U132" i="5"/>
  <c r="F126" i="12"/>
  <c r="G126" i="6"/>
  <c r="F58" i="12"/>
  <c r="G58" i="6"/>
  <c r="F142" i="6"/>
  <c r="E142" i="12"/>
  <c r="G77" i="6"/>
  <c r="F77" i="12"/>
  <c r="G53" i="6"/>
  <c r="F53" i="12"/>
  <c r="G110" i="6"/>
  <c r="F110" i="12"/>
  <c r="U29" i="5"/>
  <c r="U127" i="5"/>
  <c r="E80" i="12"/>
  <c r="F80" i="6"/>
  <c r="U103" i="5"/>
  <c r="G97" i="6"/>
  <c r="F97" i="12"/>
  <c r="F82" i="12"/>
  <c r="G82" i="6"/>
  <c r="F41" i="6"/>
  <c r="E41" i="12"/>
  <c r="U101" i="5"/>
  <c r="F179" i="12"/>
  <c r="G179" i="6"/>
  <c r="F392" i="6"/>
  <c r="E392" i="12"/>
  <c r="U171" i="5"/>
  <c r="F413" i="6"/>
  <c r="E413" i="12"/>
  <c r="G475" i="6"/>
  <c r="F475" i="12"/>
  <c r="F229" i="6"/>
  <c r="E229" i="12"/>
  <c r="F212" i="12"/>
  <c r="G212" i="6"/>
  <c r="F407" i="12"/>
  <c r="G407" i="6"/>
  <c r="G444" i="6"/>
  <c r="F444" i="12"/>
  <c r="G268" i="6"/>
  <c r="F268" i="12"/>
  <c r="F228" i="12"/>
  <c r="G228" i="6"/>
  <c r="G149" i="6"/>
  <c r="F149" i="12"/>
  <c r="F382" i="12"/>
  <c r="G382" i="6"/>
  <c r="F487" i="6"/>
  <c r="E487" i="12"/>
  <c r="F193" i="12"/>
  <c r="G193" i="6"/>
  <c r="U485" i="5"/>
  <c r="U161" i="5"/>
  <c r="F458" i="6"/>
  <c r="E458" i="12"/>
  <c r="G181" i="6"/>
  <c r="F181" i="12"/>
  <c r="E184" i="12"/>
  <c r="F184" i="6"/>
  <c r="U150" i="5"/>
  <c r="F183" i="12"/>
  <c r="G183" i="6"/>
  <c r="F298" i="12"/>
  <c r="G298" i="6"/>
  <c r="G387" i="6"/>
  <c r="F387" i="12"/>
  <c r="F206" i="6"/>
  <c r="E206" i="12"/>
  <c r="U343" i="5"/>
  <c r="F157" i="6"/>
  <c r="E157" i="12"/>
  <c r="E320" i="12"/>
  <c r="F320" i="6"/>
  <c r="G255" i="6"/>
  <c r="F255" i="12"/>
  <c r="E160" i="12"/>
  <c r="F160" i="6"/>
  <c r="F443" i="6"/>
  <c r="E443" i="12"/>
  <c r="F297" i="12"/>
  <c r="G297" i="6"/>
  <c r="E501" i="12"/>
  <c r="F501" i="6"/>
  <c r="F248" i="6"/>
  <c r="E248" i="12"/>
  <c r="F368" i="6"/>
  <c r="E368" i="12"/>
  <c r="U203" i="5"/>
  <c r="G222" i="6"/>
  <c r="F222" i="12"/>
  <c r="E197" i="12"/>
  <c r="F197" i="6"/>
  <c r="G336" i="6"/>
  <c r="F336" i="12"/>
  <c r="E497" i="12"/>
  <c r="F497" i="6"/>
  <c r="G296" i="6"/>
  <c r="F296" i="12"/>
  <c r="E202" i="12"/>
  <c r="F202" i="6"/>
  <c r="F440" i="6"/>
  <c r="E440" i="12"/>
  <c r="G271" i="6"/>
  <c r="F271" i="12"/>
  <c r="F145" i="12"/>
  <c r="G145" i="6"/>
  <c r="E331" i="12"/>
  <c r="F331" i="6"/>
  <c r="G473" i="6"/>
  <c r="F473" i="12"/>
  <c r="U210" i="5"/>
  <c r="G205" i="6"/>
  <c r="F205" i="12"/>
  <c r="G253" i="6"/>
  <c r="F253" i="12"/>
  <c r="G367" i="6"/>
  <c r="F367" i="12"/>
  <c r="F490" i="6"/>
  <c r="E490" i="12"/>
  <c r="U420" i="5"/>
  <c r="E54" i="12"/>
  <c r="F54" i="6"/>
  <c r="F120" i="6"/>
  <c r="E120" i="12"/>
  <c r="F139" i="6"/>
  <c r="E139" i="12"/>
  <c r="F90" i="12"/>
  <c r="G90" i="6"/>
  <c r="U73" i="5"/>
  <c r="E75" i="12"/>
  <c r="F75" i="6"/>
  <c r="F126" i="6"/>
  <c r="E126" i="12"/>
  <c r="F58" i="6"/>
  <c r="E58" i="12"/>
  <c r="F142" i="12"/>
  <c r="G142" i="6"/>
  <c r="U77" i="5"/>
  <c r="E53" i="12"/>
  <c r="F53" i="6"/>
  <c r="U130" i="5"/>
  <c r="U35" i="5"/>
  <c r="U137" i="5"/>
  <c r="U80" i="5"/>
  <c r="E103" i="12"/>
  <c r="F103" i="6"/>
  <c r="F97" i="6"/>
  <c r="E97" i="12"/>
  <c r="U82" i="5"/>
  <c r="U41" i="5"/>
  <c r="E101" i="12"/>
  <c r="F101" i="6"/>
  <c r="E179" i="12"/>
  <c r="F179" i="6"/>
  <c r="U392" i="5"/>
  <c r="G413" i="6"/>
  <c r="F413" i="12"/>
  <c r="F475" i="6"/>
  <c r="E475" i="12"/>
  <c r="E178" i="12"/>
  <c r="F178" i="6"/>
  <c r="E212" i="12"/>
  <c r="F212" i="6"/>
  <c r="U407" i="5"/>
  <c r="U406" i="5"/>
  <c r="E268" i="12"/>
  <c r="F268" i="6"/>
  <c r="E228" i="12"/>
  <c r="F228" i="6"/>
  <c r="F414" i="12"/>
  <c r="G414" i="6"/>
  <c r="F382" i="6"/>
  <c r="E382" i="12"/>
  <c r="U487" i="5"/>
  <c r="F318" i="6"/>
  <c r="E318" i="12"/>
  <c r="G485" i="6"/>
  <c r="F485" i="12"/>
  <c r="G161" i="6"/>
  <c r="F161" i="12"/>
  <c r="G257" i="6"/>
  <c r="F257" i="12"/>
  <c r="U181" i="5"/>
  <c r="U184" i="5"/>
  <c r="E447" i="12"/>
  <c r="F447" i="6"/>
  <c r="F183" i="6"/>
  <c r="E183" i="12"/>
  <c r="E298" i="12"/>
  <c r="F298" i="6"/>
  <c r="G206" i="6"/>
  <c r="F206" i="12"/>
  <c r="G343" i="6"/>
  <c r="F343" i="12"/>
  <c r="F262" i="6"/>
  <c r="E262" i="12"/>
  <c r="G320" i="6"/>
  <c r="F320" i="12"/>
  <c r="F261" i="6"/>
  <c r="E261" i="12"/>
  <c r="G160" i="6"/>
  <c r="F160" i="12"/>
  <c r="G443" i="6"/>
  <c r="F443" i="12"/>
  <c r="E426" i="12"/>
  <c r="F426" i="6"/>
  <c r="G501" i="6"/>
  <c r="F501" i="12"/>
  <c r="G368" i="6"/>
  <c r="F368" i="12"/>
  <c r="F203" i="12"/>
  <c r="G203" i="6"/>
  <c r="E222" i="12"/>
  <c r="F222" i="6"/>
  <c r="U197" i="5"/>
  <c r="U436" i="5"/>
  <c r="U497" i="5"/>
  <c r="F296" i="6"/>
  <c r="E296" i="12"/>
  <c r="U440" i="5"/>
  <c r="U271" i="5"/>
  <c r="F309" i="6"/>
  <c r="E309" i="12"/>
  <c r="F331" i="12"/>
  <c r="G331" i="6"/>
  <c r="F473" i="6"/>
  <c r="E473" i="12"/>
  <c r="F158" i="12"/>
  <c r="G158" i="6"/>
  <c r="E205" i="12"/>
  <c r="F205" i="6"/>
  <c r="E253" i="12"/>
  <c r="F253" i="6"/>
  <c r="G490" i="6"/>
  <c r="F490" i="12"/>
  <c r="F420" i="6"/>
  <c r="E420" i="12"/>
  <c r="F20" i="12"/>
  <c r="G20" i="6"/>
  <c r="U133" i="5"/>
  <c r="U68" i="5"/>
  <c r="U121" i="5"/>
  <c r="E90" i="12"/>
  <c r="F90" i="6"/>
  <c r="G73" i="6"/>
  <c r="F73" i="12"/>
  <c r="U75" i="5"/>
  <c r="U126" i="5"/>
  <c r="U76" i="5"/>
  <c r="F131" i="12"/>
  <c r="G131" i="6"/>
  <c r="E77" i="12"/>
  <c r="F77" i="6"/>
  <c r="E63" i="12"/>
  <c r="F63" i="6"/>
  <c r="F130" i="6"/>
  <c r="E130" i="12"/>
  <c r="G35" i="6"/>
  <c r="F35" i="12"/>
  <c r="F137" i="12"/>
  <c r="G137" i="6"/>
  <c r="G80" i="6"/>
  <c r="F80" i="12"/>
  <c r="F34" i="12"/>
  <c r="G34" i="6"/>
  <c r="E82" i="12"/>
  <c r="F82" i="6"/>
  <c r="U38" i="5"/>
  <c r="F19" i="12"/>
  <c r="G19" i="6"/>
  <c r="U179" i="5"/>
  <c r="F415" i="12"/>
  <c r="G415" i="6"/>
  <c r="U413" i="5"/>
  <c r="G178" i="6"/>
  <c r="F178" i="12"/>
  <c r="U212" i="5"/>
  <c r="U153" i="5"/>
  <c r="E406" i="12"/>
  <c r="F406" i="6"/>
  <c r="U268" i="5"/>
  <c r="F411" i="6"/>
  <c r="E411" i="12"/>
  <c r="U414" i="5"/>
  <c r="U382" i="5"/>
  <c r="G191" i="6"/>
  <c r="F191" i="12"/>
  <c r="F318" i="12"/>
  <c r="G318" i="6"/>
  <c r="F485" i="6"/>
  <c r="E485" i="12"/>
  <c r="E236" i="12"/>
  <c r="F236" i="6"/>
  <c r="E257" i="12"/>
  <c r="F257" i="6"/>
  <c r="E181" i="12"/>
  <c r="F181" i="6"/>
  <c r="F449" i="6"/>
  <c r="E449" i="12"/>
  <c r="F447" i="12"/>
  <c r="G447" i="6"/>
  <c r="U183" i="5"/>
  <c r="F369" i="6"/>
  <c r="E369" i="12"/>
  <c r="U206" i="5"/>
  <c r="U154" i="5"/>
  <c r="G424" i="6"/>
  <c r="F424" i="12"/>
  <c r="F262" i="12"/>
  <c r="G262" i="6"/>
  <c r="F261" i="12"/>
  <c r="G261" i="6"/>
  <c r="U160" i="5"/>
  <c r="G275" i="6"/>
  <c r="F275" i="12"/>
  <c r="G426" i="6"/>
  <c r="F426" i="12"/>
  <c r="F346" i="6"/>
  <c r="E346" i="12"/>
  <c r="E221" i="12"/>
  <c r="F221" i="6"/>
  <c r="U368" i="5"/>
  <c r="E481" i="12"/>
  <c r="F481" i="6"/>
  <c r="U222" i="5"/>
  <c r="U155" i="5"/>
  <c r="F436" i="6"/>
  <c r="E436" i="12"/>
  <c r="G497" i="6"/>
  <c r="F497" i="12"/>
  <c r="U339" i="5"/>
  <c r="F428" i="12"/>
  <c r="G428" i="6"/>
  <c r="G440" i="6"/>
  <c r="F440" i="12"/>
  <c r="E488" i="12"/>
  <c r="F488" i="6"/>
  <c r="F309" i="12"/>
  <c r="G309" i="6"/>
  <c r="U331" i="5"/>
  <c r="F378" i="6"/>
  <c r="E378" i="12"/>
  <c r="U158" i="5"/>
  <c r="U205" i="5"/>
  <c r="U445" i="5"/>
  <c r="E238" i="12"/>
  <c r="F238" i="6"/>
  <c r="U490" i="5"/>
  <c r="U283" i="5"/>
  <c r="E20" i="12"/>
  <c r="F20" i="6"/>
  <c r="F133" i="12"/>
  <c r="G133" i="6"/>
  <c r="F68" i="12"/>
  <c r="G68" i="6"/>
  <c r="F121" i="12"/>
  <c r="G121" i="6"/>
  <c r="U90" i="5"/>
  <c r="F73" i="6"/>
  <c r="E73" i="12"/>
  <c r="F75" i="12"/>
  <c r="G75" i="6"/>
  <c r="E117" i="12"/>
  <c r="F117" i="6"/>
  <c r="G76" i="6"/>
  <c r="F76" i="12"/>
  <c r="U131" i="5"/>
  <c r="U93" i="5"/>
  <c r="U63" i="5"/>
  <c r="F130" i="12"/>
  <c r="G130" i="6"/>
  <c r="F35" i="6"/>
  <c r="E35" i="12"/>
  <c r="F137" i="6"/>
  <c r="E137" i="12"/>
  <c r="U96" i="5"/>
  <c r="F26" i="12"/>
  <c r="G26" i="6"/>
  <c r="F34" i="6"/>
  <c r="E34" i="12"/>
  <c r="U98" i="5"/>
  <c r="F38" i="6"/>
  <c r="E38" i="12"/>
  <c r="U19" i="5"/>
  <c r="F404" i="6"/>
  <c r="E404" i="12"/>
  <c r="F412" i="12"/>
  <c r="G412" i="6"/>
  <c r="E415" i="12"/>
  <c r="F415" i="6"/>
  <c r="G291" i="6"/>
  <c r="F291" i="12"/>
  <c r="F418" i="12"/>
  <c r="G418" i="6"/>
  <c r="U178" i="5"/>
  <c r="F311" i="6"/>
  <c r="E311" i="12"/>
  <c r="F153" i="6"/>
  <c r="E153" i="12"/>
  <c r="F406" i="12"/>
  <c r="G406" i="6"/>
  <c r="U168" i="5"/>
  <c r="G411" i="6"/>
  <c r="F411" i="12"/>
  <c r="F414" i="6"/>
  <c r="E414" i="12"/>
  <c r="U313" i="5"/>
  <c r="U191" i="5"/>
  <c r="U318" i="5"/>
  <c r="U250" i="5"/>
  <c r="U236" i="5"/>
  <c r="U257" i="5"/>
  <c r="U233" i="5"/>
  <c r="F449" i="12"/>
  <c r="G449" i="6"/>
  <c r="U447" i="5"/>
  <c r="F267" i="6"/>
  <c r="E267" i="12"/>
  <c r="E438" i="12"/>
  <c r="F438" i="6"/>
  <c r="G369" i="6"/>
  <c r="F369" i="12"/>
  <c r="F154" i="12"/>
  <c r="G154" i="6"/>
  <c r="E424" i="12"/>
  <c r="F424" i="6"/>
  <c r="F273" i="12"/>
  <c r="G273" i="6"/>
  <c r="U261" i="5"/>
  <c r="E356" i="12"/>
  <c r="F356" i="6"/>
  <c r="F275" i="6"/>
  <c r="E275" i="12"/>
  <c r="G405" i="6"/>
  <c r="F405" i="12"/>
  <c r="U346" i="5"/>
  <c r="F221" i="12"/>
  <c r="G221" i="6"/>
  <c r="G448" i="6"/>
  <c r="F448" i="12"/>
  <c r="U481" i="5"/>
  <c r="U249" i="5"/>
  <c r="F155" i="6"/>
  <c r="E155" i="12"/>
  <c r="G436" i="6"/>
  <c r="F436" i="12"/>
  <c r="E292" i="12"/>
  <c r="F292" i="6"/>
  <c r="E339" i="12"/>
  <c r="F339" i="6"/>
  <c r="F428" i="6"/>
  <c r="E428" i="12"/>
  <c r="U482" i="5"/>
  <c r="U488" i="5"/>
  <c r="U309" i="5"/>
  <c r="E504" i="12"/>
  <c r="F504" i="6"/>
  <c r="F378" i="12"/>
  <c r="G378" i="6"/>
  <c r="E158" i="12"/>
  <c r="F158" i="6"/>
  <c r="U213" i="5"/>
  <c r="F445" i="12"/>
  <c r="G445" i="6"/>
  <c r="G238" i="6"/>
  <c r="F238" i="12"/>
  <c r="E334" i="12"/>
  <c r="F334" i="6"/>
  <c r="F283" i="6"/>
  <c r="E283" i="12"/>
  <c r="U20" i="5"/>
  <c r="F133" i="6"/>
  <c r="E133" i="12"/>
  <c r="F68" i="6"/>
  <c r="E68" i="12"/>
  <c r="F121" i="6"/>
  <c r="E121" i="12"/>
  <c r="U36" i="5"/>
  <c r="E92" i="12"/>
  <c r="F92" i="6"/>
  <c r="G117" i="6"/>
  <c r="F117" i="12"/>
  <c r="F76" i="6"/>
  <c r="E76" i="12"/>
  <c r="F131" i="6"/>
  <c r="E131" i="12"/>
  <c r="F93" i="12"/>
  <c r="G93" i="6"/>
  <c r="G63" i="6"/>
  <c r="F63" i="12"/>
  <c r="F46" i="6"/>
  <c r="E46" i="12"/>
  <c r="E96" i="12"/>
  <c r="F96" i="6"/>
  <c r="E26" i="12"/>
  <c r="F26" i="6"/>
  <c r="U34" i="5"/>
  <c r="E98" i="12"/>
  <c r="F98" i="6"/>
  <c r="G38" i="6"/>
  <c r="F38" i="12"/>
  <c r="F19" i="6"/>
  <c r="E19" i="12"/>
  <c r="U404" i="5"/>
  <c r="E412" i="12"/>
  <c r="F412" i="6"/>
  <c r="U493" i="5"/>
  <c r="U291" i="5"/>
  <c r="E418" i="12"/>
  <c r="F418" i="6"/>
  <c r="F247" i="12"/>
  <c r="G247" i="6"/>
  <c r="G311" i="6"/>
  <c r="F311" i="12"/>
  <c r="G153" i="6"/>
  <c r="F153" i="12"/>
  <c r="U254" i="5"/>
  <c r="E168" i="12"/>
  <c r="F168" i="6"/>
  <c r="U411" i="5"/>
  <c r="G319" i="6"/>
  <c r="F319" i="12"/>
  <c r="E313" i="12"/>
  <c r="F313" i="6"/>
  <c r="F191" i="6"/>
  <c r="E191" i="12"/>
  <c r="U305" i="5"/>
  <c r="G250" i="6"/>
  <c r="F250" i="12"/>
  <c r="G236" i="6"/>
  <c r="F236" i="12"/>
  <c r="G233" i="6"/>
  <c r="F233" i="12"/>
  <c r="U449" i="5"/>
  <c r="U476" i="5"/>
  <c r="U267" i="5"/>
  <c r="F438" i="12"/>
  <c r="G438" i="6"/>
  <c r="E156" i="12"/>
  <c r="F156" i="6"/>
  <c r="F220" i="12"/>
  <c r="G220" i="6"/>
  <c r="E154" i="12"/>
  <c r="F154" i="6"/>
  <c r="U478" i="5"/>
  <c r="F322" i="6"/>
  <c r="E322" i="12"/>
  <c r="E273" i="12"/>
  <c r="F273" i="6"/>
  <c r="F162" i="6"/>
  <c r="E162" i="12"/>
  <c r="E381" i="12"/>
  <c r="F381" i="6"/>
  <c r="F356" i="12"/>
  <c r="G356" i="6"/>
  <c r="U345" i="5"/>
  <c r="U405" i="5"/>
  <c r="F346" i="12"/>
  <c r="G346" i="6"/>
  <c r="F243" i="6"/>
  <c r="E243" i="12"/>
  <c r="U448" i="5"/>
  <c r="F249" i="6"/>
  <c r="E249" i="12"/>
  <c r="G155" i="6"/>
  <c r="F155" i="12"/>
  <c r="F282" i="12"/>
  <c r="G282" i="6"/>
  <c r="U292" i="5"/>
  <c r="F339" i="12"/>
  <c r="G339" i="6"/>
  <c r="F242" i="12"/>
  <c r="G242" i="6"/>
  <c r="F482" i="12"/>
  <c r="G482" i="6"/>
  <c r="F488" i="12"/>
  <c r="G488" i="6"/>
  <c r="F394" i="12"/>
  <c r="G394" i="6"/>
  <c r="U504" i="5"/>
  <c r="U378" i="5"/>
  <c r="G213" i="6"/>
  <c r="F213" i="12"/>
  <c r="F445" i="6"/>
  <c r="E445" i="12"/>
  <c r="U450" i="5"/>
  <c r="U334" i="5"/>
  <c r="F283" i="12"/>
  <c r="G283" i="6"/>
  <c r="U55" i="5"/>
  <c r="G122" i="6"/>
  <c r="F122" i="12"/>
  <c r="G36" i="6"/>
  <c r="F36" i="12"/>
  <c r="U92" i="5"/>
  <c r="U117" i="5"/>
  <c r="U91" i="5"/>
  <c r="E93" i="12"/>
  <c r="F93" i="6"/>
  <c r="G86" i="6"/>
  <c r="F86" i="12"/>
  <c r="G46" i="6"/>
  <c r="F46" i="12"/>
  <c r="F84" i="6"/>
  <c r="E84" i="12"/>
  <c r="F96" i="12"/>
  <c r="G96" i="6"/>
  <c r="F47" i="6"/>
  <c r="E47" i="12"/>
  <c r="E102" i="12"/>
  <c r="F102" i="6"/>
  <c r="G98" i="6"/>
  <c r="F98" i="12"/>
  <c r="U56" i="5"/>
  <c r="U32" i="5"/>
  <c r="G380" i="6"/>
  <c r="F380" i="12"/>
  <c r="G404" i="6"/>
  <c r="F404" i="12"/>
  <c r="F493" i="12"/>
  <c r="G493" i="6"/>
  <c r="F291" i="6"/>
  <c r="E291" i="12"/>
  <c r="E143" i="12"/>
  <c r="F143" i="6"/>
  <c r="E247" i="12"/>
  <c r="F247" i="6"/>
  <c r="U311" i="5"/>
  <c r="F254" i="12"/>
  <c r="G254" i="6"/>
  <c r="G168" i="6"/>
  <c r="F168" i="12"/>
  <c r="F319" i="6"/>
  <c r="E319" i="12"/>
  <c r="G313" i="6"/>
  <c r="F313" i="12"/>
  <c r="E329" i="12"/>
  <c r="F329" i="6"/>
  <c r="F305" i="6"/>
  <c r="E305" i="12"/>
  <c r="E250" i="12"/>
  <c r="F250" i="6"/>
  <c r="G295" i="6"/>
  <c r="F295" i="12"/>
  <c r="G505" i="6"/>
  <c r="F505" i="12"/>
  <c r="F233" i="6"/>
  <c r="E233" i="12"/>
  <c r="F189" i="12"/>
  <c r="G189" i="6"/>
  <c r="F476" i="12"/>
  <c r="G476" i="6"/>
  <c r="F267" i="12"/>
  <c r="G267" i="6"/>
  <c r="G507" i="6"/>
  <c r="F507" i="12"/>
  <c r="G156" i="6"/>
  <c r="F156" i="12"/>
  <c r="F220" i="6"/>
  <c r="E220" i="12"/>
  <c r="F478" i="6"/>
  <c r="E478" i="12"/>
  <c r="F322" i="12"/>
  <c r="G322" i="6"/>
  <c r="U214" i="5"/>
  <c r="F162" i="12"/>
  <c r="G162" i="6"/>
  <c r="G381" i="6"/>
  <c r="F381" i="12"/>
  <c r="G164" i="6"/>
  <c r="F164" i="12"/>
  <c r="F345" i="6"/>
  <c r="E345" i="12"/>
  <c r="F405" i="6"/>
  <c r="E405" i="12"/>
  <c r="U393" i="5"/>
  <c r="F243" i="12"/>
  <c r="G243" i="6"/>
  <c r="E448" i="12"/>
  <c r="F448" i="6"/>
  <c r="F256" i="6"/>
  <c r="E256" i="12"/>
  <c r="G249" i="6"/>
  <c r="F249" i="12"/>
  <c r="U391" i="5"/>
  <c r="F282" i="6"/>
  <c r="E282" i="12"/>
  <c r="G292" i="6"/>
  <c r="F292" i="12"/>
  <c r="U242" i="5"/>
  <c r="E482" i="12"/>
  <c r="F482" i="6"/>
  <c r="F455" i="12"/>
  <c r="G455" i="6"/>
  <c r="U394" i="5"/>
  <c r="G504" i="6"/>
  <c r="F504" i="12"/>
  <c r="F284" i="12"/>
  <c r="G284" i="6"/>
  <c r="E435" i="12"/>
  <c r="F435" i="6"/>
  <c r="E213" i="12"/>
  <c r="F213" i="6"/>
  <c r="U316" i="5"/>
  <c r="E450" i="12"/>
  <c r="F450" i="6"/>
  <c r="G334" i="6"/>
  <c r="F334" i="12"/>
  <c r="G22" i="6"/>
  <c r="F22" i="12"/>
  <c r="F114" i="6"/>
  <c r="E114" i="12"/>
  <c r="F55" i="12"/>
  <c r="G55" i="6"/>
  <c r="F122" i="6"/>
  <c r="E122" i="12"/>
  <c r="F36" i="6"/>
  <c r="E36" i="12"/>
  <c r="F92" i="12"/>
  <c r="G92" i="6"/>
  <c r="E91" i="12"/>
  <c r="F91" i="6"/>
  <c r="G40" i="6"/>
  <c r="F40" i="12"/>
  <c r="F109" i="6"/>
  <c r="E109" i="12"/>
  <c r="U86" i="5"/>
  <c r="U46" i="5"/>
  <c r="U84" i="5"/>
  <c r="F112" i="12"/>
  <c r="G112" i="6"/>
  <c r="G47" i="6"/>
  <c r="F47" i="12"/>
  <c r="G102" i="6"/>
  <c r="F102" i="12"/>
  <c r="E99" i="12"/>
  <c r="F99" i="6"/>
  <c r="F56" i="12"/>
  <c r="G56" i="6"/>
  <c r="F32" i="12"/>
  <c r="G32" i="6"/>
  <c r="E380" i="12"/>
  <c r="F380" i="6"/>
  <c r="E308" i="12"/>
  <c r="F308" i="6"/>
  <c r="G432" i="6"/>
  <c r="F432" i="12"/>
  <c r="E493" i="12"/>
  <c r="F493" i="6"/>
  <c r="U269" i="5"/>
  <c r="G143" i="6"/>
  <c r="F143" i="12"/>
  <c r="U247" i="5"/>
  <c r="E484" i="12"/>
  <c r="F484" i="6"/>
  <c r="F321" i="6"/>
  <c r="E321" i="12"/>
  <c r="F254" i="6"/>
  <c r="E254" i="12"/>
  <c r="F230" i="12"/>
  <c r="G230" i="6"/>
  <c r="U319" i="5"/>
  <c r="U204" i="5"/>
  <c r="G329" i="6"/>
  <c r="F329" i="12"/>
  <c r="F305" i="12"/>
  <c r="G305" i="6"/>
  <c r="U165" i="5"/>
  <c r="U295" i="5"/>
  <c r="E505" i="12"/>
  <c r="F505" i="6"/>
  <c r="E189" i="12"/>
  <c r="F189" i="6"/>
  <c r="E476" i="12"/>
  <c r="F476" i="6"/>
  <c r="G359" i="6"/>
  <c r="F359" i="12"/>
  <c r="F507" i="6"/>
  <c r="E507" i="12"/>
  <c r="U156" i="5"/>
  <c r="G152" i="6"/>
  <c r="F152" i="12"/>
  <c r="F237" i="12"/>
  <c r="G237" i="6"/>
  <c r="G478" i="6"/>
  <c r="F478" i="12"/>
  <c r="F437" i="6"/>
  <c r="E437" i="12"/>
  <c r="G214" i="6"/>
  <c r="F214" i="12"/>
  <c r="U162" i="5"/>
  <c r="E251" i="12"/>
  <c r="F251" i="6"/>
  <c r="E164" i="12"/>
  <c r="F164" i="6"/>
  <c r="G345" i="6"/>
  <c r="F345" i="12"/>
  <c r="U333" i="5"/>
  <c r="F393" i="12"/>
  <c r="G393" i="6"/>
  <c r="U243" i="5"/>
  <c r="F495" i="6"/>
  <c r="E495" i="12"/>
  <c r="G256" i="6"/>
  <c r="F256" i="12"/>
  <c r="G146" i="6"/>
  <c r="F146" i="12"/>
  <c r="F391" i="6"/>
  <c r="E391" i="12"/>
  <c r="U282" i="5"/>
  <c r="E494" i="12"/>
  <c r="F494" i="6"/>
  <c r="G452" i="6"/>
  <c r="F452" i="12"/>
  <c r="F242" i="6"/>
  <c r="E242" i="12"/>
  <c r="U455" i="5"/>
  <c r="E394" i="12"/>
  <c r="F394" i="6"/>
  <c r="E332" i="12"/>
  <c r="F332" i="6"/>
  <c r="E284" i="12"/>
  <c r="F284" i="6"/>
  <c r="F435" i="12"/>
  <c r="G435" i="6"/>
  <c r="F316" i="6"/>
  <c r="E316" i="12"/>
  <c r="G450" i="6"/>
  <c r="F450" i="12"/>
  <c r="U196" i="5"/>
  <c r="F469" i="6"/>
  <c r="E469" i="12"/>
  <c r="F22" i="6"/>
  <c r="E22" i="12"/>
  <c r="U114" i="5"/>
  <c r="F55" i="6"/>
  <c r="E55" i="12"/>
  <c r="F31" i="6"/>
  <c r="E31" i="12"/>
  <c r="U122" i="5"/>
  <c r="U65" i="5"/>
  <c r="F107" i="6"/>
  <c r="E107" i="12"/>
  <c r="F119" i="6"/>
  <c r="E119" i="12"/>
  <c r="G91" i="6"/>
  <c r="F91" i="12"/>
  <c r="U40" i="5"/>
  <c r="U109" i="5"/>
  <c r="F86" i="6"/>
  <c r="E86" i="12"/>
  <c r="E79" i="12"/>
  <c r="F79" i="6"/>
  <c r="G84" i="6"/>
  <c r="F84" i="12"/>
  <c r="U112" i="5"/>
  <c r="U47" i="5"/>
  <c r="U102" i="5"/>
  <c r="U99" i="5"/>
  <c r="F56" i="6"/>
  <c r="E56" i="12"/>
  <c r="E32" i="12"/>
  <c r="F32" i="6"/>
  <c r="AN42" i="5"/>
  <c r="E14" i="12"/>
  <c r="AC14" i="5" a="1"/>
  <c r="AC14" i="5" s="1"/>
  <c r="F14" i="6"/>
  <c r="AN57" i="5"/>
  <c r="AN95" i="5"/>
  <c r="F14" i="12"/>
  <c r="G14" i="6"/>
  <c r="AN87" i="5"/>
  <c r="AN124" i="5"/>
  <c r="AN25" i="5"/>
  <c r="AN30" i="5"/>
  <c r="AN27" i="5"/>
  <c r="AN49" i="5"/>
  <c r="AN59" i="5"/>
  <c r="AN24" i="5"/>
  <c r="AN28" i="5"/>
  <c r="AN48" i="5"/>
  <c r="AN72" i="5"/>
  <c r="AN105" i="5"/>
  <c r="AN106" i="5"/>
  <c r="AN100" i="5"/>
  <c r="AN129" i="5"/>
  <c r="AN61" i="5"/>
  <c r="AN140" i="5"/>
  <c r="AN134" i="5"/>
  <c r="AN44" i="5"/>
  <c r="AN52" i="5"/>
  <c r="AN118" i="5"/>
  <c r="F17" i="12"/>
  <c r="AN60" i="5"/>
  <c r="W255" i="5" l="1"/>
  <c r="AN255" i="5"/>
  <c r="AN136" i="5"/>
  <c r="W136" i="5"/>
  <c r="AN198" i="5"/>
  <c r="W198" i="5"/>
  <c r="W185" i="5"/>
  <c r="AN185" i="5"/>
  <c r="AN251" i="5"/>
  <c r="W251" i="5"/>
  <c r="W107" i="5"/>
  <c r="AN107" i="5"/>
  <c r="AN99" i="5"/>
  <c r="W99" i="5"/>
  <c r="AN84" i="5"/>
  <c r="W84" i="5"/>
  <c r="AN242" i="5"/>
  <c r="W242" i="5"/>
  <c r="AN91" i="5"/>
  <c r="W91" i="5"/>
  <c r="W236" i="5"/>
  <c r="AN236" i="5"/>
  <c r="AN19" i="5"/>
  <c r="W19" i="5"/>
  <c r="AN90" i="5"/>
  <c r="W90" i="5"/>
  <c r="W205" i="5"/>
  <c r="AN205" i="5"/>
  <c r="AN153" i="5"/>
  <c r="W153" i="5"/>
  <c r="AN184" i="5"/>
  <c r="W184" i="5"/>
  <c r="AN103" i="5"/>
  <c r="W103" i="5"/>
  <c r="W83" i="5"/>
  <c r="AN83" i="5"/>
  <c r="W71" i="5"/>
  <c r="AN71" i="5"/>
  <c r="AN187" i="5"/>
  <c r="W187" i="5"/>
  <c r="W307" i="5"/>
  <c r="AN307" i="5"/>
  <c r="AN351" i="5"/>
  <c r="W351" i="5"/>
  <c r="AN123" i="5"/>
  <c r="W123" i="5"/>
  <c r="AN408" i="5"/>
  <c r="W408" i="5"/>
  <c r="W33" i="5"/>
  <c r="AN33" i="5"/>
  <c r="AN70" i="5"/>
  <c r="W70" i="5"/>
  <c r="AN162" i="5"/>
  <c r="W162" i="5"/>
  <c r="W282" i="5"/>
  <c r="AN282" i="5"/>
  <c r="AN316" i="5"/>
  <c r="W316" i="5"/>
  <c r="AN257" i="5"/>
  <c r="W257" i="5"/>
  <c r="W339" i="5"/>
  <c r="AN339" i="5"/>
  <c r="AN149" i="5"/>
  <c r="W149" i="5"/>
  <c r="W104" i="5"/>
  <c r="AN104" i="5"/>
  <c r="W102" i="5"/>
  <c r="AN102" i="5"/>
  <c r="AN117" i="5"/>
  <c r="W117" i="5"/>
  <c r="W250" i="5"/>
  <c r="AN250" i="5"/>
  <c r="W158" i="5"/>
  <c r="AN158" i="5"/>
  <c r="AN183" i="5"/>
  <c r="W183" i="5"/>
  <c r="W212" i="5"/>
  <c r="AN212" i="5"/>
  <c r="W76" i="5"/>
  <c r="AN76" i="5"/>
  <c r="W181" i="5"/>
  <c r="AN181" i="5"/>
  <c r="W367" i="5"/>
  <c r="AN367" i="5"/>
  <c r="AN439" i="5"/>
  <c r="W439" i="5"/>
  <c r="AN69" i="5"/>
  <c r="W69" i="5"/>
  <c r="W180" i="5"/>
  <c r="AN180" i="5"/>
  <c r="AN279" i="5"/>
  <c r="W279" i="5"/>
  <c r="AN446" i="5"/>
  <c r="W446" i="5"/>
  <c r="AN304" i="5"/>
  <c r="W304" i="5"/>
  <c r="AN163" i="5"/>
  <c r="W163" i="5"/>
  <c r="W66" i="5"/>
  <c r="AN66" i="5"/>
  <c r="AN350" i="5"/>
  <c r="W350" i="5"/>
  <c r="W23" i="5"/>
  <c r="AN23" i="5"/>
  <c r="W79" i="5"/>
  <c r="AN79" i="5"/>
  <c r="AN47" i="5"/>
  <c r="W47" i="5"/>
  <c r="W156" i="5"/>
  <c r="AN156" i="5"/>
  <c r="AN165" i="5"/>
  <c r="W165" i="5"/>
  <c r="W86" i="5"/>
  <c r="AN86" i="5"/>
  <c r="W92" i="5"/>
  <c r="AN92" i="5"/>
  <c r="W504" i="5"/>
  <c r="AN504" i="5"/>
  <c r="AN213" i="5"/>
  <c r="W213" i="5"/>
  <c r="AN346" i="5"/>
  <c r="W346" i="5"/>
  <c r="AN318" i="5"/>
  <c r="W318" i="5"/>
  <c r="AN126" i="5"/>
  <c r="W126" i="5"/>
  <c r="W420" i="5"/>
  <c r="AN420" i="5"/>
  <c r="AN343" i="5"/>
  <c r="W343" i="5"/>
  <c r="W171" i="5"/>
  <c r="AN171" i="5"/>
  <c r="AN157" i="5"/>
  <c r="W157" i="5"/>
  <c r="W225" i="5"/>
  <c r="AN225" i="5"/>
  <c r="AN358" i="5"/>
  <c r="W358" i="5"/>
  <c r="AN421" i="5"/>
  <c r="W421" i="5"/>
  <c r="AN138" i="5"/>
  <c r="W138" i="5"/>
  <c r="AN265" i="5"/>
  <c r="W265" i="5"/>
  <c r="W151" i="5"/>
  <c r="AN151" i="5"/>
  <c r="AN389" i="5"/>
  <c r="W389" i="5"/>
  <c r="W324" i="5"/>
  <c r="AN324" i="5"/>
  <c r="AN353" i="5"/>
  <c r="W353" i="5"/>
  <c r="W308" i="5"/>
  <c r="AN308" i="5"/>
  <c r="AN65" i="5"/>
  <c r="W65" i="5"/>
  <c r="AN222" i="5"/>
  <c r="W222" i="5"/>
  <c r="AN393" i="5"/>
  <c r="W393" i="5"/>
  <c r="W112" i="5"/>
  <c r="AN112" i="5"/>
  <c r="W191" i="5"/>
  <c r="AN191" i="5"/>
  <c r="W178" i="5"/>
  <c r="AN178" i="5"/>
  <c r="W63" i="5"/>
  <c r="AN63" i="5"/>
  <c r="W75" i="5"/>
  <c r="AN75" i="5"/>
  <c r="W271" i="5"/>
  <c r="AN271" i="5"/>
  <c r="AN80" i="5"/>
  <c r="W80" i="5"/>
  <c r="W132" i="5"/>
  <c r="AN132" i="5"/>
  <c r="W301" i="5"/>
  <c r="AN301" i="5"/>
  <c r="W417" i="5"/>
  <c r="AN417" i="5"/>
  <c r="W50" i="5"/>
  <c r="AN50" i="5"/>
  <c r="AN454" i="5"/>
  <c r="W454" i="5"/>
  <c r="AN192" i="5"/>
  <c r="W192" i="5"/>
  <c r="W300" i="5"/>
  <c r="AN300" i="5"/>
  <c r="AN135" i="5"/>
  <c r="W135" i="5"/>
  <c r="W258" i="5"/>
  <c r="AN258" i="5"/>
  <c r="W247" i="5"/>
  <c r="AN247" i="5"/>
  <c r="AN34" i="5"/>
  <c r="W34" i="5"/>
  <c r="W313" i="5"/>
  <c r="AN313" i="5"/>
  <c r="AN98" i="5"/>
  <c r="W98" i="5"/>
  <c r="AN93" i="5"/>
  <c r="W93" i="5"/>
  <c r="AN413" i="5"/>
  <c r="W413" i="5"/>
  <c r="AN440" i="5"/>
  <c r="W440" i="5"/>
  <c r="AN392" i="5"/>
  <c r="W392" i="5"/>
  <c r="AN137" i="5"/>
  <c r="W137" i="5"/>
  <c r="W127" i="5"/>
  <c r="AN127" i="5"/>
  <c r="W253" i="5"/>
  <c r="AN253" i="5"/>
  <c r="W458" i="5"/>
  <c r="AN458" i="5"/>
  <c r="W202" i="5"/>
  <c r="AN202" i="5"/>
  <c r="W248" i="5"/>
  <c r="AN248" i="5"/>
  <c r="AN209" i="5"/>
  <c r="W209" i="5"/>
  <c r="AN375" i="5"/>
  <c r="W375" i="5"/>
  <c r="W347" i="5"/>
  <c r="AN347" i="5"/>
  <c r="AN388" i="5"/>
  <c r="W388" i="5"/>
  <c r="AN169" i="5"/>
  <c r="W169" i="5"/>
  <c r="AN199" i="5"/>
  <c r="W199" i="5"/>
  <c r="AN172" i="5"/>
  <c r="W172" i="5"/>
  <c r="W437" i="5"/>
  <c r="AN437" i="5"/>
  <c r="W31" i="5"/>
  <c r="AN31" i="5"/>
  <c r="W164" i="5"/>
  <c r="AN164" i="5"/>
  <c r="AN143" i="5"/>
  <c r="W143" i="5"/>
  <c r="AN305" i="5"/>
  <c r="W305" i="5"/>
  <c r="AN445" i="5"/>
  <c r="W445" i="5"/>
  <c r="AN295" i="5"/>
  <c r="W295" i="5"/>
  <c r="W46" i="5"/>
  <c r="AN46" i="5"/>
  <c r="AN378" i="5"/>
  <c r="W378" i="5"/>
  <c r="W196" i="5"/>
  <c r="AN196" i="5"/>
  <c r="AN448" i="5"/>
  <c r="W448" i="5"/>
  <c r="W131" i="5"/>
  <c r="AN131" i="5"/>
  <c r="W331" i="5"/>
  <c r="AN331" i="5"/>
  <c r="AN155" i="5"/>
  <c r="W155" i="5"/>
  <c r="W160" i="5"/>
  <c r="AN160" i="5"/>
  <c r="AN35" i="5"/>
  <c r="W35" i="5"/>
  <c r="AN161" i="5"/>
  <c r="W161" i="5"/>
  <c r="AN29" i="5"/>
  <c r="W29" i="5"/>
  <c r="W501" i="5"/>
  <c r="AN501" i="5"/>
  <c r="W74" i="5"/>
  <c r="AN74" i="5"/>
  <c r="AN281" i="5"/>
  <c r="W281" i="5"/>
  <c r="AN167" i="5"/>
  <c r="W167" i="5"/>
  <c r="AN176" i="5"/>
  <c r="W176" i="5"/>
  <c r="AN386" i="5"/>
  <c r="W386" i="5"/>
  <c r="AN252" i="5"/>
  <c r="W252" i="5"/>
  <c r="W217" i="5"/>
  <c r="AN217" i="5"/>
  <c r="AN502" i="5"/>
  <c r="W502" i="5"/>
  <c r="W152" i="5"/>
  <c r="AN152" i="5"/>
  <c r="AN329" i="5"/>
  <c r="W329" i="5"/>
  <c r="AN401" i="5"/>
  <c r="W401" i="5"/>
  <c r="W166" i="5"/>
  <c r="AN166" i="5"/>
  <c r="AN175" i="5"/>
  <c r="W175" i="5"/>
  <c r="W451" i="5"/>
  <c r="AN451" i="5"/>
  <c r="AN484" i="5"/>
  <c r="W484" i="5"/>
  <c r="W130" i="5"/>
  <c r="AN130" i="5"/>
  <c r="AN364" i="5"/>
  <c r="W364" i="5"/>
  <c r="W122" i="5"/>
  <c r="AN122" i="5"/>
  <c r="W204" i="5"/>
  <c r="AN204" i="5"/>
  <c r="AN269" i="5"/>
  <c r="W269" i="5"/>
  <c r="AN55" i="5"/>
  <c r="W55" i="5"/>
  <c r="AN476" i="5"/>
  <c r="W476" i="5"/>
  <c r="AN493" i="5"/>
  <c r="W493" i="5"/>
  <c r="W20" i="5"/>
  <c r="AN20" i="5"/>
  <c r="W382" i="5"/>
  <c r="AN382" i="5"/>
  <c r="AN179" i="5"/>
  <c r="W179" i="5"/>
  <c r="AN406" i="5"/>
  <c r="W406" i="5"/>
  <c r="AN139" i="5"/>
  <c r="W139" i="5"/>
  <c r="W336" i="5"/>
  <c r="AN336" i="5"/>
  <c r="W110" i="5"/>
  <c r="AN110" i="5"/>
  <c r="AN81" i="5"/>
  <c r="W81" i="5"/>
  <c r="W491" i="5"/>
  <c r="AN491" i="5"/>
  <c r="W328" i="5"/>
  <c r="AN328" i="5"/>
  <c r="W280" i="5"/>
  <c r="AN280" i="5"/>
  <c r="AN119" i="5"/>
  <c r="W119" i="5"/>
  <c r="AN284" i="5"/>
  <c r="W284" i="5"/>
  <c r="W319" i="5"/>
  <c r="AN319" i="5"/>
  <c r="W449" i="5"/>
  <c r="AN449" i="5"/>
  <c r="W411" i="5"/>
  <c r="AN411" i="5"/>
  <c r="AN414" i="5"/>
  <c r="W414" i="5"/>
  <c r="W497" i="5"/>
  <c r="AN497" i="5"/>
  <c r="AN407" i="5"/>
  <c r="W407" i="5"/>
  <c r="AN203" i="5"/>
  <c r="W203" i="5"/>
  <c r="AN101" i="5"/>
  <c r="W101" i="5"/>
  <c r="W182" i="5"/>
  <c r="AN182" i="5"/>
  <c r="AN21" i="5"/>
  <c r="W21" i="5"/>
  <c r="W344" i="5"/>
  <c r="AN344" i="5"/>
  <c r="W477" i="5"/>
  <c r="AN477" i="5"/>
  <c r="W174" i="5"/>
  <c r="AN174" i="5"/>
  <c r="W170" i="5"/>
  <c r="AN170" i="5"/>
  <c r="AN310" i="5"/>
  <c r="W310" i="5"/>
  <c r="W270" i="5"/>
  <c r="AN270" i="5"/>
  <c r="AN332" i="5"/>
  <c r="W332" i="5"/>
  <c r="AN146" i="5"/>
  <c r="W146" i="5"/>
  <c r="AN507" i="5"/>
  <c r="W507" i="5"/>
  <c r="AN73" i="5"/>
  <c r="W73" i="5"/>
  <c r="W485" i="5"/>
  <c r="AN485" i="5"/>
  <c r="W89" i="5"/>
  <c r="AN89" i="5"/>
  <c r="AN403" i="5"/>
  <c r="W403" i="5"/>
  <c r="AN121" i="5"/>
  <c r="W121" i="5"/>
  <c r="AN436" i="5"/>
  <c r="W436" i="5"/>
  <c r="W53" i="5"/>
  <c r="AN53" i="5"/>
  <c r="AN211" i="5"/>
  <c r="W211" i="5"/>
  <c r="W349" i="5"/>
  <c r="AN349" i="5"/>
  <c r="W399" i="5"/>
  <c r="AN399" i="5"/>
  <c r="AN365" i="5"/>
  <c r="W365" i="5"/>
  <c r="W116" i="5"/>
  <c r="AN116" i="5"/>
  <c r="W78" i="5"/>
  <c r="AN78" i="5"/>
  <c r="AN223" i="5"/>
  <c r="W223" i="5"/>
  <c r="W352" i="5"/>
  <c r="AN352" i="5"/>
  <c r="W22" i="5"/>
  <c r="AN22" i="5"/>
  <c r="W288" i="5"/>
  <c r="AN288" i="5"/>
  <c r="W243" i="5"/>
  <c r="AN243" i="5"/>
  <c r="AN394" i="5"/>
  <c r="W394" i="5"/>
  <c r="AN311" i="5"/>
  <c r="W311" i="5"/>
  <c r="W32" i="5"/>
  <c r="AN32" i="5"/>
  <c r="W334" i="5"/>
  <c r="AN334" i="5"/>
  <c r="W168" i="5"/>
  <c r="AN168" i="5"/>
  <c r="AN96" i="5"/>
  <c r="W96" i="5"/>
  <c r="W283" i="5"/>
  <c r="AN283" i="5"/>
  <c r="W368" i="5"/>
  <c r="AN368" i="5"/>
  <c r="W38" i="5"/>
  <c r="AN38" i="5"/>
  <c r="AN68" i="5"/>
  <c r="W68" i="5"/>
  <c r="AN197" i="5"/>
  <c r="W197" i="5"/>
  <c r="AN77" i="5"/>
  <c r="W77" i="5"/>
  <c r="W398" i="5"/>
  <c r="AN398" i="5"/>
  <c r="AN37" i="5"/>
  <c r="W37" i="5"/>
  <c r="W120" i="5"/>
  <c r="AN120" i="5"/>
  <c r="W111" i="5"/>
  <c r="AN111" i="5"/>
  <c r="W335" i="5"/>
  <c r="AN335" i="5"/>
  <c r="W88" i="5"/>
  <c r="AN88" i="5"/>
  <c r="AN330" i="5"/>
  <c r="W330" i="5"/>
  <c r="AN409" i="5"/>
  <c r="W409" i="5"/>
  <c r="W128" i="5"/>
  <c r="AN128" i="5"/>
  <c r="W144" i="5"/>
  <c r="AN144" i="5"/>
  <c r="W495" i="5"/>
  <c r="AN495" i="5"/>
  <c r="AN455" i="5"/>
  <c r="W455" i="5"/>
  <c r="AN267" i="5"/>
  <c r="W267" i="5"/>
  <c r="W195" i="5"/>
  <c r="AN195" i="5"/>
  <c r="AN56" i="5"/>
  <c r="W56" i="5"/>
  <c r="AN450" i="5"/>
  <c r="W450" i="5"/>
  <c r="W405" i="5"/>
  <c r="AN405" i="5"/>
  <c r="W478" i="5"/>
  <c r="AN478" i="5"/>
  <c r="W404" i="5"/>
  <c r="AN404" i="5"/>
  <c r="AN309" i="5"/>
  <c r="W309" i="5"/>
  <c r="AN261" i="5"/>
  <c r="W261" i="5"/>
  <c r="AN447" i="5"/>
  <c r="W447" i="5"/>
  <c r="W490" i="5"/>
  <c r="AN490" i="5"/>
  <c r="AN133" i="5"/>
  <c r="W133" i="5"/>
  <c r="AN487" i="5"/>
  <c r="W487" i="5"/>
  <c r="AN41" i="5"/>
  <c r="W41" i="5"/>
  <c r="W145" i="5"/>
  <c r="AN145" i="5"/>
  <c r="W193" i="5"/>
  <c r="AN193" i="5"/>
  <c r="AN97" i="5"/>
  <c r="W97" i="5"/>
  <c r="W142" i="5"/>
  <c r="AN142" i="5"/>
  <c r="AN54" i="5"/>
  <c r="W54" i="5"/>
  <c r="W177" i="5"/>
  <c r="AN177" i="5"/>
  <c r="AN64" i="5"/>
  <c r="W64" i="5"/>
  <c r="AN113" i="5"/>
  <c r="W113" i="5"/>
  <c r="W67" i="5"/>
  <c r="AN67" i="5"/>
  <c r="AN325" i="5"/>
  <c r="W325" i="5"/>
  <c r="AN294" i="5"/>
  <c r="W294" i="5"/>
  <c r="AN391" i="5"/>
  <c r="W391" i="5"/>
  <c r="AN109" i="5"/>
  <c r="W109" i="5"/>
  <c r="AN345" i="5"/>
  <c r="W345" i="5"/>
  <c r="W254" i="5"/>
  <c r="AN254" i="5"/>
  <c r="AN488" i="5"/>
  <c r="W488" i="5"/>
  <c r="W249" i="5"/>
  <c r="AN249" i="5"/>
  <c r="AN154" i="5"/>
  <c r="W154" i="5"/>
  <c r="W268" i="5"/>
  <c r="AN268" i="5"/>
  <c r="AN82" i="5"/>
  <c r="W82" i="5"/>
  <c r="AN210" i="5"/>
  <c r="W210" i="5"/>
  <c r="W150" i="5"/>
  <c r="AN150" i="5"/>
  <c r="W443" i="5"/>
  <c r="AN443" i="5"/>
  <c r="AN58" i="5"/>
  <c r="W58" i="5"/>
  <c r="W266" i="5"/>
  <c r="AN266" i="5"/>
  <c r="W276" i="5"/>
  <c r="AN276" i="5"/>
  <c r="AN186" i="5"/>
  <c r="W186" i="5"/>
  <c r="AN371" i="5"/>
  <c r="W371" i="5"/>
  <c r="AN94" i="5"/>
  <c r="W94" i="5"/>
  <c r="AN39" i="5"/>
  <c r="W39" i="5"/>
  <c r="AN125" i="5"/>
  <c r="W125" i="5"/>
  <c r="W494" i="5"/>
  <c r="AN494" i="5"/>
  <c r="AN108" i="5"/>
  <c r="W108" i="5"/>
  <c r="W189" i="5"/>
  <c r="AN189" i="5"/>
  <c r="W291" i="5"/>
  <c r="AN291" i="5"/>
  <c r="W40" i="5"/>
  <c r="AN40" i="5"/>
  <c r="AN333" i="5"/>
  <c r="W333" i="5"/>
  <c r="AN292" i="5"/>
  <c r="W292" i="5"/>
  <c r="W36" i="5"/>
  <c r="AN36" i="5"/>
  <c r="W482" i="5"/>
  <c r="AN482" i="5"/>
  <c r="W481" i="5"/>
  <c r="AN481" i="5"/>
  <c r="AN206" i="5"/>
  <c r="W206" i="5"/>
  <c r="W387" i="5"/>
  <c r="AN387" i="5"/>
  <c r="W234" i="5"/>
  <c r="AN234" i="5"/>
  <c r="W444" i="5"/>
  <c r="AN444" i="5"/>
  <c r="AN115" i="5"/>
  <c r="W115" i="5"/>
  <c r="W190" i="5"/>
  <c r="AN190" i="5"/>
  <c r="AN200" i="5"/>
  <c r="W200" i="5"/>
  <c r="AN396" i="5"/>
  <c r="W396" i="5"/>
  <c r="AN45" i="5"/>
  <c r="W45" i="5"/>
  <c r="W363" i="5"/>
  <c r="AN363" i="5"/>
  <c r="W499" i="5"/>
  <c r="AN499" i="5"/>
  <c r="AN51" i="5"/>
  <c r="W51" i="5"/>
  <c r="W348" i="5"/>
  <c r="AN348" i="5"/>
  <c r="W416" i="5"/>
  <c r="AN416" i="5"/>
  <c r="AN141" i="5"/>
  <c r="W141" i="5"/>
  <c r="AN114" i="5"/>
  <c r="W114" i="5"/>
  <c r="AN214" i="5"/>
  <c r="W214" i="5"/>
  <c r="AN233" i="5"/>
  <c r="W233" i="5"/>
  <c r="W306" i="5"/>
  <c r="AN306" i="5"/>
  <c r="W285" i="5"/>
  <c r="AN285" i="5"/>
  <c r="AN390" i="5"/>
  <c r="W390" i="5"/>
  <c r="AN62" i="5"/>
  <c r="W62" i="5"/>
  <c r="AN85" i="5"/>
  <c r="W85" i="5"/>
  <c r="W402" i="5"/>
  <c r="AN402" i="5"/>
  <c r="W290" i="5"/>
  <c r="AN290" i="5"/>
  <c r="W397" i="5"/>
  <c r="AN397" i="5"/>
  <c r="AN359" i="5"/>
  <c r="W359" i="5"/>
  <c r="H85" i="12" l="1"/>
  <c r="X85" i="5" a="1"/>
  <c r="X85" i="5" s="1"/>
  <c r="H166" i="12"/>
  <c r="X166" i="5" a="1"/>
  <c r="X166" i="5" s="1"/>
  <c r="H157" i="12"/>
  <c r="X157" i="5" a="1"/>
  <c r="X157" i="5" s="1"/>
  <c r="H214" i="12"/>
  <c r="X214" i="5" a="1"/>
  <c r="X214" i="5" s="1"/>
  <c r="X234" i="5" a="1"/>
  <c r="X234" i="5" s="1"/>
  <c r="H234" i="12"/>
  <c r="H333" i="12"/>
  <c r="X333" i="5" a="1"/>
  <c r="X333" i="5" s="1"/>
  <c r="H266" i="12"/>
  <c r="X266" i="5" a="1"/>
  <c r="X266" i="5" s="1"/>
  <c r="H405" i="12"/>
  <c r="X405" i="5" a="1"/>
  <c r="X405" i="5" s="1"/>
  <c r="H495" i="12"/>
  <c r="X495" i="5" a="1"/>
  <c r="X495" i="5" s="1"/>
  <c r="H38" i="12"/>
  <c r="X38" i="5" a="1"/>
  <c r="X38" i="5" s="1"/>
  <c r="X436" i="5" a="1"/>
  <c r="X436" i="5" s="1"/>
  <c r="H436" i="12"/>
  <c r="H146" i="12"/>
  <c r="X146" i="5" a="1"/>
  <c r="X146" i="5" s="1"/>
  <c r="H477" i="12"/>
  <c r="X477" i="5" a="1"/>
  <c r="X477" i="5" s="1"/>
  <c r="X414" i="5" a="1"/>
  <c r="X414" i="5" s="1"/>
  <c r="H414" i="12"/>
  <c r="H401" i="12"/>
  <c r="X401" i="5" a="1"/>
  <c r="X401" i="5" s="1"/>
  <c r="X176" i="5" a="1"/>
  <c r="X176" i="5" s="1"/>
  <c r="H176" i="12"/>
  <c r="H437" i="12"/>
  <c r="X437" i="5" a="1"/>
  <c r="X437" i="5" s="1"/>
  <c r="H413" i="12"/>
  <c r="X413" i="5" a="1"/>
  <c r="X413" i="5" s="1"/>
  <c r="H132" i="12"/>
  <c r="X132" i="5" a="1"/>
  <c r="X132" i="5" s="1"/>
  <c r="X389" i="5" a="1"/>
  <c r="X389" i="5" s="1"/>
  <c r="H389" i="12"/>
  <c r="H350" i="12"/>
  <c r="X350" i="5" a="1"/>
  <c r="X350" i="5" s="1"/>
  <c r="X439" i="5" a="1"/>
  <c r="X439" i="5" s="1"/>
  <c r="H439" i="12"/>
  <c r="H282" i="12"/>
  <c r="X282" i="5" a="1"/>
  <c r="X282" i="5" s="1"/>
  <c r="X185" i="5" a="1"/>
  <c r="X185" i="5" s="1"/>
  <c r="H185" i="12"/>
  <c r="H54" i="12"/>
  <c r="X54" i="5" a="1"/>
  <c r="X54" i="5" s="1"/>
  <c r="X250" i="5" a="1"/>
  <c r="X250" i="5" s="1"/>
  <c r="H250" i="12"/>
  <c r="X363" i="5" a="1"/>
  <c r="X363" i="5" s="1"/>
  <c r="H363" i="12"/>
  <c r="H125" i="12"/>
  <c r="X125" i="5" a="1"/>
  <c r="X125" i="5" s="1"/>
  <c r="H294" i="12"/>
  <c r="X294" i="5" a="1"/>
  <c r="X294" i="5" s="1"/>
  <c r="H450" i="12"/>
  <c r="X450" i="5" a="1"/>
  <c r="X450" i="5" s="1"/>
  <c r="H394" i="12"/>
  <c r="X394" i="5" a="1"/>
  <c r="X394" i="5" s="1"/>
  <c r="H116" i="12"/>
  <c r="X116" i="5" a="1"/>
  <c r="X116" i="5" s="1"/>
  <c r="H280" i="12"/>
  <c r="X280" i="5" a="1"/>
  <c r="X280" i="5" s="1"/>
  <c r="H179" i="12"/>
  <c r="X179" i="5" a="1"/>
  <c r="X179" i="5" s="1"/>
  <c r="H204" i="12"/>
  <c r="X204" i="5" a="1"/>
  <c r="X204" i="5" s="1"/>
  <c r="H172" i="12"/>
  <c r="X172" i="5" a="1"/>
  <c r="X172" i="5" s="1"/>
  <c r="H248" i="12"/>
  <c r="X248" i="5" a="1"/>
  <c r="X248" i="5" s="1"/>
  <c r="X300" i="5" a="1"/>
  <c r="X300" i="5" s="1"/>
  <c r="H300" i="12"/>
  <c r="X504" i="5" a="1"/>
  <c r="X504" i="5" s="1"/>
  <c r="H504" i="12"/>
  <c r="H117" i="12"/>
  <c r="X117" i="5" a="1"/>
  <c r="X117" i="5" s="1"/>
  <c r="H162" i="12"/>
  <c r="X162" i="5" a="1"/>
  <c r="X162" i="5" s="1"/>
  <c r="H198" i="12"/>
  <c r="X198" i="5" a="1"/>
  <c r="X198" i="5" s="1"/>
  <c r="H311" i="12"/>
  <c r="X311" i="5" a="1"/>
  <c r="X311" i="5" s="1"/>
  <c r="H114" i="12"/>
  <c r="X114" i="5" a="1"/>
  <c r="X114" i="5" s="1"/>
  <c r="H45" i="12"/>
  <c r="X45" i="5" a="1"/>
  <c r="X45" i="5" s="1"/>
  <c r="H387" i="12"/>
  <c r="X387" i="5" a="1"/>
  <c r="X387" i="5" s="1"/>
  <c r="H58" i="12"/>
  <c r="X58" i="5" a="1"/>
  <c r="X58" i="5" s="1"/>
  <c r="X249" i="5" a="1"/>
  <c r="X249" i="5" s="1"/>
  <c r="H249" i="12"/>
  <c r="H142" i="12"/>
  <c r="X142" i="5" a="1"/>
  <c r="X142" i="5" s="1"/>
  <c r="H490" i="12"/>
  <c r="X490" i="5" a="1"/>
  <c r="X490" i="5" s="1"/>
  <c r="H365" i="12"/>
  <c r="X365" i="5" a="1"/>
  <c r="X365" i="5" s="1"/>
  <c r="X121" i="5" a="1"/>
  <c r="X121" i="5" s="1"/>
  <c r="H121" i="12"/>
  <c r="H332" i="12"/>
  <c r="X332" i="5" a="1"/>
  <c r="X332" i="5" s="1"/>
  <c r="H329" i="12"/>
  <c r="X329" i="5" a="1"/>
  <c r="X329" i="5" s="1"/>
  <c r="H167" i="12"/>
  <c r="X167" i="5" a="1"/>
  <c r="X167" i="5" s="1"/>
  <c r="H160" i="12"/>
  <c r="X160" i="5" a="1"/>
  <c r="X160" i="5" s="1"/>
  <c r="X46" i="5" a="1"/>
  <c r="X46" i="5" s="1"/>
  <c r="H46" i="12"/>
  <c r="X93" i="5" a="1"/>
  <c r="X93" i="5" s="1"/>
  <c r="H93" i="12"/>
  <c r="X80" i="5" a="1"/>
  <c r="X80" i="5" s="1"/>
  <c r="H80" i="12"/>
  <c r="H171" i="12"/>
  <c r="X171" i="5" a="1"/>
  <c r="X171" i="5" s="1"/>
  <c r="H71" i="12"/>
  <c r="X71" i="5" a="1"/>
  <c r="X71" i="5" s="1"/>
  <c r="X236" i="5" a="1"/>
  <c r="X236" i="5" s="1"/>
  <c r="H236" i="12"/>
  <c r="X497" i="5" a="1"/>
  <c r="X497" i="5" s="1"/>
  <c r="H497" i="12"/>
  <c r="H324" i="12"/>
  <c r="X324" i="5" a="1"/>
  <c r="X324" i="5" s="1"/>
  <c r="H62" i="12"/>
  <c r="X62" i="5" a="1"/>
  <c r="X62" i="5" s="1"/>
  <c r="H40" i="12"/>
  <c r="X40" i="5" a="1"/>
  <c r="X40" i="5" s="1"/>
  <c r="H39" i="12"/>
  <c r="X39" i="5" a="1"/>
  <c r="X39" i="5" s="1"/>
  <c r="H488" i="12"/>
  <c r="X488" i="5" a="1"/>
  <c r="X488" i="5" s="1"/>
  <c r="X97" i="5" a="1"/>
  <c r="X97" i="5" s="1"/>
  <c r="H97" i="12"/>
  <c r="H447" i="12"/>
  <c r="X447" i="5" a="1"/>
  <c r="X447" i="5" s="1"/>
  <c r="H56" i="12"/>
  <c r="X56" i="5" a="1"/>
  <c r="X56" i="5" s="1"/>
  <c r="H144" i="12"/>
  <c r="X144" i="5" a="1"/>
  <c r="X144" i="5" s="1"/>
  <c r="X120" i="5" a="1"/>
  <c r="X120" i="5" s="1"/>
  <c r="H120" i="12"/>
  <c r="H368" i="12"/>
  <c r="X368" i="5" a="1"/>
  <c r="X368" i="5" s="1"/>
  <c r="H344" i="12"/>
  <c r="X344" i="5" a="1"/>
  <c r="X344" i="5" s="1"/>
  <c r="H328" i="12"/>
  <c r="X328" i="5" a="1"/>
  <c r="X328" i="5" s="1"/>
  <c r="H122" i="12"/>
  <c r="X122" i="5" a="1"/>
  <c r="X122" i="5" s="1"/>
  <c r="H155" i="12"/>
  <c r="X155" i="5" a="1"/>
  <c r="X155" i="5" s="1"/>
  <c r="H295" i="12"/>
  <c r="X295" i="5" a="1"/>
  <c r="X295" i="5" s="1"/>
  <c r="X199" i="5" a="1"/>
  <c r="X199" i="5" s="1"/>
  <c r="H199" i="12"/>
  <c r="H202" i="12"/>
  <c r="X202" i="5" a="1"/>
  <c r="X202" i="5" s="1"/>
  <c r="X192" i="5" a="1"/>
  <c r="X192" i="5" s="1"/>
  <c r="H192" i="12"/>
  <c r="H112" i="12"/>
  <c r="X112" i="5" a="1"/>
  <c r="X112" i="5" s="1"/>
  <c r="H151" i="12"/>
  <c r="X151" i="5" a="1"/>
  <c r="X151" i="5" s="1"/>
  <c r="H343" i="12"/>
  <c r="X343" i="5" a="1"/>
  <c r="X343" i="5" s="1"/>
  <c r="H92" i="12"/>
  <c r="X92" i="5" a="1"/>
  <c r="X92" i="5" s="1"/>
  <c r="H66" i="12"/>
  <c r="X66" i="5" a="1"/>
  <c r="X66" i="5" s="1"/>
  <c r="H367" i="12"/>
  <c r="X367" i="5" a="1"/>
  <c r="X367" i="5" s="1"/>
  <c r="H70" i="12"/>
  <c r="X70" i="5" a="1"/>
  <c r="X70" i="5" s="1"/>
  <c r="H91" i="12"/>
  <c r="X91" i="5" a="1"/>
  <c r="X91" i="5" s="1"/>
  <c r="X136" i="5" a="1"/>
  <c r="X136" i="5" s="1"/>
  <c r="H136" i="12"/>
  <c r="X35" i="5" a="1"/>
  <c r="X35" i="5" s="1"/>
  <c r="H35" i="12"/>
  <c r="H23" i="12"/>
  <c r="X23" i="5" a="1"/>
  <c r="X23" i="5" s="1"/>
  <c r="H187" i="12"/>
  <c r="X187" i="5" a="1"/>
  <c r="X187" i="5" s="1"/>
  <c r="H19" i="12"/>
  <c r="X19" i="5" a="1"/>
  <c r="X19" i="5" s="1"/>
  <c r="H141" i="12"/>
  <c r="X141" i="5" a="1"/>
  <c r="X141" i="5" s="1"/>
  <c r="H396" i="12"/>
  <c r="X396" i="5" a="1"/>
  <c r="X396" i="5" s="1"/>
  <c r="H37" i="12"/>
  <c r="X37" i="5" a="1"/>
  <c r="X37" i="5" s="1"/>
  <c r="X243" i="5" a="1"/>
  <c r="X243" i="5" s="1"/>
  <c r="H243" i="12"/>
  <c r="H21" i="12"/>
  <c r="X21" i="5" a="1"/>
  <c r="X21" i="5" s="1"/>
  <c r="H411" i="12"/>
  <c r="X411" i="5" a="1"/>
  <c r="X411" i="5" s="1"/>
  <c r="H382" i="12"/>
  <c r="X382" i="5" a="1"/>
  <c r="X382" i="5" s="1"/>
  <c r="H364" i="12"/>
  <c r="X364" i="5" a="1"/>
  <c r="X364" i="5" s="1"/>
  <c r="X281" i="5" a="1"/>
  <c r="X281" i="5" s="1"/>
  <c r="H281" i="12"/>
  <c r="H98" i="12"/>
  <c r="X98" i="5" a="1"/>
  <c r="X98" i="5" s="1"/>
  <c r="H393" i="12"/>
  <c r="X393" i="5" a="1"/>
  <c r="X393" i="5" s="1"/>
  <c r="H265" i="12"/>
  <c r="X265" i="5" a="1"/>
  <c r="X265" i="5" s="1"/>
  <c r="H163" i="12"/>
  <c r="X163" i="5" a="1"/>
  <c r="X163" i="5" s="1"/>
  <c r="H102" i="12"/>
  <c r="X102" i="5" a="1"/>
  <c r="X102" i="5" s="1"/>
  <c r="H83" i="12"/>
  <c r="X83" i="5" a="1"/>
  <c r="X83" i="5" s="1"/>
  <c r="H154" i="12"/>
  <c r="X154" i="5" a="1"/>
  <c r="X154" i="5" s="1"/>
  <c r="X406" i="5" a="1"/>
  <c r="X406" i="5" s="1"/>
  <c r="H406" i="12"/>
  <c r="H378" i="12"/>
  <c r="X378" i="5" a="1"/>
  <c r="X378" i="5" s="1"/>
  <c r="X359" i="5" a="1"/>
  <c r="X359" i="5" s="1"/>
  <c r="H359" i="12"/>
  <c r="H390" i="12"/>
  <c r="X390" i="5" a="1"/>
  <c r="X390" i="5" s="1"/>
  <c r="X206" i="5" a="1"/>
  <c r="X206" i="5" s="1"/>
  <c r="H206" i="12"/>
  <c r="H291" i="12"/>
  <c r="X291" i="5" a="1"/>
  <c r="X291" i="5" s="1"/>
  <c r="H94" i="12"/>
  <c r="X94" i="5" a="1"/>
  <c r="X94" i="5" s="1"/>
  <c r="H443" i="12"/>
  <c r="X443" i="5" a="1"/>
  <c r="X443" i="5" s="1"/>
  <c r="H325" i="12"/>
  <c r="X325" i="5" a="1"/>
  <c r="X325" i="5" s="1"/>
  <c r="H261" i="12"/>
  <c r="X261" i="5" a="1"/>
  <c r="X261" i="5" s="1"/>
  <c r="X128" i="5" a="1"/>
  <c r="X128" i="5" s="1"/>
  <c r="H128" i="12"/>
  <c r="H283" i="12"/>
  <c r="X283" i="5" a="1"/>
  <c r="X283" i="5" s="1"/>
  <c r="H270" i="12"/>
  <c r="X270" i="5" a="1"/>
  <c r="X270" i="5" s="1"/>
  <c r="H491" i="12"/>
  <c r="X491" i="5" a="1"/>
  <c r="X491" i="5" s="1"/>
  <c r="H152" i="12"/>
  <c r="X152" i="5" a="1"/>
  <c r="X152" i="5" s="1"/>
  <c r="H445" i="12"/>
  <c r="X445" i="5" a="1"/>
  <c r="X445" i="5" s="1"/>
  <c r="X169" i="5" a="1"/>
  <c r="X169" i="5" s="1"/>
  <c r="H169" i="12"/>
  <c r="X458" i="5" a="1"/>
  <c r="X458" i="5" s="1"/>
  <c r="H458" i="12"/>
  <c r="H454" i="12"/>
  <c r="X454" i="5" a="1"/>
  <c r="X454" i="5" s="1"/>
  <c r="H271" i="12"/>
  <c r="X271" i="5" a="1"/>
  <c r="X271" i="5" s="1"/>
  <c r="X86" i="5" a="1"/>
  <c r="X86" i="5" s="1"/>
  <c r="H86" i="12"/>
  <c r="H181" i="12"/>
  <c r="X181" i="5" a="1"/>
  <c r="X181" i="5" s="1"/>
  <c r="H103" i="12"/>
  <c r="X103" i="5" a="1"/>
  <c r="X103" i="5" s="1"/>
  <c r="X242" i="5" a="1"/>
  <c r="X242" i="5" s="1"/>
  <c r="H242" i="12"/>
  <c r="H96" i="12"/>
  <c r="X96" i="5" a="1"/>
  <c r="X96" i="5" s="1"/>
  <c r="X304" i="5" a="1"/>
  <c r="X304" i="5" s="1"/>
  <c r="H304" i="12"/>
  <c r="H189" i="12"/>
  <c r="X189" i="5" a="1"/>
  <c r="X189" i="5" s="1"/>
  <c r="H371" i="12"/>
  <c r="X371" i="5" a="1"/>
  <c r="X371" i="5" s="1"/>
  <c r="H150" i="12"/>
  <c r="X150" i="5" a="1"/>
  <c r="X150" i="5" s="1"/>
  <c r="H345" i="12"/>
  <c r="X345" i="5" a="1"/>
  <c r="X345" i="5" s="1"/>
  <c r="X309" i="5" a="1"/>
  <c r="X309" i="5" s="1"/>
  <c r="H309" i="12"/>
  <c r="H398" i="12"/>
  <c r="X398" i="5" a="1"/>
  <c r="X398" i="5" s="1"/>
  <c r="H182" i="12"/>
  <c r="X182" i="5" a="1"/>
  <c r="X182" i="5" s="1"/>
  <c r="H20" i="12"/>
  <c r="X20" i="5" a="1"/>
  <c r="X20" i="5" s="1"/>
  <c r="H130" i="12"/>
  <c r="X130" i="5" a="1"/>
  <c r="X130" i="5" s="1"/>
  <c r="H74" i="12"/>
  <c r="X74" i="5" a="1"/>
  <c r="X74" i="5" s="1"/>
  <c r="H305" i="12"/>
  <c r="X305" i="5" a="1"/>
  <c r="X305" i="5" s="1"/>
  <c r="H388" i="12"/>
  <c r="X388" i="5" a="1"/>
  <c r="X388" i="5" s="1"/>
  <c r="H253" i="12"/>
  <c r="X253" i="5" a="1"/>
  <c r="X253" i="5" s="1"/>
  <c r="H313" i="12"/>
  <c r="X313" i="5" a="1"/>
  <c r="X313" i="5" s="1"/>
  <c r="X75" i="5" a="1"/>
  <c r="X75" i="5" s="1"/>
  <c r="H75" i="12"/>
  <c r="H126" i="12"/>
  <c r="X126" i="5" a="1"/>
  <c r="X126" i="5" s="1"/>
  <c r="H76" i="12"/>
  <c r="X76" i="5" a="1"/>
  <c r="X76" i="5" s="1"/>
  <c r="X149" i="5" a="1"/>
  <c r="X149" i="5" s="1"/>
  <c r="H149" i="12"/>
  <c r="H408" i="12"/>
  <c r="X408" i="5" a="1"/>
  <c r="X408" i="5" s="1"/>
  <c r="H184" i="12"/>
  <c r="X184" i="5" a="1"/>
  <c r="X184" i="5" s="1"/>
  <c r="H84" i="12"/>
  <c r="X84" i="5" a="1"/>
  <c r="X84" i="5" s="1"/>
  <c r="X420" i="5" a="1"/>
  <c r="X420" i="5" s="1"/>
  <c r="H420" i="12"/>
  <c r="X397" i="5" a="1"/>
  <c r="X397" i="5" s="1"/>
  <c r="H397" i="12"/>
  <c r="H285" i="12"/>
  <c r="X285" i="5" a="1"/>
  <c r="X285" i="5" s="1"/>
  <c r="H416" i="12"/>
  <c r="X416" i="5" a="1"/>
  <c r="X416" i="5" s="1"/>
  <c r="X210" i="5" a="1"/>
  <c r="X210" i="5" s="1"/>
  <c r="H210" i="12"/>
  <c r="X67" i="5" a="1"/>
  <c r="X67" i="5" s="1"/>
  <c r="H67" i="12"/>
  <c r="H145" i="12"/>
  <c r="X145" i="5" a="1"/>
  <c r="X145" i="5" s="1"/>
  <c r="H330" i="12"/>
  <c r="X330" i="5" a="1"/>
  <c r="X330" i="5" s="1"/>
  <c r="H77" i="12"/>
  <c r="X77" i="5" a="1"/>
  <c r="X77" i="5" s="1"/>
  <c r="H22" i="12"/>
  <c r="X22" i="5" a="1"/>
  <c r="X22" i="5" s="1"/>
  <c r="H349" i="12"/>
  <c r="X349" i="5" a="1"/>
  <c r="X349" i="5" s="1"/>
  <c r="H101" i="12"/>
  <c r="X101" i="5" a="1"/>
  <c r="X101" i="5" s="1"/>
  <c r="H319" i="12"/>
  <c r="X319" i="5" a="1"/>
  <c r="X319" i="5" s="1"/>
  <c r="H493" i="12"/>
  <c r="X493" i="5" a="1"/>
  <c r="X493" i="5" s="1"/>
  <c r="H484" i="12"/>
  <c r="X484" i="5" a="1"/>
  <c r="X484" i="5" s="1"/>
  <c r="H131" i="12"/>
  <c r="X131" i="5" a="1"/>
  <c r="X131" i="5" s="1"/>
  <c r="H34" i="12"/>
  <c r="X34" i="5" a="1"/>
  <c r="X34" i="5" s="1"/>
  <c r="H65" i="12"/>
  <c r="X65" i="5" a="1"/>
  <c r="X65" i="5" s="1"/>
  <c r="H446" i="12"/>
  <c r="X446" i="5" a="1"/>
  <c r="X446" i="5" s="1"/>
  <c r="H133" i="12"/>
  <c r="X133" i="5" a="1"/>
  <c r="X133" i="5" s="1"/>
  <c r="H193" i="12"/>
  <c r="X193" i="5" a="1"/>
  <c r="X193" i="5" s="1"/>
  <c r="H399" i="12"/>
  <c r="X399" i="5" a="1"/>
  <c r="X399" i="5" s="1"/>
  <c r="H481" i="12"/>
  <c r="X481" i="5" a="1"/>
  <c r="X481" i="5" s="1"/>
  <c r="H108" i="12"/>
  <c r="X108" i="5" a="1"/>
  <c r="X108" i="5" s="1"/>
  <c r="H186" i="12"/>
  <c r="X186" i="5" a="1"/>
  <c r="X186" i="5" s="1"/>
  <c r="H113" i="12"/>
  <c r="X113" i="5" a="1"/>
  <c r="X113" i="5" s="1"/>
  <c r="H41" i="12"/>
  <c r="X41" i="5" a="1"/>
  <c r="X41" i="5" s="1"/>
  <c r="H168" i="12"/>
  <c r="X168" i="5" a="1"/>
  <c r="X168" i="5" s="1"/>
  <c r="H211" i="12"/>
  <c r="X211" i="5" a="1"/>
  <c r="X211" i="5" s="1"/>
  <c r="H89" i="12"/>
  <c r="X89" i="5" a="1"/>
  <c r="X89" i="5" s="1"/>
  <c r="H170" i="12"/>
  <c r="X170" i="5" a="1"/>
  <c r="X170" i="5" s="1"/>
  <c r="X217" i="5" a="1"/>
  <c r="X217" i="5" s="1"/>
  <c r="H217" i="12"/>
  <c r="H143" i="12"/>
  <c r="X143" i="5" a="1"/>
  <c r="X143" i="5" s="1"/>
  <c r="X127" i="5" a="1"/>
  <c r="X127" i="5" s="1"/>
  <c r="H127" i="12"/>
  <c r="H50" i="12"/>
  <c r="X50" i="5" a="1"/>
  <c r="X50" i="5" s="1"/>
  <c r="H63" i="12"/>
  <c r="X63" i="5" a="1"/>
  <c r="X63" i="5" s="1"/>
  <c r="H421" i="12"/>
  <c r="X421" i="5" a="1"/>
  <c r="X421" i="5" s="1"/>
  <c r="H318" i="12"/>
  <c r="X318" i="5" a="1"/>
  <c r="X318" i="5" s="1"/>
  <c r="H156" i="12"/>
  <c r="X156" i="5" a="1"/>
  <c r="X156" i="5" s="1"/>
  <c r="H212" i="12"/>
  <c r="X212" i="5" a="1"/>
  <c r="X212" i="5" s="1"/>
  <c r="H123" i="12"/>
  <c r="X123" i="5" a="1"/>
  <c r="X123" i="5" s="1"/>
  <c r="X153" i="5" a="1"/>
  <c r="X153" i="5" s="1"/>
  <c r="H153" i="12"/>
  <c r="H99" i="12"/>
  <c r="X99" i="5" a="1"/>
  <c r="X99" i="5" s="1"/>
  <c r="H254" i="12"/>
  <c r="X254" i="5" a="1"/>
  <c r="X254" i="5" s="1"/>
  <c r="H288" i="12"/>
  <c r="X288" i="5" a="1"/>
  <c r="X288" i="5" s="1"/>
  <c r="H449" i="12"/>
  <c r="X449" i="5" a="1"/>
  <c r="X449" i="5" s="1"/>
  <c r="H331" i="12"/>
  <c r="X331" i="5" a="1"/>
  <c r="X331" i="5" s="1"/>
  <c r="H222" i="12"/>
  <c r="X222" i="5" a="1"/>
  <c r="X222" i="5" s="1"/>
  <c r="H165" i="12"/>
  <c r="X165" i="5" a="1"/>
  <c r="X165" i="5" s="1"/>
  <c r="X33" i="5" a="1"/>
  <c r="X33" i="5" s="1"/>
  <c r="H33" i="12"/>
  <c r="X348" i="5" a="1"/>
  <c r="X348" i="5" s="1"/>
  <c r="H348" i="12"/>
  <c r="H82" i="12"/>
  <c r="X82" i="5" a="1"/>
  <c r="X82" i="5" s="1"/>
  <c r="H109" i="12"/>
  <c r="X109" i="5" a="1"/>
  <c r="X109" i="5" s="1"/>
  <c r="H195" i="12"/>
  <c r="X195" i="5" a="1"/>
  <c r="X195" i="5" s="1"/>
  <c r="H352" i="12"/>
  <c r="X352" i="5" a="1"/>
  <c r="X352" i="5" s="1"/>
  <c r="H203" i="12"/>
  <c r="X203" i="5" a="1"/>
  <c r="X203" i="5" s="1"/>
  <c r="H110" i="12"/>
  <c r="X110" i="5" a="1"/>
  <c r="X110" i="5" s="1"/>
  <c r="H476" i="12"/>
  <c r="X476" i="5" a="1"/>
  <c r="X476" i="5" s="1"/>
  <c r="H252" i="12"/>
  <c r="X252" i="5" a="1"/>
  <c r="X252" i="5" s="1"/>
  <c r="H501" i="12"/>
  <c r="X501" i="5" a="1"/>
  <c r="X501" i="5" s="1"/>
  <c r="X347" i="5" a="1"/>
  <c r="X347" i="5" s="1"/>
  <c r="H347" i="12"/>
  <c r="H137" i="12"/>
  <c r="X137" i="5" a="1"/>
  <c r="X137" i="5" s="1"/>
  <c r="X47" i="5" a="1"/>
  <c r="X47" i="5" s="1"/>
  <c r="H47" i="12"/>
  <c r="X279" i="5" a="1"/>
  <c r="X279" i="5" s="1"/>
  <c r="H279" i="12"/>
  <c r="H183" i="12"/>
  <c r="X183" i="5" a="1"/>
  <c r="X183" i="5" s="1"/>
  <c r="H339" i="12"/>
  <c r="X339" i="5" a="1"/>
  <c r="X339" i="5" s="1"/>
  <c r="H138" i="12"/>
  <c r="X138" i="5" a="1"/>
  <c r="X138" i="5" s="1"/>
  <c r="H190" i="12"/>
  <c r="X190" i="5" a="1"/>
  <c r="X190" i="5" s="1"/>
  <c r="H306" i="12"/>
  <c r="X306" i="5" a="1"/>
  <c r="X306" i="5" s="1"/>
  <c r="X51" i="5" a="1"/>
  <c r="X51" i="5" s="1"/>
  <c r="H51" i="12"/>
  <c r="H115" i="12"/>
  <c r="X115" i="5" a="1"/>
  <c r="X115" i="5" s="1"/>
  <c r="X482" i="5" a="1"/>
  <c r="X482" i="5" s="1"/>
  <c r="H482" i="12"/>
  <c r="X64" i="5" a="1"/>
  <c r="X64" i="5" s="1"/>
  <c r="H64" i="12"/>
  <c r="H487" i="12"/>
  <c r="X487" i="5" a="1"/>
  <c r="X487" i="5" s="1"/>
  <c r="H267" i="12"/>
  <c r="X267" i="5" a="1"/>
  <c r="X267" i="5" s="1"/>
  <c r="H88" i="12"/>
  <c r="X88" i="5" a="1"/>
  <c r="X88" i="5" s="1"/>
  <c r="H197" i="12"/>
  <c r="X197" i="5" a="1"/>
  <c r="X197" i="5" s="1"/>
  <c r="H223" i="12"/>
  <c r="X223" i="5" a="1"/>
  <c r="X223" i="5" s="1"/>
  <c r="H485" i="12"/>
  <c r="X485" i="5" a="1"/>
  <c r="X485" i="5" s="1"/>
  <c r="H174" i="12"/>
  <c r="X174" i="5" a="1"/>
  <c r="X174" i="5" s="1"/>
  <c r="H284" i="12"/>
  <c r="X284" i="5" a="1"/>
  <c r="X284" i="5" s="1"/>
  <c r="H451" i="12"/>
  <c r="X451" i="5" a="1"/>
  <c r="X451" i="5" s="1"/>
  <c r="H29" i="12"/>
  <c r="X29" i="5" a="1"/>
  <c r="X29" i="5" s="1"/>
  <c r="X448" i="5" a="1"/>
  <c r="X448" i="5" s="1"/>
  <c r="H448" i="12"/>
  <c r="H375" i="12"/>
  <c r="X375" i="5" a="1"/>
  <c r="X375" i="5" s="1"/>
  <c r="H247" i="12"/>
  <c r="X247" i="5" a="1"/>
  <c r="X247" i="5" s="1"/>
  <c r="H417" i="12"/>
  <c r="X417" i="5" a="1"/>
  <c r="X417" i="5" s="1"/>
  <c r="H178" i="12"/>
  <c r="X178" i="5" a="1"/>
  <c r="X178" i="5" s="1"/>
  <c r="X308" i="5" a="1"/>
  <c r="X308" i="5" s="1"/>
  <c r="H308" i="12"/>
  <c r="H358" i="12"/>
  <c r="X358" i="5" a="1"/>
  <c r="X358" i="5" s="1"/>
  <c r="H346" i="12"/>
  <c r="X346" i="5" a="1"/>
  <c r="X346" i="5" s="1"/>
  <c r="X257" i="5" a="1"/>
  <c r="X257" i="5" s="1"/>
  <c r="H257" i="12"/>
  <c r="H351" i="12"/>
  <c r="X351" i="5" a="1"/>
  <c r="X351" i="5" s="1"/>
  <c r="X111" i="5" a="1"/>
  <c r="X111" i="5" s="1"/>
  <c r="H111" i="12"/>
  <c r="H104" i="12"/>
  <c r="X104" i="5" a="1"/>
  <c r="X104" i="5" s="1"/>
  <c r="H404" i="12"/>
  <c r="X404" i="5" a="1"/>
  <c r="X404" i="5" s="1"/>
  <c r="X334" i="5" a="1"/>
  <c r="X334" i="5" s="1"/>
  <c r="H334" i="12"/>
  <c r="H73" i="12"/>
  <c r="X73" i="5" a="1"/>
  <c r="X73" i="5" s="1"/>
  <c r="H407" i="12"/>
  <c r="X407" i="5" a="1"/>
  <c r="X407" i="5" s="1"/>
  <c r="H336" i="12"/>
  <c r="X336" i="5" a="1"/>
  <c r="X336" i="5" s="1"/>
  <c r="X55" i="5" a="1"/>
  <c r="X55" i="5" s="1"/>
  <c r="H55" i="12"/>
  <c r="X175" i="5" a="1"/>
  <c r="X175" i="5" s="1"/>
  <c r="H175" i="12"/>
  <c r="X164" i="5" a="1"/>
  <c r="X164" i="5" s="1"/>
  <c r="H164" i="12"/>
  <c r="H392" i="12"/>
  <c r="X392" i="5" a="1"/>
  <c r="X392" i="5" s="1"/>
  <c r="H353" i="12"/>
  <c r="X353" i="5" a="1"/>
  <c r="X353" i="5" s="1"/>
  <c r="H205" i="12"/>
  <c r="X205" i="5" a="1"/>
  <c r="X205" i="5" s="1"/>
  <c r="H107" i="12"/>
  <c r="X107" i="5" a="1"/>
  <c r="X107" i="5" s="1"/>
  <c r="H200" i="12"/>
  <c r="X200" i="5" a="1"/>
  <c r="X200" i="5" s="1"/>
  <c r="X409" i="5" a="1"/>
  <c r="X409" i="5" s="1"/>
  <c r="H409" i="12"/>
  <c r="H403" i="12"/>
  <c r="X403" i="5" a="1"/>
  <c r="X403" i="5" s="1"/>
  <c r="H81" i="12"/>
  <c r="X81" i="5" a="1"/>
  <c r="X81" i="5" s="1"/>
  <c r="H502" i="12"/>
  <c r="X502" i="5" a="1"/>
  <c r="X502" i="5" s="1"/>
  <c r="X255" i="5" a="1"/>
  <c r="X255" i="5" s="1"/>
  <c r="H255" i="12"/>
  <c r="X290" i="5" a="1"/>
  <c r="X290" i="5" s="1"/>
  <c r="H290" i="12"/>
  <c r="H391" i="12"/>
  <c r="X391" i="5" a="1"/>
  <c r="X391" i="5" s="1"/>
  <c r="X233" i="5" a="1"/>
  <c r="X233" i="5" s="1"/>
  <c r="H233" i="12"/>
  <c r="H36" i="12"/>
  <c r="X36" i="5" a="1"/>
  <c r="X36" i="5" s="1"/>
  <c r="X494" i="5" a="1"/>
  <c r="X494" i="5" s="1"/>
  <c r="H494" i="12"/>
  <c r="H455" i="12"/>
  <c r="X455" i="5" a="1"/>
  <c r="X455" i="5" s="1"/>
  <c r="H335" i="12"/>
  <c r="X335" i="5" a="1"/>
  <c r="X335" i="5" s="1"/>
  <c r="H68" i="12"/>
  <c r="X68" i="5" a="1"/>
  <c r="X68" i="5" s="1"/>
  <c r="H53" i="12"/>
  <c r="X53" i="5" a="1"/>
  <c r="X53" i="5" s="1"/>
  <c r="X139" i="5" a="1"/>
  <c r="X139" i="5" s="1"/>
  <c r="H139" i="12"/>
  <c r="H161" i="12"/>
  <c r="X161" i="5" a="1"/>
  <c r="X161" i="5" s="1"/>
  <c r="H258" i="12"/>
  <c r="X258" i="5" a="1"/>
  <c r="X258" i="5" s="1"/>
  <c r="H301" i="12"/>
  <c r="X301" i="5" a="1"/>
  <c r="X301" i="5" s="1"/>
  <c r="X191" i="5" a="1"/>
  <c r="X191" i="5" s="1"/>
  <c r="H191" i="12"/>
  <c r="H213" i="12"/>
  <c r="X213" i="5" a="1"/>
  <c r="X213" i="5" s="1"/>
  <c r="X79" i="5" a="1"/>
  <c r="X79" i="5" s="1"/>
  <c r="H79" i="12"/>
  <c r="H180" i="12"/>
  <c r="X180" i="5" a="1"/>
  <c r="X180" i="5" s="1"/>
  <c r="H158" i="12"/>
  <c r="X158" i="5" a="1"/>
  <c r="X158" i="5" s="1"/>
  <c r="H316" i="12"/>
  <c r="X316" i="5" a="1"/>
  <c r="X316" i="5" s="1"/>
  <c r="H90" i="12"/>
  <c r="X90" i="5" a="1"/>
  <c r="X90" i="5" s="1"/>
  <c r="H251" i="12"/>
  <c r="X251" i="5" a="1"/>
  <c r="X251" i="5" s="1"/>
  <c r="H310" i="12"/>
  <c r="X310" i="5" a="1"/>
  <c r="X310" i="5" s="1"/>
  <c r="H402" i="12"/>
  <c r="X402" i="5" a="1"/>
  <c r="X402" i="5" s="1"/>
  <c r="H499" i="12"/>
  <c r="X499" i="5" a="1"/>
  <c r="X499" i="5" s="1"/>
  <c r="X444" i="5" a="1"/>
  <c r="X444" i="5" s="1"/>
  <c r="H444" i="12"/>
  <c r="X292" i="5" a="1"/>
  <c r="X292" i="5" s="1"/>
  <c r="H292" i="12"/>
  <c r="H276" i="12"/>
  <c r="X276" i="5" a="1"/>
  <c r="X276" i="5" s="1"/>
  <c r="X268" i="5" a="1"/>
  <c r="X268" i="5" s="1"/>
  <c r="H268" i="12"/>
  <c r="H177" i="12"/>
  <c r="X177" i="5" a="1"/>
  <c r="X177" i="5" s="1"/>
  <c r="X478" i="5" a="1"/>
  <c r="X478" i="5" s="1"/>
  <c r="H478" i="12"/>
  <c r="H32" i="12"/>
  <c r="X32" i="5" a="1"/>
  <c r="X32" i="5" s="1"/>
  <c r="H78" i="12"/>
  <c r="X78" i="5" a="1"/>
  <c r="X78" i="5" s="1"/>
  <c r="H507" i="12"/>
  <c r="X507" i="5" a="1"/>
  <c r="X507" i="5" s="1"/>
  <c r="H119" i="12"/>
  <c r="X119" i="5" a="1"/>
  <c r="X119" i="5" s="1"/>
  <c r="H269" i="12"/>
  <c r="X269" i="5" a="1"/>
  <c r="X269" i="5" s="1"/>
  <c r="H386" i="12"/>
  <c r="X386" i="5" a="1"/>
  <c r="X386" i="5" s="1"/>
  <c r="H196" i="12"/>
  <c r="X196" i="5" a="1"/>
  <c r="X196" i="5" s="1"/>
  <c r="H31" i="12"/>
  <c r="X31" i="5" a="1"/>
  <c r="X31" i="5" s="1"/>
  <c r="H209" i="12"/>
  <c r="X209" i="5" a="1"/>
  <c r="X209" i="5" s="1"/>
  <c r="H440" i="12"/>
  <c r="X440" i="5" a="1"/>
  <c r="X440" i="5" s="1"/>
  <c r="H135" i="12"/>
  <c r="X135" i="5" a="1"/>
  <c r="X135" i="5" s="1"/>
  <c r="H225" i="12"/>
  <c r="X225" i="5" a="1"/>
  <c r="X225" i="5" s="1"/>
  <c r="H69" i="12"/>
  <c r="X69" i="5" a="1"/>
  <c r="X69" i="5" s="1"/>
  <c r="X307" i="5" a="1"/>
  <c r="X307" i="5" s="1"/>
  <c r="H307" i="12"/>
  <c r="AG470" i="5"/>
  <c r="AG274" i="5"/>
  <c r="AG429" i="5"/>
  <c r="AG463" i="5"/>
  <c r="AG273" i="5"/>
  <c r="AG452" i="5"/>
  <c r="AG228" i="5"/>
  <c r="AG220" i="5"/>
  <c r="AG229" i="5"/>
  <c r="AG231" i="5"/>
  <c r="AG469" i="5"/>
  <c r="AG431" i="5"/>
  <c r="AG473" i="5"/>
  <c r="AG369" i="5"/>
  <c r="AG355" i="5"/>
  <c r="AG287" i="5"/>
  <c r="AG315" i="5"/>
  <c r="AG275" i="5"/>
  <c r="AG338" i="5"/>
  <c r="AG260" i="5"/>
  <c r="AG356" i="5"/>
  <c r="AG226" i="5"/>
  <c r="AG237" i="5"/>
  <c r="AG218" i="5"/>
  <c r="AG496" i="5"/>
  <c r="AG505" i="5"/>
  <c r="AG435" i="5"/>
  <c r="AG232" i="5"/>
  <c r="AG432" i="5"/>
  <c r="AG472" i="5"/>
  <c r="AG466" i="5"/>
  <c r="AG427" i="5"/>
  <c r="AG374" i="5"/>
  <c r="AG415" i="5"/>
  <c r="AG381" i="5"/>
  <c r="AG419" i="5"/>
  <c r="AG467" i="5"/>
  <c r="AG426" i="5"/>
  <c r="AG379" i="5"/>
  <c r="AG372" i="5"/>
  <c r="AG412" i="5"/>
  <c r="AG297" i="5"/>
  <c r="AG321" i="5"/>
  <c r="AG230" i="5"/>
  <c r="AG241" i="5"/>
  <c r="AG423" i="5"/>
  <c r="AG430" i="5"/>
  <c r="AG433" i="5"/>
  <c r="AG376" i="5"/>
  <c r="AG428" i="5"/>
  <c r="AG418" i="5"/>
  <c r="AG383" i="5"/>
  <c r="AG461" i="5"/>
  <c r="AG464" i="5"/>
  <c r="AG460" i="5"/>
  <c r="AG438" i="5"/>
  <c r="AG256" i="5"/>
  <c r="AG475" i="5"/>
  <c r="AG373" i="5"/>
  <c r="AG380" i="5"/>
  <c r="AG465" i="5"/>
  <c r="AG43" i="5"/>
  <c r="AG425" i="5"/>
  <c r="AG456" i="5"/>
  <c r="AG262" i="5"/>
  <c r="AG468" i="5"/>
  <c r="AG320" i="5"/>
  <c r="AG296" i="5"/>
  <c r="AG298" i="5"/>
  <c r="AG322" i="5"/>
  <c r="AG239" i="5"/>
  <c r="AG221" i="5"/>
  <c r="AG219" i="5"/>
  <c r="AG227" i="5"/>
  <c r="AG238" i="5"/>
  <c r="AG424" i="5"/>
  <c r="AG471" i="5"/>
  <c r="AG422" i="5"/>
  <c r="AG240" i="5"/>
  <c r="U240" i="5" l="1"/>
  <c r="U422" i="5"/>
  <c r="U471" i="5"/>
  <c r="U424" i="5"/>
  <c r="U238" i="5"/>
  <c r="U227" i="5"/>
  <c r="U219" i="5"/>
  <c r="U221" i="5"/>
  <c r="U239" i="5"/>
  <c r="U322" i="5"/>
  <c r="U298" i="5"/>
  <c r="U296" i="5"/>
  <c r="U320" i="5"/>
  <c r="U468" i="5"/>
  <c r="U262" i="5"/>
  <c r="U456" i="5"/>
  <c r="U425" i="5"/>
  <c r="U43" i="5"/>
  <c r="U465" i="5"/>
  <c r="U380" i="5"/>
  <c r="U373" i="5"/>
  <c r="U475" i="5"/>
  <c r="U256" i="5"/>
  <c r="U438" i="5"/>
  <c r="U460" i="5"/>
  <c r="U464" i="5"/>
  <c r="U461" i="5"/>
  <c r="U383" i="5"/>
  <c r="U418" i="5"/>
  <c r="U428" i="5"/>
  <c r="U376" i="5"/>
  <c r="U433" i="5"/>
  <c r="U430" i="5"/>
  <c r="U423" i="5"/>
  <c r="U241" i="5"/>
  <c r="U230" i="5"/>
  <c r="U321" i="5"/>
  <c r="U297" i="5"/>
  <c r="U412" i="5"/>
  <c r="U372" i="5"/>
  <c r="U379" i="5"/>
  <c r="U426" i="5"/>
  <c r="U467" i="5"/>
  <c r="U419" i="5"/>
  <c r="U381" i="5"/>
  <c r="U415" i="5"/>
  <c r="U374" i="5"/>
  <c r="U427" i="5"/>
  <c r="U466" i="5"/>
  <c r="U472" i="5"/>
  <c r="U432" i="5"/>
  <c r="U232" i="5"/>
  <c r="U435" i="5"/>
  <c r="U505" i="5"/>
  <c r="U496" i="5"/>
  <c r="U218" i="5"/>
  <c r="U237" i="5"/>
  <c r="U226" i="5"/>
  <c r="U356" i="5"/>
  <c r="U260" i="5"/>
  <c r="U338" i="5"/>
  <c r="U275" i="5"/>
  <c r="U315" i="5"/>
  <c r="U287" i="5"/>
  <c r="U355" i="5"/>
  <c r="U369" i="5"/>
  <c r="U473" i="5"/>
  <c r="U431" i="5"/>
  <c r="U469" i="5"/>
  <c r="U231" i="5"/>
  <c r="U229" i="5"/>
  <c r="U220" i="5"/>
  <c r="U228" i="5"/>
  <c r="U452" i="5"/>
  <c r="U273" i="5"/>
  <c r="U463" i="5"/>
  <c r="U429" i="5"/>
  <c r="U274" i="5"/>
  <c r="U470" i="5"/>
  <c r="X72" i="5" a="1"/>
  <c r="X72" i="5" s="1"/>
  <c r="I73" i="12"/>
  <c r="Z73" i="5"/>
  <c r="AM73" i="5"/>
  <c r="L73" i="5"/>
  <c r="I73" i="5"/>
  <c r="I74" i="5" s="1"/>
  <c r="I75" i="5" s="1"/>
  <c r="I76" i="5" s="1"/>
  <c r="I77" i="5" s="1"/>
  <c r="I78" i="5" s="1"/>
  <c r="I79" i="5" s="1"/>
  <c r="I80" i="5" s="1"/>
  <c r="I81" i="5" s="1"/>
  <c r="I82" i="5" s="1"/>
  <c r="I83" i="5" s="1"/>
  <c r="I84" i="5" s="1"/>
  <c r="I85" i="5" s="1"/>
  <c r="I86" i="5" s="1"/>
  <c r="Z103" i="5"/>
  <c r="L103" i="5"/>
  <c r="I103" i="12"/>
  <c r="AM103" i="5"/>
  <c r="AM444" i="5"/>
  <c r="I444" i="12"/>
  <c r="L444" i="5"/>
  <c r="Z444" i="5"/>
  <c r="I161" i="12"/>
  <c r="AM161" i="5"/>
  <c r="Z161" i="5"/>
  <c r="L161" i="5"/>
  <c r="I36" i="12"/>
  <c r="AM36" i="5"/>
  <c r="Z36" i="5"/>
  <c r="L36" i="5"/>
  <c r="I336" i="12"/>
  <c r="Z336" i="5"/>
  <c r="AM336" i="5"/>
  <c r="L336" i="5"/>
  <c r="I104" i="12"/>
  <c r="Z104" i="5"/>
  <c r="L104" i="5"/>
  <c r="AM104" i="5"/>
  <c r="AM308" i="5"/>
  <c r="I308" i="12"/>
  <c r="Z308" i="5"/>
  <c r="L308" i="5"/>
  <c r="I451" i="12"/>
  <c r="Z451" i="5"/>
  <c r="AM451" i="5"/>
  <c r="L451" i="5"/>
  <c r="I33" i="12"/>
  <c r="L33" i="5"/>
  <c r="AM33" i="5"/>
  <c r="Z33" i="5"/>
  <c r="I153" i="12"/>
  <c r="Z153" i="5"/>
  <c r="L153" i="5"/>
  <c r="AM153" i="5"/>
  <c r="I127" i="12"/>
  <c r="Z127" i="5"/>
  <c r="L127" i="5"/>
  <c r="AM127" i="5"/>
  <c r="I399" i="12"/>
  <c r="L399" i="5"/>
  <c r="AM399" i="5"/>
  <c r="Z399" i="5"/>
  <c r="AM126" i="5"/>
  <c r="Z126" i="5"/>
  <c r="L126" i="5"/>
  <c r="I126" i="12"/>
  <c r="Z309" i="5"/>
  <c r="L309" i="5"/>
  <c r="I309" i="12"/>
  <c r="AM309" i="5"/>
  <c r="L96" i="5"/>
  <c r="I96" i="5"/>
  <c r="I97" i="5" s="1"/>
  <c r="I98" i="5" s="1"/>
  <c r="I99" i="5" s="1"/>
  <c r="X95" i="5" a="1"/>
  <c r="X95" i="5" s="1"/>
  <c r="Z96" i="5"/>
  <c r="I96" i="12"/>
  <c r="AM96" i="5"/>
  <c r="AM291" i="5"/>
  <c r="Z291" i="5"/>
  <c r="I291" i="12"/>
  <c r="L291" i="5"/>
  <c r="L83" i="5"/>
  <c r="AM83" i="5"/>
  <c r="Z83" i="5"/>
  <c r="I83" i="12"/>
  <c r="L37" i="5"/>
  <c r="Z37" i="5"/>
  <c r="AM37" i="5"/>
  <c r="I37" i="12"/>
  <c r="I93" i="12"/>
  <c r="AM93" i="5"/>
  <c r="Z93" i="5"/>
  <c r="L93" i="5"/>
  <c r="I45" i="5"/>
  <c r="I46" i="5" s="1"/>
  <c r="I47" i="5" s="1"/>
  <c r="X44" i="5" a="1"/>
  <c r="X44" i="5" s="1"/>
  <c r="I45" i="12"/>
  <c r="Z45" i="5"/>
  <c r="L45" i="5"/>
  <c r="AM45" i="5"/>
  <c r="L439" i="5"/>
  <c r="AM439" i="5"/>
  <c r="Z439" i="5"/>
  <c r="I439" i="12"/>
  <c r="AM364" i="5"/>
  <c r="Z364" i="5"/>
  <c r="L364" i="5"/>
  <c r="I364" i="12"/>
  <c r="AM209" i="5"/>
  <c r="X208" i="5" a="1"/>
  <c r="X208" i="5" s="1"/>
  <c r="I209" i="12"/>
  <c r="I209" i="5"/>
  <c r="I210" i="5" s="1"/>
  <c r="I211" i="5" s="1"/>
  <c r="I212" i="5" s="1"/>
  <c r="I213" i="5" s="1"/>
  <c r="I214" i="5" s="1"/>
  <c r="X207" i="5" a="1"/>
  <c r="X207" i="5" s="1"/>
  <c r="Z209" i="5"/>
  <c r="L209" i="5"/>
  <c r="I32" i="12"/>
  <c r="L32" i="5"/>
  <c r="AM32" i="5"/>
  <c r="Z32" i="5"/>
  <c r="AM499" i="5"/>
  <c r="X498" i="5" a="1"/>
  <c r="X498" i="5" s="1"/>
  <c r="I499" i="5"/>
  <c r="L499" i="5"/>
  <c r="Z499" i="5"/>
  <c r="I499" i="12"/>
  <c r="Z158" i="5"/>
  <c r="L158" i="5"/>
  <c r="I158" i="12"/>
  <c r="AM158" i="5"/>
  <c r="Z403" i="5"/>
  <c r="L403" i="5"/>
  <c r="AM403" i="5"/>
  <c r="I403" i="12"/>
  <c r="AM353" i="5"/>
  <c r="L353" i="5"/>
  <c r="I353" i="12"/>
  <c r="Z353" i="5"/>
  <c r="Z178" i="5"/>
  <c r="AM178" i="5"/>
  <c r="I178" i="12"/>
  <c r="L178" i="5"/>
  <c r="I487" i="5"/>
  <c r="I488" i="5" s="1"/>
  <c r="X486" i="5" a="1"/>
  <c r="X486" i="5" s="1"/>
  <c r="L487" i="5"/>
  <c r="Z487" i="5"/>
  <c r="I487" i="12"/>
  <c r="AM487" i="5"/>
  <c r="I165" i="12"/>
  <c r="AM165" i="5"/>
  <c r="L165" i="5"/>
  <c r="Z165" i="5"/>
  <c r="Z123" i="5"/>
  <c r="L123" i="5"/>
  <c r="AM123" i="5"/>
  <c r="I123" i="12"/>
  <c r="I168" i="12"/>
  <c r="AM168" i="5"/>
  <c r="L168" i="5"/>
  <c r="Z168" i="5"/>
  <c r="AM397" i="5"/>
  <c r="L397" i="5"/>
  <c r="Z397" i="5"/>
  <c r="I397" i="12"/>
  <c r="I130" i="12"/>
  <c r="X129" i="5" a="1"/>
  <c r="X129" i="5" s="1"/>
  <c r="Z130" i="5"/>
  <c r="I130" i="5"/>
  <c r="I131" i="5" s="1"/>
  <c r="I132" i="5" s="1"/>
  <c r="I133" i="5" s="1"/>
  <c r="L130" i="5"/>
  <c r="AM130" i="5"/>
  <c r="Z454" i="5"/>
  <c r="L454" i="5"/>
  <c r="AM454" i="5"/>
  <c r="I454" i="12"/>
  <c r="I454" i="5"/>
  <c r="I455" i="5" s="1"/>
  <c r="Z35" i="5"/>
  <c r="I35" i="12"/>
  <c r="AM35" i="5"/>
  <c r="L35" i="5"/>
  <c r="Z151" i="5"/>
  <c r="I151" i="12"/>
  <c r="L151" i="5"/>
  <c r="AM151" i="5"/>
  <c r="AM56" i="5"/>
  <c r="L56" i="5"/>
  <c r="Z56" i="5"/>
  <c r="I56" i="12"/>
  <c r="I324" i="5"/>
  <c r="I325" i="5" s="1"/>
  <c r="I324" i="12"/>
  <c r="X323" i="5" a="1"/>
  <c r="X323" i="5" s="1"/>
  <c r="Z324" i="5"/>
  <c r="AM324" i="5"/>
  <c r="L324" i="5"/>
  <c r="I280" i="12"/>
  <c r="AM280" i="5"/>
  <c r="L280" i="5"/>
  <c r="Z280" i="5"/>
  <c r="Z350" i="5"/>
  <c r="I350" i="12"/>
  <c r="L350" i="5"/>
  <c r="AM350" i="5"/>
  <c r="L176" i="5"/>
  <c r="AM176" i="5"/>
  <c r="I176" i="12"/>
  <c r="Z176" i="5"/>
  <c r="L405" i="5"/>
  <c r="Z405" i="5"/>
  <c r="I405" i="12"/>
  <c r="AM405" i="5"/>
  <c r="L196" i="5"/>
  <c r="AM196" i="5"/>
  <c r="Z196" i="5"/>
  <c r="I196" i="12"/>
  <c r="L284" i="5"/>
  <c r="I284" i="12"/>
  <c r="Z284" i="5"/>
  <c r="AM284" i="5"/>
  <c r="L137" i="5"/>
  <c r="I137" i="12"/>
  <c r="Z137" i="5"/>
  <c r="AM137" i="5"/>
  <c r="Z352" i="5"/>
  <c r="I352" i="12"/>
  <c r="AM352" i="5"/>
  <c r="L352" i="5"/>
  <c r="Z143" i="5"/>
  <c r="I143" i="12"/>
  <c r="AM143" i="5"/>
  <c r="L143" i="5"/>
  <c r="L193" i="5"/>
  <c r="I193" i="12"/>
  <c r="AM193" i="5"/>
  <c r="Z193" i="5"/>
  <c r="Z131" i="5"/>
  <c r="L131" i="5"/>
  <c r="I131" i="12"/>
  <c r="AM131" i="5"/>
  <c r="Z77" i="5"/>
  <c r="I77" i="12"/>
  <c r="L77" i="5"/>
  <c r="AM77" i="5"/>
  <c r="L122" i="5"/>
  <c r="I122" i="12"/>
  <c r="AM122" i="5"/>
  <c r="Z122" i="5"/>
  <c r="Z114" i="5"/>
  <c r="L114" i="5"/>
  <c r="AM114" i="5"/>
  <c r="I114" i="12"/>
  <c r="Z504" i="5"/>
  <c r="L504" i="5"/>
  <c r="AM504" i="5"/>
  <c r="I504" i="12"/>
  <c r="I504" i="5"/>
  <c r="Z363" i="5"/>
  <c r="L363" i="5"/>
  <c r="AM363" i="5"/>
  <c r="X362" i="5" a="1"/>
  <c r="X362" i="5" s="1"/>
  <c r="I363" i="12"/>
  <c r="I363" i="5"/>
  <c r="I364" i="5" s="1"/>
  <c r="I365" i="5" s="1"/>
  <c r="X400" i="5" a="1"/>
  <c r="X400" i="5" s="1"/>
  <c r="Z401" i="5"/>
  <c r="I401" i="5"/>
  <c r="I402" i="5" s="1"/>
  <c r="I403" i="5" s="1"/>
  <c r="I404" i="5" s="1"/>
  <c r="I405" i="5" s="1"/>
  <c r="I406" i="5" s="1"/>
  <c r="I407" i="5" s="1"/>
  <c r="I408" i="5" s="1"/>
  <c r="I409" i="5" s="1"/>
  <c r="AM401" i="5"/>
  <c r="L401" i="5"/>
  <c r="I401" i="12"/>
  <c r="I166" i="12"/>
  <c r="Z166" i="5"/>
  <c r="L166" i="5"/>
  <c r="AM166" i="5"/>
  <c r="L31" i="5"/>
  <c r="AM31" i="5"/>
  <c r="X30" i="5" a="1"/>
  <c r="X30" i="5" s="1"/>
  <c r="I31" i="12"/>
  <c r="I31" i="5"/>
  <c r="I32" i="5" s="1"/>
  <c r="I33" i="5" s="1"/>
  <c r="I34" i="5" s="1"/>
  <c r="I35" i="5" s="1"/>
  <c r="I36" i="5" s="1"/>
  <c r="I37" i="5" s="1"/>
  <c r="I38" i="5" s="1"/>
  <c r="I39" i="5" s="1"/>
  <c r="I40" i="5" s="1"/>
  <c r="I41" i="5" s="1"/>
  <c r="Z31" i="5"/>
  <c r="L180" i="5"/>
  <c r="AM180" i="5"/>
  <c r="I180" i="12"/>
  <c r="Z180" i="5"/>
  <c r="AM139" i="5"/>
  <c r="Z139" i="5"/>
  <c r="L139" i="5"/>
  <c r="I139" i="12"/>
  <c r="Z407" i="5"/>
  <c r="I407" i="12"/>
  <c r="AM407" i="5"/>
  <c r="L407" i="5"/>
  <c r="Z417" i="5"/>
  <c r="I417" i="12"/>
  <c r="AM417" i="5"/>
  <c r="L417" i="5"/>
  <c r="AM222" i="5"/>
  <c r="Z222" i="5"/>
  <c r="I222" i="12"/>
  <c r="L222" i="5"/>
  <c r="I212" i="12"/>
  <c r="L212" i="5"/>
  <c r="AM212" i="5"/>
  <c r="Z212" i="5"/>
  <c r="I420" i="12"/>
  <c r="AM420" i="5"/>
  <c r="L420" i="5"/>
  <c r="Z420" i="5"/>
  <c r="I20" i="12"/>
  <c r="Z20" i="5"/>
  <c r="L20" i="5"/>
  <c r="AM20" i="5"/>
  <c r="I345" i="12"/>
  <c r="AM345" i="5"/>
  <c r="L345" i="5"/>
  <c r="Z345" i="5"/>
  <c r="L283" i="5"/>
  <c r="I283" i="12"/>
  <c r="Z283" i="5"/>
  <c r="AM283" i="5"/>
  <c r="AM206" i="5"/>
  <c r="L206" i="5"/>
  <c r="I206" i="12"/>
  <c r="Z206" i="5"/>
  <c r="Z102" i="5"/>
  <c r="I102" i="12"/>
  <c r="AM102" i="5"/>
  <c r="L102" i="5"/>
  <c r="Z281" i="5"/>
  <c r="I281" i="12"/>
  <c r="L281" i="5"/>
  <c r="AM281" i="5"/>
  <c r="AM112" i="5"/>
  <c r="Z112" i="5"/>
  <c r="L112" i="5"/>
  <c r="I112" i="12"/>
  <c r="Z447" i="5"/>
  <c r="L447" i="5"/>
  <c r="I447" i="12"/>
  <c r="AM447" i="5"/>
  <c r="Z402" i="5"/>
  <c r="I402" i="12"/>
  <c r="AM402" i="5"/>
  <c r="L402" i="5"/>
  <c r="I53" i="12"/>
  <c r="X52" i="5" a="1"/>
  <c r="X52" i="5" s="1"/>
  <c r="AM53" i="5"/>
  <c r="L53" i="5"/>
  <c r="I53" i="5"/>
  <c r="I54" i="5" s="1"/>
  <c r="I55" i="5" s="1"/>
  <c r="I56" i="5" s="1"/>
  <c r="Z53" i="5"/>
  <c r="Z233" i="5"/>
  <c r="I233" i="12"/>
  <c r="AM233" i="5"/>
  <c r="L233" i="5"/>
  <c r="L409" i="5"/>
  <c r="Z409" i="5"/>
  <c r="I409" i="12"/>
  <c r="AM409" i="5"/>
  <c r="AM111" i="5"/>
  <c r="Z111" i="5"/>
  <c r="L111" i="5"/>
  <c r="I111" i="12"/>
  <c r="X173" i="5" a="1"/>
  <c r="X173" i="5" s="1"/>
  <c r="L174" i="5"/>
  <c r="Z174" i="5"/>
  <c r="AM174" i="5"/>
  <c r="I174" i="5"/>
  <c r="I175" i="5" s="1"/>
  <c r="I176" i="5" s="1"/>
  <c r="I177" i="5" s="1"/>
  <c r="I178" i="5" s="1"/>
  <c r="I179" i="5" s="1"/>
  <c r="I180" i="5" s="1"/>
  <c r="I181" i="5" s="1"/>
  <c r="I182" i="5" s="1"/>
  <c r="I183" i="5" s="1"/>
  <c r="I184" i="5" s="1"/>
  <c r="I185" i="5" s="1"/>
  <c r="I186" i="5" s="1"/>
  <c r="I187" i="5" s="1"/>
  <c r="I174" i="12"/>
  <c r="AM64" i="5"/>
  <c r="I64" i="12"/>
  <c r="Z64" i="5"/>
  <c r="L64" i="5"/>
  <c r="Z195" i="5"/>
  <c r="L195" i="5"/>
  <c r="AM195" i="5"/>
  <c r="X194" i="5" a="1"/>
  <c r="X194" i="5" s="1"/>
  <c r="I195" i="5"/>
  <c r="I196" i="5" s="1"/>
  <c r="I197" i="5" s="1"/>
  <c r="I198" i="5" s="1"/>
  <c r="I199" i="5" s="1"/>
  <c r="I200" i="5" s="1"/>
  <c r="I195" i="12"/>
  <c r="I41" i="12"/>
  <c r="Z41" i="5"/>
  <c r="L41" i="5"/>
  <c r="AM41" i="5"/>
  <c r="Z133" i="5"/>
  <c r="I133" i="12"/>
  <c r="L133" i="5"/>
  <c r="AM133" i="5"/>
  <c r="AM484" i="5"/>
  <c r="L484" i="5"/>
  <c r="X483" i="5" a="1"/>
  <c r="X483" i="5" s="1"/>
  <c r="I484" i="5"/>
  <c r="I485" i="5" s="1"/>
  <c r="I484" i="12"/>
  <c r="Z484" i="5"/>
  <c r="Z330" i="5"/>
  <c r="I330" i="12"/>
  <c r="AM330" i="5"/>
  <c r="L330" i="5"/>
  <c r="I75" i="12"/>
  <c r="Z75" i="5"/>
  <c r="AM75" i="5"/>
  <c r="L75" i="5"/>
  <c r="L242" i="5"/>
  <c r="AM242" i="5"/>
  <c r="I242" i="12"/>
  <c r="Z242" i="5"/>
  <c r="Z136" i="5"/>
  <c r="L136" i="5"/>
  <c r="AM136" i="5"/>
  <c r="I136" i="12"/>
  <c r="Z328" i="5"/>
  <c r="L328" i="5"/>
  <c r="X327" i="5" a="1"/>
  <c r="X327" i="5" s="1"/>
  <c r="I328" i="5"/>
  <c r="I329" i="5" s="1"/>
  <c r="I330" i="5" s="1"/>
  <c r="I331" i="5" s="1"/>
  <c r="I332" i="5" s="1"/>
  <c r="I333" i="5" s="1"/>
  <c r="I334" i="5" s="1"/>
  <c r="I335" i="5" s="1"/>
  <c r="I336" i="5" s="1"/>
  <c r="I328" i="12"/>
  <c r="AM328" i="5"/>
  <c r="L46" i="5"/>
  <c r="Z46" i="5"/>
  <c r="AM46" i="5"/>
  <c r="I46" i="12"/>
  <c r="L250" i="5"/>
  <c r="I250" i="12"/>
  <c r="AM250" i="5"/>
  <c r="Z250" i="5"/>
  <c r="AM307" i="5"/>
  <c r="L307" i="5"/>
  <c r="I307" i="12"/>
  <c r="Z307" i="5"/>
  <c r="AM478" i="5"/>
  <c r="L478" i="5"/>
  <c r="I478" i="12"/>
  <c r="Z478" i="5"/>
  <c r="Z79" i="5"/>
  <c r="L79" i="5"/>
  <c r="I79" i="12"/>
  <c r="AM79" i="5"/>
  <c r="Z391" i="5"/>
  <c r="L391" i="5"/>
  <c r="AM391" i="5"/>
  <c r="I391" i="12"/>
  <c r="Z392" i="5"/>
  <c r="L392" i="5"/>
  <c r="AM392" i="5"/>
  <c r="I392" i="12"/>
  <c r="Z351" i="5"/>
  <c r="I351" i="12"/>
  <c r="L351" i="5"/>
  <c r="AM351" i="5"/>
  <c r="Z485" i="5"/>
  <c r="L485" i="5"/>
  <c r="I485" i="12"/>
  <c r="AM485" i="5"/>
  <c r="Z482" i="5"/>
  <c r="I482" i="12"/>
  <c r="AM482" i="5"/>
  <c r="L482" i="5"/>
  <c r="I217" i="12"/>
  <c r="I217" i="5"/>
  <c r="L217" i="5"/>
  <c r="AM217" i="5"/>
  <c r="Z217" i="5"/>
  <c r="Z113" i="5"/>
  <c r="L113" i="5"/>
  <c r="I113" i="12"/>
  <c r="AM113" i="5"/>
  <c r="AM493" i="5"/>
  <c r="Z493" i="5"/>
  <c r="I493" i="12"/>
  <c r="L493" i="5"/>
  <c r="I493" i="5"/>
  <c r="I494" i="5" s="1"/>
  <c r="I495" i="5" s="1"/>
  <c r="L145" i="5"/>
  <c r="AM145" i="5"/>
  <c r="I145" i="12"/>
  <c r="Z145" i="5"/>
  <c r="Z84" i="5"/>
  <c r="I84" i="12"/>
  <c r="L84" i="5"/>
  <c r="AM84" i="5"/>
  <c r="L182" i="5"/>
  <c r="AM182" i="5"/>
  <c r="Z182" i="5"/>
  <c r="I182" i="12"/>
  <c r="L128" i="5"/>
  <c r="AM128" i="5"/>
  <c r="Z128" i="5"/>
  <c r="I128" i="12"/>
  <c r="AM163" i="5"/>
  <c r="Z163" i="5"/>
  <c r="I163" i="12"/>
  <c r="L163" i="5"/>
  <c r="Z396" i="5"/>
  <c r="AM396" i="5"/>
  <c r="L396" i="5"/>
  <c r="X395" i="5" a="1"/>
  <c r="X395" i="5" s="1"/>
  <c r="I396" i="5"/>
  <c r="I397" i="5" s="1"/>
  <c r="I398" i="5" s="1"/>
  <c r="I399" i="5" s="1"/>
  <c r="I396" i="12"/>
  <c r="L344" i="5"/>
  <c r="I344" i="12"/>
  <c r="Z344" i="5"/>
  <c r="AM344" i="5"/>
  <c r="AM97" i="5"/>
  <c r="I97" i="12"/>
  <c r="Z97" i="5"/>
  <c r="L97" i="5"/>
  <c r="L389" i="5"/>
  <c r="Z389" i="5"/>
  <c r="AM389" i="5"/>
  <c r="I389" i="12"/>
  <c r="I414" i="12"/>
  <c r="AM414" i="5"/>
  <c r="Z414" i="5"/>
  <c r="L414" i="5"/>
  <c r="Z266" i="5"/>
  <c r="I266" i="12"/>
  <c r="L266" i="5"/>
  <c r="AM266" i="5"/>
  <c r="Z247" i="5"/>
  <c r="I247" i="5"/>
  <c r="I248" i="5" s="1"/>
  <c r="I249" i="5" s="1"/>
  <c r="I250" i="5" s="1"/>
  <c r="I251" i="5" s="1"/>
  <c r="I252" i="5" s="1"/>
  <c r="I253" i="5" s="1"/>
  <c r="I254" i="5" s="1"/>
  <c r="I255" i="5" s="1"/>
  <c r="L247" i="5"/>
  <c r="AM247" i="5"/>
  <c r="I247" i="12"/>
  <c r="I497" i="12"/>
  <c r="L497" i="5"/>
  <c r="Z497" i="5"/>
  <c r="AM497" i="5"/>
  <c r="I386" i="5"/>
  <c r="I387" i="5" s="1"/>
  <c r="I388" i="5" s="1"/>
  <c r="I389" i="5" s="1"/>
  <c r="I390" i="5" s="1"/>
  <c r="I391" i="5" s="1"/>
  <c r="I392" i="5" s="1"/>
  <c r="I393" i="5" s="1"/>
  <c r="I394" i="5" s="1"/>
  <c r="X385" i="5" a="1"/>
  <c r="X385" i="5" s="1"/>
  <c r="L386" i="5"/>
  <c r="I386" i="12"/>
  <c r="Z386" i="5"/>
  <c r="AM386" i="5"/>
  <c r="I177" i="12"/>
  <c r="L177" i="5"/>
  <c r="AM177" i="5"/>
  <c r="Z177" i="5"/>
  <c r="Z310" i="5"/>
  <c r="I310" i="12"/>
  <c r="AM310" i="5"/>
  <c r="L310" i="5"/>
  <c r="AM213" i="5"/>
  <c r="Z213" i="5"/>
  <c r="L213" i="5"/>
  <c r="I213" i="12"/>
  <c r="Z68" i="5"/>
  <c r="I68" i="12"/>
  <c r="AM68" i="5"/>
  <c r="L68" i="5"/>
  <c r="Z115" i="5"/>
  <c r="I115" i="12"/>
  <c r="L115" i="5"/>
  <c r="AM115" i="5"/>
  <c r="L183" i="5"/>
  <c r="I183" i="12"/>
  <c r="AM183" i="5"/>
  <c r="Z183" i="5"/>
  <c r="I501" i="12"/>
  <c r="AM501" i="5"/>
  <c r="X500" i="5" a="1"/>
  <c r="X500" i="5" s="1"/>
  <c r="Z501" i="5"/>
  <c r="I501" i="5"/>
  <c r="I502" i="5" s="1"/>
  <c r="L501" i="5"/>
  <c r="AM109" i="5"/>
  <c r="L109" i="5"/>
  <c r="Z109" i="5"/>
  <c r="I109" i="12"/>
  <c r="Z449" i="5"/>
  <c r="AM449" i="5"/>
  <c r="L449" i="5"/>
  <c r="I449" i="12"/>
  <c r="L318" i="5"/>
  <c r="I318" i="5"/>
  <c r="I319" i="5" s="1"/>
  <c r="Z318" i="5"/>
  <c r="AM318" i="5"/>
  <c r="I318" i="12"/>
  <c r="L253" i="5"/>
  <c r="AM253" i="5"/>
  <c r="Z253" i="5"/>
  <c r="I253" i="12"/>
  <c r="I371" i="12"/>
  <c r="L371" i="5"/>
  <c r="AM371" i="5"/>
  <c r="I371" i="5"/>
  <c r="Z371" i="5"/>
  <c r="I169" i="12"/>
  <c r="L169" i="5"/>
  <c r="AM169" i="5"/>
  <c r="Z169" i="5"/>
  <c r="AM261" i="5"/>
  <c r="Z261" i="5"/>
  <c r="I261" i="12"/>
  <c r="L261" i="5"/>
  <c r="L382" i="5"/>
  <c r="AM382" i="5"/>
  <c r="I382" i="12"/>
  <c r="Z382" i="5"/>
  <c r="AM70" i="5"/>
  <c r="L70" i="5"/>
  <c r="Z70" i="5"/>
  <c r="I70" i="12"/>
  <c r="I192" i="12"/>
  <c r="L192" i="5"/>
  <c r="AM192" i="5"/>
  <c r="Z192" i="5"/>
  <c r="AM488" i="5"/>
  <c r="Z488" i="5"/>
  <c r="L488" i="5"/>
  <c r="I488" i="12"/>
  <c r="Z236" i="5"/>
  <c r="I236" i="12"/>
  <c r="L236" i="5"/>
  <c r="I236" i="5"/>
  <c r="AM236" i="5"/>
  <c r="L167" i="5"/>
  <c r="I167" i="12"/>
  <c r="AM167" i="5"/>
  <c r="Z167" i="5"/>
  <c r="I142" i="12"/>
  <c r="L142" i="5"/>
  <c r="Z142" i="5"/>
  <c r="AM142" i="5"/>
  <c r="L248" i="5"/>
  <c r="I248" i="12"/>
  <c r="Z248" i="5"/>
  <c r="AM248" i="5"/>
  <c r="Z394" i="5"/>
  <c r="I394" i="12"/>
  <c r="AM394" i="5"/>
  <c r="L394" i="5"/>
  <c r="Z54" i="5"/>
  <c r="I54" i="12"/>
  <c r="L54" i="5"/>
  <c r="AM54" i="5"/>
  <c r="AM132" i="5"/>
  <c r="L132" i="5"/>
  <c r="I132" i="12"/>
  <c r="Z132" i="5"/>
  <c r="AM477" i="5"/>
  <c r="Z477" i="5"/>
  <c r="L477" i="5"/>
  <c r="I477" i="12"/>
  <c r="I458" i="12"/>
  <c r="I458" i="5"/>
  <c r="AM458" i="5"/>
  <c r="Z458" i="5"/>
  <c r="X457" i="5" a="1"/>
  <c r="X457" i="5" s="1"/>
  <c r="L458" i="5"/>
  <c r="AM91" i="5"/>
  <c r="Z91" i="5"/>
  <c r="I91" i="12"/>
  <c r="L91" i="5"/>
  <c r="I160" i="5"/>
  <c r="I161" i="5" s="1"/>
  <c r="I162" i="5" s="1"/>
  <c r="I163" i="5" s="1"/>
  <c r="I164" i="5" s="1"/>
  <c r="I165" i="5" s="1"/>
  <c r="I166" i="5" s="1"/>
  <c r="I167" i="5" s="1"/>
  <c r="I168" i="5" s="1"/>
  <c r="I169" i="5" s="1"/>
  <c r="I170" i="5" s="1"/>
  <c r="I171" i="5" s="1"/>
  <c r="I172" i="5" s="1"/>
  <c r="AM160" i="5"/>
  <c r="I160" i="12"/>
  <c r="L160" i="5"/>
  <c r="X159" i="5" a="1"/>
  <c r="X159" i="5" s="1"/>
  <c r="Z160" i="5"/>
  <c r="L116" i="5"/>
  <c r="I116" i="12"/>
  <c r="Z116" i="5"/>
  <c r="AM116" i="5"/>
  <c r="Z69" i="5"/>
  <c r="AM69" i="5"/>
  <c r="L69" i="5"/>
  <c r="I69" i="12"/>
  <c r="AM107" i="5"/>
  <c r="Z107" i="5"/>
  <c r="X106" i="5" a="1"/>
  <c r="X106" i="5" s="1"/>
  <c r="I107" i="5"/>
  <c r="I108" i="5" s="1"/>
  <c r="I109" i="5" s="1"/>
  <c r="I110" i="5" s="1"/>
  <c r="I111" i="5" s="1"/>
  <c r="I112" i="5" s="1"/>
  <c r="I113" i="5" s="1"/>
  <c r="I114" i="5" s="1"/>
  <c r="I115" i="5" s="1"/>
  <c r="I116" i="5" s="1"/>
  <c r="I117" i="5" s="1"/>
  <c r="L107" i="5"/>
  <c r="X105" i="5" a="1"/>
  <c r="X105" i="5" s="1"/>
  <c r="I107" i="12"/>
  <c r="Z375" i="5"/>
  <c r="L375" i="5"/>
  <c r="I375" i="12"/>
  <c r="AM375" i="5"/>
  <c r="Z223" i="5"/>
  <c r="AM223" i="5"/>
  <c r="I223" i="12"/>
  <c r="L223" i="5"/>
  <c r="AM186" i="5"/>
  <c r="Z186" i="5"/>
  <c r="I186" i="12"/>
  <c r="L186" i="5"/>
  <c r="L319" i="5"/>
  <c r="AM319" i="5"/>
  <c r="I319" i="12"/>
  <c r="Z319" i="5"/>
  <c r="AM184" i="5"/>
  <c r="L184" i="5"/>
  <c r="I184" i="12"/>
  <c r="Z184" i="5"/>
  <c r="L181" i="5"/>
  <c r="Z181" i="5"/>
  <c r="AM181" i="5"/>
  <c r="I181" i="12"/>
  <c r="AM445" i="5"/>
  <c r="L445" i="5"/>
  <c r="Z445" i="5"/>
  <c r="I445" i="12"/>
  <c r="AM359" i="5"/>
  <c r="L359" i="5"/>
  <c r="I359" i="12"/>
  <c r="Z359" i="5"/>
  <c r="AM141" i="5"/>
  <c r="I141" i="5"/>
  <c r="I142" i="5" s="1"/>
  <c r="I143" i="5" s="1"/>
  <c r="I144" i="5" s="1"/>
  <c r="I145" i="5" s="1"/>
  <c r="I146" i="5" s="1"/>
  <c r="Z141" i="5"/>
  <c r="X140" i="5" a="1"/>
  <c r="X140" i="5" s="1"/>
  <c r="L141" i="5"/>
  <c r="I141" i="12"/>
  <c r="Z71" i="5"/>
  <c r="AM71" i="5"/>
  <c r="I71" i="12"/>
  <c r="L71" i="5"/>
  <c r="L198" i="5"/>
  <c r="AM198" i="5"/>
  <c r="I198" i="12"/>
  <c r="Z198" i="5"/>
  <c r="I333" i="12"/>
  <c r="AM333" i="5"/>
  <c r="Z333" i="5"/>
  <c r="L333" i="5"/>
  <c r="Z347" i="5"/>
  <c r="L347" i="5"/>
  <c r="I347" i="12"/>
  <c r="AM347" i="5"/>
  <c r="L311" i="5"/>
  <c r="AM311" i="5"/>
  <c r="Z311" i="5"/>
  <c r="I311" i="12"/>
  <c r="Z269" i="5"/>
  <c r="AM269" i="5"/>
  <c r="I269" i="12"/>
  <c r="L269" i="5"/>
  <c r="Z335" i="5"/>
  <c r="AM335" i="5"/>
  <c r="I335" i="12"/>
  <c r="L335" i="5"/>
  <c r="AM257" i="5"/>
  <c r="L257" i="5"/>
  <c r="Z257" i="5"/>
  <c r="I257" i="12"/>
  <c r="AM252" i="5"/>
  <c r="I252" i="12"/>
  <c r="L252" i="5"/>
  <c r="Z252" i="5"/>
  <c r="I82" i="12"/>
  <c r="L82" i="5"/>
  <c r="Z82" i="5"/>
  <c r="AM82" i="5"/>
  <c r="I288" i="12"/>
  <c r="L288" i="5"/>
  <c r="AM288" i="5"/>
  <c r="Z288" i="5"/>
  <c r="AM421" i="5"/>
  <c r="Z421" i="5"/>
  <c r="L421" i="5"/>
  <c r="I421" i="12"/>
  <c r="L67" i="5"/>
  <c r="I67" i="12"/>
  <c r="AM67" i="5"/>
  <c r="Z67" i="5"/>
  <c r="AM388" i="5"/>
  <c r="Z388" i="5"/>
  <c r="L388" i="5"/>
  <c r="I388" i="12"/>
  <c r="Z189" i="5"/>
  <c r="I189" i="12"/>
  <c r="AM189" i="5"/>
  <c r="I189" i="5"/>
  <c r="I190" i="5" s="1"/>
  <c r="I191" i="5" s="1"/>
  <c r="I192" i="5" s="1"/>
  <c r="I193" i="5" s="1"/>
  <c r="X188" i="5" a="1"/>
  <c r="X188" i="5" s="1"/>
  <c r="L189" i="5"/>
  <c r="L378" i="5"/>
  <c r="AM378" i="5"/>
  <c r="I378" i="12"/>
  <c r="I378" i="5"/>
  <c r="Z378" i="5"/>
  <c r="AM265" i="5"/>
  <c r="Z265" i="5"/>
  <c r="I265" i="12"/>
  <c r="X264" i="5" a="1"/>
  <c r="X264" i="5" s="1"/>
  <c r="L265" i="5"/>
  <c r="I265" i="5"/>
  <c r="I266" i="5" s="1"/>
  <c r="I267" i="5" s="1"/>
  <c r="I268" i="5" s="1"/>
  <c r="I269" i="5" s="1"/>
  <c r="I270" i="5" s="1"/>
  <c r="I271" i="5" s="1"/>
  <c r="Z411" i="5"/>
  <c r="I411" i="12"/>
  <c r="I411" i="5"/>
  <c r="L411" i="5"/>
  <c r="AM411" i="5"/>
  <c r="L367" i="5"/>
  <c r="AM367" i="5"/>
  <c r="I367" i="5"/>
  <c r="I368" i="5" s="1"/>
  <c r="I367" i="12"/>
  <c r="Z367" i="5"/>
  <c r="X201" i="5" a="1"/>
  <c r="X201" i="5" s="1"/>
  <c r="AM202" i="5"/>
  <c r="L202" i="5"/>
  <c r="I202" i="12"/>
  <c r="Z202" i="5"/>
  <c r="I202" i="5"/>
  <c r="I203" i="5" s="1"/>
  <c r="I204" i="5" s="1"/>
  <c r="I205" i="5" s="1"/>
  <c r="I206" i="5" s="1"/>
  <c r="I329" i="12"/>
  <c r="L329" i="5"/>
  <c r="Z329" i="5"/>
  <c r="AM329" i="5"/>
  <c r="I172" i="12"/>
  <c r="Z172" i="5"/>
  <c r="AM172" i="5"/>
  <c r="L172" i="5"/>
  <c r="AM450" i="5"/>
  <c r="Z450" i="5"/>
  <c r="AB450" i="5" s="1"/>
  <c r="L450" i="5"/>
  <c r="I450" i="12"/>
  <c r="L146" i="5"/>
  <c r="Z146" i="5"/>
  <c r="I146" i="12"/>
  <c r="AM146" i="5"/>
  <c r="I331" i="12"/>
  <c r="AM331" i="5"/>
  <c r="Z331" i="5"/>
  <c r="L331" i="5"/>
  <c r="Z490" i="5"/>
  <c r="X489" i="5" a="1"/>
  <c r="X489" i="5" s="1"/>
  <c r="L490" i="5"/>
  <c r="AM490" i="5"/>
  <c r="I490" i="12"/>
  <c r="I490" i="5"/>
  <c r="I491" i="5" s="1"/>
  <c r="AM300" i="5"/>
  <c r="X299" i="5" a="1"/>
  <c r="X299" i="5" s="1"/>
  <c r="L300" i="5"/>
  <c r="I300" i="12"/>
  <c r="Z300" i="5"/>
  <c r="I300" i="5"/>
  <c r="I301" i="5" s="1"/>
  <c r="L268" i="5"/>
  <c r="AM268" i="5"/>
  <c r="I268" i="12"/>
  <c r="Z268" i="5"/>
  <c r="Z191" i="5"/>
  <c r="AM191" i="5"/>
  <c r="I191" i="12"/>
  <c r="L191" i="5"/>
  <c r="L290" i="5"/>
  <c r="AM290" i="5"/>
  <c r="Z290" i="5"/>
  <c r="I290" i="5"/>
  <c r="I291" i="5" s="1"/>
  <c r="I292" i="5" s="1"/>
  <c r="X289" i="5" a="1"/>
  <c r="X289" i="5" s="1"/>
  <c r="I290" i="12"/>
  <c r="Z205" i="5"/>
  <c r="AM205" i="5"/>
  <c r="I205" i="12"/>
  <c r="L205" i="5"/>
  <c r="L164" i="5"/>
  <c r="AM164" i="5"/>
  <c r="I164" i="12"/>
  <c r="Z164" i="5"/>
  <c r="I334" i="12"/>
  <c r="Z334" i="5"/>
  <c r="L334" i="5"/>
  <c r="AM334" i="5"/>
  <c r="I197" i="12"/>
  <c r="Z197" i="5"/>
  <c r="L197" i="5"/>
  <c r="AM197" i="5"/>
  <c r="AM51" i="5"/>
  <c r="I51" i="12"/>
  <c r="Z51" i="5"/>
  <c r="L51" i="5"/>
  <c r="L279" i="5"/>
  <c r="AM279" i="5"/>
  <c r="X278" i="5" a="1"/>
  <c r="X278" i="5" s="1"/>
  <c r="Z279" i="5"/>
  <c r="I279" i="5"/>
  <c r="I280" i="5" s="1"/>
  <c r="I281" i="5" s="1"/>
  <c r="I282" i="5" s="1"/>
  <c r="I283" i="5" s="1"/>
  <c r="I284" i="5" s="1"/>
  <c r="I285" i="5" s="1"/>
  <c r="I279" i="12"/>
  <c r="Z170" i="5"/>
  <c r="L170" i="5"/>
  <c r="I170" i="12"/>
  <c r="AM170" i="5"/>
  <c r="AM108" i="5"/>
  <c r="L108" i="5"/>
  <c r="Z108" i="5"/>
  <c r="I108" i="12"/>
  <c r="Z446" i="5"/>
  <c r="I446" i="12"/>
  <c r="L446" i="5"/>
  <c r="AM446" i="5"/>
  <c r="L101" i="5"/>
  <c r="X100" i="5" a="1"/>
  <c r="X100" i="5" s="1"/>
  <c r="I101" i="12"/>
  <c r="I101" i="5"/>
  <c r="I102" i="5" s="1"/>
  <c r="I103" i="5" s="1"/>
  <c r="I104" i="5" s="1"/>
  <c r="Z101" i="5"/>
  <c r="AM101" i="5"/>
  <c r="L408" i="5"/>
  <c r="Z408" i="5"/>
  <c r="I408" i="12"/>
  <c r="AM408" i="5"/>
  <c r="Z325" i="5"/>
  <c r="L325" i="5"/>
  <c r="I325" i="12"/>
  <c r="AM325" i="5"/>
  <c r="I19" i="5"/>
  <c r="I20" i="5" s="1"/>
  <c r="I21" i="5" s="1"/>
  <c r="I22" i="5" s="1"/>
  <c r="I23" i="5" s="1"/>
  <c r="AM19" i="5"/>
  <c r="L19" i="5"/>
  <c r="I19" i="12"/>
  <c r="Z19" i="5"/>
  <c r="X18" i="5" a="1"/>
  <c r="X18" i="5" s="1"/>
  <c r="X17" i="5" a="1"/>
  <c r="X17" i="5" s="1"/>
  <c r="I39" i="12"/>
  <c r="AM39" i="5"/>
  <c r="L39" i="5"/>
  <c r="Z39" i="5"/>
  <c r="I185" i="12"/>
  <c r="L185" i="5"/>
  <c r="AM185" i="5"/>
  <c r="Z185" i="5"/>
  <c r="AM413" i="5"/>
  <c r="Z413" i="5"/>
  <c r="L413" i="5"/>
  <c r="I413" i="12"/>
  <c r="AM156" i="5"/>
  <c r="Z156" i="5"/>
  <c r="I156" i="12"/>
  <c r="L156" i="5"/>
  <c r="Z150" i="5"/>
  <c r="I150" i="12"/>
  <c r="L150" i="5"/>
  <c r="AM150" i="5"/>
  <c r="L225" i="5"/>
  <c r="I225" i="5"/>
  <c r="Z225" i="5"/>
  <c r="I225" i="12"/>
  <c r="AM225" i="5"/>
  <c r="X118" i="5" a="1"/>
  <c r="X118" i="5" s="1"/>
  <c r="Z119" i="5"/>
  <c r="L119" i="5"/>
  <c r="AM119" i="5"/>
  <c r="I119" i="5"/>
  <c r="I120" i="5" s="1"/>
  <c r="I121" i="5" s="1"/>
  <c r="I122" i="5" s="1"/>
  <c r="I123" i="5" s="1"/>
  <c r="I119" i="12"/>
  <c r="Z276" i="5"/>
  <c r="AM276" i="5"/>
  <c r="I276" i="12"/>
  <c r="L276" i="5"/>
  <c r="AM251" i="5"/>
  <c r="L251" i="5"/>
  <c r="Z251" i="5"/>
  <c r="I251" i="12"/>
  <c r="I301" i="12"/>
  <c r="Z301" i="5"/>
  <c r="AM301" i="5"/>
  <c r="L301" i="5"/>
  <c r="L455" i="5"/>
  <c r="AM455" i="5"/>
  <c r="Z455" i="5"/>
  <c r="I455" i="12"/>
  <c r="AM346" i="5"/>
  <c r="I346" i="12"/>
  <c r="Z346" i="5"/>
  <c r="L346" i="5"/>
  <c r="L306" i="5"/>
  <c r="AM306" i="5"/>
  <c r="I306" i="12"/>
  <c r="Z306" i="5"/>
  <c r="L476" i="5"/>
  <c r="Z476" i="5"/>
  <c r="I476" i="12"/>
  <c r="AM476" i="5"/>
  <c r="L254" i="5"/>
  <c r="I254" i="12"/>
  <c r="Z254" i="5"/>
  <c r="AM254" i="5"/>
  <c r="Z63" i="5"/>
  <c r="I63" i="12"/>
  <c r="AM63" i="5"/>
  <c r="L63" i="5"/>
  <c r="AM210" i="5"/>
  <c r="L210" i="5"/>
  <c r="Z210" i="5"/>
  <c r="I210" i="12"/>
  <c r="Z305" i="5"/>
  <c r="I305" i="12"/>
  <c r="AM305" i="5"/>
  <c r="L305" i="5"/>
  <c r="L152" i="5"/>
  <c r="AM152" i="5"/>
  <c r="I152" i="12"/>
  <c r="Z152" i="5"/>
  <c r="L393" i="5"/>
  <c r="Z393" i="5"/>
  <c r="AM393" i="5"/>
  <c r="I393" i="12"/>
  <c r="I21" i="12"/>
  <c r="L21" i="5"/>
  <c r="Z21" i="5"/>
  <c r="AM21" i="5"/>
  <c r="Z66" i="5"/>
  <c r="AM66" i="5"/>
  <c r="I66" i="12"/>
  <c r="L66" i="5"/>
  <c r="Z368" i="5"/>
  <c r="L368" i="5"/>
  <c r="AM368" i="5"/>
  <c r="I368" i="12"/>
  <c r="L171" i="5"/>
  <c r="I171" i="12"/>
  <c r="Z171" i="5"/>
  <c r="AM171" i="5"/>
  <c r="I332" i="12"/>
  <c r="Z332" i="5"/>
  <c r="L332" i="5"/>
  <c r="AM332" i="5"/>
  <c r="I249" i="12"/>
  <c r="Z249" i="5"/>
  <c r="AM249" i="5"/>
  <c r="L249" i="5"/>
  <c r="I234" i="12"/>
  <c r="Z234" i="5"/>
  <c r="AM234" i="5"/>
  <c r="L234" i="5"/>
  <c r="AM200" i="5"/>
  <c r="L200" i="5"/>
  <c r="I200" i="12"/>
  <c r="Z200" i="5"/>
  <c r="AM390" i="5"/>
  <c r="I390" i="12"/>
  <c r="Z390" i="5"/>
  <c r="L390" i="5"/>
  <c r="L85" i="5"/>
  <c r="AM85" i="5"/>
  <c r="Z85" i="5"/>
  <c r="I85" i="12"/>
  <c r="L255" i="5"/>
  <c r="Z255" i="5"/>
  <c r="I255" i="12"/>
  <c r="AM255" i="5"/>
  <c r="AM404" i="5"/>
  <c r="Z404" i="5"/>
  <c r="I404" i="12"/>
  <c r="L404" i="5"/>
  <c r="AM448" i="5"/>
  <c r="I448" i="12"/>
  <c r="L448" i="5"/>
  <c r="Z448" i="5"/>
  <c r="Z88" i="5"/>
  <c r="AM88" i="5"/>
  <c r="L88" i="5"/>
  <c r="I88" i="12"/>
  <c r="I88" i="5"/>
  <c r="I89" i="5" s="1"/>
  <c r="I90" i="5" s="1"/>
  <c r="I91" i="5" s="1"/>
  <c r="I92" i="5" s="1"/>
  <c r="I93" i="5" s="1"/>
  <c r="I94" i="5" s="1"/>
  <c r="X87" i="5" a="1"/>
  <c r="X87" i="5" s="1"/>
  <c r="AM47" i="5"/>
  <c r="I47" i="12"/>
  <c r="L47" i="5"/>
  <c r="Z47" i="5"/>
  <c r="I89" i="12"/>
  <c r="Z89" i="5"/>
  <c r="AM89" i="5"/>
  <c r="L89" i="5"/>
  <c r="L481" i="5"/>
  <c r="AM481" i="5"/>
  <c r="I481" i="5"/>
  <c r="I482" i="5" s="1"/>
  <c r="Z481" i="5"/>
  <c r="I481" i="12"/>
  <c r="X480" i="5" a="1"/>
  <c r="X480" i="5" s="1"/>
  <c r="L416" i="5"/>
  <c r="I416" i="12"/>
  <c r="Z416" i="5"/>
  <c r="AM416" i="5"/>
  <c r="I398" i="12"/>
  <c r="AM398" i="5"/>
  <c r="Z398" i="5"/>
  <c r="L398" i="5"/>
  <c r="AM86" i="5"/>
  <c r="I86" i="12"/>
  <c r="Z86" i="5"/>
  <c r="L86" i="5"/>
  <c r="I443" i="5"/>
  <c r="I444" i="5" s="1"/>
  <c r="I445" i="5" s="1"/>
  <c r="I446" i="5" s="1"/>
  <c r="I447" i="5" s="1"/>
  <c r="I448" i="5" s="1"/>
  <c r="I449" i="5" s="1"/>
  <c r="I450" i="5" s="1"/>
  <c r="I451" i="5" s="1"/>
  <c r="AM443" i="5"/>
  <c r="I443" i="12"/>
  <c r="Z443" i="5"/>
  <c r="L443" i="5"/>
  <c r="AM406" i="5"/>
  <c r="L406" i="5"/>
  <c r="Z406" i="5"/>
  <c r="I406" i="12"/>
  <c r="AM187" i="5"/>
  <c r="Z187" i="5"/>
  <c r="I187" i="12"/>
  <c r="L187" i="5"/>
  <c r="AM199" i="5"/>
  <c r="Z199" i="5"/>
  <c r="L199" i="5"/>
  <c r="I199" i="12"/>
  <c r="L40" i="5"/>
  <c r="AM40" i="5"/>
  <c r="I40" i="12"/>
  <c r="Z40" i="5"/>
  <c r="X57" i="5" a="1"/>
  <c r="X57" i="5" s="1"/>
  <c r="L58" i="5"/>
  <c r="AM58" i="5"/>
  <c r="Z58" i="5"/>
  <c r="I58" i="12"/>
  <c r="I58" i="5"/>
  <c r="AM162" i="5"/>
  <c r="Z162" i="5"/>
  <c r="I162" i="12"/>
  <c r="L162" i="5"/>
  <c r="AM294" i="5"/>
  <c r="I294" i="12"/>
  <c r="Z294" i="5"/>
  <c r="I294" i="5"/>
  <c r="I295" i="5" s="1"/>
  <c r="L294" i="5"/>
  <c r="I436" i="12"/>
  <c r="Z436" i="5"/>
  <c r="L436" i="5"/>
  <c r="AM436" i="5"/>
  <c r="I214" i="12"/>
  <c r="L214" i="5"/>
  <c r="Z214" i="5"/>
  <c r="AM214" i="5"/>
  <c r="AM135" i="5"/>
  <c r="X134" i="5" a="1"/>
  <c r="X134" i="5" s="1"/>
  <c r="I135" i="12"/>
  <c r="I135" i="5"/>
  <c r="I136" i="5" s="1"/>
  <c r="I137" i="5" s="1"/>
  <c r="I138" i="5" s="1"/>
  <c r="I139" i="5" s="1"/>
  <c r="L135" i="5"/>
  <c r="Z135" i="5"/>
  <c r="I507" i="5"/>
  <c r="X506" i="5" a="1"/>
  <c r="X506" i="5" s="1"/>
  <c r="L507" i="5"/>
  <c r="I507" i="12"/>
  <c r="AM507" i="5"/>
  <c r="Z507" i="5"/>
  <c r="AM90" i="5"/>
  <c r="Z90" i="5"/>
  <c r="L90" i="5"/>
  <c r="I90" i="12"/>
  <c r="L258" i="5"/>
  <c r="Z258" i="5"/>
  <c r="AM258" i="5"/>
  <c r="I258" i="12"/>
  <c r="I502" i="12"/>
  <c r="Z502" i="5"/>
  <c r="L502" i="5"/>
  <c r="AM502" i="5"/>
  <c r="AM175" i="5"/>
  <c r="I175" i="12"/>
  <c r="L175" i="5"/>
  <c r="Z175" i="5"/>
  <c r="L358" i="5"/>
  <c r="I358" i="12"/>
  <c r="Z358" i="5"/>
  <c r="I358" i="5"/>
  <c r="I359" i="5" s="1"/>
  <c r="AM358" i="5"/>
  <c r="X357" i="5" a="1"/>
  <c r="X357" i="5" s="1"/>
  <c r="X28" i="5" a="1"/>
  <c r="X28" i="5" s="1"/>
  <c r="I29" i="5"/>
  <c r="AM29" i="5"/>
  <c r="L29" i="5"/>
  <c r="Z29" i="5"/>
  <c r="I29" i="12"/>
  <c r="Z190" i="5"/>
  <c r="L190" i="5"/>
  <c r="AM190" i="5"/>
  <c r="I190" i="12"/>
  <c r="Z110" i="5"/>
  <c r="I110" i="12"/>
  <c r="L110" i="5"/>
  <c r="AM110" i="5"/>
  <c r="Z99" i="5"/>
  <c r="L99" i="5"/>
  <c r="I99" i="12"/>
  <c r="AM99" i="5"/>
  <c r="I50" i="12"/>
  <c r="X49" i="5" a="1"/>
  <c r="X49" i="5" s="1"/>
  <c r="I50" i="5"/>
  <c r="I51" i="5" s="1"/>
  <c r="Z50" i="5"/>
  <c r="L50" i="5"/>
  <c r="X48" i="5" a="1"/>
  <c r="X48" i="5" s="1"/>
  <c r="AM50" i="5"/>
  <c r="AM65" i="5"/>
  <c r="I65" i="12"/>
  <c r="Z65" i="5"/>
  <c r="L65" i="5"/>
  <c r="AM349" i="5"/>
  <c r="L349" i="5"/>
  <c r="Z349" i="5"/>
  <c r="I349" i="12"/>
  <c r="X147" i="5" a="1"/>
  <c r="X147" i="5" s="1"/>
  <c r="I149" i="12"/>
  <c r="X148" i="5" a="1"/>
  <c r="X148" i="5" s="1"/>
  <c r="L149" i="5"/>
  <c r="Z149" i="5"/>
  <c r="I149" i="5"/>
  <c r="I150" i="5" s="1"/>
  <c r="I151" i="5" s="1"/>
  <c r="I152" i="5" s="1"/>
  <c r="I153" i="5" s="1"/>
  <c r="I154" i="5" s="1"/>
  <c r="I155" i="5" s="1"/>
  <c r="I156" i="5" s="1"/>
  <c r="I157" i="5" s="1"/>
  <c r="I158" i="5" s="1"/>
  <c r="AM149" i="5"/>
  <c r="Z491" i="5"/>
  <c r="AM491" i="5"/>
  <c r="L491" i="5"/>
  <c r="I491" i="12"/>
  <c r="AM154" i="5"/>
  <c r="Z154" i="5"/>
  <c r="I154" i="12"/>
  <c r="L154" i="5"/>
  <c r="Z92" i="5"/>
  <c r="I92" i="12"/>
  <c r="L92" i="5"/>
  <c r="AM92" i="5"/>
  <c r="Z295" i="5"/>
  <c r="AM295" i="5"/>
  <c r="I295" i="12"/>
  <c r="L295" i="5"/>
  <c r="AM204" i="5"/>
  <c r="Z204" i="5"/>
  <c r="I204" i="12"/>
  <c r="L204" i="5"/>
  <c r="L282" i="5"/>
  <c r="AM282" i="5"/>
  <c r="Z282" i="5"/>
  <c r="I282" i="12"/>
  <c r="Z437" i="5"/>
  <c r="AM437" i="5"/>
  <c r="L437" i="5"/>
  <c r="I437" i="12"/>
  <c r="L38" i="5"/>
  <c r="I38" i="12"/>
  <c r="AM38" i="5"/>
  <c r="Z38" i="5"/>
  <c r="AM292" i="5"/>
  <c r="L292" i="5"/>
  <c r="Z292" i="5"/>
  <c r="I292" i="12"/>
  <c r="L267" i="5"/>
  <c r="Z267" i="5"/>
  <c r="AM267" i="5"/>
  <c r="I267" i="12"/>
  <c r="L348" i="5"/>
  <c r="Z348" i="5"/>
  <c r="I348" i="12"/>
  <c r="AM348" i="5"/>
  <c r="I211" i="12"/>
  <c r="L211" i="5"/>
  <c r="AM211" i="5"/>
  <c r="Z211" i="5"/>
  <c r="Z285" i="5"/>
  <c r="I285" i="12"/>
  <c r="AM285" i="5"/>
  <c r="L285" i="5"/>
  <c r="AM76" i="5"/>
  <c r="I76" i="12"/>
  <c r="Z76" i="5"/>
  <c r="L76" i="5"/>
  <c r="I74" i="12"/>
  <c r="L74" i="5"/>
  <c r="AM74" i="5"/>
  <c r="Z74" i="5"/>
  <c r="X303" i="5" a="1"/>
  <c r="X303" i="5" s="1"/>
  <c r="I304" i="12"/>
  <c r="AM304" i="5"/>
  <c r="L304" i="5"/>
  <c r="I304" i="5"/>
  <c r="I305" i="5" s="1"/>
  <c r="I306" i="5" s="1"/>
  <c r="I307" i="5" s="1"/>
  <c r="I308" i="5" s="1"/>
  <c r="I309" i="5" s="1"/>
  <c r="I310" i="5" s="1"/>
  <c r="I311" i="5" s="1"/>
  <c r="Z304" i="5"/>
  <c r="Z94" i="5"/>
  <c r="I94" i="12"/>
  <c r="AM94" i="5"/>
  <c r="L94" i="5"/>
  <c r="L98" i="5"/>
  <c r="Z98" i="5"/>
  <c r="AM98" i="5"/>
  <c r="I98" i="12"/>
  <c r="L243" i="5"/>
  <c r="I243" i="12"/>
  <c r="Z243" i="5"/>
  <c r="AM243" i="5"/>
  <c r="I23" i="12"/>
  <c r="Z23" i="5"/>
  <c r="AM23" i="5"/>
  <c r="L23" i="5"/>
  <c r="AM120" i="5"/>
  <c r="Z120" i="5"/>
  <c r="I120" i="12"/>
  <c r="L120" i="5"/>
  <c r="I80" i="12"/>
  <c r="Z80" i="5"/>
  <c r="AM80" i="5"/>
  <c r="L80" i="5"/>
  <c r="Z121" i="5"/>
  <c r="L121" i="5"/>
  <c r="AM121" i="5"/>
  <c r="I121" i="12"/>
  <c r="I387" i="12"/>
  <c r="AM387" i="5"/>
  <c r="Z387" i="5"/>
  <c r="L387" i="5"/>
  <c r="Z117" i="5"/>
  <c r="I117" i="12"/>
  <c r="L117" i="5"/>
  <c r="AM117" i="5"/>
  <c r="X124" i="5" a="1"/>
  <c r="X124" i="5" s="1"/>
  <c r="I125" i="12"/>
  <c r="L125" i="5"/>
  <c r="I125" i="5"/>
  <c r="I126" i="5" s="1"/>
  <c r="I127" i="5" s="1"/>
  <c r="I128" i="5" s="1"/>
  <c r="AM125" i="5"/>
  <c r="Z125" i="5"/>
  <c r="L339" i="5"/>
  <c r="I339" i="12"/>
  <c r="AM339" i="5"/>
  <c r="Z339" i="5"/>
  <c r="I313" i="5"/>
  <c r="AM313" i="5"/>
  <c r="Z313" i="5"/>
  <c r="X312" i="5" a="1"/>
  <c r="X312" i="5" s="1"/>
  <c r="I313" i="12"/>
  <c r="L313" i="5"/>
  <c r="I440" i="12"/>
  <c r="AM440" i="5"/>
  <c r="L440" i="5"/>
  <c r="Z440" i="5"/>
  <c r="AM78" i="5"/>
  <c r="I78" i="12"/>
  <c r="Z78" i="5"/>
  <c r="L78" i="5"/>
  <c r="L316" i="5"/>
  <c r="Z316" i="5"/>
  <c r="I316" i="12"/>
  <c r="AM316" i="5"/>
  <c r="L494" i="5"/>
  <c r="AM494" i="5"/>
  <c r="Z494" i="5"/>
  <c r="I494" i="12"/>
  <c r="AM81" i="5"/>
  <c r="L81" i="5"/>
  <c r="Z81" i="5"/>
  <c r="I81" i="12"/>
  <c r="AM55" i="5"/>
  <c r="Z55" i="5"/>
  <c r="L55" i="5"/>
  <c r="I55" i="12"/>
  <c r="AM138" i="5"/>
  <c r="Z138" i="5"/>
  <c r="I138" i="12"/>
  <c r="L138" i="5"/>
  <c r="I203" i="12"/>
  <c r="Z203" i="5"/>
  <c r="L203" i="5"/>
  <c r="AM203" i="5"/>
  <c r="L34" i="5"/>
  <c r="AM34" i="5"/>
  <c r="I34" i="12"/>
  <c r="Z34" i="5"/>
  <c r="L22" i="5"/>
  <c r="AM22" i="5"/>
  <c r="I22" i="12"/>
  <c r="Z22" i="5"/>
  <c r="AM271" i="5"/>
  <c r="L271" i="5"/>
  <c r="Z271" i="5"/>
  <c r="I271" i="12"/>
  <c r="L270" i="5"/>
  <c r="Z270" i="5"/>
  <c r="I270" i="12"/>
  <c r="AM270" i="5"/>
  <c r="I343" i="12"/>
  <c r="Z343" i="5"/>
  <c r="L343" i="5"/>
  <c r="AM343" i="5"/>
  <c r="I155" i="12"/>
  <c r="Z155" i="5"/>
  <c r="L155" i="5"/>
  <c r="AM155" i="5"/>
  <c r="L144" i="5"/>
  <c r="Z144" i="5"/>
  <c r="AM144" i="5"/>
  <c r="I144" i="12"/>
  <c r="X59" i="5" a="1"/>
  <c r="X59" i="5" s="1"/>
  <c r="X60" i="5" a="1"/>
  <c r="X60" i="5" s="1"/>
  <c r="Z62" i="5"/>
  <c r="AM62" i="5"/>
  <c r="I62" i="12"/>
  <c r="X61" i="5" a="1"/>
  <c r="X61" i="5" s="1"/>
  <c r="I62" i="5"/>
  <c r="I63" i="5" s="1"/>
  <c r="I64" i="5" s="1"/>
  <c r="I65" i="5" s="1"/>
  <c r="I66" i="5" s="1"/>
  <c r="I67" i="5" s="1"/>
  <c r="I68" i="5" s="1"/>
  <c r="I69" i="5" s="1"/>
  <c r="I70" i="5" s="1"/>
  <c r="I71" i="5" s="1"/>
  <c r="L62" i="5"/>
  <c r="I365" i="12"/>
  <c r="Z365" i="5"/>
  <c r="L365" i="5"/>
  <c r="AM365" i="5"/>
  <c r="AM179" i="5"/>
  <c r="Z179" i="5"/>
  <c r="L179" i="5"/>
  <c r="I179" i="12"/>
  <c r="Z495" i="5"/>
  <c r="L495" i="5"/>
  <c r="I495" i="12"/>
  <c r="AM495" i="5"/>
  <c r="AM157" i="5"/>
  <c r="Z157" i="5"/>
  <c r="I157" i="12"/>
  <c r="L157" i="5"/>
  <c r="AB348" i="5" l="1"/>
  <c r="AB300" i="5"/>
  <c r="O157" i="12"/>
  <c r="N157" i="12" s="1"/>
  <c r="C157" i="12"/>
  <c r="AO157" i="12"/>
  <c r="Y157" i="12" s="1"/>
  <c r="M157" i="12"/>
  <c r="C343" i="6"/>
  <c r="AC343" i="5" a="1"/>
  <c r="AC343" i="5" s="1"/>
  <c r="C34" i="12"/>
  <c r="O34" i="12"/>
  <c r="M34" i="12"/>
  <c r="AO34" i="12"/>
  <c r="Y34" i="12" s="1"/>
  <c r="AB81" i="5"/>
  <c r="AB440" i="5"/>
  <c r="O80" i="5"/>
  <c r="C80" i="6"/>
  <c r="AC80" i="5" a="1"/>
  <c r="AC80" i="5" s="1"/>
  <c r="C243" i="6"/>
  <c r="AC243" i="5" a="1"/>
  <c r="AC243" i="5" s="1"/>
  <c r="AB74" i="5"/>
  <c r="C38" i="6"/>
  <c r="O38" i="5"/>
  <c r="AC38" i="5" a="1"/>
  <c r="AC38" i="5" s="1"/>
  <c r="AB149" i="5"/>
  <c r="O50" i="5"/>
  <c r="C50" i="6"/>
  <c r="AC50" i="5" a="1"/>
  <c r="AC50" i="5" s="1"/>
  <c r="AB190" i="5"/>
  <c r="M175" i="12"/>
  <c r="AO175" i="12"/>
  <c r="O175" i="12"/>
  <c r="C175" i="12"/>
  <c r="C436" i="6"/>
  <c r="AC436" i="5" a="1"/>
  <c r="AC436" i="5" s="1"/>
  <c r="AB406" i="5"/>
  <c r="AB89" i="5"/>
  <c r="C404" i="6"/>
  <c r="O404" i="5"/>
  <c r="AC404" i="5" a="1"/>
  <c r="AC404" i="5" s="1"/>
  <c r="AB200" i="5"/>
  <c r="M332" i="12"/>
  <c r="O332" i="12"/>
  <c r="N332" i="12" s="1"/>
  <c r="C332" i="12"/>
  <c r="AO332" i="12"/>
  <c r="M21" i="12"/>
  <c r="O21" i="12"/>
  <c r="AO21" i="12"/>
  <c r="Y21" i="12" s="1"/>
  <c r="C21" i="12"/>
  <c r="O306" i="5"/>
  <c r="C306" i="6"/>
  <c r="AC306" i="5" a="1"/>
  <c r="AC306" i="5" s="1"/>
  <c r="O251" i="5"/>
  <c r="C251" i="6"/>
  <c r="AC251" i="5" a="1"/>
  <c r="AC251" i="5" s="1"/>
  <c r="O185" i="5"/>
  <c r="C185" i="6"/>
  <c r="AC185" i="5" a="1"/>
  <c r="AC185" i="5" s="1"/>
  <c r="C325" i="12"/>
  <c r="M325" i="12"/>
  <c r="AO325" i="12"/>
  <c r="O325" i="12"/>
  <c r="AB446" i="5"/>
  <c r="O51" i="5"/>
  <c r="C51" i="6"/>
  <c r="AC51" i="5" a="1"/>
  <c r="AC51" i="5" s="1"/>
  <c r="C205" i="6"/>
  <c r="O205" i="5"/>
  <c r="AC205" i="5" a="1"/>
  <c r="AC205" i="5" s="1"/>
  <c r="O329" i="5"/>
  <c r="C329" i="6"/>
  <c r="AC329" i="5" a="1"/>
  <c r="AC329" i="5" s="1"/>
  <c r="C411" i="6"/>
  <c r="O411" i="5"/>
  <c r="AC411" i="5" a="1"/>
  <c r="AC411" i="5" s="1"/>
  <c r="O378" i="5"/>
  <c r="C378" i="6"/>
  <c r="AC378" i="5" a="1"/>
  <c r="AC378" i="5" s="1"/>
  <c r="M421" i="12"/>
  <c r="C421" i="12"/>
  <c r="O421" i="12"/>
  <c r="AO421" i="12"/>
  <c r="Y421" i="12" s="1"/>
  <c r="AO257" i="12"/>
  <c r="M257" i="12"/>
  <c r="C257" i="12"/>
  <c r="O257" i="12"/>
  <c r="AB71" i="5"/>
  <c r="C223" i="6"/>
  <c r="AC223" i="5" a="1"/>
  <c r="AC223" i="5" s="1"/>
  <c r="C69" i="6"/>
  <c r="O69" i="5"/>
  <c r="AC69" i="5" a="1"/>
  <c r="AC69" i="5" s="1"/>
  <c r="AB167" i="5"/>
  <c r="C192" i="6"/>
  <c r="O192" i="5"/>
  <c r="AC192" i="5" a="1"/>
  <c r="AC192" i="5" s="1"/>
  <c r="C169" i="6"/>
  <c r="O169" i="5"/>
  <c r="AC169" i="5" a="1"/>
  <c r="AC169" i="5" s="1"/>
  <c r="AB183" i="5"/>
  <c r="C310" i="6"/>
  <c r="O310" i="5"/>
  <c r="AC310" i="5" a="1"/>
  <c r="AC310" i="5" s="1"/>
  <c r="AB497" i="5"/>
  <c r="C414" i="6"/>
  <c r="AC414" i="5" a="1"/>
  <c r="AC414" i="5" s="1"/>
  <c r="C344" i="6"/>
  <c r="AC344" i="5" a="1"/>
  <c r="AC344" i="5" s="1"/>
  <c r="AB182" i="5"/>
  <c r="AB391" i="5"/>
  <c r="M250" i="12"/>
  <c r="C250" i="12"/>
  <c r="O250" i="12"/>
  <c r="AO250" i="12"/>
  <c r="Y250" i="12" s="1"/>
  <c r="AB136" i="5"/>
  <c r="AM483" i="5"/>
  <c r="Z483" i="5"/>
  <c r="I483" i="12"/>
  <c r="L483" i="5"/>
  <c r="AB195" i="5"/>
  <c r="M409" i="12"/>
  <c r="C409" i="12"/>
  <c r="AO409" i="12"/>
  <c r="O409" i="12"/>
  <c r="AB402" i="5"/>
  <c r="AB102" i="5"/>
  <c r="AB20" i="5"/>
  <c r="C417" i="6"/>
  <c r="AC417" i="5" a="1"/>
  <c r="AC417" i="5" s="1"/>
  <c r="AB31" i="5"/>
  <c r="O114" i="5"/>
  <c r="C114" i="6"/>
  <c r="AC114" i="5" a="1"/>
  <c r="AC114" i="5" s="1"/>
  <c r="M193" i="12"/>
  <c r="C193" i="12"/>
  <c r="O193" i="12"/>
  <c r="AO193" i="12"/>
  <c r="AB284" i="5"/>
  <c r="C56" i="6"/>
  <c r="O56" i="5"/>
  <c r="AC56" i="5" a="1"/>
  <c r="AC56" i="5" s="1"/>
  <c r="O123" i="5"/>
  <c r="C123" i="6"/>
  <c r="AC123" i="5" a="1"/>
  <c r="AC123" i="5" s="1"/>
  <c r="AB364" i="5"/>
  <c r="C93" i="12"/>
  <c r="AO93" i="12"/>
  <c r="O93" i="12"/>
  <c r="M93" i="12"/>
  <c r="L95" i="5"/>
  <c r="Z95" i="5"/>
  <c r="AM95" i="5"/>
  <c r="I95" i="12"/>
  <c r="C127" i="6"/>
  <c r="O127" i="5"/>
  <c r="AC127" i="5" a="1"/>
  <c r="AC127" i="5" s="1"/>
  <c r="AB308" i="5"/>
  <c r="AB161" i="5"/>
  <c r="L72" i="5"/>
  <c r="I72" i="12"/>
  <c r="Z72" i="5"/>
  <c r="AM72" i="5"/>
  <c r="AN287" i="5"/>
  <c r="W287" i="5"/>
  <c r="AN427" i="5"/>
  <c r="W427" i="5"/>
  <c r="AN433" i="5"/>
  <c r="W433" i="5"/>
  <c r="W456" i="5"/>
  <c r="AN456" i="5"/>
  <c r="AM124" i="5"/>
  <c r="Z124" i="5"/>
  <c r="L124" i="5"/>
  <c r="I124" i="12"/>
  <c r="AB346" i="5"/>
  <c r="AB202" i="5"/>
  <c r="AB223" i="5"/>
  <c r="AO414" i="12"/>
  <c r="C414" i="12"/>
  <c r="M414" i="12"/>
  <c r="O414" i="12"/>
  <c r="Z30" i="5"/>
  <c r="I30" i="12"/>
  <c r="AM30" i="5"/>
  <c r="L30" i="5"/>
  <c r="C363" i="12"/>
  <c r="AO363" i="12"/>
  <c r="M363" i="12"/>
  <c r="O363" i="12"/>
  <c r="AO196" i="12"/>
  <c r="M196" i="12"/>
  <c r="O196" i="12"/>
  <c r="N196" i="12" s="1"/>
  <c r="C196" i="12"/>
  <c r="AB350" i="5"/>
  <c r="AB130" i="5"/>
  <c r="O165" i="5"/>
  <c r="C165" i="6"/>
  <c r="AC165" i="5" a="1"/>
  <c r="AC165" i="5" s="1"/>
  <c r="C353" i="6"/>
  <c r="AC353" i="5" a="1"/>
  <c r="AC353" i="5" s="1"/>
  <c r="W381" i="5"/>
  <c r="AN381" i="5"/>
  <c r="AB157" i="5"/>
  <c r="I61" i="12"/>
  <c r="L61" i="5"/>
  <c r="AM61" i="5"/>
  <c r="Z61" i="5"/>
  <c r="AB343" i="5"/>
  <c r="C81" i="6"/>
  <c r="O81" i="5"/>
  <c r="AC81" i="5" a="1"/>
  <c r="AC81" i="5" s="1"/>
  <c r="C440" i="6"/>
  <c r="AC440" i="5" a="1"/>
  <c r="AC440" i="5" s="1"/>
  <c r="C125" i="6"/>
  <c r="O125" i="5"/>
  <c r="AC125" i="5" a="1"/>
  <c r="AC125" i="5" s="1"/>
  <c r="M98" i="12"/>
  <c r="O98" i="12"/>
  <c r="AO98" i="12"/>
  <c r="Y98" i="12" s="1"/>
  <c r="C98" i="12"/>
  <c r="AB295" i="5"/>
  <c r="O149" i="5"/>
  <c r="C149" i="6"/>
  <c r="AC149" i="5" a="1"/>
  <c r="AC149" i="5" s="1"/>
  <c r="AB50" i="5"/>
  <c r="C507" i="12"/>
  <c r="M507" i="12"/>
  <c r="M506" i="12" s="1"/>
  <c r="O507" i="12"/>
  <c r="AO507" i="12"/>
  <c r="AB436" i="5"/>
  <c r="C58" i="6"/>
  <c r="O58" i="5"/>
  <c r="AC58" i="5" a="1"/>
  <c r="AC58" i="5" s="1"/>
  <c r="O406" i="5"/>
  <c r="C406" i="6"/>
  <c r="AC406" i="5" a="1"/>
  <c r="AC406" i="5" s="1"/>
  <c r="C398" i="12"/>
  <c r="M398" i="12"/>
  <c r="O398" i="12"/>
  <c r="AO398" i="12"/>
  <c r="Y398" i="12" s="1"/>
  <c r="AO89" i="12"/>
  <c r="O89" i="12"/>
  <c r="M89" i="12"/>
  <c r="C89" i="12"/>
  <c r="O404" i="12"/>
  <c r="AO404" i="12"/>
  <c r="C404" i="12"/>
  <c r="M404" i="12"/>
  <c r="O200" i="12"/>
  <c r="N200" i="12" s="1"/>
  <c r="M200" i="12"/>
  <c r="C200" i="12"/>
  <c r="AO200" i="12"/>
  <c r="O393" i="12"/>
  <c r="C393" i="12"/>
  <c r="AO393" i="12"/>
  <c r="M393" i="12"/>
  <c r="O63" i="5"/>
  <c r="C63" i="6"/>
  <c r="AC63" i="5" a="1"/>
  <c r="AC63" i="5" s="1"/>
  <c r="O225" i="5"/>
  <c r="C225" i="6"/>
  <c r="AC225" i="5" a="1"/>
  <c r="AC225" i="5" s="1"/>
  <c r="C185" i="12"/>
  <c r="M185" i="12"/>
  <c r="O185" i="12"/>
  <c r="AO185" i="12"/>
  <c r="O325" i="5"/>
  <c r="C325" i="6"/>
  <c r="AC325" i="5" a="1"/>
  <c r="AC325" i="5" s="1"/>
  <c r="O108" i="12"/>
  <c r="C108" i="12"/>
  <c r="AO108" i="12"/>
  <c r="Y108" i="12" s="1"/>
  <c r="M108" i="12"/>
  <c r="AB51" i="5"/>
  <c r="M205" i="12"/>
  <c r="C205" i="12"/>
  <c r="AO205" i="12"/>
  <c r="O205" i="12"/>
  <c r="C268" i="6"/>
  <c r="O268" i="5"/>
  <c r="AC268" i="5" a="1"/>
  <c r="AC268" i="5" s="1"/>
  <c r="M331" i="12"/>
  <c r="AO331" i="12"/>
  <c r="C331" i="12"/>
  <c r="O331" i="12"/>
  <c r="N331" i="12" s="1"/>
  <c r="O329" i="12"/>
  <c r="C329" i="12"/>
  <c r="AO329" i="12"/>
  <c r="Y329" i="12" s="1"/>
  <c r="M329" i="12"/>
  <c r="O189" i="5"/>
  <c r="C189" i="6"/>
  <c r="AC189" i="5" a="1"/>
  <c r="AC189" i="5" s="1"/>
  <c r="C421" i="6"/>
  <c r="AC421" i="5" a="1"/>
  <c r="AC421" i="5" s="1"/>
  <c r="AB257" i="5"/>
  <c r="C141" i="12"/>
  <c r="AO141" i="12"/>
  <c r="M141" i="12"/>
  <c r="O141" i="12"/>
  <c r="AB181" i="5"/>
  <c r="O223" i="12"/>
  <c r="M223" i="12"/>
  <c r="C223" i="12"/>
  <c r="AO223" i="12"/>
  <c r="O458" i="5"/>
  <c r="C458" i="6"/>
  <c r="AC458" i="5" a="1"/>
  <c r="AC458" i="5" s="1"/>
  <c r="C54" i="6"/>
  <c r="O54" i="5"/>
  <c r="AC54" i="5" a="1"/>
  <c r="AC54" i="5" s="1"/>
  <c r="O192" i="12"/>
  <c r="AO192" i="12"/>
  <c r="Y192" i="12" s="1"/>
  <c r="M192" i="12"/>
  <c r="C192" i="12"/>
  <c r="O169" i="12"/>
  <c r="AO169" i="12"/>
  <c r="Y169" i="12" s="1"/>
  <c r="M169" i="12"/>
  <c r="C169" i="12"/>
  <c r="C318" i="6"/>
  <c r="O318" i="5"/>
  <c r="AC318" i="5" a="1"/>
  <c r="AC318" i="5" s="1"/>
  <c r="C497" i="6"/>
  <c r="AC497" i="5" a="1"/>
  <c r="AC497" i="5" s="1"/>
  <c r="AB414" i="5"/>
  <c r="C396" i="12"/>
  <c r="M396" i="12"/>
  <c r="AO396" i="12"/>
  <c r="O396" i="12"/>
  <c r="C485" i="12"/>
  <c r="O485" i="12"/>
  <c r="AO485" i="12"/>
  <c r="Y485" i="12" s="1"/>
  <c r="M485" i="12"/>
  <c r="C250" i="6"/>
  <c r="O250" i="5"/>
  <c r="AC250" i="5" a="1"/>
  <c r="AC250" i="5" s="1"/>
  <c r="AB242" i="5"/>
  <c r="C484" i="6"/>
  <c r="O484" i="5"/>
  <c r="AC484" i="5" a="1"/>
  <c r="AC484" i="5" s="1"/>
  <c r="C64" i="6"/>
  <c r="O64" i="5"/>
  <c r="AC64" i="5" a="1"/>
  <c r="AC64" i="5" s="1"/>
  <c r="AB409" i="5"/>
  <c r="AB206" i="5"/>
  <c r="M20" i="12"/>
  <c r="O20" i="12"/>
  <c r="C20" i="12"/>
  <c r="AO20" i="12"/>
  <c r="Y20" i="12" s="1"/>
  <c r="AB114" i="5"/>
  <c r="O193" i="5"/>
  <c r="C193" i="6"/>
  <c r="AC193" i="5" a="1"/>
  <c r="AC193" i="5" s="1"/>
  <c r="AO284" i="12"/>
  <c r="M284" i="12"/>
  <c r="C284" i="12"/>
  <c r="O284" i="12"/>
  <c r="N284" i="12" s="1"/>
  <c r="C350" i="6"/>
  <c r="AC350" i="5" a="1"/>
  <c r="AC350" i="5" s="1"/>
  <c r="O130" i="5"/>
  <c r="C130" i="6"/>
  <c r="AC130" i="5" a="1"/>
  <c r="AC130" i="5" s="1"/>
  <c r="AB123" i="5"/>
  <c r="AB353" i="5"/>
  <c r="Z498" i="5"/>
  <c r="AM498" i="5"/>
  <c r="L498" i="5"/>
  <c r="I498" i="12"/>
  <c r="AO37" i="12"/>
  <c r="Y37" i="12" s="1"/>
  <c r="C37" i="12"/>
  <c r="O37" i="12"/>
  <c r="M37" i="12"/>
  <c r="AB127" i="5"/>
  <c r="C308" i="12"/>
  <c r="AO308" i="12"/>
  <c r="O308" i="12"/>
  <c r="M308" i="12"/>
  <c r="W470" i="5"/>
  <c r="AN470" i="5"/>
  <c r="AN315" i="5"/>
  <c r="W315" i="5"/>
  <c r="AN374" i="5"/>
  <c r="W374" i="5"/>
  <c r="AN376" i="5"/>
  <c r="W376" i="5"/>
  <c r="W262" i="5"/>
  <c r="AN262" i="5"/>
  <c r="C440" i="12"/>
  <c r="O440" i="12"/>
  <c r="M440" i="12"/>
  <c r="AO440" i="12"/>
  <c r="Y440" i="12" s="1"/>
  <c r="C149" i="12"/>
  <c r="AO149" i="12"/>
  <c r="O149" i="12"/>
  <c r="M149" i="12"/>
  <c r="AB40" i="5"/>
  <c r="C150" i="6"/>
  <c r="O150" i="5"/>
  <c r="AC150" i="5" a="1"/>
  <c r="AC150" i="5" s="1"/>
  <c r="O146" i="12"/>
  <c r="M146" i="12"/>
  <c r="C146" i="12"/>
  <c r="AO146" i="12"/>
  <c r="C183" i="6"/>
  <c r="O183" i="5"/>
  <c r="AC183" i="5" a="1"/>
  <c r="AC183" i="5" s="1"/>
  <c r="C151" i="6"/>
  <c r="O151" i="5"/>
  <c r="AC151" i="5" a="1"/>
  <c r="AC151" i="5" s="1"/>
  <c r="AO62" i="12"/>
  <c r="M62" i="12"/>
  <c r="O62" i="12"/>
  <c r="C62" i="12"/>
  <c r="O343" i="12"/>
  <c r="M343" i="12"/>
  <c r="C343" i="12"/>
  <c r="AO343" i="12"/>
  <c r="C34" i="6"/>
  <c r="O34" i="5"/>
  <c r="AC34" i="5" a="1"/>
  <c r="AC34" i="5" s="1"/>
  <c r="M125" i="12"/>
  <c r="O125" i="12"/>
  <c r="AO125" i="12"/>
  <c r="C125" i="12"/>
  <c r="AB80" i="5"/>
  <c r="O74" i="5"/>
  <c r="C74" i="6"/>
  <c r="AC74" i="5" a="1"/>
  <c r="AC74" i="5" s="1"/>
  <c r="O348" i="12"/>
  <c r="M348" i="12"/>
  <c r="C348" i="12"/>
  <c r="AO348" i="12"/>
  <c r="O437" i="12"/>
  <c r="N437" i="12" s="1"/>
  <c r="AO437" i="12"/>
  <c r="M437" i="12"/>
  <c r="C437" i="12"/>
  <c r="AM148" i="5"/>
  <c r="L148" i="5"/>
  <c r="Z148" i="5"/>
  <c r="I148" i="12"/>
  <c r="AO29" i="12"/>
  <c r="O29" i="12"/>
  <c r="C29" i="12"/>
  <c r="M29" i="12"/>
  <c r="C507" i="6"/>
  <c r="O507" i="5"/>
  <c r="AC507" i="5" a="1"/>
  <c r="AC507" i="5" s="1"/>
  <c r="M436" i="12"/>
  <c r="C436" i="12"/>
  <c r="O436" i="12"/>
  <c r="AO436" i="12"/>
  <c r="L57" i="5"/>
  <c r="Z57" i="5"/>
  <c r="I57" i="12"/>
  <c r="AM57" i="5"/>
  <c r="AB47" i="5"/>
  <c r="AB404" i="5"/>
  <c r="O200" i="5"/>
  <c r="C200" i="6"/>
  <c r="AC200" i="5" a="1"/>
  <c r="AC200" i="5" s="1"/>
  <c r="AB171" i="5"/>
  <c r="C346" i="6"/>
  <c r="AC346" i="5" a="1"/>
  <c r="AC346" i="5" s="1"/>
  <c r="C276" i="6"/>
  <c r="AC276" i="5" a="1"/>
  <c r="AC276" i="5" s="1"/>
  <c r="AB39" i="5"/>
  <c r="AB325" i="5"/>
  <c r="AB108" i="5"/>
  <c r="AO51" i="12"/>
  <c r="O51" i="12"/>
  <c r="N51" i="12" s="1"/>
  <c r="C51" i="12"/>
  <c r="M51" i="12"/>
  <c r="C411" i="12"/>
  <c r="M411" i="12"/>
  <c r="AO411" i="12"/>
  <c r="O411" i="12"/>
  <c r="L188" i="5"/>
  <c r="Z188" i="5"/>
  <c r="I188" i="12"/>
  <c r="AM188" i="5"/>
  <c r="AB421" i="5"/>
  <c r="C257" i="6"/>
  <c r="AC257" i="5" a="1"/>
  <c r="AC257" i="5" s="1"/>
  <c r="AO347" i="12"/>
  <c r="C347" i="12"/>
  <c r="M347" i="12"/>
  <c r="O347" i="12"/>
  <c r="N347" i="12" s="1"/>
  <c r="O141" i="5"/>
  <c r="C141" i="6"/>
  <c r="AC141" i="5" a="1"/>
  <c r="AC141" i="5" s="1"/>
  <c r="C181" i="6"/>
  <c r="O181" i="5"/>
  <c r="AC181" i="5" a="1"/>
  <c r="AC181" i="5" s="1"/>
  <c r="AB69" i="5"/>
  <c r="L457" i="5"/>
  <c r="I457" i="12"/>
  <c r="Z457" i="5"/>
  <c r="AM457" i="5"/>
  <c r="O54" i="12"/>
  <c r="AO54" i="12"/>
  <c r="Y54" i="12" s="1"/>
  <c r="C54" i="12"/>
  <c r="M54" i="12"/>
  <c r="AO167" i="12"/>
  <c r="Y167" i="12" s="1"/>
  <c r="O167" i="12"/>
  <c r="C167" i="12"/>
  <c r="M167" i="12"/>
  <c r="AO70" i="12"/>
  <c r="O70" i="12"/>
  <c r="M70" i="12"/>
  <c r="C70" i="12"/>
  <c r="AO449" i="12"/>
  <c r="M449" i="12"/>
  <c r="O449" i="12"/>
  <c r="C449" i="12"/>
  <c r="O183" i="12"/>
  <c r="M183" i="12"/>
  <c r="AO183" i="12"/>
  <c r="C183" i="12"/>
  <c r="O310" i="12"/>
  <c r="AO310" i="12"/>
  <c r="C310" i="12"/>
  <c r="M310" i="12"/>
  <c r="C497" i="12"/>
  <c r="O497" i="12"/>
  <c r="M497" i="12"/>
  <c r="AO497" i="12"/>
  <c r="C182" i="6"/>
  <c r="O182" i="5"/>
  <c r="AC182" i="5" a="1"/>
  <c r="AC182" i="5" s="1"/>
  <c r="M113" i="12"/>
  <c r="C113" i="12"/>
  <c r="O113" i="12"/>
  <c r="N113" i="12" s="1"/>
  <c r="AO113" i="12"/>
  <c r="O485" i="5"/>
  <c r="C485" i="6"/>
  <c r="AC485" i="5" a="1"/>
  <c r="AC485" i="5" s="1"/>
  <c r="AO79" i="12"/>
  <c r="C79" i="12"/>
  <c r="O79" i="12"/>
  <c r="M79" i="12"/>
  <c r="O46" i="12"/>
  <c r="C46" i="12"/>
  <c r="M46" i="12"/>
  <c r="AO46" i="12"/>
  <c r="AO242" i="12"/>
  <c r="M242" i="12"/>
  <c r="C242" i="12"/>
  <c r="O242" i="12"/>
  <c r="N242" i="12" s="1"/>
  <c r="AB64" i="5"/>
  <c r="O409" i="5"/>
  <c r="C409" i="6"/>
  <c r="AC409" i="5" a="1"/>
  <c r="AC409" i="5" s="1"/>
  <c r="M447" i="12"/>
  <c r="AO447" i="12"/>
  <c r="Y447" i="12" s="1"/>
  <c r="C447" i="12"/>
  <c r="O447" i="12"/>
  <c r="AO206" i="12"/>
  <c r="C206" i="12"/>
  <c r="O206" i="12"/>
  <c r="N206" i="12" s="1"/>
  <c r="M206" i="12"/>
  <c r="AO417" i="12"/>
  <c r="M417" i="12"/>
  <c r="O417" i="12"/>
  <c r="N417" i="12" s="1"/>
  <c r="C417" i="12"/>
  <c r="M31" i="12"/>
  <c r="C31" i="12"/>
  <c r="AO31" i="12"/>
  <c r="O31" i="12"/>
  <c r="AB122" i="5"/>
  <c r="C143" i="6"/>
  <c r="O143" i="5"/>
  <c r="AC143" i="5" a="1"/>
  <c r="AC143" i="5" s="1"/>
  <c r="O284" i="5"/>
  <c r="C284" i="6"/>
  <c r="AC284" i="5" a="1"/>
  <c r="AC284" i="5" s="1"/>
  <c r="C350" i="12"/>
  <c r="O350" i="12"/>
  <c r="M350" i="12"/>
  <c r="AO350" i="12"/>
  <c r="AB165" i="5"/>
  <c r="AO353" i="12"/>
  <c r="C353" i="12"/>
  <c r="O353" i="12"/>
  <c r="M353" i="12"/>
  <c r="O96" i="5"/>
  <c r="C96" i="6"/>
  <c r="AC96" i="5" a="1"/>
  <c r="AC96" i="5" s="1"/>
  <c r="AO127" i="12"/>
  <c r="C127" i="12"/>
  <c r="M127" i="12"/>
  <c r="O127" i="12"/>
  <c r="N127" i="12" s="1"/>
  <c r="C161" i="12"/>
  <c r="O161" i="12"/>
  <c r="N161" i="12" s="1"/>
  <c r="AO161" i="12"/>
  <c r="M161" i="12"/>
  <c r="W274" i="5"/>
  <c r="AN274" i="5"/>
  <c r="W275" i="5"/>
  <c r="AN275" i="5"/>
  <c r="W415" i="5"/>
  <c r="AN415" i="5"/>
  <c r="AN428" i="5"/>
  <c r="W428" i="5"/>
  <c r="AN468" i="5"/>
  <c r="W468" i="5"/>
  <c r="I49" i="12"/>
  <c r="AM49" i="5"/>
  <c r="Z49" i="5"/>
  <c r="L49" i="5"/>
  <c r="AB393" i="5"/>
  <c r="C347" i="6"/>
  <c r="AC347" i="5" a="1"/>
  <c r="AC347" i="5" s="1"/>
  <c r="AB420" i="5"/>
  <c r="O495" i="12"/>
  <c r="C495" i="12"/>
  <c r="M495" i="12"/>
  <c r="AO495" i="12"/>
  <c r="Y495" i="12" s="1"/>
  <c r="AB62" i="5"/>
  <c r="AO270" i="12"/>
  <c r="O270" i="12"/>
  <c r="N270" i="12" s="1"/>
  <c r="C270" i="12"/>
  <c r="M270" i="12"/>
  <c r="C203" i="6"/>
  <c r="O203" i="5"/>
  <c r="AC203" i="5" a="1"/>
  <c r="AC203" i="5" s="1"/>
  <c r="AB494" i="5"/>
  <c r="O313" i="5"/>
  <c r="C313" i="6"/>
  <c r="AC313" i="5" a="1"/>
  <c r="AC313" i="5" s="1"/>
  <c r="O120" i="5"/>
  <c r="C120" i="6"/>
  <c r="AC120" i="5" a="1"/>
  <c r="AC120" i="5" s="1"/>
  <c r="C98" i="6"/>
  <c r="O98" i="5"/>
  <c r="AC98" i="5" a="1"/>
  <c r="AC98" i="5" s="1"/>
  <c r="C76" i="6"/>
  <c r="O76" i="5"/>
  <c r="AC76" i="5" a="1"/>
  <c r="AC76" i="5" s="1"/>
  <c r="C348" i="6"/>
  <c r="AC348" i="5" a="1"/>
  <c r="AC348" i="5" s="1"/>
  <c r="O92" i="12"/>
  <c r="C92" i="12"/>
  <c r="M92" i="12"/>
  <c r="AO92" i="12"/>
  <c r="AM147" i="5"/>
  <c r="Z147" i="5"/>
  <c r="L147" i="5"/>
  <c r="I147" i="12"/>
  <c r="C50" i="12"/>
  <c r="O50" i="12"/>
  <c r="M50" i="12"/>
  <c r="AO50" i="12"/>
  <c r="C29" i="6"/>
  <c r="O29" i="5"/>
  <c r="AC29" i="5" a="1"/>
  <c r="AC29" i="5" s="1"/>
  <c r="AB502" i="5"/>
  <c r="O294" i="5"/>
  <c r="C294" i="6"/>
  <c r="AC294" i="5" a="1"/>
  <c r="AC294" i="5" s="1"/>
  <c r="AO40" i="12"/>
  <c r="Y40" i="12" s="1"/>
  <c r="C40" i="12"/>
  <c r="M40" i="12"/>
  <c r="O40" i="12"/>
  <c r="AB416" i="5"/>
  <c r="M47" i="12"/>
  <c r="C47" i="12"/>
  <c r="O47" i="12"/>
  <c r="AO47" i="12"/>
  <c r="C171" i="6"/>
  <c r="O171" i="5"/>
  <c r="AC171" i="5" a="1"/>
  <c r="AC171" i="5" s="1"/>
  <c r="O393" i="5"/>
  <c r="C393" i="6"/>
  <c r="AC393" i="5" a="1"/>
  <c r="AC393" i="5" s="1"/>
  <c r="AB63" i="5"/>
  <c r="AO346" i="12"/>
  <c r="Y346" i="12" s="1"/>
  <c r="O346" i="12"/>
  <c r="M346" i="12"/>
  <c r="C346" i="12"/>
  <c r="O150" i="12"/>
  <c r="C150" i="12"/>
  <c r="M150" i="12"/>
  <c r="AO150" i="12"/>
  <c r="C408" i="12"/>
  <c r="AO408" i="12"/>
  <c r="M408" i="12"/>
  <c r="O408" i="12"/>
  <c r="N408" i="12" s="1"/>
  <c r="M290" i="12"/>
  <c r="O290" i="12"/>
  <c r="AO290" i="12"/>
  <c r="C290" i="12"/>
  <c r="O300" i="12"/>
  <c r="M300" i="12"/>
  <c r="C300" i="12"/>
  <c r="AO300" i="12"/>
  <c r="AB146" i="5"/>
  <c r="O202" i="12"/>
  <c r="AO202" i="12"/>
  <c r="M202" i="12"/>
  <c r="C202" i="12"/>
  <c r="AB288" i="5"/>
  <c r="C335" i="6"/>
  <c r="O335" i="5"/>
  <c r="AC335" i="5" a="1"/>
  <c r="AC335" i="5" s="1"/>
  <c r="AB347" i="5"/>
  <c r="AB141" i="5"/>
  <c r="O184" i="12"/>
  <c r="C184" i="12"/>
  <c r="M184" i="12"/>
  <c r="AO184" i="12"/>
  <c r="AB116" i="5"/>
  <c r="O394" i="5"/>
  <c r="C394" i="6"/>
  <c r="AC394" i="5" a="1"/>
  <c r="AC394" i="5" s="1"/>
  <c r="C70" i="6"/>
  <c r="O70" i="5"/>
  <c r="AC70" i="5" a="1"/>
  <c r="AC70" i="5" s="1"/>
  <c r="AB177" i="5"/>
  <c r="AO389" i="12"/>
  <c r="M389" i="12"/>
  <c r="O389" i="12"/>
  <c r="N389" i="12" s="1"/>
  <c r="C389" i="12"/>
  <c r="C396" i="6"/>
  <c r="O396" i="5"/>
  <c r="AC396" i="5" a="1"/>
  <c r="AC396" i="5" s="1"/>
  <c r="C84" i="6"/>
  <c r="O84" i="5"/>
  <c r="AC84" i="5" a="1"/>
  <c r="AC84" i="5" s="1"/>
  <c r="AB113" i="5"/>
  <c r="AB79" i="5"/>
  <c r="AB46" i="5"/>
  <c r="C242" i="6"/>
  <c r="AC242" i="5" a="1"/>
  <c r="AC242" i="5" s="1"/>
  <c r="O133" i="5"/>
  <c r="C133" i="6"/>
  <c r="AC133" i="5" a="1"/>
  <c r="AC133" i="5" s="1"/>
  <c r="AB447" i="5"/>
  <c r="C420" i="6"/>
  <c r="AC420" i="5" a="1"/>
  <c r="AC420" i="5" s="1"/>
  <c r="O407" i="5"/>
  <c r="C407" i="6"/>
  <c r="AC407" i="5" a="1"/>
  <c r="AC407" i="5" s="1"/>
  <c r="I362" i="12"/>
  <c r="L362" i="5"/>
  <c r="AM362" i="5"/>
  <c r="Z362" i="5"/>
  <c r="C122" i="12"/>
  <c r="M122" i="12"/>
  <c r="AO122" i="12"/>
  <c r="O122" i="12"/>
  <c r="C143" i="12"/>
  <c r="AO143" i="12"/>
  <c r="O143" i="12"/>
  <c r="N143" i="12" s="1"/>
  <c r="M143" i="12"/>
  <c r="AB196" i="5"/>
  <c r="AB280" i="5"/>
  <c r="AO151" i="12"/>
  <c r="O151" i="12"/>
  <c r="C151" i="12"/>
  <c r="M151" i="12"/>
  <c r="Z129" i="5"/>
  <c r="AM129" i="5"/>
  <c r="L129" i="5"/>
  <c r="I129" i="12"/>
  <c r="AB439" i="5"/>
  <c r="O37" i="5"/>
  <c r="C37" i="6"/>
  <c r="AC37" i="5" a="1"/>
  <c r="AC37" i="5" s="1"/>
  <c r="AO309" i="12"/>
  <c r="C309" i="12"/>
  <c r="O309" i="12"/>
  <c r="M309" i="12"/>
  <c r="C153" i="6"/>
  <c r="O153" i="5"/>
  <c r="AC153" i="5" a="1"/>
  <c r="AC153" i="5" s="1"/>
  <c r="O104" i="5"/>
  <c r="C104" i="6"/>
  <c r="AC104" i="5" a="1"/>
  <c r="AC104" i="5" s="1"/>
  <c r="O444" i="5"/>
  <c r="C444" i="6"/>
  <c r="AC444" i="5" a="1"/>
  <c r="AC444" i="5" s="1"/>
  <c r="AN463" i="5"/>
  <c r="W463" i="5"/>
  <c r="AN260" i="5"/>
  <c r="W260" i="5"/>
  <c r="W419" i="5"/>
  <c r="AN419" i="5"/>
  <c r="W383" i="5"/>
  <c r="AN383" i="5"/>
  <c r="AN296" i="5"/>
  <c r="W296" i="5"/>
  <c r="C495" i="6"/>
  <c r="O495" i="5"/>
  <c r="AC495" i="5" a="1"/>
  <c r="AC495" i="5" s="1"/>
  <c r="AM60" i="5"/>
  <c r="L60" i="5"/>
  <c r="I60" i="12"/>
  <c r="Z60" i="5"/>
  <c r="AB270" i="5"/>
  <c r="AB203" i="5"/>
  <c r="M313" i="12"/>
  <c r="M312" i="12" s="1"/>
  <c r="O313" i="12"/>
  <c r="AO313" i="12"/>
  <c r="C313" i="12"/>
  <c r="C117" i="6"/>
  <c r="O117" i="5"/>
  <c r="AC117" i="5" a="1"/>
  <c r="AC117" i="5" s="1"/>
  <c r="M120" i="12"/>
  <c r="C120" i="12"/>
  <c r="AO120" i="12"/>
  <c r="O120" i="12"/>
  <c r="C94" i="6"/>
  <c r="O94" i="5"/>
  <c r="AC94" i="5" a="1"/>
  <c r="AC94" i="5" s="1"/>
  <c r="AB76" i="5"/>
  <c r="O267" i="12"/>
  <c r="AO267" i="12"/>
  <c r="C267" i="12"/>
  <c r="M267" i="12"/>
  <c r="AB437" i="5"/>
  <c r="AB92" i="5"/>
  <c r="C502" i="12"/>
  <c r="AO502" i="12"/>
  <c r="M502" i="12"/>
  <c r="O502" i="12"/>
  <c r="AB135" i="5"/>
  <c r="O443" i="5"/>
  <c r="C443" i="6"/>
  <c r="AC443" i="5" a="1"/>
  <c r="AC443" i="5" s="1"/>
  <c r="AO416" i="12"/>
  <c r="C416" i="12"/>
  <c r="M416" i="12"/>
  <c r="O416" i="12"/>
  <c r="O255" i="12"/>
  <c r="C255" i="12"/>
  <c r="M255" i="12"/>
  <c r="AO255" i="12"/>
  <c r="Y255" i="12" s="1"/>
  <c r="C234" i="6"/>
  <c r="AC234" i="5" a="1"/>
  <c r="AC234" i="5" s="1"/>
  <c r="M368" i="12"/>
  <c r="O368" i="12"/>
  <c r="C368" i="12"/>
  <c r="AO368" i="12"/>
  <c r="AB152" i="5"/>
  <c r="AB276" i="5"/>
  <c r="AB150" i="5"/>
  <c r="M39" i="12"/>
  <c r="C39" i="12"/>
  <c r="AO39" i="12"/>
  <c r="O39" i="12"/>
  <c r="AB408" i="5"/>
  <c r="O197" i="5"/>
  <c r="C197" i="6"/>
  <c r="AC197" i="5" a="1"/>
  <c r="AC197" i="5" s="1"/>
  <c r="Z289" i="5"/>
  <c r="AM289" i="5"/>
  <c r="I289" i="12"/>
  <c r="L289" i="5"/>
  <c r="C300" i="6"/>
  <c r="O300" i="5"/>
  <c r="AC300" i="5" a="1"/>
  <c r="AC300" i="5" s="1"/>
  <c r="C146" i="6"/>
  <c r="O146" i="5"/>
  <c r="AC146" i="5" a="1"/>
  <c r="AC146" i="5" s="1"/>
  <c r="O202" i="5"/>
  <c r="C202" i="6"/>
  <c r="AC202" i="5" a="1"/>
  <c r="AC202" i="5" s="1"/>
  <c r="O189" i="12"/>
  <c r="AO189" i="12"/>
  <c r="M189" i="12"/>
  <c r="C189" i="12"/>
  <c r="AO335" i="12"/>
  <c r="Y335" i="12" s="1"/>
  <c r="C335" i="12"/>
  <c r="M335" i="12"/>
  <c r="O335" i="12"/>
  <c r="O333" i="5"/>
  <c r="C333" i="6"/>
  <c r="AC333" i="5" a="1"/>
  <c r="AC333" i="5" s="1"/>
  <c r="O184" i="5"/>
  <c r="C184" i="6"/>
  <c r="AC184" i="5" a="1"/>
  <c r="AC184" i="5" s="1"/>
  <c r="M375" i="12"/>
  <c r="AO375" i="12"/>
  <c r="C375" i="12"/>
  <c r="O375" i="12"/>
  <c r="N375" i="12" s="1"/>
  <c r="C116" i="12"/>
  <c r="O116" i="12"/>
  <c r="AO116" i="12"/>
  <c r="M116" i="12"/>
  <c r="AB449" i="5"/>
  <c r="C115" i="6"/>
  <c r="O115" i="5"/>
  <c r="AC115" i="5" a="1"/>
  <c r="AC115" i="5" s="1"/>
  <c r="AO84" i="12"/>
  <c r="M84" i="12"/>
  <c r="O84" i="12"/>
  <c r="C84" i="12"/>
  <c r="O46" i="5"/>
  <c r="C46" i="6"/>
  <c r="AC46" i="5" a="1"/>
  <c r="AC46" i="5" s="1"/>
  <c r="C75" i="6"/>
  <c r="O75" i="5"/>
  <c r="AC75" i="5" a="1"/>
  <c r="AC75" i="5" s="1"/>
  <c r="M133" i="12"/>
  <c r="O133" i="12"/>
  <c r="AO133" i="12"/>
  <c r="C133" i="12"/>
  <c r="C174" i="12"/>
  <c r="M174" i="12"/>
  <c r="AO174" i="12"/>
  <c r="O174" i="12"/>
  <c r="O233" i="12"/>
  <c r="C233" i="12"/>
  <c r="M233" i="12"/>
  <c r="AO233" i="12"/>
  <c r="M112" i="12"/>
  <c r="O112" i="12"/>
  <c r="AO112" i="12"/>
  <c r="C112" i="12"/>
  <c r="C31" i="6"/>
  <c r="O31" i="5"/>
  <c r="AC31" i="5" a="1"/>
  <c r="AC31" i="5" s="1"/>
  <c r="O122" i="5"/>
  <c r="C122" i="6"/>
  <c r="AC122" i="5" a="1"/>
  <c r="AC122" i="5" s="1"/>
  <c r="AB143" i="5"/>
  <c r="C280" i="6"/>
  <c r="O280" i="5"/>
  <c r="AC280" i="5" a="1"/>
  <c r="AC280" i="5" s="1"/>
  <c r="AB151" i="5"/>
  <c r="O130" i="12"/>
  <c r="C130" i="12"/>
  <c r="AO130" i="12"/>
  <c r="M130" i="12"/>
  <c r="C165" i="12"/>
  <c r="M165" i="12"/>
  <c r="O165" i="12"/>
  <c r="AO165" i="12"/>
  <c r="C403" i="12"/>
  <c r="AO403" i="12"/>
  <c r="O403" i="12"/>
  <c r="M403" i="12"/>
  <c r="O32" i="5"/>
  <c r="C32" i="6"/>
  <c r="AC32" i="5" a="1"/>
  <c r="AC32" i="5" s="1"/>
  <c r="C83" i="12"/>
  <c r="O83" i="12"/>
  <c r="AO83" i="12"/>
  <c r="M83" i="12"/>
  <c r="C309" i="6"/>
  <c r="O309" i="5"/>
  <c r="AC309" i="5" a="1"/>
  <c r="AC309" i="5" s="1"/>
  <c r="AB153" i="5"/>
  <c r="AB104" i="5"/>
  <c r="M444" i="12"/>
  <c r="O444" i="12"/>
  <c r="N444" i="12" s="1"/>
  <c r="AO444" i="12"/>
  <c r="C444" i="12"/>
  <c r="W273" i="5"/>
  <c r="AN273" i="5"/>
  <c r="W356" i="5"/>
  <c r="AN356" i="5"/>
  <c r="W467" i="5"/>
  <c r="AN467" i="5"/>
  <c r="W461" i="5"/>
  <c r="AN461" i="5"/>
  <c r="W298" i="5"/>
  <c r="AN298" i="5"/>
  <c r="AB495" i="5"/>
  <c r="Z59" i="5"/>
  <c r="L59" i="5"/>
  <c r="AM59" i="5"/>
  <c r="S29" i="8"/>
  <c r="I59" i="12"/>
  <c r="C270" i="6"/>
  <c r="O270" i="5"/>
  <c r="AC270" i="5" a="1"/>
  <c r="AC270" i="5" s="1"/>
  <c r="C203" i="12"/>
  <c r="O203" i="12"/>
  <c r="M203" i="12"/>
  <c r="AO203" i="12"/>
  <c r="O494" i="5"/>
  <c r="C494" i="6"/>
  <c r="AC494" i="5" a="1"/>
  <c r="AC494" i="5" s="1"/>
  <c r="L312" i="5"/>
  <c r="I312" i="12"/>
  <c r="AM312" i="5"/>
  <c r="Z312" i="5"/>
  <c r="O117" i="12"/>
  <c r="AO117" i="12"/>
  <c r="M117" i="12"/>
  <c r="C117" i="12"/>
  <c r="AB120" i="5"/>
  <c r="M76" i="12"/>
  <c r="O76" i="12"/>
  <c r="AO76" i="12"/>
  <c r="Y76" i="12" s="1"/>
  <c r="C76" i="12"/>
  <c r="O282" i="12"/>
  <c r="C282" i="12"/>
  <c r="AO282" i="12"/>
  <c r="Y282" i="12" s="1"/>
  <c r="M282" i="12"/>
  <c r="O154" i="5"/>
  <c r="C154" i="6"/>
  <c r="AC154" i="5" a="1"/>
  <c r="AC154" i="5" s="1"/>
  <c r="O349" i="12"/>
  <c r="N349" i="12" s="1"/>
  <c r="M349" i="12"/>
  <c r="AO349" i="12"/>
  <c r="C349" i="12"/>
  <c r="M99" i="12"/>
  <c r="O99" i="12"/>
  <c r="AO99" i="12"/>
  <c r="C99" i="12"/>
  <c r="C135" i="6"/>
  <c r="O135" i="5"/>
  <c r="AC135" i="5" a="1"/>
  <c r="AC135" i="5" s="1"/>
  <c r="AB294" i="5"/>
  <c r="C40" i="6"/>
  <c r="O40" i="5"/>
  <c r="AC40" i="5" a="1"/>
  <c r="AC40" i="5" s="1"/>
  <c r="AB443" i="5"/>
  <c r="C416" i="6"/>
  <c r="AC416" i="5" a="1"/>
  <c r="AC416" i="5" s="1"/>
  <c r="AM87" i="5"/>
  <c r="I87" i="12"/>
  <c r="Z87" i="5"/>
  <c r="L87" i="5"/>
  <c r="AB255" i="5"/>
  <c r="AO152" i="12"/>
  <c r="Y152" i="12" s="1"/>
  <c r="C152" i="12"/>
  <c r="O152" i="12"/>
  <c r="M152" i="12"/>
  <c r="AB254" i="5"/>
  <c r="AO455" i="12"/>
  <c r="O455" i="12"/>
  <c r="C455" i="12"/>
  <c r="M455" i="12"/>
  <c r="O119" i="12"/>
  <c r="AO119" i="12"/>
  <c r="C119" i="12"/>
  <c r="M119" i="12"/>
  <c r="C156" i="6"/>
  <c r="O156" i="5"/>
  <c r="AC156" i="5" a="1"/>
  <c r="AC156" i="5" s="1"/>
  <c r="C408" i="6"/>
  <c r="O408" i="5"/>
  <c r="AC408" i="5" a="1"/>
  <c r="AC408" i="5" s="1"/>
  <c r="C170" i="12"/>
  <c r="AO170" i="12"/>
  <c r="M170" i="12"/>
  <c r="O170" i="12"/>
  <c r="AB197" i="5"/>
  <c r="AM299" i="5"/>
  <c r="I299" i="12"/>
  <c r="Z299" i="5"/>
  <c r="L299" i="5"/>
  <c r="M450" i="12"/>
  <c r="O450" i="12"/>
  <c r="N450" i="12" s="1"/>
  <c r="AO450" i="12"/>
  <c r="C450" i="12"/>
  <c r="C265" i="6"/>
  <c r="O265" i="5"/>
  <c r="AC265" i="5" a="1"/>
  <c r="AC265" i="5" s="1"/>
  <c r="AB189" i="5"/>
  <c r="C288" i="6"/>
  <c r="AC288" i="5" a="1"/>
  <c r="AC288" i="5" s="1"/>
  <c r="AB333" i="5"/>
  <c r="C375" i="6"/>
  <c r="AC375" i="5" a="1"/>
  <c r="AC375" i="5" s="1"/>
  <c r="C116" i="6"/>
  <c r="O116" i="5"/>
  <c r="AC116" i="5" a="1"/>
  <c r="AC116" i="5" s="1"/>
  <c r="O458" i="12"/>
  <c r="AO458" i="12"/>
  <c r="C458" i="12"/>
  <c r="M458" i="12"/>
  <c r="M457" i="12" s="1"/>
  <c r="O394" i="12"/>
  <c r="C394" i="12"/>
  <c r="AO394" i="12"/>
  <c r="M394" i="12"/>
  <c r="AB382" i="5"/>
  <c r="O371" i="5"/>
  <c r="C371" i="6"/>
  <c r="AC371" i="5" a="1"/>
  <c r="AC371" i="5" s="1"/>
  <c r="AO109" i="12"/>
  <c r="C109" i="12"/>
  <c r="M109" i="12"/>
  <c r="O109" i="12"/>
  <c r="N109" i="12" s="1"/>
  <c r="C115" i="12"/>
  <c r="M115" i="12"/>
  <c r="AO115" i="12"/>
  <c r="O115" i="12"/>
  <c r="O177" i="5"/>
  <c r="C177" i="6"/>
  <c r="AC177" i="5" a="1"/>
  <c r="AC177" i="5" s="1"/>
  <c r="C247" i="12"/>
  <c r="O247" i="12"/>
  <c r="M247" i="12"/>
  <c r="AO247" i="12"/>
  <c r="AB389" i="5"/>
  <c r="AB396" i="5"/>
  <c r="AB84" i="5"/>
  <c r="C351" i="6"/>
  <c r="AC351" i="5" a="1"/>
  <c r="AC351" i="5" s="1"/>
  <c r="AB478" i="5"/>
  <c r="AB133" i="5"/>
  <c r="AB233" i="5"/>
  <c r="C112" i="6"/>
  <c r="O112" i="5"/>
  <c r="AC112" i="5" a="1"/>
  <c r="AC112" i="5" s="1"/>
  <c r="AB283" i="5"/>
  <c r="AO420" i="12"/>
  <c r="Y420" i="12" s="1"/>
  <c r="C420" i="12"/>
  <c r="O420" i="12"/>
  <c r="M420" i="12"/>
  <c r="M407" i="12"/>
  <c r="O407" i="12"/>
  <c r="AO407" i="12"/>
  <c r="C407" i="12"/>
  <c r="O363" i="5"/>
  <c r="C363" i="6"/>
  <c r="AC363" i="5" a="1"/>
  <c r="AC363" i="5" s="1"/>
  <c r="C196" i="6"/>
  <c r="O196" i="5"/>
  <c r="AC196" i="5" a="1"/>
  <c r="AC196" i="5" s="1"/>
  <c r="O35" i="5"/>
  <c r="C35" i="6"/>
  <c r="AC35" i="5" a="1"/>
  <c r="AC35" i="5" s="1"/>
  <c r="O397" i="12"/>
  <c r="C397" i="12"/>
  <c r="M397" i="12"/>
  <c r="AO397" i="12"/>
  <c r="AO32" i="12"/>
  <c r="Y32" i="12" s="1"/>
  <c r="C32" i="12"/>
  <c r="O32" i="12"/>
  <c r="M32" i="12"/>
  <c r="C439" i="6"/>
  <c r="AC439" i="5" a="1"/>
  <c r="AC439" i="5" s="1"/>
  <c r="AB83" i="5"/>
  <c r="AB309" i="5"/>
  <c r="M153" i="12"/>
  <c r="C153" i="12"/>
  <c r="O153" i="12"/>
  <c r="AO153" i="12"/>
  <c r="Y153" i="12" s="1"/>
  <c r="M104" i="12"/>
  <c r="O104" i="12"/>
  <c r="C104" i="12"/>
  <c r="AO104" i="12"/>
  <c r="W452" i="5"/>
  <c r="AN452" i="5"/>
  <c r="AN226" i="5"/>
  <c r="W226" i="5"/>
  <c r="W426" i="5"/>
  <c r="AN426" i="5"/>
  <c r="AN464" i="5"/>
  <c r="W464" i="5"/>
  <c r="AN322" i="5"/>
  <c r="W322" i="5"/>
  <c r="I506" i="12"/>
  <c r="L506" i="5"/>
  <c r="Z506" i="5"/>
  <c r="AM506" i="5"/>
  <c r="C39" i="6"/>
  <c r="O39" i="5"/>
  <c r="AC39" i="5" a="1"/>
  <c r="AC39" i="5" s="1"/>
  <c r="AB444" i="5"/>
  <c r="O179" i="12"/>
  <c r="AO179" i="12"/>
  <c r="Y179" i="12" s="1"/>
  <c r="C179" i="12"/>
  <c r="M179" i="12"/>
  <c r="AO144" i="12"/>
  <c r="C144" i="12"/>
  <c r="O144" i="12"/>
  <c r="N144" i="12" s="1"/>
  <c r="M144" i="12"/>
  <c r="M271" i="12"/>
  <c r="AO271" i="12"/>
  <c r="O271" i="12"/>
  <c r="C271" i="12"/>
  <c r="C138" i="6"/>
  <c r="O138" i="5"/>
  <c r="AC138" i="5" a="1"/>
  <c r="AC138" i="5" s="1"/>
  <c r="AB313" i="5"/>
  <c r="AB312" i="5" s="1"/>
  <c r="AB117" i="5"/>
  <c r="AO94" i="12"/>
  <c r="O94" i="12"/>
  <c r="M94" i="12"/>
  <c r="C94" i="12"/>
  <c r="AB267" i="5"/>
  <c r="AB282" i="5"/>
  <c r="C154" i="12"/>
  <c r="O154" i="12"/>
  <c r="AO154" i="12"/>
  <c r="Y154" i="12" s="1"/>
  <c r="M154" i="12"/>
  <c r="AB349" i="5"/>
  <c r="O99" i="5"/>
  <c r="C99" i="6"/>
  <c r="AC99" i="5" a="1"/>
  <c r="AC99" i="5" s="1"/>
  <c r="I28" i="12"/>
  <c r="AM28" i="5"/>
  <c r="Z28" i="5"/>
  <c r="L28" i="5"/>
  <c r="AO258" i="12"/>
  <c r="Y258" i="12" s="1"/>
  <c r="O258" i="12"/>
  <c r="C258" i="12"/>
  <c r="M258" i="12"/>
  <c r="AO294" i="12"/>
  <c r="C294" i="12"/>
  <c r="O294" i="12"/>
  <c r="M294" i="12"/>
  <c r="C199" i="12"/>
  <c r="O199" i="12"/>
  <c r="N199" i="12" s="1"/>
  <c r="M199" i="12"/>
  <c r="AO199" i="12"/>
  <c r="C443" i="12"/>
  <c r="M443" i="12"/>
  <c r="AO443" i="12"/>
  <c r="O443" i="12"/>
  <c r="C255" i="6"/>
  <c r="O255" i="5"/>
  <c r="AC255" i="5" a="1"/>
  <c r="AC255" i="5" s="1"/>
  <c r="AB234" i="5"/>
  <c r="C368" i="6"/>
  <c r="O368" i="5"/>
  <c r="AC368" i="5" a="1"/>
  <c r="AC368" i="5" s="1"/>
  <c r="AO254" i="12"/>
  <c r="O254" i="12"/>
  <c r="C254" i="12"/>
  <c r="M254" i="12"/>
  <c r="AB455" i="5"/>
  <c r="C156" i="12"/>
  <c r="O156" i="12"/>
  <c r="AO156" i="12"/>
  <c r="Y156" i="12" s="1"/>
  <c r="M156" i="12"/>
  <c r="C170" i="6"/>
  <c r="O170" i="5"/>
  <c r="AC170" i="5" a="1"/>
  <c r="AC170" i="5" s="1"/>
  <c r="AO197" i="12"/>
  <c r="M197" i="12"/>
  <c r="C197" i="12"/>
  <c r="O197" i="12"/>
  <c r="N197" i="12" s="1"/>
  <c r="AB290" i="5"/>
  <c r="C450" i="6"/>
  <c r="O450" i="5"/>
  <c r="AC450" i="5" a="1"/>
  <c r="AC450" i="5" s="1"/>
  <c r="Z201" i="5"/>
  <c r="AM201" i="5"/>
  <c r="L201" i="5"/>
  <c r="I201" i="12"/>
  <c r="Z264" i="5"/>
  <c r="L264" i="5"/>
  <c r="AM264" i="5"/>
  <c r="I264" i="12"/>
  <c r="O388" i="12"/>
  <c r="AO388" i="12"/>
  <c r="M388" i="12"/>
  <c r="C388" i="12"/>
  <c r="M288" i="12"/>
  <c r="C288" i="12"/>
  <c r="AO288" i="12"/>
  <c r="Y288" i="12" s="1"/>
  <c r="O288" i="12"/>
  <c r="AB335" i="5"/>
  <c r="AB359" i="5"/>
  <c r="AB319" i="5"/>
  <c r="AB375" i="5"/>
  <c r="AB160" i="5"/>
  <c r="AB394" i="5"/>
  <c r="C236" i="6"/>
  <c r="O236" i="5"/>
  <c r="AC236" i="5" a="1"/>
  <c r="AC236" i="5" s="1"/>
  <c r="AO382" i="12"/>
  <c r="C382" i="12"/>
  <c r="M382" i="12"/>
  <c r="O382" i="12"/>
  <c r="AO371" i="12"/>
  <c r="C371" i="12"/>
  <c r="M371" i="12"/>
  <c r="O371" i="12"/>
  <c r="AB109" i="5"/>
  <c r="AB115" i="5"/>
  <c r="M177" i="12"/>
  <c r="O177" i="12"/>
  <c r="C177" i="12"/>
  <c r="AO177" i="12"/>
  <c r="C389" i="6"/>
  <c r="O389" i="5"/>
  <c r="AC389" i="5" a="1"/>
  <c r="AC389" i="5" s="1"/>
  <c r="C163" i="6"/>
  <c r="O163" i="5"/>
  <c r="AC163" i="5" a="1"/>
  <c r="AC163" i="5" s="1"/>
  <c r="AB145" i="5"/>
  <c r="AB217" i="5"/>
  <c r="O351" i="12"/>
  <c r="N351" i="12" s="1"/>
  <c r="AO351" i="12"/>
  <c r="Y351" i="12" s="1"/>
  <c r="C351" i="12"/>
  <c r="M351" i="12"/>
  <c r="AO478" i="12"/>
  <c r="O478" i="12"/>
  <c r="C478" i="12"/>
  <c r="M478" i="12"/>
  <c r="AB75" i="5"/>
  <c r="AB53" i="5"/>
  <c r="AB112" i="5"/>
  <c r="C283" i="12"/>
  <c r="O283" i="12"/>
  <c r="AO283" i="12"/>
  <c r="M283" i="12"/>
  <c r="AB212" i="5"/>
  <c r="AB407" i="5"/>
  <c r="C166" i="6"/>
  <c r="O166" i="5"/>
  <c r="AC166" i="5" a="1"/>
  <c r="AC166" i="5" s="1"/>
  <c r="AB363" i="5"/>
  <c r="C77" i="6"/>
  <c r="O77" i="5"/>
  <c r="AC77" i="5" a="1"/>
  <c r="AC77" i="5" s="1"/>
  <c r="C352" i="6"/>
  <c r="AC352" i="5" a="1"/>
  <c r="AC352" i="5" s="1"/>
  <c r="M280" i="12"/>
  <c r="O280" i="12"/>
  <c r="C280" i="12"/>
  <c r="AO280" i="12"/>
  <c r="AB397" i="5"/>
  <c r="M487" i="12"/>
  <c r="AO487" i="12"/>
  <c r="C487" i="12"/>
  <c r="O487" i="12"/>
  <c r="O403" i="5"/>
  <c r="C403" i="6"/>
  <c r="AC403" i="5" a="1"/>
  <c r="AC403" i="5" s="1"/>
  <c r="C209" i="6"/>
  <c r="O209" i="5"/>
  <c r="AC209" i="5" a="1"/>
  <c r="AC209" i="5" s="1"/>
  <c r="AO126" i="12"/>
  <c r="Y126" i="12" s="1"/>
  <c r="C126" i="12"/>
  <c r="O126" i="12"/>
  <c r="M126" i="12"/>
  <c r="AB33" i="5"/>
  <c r="O336" i="5"/>
  <c r="C336" i="6"/>
  <c r="AC336" i="5" a="1"/>
  <c r="AC336" i="5" s="1"/>
  <c r="AN228" i="5"/>
  <c r="W228" i="5"/>
  <c r="W237" i="5"/>
  <c r="AN237" i="5"/>
  <c r="AN379" i="5"/>
  <c r="W379" i="5"/>
  <c r="W460" i="5"/>
  <c r="AN460" i="5"/>
  <c r="AN239" i="5"/>
  <c r="W239" i="5"/>
  <c r="M494" i="12"/>
  <c r="AO494" i="12"/>
  <c r="C494" i="12"/>
  <c r="O494" i="12"/>
  <c r="AB29" i="5"/>
  <c r="C167" i="6"/>
  <c r="O167" i="5"/>
  <c r="AC167" i="5" a="1"/>
  <c r="AC167" i="5" s="1"/>
  <c r="C179" i="6"/>
  <c r="O179" i="5"/>
  <c r="AC179" i="5" a="1"/>
  <c r="AC179" i="5" s="1"/>
  <c r="AB271" i="5"/>
  <c r="C138" i="12"/>
  <c r="AO138" i="12"/>
  <c r="O138" i="12"/>
  <c r="N138" i="12" s="1"/>
  <c r="M138" i="12"/>
  <c r="C316" i="12"/>
  <c r="AO316" i="12"/>
  <c r="O316" i="12"/>
  <c r="N316" i="12" s="1"/>
  <c r="M316" i="12"/>
  <c r="O387" i="5"/>
  <c r="C387" i="6"/>
  <c r="AC387" i="5" a="1"/>
  <c r="AC387" i="5" s="1"/>
  <c r="O23" i="5"/>
  <c r="C23" i="6"/>
  <c r="AC23" i="5" a="1"/>
  <c r="AC23" i="5" s="1"/>
  <c r="AB94" i="5"/>
  <c r="C285" i="6"/>
  <c r="O285" i="5"/>
  <c r="AC285" i="5" a="1"/>
  <c r="AC285" i="5" s="1"/>
  <c r="O267" i="5"/>
  <c r="C267" i="6"/>
  <c r="AC267" i="5" a="1"/>
  <c r="AC267" i="5" s="1"/>
  <c r="AB154" i="5"/>
  <c r="C349" i="6"/>
  <c r="AC349" i="5" a="1"/>
  <c r="AC349" i="5" s="1"/>
  <c r="AB99" i="5"/>
  <c r="I357" i="12"/>
  <c r="AM357" i="5"/>
  <c r="Z357" i="5"/>
  <c r="L357" i="5"/>
  <c r="O135" i="12"/>
  <c r="C135" i="12"/>
  <c r="M135" i="12"/>
  <c r="AO135" i="12"/>
  <c r="C199" i="6"/>
  <c r="O199" i="5"/>
  <c r="AC199" i="5" a="1"/>
  <c r="AC199" i="5" s="1"/>
  <c r="I480" i="12"/>
  <c r="AM480" i="5"/>
  <c r="L480" i="5"/>
  <c r="Z480" i="5"/>
  <c r="AO88" i="12"/>
  <c r="M88" i="12"/>
  <c r="O88" i="12"/>
  <c r="C88" i="12"/>
  <c r="M85" i="12"/>
  <c r="O85" i="12"/>
  <c r="N85" i="12" s="1"/>
  <c r="AO85" i="12"/>
  <c r="C85" i="12"/>
  <c r="AO234" i="12"/>
  <c r="M234" i="12"/>
  <c r="C234" i="12"/>
  <c r="O234" i="12"/>
  <c r="AB368" i="5"/>
  <c r="O152" i="5"/>
  <c r="C152" i="6"/>
  <c r="AC152" i="5" a="1"/>
  <c r="AC152" i="5" s="1"/>
  <c r="O254" i="5"/>
  <c r="C254" i="6"/>
  <c r="AC254" i="5" a="1"/>
  <c r="AC254" i="5" s="1"/>
  <c r="AB156" i="5"/>
  <c r="S17" i="8"/>
  <c r="I17" i="12"/>
  <c r="AM17" i="5"/>
  <c r="Z17" i="5"/>
  <c r="L17" i="5"/>
  <c r="AB101" i="5"/>
  <c r="AB170" i="5"/>
  <c r="AO265" i="12"/>
  <c r="C265" i="12"/>
  <c r="M265" i="12"/>
  <c r="O265" i="12"/>
  <c r="C388" i="6"/>
  <c r="O388" i="5"/>
  <c r="AC388" i="5" a="1"/>
  <c r="AC388" i="5" s="1"/>
  <c r="O269" i="5"/>
  <c r="C269" i="6"/>
  <c r="AC269" i="5" a="1"/>
  <c r="AC269" i="5" s="1"/>
  <c r="AO333" i="12"/>
  <c r="Y333" i="12" s="1"/>
  <c r="C333" i="12"/>
  <c r="M333" i="12"/>
  <c r="O333" i="12"/>
  <c r="C359" i="12"/>
  <c r="M359" i="12"/>
  <c r="AO359" i="12"/>
  <c r="Y359" i="12" s="1"/>
  <c r="O359" i="12"/>
  <c r="C319" i="12"/>
  <c r="AO319" i="12"/>
  <c r="O319" i="12"/>
  <c r="M319" i="12"/>
  <c r="O107" i="12"/>
  <c r="M107" i="12"/>
  <c r="AO107" i="12"/>
  <c r="C107" i="12"/>
  <c r="L159" i="5"/>
  <c r="I159" i="12"/>
  <c r="Z159" i="5"/>
  <c r="AM159" i="5"/>
  <c r="C477" i="12"/>
  <c r="M477" i="12"/>
  <c r="AO477" i="12"/>
  <c r="Y477" i="12" s="1"/>
  <c r="O477" i="12"/>
  <c r="C236" i="12"/>
  <c r="M236" i="12"/>
  <c r="AO236" i="12"/>
  <c r="O236" i="12"/>
  <c r="O253" i="12"/>
  <c r="M253" i="12"/>
  <c r="C253" i="12"/>
  <c r="AO253" i="12"/>
  <c r="O109" i="5"/>
  <c r="C109" i="6"/>
  <c r="AC109" i="5" a="1"/>
  <c r="AC109" i="5" s="1"/>
  <c r="C68" i="6"/>
  <c r="O68" i="5"/>
  <c r="AC68" i="5" a="1"/>
  <c r="AC68" i="5" s="1"/>
  <c r="C247" i="6"/>
  <c r="O247" i="5"/>
  <c r="AC247" i="5" a="1"/>
  <c r="AC247" i="5" s="1"/>
  <c r="O97" i="5"/>
  <c r="C97" i="6"/>
  <c r="AC97" i="5" a="1"/>
  <c r="AC97" i="5" s="1"/>
  <c r="M163" i="12"/>
  <c r="AO163" i="12"/>
  <c r="Y163" i="12" s="1"/>
  <c r="C163" i="12"/>
  <c r="O163" i="12"/>
  <c r="AO145" i="12"/>
  <c r="Y145" i="12" s="1"/>
  <c r="C145" i="12"/>
  <c r="M145" i="12"/>
  <c r="O145" i="12"/>
  <c r="AB351" i="5"/>
  <c r="C478" i="6"/>
  <c r="AC478" i="5" a="1"/>
  <c r="AC478" i="5" s="1"/>
  <c r="C328" i="12"/>
  <c r="O328" i="12"/>
  <c r="AO328" i="12"/>
  <c r="M328" i="12"/>
  <c r="O75" i="12"/>
  <c r="M75" i="12"/>
  <c r="AO75" i="12"/>
  <c r="C75" i="12"/>
  <c r="C41" i="6"/>
  <c r="O41" i="5"/>
  <c r="AC41" i="5" a="1"/>
  <c r="AC41" i="5" s="1"/>
  <c r="AB174" i="5"/>
  <c r="C283" i="6"/>
  <c r="O283" i="5"/>
  <c r="AC283" i="5" a="1"/>
  <c r="AC283" i="5" s="1"/>
  <c r="M139" i="12"/>
  <c r="O139" i="12"/>
  <c r="AO139" i="12"/>
  <c r="C139" i="12"/>
  <c r="AB166" i="5"/>
  <c r="O77" i="12"/>
  <c r="M77" i="12"/>
  <c r="C77" i="12"/>
  <c r="AO77" i="12"/>
  <c r="M405" i="12"/>
  <c r="C405" i="12"/>
  <c r="O405" i="12"/>
  <c r="AO405" i="12"/>
  <c r="Y405" i="12" s="1"/>
  <c r="C324" i="6"/>
  <c r="O324" i="5"/>
  <c r="AC324" i="5" a="1"/>
  <c r="AC324" i="5" s="1"/>
  <c r="C35" i="12"/>
  <c r="M35" i="12"/>
  <c r="O35" i="12"/>
  <c r="AO35" i="12"/>
  <c r="O397" i="5"/>
  <c r="C397" i="6"/>
  <c r="AC397" i="5" a="1"/>
  <c r="AC397" i="5" s="1"/>
  <c r="AB487" i="5"/>
  <c r="AB403" i="5"/>
  <c r="AB209" i="5"/>
  <c r="C45" i="6"/>
  <c r="O45" i="5"/>
  <c r="AC45" i="5" a="1"/>
  <c r="AC45" i="5" s="1"/>
  <c r="O83" i="5"/>
  <c r="C83" i="6"/>
  <c r="AC83" i="5" a="1"/>
  <c r="AC83" i="5" s="1"/>
  <c r="O126" i="5"/>
  <c r="C126" i="6"/>
  <c r="AC126" i="5" a="1"/>
  <c r="AC126" i="5" s="1"/>
  <c r="O103" i="12"/>
  <c r="AO103" i="12"/>
  <c r="M103" i="12"/>
  <c r="C103" i="12"/>
  <c r="AN220" i="5"/>
  <c r="W220" i="5"/>
  <c r="AN218" i="5"/>
  <c r="W218" i="5"/>
  <c r="AN372" i="5"/>
  <c r="W372" i="5"/>
  <c r="W438" i="5"/>
  <c r="AN438" i="5"/>
  <c r="W221" i="5"/>
  <c r="AN221" i="5"/>
  <c r="AO74" i="12"/>
  <c r="M74" i="12"/>
  <c r="C74" i="12"/>
  <c r="O74" i="12"/>
  <c r="O47" i="5"/>
  <c r="C47" i="6"/>
  <c r="AC47" i="5" a="1"/>
  <c r="AC47" i="5" s="1"/>
  <c r="L140" i="5"/>
  <c r="Z140" i="5"/>
  <c r="AM140" i="5"/>
  <c r="I140" i="12"/>
  <c r="AB458" i="5"/>
  <c r="AB457" i="5" s="1"/>
  <c r="AB310" i="5"/>
  <c r="C113" i="6"/>
  <c r="O113" i="5"/>
  <c r="AC113" i="5" a="1"/>
  <c r="AC113" i="5" s="1"/>
  <c r="C79" i="6"/>
  <c r="O79" i="5"/>
  <c r="AC79" i="5" a="1"/>
  <c r="AC79" i="5" s="1"/>
  <c r="C233" i="6"/>
  <c r="AC233" i="5" a="1"/>
  <c r="AC233" i="5" s="1"/>
  <c r="C447" i="6"/>
  <c r="O447" i="5"/>
  <c r="AC447" i="5" a="1"/>
  <c r="AC447" i="5" s="1"/>
  <c r="AB417" i="5"/>
  <c r="W429" i="5"/>
  <c r="AN429" i="5"/>
  <c r="AB179" i="5"/>
  <c r="AB144" i="5"/>
  <c r="C271" i="6"/>
  <c r="O271" i="5"/>
  <c r="AC271" i="5" a="1"/>
  <c r="AC271" i="5" s="1"/>
  <c r="AB138" i="5"/>
  <c r="AB316" i="5"/>
  <c r="AB387" i="5"/>
  <c r="C292" i="12"/>
  <c r="AO292" i="12"/>
  <c r="M292" i="12"/>
  <c r="O292" i="12"/>
  <c r="N292" i="12" s="1"/>
  <c r="C282" i="6"/>
  <c r="O282" i="5"/>
  <c r="AC282" i="5" a="1"/>
  <c r="AC282" i="5" s="1"/>
  <c r="AB258" i="5"/>
  <c r="L134" i="5"/>
  <c r="Z134" i="5"/>
  <c r="AM134" i="5"/>
  <c r="I134" i="12"/>
  <c r="O162" i="5"/>
  <c r="C162" i="6"/>
  <c r="AC162" i="5" a="1"/>
  <c r="AC162" i="5" s="1"/>
  <c r="AB199" i="5"/>
  <c r="AO481" i="12"/>
  <c r="O481" i="12"/>
  <c r="M481" i="12"/>
  <c r="C481" i="12"/>
  <c r="O88" i="5"/>
  <c r="C88" i="6"/>
  <c r="AC88" i="5" a="1"/>
  <c r="AC88" i="5" s="1"/>
  <c r="AB85" i="5"/>
  <c r="O249" i="5"/>
  <c r="C249" i="6"/>
  <c r="AC249" i="5" a="1"/>
  <c r="AC249" i="5" s="1"/>
  <c r="C66" i="6"/>
  <c r="O66" i="5"/>
  <c r="AC66" i="5" a="1"/>
  <c r="AC66" i="5" s="1"/>
  <c r="C305" i="6"/>
  <c r="O305" i="5"/>
  <c r="AC305" i="5" a="1"/>
  <c r="AC305" i="5" s="1"/>
  <c r="C455" i="6"/>
  <c r="O455" i="5"/>
  <c r="AC455" i="5" a="1"/>
  <c r="AC455" i="5" s="1"/>
  <c r="O119" i="5"/>
  <c r="C119" i="6"/>
  <c r="AC119" i="5" a="1"/>
  <c r="AC119" i="5" s="1"/>
  <c r="Z18" i="5"/>
  <c r="I18" i="12"/>
  <c r="AM18" i="5"/>
  <c r="L18" i="5"/>
  <c r="O334" i="5"/>
  <c r="C334" i="6"/>
  <c r="AC334" i="5" a="1"/>
  <c r="AC334" i="5" s="1"/>
  <c r="C290" i="6"/>
  <c r="O290" i="5"/>
  <c r="AC290" i="5" a="1"/>
  <c r="AC290" i="5" s="1"/>
  <c r="M490" i="12"/>
  <c r="C490" i="12"/>
  <c r="AO490" i="12"/>
  <c r="O490" i="12"/>
  <c r="AB367" i="5"/>
  <c r="AB265" i="5"/>
  <c r="AB388" i="5"/>
  <c r="AB82" i="5"/>
  <c r="C269" i="12"/>
  <c r="O269" i="12"/>
  <c r="AO269" i="12"/>
  <c r="Y269" i="12" s="1"/>
  <c r="M269" i="12"/>
  <c r="AB198" i="5"/>
  <c r="O359" i="5"/>
  <c r="C359" i="6"/>
  <c r="AC359" i="5" a="1"/>
  <c r="AC359" i="5" s="1"/>
  <c r="Z105" i="5"/>
  <c r="L105" i="5"/>
  <c r="AM105" i="5"/>
  <c r="I105" i="12"/>
  <c r="O160" i="5"/>
  <c r="C160" i="6"/>
  <c r="AC160" i="5" a="1"/>
  <c r="AC160" i="5" s="1"/>
  <c r="C477" i="6"/>
  <c r="AC477" i="5" a="1"/>
  <c r="AC477" i="5" s="1"/>
  <c r="AB248" i="5"/>
  <c r="AB236" i="5"/>
  <c r="C382" i="6"/>
  <c r="AC382" i="5" a="1"/>
  <c r="AC382" i="5" s="1"/>
  <c r="AB253" i="5"/>
  <c r="AB97" i="5"/>
  <c r="AB163" i="5"/>
  <c r="C217" i="6"/>
  <c r="O217" i="5"/>
  <c r="AC217" i="5" a="1"/>
  <c r="AC217" i="5" s="1"/>
  <c r="C392" i="12"/>
  <c r="M392" i="12"/>
  <c r="O392" i="12"/>
  <c r="AO392" i="12"/>
  <c r="O330" i="5"/>
  <c r="C330" i="6"/>
  <c r="AC330" i="5" a="1"/>
  <c r="AC330" i="5" s="1"/>
  <c r="AB41" i="5"/>
  <c r="O174" i="5"/>
  <c r="C174" i="6"/>
  <c r="AC174" i="5" a="1"/>
  <c r="AC174" i="5" s="1"/>
  <c r="O53" i="5"/>
  <c r="C53" i="6"/>
  <c r="AC53" i="5" a="1"/>
  <c r="AC53" i="5" s="1"/>
  <c r="C212" i="6"/>
  <c r="O212" i="5"/>
  <c r="AC212" i="5" a="1"/>
  <c r="AC212" i="5" s="1"/>
  <c r="C139" i="6"/>
  <c r="O139" i="5"/>
  <c r="AC139" i="5" a="1"/>
  <c r="AC139" i="5" s="1"/>
  <c r="C166" i="12"/>
  <c r="AO166" i="12"/>
  <c r="M166" i="12"/>
  <c r="O166" i="12"/>
  <c r="AB77" i="5"/>
  <c r="C352" i="12"/>
  <c r="O352" i="12"/>
  <c r="AO352" i="12"/>
  <c r="M352" i="12"/>
  <c r="AB405" i="5"/>
  <c r="AB35" i="5"/>
  <c r="C487" i="6"/>
  <c r="O487" i="5"/>
  <c r="AC487" i="5" a="1"/>
  <c r="AC487" i="5" s="1"/>
  <c r="L207" i="5"/>
  <c r="Z207" i="5"/>
  <c r="AM207" i="5"/>
  <c r="I207" i="12"/>
  <c r="AB45" i="5"/>
  <c r="C291" i="6"/>
  <c r="O291" i="5"/>
  <c r="AC291" i="5" a="1"/>
  <c r="AC291" i="5" s="1"/>
  <c r="AB126" i="5"/>
  <c r="C33" i="6"/>
  <c r="O33" i="5"/>
  <c r="AC33" i="5" a="1"/>
  <c r="AC33" i="5" s="1"/>
  <c r="AB336" i="5"/>
  <c r="O103" i="5"/>
  <c r="C103" i="6"/>
  <c r="AC103" i="5" a="1"/>
  <c r="AC103" i="5" s="1"/>
  <c r="W229" i="5"/>
  <c r="AN229" i="5"/>
  <c r="W496" i="5"/>
  <c r="AN496" i="5"/>
  <c r="W412" i="5"/>
  <c r="AN412" i="5"/>
  <c r="AN256" i="5"/>
  <c r="W256" i="5"/>
  <c r="AN219" i="5"/>
  <c r="W219" i="5"/>
  <c r="AB98" i="5"/>
  <c r="AN320" i="5"/>
  <c r="W320" i="5"/>
  <c r="O144" i="5"/>
  <c r="C144" i="6"/>
  <c r="AC144" i="5" a="1"/>
  <c r="AC144" i="5" s="1"/>
  <c r="C316" i="6"/>
  <c r="AC316" i="5" a="1"/>
  <c r="AC316" i="5" s="1"/>
  <c r="AB339" i="5"/>
  <c r="AB23" i="5"/>
  <c r="AB304" i="5"/>
  <c r="AO285" i="12"/>
  <c r="Y285" i="12" s="1"/>
  <c r="C285" i="12"/>
  <c r="O285" i="12"/>
  <c r="M285" i="12"/>
  <c r="AB292" i="5"/>
  <c r="O204" i="5"/>
  <c r="C204" i="6"/>
  <c r="AC204" i="5" a="1"/>
  <c r="AC204" i="5" s="1"/>
  <c r="AO491" i="12"/>
  <c r="Y491" i="12" s="1"/>
  <c r="M491" i="12"/>
  <c r="O491" i="12"/>
  <c r="C491" i="12"/>
  <c r="C65" i="6"/>
  <c r="O65" i="5"/>
  <c r="AC65" i="5" a="1"/>
  <c r="AC65" i="5" s="1"/>
  <c r="C110" i="6"/>
  <c r="O110" i="5"/>
  <c r="AC110" i="5" a="1"/>
  <c r="AC110" i="5" s="1"/>
  <c r="C258" i="6"/>
  <c r="AC258" i="5" a="1"/>
  <c r="AC258" i="5" s="1"/>
  <c r="AO162" i="12"/>
  <c r="C162" i="12"/>
  <c r="M162" i="12"/>
  <c r="O162" i="12"/>
  <c r="O86" i="5"/>
  <c r="C86" i="6"/>
  <c r="AC86" i="5" a="1"/>
  <c r="AC86" i="5" s="1"/>
  <c r="AB481" i="5"/>
  <c r="C66" i="12"/>
  <c r="M66" i="12"/>
  <c r="AO66" i="12"/>
  <c r="O66" i="12"/>
  <c r="O476" i="12"/>
  <c r="C476" i="12"/>
  <c r="M476" i="12"/>
  <c r="AO476" i="12"/>
  <c r="Y476" i="12" s="1"/>
  <c r="C301" i="6"/>
  <c r="O301" i="5"/>
  <c r="AC301" i="5" a="1"/>
  <c r="AC301" i="5" s="1"/>
  <c r="AB119" i="5"/>
  <c r="M413" i="12"/>
  <c r="C413" i="12"/>
  <c r="O413" i="12"/>
  <c r="AO413" i="12"/>
  <c r="AB19" i="5"/>
  <c r="C101" i="12"/>
  <c r="AO101" i="12"/>
  <c r="M101" i="12"/>
  <c r="O101" i="12"/>
  <c r="AO279" i="12"/>
  <c r="C279" i="12"/>
  <c r="M279" i="12"/>
  <c r="O279" i="12"/>
  <c r="AB334" i="5"/>
  <c r="C191" i="6"/>
  <c r="O191" i="5"/>
  <c r="AC191" i="5" a="1"/>
  <c r="AC191" i="5" s="1"/>
  <c r="O172" i="5"/>
  <c r="C172" i="6"/>
  <c r="AC172" i="5" a="1"/>
  <c r="AC172" i="5" s="1"/>
  <c r="C367" i="12"/>
  <c r="M367" i="12"/>
  <c r="O367" i="12"/>
  <c r="AO367" i="12"/>
  <c r="C82" i="6"/>
  <c r="O82" i="5"/>
  <c r="AC82" i="5" a="1"/>
  <c r="AC82" i="5" s="1"/>
  <c r="AO198" i="12"/>
  <c r="O198" i="12"/>
  <c r="C198" i="12"/>
  <c r="M198" i="12"/>
  <c r="C319" i="6"/>
  <c r="O319" i="5"/>
  <c r="AC319" i="5" a="1"/>
  <c r="AC319" i="5" s="1"/>
  <c r="C107" i="6"/>
  <c r="O107" i="5"/>
  <c r="AC107" i="5" a="1"/>
  <c r="AC107" i="5" s="1"/>
  <c r="C160" i="12"/>
  <c r="AO160" i="12"/>
  <c r="O160" i="12"/>
  <c r="M160" i="12"/>
  <c r="AB477" i="5"/>
  <c r="C248" i="12"/>
  <c r="AO248" i="12"/>
  <c r="Y248" i="12" s="1"/>
  <c r="M248" i="12"/>
  <c r="O248" i="12"/>
  <c r="N248" i="12" s="1"/>
  <c r="O488" i="12"/>
  <c r="C488" i="12"/>
  <c r="M488" i="12"/>
  <c r="AO488" i="12"/>
  <c r="C261" i="6"/>
  <c r="AC261" i="5" a="1"/>
  <c r="AC261" i="5" s="1"/>
  <c r="C501" i="6"/>
  <c r="O501" i="5"/>
  <c r="AC501" i="5" a="1"/>
  <c r="AC501" i="5" s="1"/>
  <c r="C68" i="12"/>
  <c r="O68" i="12"/>
  <c r="N68" i="12" s="1"/>
  <c r="M68" i="12"/>
  <c r="AO68" i="12"/>
  <c r="AB386" i="5"/>
  <c r="AB247" i="5"/>
  <c r="M97" i="12"/>
  <c r="C97" i="12"/>
  <c r="O97" i="12"/>
  <c r="AO97" i="12"/>
  <c r="C145" i="6"/>
  <c r="O145" i="5"/>
  <c r="AC145" i="5" a="1"/>
  <c r="AC145" i="5" s="1"/>
  <c r="AB307" i="5"/>
  <c r="I327" i="12"/>
  <c r="AM327" i="5"/>
  <c r="L327" i="5"/>
  <c r="Z327" i="5"/>
  <c r="AO41" i="12"/>
  <c r="C41" i="12"/>
  <c r="M41" i="12"/>
  <c r="O41" i="12"/>
  <c r="I173" i="12"/>
  <c r="Z173" i="5"/>
  <c r="L173" i="5"/>
  <c r="AM173" i="5"/>
  <c r="C281" i="6"/>
  <c r="O281" i="5"/>
  <c r="AC281" i="5" a="1"/>
  <c r="AC281" i="5" s="1"/>
  <c r="AB345" i="5"/>
  <c r="AO212" i="12"/>
  <c r="O212" i="12"/>
  <c r="M212" i="12"/>
  <c r="C212" i="12"/>
  <c r="AB139" i="5"/>
  <c r="O401" i="12"/>
  <c r="M401" i="12"/>
  <c r="AO401" i="12"/>
  <c r="C401" i="12"/>
  <c r="AO504" i="12"/>
  <c r="C504" i="12"/>
  <c r="O504" i="12"/>
  <c r="M504" i="12"/>
  <c r="AB352" i="5"/>
  <c r="C405" i="6"/>
  <c r="O405" i="5"/>
  <c r="AC405" i="5" a="1"/>
  <c r="AC405" i="5" s="1"/>
  <c r="AB324" i="5"/>
  <c r="AB323" i="5" s="1"/>
  <c r="AB168" i="5"/>
  <c r="L486" i="5"/>
  <c r="I486" i="12"/>
  <c r="AM486" i="5"/>
  <c r="Z486" i="5"/>
  <c r="C158" i="12"/>
  <c r="M158" i="12"/>
  <c r="AO158" i="12"/>
  <c r="Y158" i="12" s="1"/>
  <c r="O158" i="12"/>
  <c r="M45" i="12"/>
  <c r="M44" i="12" s="1"/>
  <c r="O45" i="12"/>
  <c r="AO45" i="12"/>
  <c r="C45" i="12"/>
  <c r="AO291" i="12"/>
  <c r="M291" i="12"/>
  <c r="C291" i="12"/>
  <c r="O291" i="12"/>
  <c r="O33" i="12"/>
  <c r="M33" i="12"/>
  <c r="C33" i="12"/>
  <c r="AO33" i="12"/>
  <c r="O336" i="12"/>
  <c r="AO336" i="12"/>
  <c r="Y336" i="12" s="1"/>
  <c r="M336" i="12"/>
  <c r="C336" i="12"/>
  <c r="AB103" i="5"/>
  <c r="W231" i="5"/>
  <c r="AN231" i="5"/>
  <c r="AN505" i="5"/>
  <c r="W505" i="5"/>
  <c r="W297" i="5"/>
  <c r="AN297" i="5"/>
  <c r="W475" i="5"/>
  <c r="AN475" i="5"/>
  <c r="W227" i="5"/>
  <c r="AN227" i="5"/>
  <c r="C437" i="6"/>
  <c r="AC437" i="5" a="1"/>
  <c r="AC437" i="5" s="1"/>
  <c r="L395" i="5"/>
  <c r="Z395" i="5"/>
  <c r="AM395" i="5"/>
  <c r="I395" i="12"/>
  <c r="AB485" i="5"/>
  <c r="O64" i="12"/>
  <c r="C64" i="12"/>
  <c r="AO64" i="12"/>
  <c r="M64" i="12"/>
  <c r="O206" i="5"/>
  <c r="C206" i="6"/>
  <c r="AC206" i="5" a="1"/>
  <c r="AC206" i="5" s="1"/>
  <c r="AB37" i="5"/>
  <c r="AB22" i="5"/>
  <c r="M55" i="12"/>
  <c r="C55" i="12"/>
  <c r="AO55" i="12"/>
  <c r="O55" i="12"/>
  <c r="O78" i="5"/>
  <c r="C78" i="6"/>
  <c r="AC78" i="5" a="1"/>
  <c r="AC78" i="5" s="1"/>
  <c r="AO387" i="12"/>
  <c r="O387" i="12"/>
  <c r="M387" i="12"/>
  <c r="C387" i="12"/>
  <c r="AO23" i="12"/>
  <c r="M23" i="12"/>
  <c r="C23" i="12"/>
  <c r="O23" i="12"/>
  <c r="N23" i="12" s="1"/>
  <c r="AB285" i="5"/>
  <c r="C292" i="6"/>
  <c r="O292" i="5"/>
  <c r="AC292" i="5" a="1"/>
  <c r="AC292" i="5" s="1"/>
  <c r="AO204" i="12"/>
  <c r="Y204" i="12" s="1"/>
  <c r="O204" i="12"/>
  <c r="M204" i="12"/>
  <c r="C204" i="12"/>
  <c r="O491" i="5"/>
  <c r="C491" i="6"/>
  <c r="AC491" i="5" a="1"/>
  <c r="AC491" i="5" s="1"/>
  <c r="AB65" i="5"/>
  <c r="M110" i="12"/>
  <c r="O110" i="12"/>
  <c r="AO110" i="12"/>
  <c r="C110" i="12"/>
  <c r="AB358" i="5"/>
  <c r="AB357" i="5" s="1"/>
  <c r="C90" i="12"/>
  <c r="AO90" i="12"/>
  <c r="M90" i="12"/>
  <c r="O90" i="12"/>
  <c r="AB162" i="5"/>
  <c r="C187" i="6"/>
  <c r="O187" i="5"/>
  <c r="AC187" i="5" a="1"/>
  <c r="AC187" i="5" s="1"/>
  <c r="AB86" i="5"/>
  <c r="AB88" i="5"/>
  <c r="O85" i="5"/>
  <c r="C85" i="6"/>
  <c r="AC85" i="5" a="1"/>
  <c r="AC85" i="5" s="1"/>
  <c r="AB249" i="5"/>
  <c r="C305" i="12"/>
  <c r="O305" i="12"/>
  <c r="M305" i="12"/>
  <c r="AO305" i="12"/>
  <c r="AB476" i="5"/>
  <c r="L118" i="5"/>
  <c r="Z118" i="5"/>
  <c r="AM118" i="5"/>
  <c r="I118" i="12"/>
  <c r="C413" i="6"/>
  <c r="AC413" i="5" a="1"/>
  <c r="AC413" i="5" s="1"/>
  <c r="M19" i="12"/>
  <c r="AO19" i="12"/>
  <c r="C19" i="12"/>
  <c r="O19" i="12"/>
  <c r="Z100" i="5"/>
  <c r="L100" i="5"/>
  <c r="AM100" i="5"/>
  <c r="I100" i="12"/>
  <c r="AO334" i="12"/>
  <c r="C334" i="12"/>
  <c r="M334" i="12"/>
  <c r="O334" i="12"/>
  <c r="AO191" i="12"/>
  <c r="Y191" i="12" s="1"/>
  <c r="O191" i="12"/>
  <c r="C191" i="12"/>
  <c r="M191" i="12"/>
  <c r="O490" i="5"/>
  <c r="C490" i="6"/>
  <c r="AC490" i="5" a="1"/>
  <c r="AC490" i="5" s="1"/>
  <c r="AB67" i="5"/>
  <c r="AO82" i="12"/>
  <c r="M82" i="12"/>
  <c r="O82" i="12"/>
  <c r="C82" i="12"/>
  <c r="AB269" i="5"/>
  <c r="AO445" i="12"/>
  <c r="Y445" i="12" s="1"/>
  <c r="M445" i="12"/>
  <c r="O445" i="12"/>
  <c r="C445" i="12"/>
  <c r="O186" i="5"/>
  <c r="C186" i="6"/>
  <c r="AC186" i="5" a="1"/>
  <c r="AC186" i="5" s="1"/>
  <c r="C248" i="6"/>
  <c r="O248" i="5"/>
  <c r="AC248" i="5" a="1"/>
  <c r="AC248" i="5" s="1"/>
  <c r="C488" i="6"/>
  <c r="O488" i="5"/>
  <c r="AC488" i="5" a="1"/>
  <c r="AC488" i="5" s="1"/>
  <c r="C261" i="12"/>
  <c r="M261" i="12"/>
  <c r="O261" i="12"/>
  <c r="AO261" i="12"/>
  <c r="Y261" i="12" s="1"/>
  <c r="O253" i="5"/>
  <c r="C253" i="6"/>
  <c r="AC253" i="5" a="1"/>
  <c r="AC253" i="5" s="1"/>
  <c r="AB68" i="5"/>
  <c r="AO386" i="12"/>
  <c r="C386" i="12"/>
  <c r="M386" i="12"/>
  <c r="O386" i="12"/>
  <c r="O128" i="12"/>
  <c r="M128" i="12"/>
  <c r="AO128" i="12"/>
  <c r="Y128" i="12" s="1"/>
  <c r="C128" i="12"/>
  <c r="O217" i="12"/>
  <c r="C217" i="12"/>
  <c r="M217" i="12"/>
  <c r="AO217" i="12"/>
  <c r="O392" i="5"/>
  <c r="C392" i="6"/>
  <c r="AC392" i="5" a="1"/>
  <c r="AC392" i="5" s="1"/>
  <c r="M307" i="12"/>
  <c r="C307" i="12"/>
  <c r="AO307" i="12"/>
  <c r="Y307" i="12" s="1"/>
  <c r="O307" i="12"/>
  <c r="C328" i="6"/>
  <c r="O328" i="5"/>
  <c r="AC328" i="5" a="1"/>
  <c r="AC328" i="5" s="1"/>
  <c r="O330" i="12"/>
  <c r="AO330" i="12"/>
  <c r="C330" i="12"/>
  <c r="M330" i="12"/>
  <c r="O195" i="12"/>
  <c r="C195" i="12"/>
  <c r="M195" i="12"/>
  <c r="AO195" i="12"/>
  <c r="AO111" i="12"/>
  <c r="Y111" i="12" s="1"/>
  <c r="C111" i="12"/>
  <c r="O111" i="12"/>
  <c r="M111" i="12"/>
  <c r="AM52" i="5"/>
  <c r="I52" i="12"/>
  <c r="L52" i="5"/>
  <c r="Z52" i="5"/>
  <c r="M281" i="12"/>
  <c r="O281" i="12"/>
  <c r="AO281" i="12"/>
  <c r="C281" i="12"/>
  <c r="C345" i="6"/>
  <c r="AC345" i="5" a="1"/>
  <c r="AC345" i="5" s="1"/>
  <c r="C222" i="6"/>
  <c r="AC222" i="5" a="1"/>
  <c r="AC222" i="5" s="1"/>
  <c r="O401" i="5"/>
  <c r="C401" i="6"/>
  <c r="AC401" i="5" a="1"/>
  <c r="AC401" i="5" s="1"/>
  <c r="M131" i="12"/>
  <c r="AO131" i="12"/>
  <c r="O131" i="12"/>
  <c r="C131" i="12"/>
  <c r="AB176" i="5"/>
  <c r="AM323" i="5"/>
  <c r="L323" i="5"/>
  <c r="I323" i="12"/>
  <c r="Z323" i="5"/>
  <c r="O168" i="5"/>
  <c r="C168" i="6"/>
  <c r="AC168" i="5" a="1"/>
  <c r="AC168" i="5" s="1"/>
  <c r="O158" i="5"/>
  <c r="C158" i="6"/>
  <c r="AC158" i="5" a="1"/>
  <c r="AC158" i="5" s="1"/>
  <c r="O209" i="12"/>
  <c r="AO209" i="12"/>
  <c r="M209" i="12"/>
  <c r="C209" i="12"/>
  <c r="I44" i="12"/>
  <c r="Z44" i="5"/>
  <c r="L44" i="5"/>
  <c r="AM44" i="5"/>
  <c r="AB291" i="5"/>
  <c r="AB399" i="5"/>
  <c r="C451" i="6"/>
  <c r="O451" i="5"/>
  <c r="AC451" i="5" a="1"/>
  <c r="AC451" i="5" s="1"/>
  <c r="C36" i="6"/>
  <c r="O36" i="5"/>
  <c r="AC36" i="5" a="1"/>
  <c r="AC36" i="5" s="1"/>
  <c r="AN469" i="5"/>
  <c r="W469" i="5"/>
  <c r="W435" i="5"/>
  <c r="AN435" i="5"/>
  <c r="W321" i="5"/>
  <c r="AN321" i="5"/>
  <c r="W373" i="5"/>
  <c r="AN373" i="5"/>
  <c r="AN238" i="5"/>
  <c r="W238" i="5"/>
  <c r="O502" i="5"/>
  <c r="C502" i="6"/>
  <c r="AC502" i="5" a="1"/>
  <c r="AC502" i="5" s="1"/>
  <c r="C108" i="6"/>
  <c r="O108" i="5"/>
  <c r="AC108" i="5" a="1"/>
  <c r="AC108" i="5" s="1"/>
  <c r="C449" i="6"/>
  <c r="O449" i="5"/>
  <c r="AC449" i="5" a="1"/>
  <c r="AC449" i="5" s="1"/>
  <c r="AN418" i="5"/>
  <c r="W418" i="5"/>
  <c r="O365" i="5"/>
  <c r="C365" i="6"/>
  <c r="AC365" i="5" a="1"/>
  <c r="AC365" i="5" s="1"/>
  <c r="O155" i="5"/>
  <c r="C155" i="6"/>
  <c r="AC155" i="5" a="1"/>
  <c r="AC155" i="5" s="1"/>
  <c r="C22" i="12"/>
  <c r="M22" i="12"/>
  <c r="AO22" i="12"/>
  <c r="O22" i="12"/>
  <c r="N22" i="12" s="1"/>
  <c r="O55" i="5"/>
  <c r="C55" i="6"/>
  <c r="AC55" i="5" a="1"/>
  <c r="AC55" i="5" s="1"/>
  <c r="AB78" i="5"/>
  <c r="O339" i="12"/>
  <c r="C339" i="12"/>
  <c r="AO339" i="12"/>
  <c r="M339" i="12"/>
  <c r="C121" i="12"/>
  <c r="M121" i="12"/>
  <c r="O121" i="12"/>
  <c r="N121" i="12" s="1"/>
  <c r="AO121" i="12"/>
  <c r="C304" i="6"/>
  <c r="O304" i="5"/>
  <c r="AC304" i="5" a="1"/>
  <c r="AC304" i="5" s="1"/>
  <c r="AB211" i="5"/>
  <c r="AB204" i="5"/>
  <c r="M65" i="12"/>
  <c r="AO65" i="12"/>
  <c r="C65" i="12"/>
  <c r="O65" i="12"/>
  <c r="AB110" i="5"/>
  <c r="M358" i="12"/>
  <c r="O358" i="12"/>
  <c r="C358" i="12"/>
  <c r="AO358" i="12"/>
  <c r="O90" i="5"/>
  <c r="C90" i="6"/>
  <c r="AC90" i="5" a="1"/>
  <c r="AC90" i="5" s="1"/>
  <c r="AB214" i="5"/>
  <c r="O187" i="12"/>
  <c r="C187" i="12"/>
  <c r="AO187" i="12"/>
  <c r="Y187" i="12" s="1"/>
  <c r="M187" i="12"/>
  <c r="AO86" i="12"/>
  <c r="Y86" i="12" s="1"/>
  <c r="M86" i="12"/>
  <c r="C86" i="12"/>
  <c r="O86" i="12"/>
  <c r="AB448" i="5"/>
  <c r="C390" i="6"/>
  <c r="O390" i="5"/>
  <c r="AC390" i="5" a="1"/>
  <c r="AC390" i="5" s="1"/>
  <c r="O249" i="12"/>
  <c r="AO249" i="12"/>
  <c r="C249" i="12"/>
  <c r="M249" i="12"/>
  <c r="AB66" i="5"/>
  <c r="AB305" i="5"/>
  <c r="C476" i="6"/>
  <c r="AC476" i="5" a="1"/>
  <c r="AC476" i="5" s="1"/>
  <c r="AB301" i="5"/>
  <c r="AB413" i="5"/>
  <c r="O19" i="5"/>
  <c r="C19" i="6"/>
  <c r="AC19" i="5" a="1"/>
  <c r="AC19" i="5" s="1"/>
  <c r="O101" i="5"/>
  <c r="C101" i="6"/>
  <c r="AC101" i="5" a="1"/>
  <c r="AC101" i="5" s="1"/>
  <c r="AB279" i="5"/>
  <c r="AB164" i="5"/>
  <c r="Z489" i="5"/>
  <c r="AM489" i="5"/>
  <c r="I489" i="12"/>
  <c r="L489" i="5"/>
  <c r="AB172" i="5"/>
  <c r="AB378" i="5"/>
  <c r="AB252" i="5"/>
  <c r="AO311" i="12"/>
  <c r="M311" i="12"/>
  <c r="O311" i="12"/>
  <c r="C311" i="12"/>
  <c r="O198" i="5"/>
  <c r="C198" i="6"/>
  <c r="AC198" i="5" a="1"/>
  <c r="AC198" i="5" s="1"/>
  <c r="AB445" i="5"/>
  <c r="AO186" i="12"/>
  <c r="O186" i="12"/>
  <c r="C186" i="12"/>
  <c r="M186" i="12"/>
  <c r="L106" i="5"/>
  <c r="AM106" i="5"/>
  <c r="Z106" i="5"/>
  <c r="I106" i="12"/>
  <c r="AB132" i="5"/>
  <c r="AB488" i="5"/>
  <c r="AB261" i="5"/>
  <c r="AB501" i="5"/>
  <c r="AB500" i="5" s="1"/>
  <c r="C213" i="12"/>
  <c r="AO213" i="12"/>
  <c r="M213" i="12"/>
  <c r="O213" i="12"/>
  <c r="C386" i="6"/>
  <c r="O386" i="5"/>
  <c r="AC386" i="5" a="1"/>
  <c r="AC386" i="5" s="1"/>
  <c r="O266" i="5"/>
  <c r="C266" i="6"/>
  <c r="AC266" i="5" a="1"/>
  <c r="AC266" i="5" s="1"/>
  <c r="AB128" i="5"/>
  <c r="C482" i="6"/>
  <c r="O482" i="5"/>
  <c r="AC482" i="5" a="1"/>
  <c r="AC482" i="5" s="1"/>
  <c r="AB392" i="5"/>
  <c r="C307" i="6"/>
  <c r="O307" i="5"/>
  <c r="AC307" i="5" a="1"/>
  <c r="AC307" i="5" s="1"/>
  <c r="AB328" i="5"/>
  <c r="AB330" i="5"/>
  <c r="O111" i="5"/>
  <c r="C111" i="6"/>
  <c r="AC111" i="5" a="1"/>
  <c r="AC111" i="5" s="1"/>
  <c r="M53" i="12"/>
  <c r="AO53" i="12"/>
  <c r="C53" i="12"/>
  <c r="O53" i="12"/>
  <c r="AB281" i="5"/>
  <c r="M222" i="12"/>
  <c r="AO222" i="12"/>
  <c r="Y222" i="12" s="1"/>
  <c r="C222" i="12"/>
  <c r="O222" i="12"/>
  <c r="N222" i="12" s="1"/>
  <c r="AB180" i="5"/>
  <c r="C504" i="6"/>
  <c r="O504" i="5"/>
  <c r="AC504" i="5" a="1"/>
  <c r="AC504" i="5" s="1"/>
  <c r="O131" i="5"/>
  <c r="C131" i="6"/>
  <c r="AC131" i="5" a="1"/>
  <c r="AC131" i="5" s="1"/>
  <c r="AB137" i="5"/>
  <c r="C176" i="12"/>
  <c r="O176" i="12"/>
  <c r="N176" i="12" s="1"/>
  <c r="M176" i="12"/>
  <c r="AO176" i="12"/>
  <c r="Y176" i="12" s="1"/>
  <c r="AO324" i="12"/>
  <c r="C324" i="12"/>
  <c r="O324" i="12"/>
  <c r="M324" i="12"/>
  <c r="M323" i="12" s="1"/>
  <c r="M454" i="12"/>
  <c r="C454" i="12"/>
  <c r="O454" i="12"/>
  <c r="AO454" i="12"/>
  <c r="C178" i="6"/>
  <c r="O178" i="5"/>
  <c r="AC178" i="5" a="1"/>
  <c r="AC178" i="5" s="1"/>
  <c r="AB158" i="5"/>
  <c r="I208" i="12"/>
  <c r="Z208" i="5"/>
  <c r="AM208" i="5"/>
  <c r="L208" i="5"/>
  <c r="AB36" i="5"/>
  <c r="O73" i="5"/>
  <c r="C73" i="6"/>
  <c r="AC73" i="5" a="1"/>
  <c r="AC73" i="5" s="1"/>
  <c r="AN431" i="5"/>
  <c r="W431" i="5"/>
  <c r="AN232" i="5"/>
  <c r="W232" i="5"/>
  <c r="W230" i="5"/>
  <c r="AN230" i="5"/>
  <c r="W380" i="5"/>
  <c r="AN380" i="5"/>
  <c r="W424" i="5"/>
  <c r="AN424" i="5"/>
  <c r="O80" i="12"/>
  <c r="AO80" i="12"/>
  <c r="C80" i="12"/>
  <c r="M80" i="12"/>
  <c r="C171" i="12"/>
  <c r="AO171" i="12"/>
  <c r="M171" i="12"/>
  <c r="O171" i="12"/>
  <c r="AB371" i="5"/>
  <c r="AO439" i="12"/>
  <c r="Y439" i="12" s="1"/>
  <c r="C439" i="12"/>
  <c r="O439" i="12"/>
  <c r="M439" i="12"/>
  <c r="AB365" i="5"/>
  <c r="AB155" i="5"/>
  <c r="AB55" i="5"/>
  <c r="AO78" i="12"/>
  <c r="O78" i="12"/>
  <c r="N78" i="12" s="1"/>
  <c r="M78" i="12"/>
  <c r="C78" i="12"/>
  <c r="C339" i="6"/>
  <c r="AC339" i="5" a="1"/>
  <c r="AC339" i="5" s="1"/>
  <c r="AB38" i="5"/>
  <c r="AB491" i="5"/>
  <c r="M190" i="12"/>
  <c r="AO190" i="12"/>
  <c r="C190" i="12"/>
  <c r="O190" i="12"/>
  <c r="O358" i="5"/>
  <c r="C358" i="6"/>
  <c r="AC358" i="5" a="1"/>
  <c r="AC358" i="5" s="1"/>
  <c r="AB90" i="5"/>
  <c r="O214" i="5"/>
  <c r="C214" i="6"/>
  <c r="AC214" i="5" a="1"/>
  <c r="AC214" i="5" s="1"/>
  <c r="AB187" i="5"/>
  <c r="C481" i="6"/>
  <c r="O481" i="5"/>
  <c r="AC481" i="5" a="1"/>
  <c r="AC481" i="5" s="1"/>
  <c r="O448" i="5"/>
  <c r="C448" i="6"/>
  <c r="AC448" i="5" a="1"/>
  <c r="AC448" i="5" s="1"/>
  <c r="AB390" i="5"/>
  <c r="M210" i="12"/>
  <c r="AO210" i="12"/>
  <c r="Y210" i="12" s="1"/>
  <c r="O210" i="12"/>
  <c r="C210" i="12"/>
  <c r="AB306" i="5"/>
  <c r="AO301" i="12"/>
  <c r="C301" i="12"/>
  <c r="M301" i="12"/>
  <c r="O301" i="12"/>
  <c r="N301" i="12" s="1"/>
  <c r="L278" i="5"/>
  <c r="AM278" i="5"/>
  <c r="I278" i="12"/>
  <c r="Z278" i="5"/>
  <c r="M164" i="12"/>
  <c r="AO164" i="12"/>
  <c r="Y164" i="12" s="1"/>
  <c r="O164" i="12"/>
  <c r="C164" i="12"/>
  <c r="AB191" i="5"/>
  <c r="AB490" i="5"/>
  <c r="M172" i="12"/>
  <c r="AO172" i="12"/>
  <c r="C172" i="12"/>
  <c r="O172" i="12"/>
  <c r="N172" i="12" s="1"/>
  <c r="O367" i="5"/>
  <c r="C367" i="6"/>
  <c r="AC367" i="5" a="1"/>
  <c r="AC367" i="5" s="1"/>
  <c r="M67" i="12"/>
  <c r="AO67" i="12"/>
  <c r="C67" i="12"/>
  <c r="O67" i="12"/>
  <c r="O252" i="5"/>
  <c r="C252" i="6"/>
  <c r="AC252" i="5" a="1"/>
  <c r="AC252" i="5" s="1"/>
  <c r="AB311" i="5"/>
  <c r="C71" i="6"/>
  <c r="O71" i="5"/>
  <c r="AC71" i="5" a="1"/>
  <c r="AC71" i="5" s="1"/>
  <c r="C445" i="6"/>
  <c r="O445" i="5"/>
  <c r="AC445" i="5" a="1"/>
  <c r="AC445" i="5" s="1"/>
  <c r="AB186" i="5"/>
  <c r="AB107" i="5"/>
  <c r="C91" i="6"/>
  <c r="O91" i="5"/>
  <c r="AC91" i="5" a="1"/>
  <c r="AC91" i="5" s="1"/>
  <c r="AO132" i="12"/>
  <c r="O132" i="12"/>
  <c r="N132" i="12" s="1"/>
  <c r="M132" i="12"/>
  <c r="C132" i="12"/>
  <c r="AB142" i="5"/>
  <c r="O318" i="12"/>
  <c r="C318" i="12"/>
  <c r="AO318" i="12"/>
  <c r="M318" i="12"/>
  <c r="Z500" i="5"/>
  <c r="AM500" i="5"/>
  <c r="I500" i="12"/>
  <c r="L500" i="5"/>
  <c r="O213" i="5"/>
  <c r="C213" i="6"/>
  <c r="AC213" i="5" a="1"/>
  <c r="AC213" i="5" s="1"/>
  <c r="I385" i="12"/>
  <c r="Z385" i="5"/>
  <c r="AM385" i="5"/>
  <c r="L385" i="5"/>
  <c r="M266" i="12"/>
  <c r="AO266" i="12"/>
  <c r="O266" i="12"/>
  <c r="C266" i="12"/>
  <c r="C493" i="6"/>
  <c r="O493" i="5"/>
  <c r="AC493" i="5" a="1"/>
  <c r="AC493" i="5" s="1"/>
  <c r="O391" i="12"/>
  <c r="N391" i="12" s="1"/>
  <c r="AO391" i="12"/>
  <c r="M391" i="12"/>
  <c r="C391" i="12"/>
  <c r="AO136" i="12"/>
  <c r="M136" i="12"/>
  <c r="C136" i="12"/>
  <c r="O136" i="12"/>
  <c r="AB484" i="5"/>
  <c r="AB483" i="5" s="1"/>
  <c r="L194" i="5"/>
  <c r="Z194" i="5"/>
  <c r="I194" i="12"/>
  <c r="AM194" i="5"/>
  <c r="AB111" i="5"/>
  <c r="C402" i="6"/>
  <c r="O402" i="5"/>
  <c r="AC402" i="5" a="1"/>
  <c r="AC402" i="5" s="1"/>
  <c r="O102" i="5"/>
  <c r="C102" i="6"/>
  <c r="AC102" i="5" a="1"/>
  <c r="AC102" i="5" s="1"/>
  <c r="O345" i="12"/>
  <c r="C345" i="12"/>
  <c r="AO345" i="12"/>
  <c r="Y345" i="12" s="1"/>
  <c r="M345" i="12"/>
  <c r="AB222" i="5"/>
  <c r="AO180" i="12"/>
  <c r="Y180" i="12" s="1"/>
  <c r="M180" i="12"/>
  <c r="C180" i="12"/>
  <c r="O180" i="12"/>
  <c r="AB504" i="5"/>
  <c r="AB131" i="5"/>
  <c r="M137" i="12"/>
  <c r="O137" i="12"/>
  <c r="N137" i="12" s="1"/>
  <c r="C137" i="12"/>
  <c r="AO137" i="12"/>
  <c r="C168" i="12"/>
  <c r="M168" i="12"/>
  <c r="AO168" i="12"/>
  <c r="O168" i="12"/>
  <c r="AO178" i="12"/>
  <c r="M178" i="12"/>
  <c r="O178" i="12"/>
  <c r="N178" i="12" s="1"/>
  <c r="C178" i="12"/>
  <c r="O499" i="12"/>
  <c r="C499" i="12"/>
  <c r="M499" i="12"/>
  <c r="M498" i="12" s="1"/>
  <c r="AO499" i="12"/>
  <c r="O93" i="5"/>
  <c r="C93" i="6"/>
  <c r="AC93" i="5" a="1"/>
  <c r="AC93" i="5" s="1"/>
  <c r="C399" i="6"/>
  <c r="O399" i="5"/>
  <c r="AC399" i="5" a="1"/>
  <c r="AC399" i="5" s="1"/>
  <c r="AB451" i="5"/>
  <c r="W473" i="5"/>
  <c r="AN473" i="5"/>
  <c r="AN432" i="5"/>
  <c r="W432" i="5"/>
  <c r="AN241" i="5"/>
  <c r="W241" i="5"/>
  <c r="AN465" i="5"/>
  <c r="W465" i="5"/>
  <c r="AN471" i="5"/>
  <c r="W471" i="5"/>
  <c r="C92" i="6"/>
  <c r="O92" i="5"/>
  <c r="AC92" i="5" a="1"/>
  <c r="AC92" i="5" s="1"/>
  <c r="AO63" i="12"/>
  <c r="Y63" i="12" s="1"/>
  <c r="M63" i="12"/>
  <c r="O63" i="12"/>
  <c r="C63" i="12"/>
  <c r="AB54" i="5"/>
  <c r="AN338" i="5"/>
  <c r="W338" i="5"/>
  <c r="M365" i="12"/>
  <c r="O365" i="12"/>
  <c r="C365" i="12"/>
  <c r="AO365" i="12"/>
  <c r="M155" i="12"/>
  <c r="C155" i="12"/>
  <c r="AO155" i="12"/>
  <c r="O155" i="12"/>
  <c r="C22" i="6"/>
  <c r="O22" i="5"/>
  <c r="AC22" i="5" a="1"/>
  <c r="AC22" i="5" s="1"/>
  <c r="AB125" i="5"/>
  <c r="C121" i="6"/>
  <c r="O121" i="5"/>
  <c r="AC121" i="5" a="1"/>
  <c r="AC121" i="5" s="1"/>
  <c r="AB243" i="5"/>
  <c r="O304" i="12"/>
  <c r="M304" i="12"/>
  <c r="AO304" i="12"/>
  <c r="C304" i="12"/>
  <c r="C211" i="6"/>
  <c r="O211" i="5"/>
  <c r="AC211" i="5" a="1"/>
  <c r="AC211" i="5" s="1"/>
  <c r="O295" i="5"/>
  <c r="C295" i="6"/>
  <c r="AC295" i="5" a="1"/>
  <c r="AC295" i="5" s="1"/>
  <c r="AB175" i="5"/>
  <c r="O214" i="12"/>
  <c r="C214" i="12"/>
  <c r="AO214" i="12"/>
  <c r="M214" i="12"/>
  <c r="AO58" i="12"/>
  <c r="O58" i="12"/>
  <c r="C58" i="12"/>
  <c r="M58" i="12"/>
  <c r="M57" i="12" s="1"/>
  <c r="C398" i="6"/>
  <c r="O398" i="5"/>
  <c r="AC398" i="5" a="1"/>
  <c r="AC398" i="5" s="1"/>
  <c r="C89" i="6"/>
  <c r="O89" i="5"/>
  <c r="AC89" i="5" a="1"/>
  <c r="AC89" i="5" s="1"/>
  <c r="O448" i="12"/>
  <c r="AO448" i="12"/>
  <c r="M448" i="12"/>
  <c r="C448" i="12"/>
  <c r="AO390" i="12"/>
  <c r="C390" i="12"/>
  <c r="M390" i="12"/>
  <c r="O390" i="12"/>
  <c r="O332" i="5"/>
  <c r="C332" i="6"/>
  <c r="AC332" i="5" a="1"/>
  <c r="AC332" i="5" s="1"/>
  <c r="AB21" i="5"/>
  <c r="AB210" i="5"/>
  <c r="C306" i="12"/>
  <c r="O306" i="12"/>
  <c r="M306" i="12"/>
  <c r="AO306" i="12"/>
  <c r="Y306" i="12" s="1"/>
  <c r="AO251" i="12"/>
  <c r="O251" i="12"/>
  <c r="M251" i="12"/>
  <c r="C251" i="12"/>
  <c r="C225" i="12"/>
  <c r="O225" i="12"/>
  <c r="AO225" i="12"/>
  <c r="M225" i="12"/>
  <c r="AB185" i="5"/>
  <c r="O446" i="5"/>
  <c r="C446" i="6"/>
  <c r="AC446" i="5" a="1"/>
  <c r="AC446" i="5" s="1"/>
  <c r="AB268" i="5"/>
  <c r="O331" i="5"/>
  <c r="C331" i="6"/>
  <c r="AC331" i="5" a="1"/>
  <c r="AC331" i="5" s="1"/>
  <c r="AO378" i="12"/>
  <c r="M378" i="12"/>
  <c r="O378" i="12"/>
  <c r="C378" i="12"/>
  <c r="C67" i="6"/>
  <c r="O67" i="5"/>
  <c r="AC67" i="5" a="1"/>
  <c r="AC67" i="5" s="1"/>
  <c r="C252" i="12"/>
  <c r="AO252" i="12"/>
  <c r="M252" i="12"/>
  <c r="O252" i="12"/>
  <c r="M71" i="12"/>
  <c r="C71" i="12"/>
  <c r="AO71" i="12"/>
  <c r="O71" i="12"/>
  <c r="N71" i="12" s="1"/>
  <c r="AO91" i="12"/>
  <c r="C91" i="12"/>
  <c r="M91" i="12"/>
  <c r="O91" i="12"/>
  <c r="N91" i="12" s="1"/>
  <c r="C132" i="6"/>
  <c r="O132" i="5"/>
  <c r="AC132" i="5" a="1"/>
  <c r="AC132" i="5" s="1"/>
  <c r="O142" i="5"/>
  <c r="C142" i="6"/>
  <c r="AC142" i="5" a="1"/>
  <c r="AC142" i="5" s="1"/>
  <c r="AB192" i="5"/>
  <c r="AB169" i="5"/>
  <c r="AB213" i="5"/>
  <c r="AB266" i="5"/>
  <c r="AB344" i="5"/>
  <c r="O128" i="5"/>
  <c r="C128" i="6"/>
  <c r="AC128" i="5" a="1"/>
  <c r="AC128" i="5" s="1"/>
  <c r="C493" i="12"/>
  <c r="M493" i="12"/>
  <c r="O493" i="12"/>
  <c r="AO493" i="12"/>
  <c r="C482" i="12"/>
  <c r="O482" i="12"/>
  <c r="AO482" i="12"/>
  <c r="Y482" i="12" s="1"/>
  <c r="M482" i="12"/>
  <c r="AB250" i="5"/>
  <c r="AO484" i="12"/>
  <c r="M484" i="12"/>
  <c r="C484" i="12"/>
  <c r="O484" i="12"/>
  <c r="AB401" i="5"/>
  <c r="AB400" i="5" s="1"/>
  <c r="C114" i="12"/>
  <c r="AO114" i="12"/>
  <c r="M114" i="12"/>
  <c r="O114" i="12"/>
  <c r="N114" i="12" s="1"/>
  <c r="AB193" i="5"/>
  <c r="C137" i="6"/>
  <c r="O137" i="5"/>
  <c r="AC137" i="5" a="1"/>
  <c r="AC137" i="5" s="1"/>
  <c r="C176" i="6"/>
  <c r="O176" i="5"/>
  <c r="AC176" i="5" a="1"/>
  <c r="AC176" i="5" s="1"/>
  <c r="AO56" i="12"/>
  <c r="Y56" i="12" s="1"/>
  <c r="O56" i="12"/>
  <c r="C56" i="12"/>
  <c r="M56" i="12"/>
  <c r="C454" i="6"/>
  <c r="O454" i="5"/>
  <c r="AC454" i="5" a="1"/>
  <c r="AC454" i="5" s="1"/>
  <c r="M123" i="12"/>
  <c r="C123" i="12"/>
  <c r="O123" i="12"/>
  <c r="AO123" i="12"/>
  <c r="Y123" i="12" s="1"/>
  <c r="AB499" i="5"/>
  <c r="AB498" i="5" s="1"/>
  <c r="AO364" i="12"/>
  <c r="O364" i="12"/>
  <c r="M364" i="12"/>
  <c r="C364" i="12"/>
  <c r="AB93" i="5"/>
  <c r="O96" i="12"/>
  <c r="AO96" i="12"/>
  <c r="M96" i="12"/>
  <c r="C96" i="12"/>
  <c r="M399" i="12"/>
  <c r="O399" i="12"/>
  <c r="AO399" i="12"/>
  <c r="C399" i="12"/>
  <c r="AO451" i="12"/>
  <c r="M451" i="12"/>
  <c r="O451" i="12"/>
  <c r="N451" i="12" s="1"/>
  <c r="C451" i="12"/>
  <c r="AO36" i="12"/>
  <c r="C36" i="12"/>
  <c r="M36" i="12"/>
  <c r="O36" i="12"/>
  <c r="N36" i="12" s="1"/>
  <c r="AB73" i="5"/>
  <c r="AN369" i="5"/>
  <c r="W369" i="5"/>
  <c r="W472" i="5"/>
  <c r="AN472" i="5"/>
  <c r="W423" i="5"/>
  <c r="AN423" i="5"/>
  <c r="W43" i="5"/>
  <c r="AN43" i="5"/>
  <c r="AN422" i="5"/>
  <c r="W422" i="5"/>
  <c r="C276" i="12"/>
  <c r="M276" i="12"/>
  <c r="AO276" i="12"/>
  <c r="Y276" i="12" s="1"/>
  <c r="O276" i="12"/>
  <c r="AB205" i="5"/>
  <c r="AB411" i="5"/>
  <c r="AB184" i="5"/>
  <c r="AB70" i="5"/>
  <c r="AB32" i="5"/>
  <c r="C157" i="6"/>
  <c r="O157" i="5"/>
  <c r="AC157" i="5" a="1"/>
  <c r="AC157" i="5" s="1"/>
  <c r="O62" i="5"/>
  <c r="C62" i="6"/>
  <c r="AC62" i="5" a="1"/>
  <c r="AC62" i="5" s="1"/>
  <c r="AB34" i="5"/>
  <c r="M81" i="12"/>
  <c r="AO81" i="12"/>
  <c r="C81" i="12"/>
  <c r="O81" i="12"/>
  <c r="AB121" i="5"/>
  <c r="AO243" i="12"/>
  <c r="O243" i="12"/>
  <c r="M243" i="12"/>
  <c r="C243" i="12"/>
  <c r="I303" i="12"/>
  <c r="Z303" i="5"/>
  <c r="L303" i="5"/>
  <c r="AM303" i="5"/>
  <c r="O211" i="12"/>
  <c r="M211" i="12"/>
  <c r="C211" i="12"/>
  <c r="AO211" i="12"/>
  <c r="Y211" i="12" s="1"/>
  <c r="AO38" i="12"/>
  <c r="Y38" i="12" s="1"/>
  <c r="C38" i="12"/>
  <c r="O38" i="12"/>
  <c r="M38" i="12"/>
  <c r="M295" i="12"/>
  <c r="C295" i="12"/>
  <c r="O295" i="12"/>
  <c r="AO295" i="12"/>
  <c r="Y295" i="12" s="1"/>
  <c r="S26" i="8"/>
  <c r="I48" i="12"/>
  <c r="AM48" i="5"/>
  <c r="L48" i="5"/>
  <c r="Z48" i="5"/>
  <c r="C190" i="6"/>
  <c r="O190" i="5"/>
  <c r="AC190" i="5" a="1"/>
  <c r="AC190" i="5" s="1"/>
  <c r="O175" i="5"/>
  <c r="C175" i="6"/>
  <c r="AC175" i="5" a="1"/>
  <c r="AC175" i="5" s="1"/>
  <c r="AB507" i="5"/>
  <c r="AB506" i="5" s="1"/>
  <c r="AB58" i="5"/>
  <c r="AB57" i="5" s="1"/>
  <c r="AO406" i="12"/>
  <c r="O406" i="12"/>
  <c r="C406" i="12"/>
  <c r="M406" i="12"/>
  <c r="AB398" i="5"/>
  <c r="AB332" i="5"/>
  <c r="O21" i="5"/>
  <c r="C21" i="6"/>
  <c r="AC21" i="5" a="1"/>
  <c r="AC21" i="5" s="1"/>
  <c r="C210" i="6"/>
  <c r="O210" i="5"/>
  <c r="AC210" i="5" a="1"/>
  <c r="AC210" i="5" s="1"/>
  <c r="AB251" i="5"/>
  <c r="AB225" i="5"/>
  <c r="AO446" i="12"/>
  <c r="O446" i="12"/>
  <c r="M446" i="12"/>
  <c r="C446" i="12"/>
  <c r="O279" i="5"/>
  <c r="C279" i="6"/>
  <c r="AC279" i="5" a="1"/>
  <c r="AC279" i="5" s="1"/>
  <c r="O164" i="5"/>
  <c r="C164" i="6"/>
  <c r="AC164" i="5" a="1"/>
  <c r="AC164" i="5" s="1"/>
  <c r="C268" i="12"/>
  <c r="AO268" i="12"/>
  <c r="Y268" i="12" s="1"/>
  <c r="O268" i="12"/>
  <c r="M268" i="12"/>
  <c r="AB331" i="5"/>
  <c r="AB329" i="5"/>
  <c r="O311" i="5"/>
  <c r="C311" i="6"/>
  <c r="AC311" i="5" a="1"/>
  <c r="AC311" i="5" s="1"/>
  <c r="O181" i="12"/>
  <c r="AO181" i="12"/>
  <c r="Y181" i="12" s="1"/>
  <c r="M181" i="12"/>
  <c r="C181" i="12"/>
  <c r="M69" i="12"/>
  <c r="O69" i="12"/>
  <c r="N69" i="12" s="1"/>
  <c r="C69" i="12"/>
  <c r="AO69" i="12"/>
  <c r="AB91" i="5"/>
  <c r="C142" i="12"/>
  <c r="M142" i="12"/>
  <c r="AO142" i="12"/>
  <c r="O142" i="12"/>
  <c r="AB318" i="5"/>
  <c r="O501" i="12"/>
  <c r="AO501" i="12"/>
  <c r="M501" i="12"/>
  <c r="M500" i="12" s="1"/>
  <c r="C501" i="12"/>
  <c r="AO344" i="12"/>
  <c r="O344" i="12"/>
  <c r="N344" i="12" s="1"/>
  <c r="C344" i="12"/>
  <c r="M344" i="12"/>
  <c r="C182" i="12"/>
  <c r="AO182" i="12"/>
  <c r="O182" i="12"/>
  <c r="N182" i="12" s="1"/>
  <c r="M182" i="12"/>
  <c r="AB493" i="5"/>
  <c r="AB482" i="5"/>
  <c r="C391" i="6"/>
  <c r="O391" i="5"/>
  <c r="AC391" i="5" a="1"/>
  <c r="AC391" i="5" s="1"/>
  <c r="O136" i="5"/>
  <c r="C136" i="6"/>
  <c r="AC136" i="5" a="1"/>
  <c r="AC136" i="5" s="1"/>
  <c r="O195" i="5"/>
  <c r="C195" i="6"/>
  <c r="AC195" i="5" a="1"/>
  <c r="AC195" i="5" s="1"/>
  <c r="C402" i="12"/>
  <c r="O402" i="12"/>
  <c r="AO402" i="12"/>
  <c r="M402" i="12"/>
  <c r="AO102" i="12"/>
  <c r="Y102" i="12" s="1"/>
  <c r="M102" i="12"/>
  <c r="C102" i="12"/>
  <c r="O102" i="12"/>
  <c r="C20" i="6"/>
  <c r="O20" i="5"/>
  <c r="AC20" i="5" a="1"/>
  <c r="AC20" i="5" s="1"/>
  <c r="C180" i="6"/>
  <c r="O180" i="5"/>
  <c r="AC180" i="5" a="1"/>
  <c r="AC180" i="5" s="1"/>
  <c r="AM400" i="5"/>
  <c r="Z400" i="5"/>
  <c r="L400" i="5"/>
  <c r="I400" i="12"/>
  <c r="AB56" i="5"/>
  <c r="AB454" i="5"/>
  <c r="AB178" i="5"/>
  <c r="C499" i="6"/>
  <c r="O499" i="5"/>
  <c r="AC499" i="5" a="1"/>
  <c r="AC499" i="5" s="1"/>
  <c r="O364" i="5"/>
  <c r="C364" i="6"/>
  <c r="AC364" i="5" a="1"/>
  <c r="AC364" i="5" s="1"/>
  <c r="AB96" i="5"/>
  <c r="O308" i="5"/>
  <c r="C308" i="6"/>
  <c r="AC308" i="5" a="1"/>
  <c r="AC308" i="5" s="1"/>
  <c r="O161" i="5"/>
  <c r="C161" i="6"/>
  <c r="AC161" i="5" a="1"/>
  <c r="AC161" i="5" s="1"/>
  <c r="C73" i="12"/>
  <c r="M73" i="12"/>
  <c r="O73" i="12"/>
  <c r="AO73" i="12"/>
  <c r="W355" i="5"/>
  <c r="AN355" i="5"/>
  <c r="W466" i="5"/>
  <c r="AN466" i="5"/>
  <c r="AN430" i="5"/>
  <c r="W430" i="5"/>
  <c r="W425" i="5"/>
  <c r="AN425" i="5"/>
  <c r="AN240" i="5"/>
  <c r="W240" i="5"/>
  <c r="Y177" i="12" l="1"/>
  <c r="N339" i="12"/>
  <c r="N131" i="12"/>
  <c r="N175" i="12"/>
  <c r="N84" i="12"/>
  <c r="N21" i="12"/>
  <c r="N223" i="12"/>
  <c r="Y325" i="12"/>
  <c r="Y77" i="12"/>
  <c r="N190" i="12"/>
  <c r="N319" i="12"/>
  <c r="N254" i="12"/>
  <c r="N165" i="12"/>
  <c r="N368" i="12"/>
  <c r="N502" i="12"/>
  <c r="N82" i="12"/>
  <c r="N280" i="12"/>
  <c r="N154" i="12"/>
  <c r="N151" i="12"/>
  <c r="Y184" i="12"/>
  <c r="Y205" i="12"/>
  <c r="N394" i="12"/>
  <c r="Y347" i="12"/>
  <c r="Y257" i="12"/>
  <c r="N181" i="12"/>
  <c r="N406" i="12"/>
  <c r="Y71" i="12"/>
  <c r="N155" i="12"/>
  <c r="Y391" i="12"/>
  <c r="N311" i="12"/>
  <c r="Y66" i="12"/>
  <c r="W66" i="12" s="1"/>
  <c r="Y166" i="12"/>
  <c r="Y144" i="12"/>
  <c r="Y450" i="12"/>
  <c r="N99" i="12"/>
  <c r="N39" i="12"/>
  <c r="Y89" i="12"/>
  <c r="N250" i="12"/>
  <c r="Y243" i="12"/>
  <c r="W243" i="12" s="1"/>
  <c r="AB72" i="5"/>
  <c r="Y392" i="12"/>
  <c r="Y85" i="12"/>
  <c r="N478" i="12"/>
  <c r="N94" i="12"/>
  <c r="Y46" i="12"/>
  <c r="Y175" i="12"/>
  <c r="Y65" i="12"/>
  <c r="X65" i="12" s="1"/>
  <c r="Y449" i="12"/>
  <c r="N142" i="12"/>
  <c r="N81" i="12"/>
  <c r="N276" i="12"/>
  <c r="Y365" i="12"/>
  <c r="Y78" i="12"/>
  <c r="N80" i="12"/>
  <c r="N64" i="12"/>
  <c r="N413" i="12"/>
  <c r="N491" i="12"/>
  <c r="N163" i="12"/>
  <c r="Y253" i="12"/>
  <c r="N179" i="12"/>
  <c r="Y117" i="12"/>
  <c r="Y416" i="12"/>
  <c r="N122" i="12"/>
  <c r="Y252" i="12"/>
  <c r="Y408" i="12"/>
  <c r="Y36" i="12"/>
  <c r="N447" i="12"/>
  <c r="N497" i="12"/>
  <c r="N70" i="12"/>
  <c r="Y331" i="12"/>
  <c r="Y364" i="12"/>
  <c r="W364" i="12" s="1"/>
  <c r="N390" i="12"/>
  <c r="Y266" i="12"/>
  <c r="N187" i="12"/>
  <c r="Y22" i="12"/>
  <c r="N334" i="12"/>
  <c r="N204" i="12"/>
  <c r="N162" i="12"/>
  <c r="N288" i="12"/>
  <c r="N120" i="12"/>
  <c r="N47" i="12"/>
  <c r="Y270" i="12"/>
  <c r="N79" i="12"/>
  <c r="Y70" i="12"/>
  <c r="M72" i="12"/>
  <c r="N488" i="12"/>
  <c r="AB134" i="5"/>
  <c r="Y193" i="12"/>
  <c r="Y55" i="12"/>
  <c r="N74" i="12"/>
  <c r="Y455" i="12"/>
  <c r="N402" i="12"/>
  <c r="N211" i="12"/>
  <c r="Y214" i="12"/>
  <c r="N136" i="12"/>
  <c r="N164" i="12"/>
  <c r="Y186" i="12"/>
  <c r="Y249" i="12"/>
  <c r="Y121" i="12"/>
  <c r="Y305" i="12"/>
  <c r="Y90" i="12"/>
  <c r="N198" i="12"/>
  <c r="N103" i="12"/>
  <c r="Y35" i="12"/>
  <c r="Y319" i="12"/>
  <c r="Y283" i="12"/>
  <c r="N382" i="12"/>
  <c r="AB289" i="5"/>
  <c r="N397" i="12"/>
  <c r="Y170" i="12"/>
  <c r="Y116" i="12"/>
  <c r="W116" i="12" s="1"/>
  <c r="N167" i="12"/>
  <c r="N308" i="12"/>
  <c r="N249" i="12"/>
  <c r="N310" i="12"/>
  <c r="Y404" i="12"/>
  <c r="N257" i="12"/>
  <c r="N251" i="12"/>
  <c r="N214" i="12"/>
  <c r="N63" i="12"/>
  <c r="Y168" i="12"/>
  <c r="Y281" i="12"/>
  <c r="N305" i="12"/>
  <c r="N139" i="12"/>
  <c r="N152" i="12"/>
  <c r="N414" i="12"/>
  <c r="Y448" i="12"/>
  <c r="W448" i="12" s="1"/>
  <c r="N171" i="12"/>
  <c r="N234" i="12"/>
  <c r="Y388" i="12"/>
  <c r="Y151" i="12"/>
  <c r="Y353" i="12"/>
  <c r="N330" i="12"/>
  <c r="Y92" i="12"/>
  <c r="Y137" i="12"/>
  <c r="X137" i="12" s="1"/>
  <c r="N110" i="12"/>
  <c r="N291" i="12"/>
  <c r="N115" i="12"/>
  <c r="N203" i="12"/>
  <c r="N83" i="12"/>
  <c r="Y233" i="12"/>
  <c r="N184" i="12"/>
  <c r="N54" i="12"/>
  <c r="Y436" i="12"/>
  <c r="N89" i="12"/>
  <c r="H468" i="12"/>
  <c r="X468" i="5" a="1"/>
  <c r="X468" i="5" s="1"/>
  <c r="N454" i="12"/>
  <c r="D504" i="12"/>
  <c r="E504" i="6"/>
  <c r="AB278" i="5"/>
  <c r="W111" i="12"/>
  <c r="X111" i="12"/>
  <c r="D186" i="12"/>
  <c r="E186" i="6"/>
  <c r="D359" i="12"/>
  <c r="E359" i="6"/>
  <c r="E79" i="6"/>
  <c r="D79" i="12"/>
  <c r="E99" i="6"/>
  <c r="D99" i="12"/>
  <c r="E94" i="6"/>
  <c r="D94" i="12"/>
  <c r="E507" i="6"/>
  <c r="D507" i="12"/>
  <c r="L278" i="12" a="1"/>
  <c r="L278" i="12" s="1"/>
  <c r="J278" i="12" a="1"/>
  <c r="J278" i="12" s="1"/>
  <c r="C278" i="12"/>
  <c r="W477" i="12"/>
  <c r="X477" i="12"/>
  <c r="W359" i="12"/>
  <c r="X359" i="12"/>
  <c r="Y265" i="12"/>
  <c r="AO264" i="12"/>
  <c r="Y182" i="12"/>
  <c r="E398" i="6"/>
  <c r="D398" i="12"/>
  <c r="AB480" i="5"/>
  <c r="W34" i="12"/>
  <c r="X34" i="12"/>
  <c r="E493" i="6"/>
  <c r="D493" i="12"/>
  <c r="X55" i="12"/>
  <c r="W55" i="12"/>
  <c r="E330" i="6"/>
  <c r="D330" i="12"/>
  <c r="D283" i="12"/>
  <c r="E283" i="6"/>
  <c r="X495" i="12"/>
  <c r="W495" i="12"/>
  <c r="J395" i="12" a="1"/>
  <c r="J395" i="12" s="1"/>
  <c r="L395" i="12" a="1"/>
  <c r="L395" i="12" s="1"/>
  <c r="C395" i="12"/>
  <c r="J312" i="12" a="1"/>
  <c r="J312" i="12" s="1"/>
  <c r="L312" i="12" a="1"/>
  <c r="L312" i="12" s="1"/>
  <c r="C312" i="12"/>
  <c r="D211" i="12"/>
  <c r="E211" i="6"/>
  <c r="J400" i="12" a="1"/>
  <c r="J400" i="12" s="1"/>
  <c r="C400" i="12"/>
  <c r="L400" i="12" a="1"/>
  <c r="L400" i="12" s="1"/>
  <c r="X373" i="5" a="1"/>
  <c r="X373" i="5" s="1"/>
  <c r="H373" i="12"/>
  <c r="E292" i="6"/>
  <c r="D292" i="12"/>
  <c r="E319" i="6"/>
  <c r="D319" i="12"/>
  <c r="J362" i="12" a="1"/>
  <c r="J362" i="12" s="1"/>
  <c r="L362" i="12" a="1"/>
  <c r="L362" i="12" s="1"/>
  <c r="C362" i="12"/>
  <c r="O30" i="5"/>
  <c r="C30" i="6"/>
  <c r="AC30" i="5" a="1"/>
  <c r="AC30" i="5" s="1"/>
  <c r="O400" i="5"/>
  <c r="AC400" i="5" a="1"/>
  <c r="AC400" i="5" s="1"/>
  <c r="C400" i="6"/>
  <c r="Y80" i="12"/>
  <c r="E191" i="6"/>
  <c r="D191" i="12"/>
  <c r="X405" i="12"/>
  <c r="W405" i="12"/>
  <c r="H418" i="12"/>
  <c r="X418" i="5" a="1"/>
  <c r="X418" i="5" s="1"/>
  <c r="AO188" i="12"/>
  <c r="Y189" i="12"/>
  <c r="W151" i="12"/>
  <c r="X151" i="12"/>
  <c r="D130" i="12"/>
  <c r="E130" i="6"/>
  <c r="E67" i="6"/>
  <c r="D67" i="12"/>
  <c r="N41" i="12"/>
  <c r="E487" i="6"/>
  <c r="D487" i="12"/>
  <c r="O400" i="12"/>
  <c r="N401" i="12"/>
  <c r="N490" i="12"/>
  <c r="O489" i="12"/>
  <c r="E119" i="6"/>
  <c r="D119" i="12"/>
  <c r="E88" i="6"/>
  <c r="D88" i="12"/>
  <c r="AO457" i="12"/>
  <c r="Y458" i="12"/>
  <c r="W54" i="12"/>
  <c r="X54" i="12"/>
  <c r="N96" i="12"/>
  <c r="O95" i="12"/>
  <c r="E142" i="6"/>
  <c r="D142" i="12"/>
  <c r="D308" i="12"/>
  <c r="E308" i="6"/>
  <c r="D157" i="12"/>
  <c r="E157" i="6"/>
  <c r="W187" i="12"/>
  <c r="X187" i="12"/>
  <c r="AO489" i="12"/>
  <c r="Y490" i="12"/>
  <c r="D23" i="12"/>
  <c r="E23" i="6"/>
  <c r="W179" i="12"/>
  <c r="X179" i="12"/>
  <c r="H419" i="12"/>
  <c r="X419" i="5" a="1"/>
  <c r="X419" i="5" s="1"/>
  <c r="AO95" i="12"/>
  <c r="Y96" i="12"/>
  <c r="X28" i="8" a="1"/>
  <c r="X28" i="8" s="1"/>
  <c r="H27" i="8" a="1"/>
  <c r="H27" i="8" s="1"/>
  <c r="AF28" i="8" a="1"/>
  <c r="AF28" i="8" s="1"/>
  <c r="AC28" i="8" a="1"/>
  <c r="AC28" i="8" s="1"/>
  <c r="V28" i="8" a="1"/>
  <c r="V28" i="8" s="1"/>
  <c r="Z28" i="8" a="1"/>
  <c r="Z28" i="8" s="1"/>
  <c r="Y28" i="8" a="1"/>
  <c r="Y28" i="8" s="1"/>
  <c r="U28" i="8" a="1"/>
  <c r="U28" i="8" s="1"/>
  <c r="AA28" i="8" a="1"/>
  <c r="AA28" i="8" s="1"/>
  <c r="AD28" i="8" a="1"/>
  <c r="AD28" i="8" s="1"/>
  <c r="H26" i="8" a="1"/>
  <c r="H26" i="8" s="1"/>
  <c r="J27" i="8" s="1"/>
  <c r="AB28" i="8" a="1"/>
  <c r="AB28" i="8" s="1"/>
  <c r="G26" i="8"/>
  <c r="G27" i="8" s="1" a="1"/>
  <c r="G27" i="8" s="1"/>
  <c r="AE28" i="8" a="1"/>
  <c r="AE28" i="8" s="1"/>
  <c r="W28" i="8" a="1"/>
  <c r="W28" i="8" s="1"/>
  <c r="E28" i="8" a="1"/>
  <c r="E28" i="8" s="1"/>
  <c r="J303" i="12" a="1"/>
  <c r="J303" i="12" s="1"/>
  <c r="L303" i="12" a="1"/>
  <c r="L303" i="12" s="1"/>
  <c r="C303" i="12"/>
  <c r="X257" i="12"/>
  <c r="W257" i="12"/>
  <c r="Y155" i="12"/>
  <c r="H430" i="12"/>
  <c r="X430" i="5" a="1"/>
  <c r="X430" i="5" s="1"/>
  <c r="X295" i="12"/>
  <c r="W295" i="12"/>
  <c r="E490" i="6"/>
  <c r="D490" i="12"/>
  <c r="M17" i="12"/>
  <c r="M18" i="12"/>
  <c r="E47" i="6"/>
  <c r="D47" i="12"/>
  <c r="E111" i="6"/>
  <c r="D111" i="12"/>
  <c r="E63" i="6"/>
  <c r="D63" i="12"/>
  <c r="W89" i="12"/>
  <c r="X89" i="12"/>
  <c r="Y406" i="12"/>
  <c r="X63" i="12"/>
  <c r="W63" i="12"/>
  <c r="H505" i="12"/>
  <c r="X505" i="5" a="1"/>
  <c r="X505" i="5" s="1"/>
  <c r="X329" i="12"/>
  <c r="W329" i="12"/>
  <c r="L72" i="12" a="1"/>
  <c r="L72" i="12" s="1"/>
  <c r="C72" i="12"/>
  <c r="J72" i="12" a="1"/>
  <c r="J72" i="12" s="1"/>
  <c r="W485" i="12"/>
  <c r="X485" i="12"/>
  <c r="Y402" i="12"/>
  <c r="Y446" i="12"/>
  <c r="J48" i="12" a="1"/>
  <c r="J48" i="12" s="1"/>
  <c r="C48" i="12"/>
  <c r="L48" i="12" a="1"/>
  <c r="L48" i="12" s="1"/>
  <c r="D62" i="12"/>
  <c r="E62" i="6"/>
  <c r="M95" i="12"/>
  <c r="E454" i="6"/>
  <c r="D454" i="12"/>
  <c r="Y114" i="12"/>
  <c r="N180" i="12"/>
  <c r="AB105" i="5"/>
  <c r="AB106" i="5"/>
  <c r="Y67" i="12"/>
  <c r="D358" i="12"/>
  <c r="E358" i="6"/>
  <c r="H431" i="12"/>
  <c r="X431" i="5" a="1"/>
  <c r="X431" i="5" s="1"/>
  <c r="Y454" i="12"/>
  <c r="E131" i="6"/>
  <c r="D131" i="12"/>
  <c r="D365" i="12"/>
  <c r="E365" i="6"/>
  <c r="E451" i="6"/>
  <c r="D451" i="12"/>
  <c r="E158" i="6"/>
  <c r="D158" i="12"/>
  <c r="D401" i="12"/>
  <c r="E401" i="6"/>
  <c r="N111" i="12"/>
  <c r="Y386" i="12"/>
  <c r="AO385" i="12"/>
  <c r="AO17" i="12"/>
  <c r="Y19" i="12"/>
  <c r="AO18" i="12"/>
  <c r="N55" i="12"/>
  <c r="H297" i="12"/>
  <c r="X297" i="5" a="1"/>
  <c r="X297" i="5" s="1"/>
  <c r="N33" i="12"/>
  <c r="O486" i="5"/>
  <c r="C486" i="6"/>
  <c r="AC486" i="5" a="1"/>
  <c r="AC486" i="5" s="1"/>
  <c r="M400" i="12"/>
  <c r="J173" i="12" a="1"/>
  <c r="J173" i="12" s="1"/>
  <c r="C173" i="12"/>
  <c r="L173" i="12" a="1"/>
  <c r="L173" i="12" s="1"/>
  <c r="D172" i="12"/>
  <c r="E172" i="6"/>
  <c r="Y413" i="12"/>
  <c r="D65" i="12"/>
  <c r="E65" i="6"/>
  <c r="AB303" i="5"/>
  <c r="H219" i="12"/>
  <c r="X219" i="5" a="1"/>
  <c r="X219" i="5" s="1"/>
  <c r="D103" i="12"/>
  <c r="E103" i="6"/>
  <c r="AC207" i="5" a="1"/>
  <c r="AC207" i="5" s="1"/>
  <c r="C207" i="6"/>
  <c r="O207" i="5"/>
  <c r="W166" i="12"/>
  <c r="X166" i="12"/>
  <c r="E271" i="6"/>
  <c r="D271" i="12"/>
  <c r="H218" i="12"/>
  <c r="X218" i="5" a="1"/>
  <c r="X218" i="5" s="1"/>
  <c r="D45" i="12"/>
  <c r="E45" i="6"/>
  <c r="D324" i="12"/>
  <c r="E324" i="6"/>
  <c r="E247" i="6"/>
  <c r="D247" i="12"/>
  <c r="N477" i="12"/>
  <c r="N359" i="12"/>
  <c r="Y88" i="12"/>
  <c r="AO87" i="12"/>
  <c r="E179" i="6"/>
  <c r="D179" i="12"/>
  <c r="H460" i="12"/>
  <c r="X460" i="5" a="1"/>
  <c r="X460" i="5" s="1"/>
  <c r="N126" i="12"/>
  <c r="N177" i="12"/>
  <c r="H464" i="12"/>
  <c r="X464" i="5" a="1"/>
  <c r="X464" i="5" s="1"/>
  <c r="N153" i="12"/>
  <c r="N420" i="12"/>
  <c r="E408" i="6"/>
  <c r="D408" i="12"/>
  <c r="E154" i="6"/>
  <c r="D154" i="12"/>
  <c r="C59" i="6"/>
  <c r="O59" i="5"/>
  <c r="AC59" i="5" a="1"/>
  <c r="AC59" i="5" s="1"/>
  <c r="N130" i="12"/>
  <c r="O129" i="12"/>
  <c r="N112" i="12"/>
  <c r="M188" i="12"/>
  <c r="C362" i="6"/>
  <c r="O362" i="5"/>
  <c r="AC362" i="5" a="1"/>
  <c r="AC362" i="5" s="1"/>
  <c r="O299" i="12"/>
  <c r="N300" i="12"/>
  <c r="X346" i="12"/>
  <c r="W346" i="12"/>
  <c r="AC147" i="5" a="1"/>
  <c r="AC147" i="5" s="1"/>
  <c r="C147" i="6"/>
  <c r="O147" i="5"/>
  <c r="AB61" i="5"/>
  <c r="AB60" i="5"/>
  <c r="AB59" i="5"/>
  <c r="D29" i="8" s="1"/>
  <c r="Y161" i="12"/>
  <c r="Y350" i="12"/>
  <c r="Y113" i="12"/>
  <c r="Y183" i="12"/>
  <c r="N146" i="12"/>
  <c r="H262" i="12"/>
  <c r="X262" i="5" a="1"/>
  <c r="X262" i="5" s="1"/>
  <c r="N20" i="12"/>
  <c r="C124" i="6"/>
  <c r="O124" i="5"/>
  <c r="AC124" i="5" a="1"/>
  <c r="AC124" i="5" s="1"/>
  <c r="Y93" i="12"/>
  <c r="D169" i="12"/>
  <c r="E169" i="6"/>
  <c r="D205" i="12"/>
  <c r="E205" i="6"/>
  <c r="E251" i="6"/>
  <c r="D251" i="12"/>
  <c r="D50" i="12"/>
  <c r="E50" i="6"/>
  <c r="X126" i="12"/>
  <c r="W126" i="12"/>
  <c r="X233" i="12"/>
  <c r="W233" i="12"/>
  <c r="D197" i="12"/>
  <c r="E197" i="6"/>
  <c r="AO289" i="12"/>
  <c r="Y289" i="12" s="1"/>
  <c r="Y290" i="12"/>
  <c r="N350" i="12"/>
  <c r="N343" i="12"/>
  <c r="H376" i="12"/>
  <c r="X376" i="5" a="1"/>
  <c r="X376" i="5" s="1"/>
  <c r="W169" i="12"/>
  <c r="X169" i="12"/>
  <c r="N295" i="12"/>
  <c r="E132" i="6"/>
  <c r="D132" i="12"/>
  <c r="Y225" i="12"/>
  <c r="D92" i="12"/>
  <c r="E92" i="6"/>
  <c r="X473" i="5" a="1"/>
  <c r="X473" i="5" s="1"/>
  <c r="H473" i="12"/>
  <c r="Y178" i="12"/>
  <c r="X180" i="12"/>
  <c r="W180" i="12"/>
  <c r="J194" i="12" a="1"/>
  <c r="J194" i="12" s="1"/>
  <c r="C194" i="12"/>
  <c r="L194" i="12" a="1"/>
  <c r="L194" i="12" s="1"/>
  <c r="Y318" i="12"/>
  <c r="E448" i="6"/>
  <c r="D448" i="12"/>
  <c r="Y190" i="12"/>
  <c r="D266" i="12"/>
  <c r="E266" i="6"/>
  <c r="C106" i="12"/>
  <c r="J106" i="12" a="1"/>
  <c r="J106" i="12" s="1"/>
  <c r="L106" i="12" a="1"/>
  <c r="L106" i="12" s="1"/>
  <c r="K106" i="12" s="1"/>
  <c r="Y311" i="12"/>
  <c r="E168" i="6"/>
  <c r="D168" i="12"/>
  <c r="Y195" i="12"/>
  <c r="AO194" i="12"/>
  <c r="D85" i="12"/>
  <c r="E85" i="6"/>
  <c r="H256" i="12"/>
  <c r="X256" i="5" a="1"/>
  <c r="X256" i="5" s="1"/>
  <c r="E139" i="6"/>
  <c r="D139" i="12"/>
  <c r="W392" i="12"/>
  <c r="X392" i="12"/>
  <c r="E455" i="6"/>
  <c r="D455" i="12"/>
  <c r="E282" i="6"/>
  <c r="D282" i="12"/>
  <c r="X220" i="5" a="1"/>
  <c r="X220" i="5" s="1"/>
  <c r="H220" i="12"/>
  <c r="AB208" i="5"/>
  <c r="AB207" i="5"/>
  <c r="N405" i="12"/>
  <c r="E68" i="6"/>
  <c r="D68" i="12"/>
  <c r="E167" i="6"/>
  <c r="D167" i="12"/>
  <c r="W283" i="12"/>
  <c r="X283" i="12"/>
  <c r="X388" i="12"/>
  <c r="W388" i="12"/>
  <c r="E156" i="6"/>
  <c r="D156" i="12"/>
  <c r="E46" i="6"/>
  <c r="D46" i="12"/>
  <c r="Y375" i="12"/>
  <c r="C60" i="12"/>
  <c r="J60" i="12" a="1"/>
  <c r="J60" i="12" s="1"/>
  <c r="L60" i="12" a="1"/>
  <c r="L60" i="12" s="1"/>
  <c r="H260" i="12"/>
  <c r="X260" i="5" a="1"/>
  <c r="X260" i="5" s="1"/>
  <c r="E70" i="6"/>
  <c r="D70" i="12"/>
  <c r="D335" i="12"/>
  <c r="E335" i="6"/>
  <c r="N290" i="12"/>
  <c r="O289" i="12"/>
  <c r="X92" i="12"/>
  <c r="W92" i="12"/>
  <c r="Y417" i="12"/>
  <c r="Y51" i="12"/>
  <c r="E200" i="6"/>
  <c r="D200" i="12"/>
  <c r="M28" i="12"/>
  <c r="N485" i="12"/>
  <c r="N169" i="12"/>
  <c r="N329" i="12"/>
  <c r="Y393" i="12"/>
  <c r="N398" i="12"/>
  <c r="AB48" i="5"/>
  <c r="D26" i="8" s="1"/>
  <c r="AB49" i="5"/>
  <c r="D81" i="12"/>
  <c r="E81" i="6"/>
  <c r="L30" i="12" a="1"/>
  <c r="L30" i="12" s="1"/>
  <c r="J30" i="12" a="1"/>
  <c r="J30" i="12" s="1"/>
  <c r="C30" i="12"/>
  <c r="AB194" i="5"/>
  <c r="D192" i="12"/>
  <c r="E192" i="6"/>
  <c r="N421" i="12"/>
  <c r="E306" i="6"/>
  <c r="D306" i="12"/>
  <c r="N34" i="12"/>
  <c r="W347" i="12"/>
  <c r="X347" i="12"/>
  <c r="N348" i="12"/>
  <c r="X421" i="12"/>
  <c r="W421" i="12"/>
  <c r="AB148" i="5"/>
  <c r="AB147" i="5"/>
  <c r="X422" i="5" a="1"/>
  <c r="X422" i="5" s="1"/>
  <c r="H422" i="12"/>
  <c r="AB95" i="5"/>
  <c r="Y69" i="12"/>
  <c r="N268" i="12"/>
  <c r="N243" i="12"/>
  <c r="N56" i="12"/>
  <c r="N484" i="12"/>
  <c r="O483" i="12"/>
  <c r="D128" i="12"/>
  <c r="E128" i="6"/>
  <c r="N225" i="12"/>
  <c r="D332" i="12"/>
  <c r="E332" i="6"/>
  <c r="AO303" i="12"/>
  <c r="Y304" i="12"/>
  <c r="N168" i="12"/>
  <c r="N266" i="12"/>
  <c r="E445" i="6"/>
  <c r="D445" i="12"/>
  <c r="E367" i="6"/>
  <c r="D367" i="12"/>
  <c r="O278" i="5"/>
  <c r="C278" i="6"/>
  <c r="AC278" i="5" a="1"/>
  <c r="AC278" i="5" s="1"/>
  <c r="D73" i="12"/>
  <c r="E73" i="6"/>
  <c r="E101" i="6"/>
  <c r="D101" i="12"/>
  <c r="M194" i="12"/>
  <c r="D392" i="12"/>
  <c r="E392" i="6"/>
  <c r="N445" i="12"/>
  <c r="N191" i="12"/>
  <c r="Y110" i="12"/>
  <c r="O395" i="5"/>
  <c r="C395" i="6"/>
  <c r="AC395" i="5" a="1"/>
  <c r="AC395" i="5" s="1"/>
  <c r="Y291" i="12"/>
  <c r="Y41" i="12"/>
  <c r="E33" i="6"/>
  <c r="D33" i="12"/>
  <c r="N392" i="12"/>
  <c r="M489" i="12"/>
  <c r="M480" i="12"/>
  <c r="AB173" i="5"/>
  <c r="N145" i="12"/>
  <c r="N333" i="12"/>
  <c r="J480" i="12" a="1"/>
  <c r="J480" i="12" s="1"/>
  <c r="L480" i="12" a="1"/>
  <c r="L480" i="12" s="1"/>
  <c r="C480" i="12"/>
  <c r="E387" i="6"/>
  <c r="D387" i="12"/>
  <c r="D209" i="12"/>
  <c r="E209" i="6"/>
  <c r="N283" i="12"/>
  <c r="AB159" i="5"/>
  <c r="N388" i="12"/>
  <c r="D368" i="12"/>
  <c r="E368" i="6"/>
  <c r="N294" i="12"/>
  <c r="H426" i="12"/>
  <c r="X426" i="5" a="1"/>
  <c r="X426" i="5" s="1"/>
  <c r="D35" i="12"/>
  <c r="E35" i="6"/>
  <c r="AB395" i="5"/>
  <c r="D116" i="12"/>
  <c r="E116" i="6"/>
  <c r="D135" i="12"/>
  <c r="E135" i="6"/>
  <c r="N282" i="12"/>
  <c r="Y444" i="12"/>
  <c r="D32" i="12"/>
  <c r="E32" i="6"/>
  <c r="D280" i="12"/>
  <c r="E280" i="6"/>
  <c r="Y502" i="12"/>
  <c r="Y120" i="12"/>
  <c r="O60" i="5"/>
  <c r="C60" i="6"/>
  <c r="AC60" i="5" a="1"/>
  <c r="AC60" i="5" s="1"/>
  <c r="Y309" i="12"/>
  <c r="E407" i="6"/>
  <c r="D407" i="12"/>
  <c r="M289" i="12"/>
  <c r="N495" i="12"/>
  <c r="X428" i="5" a="1"/>
  <c r="X428" i="5" s="1"/>
  <c r="H428" i="12"/>
  <c r="Y242" i="12"/>
  <c r="N449" i="12"/>
  <c r="O59" i="12"/>
  <c r="O61" i="12"/>
  <c r="O60" i="12"/>
  <c r="N62" i="12"/>
  <c r="N37" i="12"/>
  <c r="N141" i="12"/>
  <c r="O140" i="12"/>
  <c r="N108" i="12"/>
  <c r="D165" i="12"/>
  <c r="E165" i="6"/>
  <c r="AB30" i="5"/>
  <c r="C483" i="6"/>
  <c r="O483" i="5"/>
  <c r="AC483" i="5" a="1"/>
  <c r="AC483" i="5" s="1"/>
  <c r="E51" i="6"/>
  <c r="D51" i="12"/>
  <c r="D38" i="12"/>
  <c r="E38" i="6"/>
  <c r="X152" i="12"/>
  <c r="W152" i="12"/>
  <c r="X108" i="12"/>
  <c r="W108" i="12"/>
  <c r="D195" i="12"/>
  <c r="E195" i="6"/>
  <c r="W268" i="12"/>
  <c r="X268" i="12"/>
  <c r="X56" i="12"/>
  <c r="W56" i="12"/>
  <c r="N378" i="12"/>
  <c r="O57" i="12"/>
  <c r="N57" i="12" s="1"/>
  <c r="N58" i="12"/>
  <c r="M303" i="12"/>
  <c r="W365" i="12"/>
  <c r="X365" i="12"/>
  <c r="W168" i="12"/>
  <c r="X168" i="12"/>
  <c r="O194" i="5"/>
  <c r="C194" i="6"/>
  <c r="AC194" i="5" a="1"/>
  <c r="AC194" i="5" s="1"/>
  <c r="W266" i="12"/>
  <c r="X266" i="12"/>
  <c r="N318" i="12"/>
  <c r="D481" i="12"/>
  <c r="E481" i="6"/>
  <c r="H424" i="12"/>
  <c r="X424" i="5" a="1"/>
  <c r="X424" i="5" s="1"/>
  <c r="N324" i="12"/>
  <c r="O323" i="12"/>
  <c r="N323" i="12" s="1"/>
  <c r="D386" i="12"/>
  <c r="E386" i="6"/>
  <c r="X249" i="12"/>
  <c r="W249" i="12"/>
  <c r="E449" i="6"/>
  <c r="D449" i="12"/>
  <c r="X321" i="5" a="1"/>
  <c r="X321" i="5" s="1"/>
  <c r="H321" i="12"/>
  <c r="J323" i="12" a="1"/>
  <c r="J323" i="12" s="1"/>
  <c r="C323" i="12"/>
  <c r="L323" i="12" a="1"/>
  <c r="L323" i="12" s="1"/>
  <c r="Y217" i="12"/>
  <c r="E253" i="6"/>
  <c r="D253" i="12"/>
  <c r="W191" i="12"/>
  <c r="X191" i="12"/>
  <c r="J118" i="12" a="1"/>
  <c r="J118" i="12" s="1"/>
  <c r="L118" i="12" a="1"/>
  <c r="L118" i="12" s="1"/>
  <c r="C118" i="12"/>
  <c r="AB87" i="5"/>
  <c r="AB385" i="5"/>
  <c r="X248" i="12"/>
  <c r="W248" i="12"/>
  <c r="AB118" i="5"/>
  <c r="D86" i="12"/>
  <c r="E86" i="6"/>
  <c r="X491" i="12"/>
  <c r="W491" i="12"/>
  <c r="O480" i="12"/>
  <c r="N481" i="12"/>
  <c r="E113" i="6"/>
  <c r="D113" i="12"/>
  <c r="Y74" i="12"/>
  <c r="AB100" i="5"/>
  <c r="C264" i="12"/>
  <c r="L264" i="12" a="1"/>
  <c r="L264" i="12" s="1"/>
  <c r="J264" i="12" a="1"/>
  <c r="J264" i="12" s="1"/>
  <c r="Y197" i="12"/>
  <c r="W154" i="12"/>
  <c r="X154" i="12"/>
  <c r="D138" i="12"/>
  <c r="E138" i="6"/>
  <c r="Y109" i="12"/>
  <c r="AC299" i="5" a="1"/>
  <c r="AC299" i="5" s="1"/>
  <c r="O299" i="5"/>
  <c r="C299" i="6"/>
  <c r="M118" i="12"/>
  <c r="C87" i="6"/>
  <c r="O87" i="5"/>
  <c r="AC87" i="5" a="1"/>
  <c r="AC87" i="5" s="1"/>
  <c r="D494" i="12"/>
  <c r="E494" i="6"/>
  <c r="N233" i="12"/>
  <c r="D202" i="12"/>
  <c r="E202" i="6"/>
  <c r="X255" i="12"/>
  <c r="W255" i="12"/>
  <c r="E393" i="6"/>
  <c r="D393" i="12"/>
  <c r="E294" i="6"/>
  <c r="D294" i="12"/>
  <c r="D313" i="12"/>
  <c r="E313" i="6"/>
  <c r="X46" i="12"/>
  <c r="W46" i="12"/>
  <c r="E182" i="6"/>
  <c r="D182" i="12"/>
  <c r="J457" i="12" a="1"/>
  <c r="J457" i="12" s="1"/>
  <c r="L457" i="12" a="1"/>
  <c r="L457" i="12" s="1"/>
  <c r="K457" i="12" s="1"/>
  <c r="C457" i="12"/>
  <c r="N29" i="12"/>
  <c r="O28" i="12"/>
  <c r="E74" i="6"/>
  <c r="D74" i="12"/>
  <c r="M61" i="12"/>
  <c r="M59" i="12"/>
  <c r="M60" i="12"/>
  <c r="X374" i="5" a="1"/>
  <c r="X374" i="5" s="1"/>
  <c r="H374" i="12"/>
  <c r="O395" i="12"/>
  <c r="N396" i="12"/>
  <c r="M140" i="12"/>
  <c r="N393" i="12"/>
  <c r="H456" i="12"/>
  <c r="X456" i="5" a="1"/>
  <c r="X456" i="5" s="1"/>
  <c r="L483" i="12" a="1"/>
  <c r="L483" i="12" s="1"/>
  <c r="J483" i="12" a="1"/>
  <c r="J483" i="12" s="1"/>
  <c r="C483" i="12"/>
  <c r="X21" i="12"/>
  <c r="W21" i="12"/>
  <c r="O312" i="5"/>
  <c r="C312" i="6"/>
  <c r="AC312" i="5" a="1"/>
  <c r="AC312" i="5" s="1"/>
  <c r="D120" i="12"/>
  <c r="E120" i="6"/>
  <c r="O72" i="5"/>
  <c r="C72" i="6"/>
  <c r="AC72" i="5" a="1"/>
  <c r="AC72" i="5" s="1"/>
  <c r="D180" i="12"/>
  <c r="E180" i="6"/>
  <c r="D210" i="12"/>
  <c r="E210" i="6"/>
  <c r="W36" i="12"/>
  <c r="X36" i="12"/>
  <c r="M483" i="12"/>
  <c r="Y58" i="12"/>
  <c r="AO57" i="12"/>
  <c r="N304" i="12"/>
  <c r="O303" i="12"/>
  <c r="N303" i="12" s="1"/>
  <c r="H471" i="12"/>
  <c r="X471" i="5" a="1"/>
  <c r="X471" i="5" s="1"/>
  <c r="N439" i="12"/>
  <c r="AB327" i="5"/>
  <c r="C106" i="6"/>
  <c r="O106" i="5"/>
  <c r="AC106" i="5" a="1"/>
  <c r="AC106" i="5" s="1"/>
  <c r="E55" i="6"/>
  <c r="D55" i="12"/>
  <c r="C323" i="6"/>
  <c r="AC323" i="5" a="1"/>
  <c r="AC323" i="5" s="1"/>
  <c r="O323" i="5"/>
  <c r="N195" i="12"/>
  <c r="O194" i="12"/>
  <c r="N194" i="12" s="1"/>
  <c r="X261" i="12"/>
  <c r="W261" i="12"/>
  <c r="W445" i="12"/>
  <c r="X445" i="12"/>
  <c r="H231" i="12"/>
  <c r="X231" i="5" a="1"/>
  <c r="X231" i="5" s="1"/>
  <c r="Y45" i="12"/>
  <c r="AO44" i="12"/>
  <c r="D405" i="12"/>
  <c r="E405" i="6"/>
  <c r="N212" i="12"/>
  <c r="O327" i="5"/>
  <c r="C327" i="6"/>
  <c r="AC327" i="5" a="1"/>
  <c r="AC327" i="5" s="1"/>
  <c r="Y68" i="12"/>
  <c r="Y198" i="12"/>
  <c r="N279" i="12"/>
  <c r="O278" i="12"/>
  <c r="E212" i="6"/>
  <c r="D212" i="12"/>
  <c r="X269" i="12"/>
  <c r="W269" i="12"/>
  <c r="E290" i="6"/>
  <c r="D290" i="12"/>
  <c r="E305" i="6"/>
  <c r="D305" i="12"/>
  <c r="Y481" i="12"/>
  <c r="AO480" i="12"/>
  <c r="Y480" i="12" s="1"/>
  <c r="W77" i="12"/>
  <c r="X77" i="12"/>
  <c r="D41" i="12"/>
  <c r="E41" i="6"/>
  <c r="J159" i="12" a="1"/>
  <c r="J159" i="12" s="1"/>
  <c r="C159" i="12"/>
  <c r="L159" i="12" a="1"/>
  <c r="L159" i="12" s="1"/>
  <c r="C17" i="6"/>
  <c r="O17" i="5"/>
  <c r="AC17" i="5" a="1"/>
  <c r="AC17" i="5" s="1"/>
  <c r="D199" i="12"/>
  <c r="E199" i="6"/>
  <c r="AB28" i="5"/>
  <c r="H237" i="12"/>
  <c r="X237" i="5" a="1"/>
  <c r="X237" i="5" s="1"/>
  <c r="N371" i="12"/>
  <c r="Y294" i="12"/>
  <c r="D39" i="12"/>
  <c r="E39" i="6"/>
  <c r="H226" i="12"/>
  <c r="X226" i="5" a="1"/>
  <c r="X226" i="5" s="1"/>
  <c r="D196" i="12"/>
  <c r="E196" i="6"/>
  <c r="E112" i="6"/>
  <c r="D112" i="12"/>
  <c r="X76" i="12"/>
  <c r="W76" i="12"/>
  <c r="Y203" i="12"/>
  <c r="H298" i="12"/>
  <c r="X298" i="5" a="1"/>
  <c r="X298" i="5" s="1"/>
  <c r="N403" i="12"/>
  <c r="O173" i="12"/>
  <c r="N173" i="12" s="1"/>
  <c r="N174" i="12"/>
  <c r="Y39" i="12"/>
  <c r="X463" i="5" a="1"/>
  <c r="X463" i="5" s="1"/>
  <c r="H463" i="12"/>
  <c r="N92" i="12"/>
  <c r="Y127" i="12"/>
  <c r="D284" i="12"/>
  <c r="E284" i="6"/>
  <c r="X449" i="12"/>
  <c r="W449" i="12"/>
  <c r="O457" i="5"/>
  <c r="AC457" i="5" a="1"/>
  <c r="AC457" i="5" s="1"/>
  <c r="C457" i="6"/>
  <c r="AO28" i="12"/>
  <c r="Y28" i="12" s="1"/>
  <c r="Y29" i="12"/>
  <c r="AO60" i="12"/>
  <c r="Y60" i="12" s="1"/>
  <c r="Y62" i="12"/>
  <c r="AO59" i="12"/>
  <c r="AO61" i="12"/>
  <c r="Y61" i="12" s="1"/>
  <c r="M148" i="12"/>
  <c r="M147" i="12"/>
  <c r="W37" i="12"/>
  <c r="X37" i="12"/>
  <c r="Y396" i="12"/>
  <c r="AO395" i="12"/>
  <c r="Y395" i="12" s="1"/>
  <c r="X192" i="12"/>
  <c r="W192" i="12"/>
  <c r="AO140" i="12"/>
  <c r="Y141" i="12"/>
  <c r="X331" i="12"/>
  <c r="W331" i="12"/>
  <c r="Y200" i="12"/>
  <c r="D149" i="12"/>
  <c r="E149" i="6"/>
  <c r="AB129" i="5"/>
  <c r="D123" i="12"/>
  <c r="E123" i="6"/>
  <c r="X351" i="12"/>
  <c r="W351" i="12"/>
  <c r="D364" i="12"/>
  <c r="E364" i="6"/>
  <c r="Y344" i="12"/>
  <c r="N38" i="12"/>
  <c r="X43" i="5" a="1"/>
  <c r="X43" i="5" s="1"/>
  <c r="H43" i="12"/>
  <c r="N364" i="12"/>
  <c r="E176" i="6"/>
  <c r="D176" i="12"/>
  <c r="AO483" i="12"/>
  <c r="Y483" i="12" s="1"/>
  <c r="Y484" i="12"/>
  <c r="Y378" i="12"/>
  <c r="N365" i="12"/>
  <c r="D399" i="12"/>
  <c r="E399" i="6"/>
  <c r="W345" i="12"/>
  <c r="X345" i="12"/>
  <c r="O385" i="5"/>
  <c r="AC385" i="5" a="1"/>
  <c r="AC385" i="5" s="1"/>
  <c r="C385" i="6"/>
  <c r="E71" i="6"/>
  <c r="D71" i="12"/>
  <c r="Y172" i="12"/>
  <c r="O208" i="5"/>
  <c r="AC208" i="5" a="1"/>
  <c r="AC208" i="5" s="1"/>
  <c r="C208" i="6"/>
  <c r="AO323" i="12"/>
  <c r="Y323" i="12" s="1"/>
  <c r="Y324" i="12"/>
  <c r="N213" i="12"/>
  <c r="D19" i="12"/>
  <c r="E19" i="6"/>
  <c r="O44" i="5"/>
  <c r="C44" i="6"/>
  <c r="AC44" i="5" a="1"/>
  <c r="AC44" i="5" s="1"/>
  <c r="N261" i="12"/>
  <c r="O44" i="12"/>
  <c r="N44" i="12" s="1"/>
  <c r="N45" i="12"/>
  <c r="Y212" i="12"/>
  <c r="M278" i="12"/>
  <c r="E301" i="6"/>
  <c r="D301" i="12"/>
  <c r="H412" i="12"/>
  <c r="X412" i="5" a="1"/>
  <c r="X412" i="5" s="1"/>
  <c r="N269" i="12"/>
  <c r="Y292" i="12"/>
  <c r="Y103" i="12"/>
  <c r="AB486" i="5"/>
  <c r="X145" i="12"/>
  <c r="W145" i="12"/>
  <c r="E109" i="6"/>
  <c r="D109" i="12"/>
  <c r="O159" i="5"/>
  <c r="C159" i="6"/>
  <c r="AC159" i="5" a="1"/>
  <c r="AC159" i="5" s="1"/>
  <c r="X333" i="12"/>
  <c r="W333" i="12"/>
  <c r="Y316" i="12"/>
  <c r="N494" i="12"/>
  <c r="E77" i="6"/>
  <c r="D77" i="12"/>
  <c r="C264" i="6"/>
  <c r="O264" i="5"/>
  <c r="AC264" i="5" a="1"/>
  <c r="AC264" i="5" s="1"/>
  <c r="D170" i="12"/>
  <c r="E170" i="6"/>
  <c r="Y247" i="12"/>
  <c r="J299" i="12" a="1"/>
  <c r="J299" i="12" s="1"/>
  <c r="L299" i="12" a="1"/>
  <c r="L299" i="12" s="1"/>
  <c r="C299" i="12"/>
  <c r="AO118" i="12"/>
  <c r="Y119" i="12"/>
  <c r="J87" i="12" a="1"/>
  <c r="J87" i="12" s="1"/>
  <c r="C87" i="12"/>
  <c r="L87" i="12" a="1"/>
  <c r="L87" i="12" s="1"/>
  <c r="K87" i="12" s="1"/>
  <c r="Y99" i="12"/>
  <c r="N76" i="12"/>
  <c r="Y403" i="12"/>
  <c r="Y174" i="12"/>
  <c r="AO173" i="12"/>
  <c r="Y84" i="12"/>
  <c r="D184" i="12"/>
  <c r="E184" i="6"/>
  <c r="D146" i="12"/>
  <c r="E146" i="6"/>
  <c r="E495" i="6"/>
  <c r="D495" i="12"/>
  <c r="D37" i="12"/>
  <c r="E37" i="6"/>
  <c r="D84" i="12"/>
  <c r="E84" i="6"/>
  <c r="D394" i="12"/>
  <c r="E394" i="6"/>
  <c r="W408" i="12"/>
  <c r="X408" i="12"/>
  <c r="D171" i="12"/>
  <c r="E171" i="6"/>
  <c r="Y206" i="12"/>
  <c r="Y497" i="12"/>
  <c r="C148" i="12"/>
  <c r="J148" i="12" a="1"/>
  <c r="J148" i="12" s="1"/>
  <c r="L148" i="12" a="1"/>
  <c r="L148" i="12" s="1"/>
  <c r="O148" i="12"/>
  <c r="N148" i="12" s="1"/>
  <c r="N149" i="12"/>
  <c r="O147" i="12"/>
  <c r="L498" i="12" a="1"/>
  <c r="L498" i="12" s="1"/>
  <c r="C498" i="12"/>
  <c r="J498" i="12" a="1"/>
  <c r="J498" i="12" s="1"/>
  <c r="E64" i="6"/>
  <c r="D64" i="12"/>
  <c r="M395" i="12"/>
  <c r="N192" i="12"/>
  <c r="E325" i="6"/>
  <c r="D325" i="12"/>
  <c r="X433" i="5" a="1"/>
  <c r="X433" i="5" s="1"/>
  <c r="H433" i="12"/>
  <c r="N325" i="12"/>
  <c r="H466" i="12"/>
  <c r="X466" i="5" a="1"/>
  <c r="X466" i="5" s="1"/>
  <c r="D136" i="12"/>
  <c r="E136" i="6"/>
  <c r="X364" i="12"/>
  <c r="Y91" i="12"/>
  <c r="Y390" i="12"/>
  <c r="W214" i="12"/>
  <c r="X214" i="12"/>
  <c r="Y301" i="12"/>
  <c r="W439" i="12"/>
  <c r="X439" i="12"/>
  <c r="X380" i="5" a="1"/>
  <c r="X380" i="5" s="1"/>
  <c r="H380" i="12"/>
  <c r="X176" i="12"/>
  <c r="W176" i="12"/>
  <c r="W222" i="12"/>
  <c r="X222" i="12"/>
  <c r="D307" i="12"/>
  <c r="E307" i="6"/>
  <c r="E390" i="6"/>
  <c r="D390" i="12"/>
  <c r="D90" i="12"/>
  <c r="E90" i="6"/>
  <c r="D304" i="12"/>
  <c r="E304" i="6"/>
  <c r="X22" i="12"/>
  <c r="W22" i="12"/>
  <c r="E108" i="6"/>
  <c r="D108" i="12"/>
  <c r="H435" i="12"/>
  <c r="X435" i="5" a="1"/>
  <c r="X435" i="5" s="1"/>
  <c r="X281" i="12"/>
  <c r="W281" i="12"/>
  <c r="N217" i="12"/>
  <c r="C118" i="6"/>
  <c r="O118" i="5"/>
  <c r="AC118" i="5" a="1"/>
  <c r="AC118" i="5" s="1"/>
  <c r="Y23" i="12"/>
  <c r="L327" i="12" a="1"/>
  <c r="L327" i="12" s="1"/>
  <c r="J327" i="12" a="1"/>
  <c r="J327" i="12" s="1"/>
  <c r="C327" i="12"/>
  <c r="D82" i="12"/>
  <c r="E82" i="6"/>
  <c r="D204" i="12"/>
  <c r="E204" i="6"/>
  <c r="E217" i="6"/>
  <c r="D217" i="12"/>
  <c r="H429" i="12"/>
  <c r="X429" i="5" a="1"/>
  <c r="X429" i="5" s="1"/>
  <c r="H221" i="12"/>
  <c r="X221" i="5" a="1"/>
  <c r="X221" i="5" s="1"/>
  <c r="W253" i="12"/>
  <c r="X253" i="12"/>
  <c r="Y234" i="12"/>
  <c r="Y135" i="12"/>
  <c r="AO134" i="12"/>
  <c r="H228" i="12"/>
  <c r="X228" i="5" a="1"/>
  <c r="X228" i="5" s="1"/>
  <c r="E403" i="6"/>
  <c r="D403" i="12"/>
  <c r="N271" i="12"/>
  <c r="E371" i="6"/>
  <c r="D371" i="12"/>
  <c r="O118" i="12"/>
  <c r="N118" i="12" s="1"/>
  <c r="N119" i="12"/>
  <c r="M173" i="12"/>
  <c r="N255" i="12"/>
  <c r="E117" i="6"/>
  <c r="D117" i="12"/>
  <c r="Y143" i="12"/>
  <c r="M201" i="12"/>
  <c r="H415" i="12"/>
  <c r="X415" i="5" a="1"/>
  <c r="X415" i="5" s="1"/>
  <c r="D143" i="12"/>
  <c r="E143" i="6"/>
  <c r="N46" i="12"/>
  <c r="E151" i="6"/>
  <c r="D151" i="12"/>
  <c r="AO147" i="12"/>
  <c r="Y147" i="12" s="1"/>
  <c r="AO148" i="12"/>
  <c r="Y149" i="12"/>
  <c r="X315" i="5" a="1"/>
  <c r="X315" i="5" s="1"/>
  <c r="H315" i="12"/>
  <c r="C498" i="6"/>
  <c r="AC498" i="5" a="1"/>
  <c r="AC498" i="5" s="1"/>
  <c r="O498" i="5"/>
  <c r="Y284" i="12"/>
  <c r="Y185" i="12"/>
  <c r="D406" i="12"/>
  <c r="E406" i="6"/>
  <c r="Y414" i="12"/>
  <c r="D127" i="12"/>
  <c r="E127" i="6"/>
  <c r="D56" i="12"/>
  <c r="E56" i="6"/>
  <c r="D69" i="12"/>
  <c r="E69" i="6"/>
  <c r="E378" i="6"/>
  <c r="D378" i="12"/>
  <c r="X325" i="12"/>
  <c r="W325" i="12"/>
  <c r="Y332" i="12"/>
  <c r="AC480" i="5" a="1"/>
  <c r="AC480" i="5" s="1"/>
  <c r="C480" i="6"/>
  <c r="O480" i="5"/>
  <c r="Y254" i="12"/>
  <c r="W450" i="12"/>
  <c r="X450" i="12"/>
  <c r="H273" i="12"/>
  <c r="X273" i="5" a="1"/>
  <c r="X273" i="5" s="1"/>
  <c r="N309" i="12"/>
  <c r="Y73" i="12"/>
  <c r="AO72" i="12"/>
  <c r="D499" i="12"/>
  <c r="E499" i="6"/>
  <c r="D20" i="12"/>
  <c r="E20" i="6"/>
  <c r="D164" i="12"/>
  <c r="E164" i="6"/>
  <c r="D175" i="12"/>
  <c r="E175" i="6"/>
  <c r="W38" i="12"/>
  <c r="X38" i="12"/>
  <c r="Y251" i="12"/>
  <c r="H465" i="12"/>
  <c r="X465" i="5" a="1"/>
  <c r="X465" i="5" s="1"/>
  <c r="N345" i="12"/>
  <c r="Y213" i="12"/>
  <c r="N186" i="12"/>
  <c r="AO357" i="12"/>
  <c r="Y358" i="12"/>
  <c r="J44" i="12" a="1"/>
  <c r="J44" i="12" s="1"/>
  <c r="C44" i="12"/>
  <c r="L44" i="12" a="1"/>
  <c r="L44" i="12" s="1"/>
  <c r="N281" i="12"/>
  <c r="Y330" i="12"/>
  <c r="Y334" i="12"/>
  <c r="E187" i="6"/>
  <c r="D187" i="12"/>
  <c r="N158" i="12"/>
  <c r="M159" i="12"/>
  <c r="Y279" i="12"/>
  <c r="AO278" i="12"/>
  <c r="Y278" i="12" s="1"/>
  <c r="X476" i="12"/>
  <c r="W476" i="12"/>
  <c r="Y162" i="12"/>
  <c r="D144" i="12"/>
  <c r="E144" i="6"/>
  <c r="D291" i="12"/>
  <c r="E291" i="6"/>
  <c r="Y352" i="12"/>
  <c r="D66" i="12"/>
  <c r="E66" i="6"/>
  <c r="N77" i="12"/>
  <c r="Y75" i="12"/>
  <c r="AO106" i="12"/>
  <c r="AO105" i="12"/>
  <c r="Y107" i="12"/>
  <c r="J17" i="12" a="1"/>
  <c r="J17" i="12" s="1"/>
  <c r="C17" i="12"/>
  <c r="L17" i="12" a="1"/>
  <c r="L17" i="12" s="1"/>
  <c r="M134" i="12"/>
  <c r="D267" i="12"/>
  <c r="E267" i="6"/>
  <c r="Y494" i="12"/>
  <c r="O486" i="12"/>
  <c r="N487" i="12"/>
  <c r="AB52" i="5"/>
  <c r="D163" i="12"/>
  <c r="E163" i="6"/>
  <c r="Y371" i="12"/>
  <c r="C201" i="12"/>
  <c r="J201" i="12" a="1"/>
  <c r="J201" i="12" s="1"/>
  <c r="L201" i="12" a="1"/>
  <c r="L201" i="12" s="1"/>
  <c r="K201" i="12" s="1"/>
  <c r="E255" i="6"/>
  <c r="D255" i="12"/>
  <c r="N258" i="12"/>
  <c r="Y271" i="12"/>
  <c r="N247" i="12"/>
  <c r="X461" i="5" a="1"/>
  <c r="X461" i="5" s="1"/>
  <c r="H461" i="12"/>
  <c r="Y165" i="12"/>
  <c r="E115" i="6"/>
  <c r="D115" i="12"/>
  <c r="N416" i="12"/>
  <c r="Y202" i="12"/>
  <c r="AO201" i="12"/>
  <c r="Y150" i="12"/>
  <c r="Y47" i="12"/>
  <c r="E29" i="6"/>
  <c r="D29" i="12"/>
  <c r="E203" i="6"/>
  <c r="D203" i="12"/>
  <c r="D96" i="12"/>
  <c r="E96" i="6"/>
  <c r="C188" i="12"/>
  <c r="J188" i="12" a="1"/>
  <c r="J188" i="12" s="1"/>
  <c r="L188" i="12" a="1"/>
  <c r="L188" i="12" s="1"/>
  <c r="C57" i="12"/>
  <c r="L57" i="12" a="1"/>
  <c r="L57" i="12" s="1"/>
  <c r="J57" i="12" a="1"/>
  <c r="J57" i="12" s="1"/>
  <c r="AC148" i="5" a="1"/>
  <c r="AC148" i="5" s="1"/>
  <c r="C148" i="6"/>
  <c r="O148" i="5"/>
  <c r="AO124" i="12"/>
  <c r="Y125" i="12"/>
  <c r="D54" i="12"/>
  <c r="E54" i="6"/>
  <c r="E268" i="6"/>
  <c r="D268" i="12"/>
  <c r="N185" i="12"/>
  <c r="O61" i="5"/>
  <c r="C61" i="6"/>
  <c r="AC61" i="5" a="1"/>
  <c r="AC61" i="5" s="1"/>
  <c r="X157" i="12"/>
  <c r="W157" i="12"/>
  <c r="D152" i="12"/>
  <c r="E152" i="6"/>
  <c r="N183" i="12"/>
  <c r="D150" i="12"/>
  <c r="E150" i="6"/>
  <c r="X355" i="5" a="1"/>
  <c r="X355" i="5" s="1"/>
  <c r="H355" i="12"/>
  <c r="N73" i="12"/>
  <c r="O72" i="12"/>
  <c r="N72" i="12" s="1"/>
  <c r="AO500" i="12"/>
  <c r="Y501" i="12"/>
  <c r="X181" i="12"/>
  <c r="W181" i="12"/>
  <c r="E21" i="6"/>
  <c r="D21" i="12"/>
  <c r="X211" i="12"/>
  <c r="W211" i="12"/>
  <c r="Y81" i="12"/>
  <c r="H423" i="12"/>
  <c r="X423" i="5" a="1"/>
  <c r="X423" i="5" s="1"/>
  <c r="Y451" i="12"/>
  <c r="E137" i="6"/>
  <c r="D137" i="12"/>
  <c r="X71" i="12"/>
  <c r="W71" i="12"/>
  <c r="D331" i="12"/>
  <c r="E331" i="6"/>
  <c r="X306" i="12"/>
  <c r="W306" i="12"/>
  <c r="D121" i="12"/>
  <c r="E121" i="6"/>
  <c r="X338" i="5" a="1"/>
  <c r="X338" i="5" s="1"/>
  <c r="H338" i="12"/>
  <c r="L385" i="12" a="1"/>
  <c r="L385" i="12" s="1"/>
  <c r="C385" i="12"/>
  <c r="J385" i="12" a="1"/>
  <c r="J385" i="12" s="1"/>
  <c r="AB489" i="5"/>
  <c r="L208" i="12" a="1"/>
  <c r="L208" i="12" s="1"/>
  <c r="K208" i="12" s="1"/>
  <c r="C208" i="12"/>
  <c r="J208" i="12" a="1"/>
  <c r="J208" i="12" s="1"/>
  <c r="X186" i="12"/>
  <c r="W186" i="12"/>
  <c r="C489" i="6"/>
  <c r="O489" i="5"/>
  <c r="AC489" i="5" a="1"/>
  <c r="AC489" i="5" s="1"/>
  <c r="W121" i="12"/>
  <c r="X121" i="12"/>
  <c r="H469" i="12"/>
  <c r="X469" i="5" a="1"/>
  <c r="X469" i="5" s="1"/>
  <c r="X128" i="12"/>
  <c r="W128" i="12"/>
  <c r="L100" i="12" a="1"/>
  <c r="L100" i="12" s="1"/>
  <c r="C100" i="12"/>
  <c r="J100" i="12" a="1"/>
  <c r="J100" i="12" s="1"/>
  <c r="E206" i="6"/>
  <c r="D206" i="12"/>
  <c r="H227" i="12"/>
  <c r="X227" i="5" a="1"/>
  <c r="X227" i="5" s="1"/>
  <c r="X158" i="12"/>
  <c r="W158" i="12"/>
  <c r="N160" i="12"/>
  <c r="O159" i="12"/>
  <c r="Y367" i="12"/>
  <c r="N101" i="12"/>
  <c r="O100" i="12"/>
  <c r="X496" i="5" a="1"/>
  <c r="X496" i="5" s="1"/>
  <c r="H496" i="12"/>
  <c r="N352" i="12"/>
  <c r="E53" i="6"/>
  <c r="D53" i="12"/>
  <c r="D334" i="12"/>
  <c r="E334" i="6"/>
  <c r="E397" i="6"/>
  <c r="D397" i="12"/>
  <c r="X163" i="12"/>
  <c r="W163" i="12"/>
  <c r="M105" i="12"/>
  <c r="M106" i="12"/>
  <c r="E269" i="6"/>
  <c r="D269" i="12"/>
  <c r="AA19" i="8" a="1"/>
  <c r="AA19" i="8" s="1"/>
  <c r="U19" i="8" a="1"/>
  <c r="U19" i="8" s="1"/>
  <c r="AB19" i="8" a="1"/>
  <c r="AB19" i="8" s="1"/>
  <c r="X19" i="8" a="1"/>
  <c r="X19" i="8" s="1"/>
  <c r="Y19" i="8" a="1"/>
  <c r="Y19" i="8" s="1"/>
  <c r="H17" i="8" a="1"/>
  <c r="H17" i="8" s="1"/>
  <c r="J18" i="8" s="1"/>
  <c r="Z19" i="8" a="1"/>
  <c r="Z19" i="8" s="1"/>
  <c r="AC19" i="8" a="1"/>
  <c r="AC19" i="8" s="1"/>
  <c r="W19" i="8" a="1"/>
  <c r="W19" i="8" s="1"/>
  <c r="E19" i="8" a="1"/>
  <c r="E19" i="8" s="1"/>
  <c r="V19" i="8" a="1"/>
  <c r="V19" i="8" s="1"/>
  <c r="H18" i="8" a="1"/>
  <c r="H18" i="8" s="1"/>
  <c r="AD19" i="8" a="1"/>
  <c r="AD19" i="8" s="1"/>
  <c r="AF19" i="8" a="1"/>
  <c r="AF19" i="8" s="1"/>
  <c r="G17" i="8"/>
  <c r="G18" i="8" s="1" a="1"/>
  <c r="G18" i="8" s="1"/>
  <c r="AE19" i="8" a="1"/>
  <c r="AE19" i="8" s="1"/>
  <c r="W85" i="12"/>
  <c r="X85" i="12"/>
  <c r="AB362" i="5"/>
  <c r="O201" i="5"/>
  <c r="C201" i="6"/>
  <c r="AC201" i="5" a="1"/>
  <c r="AC201" i="5" s="1"/>
  <c r="W156" i="12"/>
  <c r="X156" i="12"/>
  <c r="W258" i="12"/>
  <c r="X258" i="12"/>
  <c r="O506" i="5"/>
  <c r="AC506" i="5" a="1"/>
  <c r="AC506" i="5" s="1"/>
  <c r="C506" i="6"/>
  <c r="H452" i="12"/>
  <c r="X452" i="5" a="1"/>
  <c r="X452" i="5" s="1"/>
  <c r="D363" i="12"/>
  <c r="E363" i="6"/>
  <c r="E122" i="6"/>
  <c r="D122" i="12"/>
  <c r="D333" i="12"/>
  <c r="E333" i="6"/>
  <c r="D300" i="12"/>
  <c r="E300" i="6"/>
  <c r="H296" i="12"/>
  <c r="X296" i="5" a="1"/>
  <c r="X296" i="5" s="1"/>
  <c r="D444" i="12"/>
  <c r="E444" i="6"/>
  <c r="J129" i="12" a="1"/>
  <c r="J129" i="12" s="1"/>
  <c r="L129" i="12" a="1"/>
  <c r="L129" i="12" s="1"/>
  <c r="C129" i="12"/>
  <c r="E396" i="6"/>
  <c r="D396" i="12"/>
  <c r="W184" i="12"/>
  <c r="X184" i="12"/>
  <c r="N202" i="12"/>
  <c r="O201" i="12"/>
  <c r="N201" i="12" s="1"/>
  <c r="W447" i="12"/>
  <c r="X447" i="12"/>
  <c r="W70" i="12"/>
  <c r="X70" i="12"/>
  <c r="D181" i="12"/>
  <c r="E181" i="6"/>
  <c r="O124" i="12"/>
  <c r="N125" i="12"/>
  <c r="X440" i="12"/>
  <c r="W440" i="12"/>
  <c r="E484" i="6"/>
  <c r="D484" i="12"/>
  <c r="D58" i="12"/>
  <c r="E58" i="6"/>
  <c r="W98" i="12"/>
  <c r="X98" i="12"/>
  <c r="J61" i="12" a="1"/>
  <c r="J61" i="12" s="1"/>
  <c r="C61" i="12"/>
  <c r="L61" i="12" a="1"/>
  <c r="L61" i="12" s="1"/>
  <c r="K61" i="12" s="1"/>
  <c r="H427" i="12"/>
  <c r="X427" i="5" a="1"/>
  <c r="X427" i="5" s="1"/>
  <c r="C95" i="12"/>
  <c r="J95" i="12" a="1"/>
  <c r="J95" i="12" s="1"/>
  <c r="L95" i="12" a="1"/>
  <c r="L95" i="12" s="1"/>
  <c r="K95" i="12" s="1"/>
  <c r="W250" i="12"/>
  <c r="X250" i="12"/>
  <c r="E411" i="6"/>
  <c r="D411" i="12"/>
  <c r="W175" i="12"/>
  <c r="X175" i="12"/>
  <c r="X379" i="5" a="1"/>
  <c r="X379" i="5" s="1"/>
  <c r="H379" i="12"/>
  <c r="X420" i="12"/>
  <c r="W420" i="12"/>
  <c r="O188" i="12"/>
  <c r="N189" i="12"/>
  <c r="D391" i="12"/>
  <c r="E391" i="6"/>
  <c r="X240" i="5" a="1"/>
  <c r="X240" i="5" s="1"/>
  <c r="H240" i="12"/>
  <c r="N102" i="12"/>
  <c r="O500" i="12"/>
  <c r="N500" i="12" s="1"/>
  <c r="N501" i="12"/>
  <c r="E190" i="6"/>
  <c r="D190" i="12"/>
  <c r="X123" i="12"/>
  <c r="W123" i="12"/>
  <c r="W482" i="12"/>
  <c r="X482" i="12"/>
  <c r="X448" i="12"/>
  <c r="D93" i="12"/>
  <c r="E93" i="6"/>
  <c r="Y136" i="12"/>
  <c r="Y132" i="12"/>
  <c r="E214" i="6"/>
  <c r="D214" i="12"/>
  <c r="X230" i="5" a="1"/>
  <c r="X230" i="5" s="1"/>
  <c r="H230" i="12"/>
  <c r="L489" i="12" a="1"/>
  <c r="L489" i="12" s="1"/>
  <c r="J489" i="12" a="1"/>
  <c r="J489" i="12" s="1"/>
  <c r="C489" i="12"/>
  <c r="N358" i="12"/>
  <c r="O357" i="12"/>
  <c r="M208" i="12"/>
  <c r="M207" i="12"/>
  <c r="E488" i="6"/>
  <c r="D488" i="12"/>
  <c r="X305" i="12"/>
  <c r="W305" i="12"/>
  <c r="E491" i="6"/>
  <c r="D491" i="12"/>
  <c r="N387" i="12"/>
  <c r="X336" i="12"/>
  <c r="W336" i="12"/>
  <c r="N504" i="12"/>
  <c r="E281" i="6"/>
  <c r="D281" i="12"/>
  <c r="E501" i="6"/>
  <c r="D501" i="12"/>
  <c r="AO159" i="12"/>
  <c r="Y160" i="12"/>
  <c r="N367" i="12"/>
  <c r="M100" i="12"/>
  <c r="X320" i="5" a="1"/>
  <c r="X320" i="5" s="1"/>
  <c r="H320" i="12"/>
  <c r="E160" i="6"/>
  <c r="D160" i="12"/>
  <c r="O18" i="5"/>
  <c r="C18" i="6"/>
  <c r="AC18" i="5" a="1"/>
  <c r="AC18" i="5" s="1"/>
  <c r="D162" i="12"/>
  <c r="E162" i="6"/>
  <c r="C140" i="12"/>
  <c r="J140" i="12" a="1"/>
  <c r="J140" i="12" s="1"/>
  <c r="L140" i="12" a="1"/>
  <c r="L140" i="12" s="1"/>
  <c r="X438" i="5" a="1"/>
  <c r="X438" i="5" s="1"/>
  <c r="H438" i="12"/>
  <c r="E126" i="6"/>
  <c r="D126" i="12"/>
  <c r="X35" i="12"/>
  <c r="W35" i="12"/>
  <c r="N75" i="12"/>
  <c r="N253" i="12"/>
  <c r="O105" i="12"/>
  <c r="N105" i="12" s="1"/>
  <c r="O106" i="12"/>
  <c r="N107" i="12"/>
  <c r="O134" i="12"/>
  <c r="N134" i="12" s="1"/>
  <c r="N135" i="12"/>
  <c r="D285" i="12"/>
  <c r="E285" i="6"/>
  <c r="Y138" i="12"/>
  <c r="AO486" i="12"/>
  <c r="Y487" i="12"/>
  <c r="N156" i="12"/>
  <c r="N443" i="12"/>
  <c r="C28" i="6"/>
  <c r="O28" i="5"/>
  <c r="AC28" i="5" a="1"/>
  <c r="AC28" i="5" s="1"/>
  <c r="L506" i="12" a="1"/>
  <c r="L506" i="12" s="1"/>
  <c r="C506" i="12"/>
  <c r="J506" i="12" a="1"/>
  <c r="J506" i="12" s="1"/>
  <c r="Y104" i="12"/>
  <c r="N32" i="12"/>
  <c r="N170" i="12"/>
  <c r="N455" i="12"/>
  <c r="Y349" i="12"/>
  <c r="D270" i="12"/>
  <c r="E270" i="6"/>
  <c r="Y133" i="12"/>
  <c r="N335" i="12"/>
  <c r="AO312" i="12"/>
  <c r="Y313" i="12"/>
  <c r="C129" i="6"/>
  <c r="O129" i="5"/>
  <c r="AC129" i="5" a="1"/>
  <c r="AC129" i="5" s="1"/>
  <c r="Y122" i="12"/>
  <c r="Y50" i="12"/>
  <c r="AO49" i="12"/>
  <c r="AO48" i="12"/>
  <c r="D76" i="12"/>
  <c r="E76" i="6"/>
  <c r="X275" i="5" a="1"/>
  <c r="X275" i="5" s="1"/>
  <c r="H275" i="12"/>
  <c r="N353" i="12"/>
  <c r="C188" i="6"/>
  <c r="AC188" i="5" a="1"/>
  <c r="AC188" i="5" s="1"/>
  <c r="O188" i="5"/>
  <c r="C57" i="6"/>
  <c r="O57" i="5"/>
  <c r="AC57" i="5" a="1"/>
  <c r="AC57" i="5" s="1"/>
  <c r="M124" i="12"/>
  <c r="E183" i="6"/>
  <c r="D183" i="12"/>
  <c r="E193" i="6"/>
  <c r="D193" i="12"/>
  <c r="N205" i="12"/>
  <c r="N98" i="12"/>
  <c r="E310" i="6"/>
  <c r="D310" i="12"/>
  <c r="D114" i="12"/>
  <c r="E114" i="6"/>
  <c r="E279" i="6"/>
  <c r="D279" i="12"/>
  <c r="Y399" i="12"/>
  <c r="N123" i="12"/>
  <c r="N482" i="12"/>
  <c r="N306" i="12"/>
  <c r="N448" i="12"/>
  <c r="H241" i="12"/>
  <c r="X241" i="5" a="1"/>
  <c r="X241" i="5" s="1"/>
  <c r="AO498" i="12"/>
  <c r="Y499" i="12"/>
  <c r="D102" i="12"/>
  <c r="E102" i="6"/>
  <c r="N210" i="12"/>
  <c r="N53" i="12"/>
  <c r="O52" i="12"/>
  <c r="N86" i="12"/>
  <c r="M357" i="12"/>
  <c r="E502" i="6"/>
  <c r="D502" i="12"/>
  <c r="AO207" i="12"/>
  <c r="Y209" i="12"/>
  <c r="AO208" i="12"/>
  <c r="Y131" i="12"/>
  <c r="C52" i="6"/>
  <c r="O52" i="5"/>
  <c r="AC52" i="5" a="1"/>
  <c r="AC52" i="5" s="1"/>
  <c r="E328" i="6"/>
  <c r="D328" i="12"/>
  <c r="N128" i="12"/>
  <c r="Y82" i="12"/>
  <c r="C100" i="6"/>
  <c r="O100" i="5"/>
  <c r="AC100" i="5" a="1"/>
  <c r="AC100" i="5" s="1"/>
  <c r="Y387" i="12"/>
  <c r="Y64" i="12"/>
  <c r="N336" i="12"/>
  <c r="E145" i="6"/>
  <c r="D145" i="12"/>
  <c r="AO100" i="12"/>
  <c r="Y100" i="12" s="1"/>
  <c r="Y101" i="12"/>
  <c r="N476" i="12"/>
  <c r="N285" i="12"/>
  <c r="AB44" i="5"/>
  <c r="J105" i="12" a="1"/>
  <c r="J105" i="12" s="1"/>
  <c r="C105" i="12"/>
  <c r="L105" i="12" a="1"/>
  <c r="L105" i="12" s="1"/>
  <c r="J134" i="12" a="1"/>
  <c r="J134" i="12" s="1"/>
  <c r="C134" i="12"/>
  <c r="L134" i="12" a="1"/>
  <c r="L134" i="12" s="1"/>
  <c r="E447" i="6"/>
  <c r="D447" i="12"/>
  <c r="N35" i="12"/>
  <c r="M327" i="12"/>
  <c r="N236" i="12"/>
  <c r="D388" i="12"/>
  <c r="E388" i="6"/>
  <c r="AC357" i="5" a="1"/>
  <c r="AC357" i="5" s="1"/>
  <c r="C357" i="6"/>
  <c r="O357" i="5"/>
  <c r="H239" i="12"/>
  <c r="X239" i="5" a="1"/>
  <c r="X239" i="5" s="1"/>
  <c r="E336" i="6"/>
  <c r="D336" i="12"/>
  <c r="M486" i="12"/>
  <c r="D166" i="12"/>
  <c r="E166" i="6"/>
  <c r="E389" i="6"/>
  <c r="D389" i="12"/>
  <c r="Y443" i="12"/>
  <c r="Y407" i="12"/>
  <c r="Y394" i="12"/>
  <c r="W455" i="12"/>
  <c r="X455" i="12"/>
  <c r="X467" i="5" a="1"/>
  <c r="X467" i="5" s="1"/>
  <c r="H467" i="12"/>
  <c r="E309" i="6"/>
  <c r="D309" i="12"/>
  <c r="D31" i="12"/>
  <c r="E31" i="6"/>
  <c r="N133" i="12"/>
  <c r="C289" i="6"/>
  <c r="AC289" i="5" a="1"/>
  <c r="AC289" i="5" s="1"/>
  <c r="O289" i="5"/>
  <c r="W416" i="12"/>
  <c r="X416" i="12"/>
  <c r="Y267" i="12"/>
  <c r="N313" i="12"/>
  <c r="O312" i="12"/>
  <c r="N312" i="12" s="1"/>
  <c r="D133" i="12"/>
  <c r="E133" i="6"/>
  <c r="N150" i="12"/>
  <c r="M49" i="12"/>
  <c r="M48" i="12"/>
  <c r="C49" i="6"/>
  <c r="O49" i="5"/>
  <c r="AC49" i="5" a="1"/>
  <c r="AC49" i="5" s="1"/>
  <c r="O30" i="12"/>
  <c r="N31" i="12"/>
  <c r="Y79" i="12"/>
  <c r="N411" i="12"/>
  <c r="X436" i="12"/>
  <c r="W436" i="12"/>
  <c r="N440" i="12"/>
  <c r="H470" i="12"/>
  <c r="X470" i="5" a="1"/>
  <c r="X470" i="5" s="1"/>
  <c r="X205" i="12"/>
  <c r="W205" i="12"/>
  <c r="W404" i="12"/>
  <c r="X404" i="12"/>
  <c r="Y196" i="12"/>
  <c r="AB201" i="5"/>
  <c r="X193" i="12"/>
  <c r="W193" i="12"/>
  <c r="D80" i="12"/>
  <c r="E80" i="6"/>
  <c r="N458" i="12"/>
  <c r="O457" i="12"/>
  <c r="N457" i="12" s="1"/>
  <c r="X398" i="12"/>
  <c r="W398" i="12"/>
  <c r="H472" i="12"/>
  <c r="X472" i="5" a="1"/>
  <c r="X472" i="5" s="1"/>
  <c r="N399" i="12"/>
  <c r="N252" i="12"/>
  <c r="AB124" i="5"/>
  <c r="E213" i="6"/>
  <c r="D213" i="12"/>
  <c r="D91" i="12"/>
  <c r="E91" i="6"/>
  <c r="E252" i="6"/>
  <c r="D252" i="12"/>
  <c r="W210" i="12"/>
  <c r="X210" i="12"/>
  <c r="Y171" i="12"/>
  <c r="X232" i="5" a="1"/>
  <c r="X232" i="5" s="1"/>
  <c r="H232" i="12"/>
  <c r="E482" i="6"/>
  <c r="D482" i="12"/>
  <c r="D155" i="12"/>
  <c r="E155" i="6"/>
  <c r="E36" i="6"/>
  <c r="D36" i="12"/>
  <c r="O208" i="12"/>
  <c r="N208" i="12" s="1"/>
  <c r="O207" i="12"/>
  <c r="N207" i="12" s="1"/>
  <c r="N209" i="12"/>
  <c r="L52" i="12" a="1"/>
  <c r="L52" i="12" s="1"/>
  <c r="C52" i="12"/>
  <c r="J52" i="12" a="1"/>
  <c r="J52" i="12" s="1"/>
  <c r="N386" i="12"/>
  <c r="O385" i="12"/>
  <c r="N90" i="12"/>
  <c r="H475" i="12"/>
  <c r="X475" i="5" a="1"/>
  <c r="X475" i="5" s="1"/>
  <c r="Y33" i="12"/>
  <c r="Y504" i="12"/>
  <c r="N66" i="12"/>
  <c r="D110" i="12"/>
  <c r="E110" i="6"/>
  <c r="X229" i="5" a="1"/>
  <c r="X229" i="5" s="1"/>
  <c r="H229" i="12"/>
  <c r="L207" i="12" a="1"/>
  <c r="L207" i="12" s="1"/>
  <c r="J207" i="12" a="1"/>
  <c r="J207" i="12" s="1"/>
  <c r="C207" i="12"/>
  <c r="D174" i="12"/>
  <c r="E174" i="6"/>
  <c r="C18" i="12"/>
  <c r="J18" i="12" a="1"/>
  <c r="J18" i="12" s="1"/>
  <c r="L18" i="12" a="1"/>
  <c r="L18" i="12" s="1"/>
  <c r="K18" i="12" s="1"/>
  <c r="D249" i="12"/>
  <c r="E249" i="6"/>
  <c r="X372" i="5" a="1"/>
  <c r="X372" i="5" s="1"/>
  <c r="H372" i="12"/>
  <c r="Y139" i="12"/>
  <c r="Y328" i="12"/>
  <c r="AO327" i="12"/>
  <c r="Y236" i="12"/>
  <c r="Y382" i="12"/>
  <c r="X322" i="5" a="1"/>
  <c r="X322" i="5" s="1"/>
  <c r="H322" i="12"/>
  <c r="N104" i="12"/>
  <c r="W32" i="12"/>
  <c r="X32" i="12"/>
  <c r="N407" i="12"/>
  <c r="E177" i="6"/>
  <c r="D177" i="12"/>
  <c r="AB188" i="5"/>
  <c r="W170" i="12"/>
  <c r="X170" i="12"/>
  <c r="W117" i="12"/>
  <c r="X117" i="12"/>
  <c r="J59" i="12" a="1"/>
  <c r="J59" i="12" s="1"/>
  <c r="C59" i="12"/>
  <c r="L59" i="12" a="1"/>
  <c r="L59" i="12" s="1"/>
  <c r="M129" i="12"/>
  <c r="C289" i="12"/>
  <c r="J289" i="12" a="1"/>
  <c r="J289" i="12" s="1"/>
  <c r="L289" i="12" a="1"/>
  <c r="L289" i="12" s="1"/>
  <c r="K289" i="12" s="1"/>
  <c r="N267" i="12"/>
  <c r="D104" i="12"/>
  <c r="E104" i="6"/>
  <c r="Y300" i="12"/>
  <c r="AO299" i="12"/>
  <c r="Y299" i="12" s="1"/>
  <c r="O48" i="12"/>
  <c r="N50" i="12"/>
  <c r="O49" i="12"/>
  <c r="W353" i="12"/>
  <c r="X353" i="12"/>
  <c r="AO30" i="12"/>
  <c r="Y30" i="12" s="1"/>
  <c r="Y31" i="12"/>
  <c r="Y310" i="12"/>
  <c r="Y411" i="12"/>
  <c r="N436" i="12"/>
  <c r="Y437" i="12"/>
  <c r="D34" i="12"/>
  <c r="E34" i="6"/>
  <c r="Y146" i="12"/>
  <c r="D458" i="12"/>
  <c r="E458" i="6"/>
  <c r="N404" i="12"/>
  <c r="O362" i="12"/>
  <c r="N363" i="12"/>
  <c r="H287" i="12"/>
  <c r="X287" i="5" a="1"/>
  <c r="X287" i="5" s="1"/>
  <c r="C95" i="6"/>
  <c r="O95" i="5"/>
  <c r="AC95" i="5" a="1"/>
  <c r="AC95" i="5" s="1"/>
  <c r="N193" i="12"/>
  <c r="E185" i="6"/>
  <c r="D185" i="12"/>
  <c r="AB299" i="5"/>
  <c r="W40" i="12"/>
  <c r="X40" i="12"/>
  <c r="X102" i="12"/>
  <c r="W102" i="12"/>
  <c r="E311" i="6"/>
  <c r="D311" i="12"/>
  <c r="C48" i="6"/>
  <c r="O48" i="5"/>
  <c r="AC48" i="5" a="1"/>
  <c r="AC48" i="5" s="1"/>
  <c r="Y493" i="12"/>
  <c r="D89" i="12"/>
  <c r="E89" i="6"/>
  <c r="E402" i="6"/>
  <c r="D402" i="12"/>
  <c r="W391" i="12"/>
  <c r="X391" i="12"/>
  <c r="O500" i="5"/>
  <c r="AC500" i="5" a="1"/>
  <c r="AC500" i="5" s="1"/>
  <c r="C500" i="6"/>
  <c r="N67" i="12"/>
  <c r="X78" i="12"/>
  <c r="W78" i="12"/>
  <c r="E178" i="6"/>
  <c r="D178" i="12"/>
  <c r="AO52" i="12"/>
  <c r="Y53" i="12"/>
  <c r="X238" i="5" a="1"/>
  <c r="X238" i="5" s="1"/>
  <c r="H238" i="12"/>
  <c r="N307" i="12"/>
  <c r="M385" i="12"/>
  <c r="D248" i="12"/>
  <c r="E248" i="6"/>
  <c r="O18" i="12"/>
  <c r="N19" i="12"/>
  <c r="O17" i="12"/>
  <c r="C173" i="6"/>
  <c r="AC173" i="5" a="1"/>
  <c r="AC173" i="5" s="1"/>
  <c r="O173" i="5"/>
  <c r="Y97" i="12"/>
  <c r="D107" i="12"/>
  <c r="E107" i="6"/>
  <c r="X66" i="12"/>
  <c r="W285" i="12"/>
  <c r="X285" i="12"/>
  <c r="N166" i="12"/>
  <c r="O105" i="5"/>
  <c r="C105" i="6"/>
  <c r="AC105" i="5" a="1"/>
  <c r="AC105" i="5" s="1"/>
  <c r="AB264" i="5"/>
  <c r="O140" i="5"/>
  <c r="C140" i="6"/>
  <c r="AC140" i="5" a="1"/>
  <c r="AC140" i="5" s="1"/>
  <c r="D83" i="12"/>
  <c r="E83" i="6"/>
  <c r="N328" i="12"/>
  <c r="O327" i="12"/>
  <c r="E97" i="6"/>
  <c r="D97" i="12"/>
  <c r="W319" i="12"/>
  <c r="X319" i="12"/>
  <c r="N265" i="12"/>
  <c r="O264" i="12"/>
  <c r="O87" i="12"/>
  <c r="N88" i="12"/>
  <c r="W177" i="12"/>
  <c r="X177" i="12"/>
  <c r="W288" i="12"/>
  <c r="X288" i="12"/>
  <c r="D450" i="12"/>
  <c r="E450" i="6"/>
  <c r="C28" i="12"/>
  <c r="L28" i="12" a="1"/>
  <c r="L28" i="12" s="1"/>
  <c r="J28" i="12" a="1"/>
  <c r="J28" i="12" s="1"/>
  <c r="X144" i="12"/>
  <c r="W144" i="12"/>
  <c r="Y397" i="12"/>
  <c r="N117" i="12"/>
  <c r="G29" i="8"/>
  <c r="G30" i="8" s="1" a="1"/>
  <c r="G30" i="8" s="1"/>
  <c r="Y31" i="8" a="1"/>
  <c r="Y31" i="8" s="1"/>
  <c r="Y29" i="8" s="1" a="1"/>
  <c r="Y29" i="8" s="1"/>
  <c r="W31" i="8" a="1"/>
  <c r="W31" i="8" s="1"/>
  <c r="W29" i="8" s="1" a="1"/>
  <c r="W29" i="8" s="1"/>
  <c r="AE31" i="8" a="1"/>
  <c r="AE31" i="8" s="1"/>
  <c r="AE29" i="8" s="1" a="1"/>
  <c r="AE29" i="8" s="1"/>
  <c r="AB31" i="8" a="1"/>
  <c r="AB31" i="8" s="1"/>
  <c r="V31" i="8" a="1"/>
  <c r="V31" i="8" s="1"/>
  <c r="V29" i="8" s="1" a="1"/>
  <c r="V29" i="8" s="1"/>
  <c r="AD31" i="8" a="1"/>
  <c r="AD31" i="8" s="1"/>
  <c r="AD29" i="8" s="1" a="1"/>
  <c r="AD29" i="8" s="1"/>
  <c r="E31" i="8" a="1"/>
  <c r="E31" i="8" s="1"/>
  <c r="E29" i="8" s="1" a="1"/>
  <c r="E29" i="8" s="1"/>
  <c r="AC31" i="8" a="1"/>
  <c r="AC31" i="8" s="1"/>
  <c r="AC29" i="8" s="1" a="1"/>
  <c r="AC29" i="8" s="1"/>
  <c r="AF31" i="8" a="1"/>
  <c r="AF31" i="8" s="1"/>
  <c r="AF29" i="8" s="1" a="1"/>
  <c r="AF29" i="8" s="1"/>
  <c r="Z31" i="8" a="1"/>
  <c r="Z31" i="8" s="1"/>
  <c r="Z29" i="8" s="1" a="1"/>
  <c r="Z29" i="8" s="1"/>
  <c r="H30" i="8" a="1"/>
  <c r="H30" i="8" s="1"/>
  <c r="AA31" i="8" a="1"/>
  <c r="AA31" i="8" s="1"/>
  <c r="AA29" i="8" s="1" a="1"/>
  <c r="AA29" i="8" s="1"/>
  <c r="U31" i="8" a="1"/>
  <c r="U31" i="8" s="1"/>
  <c r="U29" i="8" s="1" a="1"/>
  <c r="U29" i="8" s="1"/>
  <c r="X31" i="8" a="1"/>
  <c r="X31" i="8" s="1"/>
  <c r="Y130" i="12"/>
  <c r="AO129" i="12"/>
  <c r="Y129" i="12" s="1"/>
  <c r="X335" i="12"/>
  <c r="W335" i="12"/>
  <c r="X383" i="5" a="1"/>
  <c r="X383" i="5" s="1"/>
  <c r="H383" i="12"/>
  <c r="D98" i="12"/>
  <c r="E98" i="6"/>
  <c r="W270" i="12"/>
  <c r="X270" i="12"/>
  <c r="H274" i="12"/>
  <c r="X274" i="5" a="1"/>
  <c r="X274" i="5" s="1"/>
  <c r="D409" i="12"/>
  <c r="E409" i="6"/>
  <c r="X167" i="12"/>
  <c r="W167" i="12"/>
  <c r="E141" i="6"/>
  <c r="D141" i="12"/>
  <c r="W20" i="12"/>
  <c r="X20" i="12"/>
  <c r="D318" i="12"/>
  <c r="E318" i="6"/>
  <c r="Y223" i="12"/>
  <c r="E225" i="6"/>
  <c r="D225" i="12"/>
  <c r="AO506" i="12"/>
  <c r="Y507" i="12"/>
  <c r="E125" i="6"/>
  <c r="D125" i="12"/>
  <c r="M362" i="12"/>
  <c r="N409" i="12"/>
  <c r="E329" i="6"/>
  <c r="D329" i="12"/>
  <c r="X282" i="12"/>
  <c r="W282" i="12"/>
  <c r="X425" i="5" a="1"/>
  <c r="X425" i="5" s="1"/>
  <c r="H425" i="12"/>
  <c r="E161" i="6"/>
  <c r="D161" i="12"/>
  <c r="Y142" i="12"/>
  <c r="N446" i="12"/>
  <c r="AC303" i="5" a="1"/>
  <c r="AC303" i="5" s="1"/>
  <c r="C303" i="6"/>
  <c r="O303" i="5"/>
  <c r="W276" i="12"/>
  <c r="X276" i="12"/>
  <c r="H369" i="12"/>
  <c r="X369" i="5" a="1"/>
  <c r="X369" i="5" s="1"/>
  <c r="N493" i="12"/>
  <c r="W252" i="12"/>
  <c r="X252" i="12"/>
  <c r="D446" i="12"/>
  <c r="E446" i="6"/>
  <c r="D295" i="12"/>
  <c r="E295" i="6"/>
  <c r="E22" i="6"/>
  <c r="D22" i="12"/>
  <c r="X432" i="5" a="1"/>
  <c r="X432" i="5" s="1"/>
  <c r="H432" i="12"/>
  <c r="N499" i="12"/>
  <c r="O498" i="12"/>
  <c r="N498" i="12" s="1"/>
  <c r="J500" i="12" a="1"/>
  <c r="J500" i="12" s="1"/>
  <c r="L500" i="12" a="1"/>
  <c r="L500" i="12" s="1"/>
  <c r="C500" i="12"/>
  <c r="W164" i="12"/>
  <c r="X164" i="12"/>
  <c r="M52" i="12"/>
  <c r="D198" i="12"/>
  <c r="E198" i="6"/>
  <c r="X86" i="12"/>
  <c r="W86" i="12"/>
  <c r="N65" i="12"/>
  <c r="Y339" i="12"/>
  <c r="W307" i="12"/>
  <c r="X307" i="12"/>
  <c r="W90" i="12"/>
  <c r="X90" i="12"/>
  <c r="W204" i="12"/>
  <c r="X204" i="12"/>
  <c r="D78" i="12"/>
  <c r="E78" i="6"/>
  <c r="J486" i="12" a="1"/>
  <c r="J486" i="12" s="1"/>
  <c r="L486" i="12" a="1"/>
  <c r="L486" i="12" s="1"/>
  <c r="K486" i="12" s="1"/>
  <c r="C486" i="12"/>
  <c r="AO400" i="12"/>
  <c r="Y400" i="12" s="1"/>
  <c r="Y401" i="12"/>
  <c r="N97" i="12"/>
  <c r="Y488" i="12"/>
  <c r="AB18" i="5"/>
  <c r="AB17" i="5"/>
  <c r="D17" i="8" s="1"/>
  <c r="C134" i="6"/>
  <c r="O134" i="5"/>
  <c r="AC134" i="5" a="1"/>
  <c r="AC134" i="5" s="1"/>
  <c r="M264" i="12"/>
  <c r="D254" i="12"/>
  <c r="E254" i="6"/>
  <c r="M87" i="12"/>
  <c r="C357" i="12"/>
  <c r="L357" i="12" a="1"/>
  <c r="L357" i="12" s="1"/>
  <c r="J357" i="12" a="1"/>
  <c r="J357" i="12" s="1"/>
  <c r="Y280" i="12"/>
  <c r="Y478" i="12"/>
  <c r="E236" i="6"/>
  <c r="D236" i="12"/>
  <c r="Y199" i="12"/>
  <c r="Y94" i="12"/>
  <c r="W153" i="12"/>
  <c r="X153" i="12"/>
  <c r="Y115" i="12"/>
  <c r="D265" i="12"/>
  <c r="E265" i="6"/>
  <c r="D40" i="12"/>
  <c r="E40" i="6"/>
  <c r="H356" i="12"/>
  <c r="X356" i="5" a="1"/>
  <c r="X356" i="5" s="1"/>
  <c r="Y83" i="12"/>
  <c r="Y112" i="12"/>
  <c r="D75" i="12"/>
  <c r="E75" i="6"/>
  <c r="N116" i="12"/>
  <c r="Y368" i="12"/>
  <c r="E443" i="6"/>
  <c r="D443" i="12"/>
  <c r="D153" i="12"/>
  <c r="E153" i="6"/>
  <c r="Y389" i="12"/>
  <c r="AB140" i="5"/>
  <c r="M299" i="12"/>
  <c r="N346" i="12"/>
  <c r="N40" i="12"/>
  <c r="L147" i="12" a="1"/>
  <c r="L147" i="12" s="1"/>
  <c r="J147" i="12" a="1"/>
  <c r="J147" i="12" s="1"/>
  <c r="C147" i="12"/>
  <c r="L49" i="12" a="1"/>
  <c r="L49" i="12" s="1"/>
  <c r="J49" i="12" a="1"/>
  <c r="J49" i="12" s="1"/>
  <c r="C49" i="12"/>
  <c r="M30" i="12"/>
  <c r="D485" i="12"/>
  <c r="E485" i="6"/>
  <c r="Y348" i="12"/>
  <c r="Y343" i="12"/>
  <c r="Y308" i="12"/>
  <c r="D250" i="12"/>
  <c r="E250" i="6"/>
  <c r="D189" i="12"/>
  <c r="E189" i="6"/>
  <c r="N507" i="12"/>
  <c r="O506" i="12"/>
  <c r="N506" i="12" s="1"/>
  <c r="H381" i="12"/>
  <c r="X381" i="5" a="1"/>
  <c r="X381" i="5" s="1"/>
  <c r="AO362" i="12"/>
  <c r="Y362" i="12" s="1"/>
  <c r="Y363" i="12"/>
  <c r="L124" i="12" a="1"/>
  <c r="L124" i="12" s="1"/>
  <c r="C124" i="12"/>
  <c r="J124" i="12" a="1"/>
  <c r="J124" i="12" s="1"/>
  <c r="N93" i="12"/>
  <c r="Y409" i="12"/>
  <c r="D404" i="12"/>
  <c r="E404" i="6"/>
  <c r="AG342" i="5"/>
  <c r="N188" i="12" l="1"/>
  <c r="K299" i="12"/>
  <c r="N327" i="12"/>
  <c r="K489" i="12"/>
  <c r="Y57" i="12"/>
  <c r="W57" i="12" s="1"/>
  <c r="K323" i="12"/>
  <c r="W65" i="12"/>
  <c r="K327" i="12"/>
  <c r="Y59" i="12"/>
  <c r="X116" i="12"/>
  <c r="K129" i="12"/>
  <c r="K500" i="12"/>
  <c r="H29" i="8" a="1"/>
  <c r="H29" i="8" s="1"/>
  <c r="J30" i="8" s="1"/>
  <c r="Y312" i="12"/>
  <c r="Y148" i="12"/>
  <c r="W148" i="12" s="1"/>
  <c r="K483" i="12"/>
  <c r="K480" i="12"/>
  <c r="N140" i="12"/>
  <c r="K30" i="12"/>
  <c r="K28" i="12"/>
  <c r="Y52" i="12"/>
  <c r="X52" i="12" s="1"/>
  <c r="Y486" i="12"/>
  <c r="Y159" i="12"/>
  <c r="Y124" i="12"/>
  <c r="Y105" i="12"/>
  <c r="W105" i="12" s="1"/>
  <c r="K148" i="12"/>
  <c r="K312" i="12"/>
  <c r="Y72" i="12"/>
  <c r="Y106" i="12"/>
  <c r="N60" i="12"/>
  <c r="K385" i="12"/>
  <c r="N100" i="12"/>
  <c r="N59" i="12"/>
  <c r="W137" i="12"/>
  <c r="K159" i="12"/>
  <c r="K303" i="12"/>
  <c r="K173" i="12"/>
  <c r="X243" i="12"/>
  <c r="K72" i="12"/>
  <c r="Y207" i="12"/>
  <c r="K400" i="12"/>
  <c r="U342" i="5"/>
  <c r="X105" i="12"/>
  <c r="I429" i="12"/>
  <c r="L429" i="5"/>
  <c r="Z429" i="5"/>
  <c r="AM429" i="5"/>
  <c r="X91" i="12"/>
  <c r="W91" i="12"/>
  <c r="X99" i="12"/>
  <c r="W99" i="12"/>
  <c r="V449" i="12"/>
  <c r="T449" i="12"/>
  <c r="U449" i="12"/>
  <c r="W58" i="12"/>
  <c r="X58" i="12"/>
  <c r="X199" i="12"/>
  <c r="W199" i="12"/>
  <c r="X310" i="12"/>
  <c r="W310" i="12"/>
  <c r="I369" i="12"/>
  <c r="I369" i="5"/>
  <c r="Z369" i="5"/>
  <c r="L369" i="5"/>
  <c r="AM369" i="5"/>
  <c r="X366" i="5" a="1"/>
  <c r="X366" i="5" s="1"/>
  <c r="X361" i="5" a="1"/>
  <c r="X361" i="5" s="1"/>
  <c r="X360" i="5" a="1"/>
  <c r="X360" i="5" s="1"/>
  <c r="K124" i="12"/>
  <c r="T153" i="12"/>
  <c r="U153" i="12"/>
  <c r="V153" i="12"/>
  <c r="D134" i="12"/>
  <c r="E134" i="6"/>
  <c r="V204" i="12"/>
  <c r="T204" i="12"/>
  <c r="U204" i="12"/>
  <c r="X97" i="12"/>
  <c r="W97" i="12"/>
  <c r="W493" i="12"/>
  <c r="X493" i="12"/>
  <c r="D95" i="12"/>
  <c r="E95" i="6"/>
  <c r="W504" i="12"/>
  <c r="X504" i="12"/>
  <c r="T404" i="12"/>
  <c r="V404" i="12"/>
  <c r="U404" i="12"/>
  <c r="K134" i="12"/>
  <c r="X387" i="12"/>
  <c r="W387" i="12"/>
  <c r="X399" i="12"/>
  <c r="W399" i="12"/>
  <c r="X313" i="12"/>
  <c r="W313" i="12"/>
  <c r="V440" i="12"/>
  <c r="T440" i="12"/>
  <c r="U440" i="12"/>
  <c r="AM469" i="5"/>
  <c r="I469" i="12"/>
  <c r="L469" i="5"/>
  <c r="Z469" i="5"/>
  <c r="W81" i="12"/>
  <c r="X81" i="12"/>
  <c r="X202" i="12"/>
  <c r="W202" i="12"/>
  <c r="X107" i="12"/>
  <c r="W107" i="12"/>
  <c r="X278" i="12"/>
  <c r="W278" i="12"/>
  <c r="X147" i="12"/>
  <c r="W147" i="12"/>
  <c r="X390" i="12"/>
  <c r="W390" i="12"/>
  <c r="D385" i="12"/>
  <c r="E385" i="6"/>
  <c r="X344" i="12"/>
  <c r="W344" i="12"/>
  <c r="E457" i="6"/>
  <c r="D457" i="12"/>
  <c r="V76" i="12"/>
  <c r="T76" i="12"/>
  <c r="U76" i="12"/>
  <c r="X481" i="12"/>
  <c r="W481" i="12"/>
  <c r="E327" i="6"/>
  <c r="D327" i="12"/>
  <c r="D323" i="12"/>
  <c r="E323" i="6"/>
  <c r="E299" i="6"/>
  <c r="D299" i="12"/>
  <c r="X309" i="12"/>
  <c r="W309" i="12"/>
  <c r="E395" i="6"/>
  <c r="D395" i="12"/>
  <c r="K60" i="12"/>
  <c r="X190" i="12"/>
  <c r="W190" i="12"/>
  <c r="W225" i="12"/>
  <c r="X225" i="12"/>
  <c r="T126" i="12"/>
  <c r="U126" i="12"/>
  <c r="V126" i="12"/>
  <c r="AM464" i="5"/>
  <c r="I464" i="12"/>
  <c r="Z464" i="5"/>
  <c r="L464" i="5"/>
  <c r="V187" i="12"/>
  <c r="T187" i="12"/>
  <c r="U187" i="12"/>
  <c r="K395" i="12"/>
  <c r="V34" i="12"/>
  <c r="T34" i="12"/>
  <c r="U34" i="12"/>
  <c r="W265" i="12"/>
  <c r="X265" i="12"/>
  <c r="AM505" i="5"/>
  <c r="I505" i="12"/>
  <c r="Z505" i="5"/>
  <c r="L505" i="5"/>
  <c r="I505" i="5"/>
  <c r="X503" i="5" a="1"/>
  <c r="X503" i="5" s="1"/>
  <c r="I218" i="5"/>
  <c r="I219" i="5" s="1"/>
  <c r="I220" i="5" s="1"/>
  <c r="I221" i="5" s="1"/>
  <c r="I222" i="5" s="1"/>
  <c r="Z218" i="5"/>
  <c r="L218" i="5"/>
  <c r="I218" i="12"/>
  <c r="AM218" i="5"/>
  <c r="X215" i="5" a="1"/>
  <c r="X215" i="5" s="1"/>
  <c r="X216" i="5" a="1"/>
  <c r="X216" i="5" s="1"/>
  <c r="T359" i="12"/>
  <c r="U359" i="12"/>
  <c r="V359" i="12"/>
  <c r="X363" i="12"/>
  <c r="W363" i="12"/>
  <c r="D303" i="12"/>
  <c r="E303" i="6"/>
  <c r="T167" i="12"/>
  <c r="U167" i="12"/>
  <c r="V167" i="12"/>
  <c r="X129" i="12"/>
  <c r="W129" i="12"/>
  <c r="N87" i="12"/>
  <c r="D140" i="12"/>
  <c r="E140" i="6"/>
  <c r="V78" i="12"/>
  <c r="U78" i="12"/>
  <c r="T78" i="12"/>
  <c r="X31" i="12"/>
  <c r="W31" i="12"/>
  <c r="K59" i="12"/>
  <c r="Z470" i="5"/>
  <c r="AM470" i="5"/>
  <c r="I470" i="12"/>
  <c r="L470" i="5"/>
  <c r="L467" i="5"/>
  <c r="Z467" i="5"/>
  <c r="I467" i="12"/>
  <c r="AM467" i="5"/>
  <c r="K105" i="12"/>
  <c r="N52" i="12"/>
  <c r="X133" i="12"/>
  <c r="W133" i="12"/>
  <c r="U305" i="12"/>
  <c r="T305" i="12"/>
  <c r="V305" i="12"/>
  <c r="W136" i="12"/>
  <c r="X136" i="12"/>
  <c r="Z240" i="5"/>
  <c r="AM240" i="5"/>
  <c r="I240" i="12"/>
  <c r="L240" i="5"/>
  <c r="N124" i="12"/>
  <c r="E506" i="6"/>
  <c r="D506" i="12"/>
  <c r="N159" i="12"/>
  <c r="V121" i="12"/>
  <c r="T121" i="12"/>
  <c r="U121" i="12"/>
  <c r="W371" i="12"/>
  <c r="X371" i="12"/>
  <c r="X75" i="12"/>
  <c r="W75" i="12"/>
  <c r="X251" i="12"/>
  <c r="W251" i="12"/>
  <c r="V281" i="12"/>
  <c r="U281" i="12"/>
  <c r="T281" i="12"/>
  <c r="K498" i="12"/>
  <c r="X292" i="12"/>
  <c r="W292" i="12"/>
  <c r="U351" i="12"/>
  <c r="V351" i="12"/>
  <c r="T351" i="12"/>
  <c r="N480" i="12"/>
  <c r="V365" i="12"/>
  <c r="U365" i="12"/>
  <c r="T365" i="12"/>
  <c r="E60" i="6"/>
  <c r="D60" i="12"/>
  <c r="Z426" i="5"/>
  <c r="I426" i="12"/>
  <c r="L426" i="5"/>
  <c r="AM426" i="5"/>
  <c r="W375" i="12"/>
  <c r="X375" i="12"/>
  <c r="X113" i="12"/>
  <c r="W113" i="12"/>
  <c r="Y18" i="12"/>
  <c r="U63" i="12"/>
  <c r="V63" i="12"/>
  <c r="T63" i="12"/>
  <c r="N489" i="12"/>
  <c r="W80" i="12"/>
  <c r="X80" i="12"/>
  <c r="E264" i="6"/>
  <c r="D264" i="12"/>
  <c r="T21" i="12"/>
  <c r="V21" i="12"/>
  <c r="U21" i="12"/>
  <c r="V307" i="12"/>
  <c r="U307" i="12"/>
  <c r="T307" i="12"/>
  <c r="AM432" i="5"/>
  <c r="L432" i="5"/>
  <c r="I432" i="12"/>
  <c r="Z432" i="5"/>
  <c r="X130" i="12"/>
  <c r="W130" i="12"/>
  <c r="X30" i="12"/>
  <c r="W30" i="12"/>
  <c r="L322" i="5"/>
  <c r="Z322" i="5"/>
  <c r="AM322" i="5"/>
  <c r="I322" i="12"/>
  <c r="D357" i="12"/>
  <c r="E357" i="6"/>
  <c r="X82" i="12"/>
  <c r="W82" i="12"/>
  <c r="U163" i="12"/>
  <c r="V163" i="12"/>
  <c r="T163" i="12"/>
  <c r="K188" i="12"/>
  <c r="W165" i="12"/>
  <c r="X165" i="12"/>
  <c r="U450" i="12"/>
  <c r="T450" i="12"/>
  <c r="V450" i="12"/>
  <c r="X414" i="12"/>
  <c r="W414" i="12"/>
  <c r="T222" i="12"/>
  <c r="U222" i="12"/>
  <c r="V222" i="12"/>
  <c r="N147" i="12"/>
  <c r="V37" i="12"/>
  <c r="T37" i="12"/>
  <c r="U37" i="12"/>
  <c r="Y44" i="12"/>
  <c r="T255" i="12"/>
  <c r="V255" i="12"/>
  <c r="U255" i="12"/>
  <c r="T491" i="12"/>
  <c r="V491" i="12"/>
  <c r="U491" i="12"/>
  <c r="U152" i="12"/>
  <c r="T152" i="12"/>
  <c r="V152" i="12"/>
  <c r="W120" i="12"/>
  <c r="X120" i="12"/>
  <c r="W51" i="12"/>
  <c r="X51" i="12"/>
  <c r="X318" i="12"/>
  <c r="W318" i="12"/>
  <c r="W350" i="12"/>
  <c r="X350" i="12"/>
  <c r="X459" i="5" a="1"/>
  <c r="X459" i="5" s="1"/>
  <c r="L460" i="5"/>
  <c r="Z460" i="5"/>
  <c r="AM460" i="5"/>
  <c r="I460" i="5"/>
  <c r="I461" i="5" s="1"/>
  <c r="I460" i="12"/>
  <c r="W413" i="12"/>
  <c r="X413" i="12"/>
  <c r="X19" i="12"/>
  <c r="W19" i="12"/>
  <c r="V495" i="12"/>
  <c r="U495" i="12"/>
  <c r="T495" i="12"/>
  <c r="U477" i="12"/>
  <c r="V477" i="12"/>
  <c r="T477" i="12"/>
  <c r="D100" i="12"/>
  <c r="E100" i="6"/>
  <c r="L338" i="5"/>
  <c r="Z338" i="5"/>
  <c r="I338" i="12"/>
  <c r="AM338" i="5"/>
  <c r="I338" i="5"/>
  <c r="I339" i="5" s="1"/>
  <c r="O339" i="5" s="1"/>
  <c r="X337" i="5" a="1"/>
  <c r="X337" i="5" s="1"/>
  <c r="X326" i="5" a="1"/>
  <c r="X326" i="5" s="1"/>
  <c r="U345" i="12"/>
  <c r="T345" i="12"/>
  <c r="V345" i="12"/>
  <c r="I381" i="12"/>
  <c r="L381" i="5"/>
  <c r="AM381" i="5"/>
  <c r="Z381" i="5"/>
  <c r="N264" i="12"/>
  <c r="N17" i="12"/>
  <c r="AM232" i="5"/>
  <c r="I232" i="12"/>
  <c r="Z232" i="5"/>
  <c r="L232" i="5"/>
  <c r="V398" i="12"/>
  <c r="T398" i="12"/>
  <c r="U398" i="12"/>
  <c r="T455" i="12"/>
  <c r="V455" i="12"/>
  <c r="U455" i="12"/>
  <c r="W487" i="12"/>
  <c r="X487" i="12"/>
  <c r="L427" i="5"/>
  <c r="AM427" i="5"/>
  <c r="I427" i="12"/>
  <c r="Z427" i="5"/>
  <c r="I296" i="12"/>
  <c r="I296" i="5"/>
  <c r="I297" i="5" s="1"/>
  <c r="I298" i="5" s="1"/>
  <c r="AM296" i="5"/>
  <c r="Z296" i="5"/>
  <c r="L296" i="5"/>
  <c r="X293" i="5" a="1"/>
  <c r="X293" i="5" s="1"/>
  <c r="V258" i="12"/>
  <c r="U258" i="12"/>
  <c r="T258" i="12"/>
  <c r="T158" i="12"/>
  <c r="V158" i="12"/>
  <c r="U158" i="12"/>
  <c r="E489" i="6"/>
  <c r="D489" i="12"/>
  <c r="V306" i="12"/>
  <c r="U306" i="12"/>
  <c r="T306" i="12"/>
  <c r="V181" i="12"/>
  <c r="T181" i="12"/>
  <c r="U181" i="12"/>
  <c r="V38" i="12"/>
  <c r="U38" i="12"/>
  <c r="T38" i="12"/>
  <c r="W254" i="12"/>
  <c r="X254" i="12"/>
  <c r="I435" i="12"/>
  <c r="AM435" i="5"/>
  <c r="Z435" i="5"/>
  <c r="L435" i="5"/>
  <c r="X434" i="5" a="1"/>
  <c r="X434" i="5" s="1"/>
  <c r="I435" i="5"/>
  <c r="I436" i="5" s="1"/>
  <c r="U176" i="12"/>
  <c r="V176" i="12"/>
  <c r="T176" i="12"/>
  <c r="W119" i="12"/>
  <c r="X119" i="12"/>
  <c r="I412" i="5"/>
  <c r="I413" i="5" s="1"/>
  <c r="Z412" i="5"/>
  <c r="I412" i="12"/>
  <c r="L412" i="5"/>
  <c r="AM412" i="5"/>
  <c r="X410" i="5" a="1"/>
  <c r="X410" i="5" s="1"/>
  <c r="X384" i="5" a="1"/>
  <c r="X384" i="5" s="1"/>
  <c r="X127" i="12"/>
  <c r="W127" i="12"/>
  <c r="D17" i="12"/>
  <c r="I17" i="8"/>
  <c r="A17" i="8" s="1"/>
  <c r="E17" i="6"/>
  <c r="V269" i="12"/>
  <c r="U269" i="12"/>
  <c r="T269" i="12"/>
  <c r="W45" i="12"/>
  <c r="X45" i="12"/>
  <c r="V36" i="12"/>
  <c r="U36" i="12"/>
  <c r="T36" i="12"/>
  <c r="N28" i="12"/>
  <c r="I424" i="12"/>
  <c r="AM424" i="5"/>
  <c r="L424" i="5"/>
  <c r="Z424" i="5"/>
  <c r="W502" i="12"/>
  <c r="X502" i="12"/>
  <c r="W304" i="12"/>
  <c r="X304" i="12"/>
  <c r="L422" i="5"/>
  <c r="Z422" i="5"/>
  <c r="I422" i="12"/>
  <c r="AM422" i="5"/>
  <c r="X417" i="12"/>
  <c r="W417" i="12"/>
  <c r="L220" i="5"/>
  <c r="I220" i="12"/>
  <c r="Z220" i="5"/>
  <c r="AM220" i="5"/>
  <c r="K194" i="12"/>
  <c r="V169" i="12"/>
  <c r="U169" i="12"/>
  <c r="T169" i="12"/>
  <c r="W161" i="12"/>
  <c r="X161" i="12"/>
  <c r="N129" i="12"/>
  <c r="Y17" i="12"/>
  <c r="W454" i="12"/>
  <c r="X454" i="12"/>
  <c r="K48" i="12"/>
  <c r="W406" i="12"/>
  <c r="X406" i="12"/>
  <c r="W96" i="12"/>
  <c r="X96" i="12"/>
  <c r="Z373" i="5"/>
  <c r="I373" i="12"/>
  <c r="AM373" i="5"/>
  <c r="L373" i="5"/>
  <c r="U177" i="12"/>
  <c r="V177" i="12"/>
  <c r="T177" i="12"/>
  <c r="X312" i="12"/>
  <c r="W312" i="12"/>
  <c r="E312" i="6"/>
  <c r="D312" i="12"/>
  <c r="AM239" i="5"/>
  <c r="Z239" i="5"/>
  <c r="L239" i="5"/>
  <c r="I239" i="12"/>
  <c r="V157" i="12"/>
  <c r="U157" i="12"/>
  <c r="T157" i="12"/>
  <c r="X362" i="12"/>
  <c r="W362" i="12"/>
  <c r="K49" i="12"/>
  <c r="W478" i="12"/>
  <c r="X478" i="12"/>
  <c r="W339" i="12"/>
  <c r="X339" i="12"/>
  <c r="X112" i="12"/>
  <c r="W112" i="12"/>
  <c r="X280" i="12"/>
  <c r="W280" i="12"/>
  <c r="W488" i="12"/>
  <c r="X488" i="12"/>
  <c r="X397" i="12"/>
  <c r="W397" i="12"/>
  <c r="U102" i="12"/>
  <c r="V102" i="12"/>
  <c r="T102" i="12"/>
  <c r="V353" i="12"/>
  <c r="U353" i="12"/>
  <c r="T353" i="12"/>
  <c r="N385" i="12"/>
  <c r="W171" i="12"/>
  <c r="X171" i="12"/>
  <c r="T436" i="12"/>
  <c r="U436" i="12"/>
  <c r="V436" i="12"/>
  <c r="X394" i="12"/>
  <c r="W394" i="12"/>
  <c r="L275" i="5"/>
  <c r="AM275" i="5"/>
  <c r="Z275" i="5"/>
  <c r="I275" i="12"/>
  <c r="W349" i="12"/>
  <c r="X349" i="12"/>
  <c r="X486" i="12"/>
  <c r="W486" i="12"/>
  <c r="AM438" i="5"/>
  <c r="I438" i="12"/>
  <c r="Z438" i="5"/>
  <c r="L438" i="5"/>
  <c r="X160" i="12"/>
  <c r="W160" i="12"/>
  <c r="T448" i="12"/>
  <c r="V448" i="12"/>
  <c r="U448" i="12"/>
  <c r="D61" i="12"/>
  <c r="E61" i="6"/>
  <c r="I461" i="12"/>
  <c r="Z461" i="5"/>
  <c r="AM461" i="5"/>
  <c r="L461" i="5"/>
  <c r="X334" i="12"/>
  <c r="W334" i="12"/>
  <c r="D480" i="12"/>
  <c r="E480" i="6"/>
  <c r="L415" i="5"/>
  <c r="I415" i="12"/>
  <c r="AM415" i="5"/>
  <c r="Z415" i="5"/>
  <c r="Z466" i="5"/>
  <c r="AM466" i="5"/>
  <c r="I466" i="12"/>
  <c r="L466" i="5"/>
  <c r="Y118" i="12"/>
  <c r="W324" i="12"/>
  <c r="X324" i="12"/>
  <c r="L226" i="5"/>
  <c r="AM226" i="5"/>
  <c r="I226" i="5"/>
  <c r="I227" i="5" s="1"/>
  <c r="I228" i="5" s="1"/>
  <c r="I229" i="5" s="1"/>
  <c r="I230" i="5" s="1"/>
  <c r="I231" i="5" s="1"/>
  <c r="I232" i="5" s="1"/>
  <c r="I233" i="5" s="1"/>
  <c r="Z226" i="5"/>
  <c r="I226" i="12"/>
  <c r="X224" i="5" a="1"/>
  <c r="X224" i="5" s="1"/>
  <c r="L231" i="5"/>
  <c r="Z231" i="5"/>
  <c r="AM231" i="5"/>
  <c r="I231" i="12"/>
  <c r="D106" i="12"/>
  <c r="E106" i="6"/>
  <c r="T154" i="12"/>
  <c r="V154" i="12"/>
  <c r="U154" i="12"/>
  <c r="N61" i="12"/>
  <c r="Y303" i="12"/>
  <c r="U92" i="12"/>
  <c r="T92" i="12"/>
  <c r="V92" i="12"/>
  <c r="Y194" i="12"/>
  <c r="I376" i="12"/>
  <c r="L376" i="5"/>
  <c r="Z376" i="5"/>
  <c r="AM376" i="5"/>
  <c r="I431" i="12"/>
  <c r="AM431" i="5"/>
  <c r="L431" i="5"/>
  <c r="Z431" i="5"/>
  <c r="U295" i="12"/>
  <c r="V295" i="12"/>
  <c r="T295" i="12"/>
  <c r="Y95" i="12"/>
  <c r="N400" i="12"/>
  <c r="V151" i="12"/>
  <c r="U151" i="12"/>
  <c r="T151" i="12"/>
  <c r="U111" i="12"/>
  <c r="V111" i="12"/>
  <c r="T111" i="12"/>
  <c r="E173" i="6"/>
  <c r="D173" i="12"/>
  <c r="X368" i="12"/>
  <c r="W368" i="12"/>
  <c r="I320" i="12"/>
  <c r="AM320" i="5"/>
  <c r="L320" i="5"/>
  <c r="Z320" i="5"/>
  <c r="I320" i="5"/>
  <c r="I321" i="5" s="1"/>
  <c r="I322" i="5" s="1"/>
  <c r="X317" i="5" a="1"/>
  <c r="X317" i="5" s="1"/>
  <c r="X367" i="12"/>
  <c r="W367" i="12"/>
  <c r="W396" i="12"/>
  <c r="X396" i="12"/>
  <c r="U108" i="12"/>
  <c r="V108" i="12"/>
  <c r="T108" i="12"/>
  <c r="T86" i="12"/>
  <c r="V86" i="12"/>
  <c r="U86" i="12"/>
  <c r="W142" i="12"/>
  <c r="X142" i="12"/>
  <c r="W507" i="12"/>
  <c r="X507" i="12"/>
  <c r="L274" i="5"/>
  <c r="Z274" i="5"/>
  <c r="AM274" i="5"/>
  <c r="I274" i="12"/>
  <c r="T144" i="12"/>
  <c r="V144" i="12"/>
  <c r="U144" i="12"/>
  <c r="N18" i="12"/>
  <c r="N362" i="12"/>
  <c r="N49" i="12"/>
  <c r="T117" i="12"/>
  <c r="U117" i="12"/>
  <c r="V117" i="12"/>
  <c r="X382" i="12"/>
  <c r="W382" i="12"/>
  <c r="W267" i="12"/>
  <c r="X267" i="12"/>
  <c r="X407" i="12"/>
  <c r="W407" i="12"/>
  <c r="X138" i="12"/>
  <c r="W138" i="12"/>
  <c r="K140" i="12"/>
  <c r="W159" i="12"/>
  <c r="X159" i="12"/>
  <c r="V70" i="12"/>
  <c r="T70" i="12"/>
  <c r="U70" i="12"/>
  <c r="T156" i="12"/>
  <c r="V156" i="12"/>
  <c r="U156" i="12"/>
  <c r="AM227" i="5"/>
  <c r="Z227" i="5"/>
  <c r="I227" i="12"/>
  <c r="L227" i="5"/>
  <c r="U186" i="12"/>
  <c r="T186" i="12"/>
  <c r="V186" i="12"/>
  <c r="W501" i="12"/>
  <c r="X501" i="12"/>
  <c r="X352" i="12"/>
  <c r="W352" i="12"/>
  <c r="W330" i="12"/>
  <c r="X330" i="12"/>
  <c r="X185" i="12"/>
  <c r="W185" i="12"/>
  <c r="X316" i="12"/>
  <c r="W316" i="12"/>
  <c r="X323" i="12"/>
  <c r="W323" i="12"/>
  <c r="W378" i="12"/>
  <c r="X378" i="12"/>
  <c r="W61" i="12"/>
  <c r="X61" i="12"/>
  <c r="I456" i="12"/>
  <c r="L456" i="5"/>
  <c r="AM456" i="5"/>
  <c r="I456" i="5"/>
  <c r="Z456" i="5"/>
  <c r="X453" i="5" a="1"/>
  <c r="X453" i="5" s="1"/>
  <c r="X197" i="12"/>
  <c r="W197" i="12"/>
  <c r="W217" i="12"/>
  <c r="X217" i="12"/>
  <c r="X195" i="12"/>
  <c r="W195" i="12"/>
  <c r="Y385" i="12"/>
  <c r="U89" i="12"/>
  <c r="V89" i="12"/>
  <c r="T89" i="12"/>
  <c r="Z419" i="5"/>
  <c r="L419" i="5"/>
  <c r="AM419" i="5"/>
  <c r="I419" i="12"/>
  <c r="N95" i="12"/>
  <c r="E400" i="6"/>
  <c r="D400" i="12"/>
  <c r="W279" i="12"/>
  <c r="X279" i="12"/>
  <c r="K57" i="12"/>
  <c r="V364" i="12"/>
  <c r="U364" i="12"/>
  <c r="T364" i="12"/>
  <c r="W103" i="12"/>
  <c r="X103" i="12"/>
  <c r="V191" i="12"/>
  <c r="T191" i="12"/>
  <c r="U191" i="12"/>
  <c r="K147" i="12"/>
  <c r="W401" i="12"/>
  <c r="X401" i="12"/>
  <c r="D105" i="12"/>
  <c r="E105" i="6"/>
  <c r="T210" i="12"/>
  <c r="U210" i="12"/>
  <c r="V210" i="12"/>
  <c r="W499" i="12"/>
  <c r="X499" i="12"/>
  <c r="T420" i="12"/>
  <c r="U420" i="12"/>
  <c r="V420" i="12"/>
  <c r="Y500" i="12"/>
  <c r="N486" i="12"/>
  <c r="W284" i="12"/>
  <c r="X284" i="12"/>
  <c r="AM228" i="5"/>
  <c r="Z228" i="5"/>
  <c r="L228" i="5"/>
  <c r="I228" i="12"/>
  <c r="I380" i="12"/>
  <c r="AM380" i="5"/>
  <c r="Z380" i="5"/>
  <c r="L380" i="5"/>
  <c r="T333" i="12"/>
  <c r="V333" i="12"/>
  <c r="U333" i="12"/>
  <c r="W484" i="12"/>
  <c r="X484" i="12"/>
  <c r="X59" i="12"/>
  <c r="W59" i="12"/>
  <c r="X462" i="5" a="1"/>
  <c r="X462" i="5" s="1"/>
  <c r="L463" i="5"/>
  <c r="I463" i="12"/>
  <c r="Z463" i="5"/>
  <c r="I463" i="5"/>
  <c r="I464" i="5" s="1"/>
  <c r="I465" i="5" s="1"/>
  <c r="I466" i="5" s="1"/>
  <c r="I467" i="5" s="1"/>
  <c r="I468" i="5" s="1"/>
  <c r="I469" i="5" s="1"/>
  <c r="I470" i="5" s="1"/>
  <c r="I471" i="5" s="1"/>
  <c r="I472" i="5" s="1"/>
  <c r="I473" i="5" s="1"/>
  <c r="AM463" i="5"/>
  <c r="U421" i="12"/>
  <c r="T421" i="12"/>
  <c r="V421" i="12"/>
  <c r="N289" i="12"/>
  <c r="U180" i="12"/>
  <c r="T180" i="12"/>
  <c r="V180" i="12"/>
  <c r="E59" i="6"/>
  <c r="I29" i="8"/>
  <c r="A29" i="8" s="1"/>
  <c r="D59" i="12"/>
  <c r="Y87" i="12"/>
  <c r="T166" i="12"/>
  <c r="U166" i="12"/>
  <c r="V166" i="12"/>
  <c r="W386" i="12"/>
  <c r="X386" i="12"/>
  <c r="W446" i="12"/>
  <c r="X446" i="12"/>
  <c r="W189" i="12"/>
  <c r="X189" i="12"/>
  <c r="K278" i="12"/>
  <c r="D362" i="12"/>
  <c r="E362" i="6"/>
  <c r="X83" i="12"/>
  <c r="W83" i="12"/>
  <c r="I356" i="12"/>
  <c r="Z356" i="5"/>
  <c r="AM356" i="5"/>
  <c r="L356" i="5"/>
  <c r="U319" i="12"/>
  <c r="V319" i="12"/>
  <c r="T319" i="12"/>
  <c r="E500" i="6"/>
  <c r="D500" i="12"/>
  <c r="W400" i="12"/>
  <c r="X400" i="12"/>
  <c r="T40" i="12"/>
  <c r="V40" i="12"/>
  <c r="U40" i="12"/>
  <c r="N48" i="12"/>
  <c r="W236" i="12"/>
  <c r="X236" i="12"/>
  <c r="K207" i="12"/>
  <c r="T416" i="12"/>
  <c r="V416" i="12"/>
  <c r="U416" i="12"/>
  <c r="W101" i="12"/>
  <c r="X101" i="12"/>
  <c r="D52" i="12"/>
  <c r="E52" i="6"/>
  <c r="Y498" i="12"/>
  <c r="Y48" i="12"/>
  <c r="N357" i="12"/>
  <c r="U482" i="12"/>
  <c r="T482" i="12"/>
  <c r="V482" i="12"/>
  <c r="V447" i="12"/>
  <c r="U447" i="12"/>
  <c r="T447" i="12"/>
  <c r="V71" i="12"/>
  <c r="U71" i="12"/>
  <c r="T71" i="12"/>
  <c r="W494" i="12"/>
  <c r="X494" i="12"/>
  <c r="K44" i="12"/>
  <c r="W332" i="12"/>
  <c r="X332" i="12"/>
  <c r="E498" i="6"/>
  <c r="D498" i="12"/>
  <c r="X143" i="12"/>
  <c r="W143" i="12"/>
  <c r="U22" i="12"/>
  <c r="V22" i="12"/>
  <c r="T22" i="12"/>
  <c r="W483" i="12"/>
  <c r="X483" i="12"/>
  <c r="X62" i="12"/>
  <c r="W62" i="12"/>
  <c r="W39" i="12"/>
  <c r="X39" i="12"/>
  <c r="T445" i="12"/>
  <c r="V445" i="12"/>
  <c r="U445" i="12"/>
  <c r="K264" i="12"/>
  <c r="T248" i="12"/>
  <c r="V248" i="12"/>
  <c r="U248" i="12"/>
  <c r="W242" i="12"/>
  <c r="X242" i="12"/>
  <c r="T388" i="12"/>
  <c r="V388" i="12"/>
  <c r="U388" i="12"/>
  <c r="E147" i="6"/>
  <c r="D147" i="12"/>
  <c r="X88" i="12"/>
  <c r="W88" i="12"/>
  <c r="D207" i="12"/>
  <c r="E207" i="6"/>
  <c r="X402" i="12"/>
  <c r="W402" i="12"/>
  <c r="L430" i="5"/>
  <c r="Z430" i="5"/>
  <c r="I430" i="12"/>
  <c r="AM430" i="5"/>
  <c r="Y188" i="12"/>
  <c r="W33" i="12"/>
  <c r="X33" i="12"/>
  <c r="V205" i="12"/>
  <c r="T205" i="12"/>
  <c r="U205" i="12"/>
  <c r="U250" i="12"/>
  <c r="V250" i="12"/>
  <c r="T250" i="12"/>
  <c r="U211" i="12"/>
  <c r="T211" i="12"/>
  <c r="V211" i="12"/>
  <c r="D44" i="12"/>
  <c r="E44" i="6"/>
  <c r="X110" i="12"/>
  <c r="W110" i="12"/>
  <c r="U276" i="12"/>
  <c r="V276" i="12"/>
  <c r="T276" i="12"/>
  <c r="L287" i="5"/>
  <c r="Z287" i="5"/>
  <c r="I287" i="12"/>
  <c r="X286" i="5" a="1"/>
  <c r="X286" i="5" s="1"/>
  <c r="AM287" i="5"/>
  <c r="I287" i="5"/>
  <c r="I288" i="5" s="1"/>
  <c r="O288" i="5" s="1"/>
  <c r="X277" i="5" a="1"/>
  <c r="X277" i="5" s="1"/>
  <c r="X69" i="12"/>
  <c r="W69" i="12"/>
  <c r="K357" i="12"/>
  <c r="Y506" i="12"/>
  <c r="U270" i="12"/>
  <c r="T270" i="12"/>
  <c r="V270" i="12"/>
  <c r="T391" i="12"/>
  <c r="V391" i="12"/>
  <c r="U391" i="12"/>
  <c r="W299" i="12"/>
  <c r="X299" i="12"/>
  <c r="K52" i="12"/>
  <c r="X79" i="12"/>
  <c r="W79" i="12"/>
  <c r="D289" i="12"/>
  <c r="E289" i="6"/>
  <c r="W443" i="12"/>
  <c r="X443" i="12"/>
  <c r="W100" i="12"/>
  <c r="X100" i="12"/>
  <c r="I241" i="12"/>
  <c r="AM241" i="5"/>
  <c r="Z241" i="5"/>
  <c r="L241" i="5"/>
  <c r="Y49" i="12"/>
  <c r="W104" i="12"/>
  <c r="X104" i="12"/>
  <c r="V123" i="12"/>
  <c r="T123" i="12"/>
  <c r="U123" i="12"/>
  <c r="D201" i="12"/>
  <c r="E201" i="6"/>
  <c r="T325" i="12"/>
  <c r="V325" i="12"/>
  <c r="U325" i="12"/>
  <c r="Y134" i="12"/>
  <c r="T439" i="12"/>
  <c r="U439" i="12"/>
  <c r="V439" i="12"/>
  <c r="L433" i="5"/>
  <c r="Z433" i="5"/>
  <c r="I433" i="12"/>
  <c r="AM433" i="5"/>
  <c r="X497" i="12"/>
  <c r="W497" i="12"/>
  <c r="E208" i="6"/>
  <c r="D208" i="12"/>
  <c r="W200" i="12"/>
  <c r="X200" i="12"/>
  <c r="W60" i="12"/>
  <c r="X60" i="12"/>
  <c r="N278" i="12"/>
  <c r="U261" i="12"/>
  <c r="V261" i="12"/>
  <c r="T261" i="12"/>
  <c r="T56" i="12"/>
  <c r="V56" i="12"/>
  <c r="U56" i="12"/>
  <c r="W444" i="12"/>
  <c r="X444" i="12"/>
  <c r="X311" i="12"/>
  <c r="W311" i="12"/>
  <c r="X178" i="12"/>
  <c r="W178" i="12"/>
  <c r="X290" i="12"/>
  <c r="W290" i="12"/>
  <c r="W93" i="12"/>
  <c r="X93" i="12"/>
  <c r="W67" i="12"/>
  <c r="X67" i="12"/>
  <c r="V179" i="12"/>
  <c r="U179" i="12"/>
  <c r="T179" i="12"/>
  <c r="U54" i="12"/>
  <c r="V54" i="12"/>
  <c r="T54" i="12"/>
  <c r="E30" i="6"/>
  <c r="D30" i="12"/>
  <c r="V55" i="12"/>
  <c r="U55" i="12"/>
  <c r="T55" i="12"/>
  <c r="X182" i="12"/>
  <c r="W182" i="12"/>
  <c r="W106" i="12"/>
  <c r="X106" i="12"/>
  <c r="W146" i="12"/>
  <c r="X146" i="12"/>
  <c r="W300" i="12"/>
  <c r="X300" i="12"/>
  <c r="T170" i="12"/>
  <c r="V170" i="12"/>
  <c r="U170" i="12"/>
  <c r="Y327" i="12"/>
  <c r="AM229" i="5"/>
  <c r="L229" i="5"/>
  <c r="I229" i="12"/>
  <c r="Z229" i="5"/>
  <c r="U193" i="12"/>
  <c r="T193" i="12"/>
  <c r="V193" i="12"/>
  <c r="X131" i="12"/>
  <c r="W131" i="12"/>
  <c r="I379" i="5"/>
  <c r="I380" i="5" s="1"/>
  <c r="I381" i="5" s="1"/>
  <c r="I382" i="5" s="1"/>
  <c r="O382" i="5" s="1"/>
  <c r="L379" i="5"/>
  <c r="I379" i="12"/>
  <c r="Z379" i="5"/>
  <c r="AM379" i="5"/>
  <c r="X377" i="5" a="1"/>
  <c r="X377" i="5" s="1"/>
  <c r="V98" i="12"/>
  <c r="U98" i="12"/>
  <c r="T98" i="12"/>
  <c r="X271" i="12"/>
  <c r="W271" i="12"/>
  <c r="X135" i="12"/>
  <c r="W135" i="12"/>
  <c r="X301" i="12"/>
  <c r="W301" i="12"/>
  <c r="W206" i="12"/>
  <c r="X206" i="12"/>
  <c r="X212" i="12"/>
  <c r="W212" i="12"/>
  <c r="X172" i="12"/>
  <c r="W172" i="12"/>
  <c r="V331" i="12"/>
  <c r="U331" i="12"/>
  <c r="T331" i="12"/>
  <c r="X294" i="12"/>
  <c r="W294" i="12"/>
  <c r="AM471" i="5"/>
  <c r="Z471" i="5"/>
  <c r="L471" i="5"/>
  <c r="I471" i="12"/>
  <c r="E483" i="6"/>
  <c r="D483" i="12"/>
  <c r="Z428" i="5"/>
  <c r="L428" i="5"/>
  <c r="AM428" i="5"/>
  <c r="I428" i="12"/>
  <c r="W289" i="12"/>
  <c r="X289" i="12"/>
  <c r="V485" i="12"/>
  <c r="T485" i="12"/>
  <c r="U485" i="12"/>
  <c r="X155" i="12"/>
  <c r="W155" i="12"/>
  <c r="Z418" i="5"/>
  <c r="I418" i="12"/>
  <c r="AM418" i="5"/>
  <c r="L418" i="5"/>
  <c r="U35" i="12"/>
  <c r="V35" i="12"/>
  <c r="T35" i="12"/>
  <c r="Z465" i="5"/>
  <c r="L465" i="5"/>
  <c r="AM465" i="5"/>
  <c r="I465" i="12"/>
  <c r="X183" i="12"/>
  <c r="W183" i="12"/>
  <c r="X223" i="12"/>
  <c r="W223" i="12"/>
  <c r="T285" i="12"/>
  <c r="V285" i="12"/>
  <c r="U285" i="12"/>
  <c r="X50" i="12"/>
  <c r="W50" i="12"/>
  <c r="X409" i="12"/>
  <c r="W409" i="12"/>
  <c r="U252" i="12"/>
  <c r="T252" i="12"/>
  <c r="V252" i="12"/>
  <c r="I425" i="12"/>
  <c r="Z425" i="5"/>
  <c r="L425" i="5"/>
  <c r="AM425" i="5"/>
  <c r="T66" i="12"/>
  <c r="U66" i="12"/>
  <c r="V66" i="12"/>
  <c r="W328" i="12"/>
  <c r="X328" i="12"/>
  <c r="N30" i="12"/>
  <c r="Y208" i="12"/>
  <c r="W122" i="12"/>
  <c r="X122" i="12"/>
  <c r="I355" i="12"/>
  <c r="L355" i="5"/>
  <c r="AM355" i="5"/>
  <c r="Z355" i="5"/>
  <c r="X354" i="5" a="1"/>
  <c r="X354" i="5" s="1"/>
  <c r="I355" i="5"/>
  <c r="I356" i="5" s="1"/>
  <c r="X125" i="12"/>
  <c r="W125" i="12"/>
  <c r="W162" i="12"/>
  <c r="X162" i="12"/>
  <c r="W358" i="12"/>
  <c r="X358" i="12"/>
  <c r="X234" i="12"/>
  <c r="W234" i="12"/>
  <c r="W23" i="12"/>
  <c r="X23" i="12"/>
  <c r="T137" i="12"/>
  <c r="U137" i="12"/>
  <c r="V137" i="12"/>
  <c r="W84" i="12"/>
  <c r="X84" i="12"/>
  <c r="E159" i="6"/>
  <c r="D159" i="12"/>
  <c r="W29" i="12"/>
  <c r="X29" i="12"/>
  <c r="W198" i="12"/>
  <c r="X198" i="12"/>
  <c r="E72" i="6"/>
  <c r="D72" i="12"/>
  <c r="N395" i="12"/>
  <c r="U46" i="12"/>
  <c r="V46" i="12"/>
  <c r="T46" i="12"/>
  <c r="E87" i="6"/>
  <c r="D87" i="12"/>
  <c r="L321" i="5"/>
  <c r="Z321" i="5"/>
  <c r="I321" i="12"/>
  <c r="AM321" i="5"/>
  <c r="V266" i="12"/>
  <c r="U266" i="12"/>
  <c r="T266" i="12"/>
  <c r="X41" i="12"/>
  <c r="W41" i="12"/>
  <c r="T347" i="12"/>
  <c r="U347" i="12"/>
  <c r="V347" i="12"/>
  <c r="W393" i="12"/>
  <c r="X393" i="12"/>
  <c r="U283" i="12"/>
  <c r="V283" i="12"/>
  <c r="T283" i="12"/>
  <c r="T392" i="12"/>
  <c r="V392" i="12"/>
  <c r="U392" i="12"/>
  <c r="AM473" i="5"/>
  <c r="Z473" i="5"/>
  <c r="L473" i="5"/>
  <c r="I473" i="12"/>
  <c r="D124" i="12"/>
  <c r="E124" i="6"/>
  <c r="V346" i="12"/>
  <c r="U346" i="12"/>
  <c r="T346" i="12"/>
  <c r="T257" i="12"/>
  <c r="V257" i="12"/>
  <c r="U257" i="12"/>
  <c r="X458" i="12"/>
  <c r="W458" i="12"/>
  <c r="K362" i="12"/>
  <c r="U32" i="12"/>
  <c r="V32" i="12"/>
  <c r="T32" i="12"/>
  <c r="V168" i="12"/>
  <c r="U168" i="12"/>
  <c r="T168" i="12"/>
  <c r="Z475" i="5"/>
  <c r="I475" i="12"/>
  <c r="X474" i="5" a="1"/>
  <c r="X474" i="5" s="1"/>
  <c r="I475" i="5"/>
  <c r="I476" i="5" s="1"/>
  <c r="L475" i="5"/>
  <c r="AM475" i="5"/>
  <c r="W308" i="12"/>
  <c r="X308" i="12"/>
  <c r="T164" i="12"/>
  <c r="U164" i="12"/>
  <c r="V164" i="12"/>
  <c r="T282" i="12"/>
  <c r="V282" i="12"/>
  <c r="U282" i="12"/>
  <c r="X139" i="12"/>
  <c r="W139" i="12"/>
  <c r="W209" i="12"/>
  <c r="X209" i="12"/>
  <c r="K506" i="12"/>
  <c r="N106" i="12"/>
  <c r="T175" i="12"/>
  <c r="V175" i="12"/>
  <c r="U175" i="12"/>
  <c r="T184" i="12"/>
  <c r="V184" i="12"/>
  <c r="U184" i="12"/>
  <c r="K100" i="12"/>
  <c r="X451" i="12"/>
  <c r="W451" i="12"/>
  <c r="W124" i="12"/>
  <c r="X124" i="12"/>
  <c r="X47" i="12"/>
  <c r="W47" i="12"/>
  <c r="K17" i="12"/>
  <c r="T476" i="12"/>
  <c r="V476" i="12"/>
  <c r="U476" i="12"/>
  <c r="Y357" i="12"/>
  <c r="L315" i="5"/>
  <c r="X314" i="5" a="1"/>
  <c r="X314" i="5" s="1"/>
  <c r="Z315" i="5"/>
  <c r="AM315" i="5"/>
  <c r="I315" i="5"/>
  <c r="I316" i="5" s="1"/>
  <c r="O316" i="5" s="1"/>
  <c r="I315" i="12"/>
  <c r="X302" i="5" a="1"/>
  <c r="X302" i="5" s="1"/>
  <c r="Y173" i="12"/>
  <c r="X247" i="12"/>
  <c r="W247" i="12"/>
  <c r="W141" i="12"/>
  <c r="X141" i="12"/>
  <c r="W28" i="12"/>
  <c r="X28" i="12"/>
  <c r="I298" i="12"/>
  <c r="L298" i="5"/>
  <c r="AM298" i="5"/>
  <c r="Z298" i="5"/>
  <c r="T77" i="12"/>
  <c r="V77" i="12"/>
  <c r="U77" i="12"/>
  <c r="W68" i="12"/>
  <c r="X68" i="12"/>
  <c r="T243" i="12"/>
  <c r="V243" i="12"/>
  <c r="U243" i="12"/>
  <c r="W291" i="12"/>
  <c r="X291" i="12"/>
  <c r="D278" i="12"/>
  <c r="E278" i="6"/>
  <c r="N483" i="12"/>
  <c r="D486" i="12"/>
  <c r="E486" i="6"/>
  <c r="X490" i="12"/>
  <c r="W490" i="12"/>
  <c r="Y457" i="12"/>
  <c r="V65" i="12"/>
  <c r="T65" i="12"/>
  <c r="U65" i="12"/>
  <c r="W94" i="12"/>
  <c r="X94" i="12"/>
  <c r="W411" i="12"/>
  <c r="X411" i="12"/>
  <c r="E188" i="6"/>
  <c r="D188" i="12"/>
  <c r="AM273" i="5"/>
  <c r="L273" i="5"/>
  <c r="I273" i="5"/>
  <c r="I274" i="5" s="1"/>
  <c r="I275" i="5" s="1"/>
  <c r="I276" i="5" s="1"/>
  <c r="O276" i="5" s="1"/>
  <c r="I273" i="12"/>
  <c r="X272" i="5" a="1"/>
  <c r="X272" i="5" s="1"/>
  <c r="Z273" i="5"/>
  <c r="X263" i="5" a="1"/>
  <c r="X263" i="5" s="1"/>
  <c r="X395" i="12"/>
  <c r="W395" i="12"/>
  <c r="T90" i="12"/>
  <c r="V90" i="12"/>
  <c r="U90" i="12"/>
  <c r="E48" i="6"/>
  <c r="I26" i="8"/>
  <c r="A26" i="8" s="1"/>
  <c r="D48" i="12"/>
  <c r="X389" i="12"/>
  <c r="W389" i="12"/>
  <c r="W343" i="12"/>
  <c r="X343" i="12"/>
  <c r="W115" i="12"/>
  <c r="X115" i="12"/>
  <c r="AM383" i="5"/>
  <c r="I383" i="12"/>
  <c r="Z383" i="5"/>
  <c r="L383" i="5"/>
  <c r="AM238" i="5"/>
  <c r="L238" i="5"/>
  <c r="Z238" i="5"/>
  <c r="I238" i="12"/>
  <c r="W437" i="12"/>
  <c r="X437" i="12"/>
  <c r="W196" i="12"/>
  <c r="X196" i="12"/>
  <c r="D49" i="12"/>
  <c r="E49" i="6"/>
  <c r="W207" i="12"/>
  <c r="X207" i="12"/>
  <c r="D129" i="12"/>
  <c r="E129" i="6"/>
  <c r="D18" i="12"/>
  <c r="E18" i="6"/>
  <c r="T336" i="12"/>
  <c r="V336" i="12"/>
  <c r="U336" i="12"/>
  <c r="Z496" i="5"/>
  <c r="AM496" i="5"/>
  <c r="I496" i="5"/>
  <c r="I497" i="5" s="1"/>
  <c r="O497" i="5" s="1"/>
  <c r="L496" i="5"/>
  <c r="I496" i="12"/>
  <c r="X492" i="5" a="1"/>
  <c r="X492" i="5" s="1"/>
  <c r="X479" i="5" a="1"/>
  <c r="X479" i="5" s="1"/>
  <c r="T128" i="12"/>
  <c r="V128" i="12"/>
  <c r="U128" i="12"/>
  <c r="AM423" i="5"/>
  <c r="I423" i="12"/>
  <c r="L423" i="5"/>
  <c r="Z423" i="5"/>
  <c r="E148" i="6"/>
  <c r="D148" i="12"/>
  <c r="X150" i="12"/>
  <c r="W150" i="12"/>
  <c r="X72" i="12"/>
  <c r="W72" i="12"/>
  <c r="X149" i="12"/>
  <c r="W149" i="12"/>
  <c r="T253" i="12"/>
  <c r="V253" i="12"/>
  <c r="U253" i="12"/>
  <c r="E118" i="6"/>
  <c r="D118" i="12"/>
  <c r="W174" i="12"/>
  <c r="X174" i="12"/>
  <c r="L43" i="5"/>
  <c r="I43" i="12"/>
  <c r="Z43" i="5"/>
  <c r="I43" i="5"/>
  <c r="AM43" i="5"/>
  <c r="X42" i="5" a="1"/>
  <c r="X42" i="5" s="1"/>
  <c r="X27" i="5" a="1"/>
  <c r="X27" i="5" s="1"/>
  <c r="Y140" i="12"/>
  <c r="I237" i="12"/>
  <c r="Z237" i="5"/>
  <c r="I237" i="5"/>
  <c r="I238" i="5" s="1"/>
  <c r="I239" i="5" s="1"/>
  <c r="I240" i="5" s="1"/>
  <c r="I241" i="5" s="1"/>
  <c r="I242" i="5" s="1"/>
  <c r="L237" i="5"/>
  <c r="AM237" i="5"/>
  <c r="X235" i="5" a="1"/>
  <c r="X235" i="5" s="1"/>
  <c r="AM374" i="5"/>
  <c r="L374" i="5"/>
  <c r="Z374" i="5"/>
  <c r="I374" i="12"/>
  <c r="X74" i="12"/>
  <c r="W74" i="12"/>
  <c r="I260" i="12"/>
  <c r="X259" i="5" a="1"/>
  <c r="X259" i="5" s="1"/>
  <c r="I260" i="5"/>
  <c r="I261" i="5" s="1"/>
  <c r="O261" i="5" s="1"/>
  <c r="Z260" i="5"/>
  <c r="L260" i="5"/>
  <c r="AM260" i="5"/>
  <c r="V233" i="12"/>
  <c r="T233" i="12"/>
  <c r="U233" i="12"/>
  <c r="AM219" i="5"/>
  <c r="I219" i="12"/>
  <c r="Z219" i="5"/>
  <c r="L219" i="5"/>
  <c r="Y489" i="12"/>
  <c r="T405" i="12"/>
  <c r="U405" i="12"/>
  <c r="V405" i="12"/>
  <c r="I468" i="12"/>
  <c r="AM468" i="5"/>
  <c r="L468" i="5"/>
  <c r="Z468" i="5"/>
  <c r="T116" i="12"/>
  <c r="V116" i="12"/>
  <c r="U116" i="12"/>
  <c r="L472" i="5"/>
  <c r="I472" i="12"/>
  <c r="Z472" i="5"/>
  <c r="AM472" i="5"/>
  <c r="W132" i="12"/>
  <c r="X132" i="12"/>
  <c r="W109" i="12"/>
  <c r="X109" i="12"/>
  <c r="X348" i="12"/>
  <c r="W348" i="12"/>
  <c r="U20" i="12"/>
  <c r="T20" i="12"/>
  <c r="V20" i="12"/>
  <c r="V335" i="12"/>
  <c r="U335" i="12"/>
  <c r="T335" i="12"/>
  <c r="U288" i="12"/>
  <c r="T288" i="12"/>
  <c r="V288" i="12"/>
  <c r="W53" i="12"/>
  <c r="X53" i="12"/>
  <c r="Z372" i="5"/>
  <c r="I372" i="12"/>
  <c r="AM372" i="5"/>
  <c r="I372" i="5"/>
  <c r="I373" i="5" s="1"/>
  <c r="I374" i="5" s="1"/>
  <c r="I375" i="5" s="1"/>
  <c r="O375" i="5" s="1"/>
  <c r="L372" i="5"/>
  <c r="X370" i="5" a="1"/>
  <c r="X370" i="5" s="1"/>
  <c r="X64" i="12"/>
  <c r="W64" i="12"/>
  <c r="E57" i="6"/>
  <c r="D57" i="12"/>
  <c r="E28" i="6"/>
  <c r="D28" i="12"/>
  <c r="I230" i="12"/>
  <c r="L230" i="5"/>
  <c r="AM230" i="5"/>
  <c r="Z230" i="5"/>
  <c r="I452" i="5"/>
  <c r="AM452" i="5"/>
  <c r="I452" i="12"/>
  <c r="L452" i="5"/>
  <c r="Z452" i="5"/>
  <c r="X441" i="5" a="1"/>
  <c r="X441" i="5" s="1"/>
  <c r="X442" i="5" a="1"/>
  <c r="X442" i="5" s="1"/>
  <c r="V85" i="12"/>
  <c r="U85" i="12"/>
  <c r="T85" i="12"/>
  <c r="Y201" i="12"/>
  <c r="X213" i="12"/>
  <c r="W213" i="12"/>
  <c r="X73" i="12"/>
  <c r="W73" i="12"/>
  <c r="AM221" i="5"/>
  <c r="Z221" i="5"/>
  <c r="I221" i="12"/>
  <c r="L221" i="5"/>
  <c r="V214" i="12"/>
  <c r="U214" i="12"/>
  <c r="T214" i="12"/>
  <c r="U408" i="12"/>
  <c r="T408" i="12"/>
  <c r="V408" i="12"/>
  <c r="X403" i="12"/>
  <c r="W403" i="12"/>
  <c r="U145" i="12"/>
  <c r="T145" i="12"/>
  <c r="V145" i="12"/>
  <c r="T192" i="12"/>
  <c r="U192" i="12"/>
  <c r="V192" i="12"/>
  <c r="X203" i="12"/>
  <c r="W203" i="12"/>
  <c r="X480" i="12"/>
  <c r="W480" i="12"/>
  <c r="K118" i="12"/>
  <c r="U249" i="12"/>
  <c r="T249" i="12"/>
  <c r="V249" i="12"/>
  <c r="D194" i="12"/>
  <c r="E194" i="6"/>
  <c r="U268" i="12"/>
  <c r="V268" i="12"/>
  <c r="T268" i="12"/>
  <c r="Z256" i="5"/>
  <c r="I256" i="5"/>
  <c r="I257" i="5" s="1"/>
  <c r="L256" i="5"/>
  <c r="AM256" i="5"/>
  <c r="I256" i="12"/>
  <c r="X246" i="5" a="1"/>
  <c r="X246" i="5" s="1"/>
  <c r="X245" i="5" a="1"/>
  <c r="X245" i="5" s="1"/>
  <c r="I262" i="12"/>
  <c r="AM262" i="5"/>
  <c r="Z262" i="5"/>
  <c r="L262" i="5"/>
  <c r="N299" i="12"/>
  <c r="AM297" i="5"/>
  <c r="I297" i="12"/>
  <c r="L297" i="5"/>
  <c r="Z297" i="5"/>
  <c r="W114" i="12"/>
  <c r="X114" i="12"/>
  <c r="U329" i="12"/>
  <c r="V329" i="12"/>
  <c r="T329" i="12"/>
  <c r="Y264" i="12"/>
  <c r="X148" i="12" l="1"/>
  <c r="X57" i="12"/>
  <c r="W52" i="12"/>
  <c r="C273" i="6"/>
  <c r="O273" i="5"/>
  <c r="AC273" i="5" a="1"/>
  <c r="AC273" i="5" s="1"/>
  <c r="I286" i="12"/>
  <c r="AM286" i="5"/>
  <c r="L286" i="5"/>
  <c r="Z286" i="5"/>
  <c r="I246" i="12"/>
  <c r="L246" i="5"/>
  <c r="AM246" i="5"/>
  <c r="Z246" i="5"/>
  <c r="U480" i="12"/>
  <c r="T480" i="12"/>
  <c r="V480" i="12"/>
  <c r="L442" i="5"/>
  <c r="Z442" i="5"/>
  <c r="AM442" i="5"/>
  <c r="I442" i="12"/>
  <c r="O468" i="5"/>
  <c r="C468" i="6"/>
  <c r="AC468" i="5" a="1"/>
  <c r="AC468" i="5" s="1"/>
  <c r="AB260" i="5"/>
  <c r="W140" i="12"/>
  <c r="X140" i="12"/>
  <c r="I492" i="12"/>
  <c r="AM492" i="5"/>
  <c r="Z492" i="5"/>
  <c r="L492" i="5"/>
  <c r="D276" i="12"/>
  <c r="E276" i="6"/>
  <c r="C298" i="6"/>
  <c r="O298" i="5"/>
  <c r="AC298" i="5" a="1"/>
  <c r="AC298" i="5" s="1"/>
  <c r="X357" i="12"/>
  <c r="W357" i="12"/>
  <c r="C355" i="6"/>
  <c r="O355" i="5"/>
  <c r="AC355" i="5" a="1"/>
  <c r="AC355" i="5" s="1"/>
  <c r="O465" i="5"/>
  <c r="C465" i="6"/>
  <c r="AC465" i="5" a="1"/>
  <c r="AC465" i="5" s="1"/>
  <c r="U289" i="12"/>
  <c r="V289" i="12"/>
  <c r="T289" i="12"/>
  <c r="I377" i="12"/>
  <c r="L377" i="5"/>
  <c r="Z377" i="5"/>
  <c r="AM377" i="5"/>
  <c r="U446" i="12"/>
  <c r="V446" i="12"/>
  <c r="T446" i="12"/>
  <c r="V316" i="12"/>
  <c r="U316" i="12"/>
  <c r="T316" i="12"/>
  <c r="T382" i="12"/>
  <c r="U382" i="12"/>
  <c r="V382" i="12"/>
  <c r="T507" i="12"/>
  <c r="V507" i="12"/>
  <c r="U507" i="12"/>
  <c r="C320" i="6"/>
  <c r="O320" i="5"/>
  <c r="AC320" i="5" a="1"/>
  <c r="AC320" i="5" s="1"/>
  <c r="X303" i="12"/>
  <c r="W303" i="12"/>
  <c r="O226" i="5"/>
  <c r="C226" i="6"/>
  <c r="AC226" i="5" a="1"/>
  <c r="AC226" i="5" s="1"/>
  <c r="V339" i="12"/>
  <c r="T339" i="12"/>
  <c r="U339" i="12"/>
  <c r="AB422" i="5"/>
  <c r="V45" i="12"/>
  <c r="U45" i="12"/>
  <c r="T45" i="12"/>
  <c r="AB296" i="5"/>
  <c r="E339" i="6"/>
  <c r="D339" i="12"/>
  <c r="U413" i="12"/>
  <c r="V413" i="12"/>
  <c r="T413" i="12"/>
  <c r="V414" i="12"/>
  <c r="U414" i="12"/>
  <c r="T414" i="12"/>
  <c r="C240" i="6"/>
  <c r="O240" i="5"/>
  <c r="AC240" i="5" a="1"/>
  <c r="AC240" i="5" s="1"/>
  <c r="O467" i="5"/>
  <c r="C467" i="6"/>
  <c r="AC467" i="5" a="1"/>
  <c r="AC467" i="5" s="1"/>
  <c r="I223" i="5"/>
  <c r="O223" i="5" s="1"/>
  <c r="O222" i="5"/>
  <c r="C464" i="6"/>
  <c r="O464" i="5"/>
  <c r="AC464" i="5" a="1"/>
  <c r="AC464" i="5" s="1"/>
  <c r="C469" i="6"/>
  <c r="O469" i="5"/>
  <c r="AC469" i="5" a="1"/>
  <c r="AC469" i="5" s="1"/>
  <c r="U58" i="12"/>
  <c r="T58" i="12"/>
  <c r="V58" i="12"/>
  <c r="T343" i="12"/>
  <c r="U343" i="12"/>
  <c r="V343" i="12"/>
  <c r="U279" i="12"/>
  <c r="V279" i="12"/>
  <c r="T279" i="12"/>
  <c r="T486" i="12"/>
  <c r="V486" i="12"/>
  <c r="U486" i="12"/>
  <c r="T504" i="12"/>
  <c r="V504" i="12"/>
  <c r="U504" i="12"/>
  <c r="O468" i="12"/>
  <c r="N468" i="12" s="1"/>
  <c r="AO468" i="12"/>
  <c r="C468" i="12"/>
  <c r="M468" i="12"/>
  <c r="T39" i="12"/>
  <c r="U39" i="12"/>
  <c r="V39" i="12"/>
  <c r="U386" i="12"/>
  <c r="T386" i="12"/>
  <c r="V386" i="12"/>
  <c r="U185" i="12"/>
  <c r="V185" i="12"/>
  <c r="T185" i="12"/>
  <c r="C338" i="12"/>
  <c r="O338" i="12"/>
  <c r="AO338" i="12"/>
  <c r="M338" i="12"/>
  <c r="O322" i="5"/>
  <c r="C322" i="6"/>
  <c r="AC322" i="5" a="1"/>
  <c r="AC322" i="5" s="1"/>
  <c r="C464" i="12"/>
  <c r="AO464" i="12"/>
  <c r="M464" i="12"/>
  <c r="O464" i="12"/>
  <c r="D375" i="12"/>
  <c r="E375" i="6"/>
  <c r="AO260" i="12"/>
  <c r="O260" i="12"/>
  <c r="C260" i="12"/>
  <c r="M260" i="12"/>
  <c r="U150" i="12"/>
  <c r="T150" i="12"/>
  <c r="V150" i="12"/>
  <c r="E497" i="6"/>
  <c r="D497" i="12"/>
  <c r="V28" i="12"/>
  <c r="U28" i="12"/>
  <c r="T28" i="12"/>
  <c r="L474" i="5"/>
  <c r="I474" i="12"/>
  <c r="AM474" i="5"/>
  <c r="Z474" i="5"/>
  <c r="U23" i="12"/>
  <c r="T23" i="12"/>
  <c r="V23" i="12"/>
  <c r="U122" i="12"/>
  <c r="V122" i="12"/>
  <c r="T122" i="12"/>
  <c r="T409" i="12"/>
  <c r="U409" i="12"/>
  <c r="V409" i="12"/>
  <c r="V212" i="12"/>
  <c r="U212" i="12"/>
  <c r="T212" i="12"/>
  <c r="M379" i="12"/>
  <c r="O379" i="12"/>
  <c r="C379" i="12"/>
  <c r="AO379" i="12"/>
  <c r="O433" i="12"/>
  <c r="C433" i="12"/>
  <c r="AO433" i="12"/>
  <c r="M433" i="12"/>
  <c r="U104" i="12"/>
  <c r="V104" i="12"/>
  <c r="T104" i="12"/>
  <c r="T299" i="12"/>
  <c r="U299" i="12"/>
  <c r="V299" i="12"/>
  <c r="AB287" i="5"/>
  <c r="V62" i="12"/>
  <c r="T62" i="12"/>
  <c r="U62" i="12"/>
  <c r="AB463" i="5"/>
  <c r="C228" i="6"/>
  <c r="O228" i="5"/>
  <c r="AC228" i="5" a="1"/>
  <c r="AC228" i="5" s="1"/>
  <c r="U368" i="12"/>
  <c r="V368" i="12"/>
  <c r="T368" i="12"/>
  <c r="AB431" i="5"/>
  <c r="X118" i="12"/>
  <c r="W118" i="12"/>
  <c r="AB461" i="5"/>
  <c r="T304" i="12"/>
  <c r="V304" i="12"/>
  <c r="U304" i="12"/>
  <c r="AO296" i="12"/>
  <c r="M296" i="12"/>
  <c r="C296" i="12"/>
  <c r="O296" i="12"/>
  <c r="O232" i="12"/>
  <c r="AO232" i="12"/>
  <c r="C232" i="12"/>
  <c r="M232" i="12"/>
  <c r="AB338" i="5"/>
  <c r="T30" i="12"/>
  <c r="U30" i="12"/>
  <c r="V30" i="12"/>
  <c r="AB426" i="5"/>
  <c r="T251" i="12"/>
  <c r="U251" i="12"/>
  <c r="V251" i="12"/>
  <c r="AB240" i="5"/>
  <c r="O505" i="5"/>
  <c r="C505" i="6"/>
  <c r="AC505" i="5" a="1"/>
  <c r="AC505" i="5" s="1"/>
  <c r="T57" i="12"/>
  <c r="V57" i="12"/>
  <c r="U57" i="12"/>
  <c r="U390" i="12"/>
  <c r="V390" i="12"/>
  <c r="T390" i="12"/>
  <c r="S38" i="8"/>
  <c r="I360" i="12"/>
  <c r="L360" i="5"/>
  <c r="Z360" i="5"/>
  <c r="AM360" i="5"/>
  <c r="O461" i="5"/>
  <c r="C461" i="6"/>
  <c r="AC461" i="5" a="1"/>
  <c r="AC461" i="5" s="1"/>
  <c r="AM503" i="5"/>
  <c r="Z503" i="5"/>
  <c r="I503" i="12"/>
  <c r="L503" i="5"/>
  <c r="AB452" i="5"/>
  <c r="I477" i="5"/>
  <c r="O476" i="5"/>
  <c r="AB379" i="5"/>
  <c r="V324" i="12"/>
  <c r="U324" i="12"/>
  <c r="T324" i="12"/>
  <c r="U478" i="12"/>
  <c r="V478" i="12"/>
  <c r="T478" i="12"/>
  <c r="T161" i="12"/>
  <c r="V161" i="12"/>
  <c r="U161" i="12"/>
  <c r="AB232" i="5"/>
  <c r="M470" i="12"/>
  <c r="O470" i="12"/>
  <c r="AO470" i="12"/>
  <c r="C470" i="12"/>
  <c r="C221" i="12"/>
  <c r="O221" i="12"/>
  <c r="AO221" i="12"/>
  <c r="Y221" i="12" s="1"/>
  <c r="M221" i="12"/>
  <c r="C452" i="6"/>
  <c r="O452" i="5"/>
  <c r="AC452" i="5" a="1"/>
  <c r="AC452" i="5" s="1"/>
  <c r="V114" i="12"/>
  <c r="U114" i="12"/>
  <c r="T114" i="12"/>
  <c r="O256" i="5"/>
  <c r="C256" i="6"/>
  <c r="AC256" i="5" a="1"/>
  <c r="AC256" i="5" s="1"/>
  <c r="AB221" i="5"/>
  <c r="O452" i="12"/>
  <c r="C452" i="12"/>
  <c r="M452" i="12"/>
  <c r="AO452" i="12"/>
  <c r="U74" i="12"/>
  <c r="V74" i="12"/>
  <c r="T74" i="12"/>
  <c r="U437" i="12"/>
  <c r="V437" i="12"/>
  <c r="T437" i="12"/>
  <c r="O475" i="12"/>
  <c r="AO475" i="12"/>
  <c r="M475" i="12"/>
  <c r="M474" i="12" s="1"/>
  <c r="C475" i="12"/>
  <c r="T234" i="12"/>
  <c r="V234" i="12"/>
  <c r="U234" i="12"/>
  <c r="W208" i="12"/>
  <c r="X208" i="12"/>
  <c r="C428" i="6"/>
  <c r="AC428" i="5" a="1"/>
  <c r="AC428" i="5" s="1"/>
  <c r="C379" i="6"/>
  <c r="O379" i="5"/>
  <c r="AC379" i="5" a="1"/>
  <c r="AC379" i="5" s="1"/>
  <c r="U300" i="12"/>
  <c r="V300" i="12"/>
  <c r="T300" i="12"/>
  <c r="AB433" i="5"/>
  <c r="W49" i="12"/>
  <c r="X49" i="12"/>
  <c r="O287" i="5"/>
  <c r="C287" i="6"/>
  <c r="AC287" i="5" a="1"/>
  <c r="AC287" i="5" s="1"/>
  <c r="O356" i="5"/>
  <c r="C356" i="6"/>
  <c r="AC356" i="5" a="1"/>
  <c r="AC356" i="5" s="1"/>
  <c r="C463" i="12"/>
  <c r="M463" i="12"/>
  <c r="AO463" i="12"/>
  <c r="O463" i="12"/>
  <c r="AB228" i="5"/>
  <c r="L453" i="5"/>
  <c r="Z453" i="5"/>
  <c r="I453" i="12"/>
  <c r="AM453" i="5"/>
  <c r="C431" i="6"/>
  <c r="AC431" i="5" a="1"/>
  <c r="AC431" i="5" s="1"/>
  <c r="C466" i="6"/>
  <c r="O466" i="5"/>
  <c r="AC466" i="5" a="1"/>
  <c r="AC466" i="5" s="1"/>
  <c r="O461" i="12"/>
  <c r="M461" i="12"/>
  <c r="C461" i="12"/>
  <c r="AO461" i="12"/>
  <c r="Y461" i="12" s="1"/>
  <c r="V349" i="12"/>
  <c r="T349" i="12"/>
  <c r="U349" i="12"/>
  <c r="V362" i="12"/>
  <c r="U362" i="12"/>
  <c r="T362" i="12"/>
  <c r="C373" i="6"/>
  <c r="O373" i="5"/>
  <c r="AC373" i="5" a="1"/>
  <c r="AC373" i="5" s="1"/>
  <c r="O338" i="5"/>
  <c r="C338" i="6"/>
  <c r="AC338" i="5" a="1"/>
  <c r="AC338" i="5" s="1"/>
  <c r="AB460" i="5"/>
  <c r="AB470" i="5"/>
  <c r="AB505" i="5"/>
  <c r="AB503" i="5" s="1"/>
  <c r="I361" i="12"/>
  <c r="Z361" i="5"/>
  <c r="AM361" i="5"/>
  <c r="L361" i="5"/>
  <c r="V99" i="12"/>
  <c r="T99" i="12"/>
  <c r="U99" i="12"/>
  <c r="O475" i="5"/>
  <c r="C475" i="6"/>
  <c r="AC475" i="5" a="1"/>
  <c r="AC475" i="5" s="1"/>
  <c r="C355" i="12"/>
  <c r="AO355" i="12"/>
  <c r="O355" i="12"/>
  <c r="M355" i="12"/>
  <c r="AO240" i="12"/>
  <c r="O240" i="12"/>
  <c r="M240" i="12"/>
  <c r="C240" i="12"/>
  <c r="I42" i="12"/>
  <c r="AM42" i="5"/>
  <c r="L42" i="5"/>
  <c r="Z42" i="5"/>
  <c r="T393" i="12"/>
  <c r="U393" i="12"/>
  <c r="V393" i="12"/>
  <c r="C433" i="6"/>
  <c r="AC433" i="5" a="1"/>
  <c r="AC433" i="5" s="1"/>
  <c r="O463" i="5"/>
  <c r="C463" i="6"/>
  <c r="AC463" i="5" a="1"/>
  <c r="AC463" i="5" s="1"/>
  <c r="U401" i="12"/>
  <c r="V401" i="12"/>
  <c r="T401" i="12"/>
  <c r="AB456" i="5"/>
  <c r="AB453" i="5" s="1"/>
  <c r="V330" i="12"/>
  <c r="U330" i="12"/>
  <c r="T330" i="12"/>
  <c r="AO275" i="12"/>
  <c r="C275" i="12"/>
  <c r="O275" i="12"/>
  <c r="M275" i="12"/>
  <c r="T502" i="12"/>
  <c r="V502" i="12"/>
  <c r="U502" i="12"/>
  <c r="I437" i="5"/>
  <c r="O436" i="5"/>
  <c r="AB427" i="5"/>
  <c r="O460" i="5"/>
  <c r="C460" i="6"/>
  <c r="AC460" i="5" a="1"/>
  <c r="AC460" i="5" s="1"/>
  <c r="T130" i="12"/>
  <c r="U130" i="12"/>
  <c r="V130" i="12"/>
  <c r="T80" i="12"/>
  <c r="V80" i="12"/>
  <c r="U80" i="12"/>
  <c r="U75" i="12"/>
  <c r="V75" i="12"/>
  <c r="T75" i="12"/>
  <c r="U136" i="12"/>
  <c r="V136" i="12"/>
  <c r="T136" i="12"/>
  <c r="U363" i="12"/>
  <c r="V363" i="12"/>
  <c r="T363" i="12"/>
  <c r="O505" i="12"/>
  <c r="M505" i="12"/>
  <c r="M503" i="12" s="1"/>
  <c r="C505" i="12"/>
  <c r="AO505" i="12"/>
  <c r="V147" i="12"/>
  <c r="U147" i="12"/>
  <c r="T147" i="12"/>
  <c r="U493" i="12"/>
  <c r="V493" i="12"/>
  <c r="T493" i="12"/>
  <c r="I366" i="12"/>
  <c r="L366" i="5"/>
  <c r="Z366" i="5"/>
  <c r="AM366" i="5"/>
  <c r="M496" i="12"/>
  <c r="O496" i="12"/>
  <c r="AO496" i="12"/>
  <c r="C496" i="12"/>
  <c r="U119" i="12"/>
  <c r="V119" i="12"/>
  <c r="T119" i="12"/>
  <c r="M469" i="12"/>
  <c r="C469" i="12"/>
  <c r="O469" i="12"/>
  <c r="AO469" i="12"/>
  <c r="Y469" i="12" s="1"/>
  <c r="C372" i="6"/>
  <c r="O372" i="5"/>
  <c r="AC372" i="5" a="1"/>
  <c r="AC372" i="5" s="1"/>
  <c r="O320" i="12"/>
  <c r="M320" i="12"/>
  <c r="C320" i="12"/>
  <c r="AO320" i="12"/>
  <c r="M238" i="12"/>
  <c r="AO238" i="12"/>
  <c r="C238" i="12"/>
  <c r="O238" i="12"/>
  <c r="E382" i="6"/>
  <c r="D382" i="12"/>
  <c r="C297" i="6"/>
  <c r="O297" i="5"/>
  <c r="AC297" i="5" a="1"/>
  <c r="AC297" i="5" s="1"/>
  <c r="AB256" i="5"/>
  <c r="X489" i="12"/>
  <c r="W489" i="12"/>
  <c r="C374" i="12"/>
  <c r="O374" i="12"/>
  <c r="M374" i="12"/>
  <c r="AO374" i="12"/>
  <c r="AB238" i="5"/>
  <c r="T411" i="12"/>
  <c r="V411" i="12"/>
  <c r="U411" i="12"/>
  <c r="V247" i="12"/>
  <c r="U247" i="12"/>
  <c r="T247" i="12"/>
  <c r="V139" i="12"/>
  <c r="T139" i="12"/>
  <c r="U139" i="12"/>
  <c r="V41" i="12"/>
  <c r="T41" i="12"/>
  <c r="U41" i="12"/>
  <c r="C418" i="6"/>
  <c r="AC418" i="5" a="1"/>
  <c r="AC418" i="5" s="1"/>
  <c r="U206" i="12"/>
  <c r="T206" i="12"/>
  <c r="V206" i="12"/>
  <c r="U131" i="12"/>
  <c r="T131" i="12"/>
  <c r="V131" i="12"/>
  <c r="U146" i="12"/>
  <c r="T146" i="12"/>
  <c r="V146" i="12"/>
  <c r="AB241" i="5"/>
  <c r="V33" i="12"/>
  <c r="T33" i="12"/>
  <c r="U33" i="12"/>
  <c r="U483" i="12"/>
  <c r="V483" i="12"/>
  <c r="T483" i="12"/>
  <c r="AB356" i="5"/>
  <c r="X87" i="12"/>
  <c r="W87" i="12"/>
  <c r="Z462" i="5"/>
  <c r="I462" i="12"/>
  <c r="L462" i="5"/>
  <c r="AM462" i="5"/>
  <c r="C419" i="12"/>
  <c r="M419" i="12"/>
  <c r="O419" i="12"/>
  <c r="N419" i="12" s="1"/>
  <c r="AO419" i="12"/>
  <c r="U352" i="12"/>
  <c r="V352" i="12"/>
  <c r="T352" i="12"/>
  <c r="O431" i="12"/>
  <c r="M431" i="12"/>
  <c r="C431" i="12"/>
  <c r="AO431" i="12"/>
  <c r="AB275" i="5"/>
  <c r="O373" i="12"/>
  <c r="AO373" i="12"/>
  <c r="M373" i="12"/>
  <c r="C373" i="12"/>
  <c r="L434" i="5"/>
  <c r="I434" i="12"/>
  <c r="AM434" i="5"/>
  <c r="Z434" i="5"/>
  <c r="C427" i="12"/>
  <c r="M427" i="12"/>
  <c r="AO427" i="12"/>
  <c r="O427" i="12"/>
  <c r="I459" i="12"/>
  <c r="L459" i="5"/>
  <c r="AM459" i="5"/>
  <c r="Z459" i="5"/>
  <c r="U165" i="12"/>
  <c r="V165" i="12"/>
  <c r="T165" i="12"/>
  <c r="T31" i="12"/>
  <c r="U31" i="12"/>
  <c r="V31" i="12"/>
  <c r="U313" i="12"/>
  <c r="T313" i="12"/>
  <c r="V313" i="12"/>
  <c r="V52" i="12"/>
  <c r="U52" i="12"/>
  <c r="T52" i="12"/>
  <c r="V91" i="12"/>
  <c r="T91" i="12"/>
  <c r="U91" i="12"/>
  <c r="AB465" i="5"/>
  <c r="V88" i="12"/>
  <c r="U88" i="12"/>
  <c r="T88" i="12"/>
  <c r="C422" i="6"/>
  <c r="AC422" i="5" a="1"/>
  <c r="AC422" i="5" s="1"/>
  <c r="AB322" i="5"/>
  <c r="T203" i="12"/>
  <c r="U203" i="12"/>
  <c r="V203" i="12"/>
  <c r="U196" i="12"/>
  <c r="T196" i="12"/>
  <c r="V196" i="12"/>
  <c r="M428" i="12"/>
  <c r="AO428" i="12"/>
  <c r="O428" i="12"/>
  <c r="C428" i="12"/>
  <c r="T197" i="12"/>
  <c r="V197" i="12"/>
  <c r="U197" i="12"/>
  <c r="AB496" i="5"/>
  <c r="AB475" i="5"/>
  <c r="AB474" i="5" s="1"/>
  <c r="T50" i="12"/>
  <c r="V50" i="12"/>
  <c r="U50" i="12"/>
  <c r="AB428" i="5"/>
  <c r="O241" i="5"/>
  <c r="C241" i="6"/>
  <c r="AC241" i="5" a="1"/>
  <c r="AC241" i="5" s="1"/>
  <c r="O466" i="12"/>
  <c r="N466" i="12" s="1"/>
  <c r="M466" i="12"/>
  <c r="AO466" i="12"/>
  <c r="C466" i="12"/>
  <c r="AB372" i="5"/>
  <c r="C43" i="12"/>
  <c r="AO43" i="12"/>
  <c r="M43" i="12"/>
  <c r="O43" i="12"/>
  <c r="O297" i="12"/>
  <c r="AO297" i="12"/>
  <c r="C297" i="12"/>
  <c r="M297" i="12"/>
  <c r="T148" i="12"/>
  <c r="U148" i="12"/>
  <c r="V148" i="12"/>
  <c r="AB230" i="5"/>
  <c r="T132" i="12"/>
  <c r="U132" i="12"/>
  <c r="V132" i="12"/>
  <c r="C219" i="6"/>
  <c r="O219" i="5"/>
  <c r="AC219" i="5" a="1"/>
  <c r="AC219" i="5" s="1"/>
  <c r="AB374" i="5"/>
  <c r="O43" i="5"/>
  <c r="C43" i="6"/>
  <c r="AC43" i="5" a="1"/>
  <c r="AC43" i="5" s="1"/>
  <c r="C238" i="6"/>
  <c r="O238" i="5"/>
  <c r="AC238" i="5" a="1"/>
  <c r="AC238" i="5" s="1"/>
  <c r="C473" i="12"/>
  <c r="M473" i="12"/>
  <c r="O473" i="12"/>
  <c r="N473" i="12" s="1"/>
  <c r="AO473" i="12"/>
  <c r="U358" i="12"/>
  <c r="T358" i="12"/>
  <c r="V358" i="12"/>
  <c r="T328" i="12"/>
  <c r="U328" i="12"/>
  <c r="V328" i="12"/>
  <c r="V301" i="12"/>
  <c r="U301" i="12"/>
  <c r="T301" i="12"/>
  <c r="T67" i="12"/>
  <c r="V67" i="12"/>
  <c r="U67" i="12"/>
  <c r="W188" i="12"/>
  <c r="X188" i="12"/>
  <c r="M356" i="12"/>
  <c r="C356" i="12"/>
  <c r="AO356" i="12"/>
  <c r="O356" i="12"/>
  <c r="T59" i="12"/>
  <c r="U59" i="12"/>
  <c r="V59" i="12"/>
  <c r="V284" i="12"/>
  <c r="U284" i="12"/>
  <c r="T284" i="12"/>
  <c r="I376" i="5"/>
  <c r="O376" i="5" s="1"/>
  <c r="O231" i="12"/>
  <c r="M231" i="12"/>
  <c r="C231" i="12"/>
  <c r="AO231" i="12"/>
  <c r="AB466" i="5"/>
  <c r="T397" i="12"/>
  <c r="V397" i="12"/>
  <c r="U397" i="12"/>
  <c r="AB373" i="5"/>
  <c r="AB424" i="5"/>
  <c r="T127" i="12"/>
  <c r="U127" i="12"/>
  <c r="V127" i="12"/>
  <c r="O435" i="5"/>
  <c r="C435" i="6"/>
  <c r="AC435" i="5" a="1"/>
  <c r="AC435" i="5" s="1"/>
  <c r="AB381" i="5"/>
  <c r="V278" i="12"/>
  <c r="T278" i="12"/>
  <c r="U278" i="12"/>
  <c r="C369" i="6"/>
  <c r="O369" i="5"/>
  <c r="AC369" i="5" a="1"/>
  <c r="AC369" i="5" s="1"/>
  <c r="V72" i="12"/>
  <c r="T72" i="12"/>
  <c r="U72" i="12"/>
  <c r="M380" i="12"/>
  <c r="O380" i="12"/>
  <c r="N380" i="12" s="1"/>
  <c r="AO380" i="12"/>
  <c r="C380" i="12"/>
  <c r="O232" i="5"/>
  <c r="C232" i="6"/>
  <c r="AC232" i="5" a="1"/>
  <c r="AC232" i="5" s="1"/>
  <c r="AB464" i="5"/>
  <c r="T101" i="12"/>
  <c r="U101" i="12"/>
  <c r="V101" i="12"/>
  <c r="AB219" i="5"/>
  <c r="AB423" i="5"/>
  <c r="T124" i="12"/>
  <c r="U124" i="12"/>
  <c r="V124" i="12"/>
  <c r="C473" i="6"/>
  <c r="O473" i="5"/>
  <c r="AC473" i="5" a="1"/>
  <c r="AC473" i="5" s="1"/>
  <c r="T198" i="12"/>
  <c r="U198" i="12"/>
  <c r="V198" i="12"/>
  <c r="O418" i="12"/>
  <c r="M418" i="12"/>
  <c r="C418" i="12"/>
  <c r="AO418" i="12"/>
  <c r="M471" i="12"/>
  <c r="O471" i="12"/>
  <c r="N471" i="12" s="1"/>
  <c r="AO471" i="12"/>
  <c r="C471" i="12"/>
  <c r="V106" i="12"/>
  <c r="U106" i="12"/>
  <c r="T106" i="12"/>
  <c r="O241" i="12"/>
  <c r="AO241" i="12"/>
  <c r="M241" i="12"/>
  <c r="C241" i="12"/>
  <c r="U110" i="12"/>
  <c r="T110" i="12"/>
  <c r="V110" i="12"/>
  <c r="T236" i="12"/>
  <c r="V236" i="12"/>
  <c r="U236" i="12"/>
  <c r="T83" i="12"/>
  <c r="V83" i="12"/>
  <c r="U83" i="12"/>
  <c r="C419" i="6"/>
  <c r="AC419" i="5" a="1"/>
  <c r="AC419" i="5" s="1"/>
  <c r="O456" i="5"/>
  <c r="C456" i="6"/>
  <c r="AC456" i="5" a="1"/>
  <c r="AC456" i="5" s="1"/>
  <c r="U159" i="12"/>
  <c r="V159" i="12"/>
  <c r="T159" i="12"/>
  <c r="O275" i="5"/>
  <c r="C275" i="6"/>
  <c r="AC275" i="5" a="1"/>
  <c r="AC275" i="5" s="1"/>
  <c r="AB220" i="5"/>
  <c r="C424" i="6"/>
  <c r="AC424" i="5" a="1"/>
  <c r="AC424" i="5" s="1"/>
  <c r="AB435" i="5"/>
  <c r="C427" i="6"/>
  <c r="AC427" i="5" a="1"/>
  <c r="AC427" i="5" s="1"/>
  <c r="U350" i="12"/>
  <c r="V350" i="12"/>
  <c r="T350" i="12"/>
  <c r="W44" i="12"/>
  <c r="X44" i="12"/>
  <c r="AB432" i="5"/>
  <c r="U371" i="12"/>
  <c r="T371" i="12"/>
  <c r="V371" i="12"/>
  <c r="U265" i="12"/>
  <c r="T265" i="12"/>
  <c r="V265" i="12"/>
  <c r="T225" i="12"/>
  <c r="U225" i="12"/>
  <c r="V225" i="12"/>
  <c r="U481" i="12"/>
  <c r="T481" i="12"/>
  <c r="V481" i="12"/>
  <c r="T399" i="12"/>
  <c r="V399" i="12"/>
  <c r="U399" i="12"/>
  <c r="V97" i="12"/>
  <c r="T97" i="12"/>
  <c r="U97" i="12"/>
  <c r="AB369" i="5"/>
  <c r="Z370" i="5"/>
  <c r="L370" i="5"/>
  <c r="I370" i="12"/>
  <c r="AM370" i="5"/>
  <c r="T209" i="12"/>
  <c r="U209" i="12"/>
  <c r="V209" i="12"/>
  <c r="T53" i="12"/>
  <c r="U53" i="12"/>
  <c r="V53" i="12"/>
  <c r="C374" i="6"/>
  <c r="O374" i="5"/>
  <c r="AC374" i="5" a="1"/>
  <c r="AC374" i="5" s="1"/>
  <c r="T94" i="12"/>
  <c r="U94" i="12"/>
  <c r="V94" i="12"/>
  <c r="W173" i="12"/>
  <c r="X173" i="12"/>
  <c r="O230" i="5"/>
  <c r="C230" i="6"/>
  <c r="AC230" i="5" a="1"/>
  <c r="AC230" i="5" s="1"/>
  <c r="AB472" i="5"/>
  <c r="M219" i="12"/>
  <c r="C219" i="12"/>
  <c r="AO219" i="12"/>
  <c r="O219" i="12"/>
  <c r="U174" i="12"/>
  <c r="T174" i="12"/>
  <c r="V174" i="12"/>
  <c r="C423" i="6"/>
  <c r="AC423" i="5" a="1"/>
  <c r="AC423" i="5" s="1"/>
  <c r="I383" i="5"/>
  <c r="O383" i="5" s="1"/>
  <c r="I302" i="12"/>
  <c r="AM302" i="5"/>
  <c r="Z302" i="5"/>
  <c r="L302" i="5"/>
  <c r="V451" i="12"/>
  <c r="U451" i="12"/>
  <c r="T451" i="12"/>
  <c r="AB473" i="5"/>
  <c r="V162" i="12"/>
  <c r="T162" i="12"/>
  <c r="U162" i="12"/>
  <c r="AB418" i="5"/>
  <c r="O471" i="5"/>
  <c r="C471" i="6"/>
  <c r="AC471" i="5" a="1"/>
  <c r="AC471" i="5" s="1"/>
  <c r="V135" i="12"/>
  <c r="T135" i="12"/>
  <c r="U135" i="12"/>
  <c r="U182" i="12"/>
  <c r="V182" i="12"/>
  <c r="T182" i="12"/>
  <c r="T93" i="12"/>
  <c r="V93" i="12"/>
  <c r="U93" i="12"/>
  <c r="X134" i="12"/>
  <c r="W134" i="12"/>
  <c r="T242" i="12"/>
  <c r="V242" i="12"/>
  <c r="U242" i="12"/>
  <c r="W500" i="12"/>
  <c r="X500" i="12"/>
  <c r="AB419" i="5"/>
  <c r="C456" i="12"/>
  <c r="M456" i="12"/>
  <c r="M453" i="12" s="1"/>
  <c r="O456" i="12"/>
  <c r="AO456" i="12"/>
  <c r="U501" i="12"/>
  <c r="T501" i="12"/>
  <c r="V501" i="12"/>
  <c r="AB376" i="5"/>
  <c r="AB231" i="5"/>
  <c r="AB415" i="5"/>
  <c r="T394" i="12"/>
  <c r="U394" i="12"/>
  <c r="V394" i="12"/>
  <c r="AO239" i="12"/>
  <c r="M239" i="12"/>
  <c r="C239" i="12"/>
  <c r="O239" i="12"/>
  <c r="V96" i="12"/>
  <c r="U96" i="12"/>
  <c r="T96" i="12"/>
  <c r="AO220" i="12"/>
  <c r="Y220" i="12" s="1"/>
  <c r="C220" i="12"/>
  <c r="M220" i="12"/>
  <c r="O220" i="12"/>
  <c r="L384" i="5"/>
  <c r="Z384" i="5"/>
  <c r="I384" i="12"/>
  <c r="AM384" i="5"/>
  <c r="C381" i="6"/>
  <c r="O381" i="5"/>
  <c r="AC381" i="5" a="1"/>
  <c r="AC381" i="5" s="1"/>
  <c r="U318" i="12"/>
  <c r="V318" i="12"/>
  <c r="T318" i="12"/>
  <c r="M432" i="12"/>
  <c r="C432" i="12"/>
  <c r="AO432" i="12"/>
  <c r="Y432" i="12" s="1"/>
  <c r="O432" i="12"/>
  <c r="U133" i="12"/>
  <c r="T133" i="12"/>
  <c r="V133" i="12"/>
  <c r="V190" i="12"/>
  <c r="U190" i="12"/>
  <c r="T190" i="12"/>
  <c r="T107" i="12"/>
  <c r="V107" i="12"/>
  <c r="U107" i="12"/>
  <c r="E261" i="6"/>
  <c r="D261" i="12"/>
  <c r="M256" i="12"/>
  <c r="AO256" i="12"/>
  <c r="O256" i="12"/>
  <c r="C256" i="12"/>
  <c r="O496" i="5"/>
  <c r="C496" i="6"/>
  <c r="AC496" i="5" a="1"/>
  <c r="AC496" i="5" s="1"/>
  <c r="V494" i="12"/>
  <c r="T494" i="12"/>
  <c r="U494" i="12"/>
  <c r="AO426" i="12"/>
  <c r="M426" i="12"/>
  <c r="C426" i="12"/>
  <c r="O426" i="12"/>
  <c r="I258" i="5"/>
  <c r="O258" i="5" s="1"/>
  <c r="O257" i="5"/>
  <c r="AB43" i="5"/>
  <c r="T141" i="12"/>
  <c r="U141" i="12"/>
  <c r="V141" i="12"/>
  <c r="V73" i="12"/>
  <c r="T73" i="12"/>
  <c r="U73" i="12"/>
  <c r="I262" i="5"/>
  <c r="O262" i="5" s="1"/>
  <c r="V403" i="12"/>
  <c r="U403" i="12"/>
  <c r="T403" i="12"/>
  <c r="V213" i="12"/>
  <c r="T213" i="12"/>
  <c r="U213" i="12"/>
  <c r="C230" i="12"/>
  <c r="M230" i="12"/>
  <c r="O230" i="12"/>
  <c r="AO230" i="12"/>
  <c r="Y230" i="12" s="1"/>
  <c r="AO472" i="12"/>
  <c r="Y472" i="12" s="1"/>
  <c r="M472" i="12"/>
  <c r="C472" i="12"/>
  <c r="O472" i="12"/>
  <c r="I235" i="12"/>
  <c r="AM235" i="5"/>
  <c r="Z235" i="5"/>
  <c r="L235" i="5"/>
  <c r="C423" i="12"/>
  <c r="AO423" i="12"/>
  <c r="M423" i="12"/>
  <c r="O423" i="12"/>
  <c r="C383" i="6"/>
  <c r="AC383" i="5" a="1"/>
  <c r="AC383" i="5" s="1"/>
  <c r="V395" i="12"/>
  <c r="T395" i="12"/>
  <c r="U395" i="12"/>
  <c r="U68" i="12"/>
  <c r="V68" i="12"/>
  <c r="T68" i="12"/>
  <c r="C315" i="12"/>
  <c r="AO315" i="12"/>
  <c r="M315" i="12"/>
  <c r="O315" i="12"/>
  <c r="U29" i="12"/>
  <c r="T29" i="12"/>
  <c r="V29" i="12"/>
  <c r="T125" i="12"/>
  <c r="V125" i="12"/>
  <c r="U125" i="12"/>
  <c r="V223" i="12"/>
  <c r="U223" i="12"/>
  <c r="T223" i="12"/>
  <c r="V155" i="12"/>
  <c r="U155" i="12"/>
  <c r="T155" i="12"/>
  <c r="AB471" i="5"/>
  <c r="V290" i="12"/>
  <c r="T290" i="12"/>
  <c r="U290" i="12"/>
  <c r="U60" i="12"/>
  <c r="V60" i="12"/>
  <c r="T60" i="12"/>
  <c r="T100" i="12"/>
  <c r="V100" i="12"/>
  <c r="U100" i="12"/>
  <c r="X506" i="12"/>
  <c r="W506" i="12"/>
  <c r="O430" i="12"/>
  <c r="AO430" i="12"/>
  <c r="M430" i="12"/>
  <c r="C430" i="12"/>
  <c r="V143" i="12"/>
  <c r="T143" i="12"/>
  <c r="U143" i="12"/>
  <c r="V484" i="12"/>
  <c r="U484" i="12"/>
  <c r="T484" i="12"/>
  <c r="U138" i="12"/>
  <c r="T138" i="12"/>
  <c r="V138" i="12"/>
  <c r="T396" i="12"/>
  <c r="U396" i="12"/>
  <c r="V396" i="12"/>
  <c r="C376" i="6"/>
  <c r="AC376" i="5" a="1"/>
  <c r="AC376" i="5" s="1"/>
  <c r="C231" i="6"/>
  <c r="O231" i="5"/>
  <c r="AC231" i="5" a="1"/>
  <c r="AC231" i="5" s="1"/>
  <c r="T160" i="12"/>
  <c r="U160" i="12"/>
  <c r="V160" i="12"/>
  <c r="T488" i="12"/>
  <c r="U488" i="12"/>
  <c r="V488" i="12"/>
  <c r="C239" i="6"/>
  <c r="O239" i="5"/>
  <c r="AC239" i="5" a="1"/>
  <c r="AC239" i="5" s="1"/>
  <c r="C220" i="6"/>
  <c r="O220" i="5"/>
  <c r="AC220" i="5" a="1"/>
  <c r="AC220" i="5" s="1"/>
  <c r="AO424" i="12"/>
  <c r="O424" i="12"/>
  <c r="M424" i="12"/>
  <c r="C424" i="12"/>
  <c r="L410" i="5"/>
  <c r="Z410" i="5"/>
  <c r="I410" i="12"/>
  <c r="AM410" i="5"/>
  <c r="O435" i="12"/>
  <c r="M435" i="12"/>
  <c r="AO435" i="12"/>
  <c r="C435" i="12"/>
  <c r="V487" i="12"/>
  <c r="U487" i="12"/>
  <c r="T487" i="12"/>
  <c r="AO381" i="12"/>
  <c r="M381" i="12"/>
  <c r="O381" i="12"/>
  <c r="C381" i="12"/>
  <c r="C432" i="6"/>
  <c r="AC432" i="5" a="1"/>
  <c r="AC432" i="5" s="1"/>
  <c r="X18" i="12"/>
  <c r="W18" i="12"/>
  <c r="Z216" i="5"/>
  <c r="L216" i="5"/>
  <c r="I216" i="12"/>
  <c r="AM216" i="5"/>
  <c r="U387" i="12"/>
  <c r="T387" i="12"/>
  <c r="V387" i="12"/>
  <c r="AO369" i="12"/>
  <c r="M369" i="12"/>
  <c r="C369" i="12"/>
  <c r="O369" i="12"/>
  <c r="AB429" i="5"/>
  <c r="T217" i="12"/>
  <c r="U217" i="12"/>
  <c r="V217" i="12"/>
  <c r="M460" i="12"/>
  <c r="M459" i="12" s="1"/>
  <c r="O460" i="12"/>
  <c r="AO460" i="12"/>
  <c r="C460" i="12"/>
  <c r="U348" i="12"/>
  <c r="T348" i="12"/>
  <c r="V348" i="12"/>
  <c r="AO287" i="12"/>
  <c r="O287" i="12"/>
  <c r="C287" i="12"/>
  <c r="M287" i="12"/>
  <c r="T142" i="12"/>
  <c r="V142" i="12"/>
  <c r="U142" i="12"/>
  <c r="T109" i="12"/>
  <c r="V109" i="12"/>
  <c r="U109" i="12"/>
  <c r="V47" i="12"/>
  <c r="U47" i="12"/>
  <c r="T47" i="12"/>
  <c r="AB229" i="5"/>
  <c r="AB430" i="5"/>
  <c r="T103" i="12"/>
  <c r="U103" i="12"/>
  <c r="V103" i="12"/>
  <c r="T61" i="12"/>
  <c r="V61" i="12"/>
  <c r="U61" i="12"/>
  <c r="AO274" i="12"/>
  <c r="Y274" i="12" s="1"/>
  <c r="M274" i="12"/>
  <c r="C274" i="12"/>
  <c r="O274" i="12"/>
  <c r="V367" i="12"/>
  <c r="T367" i="12"/>
  <c r="U367" i="12"/>
  <c r="AO376" i="12"/>
  <c r="O376" i="12"/>
  <c r="N376" i="12" s="1"/>
  <c r="M376" i="12"/>
  <c r="C376" i="12"/>
  <c r="L224" i="5"/>
  <c r="AM224" i="5"/>
  <c r="Z224" i="5"/>
  <c r="I224" i="12"/>
  <c r="O415" i="12"/>
  <c r="C415" i="12"/>
  <c r="AO415" i="12"/>
  <c r="M415" i="12"/>
  <c r="V280" i="12"/>
  <c r="T280" i="12"/>
  <c r="U280" i="12"/>
  <c r="AB239" i="5"/>
  <c r="T406" i="12"/>
  <c r="U406" i="12"/>
  <c r="V406" i="12"/>
  <c r="T417" i="12"/>
  <c r="V417" i="12"/>
  <c r="U417" i="12"/>
  <c r="V82" i="12"/>
  <c r="U82" i="12"/>
  <c r="T82" i="12"/>
  <c r="V113" i="12"/>
  <c r="U113" i="12"/>
  <c r="T113" i="12"/>
  <c r="Z215" i="5"/>
  <c r="AM215" i="5"/>
  <c r="I215" i="12"/>
  <c r="S32" i="8"/>
  <c r="L215" i="5"/>
  <c r="T202" i="12"/>
  <c r="U202" i="12"/>
  <c r="V202" i="12"/>
  <c r="U310" i="12"/>
  <c r="T310" i="12"/>
  <c r="V310" i="12"/>
  <c r="C429" i="6"/>
  <c r="AC429" i="5" a="1"/>
  <c r="AC429" i="5" s="1"/>
  <c r="S41" i="8"/>
  <c r="AM441" i="5"/>
  <c r="Z441" i="5"/>
  <c r="I441" i="12"/>
  <c r="L441" i="5"/>
  <c r="AO298" i="12"/>
  <c r="C298" i="12"/>
  <c r="M298" i="12"/>
  <c r="O298" i="12"/>
  <c r="O221" i="5"/>
  <c r="C221" i="6"/>
  <c r="AC221" i="5" a="1"/>
  <c r="AC221" i="5" s="1"/>
  <c r="U389" i="12"/>
  <c r="T389" i="12"/>
  <c r="V389" i="12"/>
  <c r="O228" i="12"/>
  <c r="M228" i="12"/>
  <c r="C228" i="12"/>
  <c r="AO228" i="12"/>
  <c r="AB297" i="5"/>
  <c r="C372" i="12"/>
  <c r="O372" i="12"/>
  <c r="M372" i="12"/>
  <c r="M370" i="12" s="1"/>
  <c r="AO372" i="12"/>
  <c r="AB383" i="5"/>
  <c r="AB262" i="5"/>
  <c r="W201" i="12"/>
  <c r="X201" i="12"/>
  <c r="C237" i="6"/>
  <c r="O237" i="5"/>
  <c r="AC237" i="5" a="1"/>
  <c r="AC237" i="5" s="1"/>
  <c r="C383" i="12"/>
  <c r="AO383" i="12"/>
  <c r="M383" i="12"/>
  <c r="O383" i="12"/>
  <c r="AM263" i="5"/>
  <c r="L263" i="5"/>
  <c r="Z263" i="5"/>
  <c r="I263" i="12"/>
  <c r="X457" i="12"/>
  <c r="W457" i="12"/>
  <c r="M321" i="12"/>
  <c r="O321" i="12"/>
  <c r="AO321" i="12"/>
  <c r="C321" i="12"/>
  <c r="V183" i="12"/>
  <c r="U183" i="12"/>
  <c r="T183" i="12"/>
  <c r="U294" i="12"/>
  <c r="T294" i="12"/>
  <c r="V294" i="12"/>
  <c r="AO229" i="12"/>
  <c r="C229" i="12"/>
  <c r="M229" i="12"/>
  <c r="O229" i="12"/>
  <c r="T178" i="12"/>
  <c r="U178" i="12"/>
  <c r="V178" i="12"/>
  <c r="V200" i="12"/>
  <c r="U200" i="12"/>
  <c r="T200" i="12"/>
  <c r="T443" i="12"/>
  <c r="V443" i="12"/>
  <c r="U443" i="12"/>
  <c r="T69" i="12"/>
  <c r="V69" i="12"/>
  <c r="U69" i="12"/>
  <c r="C430" i="6"/>
  <c r="AC430" i="5" a="1"/>
  <c r="AC430" i="5" s="1"/>
  <c r="T407" i="12"/>
  <c r="U407" i="12"/>
  <c r="V407" i="12"/>
  <c r="W194" i="12"/>
  <c r="X194" i="12"/>
  <c r="M226" i="12"/>
  <c r="O226" i="12"/>
  <c r="AO226" i="12"/>
  <c r="C226" i="12"/>
  <c r="C415" i="6"/>
  <c r="AC415" i="5" a="1"/>
  <c r="AC415" i="5" s="1"/>
  <c r="O412" i="5"/>
  <c r="C412" i="6"/>
  <c r="AC412" i="5" a="1"/>
  <c r="AC412" i="5" s="1"/>
  <c r="T254" i="12"/>
  <c r="V254" i="12"/>
  <c r="U254" i="12"/>
  <c r="U51" i="12"/>
  <c r="V51" i="12"/>
  <c r="T51" i="12"/>
  <c r="O429" i="12"/>
  <c r="AO429" i="12"/>
  <c r="M429" i="12"/>
  <c r="C429" i="12"/>
  <c r="AM27" i="5"/>
  <c r="I27" i="12"/>
  <c r="L27" i="5"/>
  <c r="Z27" i="5"/>
  <c r="S23" i="8"/>
  <c r="V444" i="12"/>
  <c r="T444" i="12"/>
  <c r="U444" i="12"/>
  <c r="O470" i="5"/>
  <c r="C470" i="6"/>
  <c r="AC470" i="5" a="1"/>
  <c r="AC470" i="5" s="1"/>
  <c r="I259" i="12"/>
  <c r="Z259" i="5"/>
  <c r="AM259" i="5"/>
  <c r="L259" i="5"/>
  <c r="O472" i="5"/>
  <c r="C472" i="6"/>
  <c r="AC472" i="5" a="1"/>
  <c r="AC472" i="5" s="1"/>
  <c r="E316" i="6"/>
  <c r="D316" i="12"/>
  <c r="V271" i="12"/>
  <c r="U271" i="12"/>
  <c r="T271" i="12"/>
  <c r="I243" i="5"/>
  <c r="O243" i="5" s="1"/>
  <c r="O242" i="5"/>
  <c r="AB273" i="5"/>
  <c r="V490" i="12"/>
  <c r="U490" i="12"/>
  <c r="T490" i="12"/>
  <c r="AB315" i="5"/>
  <c r="V458" i="12"/>
  <c r="T458" i="12"/>
  <c r="U458" i="12"/>
  <c r="AB321" i="5"/>
  <c r="I354" i="12"/>
  <c r="AM354" i="5"/>
  <c r="L354" i="5"/>
  <c r="Z354" i="5"/>
  <c r="C425" i="6"/>
  <c r="AC425" i="5" a="1"/>
  <c r="AC425" i="5" s="1"/>
  <c r="C229" i="6"/>
  <c r="O229" i="5"/>
  <c r="AC229" i="5" a="1"/>
  <c r="AC229" i="5" s="1"/>
  <c r="V402" i="12"/>
  <c r="U402" i="12"/>
  <c r="T402" i="12"/>
  <c r="W48" i="12"/>
  <c r="X48" i="12"/>
  <c r="W385" i="12"/>
  <c r="X385" i="12"/>
  <c r="V378" i="12"/>
  <c r="U378" i="12"/>
  <c r="T378" i="12"/>
  <c r="O227" i="5"/>
  <c r="C227" i="6"/>
  <c r="AC227" i="5" a="1"/>
  <c r="AC227" i="5" s="1"/>
  <c r="AB274" i="5"/>
  <c r="AM317" i="5"/>
  <c r="L317" i="5"/>
  <c r="Z317" i="5"/>
  <c r="I317" i="12"/>
  <c r="AB226" i="5"/>
  <c r="C438" i="6"/>
  <c r="AC438" i="5" a="1"/>
  <c r="AC438" i="5" s="1"/>
  <c r="U112" i="12"/>
  <c r="T112" i="12"/>
  <c r="V112" i="12"/>
  <c r="O412" i="12"/>
  <c r="C412" i="12"/>
  <c r="M412" i="12"/>
  <c r="AO412" i="12"/>
  <c r="T19" i="12"/>
  <c r="U19" i="12"/>
  <c r="V19" i="12"/>
  <c r="U292" i="12"/>
  <c r="V292" i="12"/>
  <c r="T292" i="12"/>
  <c r="O218" i="12"/>
  <c r="C218" i="12"/>
  <c r="M218" i="12"/>
  <c r="AO218" i="12"/>
  <c r="U199" i="12"/>
  <c r="V199" i="12"/>
  <c r="T199" i="12"/>
  <c r="V105" i="12"/>
  <c r="T105" i="12"/>
  <c r="U105" i="12"/>
  <c r="V172" i="12"/>
  <c r="T172" i="12"/>
  <c r="U172" i="12"/>
  <c r="C426" i="6"/>
  <c r="AC426" i="5" a="1"/>
  <c r="AC426" i="5" s="1"/>
  <c r="U291" i="12"/>
  <c r="T291" i="12"/>
  <c r="V291" i="12"/>
  <c r="C262" i="6"/>
  <c r="AC262" i="5" a="1"/>
  <c r="AC262" i="5" s="1"/>
  <c r="M262" i="12"/>
  <c r="AO262" i="12"/>
  <c r="Y262" i="12" s="1"/>
  <c r="O262" i="12"/>
  <c r="C262" i="12"/>
  <c r="AB237" i="5"/>
  <c r="U207" i="12"/>
  <c r="V207" i="12"/>
  <c r="T207" i="12"/>
  <c r="L272" i="5"/>
  <c r="AM272" i="5"/>
  <c r="I272" i="12"/>
  <c r="Z272" i="5"/>
  <c r="AB298" i="5"/>
  <c r="I314" i="12"/>
  <c r="AM314" i="5"/>
  <c r="Z314" i="5"/>
  <c r="L314" i="5"/>
  <c r="O321" i="5"/>
  <c r="C321" i="6"/>
  <c r="AC321" i="5" a="1"/>
  <c r="AC321" i="5" s="1"/>
  <c r="U84" i="12"/>
  <c r="V84" i="12"/>
  <c r="T84" i="12"/>
  <c r="AB355" i="5"/>
  <c r="AB425" i="5"/>
  <c r="C465" i="12"/>
  <c r="M465" i="12"/>
  <c r="AO465" i="12"/>
  <c r="O465" i="12"/>
  <c r="U311" i="12"/>
  <c r="T311" i="12"/>
  <c r="V311" i="12"/>
  <c r="I277" i="12"/>
  <c r="Z277" i="5"/>
  <c r="L277" i="5"/>
  <c r="AM277" i="5"/>
  <c r="X498" i="12"/>
  <c r="W498" i="12"/>
  <c r="T400" i="12"/>
  <c r="U400" i="12"/>
  <c r="V400" i="12"/>
  <c r="U189" i="12"/>
  <c r="T189" i="12"/>
  <c r="V189" i="12"/>
  <c r="O380" i="5"/>
  <c r="C380" i="6"/>
  <c r="AC380" i="5" a="1"/>
  <c r="AC380" i="5" s="1"/>
  <c r="V499" i="12"/>
  <c r="T499" i="12"/>
  <c r="U499" i="12"/>
  <c r="U195" i="12"/>
  <c r="V195" i="12"/>
  <c r="T195" i="12"/>
  <c r="U323" i="12"/>
  <c r="V323" i="12"/>
  <c r="T323" i="12"/>
  <c r="AO227" i="12"/>
  <c r="O227" i="12"/>
  <c r="N227" i="12" s="1"/>
  <c r="C227" i="12"/>
  <c r="M227" i="12"/>
  <c r="C274" i="6"/>
  <c r="O274" i="5"/>
  <c r="AC274" i="5" a="1"/>
  <c r="AC274" i="5" s="1"/>
  <c r="W95" i="12"/>
  <c r="X95" i="12"/>
  <c r="I234" i="5"/>
  <c r="O234" i="5" s="1"/>
  <c r="O233" i="5"/>
  <c r="AB438" i="5"/>
  <c r="T454" i="12"/>
  <c r="V454" i="12"/>
  <c r="U454" i="12"/>
  <c r="AB412" i="5"/>
  <c r="Z293" i="5"/>
  <c r="AM293" i="5"/>
  <c r="L293" i="5"/>
  <c r="I293" i="12"/>
  <c r="I326" i="12"/>
  <c r="AM326" i="5"/>
  <c r="L326" i="5"/>
  <c r="Z326" i="5"/>
  <c r="U120" i="12"/>
  <c r="T120" i="12"/>
  <c r="V120" i="12"/>
  <c r="T375" i="12"/>
  <c r="V375" i="12"/>
  <c r="U375" i="12"/>
  <c r="C467" i="12"/>
  <c r="M467" i="12"/>
  <c r="AO467" i="12"/>
  <c r="O467" i="12"/>
  <c r="U129" i="12"/>
  <c r="V129" i="12"/>
  <c r="T129" i="12"/>
  <c r="O218" i="5"/>
  <c r="C218" i="6"/>
  <c r="AC218" i="5" a="1"/>
  <c r="AC218" i="5" s="1"/>
  <c r="T309" i="12"/>
  <c r="V309" i="12"/>
  <c r="U309" i="12"/>
  <c r="T81" i="12"/>
  <c r="U81" i="12"/>
  <c r="V81" i="12"/>
  <c r="X264" i="12"/>
  <c r="W264" i="12"/>
  <c r="Z245" i="5"/>
  <c r="L245" i="5"/>
  <c r="I245" i="12"/>
  <c r="AM245" i="5"/>
  <c r="U64" i="12"/>
  <c r="T64" i="12"/>
  <c r="V64" i="12"/>
  <c r="AB468" i="5"/>
  <c r="O260" i="5"/>
  <c r="C260" i="6"/>
  <c r="AC260" i="5" a="1"/>
  <c r="AC260" i="5" s="1"/>
  <c r="C237" i="12"/>
  <c r="AO237" i="12"/>
  <c r="M237" i="12"/>
  <c r="M235" i="12" s="1"/>
  <c r="O237" i="12"/>
  <c r="T149" i="12"/>
  <c r="V149" i="12"/>
  <c r="U149" i="12"/>
  <c r="S44" i="8"/>
  <c r="Z479" i="5"/>
  <c r="L479" i="5"/>
  <c r="I479" i="12"/>
  <c r="AM479" i="5"/>
  <c r="T115" i="12"/>
  <c r="V115" i="12"/>
  <c r="U115" i="12"/>
  <c r="AO273" i="12"/>
  <c r="C273" i="12"/>
  <c r="M273" i="12"/>
  <c r="O273" i="12"/>
  <c r="C315" i="6"/>
  <c r="O315" i="5"/>
  <c r="AC315" i="5" a="1"/>
  <c r="AC315" i="5" s="1"/>
  <c r="T308" i="12"/>
  <c r="V308" i="12"/>
  <c r="U308" i="12"/>
  <c r="M425" i="12"/>
  <c r="AO425" i="12"/>
  <c r="O425" i="12"/>
  <c r="C425" i="12"/>
  <c r="W327" i="12"/>
  <c r="X327" i="12"/>
  <c r="U497" i="12"/>
  <c r="T497" i="12"/>
  <c r="V497" i="12"/>
  <c r="T79" i="12"/>
  <c r="V79" i="12"/>
  <c r="U79" i="12"/>
  <c r="D288" i="12"/>
  <c r="E288" i="6"/>
  <c r="T332" i="12"/>
  <c r="U332" i="12"/>
  <c r="V332" i="12"/>
  <c r="AB380" i="5"/>
  <c r="AB227" i="5"/>
  <c r="V267" i="12"/>
  <c r="T267" i="12"/>
  <c r="U267" i="12"/>
  <c r="AB320" i="5"/>
  <c r="AB317" i="5" s="1"/>
  <c r="U334" i="12"/>
  <c r="V334" i="12"/>
  <c r="T334" i="12"/>
  <c r="M438" i="12"/>
  <c r="O438" i="12"/>
  <c r="AO438" i="12"/>
  <c r="C438" i="12"/>
  <c r="V171" i="12"/>
  <c r="U171" i="12"/>
  <c r="T171" i="12"/>
  <c r="V312" i="12"/>
  <c r="T312" i="12"/>
  <c r="U312" i="12"/>
  <c r="W17" i="12"/>
  <c r="X17" i="12"/>
  <c r="AO422" i="12"/>
  <c r="M422" i="12"/>
  <c r="O422" i="12"/>
  <c r="C422" i="12"/>
  <c r="I414" i="5"/>
  <c r="O413" i="5"/>
  <c r="C296" i="6"/>
  <c r="O296" i="5"/>
  <c r="AC296" i="5" a="1"/>
  <c r="AC296" i="5" s="1"/>
  <c r="AM337" i="5"/>
  <c r="Z337" i="5"/>
  <c r="L337" i="5"/>
  <c r="I337" i="12"/>
  <c r="M322" i="12"/>
  <c r="C322" i="12"/>
  <c r="AO322" i="12"/>
  <c r="O322" i="12"/>
  <c r="AB467" i="5"/>
  <c r="AB218" i="5"/>
  <c r="U344" i="12"/>
  <c r="T344" i="12"/>
  <c r="V344" i="12"/>
  <c r="AB469" i="5"/>
  <c r="W342" i="5"/>
  <c r="AN342" i="5"/>
  <c r="N231" i="12" l="1"/>
  <c r="N470" i="12"/>
  <c r="N229" i="12"/>
  <c r="N297" i="12"/>
  <c r="N241" i="12"/>
  <c r="AB235" i="5"/>
  <c r="N383" i="12"/>
  <c r="N322" i="12"/>
  <c r="Y322" i="12"/>
  <c r="Y431" i="12"/>
  <c r="X431" i="12" s="1"/>
  <c r="AB224" i="5"/>
  <c r="N239" i="12"/>
  <c r="Y465" i="12"/>
  <c r="N429" i="12"/>
  <c r="N298" i="12"/>
  <c r="N232" i="12"/>
  <c r="N433" i="12"/>
  <c r="Y467" i="12"/>
  <c r="N469" i="12"/>
  <c r="N438" i="12"/>
  <c r="Y298" i="12"/>
  <c r="X298" i="12" s="1"/>
  <c r="Y380" i="12"/>
  <c r="Y229" i="12"/>
  <c r="N274" i="12"/>
  <c r="N219" i="12"/>
  <c r="Y275" i="12"/>
  <c r="Y228" i="12"/>
  <c r="N238" i="12"/>
  <c r="Y464" i="12"/>
  <c r="N220" i="12"/>
  <c r="N262" i="12"/>
  <c r="N472" i="12"/>
  <c r="N356" i="12"/>
  <c r="N381" i="12"/>
  <c r="N424" i="12"/>
  <c r="Y430" i="12"/>
  <c r="Y473" i="12"/>
  <c r="Y428" i="12"/>
  <c r="Y374" i="12"/>
  <c r="N427" i="12"/>
  <c r="Y240" i="12"/>
  <c r="N221" i="12"/>
  <c r="N425" i="12"/>
  <c r="Y321" i="12"/>
  <c r="N230" i="12"/>
  <c r="Y418" i="12"/>
  <c r="W418" i="12" s="1"/>
  <c r="M354" i="12"/>
  <c r="AB459" i="5"/>
  <c r="E222" i="6"/>
  <c r="D222" i="12"/>
  <c r="N256" i="12"/>
  <c r="O245" i="12"/>
  <c r="O246" i="12"/>
  <c r="N237" i="12"/>
  <c r="O235" i="12"/>
  <c r="N235" i="12" s="1"/>
  <c r="U264" i="12"/>
  <c r="V264" i="12"/>
  <c r="T264" i="12"/>
  <c r="M215" i="12"/>
  <c r="M216" i="12"/>
  <c r="Y422" i="12"/>
  <c r="N273" i="12"/>
  <c r="O272" i="12"/>
  <c r="O263" i="12"/>
  <c r="AB410" i="5"/>
  <c r="AB384" i="5"/>
  <c r="Y227" i="12"/>
  <c r="L354" i="12" a="1"/>
  <c r="L354" i="12" s="1"/>
  <c r="C354" i="12"/>
  <c r="J354" i="12" a="1"/>
  <c r="J354" i="12" s="1"/>
  <c r="C263" i="6"/>
  <c r="O263" i="5"/>
  <c r="AC263" i="5" a="1"/>
  <c r="AC263" i="5" s="1"/>
  <c r="AO286" i="12"/>
  <c r="Y287" i="12"/>
  <c r="AO277" i="12"/>
  <c r="Y369" i="12"/>
  <c r="AO360" i="12"/>
  <c r="AO361" i="12"/>
  <c r="AO366" i="12"/>
  <c r="Y381" i="12"/>
  <c r="N430" i="12"/>
  <c r="D496" i="12"/>
  <c r="E496" i="6"/>
  <c r="N432" i="12"/>
  <c r="T134" i="12"/>
  <c r="U134" i="12"/>
  <c r="V134" i="12"/>
  <c r="Y471" i="12"/>
  <c r="D43" i="12"/>
  <c r="E43" i="6"/>
  <c r="Y297" i="12"/>
  <c r="C459" i="6"/>
  <c r="O459" i="5"/>
  <c r="AC459" i="5" a="1"/>
  <c r="AC459" i="5" s="1"/>
  <c r="W431" i="12"/>
  <c r="N275" i="12"/>
  <c r="E466" i="6"/>
  <c r="D466" i="12"/>
  <c r="M293" i="12"/>
  <c r="O259" i="12"/>
  <c r="N260" i="12"/>
  <c r="W229" i="12"/>
  <c r="X229" i="12"/>
  <c r="D220" i="12"/>
  <c r="E220" i="6"/>
  <c r="D374" i="12"/>
  <c r="E374" i="6"/>
  <c r="L377" i="12" a="1"/>
  <c r="L377" i="12" s="1"/>
  <c r="J377" i="12" a="1"/>
  <c r="J377" i="12" s="1"/>
  <c r="C377" i="12"/>
  <c r="C272" i="6"/>
  <c r="O272" i="5"/>
  <c r="AC272" i="5" a="1"/>
  <c r="AC272" i="5" s="1"/>
  <c r="C27" i="6"/>
  <c r="O27" i="5"/>
  <c r="AC27" i="5" a="1"/>
  <c r="AC27" i="5" s="1"/>
  <c r="O441" i="5"/>
  <c r="C441" i="6"/>
  <c r="AC441" i="5" a="1"/>
  <c r="AC441" i="5" s="1"/>
  <c r="J215" i="12" a="1"/>
  <c r="J215" i="12" s="1"/>
  <c r="L215" i="12" a="1"/>
  <c r="L215" i="12" s="1"/>
  <c r="K215" i="12" s="1"/>
  <c r="C215" i="12"/>
  <c r="Y256" i="12"/>
  <c r="AO245" i="12"/>
  <c r="Y245" i="12" s="1"/>
  <c r="AO246" i="12"/>
  <c r="Y246" i="12" s="1"/>
  <c r="X418" i="12"/>
  <c r="M42" i="12"/>
  <c r="M27" i="12"/>
  <c r="Y427" i="12"/>
  <c r="N431" i="12"/>
  <c r="D373" i="12"/>
  <c r="E373" i="6"/>
  <c r="T208" i="12"/>
  <c r="V208" i="12"/>
  <c r="U208" i="12"/>
  <c r="J360" i="12" a="1"/>
  <c r="J360" i="12" s="1"/>
  <c r="C360" i="12"/>
  <c r="L360" i="12" a="1"/>
  <c r="L360" i="12" s="1"/>
  <c r="AC492" i="5" a="1"/>
  <c r="AC492" i="5" s="1"/>
  <c r="C492" i="6"/>
  <c r="O492" i="5"/>
  <c r="X221" i="12"/>
  <c r="W221" i="12"/>
  <c r="AB462" i="5"/>
  <c r="E223" i="6"/>
  <c r="D223" i="12"/>
  <c r="C337" i="12"/>
  <c r="L337" i="12" a="1"/>
  <c r="L337" i="12" s="1"/>
  <c r="J337" i="12" a="1"/>
  <c r="J337" i="12" s="1"/>
  <c r="J317" i="12" a="1"/>
  <c r="J317" i="12" s="1"/>
  <c r="C317" i="12"/>
  <c r="L317" i="12" a="1"/>
  <c r="L317" i="12" s="1"/>
  <c r="C27" i="12"/>
  <c r="L27" i="12" a="1"/>
  <c r="L27" i="12" s="1"/>
  <c r="J27" i="12" a="1"/>
  <c r="J27" i="12" s="1"/>
  <c r="Y383" i="12"/>
  <c r="C441" i="12"/>
  <c r="J441" i="12" a="1"/>
  <c r="J441" i="12" s="1"/>
  <c r="L441" i="12" a="1"/>
  <c r="L441" i="12" s="1"/>
  <c r="K441" i="12" s="1"/>
  <c r="E239" i="6"/>
  <c r="D239" i="12"/>
  <c r="AB42" i="5"/>
  <c r="AB27" i="5"/>
  <c r="D23" i="8" s="1"/>
  <c r="M245" i="12"/>
  <c r="M246" i="12"/>
  <c r="Y219" i="12"/>
  <c r="D369" i="12"/>
  <c r="E369" i="6"/>
  <c r="D219" i="12"/>
  <c r="E219" i="6"/>
  <c r="AO42" i="12"/>
  <c r="Y43" i="12"/>
  <c r="AO27" i="12"/>
  <c r="Y238" i="12"/>
  <c r="C42" i="6"/>
  <c r="O42" i="5"/>
  <c r="AC42" i="5" a="1"/>
  <c r="AC42" i="5" s="1"/>
  <c r="E287" i="6"/>
  <c r="D287" i="12"/>
  <c r="N452" i="12"/>
  <c r="O441" i="12"/>
  <c r="O442" i="12"/>
  <c r="AB377" i="5"/>
  <c r="X40" i="8" a="1"/>
  <c r="X40" i="8" s="1"/>
  <c r="X38" i="8" s="1" a="1"/>
  <c r="X38" i="8" s="1"/>
  <c r="H38" i="8" s="1" a="1"/>
  <c r="H38" i="8" s="1"/>
  <c r="J39" i="8" s="1"/>
  <c r="AC40" i="8" a="1"/>
  <c r="AC40" i="8" s="1"/>
  <c r="G38" i="8"/>
  <c r="G39" i="8" s="1" a="1"/>
  <c r="G39" i="8" s="1"/>
  <c r="U40" i="8" a="1"/>
  <c r="U40" i="8" s="1"/>
  <c r="Y40" i="8" a="1"/>
  <c r="Y40" i="8" s="1"/>
  <c r="AE40" i="8" a="1"/>
  <c r="AE40" i="8" s="1"/>
  <c r="Z40" i="8" a="1"/>
  <c r="Z40" i="8" s="1"/>
  <c r="E40" i="8" a="1"/>
  <c r="E40" i="8" s="1"/>
  <c r="W40" i="8" a="1"/>
  <c r="W40" i="8" s="1"/>
  <c r="AD40" i="8" a="1"/>
  <c r="AD40" i="8" s="1"/>
  <c r="AF40" i="8" a="1"/>
  <c r="AF40" i="8" s="1"/>
  <c r="H39" i="8" a="1"/>
  <c r="H39" i="8" s="1"/>
  <c r="AA40" i="8" a="1"/>
  <c r="AA40" i="8" s="1"/>
  <c r="AB40" i="8" a="1"/>
  <c r="AB40" i="8" s="1"/>
  <c r="AB38" i="8" s="1" a="1"/>
  <c r="AB38" i="8" s="1"/>
  <c r="V40" i="8" a="1"/>
  <c r="V40" i="8" s="1"/>
  <c r="N379" i="12"/>
  <c r="O377" i="12"/>
  <c r="J474" i="12" a="1"/>
  <c r="J474" i="12" s="1"/>
  <c r="L474" i="12" a="1"/>
  <c r="L474" i="12" s="1"/>
  <c r="C474" i="12"/>
  <c r="N464" i="12"/>
  <c r="E475" i="6"/>
  <c r="D475" i="12"/>
  <c r="Y379" i="12"/>
  <c r="AO377" i="12"/>
  <c r="AB293" i="5"/>
  <c r="AO272" i="12"/>
  <c r="Y273" i="12"/>
  <c r="AO263" i="12"/>
  <c r="Y263" i="12" s="1"/>
  <c r="V498" i="12"/>
  <c r="U498" i="12"/>
  <c r="T498" i="12"/>
  <c r="V327" i="12"/>
  <c r="U327" i="12"/>
  <c r="T327" i="12"/>
  <c r="E260" i="6"/>
  <c r="D260" i="12"/>
  <c r="X228" i="12"/>
  <c r="W228" i="12"/>
  <c r="AO459" i="12"/>
  <c r="Y460" i="12"/>
  <c r="J216" i="12" a="1"/>
  <c r="J216" i="12" s="1"/>
  <c r="C216" i="12"/>
  <c r="L216" i="12" a="1"/>
  <c r="L216" i="12" s="1"/>
  <c r="K216" i="12" s="1"/>
  <c r="AO434" i="12"/>
  <c r="Y435" i="12"/>
  <c r="E257" i="6"/>
  <c r="D257" i="12"/>
  <c r="Y456" i="12"/>
  <c r="AO453" i="12"/>
  <c r="T44" i="12"/>
  <c r="V44" i="12"/>
  <c r="U44" i="12"/>
  <c r="E275" i="6"/>
  <c r="D275" i="12"/>
  <c r="W374" i="12"/>
  <c r="X374" i="12"/>
  <c r="Y496" i="12"/>
  <c r="AO492" i="12"/>
  <c r="AO479" i="12"/>
  <c r="N505" i="12"/>
  <c r="O503" i="12"/>
  <c r="N503" i="12" s="1"/>
  <c r="C361" i="6"/>
  <c r="O361" i="5"/>
  <c r="AC361" i="5" a="1"/>
  <c r="AC361" i="5" s="1"/>
  <c r="Y470" i="12"/>
  <c r="E476" i="6"/>
  <c r="D476" i="12"/>
  <c r="M377" i="12"/>
  <c r="AC474" i="5" a="1"/>
  <c r="AC474" i="5" s="1"/>
  <c r="O474" i="5"/>
  <c r="C474" i="6"/>
  <c r="D467" i="12"/>
  <c r="E467" i="6"/>
  <c r="N372" i="12"/>
  <c r="O370" i="12"/>
  <c r="N370" i="12" s="1"/>
  <c r="C377" i="6"/>
  <c r="AC377" i="5" a="1"/>
  <c r="AC377" i="5" s="1"/>
  <c r="O377" i="5"/>
  <c r="N43" i="12"/>
  <c r="O42" i="12"/>
  <c r="N42" i="12" s="1"/>
  <c r="O27" i="12"/>
  <c r="N27" i="12" s="1"/>
  <c r="X275" i="12"/>
  <c r="W275" i="12"/>
  <c r="M442" i="12"/>
  <c r="M441" i="12"/>
  <c r="AC360" i="5" a="1"/>
  <c r="AC360" i="5" s="1"/>
  <c r="O360" i="5"/>
  <c r="C360" i="6"/>
  <c r="AB354" i="5"/>
  <c r="T48" i="12"/>
  <c r="V48" i="12"/>
  <c r="U48" i="12"/>
  <c r="AC337" i="5" a="1"/>
  <c r="AC337" i="5" s="1"/>
  <c r="O337" i="5"/>
  <c r="C337" i="6"/>
  <c r="X342" i="5" a="1"/>
  <c r="X342" i="5" s="1"/>
  <c r="H342" i="12"/>
  <c r="D233" i="12"/>
  <c r="E233" i="6"/>
  <c r="AC277" i="5" a="1"/>
  <c r="AC277" i="5" s="1"/>
  <c r="O277" i="5"/>
  <c r="C277" i="6"/>
  <c r="O317" i="5"/>
  <c r="C317" i="6"/>
  <c r="AC317" i="5" a="1"/>
  <c r="AC317" i="5" s="1"/>
  <c r="E472" i="6"/>
  <c r="D472" i="12"/>
  <c r="O459" i="12"/>
  <c r="N459" i="12" s="1"/>
  <c r="N460" i="12"/>
  <c r="AC216" i="5" a="1"/>
  <c r="AC216" i="5" s="1"/>
  <c r="O216" i="5"/>
  <c r="C216" i="6"/>
  <c r="M434" i="12"/>
  <c r="N423" i="12"/>
  <c r="D258" i="12"/>
  <c r="E258" i="6"/>
  <c r="N456" i="12"/>
  <c r="O453" i="12"/>
  <c r="N453" i="12" s="1"/>
  <c r="N418" i="12"/>
  <c r="Y356" i="12"/>
  <c r="Y320" i="12"/>
  <c r="AO317" i="12"/>
  <c r="N496" i="12"/>
  <c r="O492" i="12"/>
  <c r="O479" i="12"/>
  <c r="N479" i="12" s="1"/>
  <c r="L42" i="12" a="1"/>
  <c r="L42" i="12" s="1"/>
  <c r="C42" i="12"/>
  <c r="J42" i="12" a="1"/>
  <c r="J42" i="12" s="1"/>
  <c r="C453" i="12"/>
  <c r="J453" i="12" a="1"/>
  <c r="J453" i="12" s="1"/>
  <c r="L453" i="12" a="1"/>
  <c r="L453" i="12" s="1"/>
  <c r="V49" i="12"/>
  <c r="T49" i="12"/>
  <c r="U49" i="12"/>
  <c r="I478" i="5"/>
  <c r="O478" i="5" s="1"/>
  <c r="O477" i="5"/>
  <c r="W464" i="12"/>
  <c r="X464" i="12"/>
  <c r="J492" i="12" a="1"/>
  <c r="J492" i="12" s="1"/>
  <c r="C492" i="12"/>
  <c r="L492" i="12" a="1"/>
  <c r="L492" i="12" s="1"/>
  <c r="K492" i="12" s="1"/>
  <c r="M272" i="12"/>
  <c r="M263" i="12"/>
  <c r="T506" i="12"/>
  <c r="V506" i="12"/>
  <c r="U506" i="12"/>
  <c r="AD34" i="8" a="1"/>
  <c r="AD34" i="8" s="1"/>
  <c r="AD32" i="8" s="1" a="1"/>
  <c r="AD32" i="8" s="1"/>
  <c r="Z34" i="8" a="1"/>
  <c r="Z34" i="8" s="1"/>
  <c r="Z32" i="8" s="1" a="1"/>
  <c r="Z32" i="8" s="1"/>
  <c r="AC34" i="8" a="1"/>
  <c r="AC34" i="8" s="1"/>
  <c r="AC32" i="8" s="1" a="1"/>
  <c r="AC32" i="8" s="1"/>
  <c r="H33" i="8" a="1"/>
  <c r="H33" i="8" s="1"/>
  <c r="G32" i="8"/>
  <c r="G33" i="8" s="1" a="1"/>
  <c r="G33" i="8" s="1"/>
  <c r="AB34" i="8" a="1"/>
  <c r="AB34" i="8" s="1"/>
  <c r="AB32" i="8" s="1" a="1"/>
  <c r="AB32" i="8" s="1"/>
  <c r="AF34" i="8" a="1"/>
  <c r="AF34" i="8" s="1"/>
  <c r="AF32" i="8" s="1" a="1"/>
  <c r="AF32" i="8" s="1"/>
  <c r="AA34" i="8" a="1"/>
  <c r="AA34" i="8" s="1"/>
  <c r="W34" i="8" a="1"/>
  <c r="W34" i="8" s="1"/>
  <c r="E34" i="8" a="1"/>
  <c r="E34" i="8" s="1"/>
  <c r="E32" i="8" s="1" a="1"/>
  <c r="E32" i="8" s="1"/>
  <c r="X34" i="8" a="1"/>
  <c r="X34" i="8" s="1"/>
  <c r="U34" i="8" a="1"/>
  <c r="U34" i="8" s="1"/>
  <c r="U32" i="8" s="1" a="1"/>
  <c r="U32" i="8" s="1"/>
  <c r="Y34" i="8" a="1"/>
  <c r="Y34" i="8" s="1"/>
  <c r="Y32" i="8" s="1" a="1"/>
  <c r="Y32" i="8" s="1"/>
  <c r="V34" i="8" a="1"/>
  <c r="V34" i="8" s="1"/>
  <c r="V32" i="8" s="1" a="1"/>
  <c r="V32" i="8" s="1"/>
  <c r="AE34" i="8" a="1"/>
  <c r="AE34" i="8" s="1"/>
  <c r="Y505" i="12"/>
  <c r="AO503" i="12"/>
  <c r="AB314" i="5"/>
  <c r="AB302" i="5"/>
  <c r="C259" i="6"/>
  <c r="AC259" i="5" a="1"/>
  <c r="AC259" i="5" s="1"/>
  <c r="O259" i="5"/>
  <c r="Y226" i="12"/>
  <c r="AO224" i="12"/>
  <c r="E237" i="6"/>
  <c r="D237" i="12"/>
  <c r="AF43" i="8" a="1"/>
  <c r="AF43" i="8" s="1"/>
  <c r="AB43" i="8" a="1"/>
  <c r="AB43" i="8" s="1"/>
  <c r="U43" i="8" a="1"/>
  <c r="U43" i="8" s="1"/>
  <c r="V43" i="8" a="1"/>
  <c r="V43" i="8" s="1"/>
  <c r="H42" i="8" a="1"/>
  <c r="H42" i="8" s="1"/>
  <c r="AE43" i="8" a="1"/>
  <c r="AE43" i="8" s="1"/>
  <c r="G41" i="8"/>
  <c r="G42" i="8" s="1" a="1"/>
  <c r="G42" i="8" s="1"/>
  <c r="AC43" i="8" a="1"/>
  <c r="AC43" i="8" s="1"/>
  <c r="AD43" i="8" a="1"/>
  <c r="AD43" i="8" s="1"/>
  <c r="AA43" i="8" a="1"/>
  <c r="AA43" i="8" s="1"/>
  <c r="X43" i="8" a="1"/>
  <c r="X43" i="8" s="1"/>
  <c r="Z43" i="8" a="1"/>
  <c r="Z43" i="8" s="1"/>
  <c r="W43" i="8" a="1"/>
  <c r="W43" i="8" s="1"/>
  <c r="W41" i="8" s="1" a="1"/>
  <c r="W41" i="8" s="1"/>
  <c r="H41" i="8" s="1" a="1"/>
  <c r="H41" i="8" s="1"/>
  <c r="J42" i="8" s="1"/>
  <c r="Y43" i="8" a="1"/>
  <c r="Y43" i="8" s="1"/>
  <c r="E43" i="8" a="1"/>
  <c r="E43" i="8" s="1"/>
  <c r="E41" i="8" s="1" a="1"/>
  <c r="E41" i="8" s="1"/>
  <c r="N435" i="12"/>
  <c r="O434" i="12"/>
  <c r="N434" i="12" s="1"/>
  <c r="N426" i="12"/>
  <c r="X473" i="12"/>
  <c r="W473" i="12"/>
  <c r="AB370" i="5"/>
  <c r="AB492" i="5"/>
  <c r="AB479" i="5"/>
  <c r="D44" i="8" s="1"/>
  <c r="Y419" i="12"/>
  <c r="N374" i="12"/>
  <c r="M492" i="12"/>
  <c r="M479" i="12"/>
  <c r="E460" i="6"/>
  <c r="D460" i="12"/>
  <c r="U118" i="12"/>
  <c r="T118" i="12"/>
  <c r="V118" i="12"/>
  <c r="AB286" i="5"/>
  <c r="AB277" i="5"/>
  <c r="E240" i="6"/>
  <c r="D240" i="12"/>
  <c r="O246" i="5"/>
  <c r="C246" i="6"/>
  <c r="AC246" i="5" a="1"/>
  <c r="AC246" i="5" s="1"/>
  <c r="N218" i="12"/>
  <c r="O216" i="12"/>
  <c r="N216" i="12" s="1"/>
  <c r="O215" i="12"/>
  <c r="N215" i="12" s="1"/>
  <c r="E234" i="6"/>
  <c r="D234" i="12"/>
  <c r="Y425" i="12"/>
  <c r="J479" i="12" a="1"/>
  <c r="J479" i="12" s="1"/>
  <c r="C479" i="12"/>
  <c r="L479" i="12" a="1"/>
  <c r="L479" i="12" s="1"/>
  <c r="C326" i="6"/>
  <c r="AC326" i="5" a="1"/>
  <c r="AC326" i="5" s="1"/>
  <c r="O326" i="5"/>
  <c r="C277" i="12"/>
  <c r="L277" i="12" a="1"/>
  <c r="L277" i="12" s="1"/>
  <c r="J277" i="12" a="1"/>
  <c r="J277" i="12" s="1"/>
  <c r="Y412" i="12"/>
  <c r="AO384" i="12"/>
  <c r="AO410" i="12"/>
  <c r="D229" i="12"/>
  <c r="E229" i="6"/>
  <c r="Y429" i="12"/>
  <c r="N226" i="12"/>
  <c r="O224" i="12"/>
  <c r="N228" i="12"/>
  <c r="Y415" i="12"/>
  <c r="T18" i="12"/>
  <c r="U18" i="12"/>
  <c r="V18" i="12"/>
  <c r="Y423" i="12"/>
  <c r="D381" i="12"/>
  <c r="E381" i="6"/>
  <c r="Y239" i="12"/>
  <c r="O302" i="5"/>
  <c r="C302" i="6"/>
  <c r="AC302" i="5" a="1"/>
  <c r="AC302" i="5" s="1"/>
  <c r="J434" i="12" a="1"/>
  <c r="J434" i="12" s="1"/>
  <c r="L434" i="12" a="1"/>
  <c r="L434" i="12" s="1"/>
  <c r="C434" i="12"/>
  <c r="M317" i="12"/>
  <c r="L361" i="12" a="1"/>
  <c r="L361" i="12" s="1"/>
  <c r="J361" i="12" a="1"/>
  <c r="J361" i="12" s="1"/>
  <c r="C361" i="12"/>
  <c r="O453" i="5"/>
  <c r="C453" i="6"/>
  <c r="AC453" i="5" a="1"/>
  <c r="AC453" i="5" s="1"/>
  <c r="AB441" i="5"/>
  <c r="D41" i="8" s="1"/>
  <c r="AB442" i="5"/>
  <c r="D465" i="12"/>
  <c r="E465" i="6"/>
  <c r="U140" i="12"/>
  <c r="T140" i="12"/>
  <c r="V140" i="12"/>
  <c r="L246" i="12" a="1"/>
  <c r="L246" i="12" s="1"/>
  <c r="J246" i="12" a="1"/>
  <c r="J246" i="12" s="1"/>
  <c r="C246" i="12"/>
  <c r="AC25" i="8" a="1"/>
  <c r="AC25" i="8" s="1"/>
  <c r="AC23" i="8" s="1" a="1"/>
  <c r="AC23" i="8" s="1"/>
  <c r="V25" i="8" a="1"/>
  <c r="V25" i="8" s="1"/>
  <c r="V23" i="8" s="1" a="1"/>
  <c r="V23" i="8" s="1"/>
  <c r="AB25" i="8" a="1"/>
  <c r="AB25" i="8" s="1"/>
  <c r="AB23" i="8" s="1" a="1"/>
  <c r="AB23" i="8" s="1"/>
  <c r="E25" i="8" a="1"/>
  <c r="E25" i="8" s="1"/>
  <c r="E23" i="8" s="1" a="1"/>
  <c r="E23" i="8" s="1"/>
  <c r="H24" i="8" a="1"/>
  <c r="H24" i="8" s="1"/>
  <c r="Z25" i="8" a="1"/>
  <c r="Z25" i="8" s="1"/>
  <c r="Z23" i="8" s="1" a="1"/>
  <c r="Z23" i="8" s="1"/>
  <c r="X25" i="8" a="1"/>
  <c r="X25" i="8" s="1"/>
  <c r="X23" i="8" s="1" a="1"/>
  <c r="X23" i="8" s="1"/>
  <c r="AF25" i="8" a="1"/>
  <c r="AF25" i="8" s="1"/>
  <c r="AF23" i="8" s="1" a="1"/>
  <c r="AF23" i="8" s="1"/>
  <c r="W25" i="8" a="1"/>
  <c r="W25" i="8" s="1"/>
  <c r="W23" i="8" s="1" a="1"/>
  <c r="W23" i="8" s="1"/>
  <c r="Y25" i="8" a="1"/>
  <c r="Y25" i="8" s="1"/>
  <c r="Y23" i="8" s="1" a="1"/>
  <c r="Y23" i="8" s="1"/>
  <c r="AD25" i="8" a="1"/>
  <c r="AD25" i="8" s="1"/>
  <c r="AD23" i="8" s="1" a="1"/>
  <c r="AD23" i="8" s="1"/>
  <c r="AE25" i="8" a="1"/>
  <c r="AE25" i="8" s="1"/>
  <c r="AE23" i="8" s="1" a="1"/>
  <c r="AE23" i="8" s="1"/>
  <c r="U25" i="8" a="1"/>
  <c r="U25" i="8" s="1"/>
  <c r="U23" i="8" s="1" a="1"/>
  <c r="U23" i="8" s="1"/>
  <c r="AA25" i="8" a="1"/>
  <c r="AA25" i="8" s="1"/>
  <c r="AA23" i="8" s="1" a="1"/>
  <c r="AA23" i="8" s="1"/>
  <c r="G23" i="8"/>
  <c r="G24" i="8" s="1" a="1"/>
  <c r="G24" i="8" s="1"/>
  <c r="Y260" i="12"/>
  <c r="AO259" i="12"/>
  <c r="Y259" i="12" s="1"/>
  <c r="X230" i="12"/>
  <c r="W230" i="12"/>
  <c r="D296" i="12"/>
  <c r="E296" i="6"/>
  <c r="C479" i="6"/>
  <c r="AC479" i="5" a="1"/>
  <c r="AC479" i="5" s="1"/>
  <c r="O479" i="5"/>
  <c r="D218" i="12"/>
  <c r="E218" i="6"/>
  <c r="U95" i="12"/>
  <c r="T95" i="12"/>
  <c r="V95" i="12"/>
  <c r="D321" i="12"/>
  <c r="E321" i="6"/>
  <c r="M384" i="12"/>
  <c r="M410" i="12"/>
  <c r="M224" i="12"/>
  <c r="W321" i="12"/>
  <c r="X321" i="12"/>
  <c r="X274" i="12"/>
  <c r="W274" i="12"/>
  <c r="L410" i="12" a="1"/>
  <c r="L410" i="12" s="1"/>
  <c r="C410" i="12"/>
  <c r="J410" i="12" a="1"/>
  <c r="J410" i="12" s="1"/>
  <c r="Y466" i="12"/>
  <c r="O434" i="5"/>
  <c r="AC434" i="5" a="1"/>
  <c r="AC434" i="5" s="1"/>
  <c r="C434" i="6"/>
  <c r="T489" i="12"/>
  <c r="V489" i="12"/>
  <c r="U489" i="12"/>
  <c r="N320" i="12"/>
  <c r="O317" i="12"/>
  <c r="N240" i="12"/>
  <c r="Y475" i="12"/>
  <c r="AO474" i="12"/>
  <c r="E256" i="6"/>
  <c r="D256" i="12"/>
  <c r="C503" i="6"/>
  <c r="AC503" i="5" a="1"/>
  <c r="AC503" i="5" s="1"/>
  <c r="O503" i="5"/>
  <c r="AB337" i="5"/>
  <c r="AB326" i="5"/>
  <c r="E356" i="6"/>
  <c r="D356" i="12"/>
  <c r="Y376" i="12"/>
  <c r="Y438" i="12"/>
  <c r="C326" i="12"/>
  <c r="L326" i="12" a="1"/>
  <c r="L326" i="12" s="1"/>
  <c r="J326" i="12" a="1"/>
  <c r="J326" i="12" s="1"/>
  <c r="C314" i="6"/>
  <c r="O314" i="5"/>
  <c r="AC314" i="5" a="1"/>
  <c r="AC314" i="5" s="1"/>
  <c r="C259" i="12"/>
  <c r="J259" i="12" a="1"/>
  <c r="J259" i="12" s="1"/>
  <c r="L259" i="12" a="1"/>
  <c r="L259" i="12" s="1"/>
  <c r="K259" i="12" s="1"/>
  <c r="N321" i="12"/>
  <c r="U201" i="12"/>
  <c r="T201" i="12"/>
  <c r="V201" i="12"/>
  <c r="N415" i="12"/>
  <c r="N315" i="12"/>
  <c r="O314" i="12"/>
  <c r="O302" i="12"/>
  <c r="C235" i="6"/>
  <c r="O235" i="5"/>
  <c r="AC235" i="5" a="1"/>
  <c r="AC235" i="5" s="1"/>
  <c r="Y426" i="12"/>
  <c r="Y241" i="12"/>
  <c r="Y231" i="12"/>
  <c r="U188" i="12"/>
  <c r="T188" i="12"/>
  <c r="V188" i="12"/>
  <c r="O366" i="5"/>
  <c r="AC366" i="5" a="1"/>
  <c r="AC366" i="5" s="1"/>
  <c r="C366" i="6"/>
  <c r="E436" i="6"/>
  <c r="D436" i="12"/>
  <c r="X240" i="12"/>
  <c r="W240" i="12"/>
  <c r="N475" i="12"/>
  <c r="O474" i="12"/>
  <c r="N474" i="12" s="1"/>
  <c r="J503" i="12" a="1"/>
  <c r="J503" i="12" s="1"/>
  <c r="L503" i="12" a="1"/>
  <c r="L503" i="12" s="1"/>
  <c r="C503" i="12"/>
  <c r="D322" i="12"/>
  <c r="E322" i="6"/>
  <c r="Y468" i="12"/>
  <c r="E355" i="6"/>
  <c r="D355" i="12"/>
  <c r="AB259" i="5"/>
  <c r="O286" i="5"/>
  <c r="AC286" i="5" a="1"/>
  <c r="AC286" i="5" s="1"/>
  <c r="C286" i="6"/>
  <c r="W472" i="12"/>
  <c r="X472" i="12"/>
  <c r="AB46" i="8" a="1"/>
  <c r="AB46" i="8" s="1"/>
  <c r="AB44" i="8" s="1" a="1"/>
  <c r="AB44" i="8" s="1"/>
  <c r="V46" i="8" a="1"/>
  <c r="V46" i="8" s="1"/>
  <c r="V44" i="8" s="1" a="1"/>
  <c r="V44" i="8" s="1"/>
  <c r="X46" i="8" a="1"/>
  <c r="X46" i="8" s="1"/>
  <c r="X44" i="8" s="1" a="1"/>
  <c r="X44" i="8" s="1"/>
  <c r="E46" i="8" a="1"/>
  <c r="E46" i="8" s="1"/>
  <c r="E44" i="8" s="1" a="1"/>
  <c r="E44" i="8" s="1"/>
  <c r="AC46" i="8" a="1"/>
  <c r="AC46" i="8" s="1"/>
  <c r="AC44" i="8" s="1" a="1"/>
  <c r="AC44" i="8" s="1"/>
  <c r="AF46" i="8" a="1"/>
  <c r="AF46" i="8" s="1"/>
  <c r="AF44" i="8" s="1" a="1"/>
  <c r="AF44" i="8" s="1"/>
  <c r="Y46" i="8" a="1"/>
  <c r="Y46" i="8" s="1"/>
  <c r="Y44" i="8" s="1" a="1"/>
  <c r="Y44" i="8" s="1"/>
  <c r="G44" i="8"/>
  <c r="G45" i="8" s="1" a="1"/>
  <c r="G45" i="8" s="1"/>
  <c r="H45" i="8" a="1"/>
  <c r="H45" i="8" s="1"/>
  <c r="AD46" i="8" a="1"/>
  <c r="AD46" i="8" s="1"/>
  <c r="AD44" i="8" s="1" a="1"/>
  <c r="AD44" i="8" s="1"/>
  <c r="AA46" i="8" a="1"/>
  <c r="AA46" i="8" s="1"/>
  <c r="AA44" i="8" s="1" a="1"/>
  <c r="AA44" i="8" s="1"/>
  <c r="U46" i="8" a="1"/>
  <c r="U46" i="8" s="1"/>
  <c r="U44" i="8" s="1" a="1"/>
  <c r="U44" i="8" s="1"/>
  <c r="AE46" i="8" a="1"/>
  <c r="AE46" i="8" s="1"/>
  <c r="AE44" i="8" s="1" a="1"/>
  <c r="AE44" i="8" s="1"/>
  <c r="Z46" i="8" a="1"/>
  <c r="Z46" i="8" s="1"/>
  <c r="Z44" i="8" s="1" a="1"/>
  <c r="Z44" i="8" s="1"/>
  <c r="W46" i="8" a="1"/>
  <c r="W46" i="8" s="1"/>
  <c r="W44" i="8" s="1" a="1"/>
  <c r="W44" i="8" s="1"/>
  <c r="C293" i="12"/>
  <c r="J293" i="12" a="1"/>
  <c r="J293" i="12" s="1"/>
  <c r="L293" i="12" a="1"/>
  <c r="L293" i="12" s="1"/>
  <c r="K293" i="12" s="1"/>
  <c r="AC410" i="5" a="1"/>
  <c r="AC410" i="5" s="1"/>
  <c r="O410" i="5"/>
  <c r="C410" i="6"/>
  <c r="M314" i="12"/>
  <c r="M302" i="12"/>
  <c r="C384" i="12"/>
  <c r="L384" i="12" a="1"/>
  <c r="L384" i="12" s="1"/>
  <c r="J384" i="12" a="1"/>
  <c r="J384" i="12" s="1"/>
  <c r="C302" i="12"/>
  <c r="J302" i="12" a="1"/>
  <c r="J302" i="12" s="1"/>
  <c r="L302" i="12" a="1"/>
  <c r="L302" i="12" s="1"/>
  <c r="D230" i="12"/>
  <c r="E230" i="6"/>
  <c r="J370" i="12" a="1"/>
  <c r="J370" i="12" s="1"/>
  <c r="L370" i="12" a="1"/>
  <c r="L370" i="12" s="1"/>
  <c r="C370" i="12"/>
  <c r="D456" i="12"/>
  <c r="E456" i="6"/>
  <c r="E473" i="6"/>
  <c r="D473" i="12"/>
  <c r="E232" i="6"/>
  <c r="D232" i="12"/>
  <c r="D372" i="12"/>
  <c r="E372" i="6"/>
  <c r="L366" i="12" a="1"/>
  <c r="L366" i="12" s="1"/>
  <c r="K366" i="12" s="1"/>
  <c r="J366" i="12" a="1"/>
  <c r="J366" i="12" s="1"/>
  <c r="C366" i="12"/>
  <c r="O437" i="5"/>
  <c r="I438" i="5"/>
  <c r="W461" i="12"/>
  <c r="X461" i="12"/>
  <c r="N463" i="12"/>
  <c r="O462" i="12"/>
  <c r="N462" i="12" s="1"/>
  <c r="M337" i="12"/>
  <c r="M326" i="12"/>
  <c r="W322" i="12"/>
  <c r="X322" i="12"/>
  <c r="T385" i="12"/>
  <c r="V385" i="12"/>
  <c r="U385" i="12"/>
  <c r="Y296" i="12"/>
  <c r="AO293" i="12"/>
  <c r="E413" i="6"/>
  <c r="D413" i="12"/>
  <c r="E274" i="6"/>
  <c r="D274" i="12"/>
  <c r="X262" i="12"/>
  <c r="W262" i="12"/>
  <c r="N412" i="12"/>
  <c r="O410" i="12"/>
  <c r="O384" i="12"/>
  <c r="N384" i="12" s="1"/>
  <c r="T194" i="12"/>
  <c r="U194" i="12"/>
  <c r="V194" i="12"/>
  <c r="C224" i="12"/>
  <c r="J224" i="12" a="1"/>
  <c r="J224" i="12" s="1"/>
  <c r="L224" i="12" a="1"/>
  <c r="L224" i="12" s="1"/>
  <c r="O414" i="5"/>
  <c r="I415" i="5"/>
  <c r="L245" i="12" a="1"/>
  <c r="L245" i="12" s="1"/>
  <c r="J245" i="12" a="1"/>
  <c r="J245" i="12" s="1"/>
  <c r="C245" i="12"/>
  <c r="AC293" i="5" a="1"/>
  <c r="AC293" i="5" s="1"/>
  <c r="O293" i="5"/>
  <c r="C293" i="6"/>
  <c r="E380" i="6"/>
  <c r="D380" i="12"/>
  <c r="N465" i="12"/>
  <c r="D227" i="12"/>
  <c r="E227" i="6"/>
  <c r="AB272" i="5"/>
  <c r="AB263" i="5"/>
  <c r="U457" i="12"/>
  <c r="V457" i="12"/>
  <c r="T457" i="12"/>
  <c r="AO314" i="12"/>
  <c r="Y314" i="12" s="1"/>
  <c r="Y315" i="12"/>
  <c r="AO302" i="12"/>
  <c r="Y302" i="12" s="1"/>
  <c r="E262" i="6"/>
  <c r="D262" i="12"/>
  <c r="U500" i="12"/>
  <c r="T500" i="12"/>
  <c r="V500" i="12"/>
  <c r="E383" i="6"/>
  <c r="D383" i="12"/>
  <c r="AC370" i="5" a="1"/>
  <c r="AC370" i="5" s="1"/>
  <c r="C370" i="6"/>
  <c r="O370" i="5"/>
  <c r="E238" i="6"/>
  <c r="D238" i="12"/>
  <c r="N428" i="12"/>
  <c r="Y373" i="12"/>
  <c r="C462" i="6"/>
  <c r="O462" i="5"/>
  <c r="AC462" i="5" a="1"/>
  <c r="AC462" i="5" s="1"/>
  <c r="AB245" i="5"/>
  <c r="AB246" i="5"/>
  <c r="N355" i="12"/>
  <c r="O354" i="12"/>
  <c r="Y463" i="12"/>
  <c r="AO462" i="12"/>
  <c r="Y232" i="12"/>
  <c r="Y338" i="12"/>
  <c r="AO337" i="12"/>
  <c r="AO326" i="12"/>
  <c r="E469" i="6"/>
  <c r="D469" i="12"/>
  <c r="T357" i="12"/>
  <c r="U357" i="12"/>
  <c r="V357" i="12"/>
  <c r="L286" i="12" a="1"/>
  <c r="L286" i="12" s="1"/>
  <c r="J286" i="12" a="1"/>
  <c r="J286" i="12" s="1"/>
  <c r="C286" i="12"/>
  <c r="L272" i="12" a="1"/>
  <c r="L272" i="12" s="1"/>
  <c r="J272" i="12" a="1"/>
  <c r="J272" i="12" s="1"/>
  <c r="C272" i="12"/>
  <c r="W432" i="12"/>
  <c r="X432" i="12"/>
  <c r="Y452" i="12"/>
  <c r="AO441" i="12"/>
  <c r="Y441" i="12" s="1"/>
  <c r="AO442" i="12"/>
  <c r="AC245" i="5" a="1"/>
  <c r="AC245" i="5" s="1"/>
  <c r="C245" i="6"/>
  <c r="O245" i="5"/>
  <c r="N467" i="12"/>
  <c r="X465" i="12"/>
  <c r="W465" i="12"/>
  <c r="C314" i="12"/>
  <c r="L314" i="12" a="1"/>
  <c r="L314" i="12" s="1"/>
  <c r="K314" i="12" s="1"/>
  <c r="J314" i="12" a="1"/>
  <c r="J314" i="12" s="1"/>
  <c r="D242" i="12"/>
  <c r="E242" i="6"/>
  <c r="E470" i="6"/>
  <c r="D470" i="12"/>
  <c r="M286" i="12"/>
  <c r="M277" i="12"/>
  <c r="N369" i="12"/>
  <c r="O360" i="12"/>
  <c r="O366" i="12"/>
  <c r="O361" i="12"/>
  <c r="E231" i="6"/>
  <c r="D231" i="12"/>
  <c r="C235" i="12"/>
  <c r="J235" i="12" a="1"/>
  <c r="J235" i="12" s="1"/>
  <c r="L235" i="12" a="1"/>
  <c r="L235" i="12" s="1"/>
  <c r="O384" i="5"/>
  <c r="C384" i="6"/>
  <c r="AC384" i="5" a="1"/>
  <c r="AC384" i="5" s="1"/>
  <c r="D471" i="12"/>
  <c r="E471" i="6"/>
  <c r="T173" i="12"/>
  <c r="U173" i="12"/>
  <c r="V173" i="12"/>
  <c r="AB434" i="5"/>
  <c r="X380" i="12"/>
  <c r="W380" i="12"/>
  <c r="E435" i="6"/>
  <c r="D435" i="12"/>
  <c r="W428" i="12"/>
  <c r="X428" i="12"/>
  <c r="N373" i="12"/>
  <c r="J462" i="12" a="1"/>
  <c r="J462" i="12" s="1"/>
  <c r="C462" i="12"/>
  <c r="L462" i="12" a="1"/>
  <c r="L462" i="12" s="1"/>
  <c r="K462" i="12" s="1"/>
  <c r="X469" i="12"/>
  <c r="W469" i="12"/>
  <c r="D463" i="12"/>
  <c r="E463" i="6"/>
  <c r="AO354" i="12"/>
  <c r="Y355" i="12"/>
  <c r="M462" i="12"/>
  <c r="E379" i="6"/>
  <c r="D379" i="12"/>
  <c r="E505" i="6"/>
  <c r="D505" i="12"/>
  <c r="O337" i="12"/>
  <c r="N337" i="12" s="1"/>
  <c r="N338" i="12"/>
  <c r="O326" i="12"/>
  <c r="E226" i="6"/>
  <c r="D226" i="12"/>
  <c r="D468" i="12"/>
  <c r="E468" i="6"/>
  <c r="C215" i="6"/>
  <c r="O215" i="5"/>
  <c r="AC215" i="5" a="1"/>
  <c r="AC215" i="5" s="1"/>
  <c r="D338" i="12"/>
  <c r="E338" i="6"/>
  <c r="D320" i="12"/>
  <c r="E320" i="6"/>
  <c r="D412" i="12"/>
  <c r="E412" i="6"/>
  <c r="N422" i="12"/>
  <c r="D315" i="12"/>
  <c r="E315" i="6"/>
  <c r="W467" i="12"/>
  <c r="X467" i="12"/>
  <c r="Y218" i="12"/>
  <c r="AO215" i="12"/>
  <c r="Y215" i="12" s="1"/>
  <c r="AO216" i="12"/>
  <c r="Y216" i="12" s="1"/>
  <c r="O354" i="5"/>
  <c r="AC354" i="5" a="1"/>
  <c r="AC354" i="5" s="1"/>
  <c r="C354" i="6"/>
  <c r="D243" i="12"/>
  <c r="E243" i="6"/>
  <c r="L263" i="12" a="1"/>
  <c r="L263" i="12" s="1"/>
  <c r="J263" i="12" a="1"/>
  <c r="J263" i="12" s="1"/>
  <c r="C263" i="12"/>
  <c r="D221" i="12"/>
  <c r="E221" i="6"/>
  <c r="AC224" i="5" a="1"/>
  <c r="AC224" i="5" s="1"/>
  <c r="C224" i="6"/>
  <c r="O224" i="5"/>
  <c r="E376" i="6"/>
  <c r="D376" i="12"/>
  <c r="D241" i="12"/>
  <c r="E241" i="6"/>
  <c r="D297" i="12"/>
  <c r="E297" i="6"/>
  <c r="N461" i="12"/>
  <c r="E452" i="6"/>
  <c r="D452" i="12"/>
  <c r="N296" i="12"/>
  <c r="O293" i="12"/>
  <c r="N293" i="12" s="1"/>
  <c r="M259" i="12"/>
  <c r="T303" i="12"/>
  <c r="U303" i="12"/>
  <c r="V303" i="12"/>
  <c r="J442" i="12" a="1"/>
  <c r="J442" i="12" s="1"/>
  <c r="L442" i="12" a="1"/>
  <c r="L442" i="12" s="1"/>
  <c r="C442" i="12"/>
  <c r="E273" i="6"/>
  <c r="D273" i="12"/>
  <c r="Y237" i="12"/>
  <c r="AO235" i="12"/>
  <c r="Y235" i="12" s="1"/>
  <c r="X220" i="12"/>
  <c r="W220" i="12"/>
  <c r="L459" i="12" a="1"/>
  <c r="L459" i="12" s="1"/>
  <c r="J459" i="12" a="1"/>
  <c r="J459" i="12" s="1"/>
  <c r="C459" i="12"/>
  <c r="AC442" i="5" a="1"/>
  <c r="AC442" i="5" s="1"/>
  <c r="O442" i="5"/>
  <c r="C442" i="6"/>
  <c r="V17" i="12"/>
  <c r="T17" i="12"/>
  <c r="U17" i="12"/>
  <c r="AB216" i="5"/>
  <c r="AB215" i="5"/>
  <c r="D32" i="8" s="1"/>
  <c r="Y372" i="12"/>
  <c r="AO370" i="12"/>
  <c r="Y370" i="12" s="1"/>
  <c r="N287" i="12"/>
  <c r="O286" i="12"/>
  <c r="O277" i="12"/>
  <c r="M366" i="12"/>
  <c r="M360" i="12"/>
  <c r="M361" i="12"/>
  <c r="Y424" i="12"/>
  <c r="W430" i="12"/>
  <c r="X430" i="12"/>
  <c r="AB360" i="5"/>
  <c r="D38" i="8" s="1"/>
  <c r="AB361" i="5"/>
  <c r="AB366" i="5"/>
  <c r="V87" i="12"/>
  <c r="U87" i="12"/>
  <c r="T87" i="12"/>
  <c r="D461" i="12"/>
  <c r="E461" i="6"/>
  <c r="D228" i="12"/>
  <c r="E228" i="6"/>
  <c r="Y433" i="12"/>
  <c r="E464" i="6"/>
  <c r="D464" i="12"/>
  <c r="D298" i="12"/>
  <c r="E298" i="6"/>
  <c r="K377" i="12" l="1"/>
  <c r="K277" i="12"/>
  <c r="N354" i="12"/>
  <c r="N326" i="12"/>
  <c r="N442" i="12"/>
  <c r="N317" i="12"/>
  <c r="Y272" i="12"/>
  <c r="Y377" i="12"/>
  <c r="H44" i="8" a="1"/>
  <c r="H44" i="8" s="1"/>
  <c r="J45" i="8" s="1"/>
  <c r="K326" i="12"/>
  <c r="K479" i="12"/>
  <c r="N492" i="12"/>
  <c r="N302" i="12"/>
  <c r="K459" i="12"/>
  <c r="K263" i="12"/>
  <c r="N277" i="12"/>
  <c r="K286" i="12"/>
  <c r="K302" i="12"/>
  <c r="K246" i="12"/>
  <c r="H23" i="8" a="1"/>
  <c r="H23" i="8" s="1"/>
  <c r="J24" i="8" s="1"/>
  <c r="K354" i="12"/>
  <c r="K27" i="12"/>
  <c r="N377" i="12"/>
  <c r="Y360" i="12"/>
  <c r="K317" i="12"/>
  <c r="W298" i="12"/>
  <c r="V298" i="12" s="1"/>
  <c r="H32" i="8" a="1"/>
  <c r="H32" i="8" s="1"/>
  <c r="J33" i="8" s="1"/>
  <c r="K42" i="12"/>
  <c r="K370" i="12"/>
  <c r="E235" i="6"/>
  <c r="D235" i="12"/>
  <c r="U321" i="12"/>
  <c r="V321" i="12"/>
  <c r="T321" i="12"/>
  <c r="U230" i="12"/>
  <c r="T230" i="12"/>
  <c r="V230" i="12"/>
  <c r="E453" i="6"/>
  <c r="D453" i="12"/>
  <c r="D216" i="12"/>
  <c r="E216" i="6"/>
  <c r="D361" i="12"/>
  <c r="E361" i="6"/>
  <c r="X256" i="12"/>
  <c r="W256" i="12"/>
  <c r="Y361" i="12"/>
  <c r="N272" i="12"/>
  <c r="U380" i="12"/>
  <c r="T380" i="12"/>
  <c r="V380" i="12"/>
  <c r="W435" i="12"/>
  <c r="X435" i="12"/>
  <c r="X219" i="12"/>
  <c r="W219" i="12"/>
  <c r="T298" i="12"/>
  <c r="X369" i="12"/>
  <c r="W369" i="12"/>
  <c r="W422" i="12"/>
  <c r="X422" i="12"/>
  <c r="N286" i="12"/>
  <c r="N366" i="12"/>
  <c r="W373" i="12"/>
  <c r="X373" i="12"/>
  <c r="X314" i="12"/>
  <c r="W314" i="12"/>
  <c r="K245" i="12"/>
  <c r="D437" i="12"/>
  <c r="E437" i="6"/>
  <c r="U472" i="12"/>
  <c r="T472" i="12"/>
  <c r="V472" i="12"/>
  <c r="N314" i="12"/>
  <c r="X438" i="12"/>
  <c r="W438" i="12"/>
  <c r="W260" i="12"/>
  <c r="X260" i="12"/>
  <c r="K361" i="12"/>
  <c r="Y434" i="12"/>
  <c r="W263" i="12"/>
  <c r="X263" i="12"/>
  <c r="N441" i="12"/>
  <c r="X297" i="12"/>
  <c r="W297" i="12"/>
  <c r="Y277" i="12"/>
  <c r="W235" i="12"/>
  <c r="X235" i="12"/>
  <c r="W355" i="12"/>
  <c r="X355" i="12"/>
  <c r="N360" i="12"/>
  <c r="I416" i="5"/>
  <c r="O415" i="5"/>
  <c r="X376" i="12"/>
  <c r="W376" i="12"/>
  <c r="N224" i="12"/>
  <c r="Y224" i="12"/>
  <c r="Y479" i="12"/>
  <c r="X273" i="12"/>
  <c r="W273" i="12"/>
  <c r="X287" i="12"/>
  <c r="W287" i="12"/>
  <c r="D245" i="12"/>
  <c r="E245" i="6"/>
  <c r="I439" i="5"/>
  <c r="O438" i="5"/>
  <c r="W415" i="12"/>
  <c r="X415" i="12"/>
  <c r="Y354" i="12"/>
  <c r="Y442" i="12"/>
  <c r="Y326" i="12"/>
  <c r="D414" i="12"/>
  <c r="E414" i="6"/>
  <c r="Y293" i="12"/>
  <c r="X425" i="12"/>
  <c r="W425" i="12"/>
  <c r="W226" i="12"/>
  <c r="X226" i="12"/>
  <c r="Y317" i="12"/>
  <c r="Y492" i="12"/>
  <c r="W272" i="12"/>
  <c r="X272" i="12"/>
  <c r="K337" i="12"/>
  <c r="Y286" i="12"/>
  <c r="D459" i="12"/>
  <c r="E459" i="6"/>
  <c r="V220" i="12"/>
  <c r="T220" i="12"/>
  <c r="U220" i="12"/>
  <c r="W370" i="12"/>
  <c r="X370" i="12"/>
  <c r="W237" i="12"/>
  <c r="X237" i="12"/>
  <c r="W372" i="12"/>
  <c r="X372" i="12"/>
  <c r="D354" i="12"/>
  <c r="E354" i="6"/>
  <c r="I32" i="8"/>
  <c r="A32" i="8" s="1"/>
  <c r="D215" i="12"/>
  <c r="E215" i="6"/>
  <c r="X441" i="12"/>
  <c r="W441" i="12"/>
  <c r="Y337" i="12"/>
  <c r="K224" i="12"/>
  <c r="W296" i="12"/>
  <c r="X296" i="12"/>
  <c r="E286" i="6"/>
  <c r="D286" i="12"/>
  <c r="K434" i="12"/>
  <c r="X429" i="12"/>
  <c r="W429" i="12"/>
  <c r="E259" i="6"/>
  <c r="D259" i="12"/>
  <c r="T464" i="12"/>
  <c r="U464" i="12"/>
  <c r="V464" i="12"/>
  <c r="W320" i="12"/>
  <c r="X320" i="12"/>
  <c r="W496" i="12"/>
  <c r="X496" i="12"/>
  <c r="D441" i="12"/>
  <c r="E441" i="6"/>
  <c r="I41" i="8"/>
  <c r="A41" i="8" s="1"/>
  <c r="W471" i="12"/>
  <c r="X471" i="12"/>
  <c r="X452" i="12"/>
  <c r="W452" i="12"/>
  <c r="E477" i="6"/>
  <c r="D477" i="12"/>
  <c r="X356" i="12"/>
  <c r="W356" i="12"/>
  <c r="W460" i="12"/>
  <c r="X460" i="12"/>
  <c r="X377" i="12"/>
  <c r="W377" i="12"/>
  <c r="T229" i="12"/>
  <c r="V229" i="12"/>
  <c r="U229" i="12"/>
  <c r="E263" i="6"/>
  <c r="D263" i="12"/>
  <c r="W338" i="12"/>
  <c r="X338" i="12"/>
  <c r="X215" i="12"/>
  <c r="W215" i="12"/>
  <c r="V469" i="12"/>
  <c r="U469" i="12"/>
  <c r="T469" i="12"/>
  <c r="W232" i="12"/>
  <c r="X232" i="12"/>
  <c r="K384" i="12"/>
  <c r="D366" i="12"/>
  <c r="E366" i="6"/>
  <c r="D434" i="12"/>
  <c r="E434" i="6"/>
  <c r="D478" i="12"/>
  <c r="E478" i="6"/>
  <c r="D317" i="12"/>
  <c r="E317" i="6"/>
  <c r="I38" i="8"/>
  <c r="A38" i="8" s="1"/>
  <c r="E360" i="6"/>
  <c r="D360" i="12"/>
  <c r="T374" i="12"/>
  <c r="V374" i="12"/>
  <c r="U374" i="12"/>
  <c r="Y459" i="12"/>
  <c r="W379" i="12"/>
  <c r="X379" i="12"/>
  <c r="E42" i="6"/>
  <c r="D42" i="12"/>
  <c r="W427" i="12"/>
  <c r="X427" i="12"/>
  <c r="I23" i="8"/>
  <c r="A23" i="8" s="1"/>
  <c r="E27" i="6"/>
  <c r="D27" i="12"/>
  <c r="E337" i="6"/>
  <c r="D337" i="12"/>
  <c r="N361" i="12"/>
  <c r="T240" i="12"/>
  <c r="V240" i="12"/>
  <c r="U240" i="12"/>
  <c r="X216" i="12"/>
  <c r="W216" i="12"/>
  <c r="D370" i="12"/>
  <c r="E370" i="6"/>
  <c r="K442" i="12"/>
  <c r="X218" i="12"/>
  <c r="W218" i="12"/>
  <c r="U432" i="12"/>
  <c r="T432" i="12"/>
  <c r="V432" i="12"/>
  <c r="Y462" i="12"/>
  <c r="D503" i="12"/>
  <c r="E503" i="6"/>
  <c r="X466" i="12"/>
  <c r="W466" i="12"/>
  <c r="Y410" i="12"/>
  <c r="E474" i="6"/>
  <c r="D474" i="12"/>
  <c r="T228" i="12"/>
  <c r="V228" i="12"/>
  <c r="U228" i="12"/>
  <c r="N259" i="12"/>
  <c r="X433" i="12"/>
  <c r="W433" i="12"/>
  <c r="W360" i="12"/>
  <c r="X360" i="12"/>
  <c r="X315" i="12"/>
  <c r="W315" i="12"/>
  <c r="W468" i="12"/>
  <c r="X468" i="12"/>
  <c r="E302" i="6"/>
  <c r="D302" i="12"/>
  <c r="Y384" i="12"/>
  <c r="X419" i="12"/>
  <c r="W419" i="12"/>
  <c r="E277" i="6"/>
  <c r="D277" i="12"/>
  <c r="X238" i="12"/>
  <c r="W238" i="12"/>
  <c r="U221" i="12"/>
  <c r="V221" i="12"/>
  <c r="T221" i="12"/>
  <c r="E462" i="6"/>
  <c r="D462" i="12"/>
  <c r="X259" i="12"/>
  <c r="W259" i="12"/>
  <c r="E224" i="6"/>
  <c r="D224" i="12"/>
  <c r="U467" i="12"/>
  <c r="T467" i="12"/>
  <c r="V467" i="12"/>
  <c r="U322" i="12"/>
  <c r="T322" i="12"/>
  <c r="V322" i="12"/>
  <c r="E479" i="6"/>
  <c r="D479" i="12"/>
  <c r="I44" i="8"/>
  <c r="A44" i="8" s="1"/>
  <c r="W239" i="12"/>
  <c r="X239" i="12"/>
  <c r="X412" i="12"/>
  <c r="W412" i="12"/>
  <c r="Y503" i="12"/>
  <c r="Y27" i="12"/>
  <c r="V418" i="12"/>
  <c r="T418" i="12"/>
  <c r="U418" i="12"/>
  <c r="E272" i="6"/>
  <c r="D272" i="12"/>
  <c r="N246" i="12"/>
  <c r="W302" i="12"/>
  <c r="X302" i="12"/>
  <c r="E384" i="6"/>
  <c r="D384" i="12"/>
  <c r="K272" i="12"/>
  <c r="X231" i="12"/>
  <c r="W231" i="12"/>
  <c r="K410" i="12"/>
  <c r="W505" i="12"/>
  <c r="X505" i="12"/>
  <c r="K453" i="12"/>
  <c r="U275" i="12"/>
  <c r="T275" i="12"/>
  <c r="V275" i="12"/>
  <c r="X43" i="12"/>
  <c r="W43" i="12"/>
  <c r="D492" i="12"/>
  <c r="E492" i="6"/>
  <c r="W227" i="12"/>
  <c r="X227" i="12"/>
  <c r="N245" i="12"/>
  <c r="V461" i="12"/>
  <c r="U461" i="12"/>
  <c r="T461" i="12"/>
  <c r="X463" i="12"/>
  <c r="W463" i="12"/>
  <c r="V430" i="12"/>
  <c r="U430" i="12"/>
  <c r="T430" i="12"/>
  <c r="D442" i="12"/>
  <c r="E442" i="6"/>
  <c r="K235" i="12"/>
  <c r="N410" i="12"/>
  <c r="D410" i="12"/>
  <c r="E410" i="6"/>
  <c r="X241" i="12"/>
  <c r="W241" i="12"/>
  <c r="U274" i="12"/>
  <c r="V274" i="12"/>
  <c r="T274" i="12"/>
  <c r="D246" i="12"/>
  <c r="E246" i="6"/>
  <c r="K474" i="12"/>
  <c r="Y42" i="12"/>
  <c r="X383" i="12"/>
  <c r="W383" i="12"/>
  <c r="X424" i="12"/>
  <c r="W424" i="12"/>
  <c r="K503" i="12"/>
  <c r="W426" i="12"/>
  <c r="X426" i="12"/>
  <c r="D314" i="12"/>
  <c r="E314" i="6"/>
  <c r="Y474" i="12"/>
  <c r="X423" i="12"/>
  <c r="W423" i="12"/>
  <c r="U473" i="12"/>
  <c r="V473" i="12"/>
  <c r="T473" i="12"/>
  <c r="W470" i="12"/>
  <c r="X470" i="12"/>
  <c r="Y453" i="12"/>
  <c r="W246" i="12"/>
  <c r="X246" i="12"/>
  <c r="X381" i="12"/>
  <c r="W381" i="12"/>
  <c r="D377" i="12"/>
  <c r="E377" i="6"/>
  <c r="V428" i="12"/>
  <c r="U428" i="12"/>
  <c r="T428" i="12"/>
  <c r="U465" i="12"/>
  <c r="T465" i="12"/>
  <c r="V465" i="12"/>
  <c r="E293" i="6"/>
  <c r="D293" i="12"/>
  <c r="V262" i="12"/>
  <c r="U262" i="12"/>
  <c r="T262" i="12"/>
  <c r="X475" i="12"/>
  <c r="W475" i="12"/>
  <c r="E326" i="6"/>
  <c r="D326" i="12"/>
  <c r="I342" i="12"/>
  <c r="X341" i="5" a="1"/>
  <c r="X341" i="5" s="1"/>
  <c r="Z342" i="5"/>
  <c r="X340" i="5" a="1"/>
  <c r="X340" i="5" s="1"/>
  <c r="I342" i="5"/>
  <c r="I343" i="5" s="1"/>
  <c r="L342" i="5"/>
  <c r="AM342" i="5"/>
  <c r="X244" i="5" a="1"/>
  <c r="X244" i="5" s="1"/>
  <c r="W456" i="12"/>
  <c r="X456" i="12"/>
  <c r="K360" i="12"/>
  <c r="W245" i="12"/>
  <c r="X245" i="12"/>
  <c r="V431" i="12"/>
  <c r="T431" i="12"/>
  <c r="U431" i="12"/>
  <c r="Y366" i="12"/>
  <c r="N263" i="12"/>
  <c r="U298" i="12" l="1"/>
  <c r="L244" i="5"/>
  <c r="S35" i="8"/>
  <c r="Z244" i="5"/>
  <c r="I244" i="12"/>
  <c r="AM244" i="5"/>
  <c r="X410" i="12"/>
  <c r="W410" i="12"/>
  <c r="V232" i="12"/>
  <c r="U232" i="12"/>
  <c r="T232" i="12"/>
  <c r="U460" i="12"/>
  <c r="T460" i="12"/>
  <c r="V460" i="12"/>
  <c r="X286" i="12"/>
  <c r="W286" i="12"/>
  <c r="I417" i="5"/>
  <c r="O416" i="5"/>
  <c r="V438" i="12"/>
  <c r="U438" i="12"/>
  <c r="T438" i="12"/>
  <c r="V422" i="12"/>
  <c r="U422" i="12"/>
  <c r="T422" i="12"/>
  <c r="V505" i="12"/>
  <c r="U505" i="12"/>
  <c r="T505" i="12"/>
  <c r="U412" i="12"/>
  <c r="V412" i="12"/>
  <c r="T412" i="12"/>
  <c r="V272" i="12"/>
  <c r="U272" i="12"/>
  <c r="T272" i="12"/>
  <c r="I440" i="5"/>
  <c r="O440" i="5" s="1"/>
  <c r="O439" i="5"/>
  <c r="U355" i="12"/>
  <c r="T355" i="12"/>
  <c r="V355" i="12"/>
  <c r="U356" i="12"/>
  <c r="T356" i="12"/>
  <c r="V356" i="12"/>
  <c r="E438" i="6"/>
  <c r="D438" i="12"/>
  <c r="U231" i="12"/>
  <c r="T231" i="12"/>
  <c r="V231" i="12"/>
  <c r="T315" i="12"/>
  <c r="U315" i="12"/>
  <c r="V315" i="12"/>
  <c r="V215" i="12"/>
  <c r="T215" i="12"/>
  <c r="U215" i="12"/>
  <c r="W492" i="12"/>
  <c r="X492" i="12"/>
  <c r="O342" i="5"/>
  <c r="C342" i="6"/>
  <c r="AC342" i="5" a="1"/>
  <c r="AC342" i="5" s="1"/>
  <c r="X503" i="12"/>
  <c r="W503" i="12"/>
  <c r="I344" i="5"/>
  <c r="O343" i="5"/>
  <c r="T468" i="12"/>
  <c r="U468" i="12"/>
  <c r="V468" i="12"/>
  <c r="X462" i="12"/>
  <c r="W462" i="12"/>
  <c r="V452" i="12"/>
  <c r="U452" i="12"/>
  <c r="T452" i="12"/>
  <c r="U429" i="12"/>
  <c r="V429" i="12"/>
  <c r="T429" i="12"/>
  <c r="W317" i="12"/>
  <c r="X317" i="12"/>
  <c r="T235" i="12"/>
  <c r="U235" i="12"/>
  <c r="V235" i="12"/>
  <c r="V369" i="12"/>
  <c r="T369" i="12"/>
  <c r="U369" i="12"/>
  <c r="I341" i="12"/>
  <c r="L341" i="5"/>
  <c r="Z341" i="5"/>
  <c r="AM341" i="5"/>
  <c r="V241" i="12"/>
  <c r="U241" i="12"/>
  <c r="T241" i="12"/>
  <c r="V239" i="12"/>
  <c r="T239" i="12"/>
  <c r="U239" i="12"/>
  <c r="T372" i="12"/>
  <c r="V372" i="12"/>
  <c r="U372" i="12"/>
  <c r="V287" i="12"/>
  <c r="T287" i="12"/>
  <c r="U287" i="12"/>
  <c r="X277" i="12"/>
  <c r="W277" i="12"/>
  <c r="V219" i="12"/>
  <c r="U219" i="12"/>
  <c r="T219" i="12"/>
  <c r="V360" i="12"/>
  <c r="T360" i="12"/>
  <c r="U360" i="12"/>
  <c r="U338" i="12"/>
  <c r="T338" i="12"/>
  <c r="V338" i="12"/>
  <c r="U226" i="12"/>
  <c r="T226" i="12"/>
  <c r="V226" i="12"/>
  <c r="T297" i="12"/>
  <c r="V297" i="12"/>
  <c r="U297" i="12"/>
  <c r="U466" i="12"/>
  <c r="V466" i="12"/>
  <c r="T466" i="12"/>
  <c r="T227" i="12"/>
  <c r="U227" i="12"/>
  <c r="V227" i="12"/>
  <c r="U433" i="12"/>
  <c r="V433" i="12"/>
  <c r="T433" i="12"/>
  <c r="U471" i="12"/>
  <c r="V471" i="12"/>
  <c r="T471" i="12"/>
  <c r="V237" i="12"/>
  <c r="T237" i="12"/>
  <c r="U237" i="12"/>
  <c r="T425" i="12"/>
  <c r="U425" i="12"/>
  <c r="V425" i="12"/>
  <c r="V273" i="12"/>
  <c r="T273" i="12"/>
  <c r="U273" i="12"/>
  <c r="T314" i="12"/>
  <c r="U314" i="12"/>
  <c r="V314" i="12"/>
  <c r="T435" i="12"/>
  <c r="V435" i="12"/>
  <c r="U435" i="12"/>
  <c r="U415" i="12"/>
  <c r="V415" i="12"/>
  <c r="T415" i="12"/>
  <c r="Z340" i="5"/>
  <c r="I340" i="12"/>
  <c r="L340" i="5"/>
  <c r="AM340" i="5"/>
  <c r="W366" i="12"/>
  <c r="X366" i="12"/>
  <c r="T426" i="12"/>
  <c r="V426" i="12"/>
  <c r="U426" i="12"/>
  <c r="T475" i="12"/>
  <c r="V475" i="12"/>
  <c r="U475" i="12"/>
  <c r="U302" i="12"/>
  <c r="T302" i="12"/>
  <c r="V302" i="12"/>
  <c r="U427" i="12"/>
  <c r="V427" i="12"/>
  <c r="T427" i="12"/>
  <c r="U370" i="12"/>
  <c r="T370" i="12"/>
  <c r="V370" i="12"/>
  <c r="W293" i="12"/>
  <c r="X293" i="12"/>
  <c r="W479" i="12"/>
  <c r="X479" i="12"/>
  <c r="AB342" i="5"/>
  <c r="U424" i="12"/>
  <c r="V424" i="12"/>
  <c r="T424" i="12"/>
  <c r="V43" i="12"/>
  <c r="U43" i="12"/>
  <c r="T43" i="12"/>
  <c r="T296" i="12"/>
  <c r="V296" i="12"/>
  <c r="U296" i="12"/>
  <c r="W224" i="12"/>
  <c r="X224" i="12"/>
  <c r="T263" i="12"/>
  <c r="V263" i="12"/>
  <c r="U263" i="12"/>
  <c r="V259" i="12"/>
  <c r="T259" i="12"/>
  <c r="U259" i="12"/>
  <c r="C342" i="12"/>
  <c r="AO342" i="12"/>
  <c r="M342" i="12"/>
  <c r="O342" i="12"/>
  <c r="U381" i="12"/>
  <c r="T381" i="12"/>
  <c r="V381" i="12"/>
  <c r="V246" i="12"/>
  <c r="T246" i="12"/>
  <c r="U246" i="12"/>
  <c r="X434" i="12"/>
  <c r="W434" i="12"/>
  <c r="U373" i="12"/>
  <c r="V373" i="12"/>
  <c r="T373" i="12"/>
  <c r="V463" i="12"/>
  <c r="U463" i="12"/>
  <c r="T463" i="12"/>
  <c r="T423" i="12"/>
  <c r="V423" i="12"/>
  <c r="U423" i="12"/>
  <c r="W474" i="12"/>
  <c r="X474" i="12"/>
  <c r="T383" i="12"/>
  <c r="U383" i="12"/>
  <c r="V383" i="12"/>
  <c r="V419" i="12"/>
  <c r="T419" i="12"/>
  <c r="U419" i="12"/>
  <c r="V377" i="12"/>
  <c r="U377" i="12"/>
  <c r="T377" i="12"/>
  <c r="V496" i="12"/>
  <c r="T496" i="12"/>
  <c r="U496" i="12"/>
  <c r="W337" i="12"/>
  <c r="X337" i="12"/>
  <c r="W326" i="12"/>
  <c r="X326" i="12"/>
  <c r="V376" i="12"/>
  <c r="U376" i="12"/>
  <c r="T376" i="12"/>
  <c r="U238" i="12"/>
  <c r="V238" i="12"/>
  <c r="T238" i="12"/>
  <c r="U218" i="12"/>
  <c r="T218" i="12"/>
  <c r="V218" i="12"/>
  <c r="U245" i="12"/>
  <c r="T245" i="12"/>
  <c r="V245" i="12"/>
  <c r="X453" i="12"/>
  <c r="W453" i="12"/>
  <c r="T216" i="12"/>
  <c r="V216" i="12"/>
  <c r="U216" i="12"/>
  <c r="U379" i="12"/>
  <c r="V379" i="12"/>
  <c r="T379" i="12"/>
  <c r="T441" i="12"/>
  <c r="V441" i="12"/>
  <c r="U441" i="12"/>
  <c r="X442" i="12"/>
  <c r="W442" i="12"/>
  <c r="X361" i="12"/>
  <c r="W361" i="12"/>
  <c r="X27" i="12"/>
  <c r="W27" i="12"/>
  <c r="V456" i="12"/>
  <c r="T456" i="12"/>
  <c r="U456" i="12"/>
  <c r="U470" i="12"/>
  <c r="V470" i="12"/>
  <c r="T470" i="12"/>
  <c r="X42" i="12"/>
  <c r="W42" i="12"/>
  <c r="W384" i="12"/>
  <c r="X384" i="12"/>
  <c r="X459" i="12"/>
  <c r="W459" i="12"/>
  <c r="V320" i="12"/>
  <c r="U320" i="12"/>
  <c r="T320" i="12"/>
  <c r="X354" i="12"/>
  <c r="W354" i="12"/>
  <c r="E415" i="6"/>
  <c r="D415" i="12"/>
  <c r="V260" i="12"/>
  <c r="U260" i="12"/>
  <c r="T260" i="12"/>
  <c r="U256" i="12"/>
  <c r="T256" i="12"/>
  <c r="V256" i="12"/>
  <c r="AG26" i="5"/>
  <c r="U26" i="5" l="1"/>
  <c r="T326" i="12"/>
  <c r="U326" i="12"/>
  <c r="V326" i="12"/>
  <c r="U474" i="12"/>
  <c r="V474" i="12"/>
  <c r="T474" i="12"/>
  <c r="J340" i="12" a="1"/>
  <c r="J340" i="12" s="1"/>
  <c r="L340" i="12" a="1"/>
  <c r="L340" i="12" s="1"/>
  <c r="K340" i="12" s="1"/>
  <c r="C340" i="12"/>
  <c r="C341" i="12"/>
  <c r="L341" i="12" a="1"/>
  <c r="L341" i="12" s="1"/>
  <c r="J341" i="12" a="1"/>
  <c r="J341" i="12" s="1"/>
  <c r="O417" i="5"/>
  <c r="I418" i="5"/>
  <c r="U337" i="12"/>
  <c r="V337" i="12"/>
  <c r="T337" i="12"/>
  <c r="AO341" i="12"/>
  <c r="Y342" i="12"/>
  <c r="AO340" i="12"/>
  <c r="AO244" i="12"/>
  <c r="E343" i="6"/>
  <c r="D343" i="12"/>
  <c r="I345" i="5"/>
  <c r="O344" i="5"/>
  <c r="T286" i="12"/>
  <c r="U286" i="12"/>
  <c r="V286" i="12"/>
  <c r="U459" i="12"/>
  <c r="V459" i="12"/>
  <c r="T459" i="12"/>
  <c r="V442" i="12"/>
  <c r="U442" i="12"/>
  <c r="T442" i="12"/>
  <c r="V503" i="12"/>
  <c r="U503" i="12"/>
  <c r="T503" i="12"/>
  <c r="V354" i="12"/>
  <c r="T354" i="12"/>
  <c r="U354" i="12"/>
  <c r="M341" i="12"/>
  <c r="M340" i="12"/>
  <c r="M244" i="12"/>
  <c r="AB341" i="5"/>
  <c r="AB340" i="5"/>
  <c r="AB244" i="5"/>
  <c r="D35" i="8" s="1"/>
  <c r="T384" i="12"/>
  <c r="U384" i="12"/>
  <c r="V384" i="12"/>
  <c r="V410" i="12"/>
  <c r="T410" i="12"/>
  <c r="U410" i="12"/>
  <c r="V453" i="12"/>
  <c r="T453" i="12"/>
  <c r="U453" i="12"/>
  <c r="V479" i="12"/>
  <c r="U479" i="12"/>
  <c r="T479" i="12"/>
  <c r="E342" i="6"/>
  <c r="D342" i="12"/>
  <c r="U361" i="12"/>
  <c r="V361" i="12"/>
  <c r="T361" i="12"/>
  <c r="N342" i="12"/>
  <c r="O341" i="12"/>
  <c r="O340" i="12"/>
  <c r="O244" i="12"/>
  <c r="V434" i="12"/>
  <c r="U434" i="12"/>
  <c r="T434" i="12"/>
  <c r="U293" i="12"/>
  <c r="V293" i="12"/>
  <c r="T293" i="12"/>
  <c r="V492" i="12"/>
  <c r="U492" i="12"/>
  <c r="T492" i="12"/>
  <c r="C244" i="12"/>
  <c r="J244" i="12" a="1"/>
  <c r="J244" i="12" s="1"/>
  <c r="L244" i="12" a="1"/>
  <c r="L244" i="12" s="1"/>
  <c r="V317" i="12"/>
  <c r="T317" i="12"/>
  <c r="U317" i="12"/>
  <c r="T42" i="12"/>
  <c r="V42" i="12"/>
  <c r="U42" i="12"/>
  <c r="U224" i="12"/>
  <c r="V224" i="12"/>
  <c r="T224" i="12"/>
  <c r="U366" i="12"/>
  <c r="V366" i="12"/>
  <c r="T366" i="12"/>
  <c r="T27" i="12"/>
  <c r="V27" i="12"/>
  <c r="U27" i="12"/>
  <c r="D439" i="12"/>
  <c r="E439" i="6"/>
  <c r="X37" i="8" a="1"/>
  <c r="X37" i="8" s="1"/>
  <c r="W37" i="8" a="1"/>
  <c r="W37" i="8" s="1"/>
  <c r="W35" i="8" s="1" a="1"/>
  <c r="W35" i="8" s="1"/>
  <c r="U37" i="8" a="1"/>
  <c r="U37" i="8" s="1"/>
  <c r="U35" i="8" s="1" a="1"/>
  <c r="U35" i="8" s="1"/>
  <c r="AC37" i="8" a="1"/>
  <c r="AC37" i="8" s="1"/>
  <c r="AC35" i="8" s="1" a="1"/>
  <c r="AC35" i="8" s="1"/>
  <c r="V37" i="8" a="1"/>
  <c r="V37" i="8" s="1"/>
  <c r="V35" i="8" s="1" a="1"/>
  <c r="V35" i="8" s="1"/>
  <c r="Z37" i="8" a="1"/>
  <c r="Z37" i="8" s="1"/>
  <c r="Z35" i="8" s="1" a="1"/>
  <c r="Z35" i="8" s="1"/>
  <c r="AE37" i="8" a="1"/>
  <c r="AE37" i="8" s="1"/>
  <c r="AE35" i="8" s="1" a="1"/>
  <c r="AE35" i="8" s="1"/>
  <c r="G35" i="8"/>
  <c r="G36" i="8" s="1" a="1"/>
  <c r="G36" i="8" s="1"/>
  <c r="AD37" i="8" a="1"/>
  <c r="AD37" i="8" s="1"/>
  <c r="AD35" i="8" s="1" a="1"/>
  <c r="AD35" i="8" s="1"/>
  <c r="AF37" i="8" a="1"/>
  <c r="AF37" i="8" s="1"/>
  <c r="AF35" i="8" s="1" a="1"/>
  <c r="AF35" i="8" s="1"/>
  <c r="AB37" i="8" a="1"/>
  <c r="AB37" i="8" s="1"/>
  <c r="AB35" i="8" s="1" a="1"/>
  <c r="AB35" i="8" s="1"/>
  <c r="H36" i="8" a="1"/>
  <c r="H36" i="8" s="1"/>
  <c r="AA37" i="8" a="1"/>
  <c r="AA37" i="8" s="1"/>
  <c r="AA35" i="8" s="1" a="1"/>
  <c r="AA35" i="8" s="1"/>
  <c r="Y37" i="8" a="1"/>
  <c r="Y37" i="8" s="1"/>
  <c r="Y35" i="8" s="1" a="1"/>
  <c r="Y35" i="8" s="1"/>
  <c r="E37" i="8" a="1"/>
  <c r="E37" i="8" s="1"/>
  <c r="E35" i="8" s="1" a="1"/>
  <c r="E35" i="8" s="1"/>
  <c r="AC340" i="5" a="1"/>
  <c r="AC340" i="5" s="1"/>
  <c r="C340" i="6"/>
  <c r="O340" i="5"/>
  <c r="T277" i="12"/>
  <c r="U277" i="12"/>
  <c r="V277" i="12"/>
  <c r="O341" i="5"/>
  <c r="C341" i="6"/>
  <c r="AC341" i="5" a="1"/>
  <c r="AC341" i="5" s="1"/>
  <c r="T462" i="12"/>
  <c r="U462" i="12"/>
  <c r="V462" i="12"/>
  <c r="E440" i="6"/>
  <c r="D440" i="12"/>
  <c r="E416" i="6"/>
  <c r="D416" i="12"/>
  <c r="O244" i="5"/>
  <c r="AC244" i="5" a="1"/>
  <c r="AC244" i="5" s="1"/>
  <c r="C244" i="6"/>
  <c r="H35" i="8" l="1" a="1"/>
  <c r="H35" i="8" s="1"/>
  <c r="J36" i="8" s="1"/>
  <c r="K244" i="12"/>
  <c r="K341" i="12"/>
  <c r="D344" i="12"/>
  <c r="E344" i="6"/>
  <c r="I346" i="5"/>
  <c r="O345" i="5"/>
  <c r="E341" i="6"/>
  <c r="D341" i="12"/>
  <c r="I419" i="5"/>
  <c r="O418" i="5"/>
  <c r="Y244" i="12"/>
  <c r="Y340" i="12"/>
  <c r="E417" i="6"/>
  <c r="D417" i="12"/>
  <c r="N244" i="12"/>
  <c r="W342" i="12"/>
  <c r="X342" i="12"/>
  <c r="E340" i="6"/>
  <c r="D340" i="12"/>
  <c r="N340" i="12"/>
  <c r="Y341" i="12"/>
  <c r="N341" i="12"/>
  <c r="E244" i="6"/>
  <c r="I35" i="8"/>
  <c r="A35" i="8" s="1"/>
  <c r="D244" i="12"/>
  <c r="AN26" i="5"/>
  <c r="W26" i="5"/>
  <c r="U342" i="12" l="1"/>
  <c r="T342" i="12"/>
  <c r="V342" i="12"/>
  <c r="W340" i="12"/>
  <c r="X340" i="12"/>
  <c r="X244" i="12"/>
  <c r="W244" i="12"/>
  <c r="I420" i="5"/>
  <c r="O419" i="5"/>
  <c r="W341" i="12"/>
  <c r="X341" i="12"/>
  <c r="D418" i="12"/>
  <c r="E418" i="6"/>
  <c r="I347" i="5"/>
  <c r="O346" i="5"/>
  <c r="H26" i="12"/>
  <c r="X26" i="5" a="1"/>
  <c r="X26" i="5" s="1"/>
  <c r="D345" i="12"/>
  <c r="E345" i="6"/>
  <c r="I348" i="5" l="1"/>
  <c r="O347" i="5"/>
  <c r="U341" i="12"/>
  <c r="T341" i="12"/>
  <c r="V341" i="12"/>
  <c r="E419" i="6"/>
  <c r="D419" i="12"/>
  <c r="T340" i="12"/>
  <c r="U340" i="12"/>
  <c r="V340" i="12"/>
  <c r="I421" i="5"/>
  <c r="O420" i="5"/>
  <c r="U244" i="12"/>
  <c r="T244" i="12"/>
  <c r="V244" i="12"/>
  <c r="D346" i="12"/>
  <c r="E346" i="6"/>
  <c r="I26" i="12"/>
  <c r="AM26" i="5"/>
  <c r="X24" i="5" a="1"/>
  <c r="X24" i="5" s="1"/>
  <c r="Z26" i="5"/>
  <c r="L26" i="5"/>
  <c r="I26" i="5"/>
  <c r="X25" i="5" a="1"/>
  <c r="X25" i="5" s="1"/>
  <c r="X16" i="5" a="1"/>
  <c r="X16" i="5" s="1"/>
  <c r="X15" i="5"/>
  <c r="E420" i="6" l="1"/>
  <c r="D420" i="12"/>
  <c r="O421" i="5"/>
  <c r="I422" i="5"/>
  <c r="O26" i="5"/>
  <c r="C26" i="6"/>
  <c r="AC26" i="5" a="1"/>
  <c r="AC26" i="5" s="1"/>
  <c r="S14" i="8"/>
  <c r="Z16" i="5"/>
  <c r="AM16" i="5"/>
  <c r="I16" i="12"/>
  <c r="O14" i="11"/>
  <c r="L16" i="5"/>
  <c r="AB26" i="5"/>
  <c r="I24" i="12"/>
  <c r="S20" i="8"/>
  <c r="L24" i="5"/>
  <c r="Z24" i="5"/>
  <c r="AM24" i="5"/>
  <c r="I25" i="12"/>
  <c r="Z25" i="5"/>
  <c r="L25" i="5"/>
  <c r="AM25" i="5"/>
  <c r="AO26" i="12"/>
  <c r="C26" i="12"/>
  <c r="M26" i="12"/>
  <c r="O26" i="12"/>
  <c r="E347" i="6"/>
  <c r="D347" i="12"/>
  <c r="W33" i="10"/>
  <c r="W36" i="10" s="1"/>
  <c r="AE33" i="10"/>
  <c r="AE36" i="10" s="1"/>
  <c r="I33" i="10"/>
  <c r="F6" i="7"/>
  <c r="Q31" i="10"/>
  <c r="S31" i="10"/>
  <c r="K31" i="10"/>
  <c r="AE31" i="10"/>
  <c r="AC31" i="10"/>
  <c r="S33" i="10"/>
  <c r="S36" i="10" s="1"/>
  <c r="AC33" i="10"/>
  <c r="AC36" i="10" s="1"/>
  <c r="K33" i="10"/>
  <c r="K36" i="10" s="1"/>
  <c r="U31" i="10"/>
  <c r="Q33" i="10"/>
  <c r="Q36" i="10" s="1"/>
  <c r="M33" i="10"/>
  <c r="M36" i="10" s="1"/>
  <c r="O31" i="10"/>
  <c r="O33" i="10"/>
  <c r="O36" i="10" s="1"/>
  <c r="AM15" i="5"/>
  <c r="Z15" i="5"/>
  <c r="W31" i="10"/>
  <c r="Y33" i="10"/>
  <c r="Y36" i="10" s="1"/>
  <c r="U33" i="10"/>
  <c r="U36" i="10" s="1"/>
  <c r="AA31" i="10"/>
  <c r="I31" i="10"/>
  <c r="Y9" i="10" s="1"/>
  <c r="AA33" i="10"/>
  <c r="AA36" i="10" s="1"/>
  <c r="Y31" i="10"/>
  <c r="M31" i="10"/>
  <c r="I349" i="5"/>
  <c r="O348" i="5"/>
  <c r="L24" i="12" l="1" a="1"/>
  <c r="L24" i="12" s="1"/>
  <c r="J24" i="12" a="1"/>
  <c r="J24" i="12" s="1"/>
  <c r="C24" i="12"/>
  <c r="C14" i="11"/>
  <c r="O15" i="11"/>
  <c r="P14" i="11"/>
  <c r="G11" i="11" s="1"/>
  <c r="L14" i="13"/>
  <c r="M24" i="12"/>
  <c r="M25" i="12"/>
  <c r="M16" i="12"/>
  <c r="C16" i="12"/>
  <c r="L16" i="12" a="1"/>
  <c r="L16" i="12" s="1"/>
  <c r="J16" i="12" a="1"/>
  <c r="J16" i="12" s="1"/>
  <c r="AC16" i="5" a="1"/>
  <c r="AC16" i="5" s="1"/>
  <c r="O16" i="5"/>
  <c r="C16" i="6"/>
  <c r="Y26" i="12"/>
  <c r="AO24" i="12"/>
  <c r="AO25" i="12"/>
  <c r="AO16" i="12"/>
  <c r="G14" i="8"/>
  <c r="G15" i="8" s="1" a="1"/>
  <c r="G15" i="8" s="1"/>
  <c r="H15" i="8" a="1"/>
  <c r="H15" i="8" s="1"/>
  <c r="H14" i="8" a="1"/>
  <c r="H14" i="8" s="1"/>
  <c r="J15" i="8" s="1"/>
  <c r="R57" i="8"/>
  <c r="I57" i="8" s="1"/>
  <c r="E348" i="6"/>
  <c r="D348" i="12"/>
  <c r="I350" i="5"/>
  <c r="O349" i="5"/>
  <c r="O25" i="5"/>
  <c r="C25" i="6"/>
  <c r="AC25" i="5" a="1"/>
  <c r="AC25" i="5" s="1"/>
  <c r="C25" i="12"/>
  <c r="J25" i="12" a="1"/>
  <c r="J25" i="12" s="1"/>
  <c r="L25" i="12" a="1"/>
  <c r="L25" i="12" s="1"/>
  <c r="D26" i="12"/>
  <c r="E26" i="6"/>
  <c r="O24" i="12"/>
  <c r="N24" i="12" s="1"/>
  <c r="N26" i="12"/>
  <c r="O25" i="12"/>
  <c r="N25" i="12" s="1"/>
  <c r="O16" i="12"/>
  <c r="I423" i="5"/>
  <c r="O422" i="5"/>
  <c r="AB24" i="5"/>
  <c r="AB25" i="5"/>
  <c r="AB16" i="5"/>
  <c r="AB14" i="11" s="1"/>
  <c r="AB15" i="5"/>
  <c r="E421" i="6"/>
  <c r="D421" i="12"/>
  <c r="O24" i="5"/>
  <c r="C24" i="6"/>
  <c r="AC24" i="5" a="1"/>
  <c r="AC24" i="5" s="1"/>
  <c r="AE9" i="10"/>
  <c r="I36" i="10"/>
  <c r="H36" i="10" s="1"/>
  <c r="G20" i="8"/>
  <c r="G21" i="8" s="1" a="1"/>
  <c r="G21" i="8" s="1"/>
  <c r="W22" i="8" a="1"/>
  <c r="W22" i="8" s="1"/>
  <c r="W16" i="8" s="1" a="1"/>
  <c r="W16" i="8" s="1"/>
  <c r="W14" i="8" s="1" a="1"/>
  <c r="W14" i="8" s="1"/>
  <c r="AA22" i="8" a="1"/>
  <c r="AA22" i="8" s="1"/>
  <c r="AA16" i="8" s="1" a="1"/>
  <c r="AA16" i="8" s="1"/>
  <c r="AA14" i="8" s="1" a="1"/>
  <c r="AA14" i="8" s="1"/>
  <c r="E22" i="8" a="1"/>
  <c r="E22" i="8" s="1"/>
  <c r="E16" i="8" s="1" a="1"/>
  <c r="E16" i="8" s="1"/>
  <c r="AC22" i="8" a="1"/>
  <c r="AC22" i="8" s="1"/>
  <c r="AC16" i="8" s="1" a="1"/>
  <c r="AC16" i="8" s="1"/>
  <c r="AC14" i="8" s="1" a="1"/>
  <c r="AC14" i="8" s="1"/>
  <c r="Y22" i="8" a="1"/>
  <c r="Y22" i="8" s="1"/>
  <c r="Y16" i="8" s="1" a="1"/>
  <c r="Y16" i="8" s="1"/>
  <c r="Y14" i="8" s="1" a="1"/>
  <c r="Y14" i="8" s="1"/>
  <c r="AF22" i="8" a="1"/>
  <c r="AF22" i="8" s="1"/>
  <c r="AF16" i="8" s="1" a="1"/>
  <c r="AF16" i="8" s="1"/>
  <c r="AF14" i="8" s="1" a="1"/>
  <c r="AF14" i="8" s="1"/>
  <c r="Z22" i="8" a="1"/>
  <c r="Z22" i="8" s="1"/>
  <c r="Z16" i="8" s="1" a="1"/>
  <c r="Z16" i="8" s="1"/>
  <c r="Z14" i="8" s="1" a="1"/>
  <c r="Z14" i="8" s="1"/>
  <c r="D20" i="8"/>
  <c r="AB22" i="8" a="1"/>
  <c r="AB22" i="8" s="1"/>
  <c r="AB16" i="8" s="1" a="1"/>
  <c r="AB16" i="8" s="1"/>
  <c r="AB14" i="8" s="1" a="1"/>
  <c r="AB14" i="8" s="1"/>
  <c r="U22" i="8" a="1"/>
  <c r="U22" i="8" s="1"/>
  <c r="U16" i="8" s="1" a="1"/>
  <c r="U16" i="8" s="1"/>
  <c r="V22" i="8" a="1"/>
  <c r="V22" i="8" s="1"/>
  <c r="V16" i="8" s="1" a="1"/>
  <c r="V16" i="8" s="1"/>
  <c r="V14" i="8" s="1" a="1"/>
  <c r="V14" i="8" s="1"/>
  <c r="AD22" i="8" a="1"/>
  <c r="AD22" i="8" s="1"/>
  <c r="AD16" i="8" s="1" a="1"/>
  <c r="AD16" i="8" s="1"/>
  <c r="AD14" i="8" s="1" a="1"/>
  <c r="AD14" i="8" s="1"/>
  <c r="H21" i="8" a="1"/>
  <c r="H21" i="8" s="1"/>
  <c r="H20" i="8" a="1"/>
  <c r="H20" i="8" s="1"/>
  <c r="J21" i="8" s="1"/>
  <c r="X22" i="8" a="1"/>
  <c r="X22" i="8" s="1"/>
  <c r="X16" i="8" s="1" a="1"/>
  <c r="X16" i="8" s="1"/>
  <c r="X14" i="8" s="1" a="1"/>
  <c r="X14" i="8" s="1"/>
  <c r="AE22" i="8" a="1"/>
  <c r="AE22" i="8" s="1"/>
  <c r="AE16" i="8" s="1" a="1"/>
  <c r="AE16" i="8" s="1"/>
  <c r="AE14" i="8" s="1" a="1"/>
  <c r="AE14" i="8" s="1"/>
  <c r="O12" i="5" l="1" a="1"/>
  <c r="O12" i="5" s="1"/>
  <c r="K16" i="12"/>
  <c r="U66" i="8"/>
  <c r="U65" i="8" a="1"/>
  <c r="U65" i="8" s="1"/>
  <c r="U14" i="8" a="1"/>
  <c r="U14" i="8" s="1"/>
  <c r="AL14" i="13"/>
  <c r="M14" i="13" s="1"/>
  <c r="M19" i="13" s="1"/>
  <c r="AK14" i="13"/>
  <c r="S14" i="13" s="1"/>
  <c r="M18" i="13" s="1"/>
  <c r="E349" i="6"/>
  <c r="D349" i="12"/>
  <c r="AB15" i="11"/>
  <c r="N14" i="11"/>
  <c r="N15" i="11" s="1"/>
  <c r="I351" i="5"/>
  <c r="O350" i="5"/>
  <c r="E25" i="6"/>
  <c r="D25" i="12"/>
  <c r="D422" i="12"/>
  <c r="E422" i="6"/>
  <c r="V66" i="8"/>
  <c r="Y16" i="12"/>
  <c r="AN14" i="13"/>
  <c r="U14" i="13" s="1"/>
  <c r="AD4" i="13" s="1"/>
  <c r="N16" i="12"/>
  <c r="AO14" i="13"/>
  <c r="O14" i="13" s="1"/>
  <c r="Y25" i="12"/>
  <c r="D14" i="13"/>
  <c r="L19" i="13"/>
  <c r="V14" i="13"/>
  <c r="Y24" i="12"/>
  <c r="X26" i="12"/>
  <c r="W26" i="12"/>
  <c r="O16" i="11"/>
  <c r="AB7" i="11"/>
  <c r="AA7" i="11"/>
  <c r="I424" i="5"/>
  <c r="O423" i="5"/>
  <c r="AC11" i="5"/>
  <c r="AC7" i="5"/>
  <c r="E24" i="6"/>
  <c r="I20" i="8"/>
  <c r="A20" i="8" s="1"/>
  <c r="F67" i="8" s="1"/>
  <c r="D24" i="12"/>
  <c r="E66" i="8"/>
  <c r="E14" i="8" a="1"/>
  <c r="E14" i="8" s="1"/>
  <c r="E65" i="8" a="1"/>
  <c r="E65" i="8" s="1"/>
  <c r="E60" i="8" s="1"/>
  <c r="K25" i="12"/>
  <c r="E16" i="6"/>
  <c r="I14" i="8"/>
  <c r="D16" i="12"/>
  <c r="K24" i="12"/>
  <c r="Z3" i="11" l="1"/>
  <c r="AA3" i="11" s="1"/>
  <c r="AA450" i="5" s="1"/>
  <c r="X67" i="8"/>
  <c r="AA67" i="8"/>
  <c r="E67" i="8"/>
  <c r="Y67" i="8"/>
  <c r="AC67" i="8"/>
  <c r="AD67" i="8"/>
  <c r="Z67" i="8"/>
  <c r="AF67" i="8"/>
  <c r="U67" i="8"/>
  <c r="V67" i="8"/>
  <c r="W67" i="8"/>
  <c r="AB67" i="8"/>
  <c r="AE67" i="8"/>
  <c r="A11" i="12"/>
  <c r="P11" i="12" s="1"/>
  <c r="O11" i="12" s="1"/>
  <c r="X24" i="12"/>
  <c r="W24" i="12"/>
  <c r="L15" i="13"/>
  <c r="D33" i="14"/>
  <c r="L18" i="13"/>
  <c r="D32" i="14" s="1"/>
  <c r="N16" i="11"/>
  <c r="X25" i="12"/>
  <c r="W25" i="12"/>
  <c r="I352" i="5"/>
  <c r="O351" i="5"/>
  <c r="I425" i="5"/>
  <c r="O424" i="5"/>
  <c r="N14" i="13"/>
  <c r="O19" i="13"/>
  <c r="P14" i="13"/>
  <c r="M15" i="13"/>
  <c r="O20" i="13"/>
  <c r="E350" i="6"/>
  <c r="D350" i="12"/>
  <c r="D423" i="12"/>
  <c r="E423" i="6"/>
  <c r="V65" i="8" a="1"/>
  <c r="V65" i="8" s="1"/>
  <c r="U60" i="8"/>
  <c r="W16" i="12"/>
  <c r="X16" i="12"/>
  <c r="V62" i="8"/>
  <c r="J31" i="9" s="1"/>
  <c r="V61" i="8"/>
  <c r="J32" i="9"/>
  <c r="H32" i="9"/>
  <c r="U61" i="8"/>
  <c r="U62" i="8"/>
  <c r="T26" i="12"/>
  <c r="U26" i="12"/>
  <c r="V26" i="12"/>
  <c r="E62" i="8"/>
  <c r="E61" i="8"/>
  <c r="E57" i="8" s="1"/>
  <c r="W66" i="8"/>
  <c r="AA386" i="5" l="1"/>
  <c r="AA150" i="5"/>
  <c r="AA355" i="5"/>
  <c r="AA287" i="5"/>
  <c r="AA419" i="5"/>
  <c r="AA262" i="5"/>
  <c r="AA412" i="5"/>
  <c r="AA247" i="5"/>
  <c r="AA111" i="5"/>
  <c r="AA330" i="5"/>
  <c r="AA31" i="5"/>
  <c r="AA334" i="5"/>
  <c r="AA344" i="5"/>
  <c r="AA446" i="5"/>
  <c r="AA92" i="5"/>
  <c r="AA87" i="5" s="1"/>
  <c r="AA199" i="5"/>
  <c r="AA233" i="5"/>
  <c r="AA306" i="5"/>
  <c r="AA414" i="5"/>
  <c r="AA393" i="5"/>
  <c r="AA445" i="5"/>
  <c r="AA205" i="5"/>
  <c r="AA71" i="5"/>
  <c r="AA33" i="5"/>
  <c r="AA19" i="5"/>
  <c r="AA128" i="5"/>
  <c r="AA475" i="5"/>
  <c r="AA219" i="5"/>
  <c r="AA230" i="5"/>
  <c r="AA218" i="5"/>
  <c r="AA73" i="5"/>
  <c r="AA72" i="5" s="1"/>
  <c r="AA151" i="5"/>
  <c r="AA258" i="5"/>
  <c r="AA285" i="5"/>
  <c r="AA96" i="5"/>
  <c r="AA35" i="5"/>
  <c r="AA36" i="5"/>
  <c r="AA121" i="5"/>
  <c r="AA494" i="5"/>
  <c r="AA319" i="5"/>
  <c r="AA437" i="5"/>
  <c r="AA476" i="5"/>
  <c r="AA115" i="5"/>
  <c r="AA284" i="5"/>
  <c r="AA45" i="5"/>
  <c r="AA125" i="5"/>
  <c r="AA190" i="5"/>
  <c r="AA188" i="5" s="1"/>
  <c r="AA455" i="5"/>
  <c r="AA253" i="5"/>
  <c r="AA305" i="5"/>
  <c r="AA456" i="5"/>
  <c r="AA167" i="5"/>
  <c r="AA34" i="5"/>
  <c r="AA491" i="5"/>
  <c r="AA41" i="5"/>
  <c r="AA320" i="5"/>
  <c r="AA356" i="5"/>
  <c r="AA237" i="5"/>
  <c r="AA241" i="5"/>
  <c r="AA471" i="5"/>
  <c r="AA399" i="5"/>
  <c r="AA63" i="5"/>
  <c r="AA99" i="5"/>
  <c r="AA95" i="5" s="1"/>
  <c r="AA324" i="5"/>
  <c r="AA251" i="5"/>
  <c r="AA248" i="5"/>
  <c r="AA328" i="5"/>
  <c r="AA70" i="5"/>
  <c r="AA421" i="5"/>
  <c r="AA104" i="5"/>
  <c r="AA439" i="5"/>
  <c r="AA307" i="5"/>
  <c r="AA349" i="5"/>
  <c r="AA102" i="5"/>
  <c r="AA388" i="5"/>
  <c r="AA54" i="5"/>
  <c r="AA300" i="5"/>
  <c r="AA299" i="5" s="1"/>
  <c r="AA254" i="5"/>
  <c r="AA85" i="5"/>
  <c r="AA249" i="5"/>
  <c r="AA381" i="5"/>
  <c r="AA211" i="5"/>
  <c r="AA447" i="5"/>
  <c r="AA292" i="5"/>
  <c r="AA79" i="5"/>
  <c r="AA144" i="5"/>
  <c r="AA316" i="5"/>
  <c r="AA131" i="5"/>
  <c r="AA313" i="5"/>
  <c r="AA312" i="5" s="1"/>
  <c r="AA152" i="5"/>
  <c r="AA407" i="5"/>
  <c r="AA485" i="5"/>
  <c r="AA406" i="5"/>
  <c r="AA193" i="5"/>
  <c r="AA226" i="5"/>
  <c r="AA224" i="5" s="1"/>
  <c r="AA339" i="5"/>
  <c r="AA227" i="5"/>
  <c r="AA228" i="5"/>
  <c r="AA294" i="5"/>
  <c r="AA89" i="5"/>
  <c r="AA290" i="5"/>
  <c r="AA198" i="5"/>
  <c r="AA93" i="5"/>
  <c r="AA403" i="5"/>
  <c r="AA154" i="5"/>
  <c r="AA142" i="5"/>
  <c r="AA47" i="5"/>
  <c r="AA295" i="5"/>
  <c r="AA116" i="5"/>
  <c r="AA82" i="5"/>
  <c r="AA195" i="5"/>
  <c r="AA194" i="5" s="1"/>
  <c r="AA209" i="5"/>
  <c r="AA156" i="5"/>
  <c r="AA90" i="5"/>
  <c r="AA454" i="5"/>
  <c r="AA416" i="5"/>
  <c r="AA76" i="5"/>
  <c r="AA304" i="5"/>
  <c r="AA273" i="5"/>
  <c r="AA490" i="5"/>
  <c r="AA438" i="5"/>
  <c r="AA488" i="5"/>
  <c r="AA505" i="5"/>
  <c r="AA212" i="5"/>
  <c r="AA430" i="5"/>
  <c r="AA464" i="5"/>
  <c r="AA435" i="5"/>
  <c r="AA434" i="5" s="1"/>
  <c r="AA376" i="5"/>
  <c r="AA322" i="5"/>
  <c r="AA433" i="5"/>
  <c r="AA431" i="5"/>
  <c r="AA383" i="5"/>
  <c r="AA236" i="5"/>
  <c r="AA139" i="5"/>
  <c r="AA117" i="5"/>
  <c r="AA174" i="5"/>
  <c r="AA32" i="5"/>
  <c r="AA101" i="5"/>
  <c r="AA29" i="5"/>
  <c r="AA378" i="5"/>
  <c r="AA80" i="5"/>
  <c r="AA350" i="5"/>
  <c r="AA39" i="5"/>
  <c r="AA30" i="5" s="1"/>
  <c r="AA387" i="5"/>
  <c r="AA411" i="5"/>
  <c r="AA351" i="5"/>
  <c r="AA335" i="5"/>
  <c r="AA137" i="5"/>
  <c r="AA398" i="5"/>
  <c r="AA123" i="5"/>
  <c r="AA203" i="5"/>
  <c r="AA367" i="5"/>
  <c r="AA365" i="5"/>
  <c r="AA402" i="5"/>
  <c r="AA119" i="5"/>
  <c r="AA200" i="5"/>
  <c r="AA342" i="5"/>
  <c r="AA415" i="5"/>
  <c r="AA260" i="5"/>
  <c r="AA259" i="5" s="1"/>
  <c r="AA66" i="5"/>
  <c r="AA135" i="5"/>
  <c r="AA368" i="5"/>
  <c r="AA451" i="5"/>
  <c r="AA217" i="5"/>
  <c r="AA375" i="5"/>
  <c r="AA86" i="5"/>
  <c r="AA74" i="5"/>
  <c r="AA184" i="5"/>
  <c r="AA257" i="5"/>
  <c r="AA417" i="5"/>
  <c r="AA281" i="5"/>
  <c r="AA170" i="5"/>
  <c r="AA449" i="5"/>
  <c r="AA77" i="5"/>
  <c r="AA192" i="5"/>
  <c r="AA346" i="5"/>
  <c r="AA141" i="5"/>
  <c r="AA62" i="5"/>
  <c r="AA477" i="5"/>
  <c r="AA164" i="5"/>
  <c r="AA204" i="5"/>
  <c r="AA333" i="5"/>
  <c r="AA122" i="5"/>
  <c r="AA484" i="5"/>
  <c r="AA452" i="5"/>
  <c r="AA321" i="5"/>
  <c r="AA460" i="5"/>
  <c r="AA186" i="5"/>
  <c r="AA168" i="5"/>
  <c r="AA270" i="5"/>
  <c r="AA160" i="5"/>
  <c r="AA159" i="5" s="1"/>
  <c r="AA222" i="5"/>
  <c r="AA109" i="5"/>
  <c r="AA83" i="5"/>
  <c r="AA37" i="5"/>
  <c r="AA266" i="5"/>
  <c r="AA250" i="5"/>
  <c r="AA20" i="5"/>
  <c r="AA458" i="5"/>
  <c r="AA457" i="5" s="1"/>
  <c r="AA392" i="5"/>
  <c r="AA178" i="5"/>
  <c r="AA276" i="5"/>
  <c r="AA97" i="5"/>
  <c r="AA261" i="5"/>
  <c r="AA183" i="5"/>
  <c r="AA165" i="5"/>
  <c r="AA64" i="5"/>
  <c r="AA59" i="5" s="1"/>
  <c r="C29" i="8" s="1"/>
  <c r="AA161" i="5"/>
  <c r="AA472" i="5"/>
  <c r="AA127" i="5"/>
  <c r="AA221" i="5"/>
  <c r="AA91" i="5"/>
  <c r="AA239" i="5"/>
  <c r="AA43" i="5"/>
  <c r="AA42" i="5" s="1"/>
  <c r="AA374" i="5"/>
  <c r="AA469" i="5"/>
  <c r="AA220" i="5"/>
  <c r="AA298" i="5"/>
  <c r="AA132" i="5"/>
  <c r="AA84" i="5"/>
  <c r="AA46" i="5"/>
  <c r="AA444" i="5"/>
  <c r="AA180" i="5"/>
  <c r="AA196" i="5"/>
  <c r="AA389" i="5"/>
  <c r="AA126" i="5"/>
  <c r="AA243" i="5"/>
  <c r="AA172" i="5"/>
  <c r="AA136" i="5"/>
  <c r="AA363" i="5"/>
  <c r="AA301" i="5"/>
  <c r="AA332" i="5"/>
  <c r="AA146" i="5"/>
  <c r="AA478" i="5"/>
  <c r="AA110" i="5"/>
  <c r="AA440" i="5"/>
  <c r="AA391" i="5"/>
  <c r="AA171" i="5"/>
  <c r="AA338" i="5"/>
  <c r="AA337" i="5" s="1"/>
  <c r="AA143" i="5"/>
  <c r="AA271" i="5"/>
  <c r="AA428" i="5"/>
  <c r="AA310" i="5"/>
  <c r="AA162" i="5"/>
  <c r="AA425" i="5"/>
  <c r="AA179" i="5"/>
  <c r="AA465" i="5"/>
  <c r="AA297" i="5"/>
  <c r="AA461" i="5"/>
  <c r="AA473" i="5"/>
  <c r="AA432" i="5"/>
  <c r="AA380" i="5"/>
  <c r="AA463" i="5"/>
  <c r="AA231" i="5"/>
  <c r="AA358" i="5"/>
  <c r="AA357" i="5" s="1"/>
  <c r="AA331" i="5"/>
  <c r="AA177" i="5"/>
  <c r="AA309" i="5"/>
  <c r="AA252" i="5"/>
  <c r="AA113" i="5"/>
  <c r="AA288" i="5"/>
  <c r="AA405" i="5"/>
  <c r="AA187" i="5"/>
  <c r="AA413" i="5"/>
  <c r="AA497" i="5"/>
  <c r="AA359" i="5"/>
  <c r="AA448" i="5"/>
  <c r="AA169" i="5"/>
  <c r="AA353" i="5"/>
  <c r="AA189" i="5"/>
  <c r="AA67" i="5"/>
  <c r="AA495" i="5"/>
  <c r="AA348" i="5"/>
  <c r="AA51" i="5"/>
  <c r="AA467" i="5"/>
  <c r="AA282" i="5"/>
  <c r="AA429" i="5"/>
  <c r="AA481" i="5"/>
  <c r="AA468" i="5"/>
  <c r="AA149" i="5"/>
  <c r="AA347" i="5"/>
  <c r="AA214" i="5"/>
  <c r="AA108" i="5"/>
  <c r="AA420" i="5"/>
  <c r="AA487" i="5"/>
  <c r="AA486" i="5" s="1"/>
  <c r="AA38" i="5"/>
  <c r="AA176" i="5"/>
  <c r="AA173" i="5" s="1"/>
  <c r="AA364" i="5"/>
  <c r="AA382" i="5"/>
  <c r="AA163" i="5"/>
  <c r="AA268" i="5"/>
  <c r="AA157" i="5"/>
  <c r="AA443" i="5"/>
  <c r="AA98" i="5"/>
  <c r="AA206" i="5"/>
  <c r="AA56" i="5"/>
  <c r="AA81" i="5"/>
  <c r="AA21" i="5"/>
  <c r="AA133" i="5"/>
  <c r="AA336" i="5"/>
  <c r="AA397" i="5"/>
  <c r="AA58" i="5"/>
  <c r="AA57" i="5" s="1"/>
  <c r="AA423" i="5"/>
  <c r="AA384" i="5" s="1"/>
  <c r="AA274" i="5"/>
  <c r="AA418" i="5"/>
  <c r="AA283" i="5"/>
  <c r="AA238" i="5"/>
  <c r="AA315" i="5"/>
  <c r="AA466" i="5"/>
  <c r="AA256" i="5"/>
  <c r="AA369" i="5"/>
  <c r="AA225" i="5"/>
  <c r="AA401" i="5"/>
  <c r="AA182" i="5"/>
  <c r="AA396" i="5"/>
  <c r="AA291" i="5"/>
  <c r="AA289" i="5" s="1"/>
  <c r="AA404" i="5"/>
  <c r="AA343" i="5"/>
  <c r="AA112" i="5"/>
  <c r="AA106" i="5" s="1"/>
  <c r="AA269" i="5"/>
  <c r="AA352" i="5"/>
  <c r="AA499" i="5"/>
  <c r="AA498" i="5" s="1"/>
  <c r="AA197" i="5"/>
  <c r="AA166" i="5"/>
  <c r="AA175" i="5"/>
  <c r="AA202" i="5"/>
  <c r="AA114" i="5"/>
  <c r="AA265" i="5"/>
  <c r="AA493" i="5"/>
  <c r="AA329" i="5"/>
  <c r="AD14" i="11"/>
  <c r="AA296" i="5"/>
  <c r="AA293" i="5" s="1"/>
  <c r="AA507" i="5"/>
  <c r="AA506" i="5" s="1"/>
  <c r="AA501" i="5"/>
  <c r="AA26" i="5"/>
  <c r="AA25" i="5" s="1"/>
  <c r="AA279" i="5"/>
  <c r="AA278" i="5" s="1"/>
  <c r="AA502" i="5"/>
  <c r="AA223" i="5"/>
  <c r="AA325" i="5"/>
  <c r="AA373" i="5"/>
  <c r="AA424" i="5"/>
  <c r="AA23" i="5"/>
  <c r="AA379" i="5"/>
  <c r="AA372" i="5"/>
  <c r="AA370" i="5" s="1"/>
  <c r="AA427" i="5"/>
  <c r="AA470" i="5"/>
  <c r="AA275" i="5"/>
  <c r="AA78" i="5"/>
  <c r="AA68" i="5"/>
  <c r="AA181" i="5"/>
  <c r="AA255" i="5"/>
  <c r="AA244" i="5" s="1"/>
  <c r="C35" i="8" s="1"/>
  <c r="AA88" i="5"/>
  <c r="AA40" i="5"/>
  <c r="AA130" i="5"/>
  <c r="AA145" i="5"/>
  <c r="AA65" i="5"/>
  <c r="AA345" i="5"/>
  <c r="AA213" i="5"/>
  <c r="AA120" i="5"/>
  <c r="AA75" i="5"/>
  <c r="AA191" i="5"/>
  <c r="AA482" i="5"/>
  <c r="AA242" i="5"/>
  <c r="AA138" i="5"/>
  <c r="AA210" i="5"/>
  <c r="AA208" i="5" s="1"/>
  <c r="AA107" i="5"/>
  <c r="AD12" i="11"/>
  <c r="AE12" i="11" s="1"/>
  <c r="M12" i="11" s="1"/>
  <c r="L12" i="11" s="1"/>
  <c r="AA155" i="5"/>
  <c r="AA55" i="5"/>
  <c r="AA422" i="5"/>
  <c r="AA280" i="5"/>
  <c r="AA371" i="5"/>
  <c r="AA69" i="5"/>
  <c r="AA426" i="5"/>
  <c r="AA496" i="5"/>
  <c r="AA232" i="5"/>
  <c r="AA229" i="5"/>
  <c r="AA240" i="5"/>
  <c r="AA394" i="5"/>
  <c r="AA185" i="5"/>
  <c r="AA50" i="5"/>
  <c r="AA408" i="5"/>
  <c r="AA22" i="5"/>
  <c r="AA16" i="5" s="1"/>
  <c r="AA409" i="5"/>
  <c r="AA308" i="5"/>
  <c r="AA234" i="5"/>
  <c r="AA103" i="5"/>
  <c r="AA53" i="5"/>
  <c r="AA311" i="5"/>
  <c r="AA153" i="5"/>
  <c r="AA267" i="5"/>
  <c r="AA158" i="5"/>
  <c r="AA318" i="5"/>
  <c r="AA436" i="5"/>
  <c r="AA94" i="5"/>
  <c r="AA504" i="5"/>
  <c r="AA390" i="5"/>
  <c r="AA360" i="5" s="1"/>
  <c r="C38" i="8" s="1"/>
  <c r="AA124" i="5"/>
  <c r="AA118" i="5"/>
  <c r="U24" i="12"/>
  <c r="T24" i="12"/>
  <c r="V24" i="12"/>
  <c r="AA341" i="5"/>
  <c r="AA323" i="5"/>
  <c r="AA327" i="5"/>
  <c r="AA326" i="5"/>
  <c r="H31" i="9"/>
  <c r="AA453" i="5"/>
  <c r="AA303" i="5"/>
  <c r="AA302" i="5"/>
  <c r="N19" i="13"/>
  <c r="AE4" i="13" s="1"/>
  <c r="O18" i="13" s="1"/>
  <c r="AD6" i="13"/>
  <c r="AE6" i="13" s="1"/>
  <c r="D48" i="2"/>
  <c r="D52" i="2"/>
  <c r="O15" i="13"/>
  <c r="AD18" i="13"/>
  <c r="D47" i="2"/>
  <c r="D53" i="2"/>
  <c r="P15" i="13"/>
  <c r="AC18" i="13"/>
  <c r="F33" i="14"/>
  <c r="D54" i="2"/>
  <c r="D51" i="2"/>
  <c r="V33" i="9"/>
  <c r="AA100" i="5"/>
  <c r="AA28" i="5"/>
  <c r="AA377" i="5"/>
  <c r="AA366" i="5"/>
  <c r="L33" i="9"/>
  <c r="AA134" i="5"/>
  <c r="AA216" i="5"/>
  <c r="AA140" i="5"/>
  <c r="E424" i="6"/>
  <c r="D424" i="12"/>
  <c r="J33" i="9"/>
  <c r="J34" i="9" s="1"/>
  <c r="V68" i="8"/>
  <c r="AA459" i="5"/>
  <c r="J30" i="9"/>
  <c r="V57" i="8"/>
  <c r="J29" i="9" s="1"/>
  <c r="I426" i="5"/>
  <c r="O425" i="5"/>
  <c r="U68" i="8"/>
  <c r="H33" i="9"/>
  <c r="AA361" i="5"/>
  <c r="AA362" i="5"/>
  <c r="D351" i="12"/>
  <c r="E351" i="6"/>
  <c r="AD33" i="9"/>
  <c r="I353" i="5"/>
  <c r="O353" i="5" s="1"/>
  <c r="O352" i="5"/>
  <c r="R33" i="9"/>
  <c r="U57" i="8"/>
  <c r="H29" i="9" s="1"/>
  <c r="H30" i="9"/>
  <c r="AA462" i="5"/>
  <c r="AA147" i="5"/>
  <c r="AA148" i="5"/>
  <c r="AA442" i="5"/>
  <c r="AA441" i="5"/>
  <c r="C41" i="8" s="1"/>
  <c r="V16" i="12"/>
  <c r="U16" i="12"/>
  <c r="T16" i="12"/>
  <c r="V25" i="12"/>
  <c r="U25" i="12"/>
  <c r="T25" i="12"/>
  <c r="Z33" i="9"/>
  <c r="AA479" i="5"/>
  <c r="C44" i="8" s="1"/>
  <c r="AA480" i="5"/>
  <c r="AA314" i="5"/>
  <c r="AA400" i="5"/>
  <c r="AA395" i="5"/>
  <c r="AA201" i="5"/>
  <c r="AA263" i="5"/>
  <c r="AA264" i="5"/>
  <c r="AA492" i="5"/>
  <c r="AE14" i="11"/>
  <c r="X33" i="9"/>
  <c r="AB33" i="9"/>
  <c r="AA129" i="5"/>
  <c r="V60" i="8"/>
  <c r="W65" i="8" a="1"/>
  <c r="W65" i="8" s="1"/>
  <c r="P33" i="9"/>
  <c r="AA235" i="5"/>
  <c r="AA49" i="5"/>
  <c r="AA48" i="5"/>
  <c r="C26" i="8" s="1"/>
  <c r="AA52" i="5"/>
  <c r="AA317" i="5"/>
  <c r="AA503" i="5"/>
  <c r="AA272" i="5"/>
  <c r="AA385" i="5"/>
  <c r="AA489" i="5"/>
  <c r="AA500" i="5"/>
  <c r="T33" i="9"/>
  <c r="W62" i="8"/>
  <c r="L31" i="9" s="1"/>
  <c r="L34" i="9" s="1"/>
  <c r="L32" i="9"/>
  <c r="W61" i="8"/>
  <c r="X66" i="8"/>
  <c r="AA354" i="5"/>
  <c r="N33" i="9"/>
  <c r="AA215" i="5" l="1"/>
  <c r="C32" i="8" s="1"/>
  <c r="AA44" i="5"/>
  <c r="AA410" i="5"/>
  <c r="AA340" i="5"/>
  <c r="AA105" i="5"/>
  <c r="AA474" i="5"/>
  <c r="AA27" i="5"/>
  <c r="C23" i="8" s="1"/>
  <c r="AA483" i="5"/>
  <c r="AA15" i="5"/>
  <c r="AA17" i="5"/>
  <c r="C17" i="8" s="1"/>
  <c r="E64" i="8" s="1" a="1"/>
  <c r="E64" i="8" s="1"/>
  <c r="AA18" i="5"/>
  <c r="AA61" i="5"/>
  <c r="AJ14" i="13"/>
  <c r="R14" i="13" s="1"/>
  <c r="M17" i="13" s="1"/>
  <c r="M16" i="13" s="1"/>
  <c r="AA60" i="5"/>
  <c r="AA207" i="5"/>
  <c r="AA277" i="5"/>
  <c r="AA286" i="5"/>
  <c r="AA245" i="5"/>
  <c r="AA24" i="5"/>
  <c r="C20" i="8" s="1"/>
  <c r="AA246" i="5"/>
  <c r="D46" i="2"/>
  <c r="D353" i="12"/>
  <c r="E353" i="6"/>
  <c r="F34" i="14"/>
  <c r="G10" i="13"/>
  <c r="L30" i="9"/>
  <c r="W57" i="8"/>
  <c r="L29" i="9" s="1"/>
  <c r="E34" i="14"/>
  <c r="N15" i="13"/>
  <c r="E33" i="14"/>
  <c r="H34" i="9"/>
  <c r="W60" i="8"/>
  <c r="X65" i="8" a="1"/>
  <c r="X65" i="8" s="1"/>
  <c r="E425" i="6"/>
  <c r="D425" i="12"/>
  <c r="F32" i="14"/>
  <c r="N18" i="13"/>
  <c r="E32" i="14" s="1"/>
  <c r="AA14" i="11"/>
  <c r="AM14" i="13"/>
  <c r="T14" i="13" s="1"/>
  <c r="AD3" i="13" s="1"/>
  <c r="AD2" i="13" s="1"/>
  <c r="I427" i="5"/>
  <c r="O426" i="5"/>
  <c r="W68" i="8"/>
  <c r="D50" i="2"/>
  <c r="D1" i="2" s="1"/>
  <c r="N32" i="9"/>
  <c r="X61" i="8"/>
  <c r="X62" i="8"/>
  <c r="Y66" i="8"/>
  <c r="D352" i="12"/>
  <c r="E352" i="6"/>
  <c r="U64" i="8" l="1" a="1"/>
  <c r="U64" i="8" s="1"/>
  <c r="U63" i="8" s="1"/>
  <c r="U58" i="8" s="1"/>
  <c r="Y61" i="8"/>
  <c r="Y62" i="8"/>
  <c r="P32" i="9"/>
  <c r="Z66" i="8"/>
  <c r="I428" i="5"/>
  <c r="O427" i="5"/>
  <c r="N31" i="9"/>
  <c r="N34" i="9" s="1"/>
  <c r="X68" i="8"/>
  <c r="N30" i="9"/>
  <c r="X57" i="8"/>
  <c r="N29" i="9" s="1"/>
  <c r="D426" i="12"/>
  <c r="E426" i="6"/>
  <c r="AE3" i="13"/>
  <c r="M14" i="11"/>
  <c r="AA15" i="11"/>
  <c r="Z14" i="11"/>
  <c r="Z15" i="11" s="1"/>
  <c r="S38" i="10"/>
  <c r="J518" i="12"/>
  <c r="E59" i="8"/>
  <c r="E63" i="8"/>
  <c r="E58" i="8" s="1"/>
  <c r="Y65" i="8" a="1"/>
  <c r="Y65" i="8" s="1"/>
  <c r="X60" i="8"/>
  <c r="V64" i="8" l="1" a="1"/>
  <c r="V64" i="8" s="1"/>
  <c r="V63" i="8" s="1"/>
  <c r="V58" i="8" s="1"/>
  <c r="U59" i="8"/>
  <c r="Z65" i="8" a="1"/>
  <c r="Z65" i="8" s="1"/>
  <c r="Y60" i="8"/>
  <c r="I429" i="5"/>
  <c r="O428" i="5"/>
  <c r="R32" i="9"/>
  <c r="Z62" i="8"/>
  <c r="Z61" i="8"/>
  <c r="AA66" i="8"/>
  <c r="P31" i="9"/>
  <c r="P34" i="9" s="1"/>
  <c r="Y68" i="8"/>
  <c r="D427" i="12"/>
  <c r="E427" i="6"/>
  <c r="Y57" i="8"/>
  <c r="P29" i="9" s="1"/>
  <c r="P30" i="9"/>
  <c r="O17" i="13"/>
  <c r="AE2" i="13"/>
  <c r="M15" i="11"/>
  <c r="L14" i="11"/>
  <c r="L15" i="11" s="1"/>
  <c r="V59" i="8" l="1"/>
  <c r="W64" i="8" a="1"/>
  <c r="W64" i="8" s="1"/>
  <c r="W59" i="8" s="1"/>
  <c r="L16" i="11"/>
  <c r="L10" i="11"/>
  <c r="M10" i="13" s="1"/>
  <c r="L16" i="13"/>
  <c r="D30" i="14" s="1"/>
  <c r="D428" i="12"/>
  <c r="E428" i="6"/>
  <c r="AA65" i="8" a="1"/>
  <c r="AA65" i="8" s="1"/>
  <c r="Z60" i="8"/>
  <c r="R30" i="9"/>
  <c r="Z57" i="8"/>
  <c r="R29" i="9" s="1"/>
  <c r="I430" i="5"/>
  <c r="O429" i="5"/>
  <c r="AA62" i="8"/>
  <c r="AA61" i="8"/>
  <c r="T32" i="9"/>
  <c r="AB66" i="8"/>
  <c r="R31" i="9"/>
  <c r="R34" i="9" s="1"/>
  <c r="Z68" i="8"/>
  <c r="M16" i="11"/>
  <c r="G9" i="11" s="1"/>
  <c r="L17" i="13"/>
  <c r="M10" i="11"/>
  <c r="N10" i="13" s="1"/>
  <c r="F31" i="14"/>
  <c r="N17" i="13"/>
  <c r="E31" i="14" s="1"/>
  <c r="O16" i="13"/>
  <c r="X64" i="8" a="1"/>
  <c r="X64" i="8" s="1"/>
  <c r="W63" i="8"/>
  <c r="W58" i="8" s="1"/>
  <c r="T31" i="9" l="1"/>
  <c r="T34" i="9" s="1"/>
  <c r="AA68" i="8"/>
  <c r="AA57" i="8"/>
  <c r="T29" i="9" s="1"/>
  <c r="T30" i="9"/>
  <c r="I431" i="5"/>
  <c r="O430" i="5"/>
  <c r="AA60" i="8"/>
  <c r="AB65" i="8" a="1"/>
  <c r="AB65" i="8" s="1"/>
  <c r="D429" i="12"/>
  <c r="E429" i="6"/>
  <c r="AB61" i="8"/>
  <c r="AB62" i="8"/>
  <c r="V32" i="9"/>
  <c r="AC66" i="8"/>
  <c r="Y64" i="8" a="1"/>
  <c r="Y64" i="8" s="1"/>
  <c r="X59" i="8"/>
  <c r="X63" i="8"/>
  <c r="X58" i="8" s="1"/>
  <c r="D31" i="14"/>
  <c r="AD17" i="13"/>
  <c r="AC17" i="13"/>
  <c r="F30" i="14"/>
  <c r="N16" i="13"/>
  <c r="E30" i="14" s="1"/>
  <c r="AB57" i="8" l="1"/>
  <c r="V29" i="9" s="1"/>
  <c r="V30" i="9"/>
  <c r="E430" i="6"/>
  <c r="D430" i="12"/>
  <c r="V31" i="9"/>
  <c r="V34" i="9" s="1"/>
  <c r="AB68" i="8"/>
  <c r="I432" i="5"/>
  <c r="O431" i="5"/>
  <c r="AB60" i="8"/>
  <c r="AC65" i="8" a="1"/>
  <c r="AC65" i="8" s="1"/>
  <c r="Z64" i="8" a="1"/>
  <c r="Z64" i="8" s="1"/>
  <c r="Y59" i="8"/>
  <c r="Y63" i="8"/>
  <c r="Y58" i="8" s="1"/>
  <c r="AC62" i="8"/>
  <c r="AC61" i="8"/>
  <c r="X32" i="9"/>
  <c r="AD66" i="8"/>
  <c r="Z59" i="8" l="1"/>
  <c r="AA64" i="8" a="1"/>
  <c r="AA64" i="8" s="1"/>
  <c r="Z63" i="8"/>
  <c r="Z58" i="8" s="1"/>
  <c r="AC57" i="8"/>
  <c r="X29" i="9" s="1"/>
  <c r="X30" i="9"/>
  <c r="AC60" i="8"/>
  <c r="AD65" i="8" a="1"/>
  <c r="AD65" i="8" s="1"/>
  <c r="I433" i="5"/>
  <c r="O433" i="5" s="1"/>
  <c r="O432" i="5"/>
  <c r="D431" i="12"/>
  <c r="E431" i="6"/>
  <c r="X31" i="9"/>
  <c r="X34" i="9" s="1"/>
  <c r="AC68" i="8"/>
  <c r="AD61" i="8"/>
  <c r="AD62" i="8"/>
  <c r="Z32" i="9"/>
  <c r="AE66" i="8"/>
  <c r="Z30" i="9" l="1"/>
  <c r="AD57" i="8"/>
  <c r="Z29" i="9" s="1"/>
  <c r="Z31" i="9"/>
  <c r="Z34" i="9" s="1"/>
  <c r="AD68" i="8"/>
  <c r="E432" i="6"/>
  <c r="D432" i="12"/>
  <c r="AE65" i="8" a="1"/>
  <c r="AE65" i="8" s="1"/>
  <c r="AD60" i="8"/>
  <c r="AB64" i="8" a="1"/>
  <c r="AB64" i="8" s="1"/>
  <c r="AA59" i="8"/>
  <c r="AA63" i="8"/>
  <c r="AA58" i="8" s="1"/>
  <c r="E433" i="6"/>
  <c r="D433" i="12"/>
  <c r="AB32" i="9"/>
  <c r="AE62" i="8"/>
  <c r="AE61" i="8"/>
  <c r="AF66" i="8"/>
  <c r="AB31" i="9" l="1"/>
  <c r="AB34" i="9" s="1"/>
  <c r="AE68" i="8"/>
  <c r="AE57" i="8"/>
  <c r="AB29" i="9" s="1"/>
  <c r="AB30" i="9"/>
  <c r="AF65" i="8" a="1"/>
  <c r="AF65" i="8" s="1"/>
  <c r="AF60" i="8" s="1"/>
  <c r="AE60" i="8"/>
  <c r="AC64" i="8" a="1"/>
  <c r="AC64" i="8" s="1"/>
  <c r="AB59" i="8"/>
  <c r="AB63" i="8"/>
  <c r="AB58" i="8" s="1"/>
  <c r="K10" i="8" a="1"/>
  <c r="K10" i="8" s="1"/>
  <c r="AF62" i="8"/>
  <c r="AF61" i="8"/>
  <c r="AD32" i="9"/>
  <c r="AC59" i="8" l="1"/>
  <c r="AD64" i="8" a="1"/>
  <c r="AD64" i="8" s="1"/>
  <c r="AC63" i="8"/>
  <c r="AC58" i="8" s="1"/>
  <c r="AF57" i="8"/>
  <c r="AD29" i="9" s="1"/>
  <c r="AD30" i="9"/>
  <c r="AD31" i="9"/>
  <c r="AD34" i="9" s="1"/>
  <c r="G34" i="9" s="1"/>
  <c r="AF68" i="8"/>
  <c r="T68" i="8" s="1"/>
  <c r="F11" i="8" a="1"/>
  <c r="F11" i="8" s="1"/>
  <c r="AE64" i="8" l="1" a="1"/>
  <c r="AE64" i="8" s="1"/>
  <c r="AD59" i="8"/>
  <c r="AD63" i="8"/>
  <c r="AD58" i="8" s="1"/>
  <c r="AF64" i="8" l="1" a="1"/>
  <c r="AF64" i="8" s="1"/>
  <c r="AE59" i="8"/>
  <c r="AE63" i="8"/>
  <c r="AE58" i="8" s="1"/>
  <c r="AF59" i="8" l="1"/>
  <c r="AF63" i="8"/>
  <c r="AF58"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<sst xmlns="http://schemas.openxmlformats.org/spreadsheetml/2006/main" count="5642" uniqueCount="1455">
  <si>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</si>
  <si>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</si>
  <si>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</si>
  <si>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</si>
  <si>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</si>
  <si>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</si>
  <si>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</si>
  <si>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</si>
  <si>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</si>
  <si>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</si>
  <si>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</si>
  <si>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</si>
  <si>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</si>
  <si>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</si>
  <si>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</si>
  <si>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</si>
  <si>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</si>
  <si>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</si>
  <si>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</si>
  <si>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</si>
  <si>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</si>
  <si>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</si>
  <si>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</si>
  <si>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</si>
  <si>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</si>
  <si>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</si>
  <si>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</si>
  <si>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</si>
  <si>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</si>
  <si>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</si>
  <si>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</si>
  <si>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</si>
  <si>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</si>
  <si>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</si>
  <si>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</si>
  <si>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</si>
  <si>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</si>
  <si>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</si>
  <si>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</si>
  <si>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</si>
  <si>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</si>
  <si>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</si>
  <si>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</si>
  <si>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</si>
  <si>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</si>
  <si>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</si>
  <si>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</si>
  <si>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</si>
  <si>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</si>
  <si>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</si>
  <si>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</si>
  <si>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</si>
  <si>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</si>
  <si>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</si>
  <si>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</si>
  <si>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</si>
  <si>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</si>
  <si>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</si>
  <si>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</si>
  <si>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</si>
  <si>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</si>
  <si>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</si>
  <si>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</si>
  <si>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</si>
  <si>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</si>
  <si>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</si>
  <si>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</si>
  <si>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</si>
  <si>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</si>
  <si>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</si>
  <si>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</si>
  <si>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</si>
  <si>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</si>
  <si>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</si>
  <si>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</si>
  <si>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</si>
  <si>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</si>
  <si>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</si>
  <si>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</si>
  <si>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</si>
  <si>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</si>
  <si>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</si>
  <si>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</si>
  <si>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</si>
  <si>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</si>
  <si>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</si>
  <si>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</si>
  <si>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</si>
  <si>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</si>
  <si>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</si>
  <si>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</si>
  <si>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</si>
  <si>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</si>
  <si>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</si>
  <si>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</si>
  <si>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</si>
  <si>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</si>
  <si>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</si>
  <si>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</si>
  <si>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</si>
  <si>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</si>
  <si>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</si>
  <si>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</si>
  <si>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</si>
  <si>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</si>
  <si>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</si>
  <si>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</si>
  <si>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</si>
  <si>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</si>
  <si>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</si>
  <si>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</si>
  <si>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</si>
  <si>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</si>
  <si>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</si>
  <si>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</si>
  <si>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</si>
  <si>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</si>
  <si>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</si>
  <si>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</si>
  <si>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</si>
  <si>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</si>
  <si>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</si>
  <si>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</si>
  <si>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</si>
  <si>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</si>
  <si>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</si>
  <si>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</si>
  <si>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</si>
  <si>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</si>
  <si>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</si>
  <si>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</si>
  <si>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</si>
  <si>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</si>
  <si>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</si>
  <si>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</si>
  <si>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</si>
  <si>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</si>
  <si>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</si>
  <si>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</si>
  <si>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</si>
  <si>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</si>
  <si>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</si>
  <si>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</si>
  <si>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</si>
  <si>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</si>
  <si>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</si>
  <si>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</si>
  <si>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</si>
  <si>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</si>
  <si>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</si>
  <si>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</si>
  <si>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</si>
  <si>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</si>
  <si>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</si>
  <si>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</si>
  <si>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</si>
  <si>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</si>
  <si>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</si>
  <si>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</si>
  <si>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</si>
  <si>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</si>
  <si>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</si>
  <si>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</si>
  <si>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</si>
  <si>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</si>
  <si>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</si>
  <si>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</si>
  <si>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</si>
  <si>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</si>
  <si>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</si>
  <si>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</si>
  <si>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</si>
  <si>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</si>
  <si>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</si>
  <si>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</si>
  <si>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</si>
  <si>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</si>
  <si>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</si>
  <si>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</si>
  <si>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</si>
  <si>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</si>
  <si>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</si>
  <si>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</si>
  <si>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</si>
  <si>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</si>
  <si>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</si>
  <si>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</si>
  <si>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</si>
  <si>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</si>
  <si>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</si>
  <si>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</si>
  <si>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</si>
  <si>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</si>
  <si>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</si>
  <si>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</si>
  <si>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</si>
  <si>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</si>
  <si>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</si>
  <si>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</si>
  <si>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</si>
  <si>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</si>
  <si>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</si>
  <si>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</si>
  <si>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</si>
  <si>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</si>
  <si>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</si>
  <si>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</si>
  <si>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</si>
  <si>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</si>
  <si>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</si>
  <si>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</si>
  <si>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</si>
  <si>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</si>
  <si>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</si>
  <si>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</si>
  <si>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</si>
  <si>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</si>
  <si>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</si>
  <si>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</si>
  <si>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</si>
  <si>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</si>
  <si>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</si>
  <si>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</si>
  <si>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</si>
  <si>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</si>
  <si>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</si>
  <si>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</si>
  <si>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</si>
  <si>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</si>
  <si>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</si>
  <si>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</si>
  <si>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</si>
  <si>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</si>
  <si>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</si>
  <si>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</si>
  <si>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</si>
  <si>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</si>
  <si>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</si>
  <si>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</si>
  <si>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</si>
  <si>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</si>
  <si>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</si>
  <si>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</si>
  <si>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</si>
  <si>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</si>
  <si>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</si>
  <si>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</si>
  <si>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</si>
  <si>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</si>
  <si>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</si>
  <si>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</si>
  <si>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</si>
  <si>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</si>
  <si>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</si>
  <si>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</si>
  <si>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</si>
  <si>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</si>
  <si>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</si>
  <si>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</si>
  <si>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</si>
  <si>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</si>
  <si>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</si>
  <si>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</si>
  <si>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</si>
  <si>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</si>
  <si>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</si>
  <si>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</si>
  <si>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</si>
  <si>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</si>
  <si>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</si>
  <si>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</si>
  <si>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</si>
  <si>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</si>
  <si>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</si>
  <si>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</si>
  <si>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</si>
  <si>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</si>
  <si>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</si>
  <si>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</si>
  <si>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</si>
  <si>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</si>
  <si>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</si>
  <si>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</si>
  <si>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</si>
  <si>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</si>
  <si>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</si>
  <si>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</si>
  <si>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</si>
  <si>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</si>
  <si>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</si>
  <si>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</si>
  <si>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</si>
  <si>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</si>
  <si>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</si>
  <si>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</si>
  <si>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</si>
  <si>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</si>
  <si>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</si>
  <si>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</si>
  <si>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</si>
  <si>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</si>
  <si>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</si>
  <si>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</si>
  <si>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</si>
  <si>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</si>
  <si>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</si>
  <si>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</si>
  <si>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</si>
  <si>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</si>
  <si>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</si>
  <si>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</si>
  <si>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</si>
  <si>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</si>
  <si>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</si>
  <si>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</si>
  <si>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</si>
  <si>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</si>
  <si>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</si>
  <si>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</si>
  <si>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</si>
  <si>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</si>
  <si>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</si>
  <si>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</si>
  <si>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</si>
  <si>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</si>
  <si>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</si>
  <si>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</si>
  <si>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</si>
  <si>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</si>
  <si>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</si>
  <si>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</si>
  <si>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</si>
  <si>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</si>
  <si>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</si>
  <si>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</si>
  <si>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</si>
  <si>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</si>
  <si>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</si>
  <si>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</si>
  <si>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</si>
  <si>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</si>
  <si>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</si>
  <si>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</si>
  <si>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</si>
  <si>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</si>
  <si>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</si>
  <si>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</si>
  <si>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</si>
  <si>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</si>
  <si>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</si>
  <si>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</si>
  <si>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</si>
  <si>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</si>
  <si>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</si>
  <si>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</si>
  <si>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</si>
  <si>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</si>
  <si>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</si>
  <si>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</si>
  <si>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</si>
  <si>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</si>
  <si>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</si>
  <si>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</si>
  <si>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</si>
  <si>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</si>
  <si>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</si>
  <si>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</si>
  <si>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</si>
  <si>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</si>
  <si>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</si>
  <si>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</si>
  <si>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</si>
  <si>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</si>
  <si>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</si>
  <si>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</si>
  <si>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</si>
  <si>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</si>
  <si>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</si>
  <si>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</si>
  <si>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</si>
  <si>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</si>
  <si>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</si>
  <si>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</si>
  <si>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</si>
  <si>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</si>
  <si>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</si>
  <si>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</si>
  <si>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</si>
  <si>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</si>
  <si>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</si>
  <si>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</si>
  <si>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</si>
  <si>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</si>
  <si>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</si>
  <si>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</si>
  <si>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</si>
  <si>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</si>
  <si>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</si>
  <si>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</si>
  <si>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</si>
  <si>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</si>
  <si>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</si>
  <si>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</si>
  <si>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</si>
  <si>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</si>
  <si>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</si>
  <si>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</si>
  <si>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</si>
  <si>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</si>
  <si>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</si>
  <si>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</si>
  <si>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</si>
  <si>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</si>
  <si>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</si>
  <si>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</si>
  <si>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</si>
  <si>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</si>
  <si>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</si>
  <si>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</si>
  <si>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</si>
  <si>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</si>
  <si>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</si>
  <si>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</si>
  <si>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</si>
  <si>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</si>
  <si>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</si>
  <si>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</si>
  <si>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</si>
  <si>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</si>
  <si>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</si>
  <si>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</si>
  <si>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</si>
  <si>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</si>
  <si>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</si>
  <si>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</si>
  <si>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</si>
  <si>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</si>
  <si>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</si>
  <si>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</si>
  <si>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</si>
  <si>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</si>
  <si>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</si>
  <si>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</si>
  <si>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</si>
  <si>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</si>
  <si>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</si>
  <si>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</si>
  <si>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</si>
  <si>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</si>
  <si>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</si>
  <si>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</si>
  <si>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</si>
  <si>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</si>
  <si>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</si>
  <si>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</si>
  <si>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</si>
  <si>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</si>
  <si>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</si>
  <si>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</si>
  <si>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</si>
  <si>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</si>
  <si>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</si>
  <si>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</si>
  <si>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</si>
  <si>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</si>
  <si>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</si>
  <si>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</si>
  <si>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</si>
  <si>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</si>
  <si>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</si>
  <si>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</si>
  <si>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</si>
  <si>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</si>
  <si>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</si>
  <si>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</si>
  <si>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</si>
  <si>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</si>
  <si>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</si>
  <si>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</si>
  <si>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</si>
  <si>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</si>
  <si>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</si>
  <si>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</si>
  <si>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</si>
  <si>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</si>
  <si>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</si>
  <si>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</si>
  <si>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</si>
  <si>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</si>
  <si>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</si>
  <si>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</si>
  <si>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</si>
  <si>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</si>
  <si>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</si>
  <si>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</si>
  <si>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</si>
  <si>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</si>
  <si>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</si>
  <si>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</si>
  <si>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</si>
  <si>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</si>
  <si>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</si>
  <si>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</si>
  <si>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</si>
  <si>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</si>
  <si>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</si>
  <si>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</si>
  <si>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</si>
  <si>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</si>
  <si>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</si>
  <si>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</si>
  <si>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</si>
  <si>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</si>
  <si>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</si>
  <si>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</si>
  <si>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</si>
  <si>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</si>
  <si>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</si>
  <si>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</si>
  <si>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</si>
  <si>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</si>
  <si>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</si>
  <si>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</si>
  <si>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</si>
  <si>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</si>
  <si>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</si>
  <si>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</si>
  <si>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</si>
  <si>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</si>
  <si>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</si>
  <si>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</si>
  <si>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</si>
  <si>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</si>
  <si>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</si>
  <si>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</si>
  <si>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</si>
  <si>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</si>
  <si>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</si>
  <si>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</si>
  <si>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</si>
  <si>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</si>
  <si>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</si>
  <si>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</si>
  <si>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</si>
  <si>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</si>
  <si>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</si>
  <si>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</si>
  <si>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</si>
  <si>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</si>
  <si>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</si>
  <si>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</si>
  <si>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</si>
  <si>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</si>
  <si>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</si>
  <si>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</si>
  <si>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</si>
  <si>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</si>
  <si>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</si>
  <si>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</si>
  <si>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</si>
  <si>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</si>
  <si>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</si>
  <si>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</si>
  <si>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</si>
  <si>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</si>
  <si>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</si>
  <si>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</si>
  <si>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</si>
  <si>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</si>
  <si>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</si>
  <si>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</si>
  <si>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</si>
  <si>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</si>
  <si>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</si>
  <si>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</si>
  <si>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</si>
  <si>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</si>
  <si>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</si>
  <si>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</si>
  <si>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</si>
  <si>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</si>
  <si>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</si>
  <si>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</si>
  <si>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</si>
  <si>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</si>
  <si>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</si>
  <si>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</si>
  <si>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</si>
  <si>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</si>
  <si>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</si>
  <si>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</si>
  <si>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</si>
  <si>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</si>
  <si>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</si>
  <si>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</si>
  <si>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</si>
  <si>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</si>
  <si>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</si>
  <si>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</si>
  <si>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</si>
  <si>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</si>
  <si>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</si>
  <si>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</si>
  <si>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</si>
  <si>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</si>
  <si>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</si>
  <si>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</si>
  <si>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</si>
  <si>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</si>
  <si>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</si>
  <si>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</si>
  <si>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</si>
  <si>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</si>
  <si>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</si>
  <si>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</si>
  <si>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</si>
  <si>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</si>
  <si>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</si>
  <si>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</si>
  <si>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</si>
  <si>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</si>
  <si>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</si>
  <si>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</si>
  <si>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</si>
  <si>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</si>
  <si>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</si>
  <si>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</si>
  <si>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</si>
  <si>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</si>
  <si>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</si>
  <si>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</si>
  <si>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</si>
  <si>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</si>
  <si>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</si>
  <si>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</si>
  <si>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</si>
  <si>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</si>
  <si>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</si>
  <si>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</si>
  <si>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</si>
  <si>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</si>
  <si>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</si>
  <si>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</si>
  <si>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</si>
  <si>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</si>
  <si>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</si>
  <si>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</si>
  <si>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</si>
  <si>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</si>
  <si>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</si>
  <si>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</si>
  <si>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</si>
  <si>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</si>
  <si>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</si>
  <si>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</si>
  <si>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</si>
  <si>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</si>
  <si>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</si>
  <si>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</si>
  <si>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</si>
  <si>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</si>
  <si>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</si>
  <si>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</si>
  <si>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</si>
  <si>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</si>
  <si>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</si>
  <si>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</si>
  <si>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</si>
  <si>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</si>
  <si>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</si>
  <si>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</si>
  <si>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</si>
  <si>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</si>
  <si>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</si>
  <si>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</si>
  <si>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</si>
  <si>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</si>
  <si>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</si>
  <si>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</si>
  <si>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</si>
  <si>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</si>
  <si>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</si>
  <si>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</si>
  <si>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</si>
  <si>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</si>
  <si>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</si>
  <si>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</si>
  <si>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</si>
  <si>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</si>
  <si>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</si>
  <si>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</si>
  <si>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</si>
  <si>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</si>
  <si>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</si>
  <si>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</si>
  <si>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</si>
  <si>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</si>
  <si>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</si>
  <si>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</si>
  <si>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</si>
  <si>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</si>
  <si>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</si>
  <si>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</si>
  <si>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</si>
  <si>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</si>
  <si>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</si>
  <si>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</si>
  <si>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</si>
  <si>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</si>
  <si>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</si>
  <si>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</si>
  <si>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</si>
  <si>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</si>
  <si>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</si>
  <si>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</si>
  <si>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</si>
  <si>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</si>
  <si>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</si>
  <si>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</si>
  <si>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</si>
  <si>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</si>
  <si>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</si>
  <si>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</si>
  <si>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</si>
  <si>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</si>
  <si>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</si>
  <si>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</si>
  <si>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</si>
  <si>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</si>
  <si>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</si>
  <si>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</si>
  <si>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</si>
  <si>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</si>
  <si>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</si>
  <si>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</si>
  <si>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</si>
  <si>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</si>
  <si>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</si>
  <si>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</si>
  <si>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</si>
  <si>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</si>
  <si>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</si>
  <si>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</si>
  <si>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</si>
  <si>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</si>
  <si>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</si>
  <si>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</si>
  <si>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</si>
  <si>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</si>
  <si>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</si>
  <si>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</si>
  <si>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</si>
  <si>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</si>
  <si>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</si>
  <si>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</si>
  <si>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</si>
  <si>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</si>
  <si>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</si>
  <si>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</si>
  <si>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</si>
  <si>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</si>
  <si>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</si>
  <si>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</si>
  <si>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</si>
  <si>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</si>
  <si>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</si>
  <si>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</si>
  <si>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</si>
  <si>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</si>
  <si>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</si>
  <si>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</si>
  <si>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</si>
  <si>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</si>
  <si>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</si>
  <si>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</si>
  <si>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</si>
  <si>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</si>
  <si>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</si>
  <si>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</si>
  <si>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</si>
  <si>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</si>
  <si>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</si>
  <si>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</si>
  <si>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</si>
  <si>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</si>
  <si>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</si>
  <si>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</si>
  <si>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</si>
  <si>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</si>
  <si>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</si>
  <si>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</si>
  <si>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</si>
  <si>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</si>
  <si>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</si>
  <si>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</si>
  <si>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</si>
  <si>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</si>
  <si>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</si>
  <si>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</si>
  <si>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</si>
  <si>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</si>
  <si>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</si>
  <si>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</si>
  <si>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</si>
  <si>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</si>
  <si>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</si>
  <si>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</si>
  <si>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</si>
  <si>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</si>
  <si>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</si>
  <si>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</si>
  <si>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</si>
  <si>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</si>
  <si>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</si>
  <si>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</si>
  <si>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</si>
  <si>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</si>
  <si>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</si>
  <si>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</si>
  <si>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</si>
  <si>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</si>
  <si>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</si>
  <si>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</si>
  <si>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</si>
  <si>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</si>
  <si>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</si>
  <si>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</si>
  <si>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</si>
  <si>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</si>
  <si>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</si>
  <si>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</si>
  <si>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</si>
  <si>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</si>
  <si>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</si>
  <si>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</si>
  <si>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</si>
  <si>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</si>
  <si>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</si>
  <si>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</si>
  <si>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</si>
  <si>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</si>
  <si>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</si>
  <si>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</si>
  <si>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</si>
  <si>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</si>
  <si>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</si>
  <si>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</si>
  <si>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</si>
  <si>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</si>
  <si>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</si>
  <si>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</si>
  <si>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</si>
  <si>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</si>
  <si>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</si>
  <si>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</si>
  <si>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</si>
  <si>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</si>
  <si>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</si>
  <si>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</si>
  <si>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</si>
  <si>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</si>
  <si>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</si>
  <si>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</si>
  <si>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</si>
  <si>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</si>
  <si>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</si>
  <si>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</si>
  <si>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</si>
  <si>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</si>
  <si>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</si>
  <si>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</si>
  <si>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</si>
  <si>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</si>
  <si>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</si>
  <si>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</si>
  <si>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</si>
  <si>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</si>
  <si>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</si>
  <si>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</si>
  <si>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</si>
  <si>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</si>
  <si>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</si>
  <si>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</si>
  <si>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</si>
  <si>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</si>
  <si>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</si>
  <si>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</si>
  <si>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</si>
  <si>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</si>
  <si>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</si>
  <si>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</si>
  <si>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</si>
  <si>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</si>
  <si>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</si>
  <si>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</si>
  <si>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</si>
  <si>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</si>
  <si>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</si>
  <si>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</si>
  <si>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</si>
  <si>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</si>
  <si>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</si>
  <si>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</si>
  <si>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</si>
  <si>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</si>
  <si>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</si>
  <si>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</si>
  <si>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</si>
  <si>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</si>
  <si>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</si>
  <si>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</si>
  <si>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</si>
  <si>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</si>
  <si>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</si>
  <si>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</si>
  <si>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</si>
  <si>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</si>
  <si>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</si>
  <si>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</si>
  <si>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</si>
  <si>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</si>
  <si>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</si>
  <si>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</si>
  <si>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</si>
  <si>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</si>
  <si>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</si>
  <si>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</si>
  <si>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</si>
  <si>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</si>
  <si>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</si>
  <si>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</si>
  <si>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</si>
  <si>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</si>
  <si>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</si>
  <si>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</si>
  <si>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</si>
  <si>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</si>
  <si>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</si>
  <si>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</si>
  <si>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</si>
  <si>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</si>
  <si>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</si>
  <si>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</si>
  <si>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</si>
  <si>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</si>
  <si>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</si>
  <si>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</si>
  <si>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</si>
  <si>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</si>
  <si>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</si>
  <si>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v3.13</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</si>
  <si>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</si>
  <si>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</si>
  <si>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</si>
  <si>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</si>
  <si>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</si>
  <si>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</si>
  <si>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</si>
  <si>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</si>
  <si>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</si>
  <si>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</si>
  <si>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</si>
  <si>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</si>
  <si>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</si>
  <si>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</si>
  <si>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</si>
  <si>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</si>
  <si>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</si>
  <si>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</si>
  <si>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</si>
  <si>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</si>
  <si>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</si>
  <si>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</si>
  <si>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</si>
  <si>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</si>
  <si>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</si>
  <si>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</si>
  <si>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</si>
  <si>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</si>
  <si>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</si>
  <si>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</si>
  <si>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</si>
  <si>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</si>
  <si>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</si>
  <si>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</si>
  <si>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</si>
  <si>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</si>
  <si>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</si>
  <si>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</si>
  <si>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</si>
  <si>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</si>
  <si>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</si>
  <si>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</si>
  <si>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</si>
  <si>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</si>
  <si>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</si>
  <si>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</si>
  <si>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</si>
  <si>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</si>
  <si>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ETE - BREJO ALEGRE - FASE II</t>
  </si>
  <si>
    <t>CPU-001</t>
  </si>
  <si>
    <t>ED-50137</t>
  </si>
  <si>
    <t>ED-16348</t>
  </si>
  <si>
    <t>ED-16350</t>
  </si>
  <si>
    <t>ED-16351</t>
  </si>
  <si>
    <t>ED-16354</t>
  </si>
  <si>
    <t>ED-16341</t>
  </si>
  <si>
    <t>ED-16342</t>
  </si>
  <si>
    <t>ED-16343</t>
  </si>
  <si>
    <t>ED-50150</t>
  </si>
  <si>
    <t>ED-50151</t>
  </si>
  <si>
    <t>ED-50163</t>
  </si>
  <si>
    <t>ED-51098</t>
  </si>
  <si>
    <t>COT-072</t>
  </si>
  <si>
    <t>100574</t>
  </si>
  <si>
    <t>04.06.01</t>
  </si>
  <si>
    <t>ED-49717</t>
  </si>
  <si>
    <t>94973</t>
  </si>
  <si>
    <t>103673</t>
  </si>
  <si>
    <t>407819</t>
  </si>
  <si>
    <t>100980</t>
  </si>
  <si>
    <t>95877</t>
  </si>
  <si>
    <t>95602</t>
  </si>
  <si>
    <t>ED-49546</t>
  </si>
  <si>
    <t>3107997</t>
  </si>
  <si>
    <t>ED-49812</t>
  </si>
  <si>
    <t>104737</t>
  </si>
  <si>
    <t>4816016</t>
  </si>
  <si>
    <t>ED-49716</t>
  </si>
  <si>
    <t>91598</t>
  </si>
  <si>
    <t>407820</t>
  </si>
  <si>
    <t>ED-50174</t>
  </si>
  <si>
    <t>2306091</t>
  </si>
  <si>
    <t>04.03.27</t>
  </si>
  <si>
    <t>95601</t>
  </si>
  <si>
    <t>96523</t>
  </si>
  <si>
    <t>101616</t>
  </si>
  <si>
    <t>93382</t>
  </si>
  <si>
    <t>ED-51107</t>
  </si>
  <si>
    <t>97088</t>
  </si>
  <si>
    <t>97113</t>
  </si>
  <si>
    <t>96397</t>
  </si>
  <si>
    <t>ED-49664</t>
  </si>
  <si>
    <t>CPU-061</t>
  </si>
  <si>
    <t>CPU-003</t>
  </si>
  <si>
    <t>CPU-005</t>
  </si>
  <si>
    <t>CPU-007</t>
  </si>
  <si>
    <t>ED-50497</t>
  </si>
  <si>
    <t>94216</t>
  </si>
  <si>
    <t>CPU-008</t>
  </si>
  <si>
    <t>CPU-009</t>
  </si>
  <si>
    <t>CPU-010</t>
  </si>
  <si>
    <t>CPU-011</t>
  </si>
  <si>
    <t>CPU-062</t>
  </si>
  <si>
    <t>CPU-063</t>
  </si>
  <si>
    <t>COT-012</t>
  </si>
  <si>
    <t>COT-013</t>
  </si>
  <si>
    <t>COT-014</t>
  </si>
  <si>
    <t>COT-015</t>
  </si>
  <si>
    <t>COT-016</t>
  </si>
  <si>
    <t>COT-017</t>
  </si>
  <si>
    <t>COT-018</t>
  </si>
  <si>
    <t>COT-019</t>
  </si>
  <si>
    <t>COT-020</t>
  </si>
  <si>
    <t>CPU-012</t>
  </si>
  <si>
    <t>COT-021</t>
  </si>
  <si>
    <t>COT-022</t>
  </si>
  <si>
    <t>CPU-013</t>
  </si>
  <si>
    <t>97163</t>
  </si>
  <si>
    <t>CPU-021</t>
  </si>
  <si>
    <t>COT-024</t>
  </si>
  <si>
    <t>COT-025</t>
  </si>
  <si>
    <t>COT-026</t>
  </si>
  <si>
    <t>COT-027</t>
  </si>
  <si>
    <t>COT-028</t>
  </si>
  <si>
    <t>COT-029</t>
  </si>
  <si>
    <t>COT-030</t>
  </si>
  <si>
    <t>CPU-020</t>
  </si>
  <si>
    <t>CPU-014</t>
  </si>
  <si>
    <t>CPU-015</t>
  </si>
  <si>
    <t>97159</t>
  </si>
  <si>
    <t>COT-031</t>
  </si>
  <si>
    <t>COT-032</t>
  </si>
  <si>
    <t>COT-033</t>
  </si>
  <si>
    <t>COT-034</t>
  </si>
  <si>
    <t>COT-035</t>
  </si>
  <si>
    <t>COT-036</t>
  </si>
  <si>
    <t>90701</t>
  </si>
  <si>
    <t>104171</t>
  </si>
  <si>
    <t>89849</t>
  </si>
  <si>
    <t>101159</t>
  </si>
  <si>
    <t>19.91.02</t>
  </si>
  <si>
    <t>CPU-016</t>
  </si>
  <si>
    <t>CPU-017</t>
  </si>
  <si>
    <t>CPU-018</t>
  </si>
  <si>
    <t>COT-037</t>
  </si>
  <si>
    <t>COT-038</t>
  </si>
  <si>
    <t>COT-039</t>
  </si>
  <si>
    <t>96675</t>
  </si>
  <si>
    <t>COT-046</t>
  </si>
  <si>
    <t>COT-047</t>
  </si>
  <si>
    <t>COT-048</t>
  </si>
  <si>
    <t>COT-049</t>
  </si>
  <si>
    <t>COT-050</t>
  </si>
  <si>
    <t>COT-051</t>
  </si>
  <si>
    <t>COT-052</t>
  </si>
  <si>
    <t>2003827</t>
  </si>
  <si>
    <t>COT-053</t>
  </si>
  <si>
    <t>CPU-022</t>
  </si>
  <si>
    <t>97167</t>
  </si>
  <si>
    <t>CPU-002</t>
  </si>
  <si>
    <t>COT-040</t>
  </si>
  <si>
    <t>COT-041</t>
  </si>
  <si>
    <t>COT-042</t>
  </si>
  <si>
    <t>COT-043</t>
  </si>
  <si>
    <t>19.52.03</t>
  </si>
  <si>
    <t>104086</t>
  </si>
  <si>
    <t>ED-14198</t>
  </si>
  <si>
    <t>ED-34494</t>
  </si>
  <si>
    <t>ED-14188</t>
  </si>
  <si>
    <t>CPU-028</t>
  </si>
  <si>
    <t>CPU-023</t>
  </si>
  <si>
    <t>CPU-026</t>
  </si>
  <si>
    <t>CPU-025</t>
  </si>
  <si>
    <t>CPU-027</t>
  </si>
  <si>
    <t>ED-49870</t>
  </si>
  <si>
    <t>ED-49905</t>
  </si>
  <si>
    <t>ED-48702</t>
  </si>
  <si>
    <t>95802</t>
  </si>
  <si>
    <t>95796</t>
  </si>
  <si>
    <t>ED-4155</t>
  </si>
  <si>
    <t>ED-49295</t>
  </si>
  <si>
    <t>ED-49297</t>
  </si>
  <si>
    <t>ED-49318</t>
  </si>
  <si>
    <t>92023</t>
  </si>
  <si>
    <t>ED-15748</t>
  </si>
  <si>
    <t>92004</t>
  </si>
  <si>
    <t>ED-13338</t>
  </si>
  <si>
    <t>91934</t>
  </si>
  <si>
    <t>ED-48971</t>
  </si>
  <si>
    <t>ED-49004</t>
  </si>
  <si>
    <t>ED-49010</t>
  </si>
  <si>
    <t>ED-49016</t>
  </si>
  <si>
    <t>ED-48986</t>
  </si>
  <si>
    <t>ED-48989</t>
  </si>
  <si>
    <t>ED-34460</t>
  </si>
  <si>
    <t>ED-34462</t>
  </si>
  <si>
    <t>ED-34493</t>
  </si>
  <si>
    <t>CPU-041</t>
  </si>
  <si>
    <t>93653</t>
  </si>
  <si>
    <t>93667</t>
  </si>
  <si>
    <t>CPU-030</t>
  </si>
  <si>
    <t>CPU-031</t>
  </si>
  <si>
    <t>CPU-032</t>
  </si>
  <si>
    <t>CPU-033</t>
  </si>
  <si>
    <t>CPU-034</t>
  </si>
  <si>
    <t>CPU-035</t>
  </si>
  <si>
    <t>CPU-036</t>
  </si>
  <si>
    <t>CPU-037</t>
  </si>
  <si>
    <t>CPU-038</t>
  </si>
  <si>
    <t>CPU-039</t>
  </si>
  <si>
    <t>CPU-040</t>
  </si>
  <si>
    <t>CPU-042</t>
  </si>
  <si>
    <t>CPU-060</t>
  </si>
  <si>
    <t>ED-49320</t>
  </si>
  <si>
    <t>ED-49091</t>
  </si>
  <si>
    <t>ED-49109</t>
  </si>
  <si>
    <t>ED-49098</t>
  </si>
  <si>
    <t>ED-49165</t>
  </si>
  <si>
    <t>CPU-050</t>
  </si>
  <si>
    <t>ED-9194</t>
  </si>
  <si>
    <t>ED-48372</t>
  </si>
  <si>
    <t>CPU-043</t>
  </si>
  <si>
    <t>ED-48368</t>
  </si>
  <si>
    <t>CPU-044</t>
  </si>
  <si>
    <t>CPU-045</t>
  </si>
  <si>
    <t>CPU-046</t>
  </si>
  <si>
    <t>CPU-047</t>
  </si>
  <si>
    <t>CPU-051</t>
  </si>
  <si>
    <t>CPU-048</t>
  </si>
  <si>
    <t>CPU-053</t>
  </si>
  <si>
    <t>CPU-052</t>
  </si>
  <si>
    <t>CPU-054</t>
  </si>
  <si>
    <t>CPU-055</t>
  </si>
  <si>
    <t>CPU-056</t>
  </si>
  <si>
    <t>CPU-057</t>
  </si>
  <si>
    <t>CPU-058</t>
  </si>
  <si>
    <t>CPU-049</t>
  </si>
  <si>
    <t>98302</t>
  </si>
  <si>
    <t>11.82.54</t>
  </si>
  <si>
    <t>ED-48375</t>
  </si>
  <si>
    <t>ED-9075</t>
  </si>
  <si>
    <t>ED-48245</t>
  </si>
  <si>
    <t>ED-8346</t>
  </si>
  <si>
    <t>ED-50730</t>
  </si>
  <si>
    <t>ED-50761</t>
  </si>
  <si>
    <t>104641</t>
  </si>
  <si>
    <t>97084</t>
  </si>
  <si>
    <t>94990</t>
  </si>
  <si>
    <t>97087</t>
  </si>
  <si>
    <t>CPU-065</t>
  </si>
  <si>
    <t>91341</t>
  </si>
  <si>
    <t>ED-50266</t>
  </si>
  <si>
    <t>MOBILIZAÇÃO E DESMOBILIZAÇÃO</t>
  </si>
  <si>
    <t>MOBILIZAÇÃO E DESMOBILIZAÇÃO DE OBRA</t>
  </si>
  <si>
    <t>ADMINISTRAÇÃO LOCAL</t>
  </si>
  <si>
    <t>ADMINISTRAÇÃO LOCAL DE OBRA</t>
  </si>
  <si>
    <t>SERVIÇOS INICIAIS</t>
  </si>
  <si>
    <t>IDENTIFICAÇÃO DE OBRA</t>
  </si>
  <si>
    <t>CANTEIRO DE OBRA</t>
  </si>
  <si>
    <t>SERVIÇOS TOPOGRÁFICOS</t>
  </si>
  <si>
    <t>SINALIZAÇÃO DE OBRA</t>
  </si>
  <si>
    <t>TERRAPLENAGEM</t>
  </si>
  <si>
    <t>CORTE E ATERRO</t>
  </si>
  <si>
    <t>BOTA FORA</t>
  </si>
  <si>
    <t>COBERTURA VEGETAL DE TALUDES</t>
  </si>
  <si>
    <t>ESTRUTURAS DE CONCRETO</t>
  </si>
  <si>
    <t>FILTRO BIOLÓGICO</t>
  </si>
  <si>
    <t>ESTACAS</t>
  </si>
  <si>
    <t>BALDRAME ESCADA</t>
  </si>
  <si>
    <t>PAREDES E LAJES</t>
  </si>
  <si>
    <t>ESCADA</t>
  </si>
  <si>
    <t>PILARES E VIGAS</t>
  </si>
  <si>
    <t>DECANTADOR SECUNDÁRIO</t>
  </si>
  <si>
    <t>LEITO DE SECAGEM DE ESCUMA</t>
  </si>
  <si>
    <t>LEITOS DE SECAGEM</t>
  </si>
  <si>
    <t>DESINFECÇÃO POR ULTRAVIOLETA</t>
  </si>
  <si>
    <t>SALA ELÉTRICA E MONOVIA</t>
  </si>
  <si>
    <t>BLOCOS</t>
  </si>
  <si>
    <t>VIGAS BALDRAMES</t>
  </si>
  <si>
    <t>PISO ARMADO</t>
  </si>
  <si>
    <t>PISO DE CONCRETO</t>
  </si>
  <si>
    <t>COBERTURA 03</t>
  </si>
  <si>
    <t>ESTRUTURA METÁLICA</t>
  </si>
  <si>
    <t>COBERTURA</t>
  </si>
  <si>
    <t>MONOVIA E COBERTURA</t>
  </si>
  <si>
    <t>SANEAMENTO</t>
  </si>
  <si>
    <t>FORNECIMENTO DE MATERIAIS E EQUIPAMENTOS</t>
  </si>
  <si>
    <t>INSTALAÇÃO DE MATERIAIS E EQUIPAMENTOS</t>
  </si>
  <si>
    <t>FORNECIMENTO DE MATERIAIS</t>
  </si>
  <si>
    <t>INSTALAÇÃO DE MATERIAIS</t>
  </si>
  <si>
    <t>ESGOTAMENTO</t>
  </si>
  <si>
    <t>MATERIAIS</t>
  </si>
  <si>
    <t>CARGA E TRANSPORTE</t>
  </si>
  <si>
    <t>INTERLIGAÇÕES</t>
  </si>
  <si>
    <t>LODO SECUNDÁRIO, ESGOTAMENTO E PERCOLADO</t>
  </si>
  <si>
    <t>INSTALAÇÕES ELÉTRICAS</t>
  </si>
  <si>
    <t>INSTALAÇÕES ELÉTRICAS - FASE I</t>
  </si>
  <si>
    <t>QUADRO DE DISTRIBUIÇÃO DE CIRCUITOS (QDC-03)</t>
  </si>
  <si>
    <t>QUADRO DE DISTRIBUIÇÃO DE CIRCUITOS (QDCGERAL)</t>
  </si>
  <si>
    <t>QUADRO DE DISTRIBUIÇÃO DE CIRCUITOS (QCM 9)</t>
  </si>
  <si>
    <t>QUADRO DE DISTRIBUIÇÃO DE CIRCUITOS (QCM 10)</t>
  </si>
  <si>
    <t>INSTALAÇÕES ELÉTRICAS - FASE II</t>
  </si>
  <si>
    <t>INFRAESTRUTURA</t>
  </si>
  <si>
    <t xml:space="preserve">INTERRUPTORES, TOMADAS E LUMINÁRIAS </t>
  </si>
  <si>
    <t>CABEAMENTO</t>
  </si>
  <si>
    <t>QUADRO DE DISTRIBUIÇÃO DE CIRCUITOS (QUV)</t>
  </si>
  <si>
    <t>GRUPO GERADOR</t>
  </si>
  <si>
    <t>CFTV</t>
  </si>
  <si>
    <t>TESTES</t>
  </si>
  <si>
    <t>CÂMERAS</t>
  </si>
  <si>
    <t>SISTEMA DE GRAVAÇÃO</t>
  </si>
  <si>
    <t>RACKS DE TELECOMUNICAÇÕES</t>
  </si>
  <si>
    <t>ARQUITETURA</t>
  </si>
  <si>
    <t>ANDAIME FACHADEIRO</t>
  </si>
  <si>
    <t>ALVENARIA</t>
  </si>
  <si>
    <t>ACABAMENTOS PAREDE</t>
  </si>
  <si>
    <t>PINTURA</t>
  </si>
  <si>
    <t>PISOS</t>
  </si>
  <si>
    <t>ESQUADRIAS</t>
  </si>
  <si>
    <t>PAISAGISMO</t>
  </si>
  <si>
    <t>LIMPEZA FINAL DE OBRA</t>
  </si>
  <si>
    <t>Mobilização e Desmobilização</t>
  </si>
  <si>
    <t>Serviços Iniciais</t>
  </si>
  <si>
    <t>Terraplenagem</t>
  </si>
  <si>
    <t>Estruturas de Concreto</t>
  </si>
  <si>
    <t>Estrutura Metálica</t>
  </si>
  <si>
    <t>Saneamento</t>
  </si>
  <si>
    <t>Instalações Elétricas</t>
  </si>
  <si>
    <t>Arquitetura</t>
  </si>
  <si>
    <t>SETOP</t>
  </si>
  <si>
    <t>COMPOSIÇÃO</t>
  </si>
  <si>
    <t>SUDECAP</t>
  </si>
  <si>
    <t>COTAÇÃO</t>
  </si>
  <si>
    <t>SERVIÇOS INICIAIS / TERRAPLENAGEM</t>
  </si>
  <si>
    <t>FILTRO BIOLÓGICO
ETAPA 1</t>
  </si>
  <si>
    <t>FILTRO BIOLÓGICO
ETAPA 2</t>
  </si>
  <si>
    <t>DESINFECÇÃO</t>
  </si>
  <si>
    <t>COBERTURA 3</t>
  </si>
  <si>
    <t>Araguari / MG</t>
  </si>
  <si>
    <t>01 conjunto</t>
  </si>
  <si>
    <t>01 unidade</t>
  </si>
  <si>
    <t>04 unidades</t>
  </si>
  <si>
    <t>02 meses</t>
  </si>
  <si>
    <t>O dobro de tapume</t>
  </si>
  <si>
    <t>A cada 10,00 metros de tapume</t>
  </si>
  <si>
    <t>Perímetros
Filtro e Decantador - 180,00 m
Leitos de Secagem - 140,00 m
Desinfecção - 110,00 m</t>
  </si>
  <si>
    <t>Conforme levantamento prancha 02/10
"PRJ-119078-EXE-TER-0101-REV01" 
2.644,16 m3</t>
  </si>
  <si>
    <t>Conforme levantamento prancha 02/10
"PRJ-119078-EXE-TER-0101-REV01"
316,02 m3</t>
  </si>
  <si>
    <t>Corte x empolamento - aterro / grau compactação
2.644,16 x 1,30 - 316,02 / 0,90
= 3.086,27 m3</t>
  </si>
  <si>
    <t>Carga x DMT
3.086,27 m3 x 7,70 km
= 25.341,34 m3xkm</t>
  </si>
  <si>
    <t>=volume de carga e descarga x 1,36t/m3 conforme DNIT</t>
  </si>
  <si>
    <t>= 3.086,27 m3</t>
  </si>
  <si>
    <t>Área de superfície 3D levantado atraves de software
82,18 m2</t>
  </si>
  <si>
    <t>Conforme levantamento prancha 01/06
"PRJ-119078-EXE-EST-0204-FILTRO_BIO_PERCOLADOR-REV02"</t>
  </si>
  <si>
    <t>Conforme levantamento prancha 06/06
"PRJ-119078-EXE-EST-0204-FILTRO_BIO_PERCOLADOR-REV02"</t>
  </si>
  <si>
    <t>Conforme levantamento prancha 06/06
"PRJ-119078-EXE-EST-0204-FILTRO_BIO_PERCOLADOR-REV02"
N58 A N61</t>
  </si>
  <si>
    <t>69 ensaios</t>
  </si>
  <si>
    <t>1,25 x 3,50 x 1,35 = 4,73 m3</t>
  </si>
  <si>
    <t>3,50 x 1,35 = 4,73 m3</t>
  </si>
  <si>
    <t>Conforme levantamento prancha 04/06
"PRJ-119078-EXE-EST-0204-FILTRO_BIO_PERCOLADOR-REV02"</t>
  </si>
  <si>
    <t>3,50 x 1,35 * 0,05  = 0,24 m3</t>
  </si>
  <si>
    <t>=(0,60+0,50*2)*1,40*1</t>
  </si>
  <si>
    <t>Conforme levantamento prancha 06/06
"PRJ-119078-EXE-EST-0204-FILTRO_BIO_PERCOLADOR-REV02"
N56 E N57</t>
  </si>
  <si>
    <t>5,91 - (0,24 + 1,77)</t>
  </si>
  <si>
    <t>Conforme levantamento
"PRJ-119078-EXE-EST-0204-FILTRO_BIO_PERCOLADOR-REV02"</t>
  </si>
  <si>
    <t>Conforme levantamento prancha 06/06
"PRJ-119078-EXE-EST-0204-FILTRO_BIO_PERCOLADOR-REV02"
N22 A N25</t>
  </si>
  <si>
    <t>Conforme levantamento prancha 06/06
"PRJ-119078-EXE-EST-0204-FILTRO_BIO_PERCOLADOR-REV00"
N37 A N44
N47 A N49
N52 A N53</t>
  </si>
  <si>
    <t>Conforme levantamento prancha 01/06
"PRJ-119078-EXE-EST-0104-DECANTADOR_SECUNDARIO-REV02"</t>
  </si>
  <si>
    <t>Conforme levantamento prancha 06/06
"PRJ-119078-EXE-EST-0104-DECANTADOR_SECUNDARIO-REV02"</t>
  </si>
  <si>
    <t>Conforme levantamento prancha 06/06
"PRJ-119078-EXE-EST-0104-DECANTADOR_SECUNDARIO-REV02"
N49 A N52</t>
  </si>
  <si>
    <t>40 estacas</t>
  </si>
  <si>
    <t>21 ensaios</t>
  </si>
  <si>
    <t>π x (19,21)² / 4 x 0,05
=14,49 M3</t>
  </si>
  <si>
    <t>Conforme levantamento prancha 06/06
"PRJ-119078-EXE-EST-0104-DECANTADOR_SECUNDARIO-REV00"
N1 A N43</t>
  </si>
  <si>
    <t>Conforme levantamento prancha 02/06
"PRJ-119078-EXE-EST-0104-DECANTADOR_SECUNDARIO-REV02"</t>
  </si>
  <si>
    <t>Conforme levantamento prancha 06/06
"PRJ-119078-EXE-EST-0104-DECANTADOR_SECUNDARIO-REV02"
N44 A N48</t>
  </si>
  <si>
    <t>Conforme levantamento
"PRJ-119078-EXE-EST-0404-LEITOS_SECAGEM-REV02"</t>
  </si>
  <si>
    <t>Conforme levantamento prancha 01/04
"PRJ-119078-EXE-EST-0404-LEITOS_SECAGEM-REV02"</t>
  </si>
  <si>
    <t>Conforme levantamento prancha 02/04
"PRJ-119078-EXE-EST-0404-LEITOS_SECAGEM-REV02"</t>
  </si>
  <si>
    <t>Conforme levantamento prancha 02/08, 04/08 e 05/08
"PRJ-119078-EXE-EST-0304-DESINFECÇÃO_UV-REV02"
15,29 + 3,48 + 3,05</t>
  </si>
  <si>
    <t>Conforme levantamento prancha 02/08,04/08 e 05/08
"PRJ-119078-EXE-EST-0304-DESINFECÇÃO_UV-REV02"
15,29 + 3,48 + 3,05</t>
  </si>
  <si>
    <t>Conforme levantamento prancha 02/08,04/08 e 05/08
"PRJ-119078-EXE-EST-0304-DESINFECÇÃO_UV-REV02"
139,47 + 33,44 + 28,48</t>
  </si>
  <si>
    <t>Conforme levantamento prancha 02/08,04/08 e 05/08
"PRJ-119078-EXE-EST-0304-DESINFECÇÃO_UV-REV02"
663,60 + 734,9 + 372,1 + 379,9</t>
  </si>
  <si>
    <t>Conforme levantamento prancha 02/08,04/08 e 05/08
"PRJ-119078-EXE-EST-0304-DESINFECÇÃO_UV-REV02"
6,70 + 2,90 + 3,20</t>
  </si>
  <si>
    <t>Conforme levantamento
"PRJ-119078-EXE-EST-0304-DESINFECÇÃO_UV-REV02"
Perímetro interno x altura + área base
2 x (12,47 + 0,75) x 2,30 + 12,47 x 0,75 = 70,16 m2</t>
  </si>
  <si>
    <t>3,10m x 2 und
= 6,20 m</t>
  </si>
  <si>
    <t>3,10 m X 17 m =52,70 m</t>
  </si>
  <si>
    <t>Conforme memória auxiliar
"PRJ119078-MMC-ORC-0204-REV00"</t>
  </si>
  <si>
    <t>Conforme projeto prancha 02/03
PRJ-119078-EXE-EST-001- COBERTURA METALICA-REV00"</t>
  </si>
  <si>
    <t>Conforme levantamento prancha 01/03
"PRJ-119078-EXE-EST-0101-COBERTURA METALICA-REV00"
0,65 + 0,75</t>
  </si>
  <si>
    <t xml:space="preserve">Conforme levantamento prancha 01/03
"PRJ-119078-EXE-EST-0101-COBERTURA METALICA-REV00"
</t>
  </si>
  <si>
    <t>Conforme levantamento  prancha 03/03"PRJ-119078-EXE-EST-0101- COBERTURA METÁLICA-REV00"</t>
  </si>
  <si>
    <t>Conforme levantamento Quadro Lista de material - Cobertura 01 PRANCHA 02/10
"PRJ-119078-EXE-EMT-0101-REV01"</t>
  </si>
  <si>
    <t>Conforme levantamento Quadro Lista de material - Estrutura Monovia e Cobertura PRANCHA 04/10
"PRJ-119078-EXE-EMT-0101-REV01"</t>
  </si>
  <si>
    <t>Conforme levantamento Quadro Lista de material - Cobertura 03 PRANCHA 10/10
"PRJ-119078-EXE-EMT-0101-REV01"</t>
  </si>
  <si>
    <t>Conforme levantamento
"PRJ-119078-EXE-SES-0213-0313-REV00"
Lista de materiais</t>
  </si>
  <si>
    <t>Conforme materiais no sub-item acima</t>
  </si>
  <si>
    <t>Conforme peso informado pelo fornecedor</t>
  </si>
  <si>
    <t>Conforme levantamento
"PRJ-119078-EXE-SES-0413-REV00-0413"
Lista de materiais</t>
  </si>
  <si>
    <t>Conforme levantamento
"PRJ-119078-EXE-SES-0513-0613-REV00-0613"
Lista de materiais Leitos de Secagem de Escuma - Alimentação</t>
  </si>
  <si>
    <t>Conforme levantamento
"PRJ-119078-EXE-SES-0513-0613-REV00-0613"
Lista de Materiais Leitos de Secagem e Escuma - Acessórios</t>
  </si>
  <si>
    <t>Conforme levantamento
"PRJ-119078-EXE-SES-0513-0613-REV00-0613"
Lista de Materiais Leitos de Secagem e Escuma - Esgotamento</t>
  </si>
  <si>
    <t>Conforme levantamento
"PRJ-119078-EXE-SES-0513-0613-REV00-0613"
Lista de Materiais Leitos de Secagem e Escuma - Leito Filtrante</t>
  </si>
  <si>
    <t>Conforme materiais granulares no sub-item acima</t>
  </si>
  <si>
    <t>Conforme levantamento
"PRJ-119078-EXE-SES-0713-0813-REV00-0713"
Lista de Materiais Leitos de Secagem - Alimentação</t>
  </si>
  <si>
    <t>Conforme levantamento
"PRJ-119078-EXE-SES-0713-0813-REV00-0713"
Lista de Materiais Leitos de Secagem - Acessórios</t>
  </si>
  <si>
    <t>Conforme levantamento
"PRJ-119078-EXE-SES-0713-0813-REV00-0713"
Lista de Materiais Leitos de Secagem - Esgotamento</t>
  </si>
  <si>
    <t>Conforme levantamento
"PRJ-119078-EXE-SES-0713-0813-REV00-0713"
Lista de Materiais Leitos de Secagem - Leito Filtrante</t>
  </si>
  <si>
    <t>Conforme levantamento
"PRJ-119078-EXE-SES-0913-1013-REV00-0913"
Lista de Materiais Desinfecção com Ultra Violeta</t>
  </si>
  <si>
    <t>Conforme levantamento
"PRJ-119078-EXE-SES-1113-REV00-1113"
Lista de Materiais Interligação (Somatório)</t>
  </si>
  <si>
    <t>Conforme levantamento
"PRJ-119078-EXE-SES-1113-REV00-1113"
Lista de Materiais Interligação - Lodo Secundário, Esgotamento e Percolação</t>
  </si>
  <si>
    <t>Área x Meses
26,40m² x 1 mês = 26,40m²xmês</t>
  </si>
  <si>
    <t>Quantidade x Comprimento da maior parede x Altura
2 x 4,40 x 3,00 = 26,40m²</t>
  </si>
  <si>
    <t>5.Estruturas de Concreto</t>
  </si>
  <si>
    <t>7.Saneamento</t>
  </si>
  <si>
    <t>8.Instalações Elétricas</t>
  </si>
  <si>
    <t>9.Cftv</t>
  </si>
  <si>
    <t>8.Arquitetura</t>
  </si>
  <si>
    <t>RENATO CARVALHO FERNANDES</t>
  </si>
  <si>
    <t>PREFEITO MUNICIPAL</t>
  </si>
  <si>
    <t>Prefeitura Municipal</t>
  </si>
  <si>
    <t>JULIANA GONÇALVES OLIVEIRA</t>
  </si>
  <si>
    <t>239787 / D</t>
  </si>
  <si>
    <t xml:space="preserve"> Nº MG20253772936</t>
  </si>
  <si>
    <t>(5,91-5,26) x 7,70</t>
  </si>
  <si>
    <t>968559/2024</t>
  </si>
  <si>
    <t>1098284-30/2024</t>
  </si>
  <si>
    <t>101115</t>
  </si>
  <si>
    <t>4413905</t>
  </si>
  <si>
    <t>91031</t>
  </si>
  <si>
    <t>89876</t>
  </si>
  <si>
    <t>91386</t>
  </si>
  <si>
    <t>5901</t>
  </si>
  <si>
    <t xml:space="preserve">Conforme memória de cálculo 
PRJ-119078-MMC-MOB-0101-REV04 </t>
  </si>
  <si>
    <t>6. Saneamento</t>
  </si>
  <si>
    <t>1. Mobilização e Desmobilização</t>
  </si>
  <si>
    <t>2. Serviços Iniciais</t>
  </si>
  <si>
    <t>3. Terraplenagem</t>
  </si>
  <si>
    <t>4. Estruturas de Concreto</t>
  </si>
  <si>
    <t>5. Estrutura Metálica</t>
  </si>
  <si>
    <t>7. Instalações Elétricas</t>
  </si>
  <si>
    <t>8. CFTV</t>
  </si>
  <si>
    <t>9. Arquitetura</t>
  </si>
  <si>
    <t>10. Administração Local</t>
  </si>
  <si>
    <t>104658</t>
  </si>
  <si>
    <t>CPU-067</t>
  </si>
  <si>
    <t>Conforme levantamento
"PRJ-119078-EXE-ARQ-0101-REV02"
encunhamento calculado a partir das medidas da planta baixa quadros
4,38+4,38+2,68+2,68</t>
  </si>
  <si>
    <t>Conforme levantamento
"PRJ-119078-EXE-ARQ-0101-REV02"
2,1x0,8m</t>
  </si>
  <si>
    <t>Conforme levantamento
"PRJ-119078-EXE-ARQ-0101-REV02"
considerando a somatória das calhas da planta baixa quadros e planta baixa geradores
13,40+4,74+10m</t>
  </si>
  <si>
    <t>Conforme levantamento
"PRJ-119078-EXE-ARQ-0101-REV02"
considerando a limpeza do piso da área da planta baixa quadros e da planta baixa geradores extraídas do software Revit
94,303+35,00m²</t>
  </si>
  <si>
    <t>Conforme levantamento
"PRJ-119078-EXE-ARQ-0101-REV02"
comprimento das paredes x alturas segundo planta baixa quadros
52,53m²</t>
  </si>
  <si>
    <t>Conforme levantamento
"PRJ-119078-EXE-ARQ-0101-REV02"
calculado a partir das medidas da planta baixa quadros
Interno: 34,44 m²
Externo: 52,53m²</t>
  </si>
  <si>
    <t>Conforme levantamento
"PRJ-119078-EXE-ARQ-0101-REV02"
NÃO FOI CONSIDERADA A ÁREA DO PISO ARMADO CONTEMPLADO NAS ESTRUTURAS DE CONCRETO
calculado a partir das medidas retiradas do software Revit da planta baixa quadros e planta baixa geradores
29,62m³</t>
  </si>
  <si>
    <t>Conforme levantamento
"PRJ-119078-EXE-ARQ-0101-REV02"
NÃO FOI CONSIDERADA A ÁREA DO PISO ARMADO CONTEMPLADO NAS ESTRUTURAS DE CONCRETO
calculado a partir das medidas retiradas do software Revit da planta baixa quadros e planta baixa geradores
192,42m²</t>
  </si>
  <si>
    <t>Conforme levantamento
"PRJ-119078-EXE-ARQ-0101-REV02"
CONSIDERADA A ÁREA TOTAL DO PISO
calculado a partir das medidas retiradas do software Revit da planta baixa quadros e planta baixa geradores, incluindo a área da cobertura 3 de piso armado
192,42</t>
  </si>
  <si>
    <t>Conforme levantamento
"PRJ-119078-EXE-ARQ-0101-REV02"
3m²</t>
  </si>
  <si>
    <t>Conforme levantamento
"PRJ-119078-EXE-ARQ-0101-REV02"
Cobertura Monovia + Cobertura Abrigo + Abrigo Geradores</t>
  </si>
  <si>
    <t>Conforme levantamento
"PRJ-119078-EXE-ARQ-0101-REV02"
área da planta baixa quadros + área da planta baixa geradores extraídas do software Revit
1013,19m²</t>
  </si>
  <si>
    <t>Conforme levantamento
"PRJ-119078-EXE-ARQ-0101-REV02"
21,90m</t>
  </si>
  <si>
    <t>103689</t>
  </si>
  <si>
    <t>DIMENSÕES DA PLACA : 3,6X1,8 = 6,48M²
Conforme Manual de Placas de Obra</t>
  </si>
  <si>
    <t>Carga x 1,36t/m3 conforme DNIT
3086,27x1,36
4197,33 T</t>
  </si>
  <si>
    <t xml:space="preserve">
Considerado o valor da escavação da estaca x empolamento (1,3)
=((PI()*0,60^2)/4)*10,00*48*1,30
176,43m³
</t>
  </si>
  <si>
    <t xml:space="preserve">Carga x DMT
176,43 m3 X 7,70 km
1358,51m³xKM
</t>
  </si>
  <si>
    <t>Igual a carga
176,43 m³</t>
  </si>
  <si>
    <t>Carga x 1,36t/m3 conforme DNIT
0,85x1,36
1,16 T</t>
  </si>
  <si>
    <t>Igual a carga
0,85 m³</t>
  </si>
  <si>
    <t>Carga x 1,36t/m3 conforme DNIT
65,35x1,36
88,88 T</t>
  </si>
  <si>
    <t>Igual a carga
65,35 m³</t>
  </si>
  <si>
    <t xml:space="preserve">
Considerado o valor da escavação x empolamento (1,3)
(5,91-5,26) x 1,30
0,85m³
</t>
  </si>
  <si>
    <t xml:space="preserve">
Considerado o valor da escavação x empolamento (1,3)
(π x (0,50)² / 4 x 7,00 x 16 + π x (0,50)² / 4 x 6,00 x 24) x 1,30
= 65,35 m3
</t>
  </si>
  <si>
    <t>Igual a carga
6,40 m3</t>
  </si>
  <si>
    <t>Conforme levantamento prancha 02/03
"PRJ-119078-EXE-EST-0101-COBERTURA METALICA-REV00"</t>
  </si>
  <si>
    <t>401,17+32,34</t>
  </si>
  <si>
    <t>65,35 x 7,7
503,16 m³xkm</t>
  </si>
  <si>
    <t>6,40 x 7,7
49,32 m³xkm</t>
  </si>
  <si>
    <t>Carga x 1,36t/m3 conforme DNIT
6,4x1,3
8,7T</t>
  </si>
  <si>
    <t>Considerado o valor da escavação x empolamento (1,3)
π x (0,30)² / 4 x 4,10 x 17 x 1,30
= 6,40 m3</t>
  </si>
  <si>
    <t>Carga x DMT
88,71 x 18,00 km
1.596,78 m³xkm</t>
  </si>
  <si>
    <t>Carga x DMT
173,51 x 18,00 km
3.123,18 m³xkm</t>
  </si>
  <si>
    <t>Conforme levantamento 
"PRJ-119078-EXE-ELE-0101-REV02"</t>
  </si>
  <si>
    <t>Conforme levantamento 
"PRJ-119078-EXE-CTV-0101-REV00"</t>
  </si>
  <si>
    <t xml:space="preserve">
Conforme levantamento
"PRJ-119078-EXE-ARQ-0101-REV02"
reboco calculado a partir das medidas da planta baixa quadros
Interno: 34,44 m²
Externo: 52,53m²
</t>
  </si>
  <si>
    <t xml:space="preserve">
Conforme levantamento
"PRJ-119078-EXE-ARQ-0101-REV02"
chapisco calculado a partir das medidas da planta baixa quadros
Interno: 34,44 m²
Externo: 52,53m²
</t>
  </si>
  <si>
    <t xml:space="preserve">
Conforme levantamento
"PRJ-119078-EXE-ARQ-0101-REV02"
CONSIDERADA A ÁREA TOTAL DO PISO
calculado a partir das medidas retiradas do software Revit da planta baixa quadros e planta baixa geradores, incluindo a área da cobertura 3 de piso armado
192,42
</t>
  </si>
  <si>
    <t>Conforme projeto prancha 02/03
PRJ-119078-EXE-EST-001- COBERTURA METALICA-REV00"
17 und + 2 und
19und</t>
  </si>
  <si>
    <t xml:space="preserve">Conforme levantamento prancha 02/03 e 03/03
"PRJ-119078-EXE-EST-0101-COBERTURA METALICA-REV00"
</t>
  </si>
  <si>
    <t>Conforme projeto prancha 03/03
PRJ-119078-EXE-EST-001- COBERTURA METALICA-REV00"</t>
  </si>
  <si>
    <t>Conforme levantamento prancha 08/08
"PRJ-119078-EXE-EST-0303-DESINFECÇÃO_UV-REV02"</t>
  </si>
  <si>
    <t>1.2. ADMINISTRAÇÃO LOCAL</t>
  </si>
  <si>
    <t>Conforme memória auxiliar
"PRJ-119078-MMC-ORC-0202-REV06"</t>
  </si>
  <si>
    <t>CPU-070</t>
  </si>
  <si>
    <t>ED-27006</t>
  </si>
  <si>
    <t>ED-50155</t>
  </si>
  <si>
    <t>10 meses</t>
  </si>
  <si>
    <t>93427</t>
  </si>
  <si>
    <t>93421</t>
  </si>
  <si>
    <t>93428</t>
  </si>
  <si>
    <t>93422</t>
  </si>
  <si>
    <t>Carga horária = 22 dias/mês x 4h/dia x 10 meses x 2 geradores</t>
  </si>
  <si>
    <t>Carga horária = 22 dias/mês x 4h/dia x 10 meses x 1 gerador</t>
  </si>
  <si>
    <t>50.10.50</t>
  </si>
  <si>
    <t>CPU-071</t>
  </si>
  <si>
    <t>Declaro para os devidos fins que, foi utlizado o 1º Quartil de cada parcela do BDI, exceto o Lucro, que ficou abaixo para atender ao intervalo do BDI total, pois o ISS Municipal sendo de 5,00 % geraria um percentual final do BDI SEM Desoneração fora do intervalo entre o 1º e 3º Quartis.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</si>
</sst>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0" fontId="73" fillId="0" borderId="0" xfId="0" applyFont="1" applyAlignment="1">
      <alignment horizontal="left" vertical="center"/>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5" xfId="0" applyFont="1" applyBorder="1"/>
    <xf numFmtId="0" fontId="27" fillId="0" borderId="126" xfId="0" applyFont="1" applyBorder="1" applyAlignment="1">
      <alignment horizontal="left" indent="1"/>
    </xf>
    <xf numFmtId="0" fontId="0" fillId="0" borderId="126" xfId="0" applyBorder="1" applyAlignment="1">
      <alignment vertical="center" wrapText="1"/>
    </xf>
    <xf numFmtId="0" fontId="28" fillId="0" borderId="127" xfId="0" applyFont="1" applyBorder="1"/>
    <xf numFmtId="0" fontId="47" fillId="0" borderId="0" xfId="0" applyFont="1" applyAlignment="1" applyProtection="1">
      <alignment horizontal="center" vertical="center"/>
      <protection locked="0"/>
    </xf>
    <xf numFmtId="0" fontId="0" fillId="0" borderId="128" xfId="0" applyBorder="1"/>
    <xf numFmtId="0" fontId="0" fillId="0" borderId="126" xfId="0" applyBorder="1"/>
    <xf numFmtId="0" fontId="0" fillId="0" borderId="127" xfId="0" applyBorder="1"/>
    <xf numFmtId="0" fontId="0" fillId="0" borderId="130" xfId="0" applyBorder="1"/>
    <xf numFmtId="0" fontId="24" fillId="0" borderId="132" xfId="0" applyFont="1" applyBorder="1"/>
    <xf numFmtId="0" fontId="24" fillId="0" borderId="133"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79" fillId="0" borderId="0" xfId="0" applyFont="1" applyAlignment="1">
      <alignment vertical="center"/>
    </xf>
    <xf numFmtId="0" fontId="0" fillId="16" borderId="134" xfId="48" applyNumberFormat="1" applyFont="1" applyFill="1" applyBorder="1" applyAlignment="1" applyProtection="1">
      <alignment horizontal="left" vertical="center"/>
      <protection locked="0"/>
    </xf>
    <xf numFmtId="0" fontId="0" fillId="0" borderId="134" xfId="0" applyBorder="1" applyAlignment="1">
      <alignment horizontal="center"/>
    </xf>
    <xf numFmtId="0" fontId="24" fillId="0" borderId="0" xfId="0" applyFont="1" applyAlignment="1">
      <alignment horizontal="center" wrapText="1"/>
    </xf>
    <xf numFmtId="0" fontId="46" fillId="0" borderId="139"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1" xfId="0" applyBorder="1"/>
    <xf numFmtId="0" fontId="0" fillId="0" borderId="140" xfId="0" applyBorder="1"/>
    <xf numFmtId="0" fontId="0" fillId="0" borderId="140" xfId="0" applyBorder="1" applyAlignment="1">
      <alignment horizontal="center"/>
    </xf>
    <xf numFmtId="10" fontId="0" fillId="0" borderId="140" xfId="0" applyNumberFormat="1" applyBorder="1" applyAlignment="1">
      <alignment horizontal="center"/>
    </xf>
    <xf numFmtId="0" fontId="38" fillId="0" borderId="0" xfId="0" applyFont="1" applyAlignment="1">
      <alignment horizontal="center"/>
    </xf>
    <xf numFmtId="0" fontId="38" fillId="0" borderId="140" xfId="0" applyFont="1" applyBorder="1"/>
    <xf numFmtId="49" fontId="56" fillId="0" borderId="142" xfId="50" applyNumberFormat="1" applyFont="1" applyBorder="1" applyAlignment="1">
      <alignment horizontal="center" vertical="center" wrapText="1"/>
    </xf>
    <xf numFmtId="49" fontId="56" fillId="0" borderId="142" xfId="50" quotePrefix="1" applyNumberFormat="1" applyFont="1" applyBorder="1" applyAlignment="1">
      <alignment horizontal="center" vertical="center" wrapText="1"/>
    </xf>
    <xf numFmtId="4" fontId="56" fillId="28" borderId="142" xfId="50" applyNumberFormat="1" applyFont="1" applyFill="1" applyBorder="1" applyAlignment="1">
      <alignment horizontal="center" vertical="center"/>
    </xf>
    <xf numFmtId="189" fontId="56" fillId="0" borderId="142" xfId="50" applyNumberFormat="1" applyFont="1" applyBorder="1" applyAlignment="1">
      <alignment horizontal="center" vertical="center"/>
    </xf>
    <xf numFmtId="2" fontId="56" fillId="0" borderId="142" xfId="50" applyNumberFormat="1" applyFont="1" applyBorder="1" applyAlignment="1">
      <alignment horizontal="center" vertical="center"/>
    </xf>
    <xf numFmtId="189" fontId="56" fillId="28" borderId="142" xfId="50" applyNumberFormat="1" applyFont="1" applyFill="1" applyBorder="1" applyAlignment="1">
      <alignment horizontal="center" vertical="center"/>
    </xf>
    <xf numFmtId="189" fontId="56" fillId="28" borderId="142" xfId="50" applyNumberFormat="1" applyFont="1" applyFill="1" applyBorder="1" applyAlignment="1">
      <alignment horizontal="center" vertical="center" wrapText="1"/>
    </xf>
    <xf numFmtId="1" fontId="56" fillId="0" borderId="142" xfId="50" applyNumberFormat="1" applyFont="1" applyBorder="1" applyAlignment="1">
      <alignment horizontal="center" vertical="center" wrapText="1"/>
    </xf>
    <xf numFmtId="4" fontId="56" fillId="0" borderId="142" xfId="50" applyNumberFormat="1" applyFont="1" applyBorder="1" applyAlignment="1">
      <alignment horizontal="center" vertical="center"/>
    </xf>
    <xf numFmtId="0" fontId="56" fillId="0" borderId="144" xfId="50" applyFont="1" applyBorder="1" applyAlignment="1">
      <alignment horizontal="center" vertical="center" wrapText="1"/>
    </xf>
    <xf numFmtId="0" fontId="56" fillId="0" borderId="143" xfId="50" applyFont="1" applyBorder="1" applyAlignment="1">
      <alignment horizontal="center" vertical="center" wrapText="1"/>
    </xf>
    <xf numFmtId="49" fontId="56" fillId="0" borderId="145" xfId="50" applyNumberFormat="1" applyFont="1" applyBorder="1" applyAlignment="1">
      <alignment horizontal="center" vertical="center" wrapText="1"/>
    </xf>
    <xf numFmtId="49" fontId="56" fillId="0" borderId="145" xfId="50" quotePrefix="1" applyNumberFormat="1" applyFont="1" applyBorder="1" applyAlignment="1">
      <alignment horizontal="center" vertical="center" wrapText="1"/>
    </xf>
    <xf numFmtId="4" fontId="56" fillId="28" borderId="145" xfId="50" applyNumberFormat="1" applyFont="1" applyFill="1" applyBorder="1" applyAlignment="1">
      <alignment horizontal="center" vertical="center"/>
    </xf>
    <xf numFmtId="189" fontId="56" fillId="0" borderId="145" xfId="50" applyNumberFormat="1" applyFont="1" applyBorder="1" applyAlignment="1">
      <alignment horizontal="center" vertical="center"/>
    </xf>
    <xf numFmtId="10" fontId="56" fillId="0" borderId="145" xfId="37" applyNumberFormat="1" applyBorder="1" applyAlignment="1">
      <alignment horizontal="center" vertical="center"/>
    </xf>
    <xf numFmtId="189" fontId="56" fillId="28" borderId="145" xfId="50" applyNumberFormat="1" applyFont="1" applyFill="1" applyBorder="1" applyAlignment="1">
      <alignment horizontal="center" vertical="center"/>
    </xf>
    <xf numFmtId="1" fontId="56" fillId="0" borderId="145" xfId="50" applyNumberFormat="1" applyFont="1" applyBorder="1" applyAlignment="1">
      <alignment horizontal="center" vertical="center" wrapText="1"/>
    </xf>
    <xf numFmtId="4" fontId="56" fillId="0" borderId="145" xfId="50" applyNumberFormat="1" applyFont="1" applyBorder="1" applyAlignment="1">
      <alignment horizontal="center" vertical="center"/>
    </xf>
    <xf numFmtId="0" fontId="56" fillId="0" borderId="147" xfId="50" applyFont="1" applyBorder="1" applyAlignment="1">
      <alignment horizontal="center" vertical="center" wrapText="1"/>
    </xf>
    <xf numFmtId="2" fontId="56" fillId="0" borderId="147" xfId="50" applyNumberFormat="1" applyFont="1" applyBorder="1" applyAlignment="1">
      <alignment horizontal="center" vertical="center"/>
    </xf>
    <xf numFmtId="0" fontId="56" fillId="0" borderId="146" xfId="50" applyFont="1" applyBorder="1" applyAlignment="1">
      <alignment horizontal="center" vertical="center" wrapText="1"/>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0" fillId="14" borderId="0" xfId="0" applyFill="1" applyAlignment="1">
      <alignment horizontal="left"/>
    </xf>
    <xf numFmtId="0" fontId="39" fillId="0" borderId="0" xfId="0" applyFont="1" applyAlignment="1">
      <alignment horizontal="center" textRotation="90"/>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8" fillId="0" borderId="129"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1" xfId="0" applyFont="1" applyBorder="1" applyAlignment="1">
      <alignment horizontal="center"/>
    </xf>
    <xf numFmtId="0" fontId="0" fillId="0" borderId="30" xfId="0" applyBorder="1" applyAlignment="1">
      <alignment horizontal="center"/>
    </xf>
    <xf numFmtId="0" fontId="24" fillId="0" borderId="13" xfId="0" applyFont="1" applyBorder="1" applyAlignment="1">
      <alignment horizontal="center"/>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7" xfId="0" applyBorder="1" applyAlignment="1">
      <alignment horizontal="center"/>
    </xf>
    <xf numFmtId="0" fontId="0" fillId="0" borderId="138" xfId="0" applyBorder="1" applyAlignment="1">
      <alignment horizontal="center"/>
    </xf>
    <xf numFmtId="0" fontId="37" fillId="0" borderId="0" xfId="0" applyFont="1" applyAlignment="1">
      <alignment horizontal="left" vertical="center" indent="10"/>
    </xf>
    <xf numFmtId="0" fontId="24" fillId="0" borderId="135" xfId="0" applyFont="1" applyBorder="1" applyAlignment="1">
      <alignment horizontal="center"/>
    </xf>
    <xf numFmtId="0" fontId="24" fillId="0" borderId="136"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77" fontId="56" fillId="0" borderId="29" xfId="48" applyNumberFormat="1" applyFill="1" applyBorder="1" applyAlignment="1" applyProtection="1">
      <alignment horizontal="center" shrinkToFit="1"/>
    </xf>
    <xf numFmtId="14" fontId="0" fillId="6" borderId="46" xfId="0" applyNumberFormat="1" applyFill="1" applyBorder="1" applyAlignment="1" applyProtection="1">
      <alignment horizontal="center"/>
      <protection locked="0"/>
    </xf>
    <xf numFmtId="177" fontId="56" fillId="0" borderId="13" xfId="48" applyNumberFormat="1" applyFill="1" applyBorder="1" applyAlignment="1" applyProtection="1">
      <alignment horizontal="center" shrinkToFit="1"/>
    </xf>
    <xf numFmtId="10" fontId="56" fillId="0" borderId="33" xfId="37" applyNumberFormat="1" applyFill="1" applyBorder="1" applyAlignment="1" applyProtection="1">
      <alignment horizontal="center"/>
    </xf>
    <xf numFmtId="0" fontId="24" fillId="0" borderId="31" xfId="0" applyFont="1" applyBorder="1" applyAlignment="1">
      <alignment horizontal="right" vertical="center"/>
    </xf>
    <xf numFmtId="10" fontId="56" fillId="0" borderId="30"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78" xfId="37" applyNumberFormat="1" applyFill="1" applyBorder="1" applyAlignment="1" applyProtection="1">
      <alignment horizontal="center"/>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0" fillId="18" borderId="39" xfId="0" applyFill="1" applyBorder="1"/>
    <xf numFmtId="14" fontId="0" fillId="6" borderId="36" xfId="0" applyNumberFormat="1" applyFill="1" applyBorder="1" applyAlignment="1" applyProtection="1">
      <alignment horizontal="center"/>
      <protection locked="0"/>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1226">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1"/>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1"/>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0" y="971526"/>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0" y="971526"/>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78"/>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592" t="s">
        <v>4</v>
      </c>
      <c r="B10" s="593"/>
      <c r="C10" s="593"/>
      <c r="D10" s="59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592" t="s">
        <v>9</v>
      </c>
      <c r="B17" s="593"/>
      <c r="C17" s="593"/>
      <c r="D17" s="59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592" t="s">
        <v>19</v>
      </c>
      <c r="B30" s="593"/>
      <c r="C30" s="593"/>
      <c r="D30" s="59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592" t="s">
        <v>22</v>
      </c>
      <c r="B37" s="593"/>
      <c r="C37" s="593"/>
      <c r="D37" s="59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592" t="s">
        <v>27</v>
      </c>
      <c r="B45" s="593"/>
      <c r="C45" s="593"/>
      <c r="D45" s="59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592" t="s">
        <v>29</v>
      </c>
      <c r="B49" s="593"/>
      <c r="C49" s="593"/>
      <c r="D49" s="59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595" t="s">
        <v>32</v>
      </c>
      <c r="B54" s="593"/>
      <c r="C54" s="593"/>
      <c r="D54" s="59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592" t="s">
        <v>59</v>
      </c>
      <c r="B88" s="593"/>
      <c r="C88" s="593"/>
      <c r="D88" s="59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592" t="s">
        <v>80</v>
      </c>
      <c r="B118" s="593"/>
      <c r="C118" s="593"/>
      <c r="D118" s="59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592" t="s">
        <v>931</v>
      </c>
      <c r="B126" s="593"/>
      <c r="C126" s="593"/>
      <c r="D126" s="59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592" t="s">
        <v>933</v>
      </c>
      <c r="B130" s="593"/>
      <c r="C130" s="593"/>
      <c r="D130" s="59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592" t="s">
        <v>944</v>
      </c>
      <c r="B139" s="593"/>
      <c r="C139" s="593"/>
      <c r="D139" s="59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592" t="s">
        <v>952</v>
      </c>
      <c r="B155" s="593"/>
      <c r="C155" s="593"/>
      <c r="D155" s="594"/>
    </row>
    <row r="156" spans="1:4" ht="15" x14ac:dyDescent="0.25">
      <c r="A156" s="4"/>
      <c r="B156" s="47" t="s">
        <v>2</v>
      </c>
      <c r="C156" s="47"/>
      <c r="D156" s="499"/>
    </row>
    <row r="157" spans="1:4" ht="15" x14ac:dyDescent="0.25">
      <c r="A157" s="4"/>
      <c r="B157" s="47"/>
      <c r="C157" s="48" t="str">
        <f>IF(D157&lt;&gt;"","▪","")</f>
        <v>▪</v>
      </c>
      <c r="D157" s="499" t="s">
        <v>987</v>
      </c>
    </row>
    <row r="158" spans="1:4" ht="15" x14ac:dyDescent="0.25">
      <c r="A158" s="4"/>
      <c r="B158" s="47" t="s">
        <v>40</v>
      </c>
      <c r="C158" s="47"/>
      <c r="D158" s="499"/>
    </row>
    <row r="159" spans="1:4" ht="25.5" x14ac:dyDescent="0.25">
      <c r="A159" s="4"/>
      <c r="B159" s="47"/>
      <c r="C159" s="48" t="str">
        <f>IF(D159&lt;&gt;"","▪","")</f>
        <v>▪</v>
      </c>
      <c r="D159" s="499" t="s">
        <v>988</v>
      </c>
    </row>
    <row r="160" spans="1:4" ht="25.5" x14ac:dyDescent="0.25">
      <c r="A160" s="4"/>
      <c r="B160" s="47"/>
      <c r="C160" s="48" t="str">
        <f>IF(D160&lt;&gt;"","▪","")</f>
        <v>▪</v>
      </c>
      <c r="D160" s="499" t="s">
        <v>994</v>
      </c>
    </row>
    <row r="161" spans="1:4" ht="38.25" x14ac:dyDescent="0.25">
      <c r="A161" s="4"/>
      <c r="B161" s="47"/>
      <c r="C161" s="48" t="str">
        <f>IF(D161&lt;&gt;"","▪","")</f>
        <v>▪</v>
      </c>
      <c r="D161" s="499" t="s">
        <v>954</v>
      </c>
    </row>
    <row r="162" spans="1:4" ht="15" x14ac:dyDescent="0.25">
      <c r="A162" s="4"/>
      <c r="B162" s="47" t="s">
        <v>11</v>
      </c>
      <c r="C162" s="47"/>
      <c r="D162" s="499"/>
    </row>
    <row r="163" spans="1:4" ht="15" x14ac:dyDescent="0.2">
      <c r="A163" s="414"/>
      <c r="C163" s="48" t="str">
        <f>IF(D163&lt;&gt;"","▪","")</f>
        <v>▪</v>
      </c>
      <c r="D163" s="499" t="s">
        <v>984</v>
      </c>
    </row>
    <row r="164" spans="1:4" ht="15" x14ac:dyDescent="0.2">
      <c r="A164" s="414"/>
      <c r="C164" s="48" t="str">
        <f>IF(D164&lt;&gt;"","▪","")</f>
        <v>▪</v>
      </c>
      <c r="D164" s="499" t="s">
        <v>953</v>
      </c>
    </row>
    <row r="165" spans="1:4" ht="15" x14ac:dyDescent="0.2">
      <c r="A165" s="414"/>
      <c r="C165" s="48" t="str">
        <f>IF(D165&lt;&gt;"","▪","")</f>
        <v>▪</v>
      </c>
      <c r="D165" s="499" t="s">
        <v>998</v>
      </c>
    </row>
    <row r="166" spans="1:4" ht="15" x14ac:dyDescent="0.2">
      <c r="A166" s="414"/>
      <c r="C166" s="48" t="str">
        <f>IF(D166&lt;&gt;"","▪","")</f>
        <v>▪</v>
      </c>
      <c r="D166" s="499" t="s">
        <v>989</v>
      </c>
    </row>
    <row r="167" spans="1:4" ht="15" x14ac:dyDescent="0.2">
      <c r="A167" s="414"/>
      <c r="C167" s="48" t="str">
        <f>IF(D167&lt;&gt;"","▪","")</f>
        <v>▪</v>
      </c>
      <c r="D167" s="499" t="s">
        <v>990</v>
      </c>
    </row>
    <row r="168" spans="1:4" ht="15" x14ac:dyDescent="0.25">
      <c r="A168" s="4"/>
      <c r="B168" s="47" t="s">
        <v>20</v>
      </c>
      <c r="C168" s="47"/>
      <c r="D168" s="499"/>
    </row>
    <row r="169" spans="1:4" ht="25.5" x14ac:dyDescent="0.2">
      <c r="A169" s="414"/>
      <c r="C169" s="48" t="str">
        <f>IF(D169&lt;&gt;"","▪","")</f>
        <v>▪</v>
      </c>
      <c r="D169" s="499" t="s">
        <v>991</v>
      </c>
    </row>
    <row r="170" spans="1:4" ht="15" x14ac:dyDescent="0.2">
      <c r="A170" s="414"/>
      <c r="C170" s="48" t="str">
        <f t="shared" ref="C170:C171" si="2">IF(D170&lt;&gt;"","▪","")</f>
        <v>▪</v>
      </c>
      <c r="D170" s="499" t="s">
        <v>992</v>
      </c>
    </row>
    <row r="171" spans="1:4" ht="15" x14ac:dyDescent="0.2">
      <c r="A171" s="414"/>
      <c r="C171" s="48" t="str">
        <f t="shared" si="2"/>
        <v>▪</v>
      </c>
      <c r="D171" s="499" t="s">
        <v>993</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985</v>
      </c>
    </row>
    <row r="176" spans="1:4" ht="15" x14ac:dyDescent="0.25">
      <c r="A176" s="4"/>
      <c r="B176" s="47" t="s">
        <v>17</v>
      </c>
      <c r="C176" s="47"/>
      <c r="D176" s="499"/>
    </row>
    <row r="177" spans="1:4" ht="15" x14ac:dyDescent="0.2">
      <c r="A177" s="414"/>
      <c r="C177" s="48" t="str">
        <f>IF(D177&lt;&gt;"","▪","")</f>
        <v>▪</v>
      </c>
      <c r="D177" s="499" t="s">
        <v>986</v>
      </c>
    </row>
    <row r="178" spans="1:4" ht="15" x14ac:dyDescent="0.25">
      <c r="A178" s="418"/>
      <c r="B178" s="477"/>
      <c r="C178" s="477"/>
      <c r="D178" s="502"/>
    </row>
  </sheetData>
  <sheetProtection algorithmName="SHA-512" hashValue="+k5uer6NY+2cQxSQeUviI6sSdRSiIEuQb47BcWUrHKmC2VhuJnktML9cd1AHagbxnQ5hM+YbRCLSa0ibli3PBg==" saltValue="+YlMNcEJRenNxqeqwiApS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&amp;LPMv3.13&amp;R&amp;P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96" t="str">
        <f>CHOOSE(MATCH(Objeto,{"PM","PO"}),"PLANILHA MÚLTIPLA ","PLANILHA ORÇAMENTÁRIA ")&amp; Versao</f>
        <v>PLANILHA MÚLTIPLA v3.13</v>
      </c>
      <c r="F2" s="696"/>
      <c r="G2" s="696"/>
      <c r="H2" s="408"/>
      <c r="I2" s="406"/>
      <c r="J2" s="491" t="s">
        <v>950</v>
      </c>
      <c r="K2" s="510" t="b">
        <v>1</v>
      </c>
    </row>
    <row r="3" spans="1:15" ht="22.5" customHeight="1" x14ac:dyDescent="0.2">
      <c r="A3" s="404"/>
      <c r="B3" s="406"/>
      <c r="C3" s="406"/>
      <c r="D3" s="406"/>
      <c r="E3" s="696"/>
      <c r="F3" s="696"/>
      <c r="G3" s="696"/>
      <c r="H3" s="408"/>
      <c r="I3" s="406"/>
      <c r="O3" s="596">
        <v>1</v>
      </c>
    </row>
    <row r="4" spans="1:15" ht="17.100000000000001" customHeight="1" x14ac:dyDescent="0.2">
      <c r="A4" s="404"/>
      <c r="B4" s="406"/>
      <c r="C4" s="406"/>
      <c r="D4" s="406"/>
      <c r="E4" s="406"/>
      <c r="F4" s="407"/>
      <c r="G4" s="408"/>
      <c r="H4" s="408"/>
      <c r="I4" s="406"/>
      <c r="J4" s="151" t="str">
        <f>IF(VALUE(MENU!$O$4)=2,"BM","PLE")</f>
        <v>BM</v>
      </c>
      <c r="O4" s="59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597"/>
      <c r="L7" s="598"/>
      <c r="M7" s="598"/>
      <c r="N7" s="599"/>
    </row>
    <row r="8" spans="1:15" ht="21" customHeight="1" x14ac:dyDescent="0.2">
      <c r="A8" s="406"/>
      <c r="B8" s="695" t="str">
        <f>IF($O$3&lt;&gt;2,"DOCUMENTAÇÃO DA PROPOSTA","PROPOSTA: Para visualizar/preencher esta seção, altere o TIPO DE ORÇAMENTO para 'Proposto'")</f>
        <v>DOCUMENTAÇÃO DA PROPOSTA</v>
      </c>
      <c r="C8" s="695"/>
      <c r="D8" s="695"/>
      <c r="E8" s="695"/>
      <c r="F8" s="695"/>
      <c r="G8" s="695"/>
      <c r="H8" s="695"/>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f>IF(TIPOORCAMENTO&lt;&gt;"Proposto","","                    BDI                    ")</f>
        <v xml:space="preserve">                    BDI                    </v>
      </c>
      <c r="D10" s="405"/>
      <c r="E10" s="478" t="str">
        <f>IF(TIPOORCAMENTO&lt;&gt;"Proposto","","             ORÇAMENTO             ")</f>
        <v xml:space="preserve">             ORÇAMENTO             </v>
      </c>
      <c r="F10" s="405"/>
      <c r="G10" s="480" t="str">
        <f>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f>IF(TIPOORCAMENTO&lt;&gt;"Proposto","","                    QCI                    ")</f>
        <v xml:space="preserve">                    QCI                    </v>
      </c>
      <c r="D12" s="405"/>
      <c r="E12" s="479" t="str">
        <f>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04-2025.xlsm.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95" t="str">
        <f>IF($O$3&lt;&gt;2,"PÓS-LICITADO: Para visualizar/preencher esta seção, altere o TIPO DE ORÇAMENTO para 'Licitado'","RESULTADO DO PROCESSO LICITATÓRIO")</f>
        <v>PÓS-LICITADO: Para visualizar/preencher esta seção, altere o TIPO DE ORÇAMENTO para 'Licitado'</v>
      </c>
      <c r="C16" s="695"/>
      <c r="D16" s="695"/>
      <c r="E16" s="695"/>
      <c r="F16" s="695"/>
      <c r="G16" s="695"/>
      <c r="H16" s="695"/>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f>IF(TIPOORCAMENTO&lt;&gt;"Licitado","","             ORÇAMENTO             ")</f>
        <v/>
      </c>
      <c r="D18" s="405"/>
      <c r="E18" s="478" t="str">
        <f>IF(TIPOORCAMENTO&lt;&gt;"Licitado","","                    QCI                    ")</f>
        <v/>
      </c>
      <c r="F18" s="405"/>
      <c r="G18" s="479" t="str">
        <f>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95" t="str">
        <f>IF($O$3&lt;&gt;2,"ACOMPANHAMENTO: Para visualizar/preencher esta seção, altere o TIPO DE ORÇAMENTO para 'Licitado'","ACOMPANHAMENTO DO EMPREENDIMENTO")</f>
        <v>ACOMPANHAMENTO: Para visualizar/preencher esta seção, altere o TIPO DE ORÇAMENTO para 'Licitado'</v>
      </c>
      <c r="C20" s="695"/>
      <c r="D20" s="695"/>
      <c r="E20" s="695"/>
      <c r="F20" s="695"/>
      <c r="G20" s="695"/>
      <c r="H20" s="695"/>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IF(OR(_xlfn.SINGLE(TIPOORCAMENTO)&lt;&gt;"Licitado",ACOMPANHAMENTO&lt;&gt;"PLE"),"","PLAN. DE LEVANT. DE EVENTOS - PLE")</f>
        <v/>
      </c>
      <c r="D22" s="405"/>
      <c r="E22" s="478" t="str">
        <f>IF(TIPOORCAMENTO&lt;&gt;"Licitado","","                    RRE                    ")</f>
        <v/>
      </c>
      <c r="F22" s="405"/>
      <c r="G22" s="480" t="str" cm="1">
        <f t="array" ref="G22">IF(OR(_xlfn.SINGLE(TIPOORCAMENTO)&lt;&gt;"Licitado",ACOMPANHAMENTO&lt;&gt;"BM"),"","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f>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NRsuD449u1ijzAkvnDW89T7KKCRJ3lA5iFYHrA9OPZJkrZxg3nqolGtyr9wJiyoUX/IJGEuqgD/Rnasy6kdT/g==" saltValue="n7RPpIjbKhpgTfWCYBgJ+Q==" spinCount="100000" sheet="1" objects="1" scenarios="1" autoFilter="0"/>
  <mergeCells count="4">
    <mergeCell ref="B20:H20"/>
    <mergeCell ref="B8:H8"/>
    <mergeCell ref="E2:G3"/>
    <mergeCell ref="B16:H16"/>
  </mergeCells>
  <phoneticPr fontId="38" type="noConversion"/>
  <conditionalFormatting sqref="C10:G14">
    <cfRule type="expression" dxfId="795" priority="70" stopIfTrue="1">
      <formula>TIPOORCAMENTO="Licitado"</formula>
    </cfRule>
  </conditionalFormatting>
  <conditionalFormatting sqref="C18:G18 E22:E24">
    <cfRule type="expression" dxfId="794" priority="71" stopIfTrue="1">
      <formula>TIPOORCAMENTO&lt;&gt;"Licitado"</formula>
    </cfRule>
  </conditionalFormatting>
  <conditionalFormatting sqref="C22">
    <cfRule type="expression" dxfId="793" priority="73" stopIfTrue="1">
      <formula>OR(TIPOORCAMENTO&lt;&gt;"Licitado",ACOMPANHAMENTO&lt;&gt;"PLE")</formula>
    </cfRule>
  </conditionalFormatting>
  <conditionalFormatting sqref="G22">
    <cfRule type="expression" dxfId="792" priority="74" stopIfTrue="1">
      <formula>OR(TIPOORCAMENTO&lt;&gt;"Licitado",ACOMPANHAMENTO&lt;&gt;"BM")</formula>
    </cfRule>
  </conditionalFormatting>
  <conditionalFormatting sqref="B16:H16 B20:H20">
    <cfRule type="expression" dxfId="791" priority="599" stopIfTrue="1">
      <formula>$O$3&lt;&gt;2</formula>
    </cfRule>
  </conditionalFormatting>
  <conditionalFormatting sqref="B8:H8">
    <cfRule type="expression" dxfId="790"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&amp;LPMv3.13&amp;R&amp;P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view="pageBreakPreview" zoomScaleNormal="100" zoomScaleSheetLayoutView="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960</v>
      </c>
      <c r="I1" s="9" t="s">
        <v>961</v>
      </c>
      <c r="J1" s="9" t="s">
        <v>709</v>
      </c>
      <c r="M1" s="600"/>
      <c r="N1" s="698" t="s">
        <v>97</v>
      </c>
      <c r="O1" s="698"/>
      <c r="P1" s="698"/>
      <c r="Q1" s="698"/>
      <c r="R1" s="698"/>
      <c r="S1" s="698"/>
      <c r="T1" s="698"/>
      <c r="U1" s="698"/>
      <c r="V1" s="698"/>
      <c r="W1" s="698"/>
      <c r="X1" s="698"/>
      <c r="Y1" s="698"/>
      <c r="Z1" s="698"/>
      <c r="AA1" s="698"/>
      <c r="AB1" s="698"/>
      <c r="AC1" s="698"/>
      <c r="AD1" s="698"/>
      <c r="AE1" s="698"/>
      <c r="AF1" s="698"/>
      <c r="AG1" s="698"/>
      <c r="AH1" s="698"/>
      <c r="AI1" s="698"/>
      <c r="AJ1" s="698"/>
      <c r="AK1" s="698"/>
      <c r="AL1" s="698"/>
      <c r="AM1" s="698"/>
      <c r="AN1" s="698"/>
      <c r="AO1" s="698"/>
      <c r="AP1" s="698"/>
      <c r="AQ1" s="698"/>
      <c r="AR1" s="698"/>
      <c r="AS1" s="698"/>
      <c r="AT1" s="698"/>
      <c r="AV1" s="601" t="s">
        <v>98</v>
      </c>
      <c r="AW1" s="602"/>
    </row>
    <row r="2" spans="2:49" ht="12.75" customHeight="1" thickBot="1" x14ac:dyDescent="0.25">
      <c r="B2" s="8"/>
      <c r="G2" t="s">
        <v>139</v>
      </c>
      <c r="H2" t="s">
        <v>139</v>
      </c>
      <c r="I2" t="s">
        <v>139</v>
      </c>
      <c r="J2" t="s">
        <v>962</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97" t="s">
        <v>119</v>
      </c>
      <c r="C3" s="697"/>
      <c r="D3" s="562" t="str">
        <f ca="1">IF(COUNTIF(D4:D13,"◄")=0,"","Falta preencher a linha "&amp;MATCH("◄",D4:D13,0)+ROW(D3))</f>
        <v/>
      </c>
      <c r="G3" t="s">
        <v>963</v>
      </c>
      <c r="H3" t="s">
        <v>965</v>
      </c>
      <c r="I3" t="s">
        <v>968</v>
      </c>
      <c r="J3" t="s">
        <v>951</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963</v>
      </c>
      <c r="D4" s="563" t="str">
        <f ca="1">IF(OR(OFFSET(D4,0,-1)="",OFFSET(D4,0,-1)="(SELECIONAR)"),"◄","")</f>
        <v/>
      </c>
      <c r="G4" t="s">
        <v>964</v>
      </c>
      <c r="H4" t="s">
        <v>966</v>
      </c>
      <c r="I4" t="s">
        <v>969</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1371</v>
      </c>
      <c r="D5" s="563" t="str">
        <f t="shared" ref="D5:D11" ca="1" si="0">IF(OFFSET(D5,0,-1)="","◄","")</f>
        <v/>
      </c>
      <c r="H5" t="s">
        <v>967</v>
      </c>
      <c r="I5" t="s">
        <v>970</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1289</v>
      </c>
      <c r="D6" s="563" t="str">
        <f t="shared" ca="1" si="0"/>
        <v/>
      </c>
      <c r="I6" t="s">
        <v>971</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1377</v>
      </c>
      <c r="D7" s="563" t="str">
        <f t="shared" ca="1" si="0"/>
        <v/>
      </c>
      <c r="I7" t="s">
        <v>972</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1376</v>
      </c>
      <c r="D8" s="563" t="str">
        <f ca="1">IF(AND(Import.TipoArredondamento="TransfereGOV",OFFSET(D8,0,-1)=""),"◄","")</f>
        <v/>
      </c>
      <c r="I8" t="s">
        <v>973</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10480784.359999999</v>
      </c>
      <c r="D9" s="563" t="str">
        <f t="shared" ca="1" si="0"/>
        <v/>
      </c>
      <c r="I9" t="s">
        <v>974</v>
      </c>
      <c r="L9" s="12" t="s">
        <v>106</v>
      </c>
      <c r="U9" t="s">
        <v>198</v>
      </c>
      <c r="V9" s="7" t="s">
        <v>126</v>
      </c>
      <c r="W9" t="s">
        <v>199</v>
      </c>
      <c r="X9" s="7" t="s">
        <v>128</v>
      </c>
      <c r="AV9" t="s">
        <v>200</v>
      </c>
      <c r="AW9" t="s">
        <v>201</v>
      </c>
    </row>
    <row r="10" spans="2:49" x14ac:dyDescent="0.2">
      <c r="B10" s="17" t="s">
        <v>202</v>
      </c>
      <c r="C10" s="19">
        <v>0</v>
      </c>
      <c r="D10" s="563" t="str">
        <f t="shared" ca="1" si="0"/>
        <v/>
      </c>
      <c r="L10" s="12" t="s">
        <v>107</v>
      </c>
      <c r="U10" t="s">
        <v>203</v>
      </c>
      <c r="V10" s="7" t="s">
        <v>148</v>
      </c>
      <c r="W10" t="s">
        <v>204</v>
      </c>
      <c r="X10" s="7" t="s">
        <v>121</v>
      </c>
      <c r="AV10" t="s">
        <v>205</v>
      </c>
      <c r="AW10" t="s">
        <v>206</v>
      </c>
    </row>
    <row r="11" spans="2:49" x14ac:dyDescent="0.2">
      <c r="B11" s="17" t="s">
        <v>207</v>
      </c>
      <c r="C11" s="20">
        <v>0</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97" t="s">
        <v>220</v>
      </c>
      <c r="C15" s="697"/>
      <c r="D15" s="562" t="str">
        <f ca="1">IF(COUNTIF(D16:D19,"◄")=0,"","Falta preencher a linha "&amp;MATCH("◄",D16:D19,0)+ROW(D15))</f>
        <v/>
      </c>
      <c r="L15" s="12" t="s">
        <v>112</v>
      </c>
      <c r="AV15" t="s">
        <v>221</v>
      </c>
      <c r="AW15" t="s">
        <v>222</v>
      </c>
    </row>
    <row r="16" spans="2:49" x14ac:dyDescent="0.2">
      <c r="B16" s="24" t="s">
        <v>223</v>
      </c>
      <c r="C16" s="25" t="s">
        <v>999</v>
      </c>
      <c r="D16" s="563" t="str">
        <f t="shared" ref="D16:D19" ca="1" si="1">IF(OFFSET(D16,0,-1)="","◄","")</f>
        <v/>
      </c>
      <c r="L16" s="12" t="s">
        <v>113</v>
      </c>
      <c r="AV16" t="s">
        <v>224</v>
      </c>
      <c r="AW16" t="s">
        <v>225</v>
      </c>
    </row>
    <row r="17" spans="2:49" x14ac:dyDescent="0.2">
      <c r="B17" s="17" t="s">
        <v>226</v>
      </c>
      <c r="C17" s="26" t="s">
        <v>999</v>
      </c>
      <c r="D17" s="563" t="str">
        <f t="shared" ca="1" si="1"/>
        <v/>
      </c>
      <c r="L17" s="12" t="s">
        <v>114</v>
      </c>
      <c r="AV17" t="s">
        <v>227</v>
      </c>
      <c r="AW17" t="s">
        <v>228</v>
      </c>
    </row>
    <row r="18" spans="2:49" x14ac:dyDescent="0.2">
      <c r="B18" s="17" t="s">
        <v>229</v>
      </c>
      <c r="C18" s="27" t="s">
        <v>967</v>
      </c>
      <c r="D18" s="563" t="str">
        <f ca="1">IF(OR(OFFSET(D18,0,-1)="",OFFSET(D18,0,-1)="(SELECIONAR)"),"◄","")</f>
        <v/>
      </c>
      <c r="L18" s="12" t="s">
        <v>115</v>
      </c>
      <c r="AV18" t="s">
        <v>230</v>
      </c>
      <c r="AW18" t="s">
        <v>231</v>
      </c>
    </row>
    <row r="19" spans="2:49" ht="13.5" thickBot="1" x14ac:dyDescent="0.25">
      <c r="B19" s="28" t="s">
        <v>232</v>
      </c>
      <c r="C19" s="29">
        <v>45748</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97" t="s">
        <v>237</v>
      </c>
      <c r="C21" s="697"/>
      <c r="D21" s="562" t="str">
        <f ca="1">IF(COUNTIF(D22:D25,"◄")=0,"","Falta preencher a linha "&amp;MATCH("◄",D22:D25,0)+ROW(D21))</f>
        <v/>
      </c>
      <c r="L21" s="12"/>
      <c r="AV21" t="s">
        <v>238</v>
      </c>
      <c r="AW21" t="s">
        <v>239</v>
      </c>
    </row>
    <row r="22" spans="2:49" x14ac:dyDescent="0.2">
      <c r="B22" s="15" t="s">
        <v>240</v>
      </c>
      <c r="C22" s="31" t="s">
        <v>1372</v>
      </c>
      <c r="D22" s="563" t="str">
        <f t="shared" ref="D22:D24" ca="1" si="2">IF(OFFSET(D22,0,-1)="","◄","")</f>
        <v/>
      </c>
      <c r="AV22" t="s">
        <v>241</v>
      </c>
      <c r="AW22" t="s">
        <v>242</v>
      </c>
    </row>
    <row r="23" spans="2:49" x14ac:dyDescent="0.2">
      <c r="B23" s="17" t="s">
        <v>243</v>
      </c>
      <c r="C23" s="18" t="s">
        <v>1373</v>
      </c>
      <c r="D23" s="563" t="str">
        <f t="shared" ca="1" si="2"/>
        <v/>
      </c>
      <c r="AV23" t="s">
        <v>244</v>
      </c>
      <c r="AW23" t="s">
        <v>245</v>
      </c>
    </row>
    <row r="24" spans="2:49" x14ac:dyDescent="0.2">
      <c r="B24" s="17" t="s">
        <v>246</v>
      </c>
      <c r="C24" s="18" t="s">
        <v>1374</v>
      </c>
      <c r="D24" s="563" t="str">
        <f t="shared" ca="1" si="2"/>
        <v/>
      </c>
      <c r="AV24" t="s">
        <v>247</v>
      </c>
      <c r="AW24" t="s">
        <v>248</v>
      </c>
    </row>
    <row r="25" spans="2:49" ht="13.5" thickBot="1" x14ac:dyDescent="0.25">
      <c r="B25" s="21" t="s">
        <v>249</v>
      </c>
      <c r="C25" s="32">
        <v>45996</v>
      </c>
      <c r="D25" s="563" t="s">
        <v>250</v>
      </c>
      <c r="AV25" t="s">
        <v>251</v>
      </c>
      <c r="AW25" t="s">
        <v>252</v>
      </c>
    </row>
    <row r="26" spans="2:49" ht="13.5" thickBot="1" x14ac:dyDescent="0.25">
      <c r="AV26" t="s">
        <v>253</v>
      </c>
      <c r="AW26" t="s">
        <v>254</v>
      </c>
    </row>
    <row r="27" spans="2:49" ht="15.75" thickBot="1" x14ac:dyDescent="0.3">
      <c r="B27" s="697" t="s">
        <v>255</v>
      </c>
      <c r="C27" s="697"/>
      <c r="D27" s="562" t="str">
        <f ca="1">IF(COUNTIF(D28:D29,"◄")=0,"","Falta preencher a linha "&amp;MATCH("◄",D28:D29,0)+ROW(D27))</f>
        <v/>
      </c>
      <c r="AV27" t="s">
        <v>256</v>
      </c>
      <c r="AW27" t="s">
        <v>257</v>
      </c>
    </row>
    <row r="28" spans="2:49" x14ac:dyDescent="0.2">
      <c r="B28" s="13" t="s">
        <v>240</v>
      </c>
      <c r="C28" s="33" t="s">
        <v>1369</v>
      </c>
      <c r="D28" s="563" t="str">
        <f t="shared" ref="D28:D29" ca="1" si="3">IF(OFFSET(D28,0,-1)="","◄","")</f>
        <v/>
      </c>
      <c r="AV28" t="s">
        <v>258</v>
      </c>
      <c r="AW28" t="s">
        <v>259</v>
      </c>
    </row>
    <row r="29" spans="2:49" ht="13.5" thickBot="1" x14ac:dyDescent="0.25">
      <c r="B29" s="21" t="s">
        <v>260</v>
      </c>
      <c r="C29" s="34" t="s">
        <v>1370</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97" t="s">
        <v>273</v>
      </c>
      <c r="C35" s="697"/>
      <c r="D35" s="562" t="str">
        <f ca="1">IF(COUNTIF(D36:D39,"◄")=0,"","Falta preencher a linha "&amp;MATCH("◄",D36:D39,0)+ROW(D35))</f>
        <v/>
      </c>
      <c r="AV35" t="s">
        <v>274</v>
      </c>
      <c r="AW35" t="s">
        <v>275</v>
      </c>
    </row>
    <row r="36" spans="2:49" x14ac:dyDescent="0.2">
      <c r="B36" s="13" t="s">
        <v>276</v>
      </c>
      <c r="C36" s="35"/>
      <c r="D36" s="563" t="str">
        <f ca="1">IF(AND(TIPOORCAMENTO="Licitado",OFFSET(D36,0,-1)=""),"◄","")</f>
        <v/>
      </c>
      <c r="AV36" t="s">
        <v>277</v>
      </c>
      <c r="AW36" t="s">
        <v>278</v>
      </c>
    </row>
    <row r="37" spans="2:49" x14ac:dyDescent="0.2">
      <c r="B37" s="15" t="s">
        <v>279</v>
      </c>
      <c r="C37" s="16"/>
      <c r="D37" s="563" t="str">
        <f ca="1">IF(AND(TIPOORCAMENTO="Licitado",OFFSET(D37,0,-1)=""),"◄","")</f>
        <v/>
      </c>
      <c r="AV37" t="s">
        <v>280</v>
      </c>
      <c r="AW37" t="s">
        <v>281</v>
      </c>
    </row>
    <row r="38" spans="2:49" x14ac:dyDescent="0.2">
      <c r="B38" s="17" t="s">
        <v>282</v>
      </c>
      <c r="C38" s="18"/>
      <c r="D38" s="563" t="str">
        <f ca="1">IF(AND(TIPOORCAMENTO="Licitado",OFFSET(D38,0,-1)=""),"◄","")</f>
        <v/>
      </c>
      <c r="AV38" t="s">
        <v>283</v>
      </c>
      <c r="AW38" t="s">
        <v>284</v>
      </c>
    </row>
    <row r="39" spans="2:49" x14ac:dyDescent="0.2">
      <c r="B39" s="17" t="s">
        <v>285</v>
      </c>
      <c r="C39" s="18"/>
      <c r="D39" s="563" t="str">
        <f ca="1">IF(AND(TIPOORCAMENTO="Licitado",OFFSET(D39,0,-1)=""),"◄","")</f>
        <v/>
      </c>
      <c r="AV39" t="s">
        <v>286</v>
      </c>
      <c r="AW39" t="s">
        <v>287</v>
      </c>
    </row>
    <row r="40" spans="2:49" x14ac:dyDescent="0.2">
      <c r="B40" s="17" t="s">
        <v>288</v>
      </c>
      <c r="C40" s="27" t="s">
        <v>139</v>
      </c>
      <c r="D40" s="563" t="str">
        <f ca="1">IF(AND(TIPOORCAMENTO="Licitado",OR(OFFSET(D40,0,-1)="",OFFSET(D40,0,-1)="(SELECIONAR)")),"◄","")</f>
        <v/>
      </c>
      <c r="AV40" t="s">
        <v>289</v>
      </c>
      <c r="AW40" t="s">
        <v>290</v>
      </c>
    </row>
    <row r="41" spans="2:49" ht="13.5" thickBot="1" x14ac:dyDescent="0.25">
      <c r="B41" s="28" t="s">
        <v>291</v>
      </c>
      <c r="C41" s="36"/>
      <c r="D41" s="563" t="str">
        <f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97" t="s">
        <v>303</v>
      </c>
      <c r="C46" s="697"/>
      <c r="D46" s="562" t="str">
        <f ca="1">IF(COUNTIF(D47:D48,"◄")=0,"","Falta preencher a linha "&amp;MATCH("◄",D47:D48,0)+ROW(D46))</f>
        <v/>
      </c>
      <c r="AV46" t="s">
        <v>304</v>
      </c>
      <c r="AW46" t="s">
        <v>305</v>
      </c>
    </row>
    <row r="47" spans="2:49" x14ac:dyDescent="0.2">
      <c r="B47" s="13" t="s">
        <v>306</v>
      </c>
      <c r="C47" s="35"/>
      <c r="D47" s="563" t="str">
        <f ca="1">IF(AND(TIPOORCAMENTO="Licitado",OFFSET(D47,0,-1)="",IFERROR(RRE!$O$19,0)&gt;0),"◄","")</f>
        <v/>
      </c>
      <c r="AV47" t="s">
        <v>307</v>
      </c>
      <c r="AW47" t="s">
        <v>308</v>
      </c>
    </row>
    <row r="48" spans="2:49" ht="13.5" thickBot="1" x14ac:dyDescent="0.25">
      <c r="B48" s="28" t="s">
        <v>309</v>
      </c>
      <c r="C48" s="37"/>
      <c r="D48" s="563" t="str">
        <f ca="1">IF(AND(TIPOORCAMENTO="Licitado",OFFSET(D48,0,-1)="",IFERROR(RRE!$O$19,0)&gt;0),"◄","")</f>
        <v/>
      </c>
      <c r="AV48" t="s">
        <v>310</v>
      </c>
      <c r="AW48" t="s">
        <v>311</v>
      </c>
    </row>
    <row r="49" spans="2:49" ht="16.5" thickBot="1" x14ac:dyDescent="0.25">
      <c r="B49" s="8"/>
      <c r="AV49" t="s">
        <v>312</v>
      </c>
      <c r="AW49" t="s">
        <v>313</v>
      </c>
    </row>
    <row r="50" spans="2:49" ht="12.75" customHeight="1" thickBot="1" x14ac:dyDescent="0.3">
      <c r="B50" s="697" t="s">
        <v>314</v>
      </c>
      <c r="C50" s="697"/>
      <c r="D50" s="562" t="str">
        <f ca="1">IF(COUNTIF(D51:D54,"◄")=0,"","Falta preencher a linha "&amp;MATCH("◄",D51:D54,0)+ROW(D50))</f>
        <v/>
      </c>
      <c r="AV50" t="s">
        <v>315</v>
      </c>
      <c r="AW50" t="s">
        <v>316</v>
      </c>
    </row>
    <row r="51" spans="2:49" x14ac:dyDescent="0.2">
      <c r="B51" s="13" t="s">
        <v>240</v>
      </c>
      <c r="C51" s="38"/>
      <c r="D51" s="563" t="str">
        <f ca="1">IF(AND(TIPOORCAMENTO="Licitado",OFFSET(D51,0,-1)="",IFERROR(RRE!$O$19,0)&gt;0),"◄","")</f>
        <v/>
      </c>
      <c r="AV51" t="s">
        <v>317</v>
      </c>
      <c r="AW51" t="s">
        <v>318</v>
      </c>
    </row>
    <row r="52" spans="2:49" x14ac:dyDescent="0.2">
      <c r="B52" s="17" t="s">
        <v>319</v>
      </c>
      <c r="C52" s="18"/>
      <c r="D52" s="563" t="str">
        <f ca="1">IF(AND(TIPOORCAMENTO="Licitado",OFFSET(D52,0,-1)="",IFERROR(RRE!$O$19,0)&gt;0),"◄","")</f>
        <v/>
      </c>
      <c r="AV52" t="s">
        <v>320</v>
      </c>
      <c r="AW52" t="s">
        <v>321</v>
      </c>
    </row>
    <row r="53" spans="2:49" x14ac:dyDescent="0.2">
      <c r="B53" s="17" t="s">
        <v>322</v>
      </c>
      <c r="C53" s="18"/>
      <c r="D53" s="563" t="str">
        <f ca="1">IF(AND(TIPOORCAMENTO="Licitado",OFFSET(D53,0,-1)="",IFERROR(RRE!$O$19,0)&gt;0),"◄","")</f>
        <v/>
      </c>
      <c r="AV53" t="s">
        <v>323</v>
      </c>
      <c r="AW53" t="s">
        <v>324</v>
      </c>
    </row>
    <row r="54" spans="2:49" ht="13.5" thickBot="1" x14ac:dyDescent="0.25">
      <c r="B54" s="21" t="s">
        <v>325</v>
      </c>
      <c r="C54" s="39"/>
      <c r="D54" s="563" t="str">
        <f ca="1">IF(AND(TIPOORCAMENTO="Licitado",OFFSET(D54,0,-1)="",IFERROR(RRE!$O$19,0)&gt;0),"◄","")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97" t="s">
        <v>337</v>
      </c>
      <c r="C59" s="697"/>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Y7V7tgN6Q9DhZDw//Ks3X9dMYoQOhMWEgQDCrrkRIlwWNEMD1YWTl8Y4GLaf9KCAkgCYQaUynGLzmwKy8g4NjA==" saltValue="X/QCYoGLe+nXj8PHPJZx/w=="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789" priority="2" stopIfTrue="1">
      <formula>CAIXA.Modo=FALSE</formula>
    </cfRule>
  </conditionalFormatting>
  <conditionalFormatting sqref="B59:C61">
    <cfRule type="expression" dxfId="788"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81" firstPageNumber="0" fitToHeight="0" orientation="portrait" r:id="rId1"/>
  <headerFooter alignWithMargins="0">
    <oddHeader>&amp;L_</oddHeader>
    <oddFooter>&amp;LPMv3.13&amp;R&amp;P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view="pageBreakPreview" topLeftCell="H1" zoomScaleNormal="100" zoomScaleSheetLayoutView="100" workbookViewId="0">
      <pane ySplit="11" topLeftCell="A12" activePane="bottomLeft" state="frozen"/>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99" t="s">
        <v>644</v>
      </c>
      <c r="S1" s="699"/>
    </row>
    <row r="2" spans="1:21" x14ac:dyDescent="0.2">
      <c r="A2" s="49" t="s">
        <v>645</v>
      </c>
      <c r="B2" s="53" t="s">
        <v>646</v>
      </c>
      <c r="C2" s="49" t="str">
        <f t="shared" ref="C2:C49" si="0">CONCATENATE(A2,"-",B2)</f>
        <v>Construção e Reforma de Edifícios-AC</v>
      </c>
      <c r="E2" s="54">
        <v>0.03</v>
      </c>
      <c r="F2" s="54">
        <v>0.04</v>
      </c>
      <c r="G2" s="54">
        <v>5.5E-2</v>
      </c>
      <c r="R2" s="700" t="s">
        <v>647</v>
      </c>
      <c r="S2" s="700"/>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5" t="s">
        <v>650</v>
      </c>
      <c r="K4" s="685"/>
      <c r="L4" s="685" t="s">
        <v>651</v>
      </c>
      <c r="M4" s="685"/>
      <c r="N4" s="685" t="s">
        <v>652</v>
      </c>
      <c r="O4" s="685"/>
      <c r="P4" s="685"/>
      <c r="Q4" s="685"/>
      <c r="R4" s="685"/>
      <c r="S4" s="685"/>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6" t="str">
        <f>Import.CR</f>
        <v>1098284-30/2024</v>
      </c>
      <c r="K5" s="686"/>
      <c r="L5" s="686" t="str">
        <f>Import.TransfereGOV</f>
        <v>968559/2024</v>
      </c>
      <c r="M5" s="686"/>
      <c r="N5" s="686" t="str">
        <f>Import.Proponente</f>
        <v>Prefeitura Municipal</v>
      </c>
      <c r="O5" s="686"/>
      <c r="P5" s="686"/>
      <c r="Q5" s="686"/>
      <c r="R5" s="686"/>
      <c r="S5" s="686"/>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688"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688"/>
      <c r="J7" s="685" t="s">
        <v>657</v>
      </c>
      <c r="K7" s="685"/>
      <c r="L7" s="685"/>
      <c r="M7" s="685"/>
      <c r="N7" s="685"/>
      <c r="O7" s="685"/>
      <c r="P7" s="685"/>
      <c r="Q7" s="685"/>
      <c r="R7" s="685"/>
      <c r="S7" s="685"/>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688"/>
      <c r="J8" s="703" t="str">
        <f>Import.Apelido&amp;" / "&amp;Import.DescLote</f>
        <v>ETE - BREJO ALEGRE - FASE II / ETE - BREJO ALEGRE - FASE II</v>
      </c>
      <c r="K8" s="703"/>
      <c r="L8" s="703"/>
      <c r="M8" s="703"/>
      <c r="N8" s="703"/>
      <c r="O8" s="703"/>
      <c r="P8" s="703"/>
      <c r="Q8" s="703"/>
      <c r="R8" s="703"/>
      <c r="S8" s="703"/>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688"/>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688"/>
      <c r="J10" s="704" t="s">
        <v>659</v>
      </c>
      <c r="K10" s="704"/>
      <c r="L10" s="704"/>
      <c r="M10" s="704"/>
      <c r="N10" s="704"/>
      <c r="O10" s="704"/>
      <c r="P10" s="704"/>
      <c r="Q10" s="704"/>
      <c r="R10" s="702">
        <v>1</v>
      </c>
      <c r="S10" s="702"/>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01" t="s">
        <v>661</v>
      </c>
      <c r="K11" s="701"/>
      <c r="L11" s="701"/>
      <c r="M11" s="701"/>
      <c r="N11" s="701"/>
      <c r="O11" s="701"/>
      <c r="P11" s="701"/>
      <c r="Q11" s="701"/>
      <c r="R11" s="702">
        <v>0.05</v>
      </c>
      <c r="S11" s="702"/>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09" t="s">
        <v>663</v>
      </c>
      <c r="K14" s="709"/>
      <c r="L14" s="709"/>
      <c r="M14" s="709"/>
      <c r="N14" s="709"/>
      <c r="O14" s="709"/>
      <c r="P14" s="709"/>
      <c r="Q14" s="709"/>
      <c r="R14" s="709"/>
      <c r="S14" s="709"/>
      <c r="U14" s="521" t="str">
        <f ca="1">IF(COUNTIF(ORÇAMENTO!$V$15:$V$508,BDI_1.Título)=0,"",IF(OR(Import.BDI.Tipo1="(SELECIONAR)",Import.BDI.Tipo1="",U17&lt;&gt;"",AND($J17&lt;&gt;$A$145,OR(S21="",S22="",AND($J17&lt;&gt;$A$146,OR(S23="",S24="")),S25="",S26=""))),"Falta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5" t="s">
        <v>664</v>
      </c>
      <c r="K16" s="685"/>
      <c r="L16" s="685"/>
      <c r="M16" s="685"/>
      <c r="N16" s="685"/>
      <c r="O16" s="685"/>
      <c r="P16" s="685"/>
      <c r="Q16" s="685"/>
      <c r="R16" s="685"/>
      <c r="S16" s="685"/>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06" t="s">
        <v>662</v>
      </c>
      <c r="K17" s="706"/>
      <c r="L17" s="706"/>
      <c r="M17" s="706"/>
      <c r="N17" s="706"/>
      <c r="O17" s="706"/>
      <c r="P17" s="706"/>
      <c r="Q17" s="706"/>
      <c r="R17" s="706"/>
      <c r="S17" s="706"/>
      <c r="T17" s="563" t="str">
        <f ca="1">IF(U17="","","◄")</f>
        <v/>
      </c>
      <c r="U17" s="562" t="str">
        <f ca="1">IF(AND(OR(S29&gt;0,COUNTIF(ORÇAMENTO!$V$15:$V$508,BDI_1.Título)&gt;0),OR(Import.BDI.Tipo1="(SELECIONAR)",Import.BDI.Tipo1="")),"Selecione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08" t="s">
        <v>666</v>
      </c>
      <c r="K19" s="708"/>
      <c r="L19" s="708"/>
      <c r="M19" s="708"/>
      <c r="N19" s="708"/>
      <c r="O19" s="708"/>
      <c r="P19" s="708"/>
      <c r="Q19" s="708"/>
      <c r="R19" s="708" t="s">
        <v>667</v>
      </c>
      <c r="S19" s="707" t="s">
        <v>668</v>
      </c>
      <c r="U19" s="707" t="s">
        <v>669</v>
      </c>
      <c r="V19" s="707"/>
      <c r="W19" s="707"/>
      <c r="X19" s="705" t="s">
        <v>670</v>
      </c>
      <c r="Y19" s="705" t="s">
        <v>671</v>
      </c>
      <c r="Z19" s="705"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08"/>
      <c r="K20" s="708"/>
      <c r="L20" s="708"/>
      <c r="M20" s="708"/>
      <c r="N20" s="708"/>
      <c r="O20" s="708"/>
      <c r="P20" s="708"/>
      <c r="Q20" s="708"/>
      <c r="R20" s="708"/>
      <c r="S20" s="707"/>
      <c r="U20" s="707"/>
      <c r="V20" s="707"/>
      <c r="W20" s="707"/>
      <c r="X20" s="705"/>
      <c r="Y20" s="705"/>
      <c r="Z20" s="705"/>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10" t="str">
        <f>IF($J$17=$A$146,"Encargos Sociais incidentes sobre a mão de obra","Administração Central")</f>
        <v>Administração Central</v>
      </c>
      <c r="K21" s="710"/>
      <c r="L21" s="710"/>
      <c r="M21" s="710"/>
      <c r="N21" s="710"/>
      <c r="O21" s="710"/>
      <c r="P21" s="710"/>
      <c r="Q21" s="710"/>
      <c r="R21" s="60" t="str">
        <f>IF($J17=$A$146,"K1","AC")</f>
        <v>AC</v>
      </c>
      <c r="S21" s="61">
        <v>3.4300000000000004E-2</v>
      </c>
      <c r="T21" s="572" t="str">
        <f ca="1">IF(AND($U$14&lt;&gt;"",$U$17="",R21&lt;&gt;"",S21=""),"◄","")</f>
        <v/>
      </c>
      <c r="U21" s="711" t="str">
        <f ca="1">IFERROR(IF(T21="◄","FALTA PREENCHER",IF(AND(OR(S21&gt;=X21,X21="-"),OR(S21&lt;=Z21,Z21="-")),"OK","FORA DO INTERVALO")),"-")</f>
        <v>OK</v>
      </c>
      <c r="V21" s="711"/>
      <c r="W21" s="711"/>
      <c r="X21" s="62">
        <f>VLOOKUP(CONCATENATE(J17,"-",R21),$C$2:$G$136,3,FALSE)</f>
        <v>3.4300000000000004E-2</v>
      </c>
      <c r="Y21" s="62">
        <f>VLOOKUP(CONCATENATE(J17,"-",R21),$C$2:$G$136,4,FALSE)</f>
        <v>4.9299999999999997E-2</v>
      </c>
      <c r="Z21" s="62">
        <f>VLOOKUP(CONCATENATE(J17,"-",R21),$C$2:$G$136,5,FALSE)</f>
        <v>6.7099999999999993E-2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10" t="str">
        <f>IF($J$17=$A$146,"Administração Central da empresa ou consultoria - overhead","Seguro e Garantia")</f>
        <v>Seguro e Garantia</v>
      </c>
      <c r="K22" s="710"/>
      <c r="L22" s="710"/>
      <c r="M22" s="710"/>
      <c r="N22" s="710"/>
      <c r="O22" s="710"/>
      <c r="P22" s="710"/>
      <c r="Q22" s="710"/>
      <c r="R22" s="60" t="str">
        <f>IF($J17=$A$146,"K2","SG")</f>
        <v>SG</v>
      </c>
      <c r="S22" s="61">
        <v>2.8000000000000004E-3</v>
      </c>
      <c r="T22" s="572" t="str">
        <f t="shared" ref="T22:T26" ca="1" si="1">IF(AND($U$14&lt;&gt;"",$U$17="",R22&lt;&gt;"",S22=""),"◄","")</f>
        <v/>
      </c>
      <c r="U22" s="711" t="str">
        <f t="shared" ref="U22:U28" ca="1" si="2">IFERROR(IF(T22="◄","FALTA PREENCHER",IF(AND(OR(S22&gt;=X22,X22="-"),OR(S22&lt;=Z22,Z22="-")),"OK","FORA DO INTERVALO")),"-")</f>
        <v>OK</v>
      </c>
      <c r="V22" s="711"/>
      <c r="W22" s="711"/>
      <c r="X22" s="62">
        <f>VLOOKUP(CONCATENATE(J17,"-",R22),$C$2:$G$136,3,FALSE)</f>
        <v>2.8000000000000004E-3</v>
      </c>
      <c r="Y22" s="62">
        <f>VLOOKUP(CONCATENATE(J17,"-",R22),$C$2:$G$136,4,FALSE)</f>
        <v>4.8999999999999998E-3</v>
      </c>
      <c r="Z22" s="62">
        <f>VLOOKUP(CONCATENATE(J17,"-",R22),$C$2:$G$136,5,FALSE)</f>
        <v>7.4999999999999997E-3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10" t="s">
        <v>942</v>
      </c>
      <c r="K23" s="710"/>
      <c r="L23" s="710"/>
      <c r="M23" s="710"/>
      <c r="N23" s="710"/>
      <c r="O23" s="710"/>
      <c r="P23" s="710"/>
      <c r="Q23" s="710"/>
      <c r="R23" s="60" t="str">
        <f>IF($J17=$A$146,"","R")</f>
        <v>R</v>
      </c>
      <c r="S23" s="61">
        <v>0.01</v>
      </c>
      <c r="T23" s="572" t="str">
        <f t="shared" ca="1" si="1"/>
        <v/>
      </c>
      <c r="U23" s="711" t="str">
        <f t="shared" ca="1" si="2"/>
        <v>OK</v>
      </c>
      <c r="V23" s="711"/>
      <c r="W23" s="711"/>
      <c r="X23" s="62">
        <f>VLOOKUP(CONCATENATE(J17,"-",R23),$C$2:$G$136,3,FALSE)</f>
        <v>0.01</v>
      </c>
      <c r="Y23" s="62">
        <f>VLOOKUP(CONCATENATE(J17,"-",R23),$C$2:$G$136,4,FALSE)</f>
        <v>1.3899999999999999E-2</v>
      </c>
      <c r="Z23" s="62">
        <f>VLOOKUP(CONCATENATE(J17,"-",R23),$C$2:$G$136,5,FALSE)</f>
        <v>1.7399999999999999E-2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10" t="s">
        <v>943</v>
      </c>
      <c r="K24" s="710"/>
      <c r="L24" s="710"/>
      <c r="M24" s="710"/>
      <c r="N24" s="710"/>
      <c r="O24" s="710"/>
      <c r="P24" s="710"/>
      <c r="Q24" s="710"/>
      <c r="R24" s="60" t="str">
        <f>IF($J17=$A$146,"","DF")</f>
        <v>DF</v>
      </c>
      <c r="S24" s="61">
        <v>9.3999999999999986E-3</v>
      </c>
      <c r="T24" s="572" t="str">
        <f t="shared" ca="1" si="1"/>
        <v/>
      </c>
      <c r="U24" s="711" t="str">
        <f t="shared" ca="1" si="2"/>
        <v>OK</v>
      </c>
      <c r="V24" s="711"/>
      <c r="W24" s="711"/>
      <c r="X24" s="62">
        <f>VLOOKUP(CONCATENATE(J17,"-",R24),$C$2:$G$136,3,FALSE)</f>
        <v>9.3999999999999986E-3</v>
      </c>
      <c r="Y24" s="62">
        <f>VLOOKUP(CONCATENATE(J17,"-",R24),$C$2:$G$136,4,FALSE)</f>
        <v>9.8999999999999991E-3</v>
      </c>
      <c r="Z24" s="62">
        <f>VLOOKUP(CONCATENATE(J17,"-",R24),$C$2:$G$136,5,FALSE)</f>
        <v>1.1699999999999999E-2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10" t="str">
        <f>IF($J$17=$A$146,"Margem bruta da empresa de consultoria","Lucro")</f>
        <v>Lucro</v>
      </c>
      <c r="K25" s="710"/>
      <c r="L25" s="710"/>
      <c r="M25" s="710"/>
      <c r="N25" s="710"/>
      <c r="O25" s="710"/>
      <c r="P25" s="710"/>
      <c r="Q25" s="710"/>
      <c r="R25" s="60" t="str">
        <f>IF($J17=$A$146,"K3","L")</f>
        <v>L</v>
      </c>
      <c r="S25" s="61">
        <v>6.7400000000000002E-2</v>
      </c>
      <c r="T25" s="572" t="str">
        <f t="shared" ca="1" si="1"/>
        <v/>
      </c>
      <c r="U25" s="711" t="str">
        <f t="shared" ca="1" si="2"/>
        <v>OK</v>
      </c>
      <c r="V25" s="711"/>
      <c r="W25" s="711"/>
      <c r="X25" s="62">
        <f>VLOOKUP(CONCATENATE(J17,"-",R25),$C$2:$G$136,3,FALSE)</f>
        <v>6.7400000000000002E-2</v>
      </c>
      <c r="Y25" s="62">
        <f>VLOOKUP(CONCATENATE(J17,"-",R25),$C$2:$G$136,4,FALSE)</f>
        <v>8.0399999999999985E-2</v>
      </c>
      <c r="Z25" s="62">
        <f>VLOOKUP(CONCATENATE(J17,"-",R25),$C$2:$G$136,5,FALSE)</f>
        <v>9.4E-2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10" t="s">
        <v>675</v>
      </c>
      <c r="K26" s="710"/>
      <c r="L26" s="710"/>
      <c r="M26" s="710"/>
      <c r="N26" s="710"/>
      <c r="O26" s="710"/>
      <c r="P26" s="710"/>
      <c r="Q26" s="710"/>
      <c r="R26" s="60" t="s">
        <v>456</v>
      </c>
      <c r="S26" s="61">
        <v>3.6499999999999998E-2</v>
      </c>
      <c r="T26" s="572" t="str">
        <f t="shared" ca="1" si="1"/>
        <v/>
      </c>
      <c r="U26" s="711" t="str">
        <f t="shared" ca="1" si="2"/>
        <v>OK</v>
      </c>
      <c r="V26" s="711"/>
      <c r="W26" s="711"/>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10" t="s">
        <v>676</v>
      </c>
      <c r="K27" s="710"/>
      <c r="L27" s="710"/>
      <c r="M27" s="710"/>
      <c r="N27" s="710"/>
      <c r="O27" s="710"/>
      <c r="P27" s="710"/>
      <c r="Q27" s="710"/>
      <c r="R27" s="60" t="s">
        <v>677</v>
      </c>
      <c r="S27" s="62">
        <f ca="1">IF(AND($J17&lt;&gt;$A$145,COUNTA(OFFSET(S20,1,0,6))&gt;0),$R$11*$R$10,0)</f>
        <v>0.05</v>
      </c>
      <c r="U27" s="711" t="str">
        <f t="shared" ca="1" si="2"/>
        <v>OK</v>
      </c>
      <c r="V27" s="711"/>
      <c r="W27" s="711"/>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10" t="s">
        <v>678</v>
      </c>
      <c r="K28" s="710"/>
      <c r="L28" s="710"/>
      <c r="M28" s="710"/>
      <c r="N28" s="710"/>
      <c r="O28" s="710"/>
      <c r="P28" s="710"/>
      <c r="Q28" s="710"/>
      <c r="R28" s="60" t="s">
        <v>679</v>
      </c>
      <c r="S28" s="62" cm="1">
        <f t="array" aca="1" ref="S28" ca="1">IF(BDI.Opcao&lt;&gt;"Desonerado",0,IF(AND($J17&lt;&gt;$A$145,COUNTA(OFFSET(S20,1,0,6))&gt;0),IF(YEAR(Import.DataBase)&lt;2025,4.5%,IF(YEAR(Import.DataBase)=2025,3.6%,IF(YEAR(Import.DataBase)=2026,2.7%,IF(YEAR(Import.DataBase)=2027,1.8%,0%)))),0%))</f>
        <v>0</v>
      </c>
      <c r="U28" s="711" t="str">
        <f t="shared" ca="1" si="2"/>
        <v>OK</v>
      </c>
      <c r="V28" s="711"/>
      <c r="W28" s="711"/>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10" t="s">
        <v>680</v>
      </c>
      <c r="K29" s="710"/>
      <c r="L29" s="710"/>
      <c r="M29" s="710"/>
      <c r="N29" s="710"/>
      <c r="O29" s="710"/>
      <c r="P29" s="710"/>
      <c r="Q29" s="710"/>
      <c r="R29" s="64" t="s">
        <v>656</v>
      </c>
      <c r="S29" s="62">
        <f ca="1">IF($J17=$A$145,0,ROUND((((1+S21+S22+S23)*(1+S24)*(1+S25)/(1-(S26+S27)))-1),4))</f>
        <v>0.23499999999999999</v>
      </c>
      <c r="U29" s="707" t="str">
        <f ca="1">IFERROR(IF(AND(OR(S29&gt;=X29,X29="-"),OR(S29&lt;=Z29,Z29="-")),"OK","FORA DO INTERVALO"),IF(S29=0,"OK","Selecione o Tipo de obra"))</f>
        <v>OK</v>
      </c>
      <c r="V29" s="707"/>
      <c r="W29" s="707"/>
      <c r="X29" s="62">
        <f>IF($J17=$A$145,0,VLOOKUP(CONCATENATE($J17,"-",$R29),$C$2:$G$136,3,FALSE))</f>
        <v>0.20760000000000001</v>
      </c>
      <c r="Y29" s="62">
        <f>IF($J17=$A$145,0,VLOOKUP(CONCATENATE($J17,"-",$R29),$C$2:$G$136,4,FALSE))</f>
        <v>0.24179999999999999</v>
      </c>
      <c r="Z29" s="62">
        <f>IF($J17=$A$145,0,VLOOKUP(CONCATENATE($J17,"-",$R29),$C$2:$G$136,5,FALSE))</f>
        <v>0.26440000000000002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14" t="s">
        <v>681</v>
      </c>
      <c r="K30" s="714"/>
      <c r="L30" s="714"/>
      <c r="M30" s="714"/>
      <c r="N30" s="714"/>
      <c r="O30" s="714"/>
      <c r="P30" s="714"/>
      <c r="Q30" s="714"/>
      <c r="R30" s="65" t="s">
        <v>682</v>
      </c>
      <c r="S30" s="66">
        <f ca="1">IF($J17=$A$145,0,ROUND((((1+S21+S22+S23)*(1+S24)*(1+S25)/(1-(S26+S27+S28)))-1),4))</f>
        <v>0.23499999999999999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15" t="str">
        <f ca="1">IF(U29&lt;&gt;"ok","Anexo: Relatório Técnico Circunstanciado justificando a adoção do percentual de cada parcela do BDI.","")</f>
        <v/>
      </c>
      <c r="L32" s="715"/>
      <c r="M32" s="715"/>
      <c r="N32" s="715"/>
      <c r="O32" s="715"/>
      <c r="P32" s="715"/>
      <c r="Q32" s="715"/>
      <c r="R32" s="715"/>
      <c r="S32" s="715"/>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16" t="s">
        <v>683</v>
      </c>
      <c r="K34" s="716"/>
      <c r="L34" s="716"/>
      <c r="M34" s="716"/>
      <c r="N34" s="716"/>
      <c r="O34" s="716"/>
      <c r="P34" s="716"/>
      <c r="Q34" s="716"/>
      <c r="R34" s="716"/>
      <c r="S34" s="716"/>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17" t="s">
        <v>684</v>
      </c>
      <c r="N35" s="723" t="str">
        <f>IF($J17=$A$146,"(1+K1+K2)*(1+K3)","(1+AC + S + R + G)*(1 + DF)*(1+L)")</f>
        <v>(1+AC + S + R + G)*(1 + DF)*(1+L)</v>
      </c>
      <c r="O35" s="723"/>
      <c r="P35" s="723"/>
      <c r="Q35" s="724"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17"/>
      <c r="N36" s="712" t="s">
        <v>686</v>
      </c>
      <c r="O36" s="712"/>
      <c r="P36" s="712"/>
      <c r="Q36" s="724"/>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1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713"/>
      <c r="L38" s="713"/>
      <c r="M38" s="713"/>
      <c r="N38" s="713"/>
      <c r="O38" s="713"/>
      <c r="P38" s="713"/>
      <c r="Q38" s="713"/>
      <c r="R38" s="713"/>
      <c r="S38" s="713"/>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1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13"/>
      <c r="L40" s="713"/>
      <c r="M40" s="713"/>
      <c r="N40" s="713"/>
      <c r="O40" s="713"/>
      <c r="P40" s="713"/>
      <c r="Q40" s="713"/>
      <c r="R40" s="713"/>
      <c r="S40" s="713"/>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25"/>
      <c r="K43" s="725"/>
      <c r="L43" s="725"/>
      <c r="M43" s="725"/>
      <c r="N43" s="725"/>
      <c r="O43" s="725"/>
      <c r="P43" s="725"/>
      <c r="Q43" s="725"/>
      <c r="R43" s="725"/>
      <c r="S43" s="725"/>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19" t="str">
        <f>Import.Município</f>
        <v>Araguari / MG</v>
      </c>
      <c r="K45" s="719"/>
      <c r="L45" s="719"/>
      <c r="M45" s="719"/>
      <c r="P45" s="720">
        <f>DADOS!$C$25</f>
        <v>45996</v>
      </c>
      <c r="Q45" s="720"/>
      <c r="R45" s="720"/>
      <c r="S45" s="720"/>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21" t="s">
        <v>693</v>
      </c>
      <c r="K46" s="721"/>
      <c r="L46" s="721"/>
      <c r="M46" s="721"/>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22"/>
      <c r="K48" s="722"/>
      <c r="L48" s="722"/>
      <c r="M48" s="722"/>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18" t="s">
        <v>696</v>
      </c>
      <c r="K49" s="718"/>
      <c r="L49" s="718"/>
      <c r="M49" s="718"/>
    </row>
    <row r="50" spans="1:26" ht="14.25" x14ac:dyDescent="0.2">
      <c r="B50" s="58"/>
      <c r="E50" s="54"/>
      <c r="F50" s="54"/>
      <c r="G50" s="54"/>
      <c r="I50" t="s">
        <v>536</v>
      </c>
      <c r="J50" s="77" t="s">
        <v>240</v>
      </c>
      <c r="K50" s="78" t="str">
        <f t="array" ref="K50:K52">Import.RespOrçamento</f>
        <v>JULIANA GONÇALVES OLIVEIRA</v>
      </c>
      <c r="L50" s="79"/>
      <c r="M50" s="79"/>
      <c r="N50" s="76"/>
    </row>
    <row r="51" spans="1:26" ht="14.25" x14ac:dyDescent="0.2">
      <c r="A51"/>
      <c r="B51"/>
      <c r="C51"/>
      <c r="D51"/>
      <c r="E51"/>
      <c r="F51"/>
      <c r="G51"/>
      <c r="I51" t="s">
        <v>536</v>
      </c>
      <c r="J51" s="77" t="s">
        <v>243</v>
      </c>
      <c r="K51" s="78" t="str">
        <v>239787 / D</v>
      </c>
      <c r="L51" s="79"/>
      <c r="M51" s="79"/>
      <c r="N51" s="76"/>
    </row>
    <row r="52" spans="1:26" ht="14.25" x14ac:dyDescent="0.2">
      <c r="A52"/>
      <c r="B52"/>
      <c r="C52"/>
      <c r="D52"/>
      <c r="E52"/>
      <c r="F52"/>
      <c r="G52"/>
      <c r="I52" t="s">
        <v>536</v>
      </c>
      <c r="J52" s="77" t="s">
        <v>246</v>
      </c>
      <c r="K52" s="78" t="str">
        <v xml:space="preserve"> Nº MG20253772936</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709" t="s">
        <v>697</v>
      </c>
      <c r="K54" s="709"/>
      <c r="L54" s="709"/>
      <c r="M54" s="709"/>
      <c r="N54" s="709"/>
      <c r="O54" s="709"/>
      <c r="P54" s="709"/>
      <c r="Q54" s="709"/>
      <c r="R54" s="709"/>
      <c r="S54" s="709"/>
      <c r="U54" s="521" t="str">
        <f ca="1">IF(COUNTIF(ORÇAMENTO!$V$15:$V$508,BDI_2.Título)=0,"",IF(OR(Import.BDI.Tipo2="(SELECIONAR)",Import.BDI.Tipo2="",U57&lt;&gt;"",AND($J57&lt;&gt;$A$145,OR(S61="",S62="",AND($J57&lt;&gt;$A$146,OR(S63="",S64="")),S65="",S66=""))),"Falta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685" t="s">
        <v>664</v>
      </c>
      <c r="K56" s="685"/>
      <c r="L56" s="685"/>
      <c r="M56" s="685"/>
      <c r="N56" s="685"/>
      <c r="O56" s="685"/>
      <c r="P56" s="685"/>
      <c r="Q56" s="685"/>
      <c r="R56" s="685"/>
      <c r="S56" s="685"/>
    </row>
    <row r="57" spans="1:26" ht="15" x14ac:dyDescent="0.25">
      <c r="A57"/>
      <c r="B57"/>
      <c r="C57"/>
      <c r="D57"/>
      <c r="E57"/>
      <c r="F57"/>
      <c r="G57"/>
      <c r="I57" t="str">
        <f t="shared" ca="1" si="3"/>
        <v>F</v>
      </c>
      <c r="J57" s="706" t="s">
        <v>665</v>
      </c>
      <c r="K57" s="706"/>
      <c r="L57" s="706"/>
      <c r="M57" s="706"/>
      <c r="N57" s="706"/>
      <c r="O57" s="706"/>
      <c r="P57" s="706"/>
      <c r="Q57" s="706"/>
      <c r="R57" s="706"/>
      <c r="S57" s="706"/>
      <c r="T57" s="563" t="str">
        <f ca="1">IF(U57="","","◄")</f>
        <v/>
      </c>
      <c r="U57" s="562" t="str">
        <f ca="1">IF(AND(OR(S69&gt;0,COUNTIF(ORÇAMENTO!$V$15:$V$508,BDI_2.Título)&gt;0),OR(Import.BDI.Tipo2="(SELECIONAR)",Import.BDI.Tipo2="")),"Selecione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708" t="s">
        <v>666</v>
      </c>
      <c r="K59" s="708"/>
      <c r="L59" s="708"/>
      <c r="M59" s="708"/>
      <c r="N59" s="708"/>
      <c r="O59" s="708"/>
      <c r="P59" s="708"/>
      <c r="Q59" s="708"/>
      <c r="R59" s="708" t="s">
        <v>667</v>
      </c>
      <c r="S59" s="707" t="s">
        <v>668</v>
      </c>
      <c r="U59" s="707" t="s">
        <v>669</v>
      </c>
      <c r="V59" s="707"/>
      <c r="W59" s="707"/>
      <c r="X59" s="705" t="s">
        <v>670</v>
      </c>
      <c r="Y59" s="705" t="s">
        <v>671</v>
      </c>
      <c r="Z59" s="705" t="s">
        <v>672</v>
      </c>
    </row>
    <row r="60" spans="1:26" ht="12.75" customHeight="1" x14ac:dyDescent="0.2">
      <c r="A60"/>
      <c r="B60"/>
      <c r="C60"/>
      <c r="D60"/>
      <c r="E60"/>
      <c r="F60"/>
      <c r="G60"/>
      <c r="I60" t="str">
        <f t="shared" ca="1" si="3"/>
        <v>F</v>
      </c>
      <c r="J60" s="708"/>
      <c r="K60" s="708"/>
      <c r="L60" s="708"/>
      <c r="M60" s="708"/>
      <c r="N60" s="708"/>
      <c r="O60" s="708"/>
      <c r="P60" s="708"/>
      <c r="Q60" s="708"/>
      <c r="R60" s="708"/>
      <c r="S60" s="707"/>
      <c r="U60" s="707"/>
      <c r="V60" s="707"/>
      <c r="W60" s="707"/>
      <c r="X60" s="705"/>
      <c r="Y60" s="705"/>
      <c r="Z60" s="705"/>
    </row>
    <row r="61" spans="1:26" ht="15" customHeight="1" x14ac:dyDescent="0.2">
      <c r="A61"/>
      <c r="B61"/>
      <c r="C61"/>
      <c r="D61"/>
      <c r="E61"/>
      <c r="F61"/>
      <c r="G61"/>
      <c r="I61" t="str">
        <f t="shared" ca="1" si="3"/>
        <v>F</v>
      </c>
      <c r="J61" s="710" t="str">
        <f>IF($J$17=$A$146,"Encargos Sociais incidentes sobre a mão de obra","Administração Central")</f>
        <v>Administração Central</v>
      </c>
      <c r="K61" s="710"/>
      <c r="L61" s="710"/>
      <c r="M61" s="710"/>
      <c r="N61" s="710"/>
      <c r="O61" s="710"/>
      <c r="P61" s="710"/>
      <c r="Q61" s="710"/>
      <c r="R61" s="60" t="str">
        <f>IF($J57=$A$146,"K1","AC")</f>
        <v>AC</v>
      </c>
      <c r="S61" s="61">
        <v>1.4999999999999999E-2</v>
      </c>
      <c r="T61" s="572" t="str">
        <f ca="1">IF(AND($U$54&lt;&gt;"",$U$57="",R61&lt;&gt;"",S61=""),"◄","")</f>
        <v/>
      </c>
      <c r="U61" s="711" t="str">
        <f ca="1">IFERROR(IF(T61="◄","FALTA PREENCHER",IF(AND(OR(S61&gt;=X61,X61="-"),OR(S61&lt;=Z61,Z61="-")),"OK","FORA DO INTERVALO")),"-")</f>
        <v>OK</v>
      </c>
      <c r="V61" s="711"/>
      <c r="W61" s="711"/>
      <c r="X61" s="62">
        <f>VLOOKUP(CONCATENATE(J57,"-",R61),$C$2:$G$136,3,FALSE)</f>
        <v>1.4999999999999999E-2</v>
      </c>
      <c r="Y61" s="62">
        <f>VLOOKUP(CONCATENATE(J57,"-",R61),$C$2:$G$136,4,FALSE)</f>
        <v>3.4500000000000003E-2</v>
      </c>
      <c r="Z61" s="62">
        <f>VLOOKUP(CONCATENATE(J57,"-",R61),$C$2:$G$136,5,FALSE)</f>
        <v>4.4900000000000002E-2</v>
      </c>
    </row>
    <row r="62" spans="1:26" ht="15" customHeight="1" x14ac:dyDescent="0.2">
      <c r="A62"/>
      <c r="B62"/>
      <c r="C62"/>
      <c r="D62"/>
      <c r="E62"/>
      <c r="F62"/>
      <c r="G62"/>
      <c r="I62" t="str">
        <f t="shared" ca="1" si="3"/>
        <v>F</v>
      </c>
      <c r="J62" s="710" t="str">
        <f>IF($J$17=$A$146,"Administração Central da empresa ou consultoria - overhead","Seguro e Garantia")</f>
        <v>Seguro e Garantia</v>
      </c>
      <c r="K62" s="710"/>
      <c r="L62" s="710"/>
      <c r="M62" s="710"/>
      <c r="N62" s="710"/>
      <c r="O62" s="710"/>
      <c r="P62" s="710"/>
      <c r="Q62" s="710"/>
      <c r="R62" s="60" t="str">
        <f>IF($J57=$A$146,"K2","SG")</f>
        <v>SG</v>
      </c>
      <c r="S62" s="61">
        <v>3.0000000000000001E-3</v>
      </c>
      <c r="T62" s="572" t="str">
        <f t="shared" ref="T62:T66" ca="1" si="4">IF(AND($U$54&lt;&gt;"",$U$57="",R62&lt;&gt;"",S62=""),"◄","")</f>
        <v/>
      </c>
      <c r="U62" s="711" t="str">
        <f t="shared" ref="U62:U68" ca="1" si="5">IFERROR(IF(T62="◄","FALTA PREENCHER",IF(AND(OR(S62&gt;=X62,X62="-"),OR(S62&lt;=Z62,Z62="-")),"OK","FORA DO INTERVALO")),"-")</f>
        <v>OK</v>
      </c>
      <c r="V62" s="711"/>
      <c r="W62" s="711"/>
      <c r="X62" s="62">
        <f>VLOOKUP(CONCATENATE(J57,"-",R62),$C$2:$G$136,3,FALSE)</f>
        <v>3.0000000000000001E-3</v>
      </c>
      <c r="Y62" s="62">
        <f>VLOOKUP(CONCATENATE(J57,"-",R62),$C$2:$G$136,4,FALSE)</f>
        <v>4.7999999999999996E-3</v>
      </c>
      <c r="Z62" s="62">
        <f>VLOOKUP(CONCATENATE(J57,"-",R62),$C$2:$G$136,5,FALSE)</f>
        <v>8.199999999999999E-3</v>
      </c>
    </row>
    <row r="63" spans="1:26" ht="15" customHeight="1" x14ac:dyDescent="0.2">
      <c r="A63"/>
      <c r="B63"/>
      <c r="C63"/>
      <c r="D63"/>
      <c r="E63"/>
      <c r="F63"/>
      <c r="G63"/>
      <c r="I63" t="str">
        <f t="shared" ca="1" si="3"/>
        <v>F</v>
      </c>
      <c r="J63" s="710" t="s">
        <v>942</v>
      </c>
      <c r="K63" s="710"/>
      <c r="L63" s="710"/>
      <c r="M63" s="710"/>
      <c r="N63" s="710"/>
      <c r="O63" s="710"/>
      <c r="P63" s="710"/>
      <c r="Q63" s="710"/>
      <c r="R63" s="60" t="str">
        <f>IF($J57=$A$146,"","R")</f>
        <v>R</v>
      </c>
      <c r="S63" s="61">
        <v>5.6000000000000008E-3</v>
      </c>
      <c r="T63" s="572" t="str">
        <f t="shared" ca="1" si="4"/>
        <v/>
      </c>
      <c r="U63" s="711" t="str">
        <f t="shared" ca="1" si="5"/>
        <v>OK</v>
      </c>
      <c r="V63" s="711"/>
      <c r="W63" s="711"/>
      <c r="X63" s="62">
        <f>VLOOKUP(CONCATENATE(J57,"-",R63),$C$2:$G$136,3,FALSE)</f>
        <v>5.6000000000000008E-3</v>
      </c>
      <c r="Y63" s="62">
        <f>VLOOKUP(CONCATENATE(J57,"-",R63),$C$2:$G$136,4,FALSE)</f>
        <v>8.5000000000000006E-3</v>
      </c>
      <c r="Z63" s="62">
        <f>VLOOKUP(CONCATENATE(J57,"-",R63),$C$2:$G$136,5,FALSE)</f>
        <v>8.8999999999999999E-3</v>
      </c>
    </row>
    <row r="64" spans="1:26" ht="15" customHeight="1" x14ac:dyDescent="0.2">
      <c r="A64"/>
      <c r="B64"/>
      <c r="C64"/>
      <c r="D64"/>
      <c r="E64"/>
      <c r="F64"/>
      <c r="G64"/>
      <c r="I64" t="str">
        <f t="shared" ca="1" si="3"/>
        <v>F</v>
      </c>
      <c r="J64" s="710" t="s">
        <v>943</v>
      </c>
      <c r="K64" s="710"/>
      <c r="L64" s="710"/>
      <c r="M64" s="710"/>
      <c r="N64" s="710"/>
      <c r="O64" s="710"/>
      <c r="P64" s="710"/>
      <c r="Q64" s="710"/>
      <c r="R64" s="60" t="str">
        <f>IF($J57=$A$146,"","DF")</f>
        <v>DF</v>
      </c>
      <c r="S64" s="61">
        <v>8.5000000000000006E-3</v>
      </c>
      <c r="T64" s="572" t="str">
        <f t="shared" ca="1" si="4"/>
        <v/>
      </c>
      <c r="U64" s="711" t="str">
        <f t="shared" ca="1" si="5"/>
        <v>OK</v>
      </c>
      <c r="V64" s="711"/>
      <c r="W64" s="711"/>
      <c r="X64" s="62">
        <f>VLOOKUP(CONCATENATE(J57,"-",R64),$C$2:$G$136,3,FALSE)</f>
        <v>8.5000000000000006E-3</v>
      </c>
      <c r="Y64" s="62">
        <f>VLOOKUP(CONCATENATE(J57,"-",R64),$C$2:$G$136,4,FALSE)</f>
        <v>8.5000000000000006E-3</v>
      </c>
      <c r="Z64" s="62">
        <f>VLOOKUP(CONCATENATE(J57,"-",R64),$C$2:$G$136,5,FALSE)</f>
        <v>1.11E-2</v>
      </c>
    </row>
    <row r="65" spans="1:26" ht="15" customHeight="1" x14ac:dyDescent="0.2">
      <c r="A65"/>
      <c r="B65"/>
      <c r="C65"/>
      <c r="D65"/>
      <c r="E65"/>
      <c r="F65"/>
      <c r="G65"/>
      <c r="I65" t="str">
        <f t="shared" ca="1" si="3"/>
        <v>F</v>
      </c>
      <c r="J65" s="710" t="str">
        <f>IF($J$17=$A$146,"Margem bruta da empresa de consultoria","Lucro")</f>
        <v>Lucro</v>
      </c>
      <c r="K65" s="710"/>
      <c r="L65" s="710"/>
      <c r="M65" s="710"/>
      <c r="N65" s="710"/>
      <c r="O65" s="710"/>
      <c r="P65" s="710"/>
      <c r="Q65" s="710"/>
      <c r="R65" s="60" t="str">
        <f>IF($J57=$A$146,"K3","L")</f>
        <v>L</v>
      </c>
      <c r="S65" s="61">
        <v>3.3599999999999998E-2</v>
      </c>
      <c r="T65" s="572" t="str">
        <f t="shared" ca="1" si="4"/>
        <v/>
      </c>
      <c r="U65" s="711" t="str">
        <f t="shared" ca="1" si="5"/>
        <v>FORA DO INTERVALO</v>
      </c>
      <c r="V65" s="711"/>
      <c r="W65" s="711"/>
      <c r="X65" s="62">
        <f>VLOOKUP(CONCATENATE(J57,"-",R65),$C$2:$G$136,3,FALSE)</f>
        <v>3.5000000000000003E-2</v>
      </c>
      <c r="Y65" s="62">
        <f>VLOOKUP(CONCATENATE(J57,"-",R65),$C$2:$G$136,4,FALSE)</f>
        <v>5.1100000000000007E-2</v>
      </c>
      <c r="Z65" s="62">
        <f>VLOOKUP(CONCATENATE(J57,"-",R65),$C$2:$G$136,5,FALSE)</f>
        <v>6.2199999999999998E-2</v>
      </c>
    </row>
    <row r="66" spans="1:26" ht="15" customHeight="1" x14ac:dyDescent="0.2">
      <c r="A66"/>
      <c r="B66"/>
      <c r="C66"/>
      <c r="D66"/>
      <c r="E66"/>
      <c r="F66"/>
      <c r="G66"/>
      <c r="I66" t="str">
        <f t="shared" ca="1" si="3"/>
        <v>F</v>
      </c>
      <c r="J66" s="710" t="s">
        <v>675</v>
      </c>
      <c r="K66" s="710"/>
      <c r="L66" s="710"/>
      <c r="M66" s="710"/>
      <c r="N66" s="710"/>
      <c r="O66" s="710"/>
      <c r="P66" s="710"/>
      <c r="Q66" s="710"/>
      <c r="R66" s="60" t="s">
        <v>456</v>
      </c>
      <c r="S66" s="61">
        <v>3.6499999999999998E-2</v>
      </c>
      <c r="T66" s="572" t="str">
        <f t="shared" ca="1" si="4"/>
        <v/>
      </c>
      <c r="U66" s="711" t="str">
        <f t="shared" ca="1" si="5"/>
        <v>OK</v>
      </c>
      <c r="V66" s="711"/>
      <c r="W66" s="711"/>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710" t="s">
        <v>676</v>
      </c>
      <c r="K67" s="710"/>
      <c r="L67" s="710"/>
      <c r="M67" s="710"/>
      <c r="N67" s="710"/>
      <c r="O67" s="710"/>
      <c r="P67" s="710"/>
      <c r="Q67" s="710"/>
      <c r="R67" s="60" t="s">
        <v>677</v>
      </c>
      <c r="S67" s="62">
        <f ca="1">IF(AND($J57&lt;&gt;$A$145,COUNTA(OFFSET(S60,1,0,6))&gt;0),$R$11*$R$10,0)</f>
        <v>0.05</v>
      </c>
      <c r="U67" s="711" t="str">
        <f t="shared" ca="1" si="5"/>
        <v>OK</v>
      </c>
      <c r="V67" s="711"/>
      <c r="W67" s="711"/>
      <c r="X67" s="62">
        <v>0</v>
      </c>
      <c r="Y67" s="62">
        <v>2.5000000000000001E-2</v>
      </c>
      <c r="Z67" s="62">
        <v>0.05</v>
      </c>
    </row>
    <row r="68" spans="1:26" ht="15" customHeight="1" x14ac:dyDescent="0.2">
      <c r="A68"/>
      <c r="B68"/>
      <c r="C68"/>
      <c r="D68"/>
      <c r="E68"/>
      <c r="F68"/>
      <c r="G68"/>
      <c r="I68" t="str">
        <f t="shared" ca="1" si="3"/>
        <v>F</v>
      </c>
      <c r="J68" s="710" t="s">
        <v>678</v>
      </c>
      <c r="K68" s="710"/>
      <c r="L68" s="710"/>
      <c r="M68" s="710"/>
      <c r="N68" s="710"/>
      <c r="O68" s="710"/>
      <c r="P68" s="710"/>
      <c r="Q68" s="710"/>
      <c r="R68" s="60" t="s">
        <v>679</v>
      </c>
      <c r="S68" s="62" cm="1">
        <f t="array" aca="1" ref="S68" ca="1">IF(BDI.Opcao&lt;&gt;"Desonerado",0,IF(AND($J57&lt;&gt;$A$145,COUNTA(OFFSET(S60,1,0,6))&gt;0),IF(YEAR(Import.DataBase)&lt;2025,4.5%,IF(YEAR(Import.DataBase)=2025,3.6%,IF(YEAR(Import.DataBase)=2026,2.7%,IF(YEAR(Import.DataBase)=2027,1.8%,0%)))),0%))</f>
        <v>0</v>
      </c>
      <c r="U68" s="711" t="str">
        <f t="shared" ca="1" si="5"/>
        <v>OK</v>
      </c>
      <c r="V68" s="711"/>
      <c r="W68" s="711"/>
      <c r="X68" s="63">
        <f ca="1">$S68</f>
        <v>0</v>
      </c>
      <c r="Y68" s="63">
        <f ca="1">$S68</f>
        <v>0</v>
      </c>
      <c r="Z68" s="63">
        <f ca="1">$S68</f>
        <v>0</v>
      </c>
    </row>
    <row r="69" spans="1:26" ht="15" customHeight="1" x14ac:dyDescent="0.2">
      <c r="A69"/>
      <c r="B69"/>
      <c r="C69"/>
      <c r="D69"/>
      <c r="E69"/>
      <c r="F69"/>
      <c r="G69"/>
      <c r="I69" t="str">
        <f t="shared" ca="1" si="3"/>
        <v>F</v>
      </c>
      <c r="J69" s="710" t="s">
        <v>680</v>
      </c>
      <c r="K69" s="710"/>
      <c r="L69" s="710"/>
      <c r="M69" s="710"/>
      <c r="N69" s="710"/>
      <c r="O69" s="710"/>
      <c r="P69" s="710"/>
      <c r="Q69" s="710"/>
      <c r="R69" s="64" t="s">
        <v>656</v>
      </c>
      <c r="S69" s="62">
        <f ca="1">IF($J57=$A$145,0,ROUND((((1+S61+S62+S63)*(1+S64)*(1+S65)/(1-(S66+S67)))-1),4))</f>
        <v>0.16800000000000001</v>
      </c>
      <c r="U69" s="707" t="str">
        <f ca="1">IFERROR(IF(AND(OR(S69&gt;=X69,X69="-"),OR(S69&lt;=Z69,Z69="-")),"OK","FORA DO INTERVALO"),IF(S69=0,"OK","Selecione o Tipo de obra"))</f>
        <v>OK</v>
      </c>
      <c r="V69" s="707"/>
      <c r="W69" s="707"/>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
      <c r="A70"/>
      <c r="B70"/>
      <c r="C70"/>
      <c r="D70"/>
      <c r="E70"/>
      <c r="F70"/>
      <c r="G70"/>
      <c r="I70" t="str">
        <f t="shared" ca="1" si="3"/>
        <v>F</v>
      </c>
      <c r="J70" s="714" t="s">
        <v>681</v>
      </c>
      <c r="K70" s="714"/>
      <c r="L70" s="714"/>
      <c r="M70" s="714"/>
      <c r="N70" s="714"/>
      <c r="O70" s="714"/>
      <c r="P70" s="714"/>
      <c r="Q70" s="714"/>
      <c r="R70" s="65" t="s">
        <v>682</v>
      </c>
      <c r="S70" s="66">
        <f ca="1">IF($J57=$A$145,0,ROUND((((1+S61+S62+S63)*(1+S64)*(1+S65)/(1-(S66+S67+S68)))-1),4))</f>
        <v>0.16800000000000001</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715" t="str">
        <f ca="1">IF(U69&lt;&gt;"ok","Anexo: Relatório Técnico Circunstanciado justificando a adoção do percentual de cada parcela do BDI.","")</f>
        <v/>
      </c>
      <c r="L72" s="715"/>
      <c r="M72" s="715"/>
      <c r="N72" s="715"/>
      <c r="O72" s="715"/>
      <c r="P72" s="715"/>
      <c r="Q72" s="715"/>
      <c r="R72" s="715"/>
      <c r="S72" s="715"/>
    </row>
    <row r="73" spans="1:26" x14ac:dyDescent="0.2">
      <c r="A73"/>
      <c r="B73"/>
      <c r="C73"/>
      <c r="D73"/>
      <c r="E73"/>
      <c r="F73"/>
      <c r="G73"/>
      <c r="I73" t="str">
        <f t="shared" ca="1" si="3"/>
        <v>F</v>
      </c>
    </row>
    <row r="74" spans="1:26" x14ac:dyDescent="0.2">
      <c r="A74"/>
      <c r="B74"/>
      <c r="C74"/>
      <c r="D74"/>
      <c r="E74"/>
      <c r="F74"/>
      <c r="G74"/>
      <c r="I74" t="str">
        <f t="shared" ca="1" si="3"/>
        <v>F</v>
      </c>
      <c r="J74" s="716" t="s">
        <v>683</v>
      </c>
      <c r="K74" s="716"/>
      <c r="L74" s="716"/>
      <c r="M74" s="716"/>
      <c r="N74" s="716"/>
      <c r="O74" s="716"/>
      <c r="P74" s="716"/>
      <c r="Q74" s="716"/>
      <c r="R74" s="716"/>
      <c r="S74" s="716"/>
    </row>
    <row r="75" spans="1:26" ht="15.75" x14ac:dyDescent="0.25">
      <c r="A75"/>
      <c r="B75"/>
      <c r="C75"/>
      <c r="D75"/>
      <c r="E75"/>
      <c r="F75"/>
      <c r="G75"/>
      <c r="I75" t="str">
        <f t="shared" ca="1" si="3"/>
        <v>F</v>
      </c>
      <c r="J75" s="68"/>
      <c r="K75" s="68"/>
      <c r="L75" s="68"/>
      <c r="M75" s="717" t="s">
        <v>684</v>
      </c>
      <c r="N75" s="723" t="str">
        <f>IF($J57=$A$146,"(1+K1+K2)*(1+K3)","(1+AC + S + R + G)*(1 + DF)*(1+L)")</f>
        <v>(1+AC + S + R + G)*(1 + DF)*(1+L)</v>
      </c>
      <c r="O75" s="723"/>
      <c r="P75" s="723"/>
      <c r="Q75" s="724" t="s">
        <v>685</v>
      </c>
      <c r="R75" s="68"/>
      <c r="S75" s="68"/>
    </row>
    <row r="76" spans="1:26" ht="15.75" x14ac:dyDescent="0.2">
      <c r="A76"/>
      <c r="B76"/>
      <c r="C76"/>
      <c r="D76"/>
      <c r="E76"/>
      <c r="F76"/>
      <c r="G76"/>
      <c r="I76" t="str">
        <f t="shared" ca="1" si="3"/>
        <v>F</v>
      </c>
      <c r="J76" s="68"/>
      <c r="K76" s="68"/>
      <c r="L76" s="68"/>
      <c r="M76" s="717"/>
      <c r="N76" s="712" t="s">
        <v>686</v>
      </c>
      <c r="O76" s="712"/>
      <c r="P76" s="712"/>
      <c r="Q76" s="724"/>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71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713"/>
      <c r="L78" s="713"/>
      <c r="M78" s="713"/>
      <c r="N78" s="713"/>
      <c r="O78" s="713"/>
      <c r="P78" s="713"/>
      <c r="Q78" s="713"/>
      <c r="R78" s="713"/>
      <c r="S78" s="713"/>
    </row>
    <row r="79" spans="1:26" x14ac:dyDescent="0.2">
      <c r="A79"/>
      <c r="B79"/>
      <c r="C79"/>
      <c r="D79"/>
      <c r="E79"/>
      <c r="F79"/>
      <c r="G79"/>
      <c r="I79" t="str">
        <f t="shared" ca="1" si="3"/>
        <v>F</v>
      </c>
    </row>
    <row r="80" spans="1:26" ht="50.1" customHeight="1" x14ac:dyDescent="0.2">
      <c r="A80"/>
      <c r="B80"/>
      <c r="C80"/>
      <c r="D80"/>
      <c r="E80"/>
      <c r="F80"/>
      <c r="G80"/>
      <c r="I80" t="str">
        <f t="shared" ca="1" si="3"/>
        <v>F</v>
      </c>
      <c r="J80" s="71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13"/>
      <c r="L80" s="713"/>
      <c r="M80" s="713"/>
      <c r="N80" s="713"/>
      <c r="O80" s="713"/>
      <c r="P80" s="713"/>
      <c r="Q80" s="713"/>
      <c r="R80" s="713"/>
      <c r="S80" s="713"/>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25" t="s">
        <v>1454</v>
      </c>
      <c r="K83" s="725"/>
      <c r="L83" s="725"/>
      <c r="M83" s="725"/>
      <c r="N83" s="725"/>
      <c r="O83" s="725"/>
      <c r="P83" s="725"/>
      <c r="Q83" s="725"/>
      <c r="R83" s="725"/>
      <c r="S83" s="725"/>
    </row>
    <row r="84" spans="1:21" x14ac:dyDescent="0.2">
      <c r="A84"/>
      <c r="B84"/>
      <c r="C84"/>
      <c r="D84"/>
      <c r="E84"/>
      <c r="F84"/>
      <c r="G84"/>
      <c r="I84" t="str">
        <f t="shared" ca="1" si="3"/>
        <v>F</v>
      </c>
    </row>
    <row r="85" spans="1:21" x14ac:dyDescent="0.2">
      <c r="A85"/>
      <c r="B85"/>
      <c r="C85"/>
      <c r="D85"/>
      <c r="E85"/>
      <c r="F85"/>
      <c r="G85"/>
      <c r="I85" t="str">
        <f t="shared" ca="1" si="3"/>
        <v>F</v>
      </c>
      <c r="J85" s="719" t="str">
        <f>Import.Município</f>
        <v>Araguari / MG</v>
      </c>
      <c r="K85" s="719"/>
      <c r="L85" s="719"/>
      <c r="M85" s="719"/>
      <c r="P85" s="720">
        <f>DADOS!$C$25</f>
        <v>45996</v>
      </c>
      <c r="Q85" s="720"/>
      <c r="R85" s="720"/>
      <c r="S85" s="720"/>
    </row>
    <row r="86" spans="1:21" x14ac:dyDescent="0.2">
      <c r="A86"/>
      <c r="B86"/>
      <c r="C86"/>
      <c r="D86"/>
      <c r="E86"/>
      <c r="F86"/>
      <c r="G86"/>
      <c r="I86" t="str">
        <f t="shared" ca="1" si="3"/>
        <v>F</v>
      </c>
      <c r="J86" s="721" t="s">
        <v>693</v>
      </c>
      <c r="K86" s="721"/>
      <c r="L86" s="721"/>
      <c r="M86" s="721"/>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22"/>
      <c r="K88" s="722"/>
      <c r="L88" s="722"/>
      <c r="M88" s="722"/>
      <c r="N88" s="76"/>
    </row>
    <row r="89" spans="1:21" x14ac:dyDescent="0.2">
      <c r="A89"/>
      <c r="B89"/>
      <c r="C89"/>
      <c r="D89"/>
      <c r="E89"/>
      <c r="F89"/>
      <c r="G89"/>
      <c r="I89" t="str">
        <f t="shared" ca="1" si="3"/>
        <v>F</v>
      </c>
      <c r="J89" s="718" t="s">
        <v>696</v>
      </c>
      <c r="K89" s="718"/>
      <c r="L89" s="718"/>
      <c r="M89" s="718"/>
    </row>
    <row r="90" spans="1:21" ht="14.25" x14ac:dyDescent="0.2">
      <c r="A90"/>
      <c r="B90"/>
      <c r="C90"/>
      <c r="D90"/>
      <c r="E90"/>
      <c r="F90"/>
      <c r="G90"/>
      <c r="I90" t="str">
        <f t="shared" ca="1" si="3"/>
        <v>F</v>
      </c>
      <c r="J90" s="77" t="s">
        <v>240</v>
      </c>
      <c r="K90" s="78" t="str">
        <f t="array" ref="K90:K92">Import.RespOrçamento</f>
        <v>JULIANA GONÇALVES OLIVEIRA</v>
      </c>
      <c r="L90" s="79"/>
      <c r="M90" s="79"/>
      <c r="N90" s="76"/>
    </row>
    <row r="91" spans="1:21" ht="14.25" x14ac:dyDescent="0.2">
      <c r="A91"/>
      <c r="B91"/>
      <c r="C91"/>
      <c r="D91"/>
      <c r="E91"/>
      <c r="F91"/>
      <c r="G91"/>
      <c r="I91" t="str">
        <f t="shared" ca="1" si="3"/>
        <v>F</v>
      </c>
      <c r="J91" s="77" t="s">
        <v>243</v>
      </c>
      <c r="K91" s="78" t="str">
        <v>239787 / D</v>
      </c>
      <c r="L91" s="79"/>
      <c r="M91" s="79"/>
      <c r="N91" s="76"/>
    </row>
    <row r="92" spans="1:21" ht="14.25" x14ac:dyDescent="0.2">
      <c r="A92"/>
      <c r="B92"/>
      <c r="C92"/>
      <c r="D92"/>
      <c r="E92"/>
      <c r="F92"/>
      <c r="G92"/>
      <c r="I92" t="str">
        <f t="shared" ca="1" si="3"/>
        <v>F</v>
      </c>
      <c r="J92" s="77" t="s">
        <v>246</v>
      </c>
      <c r="K92" s="78" t="str">
        <v xml:space="preserve"> Nº MG20253772936</v>
      </c>
      <c r="L92" s="79"/>
      <c r="M92" s="79"/>
      <c r="N92" s="76"/>
    </row>
    <row r="93" spans="1:21" ht="14.25" x14ac:dyDescent="0.2">
      <c r="A93"/>
      <c r="B93"/>
      <c r="C93"/>
      <c r="D93"/>
      <c r="E93"/>
      <c r="F93"/>
      <c r="G93"/>
      <c r="I93" t="str">
        <f t="shared" ca="1" si="3"/>
        <v>F</v>
      </c>
      <c r="J93" s="77"/>
      <c r="K93" s="80"/>
      <c r="L93" s="79"/>
      <c r="M93" s="79"/>
      <c r="N93" s="76"/>
    </row>
    <row r="94" spans="1:21" ht="15.75" hidden="1" x14ac:dyDescent="0.25">
      <c r="A94"/>
      <c r="B94"/>
      <c r="C94"/>
      <c r="D94"/>
      <c r="E94"/>
      <c r="F94"/>
      <c r="G94"/>
      <c r="I94" t="str">
        <f ca="1">IF($S$109=0,"","F")</f>
        <v/>
      </c>
      <c r="J94" s="709" t="s">
        <v>698</v>
      </c>
      <c r="K94" s="709"/>
      <c r="L94" s="709"/>
      <c r="M94" s="709"/>
      <c r="N94" s="709"/>
      <c r="O94" s="709"/>
      <c r="P94" s="709"/>
      <c r="Q94" s="709"/>
      <c r="R94" s="709"/>
      <c r="S94" s="709"/>
      <c r="U94" s="521" t="str">
        <f>IF(COUNTIF(ORÇAMENTO!$V$15:$V$508,BDI_3.Título)=0,"",IF(OR(Import.BDI.Tipo3="(SELECIONAR)",Import.BDI.Tipo3="",U97&lt;&gt;"",AND($J97&lt;&gt;$A$145,OR(S101="",S102="",AND($J97&lt;&gt;$A$146,OR(S103="",S104="")),S105="",S106=""))),"Falta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685" t="s">
        <v>664</v>
      </c>
      <c r="K96" s="685"/>
      <c r="L96" s="685"/>
      <c r="M96" s="685"/>
      <c r="N96" s="685"/>
      <c r="O96" s="685"/>
      <c r="P96" s="685"/>
      <c r="Q96" s="685"/>
      <c r="R96" s="685"/>
      <c r="S96" s="685"/>
    </row>
    <row r="97" spans="1:26" ht="15" hidden="1" x14ac:dyDescent="0.25">
      <c r="A97"/>
      <c r="B97"/>
      <c r="C97"/>
      <c r="D97"/>
      <c r="E97"/>
      <c r="F97"/>
      <c r="G97"/>
      <c r="I97" t="str">
        <f t="shared" ca="1" si="6"/>
        <v/>
      </c>
      <c r="J97" s="706" t="s">
        <v>139</v>
      </c>
      <c r="K97" s="706"/>
      <c r="L97" s="706"/>
      <c r="M97" s="706"/>
      <c r="N97" s="706"/>
      <c r="O97" s="706"/>
      <c r="P97" s="706"/>
      <c r="Q97" s="706"/>
      <c r="R97" s="706"/>
      <c r="S97" s="706"/>
      <c r="T97" s="563" t="str">
        <f ca="1">IF(U97="","","◄")</f>
        <v/>
      </c>
      <c r="U97" s="562" t="str">
        <f ca="1">IF(AND(OR(S109&gt;0,COUNTIF(ORÇAMENTO!$V$15:$V$508,BDI_3.Título)&gt;0),OR(Import.BDI.Tipo3="(SELECIONAR)",Import.BDI.Tipo3="")),"Selecione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08" t="s">
        <v>666</v>
      </c>
      <c r="K99" s="708"/>
      <c r="L99" s="708"/>
      <c r="M99" s="708"/>
      <c r="N99" s="708"/>
      <c r="O99" s="708"/>
      <c r="P99" s="708"/>
      <c r="Q99" s="708"/>
      <c r="R99" s="708" t="s">
        <v>667</v>
      </c>
      <c r="S99" s="707" t="s">
        <v>668</v>
      </c>
      <c r="U99" s="707" t="s">
        <v>669</v>
      </c>
      <c r="V99" s="707"/>
      <c r="W99" s="707"/>
      <c r="X99" s="705" t="s">
        <v>670</v>
      </c>
      <c r="Y99" s="705" t="s">
        <v>671</v>
      </c>
      <c r="Z99" s="705" t="s">
        <v>672</v>
      </c>
    </row>
    <row r="100" spans="1:26" ht="12.75" hidden="1" customHeight="1" x14ac:dyDescent="0.2">
      <c r="A100"/>
      <c r="B100"/>
      <c r="C100"/>
      <c r="D100"/>
      <c r="E100"/>
      <c r="F100"/>
      <c r="G100"/>
      <c r="I100" t="str">
        <f t="shared" ca="1" si="6"/>
        <v/>
      </c>
      <c r="J100" s="708"/>
      <c r="K100" s="708"/>
      <c r="L100" s="708"/>
      <c r="M100" s="708"/>
      <c r="N100" s="708"/>
      <c r="O100" s="708"/>
      <c r="P100" s="708"/>
      <c r="Q100" s="708"/>
      <c r="R100" s="708"/>
      <c r="S100" s="707"/>
      <c r="U100" s="707"/>
      <c r="V100" s="707"/>
      <c r="W100" s="707"/>
      <c r="X100" s="705"/>
      <c r="Y100" s="705"/>
      <c r="Z100" s="705"/>
    </row>
    <row r="101" spans="1:26" ht="15" hidden="1" customHeight="1" x14ac:dyDescent="0.2">
      <c r="A101"/>
      <c r="B101"/>
      <c r="C101"/>
      <c r="D101"/>
      <c r="E101"/>
      <c r="F101"/>
      <c r="G101"/>
      <c r="I101" t="str">
        <f t="shared" ca="1" si="6"/>
        <v/>
      </c>
      <c r="J101" s="710" t="str">
        <f>IF($J$17=$A$146,"Encargos Sociais incidentes sobre a mão de obra","Administração Central")</f>
        <v>Administração Central</v>
      </c>
      <c r="K101" s="710"/>
      <c r="L101" s="710"/>
      <c r="M101" s="710"/>
      <c r="N101" s="710"/>
      <c r="O101" s="710"/>
      <c r="P101" s="710"/>
      <c r="Q101" s="710"/>
      <c r="R101" s="60" t="str">
        <f>IF($J97=$A$146,"K1","AC")</f>
        <v>AC</v>
      </c>
      <c r="S101" s="61"/>
      <c r="T101" s="572" t="str">
        <f ca="1">IF(AND($U$94&lt;&gt;"",$U$97="",R101&lt;&gt;"",S101=""),"◄","")</f>
        <v/>
      </c>
      <c r="U101" s="711" t="str">
        <f ca="1">IFERROR(IF(T101="◄","FALTA PREENCHER",IF(AND(OR(S101&gt;=X101,X101="-"),OR(S101&lt;=Z101,Z101="-")),"OK","FORA DO INTERVALO")),"-")</f>
        <v>-</v>
      </c>
      <c r="V101" s="711"/>
      <c r="W101" s="711"/>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10" t="str">
        <f>IF($J$17=$A$146,"Administração Central da empresa ou consultoria - overhead","Seguro e Garantia")</f>
        <v>Seguro e Garantia</v>
      </c>
      <c r="K102" s="710"/>
      <c r="L102" s="710"/>
      <c r="M102" s="710"/>
      <c r="N102" s="710"/>
      <c r="O102" s="710"/>
      <c r="P102" s="710"/>
      <c r="Q102" s="710"/>
      <c r="R102" s="60" t="str">
        <f>IF($J97=$A$146,"K2","SG")</f>
        <v>SG</v>
      </c>
      <c r="S102" s="61"/>
      <c r="T102" s="572" t="str">
        <f t="shared" ref="T102:T106" ca="1" si="7">IF(AND($U$94&lt;&gt;"",$U$97="",R102&lt;&gt;"",S102=""),"◄","")</f>
        <v/>
      </c>
      <c r="U102" s="711" t="str">
        <f t="shared" ref="U102:U108" ca="1" si="8">IFERROR(IF(T102="◄","FALTA PREENCHER",IF(AND(OR(S102&gt;=X102,X102="-"),OR(S102&lt;=Z102,Z102="-")),"OK","FORA DO INTERVALO")),"-")</f>
        <v>-</v>
      </c>
      <c r="V102" s="711"/>
      <c r="W102" s="711"/>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10" t="s">
        <v>942</v>
      </c>
      <c r="K103" s="710"/>
      <c r="L103" s="710"/>
      <c r="M103" s="710"/>
      <c r="N103" s="710"/>
      <c r="O103" s="710"/>
      <c r="P103" s="710"/>
      <c r="Q103" s="710"/>
      <c r="R103" s="60" t="str">
        <f>IF($J97=$A$146,"","R")</f>
        <v>R</v>
      </c>
      <c r="S103" s="61"/>
      <c r="T103" s="572" t="str">
        <f t="shared" ca="1" si="7"/>
        <v/>
      </c>
      <c r="U103" s="711" t="str">
        <f t="shared" ca="1" si="8"/>
        <v>-</v>
      </c>
      <c r="V103" s="711"/>
      <c r="W103" s="711"/>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10" t="s">
        <v>943</v>
      </c>
      <c r="K104" s="710"/>
      <c r="L104" s="710"/>
      <c r="M104" s="710"/>
      <c r="N104" s="710"/>
      <c r="O104" s="710"/>
      <c r="P104" s="710"/>
      <c r="Q104" s="710"/>
      <c r="R104" s="60" t="str">
        <f>IF($J97=$A$146,"","DF")</f>
        <v>DF</v>
      </c>
      <c r="S104" s="61"/>
      <c r="T104" s="572" t="str">
        <f t="shared" ca="1" si="7"/>
        <v/>
      </c>
      <c r="U104" s="711" t="str">
        <f t="shared" ca="1" si="8"/>
        <v>-</v>
      </c>
      <c r="V104" s="711"/>
      <c r="W104" s="711"/>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10" t="str">
        <f>IF($J$17=$A$146,"Margem bruta da empresa de consultoria","Lucro")</f>
        <v>Lucro</v>
      </c>
      <c r="K105" s="710"/>
      <c r="L105" s="710"/>
      <c r="M105" s="710"/>
      <c r="N105" s="710"/>
      <c r="O105" s="710"/>
      <c r="P105" s="710"/>
      <c r="Q105" s="710"/>
      <c r="R105" s="60" t="str">
        <f>IF($J97=$A$146,"K3","L")</f>
        <v>L</v>
      </c>
      <c r="S105" s="61"/>
      <c r="T105" s="572" t="str">
        <f t="shared" ca="1" si="7"/>
        <v/>
      </c>
      <c r="U105" s="711" t="str">
        <f t="shared" ca="1" si="8"/>
        <v>-</v>
      </c>
      <c r="V105" s="711"/>
      <c r="W105" s="711"/>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10" t="s">
        <v>675</v>
      </c>
      <c r="K106" s="710"/>
      <c r="L106" s="710"/>
      <c r="M106" s="710"/>
      <c r="N106" s="710"/>
      <c r="O106" s="710"/>
      <c r="P106" s="710"/>
      <c r="Q106" s="710"/>
      <c r="R106" s="60" t="s">
        <v>456</v>
      </c>
      <c r="S106" s="61"/>
      <c r="T106" s="572" t="str">
        <f t="shared" ca="1" si="7"/>
        <v/>
      </c>
      <c r="U106" s="711" t="str">
        <f t="shared" ca="1" si="8"/>
        <v>FORA DO INTERVALO</v>
      </c>
      <c r="V106" s="711"/>
      <c r="W106" s="711"/>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10" t="s">
        <v>676</v>
      </c>
      <c r="K107" s="710"/>
      <c r="L107" s="710"/>
      <c r="M107" s="710"/>
      <c r="N107" s="710"/>
      <c r="O107" s="710"/>
      <c r="P107" s="710"/>
      <c r="Q107" s="710"/>
      <c r="R107" s="60" t="s">
        <v>677</v>
      </c>
      <c r="S107" s="62">
        <f ca="1">IF(AND($J97&lt;&gt;$A$145,COUNTA(OFFSET(S100,1,0,6))&gt;0),$R$11*$R$10,0)</f>
        <v>0</v>
      </c>
      <c r="U107" s="711" t="str">
        <f t="shared" ca="1" si="8"/>
        <v>OK</v>
      </c>
      <c r="V107" s="711"/>
      <c r="W107" s="711"/>
      <c r="X107" s="62">
        <v>0</v>
      </c>
      <c r="Y107" s="62">
        <v>2.5000000000000001E-2</v>
      </c>
      <c r="Z107" s="62">
        <v>0.05</v>
      </c>
    </row>
    <row r="108" spans="1:26" ht="15" hidden="1" customHeight="1" x14ac:dyDescent="0.2">
      <c r="A108"/>
      <c r="B108"/>
      <c r="C108"/>
      <c r="D108"/>
      <c r="E108"/>
      <c r="F108"/>
      <c r="G108"/>
      <c r="I108" t="str">
        <f t="shared" ca="1" si="6"/>
        <v/>
      </c>
      <c r="J108" s="710" t="s">
        <v>678</v>
      </c>
      <c r="K108" s="710"/>
      <c r="L108" s="710"/>
      <c r="M108" s="710"/>
      <c r="N108" s="710"/>
      <c r="O108" s="710"/>
      <c r="P108" s="710"/>
      <c r="Q108" s="710"/>
      <c r="R108" s="60" t="s">
        <v>679</v>
      </c>
      <c r="S108" s="62" cm="1">
        <f t="array" aca="1" ref="S108" ca="1">IF(BDI.Opcao&lt;&gt;"Desonerado",0,IF(AND($J97&lt;&gt;$A$145,COUNTA(OFFSET(S100,1,0,6))&gt;0),IF(YEAR(Import.DataBase)&lt;2025,4.5%,IF(YEAR(Import.DataBase)=2025,3.6%,IF(YEAR(Import.DataBase)=2026,2.7%,IF(YEAR(Import.DataBase)=2027,1.8%,0%)))),0%))</f>
        <v>0</v>
      </c>
      <c r="U108" s="711" t="str">
        <f t="shared" ca="1" si="8"/>
        <v>OK</v>
      </c>
      <c r="V108" s="711"/>
      <c r="W108" s="711"/>
      <c r="X108" s="63">
        <f ca="1">$S108</f>
        <v>0</v>
      </c>
      <c r="Y108" s="63">
        <f ca="1">$S108</f>
        <v>0</v>
      </c>
      <c r="Z108" s="63">
        <f ca="1">$S108</f>
        <v>0</v>
      </c>
    </row>
    <row r="109" spans="1:26" ht="15" hidden="1" customHeight="1" x14ac:dyDescent="0.2">
      <c r="A109"/>
      <c r="B109"/>
      <c r="C109"/>
      <c r="D109"/>
      <c r="E109"/>
      <c r="F109"/>
      <c r="G109"/>
      <c r="I109" t="str">
        <f t="shared" ca="1" si="6"/>
        <v/>
      </c>
      <c r="J109" s="710" t="s">
        <v>680</v>
      </c>
      <c r="K109" s="710"/>
      <c r="L109" s="710"/>
      <c r="M109" s="710"/>
      <c r="N109" s="710"/>
      <c r="O109" s="710"/>
      <c r="P109" s="710"/>
      <c r="Q109" s="710"/>
      <c r="R109" s="64" t="s">
        <v>656</v>
      </c>
      <c r="S109" s="62">
        <f ca="1">IF($J97=$A$145,0,ROUND((((1+S101+S102+S103)*(1+S104)*(1+S105)/(1-(S106+S107)))-1),4))</f>
        <v>0</v>
      </c>
      <c r="U109" s="707" t="str">
        <f ca="1">IFERROR(IF(AND(OR(S109&gt;=X109,X109="-"),OR(S109&lt;=Z109,Z109="-")),"OK","FORA DO INTERVALO"),IF(S109=0,"OK","Selecione o Tipo de obra"))</f>
        <v>OK</v>
      </c>
      <c r="V109" s="707"/>
      <c r="W109" s="707"/>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14" t="s">
        <v>681</v>
      </c>
      <c r="K110" s="714"/>
      <c r="L110" s="714"/>
      <c r="M110" s="714"/>
      <c r="N110" s="714"/>
      <c r="O110" s="714"/>
      <c r="P110" s="714"/>
      <c r="Q110" s="714"/>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15" t="str">
        <f ca="1">IF(U109&lt;&gt;"ok","Anexo: Relatório Técnico Circunstanciado justificando a adoção do percentual de cada parcela do BDI.","")</f>
        <v/>
      </c>
      <c r="L112" s="715"/>
      <c r="M112" s="715"/>
      <c r="N112" s="715"/>
      <c r="O112" s="715"/>
      <c r="P112" s="715"/>
      <c r="Q112" s="715"/>
      <c r="R112" s="715"/>
      <c r="S112" s="715"/>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16" t="s">
        <v>683</v>
      </c>
      <c r="K114" s="716"/>
      <c r="L114" s="716"/>
      <c r="M114" s="716"/>
      <c r="N114" s="716"/>
      <c r="O114" s="716"/>
      <c r="P114" s="716"/>
      <c r="Q114" s="716"/>
      <c r="R114" s="716"/>
      <c r="S114" s="716"/>
    </row>
    <row r="115" spans="1:19" ht="15.75" hidden="1" x14ac:dyDescent="0.25">
      <c r="A115"/>
      <c r="B115"/>
      <c r="C115"/>
      <c r="D115"/>
      <c r="E115"/>
      <c r="F115"/>
      <c r="G115"/>
      <c r="I115" t="str">
        <f t="shared" ca="1" si="6"/>
        <v/>
      </c>
      <c r="J115" s="68"/>
      <c r="K115" s="68"/>
      <c r="L115" s="68"/>
      <c r="M115" s="717" t="s">
        <v>684</v>
      </c>
      <c r="N115" s="723" t="str">
        <f>IF($J97=$A$146,"(1+K1+K2)*(1+K3)","(1+AC + S + R + G)*(1 + DF)*(1+L)")</f>
        <v>(1+AC + S + R + G)*(1 + DF)*(1+L)</v>
      </c>
      <c r="O115" s="723"/>
      <c r="P115" s="723"/>
      <c r="Q115" s="724" t="s">
        <v>685</v>
      </c>
      <c r="R115" s="68"/>
      <c r="S115" s="68"/>
    </row>
    <row r="116" spans="1:19" ht="15.75" hidden="1" x14ac:dyDescent="0.2">
      <c r="A116"/>
      <c r="B116"/>
      <c r="C116"/>
      <c r="D116"/>
      <c r="E116"/>
      <c r="F116"/>
      <c r="G116"/>
      <c r="I116" t="str">
        <f t="shared" ca="1" si="6"/>
        <v/>
      </c>
      <c r="J116" s="68"/>
      <c r="K116" s="68"/>
      <c r="L116" s="68"/>
      <c r="M116" s="717"/>
      <c r="N116" s="712" t="s">
        <v>686</v>
      </c>
      <c r="O116" s="712"/>
      <c r="P116" s="712"/>
      <c r="Q116" s="724"/>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1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713"/>
      <c r="L118" s="713"/>
      <c r="M118" s="713"/>
      <c r="N118" s="713"/>
      <c r="O118" s="713"/>
      <c r="P118" s="713"/>
      <c r="Q118" s="713"/>
      <c r="R118" s="713"/>
      <c r="S118" s="713"/>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13"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13"/>
      <c r="L120" s="713"/>
      <c r="M120" s="713"/>
      <c r="N120" s="713"/>
      <c r="O120" s="713"/>
      <c r="P120" s="713"/>
      <c r="Q120" s="713"/>
      <c r="R120" s="713"/>
      <c r="S120" s="713"/>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25"/>
      <c r="K123" s="725"/>
      <c r="L123" s="725"/>
      <c r="M123" s="725"/>
      <c r="N123" s="725"/>
      <c r="O123" s="725"/>
      <c r="P123" s="725"/>
      <c r="Q123" s="725"/>
      <c r="R123" s="725"/>
      <c r="S123" s="725"/>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19" t="str">
        <f>Import.Município</f>
        <v>Araguari / MG</v>
      </c>
      <c r="K125" s="719"/>
      <c r="L125" s="719"/>
      <c r="M125" s="719"/>
      <c r="P125" s="720">
        <f>DADOS!$C$25</f>
        <v>45996</v>
      </c>
      <c r="Q125" s="720"/>
      <c r="R125" s="720"/>
      <c r="S125" s="720"/>
    </row>
    <row r="126" spans="1:19" hidden="1" x14ac:dyDescent="0.2">
      <c r="A126"/>
      <c r="B126"/>
      <c r="C126"/>
      <c r="D126"/>
      <c r="E126"/>
      <c r="F126"/>
      <c r="G126"/>
      <c r="I126" t="str">
        <f t="shared" ca="1" si="6"/>
        <v/>
      </c>
      <c r="J126" s="721" t="s">
        <v>693</v>
      </c>
      <c r="K126" s="721"/>
      <c r="L126" s="721"/>
      <c r="M126" s="721"/>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22"/>
      <c r="K128" s="722"/>
      <c r="L128" s="722"/>
      <c r="M128" s="722"/>
      <c r="N128" s="76"/>
    </row>
    <row r="129" spans="1:14" hidden="1" x14ac:dyDescent="0.2">
      <c r="A129"/>
      <c r="B129"/>
      <c r="C129"/>
      <c r="D129"/>
      <c r="E129"/>
      <c r="F129"/>
      <c r="G129"/>
      <c r="I129" t="str">
        <f t="shared" ca="1" si="6"/>
        <v/>
      </c>
      <c r="J129" s="718" t="s">
        <v>696</v>
      </c>
      <c r="K129" s="718"/>
      <c r="L129" s="718"/>
      <c r="M129" s="718"/>
    </row>
    <row r="130" spans="1:14" ht="14.25" hidden="1" x14ac:dyDescent="0.2">
      <c r="A130"/>
      <c r="B130"/>
      <c r="C130"/>
      <c r="D130"/>
      <c r="E130"/>
      <c r="F130"/>
      <c r="G130"/>
      <c r="I130" t="str">
        <f t="shared" ca="1" si="6"/>
        <v/>
      </c>
      <c r="J130" s="77" t="s">
        <v>240</v>
      </c>
      <c r="K130" s="78" t="str">
        <f t="array" ref="K130:K132">Import.RespOrçamento</f>
        <v>JULIANA GONÇALVES OLIVEIRA</v>
      </c>
      <c r="L130" s="79"/>
      <c r="M130" s="79"/>
      <c r="N130" s="76"/>
    </row>
    <row r="131" spans="1:14" ht="14.25" hidden="1" x14ac:dyDescent="0.2">
      <c r="A131"/>
      <c r="B131"/>
      <c r="C131"/>
      <c r="D131"/>
      <c r="E131"/>
      <c r="F131"/>
      <c r="G131"/>
      <c r="I131" t="str">
        <f t="shared" ca="1" si="6"/>
        <v/>
      </c>
      <c r="J131" s="77" t="s">
        <v>243</v>
      </c>
      <c r="K131" s="78" t="str">
        <v>239787 / D</v>
      </c>
      <c r="L131" s="79"/>
      <c r="M131" s="79"/>
      <c r="N131" s="76"/>
    </row>
    <row r="132" spans="1:14" ht="14.25" hidden="1" x14ac:dyDescent="0.2">
      <c r="A132"/>
      <c r="B132"/>
      <c r="C132"/>
      <c r="D132"/>
      <c r="E132"/>
      <c r="F132"/>
      <c r="G132"/>
      <c r="I132" t="str">
        <f t="shared" ca="1" si="6"/>
        <v/>
      </c>
      <c r="J132" s="77" t="s">
        <v>246</v>
      </c>
      <c r="K132" s="78" t="str">
        <v xml:space="preserve"> Nº MG20253772936</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Qd/MW3o0mBcaDQENdxnonXv8ugv35LEvk5YbM1rbBOMIEadf3c9SWpe77mB+6XTuL1hFvi9ZHAbt/6uMVhX3tw==" saltValue="EfWb1mplyahq/e30Xk/l1w=="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787" priority="11" stopIfTrue="1">
      <formula>DESONERACAO="não"</formula>
    </cfRule>
  </conditionalFormatting>
  <conditionalFormatting sqref="U69:W69 U29:W29 U109:W109">
    <cfRule type="expression" dxfId="786" priority="12" stopIfTrue="1">
      <formula>AND(U29&lt;&gt;"OK",U29&lt;&gt;"-",U29&lt;&gt;"")</formula>
    </cfRule>
    <cfRule type="cellIs" dxfId="785" priority="13" stopIfTrue="1" operator="equal">
      <formula>"OK"</formula>
    </cfRule>
  </conditionalFormatting>
  <conditionalFormatting sqref="S29 S69 S109">
    <cfRule type="expression" dxfId="784" priority="14" stopIfTrue="1">
      <formula>DESONERACAO="não"</formula>
    </cfRule>
  </conditionalFormatting>
  <conditionalFormatting sqref="J23:S24">
    <cfRule type="expression" dxfId="783" priority="9">
      <formula>$J$17=$A$146</formula>
    </cfRule>
  </conditionalFormatting>
  <conditionalFormatting sqref="S21:S26">
    <cfRule type="expression" dxfId="782" priority="8">
      <formula>$J$17=$A$145</formula>
    </cfRule>
  </conditionalFormatting>
  <conditionalFormatting sqref="J63:S64">
    <cfRule type="expression" dxfId="781" priority="7">
      <formula>$J$57=$A$146</formula>
    </cfRule>
  </conditionalFormatting>
  <conditionalFormatting sqref="S61:S66">
    <cfRule type="expression" dxfId="780" priority="6">
      <formula>$J$57=$A$145</formula>
    </cfRule>
  </conditionalFormatting>
  <conditionalFormatting sqref="J103:S104">
    <cfRule type="expression" dxfId="779" priority="5">
      <formula>$J$97=$A$146</formula>
    </cfRule>
  </conditionalFormatting>
  <conditionalFormatting sqref="S101:S106">
    <cfRule type="expression" dxfId="778" priority="4">
      <formula>$J$97=$A$145</formula>
    </cfRule>
  </conditionalFormatting>
  <conditionalFormatting sqref="U21:W28">
    <cfRule type="cellIs" dxfId="777" priority="3" operator="notEqual">
      <formula>"OK"</formula>
    </cfRule>
  </conditionalFormatting>
  <conditionalFormatting sqref="U61:W68">
    <cfRule type="cellIs" dxfId="776" priority="2" operator="notEqual">
      <formula>"OK"</formula>
    </cfRule>
  </conditionalFormatting>
  <conditionalFormatting sqref="U101:W108">
    <cfRule type="cellIs" dxfId="775"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r:id="rId1"/>
  <headerFooter alignWithMargins="0">
    <oddHeader>&amp;L_</oddHeader>
    <oddFooter>&amp;LPMv3.13&amp;R&amp;P / &amp;N</oddFooter>
  </headerFooter>
  <rowBreaks count="1" manualBreakCount="1">
    <brk id="53" min="9" max="18"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525"/>
  <sheetViews>
    <sheetView showGridLines="0" tabSelected="1" view="pageBreakPreview" zoomScale="90" zoomScaleNormal="90" zoomScaleSheetLayoutView="90" workbookViewId="0">
      <pane xSplit="19" ySplit="15" topLeftCell="T16" activePane="bottomRight" state="frozen"/>
      <selection pane="topRight"/>
      <selection pane="bottomLeft"/>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51" t="s">
        <v>700</v>
      </c>
      <c r="E2" s="651" t="s">
        <v>701</v>
      </c>
      <c r="F2" s="651" t="s">
        <v>702</v>
      </c>
      <c r="G2" s="651" t="s">
        <v>703</v>
      </c>
      <c r="H2" s="651" t="s">
        <v>704</v>
      </c>
      <c r="I2" s="651"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51" t="s">
        <v>750</v>
      </c>
      <c r="F3" s="651" t="s">
        <v>955</v>
      </c>
      <c r="G3" s="651" t="s">
        <v>956</v>
      </c>
      <c r="H3" s="651" t="s">
        <v>957</v>
      </c>
      <c r="I3" s="651" t="s">
        <v>958</v>
      </c>
      <c r="R3" s="86"/>
    </row>
    <row r="4" spans="1:40" x14ac:dyDescent="0.2">
      <c r="A4" s="649" t="s">
        <v>706</v>
      </c>
      <c r="D4" s="7"/>
      <c r="E4" s="7"/>
      <c r="F4" s="651" t="s">
        <v>663</v>
      </c>
      <c r="G4" s="651" t="s">
        <v>697</v>
      </c>
      <c r="H4" s="651" t="s">
        <v>698</v>
      </c>
      <c r="I4" s="652">
        <v>0</v>
      </c>
      <c r="O4" s="685" t="s">
        <v>650</v>
      </c>
      <c r="P4" s="685"/>
      <c r="Q4" s="87" t="s">
        <v>707</v>
      </c>
      <c r="R4" s="87" t="s">
        <v>652</v>
      </c>
      <c r="S4" s="685" t="s">
        <v>708</v>
      </c>
      <c r="T4" s="685"/>
      <c r="U4" s="685"/>
      <c r="V4" s="685"/>
      <c r="W4" s="685"/>
      <c r="X4" s="685"/>
      <c r="Y4" s="77"/>
      <c r="Z4" s="77"/>
      <c r="AA4" s="77"/>
      <c r="AB4" s="77"/>
    </row>
    <row r="5" spans="1:40" ht="12.75" customHeight="1" x14ac:dyDescent="0.2">
      <c r="A5" s="450">
        <f ca="1">MAX($C$15:$C$508)</f>
        <v>4</v>
      </c>
      <c r="B5" s="7"/>
      <c r="C5" s="7"/>
      <c r="D5" s="7"/>
      <c r="E5" s="7"/>
      <c r="F5" s="652">
        <f ca="1">IF(BDI.Opcao="DESONERADO",BDI!$S$30,BDI!$S$29)</f>
        <v>0.23499999999999999</v>
      </c>
      <c r="G5" s="652">
        <f ca="1">IF(BDI.Opcao="DESONERADO",BDI!$S$70,BDI!$S$69)</f>
        <v>0.16800000000000001</v>
      </c>
      <c r="H5" s="652">
        <f ca="1">IF(BDI.Opcao="DESONERADO",BDI!$S$110,BDI!$S$109)</f>
        <v>0</v>
      </c>
      <c r="I5" s="7"/>
      <c r="O5" s="686" t="str">
        <f>Import.CR</f>
        <v>1098284-30/2024</v>
      </c>
      <c r="P5" s="686"/>
      <c r="Q5" s="90" t="str" cm="1">
        <f t="array" ref="Q5">Import.TransfereGOV</f>
        <v>968559/2024</v>
      </c>
      <c r="R5" s="91" t="str">
        <f>Import.Proponente</f>
        <v>Prefeitura Municipal</v>
      </c>
      <c r="S5" s="686" t="str">
        <f>Import.Apelido</f>
        <v>ETE - BREJO ALEGRE - FASE II</v>
      </c>
      <c r="T5" s="686"/>
      <c r="U5" s="686"/>
      <c r="V5" s="686"/>
      <c r="W5" s="686"/>
      <c r="X5" s="686"/>
      <c r="Y5" s="92"/>
      <c r="Z5" s="92"/>
      <c r="AA5" s="92"/>
      <c r="AB5" s="92"/>
      <c r="AE5" s="690" t="s">
        <v>709</v>
      </c>
      <c r="AF5" s="690"/>
    </row>
    <row r="6" spans="1:40" ht="5.0999999999999996" customHeight="1" x14ac:dyDescent="0.2">
      <c r="A6" s="7"/>
      <c r="B6" s="7"/>
      <c r="C6" s="7"/>
      <c r="D6" s="7"/>
      <c r="E6" s="7"/>
      <c r="F6" s="7"/>
      <c r="G6" s="7"/>
      <c r="H6" s="653"/>
      <c r="I6" s="7"/>
      <c r="O6" s="93"/>
      <c r="P6" s="93"/>
      <c r="Q6" s="94"/>
      <c r="R6" s="94"/>
      <c r="S6" s="93"/>
      <c r="T6" s="93"/>
      <c r="U6" s="93"/>
      <c r="V6" s="93"/>
      <c r="W6" s="93"/>
      <c r="X6" s="93"/>
      <c r="Y6" s="92"/>
      <c r="Z6" s="92"/>
      <c r="AA6" s="92"/>
      <c r="AB6" s="92"/>
      <c r="AC6" s="95"/>
      <c r="AE6" s="88"/>
      <c r="AF6" s="89"/>
    </row>
    <row r="7" spans="1:40" ht="12.75" customHeight="1" x14ac:dyDescent="0.2">
      <c r="D7" s="7"/>
      <c r="E7" s="7"/>
      <c r="F7" s="651" t="s">
        <v>751</v>
      </c>
      <c r="G7" s="651" t="s">
        <v>959</v>
      </c>
      <c r="H7" s="651" t="s">
        <v>456</v>
      </c>
      <c r="I7" s="651" t="s">
        <v>794</v>
      </c>
      <c r="O7" s="685" t="s">
        <v>710</v>
      </c>
      <c r="P7" s="685"/>
      <c r="Q7" s="87" t="s">
        <v>711</v>
      </c>
      <c r="R7" s="87" t="str" cm="1">
        <f t="array" ref="R7">IF(TIPOORCAMENTO="Licitado","NOME DA EMPRESA","DESCRIÇÃO DO LOTE")</f>
        <v>DESCRIÇÃO DO LOTE</v>
      </c>
      <c r="S7" s="691" t="str" cm="1">
        <f t="array" ref="S7">IF(TIPOORCAMENTO="Licitado","REGIME DE EXECUÇÃO","MUNICÍPIO / UF")</f>
        <v>MUNICÍPIO / UF</v>
      </c>
      <c r="T7" s="691"/>
      <c r="U7" s="691"/>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IF(COUNTIFS($L$15:$L$508,"F",$AC$15:$AC$508,"JUSTIFICAR BDI")&gt;0,"JUSTIFICAR BDI","")</f>
        <v/>
      </c>
      <c r="AE7" s="88" t="s">
        <v>712</v>
      </c>
      <c r="AF7" s="89" t="b">
        <v>1</v>
      </c>
      <c r="AJ7" s="694" t="s">
        <v>713</v>
      </c>
      <c r="AL7" s="692" t="s">
        <v>714</v>
      </c>
    </row>
    <row r="8" spans="1:40" ht="12.75" customHeight="1" x14ac:dyDescent="0.2">
      <c r="A8" s="7"/>
      <c r="B8" s="7"/>
      <c r="C8" s="7"/>
      <c r="E8" s="506" t="s">
        <v>997</v>
      </c>
      <c r="F8" s="687" t="str">
        <f ca="1">IF(LEN(INFO("release"))&gt;5,"'Referência "&amp;Excel_BuiltIn_Database&amp;".xlsm'#Banco.$a5:$a$65536","'[Referência "&amp;Excel_BuiltIn_Database&amp;".xlsm]Banco'!$a5:$a$65536")</f>
        <v>'[Referência 04-2025.xlsm]Banco'!$a5:$a$65536</v>
      </c>
      <c r="G8" s="687"/>
      <c r="H8" s="687"/>
      <c r="I8" s="687"/>
      <c r="J8" s="687"/>
      <c r="K8" s="687"/>
      <c r="L8" s="688" t="s">
        <v>655</v>
      </c>
      <c r="O8" s="686" t="str">
        <f ca="1">IF(ISERROR(INDIRECT($F$9)),"(N/D: 'Referência "&amp;Excel_BuiltIn_Database&amp;".xlsm)",INDIRECT($F$9))</f>
        <v>BELO HORIZONTE</v>
      </c>
      <c r="P8" s="686"/>
      <c r="Q8" s="99" t="str" cm="1">
        <f t="array" aca="1" ref="Q8" ca="1">TEXT(Import.DataBase,"mm-aa")&amp;IF(DESONERACAO="Sim"," (DES.)"," (N DES.)")</f>
        <v>04-25 (N DES.)</v>
      </c>
      <c r="R8" s="91" t="str" cm="1">
        <f t="array" ref="R8">IF(TIPOORCAMENTO="Licitado",Import.empresa,Import.DescLote)</f>
        <v>ETE - BREJO ALEGRE - FASE II</v>
      </c>
      <c r="S8" s="689" t="str" cm="1">
        <f t="array" ref="S8">IF(TIPOORCAMENTO="Licitado",Import.RegimeExecução,Import.Município)</f>
        <v>Araguari / MG</v>
      </c>
      <c r="T8" s="689"/>
      <c r="U8" s="689"/>
      <c r="V8" s="100" t="str" cm="1">
        <f t="array" aca="1" ref="V8" ca="1">IF(TIPOORCAMENTO="Licitado","",TEXT(F5,"0,00%"))</f>
        <v>23,50%</v>
      </c>
      <c r="W8" s="100" t="str" cm="1">
        <f t="array" aca="1" ref="W8" ca="1">IF(TIPOORCAMENTO="Licitado","",TEXT(G5,"0,00%"))</f>
        <v>16,80%</v>
      </c>
      <c r="X8" s="101" t="str" cm="1">
        <f t="array" aca="1" ref="X8" ca="1">IF(TIPOORCAMENTO="Licitado",Import.CTEF,TEXT(H5,"0,00%"))</f>
        <v>0,00%</v>
      </c>
      <c r="Y8" s="688" t="s">
        <v>715</v>
      </c>
      <c r="Z8" s="688" t="s">
        <v>716</v>
      </c>
      <c r="AA8" s="102"/>
      <c r="AB8" s="102"/>
      <c r="AE8" s="88" t="s">
        <v>717</v>
      </c>
      <c r="AF8" s="89" t="b">
        <v>1</v>
      </c>
      <c r="AJ8" s="694"/>
      <c r="AL8" s="692"/>
    </row>
    <row r="9" spans="1:40" ht="12.75" customHeight="1" x14ac:dyDescent="0.2">
      <c r="E9" s="506" t="s">
        <v>995</v>
      </c>
      <c r="F9" s="687" t="str">
        <f ca="1">IF(LEN(INFO("release"))&gt;5,"'Referência "&amp;Excel_BuiltIn_Database&amp;".xlsm'#Banco.$d$3","'[Referência "&amp;Excel_BuiltIn_Database&amp;".xlsm]Banco'!$d$3")</f>
        <v>'[Referência 04-2025.xlsm]Banco'!$d$3</v>
      </c>
      <c r="G9" s="687"/>
      <c r="H9" s="687"/>
      <c r="I9" s="687"/>
      <c r="J9" s="687"/>
      <c r="K9" s="687"/>
      <c r="L9" s="688"/>
      <c r="T9" s="648" t="str">
        <f>IF(AND(Import.TipoArredondamento="TransfereGOV",$AF$7=FALSE),"▼","")</f>
        <v/>
      </c>
      <c r="U9" s="648" t="str">
        <f>IF(AND(Import.TipoArredondamento="TransfereGOV",$AF$8=FALSE),"▼","")</f>
        <v/>
      </c>
      <c r="V9" s="648" t="str">
        <f>IF(AND(Import.TipoArredondamento="TransfereGOV",$AF$9=FALSE),"▼","")</f>
        <v/>
      </c>
      <c r="W9" s="648" t="str">
        <f>IF(AND(Import.TipoArredondamento="TransfereGOV",$AF$10=FALSE),"▼","")</f>
        <v/>
      </c>
      <c r="X9" s="648" t="str">
        <f>IF(AND(Import.TipoArredondamento="TransfereGOV",$AF$11=FALSE),"▼","")</f>
        <v/>
      </c>
      <c r="Y9" s="688"/>
      <c r="Z9" s="688"/>
      <c r="AE9" s="88" t="s">
        <v>23</v>
      </c>
      <c r="AF9" s="89" t="b">
        <v>1</v>
      </c>
      <c r="AJ9" s="694"/>
      <c r="AL9" s="692"/>
    </row>
    <row r="10" spans="1:40" x14ac:dyDescent="0.2">
      <c r="E10" s="506" t="s">
        <v>996</v>
      </c>
      <c r="F10" s="687" t="str">
        <f ca="1">IF(LEN(INFO("release"))&gt;5,"'Referência "&amp;Excel_BuiltIn_Database&amp;".xlsm'#Banco.$B$3","'[Referência "&amp;Excel_BuiltIn_Database&amp;".xlsm]Banco'!$B$3")</f>
        <v>'[Referência 04-2025.xlsm]Banco'!$B$3</v>
      </c>
      <c r="G10" s="687"/>
      <c r="H10" s="687"/>
      <c r="I10" s="687"/>
      <c r="J10" s="687"/>
      <c r="K10" s="687"/>
      <c r="L10" s="688"/>
      <c r="Y10" s="688"/>
      <c r="Z10" s="688"/>
      <c r="AC10" s="103" t="s">
        <v>718</v>
      </c>
      <c r="AE10" s="88" t="s">
        <v>719</v>
      </c>
      <c r="AF10" s="89" t="b">
        <v>1</v>
      </c>
      <c r="AJ10" s="694"/>
      <c r="AL10" s="692"/>
    </row>
    <row r="11" spans="1:40" x14ac:dyDescent="0.2">
      <c r="F11" s="650" t="str" cm="1">
        <f t="array" aca="1" ref="F11" ca="1">IFERROR(INDIRECT(F10),"")</f>
        <v>04/2025</v>
      </c>
      <c r="G11" s="654" t="str" cm="1">
        <f t="array" aca="1" ref="G11" ca="1">IFERROR(TEXT(Import.DataBase,"mm/aaaa"),"")</f>
        <v>04/2025</v>
      </c>
      <c r="H11" s="104"/>
      <c r="L11" s="688"/>
      <c r="Y11" s="688"/>
      <c r="Z11" s="688"/>
      <c r="AC11" s="105" t="str">
        <f ca="1">IF(COUNTIFS($L$15:$L$508,"F",$AC$15:$AC$508,"&lt;&gt;"&amp;" ",$AC$15:$AC$508,"&lt;&gt;"&amp;"JUSTIFICAR BDI")&gt;0,"NÃO OK","OK")</f>
        <v>OK</v>
      </c>
      <c r="AE11" s="88" t="s">
        <v>720</v>
      </c>
      <c r="AF11" s="89" t="b">
        <v>1</v>
      </c>
      <c r="AJ11" s="694"/>
      <c r="AL11" s="692"/>
    </row>
    <row r="12" spans="1:40" ht="20.100000000000001" customHeight="1" x14ac:dyDescent="0.2">
      <c r="G12" s="85"/>
      <c r="H12" s="85"/>
      <c r="L12" s="688"/>
      <c r="O12" s="588"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IF(COUNTIF($AC$15:$AC$508,"FONTE")&gt;0,"Falta preencher a Fonte (coluna P) na Linha "&amp;(14+MATCH("FONTE",$AC$15:$AC$508,0)),
 IF(COUNTIF($AC$15:$AC$508,"CÓDIGO")&gt;0,"Falta preencher o Código (coluna Q) na Linha "&amp;(14+MATCH("CÓDIGO",$AC$15:$AC$508,0)),
 IF(COUNTIF($AC$15:$AC$508,"CÓDIGO N/ID")&gt;0,"Código (coluna Q) não identificado na Linha "&amp;(14+MATCH("CÓDIGO N/ID",$AC$15:$AC$508,0))&amp;". Verifique se o código está correto ou busque outro código",
 IF(COUNTIF($AC$15:$AC$508,"DESCRIÇÃO")&gt;0,"Falta preencher a Descrição (coluna R) na Linha "&amp;(14+MATCH("DESCRIÇÃO",$AC$15:$AC$508,0)),
 IF(COUNTIF($AC$15:$AC$508,"UNIDADE")&gt;0,"Falta preencher a Unidade (coluna S) na Linha "&amp;(14+MATCH("UNIDADE",$AC$15:$AC$508,0)),
 IF(COUNTIF($AC$15:$AC$508,"SEM CUSTO")&gt;0,"Falta preencher o Custo Unitário (coluna U) na Linha "&amp;(14+MATCH("SEM CUSTO",$AC$15:$AC$508,0)),
 IF(COUNTIF($AC$15:$AC$508,"SEM PREÇO")&gt;0,"Falta preencher o Preço Unitário licitado (coluna AL) na Linha "&amp;(14+MATCH("SEM CUSTO",$AC$15:$AC$508,0)),
 IF(COUNTIF($AC$15:$AC$508,"BDI")&gt;0,"Falta definir o BDI (coluna V) na Linha "&amp;(14+MATCH("BDI",$AC$15:$AC$508,0)),
 IF(COUNTIF($AC$15:$AC$508,"ACIMA REF.")&gt;0,
         IF(TIPOORCAMENTO="Proposto","O custo unitário (coluna U) na Linha "&amp;(14+MATCH("ACIMA REF.",$AC$15:$AC$508,0))&amp;" está acima do custo referencial (coluna AG)",
            "O preço unitário licitado (coluna AL) na Linha "&amp;(14+MATCH("ACIMA REF.",$AC$15:$AC$508,0))&amp;" está acima do preço referencial do edital (coluna AN)"),
 IF(COUNTIF($AC$15:$AC$508,"QUANT.")&gt;0,"Falta a Quantidade do serviço na Linha "&amp;(14+MATCH("QUANT.",$AC$15:$AC$508,0))&amp;IF(ACOMPANHAMENTO="PLE",". Preencher na aba CÁLCULO",". Preencher na coluna AJ"),
 IF(COUNTIF($AC$15:$AC$508,"Código &gt;13")&gt;0,"O tamanho do código do serviço no TransfereGOV é limitado a 13 caracteres. Resuma o código (coluna Q) na Linha "&amp;(14+MATCH("Código &gt;13",$AC$15:$AC$508,0)),
 IF(COUNTIF($AC$15:$AC$508,"Descrição &gt;100")&gt;0,"O tamanho da descrição de macrosserviço no TransfereGOV é limitado a 100 caracteres. Resuma a descrição (coluna R) na Linha "&amp;(14+MATCH("Descrição &gt;100",$AC$15:$AC$508,0)),
 IF(COUNTIF($AC$15:$AC$508,"Descrição &gt;500")&gt;0,"O tamanho da descrição de serviço no TransfereGOV é limitado a 500 caracteres. Resuma a descrição (coluna R) na Linha "&amp;(14+MATCH("Descrição &gt;500",$AC$15:$AC$508,0)),
 IF(COUNTIF($AC$15:$AC$508,"Unid. Não Disp")&gt;0,"Unidade não disponível na lista do TransfereGOV. Reveja a unidade (coluna S) na Linha "&amp;(14+MATCH("Unid. Não Disp",$AC$15:$AC$508,0)),
 IF(AND(TIPOORCAMENTO="Proposto",LEFT($O$8,5)="(N/D:"),"Abra o arquivo Referência "&amp;_xlfn.SINGLE(Excel_BuiltIn_Database)&amp;".xlsm","")))))))))))))))))</f>
        <v/>
      </c>
      <c r="Y12" s="688"/>
      <c r="Z12" s="688"/>
      <c r="AA12" s="693" t="s">
        <v>721</v>
      </c>
      <c r="AB12" s="693"/>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IF(OR($C14="S",$C14=0),0,MATCH(0,OFFSET($D14,1,$C14,ROW($C$508)-ROW($C14)),0))</f>
        <v>0</v>
      </c>
      <c r="K14">
        <f ca="1">IF(OR($C14="S",$C14=0),0,MATCH(OFFSET($D14,0,$C14)+IF($C14&lt;&gt;1,1,COUNTIF(QCI!$A$13:$A$15,ORÇAMENTO!E14)),OFFSET($D14,1,$C14,ROW($C$508)-ROW($C14)),0))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f ca="1">IF($C14="S",REFERENCIA.Descricao,"(digite a descrição aqui)")</f>
        <v>(Sem Código)</v>
      </c>
      <c r="S14" s="121" t="str">
        <f ca="1">REFERENCIA.Unidade</f>
        <v>-</v>
      </c>
      <c r="T14" s="122">
        <f ca="1">OFFSET(CÁLCULO!H$15,ROW($T14)-ROW(T$15),0)</f>
        <v>0</v>
      </c>
      <c r="U14" s="123"/>
      <c r="V14" s="124" t="s">
        <v>663</v>
      </c>
      <c r="W14" s="122">
        <f ca="1">IF($C14="S",ROUND(IF(TIPOORCAMENTO="Proposto",ORÇAMENTO.CustoUnitario*(1+$AH14),ORÇAMENTO.PrecoUnitarioLicitado),15-13*$AF$10),0)</f>
        <v>0</v>
      </c>
      <c r="X14" s="125" cm="1">
        <f t="array" aca="1" ref="X14" ca="1">IF($C14="S",IF(OR(Import.TipoArredondamento&lt;&gt;"TransfereGOV",ACOMPANHAMENTO="BM"),VTOTAL1,SUM(OFFSET(CÁLCULO!$AI$15,ROW($X14)-ROW($X$15),1):OFFSET(CÁLCULO!$BB$15,ROW($X14)-ROW($X$15),-1))),IF($C14=0,0,ROUND(SomaAgrup,15-13*$AF$11)))</f>
        <v>0</v>
      </c>
      <c r="Y14" s="126" t="s">
        <v>751</v>
      </c>
      <c r="Z14" t="str">
        <f ca="1">IF(AND($C14="S",$X14&gt;0),IF(ISBLANK($Y14),"RA",LEFT($Y14,2)),"")</f>
        <v/>
      </c>
      <c r="AA14" s="127">
        <f ca="1">IF($C14="S",IF($Z14="CP",$X14,IF($Z14="RA",(($X14)*QCI!$AA$3),0)),SomaAgrup)</f>
        <v>0</v>
      </c>
      <c r="AB14" s="128">
        <f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IF(C14&lt;=CRONO.NivelExibicao,MAX($AD$15:OFFSET(AD14,-1,0))+IF($C14&lt;&gt;1,1,MAX(1,COUNTIF(QCI!$A$13:$A$15,OFFSET($E14,-1,0)))),"")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8">
        <f ca="1">ROUND(IF(DESONERACAO="sim",REFERENCIA.Desonerado,REFERENCIA.NaoDesonerado),2)</f>
        <v>0</v>
      </c>
      <c r="AH14" s="429">
        <f ca="1">ROUND(IF(ISNUMBER(ORÇAMENTO.OpcaoBDI),ORÇAMENTO.OpcaoBDI,IF(LEFT(ORÇAMENTO.OpcaoBDI,3)="BDI",HLOOKUP(ORÇAMENTO.OpcaoBDI,$F$4:$H$5,2,FALSE),0)),15-11*$AF$9)</f>
        <v>0.23499999999999999</v>
      </c>
      <c r="AJ14" s="431"/>
      <c r="AL14" s="439"/>
      <c r="AM14" s="336">
        <f t="shared" ref="AM14:AM273" ca="1" si="0">$X14</f>
        <v>0</v>
      </c>
      <c r="AN14" s="470">
        <f ca="1">ROUND(ORÇAMENTO.CustoUnitario*(1+$AH14),2)</f>
        <v>0</v>
      </c>
    </row>
    <row r="15" spans="1:40" ht="12.75" customHeight="1" x14ac:dyDescent="0.2">
      <c r="A15">
        <v>0</v>
      </c>
      <c r="C15" t="s">
        <v>654</v>
      </c>
      <c r="D15">
        <f ca="1">COUNTA(OFFSET(D15,1,0):D$508)</f>
        <v>492</v>
      </c>
      <c r="E15">
        <v>0</v>
      </c>
      <c r="L15" s="114" t="s">
        <v>536</v>
      </c>
      <c r="M15" s="130" t="str">
        <f>IF(TIPOORCAMENTO="LICITADO","CTEF","LOTE")</f>
        <v>LOTE</v>
      </c>
      <c r="N15" s="130" t="str">
        <f>IF(TIPOORCAMENTO="LICITADO","CTEF","LOTE")</f>
        <v>LOTE</v>
      </c>
      <c r="O15" s="678" t="str">
        <f>Import.DescLote</f>
        <v>ETE - BREJO ALEGRE - FASE II</v>
      </c>
      <c r="P15" s="679"/>
      <c r="Q15" s="679"/>
      <c r="R15" s="679"/>
      <c r="S15" s="603"/>
      <c r="T15" s="604"/>
      <c r="U15" s="604"/>
      <c r="V15" s="605"/>
      <c r="W15" s="604"/>
      <c r="X15" s="131">
        <f ca="1">SUMIF(OFFSET($C15,1,0,ROW(X508)-ROW(X15)-1),"S",OFFSET(X15,1,0,ROW(X508)-ROW(X15)-1))</f>
        <v>8302970.1299999971</v>
      </c>
      <c r="Y15" s="7"/>
      <c r="Z15" t="str">
        <f ca="1">IF(AND($C15="S",$X15&gt;0),LEFT($Y15,2),"")</f>
        <v/>
      </c>
      <c r="AA15" s="426">
        <f ca="1">SUMIF(OFFSET($C15,1,0,ROW(AA508)-ROW(AA15)-1),"S",OFFSET(AA15,1,0,ROW(AA508)-ROW(AA15)-1))</f>
        <v>0</v>
      </c>
      <c r="AB15" s="132">
        <f ca="1">SUMIF(OFFSET($C15,1,0,ROW(AB508)-ROW(AB15)-1),"S",OFFSET(AB15,1,0,ROW(AB508)-ROW(AB15)-1))</f>
        <v>0</v>
      </c>
      <c r="AC15" s="565" t="s">
        <v>752</v>
      </c>
      <c r="AG15" s="441"/>
      <c r="AH15" s="442"/>
      <c r="AJ15" s="430"/>
      <c r="AL15" s="440"/>
      <c r="AM15" s="471">
        <f t="shared" ca="1" si="0"/>
        <v>8302970.1299999971</v>
      </c>
      <c r="AN15" s="472"/>
    </row>
    <row r="16" spans="1:40" x14ac:dyDescent="0.2">
      <c r="A16">
        <f t="shared" ref="A16:A84" si="1">CHOOSE(1+LOG(1+2*(ORÇAMENTO.Nivel="Meta")+4*(ORÇAMENTO.Nivel="Nível 2")+8*(ORÇAMENTO.Nivel="Nível 3")+16*(ORÇAMENTO.Nivel="Nível 4")+32*(ORÇAMENTO.Nivel="Serviço"),2),0,1,2,3,4,"S")</f>
        <v>1</v>
      </c>
      <c r="B16">
        <f t="shared" ref="B16:B84" ca="1" si="2">IF(OR(C16="s",C16=0),OFFSET(B16,-1,0),C16)</f>
        <v>1</v>
      </c>
      <c r="C16">
        <f t="shared" ref="C16:C84" ca="1" si="3">IF(OFFSET(C16,-1,0)="L",1,IF(OFFSET(C16,-1,0)=1,2,IF(OR(A16="s",A16=0),"S",IF(AND(OFFSET(C16,-1,0)=2,A16=4),3,IF(AND(OR(OFFSET(C16,-1,0)="s",OFFSET(C16,-1,0)=0),A16&lt;&gt;"s",A16&gt;OFFSET(B16,-1,0)),OFFSET(B16,-1,0),A16)))))</f>
        <v>1</v>
      </c>
      <c r="D16">
        <f t="shared" ref="D16:D84" ca="1" si="4">IF(OR(C16="S",C16=0),0,IF(ISERROR(K16),J16,SMALL(J16:K16,1)))</f>
        <v>492</v>
      </c>
      <c r="E16">
        <f ca="1">IF($C16=1,OFFSET(E16,-1,0)+MAX(1,COUNTIF(QCI!$A$13:$A$15,OFFSET(ORÇAMENTO!E16,-1,0))),OFFSET(E16,-1,0))</f>
        <v>1</v>
      </c>
      <c r="F16">
        <f t="shared" ref="F16:F84" ca="1" si="5">IF($C16=1,0,IF($C16=2,OFFSET(F16,-1,0)+1,OFFSET(F16,-1,0)))</f>
        <v>0</v>
      </c>
      <c r="G16">
        <f t="shared" ref="G16:G84" ca="1" si="6">IF(AND($C16&lt;=2,$C16&lt;&gt;0),0,IF($C16=3,OFFSET(G16,-1,0)+1,OFFSET(G16,-1,0)))</f>
        <v>0</v>
      </c>
      <c r="H16">
        <f t="shared" ref="H16:H84" ca="1" si="7">IF(AND($C16&lt;=3,$C16&lt;&gt;0),0,IF($C16=4,OFFSET(H16,-1,0)+1,OFFSET(H16,-1,0)))</f>
        <v>0</v>
      </c>
      <c r="I16">
        <f t="shared" ref="I16:I84" ca="1" si="8">IF(AND($C16&lt;=4,$C16&lt;&gt;0),0,IF(AND($C16="S",$X16&gt;0),OFFSET(I16,-1,0)+1,OFFSET(I16,-1,0)))</f>
        <v>0</v>
      </c>
      <c r="J16">
        <f t="shared" ref="J16:J79" ca="1" si="9">IF(OR($C16="S",$C16=0),0,MATCH(0,OFFSET($D16,1,$C16,ROW($C$508)-ROW($C16)),0))</f>
        <v>492</v>
      </c>
      <c r="K16" t="e">
        <f ca="1">IF(OR($C16="S",$C16=0),0,MATCH(OFFSET($D16,0,$C16)+IF($C16&lt;&gt;1,1,COUNTIF(QCI!$A$13:$A$15,ORÇAMENTO!E16)),OFFSET($D16,1,$C16,ROW($C$508)-ROW($C16)),0))</f>
        <v>#N/A</v>
      </c>
      <c r="L16" s="114" t="str">
        <f t="shared" ref="L16:L84" ca="1" si="10">IF(OR($X16&gt;0,$C16=1,$C16=2,$C16=3,$C16=4),"F","")</f>
        <v>F</v>
      </c>
      <c r="M16" s="115" t="s">
        <v>701</v>
      </c>
      <c r="N16" s="116" t="str">
        <f t="shared" ref="N16:N84" ca="1" si="11">CHOOSE(1+LOG(1+2*(C16=1)+4*(C16=2)+8*(C16=3)+16*(C16=4)+32*(C16="S"),2),"","Meta","Nível 2","Nível 3","Nível 4","Serviço")</f>
        <v>Meta</v>
      </c>
      <c r="O16" s="117" t="str">
        <f t="shared" ref="O16:O84" ca="1" si="12">IF(OR($C16=0,$L16=""),"-",CONCATENATE(E16&amp;".",IF(AND($A$5&gt;=2,$C16&gt;=2),F16&amp;".",""),IF(AND($A$5&gt;=3,$C16&gt;=3),G16&amp;".",""),IF(AND($A$5&gt;=4,$C16&gt;=4),H16&amp;".",""),IF($C16="S",I16&amp;".","")))</f>
        <v>1.</v>
      </c>
      <c r="P16" s="118" t="s">
        <v>750</v>
      </c>
      <c r="Q16" s="119"/>
      <c r="R16" s="120" t="s">
        <v>999</v>
      </c>
      <c r="S16" s="121" t="s">
        <v>688</v>
      </c>
      <c r="T16" s="122">
        <f ca="1">OFFSET(CÁLCULO!H$15,ROW($T16)-ROW(T$15),0)</f>
        <v>0</v>
      </c>
      <c r="U16" s="123"/>
      <c r="V16" s="124" t="s">
        <v>663</v>
      </c>
      <c r="W16" s="122">
        <f ca="1">IF($C16="S",ROUND(IF(TIPOORCAMENTO="Proposto",ORÇAMENTO.CustoUnitario*(1+$AH16),ORÇAMENTO.PrecoUnitarioLicitado),15-13*$AF$10),0)</f>
        <v>0</v>
      </c>
      <c r="X16" s="125" cm="1">
        <f t="array" aca="1" ref="X16" ca="1">IF($C16="S",IF(OR(Import.TipoArredondamento&lt;&gt;"TransfereGOV",ACOMPANHAMENTO="BM"),VTOTAL1,SUM(OFFSET(CÁLCULO!$AI$15,ROW($X16)-ROW($X$15),1):OFFSET(CÁLCULO!$BB$15,ROW($X16)-ROW($X$15),-1))),IF($C16=0,0,ROUND(SomaAgrup,15-13*$AF$11)))</f>
        <v>8302970.1299999999</v>
      </c>
      <c r="Y16" s="126" t="s">
        <v>751</v>
      </c>
      <c r="Z16" t="str">
        <f t="shared" ref="Z16:Z84" ca="1" si="13">IF(AND($C16="S",$X16&gt;0),IF(ISBLANK($Y16),"RA",LEFT($Y16,2)),"")</f>
        <v/>
      </c>
      <c r="AA16" s="127">
        <f ca="1">IF($C16="S",IF($Z16="CP",$X16,IF($Z16="RA",(($X16)*QCI!$AA$3),0)),SomaAgrup)</f>
        <v>0</v>
      </c>
      <c r="AB16" s="128">
        <f t="shared" ref="AB16:AB84" ca="1" si="14">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IF(C16&lt;=CRONO.NivelExibicao,MAX($AD$15:OFFSET(AD16,-1,0))+IF($C16&lt;&gt;1,1,MAX(1,COUNTIF(QCI!$A$13:$A$15,OFFSET($E16,-1,0)))),"")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8">
        <f ca="1">ROUND(IF(DESONERACAO="sim",REFERENCIA.Desonerado,REFERENCIA.NaoDesonerado),2)</f>
        <v>0</v>
      </c>
      <c r="AH16" s="429">
        <f t="shared" ref="AH16:AH84" ca="1" si="15">ROUND(IF(ISNUMBER(ORÇAMENTO.OpcaoBDI),ORÇAMENTO.OpcaoBDI,IF(LEFT(ORÇAMENTO.OpcaoBDI,3)="BDI",HLOOKUP(ORÇAMENTO.OpcaoBDI,$F$4:$H$5,2,FALSE),0)),15-11*$AF$9)</f>
        <v>0.23499999999999999</v>
      </c>
      <c r="AJ16" s="431"/>
      <c r="AL16" s="439"/>
      <c r="AM16" s="336">
        <f t="shared" ca="1" si="0"/>
        <v>8302970.1299999999</v>
      </c>
      <c r="AN16" s="470">
        <f t="shared" ref="AN16:AN84" ca="1" si="16">ROUND(ORÇAMENTO.CustoUnitario*(1+$AH16),2)</f>
        <v>0</v>
      </c>
    </row>
    <row r="17" spans="1:40" x14ac:dyDescent="0.2">
      <c r="A17">
        <f>CHOOSE(1+LOG(1+2*(ORÇAMENTO.Nivel="Meta")+4*(ORÇAMENTO.Nivel="Nível 2")+8*(ORÇAMENTO.Nivel="Nível 3")+16*(ORÇAMENTO.Nivel="Nível 4")+32*(ORÇAMENTO.Nivel="Serviço"),2),0,1,2,3,4,"S")</f>
        <v>2</v>
      </c>
      <c r="B17">
        <f ca="1">IF(OR(C17="s",C17=0),OFFSET(B17,-1,0),C17)</f>
        <v>2</v>
      </c>
      <c r="C17">
        <f ca="1">IF(OFFSET(C17,-1,0)="L",1,IF(OFFSET(C17,-1,0)=1,2,IF(OR(A17="s",A17=0),"S",IF(AND(OFFSET(C17,-1,0)=2,A17=4),3,IF(AND(OR(OFFSET(C17,-1,0)="s",OFFSET(C17,-1,0)=0),A17&lt;&gt;"s",A17&gt;OFFSET(B17,-1,0)),OFFSET(B17,-1,0),A17)))))</f>
        <v>2</v>
      </c>
      <c r="D17">
        <f ca="1">IF(OR(C17="S",C17=0),0,IF(ISERROR(K17),J17,SMALL(J17:K17,1)))</f>
        <v>7</v>
      </c>
      <c r="E17">
        <f ca="1">IF($C17=1,OFFSET(E17,-1,0)+MAX(1,COUNTIF(QCI!$A$13:$A$15,OFFSET(ORÇAMENTO!E17,-1,0))),OFFSET(E17,-1,0))</f>
        <v>1</v>
      </c>
      <c r="F17">
        <f ca="1">IF($C17=1,0,IF($C17=2,OFFSET(F17,-1,0)+1,OFFSET(F17,-1,0)))</f>
        <v>1</v>
      </c>
      <c r="G17">
        <f ca="1">IF(AND($C17&lt;=2,$C17&lt;&gt;0),0,IF($C17=3,OFFSET(G17,-1,0)+1,OFFSET(G17,-1,0)))</f>
        <v>0</v>
      </c>
      <c r="H17">
        <f ca="1">IF(AND($C17&lt;=3,$C17&lt;&gt;0),0,IF($C17=4,OFFSET(H17,-1,0)+1,OFFSET(H17,-1,0)))</f>
        <v>0</v>
      </c>
      <c r="I17">
        <f ca="1">IF(AND($C17&lt;=4,$C17&lt;&gt;0),0,IF(AND($C17="S",$X17&gt;0),OFFSET(I17,-1,0)+1,OFFSET(I17,-1,0)))</f>
        <v>0</v>
      </c>
      <c r="J17">
        <f t="shared" ca="1" si="9"/>
        <v>491</v>
      </c>
      <c r="K17">
        <f ca="1">IF(OR($C17="S",$C17=0),0,MATCH(OFFSET($D17,0,$C17)+IF($C17&lt;&gt;1,1,COUNTIF(QCI!$A$13:$A$15,ORÇAMENTO!E17)),OFFSET($D17,1,$C17,ROW($C$508)-ROW($C17)),0))</f>
        <v>7</v>
      </c>
      <c r="L17" s="114" t="str">
        <f ca="1">IF(OR($X17&gt;0,$C17=1,$C17=2,$C17=3,$C17=4),"F","")</f>
        <v>F</v>
      </c>
      <c r="M17" s="115" t="s">
        <v>702</v>
      </c>
      <c r="N17" s="116" t="str">
        <f ca="1">CHOOSE(1+LOG(1+2*(C17=1)+4*(C17=2)+8*(C17=3)+16*(C17=4)+32*(C17="S"),2),"","Meta","Nível 2","Nível 3","Nível 4","Serviço")</f>
        <v>Nível 2</v>
      </c>
      <c r="O17" s="117" t="str">
        <f ca="1">IF(OR($C17=0,$L17=""),"-",CONCATENATE(E17&amp;".",IF(AND($A$5&gt;=2,$C17&gt;=2),F17&amp;".",""),IF(AND($A$5&gt;=3,$C17&gt;=3),G17&amp;".",""),IF(AND($A$5&gt;=4,$C17&gt;=4),H17&amp;".",""),IF($C17="S",I17&amp;".","")))</f>
        <v>1.1.</v>
      </c>
      <c r="P17" s="118" t="s">
        <v>750</v>
      </c>
      <c r="Q17" s="119"/>
      <c r="R17" s="120" t="s">
        <v>1203</v>
      </c>
      <c r="S17" s="121" t="str">
        <f ca="1">REFERENCIA.Unidade</f>
        <v>-</v>
      </c>
      <c r="T17" s="122">
        <f ca="1">OFFSET(CÁLCULO!H$15,ROW($T17)-ROW(T$15),0)</f>
        <v>0</v>
      </c>
      <c r="U17" s="123"/>
      <c r="V17" s="124" t="s">
        <v>663</v>
      </c>
      <c r="W17" s="122">
        <f ca="1">IF($C17="S",ROUND(IF(TIPOORCAMENTO="Proposto",ORÇAMENTO.CustoUnitario*(1+$AH17),ORÇAMENTO.PrecoUnitarioLicitado),15-13*$AF$10),0)</f>
        <v>0</v>
      </c>
      <c r="X17" s="125" cm="1">
        <f t="array" aca="1" ref="X17" ca="1">IF($C17="S",IF(OR(Import.TipoArredondamento&lt;&gt;"TransfereGOV",ACOMPANHAMENTO="BM"),VTOTAL1,SUM(OFFSET(CÁLCULO!$AI$15,ROW($X17)-ROW($X$15),1):OFFSET(CÁLCULO!$BB$15,ROW($X17)-ROW($X$15),-1))),IF($C17=0,0,ROUND(SomaAgrup,15-13*$AF$11)))</f>
        <v>9287.2900000000009</v>
      </c>
      <c r="Y17" s="126" t="s">
        <v>751</v>
      </c>
      <c r="Z17" t="str">
        <f ca="1">IF(AND($C17="S",$X17&gt;0),IF(ISBLANK($Y17),"RA",LEFT($Y17,2)),"")</f>
        <v/>
      </c>
      <c r="AA17" s="127">
        <f ca="1">IF($C17="S",IF($Z17="CP",$X17,IF($Z17="RA",(($X17)*QCI!$AA$3),0)),SomaAgrup)</f>
        <v>0</v>
      </c>
      <c r="AB17" s="128">
        <f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IF(C17&lt;=CRONO.NivelExibicao,MAX($AD$15:OFFSET(AD17,-1,0))+IF($C17&lt;&gt;1,1,MAX(1,COUNTIF(QCI!$A$13:$A$15,OFFSET($E17,-1,0)))),"")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8">
        <f ca="1">ROUND(IF(DESONERACAO="sim",REFERENCIA.Desonerado,REFERENCIA.NaoDesonerado),2)</f>
        <v>0</v>
      </c>
      <c r="AH17" s="429">
        <f ca="1">ROUND(IF(ISNUMBER(ORÇAMENTO.OpcaoBDI),ORÇAMENTO.OpcaoBDI,IF(LEFT(ORÇAMENTO.OpcaoBDI,3)="BDI",HLOOKUP(ORÇAMENTO.OpcaoBDI,$F$4:$H$5,2,FALSE),0)),15-11*$AF$9)</f>
        <v>0.23499999999999999</v>
      </c>
      <c r="AJ17" s="431"/>
      <c r="AL17" s="439"/>
      <c r="AM17" s="336">
        <f t="shared" ref="AM17" ca="1" si="17">$X17</f>
        <v>9287.2900000000009</v>
      </c>
      <c r="AN17" s="470">
        <f ca="1">ROUND(ORÇAMENTO.CustoUnitario*(1+$AH17),2)</f>
        <v>0</v>
      </c>
    </row>
    <row r="18" spans="1:40" x14ac:dyDescent="0.2">
      <c r="A18">
        <f t="shared" si="1"/>
        <v>3</v>
      </c>
      <c r="B18">
        <f t="shared" ca="1" si="2"/>
        <v>3</v>
      </c>
      <c r="C18">
        <f t="shared" ca="1" si="3"/>
        <v>3</v>
      </c>
      <c r="D18">
        <f t="shared" ca="1" si="4"/>
        <v>6</v>
      </c>
      <c r="E18">
        <f ca="1">IF($C18=1,OFFSET(E18,-1,0)+MAX(1,COUNTIF(QCI!$A$13:$A$15,OFFSET(ORÇAMENTO!E18,-1,0))),OFFSET(E18,-1,0))</f>
        <v>1</v>
      </c>
      <c r="F18">
        <f t="shared" ca="1" si="5"/>
        <v>1</v>
      </c>
      <c r="G18">
        <f t="shared" ca="1" si="6"/>
        <v>1</v>
      </c>
      <c r="H18">
        <f t="shared" ca="1" si="7"/>
        <v>0</v>
      </c>
      <c r="I18">
        <f t="shared" ca="1" si="8"/>
        <v>0</v>
      </c>
      <c r="J18">
        <f t="shared" ca="1" si="9"/>
        <v>6</v>
      </c>
      <c r="K18">
        <f ca="1">IF(OR($C18="S",$C18=0),0,MATCH(OFFSET($D18,0,$C18)+IF($C18&lt;&gt;1,1,COUNTIF(QCI!$A$13:$A$15,ORÇAMENTO!E18)),OFFSET($D18,1,$C18,ROW($C$508)-ROW($C18)),0))</f>
        <v>12</v>
      </c>
      <c r="L18" s="114" t="str">
        <f t="shared" ca="1" si="10"/>
        <v>F</v>
      </c>
      <c r="M18" s="115" t="s">
        <v>703</v>
      </c>
      <c r="N18" s="116" t="str">
        <f t="shared" ca="1" si="11"/>
        <v>Nível 3</v>
      </c>
      <c r="O18" s="117" t="str">
        <f t="shared" ca="1" si="12"/>
        <v>1.1.1.</v>
      </c>
      <c r="P18" s="118" t="s">
        <v>750</v>
      </c>
      <c r="Q18" s="119"/>
      <c r="R18" s="120" t="s">
        <v>1204</v>
      </c>
      <c r="S18" s="121" t="s">
        <v>688</v>
      </c>
      <c r="T18" s="122">
        <f ca="1">OFFSET(CÁLCULO!H$15,ROW($T18)-ROW(T$15),0)</f>
        <v>0</v>
      </c>
      <c r="U18" s="123"/>
      <c r="V18" s="124" t="s">
        <v>663</v>
      </c>
      <c r="W18" s="122">
        <f ca="1">IF($C18="S",ROUND(IF(TIPOORCAMENTO="Proposto",ORÇAMENTO.CustoUnitario*(1+$AH18),ORÇAMENTO.PrecoUnitarioLicitado),15-13*$AF$10),0)</f>
        <v>0</v>
      </c>
      <c r="X18" s="125" cm="1">
        <f t="array" aca="1" ref="X18" ca="1">IF($C18="S",IF(OR(Import.TipoArredondamento&lt;&gt;"TransfereGOV",ACOMPANHAMENTO="BM"),VTOTAL1,SUM(OFFSET(CÁLCULO!$AI$15,ROW($X18)-ROW($X$15),1):OFFSET(CÁLCULO!$BB$15,ROW($X18)-ROW($X$15),-1))),IF($C18=0,0,ROUND(SomaAgrup,15-13*$AF$11)))</f>
        <v>9287.2900000000009</v>
      </c>
      <c r="Y18" s="126" t="s">
        <v>751</v>
      </c>
      <c r="Z18" t="str">
        <f t="shared" ca="1" si="13"/>
        <v/>
      </c>
      <c r="AA18" s="127">
        <f ca="1">IF($C18="S",IF($Z18="CP",$X18,IF($Z18="RA",(($X18)*QCI!$AA$3),0)),SomaAgrup)</f>
        <v>0</v>
      </c>
      <c r="AB18" s="128">
        <f t="shared" ca="1" si="14"/>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IF(C18&lt;=CRONO.NivelExibicao,MAX($AD$15:OFFSET(AD18,-1,0))+IF($C18&lt;&gt;1,1,MAX(1,COUNTIF(QCI!$A$13:$A$15,OFFSET($E18,-1,0)))),"")</f>
        <v/>
      </c>
      <c r="AE18" s="7" t="b">
        <f ca="1">IF(AND($C18="S",ORÇAMENTO.CodBarra&lt;&gt;""),IF(ORÇAMENTO.Fonte="",ORÇAMENTO.CodBarra,CONCATENATE(ORÇAMENTO.Fonte," ",ORÇAMENTO.CodBarra)))</f>
        <v>0</v>
      </c>
      <c r="AF18" s="12" t="str">
        <f ca="1">IF(ISERROR(INDIRECT(ORÇAMENTO.BancoRef)),"(abra o arquivo 'Referência "&amp;Excel_BuiltIn_Database&amp;".xlsm)",IF(OR($C18&lt;&gt;"S",ORÇAMENTO.CodBarra=""),"(Sem Código)",IF(ISERROR(MATCH($AE18,INDIRECT(ORÇAMENTO.BancoRef),0)),"(Código não identificado nas referências)",MATCH($AE18,INDIRECT(ORÇAMENTO.BancoRef),0))))</f>
        <v>(Sem Código)</v>
      </c>
      <c r="AG18" s="428">
        <f ca="1">ROUND(IF(DESONERACAO="sim",REFERENCIA.Desonerado,REFERENCIA.NaoDesonerado),2)</f>
        <v>0</v>
      </c>
      <c r="AH18" s="429">
        <f t="shared" ca="1" si="15"/>
        <v>0.23499999999999999</v>
      </c>
      <c r="AJ18" s="431"/>
      <c r="AL18" s="439"/>
      <c r="AM18" s="336">
        <f t="shared" ca="1" si="0"/>
        <v>9287.2900000000009</v>
      </c>
      <c r="AN18" s="470">
        <f t="shared" ca="1" si="16"/>
        <v>0</v>
      </c>
    </row>
    <row r="19" spans="1:40" ht="38.25" x14ac:dyDescent="0.2">
      <c r="A19" t="str">
        <f t="shared" si="1"/>
        <v>S</v>
      </c>
      <c r="B19">
        <f t="shared" ca="1" si="2"/>
        <v>3</v>
      </c>
      <c r="C19" t="str">
        <f t="shared" ca="1" si="3"/>
        <v>S</v>
      </c>
      <c r="D19">
        <f t="shared" ca="1" si="4"/>
        <v>0</v>
      </c>
      <c r="E19">
        <f ca="1">IF($C19=1,OFFSET(E19,-1,0)+MAX(1,COUNTIF(QCI!$A$13:$A$15,OFFSET(ORÇAMENTO!E19,-1,0))),OFFSET(E19,-1,0))</f>
        <v>1</v>
      </c>
      <c r="F19">
        <f t="shared" ca="1" si="5"/>
        <v>1</v>
      </c>
      <c r="G19">
        <f t="shared" ca="1" si="6"/>
        <v>1</v>
      </c>
      <c r="H19">
        <f t="shared" ca="1" si="7"/>
        <v>0</v>
      </c>
      <c r="I19">
        <f t="shared" ca="1" si="8"/>
        <v>1</v>
      </c>
      <c r="J19">
        <f t="shared" ca="1" si="9"/>
        <v>0</v>
      </c>
      <c r="K19">
        <f ca="1">IF(OR($C19="S",$C19=0),0,MATCH(OFFSET($D19,0,$C19)+IF($C19&lt;&gt;1,1,COUNTIF(QCI!$A$13:$A$15,ORÇAMENTO!E19)),OFFSET($D19,1,$C19,ROW($C$508)-ROW($C19)),0))</f>
        <v>0</v>
      </c>
      <c r="L19" s="114" t="str">
        <f t="shared" ca="1" si="10"/>
        <v>F</v>
      </c>
      <c r="M19" s="115" t="s">
        <v>705</v>
      </c>
      <c r="N19" s="116" t="str">
        <f t="shared" ca="1" si="11"/>
        <v>Serviço</v>
      </c>
      <c r="O19" s="117" t="str">
        <f t="shared" ca="1" si="12"/>
        <v>1.1.1.0.1.</v>
      </c>
      <c r="P19" s="118" t="s">
        <v>750</v>
      </c>
      <c r="Q19" s="119" t="s">
        <v>1380</v>
      </c>
      <c r="R19" s="120" t="str">
        <f ca="1">IF($C19="S",REFERENCIA.Descricao,"(digite a descrição aqui)")</f>
        <v>CAMINHÃO TRUCADO (C/ TERCEIRO EIXO) ELETRÔNICO - POTÊNCIA 231CV - PBT = 22000KG - DIST. ENTRE EIXOS 5170 MM - INCLUI CARROCERIA FIXA ABERTA DE MADEIRA - CHP DIURNO. AF_06/2015</v>
      </c>
      <c r="S19" s="121" t="str">
        <f ca="1">REFERENCIA.Unidade</f>
        <v>CHP</v>
      </c>
      <c r="T19" s="122">
        <f ca="1">OFFSET(CÁLCULO!H$15,ROW($T19)-ROW(T$15),0)</f>
        <v>16.96</v>
      </c>
      <c r="U19" s="123">
        <f ca="1">AG19</f>
        <v>266.2</v>
      </c>
      <c r="V19" s="124" t="s">
        <v>663</v>
      </c>
      <c r="W19" s="122">
        <f ca="1">IF($C19="S",ROUND(IF(TIPOORCAMENTO="Proposto",ORÇAMENTO.CustoUnitario*(1+$AH19),ORÇAMENTO.PrecoUnitarioLicitado),15-13*$AF$10),0)</f>
        <v>328.76</v>
      </c>
      <c r="X19" s="125" cm="1">
        <f t="array" aca="1" ref="X19" ca="1">IF($C19="S",IF(OR(Import.TipoArredondamento&lt;&gt;"TransfereGOV",ACOMPANHAMENTO="BM"),VTOTAL1,SUM(OFFSET(CÁLCULO!$AI$15,ROW($X19)-ROW($X$15),1):OFFSET(CÁLCULO!$BB$15,ROW($X19)-ROW($X$15),-1))),IF($C19=0,0,ROUND(SomaAgrup,15-13*$AF$11)))</f>
        <v>5575.77</v>
      </c>
      <c r="Y19" s="126" t="s">
        <v>751</v>
      </c>
      <c r="Z19" t="str">
        <f t="shared" ca="1" si="13"/>
        <v>RA</v>
      </c>
      <c r="AA19" s="127">
        <f ca="1">IF($C19="S",IF($Z19="CP",$X19,IF($Z19="RA",(($X19)*QCI!$AA$3),0)),SomaAgrup)</f>
        <v>0</v>
      </c>
      <c r="AB19" s="128">
        <f t="shared" ca="1" si="14"/>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IF(C19&lt;=CRONO.NivelExibicao,MAX($AD$15:OFFSET(AD19,-1,0))+IF($C19&lt;&gt;1,1,MAX(1,COUNTIF(QCI!$A$13:$A$15,OFFSET($E19,-1,0)))),"")</f>
        <v/>
      </c>
      <c r="AE19" s="7" t="str">
        <f ca="1">IF(AND($C19="S",ORÇAMENTO.CodBarra&lt;&gt;""),IF(ORÇAMENTO.Fonte="",ORÇAMENTO.CodBarra,CONCATENATE(ORÇAMENTO.Fonte," ",ORÇAMENTO.CodBarra)))</f>
        <v>SINAPI 91031</v>
      </c>
      <c r="AF19" s="12">
        <f ca="1">IF(ISERROR(INDIRECT(ORÇAMENTO.BancoRef)),"(abra o arquivo 'Referência "&amp;Excel_BuiltIn_Database&amp;".xlsm)",IF(OR($C19&lt;&gt;"S",ORÇAMENTO.CodBarra=""),"(Sem Código)",IF(ISERROR(MATCH($AE19,INDIRECT(ORÇAMENTO.BancoRef),0)),"(Código não identificado nas referências)",MATCH($AE19,INDIRECT(ORÇAMENTO.BancoRef),0))))</f>
        <v>7541</v>
      </c>
      <c r="AG19" s="428">
        <f ca="1">ROUND(IF(DESONERACAO="sim",REFERENCIA.Desonerado,REFERENCIA.NaoDesonerado),2)</f>
        <v>266.2</v>
      </c>
      <c r="AH19" s="429">
        <f t="shared" ca="1" si="15"/>
        <v>0.23499999999999999</v>
      </c>
      <c r="AJ19" s="431">
        <v>16.96</v>
      </c>
      <c r="AL19" s="439"/>
      <c r="AM19" s="336">
        <f t="shared" ca="1" si="0"/>
        <v>5575.77</v>
      </c>
      <c r="AN19" s="470">
        <f t="shared" ca="1" si="16"/>
        <v>328.76</v>
      </c>
    </row>
    <row r="20" spans="1:40" ht="51" x14ac:dyDescent="0.2">
      <c r="A20" t="str">
        <f t="shared" si="1"/>
        <v>S</v>
      </c>
      <c r="B20">
        <f t="shared" ca="1" si="2"/>
        <v>3</v>
      </c>
      <c r="C20" t="str">
        <f t="shared" ca="1" si="3"/>
        <v>S</v>
      </c>
      <c r="D20">
        <f t="shared" ca="1" si="4"/>
        <v>0</v>
      </c>
      <c r="E20">
        <f ca="1">IF($C20=1,OFFSET(E20,-1,0)+MAX(1,COUNTIF(QCI!$A$13:$A$15,OFFSET(ORÇAMENTO!E20,-1,0))),OFFSET(E20,-1,0))</f>
        <v>1</v>
      </c>
      <c r="F20">
        <f t="shared" ca="1" si="5"/>
        <v>1</v>
      </c>
      <c r="G20">
        <f t="shared" ca="1" si="6"/>
        <v>1</v>
      </c>
      <c r="H20">
        <f t="shared" ca="1" si="7"/>
        <v>0</v>
      </c>
      <c r="I20">
        <f t="shared" ca="1" si="8"/>
        <v>2</v>
      </c>
      <c r="J20">
        <f t="shared" ca="1" si="9"/>
        <v>0</v>
      </c>
      <c r="K20">
        <f ca="1">IF(OR($C20="S",$C20=0),0,MATCH(OFFSET($D20,0,$C20)+IF($C20&lt;&gt;1,1,COUNTIF(QCI!$A$13:$A$15,ORÇAMENTO!E20)),OFFSET($D20,1,$C20,ROW($C$508)-ROW($C20)),0))</f>
        <v>0</v>
      </c>
      <c r="L20" s="114" t="str">
        <f t="shared" ca="1" si="10"/>
        <v>F</v>
      </c>
      <c r="M20" s="115" t="s">
        <v>705</v>
      </c>
      <c r="N20" s="116" t="str">
        <f t="shared" ca="1" si="11"/>
        <v>Serviço</v>
      </c>
      <c r="O20" s="117" t="str">
        <f t="shared" ca="1" si="12"/>
        <v>1.1.1.0.2.</v>
      </c>
      <c r="P20" s="118" t="s">
        <v>750</v>
      </c>
      <c r="Q20" s="119" t="s">
        <v>1381</v>
      </c>
      <c r="R20" s="120" t="str">
        <f ca="1">IF($C20="S",REFERENCIA.Descricao,"(digite a descrição aqui)")</f>
        <v>CAMINHÃO BASCULANTE 14 M3, COM CAVALO MECÂNICO DE CAPACIDADE MÁXIMA DE TRAÇÃO COMBINADO DE 36000 KG, POTÊNCIA 286 CV, INCLUSIVE SEMIREBOQUE COM CAÇAMBA METÁLICA - CHP DIURNO. AF_12/2014</v>
      </c>
      <c r="S20" s="121" t="str">
        <f ca="1">REFERENCIA.Unidade</f>
        <v>CHP</v>
      </c>
      <c r="T20" s="122">
        <f ca="1">OFFSET(CÁLCULO!H$15,ROW($T20)-ROW(T$15),0)</f>
        <v>2.82</v>
      </c>
      <c r="U20" s="123">
        <f t="shared" ref="U20:U23" ca="1" si="18">AG20</f>
        <v>337.7</v>
      </c>
      <c r="V20" s="124" t="s">
        <v>663</v>
      </c>
      <c r="W20" s="122">
        <f ca="1">IF($C20="S",ROUND(IF(TIPOORCAMENTO="Proposto",ORÇAMENTO.CustoUnitario*(1+$AH20),ORÇAMENTO.PrecoUnitarioLicitado),15-13*$AF$10),0)</f>
        <v>417.06</v>
      </c>
      <c r="X20" s="125" cm="1">
        <f t="array" aca="1" ref="X20" ca="1">IF($C20="S",IF(OR(Import.TipoArredondamento&lt;&gt;"TransfereGOV",ACOMPANHAMENTO="BM"),VTOTAL1,SUM(OFFSET(CÁLCULO!$AI$15,ROW($X20)-ROW($X$15),1):OFFSET(CÁLCULO!$BB$15,ROW($X20)-ROW($X$15),-1))),IF($C20=0,0,ROUND(SomaAgrup,15-13*$AF$11)))</f>
        <v>1176.1099999999999</v>
      </c>
      <c r="Y20" s="126" t="s">
        <v>751</v>
      </c>
      <c r="Z20" t="str">
        <f t="shared" ca="1" si="13"/>
        <v>RA</v>
      </c>
      <c r="AA20" s="127">
        <f ca="1">IF($C20="S",IF($Z20="CP",$X20,IF($Z20="RA",(($X20)*QCI!$AA$3),0)),SomaAgrup)</f>
        <v>0</v>
      </c>
      <c r="AB20" s="128">
        <f t="shared" ca="1" si="14"/>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IF(C20&lt;=CRONO.NivelExibicao,MAX($AD$15:OFFSET(AD20,-1,0))+IF($C20&lt;&gt;1,1,MAX(1,COUNTIF(QCI!$A$13:$A$15,OFFSET($E20,-1,0)))),"")</f>
        <v/>
      </c>
      <c r="AE20" s="7" t="str">
        <f ca="1">IF(AND($C20="S",ORÇAMENTO.CodBarra&lt;&gt;""),IF(ORÇAMENTO.Fonte="",ORÇAMENTO.CodBarra,CONCATENATE(ORÇAMENTO.Fonte," ",ORÇAMENTO.CodBarra)))</f>
        <v>SINAPI 89876</v>
      </c>
      <c r="AF20" s="12">
        <f ca="1">IF(ISERROR(INDIRECT(ORÇAMENTO.BancoRef)),"(abra o arquivo 'Referência "&amp;Excel_BuiltIn_Database&amp;".xlsm)",IF(OR($C20&lt;&gt;"S",ORÇAMENTO.CodBarra=""),"(Sem Código)",IF(ISERROR(MATCH($AE20,INDIRECT(ORÇAMENTO.BancoRef),0)),"(Código não identificado nas referências)",MATCH($AE20,INDIRECT(ORÇAMENTO.BancoRef),0))))</f>
        <v>7513</v>
      </c>
      <c r="AG20" s="428">
        <f ca="1">ROUND(IF(DESONERACAO="sim",REFERENCIA.Desonerado,REFERENCIA.NaoDesonerado),2)</f>
        <v>337.7</v>
      </c>
      <c r="AH20" s="429">
        <f t="shared" ca="1" si="15"/>
        <v>0.23499999999999999</v>
      </c>
      <c r="AJ20" s="431">
        <v>2.82</v>
      </c>
      <c r="AL20" s="439"/>
      <c r="AM20" s="336">
        <f t="shared" ref="AM20:AM23" ca="1" si="19">$X20</f>
        <v>1176.1099999999999</v>
      </c>
      <c r="AN20" s="470">
        <f t="shared" ca="1" si="16"/>
        <v>417.06</v>
      </c>
    </row>
    <row r="21" spans="1:40" ht="51" x14ac:dyDescent="0.2">
      <c r="A21" t="str">
        <f t="shared" si="1"/>
        <v>S</v>
      </c>
      <c r="B21">
        <f t="shared" ca="1" si="2"/>
        <v>3</v>
      </c>
      <c r="C21" t="str">
        <f t="shared" ca="1" si="3"/>
        <v>S</v>
      </c>
      <c r="D21">
        <f t="shared" ca="1" si="4"/>
        <v>0</v>
      </c>
      <c r="E21">
        <f ca="1">IF($C21=1,OFFSET(E21,-1,0)+MAX(1,COUNTIF(QCI!$A$13:$A$15,OFFSET(ORÇAMENTO!E21,-1,0))),OFFSET(E21,-1,0))</f>
        <v>1</v>
      </c>
      <c r="F21">
        <f t="shared" ca="1" si="5"/>
        <v>1</v>
      </c>
      <c r="G21">
        <f t="shared" ca="1" si="6"/>
        <v>1</v>
      </c>
      <c r="H21">
        <f t="shared" ca="1" si="7"/>
        <v>0</v>
      </c>
      <c r="I21">
        <f t="shared" ca="1" si="8"/>
        <v>3</v>
      </c>
      <c r="J21">
        <f t="shared" ca="1" si="9"/>
        <v>0</v>
      </c>
      <c r="K21">
        <f ca="1">IF(OR($C21="S",$C21=0),0,MATCH(OFFSET($D21,0,$C21)+IF($C21&lt;&gt;1,1,COUNTIF(QCI!$A$13:$A$15,ORÇAMENTO!E21)),OFFSET($D21,1,$C21,ROW($C$508)-ROW($C21)),0))</f>
        <v>0</v>
      </c>
      <c r="L21" s="114" t="str">
        <f t="shared" ca="1" si="10"/>
        <v>F</v>
      </c>
      <c r="M21" s="115" t="s">
        <v>705</v>
      </c>
      <c r="N21" s="116" t="str">
        <f t="shared" ca="1" si="11"/>
        <v>Serviço</v>
      </c>
      <c r="O21" s="117" t="str">
        <f t="shared" ca="1" si="12"/>
        <v>1.1.1.0.3.</v>
      </c>
      <c r="P21" s="118" t="s">
        <v>750</v>
      </c>
      <c r="Q21" s="119" t="s">
        <v>1382</v>
      </c>
      <c r="R21" s="120" t="str">
        <f ca="1">IF($C21="S",REFERENCIA.Descricao,"(digite a descrição aqui)")</f>
        <v>CAMINHÃO BASCULANTE 10 M3, TRUCADO CABINE SIMPLES, PESO BRUTO TOTAL 23.000 KG, CARGA ÚTIL MÁXIMA 15.935 KG, DISTÂNCIA ENTRE EIXOS 4,80 M, POTÊNCIA 230 CV INCLUSIVE CAÇAMBA METÁLICA - CHP DIURNO. AF_06/2014</v>
      </c>
      <c r="S21" s="121" t="str">
        <f ca="1">REFERENCIA.Unidade</f>
        <v>CHP</v>
      </c>
      <c r="T21" s="122">
        <f ca="1">OFFSET(CÁLCULO!H$15,ROW($T21)-ROW(T$15),0)</f>
        <v>2.82</v>
      </c>
      <c r="U21" s="123">
        <f t="shared" ca="1" si="18"/>
        <v>275.77999999999997</v>
      </c>
      <c r="V21" s="124" t="s">
        <v>663</v>
      </c>
      <c r="W21" s="122">
        <f ca="1">IF($C21="S",ROUND(IF(TIPOORCAMENTO="Proposto",ORÇAMENTO.CustoUnitario*(1+$AH21),ORÇAMENTO.PrecoUnitarioLicitado),15-13*$AF$10),0)</f>
        <v>340.59</v>
      </c>
      <c r="X21" s="125" cm="1">
        <f t="array" aca="1" ref="X21" ca="1">IF($C21="S",IF(OR(Import.TipoArredondamento&lt;&gt;"TransfereGOV",ACOMPANHAMENTO="BM"),VTOTAL1,SUM(OFFSET(CÁLCULO!$AI$15,ROW($X21)-ROW($X$15),1):OFFSET(CÁLCULO!$BB$15,ROW($X21)-ROW($X$15),-1))),IF($C21=0,0,ROUND(SomaAgrup,15-13*$AF$11)))</f>
        <v>960.46</v>
      </c>
      <c r="Y21" s="126" t="s">
        <v>751</v>
      </c>
      <c r="Z21" t="str">
        <f t="shared" ca="1" si="13"/>
        <v>RA</v>
      </c>
      <c r="AA21" s="127">
        <f ca="1">IF($C21="S",IF($Z21="CP",$X21,IF($Z21="RA",(($X21)*QCI!$AA$3),0)),SomaAgrup)</f>
        <v>0</v>
      </c>
      <c r="AB21" s="128">
        <f t="shared" ca="1" si="14"/>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IF(C21&lt;=CRONO.NivelExibicao,MAX($AD$15:OFFSET(AD21,-1,0))+IF($C21&lt;&gt;1,1,MAX(1,COUNTIF(QCI!$A$13:$A$15,OFFSET($E21,-1,0)))),"")</f>
        <v/>
      </c>
      <c r="AE21" s="7" t="str">
        <f ca="1">IF(AND($C21="S",ORÇAMENTO.CodBarra&lt;&gt;""),IF(ORÇAMENTO.Fonte="",ORÇAMENTO.CodBarra,CONCATENATE(ORÇAMENTO.Fonte," ",ORÇAMENTO.CodBarra)))</f>
        <v>SINAPI 91386</v>
      </c>
      <c r="AF21" s="12">
        <f ca="1">IF(ISERROR(INDIRECT(ORÇAMENTO.BancoRef)),"(abra o arquivo 'Referência "&amp;Excel_BuiltIn_Database&amp;".xlsm)",IF(OR($C21&lt;&gt;"S",ORÇAMENTO.CodBarra=""),"(Sem Código)",IF(ISERROR(MATCH($AE21,INDIRECT(ORÇAMENTO.BancoRef),0)),"(Código não identificado nas referências)",MATCH($AE21,INDIRECT(ORÇAMENTO.BancoRef),0))))</f>
        <v>7509</v>
      </c>
      <c r="AG21" s="428">
        <f ca="1">ROUND(IF(DESONERACAO="sim",REFERENCIA.Desonerado,REFERENCIA.NaoDesonerado),2)</f>
        <v>275.77999999999997</v>
      </c>
      <c r="AH21" s="429">
        <f t="shared" ca="1" si="15"/>
        <v>0.23499999999999999</v>
      </c>
      <c r="AJ21" s="431">
        <v>2.82</v>
      </c>
      <c r="AL21" s="439"/>
      <c r="AM21" s="336">
        <f t="shared" ca="1" si="19"/>
        <v>960.46</v>
      </c>
      <c r="AN21" s="470">
        <f t="shared" ca="1" si="16"/>
        <v>340.59</v>
      </c>
    </row>
    <row r="22" spans="1:40" ht="25.5" x14ac:dyDescent="0.2">
      <c r="A22" t="str">
        <f t="shared" si="1"/>
        <v>S</v>
      </c>
      <c r="B22">
        <f t="shared" ca="1" si="2"/>
        <v>3</v>
      </c>
      <c r="C22" t="str">
        <f t="shared" ca="1" si="3"/>
        <v>S</v>
      </c>
      <c r="D22">
        <f t="shared" ca="1" si="4"/>
        <v>0</v>
      </c>
      <c r="E22">
        <f ca="1">IF($C22=1,OFFSET(E22,-1,0)+MAX(1,COUNTIF(QCI!$A$13:$A$15,OFFSET(ORÇAMENTO!E22,-1,0))),OFFSET(E22,-1,0))</f>
        <v>1</v>
      </c>
      <c r="F22">
        <f t="shared" ca="1" si="5"/>
        <v>1</v>
      </c>
      <c r="G22">
        <f t="shared" ca="1" si="6"/>
        <v>1</v>
      </c>
      <c r="H22">
        <f t="shared" ca="1" si="7"/>
        <v>0</v>
      </c>
      <c r="I22">
        <f t="shared" ca="1" si="8"/>
        <v>4</v>
      </c>
      <c r="J22">
        <f t="shared" ca="1" si="9"/>
        <v>0</v>
      </c>
      <c r="K22">
        <f ca="1">IF(OR($C22="S",$C22=0),0,MATCH(OFFSET($D22,0,$C22)+IF($C22&lt;&gt;1,1,COUNTIF(QCI!$A$13:$A$15,ORÇAMENTO!E22)),OFFSET($D22,1,$C22,ROW($C$508)-ROW($C22)),0))</f>
        <v>0</v>
      </c>
      <c r="L22" s="114" t="str">
        <f t="shared" ca="1" si="10"/>
        <v>F</v>
      </c>
      <c r="M22" s="115" t="s">
        <v>705</v>
      </c>
      <c r="N22" s="116" t="str">
        <f t="shared" ca="1" si="11"/>
        <v>Serviço</v>
      </c>
      <c r="O22" s="117" t="str">
        <f t="shared" ca="1" si="12"/>
        <v>1.1.1.0.4.</v>
      </c>
      <c r="P22" s="118" t="s">
        <v>1282</v>
      </c>
      <c r="Q22" s="119" t="s">
        <v>1452</v>
      </c>
      <c r="R22" s="120" t="str">
        <f ca="1">IF($C22="S",REFERENCIA.Descricao,"(digite a descrição aqui)")</f>
        <v>CHP/CAMINHÃO TANQUE, 10.000L, CARGA ÚTIL MÁXIMA 7200 KG, DISTÂNCIA ENTRE EIXOS 4,50 M, POTÊNCIA 190 CV</v>
      </c>
      <c r="S22" s="121" t="str">
        <f ca="1">REFERENCIA.Unidade</f>
        <v>H</v>
      </c>
      <c r="T22" s="122">
        <f ca="1">OFFSET(CÁLCULO!H$15,ROW($T22)-ROW(T$15),0)</f>
        <v>1.42</v>
      </c>
      <c r="U22" s="123">
        <f ca="1">AG22</f>
        <v>252.21</v>
      </c>
      <c r="V22" s="124" t="s">
        <v>663</v>
      </c>
      <c r="W22" s="122">
        <f ca="1">IF($C22="S",ROUND(IF(TIPOORCAMENTO="Proposto",ORÇAMENTO.CustoUnitario*(1+$AH22),ORÇAMENTO.PrecoUnitarioLicitado),15-13*$AF$10),0)</f>
        <v>311.48</v>
      </c>
      <c r="X22" s="125" cm="1">
        <f t="array" aca="1" ref="X22" ca="1">IF($C22="S",IF(OR(Import.TipoArredondamento&lt;&gt;"TransfereGOV",ACOMPANHAMENTO="BM"),VTOTAL1,SUM(OFFSET(CÁLCULO!$AI$15,ROW($X22)-ROW($X$15),1):OFFSET(CÁLCULO!$BB$15,ROW($X22)-ROW($X$15),-1))),IF($C22=0,0,ROUND(SomaAgrup,15-13*$AF$11)))</f>
        <v>442.3</v>
      </c>
      <c r="Y22" s="126" t="s">
        <v>751</v>
      </c>
      <c r="Z22" t="str">
        <f t="shared" ca="1" si="13"/>
        <v>RA</v>
      </c>
      <c r="AA22" s="127">
        <f ca="1">IF($C22="S",IF($Z22="CP",$X22,IF($Z22="RA",(($X22)*QCI!$AA$3),0)),SomaAgrup)</f>
        <v>0</v>
      </c>
      <c r="AB22" s="128">
        <f t="shared" ca="1" si="14"/>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IF(C22&lt;=CRONO.NivelExibicao,MAX($AD$15:OFFSET(AD22,-1,0))+IF($C22&lt;&gt;1,1,MAX(1,COUNTIF(QCI!$A$13:$A$15,OFFSET($E22,-1,0)))),"")</f>
        <v/>
      </c>
      <c r="AE22" s="7" t="str">
        <f ca="1">IF(AND($C22="S",ORÇAMENTO.CodBarra&lt;&gt;""),IF(ORÇAMENTO.Fonte="",ORÇAMENTO.CodBarra,CONCATENATE(ORÇAMENTO.Fonte," ",ORÇAMENTO.CodBarra)))</f>
        <v>SUDECAP 50.10.50</v>
      </c>
      <c r="AF22" s="12">
        <f ca="1">IF(ISERROR(INDIRECT(ORÇAMENTO.BancoRef)),"(abra o arquivo 'Referência "&amp;Excel_BuiltIn_Database&amp;".xlsm)",IF(OR($C22&lt;&gt;"S",ORÇAMENTO.CodBarra=""),"(Sem Código)",IF(ISERROR(MATCH($AE22,INDIRECT(ORÇAMENTO.BancoRef),0)),"(Código não identificado nas referências)",MATCH($AE22,INDIRECT(ORÇAMENTO.BancoRef),0))))</f>
        <v>26154</v>
      </c>
      <c r="AG22" s="428">
        <f ca="1">ROUND(IF(DESONERACAO="sim",REFERENCIA.Desonerado,REFERENCIA.NaoDesonerado),2)</f>
        <v>252.21</v>
      </c>
      <c r="AH22" s="429">
        <f t="shared" ca="1" si="15"/>
        <v>0.23499999999999999</v>
      </c>
      <c r="AJ22" s="431">
        <v>1.42</v>
      </c>
      <c r="AL22" s="439"/>
      <c r="AM22" s="336">
        <f t="shared" ca="1" si="19"/>
        <v>442.3</v>
      </c>
      <c r="AN22" s="470">
        <f t="shared" ca="1" si="16"/>
        <v>311.48</v>
      </c>
    </row>
    <row r="23" spans="1:40" ht="51" x14ac:dyDescent="0.2">
      <c r="A23" t="str">
        <f t="shared" si="1"/>
        <v>S</v>
      </c>
      <c r="B23">
        <f t="shared" ca="1" si="2"/>
        <v>3</v>
      </c>
      <c r="C23" t="str">
        <f t="shared" ca="1" si="3"/>
        <v>S</v>
      </c>
      <c r="D23">
        <f t="shared" ca="1" si="4"/>
        <v>0</v>
      </c>
      <c r="E23">
        <f ca="1">IF($C23=1,OFFSET(E23,-1,0)+MAX(1,COUNTIF(QCI!$A$13:$A$15,OFFSET(ORÇAMENTO!E23,-1,0))),OFFSET(E23,-1,0))</f>
        <v>1</v>
      </c>
      <c r="F23">
        <f t="shared" ca="1" si="5"/>
        <v>1</v>
      </c>
      <c r="G23">
        <f t="shared" ca="1" si="6"/>
        <v>1</v>
      </c>
      <c r="H23">
        <f t="shared" ca="1" si="7"/>
        <v>0</v>
      </c>
      <c r="I23">
        <f t="shared" ca="1" si="8"/>
        <v>5</v>
      </c>
      <c r="J23">
        <f t="shared" ca="1" si="9"/>
        <v>0</v>
      </c>
      <c r="K23">
        <f ca="1">IF(OR($C23="S",$C23=0),0,MATCH(OFFSET($D23,0,$C23)+IF($C23&lt;&gt;1,1,COUNTIF(QCI!$A$13:$A$15,ORÇAMENTO!E23)),OFFSET($D23,1,$C23,ROW($C$508)-ROW($C23)),0))</f>
        <v>0</v>
      </c>
      <c r="L23" s="114" t="str">
        <f t="shared" ca="1" si="10"/>
        <v>F</v>
      </c>
      <c r="M23" s="115" t="s">
        <v>705</v>
      </c>
      <c r="N23" s="116" t="str">
        <f t="shared" ca="1" si="11"/>
        <v>Serviço</v>
      </c>
      <c r="O23" s="117" t="str">
        <f t="shared" ca="1" si="12"/>
        <v>1.1.1.0.5.</v>
      </c>
      <c r="P23" s="118" t="s">
        <v>750</v>
      </c>
      <c r="Q23" s="119" t="s">
        <v>1383</v>
      </c>
      <c r="R23" s="120" t="str">
        <f ca="1">IF($C23="S",REFERENCIA.Descricao,"(digite a descrição aqui)")</f>
        <v>CAMINHÃO PIPA 10.000 L TRUCADO, PESO BRUTO TOTAL 23.000 KG, CARGA ÚTIL MÁXIMA 15.935 KG, DISTÂNCIA ENTRE EIXOS 4,8 M, POTÊNCIA 230 CV, INCLUSIVE TANQUE DE AÇO PARA TRANSPORTE DE ÁGUA - CHP DIURNO. AF_06/2014</v>
      </c>
      <c r="S23" s="121" t="str">
        <f ca="1">REFERENCIA.Unidade</f>
        <v>CHP</v>
      </c>
      <c r="T23" s="122">
        <f ca="1">OFFSET(CÁLCULO!H$15,ROW($T23)-ROW(T$15),0)</f>
        <v>2.82</v>
      </c>
      <c r="U23" s="123">
        <f t="shared" ca="1" si="18"/>
        <v>325.22000000000003</v>
      </c>
      <c r="V23" s="124" t="s">
        <v>663</v>
      </c>
      <c r="W23" s="122">
        <f ca="1">IF($C23="S",ROUND(IF(TIPOORCAMENTO="Proposto",ORÇAMENTO.CustoUnitario*(1+$AH23),ORÇAMENTO.PrecoUnitarioLicitado),15-13*$AF$10),0)</f>
        <v>401.65</v>
      </c>
      <c r="X23" s="125" cm="1">
        <f t="array" aca="1" ref="X23" ca="1">IF($C23="S",IF(OR(Import.TipoArredondamento&lt;&gt;"TransfereGOV",ACOMPANHAMENTO="BM"),VTOTAL1,SUM(OFFSET(CÁLCULO!$AI$15,ROW($X23)-ROW($X$15),1):OFFSET(CÁLCULO!$BB$15,ROW($X23)-ROW($X$15),-1))),IF($C23=0,0,ROUND(SomaAgrup,15-13*$AF$11)))</f>
        <v>1132.6500000000001</v>
      </c>
      <c r="Y23" s="126" t="s">
        <v>751</v>
      </c>
      <c r="Z23" t="str">
        <f t="shared" ca="1" si="13"/>
        <v>RA</v>
      </c>
      <c r="AA23" s="127">
        <f ca="1">IF($C23="S",IF($Z23="CP",$X23,IF($Z23="RA",(($X23)*QCI!$AA$3),0)),SomaAgrup)</f>
        <v>0</v>
      </c>
      <c r="AB23" s="128">
        <f t="shared" ca="1" si="14"/>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IF(C23&lt;=CRONO.NivelExibicao,MAX($AD$15:OFFSET(AD23,-1,0))+IF($C23&lt;&gt;1,1,MAX(1,COUNTIF(QCI!$A$13:$A$15,OFFSET($E23,-1,0)))),"")</f>
        <v/>
      </c>
      <c r="AE23" s="7" t="str">
        <f ca="1">IF(AND($C23="S",ORÇAMENTO.CodBarra&lt;&gt;""),IF(ORÇAMENTO.Fonte="",ORÇAMENTO.CodBarra,CONCATENATE(ORÇAMENTO.Fonte," ",ORÇAMENTO.CodBarra)))</f>
        <v>SINAPI 5901</v>
      </c>
      <c r="AF23" s="12">
        <f ca="1">IF(ISERROR(INDIRECT(ORÇAMENTO.BancoRef)),"(abra o arquivo 'Referência "&amp;Excel_BuiltIn_Database&amp;".xlsm)",IF(OR($C23&lt;&gt;"S",ORÇAMENTO.CodBarra=""),"(Sem Código)",IF(ISERROR(MATCH($AE23,INDIRECT(ORÇAMENTO.BancoRef),0)),"(Código não identificado nas referências)",MATCH($AE23,INDIRECT(ORÇAMENTO.BancoRef),0))))</f>
        <v>7527</v>
      </c>
      <c r="AG23" s="428">
        <f ca="1">ROUND(IF(DESONERACAO="sim",REFERENCIA.Desonerado,REFERENCIA.NaoDesonerado),2)</f>
        <v>325.22000000000003</v>
      </c>
      <c r="AH23" s="429">
        <f t="shared" ca="1" si="15"/>
        <v>0.23499999999999999</v>
      </c>
      <c r="AJ23" s="431">
        <v>2.82</v>
      </c>
      <c r="AL23" s="439"/>
      <c r="AM23" s="336">
        <f t="shared" ca="1" si="19"/>
        <v>1132.6500000000001</v>
      </c>
      <c r="AN23" s="470">
        <f t="shared" ca="1" si="16"/>
        <v>401.65</v>
      </c>
    </row>
    <row r="24" spans="1:40" x14ac:dyDescent="0.2">
      <c r="A24">
        <f t="shared" si="1"/>
        <v>2</v>
      </c>
      <c r="B24">
        <f t="shared" ca="1" si="2"/>
        <v>2</v>
      </c>
      <c r="C24">
        <f t="shared" ca="1" si="3"/>
        <v>2</v>
      </c>
      <c r="D24">
        <f t="shared" ca="1" si="4"/>
        <v>3</v>
      </c>
      <c r="E24">
        <f ca="1">IF($C24=1,OFFSET(E24,-1,0)+MAX(1,COUNTIF(QCI!$A$13:$A$15,OFFSET(ORÇAMENTO!E24,-1,0))),OFFSET(E24,-1,0))</f>
        <v>1</v>
      </c>
      <c r="F24">
        <f t="shared" ca="1" si="5"/>
        <v>2</v>
      </c>
      <c r="G24">
        <f t="shared" ca="1" si="6"/>
        <v>0</v>
      </c>
      <c r="H24">
        <f t="shared" ca="1" si="7"/>
        <v>0</v>
      </c>
      <c r="I24">
        <f t="shared" ca="1" si="8"/>
        <v>0</v>
      </c>
      <c r="J24">
        <f t="shared" ca="1" si="9"/>
        <v>484</v>
      </c>
      <c r="K24">
        <f ca="1">IF(OR($C24="S",$C24=0),0,MATCH(OFFSET($D24,0,$C24)+IF($C24&lt;&gt;1,1,COUNTIF(QCI!$A$13:$A$15,ORÇAMENTO!E24)),OFFSET($D24,1,$C24,ROW($C$508)-ROW($C24)),0))</f>
        <v>3</v>
      </c>
      <c r="L24" s="114" t="str">
        <f t="shared" ca="1" si="10"/>
        <v>F</v>
      </c>
      <c r="M24" s="115" t="s">
        <v>702</v>
      </c>
      <c r="N24" s="116" t="str">
        <f t="shared" ca="1" si="11"/>
        <v>Nível 2</v>
      </c>
      <c r="O24" s="117" t="str">
        <f t="shared" ca="1" si="12"/>
        <v>1.2.</v>
      </c>
      <c r="P24" s="118" t="s">
        <v>750</v>
      </c>
      <c r="Q24" s="119"/>
      <c r="R24" s="120" t="s">
        <v>1205</v>
      </c>
      <c r="S24" s="121" t="s">
        <v>688</v>
      </c>
      <c r="T24" s="122">
        <f ca="1">OFFSET(CÁLCULO!H$15,ROW($T24)-ROW(T$15),0)</f>
        <v>0</v>
      </c>
      <c r="U24" s="123">
        <f t="shared" ref="U24:U28" ca="1" si="20">AG24</f>
        <v>0</v>
      </c>
      <c r="V24" s="124" t="s">
        <v>663</v>
      </c>
      <c r="W24" s="122">
        <f ca="1">IF($C24="S",ROUND(IF(TIPOORCAMENTO="Proposto",ORÇAMENTO.CustoUnitario*(1+$AH24),ORÇAMENTO.PrecoUnitarioLicitado),15-13*$AF$10),0)</f>
        <v>0</v>
      </c>
      <c r="X24" s="125" cm="1">
        <f t="array" aca="1" ref="X24" ca="1">IF($C24="S",IF(OR(Import.TipoArredondamento&lt;&gt;"TransfereGOV",ACOMPANHAMENTO="BM"),VTOTAL1,SUM(OFFSET(CÁLCULO!$AI$15,ROW($X24)-ROW($X$15),1):OFFSET(CÁLCULO!$BB$15,ROW($X24)-ROW($X$15),-1))),IF($C24=0,0,ROUND(SomaAgrup,15-13*$AF$11)))</f>
        <v>353885.05</v>
      </c>
      <c r="Y24" s="126" t="s">
        <v>751</v>
      </c>
      <c r="Z24" t="str">
        <f t="shared" ca="1" si="13"/>
        <v/>
      </c>
      <c r="AA24" s="127">
        <f ca="1">IF($C24="S",IF($Z24="CP",$X24,IF($Z24="RA",(($X24)*QCI!$AA$3),0)),SomaAgrup)</f>
        <v>0</v>
      </c>
      <c r="AB24" s="128">
        <f t="shared" ca="1" si="14"/>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f ca="1">IF(C24&lt;=CRONO.NivelExibicao,MAX($AD$15:OFFSET(AD24,-1,0))+IF($C24&lt;&gt;1,1,MAX(1,COUNTIF(QCI!$A$13:$A$15,OFFSET($E24,-1,0)))),"")</f>
        <v>3</v>
      </c>
      <c r="AE24" s="7" t="b">
        <f ca="1">IF(AND($C24="S",ORÇAMENTO.CodBarra&lt;&gt;""),IF(ORÇAMENTO.Fonte="",ORÇAMENTO.CodBarra,CONCATENATE(ORÇAMENTO.Fonte," ",ORÇAMENTO.CodBarra)))</f>
        <v>0</v>
      </c>
      <c r="AF24" s="12" t="str">
        <f ca="1">IF(ISERROR(INDIRECT(ORÇAMENTO.BancoRef)),"(abra o arquivo 'Referência "&amp;Excel_BuiltIn_Database&amp;".xlsm)",IF(OR($C24&lt;&gt;"S",ORÇAMENTO.CodBarra=""),"(Sem Código)",IF(ISERROR(MATCH($AE24,INDIRECT(ORÇAMENTO.BancoRef),0)),"(Código não identificado nas referências)",MATCH($AE24,INDIRECT(ORÇAMENTO.BancoRef),0))))</f>
        <v>(Sem Código)</v>
      </c>
      <c r="AG24" s="428">
        <f ca="1">ROUND(IF(DESONERACAO="sim",REFERENCIA.Desonerado,REFERENCIA.NaoDesonerado),2)</f>
        <v>0</v>
      </c>
      <c r="AH24" s="429">
        <f t="shared" ca="1" si="15"/>
        <v>0.23499999999999999</v>
      </c>
      <c r="AJ24" s="431"/>
      <c r="AL24" s="439"/>
      <c r="AM24" s="336">
        <f t="shared" ca="1" si="0"/>
        <v>353885.05</v>
      </c>
      <c r="AN24" s="470">
        <f t="shared" ca="1" si="16"/>
        <v>0</v>
      </c>
    </row>
    <row r="25" spans="1:40" x14ac:dyDescent="0.2">
      <c r="A25">
        <f t="shared" si="1"/>
        <v>3</v>
      </c>
      <c r="B25">
        <f t="shared" ca="1" si="2"/>
        <v>3</v>
      </c>
      <c r="C25">
        <f t="shared" ca="1" si="3"/>
        <v>3</v>
      </c>
      <c r="D25">
        <f t="shared" ca="1" si="4"/>
        <v>2</v>
      </c>
      <c r="E25">
        <f ca="1">IF($C25=1,OFFSET(E25,-1,0)+MAX(1,COUNTIF(QCI!$A$13:$A$15,OFFSET(ORÇAMENTO!E25,-1,0))),OFFSET(E25,-1,0))</f>
        <v>1</v>
      </c>
      <c r="F25">
        <f t="shared" ca="1" si="5"/>
        <v>2</v>
      </c>
      <c r="G25">
        <f t="shared" ca="1" si="6"/>
        <v>1</v>
      </c>
      <c r="H25">
        <f t="shared" ca="1" si="7"/>
        <v>0</v>
      </c>
      <c r="I25">
        <f t="shared" ca="1" si="8"/>
        <v>0</v>
      </c>
      <c r="J25">
        <f t="shared" ca="1" si="9"/>
        <v>2</v>
      </c>
      <c r="K25">
        <f ca="1">IF(OR($C25="S",$C25=0),0,MATCH(OFFSET($D25,0,$C25)+IF($C25&lt;&gt;1,1,COUNTIF(QCI!$A$13:$A$15,ORÇAMENTO!E25)),OFFSET($D25,1,$C25,ROW($C$508)-ROW($C25)),0))</f>
        <v>5</v>
      </c>
      <c r="L25" s="114" t="str">
        <f t="shared" ca="1" si="10"/>
        <v>F</v>
      </c>
      <c r="M25" s="115" t="s">
        <v>703</v>
      </c>
      <c r="N25" s="116" t="str">
        <f t="shared" ca="1" si="11"/>
        <v>Nível 3</v>
      </c>
      <c r="O25" s="117" t="str">
        <f t="shared" ca="1" si="12"/>
        <v>1.2.1.</v>
      </c>
      <c r="P25" s="118" t="s">
        <v>750</v>
      </c>
      <c r="Q25" s="119"/>
      <c r="R25" s="120" t="s">
        <v>1206</v>
      </c>
      <c r="S25" s="121" t="s">
        <v>688</v>
      </c>
      <c r="T25" s="122">
        <f ca="1">OFFSET(CÁLCULO!H$15,ROW($T25)-ROW(T$15),0)</f>
        <v>0</v>
      </c>
      <c r="U25" s="123">
        <f t="shared" ca="1" si="20"/>
        <v>0</v>
      </c>
      <c r="V25" s="124" t="s">
        <v>663</v>
      </c>
      <c r="W25" s="122">
        <f ca="1">IF($C25="S",ROUND(IF(TIPOORCAMENTO="Proposto",ORÇAMENTO.CustoUnitario*(1+$AH25),ORÇAMENTO.PrecoUnitarioLicitado),15-13*$AF$10),0)</f>
        <v>0</v>
      </c>
      <c r="X25" s="125" cm="1">
        <f t="array" aca="1" ref="X25" ca="1">IF($C25="S",IF(OR(Import.TipoArredondamento&lt;&gt;"TransfereGOV",ACOMPANHAMENTO="BM"),VTOTAL1,SUM(OFFSET(CÁLCULO!$AI$15,ROW($X25)-ROW($X$15),1):OFFSET(CÁLCULO!$BB$15,ROW($X25)-ROW($X$15),-1))),IF($C25=0,0,ROUND(SomaAgrup,15-13*$AF$11)))</f>
        <v>353885.05</v>
      </c>
      <c r="Y25" s="126" t="s">
        <v>751</v>
      </c>
      <c r="Z25" t="str">
        <f t="shared" ca="1" si="13"/>
        <v/>
      </c>
      <c r="AA25" s="127">
        <f ca="1">IF($C25="S",IF($Z25="CP",$X25,IF($Z25="RA",(($X25)*QCI!$AA$3),0)),SomaAgrup)</f>
        <v>0</v>
      </c>
      <c r="AB25" s="128">
        <f t="shared" ca="1" si="14"/>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IF(C25&lt;=CRONO.NivelExibicao,MAX($AD$15:OFFSET(AD25,-1,0))+IF($C25&lt;&gt;1,1,MAX(1,COUNTIF(QCI!$A$13:$A$15,OFFSET($E25,-1,0)))),"")</f>
        <v/>
      </c>
      <c r="AE25" s="7" t="b">
        <f ca="1">IF(AND($C25="S",ORÇAMENTO.CodBarra&lt;&gt;""),IF(ORÇAMENTO.Fonte="",ORÇAMENTO.CodBarra,CONCATENATE(ORÇAMENTO.Fonte," ",ORÇAMENTO.CodBarra)))</f>
        <v>0</v>
      </c>
      <c r="AF25" s="12" t="str">
        <f ca="1">IF(ISERROR(INDIRECT(ORÇAMENTO.BancoRef)),"(abra o arquivo 'Referência "&amp;Excel_BuiltIn_Database&amp;".xlsm)",IF(OR($C25&lt;&gt;"S",ORÇAMENTO.CodBarra=""),"(Sem Código)",IF(ISERROR(MATCH($AE25,INDIRECT(ORÇAMENTO.BancoRef),0)),"(Código não identificado nas referências)",MATCH($AE25,INDIRECT(ORÇAMENTO.BancoRef),0))))</f>
        <v>(Sem Código)</v>
      </c>
      <c r="AG25" s="428">
        <f ca="1">ROUND(IF(DESONERACAO="sim",REFERENCIA.Desonerado,REFERENCIA.NaoDesonerado),2)</f>
        <v>0</v>
      </c>
      <c r="AH25" s="429">
        <f t="shared" ca="1" si="15"/>
        <v>0.23499999999999999</v>
      </c>
      <c r="AJ25" s="431"/>
      <c r="AL25" s="439"/>
      <c r="AM25" s="336">
        <f t="shared" ca="1" si="0"/>
        <v>353885.05</v>
      </c>
      <c r="AN25" s="470">
        <f t="shared" ca="1" si="16"/>
        <v>0</v>
      </c>
    </row>
    <row r="26" spans="1:40" x14ac:dyDescent="0.2">
      <c r="A26" t="str">
        <f t="shared" si="1"/>
        <v>S</v>
      </c>
      <c r="B26">
        <f t="shared" ca="1" si="2"/>
        <v>3</v>
      </c>
      <c r="C26" t="str">
        <f t="shared" ca="1" si="3"/>
        <v>S</v>
      </c>
      <c r="D26">
        <f t="shared" ca="1" si="4"/>
        <v>0</v>
      </c>
      <c r="E26">
        <f ca="1">IF($C26=1,OFFSET(E26,-1,0)+MAX(1,COUNTIF(QCI!$A$13:$A$15,OFFSET(ORÇAMENTO!E26,-1,0))),OFFSET(E26,-1,0))</f>
        <v>1</v>
      </c>
      <c r="F26">
        <f t="shared" ca="1" si="5"/>
        <v>2</v>
      </c>
      <c r="G26">
        <f t="shared" ca="1" si="6"/>
        <v>1</v>
      </c>
      <c r="H26">
        <f t="shared" ca="1" si="7"/>
        <v>0</v>
      </c>
      <c r="I26">
        <f t="shared" ca="1" si="8"/>
        <v>1</v>
      </c>
      <c r="J26">
        <f t="shared" ca="1" si="9"/>
        <v>0</v>
      </c>
      <c r="K26">
        <f ca="1">IF(OR($C26="S",$C26=0),0,MATCH(OFFSET($D26,0,$C26)+IF($C26&lt;&gt;1,1,COUNTIF(QCI!$A$13:$A$15,ORÇAMENTO!E26)),OFFSET($D26,1,$C26,ROW($C$508)-ROW($C26)),0))</f>
        <v>0</v>
      </c>
      <c r="L26" s="114" t="str">
        <f t="shared" ca="1" si="10"/>
        <v>F</v>
      </c>
      <c r="M26" s="115" t="s">
        <v>705</v>
      </c>
      <c r="N26" s="116" t="str">
        <f t="shared" ca="1" si="11"/>
        <v>Serviço</v>
      </c>
      <c r="O26" s="117" t="str">
        <f t="shared" ca="1" si="12"/>
        <v>1.2.1.0.1.</v>
      </c>
      <c r="P26" s="118" t="s">
        <v>1281</v>
      </c>
      <c r="Q26" s="119" t="s">
        <v>1000</v>
      </c>
      <c r="R26" s="120" t="str">
        <f ca="1">IF($C26="S",REFERENCIA.Descricao,"(digite a descrição aqui)")</f>
        <v>ADMINISTRAÇÃO LOCAL DE OBRA</v>
      </c>
      <c r="S26" s="121" t="str">
        <f ca="1">REFERENCIA.Unidade</f>
        <v>CJ</v>
      </c>
      <c r="T26" s="122">
        <f ca="1">OFFSET(CÁLCULO!H$15,ROW($T26)-ROW(T$15),0)</f>
        <v>1</v>
      </c>
      <c r="U26" s="123">
        <f t="shared" ca="1" si="20"/>
        <v>286546.59999999998</v>
      </c>
      <c r="V26" s="124" t="s">
        <v>663</v>
      </c>
      <c r="W26" s="122">
        <f ca="1">IF($C26="S",ROUND(IF(TIPOORCAMENTO="Proposto",ORÇAMENTO.CustoUnitario*(1+$AH26),ORÇAMENTO.PrecoUnitarioLicitado),15-13*$AF$10),0)</f>
        <v>353885.05</v>
      </c>
      <c r="X26" s="125" cm="1">
        <f t="array" aca="1" ref="X26" ca="1">IF($C26="S",IF(OR(Import.TipoArredondamento&lt;&gt;"TransfereGOV",ACOMPANHAMENTO="BM"),VTOTAL1,SUM(OFFSET(CÁLCULO!$AI$15,ROW($X26)-ROW($X$15),1):OFFSET(CÁLCULO!$BB$15,ROW($X26)-ROW($X$15),-1))),IF($C26=0,0,ROUND(SomaAgrup,15-13*$AF$11)))</f>
        <v>353885.05</v>
      </c>
      <c r="Y26" s="126" t="s">
        <v>751</v>
      </c>
      <c r="Z26" t="str">
        <f t="shared" ca="1" si="13"/>
        <v>RA</v>
      </c>
      <c r="AA26" s="127">
        <f ca="1">IF($C26="S",IF($Z26="CP",$X26,IF($Z26="RA",(($X26)*QCI!$AA$3),0)),SomaAgrup)</f>
        <v>0</v>
      </c>
      <c r="AB26" s="128">
        <f t="shared" ca="1" si="14"/>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IF(C26&lt;=CRONO.NivelExibicao,MAX($AD$15:OFFSET(AD26,-1,0))+IF($C26&lt;&gt;1,1,MAX(1,COUNTIF(QCI!$A$13:$A$15,OFFSET($E26,-1,0)))),"")</f>
        <v/>
      </c>
      <c r="AE26" s="7" t="str">
        <f ca="1">IF(AND($C26="S",ORÇAMENTO.CodBarra&lt;&gt;""),IF(ORÇAMENTO.Fonte="",ORÇAMENTO.CodBarra,CONCATENATE(ORÇAMENTO.Fonte," ",ORÇAMENTO.CodBarra)))</f>
        <v>COMPOSIÇÃO CPU-001</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3</v>
      </c>
      <c r="AG26" s="428">
        <f ca="1">ROUND(IF(DESONERACAO="sim",REFERENCIA.Desonerado,REFERENCIA.NaoDesonerado),2)</f>
        <v>286546.59999999998</v>
      </c>
      <c r="AH26" s="429">
        <f t="shared" ca="1" si="15"/>
        <v>0.23499999999999999</v>
      </c>
      <c r="AJ26" s="431">
        <v>1</v>
      </c>
      <c r="AL26" s="439"/>
      <c r="AM26" s="336">
        <f t="shared" ca="1" si="0"/>
        <v>353885.05</v>
      </c>
      <c r="AN26" s="470">
        <f t="shared" ca="1" si="16"/>
        <v>353885.05</v>
      </c>
    </row>
    <row r="27" spans="1:40" x14ac:dyDescent="0.2">
      <c r="A27">
        <f t="shared" si="1"/>
        <v>2</v>
      </c>
      <c r="B27">
        <f t="shared" ca="1" si="2"/>
        <v>2</v>
      </c>
      <c r="C27">
        <f t="shared" ca="1" si="3"/>
        <v>2</v>
      </c>
      <c r="D27">
        <f t="shared" ca="1" si="4"/>
        <v>21</v>
      </c>
      <c r="E27">
        <f ca="1">IF($C27=1,OFFSET(E27,-1,0)+MAX(1,COUNTIF(QCI!$A$13:$A$15,OFFSET(ORÇAMENTO!E27,-1,0))),OFFSET(E27,-1,0))</f>
        <v>1</v>
      </c>
      <c r="F27">
        <f t="shared" ca="1" si="5"/>
        <v>3</v>
      </c>
      <c r="G27">
        <f t="shared" ca="1" si="6"/>
        <v>0</v>
      </c>
      <c r="H27">
        <f t="shared" ca="1" si="7"/>
        <v>0</v>
      </c>
      <c r="I27">
        <f t="shared" ca="1" si="8"/>
        <v>0</v>
      </c>
      <c r="J27">
        <f t="shared" ca="1" si="9"/>
        <v>481</v>
      </c>
      <c r="K27">
        <f ca="1">IF(OR($C27="S",$C27=0),0,MATCH(OFFSET($D27,0,$C27)+IF($C27&lt;&gt;1,1,COUNTIF(QCI!$A$13:$A$15,ORÇAMENTO!E27)),OFFSET($D27,1,$C27,ROW($C$508)-ROW($C27)),0))</f>
        <v>21</v>
      </c>
      <c r="L27" s="114" t="str">
        <f t="shared" ca="1" si="10"/>
        <v>F</v>
      </c>
      <c r="M27" s="115" t="s">
        <v>702</v>
      </c>
      <c r="N27" s="116" t="str">
        <f t="shared" ca="1" si="11"/>
        <v>Nível 2</v>
      </c>
      <c r="O27" s="117" t="str">
        <f t="shared" ca="1" si="12"/>
        <v>1.3.</v>
      </c>
      <c r="P27" s="118" t="s">
        <v>750</v>
      </c>
      <c r="Q27" s="119"/>
      <c r="R27" s="120" t="s">
        <v>1207</v>
      </c>
      <c r="S27" s="121" t="s">
        <v>688</v>
      </c>
      <c r="T27" s="122">
        <f ca="1">OFFSET(CÁLCULO!H$15,ROW($T27)-ROW(T$15),0)</f>
        <v>0</v>
      </c>
      <c r="U27" s="123">
        <f t="shared" ca="1" si="20"/>
        <v>0</v>
      </c>
      <c r="V27" s="124" t="s">
        <v>663</v>
      </c>
      <c r="W27" s="122">
        <f ca="1">IF($C27="S",ROUND(IF(TIPOORCAMENTO="Proposto",ORÇAMENTO.CustoUnitario*(1+$AH27),ORÇAMENTO.PrecoUnitarioLicitado),15-13*$AF$10),0)</f>
        <v>0</v>
      </c>
      <c r="X27" s="125" cm="1">
        <f t="array" aca="1" ref="X27" ca="1">IF($C27="S",IF(OR(Import.TipoArredondamento&lt;&gt;"TransfereGOV",ACOMPANHAMENTO="BM"),VTOTAL1,SUM(OFFSET(CÁLCULO!$AI$15,ROW($X27)-ROW($X$15),1):OFFSET(CÁLCULO!$BB$15,ROW($X27)-ROW($X$15),-1))),IF($C27=0,0,ROUND(SomaAgrup,15-13*$AF$11)))</f>
        <v>149901.69</v>
      </c>
      <c r="Y27" s="126" t="s">
        <v>751</v>
      </c>
      <c r="Z27" t="str">
        <f t="shared" ca="1" si="13"/>
        <v/>
      </c>
      <c r="AA27" s="127">
        <f ca="1">IF($C27="S",IF($Z27="CP",$X27,IF($Z27="RA",(($X27)*QCI!$AA$3),0)),SomaAgrup)</f>
        <v>0</v>
      </c>
      <c r="AB27" s="128">
        <f t="shared" ca="1" si="14"/>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IF(C27&lt;=CRONO.NivelExibicao,MAX($AD$15:OFFSET(AD27,-1,0))+IF($C27&lt;&gt;1,1,MAX(1,COUNTIF(QCI!$A$13:$A$15,OFFSET($E27,-1,0)))),"")</f>
        <v>4</v>
      </c>
      <c r="AE27" s="7" t="b">
        <f ca="1">IF(AND($C27="S",ORÇAMENTO.CodBarra&lt;&gt;""),IF(ORÇAMENTO.Fonte="",ORÇAMENTO.CodBarra,CONCATENATE(ORÇAMENTO.Fonte," ",ORÇAMENTO.CodBarra)))</f>
        <v>0</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(Sem Código)</v>
      </c>
      <c r="AG27" s="428">
        <f ca="1">ROUND(IF(DESONERACAO="sim",REFERENCIA.Desonerado,REFERENCIA.NaoDesonerado),2)</f>
        <v>0</v>
      </c>
      <c r="AH27" s="429">
        <f t="shared" ca="1" si="15"/>
        <v>0.23499999999999999</v>
      </c>
      <c r="AJ27" s="431"/>
      <c r="AL27" s="439"/>
      <c r="AM27" s="336">
        <f t="shared" ca="1" si="0"/>
        <v>149901.69</v>
      </c>
      <c r="AN27" s="470">
        <f t="shared" ca="1" si="16"/>
        <v>0</v>
      </c>
    </row>
    <row r="28" spans="1:40" x14ac:dyDescent="0.2">
      <c r="A28">
        <f t="shared" si="1"/>
        <v>3</v>
      </c>
      <c r="B28">
        <f t="shared" ca="1" si="2"/>
        <v>3</v>
      </c>
      <c r="C28">
        <f t="shared" ca="1" si="3"/>
        <v>3</v>
      </c>
      <c r="D28">
        <f t="shared" ca="1" si="4"/>
        <v>2</v>
      </c>
      <c r="E28">
        <f ca="1">IF($C28=1,OFFSET(E28,-1,0)+MAX(1,COUNTIF(QCI!$A$13:$A$15,OFFSET(ORÇAMENTO!E28,-1,0))),OFFSET(E28,-1,0))</f>
        <v>1</v>
      </c>
      <c r="F28">
        <f t="shared" ca="1" si="5"/>
        <v>3</v>
      </c>
      <c r="G28">
        <f t="shared" ca="1" si="6"/>
        <v>1</v>
      </c>
      <c r="H28">
        <f t="shared" ca="1" si="7"/>
        <v>0</v>
      </c>
      <c r="I28">
        <f t="shared" ca="1" si="8"/>
        <v>0</v>
      </c>
      <c r="J28">
        <f t="shared" ca="1" si="9"/>
        <v>20</v>
      </c>
      <c r="K28">
        <f ca="1">IF(OR($C28="S",$C28=0),0,MATCH(OFFSET($D28,0,$C28)+IF($C28&lt;&gt;1,1,COUNTIF(QCI!$A$13:$A$15,ORÇAMENTO!E28)),OFFSET($D28,1,$C28,ROW($C$508)-ROW($C28)),0))</f>
        <v>2</v>
      </c>
      <c r="L28" s="114" t="str">
        <f t="shared" ca="1" si="10"/>
        <v>F</v>
      </c>
      <c r="M28" s="115" t="s">
        <v>703</v>
      </c>
      <c r="N28" s="116" t="str">
        <f t="shared" ca="1" si="11"/>
        <v>Nível 3</v>
      </c>
      <c r="O28" s="117" t="str">
        <f t="shared" ca="1" si="12"/>
        <v>1.3.1.</v>
      </c>
      <c r="P28" s="118" t="s">
        <v>750</v>
      </c>
      <c r="Q28" s="119"/>
      <c r="R28" s="120" t="s">
        <v>1208</v>
      </c>
      <c r="S28" s="121" t="s">
        <v>688</v>
      </c>
      <c r="T28" s="122">
        <f ca="1">OFFSET(CÁLCULO!H$15,ROW($T28)-ROW(T$15),0)</f>
        <v>0</v>
      </c>
      <c r="U28" s="123">
        <f t="shared" ca="1" si="20"/>
        <v>0</v>
      </c>
      <c r="V28" s="124" t="s">
        <v>663</v>
      </c>
      <c r="W28" s="122">
        <f ca="1">IF($C28="S",ROUND(IF(TIPOORCAMENTO="Proposto",ORÇAMENTO.CustoUnitario*(1+$AH28),ORÇAMENTO.PrecoUnitarioLicitado),15-13*$AF$10),0)</f>
        <v>0</v>
      </c>
      <c r="X28" s="125" cm="1">
        <f t="array" aca="1" ref="X28" ca="1">IF($C28="S",IF(OR(Import.TipoArredondamento&lt;&gt;"TransfereGOV",ACOMPANHAMENTO="BM"),VTOTAL1,SUM(OFFSET(CÁLCULO!$AI$15,ROW($X28)-ROW($X$15),1):OFFSET(CÁLCULO!$BB$15,ROW($X28)-ROW($X$15),-1))),IF($C28=0,0,ROUND(SomaAgrup,15-13*$AF$11)))</f>
        <v>4044.69</v>
      </c>
      <c r="Y28" s="126" t="s">
        <v>751</v>
      </c>
      <c r="Z28" t="str">
        <f t="shared" ca="1" si="13"/>
        <v/>
      </c>
      <c r="AA28" s="127">
        <f ca="1">IF($C28="S",IF($Z28="CP",$X28,IF($Z28="RA",(($X28)*QCI!$AA$3),0)),SomaAgrup)</f>
        <v>0</v>
      </c>
      <c r="AB28" s="128">
        <f t="shared" ca="1" si="14"/>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IF(C28&lt;=CRONO.NivelExibicao,MAX($AD$15:OFFSET(AD28,-1,0))+IF($C28&lt;&gt;1,1,MAX(1,COUNTIF(QCI!$A$13:$A$15,OFFSET($E28,-1,0)))),"")</f>
        <v/>
      </c>
      <c r="AE28" s="7" t="b">
        <f ca="1">IF(AND($C28="S",ORÇAMENTO.CodBarra&lt;&gt;""),IF(ORÇAMENTO.Fonte="",ORÇAMENTO.CodBarra,CONCATENATE(ORÇAMENTO.Fonte," ",ORÇAMENTO.CodBarra)))</f>
        <v>0</v>
      </c>
      <c r="AF28" s="12" t="str">
        <f ca="1">IF(ISERROR(INDIRECT(ORÇAMENTO.BancoRef)),"(abra o arquivo 'Referência "&amp;Excel_BuiltIn_Database&amp;".xlsm)",IF(OR($C28&lt;&gt;"S",ORÇAMENTO.CodBarra=""),"(Sem Código)",IF(ISERROR(MATCH($AE28,INDIRECT(ORÇAMENTO.BancoRef),0)),"(Código não identificado nas referências)",MATCH($AE28,INDIRECT(ORÇAMENTO.BancoRef),0))))</f>
        <v>(Sem Código)</v>
      </c>
      <c r="AG28" s="428">
        <f ca="1">ROUND(IF(DESONERACAO="sim",REFERENCIA.Desonerado,REFERENCIA.NaoDesonerado),2)</f>
        <v>0</v>
      </c>
      <c r="AH28" s="429">
        <f t="shared" ca="1" si="15"/>
        <v>0.23499999999999999</v>
      </c>
      <c r="AJ28" s="431"/>
      <c r="AL28" s="439"/>
      <c r="AM28" s="336">
        <f t="shared" ca="1" si="0"/>
        <v>4044.69</v>
      </c>
      <c r="AN28" s="470">
        <f t="shared" ca="1" si="16"/>
        <v>0</v>
      </c>
    </row>
    <row r="29" spans="1:40" ht="25.5" x14ac:dyDescent="0.2">
      <c r="A29" t="str">
        <f t="shared" si="1"/>
        <v>S</v>
      </c>
      <c r="B29">
        <f t="shared" ca="1" si="2"/>
        <v>3</v>
      </c>
      <c r="C29" t="str">
        <f t="shared" ca="1" si="3"/>
        <v>S</v>
      </c>
      <c r="D29">
        <f t="shared" ca="1" si="4"/>
        <v>0</v>
      </c>
      <c r="E29">
        <f ca="1">IF($C29=1,OFFSET(E29,-1,0)+MAX(1,COUNTIF(QCI!$A$13:$A$15,OFFSET(ORÇAMENTO!E29,-1,0))),OFFSET(E29,-1,0))</f>
        <v>1</v>
      </c>
      <c r="F29">
        <f t="shared" ca="1" si="5"/>
        <v>3</v>
      </c>
      <c r="G29">
        <f t="shared" ca="1" si="6"/>
        <v>1</v>
      </c>
      <c r="H29">
        <f t="shared" ca="1" si="7"/>
        <v>0</v>
      </c>
      <c r="I29">
        <f t="shared" ca="1" si="8"/>
        <v>1</v>
      </c>
      <c r="J29">
        <f t="shared" ca="1" si="9"/>
        <v>0</v>
      </c>
      <c r="K29">
        <f ca="1">IF(OR($C29="S",$C29=0),0,MATCH(OFFSET($D29,0,$C29)+IF($C29&lt;&gt;1,1,COUNTIF(QCI!$A$13:$A$15,ORÇAMENTO!E29)),OFFSET($D29,1,$C29,ROW($C$508)-ROW($C29)),0))</f>
        <v>0</v>
      </c>
      <c r="L29" s="114" t="str">
        <f t="shared" ca="1" si="10"/>
        <v>F</v>
      </c>
      <c r="M29" s="115" t="s">
        <v>705</v>
      </c>
      <c r="N29" s="116" t="str">
        <f t="shared" ca="1" si="11"/>
        <v>Serviço</v>
      </c>
      <c r="O29" s="117" t="str">
        <f t="shared" ca="1" si="12"/>
        <v>1.3.1.0.1.</v>
      </c>
      <c r="P29" s="118" t="s">
        <v>750</v>
      </c>
      <c r="Q29" s="119" t="s">
        <v>1410</v>
      </c>
      <c r="R29" s="120" t="str">
        <f ca="1">IF($C29="S",REFERENCIA.Descricao,"(digite a descrição aqui)")</f>
        <v>FORNECIMENTO E INSTALAÇÃO DE PLACA DE OBRA COM CHAPA GALVANIZADA E ESTRUTURA DE MADEIRA. AF_03/2022_PS</v>
      </c>
      <c r="S29" s="121" t="str">
        <f ca="1">REFERENCIA.Unidade</f>
        <v>M2</v>
      </c>
      <c r="T29" s="122">
        <f ca="1">OFFSET(CÁLCULO!H$15,ROW($T29)-ROW(T$15),0)</f>
        <v>6.48</v>
      </c>
      <c r="U29" s="123">
        <f ca="1">AG29</f>
        <v>505.41</v>
      </c>
      <c r="V29" s="124" t="s">
        <v>663</v>
      </c>
      <c r="W29" s="122">
        <f ca="1">IF($C29="S",ROUND(IF(TIPOORCAMENTO="Proposto",ORÇAMENTO.CustoUnitario*(1+$AH29),ORÇAMENTO.PrecoUnitarioLicitado),15-13*$AF$10),0)</f>
        <v>624.17999999999995</v>
      </c>
      <c r="X29" s="125" cm="1">
        <f t="array" aca="1" ref="X29" ca="1">IF($C29="S",IF(OR(Import.TipoArredondamento&lt;&gt;"TransfereGOV",ACOMPANHAMENTO="BM"),VTOTAL1,SUM(OFFSET(CÁLCULO!$AI$15,ROW($X29)-ROW($X$15),1):OFFSET(CÁLCULO!$BB$15,ROW($X29)-ROW($X$15),-1))),IF($C29=0,0,ROUND(SomaAgrup,15-13*$AF$11)))</f>
        <v>4044.69</v>
      </c>
      <c r="Y29" s="126" t="s">
        <v>751</v>
      </c>
      <c r="Z29" t="str">
        <f t="shared" ca="1" si="13"/>
        <v>RA</v>
      </c>
      <c r="AA29" s="127">
        <f ca="1">IF($C29="S",IF($Z29="CP",$X29,IF($Z29="RA",(($X29)*QCI!$AA$3),0)),SomaAgrup)</f>
        <v>0</v>
      </c>
      <c r="AB29" s="128">
        <f t="shared" ca="1" si="14"/>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IF(C29&lt;=CRONO.NivelExibicao,MAX($AD$15:OFFSET(AD29,-1,0))+IF($C29&lt;&gt;1,1,MAX(1,COUNTIF(QCI!$A$13:$A$15,OFFSET($E29,-1,0)))),"")</f>
        <v/>
      </c>
      <c r="AE29" s="7" t="str">
        <f ca="1">IF(AND($C29="S",ORÇAMENTO.CodBarra&lt;&gt;""),IF(ORÇAMENTO.Fonte="",ORÇAMENTO.CodBarra,CONCATENATE(ORÇAMENTO.Fonte," ",ORÇAMENTO.CodBarra)))</f>
        <v>SINAPI 103689</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14851</v>
      </c>
      <c r="AG29" s="428">
        <f ca="1">ROUND(IF(DESONERACAO="sim",REFERENCIA.Desonerado,REFERENCIA.NaoDesonerado),2)</f>
        <v>505.41</v>
      </c>
      <c r="AH29" s="429">
        <f t="shared" ca="1" si="15"/>
        <v>0.23499999999999999</v>
      </c>
      <c r="AJ29" s="431">
        <v>6.48</v>
      </c>
      <c r="AL29" s="439"/>
      <c r="AM29" s="336">
        <f t="shared" ca="1" si="0"/>
        <v>4044.69</v>
      </c>
      <c r="AN29" s="470">
        <f t="shared" ca="1" si="16"/>
        <v>624.17999999999995</v>
      </c>
    </row>
    <row r="30" spans="1:40" x14ac:dyDescent="0.2">
      <c r="A30">
        <f t="shared" si="1"/>
        <v>3</v>
      </c>
      <c r="B30">
        <f t="shared" ca="1" si="2"/>
        <v>3</v>
      </c>
      <c r="C30">
        <f t="shared" ca="1" si="3"/>
        <v>3</v>
      </c>
      <c r="D30">
        <f t="shared" ca="1" si="4"/>
        <v>12</v>
      </c>
      <c r="E30">
        <f ca="1">IF($C30=1,OFFSET(E30,-1,0)+MAX(1,COUNTIF(QCI!$A$13:$A$15,OFFSET(ORÇAMENTO!E30,-1,0))),OFFSET(E30,-1,0))</f>
        <v>1</v>
      </c>
      <c r="F30">
        <f t="shared" ca="1" si="5"/>
        <v>3</v>
      </c>
      <c r="G30">
        <f t="shared" ca="1" si="6"/>
        <v>2</v>
      </c>
      <c r="H30">
        <f t="shared" ca="1" si="7"/>
        <v>0</v>
      </c>
      <c r="I30">
        <f t="shared" ca="1" si="8"/>
        <v>0</v>
      </c>
      <c r="J30">
        <f t="shared" ca="1" si="9"/>
        <v>18</v>
      </c>
      <c r="K30">
        <f ca="1">IF(OR($C30="S",$C30=0),0,MATCH(OFFSET($D30,0,$C30)+IF($C30&lt;&gt;1,1,COUNTIF(QCI!$A$13:$A$15,ORÇAMENTO!E30)),OFFSET($D30,1,$C30,ROW($C$508)-ROW($C30)),0))</f>
        <v>12</v>
      </c>
      <c r="L30" s="114" t="str">
        <f t="shared" ca="1" si="10"/>
        <v>F</v>
      </c>
      <c r="M30" s="115" t="s">
        <v>703</v>
      </c>
      <c r="N30" s="116" t="str">
        <f t="shared" ca="1" si="11"/>
        <v>Nível 3</v>
      </c>
      <c r="O30" s="117" t="str">
        <f t="shared" ca="1" si="12"/>
        <v>1.3.2.</v>
      </c>
      <c r="P30" s="118" t="s">
        <v>750</v>
      </c>
      <c r="Q30" s="119"/>
      <c r="R30" s="120" t="s">
        <v>1209</v>
      </c>
      <c r="S30" s="121" t="s">
        <v>688</v>
      </c>
      <c r="T30" s="122">
        <f ca="1">OFFSET(CÁLCULO!H$15,ROW($T30)-ROW(T$15),0)</f>
        <v>0</v>
      </c>
      <c r="U30" s="123">
        <f t="shared" ref="U30:U258" ca="1" si="21">AG30</f>
        <v>0</v>
      </c>
      <c r="V30" s="124" t="s">
        <v>663</v>
      </c>
      <c r="W30" s="122">
        <f ca="1">IF($C30="S",ROUND(IF(TIPOORCAMENTO="Proposto",ORÇAMENTO.CustoUnitario*(1+$AH30),ORÇAMENTO.PrecoUnitarioLicitado),15-13*$AF$10),0)</f>
        <v>0</v>
      </c>
      <c r="X30" s="125" cm="1">
        <f t="array" aca="1" ref="X30" ca="1">IF($C30="S",IF(OR(Import.TipoArredondamento&lt;&gt;"TransfereGOV",ACOMPANHAMENTO="BM"),VTOTAL1,SUM(OFFSET(CÁLCULO!$AI$15,ROW($X30)-ROW($X$15),1):OFFSET(CÁLCULO!$BB$15,ROW($X30)-ROW($X$15),-1))),IF($C30=0,0,ROUND(SomaAgrup,15-13*$AF$11)))</f>
        <v>87551.91</v>
      </c>
      <c r="Y30" s="126" t="s">
        <v>751</v>
      </c>
      <c r="Z30" t="str">
        <f t="shared" ca="1" si="13"/>
        <v/>
      </c>
      <c r="AA30" s="127">
        <f ca="1">IF($C30="S",IF($Z30="CP",$X30,IF($Z30="RA",(($X30)*QCI!$AA$3),0)),SomaAgrup)</f>
        <v>0</v>
      </c>
      <c r="AB30" s="128">
        <f t="shared" ca="1" si="14"/>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IF(C30&lt;=CRONO.NivelExibicao,MAX($AD$15:OFFSET(AD30,-1,0))+IF($C30&lt;&gt;1,1,MAX(1,COUNTIF(QCI!$A$13:$A$15,OFFSET($E30,-1,0)))),"")</f>
        <v/>
      </c>
      <c r="AE30" s="7" t="b">
        <f ca="1">IF(AND($C30="S",ORÇAMENTO.CodBarra&lt;&gt;""),IF(ORÇAMENTO.Fonte="",ORÇAMENTO.CodBarra,CONCATENATE(ORÇAMENTO.Fonte," ",ORÇAMENTO.CodBarra)))</f>
        <v>0</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(Sem Código)</v>
      </c>
      <c r="AG30" s="428">
        <f ca="1">ROUND(IF(DESONERACAO="sim",REFERENCIA.Desonerado,REFERENCIA.NaoDesonerado),2)</f>
        <v>0</v>
      </c>
      <c r="AH30" s="429">
        <f t="shared" ca="1" si="15"/>
        <v>0.23499999999999999</v>
      </c>
      <c r="AJ30" s="431"/>
      <c r="AL30" s="439"/>
      <c r="AM30" s="336">
        <f t="shared" ca="1" si="0"/>
        <v>87551.91</v>
      </c>
      <c r="AN30" s="470">
        <f t="shared" ca="1" si="16"/>
        <v>0</v>
      </c>
    </row>
    <row r="31" spans="1:40" ht="38.25" x14ac:dyDescent="0.2">
      <c r="A31" t="str">
        <f t="shared" si="1"/>
        <v>S</v>
      </c>
      <c r="B31">
        <f t="shared" ca="1" si="2"/>
        <v>3</v>
      </c>
      <c r="C31" t="str">
        <f t="shared" ca="1" si="3"/>
        <v>S</v>
      </c>
      <c r="D31">
        <f t="shared" ca="1" si="4"/>
        <v>0</v>
      </c>
      <c r="E31">
        <f ca="1">IF($C31=1,OFFSET(E31,-1,0)+MAX(1,COUNTIF(QCI!$A$13:$A$15,OFFSET(ORÇAMENTO!E31,-1,0))),OFFSET(E31,-1,0))</f>
        <v>1</v>
      </c>
      <c r="F31">
        <f t="shared" ca="1" si="5"/>
        <v>3</v>
      </c>
      <c r="G31">
        <f t="shared" ca="1" si="6"/>
        <v>2</v>
      </c>
      <c r="H31">
        <f t="shared" ca="1" si="7"/>
        <v>0</v>
      </c>
      <c r="I31">
        <f t="shared" ca="1" si="8"/>
        <v>1</v>
      </c>
      <c r="J31">
        <f t="shared" ca="1" si="9"/>
        <v>0</v>
      </c>
      <c r="K31">
        <f ca="1">IF(OR($C31="S",$C31=0),0,MATCH(OFFSET($D31,0,$C31)+IF($C31&lt;&gt;1,1,COUNTIF(QCI!$A$13:$A$15,ORÇAMENTO!E31)),OFFSET($D31,1,$C31,ROW($C$508)-ROW($C31)),0))</f>
        <v>0</v>
      </c>
      <c r="L31" s="114" t="str">
        <f t="shared" ca="1" si="10"/>
        <v>F</v>
      </c>
      <c r="M31" s="115" t="s">
        <v>705</v>
      </c>
      <c r="N31" s="116" t="str">
        <f t="shared" ca="1" si="11"/>
        <v>Serviço</v>
      </c>
      <c r="O31" s="117" t="str">
        <f t="shared" ca="1" si="12"/>
        <v>1.3.2.0.1.</v>
      </c>
      <c r="P31" s="118" t="s">
        <v>1280</v>
      </c>
      <c r="Q31" s="119" t="s">
        <v>1001</v>
      </c>
      <c r="R31" s="120" t="str">
        <f ca="1">IF($C31="S",REFERENCIA.Descricao,"(digite a descrição aqui)")</f>
        <v>MOBILIZAÇÃO E DESMOBILIZAÇÃO DE CONTAINER, INCLUSIVE CARGA, DESCARGA E TRANSPORTE EM CAMINHÃO CARROCERIA COM GUINDAUTO (MUNCK), EXCLUSIVE LOCAÇÃO DO CONTAINER</v>
      </c>
      <c r="S31" s="121" t="str">
        <f ca="1">REFERENCIA.Unidade</f>
        <v>UN</v>
      </c>
      <c r="T31" s="122">
        <f ca="1">OFFSET(CÁLCULO!H$15,ROW($T31)-ROW(T$15),0)</f>
        <v>4</v>
      </c>
      <c r="U31" s="123">
        <f t="shared" ca="1" si="21"/>
        <v>1572.02</v>
      </c>
      <c r="V31" s="124" t="s">
        <v>663</v>
      </c>
      <c r="W31" s="122">
        <f ca="1">IF($C31="S",ROUND(IF(TIPOORCAMENTO="Proposto",ORÇAMENTO.CustoUnitario*(1+$AH31),ORÇAMENTO.PrecoUnitarioLicitado),15-13*$AF$10),0)</f>
        <v>1941.44</v>
      </c>
      <c r="X31" s="125" cm="1">
        <f t="array" aca="1" ref="X31" ca="1">IF($C31="S",IF(OR(Import.TipoArredondamento&lt;&gt;"TransfereGOV",ACOMPANHAMENTO="BM"),VTOTAL1,SUM(OFFSET(CÁLCULO!$AI$15,ROW($X31)-ROW($X$15),1):OFFSET(CÁLCULO!$BB$15,ROW($X31)-ROW($X$15),-1))),IF($C31=0,0,ROUND(SomaAgrup,15-13*$AF$11)))</f>
        <v>7765.76</v>
      </c>
      <c r="Y31" s="126" t="s">
        <v>751</v>
      </c>
      <c r="Z31" t="str">
        <f t="shared" ca="1" si="13"/>
        <v>RA</v>
      </c>
      <c r="AA31" s="127">
        <f ca="1">IF($C31="S",IF($Z31="CP",$X31,IF($Z31="RA",(($X31)*QCI!$AA$3),0)),SomaAgrup)</f>
        <v>0</v>
      </c>
      <c r="AB31" s="128">
        <f t="shared" ca="1" si="14"/>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IF(C31&lt;=CRONO.NivelExibicao,MAX($AD$15:OFFSET(AD31,-1,0))+IF($C31&lt;&gt;1,1,MAX(1,COUNTIF(QCI!$A$13:$A$15,OFFSET($E31,-1,0)))),"")</f>
        <v/>
      </c>
      <c r="AE31" s="7" t="str">
        <f ca="1">IF(AND($C31="S",ORÇAMENTO.CodBarra&lt;&gt;""),IF(ORÇAMENTO.Fonte="",ORÇAMENTO.CodBarra,CONCATENATE(ORÇAMENTO.Fonte," ",ORÇAMENTO.CodBarra)))</f>
        <v>SETOP ED-50137</v>
      </c>
      <c r="AF31" s="12">
        <f ca="1">IF(ISERROR(INDIRECT(ORÇAMENTO.BancoRef)),"(abra o arquivo 'Referência "&amp;Excel_BuiltIn_Database&amp;".xlsm)",IF(OR($C31&lt;&gt;"S",ORÇAMENTO.CodBarra=""),"(Sem Código)",IF(ISERROR(MATCH($AE31,INDIRECT(ORÇAMENTO.BancoRef),0)),"(Código não identificado nas referências)",MATCH($AE31,INDIRECT(ORÇAMENTO.BancoRef),0))))</f>
        <v>27915</v>
      </c>
      <c r="AG31" s="428">
        <f ca="1">ROUND(IF(DESONERACAO="sim",REFERENCIA.Desonerado,REFERENCIA.NaoDesonerado),2)</f>
        <v>1572.02</v>
      </c>
      <c r="AH31" s="429">
        <f t="shared" ca="1" si="15"/>
        <v>0.23499999999999999</v>
      </c>
      <c r="AJ31" s="431">
        <v>4</v>
      </c>
      <c r="AL31" s="439"/>
      <c r="AM31" s="336">
        <f t="shared" ca="1" si="0"/>
        <v>7765.76</v>
      </c>
      <c r="AN31" s="470">
        <f t="shared" ca="1" si="16"/>
        <v>1941.44</v>
      </c>
    </row>
    <row r="32" spans="1:40" ht="76.5" x14ac:dyDescent="0.2">
      <c r="A32" t="str">
        <f t="shared" si="1"/>
        <v>S</v>
      </c>
      <c r="B32">
        <f t="shared" ca="1" si="2"/>
        <v>3</v>
      </c>
      <c r="C32" t="str">
        <f t="shared" ca="1" si="3"/>
        <v>S</v>
      </c>
      <c r="D32">
        <f t="shared" ca="1" si="4"/>
        <v>0</v>
      </c>
      <c r="E32">
        <f ca="1">IF($C32=1,OFFSET(E32,-1,0)+MAX(1,COUNTIF(QCI!$A$13:$A$15,OFFSET(ORÇAMENTO!E32,-1,0))),OFFSET(E32,-1,0))</f>
        <v>1</v>
      </c>
      <c r="F32">
        <f t="shared" ca="1" si="5"/>
        <v>3</v>
      </c>
      <c r="G32">
        <f t="shared" ca="1" si="6"/>
        <v>2</v>
      </c>
      <c r="H32">
        <f t="shared" ca="1" si="7"/>
        <v>0</v>
      </c>
      <c r="I32">
        <f t="shared" ca="1" si="8"/>
        <v>2</v>
      </c>
      <c r="J32">
        <f t="shared" ca="1" si="9"/>
        <v>0</v>
      </c>
      <c r="K32">
        <f ca="1">IF(OR($C32="S",$C32=0),0,MATCH(OFFSET($D32,0,$C32)+IF($C32&lt;&gt;1,1,COUNTIF(QCI!$A$13:$A$15,ORÇAMENTO!E32)),OFFSET($D32,1,$C32,ROW($C$508)-ROW($C32)),0))</f>
        <v>0</v>
      </c>
      <c r="L32" s="114" t="str">
        <f t="shared" ca="1" si="10"/>
        <v>F</v>
      </c>
      <c r="M32" s="115" t="s">
        <v>705</v>
      </c>
      <c r="N32" s="116" t="str">
        <f t="shared" ca="1" si="11"/>
        <v>Serviço</v>
      </c>
      <c r="O32" s="117" t="str">
        <f t="shared" ca="1" si="12"/>
        <v>1.3.2.0.2.</v>
      </c>
      <c r="P32" s="118" t="s">
        <v>1280</v>
      </c>
      <c r="Q32" s="119" t="s">
        <v>1002</v>
      </c>
      <c r="R32" s="120" t="str">
        <f ca="1">IF($C32="S",REFERENCIA.Descricao,"(digite a descrição aqui)")</f>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
      <c r="S32" s="121" t="str">
        <f ca="1">REFERENCIA.Unidade</f>
        <v>MÊS</v>
      </c>
      <c r="T32" s="122">
        <f ca="1">OFFSET(CÁLCULO!H$15,ROW($T32)-ROW(T$15),0)</f>
        <v>10</v>
      </c>
      <c r="U32" s="123">
        <f t="shared" ca="1" si="21"/>
        <v>1649.5</v>
      </c>
      <c r="V32" s="124" t="s">
        <v>663</v>
      </c>
      <c r="W32" s="122">
        <f ca="1">IF($C32="S",ROUND(IF(TIPOORCAMENTO="Proposto",ORÇAMENTO.CustoUnitario*(1+$AH32),ORÇAMENTO.PrecoUnitarioLicitado),15-13*$AF$10),0)</f>
        <v>2037.13</v>
      </c>
      <c r="X32" s="125" cm="1">
        <f t="array" aca="1" ref="X32" ca="1">IF($C32="S",IF(OR(Import.TipoArredondamento&lt;&gt;"TransfereGOV",ACOMPANHAMENTO="BM"),VTOTAL1,SUM(OFFSET(CÁLCULO!$AI$15,ROW($X32)-ROW($X$15),1):OFFSET(CÁLCULO!$BB$15,ROW($X32)-ROW($X$15),-1))),IF($C32=0,0,ROUND(SomaAgrup,15-13*$AF$11)))</f>
        <v>20371.3</v>
      </c>
      <c r="Y32" s="126" t="s">
        <v>751</v>
      </c>
      <c r="Z32" t="str">
        <f t="shared" ca="1" si="13"/>
        <v>RA</v>
      </c>
      <c r="AA32" s="127">
        <f ca="1">IF($C32="S",IF($Z32="CP",$X32,IF($Z32="RA",(($X32)*QCI!$AA$3),0)),SomaAgrup)</f>
        <v>0</v>
      </c>
      <c r="AB32" s="128">
        <f t="shared" ca="1" si="14"/>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IF(C32&lt;=CRONO.NivelExibicao,MAX($AD$15:OFFSET(AD32,-1,0))+IF($C32&lt;&gt;1,1,MAX(1,COUNTIF(QCI!$A$13:$A$15,OFFSET($E32,-1,0)))),"")</f>
        <v/>
      </c>
      <c r="AE32" s="7" t="str">
        <f ca="1">IF(AND($C32="S",ORÇAMENTO.CodBarra&lt;&gt;""),IF(ORÇAMENTO.Fonte="",ORÇAMENTO.CodBarra,CONCATENATE(ORÇAMENTO.Fonte," ",ORÇAMENTO.CodBarra)))</f>
        <v>SETOP ED-16348</v>
      </c>
      <c r="AF32" s="12">
        <f ca="1">IF(ISERROR(INDIRECT(ORÇAMENTO.BancoRef)),"(abra o arquivo 'Referência "&amp;Excel_BuiltIn_Database&amp;".xlsm)",IF(OR($C32&lt;&gt;"S",ORÇAMENTO.CodBarra=""),"(Sem Código)",IF(ISERROR(MATCH($AE32,INDIRECT(ORÇAMENTO.BancoRef),0)),"(Código não identificado nas referências)",MATCH($AE32,INDIRECT(ORÇAMENTO.BancoRef),0))))</f>
        <v>27907</v>
      </c>
      <c r="AG32" s="428">
        <f ca="1">ROUND(IF(DESONERACAO="sim",REFERENCIA.Desonerado,REFERENCIA.NaoDesonerado),2)</f>
        <v>1649.5</v>
      </c>
      <c r="AH32" s="429">
        <f t="shared" ca="1" si="15"/>
        <v>0.23499999999999999</v>
      </c>
      <c r="AJ32" s="431">
        <v>10</v>
      </c>
      <c r="AL32" s="439"/>
      <c r="AM32" s="336">
        <f t="shared" ca="1" si="0"/>
        <v>20371.3</v>
      </c>
      <c r="AN32" s="470">
        <f t="shared" ca="1" si="16"/>
        <v>2037.13</v>
      </c>
    </row>
    <row r="33" spans="1:40" ht="89.25" x14ac:dyDescent="0.2">
      <c r="A33" t="str">
        <f t="shared" si="1"/>
        <v>S</v>
      </c>
      <c r="B33">
        <f t="shared" ca="1" si="2"/>
        <v>3</v>
      </c>
      <c r="C33" t="str">
        <f t="shared" ca="1" si="3"/>
        <v>S</v>
      </c>
      <c r="D33">
        <f t="shared" ca="1" si="4"/>
        <v>0</v>
      </c>
      <c r="E33">
        <f ca="1">IF($C33=1,OFFSET(E33,-1,0)+MAX(1,COUNTIF(QCI!$A$13:$A$15,OFFSET(ORÇAMENTO!E33,-1,0))),OFFSET(E33,-1,0))</f>
        <v>1</v>
      </c>
      <c r="F33">
        <f t="shared" ca="1" si="5"/>
        <v>3</v>
      </c>
      <c r="G33">
        <f t="shared" ca="1" si="6"/>
        <v>2</v>
      </c>
      <c r="H33">
        <f t="shared" ca="1" si="7"/>
        <v>0</v>
      </c>
      <c r="I33">
        <f t="shared" ca="1" si="8"/>
        <v>3</v>
      </c>
      <c r="J33">
        <f t="shared" ca="1" si="9"/>
        <v>0</v>
      </c>
      <c r="K33">
        <f ca="1">IF(OR($C33="S",$C33=0),0,MATCH(OFFSET($D33,0,$C33)+IF($C33&lt;&gt;1,1,COUNTIF(QCI!$A$13:$A$15,ORÇAMENTO!E33)),OFFSET($D33,1,$C33,ROW($C$508)-ROW($C33)),0))</f>
        <v>0</v>
      </c>
      <c r="L33" s="114" t="str">
        <f t="shared" ca="1" si="10"/>
        <v>F</v>
      </c>
      <c r="M33" s="115" t="s">
        <v>705</v>
      </c>
      <c r="N33" s="116" t="str">
        <f t="shared" ca="1" si="11"/>
        <v>Serviço</v>
      </c>
      <c r="O33" s="117" t="str">
        <f t="shared" ca="1" si="12"/>
        <v>1.3.2.0.3.</v>
      </c>
      <c r="P33" s="118" t="s">
        <v>1280</v>
      </c>
      <c r="Q33" s="119" t="s">
        <v>1003</v>
      </c>
      <c r="R33" s="120" t="str">
        <f ca="1">IF($C33="S",REFERENCIA.Descricao,"(digite a descrição aqui)")</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S33" s="121" t="str">
        <f ca="1">REFERENCIA.Unidade</f>
        <v>MÊS</v>
      </c>
      <c r="T33" s="122">
        <f ca="1">OFFSET(CÁLCULO!H$15,ROW($T33)-ROW(T$15),0)</f>
        <v>10</v>
      </c>
      <c r="U33" s="123">
        <f t="shared" ca="1" si="21"/>
        <v>802.04</v>
      </c>
      <c r="V33" s="124" t="s">
        <v>663</v>
      </c>
      <c r="W33" s="122">
        <f ca="1">IF($C33="S",ROUND(IF(TIPOORCAMENTO="Proposto",ORÇAMENTO.CustoUnitario*(1+$AH33),ORÇAMENTO.PrecoUnitarioLicitado),15-13*$AF$10),0)</f>
        <v>990.52</v>
      </c>
      <c r="X33" s="125" cm="1">
        <f t="array" aca="1" ref="X33" ca="1">IF($C33="S",IF(OR(Import.TipoArredondamento&lt;&gt;"TransfereGOV",ACOMPANHAMENTO="BM"),VTOTAL1,SUM(OFFSET(CÁLCULO!$AI$15,ROW($X33)-ROW($X$15),1):OFFSET(CÁLCULO!$BB$15,ROW($X33)-ROW($X$15),-1))),IF($C33=0,0,ROUND(SomaAgrup,15-13*$AF$11)))</f>
        <v>9905.2000000000007</v>
      </c>
      <c r="Y33" s="126" t="s">
        <v>751</v>
      </c>
      <c r="Z33" t="str">
        <f t="shared" ca="1" si="13"/>
        <v>RA</v>
      </c>
      <c r="AA33" s="127">
        <f ca="1">IF($C33="S",IF($Z33="CP",$X33,IF($Z33="RA",(($X33)*QCI!$AA$3),0)),SomaAgrup)</f>
        <v>0</v>
      </c>
      <c r="AB33" s="128">
        <f t="shared" ca="1" si="14"/>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IF(C33&lt;=CRONO.NivelExibicao,MAX($AD$15:OFFSET(AD33,-1,0))+IF($C33&lt;&gt;1,1,MAX(1,COUNTIF(QCI!$A$13:$A$15,OFFSET($E33,-1,0)))),"")</f>
        <v/>
      </c>
      <c r="AE33" s="7" t="str">
        <f ca="1">IF(AND($C33="S",ORÇAMENTO.CodBarra&lt;&gt;""),IF(ORÇAMENTO.Fonte="",ORÇAMENTO.CodBarra,CONCATENATE(ORÇAMENTO.Fonte," ",ORÇAMENTO.CodBarra)))</f>
        <v>SETOP ED-16350</v>
      </c>
      <c r="AF33" s="12">
        <f ca="1">IF(ISERROR(INDIRECT(ORÇAMENTO.BancoRef)),"(abra o arquivo 'Referência "&amp;Excel_BuiltIn_Database&amp;".xlsm)",IF(OR($C33&lt;&gt;"S",ORÇAMENTO.CodBarra=""),"(Sem Código)",IF(ISERROR(MATCH($AE33,INDIRECT(ORÇAMENTO.BancoRef),0)),"(Código não identificado nas referências)",MATCH($AE33,INDIRECT(ORÇAMENTO.BancoRef),0))))</f>
        <v>27909</v>
      </c>
      <c r="AG33" s="428">
        <f ca="1">ROUND(IF(DESONERACAO="sim",REFERENCIA.Desonerado,REFERENCIA.NaoDesonerado),2)</f>
        <v>802.04</v>
      </c>
      <c r="AH33" s="429">
        <f t="shared" ca="1" si="15"/>
        <v>0.23499999999999999</v>
      </c>
      <c r="AJ33" s="431">
        <v>10</v>
      </c>
      <c r="AL33" s="439"/>
      <c r="AM33" s="336">
        <f t="shared" ca="1" si="0"/>
        <v>9905.2000000000007</v>
      </c>
      <c r="AN33" s="470">
        <f t="shared" ca="1" si="16"/>
        <v>990.52</v>
      </c>
    </row>
    <row r="34" spans="1:40" ht="76.5" x14ac:dyDescent="0.2">
      <c r="A34" t="str">
        <f t="shared" si="1"/>
        <v>S</v>
      </c>
      <c r="B34">
        <f t="shared" ca="1" si="2"/>
        <v>3</v>
      </c>
      <c r="C34" t="str">
        <f t="shared" ca="1" si="3"/>
        <v>S</v>
      </c>
      <c r="D34">
        <f t="shared" ca="1" si="4"/>
        <v>0</v>
      </c>
      <c r="E34">
        <f ca="1">IF($C34=1,OFFSET(E34,-1,0)+MAX(1,COUNTIF(QCI!$A$13:$A$15,OFFSET(ORÇAMENTO!E34,-1,0))),OFFSET(E34,-1,0))</f>
        <v>1</v>
      </c>
      <c r="F34">
        <f t="shared" ca="1" si="5"/>
        <v>3</v>
      </c>
      <c r="G34">
        <f t="shared" ca="1" si="6"/>
        <v>2</v>
      </c>
      <c r="H34">
        <f t="shared" ca="1" si="7"/>
        <v>0</v>
      </c>
      <c r="I34">
        <f t="shared" ca="1" si="8"/>
        <v>4</v>
      </c>
      <c r="J34">
        <f t="shared" ca="1" si="9"/>
        <v>0</v>
      </c>
      <c r="K34">
        <f ca="1">IF(OR($C34="S",$C34=0),0,MATCH(OFFSET($D34,0,$C34)+IF($C34&lt;&gt;1,1,COUNTIF(QCI!$A$13:$A$15,ORÇAMENTO!E34)),OFFSET($D34,1,$C34,ROW($C$508)-ROW($C34)),0))</f>
        <v>0</v>
      </c>
      <c r="L34" s="114" t="str">
        <f t="shared" ca="1" si="10"/>
        <v>F</v>
      </c>
      <c r="M34" s="115" t="s">
        <v>705</v>
      </c>
      <c r="N34" s="116" t="str">
        <f t="shared" ca="1" si="11"/>
        <v>Serviço</v>
      </c>
      <c r="O34" s="117" t="str">
        <f t="shared" ca="1" si="12"/>
        <v>1.3.2.0.4.</v>
      </c>
      <c r="P34" s="118" t="s">
        <v>1280</v>
      </c>
      <c r="Q34" s="119" t="s">
        <v>1004</v>
      </c>
      <c r="R34" s="120" t="str">
        <f ca="1">IF($C34="S",REFERENCIA.Descricao,"(digite a descrição aqui)")</f>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
      <c r="S34" s="121" t="str">
        <f ca="1">REFERENCIA.Unidade</f>
        <v>MÊS</v>
      </c>
      <c r="T34" s="122">
        <f ca="1">OFFSET(CÁLCULO!H$15,ROW($T34)-ROW(T$15),0)</f>
        <v>10</v>
      </c>
      <c r="U34" s="123">
        <f t="shared" ca="1" si="21"/>
        <v>1194.83</v>
      </c>
      <c r="V34" s="124" t="s">
        <v>663</v>
      </c>
      <c r="W34" s="122">
        <f ca="1">IF($C34="S",ROUND(IF(TIPOORCAMENTO="Proposto",ORÇAMENTO.CustoUnitario*(1+$AH34),ORÇAMENTO.PrecoUnitarioLicitado),15-13*$AF$10),0)</f>
        <v>1475.62</v>
      </c>
      <c r="X34" s="125" cm="1">
        <f t="array" aca="1" ref="X34" ca="1">IF($C34="S",IF(OR(Import.TipoArredondamento&lt;&gt;"TransfereGOV",ACOMPANHAMENTO="BM"),VTOTAL1,SUM(OFFSET(CÁLCULO!$AI$15,ROW($X34)-ROW($X$15),1):OFFSET(CÁLCULO!$BB$15,ROW($X34)-ROW($X$15),-1))),IF($C34=0,0,ROUND(SomaAgrup,15-13*$AF$11)))</f>
        <v>14756.2</v>
      </c>
      <c r="Y34" s="126" t="s">
        <v>751</v>
      </c>
      <c r="Z34" t="str">
        <f t="shared" ca="1" si="13"/>
        <v>RA</v>
      </c>
      <c r="AA34" s="127">
        <f ca="1">IF($C34="S",IF($Z34="CP",$X34,IF($Z34="RA",(($X34)*QCI!$AA$3),0)),SomaAgrup)</f>
        <v>0</v>
      </c>
      <c r="AB34" s="128">
        <f t="shared" ca="1" si="14"/>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IF(C34&lt;=CRONO.NivelExibicao,MAX($AD$15:OFFSET(AD34,-1,0))+IF($C34&lt;&gt;1,1,MAX(1,COUNTIF(QCI!$A$13:$A$15,OFFSET($E34,-1,0)))),"")</f>
        <v/>
      </c>
      <c r="AE34" s="7" t="str">
        <f ca="1">IF(AND($C34="S",ORÇAMENTO.CodBarra&lt;&gt;""),IF(ORÇAMENTO.Fonte="",ORÇAMENTO.CodBarra,CONCATENATE(ORÇAMENTO.Fonte," ",ORÇAMENTO.CodBarra)))</f>
        <v>SETOP ED-16351</v>
      </c>
      <c r="AF34" s="12">
        <f ca="1">IF(ISERROR(INDIRECT(ORÇAMENTO.BancoRef)),"(abra o arquivo 'Referência "&amp;Excel_BuiltIn_Database&amp;".xlsm)",IF(OR($C34&lt;&gt;"S",ORÇAMENTO.CodBarra=""),"(Sem Código)",IF(ISERROR(MATCH($AE34,INDIRECT(ORÇAMENTO.BancoRef),0)),"(Código não identificado nas referências)",MATCH($AE34,INDIRECT(ORÇAMENTO.BancoRef),0))))</f>
        <v>27910</v>
      </c>
      <c r="AG34" s="428">
        <f ca="1">ROUND(IF(DESONERACAO="sim",REFERENCIA.Desonerado,REFERENCIA.NaoDesonerado),2)</f>
        <v>1194.83</v>
      </c>
      <c r="AH34" s="429">
        <f t="shared" ca="1" si="15"/>
        <v>0.23499999999999999</v>
      </c>
      <c r="AJ34" s="431">
        <v>10</v>
      </c>
      <c r="AL34" s="439"/>
      <c r="AM34" s="336">
        <f t="shared" ca="1" si="0"/>
        <v>14756.2</v>
      </c>
      <c r="AN34" s="470">
        <f t="shared" ca="1" si="16"/>
        <v>1475.62</v>
      </c>
    </row>
    <row r="35" spans="1:40" ht="102" x14ac:dyDescent="0.2">
      <c r="A35" t="str">
        <f t="shared" si="1"/>
        <v>S</v>
      </c>
      <c r="B35">
        <f t="shared" ca="1" si="2"/>
        <v>3</v>
      </c>
      <c r="C35" t="str">
        <f t="shared" ca="1" si="3"/>
        <v>S</v>
      </c>
      <c r="D35">
        <f t="shared" ca="1" si="4"/>
        <v>0</v>
      </c>
      <c r="E35">
        <f ca="1">IF($C35=1,OFFSET(E35,-1,0)+MAX(1,COUNTIF(QCI!$A$13:$A$15,OFFSET(ORÇAMENTO!E35,-1,0))),OFFSET(E35,-1,0))</f>
        <v>1</v>
      </c>
      <c r="F35">
        <f t="shared" ca="1" si="5"/>
        <v>3</v>
      </c>
      <c r="G35">
        <f t="shared" ca="1" si="6"/>
        <v>2</v>
      </c>
      <c r="H35">
        <f t="shared" ca="1" si="7"/>
        <v>0</v>
      </c>
      <c r="I35">
        <f t="shared" ca="1" si="8"/>
        <v>5</v>
      </c>
      <c r="J35">
        <f t="shared" ca="1" si="9"/>
        <v>0</v>
      </c>
      <c r="K35">
        <f ca="1">IF(OR($C35="S",$C35=0),0,MATCH(OFFSET($D35,0,$C35)+IF($C35&lt;&gt;1,1,COUNTIF(QCI!$A$13:$A$15,ORÇAMENTO!E35)),OFFSET($D35,1,$C35,ROW($C$508)-ROW($C35)),0))</f>
        <v>0</v>
      </c>
      <c r="L35" s="114" t="str">
        <f t="shared" ca="1" si="10"/>
        <v>F</v>
      </c>
      <c r="M35" s="115" t="s">
        <v>705</v>
      </c>
      <c r="N35" s="116" t="str">
        <f t="shared" ca="1" si="11"/>
        <v>Serviço</v>
      </c>
      <c r="O35" s="117" t="str">
        <f t="shared" ca="1" si="12"/>
        <v>1.3.2.0.5.</v>
      </c>
      <c r="P35" s="118" t="s">
        <v>1280</v>
      </c>
      <c r="Q35" s="119" t="s">
        <v>1005</v>
      </c>
      <c r="R35" s="120" t="str">
        <f ca="1">IF($C35="S",REFERENCIA.Descricao,"(digite a descrição aqui)")</f>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
      <c r="S35" s="121" t="str">
        <f ca="1">REFERENCIA.Unidade</f>
        <v>MÊS</v>
      </c>
      <c r="T35" s="122">
        <f ca="1">OFFSET(CÁLCULO!H$15,ROW($T35)-ROW(T$15),0)</f>
        <v>10</v>
      </c>
      <c r="U35" s="123">
        <f t="shared" ca="1" si="21"/>
        <v>1650.15</v>
      </c>
      <c r="V35" s="124" t="s">
        <v>663</v>
      </c>
      <c r="W35" s="122">
        <f ca="1">IF($C35="S",ROUND(IF(TIPOORCAMENTO="Proposto",ORÇAMENTO.CustoUnitario*(1+$AH35),ORÇAMENTO.PrecoUnitarioLicitado),15-13*$AF$10),0)</f>
        <v>2037.94</v>
      </c>
      <c r="X35" s="125" cm="1">
        <f t="array" aca="1" ref="X35" ca="1">IF($C35="S",IF(OR(Import.TipoArredondamento&lt;&gt;"TransfereGOV",ACOMPANHAMENTO="BM"),VTOTAL1,SUM(OFFSET(CÁLCULO!$AI$15,ROW($X35)-ROW($X$15),1):OFFSET(CÁLCULO!$BB$15,ROW($X35)-ROW($X$15),-1))),IF($C35=0,0,ROUND(SomaAgrup,15-13*$AF$11)))</f>
        <v>20379.400000000001</v>
      </c>
      <c r="Y35" s="126" t="s">
        <v>751</v>
      </c>
      <c r="Z35" t="str">
        <f t="shared" ca="1" si="13"/>
        <v>RA</v>
      </c>
      <c r="AA35" s="127">
        <f ca="1">IF($C35="S",IF($Z35="CP",$X35,IF($Z35="RA",(($X35)*QCI!$AA$3),0)),SomaAgrup)</f>
        <v>0</v>
      </c>
      <c r="AB35" s="128">
        <f t="shared" ca="1" si="14"/>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IF(C35&lt;=CRONO.NivelExibicao,MAX($AD$15:OFFSET(AD35,-1,0))+IF($C35&lt;&gt;1,1,MAX(1,COUNTIF(QCI!$A$13:$A$15,OFFSET($E35,-1,0)))),"")</f>
        <v/>
      </c>
      <c r="AE35" s="7" t="str">
        <f ca="1">IF(AND($C35="S",ORÇAMENTO.CodBarra&lt;&gt;""),IF(ORÇAMENTO.Fonte="",ORÇAMENTO.CodBarra,CONCATENATE(ORÇAMENTO.Fonte," ",ORÇAMENTO.CodBarra)))</f>
        <v>SETOP ED-16354</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27913</v>
      </c>
      <c r="AG35" s="428">
        <f ca="1">ROUND(IF(DESONERACAO="sim",REFERENCIA.Desonerado,REFERENCIA.NaoDesonerado),2)</f>
        <v>1650.15</v>
      </c>
      <c r="AH35" s="429">
        <f t="shared" ca="1" si="15"/>
        <v>0.23499999999999999</v>
      </c>
      <c r="AJ35" s="431">
        <v>10</v>
      </c>
      <c r="AL35" s="439"/>
      <c r="AM35" s="336">
        <f t="shared" ca="1" si="0"/>
        <v>20379.400000000001</v>
      </c>
      <c r="AN35" s="470">
        <f t="shared" ca="1" si="16"/>
        <v>2037.94</v>
      </c>
    </row>
    <row r="36" spans="1:40" ht="38.25" x14ac:dyDescent="0.2">
      <c r="A36" t="str">
        <f t="shared" si="1"/>
        <v>S</v>
      </c>
      <c r="B36">
        <f t="shared" ca="1" si="2"/>
        <v>3</v>
      </c>
      <c r="C36" t="str">
        <f t="shared" ca="1" si="3"/>
        <v>S</v>
      </c>
      <c r="D36">
        <f t="shared" ca="1" si="4"/>
        <v>0</v>
      </c>
      <c r="E36">
        <f ca="1">IF($C36=1,OFFSET(E36,-1,0)+MAX(1,COUNTIF(QCI!$A$13:$A$15,OFFSET(ORÇAMENTO!E36,-1,0))),OFFSET(E36,-1,0))</f>
        <v>1</v>
      </c>
      <c r="F36">
        <f t="shared" ca="1" si="5"/>
        <v>3</v>
      </c>
      <c r="G36">
        <f t="shared" ca="1" si="6"/>
        <v>2</v>
      </c>
      <c r="H36">
        <f t="shared" ca="1" si="7"/>
        <v>0</v>
      </c>
      <c r="I36">
        <f t="shared" ca="1" si="8"/>
        <v>6</v>
      </c>
      <c r="J36">
        <f t="shared" ca="1" si="9"/>
        <v>0</v>
      </c>
      <c r="K36">
        <f ca="1">IF(OR($C36="S",$C36=0),0,MATCH(OFFSET($D36,0,$C36)+IF($C36&lt;&gt;1,1,COUNTIF(QCI!$A$13:$A$15,ORÇAMENTO!E36)),OFFSET($D36,1,$C36,ROW($C$508)-ROW($C36)),0))</f>
        <v>0</v>
      </c>
      <c r="L36" s="114" t="str">
        <f t="shared" ca="1" si="10"/>
        <v>F</v>
      </c>
      <c r="M36" s="115" t="s">
        <v>705</v>
      </c>
      <c r="N36" s="116" t="str">
        <f t="shared" ca="1" si="11"/>
        <v>Serviço</v>
      </c>
      <c r="O36" s="117" t="str">
        <f t="shared" ca="1" si="12"/>
        <v>1.3.2.0.6.</v>
      </c>
      <c r="P36" s="118" t="s">
        <v>1280</v>
      </c>
      <c r="Q36" s="119" t="s">
        <v>1444</v>
      </c>
      <c r="R36" s="120" t="str">
        <f ca="1">IF($C36="S",REFERENCIA.Descricao,"(digite a descrição aqui)")</f>
        <v>LOCAÇÃO DE BANHEIRO QUÍMICO, DIMENSÃO (110X120X230)CM, LINHA PADRÃO, CONTENDO UMA (1) PIA/HIGIENIZADOR DE MÃOS, INCLUSIVE MANUTENÇÃO E MOBILIZAÇÃO/DESMOBILIZAÇÃO</v>
      </c>
      <c r="S36" s="121" t="str">
        <f ca="1">REFERENCIA.Unidade</f>
        <v>MÊS</v>
      </c>
      <c r="T36" s="122">
        <f ca="1">OFFSET(CÁLCULO!H$15,ROW($T36)-ROW(T$15),0)</f>
        <v>10</v>
      </c>
      <c r="U36" s="123">
        <f ca="1">AG36</f>
        <v>900</v>
      </c>
      <c r="V36" s="124" t="s">
        <v>663</v>
      </c>
      <c r="W36" s="122">
        <f ca="1">IF($C36="S",ROUND(IF(TIPOORCAMENTO="Proposto",ORÇAMENTO.CustoUnitario*(1+$AH36),ORÇAMENTO.PrecoUnitarioLicitado),15-13*$AF$10),0)</f>
        <v>1111.5</v>
      </c>
      <c r="X36" s="125" cm="1">
        <f t="array" aca="1" ref="X36" ca="1">IF($C36="S",IF(OR(Import.TipoArredondamento&lt;&gt;"TransfereGOV",ACOMPANHAMENTO="BM"),VTOTAL1,SUM(OFFSET(CÁLCULO!$AI$15,ROW($X36)-ROW($X$15),1):OFFSET(CÁLCULO!$BB$15,ROW($X36)-ROW($X$15),-1))),IF($C36=0,0,ROUND(SomaAgrup,15-13*$AF$11)))</f>
        <v>11115</v>
      </c>
      <c r="Y36" s="126" t="s">
        <v>751</v>
      </c>
      <c r="Z36" t="str">
        <f t="shared" ca="1" si="13"/>
        <v>RA</v>
      </c>
      <c r="AA36" s="127">
        <f ca="1">IF($C36="S",IF($Z36="CP",$X36,IF($Z36="RA",(($X36)*QCI!$AA$3),0)),SomaAgrup)</f>
        <v>0</v>
      </c>
      <c r="AB36" s="128">
        <f t="shared" ca="1" si="14"/>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IF(C36&lt;=CRONO.NivelExibicao,MAX($AD$15:OFFSET(AD36,-1,0))+IF($C36&lt;&gt;1,1,MAX(1,COUNTIF(QCI!$A$13:$A$15,OFFSET($E36,-1,0)))),"")</f>
        <v/>
      </c>
      <c r="AE36" s="7" t="str">
        <f ca="1">IF(AND($C36="S",ORÇAMENTO.CodBarra&lt;&gt;""),IF(ORÇAMENTO.Fonte="",ORÇAMENTO.CodBarra,CONCATENATE(ORÇAMENTO.Fonte," ",ORÇAMENTO.CodBarra)))</f>
        <v>SETOP ED-50155</v>
      </c>
      <c r="AF36" s="12">
        <f ca="1">IF(ISERROR(INDIRECT(ORÇAMENTO.BancoRef)),"(abra o arquivo 'Referência "&amp;Excel_BuiltIn_Database&amp;".xlsm)",IF(OR($C36&lt;&gt;"S",ORÇAMENTO.CodBarra=""),"(Sem Código)",IF(ISERROR(MATCH($AE36,INDIRECT(ORÇAMENTO.BancoRef),0)),"(Código não identificado nas referências)",MATCH($AE36,INDIRECT(ORÇAMENTO.BancoRef),0))))</f>
        <v>27906</v>
      </c>
      <c r="AG36" s="428">
        <f ca="1">ROUND(IF(DESONERACAO="sim",REFERENCIA.Desonerado,REFERENCIA.NaoDesonerado),2)</f>
        <v>900</v>
      </c>
      <c r="AH36" s="429">
        <f t="shared" ca="1" si="15"/>
        <v>0.23499999999999999</v>
      </c>
      <c r="AJ36" s="431">
        <v>10</v>
      </c>
      <c r="AL36" s="439"/>
      <c r="AM36" s="336">
        <f t="shared" ca="1" si="0"/>
        <v>11115</v>
      </c>
      <c r="AN36" s="470">
        <f t="shared" ca="1" si="16"/>
        <v>1111.5</v>
      </c>
    </row>
    <row r="37" spans="1:40" ht="25.5" x14ac:dyDescent="0.2">
      <c r="A37" t="str">
        <f t="shared" si="1"/>
        <v>S</v>
      </c>
      <c r="B37">
        <f t="shared" ca="1" si="2"/>
        <v>3</v>
      </c>
      <c r="C37" t="str">
        <f t="shared" ca="1" si="3"/>
        <v>S</v>
      </c>
      <c r="D37">
        <f t="shared" ca="1" si="4"/>
        <v>0</v>
      </c>
      <c r="E37">
        <f ca="1">IF($C37=1,OFFSET(E37,-1,0)+MAX(1,COUNTIF(QCI!$A$13:$A$15,OFFSET(ORÇAMENTO!E37,-1,0))),OFFSET(E37,-1,0))</f>
        <v>1</v>
      </c>
      <c r="F37">
        <f t="shared" ca="1" si="5"/>
        <v>3</v>
      </c>
      <c r="G37">
        <f t="shared" ca="1" si="6"/>
        <v>2</v>
      </c>
      <c r="H37">
        <f t="shared" ca="1" si="7"/>
        <v>0</v>
      </c>
      <c r="I37">
        <f t="shared" ca="1" si="8"/>
        <v>7</v>
      </c>
      <c r="J37">
        <f t="shared" ca="1" si="9"/>
        <v>0</v>
      </c>
      <c r="K37">
        <f ca="1">IF(OR($C37="S",$C37=0),0,MATCH(OFFSET($D37,0,$C37)+IF($C37&lt;&gt;1,1,COUNTIF(QCI!$A$13:$A$15,ORÇAMENTO!E37)),OFFSET($D37,1,$C37,ROW($C$508)-ROW($C37)),0))</f>
        <v>0</v>
      </c>
      <c r="L37" s="114" t="str">
        <f t="shared" ca="1" si="10"/>
        <v>F</v>
      </c>
      <c r="M37" s="115" t="s">
        <v>705</v>
      </c>
      <c r="N37" s="116" t="str">
        <f t="shared" ca="1" si="11"/>
        <v>Serviço</v>
      </c>
      <c r="O37" s="117" t="str">
        <f t="shared" ca="1" si="12"/>
        <v>1.3.2.0.7.</v>
      </c>
      <c r="P37" s="118" t="s">
        <v>1280</v>
      </c>
      <c r="Q37" s="119" t="s">
        <v>1006</v>
      </c>
      <c r="R37" s="120" t="str">
        <f ca="1">IF($C37="S",REFERENCIA.Descricao,"(digite a descrição aqui)")</f>
        <v>LIGAÇÃO PROVISÓRIA DE ÁGUA E ESGOTO PARA CONTAINER (ESCRITÓRIO DE OBRA)</v>
      </c>
      <c r="S37" s="121" t="str">
        <f ca="1">REFERENCIA.Unidade</f>
        <v>UN</v>
      </c>
      <c r="T37" s="122">
        <f ca="1">OFFSET(CÁLCULO!H$15,ROW($T37)-ROW(T$15),0)</f>
        <v>1</v>
      </c>
      <c r="U37" s="123">
        <f t="shared" ca="1" si="21"/>
        <v>326.66000000000003</v>
      </c>
      <c r="V37" s="124" t="s">
        <v>663</v>
      </c>
      <c r="W37" s="122">
        <f ca="1">IF($C37="S",ROUND(IF(TIPOORCAMENTO="Proposto",ORÇAMENTO.CustoUnitario*(1+$AH37),ORÇAMENTO.PrecoUnitarioLicitado),15-13*$AF$10),0)</f>
        <v>403.43</v>
      </c>
      <c r="X37" s="125" cm="1">
        <f t="array" aca="1" ref="X37" ca="1">IF($C37="S",IF(OR(Import.TipoArredondamento&lt;&gt;"TransfereGOV",ACOMPANHAMENTO="BM"),VTOTAL1,SUM(OFFSET(CÁLCULO!$AI$15,ROW($X37)-ROW($X$15),1):OFFSET(CÁLCULO!$BB$15,ROW($X37)-ROW($X$15),-1))),IF($C37=0,0,ROUND(SomaAgrup,15-13*$AF$11)))</f>
        <v>403.43</v>
      </c>
      <c r="Y37" s="126" t="s">
        <v>751</v>
      </c>
      <c r="Z37" t="str">
        <f t="shared" ca="1" si="13"/>
        <v>RA</v>
      </c>
      <c r="AA37" s="127">
        <f ca="1">IF($C37="S",IF($Z37="CP",$X37,IF($Z37="RA",(($X37)*QCI!$AA$3),0)),SomaAgrup)</f>
        <v>0</v>
      </c>
      <c r="AB37" s="128">
        <f t="shared" ca="1" si="14"/>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IF(C37&lt;=CRONO.NivelExibicao,MAX($AD$15:OFFSET(AD37,-1,0))+IF($C37&lt;&gt;1,1,MAX(1,COUNTIF(QCI!$A$13:$A$15,OFFSET($E37,-1,0)))),"")</f>
        <v/>
      </c>
      <c r="AE37" s="7" t="str">
        <f ca="1">IF(AND($C37="S",ORÇAMENTO.CodBarra&lt;&gt;""),IF(ORÇAMENTO.Fonte="",ORÇAMENTO.CodBarra,CONCATENATE(ORÇAMENTO.Fonte," ",ORÇAMENTO.CodBarra)))</f>
        <v>SETOP ED-16341</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27895</v>
      </c>
      <c r="AG37" s="428">
        <f ca="1">ROUND(IF(DESONERACAO="sim",REFERENCIA.Desonerado,REFERENCIA.NaoDesonerado),2)</f>
        <v>326.66000000000003</v>
      </c>
      <c r="AH37" s="429">
        <f t="shared" ca="1" si="15"/>
        <v>0.23499999999999999</v>
      </c>
      <c r="AJ37" s="431">
        <v>1</v>
      </c>
      <c r="AL37" s="439"/>
      <c r="AM37" s="336">
        <f t="shared" ca="1" si="0"/>
        <v>403.43</v>
      </c>
      <c r="AN37" s="470">
        <f t="shared" ca="1" si="16"/>
        <v>403.43</v>
      </c>
    </row>
    <row r="38" spans="1:40" x14ac:dyDescent="0.2">
      <c r="A38" t="str">
        <f t="shared" si="1"/>
        <v>S</v>
      </c>
      <c r="B38">
        <f t="shared" ca="1" si="2"/>
        <v>3</v>
      </c>
      <c r="C38" t="str">
        <f t="shared" ca="1" si="3"/>
        <v>S</v>
      </c>
      <c r="D38">
        <f t="shared" ca="1" si="4"/>
        <v>0</v>
      </c>
      <c r="E38">
        <f ca="1">IF($C38=1,OFFSET(E38,-1,0)+MAX(1,COUNTIF(QCI!$A$13:$A$15,OFFSET(ORÇAMENTO!E38,-1,0))),OFFSET(E38,-1,0))</f>
        <v>1</v>
      </c>
      <c r="F38">
        <f t="shared" ca="1" si="5"/>
        <v>3</v>
      </c>
      <c r="G38">
        <f t="shared" ca="1" si="6"/>
        <v>2</v>
      </c>
      <c r="H38">
        <f t="shared" ca="1" si="7"/>
        <v>0</v>
      </c>
      <c r="I38">
        <f t="shared" ca="1" si="8"/>
        <v>8</v>
      </c>
      <c r="J38">
        <f t="shared" ca="1" si="9"/>
        <v>0</v>
      </c>
      <c r="K38">
        <f ca="1">IF(OR($C38="S",$C38=0),0,MATCH(OFFSET($D38,0,$C38)+IF($C38&lt;&gt;1,1,COUNTIF(QCI!$A$13:$A$15,ORÇAMENTO!E38)),OFFSET($D38,1,$C38,ROW($C$508)-ROW($C38)),0))</f>
        <v>0</v>
      </c>
      <c r="L38" s="114" t="str">
        <f t="shared" ca="1" si="10"/>
        <v>F</v>
      </c>
      <c r="M38" s="115" t="s">
        <v>705</v>
      </c>
      <c r="N38" s="116" t="str">
        <f t="shared" ca="1" si="11"/>
        <v>Serviço</v>
      </c>
      <c r="O38" s="117" t="str">
        <f t="shared" ca="1" si="12"/>
        <v>1.3.2.0.8.</v>
      </c>
      <c r="P38" s="118" t="s">
        <v>1280</v>
      </c>
      <c r="Q38" s="119" t="s">
        <v>1007</v>
      </c>
      <c r="R38" s="120" t="str">
        <f ca="1">IF($C38="S",REFERENCIA.Descricao,"(digite a descrição aqui)")</f>
        <v>LIGAÇÃO PROVISÓRIA DE ENERGIA ELÉTRICA PARA CONTAINER</v>
      </c>
      <c r="S38" s="121" t="str">
        <f ca="1">REFERENCIA.Unidade</f>
        <v>UN</v>
      </c>
      <c r="T38" s="122">
        <f ca="1">OFFSET(CÁLCULO!H$15,ROW($T38)-ROW(T$15),0)</f>
        <v>1</v>
      </c>
      <c r="U38" s="123">
        <f t="shared" ca="1" si="21"/>
        <v>307.63</v>
      </c>
      <c r="V38" s="124" t="s">
        <v>663</v>
      </c>
      <c r="W38" s="122">
        <f ca="1">IF($C38="S",ROUND(IF(TIPOORCAMENTO="Proposto",ORÇAMENTO.CustoUnitario*(1+$AH38),ORÇAMENTO.PrecoUnitarioLicitado),15-13*$AF$10),0)</f>
        <v>379.92</v>
      </c>
      <c r="X38" s="125" cm="1">
        <f t="array" aca="1" ref="X38" ca="1">IF($C38="S",IF(OR(Import.TipoArredondamento&lt;&gt;"TransfereGOV",ACOMPANHAMENTO="BM"),VTOTAL1,SUM(OFFSET(CÁLCULO!$AI$15,ROW($X38)-ROW($X$15),1):OFFSET(CÁLCULO!$BB$15,ROW($X38)-ROW($X$15),-1))),IF($C38=0,0,ROUND(SomaAgrup,15-13*$AF$11)))</f>
        <v>379.92</v>
      </c>
      <c r="Y38" s="126" t="s">
        <v>751</v>
      </c>
      <c r="Z38" t="str">
        <f t="shared" ca="1" si="13"/>
        <v>RA</v>
      </c>
      <c r="AA38" s="127">
        <f ca="1">IF($C38="S",IF($Z38="CP",$X38,IF($Z38="RA",(($X38)*QCI!$AA$3),0)),SomaAgrup)</f>
        <v>0</v>
      </c>
      <c r="AB38" s="128">
        <f t="shared" ca="1" si="14"/>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IF(C38&lt;=CRONO.NivelExibicao,MAX($AD$15:OFFSET(AD38,-1,0))+IF($C38&lt;&gt;1,1,MAX(1,COUNTIF(QCI!$A$13:$A$15,OFFSET($E38,-1,0)))),"")</f>
        <v/>
      </c>
      <c r="AE38" s="7" t="str">
        <f ca="1">IF(AND($C38="S",ORÇAMENTO.CodBarra&lt;&gt;""),IF(ORÇAMENTO.Fonte="",ORÇAMENTO.CodBarra,CONCATENATE(ORÇAMENTO.Fonte," ",ORÇAMENTO.CodBarra)))</f>
        <v>SETOP ED-16342</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27897</v>
      </c>
      <c r="AG38" s="428">
        <f ca="1">ROUND(IF(DESONERACAO="sim",REFERENCIA.Desonerado,REFERENCIA.NaoDesonerado),2)</f>
        <v>307.63</v>
      </c>
      <c r="AH38" s="429">
        <f t="shared" ca="1" si="15"/>
        <v>0.23499999999999999</v>
      </c>
      <c r="AJ38" s="431">
        <v>1</v>
      </c>
      <c r="AL38" s="439"/>
      <c r="AM38" s="336">
        <f t="shared" ca="1" si="0"/>
        <v>379.92</v>
      </c>
      <c r="AN38" s="470">
        <f t="shared" ca="1" si="16"/>
        <v>379.92</v>
      </c>
    </row>
    <row r="39" spans="1:40" ht="25.5" x14ac:dyDescent="0.2">
      <c r="A39" t="str">
        <f t="shared" si="1"/>
        <v>S</v>
      </c>
      <c r="B39">
        <f t="shared" ca="1" si="2"/>
        <v>3</v>
      </c>
      <c r="C39" t="str">
        <f t="shared" ca="1" si="3"/>
        <v>S</v>
      </c>
      <c r="D39">
        <f t="shared" ca="1" si="4"/>
        <v>0</v>
      </c>
      <c r="E39">
        <f ca="1">IF($C39=1,OFFSET(E39,-1,0)+MAX(1,COUNTIF(QCI!$A$13:$A$15,OFFSET(ORÇAMENTO!E39,-1,0))),OFFSET(E39,-1,0))</f>
        <v>1</v>
      </c>
      <c r="F39">
        <f t="shared" ca="1" si="5"/>
        <v>3</v>
      </c>
      <c r="G39">
        <f t="shared" ca="1" si="6"/>
        <v>2</v>
      </c>
      <c r="H39">
        <f t="shared" ca="1" si="7"/>
        <v>0</v>
      </c>
      <c r="I39">
        <f t="shared" ca="1" si="8"/>
        <v>9</v>
      </c>
      <c r="J39">
        <f t="shared" ca="1" si="9"/>
        <v>0</v>
      </c>
      <c r="K39">
        <f ca="1">IF(OR($C39="S",$C39=0),0,MATCH(OFFSET($D39,0,$C39)+IF($C39&lt;&gt;1,1,COUNTIF(QCI!$A$13:$A$15,ORÇAMENTO!E39)),OFFSET($D39,1,$C39,ROW($C$508)-ROW($C39)),0))</f>
        <v>0</v>
      </c>
      <c r="L39" s="114" t="str">
        <f t="shared" ca="1" si="10"/>
        <v>F</v>
      </c>
      <c r="M39" s="115" t="s">
        <v>705</v>
      </c>
      <c r="N39" s="116" t="str">
        <f t="shared" ca="1" si="11"/>
        <v>Serviço</v>
      </c>
      <c r="O39" s="117" t="str">
        <f t="shared" ca="1" si="12"/>
        <v>1.3.2.0.9.</v>
      </c>
      <c r="P39" s="118" t="s">
        <v>1280</v>
      </c>
      <c r="Q39" s="119" t="s">
        <v>1008</v>
      </c>
      <c r="R39" s="120" t="str">
        <f ca="1">IF($C39="S",REFERENCIA.Descricao,"(digite a descrição aqui)")</f>
        <v>LIGAÇÃO PROVISÓRIA DE ÁGUA E ESGOTO PARA CONTAINER (VESTIÁRIO DE OBRA), EXCLUSIVE CHUVEIRO ELÉTRICO</v>
      </c>
      <c r="S39" s="121" t="str">
        <f ca="1">REFERENCIA.Unidade</f>
        <v>UN</v>
      </c>
      <c r="T39" s="122">
        <f ca="1">OFFSET(CÁLCULO!H$15,ROW($T39)-ROW(T$15),0)</f>
        <v>1</v>
      </c>
      <c r="U39" s="123">
        <f t="shared" ca="1" si="21"/>
        <v>372.44</v>
      </c>
      <c r="V39" s="124" t="s">
        <v>663</v>
      </c>
      <c r="W39" s="122">
        <f ca="1">IF($C39="S",ROUND(IF(TIPOORCAMENTO="Proposto",ORÇAMENTO.CustoUnitario*(1+$AH39),ORÇAMENTO.PrecoUnitarioLicitado),15-13*$AF$10),0)</f>
        <v>459.96</v>
      </c>
      <c r="X39" s="125" cm="1">
        <f t="array" aca="1" ref="X39" ca="1">IF($C39="S",IF(OR(Import.TipoArredondamento&lt;&gt;"TransfereGOV",ACOMPANHAMENTO="BM"),VTOTAL1,SUM(OFFSET(CÁLCULO!$AI$15,ROW($X39)-ROW($X$15),1):OFFSET(CÁLCULO!$BB$15,ROW($X39)-ROW($X$15),-1))),IF($C39=0,0,ROUND(SomaAgrup,15-13*$AF$11)))</f>
        <v>459.96</v>
      </c>
      <c r="Y39" s="126" t="s">
        <v>751</v>
      </c>
      <c r="Z39" t="str">
        <f t="shared" ca="1" si="13"/>
        <v>RA</v>
      </c>
      <c r="AA39" s="127">
        <f ca="1">IF($C39="S",IF($Z39="CP",$X39,IF($Z39="RA",(($X39)*QCI!$AA$3),0)),SomaAgrup)</f>
        <v>0</v>
      </c>
      <c r="AB39" s="128">
        <f t="shared" ca="1" si="14"/>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IF(C39&lt;=CRONO.NivelExibicao,MAX($AD$15:OFFSET(AD39,-1,0))+IF($C39&lt;&gt;1,1,MAX(1,COUNTIF(QCI!$A$13:$A$15,OFFSET($E39,-1,0)))),"")</f>
        <v/>
      </c>
      <c r="AE39" s="7" t="str">
        <f ca="1">IF(AND($C39="S",ORÇAMENTO.CodBarra&lt;&gt;""),IF(ORÇAMENTO.Fonte="",ORÇAMENTO.CodBarra,CONCATENATE(ORÇAMENTO.Fonte," ",ORÇAMENTO.CodBarra)))</f>
        <v>SETOP ED-16343</v>
      </c>
      <c r="AF39" s="12">
        <f ca="1">IF(ISERROR(INDIRECT(ORÇAMENTO.BancoRef)),"(abra o arquivo 'Referência "&amp;Excel_BuiltIn_Database&amp;".xlsm)",IF(OR($C39&lt;&gt;"S",ORÇAMENTO.CodBarra=""),"(Sem Código)",IF(ISERROR(MATCH($AE39,INDIRECT(ORÇAMENTO.BancoRef),0)),"(Código não identificado nas referências)",MATCH($AE39,INDIRECT(ORÇAMENTO.BancoRef),0))))</f>
        <v>27896</v>
      </c>
      <c r="AG39" s="428">
        <f ca="1">ROUND(IF(DESONERACAO="sim",REFERENCIA.Desonerado,REFERENCIA.NaoDesonerado),2)</f>
        <v>372.44</v>
      </c>
      <c r="AH39" s="429">
        <f t="shared" ca="1" si="15"/>
        <v>0.23499999999999999</v>
      </c>
      <c r="AJ39" s="431">
        <v>1</v>
      </c>
      <c r="AL39" s="439"/>
      <c r="AM39" s="336">
        <f t="shared" ca="1" si="0"/>
        <v>459.96</v>
      </c>
      <c r="AN39" s="470">
        <f t="shared" ca="1" si="16"/>
        <v>459.96</v>
      </c>
    </row>
    <row r="40" spans="1:40" ht="51" x14ac:dyDescent="0.2">
      <c r="A40" t="str">
        <f t="shared" si="1"/>
        <v>S</v>
      </c>
      <c r="B40">
        <f t="shared" ca="1" si="2"/>
        <v>3</v>
      </c>
      <c r="C40" t="str">
        <f t="shared" ca="1" si="3"/>
        <v>S</v>
      </c>
      <c r="D40">
        <f t="shared" ca="1" si="4"/>
        <v>0</v>
      </c>
      <c r="E40">
        <f ca="1">IF($C40=1,OFFSET(E40,-1,0)+MAX(1,COUNTIF(QCI!$A$13:$A$15,OFFSET(ORÇAMENTO!E40,-1,0))),OFFSET(E40,-1,0))</f>
        <v>1</v>
      </c>
      <c r="F40">
        <f t="shared" ca="1" si="5"/>
        <v>3</v>
      </c>
      <c r="G40">
        <f t="shared" ca="1" si="6"/>
        <v>2</v>
      </c>
      <c r="H40">
        <f t="shared" ca="1" si="7"/>
        <v>0</v>
      </c>
      <c r="I40">
        <f t="shared" ca="1" si="8"/>
        <v>10</v>
      </c>
      <c r="J40">
        <f t="shared" ca="1" si="9"/>
        <v>0</v>
      </c>
      <c r="K40">
        <f ca="1">IF(OR($C40="S",$C40=0),0,MATCH(OFFSET($D40,0,$C40)+IF($C40&lt;&gt;1,1,COUNTIF(QCI!$A$13:$A$15,ORÇAMENTO!E40)),OFFSET($D40,1,$C40,ROW($C$508)-ROW($C40)),0))</f>
        <v>0</v>
      </c>
      <c r="L40" s="114" t="str">
        <f t="shared" ca="1" si="10"/>
        <v>F</v>
      </c>
      <c r="M40" s="115" t="s">
        <v>705</v>
      </c>
      <c r="N40" s="116" t="str">
        <f t="shared" ca="1" si="11"/>
        <v>Serviço</v>
      </c>
      <c r="O40" s="117" t="str">
        <f t="shared" ca="1" si="12"/>
        <v>1.3.2.0.10.</v>
      </c>
      <c r="P40" s="118" t="s">
        <v>1280</v>
      </c>
      <c r="Q40" s="119" t="s">
        <v>1009</v>
      </c>
      <c r="R40" s="120" t="str">
        <f ca="1">IF($C40="S",REFERENCIA.Descricao,"(digite a descrição aqui)")</f>
        <v>LIGAÇÃO DE ÁGUA PROVISÓRIA PARA CANTEIRO,  INCLUSIVE HIDRÔMETRO E CAVALETE PARA MEDIÇÃO DE ÁGUA - ENTRADA PRINCIPAL, EM AÇO GALVANIZADO DN 20MM (1/2") - PADRÃO CONCESSIONÁRIA</v>
      </c>
      <c r="S40" s="121" t="str">
        <f ca="1">REFERENCIA.Unidade</f>
        <v>UN</v>
      </c>
      <c r="T40" s="122">
        <f ca="1">OFFSET(CÁLCULO!H$15,ROW($T40)-ROW(T$15),0)</f>
        <v>1</v>
      </c>
      <c r="U40" s="123">
        <f t="shared" ca="1" si="21"/>
        <v>573.91999999999996</v>
      </c>
      <c r="V40" s="124" t="s">
        <v>663</v>
      </c>
      <c r="W40" s="122">
        <f ca="1">IF($C40="S",ROUND(IF(TIPOORCAMENTO="Proposto",ORÇAMENTO.CustoUnitario*(1+$AH40),ORÇAMENTO.PrecoUnitarioLicitado),15-13*$AF$10),0)</f>
        <v>708.79</v>
      </c>
      <c r="X40" s="125" cm="1">
        <f t="array" aca="1" ref="X40" ca="1">IF($C40="S",IF(OR(Import.TipoArredondamento&lt;&gt;"TransfereGOV",ACOMPANHAMENTO="BM"),VTOTAL1,SUM(OFFSET(CÁLCULO!$AI$15,ROW($X40)-ROW($X$15),1):OFFSET(CÁLCULO!$BB$15,ROW($X40)-ROW($X$15),-1))),IF($C40=0,0,ROUND(SomaAgrup,15-13*$AF$11)))</f>
        <v>708.79</v>
      </c>
      <c r="Y40" s="126" t="s">
        <v>751</v>
      </c>
      <c r="Z40" t="str">
        <f t="shared" ca="1" si="13"/>
        <v>RA</v>
      </c>
      <c r="AA40" s="127">
        <f ca="1">IF($C40="S",IF($Z40="CP",$X40,IF($Z40="RA",(($X40)*QCI!$AA$3),0)),SomaAgrup)</f>
        <v>0</v>
      </c>
      <c r="AB40" s="128">
        <f t="shared" ca="1" si="14"/>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IF(C40&lt;=CRONO.NivelExibicao,MAX($AD$15:OFFSET(AD40,-1,0))+IF($C40&lt;&gt;1,1,MAX(1,COUNTIF(QCI!$A$13:$A$15,OFFSET($E40,-1,0)))),"")</f>
        <v/>
      </c>
      <c r="AE40" s="7" t="str">
        <f ca="1">IF(AND($C40="S",ORÇAMENTO.CodBarra&lt;&gt;""),IF(ORÇAMENTO.Fonte="",ORÇAMENTO.CodBarra,CONCATENATE(ORÇAMENTO.Fonte," ",ORÇAMENTO.CodBarra)))</f>
        <v>SETOP ED-50150</v>
      </c>
      <c r="AF40" s="12">
        <f ca="1">IF(ISERROR(INDIRECT(ORÇAMENTO.BancoRef)),"(abra o arquivo 'Referência "&amp;Excel_BuiltIn_Database&amp;".xlsm)",IF(OR($C40&lt;&gt;"S",ORÇAMENTO.CodBarra=""),"(Sem Código)",IF(ISERROR(MATCH($AE40,INDIRECT(ORÇAMENTO.BancoRef),0)),"(Código não identificado nas referências)",MATCH($AE40,INDIRECT(ORÇAMENTO.BancoRef),0))))</f>
        <v>27877</v>
      </c>
      <c r="AG40" s="428">
        <f ca="1">ROUND(IF(DESONERACAO="sim",REFERENCIA.Desonerado,REFERENCIA.NaoDesonerado),2)</f>
        <v>573.91999999999996</v>
      </c>
      <c r="AH40" s="429">
        <f t="shared" ca="1" si="15"/>
        <v>0.23499999999999999</v>
      </c>
      <c r="AJ40" s="431">
        <v>1</v>
      </c>
      <c r="AL40" s="439"/>
      <c r="AM40" s="336">
        <f t="shared" ca="1" si="0"/>
        <v>708.79</v>
      </c>
      <c r="AN40" s="470">
        <f t="shared" ca="1" si="16"/>
        <v>708.79</v>
      </c>
    </row>
    <row r="41" spans="1:40" ht="51" x14ac:dyDescent="0.2">
      <c r="A41" t="str">
        <f t="shared" si="1"/>
        <v>S</v>
      </c>
      <c r="B41">
        <f t="shared" ca="1" si="2"/>
        <v>3</v>
      </c>
      <c r="C41" t="str">
        <f t="shared" ca="1" si="3"/>
        <v>S</v>
      </c>
      <c r="D41">
        <f t="shared" ca="1" si="4"/>
        <v>0</v>
      </c>
      <c r="E41">
        <f ca="1">IF($C41=1,OFFSET(E41,-1,0)+MAX(1,COUNTIF(QCI!$A$13:$A$15,OFFSET(ORÇAMENTO!E41,-1,0))),OFFSET(E41,-1,0))</f>
        <v>1</v>
      </c>
      <c r="F41">
        <f t="shared" ca="1" si="5"/>
        <v>3</v>
      </c>
      <c r="G41">
        <f t="shared" ca="1" si="6"/>
        <v>2</v>
      </c>
      <c r="H41">
        <f t="shared" ca="1" si="7"/>
        <v>0</v>
      </c>
      <c r="I41">
        <f t="shared" ca="1" si="8"/>
        <v>11</v>
      </c>
      <c r="J41">
        <f t="shared" ca="1" si="9"/>
        <v>0</v>
      </c>
      <c r="K41">
        <f ca="1">IF(OR($C41="S",$C41=0),0,MATCH(OFFSET($D41,0,$C41)+IF($C41&lt;&gt;1,1,COUNTIF(QCI!$A$13:$A$15,ORÇAMENTO!E41)),OFFSET($D41,1,$C41,ROW($C$508)-ROW($C41)),0))</f>
        <v>0</v>
      </c>
      <c r="L41" s="114" t="str">
        <f t="shared" ca="1" si="10"/>
        <v>F</v>
      </c>
      <c r="M41" s="115" t="s">
        <v>705</v>
      </c>
      <c r="N41" s="116" t="str">
        <f t="shared" ca="1" si="11"/>
        <v>Serviço</v>
      </c>
      <c r="O41" s="117" t="str">
        <f t="shared" ca="1" si="12"/>
        <v>1.3.2.0.11.</v>
      </c>
      <c r="P41" s="118" t="s">
        <v>1280</v>
      </c>
      <c r="Q41" s="119" t="s">
        <v>1010</v>
      </c>
      <c r="R41" s="120" t="str">
        <f ca="1">IF($C41="S",REFERENCIA.Descricao,"(digite a descrição aqui)")</f>
        <v>LIGAÇÃO PROVISÓRIA COM ENTRADA DE ENERGIA AÉREA, PADRÃO CEMIG, CARGA INSTALADA DE 15,1KVA ATÉ 30KVA, TRIFÁSICO, COM SAÍDA SUBTERRÂNEA, INCLUSIVE POSTE, CAIXA PARA MEDIDOR, DISJUNTOR, BARRAMENTO, ATERRAMENTO E ACESSÓRIOS</v>
      </c>
      <c r="S41" s="121" t="str">
        <f ca="1">REFERENCIA.Unidade</f>
        <v>UN</v>
      </c>
      <c r="T41" s="122">
        <f ca="1">OFFSET(CÁLCULO!H$15,ROW($T41)-ROW(T$15),0)</f>
        <v>1</v>
      </c>
      <c r="U41" s="123">
        <f t="shared" ca="1" si="21"/>
        <v>1058.26</v>
      </c>
      <c r="V41" s="124" t="s">
        <v>663</v>
      </c>
      <c r="W41" s="122">
        <f ca="1">IF($C41="S",ROUND(IF(TIPOORCAMENTO="Proposto",ORÇAMENTO.CustoUnitario*(1+$AH41),ORÇAMENTO.PrecoUnitarioLicitado),15-13*$AF$10),0)</f>
        <v>1306.95</v>
      </c>
      <c r="X41" s="125" cm="1">
        <f t="array" aca="1" ref="X41" ca="1">IF($C41="S",IF(OR(Import.TipoArredondamento&lt;&gt;"TransfereGOV",ACOMPANHAMENTO="BM"),VTOTAL1,SUM(OFFSET(CÁLCULO!$AI$15,ROW($X41)-ROW($X$15),1):OFFSET(CÁLCULO!$BB$15,ROW($X41)-ROW($X$15),-1))),IF($C41=0,0,ROUND(SomaAgrup,15-13*$AF$11)))</f>
        <v>1306.95</v>
      </c>
      <c r="Y41" s="126" t="s">
        <v>751</v>
      </c>
      <c r="Z41" t="str">
        <f t="shared" ca="1" si="13"/>
        <v>RA</v>
      </c>
      <c r="AA41" s="127">
        <f ca="1">IF($C41="S",IF($Z41="CP",$X41,IF($Z41="RA",(($X41)*QCI!$AA$3),0)),SomaAgrup)</f>
        <v>0</v>
      </c>
      <c r="AB41" s="128">
        <f t="shared" ca="1" si="14"/>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IF(C41&lt;=CRONO.NivelExibicao,MAX($AD$15:OFFSET(AD41,-1,0))+IF($C41&lt;&gt;1,1,MAX(1,COUNTIF(QCI!$A$13:$A$15,OFFSET($E41,-1,0)))),"")</f>
        <v/>
      </c>
      <c r="AE41" s="7" t="str">
        <f ca="1">IF(AND($C41="S",ORÇAMENTO.CodBarra&lt;&gt;""),IF(ORÇAMENTO.Fonte="",ORÇAMENTO.CodBarra,CONCATENATE(ORÇAMENTO.Fonte," ",ORÇAMENTO.CodBarra)))</f>
        <v>SETOP ED-50151</v>
      </c>
      <c r="AF41" s="12">
        <f ca="1">IF(ISERROR(INDIRECT(ORÇAMENTO.BancoRef)),"(abra o arquivo 'Referência "&amp;Excel_BuiltIn_Database&amp;".xlsm)",IF(OR($C41&lt;&gt;"S",ORÇAMENTO.CodBarra=""),"(Sem Código)",IF(ISERROR(MATCH($AE41,INDIRECT(ORÇAMENTO.BancoRef),0)),"(Código não identificado nas referências)",MATCH($AE41,INDIRECT(ORÇAMENTO.BancoRef),0))))</f>
        <v>27879</v>
      </c>
      <c r="AG41" s="428">
        <f ca="1">ROUND(IF(DESONERACAO="sim",REFERENCIA.Desonerado,REFERENCIA.NaoDesonerado),2)</f>
        <v>1058.26</v>
      </c>
      <c r="AH41" s="429">
        <f t="shared" ca="1" si="15"/>
        <v>0.23499999999999999</v>
      </c>
      <c r="AJ41" s="431">
        <v>1</v>
      </c>
      <c r="AL41" s="439"/>
      <c r="AM41" s="336">
        <f t="shared" ca="1" si="0"/>
        <v>1306.95</v>
      </c>
      <c r="AN41" s="470">
        <f t="shared" ca="1" si="16"/>
        <v>1306.95</v>
      </c>
    </row>
    <row r="42" spans="1:40" x14ac:dyDescent="0.2">
      <c r="A42">
        <f t="shared" si="1"/>
        <v>3</v>
      </c>
      <c r="B42">
        <f t="shared" ca="1" si="2"/>
        <v>3</v>
      </c>
      <c r="C42">
        <f t="shared" ca="1" si="3"/>
        <v>3</v>
      </c>
      <c r="D42">
        <f t="shared" ca="1" si="4"/>
        <v>2</v>
      </c>
      <c r="E42">
        <f ca="1">IF($C42=1,OFFSET(E42,-1,0)+MAX(1,COUNTIF(QCI!$A$13:$A$15,OFFSET(ORÇAMENTO!E42,-1,0))),OFFSET(E42,-1,0))</f>
        <v>1</v>
      </c>
      <c r="F42">
        <f t="shared" ca="1" si="5"/>
        <v>3</v>
      </c>
      <c r="G42">
        <f t="shared" ca="1" si="6"/>
        <v>3</v>
      </c>
      <c r="H42">
        <f t="shared" ca="1" si="7"/>
        <v>0</v>
      </c>
      <c r="I42">
        <f t="shared" ca="1" si="8"/>
        <v>0</v>
      </c>
      <c r="J42">
        <f t="shared" ca="1" si="9"/>
        <v>6</v>
      </c>
      <c r="K42">
        <f ca="1">IF(OR($C42="S",$C42=0),0,MATCH(OFFSET($D42,0,$C42)+IF($C42&lt;&gt;1,1,COUNTIF(QCI!$A$13:$A$15,ORÇAMENTO!E42)),OFFSET($D42,1,$C42,ROW($C$508)-ROW($C42)),0))</f>
        <v>2</v>
      </c>
      <c r="L42" s="114" t="str">
        <f t="shared" ca="1" si="10"/>
        <v>F</v>
      </c>
      <c r="M42" s="115" t="s">
        <v>703</v>
      </c>
      <c r="N42" s="116" t="str">
        <f t="shared" ca="1" si="11"/>
        <v>Nível 3</v>
      </c>
      <c r="O42" s="117" t="str">
        <f t="shared" ca="1" si="12"/>
        <v>1.3.3.</v>
      </c>
      <c r="P42" s="118" t="s">
        <v>750</v>
      </c>
      <c r="Q42" s="119"/>
      <c r="R42" s="120" t="s">
        <v>1210</v>
      </c>
      <c r="S42" s="121" t="s">
        <v>688</v>
      </c>
      <c r="T42" s="122">
        <f ca="1">OFFSET(CÁLCULO!H$15,ROW($T42)-ROW(T$15),0)</f>
        <v>0</v>
      </c>
      <c r="U42" s="123">
        <f t="shared" ca="1" si="21"/>
        <v>0</v>
      </c>
      <c r="V42" s="124" t="s">
        <v>663</v>
      </c>
      <c r="W42" s="122">
        <f ca="1">IF($C42="S",ROUND(IF(TIPOORCAMENTO="Proposto",ORÇAMENTO.CustoUnitario*(1+$AH42),ORÇAMENTO.PrecoUnitarioLicitado),15-13*$AF$10),0)</f>
        <v>0</v>
      </c>
      <c r="X42" s="125" cm="1">
        <f t="array" aca="1" ref="X42" ca="1">IF($C42="S",IF(OR(Import.TipoArredondamento&lt;&gt;"TransfereGOV",ACOMPANHAMENTO="BM"),VTOTAL1,SUM(OFFSET(CÁLCULO!$AI$15,ROW($X42)-ROW($X$15),1):OFFSET(CÁLCULO!$BB$15,ROW($X42)-ROW($X$15),-1))),IF($C42=0,0,ROUND(SomaAgrup,15-13*$AF$11)))</f>
        <v>50562.080000000002</v>
      </c>
      <c r="Y42" s="126" t="s">
        <v>751</v>
      </c>
      <c r="Z42" t="str">
        <f t="shared" ca="1" si="13"/>
        <v/>
      </c>
      <c r="AA42" s="127">
        <f ca="1">IF($C42="S",IF($Z42="CP",$X42,IF($Z42="RA",(($X42)*QCI!$AA$3),0)),SomaAgrup)</f>
        <v>0</v>
      </c>
      <c r="AB42" s="128">
        <f t="shared" ca="1" si="14"/>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IF(C42&lt;=CRONO.NivelExibicao,MAX($AD$15:OFFSET(AD42,-1,0))+IF($C42&lt;&gt;1,1,MAX(1,COUNTIF(QCI!$A$13:$A$15,OFFSET($E42,-1,0)))),"")</f>
        <v/>
      </c>
      <c r="AE42" s="7" t="b">
        <f ca="1">IF(AND($C42="S",ORÇAMENTO.CodBarra&lt;&gt;""),IF(ORÇAMENTO.Fonte="",ORÇAMENTO.CodBarra,CONCATENATE(ORÇAMENTO.Fonte," ",ORÇAMENTO.CodBarra)))</f>
        <v>0</v>
      </c>
      <c r="AF42" s="12" t="str">
        <f ca="1">IF(ISERROR(INDIRECT(ORÇAMENTO.BancoRef)),"(abra o arquivo 'Referência "&amp;Excel_BuiltIn_Database&amp;".xlsm)",IF(OR($C42&lt;&gt;"S",ORÇAMENTO.CodBarra=""),"(Sem Código)",IF(ISERROR(MATCH($AE42,INDIRECT(ORÇAMENTO.BancoRef),0)),"(Código não identificado nas referências)",MATCH($AE42,INDIRECT(ORÇAMENTO.BancoRef),0))))</f>
        <v>(Sem Código)</v>
      </c>
      <c r="AG42" s="428">
        <f ca="1">ROUND(IF(DESONERACAO="sim",REFERENCIA.Desonerado,REFERENCIA.NaoDesonerado),2)</f>
        <v>0</v>
      </c>
      <c r="AH42" s="429">
        <f t="shared" ca="1" si="15"/>
        <v>0.23499999999999999</v>
      </c>
      <c r="AJ42" s="431"/>
      <c r="AL42" s="439"/>
      <c r="AM42" s="336">
        <f t="shared" ca="1" si="0"/>
        <v>50562.080000000002</v>
      </c>
      <c r="AN42" s="470">
        <f t="shared" ca="1" si="16"/>
        <v>0</v>
      </c>
    </row>
    <row r="43" spans="1:40" x14ac:dyDescent="0.2">
      <c r="A43" t="str">
        <f t="shared" si="1"/>
        <v>S</v>
      </c>
      <c r="B43">
        <f t="shared" ca="1" si="2"/>
        <v>3</v>
      </c>
      <c r="C43" t="str">
        <f t="shared" ca="1" si="3"/>
        <v>S</v>
      </c>
      <c r="D43">
        <f t="shared" ca="1" si="4"/>
        <v>0</v>
      </c>
      <c r="E43">
        <f ca="1">IF($C43=1,OFFSET(E43,-1,0)+MAX(1,COUNTIF(QCI!$A$13:$A$15,OFFSET(ORÇAMENTO!E43,-1,0))),OFFSET(E43,-1,0))</f>
        <v>1</v>
      </c>
      <c r="F43">
        <f t="shared" ca="1" si="5"/>
        <v>3</v>
      </c>
      <c r="G43">
        <f t="shared" ca="1" si="6"/>
        <v>3</v>
      </c>
      <c r="H43">
        <f t="shared" ca="1" si="7"/>
        <v>0</v>
      </c>
      <c r="I43">
        <f t="shared" ca="1" si="8"/>
        <v>1</v>
      </c>
      <c r="J43">
        <f t="shared" ca="1" si="9"/>
        <v>0</v>
      </c>
      <c r="K43">
        <f ca="1">IF(OR($C43="S",$C43=0),0,MATCH(OFFSET($D43,0,$C43)+IF($C43&lt;&gt;1,1,COUNTIF(QCI!$A$13:$A$15,ORÇAMENTO!E43)),OFFSET($D43,1,$C43,ROW($C$508)-ROW($C43)),0))</f>
        <v>0</v>
      </c>
      <c r="L43" s="114" t="str">
        <f t="shared" ca="1" si="10"/>
        <v>F</v>
      </c>
      <c r="M43" s="115" t="s">
        <v>705</v>
      </c>
      <c r="N43" s="116" t="str">
        <f t="shared" ca="1" si="11"/>
        <v>Serviço</v>
      </c>
      <c r="O43" s="117" t="str">
        <f t="shared" ca="1" si="12"/>
        <v>1.3.3.0.1.</v>
      </c>
      <c r="P43" s="118" t="s">
        <v>957</v>
      </c>
      <c r="Q43" s="119" t="s">
        <v>1442</v>
      </c>
      <c r="R43" s="120" t="str">
        <f ca="1">IF($C43="S",REFERENCIA.Descricao,"(digite a descrição aqui)")</f>
        <v>EQUIPE DE TOPOGRAFIA - OBRA - BASEADO EM SUDECAP (43.01.03)</v>
      </c>
      <c r="S43" s="121" t="str">
        <f ca="1">REFERENCIA.Unidade</f>
        <v>MÊS</v>
      </c>
      <c r="T43" s="122">
        <f ca="1">OFFSET(CÁLCULO!H$15,ROW($T43)-ROW(T$15),0)</f>
        <v>2</v>
      </c>
      <c r="U43" s="123">
        <f t="shared" ca="1" si="21"/>
        <v>20470.48</v>
      </c>
      <c r="V43" s="124" t="s">
        <v>663</v>
      </c>
      <c r="W43" s="122">
        <f ca="1">IF($C43="S",ROUND(IF(TIPOORCAMENTO="Proposto",ORÇAMENTO.CustoUnitario*(1+$AH43),ORÇAMENTO.PrecoUnitarioLicitado),15-13*$AF$10),0)</f>
        <v>25281.040000000001</v>
      </c>
      <c r="X43" s="125" cm="1">
        <f t="array" aca="1" ref="X43" ca="1">IF($C43="S",IF(OR(Import.TipoArredondamento&lt;&gt;"TransfereGOV",ACOMPANHAMENTO="BM"),VTOTAL1,SUM(OFFSET(CÁLCULO!$AI$15,ROW($X43)-ROW($X$15),1):OFFSET(CÁLCULO!$BB$15,ROW($X43)-ROW($X$15),-1))),IF($C43=0,0,ROUND(SomaAgrup,15-13*$AF$11)))</f>
        <v>50562.080000000002</v>
      </c>
      <c r="Y43" s="126" t="s">
        <v>751</v>
      </c>
      <c r="Z43" t="str">
        <f t="shared" ca="1" si="13"/>
        <v>RA</v>
      </c>
      <c r="AA43" s="127">
        <f ca="1">IF($C43="S",IF($Z43="CP",$X43,IF($Z43="RA",(($X43)*QCI!$AA$3),0)),SomaAgrup)</f>
        <v>0</v>
      </c>
      <c r="AB43" s="128">
        <f t="shared" ca="1" si="14"/>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IF(C43&lt;=CRONO.NivelExibicao,MAX($AD$15:OFFSET(AD43,-1,0))+IF($C43&lt;&gt;1,1,MAX(1,COUNTIF(QCI!$A$13:$A$15,OFFSET($E43,-1,0)))),"")</f>
        <v/>
      </c>
      <c r="AE43" s="7" t="str">
        <f ca="1">IF(AND($C43="S",ORÇAMENTO.CodBarra&lt;&gt;""),IF(ORÇAMENTO.Fonte="",ORÇAMENTO.CodBarra,CONCATENATE(ORÇAMENTO.Fonte," ",ORÇAMENTO.CodBarra)))</f>
        <v>Composição CPU-070</v>
      </c>
      <c r="AF43" s="12">
        <f ca="1">IF(ISERROR(INDIRECT(ORÇAMENTO.BancoRef)),"(abra o arquivo 'Referência "&amp;Excel_BuiltIn_Database&amp;".xlsm)",IF(OR($C43&lt;&gt;"S",ORÇAMENTO.CodBarra=""),"(Sem Código)",IF(ISERROR(MATCH($AE43,INDIRECT(ORÇAMENTO.BancoRef),0)),"(Código não identificado nas referências)",MATCH($AE43,INDIRECT(ORÇAMENTO.BancoRef),0))))</f>
        <v>69</v>
      </c>
      <c r="AG43" s="428">
        <f ca="1">ROUND(IF(DESONERACAO="sim",REFERENCIA.Desonerado,REFERENCIA.NaoDesonerado),2)</f>
        <v>20470.48</v>
      </c>
      <c r="AH43" s="429">
        <f t="shared" ca="1" si="15"/>
        <v>0.23499999999999999</v>
      </c>
      <c r="AJ43" s="431">
        <v>2</v>
      </c>
      <c r="AL43" s="439"/>
      <c r="AM43" s="336">
        <f t="shared" ca="1" si="0"/>
        <v>50562.080000000002</v>
      </c>
      <c r="AN43" s="470">
        <f t="shared" ca="1" si="16"/>
        <v>25281.040000000001</v>
      </c>
    </row>
    <row r="44" spans="1:40" x14ac:dyDescent="0.2">
      <c r="A44">
        <f t="shared" si="1"/>
        <v>3</v>
      </c>
      <c r="B44">
        <f t="shared" ca="1" si="2"/>
        <v>3</v>
      </c>
      <c r="C44">
        <f t="shared" ca="1" si="3"/>
        <v>3</v>
      </c>
      <c r="D44">
        <f t="shared" ca="1" si="4"/>
        <v>4</v>
      </c>
      <c r="E44">
        <f ca="1">IF($C44=1,OFFSET(E44,-1,0)+MAX(1,COUNTIF(QCI!$A$13:$A$15,OFFSET(ORÇAMENTO!E44,-1,0))),OFFSET(E44,-1,0))</f>
        <v>1</v>
      </c>
      <c r="F44">
        <f t="shared" ca="1" si="5"/>
        <v>3</v>
      </c>
      <c r="G44">
        <f t="shared" ca="1" si="6"/>
        <v>4</v>
      </c>
      <c r="H44">
        <f t="shared" ca="1" si="7"/>
        <v>0</v>
      </c>
      <c r="I44">
        <f t="shared" ca="1" si="8"/>
        <v>0</v>
      </c>
      <c r="J44">
        <f t="shared" ca="1" si="9"/>
        <v>4</v>
      </c>
      <c r="K44">
        <f ca="1">IF(OR($C44="S",$C44=0),0,MATCH(OFFSET($D44,0,$C44)+IF($C44&lt;&gt;1,1,COUNTIF(QCI!$A$13:$A$15,ORÇAMENTO!E44)),OFFSET($D44,1,$C44,ROW($C$508)-ROW($C44)),0))</f>
        <v>103</v>
      </c>
      <c r="L44" s="114" t="str">
        <f t="shared" ca="1" si="10"/>
        <v>F</v>
      </c>
      <c r="M44" s="115" t="s">
        <v>703</v>
      </c>
      <c r="N44" s="116" t="str">
        <f t="shared" ca="1" si="11"/>
        <v>Nível 3</v>
      </c>
      <c r="O44" s="117" t="str">
        <f t="shared" ca="1" si="12"/>
        <v>1.3.4.</v>
      </c>
      <c r="P44" s="118" t="s">
        <v>750</v>
      </c>
      <c r="Q44" s="119"/>
      <c r="R44" s="120" t="s">
        <v>1211</v>
      </c>
      <c r="S44" s="121" t="s">
        <v>688</v>
      </c>
      <c r="T44" s="122">
        <f ca="1">OFFSET(CÁLCULO!H$15,ROW($T44)-ROW(T$15),0)</f>
        <v>0</v>
      </c>
      <c r="U44" s="123">
        <f t="shared" ca="1" si="21"/>
        <v>0</v>
      </c>
      <c r="V44" s="124" t="s">
        <v>663</v>
      </c>
      <c r="W44" s="122">
        <f ca="1">IF($C44="S",ROUND(IF(TIPOORCAMENTO="Proposto",ORÇAMENTO.CustoUnitario*(1+$AH44),ORÇAMENTO.PrecoUnitarioLicitado),15-13*$AF$10),0)</f>
        <v>0</v>
      </c>
      <c r="X44" s="125" cm="1">
        <f t="array" aca="1" ref="X44" ca="1">IF($C44="S",IF(OR(Import.TipoArredondamento&lt;&gt;"TransfereGOV",ACOMPANHAMENTO="BM"),VTOTAL1,SUM(OFFSET(CÁLCULO!$AI$15,ROW($X44)-ROW($X$15),1):OFFSET(CÁLCULO!$BB$15,ROW($X44)-ROW($X$15),-1))),IF($C44=0,0,ROUND(SomaAgrup,15-13*$AF$11)))</f>
        <v>7743.01</v>
      </c>
      <c r="Y44" s="126" t="s">
        <v>751</v>
      </c>
      <c r="Z44" t="str">
        <f t="shared" ca="1" si="13"/>
        <v/>
      </c>
      <c r="AA44" s="127">
        <f ca="1">IF($C44="S",IF($Z44="CP",$X44,IF($Z44="RA",(($X44)*QCI!$AA$3),0)),SomaAgrup)</f>
        <v>0</v>
      </c>
      <c r="AB44" s="128">
        <f t="shared" ca="1" si="14"/>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IF(C44&lt;=CRONO.NivelExibicao,MAX($AD$15:OFFSET(AD44,-1,0))+IF($C44&lt;&gt;1,1,MAX(1,COUNTIF(QCI!$A$13:$A$15,OFFSET($E44,-1,0)))),"")</f>
        <v/>
      </c>
      <c r="AE44" s="7" t="b">
        <f ca="1">IF(AND($C44="S",ORÇAMENTO.CodBarra&lt;&gt;""),IF(ORÇAMENTO.Fonte="",ORÇAMENTO.CodBarra,CONCATENATE(ORÇAMENTO.Fonte," ",ORÇAMENTO.CodBarra)))</f>
        <v>0</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(Sem Código)</v>
      </c>
      <c r="AG44" s="428">
        <f ca="1">ROUND(IF(DESONERACAO="sim",REFERENCIA.Desonerado,REFERENCIA.NaoDesonerado),2)</f>
        <v>0</v>
      </c>
      <c r="AH44" s="429">
        <f t="shared" ca="1" si="15"/>
        <v>0.23499999999999999</v>
      </c>
      <c r="AJ44" s="431"/>
      <c r="AL44" s="439"/>
      <c r="AM44" s="336">
        <f t="shared" ca="1" si="0"/>
        <v>7743.01</v>
      </c>
      <c r="AN44" s="470">
        <f t="shared" ca="1" si="16"/>
        <v>0</v>
      </c>
    </row>
    <row r="45" spans="1:40" ht="25.5" x14ac:dyDescent="0.2">
      <c r="A45" t="str">
        <f t="shared" si="1"/>
        <v>S</v>
      </c>
      <c r="B45">
        <f t="shared" ca="1" si="2"/>
        <v>3</v>
      </c>
      <c r="C45" t="str">
        <f t="shared" ca="1" si="3"/>
        <v>S</v>
      </c>
      <c r="D45">
        <f t="shared" ca="1" si="4"/>
        <v>0</v>
      </c>
      <c r="E45">
        <f ca="1">IF($C45=1,OFFSET(E45,-1,0)+MAX(1,COUNTIF(QCI!$A$13:$A$15,OFFSET(ORÇAMENTO!E45,-1,0))),OFFSET(E45,-1,0))</f>
        <v>1</v>
      </c>
      <c r="F45">
        <f t="shared" ca="1" si="5"/>
        <v>3</v>
      </c>
      <c r="G45">
        <f t="shared" ca="1" si="6"/>
        <v>4</v>
      </c>
      <c r="H45">
        <f t="shared" ca="1" si="7"/>
        <v>0</v>
      </c>
      <c r="I45">
        <f t="shared" ca="1" si="8"/>
        <v>1</v>
      </c>
      <c r="J45">
        <f t="shared" ca="1" si="9"/>
        <v>0</v>
      </c>
      <c r="K45">
        <f ca="1">IF(OR($C45="S",$C45=0),0,MATCH(OFFSET($D45,0,$C45)+IF($C45&lt;&gt;1,1,COUNTIF(QCI!$A$13:$A$15,ORÇAMENTO!E45)),OFFSET($D45,1,$C45,ROW($C$508)-ROW($C45)),0))</f>
        <v>0</v>
      </c>
      <c r="L45" s="114" t="str">
        <f t="shared" ca="1" si="10"/>
        <v>F</v>
      </c>
      <c r="M45" s="115" t="s">
        <v>705</v>
      </c>
      <c r="N45" s="116" t="str">
        <f t="shared" ca="1" si="11"/>
        <v>Serviço</v>
      </c>
      <c r="O45" s="117" t="str">
        <f t="shared" ca="1" si="12"/>
        <v>1.3.4.0.1.</v>
      </c>
      <c r="P45" s="118" t="s">
        <v>956</v>
      </c>
      <c r="Q45" s="119">
        <v>5213842</v>
      </c>
      <c r="R45" s="120" t="str">
        <f ca="1">IF($C45="S",REFERENCIA.Descricao,"(digite a descrição aqui)")</f>
        <v>FITA ZEBRADA PARA DISPOSITIVOS DE CANALIZAÇÃO DE TRÂNSITO - FORNECIMENTO, IMPLANTAÇÃO E RETIRADA</v>
      </c>
      <c r="S45" s="121" t="str">
        <f ca="1">REFERENCIA.Unidade</f>
        <v>M</v>
      </c>
      <c r="T45" s="122">
        <f ca="1">OFFSET(CÁLCULO!H$15,ROW($T45)-ROW(T$15),0)</f>
        <v>860</v>
      </c>
      <c r="U45" s="123">
        <f t="shared" ca="1" si="21"/>
        <v>0.13</v>
      </c>
      <c r="V45" s="124" t="s">
        <v>663</v>
      </c>
      <c r="W45" s="122">
        <f ca="1">IF($C45="S",ROUND(IF(TIPOORCAMENTO="Proposto",ORÇAMENTO.CustoUnitario*(1+$AH45),ORÇAMENTO.PrecoUnitarioLicitado),15-13*$AF$10),0)</f>
        <v>0.16</v>
      </c>
      <c r="X45" s="125" cm="1">
        <f t="array" aca="1" ref="X45" ca="1">IF($C45="S",IF(OR(Import.TipoArredondamento&lt;&gt;"TransfereGOV",ACOMPANHAMENTO="BM"),VTOTAL1,SUM(OFFSET(CÁLCULO!$AI$15,ROW($X45)-ROW($X$15),1):OFFSET(CÁLCULO!$BB$15,ROW($X45)-ROW($X$15),-1))),IF($C45=0,0,ROUND(SomaAgrup,15-13*$AF$11)))</f>
        <v>137.6</v>
      </c>
      <c r="Y45" s="126" t="s">
        <v>751</v>
      </c>
      <c r="Z45" t="str">
        <f t="shared" ca="1" si="13"/>
        <v>RA</v>
      </c>
      <c r="AA45" s="127">
        <f ca="1">IF($C45="S",IF($Z45="CP",$X45,IF($Z45="RA",(($X45)*QCI!$AA$3),0)),SomaAgrup)</f>
        <v>0</v>
      </c>
      <c r="AB45" s="128">
        <f t="shared" ca="1" si="14"/>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IF(C45&lt;=CRONO.NivelExibicao,MAX($AD$15:OFFSET(AD45,-1,0))+IF($C45&lt;&gt;1,1,MAX(1,COUNTIF(QCI!$A$13:$A$15,OFFSET($E45,-1,0)))),"")</f>
        <v/>
      </c>
      <c r="AE45" s="7" t="str">
        <f ca="1">IF(AND($C45="S",ORÇAMENTO.CodBarra&lt;&gt;""),IF(ORÇAMENTO.Fonte="",ORÇAMENTO.CodBarra,CONCATENATE(ORÇAMENTO.Fonte," ",ORÇAMENTO.CodBarra)))</f>
        <v>SICRO 5213842</v>
      </c>
      <c r="AF45" s="12">
        <f ca="1">IF(ISERROR(INDIRECT(ORÇAMENTO.BancoRef)),"(abra o arquivo 'Referência "&amp;Excel_BuiltIn_Database&amp;".xlsm)",IF(OR($C45&lt;&gt;"S",ORÇAMENTO.CodBarra=""),"(Sem Código)",IF(ISERROR(MATCH($AE45,INDIRECT(ORÇAMENTO.BancoRef),0)),"(Código não identificado nas referências)",MATCH($AE45,INDIRECT(ORÇAMENTO.BancoRef),0))))</f>
        <v>20810</v>
      </c>
      <c r="AG45" s="428">
        <f ca="1">ROUND(IF(DESONERACAO="sim",REFERENCIA.Desonerado,REFERENCIA.NaoDesonerado),2)</f>
        <v>0.13</v>
      </c>
      <c r="AH45" s="429">
        <f t="shared" ca="1" si="15"/>
        <v>0.23499999999999999</v>
      </c>
      <c r="AJ45" s="431">
        <f>AJ47*2</f>
        <v>860</v>
      </c>
      <c r="AL45" s="439"/>
      <c r="AM45" s="336">
        <f t="shared" ca="1" si="0"/>
        <v>137.6</v>
      </c>
      <c r="AN45" s="470">
        <f t="shared" ca="1" si="16"/>
        <v>0.16</v>
      </c>
    </row>
    <row r="46" spans="1:40" ht="25.5" x14ac:dyDescent="0.2">
      <c r="A46" t="str">
        <f t="shared" si="1"/>
        <v>S</v>
      </c>
      <c r="B46">
        <f t="shared" ca="1" si="2"/>
        <v>3</v>
      </c>
      <c r="C46" t="str">
        <f t="shared" ca="1" si="3"/>
        <v>S</v>
      </c>
      <c r="D46">
        <f t="shared" ca="1" si="4"/>
        <v>0</v>
      </c>
      <c r="E46">
        <f ca="1">IF($C46=1,OFFSET(E46,-1,0)+MAX(1,COUNTIF(QCI!$A$13:$A$15,OFFSET(ORÇAMENTO!E46,-1,0))),OFFSET(E46,-1,0))</f>
        <v>1</v>
      </c>
      <c r="F46">
        <f t="shared" ca="1" si="5"/>
        <v>3</v>
      </c>
      <c r="G46">
        <f t="shared" ca="1" si="6"/>
        <v>4</v>
      </c>
      <c r="H46">
        <f t="shared" ca="1" si="7"/>
        <v>0</v>
      </c>
      <c r="I46">
        <f t="shared" ca="1" si="8"/>
        <v>2</v>
      </c>
      <c r="J46">
        <f t="shared" ca="1" si="9"/>
        <v>0</v>
      </c>
      <c r="K46">
        <f ca="1">IF(OR($C46="S",$C46=0),0,MATCH(OFFSET($D46,0,$C46)+IF($C46&lt;&gt;1,1,COUNTIF(QCI!$A$13:$A$15,ORÇAMENTO!E46)),OFFSET($D46,1,$C46,ROW($C$508)-ROW($C46)),0))</f>
        <v>0</v>
      </c>
      <c r="L46" s="114" t="str">
        <f t="shared" ca="1" si="10"/>
        <v>F</v>
      </c>
      <c r="M46" s="115" t="s">
        <v>705</v>
      </c>
      <c r="N46" s="116" t="str">
        <f t="shared" ca="1" si="11"/>
        <v>Serviço</v>
      </c>
      <c r="O46" s="117" t="str">
        <f t="shared" ca="1" si="12"/>
        <v>1.3.4.0.2.</v>
      </c>
      <c r="P46" s="118" t="s">
        <v>1280</v>
      </c>
      <c r="Q46" s="119" t="s">
        <v>1443</v>
      </c>
      <c r="R46" s="120" t="str">
        <f ca="1">IF($C46="S",REFERENCIA.Descricao,"(digite a descrição aqui)")</f>
        <v>CONE PARA SINALIZAÇÃO/ISOLAMENTO DE ÁREAS, ALTURA 75CM, INCLUSIVE FORNECIMENTO E MOVIMENTAÇÃO</v>
      </c>
      <c r="S46" s="121" t="str">
        <f ca="1">REFERENCIA.Unidade</f>
        <v>UN</v>
      </c>
      <c r="T46" s="122">
        <f ca="1">OFFSET(CÁLCULO!H$15,ROW($T46)-ROW(T$15),0)</f>
        <v>43</v>
      </c>
      <c r="U46" s="123">
        <f t="shared" ca="1" si="21"/>
        <v>5.32</v>
      </c>
      <c r="V46" s="124" t="s">
        <v>663</v>
      </c>
      <c r="W46" s="122">
        <f ca="1">IF($C46="S",ROUND(IF(TIPOORCAMENTO="Proposto",ORÇAMENTO.CustoUnitario*(1+$AH46),ORÇAMENTO.PrecoUnitarioLicitado),15-13*$AF$10),0)</f>
        <v>6.57</v>
      </c>
      <c r="X46" s="125" cm="1">
        <f t="array" aca="1" ref="X46" ca="1">IF($C46="S",IF(OR(Import.TipoArredondamento&lt;&gt;"TransfereGOV",ACOMPANHAMENTO="BM"),VTOTAL1,SUM(OFFSET(CÁLCULO!$AI$15,ROW($X46)-ROW($X$15),1):OFFSET(CÁLCULO!$BB$15,ROW($X46)-ROW($X$15),-1))),IF($C46=0,0,ROUND(SomaAgrup,15-13*$AF$11)))</f>
        <v>282.51</v>
      </c>
      <c r="Y46" s="126" t="s">
        <v>751</v>
      </c>
      <c r="Z46" t="str">
        <f t="shared" ca="1" si="13"/>
        <v>RA</v>
      </c>
      <c r="AA46" s="127">
        <f ca="1">IF($C46="S",IF($Z46="CP",$X46,IF($Z46="RA",(($X46)*QCI!$AA$3),0)),SomaAgrup)</f>
        <v>0</v>
      </c>
      <c r="AB46" s="128">
        <f t="shared" ca="1" si="14"/>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IF(C46&lt;=CRONO.NivelExibicao,MAX($AD$15:OFFSET(AD46,-1,0))+IF($C46&lt;&gt;1,1,MAX(1,COUNTIF(QCI!$A$13:$A$15,OFFSET($E46,-1,0)))),"")</f>
        <v/>
      </c>
      <c r="AE46" s="7" t="str">
        <f ca="1">IF(AND($C46="S",ORÇAMENTO.CodBarra&lt;&gt;""),IF(ORÇAMENTO.Fonte="",ORÇAMENTO.CodBarra,CONCATENATE(ORÇAMENTO.Fonte," ",ORÇAMENTO.CodBarra)))</f>
        <v>SETOP ED-27006</v>
      </c>
      <c r="AF46" s="12">
        <f ca="1">IF(ISERROR(INDIRECT(ORÇAMENTO.BancoRef)),"(abra o arquivo 'Referência "&amp;Excel_BuiltIn_Database&amp;".xlsm)",IF(OR($C46&lt;&gt;"S",ORÇAMENTO.CodBarra=""),"(Sem Código)",IF(ISERROR(MATCH($AE46,INDIRECT(ORÇAMENTO.BancoRef),0)),"(Código não identificado nas referências)",MATCH($AE46,INDIRECT(ORÇAMENTO.BancoRef),0))))</f>
        <v>27928</v>
      </c>
      <c r="AG46" s="428">
        <f ca="1">ROUND(IF(DESONERACAO="sim",REFERENCIA.Desonerado,REFERENCIA.NaoDesonerado),2)</f>
        <v>5.32</v>
      </c>
      <c r="AH46" s="429">
        <f t="shared" ca="1" si="15"/>
        <v>0.23499999999999999</v>
      </c>
      <c r="AJ46" s="431">
        <f>AJ47/10</f>
        <v>43</v>
      </c>
      <c r="AL46" s="439"/>
      <c r="AM46" s="336">
        <f t="shared" ca="1" si="0"/>
        <v>282.51</v>
      </c>
      <c r="AN46" s="470">
        <f t="shared" ca="1" si="16"/>
        <v>6.57</v>
      </c>
    </row>
    <row r="47" spans="1:40" ht="51" x14ac:dyDescent="0.2">
      <c r="A47" t="str">
        <f t="shared" si="1"/>
        <v>S</v>
      </c>
      <c r="B47">
        <f t="shared" ca="1" si="2"/>
        <v>3</v>
      </c>
      <c r="C47" t="str">
        <f t="shared" ca="1" si="3"/>
        <v>S</v>
      </c>
      <c r="D47">
        <f t="shared" ca="1" si="4"/>
        <v>0</v>
      </c>
      <c r="E47">
        <f ca="1">IF($C47=1,OFFSET(E47,-1,0)+MAX(1,COUNTIF(QCI!$A$13:$A$15,OFFSET(ORÇAMENTO!E47,-1,0))),OFFSET(E47,-1,0))</f>
        <v>1</v>
      </c>
      <c r="F47">
        <f t="shared" ca="1" si="5"/>
        <v>3</v>
      </c>
      <c r="G47">
        <f t="shared" ca="1" si="6"/>
        <v>4</v>
      </c>
      <c r="H47">
        <f t="shared" ca="1" si="7"/>
        <v>0</v>
      </c>
      <c r="I47">
        <f t="shared" ca="1" si="8"/>
        <v>3</v>
      </c>
      <c r="J47">
        <f t="shared" ca="1" si="9"/>
        <v>0</v>
      </c>
      <c r="K47">
        <f ca="1">IF(OR($C47="S",$C47=0),0,MATCH(OFFSET($D47,0,$C47)+IF($C47&lt;&gt;1,1,COUNTIF(QCI!$A$13:$A$15,ORÇAMENTO!E47)),OFFSET($D47,1,$C47,ROW($C$508)-ROW($C47)),0))</f>
        <v>0</v>
      </c>
      <c r="L47" s="114" t="str">
        <f t="shared" ca="1" si="10"/>
        <v>F</v>
      </c>
      <c r="M47" s="115" t="s">
        <v>705</v>
      </c>
      <c r="N47" s="116" t="str">
        <f t="shared" ca="1" si="11"/>
        <v>Serviço</v>
      </c>
      <c r="O47" s="117" t="str">
        <f t="shared" ca="1" si="12"/>
        <v>1.3.4.0.3.</v>
      </c>
      <c r="P47" s="118" t="s">
        <v>1280</v>
      </c>
      <c r="Q47" s="119" t="s">
        <v>1011</v>
      </c>
      <c r="R47" s="120" t="str">
        <f ca="1">IF($C47="S",REFERENCIA.Descricao,"(digite a descrição aqui)")</f>
        <v>TAPUME DE PROTEÇÃO PARA TRANSEUNTE EM TELA DE POLIETILENO, COM MÓDULO NA DIMENSÃO DE (150X150)CM, INCLUSIVE PONTALETE COM BASE DE APOIO EM CONCRETO MAGRO, FORNECIMENTO E MOVIMENTAÇÃO</v>
      </c>
      <c r="S47" s="121" t="str">
        <f ca="1">REFERENCIA.Unidade</f>
        <v>M</v>
      </c>
      <c r="T47" s="122">
        <f ca="1">OFFSET(CÁLCULO!H$15,ROW($T47)-ROW(T$15),0)</f>
        <v>430</v>
      </c>
      <c r="U47" s="123">
        <f t="shared" ca="1" si="21"/>
        <v>13.79</v>
      </c>
      <c r="V47" s="124" t="s">
        <v>663</v>
      </c>
      <c r="W47" s="122">
        <f ca="1">IF($C47="S",ROUND(IF(TIPOORCAMENTO="Proposto",ORÇAMENTO.CustoUnitario*(1+$AH47),ORÇAMENTO.PrecoUnitarioLicitado),15-13*$AF$10),0)</f>
        <v>17.03</v>
      </c>
      <c r="X47" s="125" cm="1">
        <f t="array" aca="1" ref="X47" ca="1">IF($C47="S",IF(OR(Import.TipoArredondamento&lt;&gt;"TransfereGOV",ACOMPANHAMENTO="BM"),VTOTAL1,SUM(OFFSET(CÁLCULO!$AI$15,ROW($X47)-ROW($X$15),1):OFFSET(CÁLCULO!$BB$15,ROW($X47)-ROW($X$15),-1))),IF($C47=0,0,ROUND(SomaAgrup,15-13*$AF$11)))</f>
        <v>7322.9</v>
      </c>
      <c r="Y47" s="126" t="s">
        <v>751</v>
      </c>
      <c r="Z47" t="str">
        <f t="shared" ca="1" si="13"/>
        <v>RA</v>
      </c>
      <c r="AA47" s="127">
        <f ca="1">IF($C47="S",IF($Z47="CP",$X47,IF($Z47="RA",(($X47)*QCI!$AA$3),0)),SomaAgrup)</f>
        <v>0</v>
      </c>
      <c r="AB47" s="128">
        <f t="shared" ca="1" si="14"/>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IF(C47&lt;=CRONO.NivelExibicao,MAX($AD$15:OFFSET(AD47,-1,0))+IF($C47&lt;&gt;1,1,MAX(1,COUNTIF(QCI!$A$13:$A$15,OFFSET($E47,-1,0)))),"")</f>
        <v/>
      </c>
      <c r="AE47" s="7" t="str">
        <f ca="1">IF(AND($C47="S",ORÇAMENTO.CodBarra&lt;&gt;""),IF(ORÇAMENTO.Fonte="",ORÇAMENTO.CodBarra,CONCATENATE(ORÇAMENTO.Fonte," ",ORÇAMENTO.CodBarra)))</f>
        <v>SETOP ED-50163</v>
      </c>
      <c r="AF47" s="12">
        <f ca="1">IF(ISERROR(INDIRECT(ORÇAMENTO.BancoRef)),"(abra o arquivo 'Referência "&amp;Excel_BuiltIn_Database&amp;".xlsm)",IF(OR($C47&lt;&gt;"S",ORÇAMENTO.CodBarra=""),"(Sem Código)",IF(ISERROR(MATCH($AE47,INDIRECT(ORÇAMENTO.BancoRef),0)),"(Código não identificado nas referências)",MATCH($AE47,INDIRECT(ORÇAMENTO.BancoRef),0))))</f>
        <v>27923</v>
      </c>
      <c r="AG47" s="428">
        <f ca="1">ROUND(IF(DESONERACAO="sim",REFERENCIA.Desonerado,REFERENCIA.NaoDesonerado),2)</f>
        <v>13.79</v>
      </c>
      <c r="AH47" s="429">
        <f t="shared" ca="1" si="15"/>
        <v>0.23499999999999999</v>
      </c>
      <c r="AJ47" s="431">
        <f>180+140+110</f>
        <v>430</v>
      </c>
      <c r="AL47" s="439"/>
      <c r="AM47" s="336">
        <f t="shared" ca="1" si="0"/>
        <v>7322.9</v>
      </c>
      <c r="AN47" s="470">
        <f t="shared" ca="1" si="16"/>
        <v>17.03</v>
      </c>
    </row>
    <row r="48" spans="1:40" x14ac:dyDescent="0.2">
      <c r="A48">
        <f t="shared" si="1"/>
        <v>2</v>
      </c>
      <c r="B48">
        <f t="shared" ca="1" si="2"/>
        <v>2</v>
      </c>
      <c r="C48">
        <f t="shared" ca="1" si="3"/>
        <v>2</v>
      </c>
      <c r="D48">
        <f t="shared" ca="1" si="4"/>
        <v>11</v>
      </c>
      <c r="E48">
        <f ca="1">IF($C48=1,OFFSET(E48,-1,0)+MAX(1,COUNTIF(QCI!$A$13:$A$15,OFFSET(ORÇAMENTO!E48,-1,0))),OFFSET(E48,-1,0))</f>
        <v>1</v>
      </c>
      <c r="F48">
        <f t="shared" ca="1" si="5"/>
        <v>4</v>
      </c>
      <c r="G48">
        <f t="shared" ca="1" si="6"/>
        <v>0</v>
      </c>
      <c r="H48">
        <f t="shared" ca="1" si="7"/>
        <v>0</v>
      </c>
      <c r="I48">
        <f t="shared" ca="1" si="8"/>
        <v>0</v>
      </c>
      <c r="J48">
        <f t="shared" ca="1" si="9"/>
        <v>460</v>
      </c>
      <c r="K48">
        <f ca="1">IF(OR($C48="S",$C48=0),0,MATCH(OFFSET($D48,0,$C48)+IF($C48&lt;&gt;1,1,COUNTIF(QCI!$A$13:$A$15,ORÇAMENTO!E48)),OFFSET($D48,1,$C48,ROW($C$508)-ROW($C48)),0))</f>
        <v>11</v>
      </c>
      <c r="L48" s="114" t="str">
        <f t="shared" ca="1" si="10"/>
        <v>F</v>
      </c>
      <c r="M48" s="115" t="s">
        <v>702</v>
      </c>
      <c r="N48" s="116" t="str">
        <f t="shared" ca="1" si="11"/>
        <v>Nível 2</v>
      </c>
      <c r="O48" s="117" t="str">
        <f t="shared" ca="1" si="12"/>
        <v>1.4.</v>
      </c>
      <c r="P48" s="118" t="s">
        <v>750</v>
      </c>
      <c r="Q48" s="119"/>
      <c r="R48" s="120" t="s">
        <v>1212</v>
      </c>
      <c r="S48" s="121" t="s">
        <v>688</v>
      </c>
      <c r="T48" s="122">
        <f ca="1">OFFSET(CÁLCULO!H$15,ROW($T48)-ROW(T$15),0)</f>
        <v>0</v>
      </c>
      <c r="U48" s="123">
        <f t="shared" ca="1" si="21"/>
        <v>0</v>
      </c>
      <c r="V48" s="124" t="s">
        <v>663</v>
      </c>
      <c r="W48" s="122">
        <f ca="1">IF($C48="S",ROUND(IF(TIPOORCAMENTO="Proposto",ORÇAMENTO.CustoUnitario*(1+$AH48),ORÇAMENTO.PrecoUnitarioLicitado),15-13*$AF$10),0)</f>
        <v>0</v>
      </c>
      <c r="X48" s="125" cm="1">
        <f t="array" aca="1" ref="X48" ca="1">IF($C48="S",IF(OR(Import.TipoArredondamento&lt;&gt;"TransfereGOV",ACOMPANHAMENTO="BM"),VTOTAL1,SUM(OFFSET(CÁLCULO!$AI$15,ROW($X48)-ROW($X$15),1):OFFSET(CÁLCULO!$BB$15,ROW($X48)-ROW($X$15),-1))),IF($C48=0,0,ROUND(SomaAgrup,15-13*$AF$11)))</f>
        <v>439770.36</v>
      </c>
      <c r="Y48" s="126" t="s">
        <v>751</v>
      </c>
      <c r="Z48" t="str">
        <f t="shared" ca="1" si="13"/>
        <v/>
      </c>
      <c r="AA48" s="127">
        <f ca="1">IF($C48="S",IF($Z48="CP",$X48,IF($Z48="RA",(($X48)*QCI!$AA$3),0)),SomaAgrup)</f>
        <v>0</v>
      </c>
      <c r="AB48" s="128">
        <f t="shared" ca="1" si="14"/>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f ca="1">IF(C48&lt;=CRONO.NivelExibicao,MAX($AD$15:OFFSET(AD48,-1,0))+IF($C48&lt;&gt;1,1,MAX(1,COUNTIF(QCI!$A$13:$A$15,OFFSET($E48,-1,0)))),"")</f>
        <v>5</v>
      </c>
      <c r="AE48" s="7" t="b">
        <f ca="1">IF(AND($C48="S",ORÇAMENTO.CodBarra&lt;&gt;""),IF(ORÇAMENTO.Fonte="",ORÇAMENTO.CodBarra,CONCATENATE(ORÇAMENTO.Fonte," ",ORÇAMENTO.CodBarra)))</f>
        <v>0</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(Sem Código)</v>
      </c>
      <c r="AG48" s="428">
        <f ca="1">ROUND(IF(DESONERACAO="sim",REFERENCIA.Desonerado,REFERENCIA.NaoDesonerado),2)</f>
        <v>0</v>
      </c>
      <c r="AH48" s="429">
        <f t="shared" ca="1" si="15"/>
        <v>0.23499999999999999</v>
      </c>
      <c r="AJ48" s="431"/>
      <c r="AL48" s="439"/>
      <c r="AM48" s="336">
        <f t="shared" ca="1" si="0"/>
        <v>439770.36</v>
      </c>
      <c r="AN48" s="470">
        <f t="shared" ca="1" si="16"/>
        <v>0</v>
      </c>
    </row>
    <row r="49" spans="1:40" x14ac:dyDescent="0.2">
      <c r="A49">
        <f t="shared" si="1"/>
        <v>3</v>
      </c>
      <c r="B49">
        <f t="shared" ca="1" si="2"/>
        <v>3</v>
      </c>
      <c r="C49">
        <f t="shared" ca="1" si="3"/>
        <v>3</v>
      </c>
      <c r="D49">
        <f t="shared" ca="1" si="4"/>
        <v>3</v>
      </c>
      <c r="E49">
        <f ca="1">IF($C49=1,OFFSET(E49,-1,0)+MAX(1,COUNTIF(QCI!$A$13:$A$15,OFFSET(ORÇAMENTO!E49,-1,0))),OFFSET(E49,-1,0))</f>
        <v>1</v>
      </c>
      <c r="F49">
        <f t="shared" ca="1" si="5"/>
        <v>4</v>
      </c>
      <c r="G49">
        <f t="shared" ca="1" si="6"/>
        <v>1</v>
      </c>
      <c r="H49">
        <f t="shared" ca="1" si="7"/>
        <v>0</v>
      </c>
      <c r="I49">
        <f t="shared" ca="1" si="8"/>
        <v>0</v>
      </c>
      <c r="J49">
        <f t="shared" ca="1" si="9"/>
        <v>10</v>
      </c>
      <c r="K49">
        <f ca="1">IF(OR($C49="S",$C49=0),0,MATCH(OFFSET($D49,0,$C49)+IF($C49&lt;&gt;1,1,COUNTIF(QCI!$A$13:$A$15,ORÇAMENTO!E49)),OFFSET($D49,1,$C49,ROW($C$508)-ROW($C49)),0))</f>
        <v>3</v>
      </c>
      <c r="L49" s="114" t="str">
        <f t="shared" ca="1" si="10"/>
        <v>F</v>
      </c>
      <c r="M49" s="115" t="s">
        <v>703</v>
      </c>
      <c r="N49" s="116" t="str">
        <f t="shared" ca="1" si="11"/>
        <v>Nível 3</v>
      </c>
      <c r="O49" s="117" t="str">
        <f t="shared" ca="1" si="12"/>
        <v>1.4.1.</v>
      </c>
      <c r="P49" s="118" t="s">
        <v>750</v>
      </c>
      <c r="Q49" s="119"/>
      <c r="R49" s="120" t="s">
        <v>1213</v>
      </c>
      <c r="S49" s="121" t="s">
        <v>688</v>
      </c>
      <c r="T49" s="122">
        <f ca="1">OFFSET(CÁLCULO!H$15,ROW($T49)-ROW(T$15),0)</f>
        <v>0</v>
      </c>
      <c r="U49" s="123">
        <f t="shared" ca="1" si="21"/>
        <v>0</v>
      </c>
      <c r="V49" s="124" t="s">
        <v>663</v>
      </c>
      <c r="W49" s="122">
        <f ca="1">IF($C49="S",ROUND(IF(TIPOORCAMENTO="Proposto",ORÇAMENTO.CustoUnitario*(1+$AH49),ORÇAMENTO.PrecoUnitarioLicitado),15-13*$AF$10),0)</f>
        <v>0</v>
      </c>
      <c r="X49" s="125" cm="1">
        <f t="array" aca="1" ref="X49" ca="1">IF($C49="S",IF(OR(Import.TipoArredondamento&lt;&gt;"TransfereGOV",ACOMPANHAMENTO="BM"),VTOTAL1,SUM(OFFSET(CÁLCULO!$AI$15,ROW($X49)-ROW($X$15),1):OFFSET(CÁLCULO!$BB$15,ROW($X49)-ROW($X$15),-1))),IF($C49=0,0,ROUND(SomaAgrup,15-13*$AF$11)))</f>
        <v>14792.78</v>
      </c>
      <c r="Y49" s="126" t="s">
        <v>751</v>
      </c>
      <c r="Z49" t="str">
        <f t="shared" ca="1" si="13"/>
        <v/>
      </c>
      <c r="AA49" s="127">
        <f ca="1">IF($C49="S",IF($Z49="CP",$X49,IF($Z49="RA",(($X49)*QCI!$AA$3),0)),SomaAgrup)</f>
        <v>0</v>
      </c>
      <c r="AB49" s="128">
        <f t="shared" ca="1" si="14"/>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IF(C49&lt;=CRONO.NivelExibicao,MAX($AD$15:OFFSET(AD49,-1,0))+IF($C49&lt;&gt;1,1,MAX(1,COUNTIF(QCI!$A$13:$A$15,OFFSET($E49,-1,0)))),"")</f>
        <v/>
      </c>
      <c r="AE49" s="7" t="b">
        <f ca="1">IF(AND($C49="S",ORÇAMENTO.CodBarra&lt;&gt;""),IF(ORÇAMENTO.Fonte="",ORÇAMENTO.CodBarra,CONCATENATE(ORÇAMENTO.Fonte," ",ORÇAMENTO.CodBarra)))</f>
        <v>0</v>
      </c>
      <c r="AF49" s="12" t="str">
        <f ca="1">IF(ISERROR(INDIRECT(ORÇAMENTO.BancoRef)),"(abra o arquivo 'Referência "&amp;Excel_BuiltIn_Database&amp;".xlsm)",IF(OR($C49&lt;&gt;"S",ORÇAMENTO.CodBarra=""),"(Sem Código)",IF(ISERROR(MATCH($AE49,INDIRECT(ORÇAMENTO.BancoRef),0)),"(Código não identificado nas referências)",MATCH($AE49,INDIRECT(ORÇAMENTO.BancoRef),0))))</f>
        <v>(Sem Código)</v>
      </c>
      <c r="AG49" s="428">
        <f ca="1">ROUND(IF(DESONERACAO="sim",REFERENCIA.Desonerado,REFERENCIA.NaoDesonerado),2)</f>
        <v>0</v>
      </c>
      <c r="AH49" s="429">
        <f t="shared" ca="1" si="15"/>
        <v>0.23499999999999999</v>
      </c>
      <c r="AJ49" s="431"/>
      <c r="AL49" s="439"/>
      <c r="AM49" s="336">
        <f t="shared" ca="1" si="0"/>
        <v>14792.78</v>
      </c>
      <c r="AN49" s="470">
        <f t="shared" ca="1" si="16"/>
        <v>0</v>
      </c>
    </row>
    <row r="50" spans="1:40" ht="25.5" x14ac:dyDescent="0.2">
      <c r="A50" t="str">
        <f t="shared" si="1"/>
        <v>S</v>
      </c>
      <c r="B50">
        <f t="shared" ca="1" si="2"/>
        <v>3</v>
      </c>
      <c r="C50" t="str">
        <f t="shared" ca="1" si="3"/>
        <v>S</v>
      </c>
      <c r="D50">
        <f t="shared" ca="1" si="4"/>
        <v>0</v>
      </c>
      <c r="E50">
        <f ca="1">IF($C50=1,OFFSET(E50,-1,0)+MAX(1,COUNTIF(QCI!$A$13:$A$15,OFFSET(ORÇAMENTO!E50,-1,0))),OFFSET(E50,-1,0))</f>
        <v>1</v>
      </c>
      <c r="F50">
        <f t="shared" ca="1" si="5"/>
        <v>4</v>
      </c>
      <c r="G50">
        <f t="shared" ca="1" si="6"/>
        <v>1</v>
      </c>
      <c r="H50">
        <f t="shared" ca="1" si="7"/>
        <v>0</v>
      </c>
      <c r="I50">
        <f t="shared" ca="1" si="8"/>
        <v>1</v>
      </c>
      <c r="J50">
        <f t="shared" ca="1" si="9"/>
        <v>0</v>
      </c>
      <c r="K50">
        <f ca="1">IF(OR($C50="S",$C50=0),0,MATCH(OFFSET($D50,0,$C50)+IF($C50&lt;&gt;1,1,COUNTIF(QCI!$A$13:$A$15,ORÇAMENTO!E50)),OFFSET($D50,1,$C50,ROW($C$508)-ROW($C50)),0))</f>
        <v>0</v>
      </c>
      <c r="L50" s="114" t="str">
        <f t="shared" ca="1" si="10"/>
        <v>F</v>
      </c>
      <c r="M50" s="115" t="s">
        <v>705</v>
      </c>
      <c r="N50" s="116" t="str">
        <f t="shared" ca="1" si="11"/>
        <v>Serviço</v>
      </c>
      <c r="O50" s="117" t="str">
        <f t="shared" ca="1" si="12"/>
        <v>1.4.1.0.1.</v>
      </c>
      <c r="P50" s="118" t="s">
        <v>750</v>
      </c>
      <c r="Q50" s="119" t="s">
        <v>1378</v>
      </c>
      <c r="R50" s="120" t="str">
        <f ca="1">IF($C50="S",REFERENCIA.Descricao,"(digite a descrição aqui)")</f>
        <v>ESCAVAÇÃO HORIZONTAL EM SOLO DE 1A CATEGORIA COM TRATOR DE ESTEIRAS (150HP/LÂMINA: 3,18M3). AF_07/2020</v>
      </c>
      <c r="S50" s="121" t="str">
        <f ca="1">REFERENCIA.Unidade</f>
        <v>M3</v>
      </c>
      <c r="T50" s="122">
        <f ca="1">OFFSET(CÁLCULO!H$15,ROW($T50)-ROW(T$15),0)</f>
        <v>2644.16</v>
      </c>
      <c r="U50" s="123">
        <f t="shared" ca="1" si="21"/>
        <v>3.99</v>
      </c>
      <c r="V50" s="124" t="s">
        <v>663</v>
      </c>
      <c r="W50" s="122">
        <f ca="1">IF($C50="S",ROUND(IF(TIPOORCAMENTO="Proposto",ORÇAMENTO.CustoUnitario*(1+$AH50),ORÇAMENTO.PrecoUnitarioLicitado),15-13*$AF$10),0)</f>
        <v>4.93</v>
      </c>
      <c r="X50" s="125" cm="1">
        <f t="array" aca="1" ref="X50" ca="1">IF($C50="S",IF(OR(Import.TipoArredondamento&lt;&gt;"TransfereGOV",ACOMPANHAMENTO="BM"),VTOTAL1,SUM(OFFSET(CÁLCULO!$AI$15,ROW($X50)-ROW($X$15),1):OFFSET(CÁLCULO!$BB$15,ROW($X50)-ROW($X$15),-1))),IF($C50=0,0,ROUND(SomaAgrup,15-13*$AF$11)))</f>
        <v>13035.71</v>
      </c>
      <c r="Y50" s="126" t="s">
        <v>751</v>
      </c>
      <c r="Z50" t="str">
        <f t="shared" ca="1" si="13"/>
        <v>RA</v>
      </c>
      <c r="AA50" s="127">
        <f ca="1">IF($C50="S",IF($Z50="CP",$X50,IF($Z50="RA",(($X50)*QCI!$AA$3),0)),SomaAgrup)</f>
        <v>0</v>
      </c>
      <c r="AB50" s="128">
        <f t="shared" ca="1" si="14"/>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IF(C50&lt;=CRONO.NivelExibicao,MAX($AD$15:OFFSET(AD50,-1,0))+IF($C50&lt;&gt;1,1,MAX(1,COUNTIF(QCI!$A$13:$A$15,OFFSET($E50,-1,0)))),"")</f>
        <v/>
      </c>
      <c r="AE50" s="7" t="str">
        <f ca="1">IF(AND($C50="S",ORÇAMENTO.CodBarra&lt;&gt;""),IF(ORÇAMENTO.Fonte="",ORÇAMENTO.CodBarra,CONCATENATE(ORÇAMENTO.Fonte," ",ORÇAMENTO.CodBarra)))</f>
        <v>SINAPI 101115</v>
      </c>
      <c r="AF50" s="12">
        <f ca="1">IF(ISERROR(INDIRECT(ORÇAMENTO.BancoRef)),"(abra o arquivo 'Referência "&amp;Excel_BuiltIn_Database&amp;".xlsm)",IF(OR($C50&lt;&gt;"S",ORÇAMENTO.CodBarra=""),"(Sem Código)",IF(ISERROR(MATCH($AE50,INDIRECT(ORÇAMENTO.BancoRef),0)),"(Código não identificado nas referências)",MATCH($AE50,INDIRECT(ORÇAMENTO.BancoRef),0))))</f>
        <v>9175</v>
      </c>
      <c r="AG50" s="428">
        <f ca="1">ROUND(IF(DESONERACAO="sim",REFERENCIA.Desonerado,REFERENCIA.NaoDesonerado),2)</f>
        <v>3.99</v>
      </c>
      <c r="AH50" s="429">
        <f t="shared" ca="1" si="15"/>
        <v>0.23499999999999999</v>
      </c>
      <c r="AJ50" s="431">
        <v>2644.16</v>
      </c>
      <c r="AL50" s="439"/>
      <c r="AM50" s="336">
        <f t="shared" ca="1" si="0"/>
        <v>13035.71</v>
      </c>
      <c r="AN50" s="470">
        <f t="shared" ca="1" si="16"/>
        <v>4.93</v>
      </c>
    </row>
    <row r="51" spans="1:40" ht="25.5" x14ac:dyDescent="0.2">
      <c r="A51" t="str">
        <f t="shared" si="1"/>
        <v>S</v>
      </c>
      <c r="B51">
        <f t="shared" ca="1" si="2"/>
        <v>3</v>
      </c>
      <c r="C51" t="str">
        <f t="shared" ca="1" si="3"/>
        <v>S</v>
      </c>
      <c r="D51">
        <f t="shared" ca="1" si="4"/>
        <v>0</v>
      </c>
      <c r="E51">
        <f ca="1">IF($C51=1,OFFSET(E51,-1,0)+MAX(1,COUNTIF(QCI!$A$13:$A$15,OFFSET(ORÇAMENTO!E51,-1,0))),OFFSET(E51,-1,0))</f>
        <v>1</v>
      </c>
      <c r="F51">
        <f t="shared" ca="1" si="5"/>
        <v>4</v>
      </c>
      <c r="G51">
        <f t="shared" ca="1" si="6"/>
        <v>1</v>
      </c>
      <c r="H51">
        <f t="shared" ca="1" si="7"/>
        <v>0</v>
      </c>
      <c r="I51">
        <f t="shared" ca="1" si="8"/>
        <v>2</v>
      </c>
      <c r="J51">
        <f t="shared" ca="1" si="9"/>
        <v>0</v>
      </c>
      <c r="K51">
        <f ca="1">IF(OR($C51="S",$C51=0),0,MATCH(OFFSET($D51,0,$C51)+IF($C51&lt;&gt;1,1,COUNTIF(QCI!$A$13:$A$15,ORÇAMENTO!E51)),OFFSET($D51,1,$C51,ROW($C$508)-ROW($C51)),0))</f>
        <v>0</v>
      </c>
      <c r="L51" s="114" t="str">
        <f t="shared" ca="1" si="10"/>
        <v>F</v>
      </c>
      <c r="M51" s="115" t="s">
        <v>705</v>
      </c>
      <c r="N51" s="116" t="str">
        <f t="shared" ca="1" si="11"/>
        <v>Serviço</v>
      </c>
      <c r="O51" s="117" t="str">
        <f t="shared" ca="1" si="12"/>
        <v>1.4.1.0.2.</v>
      </c>
      <c r="P51" s="118" t="s">
        <v>1280</v>
      </c>
      <c r="Q51" s="119" t="s">
        <v>1012</v>
      </c>
      <c r="R51" s="120" t="str">
        <f ca="1">IF($C51="S",REFERENCIA.Descricao,"(digite a descrição aqui)")</f>
        <v>COMPACTAÇÃO MECÂNICA DE ATERRO COM ROLO VIBRATÓRIO A 95% DO PROCTOR NORMAL, INCLUSIVE ESPALHAMENTO</v>
      </c>
      <c r="S51" s="121" t="str">
        <f ca="1">REFERENCIA.Unidade</f>
        <v>M3</v>
      </c>
      <c r="T51" s="122">
        <f ca="1">OFFSET(CÁLCULO!H$15,ROW($T51)-ROW(T$15),0)</f>
        <v>316.02</v>
      </c>
      <c r="U51" s="123">
        <f t="shared" ca="1" si="21"/>
        <v>4.5</v>
      </c>
      <c r="V51" s="124" t="s">
        <v>663</v>
      </c>
      <c r="W51" s="122">
        <f ca="1">IF($C51="S",ROUND(IF(TIPOORCAMENTO="Proposto",ORÇAMENTO.CustoUnitario*(1+$AH51),ORÇAMENTO.PrecoUnitarioLicitado),15-13*$AF$10),0)</f>
        <v>5.56</v>
      </c>
      <c r="X51" s="125" cm="1">
        <f t="array" aca="1" ref="X51" ca="1">IF($C51="S",IF(OR(Import.TipoArredondamento&lt;&gt;"TransfereGOV",ACOMPANHAMENTO="BM"),VTOTAL1,SUM(OFFSET(CÁLCULO!$AI$15,ROW($X51)-ROW($X$15),1):OFFSET(CÁLCULO!$BB$15,ROW($X51)-ROW($X$15),-1))),IF($C51=0,0,ROUND(SomaAgrup,15-13*$AF$11)))</f>
        <v>1757.07</v>
      </c>
      <c r="Y51" s="126" t="s">
        <v>751</v>
      </c>
      <c r="Z51" t="str">
        <f t="shared" ca="1" si="13"/>
        <v>RA</v>
      </c>
      <c r="AA51" s="127">
        <f ca="1">IF($C51="S",IF($Z51="CP",$X51,IF($Z51="RA",(($X51)*QCI!$AA$3),0)),SomaAgrup)</f>
        <v>0</v>
      </c>
      <c r="AB51" s="128">
        <f t="shared" ca="1" si="14"/>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IF(C51&lt;=CRONO.NivelExibicao,MAX($AD$15:OFFSET(AD51,-1,0))+IF($C51&lt;&gt;1,1,MAX(1,COUNTIF(QCI!$A$13:$A$15,OFFSET($E51,-1,0)))),"")</f>
        <v/>
      </c>
      <c r="AE51" s="7" t="str">
        <f ca="1">IF(AND($C51="S",ORÇAMENTO.CodBarra&lt;&gt;""),IF(ORÇAMENTO.Fonte="",ORÇAMENTO.CodBarra,CONCATENATE(ORÇAMENTO.Fonte," ",ORÇAMENTO.CodBarra)))</f>
        <v>SETOP ED-51098</v>
      </c>
      <c r="AF51" s="12">
        <f ca="1">IF(ISERROR(INDIRECT(ORÇAMENTO.BancoRef)),"(abra o arquivo 'Referência "&amp;Excel_BuiltIn_Database&amp;".xlsm)",IF(OR($C51&lt;&gt;"S",ORÇAMENTO.CodBarra=""),"(Sem Código)",IF(ISERROR(MATCH($AE51,INDIRECT(ORÇAMENTO.BancoRef),0)),"(Código não identificado nas referências)",MATCH($AE51,INDIRECT(ORÇAMENTO.BancoRef),0))))</f>
        <v>27970</v>
      </c>
      <c r="AG51" s="428">
        <f ca="1">ROUND(IF(DESONERACAO="sim",REFERENCIA.Desonerado,REFERENCIA.NaoDesonerado),2)</f>
        <v>4.5</v>
      </c>
      <c r="AH51" s="429">
        <f t="shared" ca="1" si="15"/>
        <v>0.23499999999999999</v>
      </c>
      <c r="AJ51" s="431">
        <v>316.02</v>
      </c>
      <c r="AL51" s="439"/>
      <c r="AM51" s="336">
        <f t="shared" ca="1" si="0"/>
        <v>1757.07</v>
      </c>
      <c r="AN51" s="470">
        <f t="shared" ca="1" si="16"/>
        <v>5.56</v>
      </c>
    </row>
    <row r="52" spans="1:40" x14ac:dyDescent="0.2">
      <c r="A52">
        <f t="shared" si="1"/>
        <v>3</v>
      </c>
      <c r="B52">
        <f t="shared" ca="1" si="2"/>
        <v>3</v>
      </c>
      <c r="C52">
        <f t="shared" ca="1" si="3"/>
        <v>3</v>
      </c>
      <c r="D52">
        <f t="shared" ca="1" si="4"/>
        <v>5</v>
      </c>
      <c r="E52">
        <f ca="1">IF($C52=1,OFFSET(E52,-1,0)+MAX(1,COUNTIF(QCI!$A$13:$A$15,OFFSET(ORÇAMENTO!E52,-1,0))),OFFSET(E52,-1,0))</f>
        <v>1</v>
      </c>
      <c r="F52">
        <f t="shared" ca="1" si="5"/>
        <v>4</v>
      </c>
      <c r="G52">
        <f t="shared" ca="1" si="6"/>
        <v>2</v>
      </c>
      <c r="H52">
        <f t="shared" ca="1" si="7"/>
        <v>0</v>
      </c>
      <c r="I52">
        <f t="shared" ca="1" si="8"/>
        <v>0</v>
      </c>
      <c r="J52">
        <f t="shared" ca="1" si="9"/>
        <v>7</v>
      </c>
      <c r="K52">
        <f ca="1">IF(OR($C52="S",$C52=0),0,MATCH(OFFSET($D52,0,$C52)+IF($C52&lt;&gt;1,1,COUNTIF(QCI!$A$13:$A$15,ORÇAMENTO!E52)),OFFSET($D52,1,$C52,ROW($C$508)-ROW($C52)),0))</f>
        <v>5</v>
      </c>
      <c r="L52" s="114" t="str">
        <f t="shared" ca="1" si="10"/>
        <v>F</v>
      </c>
      <c r="M52" s="115" t="s">
        <v>703</v>
      </c>
      <c r="N52" s="116" t="str">
        <f t="shared" ca="1" si="11"/>
        <v>Nível 3</v>
      </c>
      <c r="O52" s="117" t="str">
        <f t="shared" ca="1" si="12"/>
        <v>1.4.2.</v>
      </c>
      <c r="P52" s="118" t="s">
        <v>750</v>
      </c>
      <c r="Q52" s="119"/>
      <c r="R52" s="120" t="s">
        <v>1214</v>
      </c>
      <c r="S52" s="121" t="s">
        <v>688</v>
      </c>
      <c r="T52" s="122">
        <f ca="1">OFFSET(CÁLCULO!H$15,ROW($T52)-ROW(T$15),0)</f>
        <v>0</v>
      </c>
      <c r="U52" s="123">
        <f t="shared" ca="1" si="21"/>
        <v>0</v>
      </c>
      <c r="V52" s="124" t="s">
        <v>663</v>
      </c>
      <c r="W52" s="122">
        <f ca="1">IF($C52="S",ROUND(IF(TIPOORCAMENTO="Proposto",ORÇAMENTO.CustoUnitario*(1+$AH52),ORÇAMENTO.PrecoUnitarioLicitado),15-13*$AF$10),0)</f>
        <v>0</v>
      </c>
      <c r="X52" s="125" cm="1">
        <f t="array" aca="1" ref="X52" ca="1">IF($C52="S",IF(OR(Import.TipoArredondamento&lt;&gt;"TransfereGOV",ACOMPANHAMENTO="BM"),VTOTAL1,SUM(OFFSET(CÁLCULO!$AI$15,ROW($X52)-ROW($X$15),1):OFFSET(CÁLCULO!$BB$15,ROW($X52)-ROW($X$15),-1))),IF($C52=0,0,ROUND(SomaAgrup,15-13*$AF$11)))</f>
        <v>424296.31</v>
      </c>
      <c r="Y52" s="126" t="s">
        <v>751</v>
      </c>
      <c r="Z52" t="str">
        <f t="shared" ca="1" si="13"/>
        <v/>
      </c>
      <c r="AA52" s="127">
        <f ca="1">IF($C52="S",IF($Z52="CP",$X52,IF($Z52="RA",(($X52)*QCI!$AA$3),0)),SomaAgrup)</f>
        <v>0</v>
      </c>
      <c r="AB52" s="128">
        <f t="shared" ca="1" si="14"/>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IF(C52&lt;=CRONO.NivelExibicao,MAX($AD$15:OFFSET(AD52,-1,0))+IF($C52&lt;&gt;1,1,MAX(1,COUNTIF(QCI!$A$13:$A$15,OFFSET($E52,-1,0)))),"")</f>
        <v/>
      </c>
      <c r="AE52" s="7" t="b">
        <f ca="1">IF(AND($C52="S",ORÇAMENTO.CodBarra&lt;&gt;""),IF(ORÇAMENTO.Fonte="",ORÇAMENTO.CodBarra,CONCATENATE(ORÇAMENTO.Fonte," ",ORÇAMENTO.CodBarra)))</f>
        <v>0</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(Sem Código)</v>
      </c>
      <c r="AG52" s="428">
        <f ca="1">ROUND(IF(DESONERACAO="sim",REFERENCIA.Desonerado,REFERENCIA.NaoDesonerado),2)</f>
        <v>0</v>
      </c>
      <c r="AH52" s="429">
        <f t="shared" ca="1" si="15"/>
        <v>0.23499999999999999</v>
      </c>
      <c r="AJ52" s="431"/>
      <c r="AL52" s="439"/>
      <c r="AM52" s="336">
        <f t="shared" ca="1" si="0"/>
        <v>424296.31</v>
      </c>
      <c r="AN52" s="470">
        <f t="shared" ca="1" si="16"/>
        <v>0</v>
      </c>
    </row>
    <row r="53" spans="1:40" ht="51" x14ac:dyDescent="0.2">
      <c r="A53" t="str">
        <f t="shared" si="1"/>
        <v>S</v>
      </c>
      <c r="B53">
        <f t="shared" ca="1" si="2"/>
        <v>3</v>
      </c>
      <c r="C53" t="str">
        <f t="shared" ca="1" si="3"/>
        <v>S</v>
      </c>
      <c r="D53">
        <f t="shared" ca="1" si="4"/>
        <v>0</v>
      </c>
      <c r="E53">
        <f ca="1">IF($C53=1,OFFSET(E53,-1,0)+MAX(1,COUNTIF(QCI!$A$13:$A$15,OFFSET(ORÇAMENTO!E53,-1,0))),OFFSET(E53,-1,0))</f>
        <v>1</v>
      </c>
      <c r="F53">
        <f t="shared" ca="1" si="5"/>
        <v>4</v>
      </c>
      <c r="G53">
        <f t="shared" ca="1" si="6"/>
        <v>2</v>
      </c>
      <c r="H53">
        <f t="shared" ca="1" si="7"/>
        <v>0</v>
      </c>
      <c r="I53">
        <f t="shared" ca="1" si="8"/>
        <v>1</v>
      </c>
      <c r="J53">
        <f t="shared" ca="1" si="9"/>
        <v>0</v>
      </c>
      <c r="K53">
        <f ca="1">IF(OR($C53="S",$C53=0),0,MATCH(OFFSET($D53,0,$C53)+IF($C53&lt;&gt;1,1,COUNTIF(QCI!$A$13:$A$15,ORÇAMENTO!E53)),OFFSET($D53,1,$C53,ROW($C$508)-ROW($C53)),0))</f>
        <v>0</v>
      </c>
      <c r="L53" s="114" t="str">
        <f t="shared" ca="1" si="10"/>
        <v>F</v>
      </c>
      <c r="M53" s="115" t="s">
        <v>705</v>
      </c>
      <c r="N53" s="116" t="str">
        <f t="shared" ca="1" si="11"/>
        <v>Serviço</v>
      </c>
      <c r="O53" s="117" t="str">
        <f t="shared" ca="1" si="12"/>
        <v>1.4.2.0.1.</v>
      </c>
      <c r="P53" s="118" t="s">
        <v>750</v>
      </c>
      <c r="Q53" s="119" t="s">
        <v>1020</v>
      </c>
      <c r="R53" s="120" t="str">
        <f ca="1">IF($C53="S",REFERENCIA.Descricao,"(digite a descrição aqui)")</f>
        <v>CARGA, MANOBRA E DESCARGA DE SOLOS E MATERIAIS GRANULARES EM CAMINHÃO BASCULANTE 18 M³ - CARGA COM ESCAVADEIRA HIDRÁULICA (CAÇAMBA DE 1,20 M³ / 155 HP) E DESCARGA LIVRE (UNIDADE: M3). AF_07/2020</v>
      </c>
      <c r="S53" s="121" t="str">
        <f ca="1">REFERENCIA.Unidade</f>
        <v>M3</v>
      </c>
      <c r="T53" s="122">
        <f ca="1">OFFSET(CÁLCULO!H$15,ROW($T53)-ROW(T$15),0)</f>
        <v>3086.27</v>
      </c>
      <c r="U53" s="123">
        <f t="shared" ca="1" si="21"/>
        <v>6.52</v>
      </c>
      <c r="V53" s="124" t="s">
        <v>663</v>
      </c>
      <c r="W53" s="122">
        <f ca="1">IF($C53="S",ROUND(IF(TIPOORCAMENTO="Proposto",ORÇAMENTO.CustoUnitario*(1+$AH53),ORÇAMENTO.PrecoUnitarioLicitado),15-13*$AF$10),0)</f>
        <v>8.0500000000000007</v>
      </c>
      <c r="X53" s="125" cm="1">
        <f t="array" aca="1" ref="X53" ca="1">IF($C53="S",IF(OR(Import.TipoArredondamento&lt;&gt;"TransfereGOV",ACOMPANHAMENTO="BM"),VTOTAL1,SUM(OFFSET(CÁLCULO!$AI$15,ROW($X53)-ROW($X$15),1):OFFSET(CÁLCULO!$BB$15,ROW($X53)-ROW($X$15),-1))),IF($C53=0,0,ROUND(SomaAgrup,15-13*$AF$11)))</f>
        <v>24844.47</v>
      </c>
      <c r="Y53" s="126" t="s">
        <v>751</v>
      </c>
      <c r="Z53" t="str">
        <f t="shared" ca="1" si="13"/>
        <v>RA</v>
      </c>
      <c r="AA53" s="127">
        <f ca="1">IF($C53="S",IF($Z53="CP",$X53,IF($Z53="RA",(($X53)*QCI!$AA$3),0)),SomaAgrup)</f>
        <v>0</v>
      </c>
      <c r="AB53" s="128">
        <f t="shared" ca="1" si="14"/>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IF(C53&lt;=CRONO.NivelExibicao,MAX($AD$15:OFFSET(AD53,-1,0))+IF($C53&lt;&gt;1,1,MAX(1,COUNTIF(QCI!$A$13:$A$15,OFFSET($E53,-1,0)))),"")</f>
        <v/>
      </c>
      <c r="AE53" s="7" t="str">
        <f ca="1">IF(AND($C53="S",ORÇAMENTO.CodBarra&lt;&gt;""),IF(ORÇAMENTO.Fonte="",ORÇAMENTO.CodBarra,CONCATENATE(ORÇAMENTO.Fonte," ",ORÇAMENTO.CodBarra)))</f>
        <v>SINAPI 100980</v>
      </c>
      <c r="AF53" s="12">
        <f ca="1">IF(ISERROR(INDIRECT(ORÇAMENTO.BancoRef)),"(abra o arquivo 'Referência "&amp;Excel_BuiltIn_Database&amp;".xlsm)",IF(OR($C53&lt;&gt;"S",ORÇAMENTO.CodBarra=""),"(Sem Código)",IF(ISERROR(MATCH($AE53,INDIRECT(ORÇAMENTO.BancoRef),0)),"(Código não identificado nas referências)",MATCH($AE53,INDIRECT(ORÇAMENTO.BancoRef),0))))</f>
        <v>15290</v>
      </c>
      <c r="AG53" s="428">
        <f ca="1">ROUND(IF(DESONERACAO="sim",REFERENCIA.Desonerado,REFERENCIA.NaoDesonerado),2)</f>
        <v>6.52</v>
      </c>
      <c r="AH53" s="429">
        <f t="shared" ca="1" si="15"/>
        <v>0.23499999999999999</v>
      </c>
      <c r="AJ53" s="431">
        <f>ROUND(AJ50*1.3-AJ51/0.9,2)</f>
        <v>3086.27</v>
      </c>
      <c r="AL53" s="439"/>
      <c r="AM53" s="336">
        <f t="shared" ca="1" si="0"/>
        <v>24844.47</v>
      </c>
      <c r="AN53" s="470">
        <f t="shared" ca="1" si="16"/>
        <v>8.0500000000000007</v>
      </c>
    </row>
    <row r="54" spans="1:40" ht="38.25" x14ac:dyDescent="0.2">
      <c r="A54" t="str">
        <f t="shared" si="1"/>
        <v>S</v>
      </c>
      <c r="B54">
        <f t="shared" ca="1" si="2"/>
        <v>3</v>
      </c>
      <c r="C54" t="str">
        <f t="shared" ca="1" si="3"/>
        <v>S</v>
      </c>
      <c r="D54">
        <f t="shared" ca="1" si="4"/>
        <v>0</v>
      </c>
      <c r="E54">
        <f ca="1">IF($C54=1,OFFSET(E54,-1,0)+MAX(1,COUNTIF(QCI!$A$13:$A$15,OFFSET(ORÇAMENTO!E54,-1,0))),OFFSET(E54,-1,0))</f>
        <v>1</v>
      </c>
      <c r="F54">
        <f t="shared" ca="1" si="5"/>
        <v>4</v>
      </c>
      <c r="G54">
        <f t="shared" ca="1" si="6"/>
        <v>2</v>
      </c>
      <c r="H54">
        <f t="shared" ca="1" si="7"/>
        <v>0</v>
      </c>
      <c r="I54">
        <f t="shared" ca="1" si="8"/>
        <v>2</v>
      </c>
      <c r="J54">
        <f t="shared" ca="1" si="9"/>
        <v>0</v>
      </c>
      <c r="K54">
        <f ca="1">IF(OR($C54="S",$C54=0),0,MATCH(OFFSET($D54,0,$C54)+IF($C54&lt;&gt;1,1,COUNTIF(QCI!$A$13:$A$15,ORÇAMENTO!E54)),OFFSET($D54,1,$C54,ROW($C$508)-ROW($C54)),0))</f>
        <v>0</v>
      </c>
      <c r="L54" s="114" t="str">
        <f t="shared" ca="1" si="10"/>
        <v>F</v>
      </c>
      <c r="M54" s="115" t="s">
        <v>705</v>
      </c>
      <c r="N54" s="116" t="str">
        <f t="shared" ca="1" si="11"/>
        <v>Serviço</v>
      </c>
      <c r="O54" s="117" t="str">
        <f t="shared" ca="1" si="12"/>
        <v>1.4.2.0.2.</v>
      </c>
      <c r="P54" s="118" t="s">
        <v>750</v>
      </c>
      <c r="Q54" s="119" t="s">
        <v>1021</v>
      </c>
      <c r="R54" s="120" t="str">
        <f ca="1">IF($C54="S",REFERENCIA.Descricao,"(digite a descrição aqui)")</f>
        <v>TRANSPORTE COM CAMINHÃO BASCULANTE DE 18 M³, EM VIA URBANA PAVIMENTADA, DMT ATÉ 30 KM (UNIDADE: M3XKM). AF_07/2020</v>
      </c>
      <c r="S54" s="121" t="str">
        <f ca="1">REFERENCIA.Unidade</f>
        <v>M3XKM</v>
      </c>
      <c r="T54" s="122">
        <f ca="1">OFFSET(CÁLCULO!H$15,ROW($T54)-ROW(T$15),0)</f>
        <v>23764.28</v>
      </c>
      <c r="U54" s="123">
        <f t="shared" ca="1" si="21"/>
        <v>1.9</v>
      </c>
      <c r="V54" s="124" t="s">
        <v>663</v>
      </c>
      <c r="W54" s="122">
        <f ca="1">IF($C54="S",ROUND(IF(TIPOORCAMENTO="Proposto",ORÇAMENTO.CustoUnitario*(1+$AH54),ORÇAMENTO.PrecoUnitarioLicitado),15-13*$AF$10),0)</f>
        <v>2.35</v>
      </c>
      <c r="X54" s="125" cm="1">
        <f t="array" aca="1" ref="X54" ca="1">IF($C54="S",IF(OR(Import.TipoArredondamento&lt;&gt;"TransfereGOV",ACOMPANHAMENTO="BM"),VTOTAL1,SUM(OFFSET(CÁLCULO!$AI$15,ROW($X54)-ROW($X$15),1):OFFSET(CÁLCULO!$BB$15,ROW($X54)-ROW($X$15),-1))),IF($C54=0,0,ROUND(SomaAgrup,15-13*$AF$11)))</f>
        <v>55846.06</v>
      </c>
      <c r="Y54" s="126" t="s">
        <v>751</v>
      </c>
      <c r="Z54" t="str">
        <f t="shared" ca="1" si="13"/>
        <v>RA</v>
      </c>
      <c r="AA54" s="127">
        <f ca="1">IF($C54="S",IF($Z54="CP",$X54,IF($Z54="RA",(($X54)*QCI!$AA$3),0)),SomaAgrup)</f>
        <v>0</v>
      </c>
      <c r="AB54" s="128">
        <f t="shared" ca="1" si="14"/>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IF(C54&lt;=CRONO.NivelExibicao,MAX($AD$15:OFFSET(AD54,-1,0))+IF($C54&lt;&gt;1,1,MAX(1,COUNTIF(QCI!$A$13:$A$15,OFFSET($E54,-1,0)))),"")</f>
        <v/>
      </c>
      <c r="AE54" s="7" t="str">
        <f ca="1">IF(AND($C54="S",ORÇAMENTO.CodBarra&lt;&gt;""),IF(ORÇAMENTO.Fonte="",ORÇAMENTO.CodBarra,CONCATENATE(ORÇAMENTO.Fonte," ",ORÇAMENTO.CodBarra)))</f>
        <v>SINAPI 95877</v>
      </c>
      <c r="AF54" s="12">
        <f ca="1">IF(ISERROR(INDIRECT(ORÇAMENTO.BancoRef)),"(abra o arquivo 'Referência "&amp;Excel_BuiltIn_Database&amp;".xlsm)",IF(OR($C54&lt;&gt;"S",ORÇAMENTO.CodBarra=""),"(Sem Código)",IF(ISERROR(MATCH($AE54,INDIRECT(ORÇAMENTO.BancoRef),0)),"(Código não identificado nas referências)",MATCH($AE54,INDIRECT(ORÇAMENTO.BancoRef),0))))</f>
        <v>15362</v>
      </c>
      <c r="AG54" s="428">
        <f ca="1">ROUND(IF(DESONERACAO="sim",REFERENCIA.Desonerado,REFERENCIA.NaoDesonerado),2)</f>
        <v>1.9</v>
      </c>
      <c r="AH54" s="429">
        <f t="shared" ca="1" si="15"/>
        <v>0.23499999999999999</v>
      </c>
      <c r="AJ54" s="431">
        <f>ROUND(AJ53*7.7,2)</f>
        <v>23764.28</v>
      </c>
      <c r="AL54" s="439"/>
      <c r="AM54" s="336">
        <f t="shared" ca="1" si="0"/>
        <v>55846.06</v>
      </c>
      <c r="AN54" s="470">
        <f t="shared" ca="1" si="16"/>
        <v>2.35</v>
      </c>
    </row>
    <row r="55" spans="1:40" x14ac:dyDescent="0.2">
      <c r="A55" t="str">
        <f t="shared" si="1"/>
        <v>S</v>
      </c>
      <c r="B55">
        <f t="shared" ca="1" si="2"/>
        <v>3</v>
      </c>
      <c r="C55" t="str">
        <f t="shared" ca="1" si="3"/>
        <v>S</v>
      </c>
      <c r="D55">
        <f t="shared" ca="1" si="4"/>
        <v>0</v>
      </c>
      <c r="E55">
        <f ca="1">IF($C55=1,OFFSET(E55,-1,0)+MAX(1,COUNTIF(QCI!$A$13:$A$15,OFFSET(ORÇAMENTO!E55,-1,0))),OFFSET(E55,-1,0))</f>
        <v>1</v>
      </c>
      <c r="F55">
        <f t="shared" ca="1" si="5"/>
        <v>4</v>
      </c>
      <c r="G55">
        <f t="shared" ca="1" si="6"/>
        <v>2</v>
      </c>
      <c r="H55">
        <f t="shared" ca="1" si="7"/>
        <v>0</v>
      </c>
      <c r="I55">
        <f t="shared" ca="1" si="8"/>
        <v>3</v>
      </c>
      <c r="J55">
        <f t="shared" ca="1" si="9"/>
        <v>0</v>
      </c>
      <c r="K55">
        <f ca="1">IF(OR($C55="S",$C55=0),0,MATCH(OFFSET($D55,0,$C55)+IF($C55&lt;&gt;1,1,COUNTIF(QCI!$A$13:$A$15,ORÇAMENTO!E55)),OFFSET($D55,1,$C55,ROW($C$508)-ROW($C55)),0))</f>
        <v>0</v>
      </c>
      <c r="L55" s="114" t="str">
        <f t="shared" ca="1" si="10"/>
        <v>F</v>
      </c>
      <c r="M55" s="115" t="s">
        <v>705</v>
      </c>
      <c r="N55" s="116" t="str">
        <f t="shared" ca="1" si="11"/>
        <v>Serviço</v>
      </c>
      <c r="O55" s="117" t="str">
        <f t="shared" ca="1" si="12"/>
        <v>1.4.2.0.3.</v>
      </c>
      <c r="P55" s="118" t="s">
        <v>958</v>
      </c>
      <c r="Q55" s="119" t="s">
        <v>1013</v>
      </c>
      <c r="R55" s="120" t="str">
        <f ca="1">IF($C55="S",REFERENCIA.Descricao,"(digite a descrição aqui)")</f>
        <v>TAXA ATERRO SANITÁRIO</v>
      </c>
      <c r="S55" s="121" t="str">
        <f ca="1">REFERENCIA.Unidade</f>
        <v>T</v>
      </c>
      <c r="T55" s="122">
        <f ca="1">OFFSET(CÁLCULO!H$15,ROW($T55)-ROW(T$15),0)</f>
        <v>4197.33</v>
      </c>
      <c r="U55" s="123">
        <f ca="1">AG55</f>
        <v>65.19</v>
      </c>
      <c r="V55" s="124" t="s">
        <v>663</v>
      </c>
      <c r="W55" s="122">
        <f ca="1">IF($C55="S",ROUND(IF(TIPOORCAMENTO="Proposto",ORÇAMENTO.CustoUnitario*(1+$AH55),ORÇAMENTO.PrecoUnitarioLicitado),15-13*$AF$10),0)</f>
        <v>80.510000000000005</v>
      </c>
      <c r="X55" s="125" cm="1">
        <f t="array" aca="1" ref="X55" ca="1">IF($C55="S",IF(OR(Import.TipoArredondamento&lt;&gt;"TransfereGOV",ACOMPANHAMENTO="BM"),VTOTAL1,SUM(OFFSET(CÁLCULO!$AI$15,ROW($X55)-ROW($X$15),1):OFFSET(CÁLCULO!$BB$15,ROW($X55)-ROW($X$15),-1))),IF($C55=0,0,ROUND(SomaAgrup,15-13*$AF$11)))</f>
        <v>337927.04</v>
      </c>
      <c r="Y55" s="126" t="s">
        <v>751</v>
      </c>
      <c r="Z55" t="str">
        <f t="shared" ca="1" si="13"/>
        <v>RA</v>
      </c>
      <c r="AA55" s="127">
        <f ca="1">IF($C55="S",IF($Z55="CP",$X55,IF($Z55="RA",(($X55)*QCI!$AA$3),0)),SomaAgrup)</f>
        <v>0</v>
      </c>
      <c r="AB55" s="128">
        <f t="shared" ca="1" si="14"/>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IF(C55&lt;=CRONO.NivelExibicao,MAX($AD$15:OFFSET(AD55,-1,0))+IF($C55&lt;&gt;1,1,MAX(1,COUNTIF(QCI!$A$13:$A$15,OFFSET($E55,-1,0)))),"")</f>
        <v/>
      </c>
      <c r="AE55" s="7" t="str">
        <f ca="1">IF(AND($C55="S",ORÇAMENTO.CodBarra&lt;&gt;""),IF(ORÇAMENTO.Fonte="",ORÇAMENTO.CodBarra,CONCATENATE(ORÇAMENTO.Fonte," ",ORÇAMENTO.CodBarra)))</f>
        <v>Cotação COT-072</v>
      </c>
      <c r="AF55" s="12">
        <f ca="1">IF(ISERROR(INDIRECT(ORÇAMENTO.BancoRef)),"(abra o arquivo 'Referência "&amp;Excel_BuiltIn_Database&amp;".xlsm)",IF(OR($C55&lt;&gt;"S",ORÇAMENTO.CodBarra=""),"(Sem Código)",IF(ISERROR(MATCH($AE55,INDIRECT(ORÇAMENTO.BancoRef),0)),"(Código não identificado nas referências)",MATCH($AE55,INDIRECT(ORÇAMENTO.BancoRef),0))))</f>
        <v>138</v>
      </c>
      <c r="AG55" s="428">
        <f ca="1">ROUND(IF(DESONERACAO="sim",REFERENCIA.Desonerado,REFERENCIA.NaoDesonerado),2)</f>
        <v>65.19</v>
      </c>
      <c r="AH55" s="429">
        <f t="shared" ca="1" si="15"/>
        <v>0.23499999999999999</v>
      </c>
      <c r="AJ55" s="431">
        <f>ROUND(AJ53*1.36,2)</f>
        <v>4197.33</v>
      </c>
      <c r="AL55" s="439"/>
      <c r="AM55" s="336">
        <f t="shared" ca="1" si="0"/>
        <v>337927.04</v>
      </c>
      <c r="AN55" s="470">
        <f t="shared" ca="1" si="16"/>
        <v>80.510000000000005</v>
      </c>
    </row>
    <row r="56" spans="1:40" ht="25.5" x14ac:dyDescent="0.2">
      <c r="A56" t="str">
        <f t="shared" si="1"/>
        <v>S</v>
      </c>
      <c r="B56">
        <f t="shared" ca="1" si="2"/>
        <v>3</v>
      </c>
      <c r="C56" t="str">
        <f t="shared" ca="1" si="3"/>
        <v>S</v>
      </c>
      <c r="D56">
        <f t="shared" ca="1" si="4"/>
        <v>0</v>
      </c>
      <c r="E56">
        <f ca="1">IF($C56=1,OFFSET(E56,-1,0)+MAX(1,COUNTIF(QCI!$A$13:$A$15,OFFSET(ORÇAMENTO!E56,-1,0))),OFFSET(E56,-1,0))</f>
        <v>1</v>
      </c>
      <c r="F56">
        <f t="shared" ca="1" si="5"/>
        <v>4</v>
      </c>
      <c r="G56">
        <f t="shared" ca="1" si="6"/>
        <v>2</v>
      </c>
      <c r="H56">
        <f t="shared" ca="1" si="7"/>
        <v>0</v>
      </c>
      <c r="I56">
        <f t="shared" ca="1" si="8"/>
        <v>4</v>
      </c>
      <c r="J56">
        <f t="shared" ca="1" si="9"/>
        <v>0</v>
      </c>
      <c r="K56">
        <f ca="1">IF(OR($C56="S",$C56=0),0,MATCH(OFFSET($D56,0,$C56)+IF($C56&lt;&gt;1,1,COUNTIF(QCI!$A$13:$A$15,ORÇAMENTO!E56)),OFFSET($D56,1,$C56,ROW($C$508)-ROW($C56)),0))</f>
        <v>0</v>
      </c>
      <c r="L56" s="114" t="str">
        <f t="shared" ca="1" si="10"/>
        <v>F</v>
      </c>
      <c r="M56" s="115" t="s">
        <v>705</v>
      </c>
      <c r="N56" s="116" t="str">
        <f t="shared" ca="1" si="11"/>
        <v>Serviço</v>
      </c>
      <c r="O56" s="117" t="str">
        <f t="shared" ca="1" si="12"/>
        <v>1.4.2.0.4.</v>
      </c>
      <c r="P56" s="118" t="s">
        <v>750</v>
      </c>
      <c r="Q56" s="119" t="s">
        <v>1014</v>
      </c>
      <c r="R56" s="120" t="str">
        <f ca="1">IF($C56="S",REFERENCIA.Descricao,"(digite a descrição aqui)")</f>
        <v>ESPALHAMENTO DE MATERIAL COM TRATOR DE ESTEIRAS. AF_09/2024</v>
      </c>
      <c r="S56" s="121" t="str">
        <f ca="1">REFERENCIA.Unidade</f>
        <v>M3</v>
      </c>
      <c r="T56" s="122">
        <f ca="1">OFFSET(CÁLCULO!H$15,ROW($T56)-ROW(T$15),0)</f>
        <v>3086.27</v>
      </c>
      <c r="U56" s="123">
        <f t="shared" ca="1" si="21"/>
        <v>1.49</v>
      </c>
      <c r="V56" s="124" t="s">
        <v>663</v>
      </c>
      <c r="W56" s="122">
        <f ca="1">IF($C56="S",ROUND(IF(TIPOORCAMENTO="Proposto",ORÇAMENTO.CustoUnitario*(1+$AH56),ORÇAMENTO.PrecoUnitarioLicitado),15-13*$AF$10),0)</f>
        <v>1.84</v>
      </c>
      <c r="X56" s="125" cm="1">
        <f t="array" aca="1" ref="X56" ca="1">IF($C56="S",IF(OR(Import.TipoArredondamento&lt;&gt;"TransfereGOV",ACOMPANHAMENTO="BM"),VTOTAL1,SUM(OFFSET(CÁLCULO!$AI$15,ROW($X56)-ROW($X$15),1):OFFSET(CÁLCULO!$BB$15,ROW($X56)-ROW($X$15),-1))),IF($C56=0,0,ROUND(SomaAgrup,15-13*$AF$11)))</f>
        <v>5678.74</v>
      </c>
      <c r="Y56" s="126" t="s">
        <v>751</v>
      </c>
      <c r="Z56" t="str">
        <f t="shared" ca="1" si="13"/>
        <v>RA</v>
      </c>
      <c r="AA56" s="127">
        <f ca="1">IF($C56="S",IF($Z56="CP",$X56,IF($Z56="RA",(($X56)*QCI!$AA$3),0)),SomaAgrup)</f>
        <v>0</v>
      </c>
      <c r="AB56" s="128">
        <f t="shared" ca="1" si="14"/>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IF(C56&lt;=CRONO.NivelExibicao,MAX($AD$15:OFFSET(AD56,-1,0))+IF($C56&lt;&gt;1,1,MAX(1,COUNTIF(QCI!$A$13:$A$15,OFFSET($E56,-1,0)))),"")</f>
        <v/>
      </c>
      <c r="AE56" s="7" t="str">
        <f ca="1">IF(AND($C56="S",ORÇAMENTO.CodBarra&lt;&gt;""),IF(ORÇAMENTO.Fonte="",ORÇAMENTO.CodBarra,CONCATENATE(ORÇAMENTO.Fonte," ",ORÇAMENTO.CodBarra)))</f>
        <v>SINAPI 100574</v>
      </c>
      <c r="AF56" s="12">
        <f ca="1">IF(ISERROR(INDIRECT(ORÇAMENTO.BancoRef)),"(abra o arquivo 'Referência "&amp;Excel_BuiltIn_Database&amp;".xlsm)",IF(OR($C56&lt;&gt;"S",ORÇAMENTO.CodBarra=""),"(Sem Código)",IF(ISERROR(MATCH($AE56,INDIRECT(ORÇAMENTO.BancoRef),0)),"(Código não identificado nas referências)",MATCH($AE56,INDIRECT(ORÇAMENTO.BancoRef),0))))</f>
        <v>6916</v>
      </c>
      <c r="AG56" s="428">
        <f ca="1">ROUND(IF(DESONERACAO="sim",REFERENCIA.Desonerado,REFERENCIA.NaoDesonerado),2)</f>
        <v>1.49</v>
      </c>
      <c r="AH56" s="429">
        <f t="shared" ca="1" si="15"/>
        <v>0.23499999999999999</v>
      </c>
      <c r="AJ56" s="431">
        <f>AJ53</f>
        <v>3086.27</v>
      </c>
      <c r="AL56" s="439"/>
      <c r="AM56" s="336">
        <f t="shared" ca="1" si="0"/>
        <v>5678.74</v>
      </c>
      <c r="AN56" s="470">
        <f t="shared" ca="1" si="16"/>
        <v>1.84</v>
      </c>
    </row>
    <row r="57" spans="1:40" x14ac:dyDescent="0.2">
      <c r="A57">
        <f t="shared" si="1"/>
        <v>3</v>
      </c>
      <c r="B57">
        <f t="shared" ca="1" si="2"/>
        <v>3</v>
      </c>
      <c r="C57">
        <f t="shared" ca="1" si="3"/>
        <v>3</v>
      </c>
      <c r="D57">
        <f t="shared" ca="1" si="4"/>
        <v>2</v>
      </c>
      <c r="E57">
        <f ca="1">IF($C57=1,OFFSET(E57,-1,0)+MAX(1,COUNTIF(QCI!$A$13:$A$15,OFFSET(ORÇAMENTO!E57,-1,0))),OFFSET(E57,-1,0))</f>
        <v>1</v>
      </c>
      <c r="F57">
        <f t="shared" ca="1" si="5"/>
        <v>4</v>
      </c>
      <c r="G57">
        <f t="shared" ca="1" si="6"/>
        <v>3</v>
      </c>
      <c r="H57">
        <f t="shared" ca="1" si="7"/>
        <v>0</v>
      </c>
      <c r="I57">
        <f t="shared" ca="1" si="8"/>
        <v>0</v>
      </c>
      <c r="J57">
        <f t="shared" ca="1" si="9"/>
        <v>2</v>
      </c>
      <c r="K57">
        <f ca="1">IF(OR($C57="S",$C57=0),0,MATCH(OFFSET($D57,0,$C57)+IF($C57&lt;&gt;1,1,COUNTIF(QCI!$A$13:$A$15,ORÇAMENTO!E57)),OFFSET($D57,1,$C57,ROW($C$508)-ROW($C57)),0))</f>
        <v>83</v>
      </c>
      <c r="L57" s="114" t="str">
        <f t="shared" ca="1" si="10"/>
        <v>F</v>
      </c>
      <c r="M57" s="115" t="s">
        <v>703</v>
      </c>
      <c r="N57" s="116" t="str">
        <f t="shared" ca="1" si="11"/>
        <v>Nível 3</v>
      </c>
      <c r="O57" s="117" t="str">
        <f t="shared" ca="1" si="12"/>
        <v>1.4.3.</v>
      </c>
      <c r="P57" s="118" t="s">
        <v>750</v>
      </c>
      <c r="Q57" s="119"/>
      <c r="R57" s="120" t="s">
        <v>1215</v>
      </c>
      <c r="S57" s="121" t="s">
        <v>688</v>
      </c>
      <c r="T57" s="122">
        <f ca="1">OFFSET(CÁLCULO!H$15,ROW($T57)-ROW(T$15),0)</f>
        <v>0</v>
      </c>
      <c r="U57" s="123">
        <f t="shared" ca="1" si="21"/>
        <v>0</v>
      </c>
      <c r="V57" s="124" t="s">
        <v>663</v>
      </c>
      <c r="W57" s="122">
        <f ca="1">IF($C57="S",ROUND(IF(TIPOORCAMENTO="Proposto",ORÇAMENTO.CustoUnitario*(1+$AH57),ORÇAMENTO.PrecoUnitarioLicitado),15-13*$AF$10),0)</f>
        <v>0</v>
      </c>
      <c r="X57" s="125" cm="1">
        <f t="array" aca="1" ref="X57" ca="1">IF($C57="S",IF(OR(Import.TipoArredondamento&lt;&gt;"TransfereGOV",ACOMPANHAMENTO="BM"),VTOTAL1,SUM(OFFSET(CÁLCULO!$AI$15,ROW($X57)-ROW($X$15),1):OFFSET(CÁLCULO!$BB$15,ROW($X57)-ROW($X$15),-1))),IF($C57=0,0,ROUND(SomaAgrup,15-13*$AF$11)))</f>
        <v>681.27</v>
      </c>
      <c r="Y57" s="126" t="s">
        <v>751</v>
      </c>
      <c r="Z57" t="str">
        <f t="shared" ca="1" si="13"/>
        <v/>
      </c>
      <c r="AA57" s="127">
        <f ca="1">IF($C57="S",IF($Z57="CP",$X57,IF($Z57="RA",(($X57)*QCI!$AA$3),0)),SomaAgrup)</f>
        <v>0</v>
      </c>
      <c r="AB57" s="128">
        <f t="shared" ca="1" si="14"/>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IF(C57&lt;=CRONO.NivelExibicao,MAX($AD$15:OFFSET(AD57,-1,0))+IF($C57&lt;&gt;1,1,MAX(1,COUNTIF(QCI!$A$13:$A$15,OFFSET($E57,-1,0)))),"")</f>
        <v/>
      </c>
      <c r="AE57" s="7" t="b">
        <f ca="1">IF(AND($C57="S",ORÇAMENTO.CodBarra&lt;&gt;""),IF(ORÇAMENTO.Fonte="",ORÇAMENTO.CodBarra,CONCATENATE(ORÇAMENTO.Fonte," ",ORÇAMENTO.CodBarra)))</f>
        <v>0</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(Sem Código)</v>
      </c>
      <c r="AG57" s="428">
        <f ca="1">ROUND(IF(DESONERACAO="sim",REFERENCIA.Desonerado,REFERENCIA.NaoDesonerado),2)</f>
        <v>0</v>
      </c>
      <c r="AH57" s="429">
        <f t="shared" ca="1" si="15"/>
        <v>0.23499999999999999</v>
      </c>
      <c r="AJ57" s="431"/>
      <c r="AL57" s="439"/>
      <c r="AM57" s="336">
        <f t="shared" ca="1" si="0"/>
        <v>681.27</v>
      </c>
      <c r="AN57" s="470">
        <f t="shared" ca="1" si="16"/>
        <v>0</v>
      </c>
    </row>
    <row r="58" spans="1:40" x14ac:dyDescent="0.2">
      <c r="A58" t="str">
        <f t="shared" si="1"/>
        <v>S</v>
      </c>
      <c r="B58">
        <f t="shared" ca="1" si="2"/>
        <v>3</v>
      </c>
      <c r="C58" t="str">
        <f t="shared" ca="1" si="3"/>
        <v>S</v>
      </c>
      <c r="D58">
        <f t="shared" ca="1" si="4"/>
        <v>0</v>
      </c>
      <c r="E58">
        <f ca="1">IF($C58=1,OFFSET(E58,-1,0)+MAX(1,COUNTIF(QCI!$A$13:$A$15,OFFSET(ORÇAMENTO!E58,-1,0))),OFFSET(E58,-1,0))</f>
        <v>1</v>
      </c>
      <c r="F58">
        <f t="shared" ca="1" si="5"/>
        <v>4</v>
      </c>
      <c r="G58">
        <f t="shared" ca="1" si="6"/>
        <v>3</v>
      </c>
      <c r="H58">
        <f t="shared" ca="1" si="7"/>
        <v>0</v>
      </c>
      <c r="I58">
        <f t="shared" ca="1" si="8"/>
        <v>1</v>
      </c>
      <c r="J58">
        <f t="shared" ca="1" si="9"/>
        <v>0</v>
      </c>
      <c r="K58">
        <f ca="1">IF(OR($C58="S",$C58=0),0,MATCH(OFFSET($D58,0,$C58)+IF($C58&lt;&gt;1,1,COUNTIF(QCI!$A$13:$A$15,ORÇAMENTO!E58)),OFFSET($D58,1,$C58,ROW($C$508)-ROW($C58)),0))</f>
        <v>0</v>
      </c>
      <c r="L58" s="114" t="str">
        <f t="shared" ca="1" si="10"/>
        <v>F</v>
      </c>
      <c r="M58" s="115" t="s">
        <v>705</v>
      </c>
      <c r="N58" s="116" t="str">
        <f t="shared" ca="1" si="11"/>
        <v>Serviço</v>
      </c>
      <c r="O58" s="117" t="str">
        <f t="shared" ca="1" si="12"/>
        <v>1.4.3.0.1.</v>
      </c>
      <c r="P58" s="118" t="s">
        <v>956</v>
      </c>
      <c r="Q58" s="119" t="s">
        <v>1379</v>
      </c>
      <c r="R58" s="120" t="str">
        <f ca="1">IF($C58="S",REFERENCIA.Descricao,"(digite a descrição aqui)")</f>
        <v>HIDROSSEMEADURA</v>
      </c>
      <c r="S58" s="121" t="str">
        <f ca="1">REFERENCIA.Unidade</f>
        <v>M2</v>
      </c>
      <c r="T58" s="122">
        <f ca="1">OFFSET(CÁLCULO!H$15,ROW($T58)-ROW(T$15),0)</f>
        <v>82.18</v>
      </c>
      <c r="U58" s="123">
        <f t="shared" ca="1" si="21"/>
        <v>6.71</v>
      </c>
      <c r="V58" s="124" t="s">
        <v>663</v>
      </c>
      <c r="W58" s="122">
        <f ca="1">IF($C58="S",ROUND(IF(TIPOORCAMENTO="Proposto",ORÇAMENTO.CustoUnitario*(1+$AH58),ORÇAMENTO.PrecoUnitarioLicitado),15-13*$AF$10),0)</f>
        <v>8.2899999999999991</v>
      </c>
      <c r="X58" s="125" cm="1">
        <f t="array" aca="1" ref="X58" ca="1">IF($C58="S",IF(OR(Import.TipoArredondamento&lt;&gt;"TransfereGOV",ACOMPANHAMENTO="BM"),VTOTAL1,SUM(OFFSET(CÁLCULO!$AI$15,ROW($X58)-ROW($X$15),1):OFFSET(CÁLCULO!$BB$15,ROW($X58)-ROW($X$15),-1))),IF($C58=0,0,ROUND(SomaAgrup,15-13*$AF$11)))</f>
        <v>681.27</v>
      </c>
      <c r="Y58" s="126" t="s">
        <v>751</v>
      </c>
      <c r="Z58" t="str">
        <f t="shared" ca="1" si="13"/>
        <v>RA</v>
      </c>
      <c r="AA58" s="127">
        <f ca="1">IF($C58="S",IF($Z58="CP",$X58,IF($Z58="RA",(($X58)*QCI!$AA$3),0)),SomaAgrup)</f>
        <v>0</v>
      </c>
      <c r="AB58" s="128">
        <f t="shared" ca="1" si="14"/>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IF(C58&lt;=CRONO.NivelExibicao,MAX($AD$15:OFFSET(AD58,-1,0))+IF($C58&lt;&gt;1,1,MAX(1,COUNTIF(QCI!$A$13:$A$15,OFFSET($E58,-1,0)))),"")</f>
        <v/>
      </c>
      <c r="AE58" s="7" t="str">
        <f ca="1">IF(AND($C58="S",ORÇAMENTO.CodBarra&lt;&gt;""),IF(ORÇAMENTO.Fonte="",ORÇAMENTO.CodBarra,CONCATENATE(ORÇAMENTO.Fonte," ",ORÇAMENTO.CodBarra)))</f>
        <v>SICRO 4413905</v>
      </c>
      <c r="AF58" s="12">
        <f ca="1">IF(ISERROR(INDIRECT(ORÇAMENTO.BancoRef)),"(abra o arquivo 'Referência "&amp;Excel_BuiltIn_Database&amp;".xlsm)",IF(OR($C58&lt;&gt;"S",ORÇAMENTO.CodBarra=""),"(Sem Código)",IF(ISERROR(MATCH($AE58,INDIRECT(ORÇAMENTO.BancoRef),0)),"(Código não identificado nas referências)",MATCH($AE58,INDIRECT(ORÇAMENTO.BancoRef),0))))</f>
        <v>20425</v>
      </c>
      <c r="AG58" s="428">
        <f ca="1">ROUND(IF(DESONERACAO="sim",REFERENCIA.Desonerado,REFERENCIA.NaoDesonerado),2)</f>
        <v>6.71</v>
      </c>
      <c r="AH58" s="429">
        <f t="shared" ca="1" si="15"/>
        <v>0.23499999999999999</v>
      </c>
      <c r="AJ58" s="431">
        <v>82.18</v>
      </c>
      <c r="AL58" s="439"/>
      <c r="AM58" s="336">
        <f t="shared" ca="1" si="0"/>
        <v>681.27</v>
      </c>
      <c r="AN58" s="470">
        <f t="shared" ca="1" si="16"/>
        <v>8.2899999999999991</v>
      </c>
    </row>
    <row r="59" spans="1:40" x14ac:dyDescent="0.2">
      <c r="A59">
        <f t="shared" si="1"/>
        <v>2</v>
      </c>
      <c r="B59">
        <f t="shared" ca="1" si="2"/>
        <v>2</v>
      </c>
      <c r="C59">
        <f t="shared" ca="1" si="3"/>
        <v>2</v>
      </c>
      <c r="D59">
        <f t="shared" ca="1" si="4"/>
        <v>156</v>
      </c>
      <c r="E59">
        <f ca="1">IF($C59=1,OFFSET(E59,-1,0)+MAX(1,COUNTIF(QCI!$A$13:$A$15,OFFSET(ORÇAMENTO!E59,-1,0))),OFFSET(E59,-1,0))</f>
        <v>1</v>
      </c>
      <c r="F59">
        <f t="shared" ca="1" si="5"/>
        <v>5</v>
      </c>
      <c r="G59">
        <f t="shared" ca="1" si="6"/>
        <v>0</v>
      </c>
      <c r="H59">
        <f t="shared" ca="1" si="7"/>
        <v>0</v>
      </c>
      <c r="I59">
        <f t="shared" ca="1" si="8"/>
        <v>0</v>
      </c>
      <c r="J59">
        <f t="shared" ca="1" si="9"/>
        <v>449</v>
      </c>
      <c r="K59">
        <f ca="1">IF(OR($C59="S",$C59=0),0,MATCH(OFFSET($D59,0,$C59)+IF($C59&lt;&gt;1,1,COUNTIF(QCI!$A$13:$A$15,ORÇAMENTO!E59)),OFFSET($D59,1,$C59,ROW($C$508)-ROW($C59)),0))</f>
        <v>156</v>
      </c>
      <c r="L59" s="114" t="str">
        <f t="shared" ca="1" si="10"/>
        <v>F</v>
      </c>
      <c r="M59" s="115" t="s">
        <v>702</v>
      </c>
      <c r="N59" s="116" t="str">
        <f t="shared" ca="1" si="11"/>
        <v>Nível 2</v>
      </c>
      <c r="O59" s="117" t="str">
        <f t="shared" ca="1" si="12"/>
        <v>1.5.</v>
      </c>
      <c r="P59" s="118" t="s">
        <v>750</v>
      </c>
      <c r="Q59" s="119"/>
      <c r="R59" s="120" t="s">
        <v>1216</v>
      </c>
      <c r="S59" s="121" t="s">
        <v>688</v>
      </c>
      <c r="T59" s="122">
        <f ca="1">OFFSET(CÁLCULO!H$15,ROW($T59)-ROW(T$15),0)</f>
        <v>0</v>
      </c>
      <c r="U59" s="123">
        <f t="shared" ca="1" si="21"/>
        <v>0</v>
      </c>
      <c r="V59" s="124" t="s">
        <v>663</v>
      </c>
      <c r="W59" s="122">
        <f ca="1">IF($C59="S",ROUND(IF(TIPOORCAMENTO="Proposto",ORÇAMENTO.CustoUnitario*(1+$AH59),ORÇAMENTO.PrecoUnitarioLicitado),15-13*$AF$10),0)</f>
        <v>0</v>
      </c>
      <c r="X59" s="125" cm="1">
        <f t="array" aca="1" ref="X59" ca="1">IF($C59="S",IF(OR(Import.TipoArredondamento&lt;&gt;"TransfereGOV",ACOMPANHAMENTO="BM"),VTOTAL1,SUM(OFFSET(CÁLCULO!$AI$15,ROW($X59)-ROW($X$15),1):OFFSET(CÁLCULO!$BB$15,ROW($X59)-ROW($X$15),-1))),IF($C59=0,0,ROUND(SomaAgrup,15-13*$AF$11)))</f>
        <v>2346905.9700000002</v>
      </c>
      <c r="Y59" s="126" t="s">
        <v>751</v>
      </c>
      <c r="Z59" t="str">
        <f t="shared" ca="1" si="13"/>
        <v/>
      </c>
      <c r="AA59" s="127">
        <f ca="1">IF($C59="S",IF($Z59="CP",$X59,IF($Z59="RA",(($X59)*QCI!$AA$3),0)),SomaAgrup)</f>
        <v>0</v>
      </c>
      <c r="AB59" s="128">
        <f t="shared" ca="1" si="14"/>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IF(C59&lt;=CRONO.NivelExibicao,MAX($AD$15:OFFSET(AD59,-1,0))+IF($C59&lt;&gt;1,1,MAX(1,COUNTIF(QCI!$A$13:$A$15,OFFSET($E59,-1,0)))),"")</f>
        <v>6</v>
      </c>
      <c r="AE59" s="7" t="b">
        <f ca="1">IF(AND($C59="S",ORÇAMENTO.CodBarra&lt;&gt;""),IF(ORÇAMENTO.Fonte="",ORÇAMENTO.CodBarra,CONCATENATE(ORÇAMENTO.Fonte," ",ORÇAMENTO.CodBarra)))</f>
        <v>0</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(Sem Código)</v>
      </c>
      <c r="AG59" s="428">
        <f ca="1">ROUND(IF(DESONERACAO="sim",REFERENCIA.Desonerado,REFERENCIA.NaoDesonerado),2)</f>
        <v>0</v>
      </c>
      <c r="AH59" s="429">
        <f t="shared" ca="1" si="15"/>
        <v>0.23499999999999999</v>
      </c>
      <c r="AJ59" s="431"/>
      <c r="AL59" s="439"/>
      <c r="AM59" s="336">
        <f t="shared" ca="1" si="0"/>
        <v>2346905.9700000002</v>
      </c>
      <c r="AN59" s="470">
        <f t="shared" ca="1" si="16"/>
        <v>0</v>
      </c>
    </row>
    <row r="60" spans="1:40" x14ac:dyDescent="0.2">
      <c r="A60">
        <f t="shared" si="1"/>
        <v>3</v>
      </c>
      <c r="B60">
        <f t="shared" ca="1" si="2"/>
        <v>3</v>
      </c>
      <c r="C60">
        <f t="shared" ca="1" si="3"/>
        <v>3</v>
      </c>
      <c r="D60">
        <f t="shared" ca="1" si="4"/>
        <v>45</v>
      </c>
      <c r="E60">
        <f ca="1">IF($C60=1,OFFSET(E60,-1,0)+MAX(1,COUNTIF(QCI!$A$13:$A$15,OFFSET(ORÇAMENTO!E60,-1,0))),OFFSET(E60,-1,0))</f>
        <v>1</v>
      </c>
      <c r="F60">
        <f t="shared" ca="1" si="5"/>
        <v>5</v>
      </c>
      <c r="G60">
        <f t="shared" ca="1" si="6"/>
        <v>1</v>
      </c>
      <c r="H60">
        <f t="shared" ca="1" si="7"/>
        <v>0</v>
      </c>
      <c r="I60">
        <f t="shared" ca="1" si="8"/>
        <v>0</v>
      </c>
      <c r="J60">
        <f t="shared" ca="1" si="9"/>
        <v>155</v>
      </c>
      <c r="K60">
        <f ca="1">IF(OR($C60="S",$C60=0),0,MATCH(OFFSET($D60,0,$C60)+IF($C60&lt;&gt;1,1,COUNTIF(QCI!$A$13:$A$15,ORÇAMENTO!E60)),OFFSET($D60,1,$C60,ROW($C$508)-ROW($C60)),0))</f>
        <v>45</v>
      </c>
      <c r="L60" s="114" t="str">
        <f t="shared" ca="1" si="10"/>
        <v>F</v>
      </c>
      <c r="M60" s="115" t="s">
        <v>703</v>
      </c>
      <c r="N60" s="116" t="str">
        <f t="shared" ca="1" si="11"/>
        <v>Nível 3</v>
      </c>
      <c r="O60" s="117" t="str">
        <f t="shared" ca="1" si="12"/>
        <v>1.5.1.</v>
      </c>
      <c r="P60" s="118" t="s">
        <v>750</v>
      </c>
      <c r="Q60" s="119"/>
      <c r="R60" s="120" t="s">
        <v>1217</v>
      </c>
      <c r="S60" s="121" t="s">
        <v>688</v>
      </c>
      <c r="T60" s="122">
        <f ca="1">OFFSET(CÁLCULO!H$15,ROW($T60)-ROW(T$15),0)</f>
        <v>0</v>
      </c>
      <c r="U60" s="123">
        <f t="shared" ca="1" si="21"/>
        <v>0</v>
      </c>
      <c r="V60" s="124" t="s">
        <v>663</v>
      </c>
      <c r="W60" s="122">
        <f ca="1">IF($C60="S",ROUND(IF(TIPOORCAMENTO="Proposto",ORÇAMENTO.CustoUnitario*(1+$AH60),ORÇAMENTO.PrecoUnitarioLicitado),15-13*$AF$10),0)</f>
        <v>0</v>
      </c>
      <c r="X60" s="125" cm="1">
        <f t="array" aca="1" ref="X60" ca="1">IF($C60="S",IF(OR(Import.TipoArredondamento&lt;&gt;"TransfereGOV",ACOMPANHAMENTO="BM"),VTOTAL1,SUM(OFFSET(CÁLCULO!$AI$15,ROW($X60)-ROW($X$15),1):OFFSET(CÁLCULO!$BB$15,ROW($X60)-ROW($X$15),-1))),IF($C60=0,0,ROUND(SomaAgrup,15-13*$AF$11)))</f>
        <v>1193998.8500000001</v>
      </c>
      <c r="Y60" s="126" t="s">
        <v>751</v>
      </c>
      <c r="Z60" t="str">
        <f t="shared" ca="1" si="13"/>
        <v/>
      </c>
      <c r="AA60" s="127">
        <f ca="1">IF($C60="S",IF($Z60="CP",$X60,IF($Z60="RA",(($X60)*QCI!$AA$3),0)),SomaAgrup)</f>
        <v>0</v>
      </c>
      <c r="AB60" s="128">
        <f t="shared" ca="1" si="14"/>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IF(C60&lt;=CRONO.NivelExibicao,MAX($AD$15:OFFSET(AD60,-1,0))+IF($C60&lt;&gt;1,1,MAX(1,COUNTIF(QCI!$A$13:$A$15,OFFSET($E60,-1,0)))),"")</f>
        <v/>
      </c>
      <c r="AE60" s="7" t="b">
        <f ca="1">IF(AND($C60="S",ORÇAMENTO.CodBarra&lt;&gt;""),IF(ORÇAMENTO.Fonte="",ORÇAMENTO.CodBarra,CONCATENATE(ORÇAMENTO.Fonte," ",ORÇAMENTO.CodBarra)))</f>
        <v>0</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(Sem Código)</v>
      </c>
      <c r="AG60" s="428">
        <f ca="1">ROUND(IF(DESONERACAO="sim",REFERENCIA.Desonerado,REFERENCIA.NaoDesonerado),2)</f>
        <v>0</v>
      </c>
      <c r="AH60" s="429">
        <f t="shared" ca="1" si="15"/>
        <v>0.23499999999999999</v>
      </c>
      <c r="AJ60" s="431"/>
      <c r="AL60" s="439"/>
      <c r="AM60" s="336">
        <f t="shared" ca="1" si="0"/>
        <v>1193998.8500000001</v>
      </c>
      <c r="AN60" s="470">
        <f t="shared" ca="1" si="16"/>
        <v>0</v>
      </c>
    </row>
    <row r="61" spans="1:40" x14ac:dyDescent="0.2">
      <c r="A61">
        <f t="shared" si="1"/>
        <v>4</v>
      </c>
      <c r="B61">
        <f t="shared" ca="1" si="2"/>
        <v>4</v>
      </c>
      <c r="C61">
        <f t="shared" ca="1" si="3"/>
        <v>4</v>
      </c>
      <c r="D61">
        <f t="shared" ca="1" si="4"/>
        <v>11</v>
      </c>
      <c r="E61">
        <f ca="1">IF($C61=1,OFFSET(E61,-1,0)+MAX(1,COUNTIF(QCI!$A$13:$A$15,OFFSET(ORÇAMENTO!E61,-1,0))),OFFSET(E61,-1,0))</f>
        <v>1</v>
      </c>
      <c r="F61">
        <f t="shared" ca="1" si="5"/>
        <v>5</v>
      </c>
      <c r="G61">
        <f t="shared" ca="1" si="6"/>
        <v>1</v>
      </c>
      <c r="H61">
        <f t="shared" ca="1" si="7"/>
        <v>1</v>
      </c>
      <c r="I61">
        <f t="shared" ca="1" si="8"/>
        <v>0</v>
      </c>
      <c r="J61">
        <f t="shared" ca="1" si="9"/>
        <v>44</v>
      </c>
      <c r="K61">
        <f ca="1">IF(OR($C61="S",$C61=0),0,MATCH(OFFSET($D61,0,$C61)+IF($C61&lt;&gt;1,1,COUNTIF(QCI!$A$13:$A$15,ORÇAMENTO!E61)),OFFSET($D61,1,$C61,ROW($C$508)-ROW($C61)),0))</f>
        <v>11</v>
      </c>
      <c r="L61" s="114" t="str">
        <f t="shared" ca="1" si="10"/>
        <v>F</v>
      </c>
      <c r="M61" s="115" t="s">
        <v>704</v>
      </c>
      <c r="N61" s="116" t="str">
        <f t="shared" ca="1" si="11"/>
        <v>Nível 4</v>
      </c>
      <c r="O61" s="117" t="str">
        <f t="shared" ca="1" si="12"/>
        <v>1.5.1.1.</v>
      </c>
      <c r="P61" s="118" t="s">
        <v>750</v>
      </c>
      <c r="Q61" s="119"/>
      <c r="R61" s="120" t="s">
        <v>1218</v>
      </c>
      <c r="S61" s="121" t="s">
        <v>688</v>
      </c>
      <c r="T61" s="122">
        <f ca="1">OFFSET(CÁLCULO!H$15,ROW($T61)-ROW(T$15),0)</f>
        <v>0</v>
      </c>
      <c r="U61" s="123">
        <f t="shared" ca="1" si="21"/>
        <v>0</v>
      </c>
      <c r="V61" s="124" t="s">
        <v>663</v>
      </c>
      <c r="W61" s="122">
        <f ca="1">IF($C61="S",ROUND(IF(TIPOORCAMENTO="Proposto",ORÇAMENTO.CustoUnitario*(1+$AH61),ORÇAMENTO.PrecoUnitarioLicitado),15-13*$AF$10),0)</f>
        <v>0</v>
      </c>
      <c r="X61" s="125" cm="1">
        <f t="array" aca="1" ref="X61" ca="1">IF($C61="S",IF(OR(Import.TipoArredondamento&lt;&gt;"TransfereGOV",ACOMPANHAMENTO="BM"),VTOTAL1,SUM(OFFSET(CÁLCULO!$AI$15,ROW($X61)-ROW($X$15),1):OFFSET(CÁLCULO!$BB$15,ROW($X61)-ROW($X$15),-1))),IF($C61=0,0,ROUND(SomaAgrup,15-13*$AF$11)))</f>
        <v>260460.2</v>
      </c>
      <c r="Y61" s="126" t="s">
        <v>751</v>
      </c>
      <c r="Z61" t="str">
        <f t="shared" ca="1" si="13"/>
        <v/>
      </c>
      <c r="AA61" s="127">
        <f ca="1">IF($C61="S",IF($Z61="CP",$X61,IF($Z61="RA",(($X61)*QCI!$AA$3),0)),SomaAgrup)</f>
        <v>0</v>
      </c>
      <c r="AB61" s="128">
        <f t="shared" ca="1" si="14"/>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IF(C61&lt;=CRONO.NivelExibicao,MAX($AD$15:OFFSET(AD61,-1,0))+IF($C61&lt;&gt;1,1,MAX(1,COUNTIF(QCI!$A$13:$A$15,OFFSET($E61,-1,0)))),"")</f>
        <v/>
      </c>
      <c r="AE61" s="7" t="b">
        <f ca="1">IF(AND($C61="S",ORÇAMENTO.CodBarra&lt;&gt;""),IF(ORÇAMENTO.Fonte="",ORÇAMENTO.CodBarra,CONCATENATE(ORÇAMENTO.Fonte," ",ORÇAMENTO.CodBarra)))</f>
        <v>0</v>
      </c>
      <c r="AF61" s="12" t="str">
        <f ca="1">IF(ISERROR(INDIRECT(ORÇAMENTO.BancoRef)),"(abra o arquivo 'Referência "&amp;Excel_BuiltIn_Database&amp;".xlsm)",IF(OR($C61&lt;&gt;"S",ORÇAMENTO.CodBarra=""),"(Sem Código)",IF(ISERROR(MATCH($AE61,INDIRECT(ORÇAMENTO.BancoRef),0)),"(Código não identificado nas referências)",MATCH($AE61,INDIRECT(ORÇAMENTO.BancoRef),0))))</f>
        <v>(Sem Código)</v>
      </c>
      <c r="AG61" s="428">
        <f ca="1">ROUND(IF(DESONERACAO="sim",REFERENCIA.Desonerado,REFERENCIA.NaoDesonerado),2)</f>
        <v>0</v>
      </c>
      <c r="AH61" s="429">
        <f t="shared" ca="1" si="15"/>
        <v>0.23499999999999999</v>
      </c>
      <c r="AJ61" s="431"/>
      <c r="AL61" s="439"/>
      <c r="AM61" s="336">
        <f t="shared" ca="1" si="0"/>
        <v>260460.2</v>
      </c>
      <c r="AN61" s="470">
        <f t="shared" ca="1" si="16"/>
        <v>0</v>
      </c>
    </row>
    <row r="62" spans="1:40" ht="25.5" x14ac:dyDescent="0.2">
      <c r="A62" t="str">
        <f t="shared" si="1"/>
        <v>S</v>
      </c>
      <c r="B62">
        <f t="shared" ca="1" si="2"/>
        <v>4</v>
      </c>
      <c r="C62" t="str">
        <f t="shared" ca="1" si="3"/>
        <v>S</v>
      </c>
      <c r="D62">
        <f t="shared" ca="1" si="4"/>
        <v>0</v>
      </c>
      <c r="E62">
        <f ca="1">IF($C62=1,OFFSET(E62,-1,0)+MAX(1,COUNTIF(QCI!$A$13:$A$15,OFFSET(ORÇAMENTO!E62,-1,0))),OFFSET(E62,-1,0))</f>
        <v>1</v>
      </c>
      <c r="F62">
        <f t="shared" ca="1" si="5"/>
        <v>5</v>
      </c>
      <c r="G62">
        <f t="shared" ca="1" si="6"/>
        <v>1</v>
      </c>
      <c r="H62">
        <f t="shared" ca="1" si="7"/>
        <v>1</v>
      </c>
      <c r="I62">
        <f t="shared" ca="1" si="8"/>
        <v>1</v>
      </c>
      <c r="J62">
        <f t="shared" ca="1" si="9"/>
        <v>0</v>
      </c>
      <c r="K62">
        <f ca="1">IF(OR($C62="S",$C62=0),0,MATCH(OFFSET($D62,0,$C62)+IF($C62&lt;&gt;1,1,COUNTIF(QCI!$A$13:$A$15,ORÇAMENTO!E62)),OFFSET($D62,1,$C62,ROW($C$508)-ROW($C62)),0))</f>
        <v>0</v>
      </c>
      <c r="L62" s="114" t="str">
        <f t="shared" ca="1" si="10"/>
        <v>F</v>
      </c>
      <c r="M62" s="115" t="s">
        <v>705</v>
      </c>
      <c r="N62" s="116" t="str">
        <f t="shared" ca="1" si="11"/>
        <v>Serviço</v>
      </c>
      <c r="O62" s="117" t="str">
        <f t="shared" ca="1" si="12"/>
        <v>1.5.1.1.1.</v>
      </c>
      <c r="P62" s="118" t="s">
        <v>1282</v>
      </c>
      <c r="Q62" s="119" t="s">
        <v>1015</v>
      </c>
      <c r="R62" s="120" t="str">
        <f ca="1">IF($C62="S",REFERENCIA.Descricao,"(digite a descrição aqui)")</f>
        <v>MOBILIZAÇÃO E DESMOBILIZAÇÃO DE EQUIPAMENTO - HÉLICE CONTÍNUA</v>
      </c>
      <c r="S62" s="121" t="str">
        <f ca="1">REFERENCIA.Unidade</f>
        <v>UN</v>
      </c>
      <c r="T62" s="122">
        <f ca="1">OFFSET(CÁLCULO!H$15,ROW($T62)-ROW(T$15),0)</f>
        <v>1</v>
      </c>
      <c r="U62" s="123">
        <f t="shared" ca="1" si="21"/>
        <v>25000</v>
      </c>
      <c r="V62" s="124" t="s">
        <v>663</v>
      </c>
      <c r="W62" s="122">
        <f ca="1">IF($C62="S",ROUND(IF(TIPOORCAMENTO="Proposto",ORÇAMENTO.CustoUnitario*(1+$AH62),ORÇAMENTO.PrecoUnitarioLicitado),15-13*$AF$10),0)</f>
        <v>30875</v>
      </c>
      <c r="X62" s="125" cm="1">
        <f t="array" aca="1" ref="X62" ca="1">IF($C62="S",IF(OR(Import.TipoArredondamento&lt;&gt;"TransfereGOV",ACOMPANHAMENTO="BM"),VTOTAL1,SUM(OFFSET(CÁLCULO!$AI$15,ROW($X62)-ROW($X$15),1):OFFSET(CÁLCULO!$BB$15,ROW($X62)-ROW($X$15),-1))),IF($C62=0,0,ROUND(SomaAgrup,15-13*$AF$11)))</f>
        <v>30875</v>
      </c>
      <c r="Y62" s="126" t="s">
        <v>751</v>
      </c>
      <c r="Z62" t="str">
        <f t="shared" ca="1" si="13"/>
        <v>RA</v>
      </c>
      <c r="AA62" s="127">
        <f ca="1">IF($C62="S",IF($Z62="CP",$X62,IF($Z62="RA",(($X62)*QCI!$AA$3),0)),SomaAgrup)</f>
        <v>0</v>
      </c>
      <c r="AB62" s="128">
        <f t="shared" ca="1" si="14"/>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IF(C62&lt;=CRONO.NivelExibicao,MAX($AD$15:OFFSET(AD62,-1,0))+IF($C62&lt;&gt;1,1,MAX(1,COUNTIF(QCI!$A$13:$A$15,OFFSET($E62,-1,0)))),"")</f>
        <v/>
      </c>
      <c r="AE62" s="7" t="str">
        <f ca="1">IF(AND($C62="S",ORÇAMENTO.CodBarra&lt;&gt;""),IF(ORÇAMENTO.Fonte="",ORÇAMENTO.CodBarra,CONCATENATE(ORÇAMENTO.Fonte," ",ORÇAMENTO.CodBarra)))</f>
        <v>SUDECAP 04.06.01</v>
      </c>
      <c r="AF62" s="12">
        <f ca="1">IF(ISERROR(INDIRECT(ORÇAMENTO.BancoRef)),"(abra o arquivo 'Referência "&amp;Excel_BuiltIn_Database&amp;".xlsm)",IF(OR($C62&lt;&gt;"S",ORÇAMENTO.CodBarra=""),"(Sem Código)",IF(ISERROR(MATCH($AE62,INDIRECT(ORÇAMENTO.BancoRef),0)),"(Código não identificado nas referências)",MATCH($AE62,INDIRECT(ORÇAMENTO.BancoRef),0))))</f>
        <v>24160</v>
      </c>
      <c r="AG62" s="428">
        <f ca="1">ROUND(IF(DESONERACAO="sim",REFERENCIA.Desonerado,REFERENCIA.NaoDesonerado),2)</f>
        <v>25000</v>
      </c>
      <c r="AH62" s="429">
        <f t="shared" ca="1" si="15"/>
        <v>0.23499999999999999</v>
      </c>
      <c r="AJ62" s="431">
        <v>1</v>
      </c>
      <c r="AL62" s="439"/>
      <c r="AM62" s="336">
        <f t="shared" ca="1" si="0"/>
        <v>30875</v>
      </c>
      <c r="AN62" s="470">
        <f t="shared" ca="1" si="16"/>
        <v>30875</v>
      </c>
    </row>
    <row r="63" spans="1:40" ht="51" x14ac:dyDescent="0.2">
      <c r="A63" t="str">
        <f t="shared" si="1"/>
        <v>S</v>
      </c>
      <c r="B63">
        <f t="shared" ca="1" si="2"/>
        <v>4</v>
      </c>
      <c r="C63" t="str">
        <f t="shared" ca="1" si="3"/>
        <v>S</v>
      </c>
      <c r="D63">
        <f t="shared" ca="1" si="4"/>
        <v>0</v>
      </c>
      <c r="E63">
        <f ca="1">IF($C63=1,OFFSET(E63,-1,0)+MAX(1,COUNTIF(QCI!$A$13:$A$15,OFFSET(ORÇAMENTO!E63,-1,0))),OFFSET(E63,-1,0))</f>
        <v>1</v>
      </c>
      <c r="F63">
        <f t="shared" ca="1" si="5"/>
        <v>5</v>
      </c>
      <c r="G63">
        <f t="shared" ca="1" si="6"/>
        <v>1</v>
      </c>
      <c r="H63">
        <f t="shared" ca="1" si="7"/>
        <v>1</v>
      </c>
      <c r="I63">
        <f t="shared" ca="1" si="8"/>
        <v>2</v>
      </c>
      <c r="J63">
        <f t="shared" ca="1" si="9"/>
        <v>0</v>
      </c>
      <c r="K63">
        <f ca="1">IF(OR($C63="S",$C63=0),0,MATCH(OFFSET($D63,0,$C63)+IF($C63&lt;&gt;1,1,COUNTIF(QCI!$A$13:$A$15,ORÇAMENTO!E63)),OFFSET($D63,1,$C63,ROW($C$508)-ROW($C63)),0))</f>
        <v>0</v>
      </c>
      <c r="L63" s="114" t="str">
        <f t="shared" ca="1" si="10"/>
        <v>F</v>
      </c>
      <c r="M63" s="115" t="s">
        <v>705</v>
      </c>
      <c r="N63" s="116" t="str">
        <f t="shared" ca="1" si="11"/>
        <v>Serviço</v>
      </c>
      <c r="O63" s="117" t="str">
        <f t="shared" ca="1" si="12"/>
        <v>1.5.1.1.2.</v>
      </c>
      <c r="P63" s="118" t="s">
        <v>1280</v>
      </c>
      <c r="Q63" s="119" t="s">
        <v>1016</v>
      </c>
      <c r="R63" s="120" t="str">
        <f ca="1">IF($C63="S",REFERENCIA.Descricao,"(digite a descrição aqui)")</f>
        <v>EXECUÇÃO DE ESTACA TIPO HÉLICE CONTÍNUA, DIÂMETRO 60CM, INCLUSIVE AFASTAMENTO LATERAL, EXCLUSIVE ARMAÇÃO, CONCRETO ESTRUTURAL, TRANSPORTE E RETIRADA DO MATERIAL ESCAVADO</v>
      </c>
      <c r="S63" s="121" t="str">
        <f ca="1">REFERENCIA.Unidade</f>
        <v>M</v>
      </c>
      <c r="T63" s="122">
        <f ca="1">OFFSET(CÁLCULO!H$15,ROW($T63)-ROW(T$15),0)</f>
        <v>480</v>
      </c>
      <c r="U63" s="123">
        <f t="shared" ca="1" si="21"/>
        <v>90.28</v>
      </c>
      <c r="V63" s="124" t="s">
        <v>663</v>
      </c>
      <c r="W63" s="122">
        <f ca="1">IF($C63="S",ROUND(IF(TIPOORCAMENTO="Proposto",ORÇAMENTO.CustoUnitario*(1+$AH63),ORÇAMENTO.PrecoUnitarioLicitado),15-13*$AF$10),0)</f>
        <v>111.5</v>
      </c>
      <c r="X63" s="125" cm="1">
        <f t="array" aca="1" ref="X63" ca="1">IF($C63="S",IF(OR(Import.TipoArredondamento&lt;&gt;"TransfereGOV",ACOMPANHAMENTO="BM"),VTOTAL1,SUM(OFFSET(CÁLCULO!$AI$15,ROW($X63)-ROW($X$15),1):OFFSET(CÁLCULO!$BB$15,ROW($X63)-ROW($X$15),-1))),IF($C63=0,0,ROUND(SomaAgrup,15-13*$AF$11)))</f>
        <v>53520</v>
      </c>
      <c r="Y63" s="126" t="s">
        <v>751</v>
      </c>
      <c r="Z63" t="str">
        <f t="shared" ca="1" si="13"/>
        <v>RA</v>
      </c>
      <c r="AA63" s="127">
        <f ca="1">IF($C63="S",IF($Z63="CP",$X63,IF($Z63="RA",(($X63)*QCI!$AA$3),0)),SomaAgrup)</f>
        <v>0</v>
      </c>
      <c r="AB63" s="128">
        <f t="shared" ca="1" si="14"/>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IF(C63&lt;=CRONO.NivelExibicao,MAX($AD$15:OFFSET(AD63,-1,0))+IF($C63&lt;&gt;1,1,MAX(1,COUNTIF(QCI!$A$13:$A$15,OFFSET($E63,-1,0)))),"")</f>
        <v/>
      </c>
      <c r="AE63" s="7" t="str">
        <f ca="1">IF(AND($C63="S",ORÇAMENTO.CodBarra&lt;&gt;""),IF(ORÇAMENTO.Fonte="",ORÇAMENTO.CodBarra,CONCATENATE(ORÇAMENTO.Fonte," ",ORÇAMENTO.CodBarra)))</f>
        <v>SETOP ED-49717</v>
      </c>
      <c r="AF63" s="12">
        <f ca="1">IF(ISERROR(INDIRECT(ORÇAMENTO.BancoRef)),"(abra o arquivo 'Referência "&amp;Excel_BuiltIn_Database&amp;".xlsm)",IF(OR($C63&lt;&gt;"S",ORÇAMENTO.CodBarra=""),"(Sem Código)",IF(ISERROR(MATCH($AE63,INDIRECT(ORÇAMENTO.BancoRef),0)),"(Código não identificado nas referências)",MATCH($AE63,INDIRECT(ORÇAMENTO.BancoRef),0))))</f>
        <v>28009</v>
      </c>
      <c r="AG63" s="428">
        <f ca="1">ROUND(IF(DESONERACAO="sim",REFERENCIA.Desonerado,REFERENCIA.NaoDesonerado),2)</f>
        <v>90.28</v>
      </c>
      <c r="AH63" s="429">
        <f t="shared" ca="1" si="15"/>
        <v>0.23499999999999999</v>
      </c>
      <c r="AJ63" s="431">
        <f>10*48</f>
        <v>480</v>
      </c>
      <c r="AL63" s="439"/>
      <c r="AM63" s="336">
        <f t="shared" ca="1" si="0"/>
        <v>53520</v>
      </c>
      <c r="AN63" s="470">
        <f t="shared" ca="1" si="16"/>
        <v>111.5</v>
      </c>
    </row>
    <row r="64" spans="1:40" ht="38.25" x14ac:dyDescent="0.2">
      <c r="A64" t="str">
        <f t="shared" si="1"/>
        <v>S</v>
      </c>
      <c r="B64">
        <f t="shared" ca="1" si="2"/>
        <v>4</v>
      </c>
      <c r="C64" t="str">
        <f t="shared" ca="1" si="3"/>
        <v>S</v>
      </c>
      <c r="D64">
        <f t="shared" ca="1" si="4"/>
        <v>0</v>
      </c>
      <c r="E64">
        <f ca="1">IF($C64=1,OFFSET(E64,-1,0)+MAX(1,COUNTIF(QCI!$A$13:$A$15,OFFSET(ORÇAMENTO!E64,-1,0))),OFFSET(E64,-1,0))</f>
        <v>1</v>
      </c>
      <c r="F64">
        <f t="shared" ca="1" si="5"/>
        <v>5</v>
      </c>
      <c r="G64">
        <f t="shared" ca="1" si="6"/>
        <v>1</v>
      </c>
      <c r="H64">
        <f t="shared" ca="1" si="7"/>
        <v>1</v>
      </c>
      <c r="I64">
        <f t="shared" ca="1" si="8"/>
        <v>3</v>
      </c>
      <c r="J64">
        <f t="shared" ca="1" si="9"/>
        <v>0</v>
      </c>
      <c r="K64">
        <f ca="1">IF(OR($C64="S",$C64=0),0,MATCH(OFFSET($D64,0,$C64)+IF($C64&lt;&gt;1,1,COUNTIF(QCI!$A$13:$A$15,ORÇAMENTO!E64)),OFFSET($D64,1,$C64,ROW($C$508)-ROW($C64)),0))</f>
        <v>0</v>
      </c>
      <c r="L64" s="114" t="str">
        <f t="shared" ca="1" si="10"/>
        <v>F</v>
      </c>
      <c r="M64" s="115" t="s">
        <v>705</v>
      </c>
      <c r="N64" s="116" t="str">
        <f t="shared" ca="1" si="11"/>
        <v>Serviço</v>
      </c>
      <c r="O64" s="117" t="str">
        <f t="shared" ca="1" si="12"/>
        <v>1.5.1.1.3.</v>
      </c>
      <c r="P64" s="118" t="s">
        <v>750</v>
      </c>
      <c r="Q64" s="119" t="s">
        <v>1017</v>
      </c>
      <c r="R64" s="120" t="str">
        <f ca="1">IF($C64="S",REFERENCIA.Descricao,"(digite a descrição aqui)")</f>
        <v>CONCRETO FCK = 40MPA, TRAÇO 1:1,6:1,9 (EM MASSA SECA DE CIMENTO/ AREIA MÉDIA/ BRITA 1) - PREPARO MECÂNICO COM BETONEIRA 600 L. AF_05/2021</v>
      </c>
      <c r="S64" s="121" t="str">
        <f ca="1">REFERENCIA.Unidade</f>
        <v>M3</v>
      </c>
      <c r="T64" s="122">
        <f ca="1">OFFSET(CÁLCULO!H$15,ROW($T64)-ROW(T$15),0)</f>
        <v>137.19</v>
      </c>
      <c r="U64" s="123">
        <f t="shared" ca="1" si="21"/>
        <v>628.30999999999995</v>
      </c>
      <c r="V64" s="124" t="s">
        <v>663</v>
      </c>
      <c r="W64" s="122">
        <f ca="1">IF($C64="S",ROUND(IF(TIPOORCAMENTO="Proposto",ORÇAMENTO.CustoUnitario*(1+$AH64),ORÇAMENTO.PrecoUnitarioLicitado),15-13*$AF$10),0)</f>
        <v>775.96</v>
      </c>
      <c r="X64" s="125" cm="1">
        <f t="array" aca="1" ref="X64" ca="1">IF($C64="S",IF(OR(Import.TipoArredondamento&lt;&gt;"TransfereGOV",ACOMPANHAMENTO="BM"),VTOTAL1,SUM(OFFSET(CÁLCULO!$AI$15,ROW($X64)-ROW($X$15),1):OFFSET(CÁLCULO!$BB$15,ROW($X64)-ROW($X$15),-1))),IF($C64=0,0,ROUND(SomaAgrup,15-13*$AF$11)))</f>
        <v>106453.95</v>
      </c>
      <c r="Y64" s="126" t="s">
        <v>751</v>
      </c>
      <c r="Z64" t="str">
        <f t="shared" ca="1" si="13"/>
        <v>RA</v>
      </c>
      <c r="AA64" s="127">
        <f ca="1">IF($C64="S",IF($Z64="CP",$X64,IF($Z64="RA",(($X64)*QCI!$AA$3),0)),SomaAgrup)</f>
        <v>0</v>
      </c>
      <c r="AB64" s="128">
        <f t="shared" ca="1" si="14"/>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IF(C64&lt;=CRONO.NivelExibicao,MAX($AD$15:OFFSET(AD64,-1,0))+IF($C64&lt;&gt;1,1,MAX(1,COUNTIF(QCI!$A$13:$A$15,OFFSET($E64,-1,0)))),"")</f>
        <v/>
      </c>
      <c r="AE64" s="7" t="str">
        <f ca="1">IF(AND($C64="S",ORÇAMENTO.CodBarra&lt;&gt;""),IF(ORÇAMENTO.Fonte="",ORÇAMENTO.CodBarra,CONCATENATE(ORÇAMENTO.Fonte," ",ORÇAMENTO.CodBarra)))</f>
        <v>SINAPI 94973</v>
      </c>
      <c r="AF64" s="12">
        <f ca="1">IF(ISERROR(INDIRECT(ORÇAMENTO.BancoRef)),"(abra o arquivo 'Referência "&amp;Excel_BuiltIn_Database&amp;".xlsm)",IF(OR($C64&lt;&gt;"S",ORÇAMENTO.CodBarra=""),"(Sem Código)",IF(ISERROR(MATCH($AE64,INDIRECT(ORÇAMENTO.BancoRef),0)),"(Código não identificado nas referências)",MATCH($AE64,INDIRECT(ORÇAMENTO.BancoRef),0))))</f>
        <v>14326</v>
      </c>
      <c r="AG64" s="428">
        <f ca="1">ROUND(IF(DESONERACAO="sim",REFERENCIA.Desonerado,REFERENCIA.NaoDesonerado),2)</f>
        <v>628.30999999999995</v>
      </c>
      <c r="AH64" s="429">
        <f t="shared" ca="1" si="15"/>
        <v>0.23499999999999999</v>
      </c>
      <c r="AJ64" s="431">
        <f>135.84+1.35</f>
        <v>137.19</v>
      </c>
      <c r="AL64" s="439"/>
      <c r="AM64" s="336">
        <f t="shared" ca="1" si="0"/>
        <v>106453.95</v>
      </c>
      <c r="AN64" s="470">
        <f t="shared" ca="1" si="16"/>
        <v>775.96</v>
      </c>
    </row>
    <row r="65" spans="1:40" ht="25.5" x14ac:dyDescent="0.2">
      <c r="A65" t="str">
        <f t="shared" si="1"/>
        <v>S</v>
      </c>
      <c r="B65">
        <f t="shared" ca="1" si="2"/>
        <v>4</v>
      </c>
      <c r="C65" t="str">
        <f t="shared" ca="1" si="3"/>
        <v>S</v>
      </c>
      <c r="D65">
        <f t="shared" ca="1" si="4"/>
        <v>0</v>
      </c>
      <c r="E65">
        <f ca="1">IF($C65=1,OFFSET(E65,-1,0)+MAX(1,COUNTIF(QCI!$A$13:$A$15,OFFSET(ORÇAMENTO!E65,-1,0))),OFFSET(E65,-1,0))</f>
        <v>1</v>
      </c>
      <c r="F65">
        <f t="shared" ca="1" si="5"/>
        <v>5</v>
      </c>
      <c r="G65">
        <f t="shared" ca="1" si="6"/>
        <v>1</v>
      </c>
      <c r="H65">
        <f t="shared" ca="1" si="7"/>
        <v>1</v>
      </c>
      <c r="I65">
        <f t="shared" ca="1" si="8"/>
        <v>4</v>
      </c>
      <c r="J65">
        <f t="shared" ca="1" si="9"/>
        <v>0</v>
      </c>
      <c r="K65">
        <f ca="1">IF(OR($C65="S",$C65=0),0,MATCH(OFFSET($D65,0,$C65)+IF($C65&lt;&gt;1,1,COUNTIF(QCI!$A$13:$A$15,ORÇAMENTO!E65)),OFFSET($D65,1,$C65,ROW($C$508)-ROW($C65)),0))</f>
        <v>0</v>
      </c>
      <c r="L65" s="114" t="str">
        <f t="shared" ca="1" si="10"/>
        <v>F</v>
      </c>
      <c r="M65" s="115" t="s">
        <v>705</v>
      </c>
      <c r="N65" s="116" t="str">
        <f t="shared" ca="1" si="11"/>
        <v>Serviço</v>
      </c>
      <c r="O65" s="117" t="str">
        <f t="shared" ca="1" si="12"/>
        <v>1.5.1.1.4.</v>
      </c>
      <c r="P65" s="118" t="s">
        <v>750</v>
      </c>
      <c r="Q65" s="119" t="s">
        <v>1018</v>
      </c>
      <c r="R65" s="120" t="str">
        <f ca="1">IF($C65="S",REFERENCIA.Descricao,"(digite a descrição aqui)")</f>
        <v>LANÇAMENTO COM USO DE BOMBA, ADENSAMENTO E ACABAMENTO DE CONCRETO EM ESTRUTURAS. AF_02/2022</v>
      </c>
      <c r="S65" s="121" t="str">
        <f ca="1">REFERENCIA.Unidade</f>
        <v>M3</v>
      </c>
      <c r="T65" s="122">
        <f ca="1">OFFSET(CÁLCULO!H$15,ROW($T65)-ROW(T$15),0)</f>
        <v>137.19</v>
      </c>
      <c r="U65" s="123">
        <f t="shared" ca="1" si="21"/>
        <v>44.5</v>
      </c>
      <c r="V65" s="124" t="s">
        <v>663</v>
      </c>
      <c r="W65" s="122">
        <f ca="1">IF($C65="S",ROUND(IF(TIPOORCAMENTO="Proposto",ORÇAMENTO.CustoUnitario*(1+$AH65),ORÇAMENTO.PrecoUnitarioLicitado),15-13*$AF$10),0)</f>
        <v>54.96</v>
      </c>
      <c r="X65" s="125" cm="1">
        <f t="array" aca="1" ref="X65" ca="1">IF($C65="S",IF(OR(Import.TipoArredondamento&lt;&gt;"TransfereGOV",ACOMPANHAMENTO="BM"),VTOTAL1,SUM(OFFSET(CÁLCULO!$AI$15,ROW($X65)-ROW($X$15),1):OFFSET(CÁLCULO!$BB$15,ROW($X65)-ROW($X$15),-1))),IF($C65=0,0,ROUND(SomaAgrup,15-13*$AF$11)))</f>
        <v>7539.96</v>
      </c>
      <c r="Y65" s="126" t="s">
        <v>751</v>
      </c>
      <c r="Z65" t="str">
        <f t="shared" ca="1" si="13"/>
        <v>RA</v>
      </c>
      <c r="AA65" s="127">
        <f ca="1">IF($C65="S",IF($Z65="CP",$X65,IF($Z65="RA",(($X65)*QCI!$AA$3),0)),SomaAgrup)</f>
        <v>0</v>
      </c>
      <c r="AB65" s="128">
        <f t="shared" ca="1" si="14"/>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IF(C65&lt;=CRONO.NivelExibicao,MAX($AD$15:OFFSET(AD65,-1,0))+IF($C65&lt;&gt;1,1,MAX(1,COUNTIF(QCI!$A$13:$A$15,OFFSET($E65,-1,0)))),"")</f>
        <v/>
      </c>
      <c r="AE65" s="7" t="str">
        <f ca="1">IF(AND($C65="S",ORÇAMENTO.CodBarra&lt;&gt;""),IF(ORÇAMENTO.Fonte="",ORÇAMENTO.CodBarra,CONCATENATE(ORÇAMENTO.Fonte," ",ORÇAMENTO.CodBarra)))</f>
        <v>SINAPI 103673</v>
      </c>
      <c r="AF65" s="12">
        <f ca="1">IF(ISERROR(INDIRECT(ORÇAMENTO.BancoRef)),"(abra o arquivo 'Referência "&amp;Excel_BuiltIn_Database&amp;".xlsm)",IF(OR($C65&lt;&gt;"S",ORÇAMENTO.CodBarra=""),"(Sem Código)",IF(ISERROR(MATCH($AE65,INDIRECT(ORÇAMENTO.BancoRef),0)),"(Código não identificado nas referências)",MATCH($AE65,INDIRECT(ORÇAMENTO.BancoRef),0))))</f>
        <v>7334</v>
      </c>
      <c r="AG65" s="428">
        <f ca="1">ROUND(IF(DESONERACAO="sim",REFERENCIA.Desonerado,REFERENCIA.NaoDesonerado),2)</f>
        <v>44.5</v>
      </c>
      <c r="AH65" s="429">
        <f t="shared" ca="1" si="15"/>
        <v>0.23499999999999999</v>
      </c>
      <c r="AJ65" s="431">
        <f>AJ64</f>
        <v>137.19</v>
      </c>
      <c r="AL65" s="439"/>
      <c r="AM65" s="336">
        <f t="shared" ca="1" si="0"/>
        <v>7539.96</v>
      </c>
      <c r="AN65" s="470">
        <f t="shared" ca="1" si="16"/>
        <v>54.96</v>
      </c>
    </row>
    <row r="66" spans="1:40" ht="25.5" x14ac:dyDescent="0.2">
      <c r="A66" t="str">
        <f t="shared" si="1"/>
        <v>S</v>
      </c>
      <c r="B66">
        <f t="shared" ca="1" si="2"/>
        <v>4</v>
      </c>
      <c r="C66" t="str">
        <f t="shared" ca="1" si="3"/>
        <v>S</v>
      </c>
      <c r="D66">
        <f t="shared" ca="1" si="4"/>
        <v>0</v>
      </c>
      <c r="E66">
        <f ca="1">IF($C66=1,OFFSET(E66,-1,0)+MAX(1,COUNTIF(QCI!$A$13:$A$15,OFFSET(ORÇAMENTO!E66,-1,0))),OFFSET(E66,-1,0))</f>
        <v>1</v>
      </c>
      <c r="F66">
        <f t="shared" ca="1" si="5"/>
        <v>5</v>
      </c>
      <c r="G66">
        <f t="shared" ca="1" si="6"/>
        <v>1</v>
      </c>
      <c r="H66">
        <f t="shared" ca="1" si="7"/>
        <v>1</v>
      </c>
      <c r="I66">
        <f t="shared" ca="1" si="8"/>
        <v>5</v>
      </c>
      <c r="J66">
        <f t="shared" ca="1" si="9"/>
        <v>0</v>
      </c>
      <c r="K66">
        <f ca="1">IF(OR($C66="S",$C66=0),0,MATCH(OFFSET($D66,0,$C66)+IF($C66&lt;&gt;1,1,COUNTIF(QCI!$A$13:$A$15,ORÇAMENTO!E66)),OFFSET($D66,1,$C66,ROW($C$508)-ROW($C66)),0))</f>
        <v>0</v>
      </c>
      <c r="L66" s="114" t="str">
        <f t="shared" ca="1" si="10"/>
        <v>F</v>
      </c>
      <c r="M66" s="115" t="s">
        <v>705</v>
      </c>
      <c r="N66" s="116" t="str">
        <f t="shared" ca="1" si="11"/>
        <v>Serviço</v>
      </c>
      <c r="O66" s="117" t="str">
        <f t="shared" ca="1" si="12"/>
        <v>1.5.1.1.5.</v>
      </c>
      <c r="P66" s="118" t="s">
        <v>956</v>
      </c>
      <c r="Q66" s="119" t="s">
        <v>1019</v>
      </c>
      <c r="R66" s="120" t="str">
        <f ca="1">IF($C66="S",REFERENCIA.Descricao,"(digite a descrição aqui)")</f>
        <v>ARMAÇÃO EM AÇO CA-50 - FORNECIMENTO, PREPARO E COLOCAÇÃO</v>
      </c>
      <c r="S66" s="121" t="str">
        <f ca="1">REFERENCIA.Unidade</f>
        <v>KG</v>
      </c>
      <c r="T66" s="122">
        <f ca="1">OFFSET(CÁLCULO!H$15,ROW($T66)-ROW(T$15),0)</f>
        <v>3137.87</v>
      </c>
      <c r="U66" s="123">
        <f t="shared" ca="1" si="21"/>
        <v>12.08</v>
      </c>
      <c r="V66" s="124" t="s">
        <v>663</v>
      </c>
      <c r="W66" s="122">
        <f ca="1">IF($C66="S",ROUND(IF(TIPOORCAMENTO="Proposto",ORÇAMENTO.CustoUnitario*(1+$AH66),ORÇAMENTO.PrecoUnitarioLicitado),15-13*$AF$10),0)</f>
        <v>14.92</v>
      </c>
      <c r="X66" s="125" cm="1">
        <f t="array" aca="1" ref="X66" ca="1">IF($C66="S",IF(OR(Import.TipoArredondamento&lt;&gt;"TransfereGOV",ACOMPANHAMENTO="BM"),VTOTAL1,SUM(OFFSET(CÁLCULO!$AI$15,ROW($X66)-ROW($X$15),1):OFFSET(CÁLCULO!$BB$15,ROW($X66)-ROW($X$15),-1))),IF($C66=0,0,ROUND(SomaAgrup,15-13*$AF$11)))</f>
        <v>46817.02</v>
      </c>
      <c r="Y66" s="126" t="s">
        <v>751</v>
      </c>
      <c r="Z66" t="str">
        <f t="shared" ca="1" si="13"/>
        <v>RA</v>
      </c>
      <c r="AA66" s="127">
        <f ca="1">IF($C66="S",IF($Z66="CP",$X66,IF($Z66="RA",(($X66)*QCI!$AA$3),0)),SomaAgrup)</f>
        <v>0</v>
      </c>
      <c r="AB66" s="128">
        <f t="shared" ca="1" si="14"/>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IF(C66&lt;=CRONO.NivelExibicao,MAX($AD$15:OFFSET(AD66,-1,0))+IF($C66&lt;&gt;1,1,MAX(1,COUNTIF(QCI!$A$13:$A$15,OFFSET($E66,-1,0)))),"")</f>
        <v/>
      </c>
      <c r="AE66" s="7" t="str">
        <f ca="1">IF(AND($C66="S",ORÇAMENTO.CodBarra&lt;&gt;""),IF(ORÇAMENTO.Fonte="",ORÇAMENTO.CodBarra,CONCATENATE(ORÇAMENTO.Fonte," ",ORÇAMENTO.CodBarra)))</f>
        <v>SICRO 407819</v>
      </c>
      <c r="AF66" s="12">
        <f ca="1">IF(ISERROR(INDIRECT(ORÇAMENTO.BancoRef)),"(abra o arquivo 'Referência "&amp;Excel_BuiltIn_Database&amp;".xlsm)",IF(OR($C66&lt;&gt;"S",ORÇAMENTO.CodBarra=""),"(Sem Código)",IF(ISERROR(MATCH($AE66,INDIRECT(ORÇAMENTO.BancoRef),0)),"(Código não identificado nas referências)",MATCH($AE66,INDIRECT(ORÇAMENTO.BancoRef),0))))</f>
        <v>15833</v>
      </c>
      <c r="AG66" s="428">
        <f ca="1">ROUND(IF(DESONERACAO="sim",REFERENCIA.Desonerado,REFERENCIA.NaoDesonerado),2)</f>
        <v>12.08</v>
      </c>
      <c r="AH66" s="429">
        <f t="shared" ca="1" si="15"/>
        <v>0.23499999999999999</v>
      </c>
      <c r="AJ66" s="431">
        <f>ROUND(1886.03+644.64+200.704+406.5,2)</f>
        <v>3137.87</v>
      </c>
      <c r="AL66" s="439"/>
      <c r="AM66" s="336">
        <f t="shared" ca="1" si="0"/>
        <v>46817.02</v>
      </c>
      <c r="AN66" s="470">
        <f t="shared" ca="1" si="16"/>
        <v>14.92</v>
      </c>
    </row>
    <row r="67" spans="1:40" ht="51" x14ac:dyDescent="0.2">
      <c r="A67" t="str">
        <f t="shared" si="1"/>
        <v>S</v>
      </c>
      <c r="B67">
        <f t="shared" ca="1" si="2"/>
        <v>4</v>
      </c>
      <c r="C67" t="str">
        <f t="shared" ca="1" si="3"/>
        <v>S</v>
      </c>
      <c r="D67">
        <f t="shared" ca="1" si="4"/>
        <v>0</v>
      </c>
      <c r="E67">
        <f ca="1">IF($C67=1,OFFSET(E67,-1,0)+MAX(1,COUNTIF(QCI!$A$13:$A$15,OFFSET(ORÇAMENTO!E67,-1,0))),OFFSET(E67,-1,0))</f>
        <v>1</v>
      </c>
      <c r="F67">
        <f t="shared" ca="1" si="5"/>
        <v>5</v>
      </c>
      <c r="G67">
        <f t="shared" ca="1" si="6"/>
        <v>1</v>
      </c>
      <c r="H67">
        <f t="shared" ca="1" si="7"/>
        <v>1</v>
      </c>
      <c r="I67">
        <f t="shared" ca="1" si="8"/>
        <v>6</v>
      </c>
      <c r="J67">
        <f t="shared" ca="1" si="9"/>
        <v>0</v>
      </c>
      <c r="K67">
        <f ca="1">IF(OR($C67="S",$C67=0),0,MATCH(OFFSET($D67,0,$C67)+IF($C67&lt;&gt;1,1,COUNTIF(QCI!$A$13:$A$15,ORÇAMENTO!E67)),OFFSET($D67,1,$C67,ROW($C$508)-ROW($C67)),0))</f>
        <v>0</v>
      </c>
      <c r="L67" s="114" t="str">
        <f t="shared" ca="1" si="10"/>
        <v>F</v>
      </c>
      <c r="M67" s="115" t="s">
        <v>705</v>
      </c>
      <c r="N67" s="116" t="str">
        <f t="shared" ca="1" si="11"/>
        <v>Serviço</v>
      </c>
      <c r="O67" s="117" t="str">
        <f t="shared" ca="1" si="12"/>
        <v>1.5.1.1.6.</v>
      </c>
      <c r="P67" s="118" t="s">
        <v>750</v>
      </c>
      <c r="Q67" s="119" t="s">
        <v>1020</v>
      </c>
      <c r="R67" s="120" t="str">
        <f ca="1">IF($C67="S",REFERENCIA.Descricao,"(digite a descrição aqui)")</f>
        <v>CARGA, MANOBRA E DESCARGA DE SOLOS E MATERIAIS GRANULARES EM CAMINHÃO BASCULANTE 18 M³ - CARGA COM ESCAVADEIRA HIDRÁULICA (CAÇAMBA DE 1,20 M³ / 155 HP) E DESCARGA LIVRE (UNIDADE: M3). AF_07/2020</v>
      </c>
      <c r="S67" s="121" t="str">
        <f ca="1">REFERENCIA.Unidade</f>
        <v>M3</v>
      </c>
      <c r="T67" s="122">
        <f ca="1">OFFSET(CÁLCULO!H$15,ROW($T67)-ROW(T$15),0)</f>
        <v>176.43</v>
      </c>
      <c r="U67" s="123">
        <f t="shared" ca="1" si="21"/>
        <v>6.52</v>
      </c>
      <c r="V67" s="124" t="s">
        <v>663</v>
      </c>
      <c r="W67" s="122">
        <f ca="1">IF($C67="S",ROUND(IF(TIPOORCAMENTO="Proposto",ORÇAMENTO.CustoUnitario*(1+$AH67),ORÇAMENTO.PrecoUnitarioLicitado),15-13*$AF$10),0)</f>
        <v>8.0500000000000007</v>
      </c>
      <c r="X67" s="125" cm="1">
        <f t="array" aca="1" ref="X67" ca="1">IF($C67="S",IF(OR(Import.TipoArredondamento&lt;&gt;"TransfereGOV",ACOMPANHAMENTO="BM"),VTOTAL1,SUM(OFFSET(CÁLCULO!$AI$15,ROW($X67)-ROW($X$15),1):OFFSET(CÁLCULO!$BB$15,ROW($X67)-ROW($X$15),-1))),IF($C67=0,0,ROUND(SomaAgrup,15-13*$AF$11)))</f>
        <v>1420.26</v>
      </c>
      <c r="Y67" s="126" t="s">
        <v>751</v>
      </c>
      <c r="Z67" t="str">
        <f t="shared" ca="1" si="13"/>
        <v>RA</v>
      </c>
      <c r="AA67" s="127">
        <f ca="1">IF($C67="S",IF($Z67="CP",$X67,IF($Z67="RA",(($X67)*QCI!$AA$3),0)),SomaAgrup)</f>
        <v>0</v>
      </c>
      <c r="AB67" s="128">
        <f t="shared" ca="1" si="14"/>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IF(C67&lt;=CRONO.NivelExibicao,MAX($AD$15:OFFSET(AD67,-1,0))+IF($C67&lt;&gt;1,1,MAX(1,COUNTIF(QCI!$A$13:$A$15,OFFSET($E67,-1,0)))),"")</f>
        <v/>
      </c>
      <c r="AE67" s="7" t="str">
        <f ca="1">IF(AND($C67="S",ORÇAMENTO.CodBarra&lt;&gt;""),IF(ORÇAMENTO.Fonte="",ORÇAMENTO.CodBarra,CONCATENATE(ORÇAMENTO.Fonte," ",ORÇAMENTO.CodBarra)))</f>
        <v>SINAPI 100980</v>
      </c>
      <c r="AF67" s="12">
        <f ca="1">IF(ISERROR(INDIRECT(ORÇAMENTO.BancoRef)),"(abra o arquivo 'Referência "&amp;Excel_BuiltIn_Database&amp;".xlsm)",IF(OR($C67&lt;&gt;"S",ORÇAMENTO.CodBarra=""),"(Sem Código)",IF(ISERROR(MATCH($AE67,INDIRECT(ORÇAMENTO.BancoRef),0)),"(Código não identificado nas referências)",MATCH($AE67,INDIRECT(ORÇAMENTO.BancoRef),0))))</f>
        <v>15290</v>
      </c>
      <c r="AG67" s="428">
        <f ca="1">ROUND(IF(DESONERACAO="sim",REFERENCIA.Desonerado,REFERENCIA.NaoDesonerado),2)</f>
        <v>6.52</v>
      </c>
      <c r="AH67" s="429">
        <f t="shared" ca="1" si="15"/>
        <v>0.23499999999999999</v>
      </c>
      <c r="AJ67" s="431">
        <f>ROUND(((PI()*0.6^2)/4)*10*48*1.3,2)</f>
        <v>176.43</v>
      </c>
      <c r="AL67" s="439"/>
      <c r="AM67" s="336">
        <f t="shared" ca="1" si="0"/>
        <v>1420.26</v>
      </c>
      <c r="AN67" s="470">
        <f t="shared" ca="1" si="16"/>
        <v>8.0500000000000007</v>
      </c>
    </row>
    <row r="68" spans="1:40" ht="38.25" x14ac:dyDescent="0.2">
      <c r="A68" t="str">
        <f t="shared" si="1"/>
        <v>S</v>
      </c>
      <c r="B68">
        <f t="shared" ca="1" si="2"/>
        <v>4</v>
      </c>
      <c r="C68" t="str">
        <f t="shared" ca="1" si="3"/>
        <v>S</v>
      </c>
      <c r="D68">
        <f t="shared" ca="1" si="4"/>
        <v>0</v>
      </c>
      <c r="E68">
        <f ca="1">IF($C68=1,OFFSET(E68,-1,0)+MAX(1,COUNTIF(QCI!$A$13:$A$15,OFFSET(ORÇAMENTO!E68,-1,0))),OFFSET(E68,-1,0))</f>
        <v>1</v>
      </c>
      <c r="F68">
        <f t="shared" ca="1" si="5"/>
        <v>5</v>
      </c>
      <c r="G68">
        <f t="shared" ca="1" si="6"/>
        <v>1</v>
      </c>
      <c r="H68">
        <f t="shared" ca="1" si="7"/>
        <v>1</v>
      </c>
      <c r="I68">
        <f t="shared" ca="1" si="8"/>
        <v>7</v>
      </c>
      <c r="J68">
        <f t="shared" ca="1" si="9"/>
        <v>0</v>
      </c>
      <c r="K68">
        <f ca="1">IF(OR($C68="S",$C68=0),0,MATCH(OFFSET($D68,0,$C68)+IF($C68&lt;&gt;1,1,COUNTIF(QCI!$A$13:$A$15,ORÇAMENTO!E68)),OFFSET($D68,1,$C68,ROW($C$508)-ROW($C68)),0))</f>
        <v>0</v>
      </c>
      <c r="L68" s="114" t="str">
        <f t="shared" ca="1" si="10"/>
        <v>F</v>
      </c>
      <c r="M68" s="115" t="s">
        <v>705</v>
      </c>
      <c r="N68" s="116" t="str">
        <f t="shared" ca="1" si="11"/>
        <v>Serviço</v>
      </c>
      <c r="O68" s="117" t="str">
        <f t="shared" ca="1" si="12"/>
        <v>1.5.1.1.7.</v>
      </c>
      <c r="P68" s="118" t="s">
        <v>750</v>
      </c>
      <c r="Q68" s="119" t="s">
        <v>1021</v>
      </c>
      <c r="R68" s="120" t="str">
        <f ca="1">IF($C68="S",REFERENCIA.Descricao,"(digite a descrição aqui)")</f>
        <v>TRANSPORTE COM CAMINHÃO BASCULANTE DE 18 M³, EM VIA URBANA PAVIMENTADA, DMT ATÉ 30 KM (UNIDADE: M3XKM). AF_07/2020</v>
      </c>
      <c r="S68" s="121" t="str">
        <f ca="1">REFERENCIA.Unidade</f>
        <v>M3XKM</v>
      </c>
      <c r="T68" s="122">
        <f ca="1">OFFSET(CÁLCULO!H$15,ROW($T68)-ROW(T$15),0)</f>
        <v>1358.51</v>
      </c>
      <c r="U68" s="123">
        <f t="shared" ca="1" si="21"/>
        <v>1.9</v>
      </c>
      <c r="V68" s="124" t="s">
        <v>663</v>
      </c>
      <c r="W68" s="122">
        <f ca="1">IF($C68="S",ROUND(IF(TIPOORCAMENTO="Proposto",ORÇAMENTO.CustoUnitario*(1+$AH68),ORÇAMENTO.PrecoUnitarioLicitado),15-13*$AF$10),0)</f>
        <v>2.35</v>
      </c>
      <c r="X68" s="125" cm="1">
        <f t="array" aca="1" ref="X68" ca="1">IF($C68="S",IF(OR(Import.TipoArredondamento&lt;&gt;"TransfereGOV",ACOMPANHAMENTO="BM"),VTOTAL1,SUM(OFFSET(CÁLCULO!$AI$15,ROW($X68)-ROW($X$15),1):OFFSET(CÁLCULO!$BB$15,ROW($X68)-ROW($X$15),-1))),IF($C68=0,0,ROUND(SomaAgrup,15-13*$AF$11)))</f>
        <v>3192.5</v>
      </c>
      <c r="Y68" s="126" t="s">
        <v>751</v>
      </c>
      <c r="Z68" t="str">
        <f t="shared" ca="1" si="13"/>
        <v>RA</v>
      </c>
      <c r="AA68" s="127">
        <f ca="1">IF($C68="S",IF($Z68="CP",$X68,IF($Z68="RA",(($X68)*QCI!$AA$3),0)),SomaAgrup)</f>
        <v>0</v>
      </c>
      <c r="AB68" s="128">
        <f t="shared" ca="1" si="14"/>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IF(C68&lt;=CRONO.NivelExibicao,MAX($AD$15:OFFSET(AD68,-1,0))+IF($C68&lt;&gt;1,1,MAX(1,COUNTIF(QCI!$A$13:$A$15,OFFSET($E68,-1,0)))),"")</f>
        <v/>
      </c>
      <c r="AE68" s="7" t="str">
        <f ca="1">IF(AND($C68="S",ORÇAMENTO.CodBarra&lt;&gt;""),IF(ORÇAMENTO.Fonte="",ORÇAMENTO.CodBarra,CONCATENATE(ORÇAMENTO.Fonte," ",ORÇAMENTO.CodBarra)))</f>
        <v>SINAPI 95877</v>
      </c>
      <c r="AF68" s="12">
        <f ca="1">IF(ISERROR(INDIRECT(ORÇAMENTO.BancoRef)),"(abra o arquivo 'Referência "&amp;Excel_BuiltIn_Database&amp;".xlsm)",IF(OR($C68&lt;&gt;"S",ORÇAMENTO.CodBarra=""),"(Sem Código)",IF(ISERROR(MATCH($AE68,INDIRECT(ORÇAMENTO.BancoRef),0)),"(Código não identificado nas referências)",MATCH($AE68,INDIRECT(ORÇAMENTO.BancoRef),0))))</f>
        <v>15362</v>
      </c>
      <c r="AG68" s="428">
        <f ca="1">ROUND(IF(DESONERACAO="sim",REFERENCIA.Desonerado,REFERENCIA.NaoDesonerado),2)</f>
        <v>1.9</v>
      </c>
      <c r="AH68" s="429">
        <f t="shared" ca="1" si="15"/>
        <v>0.23499999999999999</v>
      </c>
      <c r="AJ68" s="431">
        <f>ROUND(AJ67*7.7,2)</f>
        <v>1358.51</v>
      </c>
      <c r="AL68" s="439"/>
      <c r="AM68" s="336">
        <f t="shared" ca="1" si="0"/>
        <v>3192.5</v>
      </c>
      <c r="AN68" s="470">
        <f t="shared" ca="1" si="16"/>
        <v>2.35</v>
      </c>
    </row>
    <row r="69" spans="1:40" ht="25.5" x14ac:dyDescent="0.2">
      <c r="A69" t="str">
        <f t="shared" si="1"/>
        <v>S</v>
      </c>
      <c r="B69">
        <f t="shared" ca="1" si="2"/>
        <v>4</v>
      </c>
      <c r="C69" t="str">
        <f t="shared" ca="1" si="3"/>
        <v>S</v>
      </c>
      <c r="D69">
        <f t="shared" ca="1" si="4"/>
        <v>0</v>
      </c>
      <c r="E69">
        <f ca="1">IF($C69=1,OFFSET(E69,-1,0)+MAX(1,COUNTIF(QCI!$A$13:$A$15,OFFSET(ORÇAMENTO!E69,-1,0))),OFFSET(E69,-1,0))</f>
        <v>1</v>
      </c>
      <c r="F69">
        <f t="shared" ca="1" si="5"/>
        <v>5</v>
      </c>
      <c r="G69">
        <f t="shared" ca="1" si="6"/>
        <v>1</v>
      </c>
      <c r="H69">
        <f t="shared" ca="1" si="7"/>
        <v>1</v>
      </c>
      <c r="I69">
        <f t="shared" ca="1" si="8"/>
        <v>8</v>
      </c>
      <c r="J69">
        <f t="shared" ca="1" si="9"/>
        <v>0</v>
      </c>
      <c r="K69">
        <f ca="1">IF(OR($C69="S",$C69=0),0,MATCH(OFFSET($D69,0,$C69)+IF($C69&lt;&gt;1,1,COUNTIF(QCI!$A$13:$A$15,ORÇAMENTO!E69)),OFFSET($D69,1,$C69,ROW($C$508)-ROW($C69)),0))</f>
        <v>0</v>
      </c>
      <c r="L69" s="114" t="str">
        <f t="shared" ca="1" si="10"/>
        <v>F</v>
      </c>
      <c r="M69" s="115" t="s">
        <v>705</v>
      </c>
      <c r="N69" s="116" t="str">
        <f t="shared" ca="1" si="11"/>
        <v>Serviço</v>
      </c>
      <c r="O69" s="117" t="str">
        <f t="shared" ca="1" si="12"/>
        <v>1.5.1.1.8.</v>
      </c>
      <c r="P69" s="118" t="s">
        <v>750</v>
      </c>
      <c r="Q69" s="119" t="s">
        <v>1014</v>
      </c>
      <c r="R69" s="120" t="str">
        <f ca="1">IF($C69="S",REFERENCIA.Descricao,"(digite a descrição aqui)")</f>
        <v>ESPALHAMENTO DE MATERIAL COM TRATOR DE ESTEIRAS. AF_09/2024</v>
      </c>
      <c r="S69" s="121" t="str">
        <f ca="1">REFERENCIA.Unidade</f>
        <v>M3</v>
      </c>
      <c r="T69" s="122">
        <f ca="1">OFFSET(CÁLCULO!H$15,ROW($T69)-ROW(T$15),0)</f>
        <v>176.43</v>
      </c>
      <c r="U69" s="123">
        <f t="shared" ca="1" si="21"/>
        <v>1.49</v>
      </c>
      <c r="V69" s="124" t="s">
        <v>663</v>
      </c>
      <c r="W69" s="122">
        <f ca="1">IF($C69="S",ROUND(IF(TIPOORCAMENTO="Proposto",ORÇAMENTO.CustoUnitario*(1+$AH69),ORÇAMENTO.PrecoUnitarioLicitado),15-13*$AF$10),0)</f>
        <v>1.84</v>
      </c>
      <c r="X69" s="125" cm="1">
        <f t="array" aca="1" ref="X69" ca="1">IF($C69="S",IF(OR(Import.TipoArredondamento&lt;&gt;"TransfereGOV",ACOMPANHAMENTO="BM"),VTOTAL1,SUM(OFFSET(CÁLCULO!$AI$15,ROW($X69)-ROW($X$15),1):OFFSET(CÁLCULO!$BB$15,ROW($X69)-ROW($X$15),-1))),IF($C69=0,0,ROUND(SomaAgrup,15-13*$AF$11)))</f>
        <v>324.63</v>
      </c>
      <c r="Y69" s="126" t="s">
        <v>751</v>
      </c>
      <c r="Z69" t="str">
        <f t="shared" ca="1" si="13"/>
        <v>RA</v>
      </c>
      <c r="AA69" s="127">
        <f ca="1">IF($C69="S",IF($Z69="CP",$X69,IF($Z69="RA",(($X69)*QCI!$AA$3),0)),SomaAgrup)</f>
        <v>0</v>
      </c>
      <c r="AB69" s="128">
        <f t="shared" ca="1" si="14"/>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IF(C69&lt;=CRONO.NivelExibicao,MAX($AD$15:OFFSET(AD69,-1,0))+IF($C69&lt;&gt;1,1,MAX(1,COUNTIF(QCI!$A$13:$A$15,OFFSET($E69,-1,0)))),"")</f>
        <v/>
      </c>
      <c r="AE69" s="7" t="str">
        <f ca="1">IF(AND($C69="S",ORÇAMENTO.CodBarra&lt;&gt;""),IF(ORÇAMENTO.Fonte="",ORÇAMENTO.CodBarra,CONCATENATE(ORÇAMENTO.Fonte," ",ORÇAMENTO.CodBarra)))</f>
        <v>SINAPI 100574</v>
      </c>
      <c r="AF69" s="12">
        <f ca="1">IF(ISERROR(INDIRECT(ORÇAMENTO.BancoRef)),"(abra o arquivo 'Referência "&amp;Excel_BuiltIn_Database&amp;".xlsm)",IF(OR($C69&lt;&gt;"S",ORÇAMENTO.CodBarra=""),"(Sem Código)",IF(ISERROR(MATCH($AE69,INDIRECT(ORÇAMENTO.BancoRef),0)),"(Código não identificado nas referências)",MATCH($AE69,INDIRECT(ORÇAMENTO.BancoRef),0))))</f>
        <v>6916</v>
      </c>
      <c r="AG69" s="428">
        <f ca="1">ROUND(IF(DESONERACAO="sim",REFERENCIA.Desonerado,REFERENCIA.NaoDesonerado),2)</f>
        <v>1.49</v>
      </c>
      <c r="AH69" s="429">
        <f t="shared" ca="1" si="15"/>
        <v>0.23499999999999999</v>
      </c>
      <c r="AJ69" s="431">
        <f>AJ67</f>
        <v>176.43</v>
      </c>
      <c r="AL69" s="439"/>
      <c r="AM69" s="336">
        <f t="shared" ca="1" si="0"/>
        <v>324.63</v>
      </c>
      <c r="AN69" s="470">
        <f t="shared" ca="1" si="16"/>
        <v>1.84</v>
      </c>
    </row>
    <row r="70" spans="1:40" ht="25.5" x14ac:dyDescent="0.2">
      <c r="A70" t="str">
        <f t="shared" si="1"/>
        <v>S</v>
      </c>
      <c r="B70">
        <f t="shared" ca="1" si="2"/>
        <v>4</v>
      </c>
      <c r="C70" t="str">
        <f t="shared" ca="1" si="3"/>
        <v>S</v>
      </c>
      <c r="D70">
        <f t="shared" ca="1" si="4"/>
        <v>0</v>
      </c>
      <c r="E70">
        <f ca="1">IF($C70=1,OFFSET(E70,-1,0)+MAX(1,COUNTIF(QCI!$A$13:$A$15,OFFSET(ORÇAMENTO!E70,-1,0))),OFFSET(E70,-1,0))</f>
        <v>1</v>
      </c>
      <c r="F70">
        <f t="shared" ca="1" si="5"/>
        <v>5</v>
      </c>
      <c r="G70">
        <f t="shared" ca="1" si="6"/>
        <v>1</v>
      </c>
      <c r="H70">
        <f t="shared" ca="1" si="7"/>
        <v>1</v>
      </c>
      <c r="I70">
        <f t="shared" ca="1" si="8"/>
        <v>9</v>
      </c>
      <c r="J70">
        <f t="shared" ca="1" si="9"/>
        <v>0</v>
      </c>
      <c r="K70">
        <f ca="1">IF(OR($C70="S",$C70=0),0,MATCH(OFFSET($D70,0,$C70)+IF($C70&lt;&gt;1,1,COUNTIF(QCI!$A$13:$A$15,ORÇAMENTO!E70)),OFFSET($D70,1,$C70,ROW($C$508)-ROW($C70)),0))</f>
        <v>0</v>
      </c>
      <c r="L70" s="114" t="str">
        <f t="shared" ca="1" si="10"/>
        <v>F</v>
      </c>
      <c r="M70" s="115" t="s">
        <v>705</v>
      </c>
      <c r="N70" s="116" t="str">
        <f t="shared" ca="1" si="11"/>
        <v>Serviço</v>
      </c>
      <c r="O70" s="117" t="str">
        <f t="shared" ca="1" si="12"/>
        <v>1.5.1.1.9.</v>
      </c>
      <c r="P70" s="118" t="s">
        <v>750</v>
      </c>
      <c r="Q70" s="119" t="s">
        <v>1022</v>
      </c>
      <c r="R70" s="120" t="str">
        <f ca="1">IF($C70="S",REFERENCIA.Descricao,"(digite a descrição aqui)")</f>
        <v>ARRASAMENTO MECANICO DE ESTACA DE CONCRETO ARMADO, DIAMETROS DE 41 CM A 60 CM. AF_05/2021</v>
      </c>
      <c r="S70" s="121" t="str">
        <f ca="1">REFERENCIA.Unidade</f>
        <v>UN</v>
      </c>
      <c r="T70" s="122">
        <f ca="1">OFFSET(CÁLCULO!H$15,ROW($T70)-ROW(T$15),0)</f>
        <v>48</v>
      </c>
      <c r="U70" s="123">
        <f t="shared" ca="1" si="21"/>
        <v>29.98</v>
      </c>
      <c r="V70" s="124" t="s">
        <v>663</v>
      </c>
      <c r="W70" s="122">
        <f ca="1">IF($C70="S",ROUND(IF(TIPOORCAMENTO="Proposto",ORÇAMENTO.CustoUnitario*(1+$AH70),ORÇAMENTO.PrecoUnitarioLicitado),15-13*$AF$10),0)</f>
        <v>37.03</v>
      </c>
      <c r="X70" s="125" cm="1">
        <f t="array" aca="1" ref="X70" ca="1">IF($C70="S",IF(OR(Import.TipoArredondamento&lt;&gt;"TransfereGOV",ACOMPANHAMENTO="BM"),VTOTAL1,SUM(OFFSET(CÁLCULO!$AI$15,ROW($X70)-ROW($X$15),1):OFFSET(CÁLCULO!$BB$15,ROW($X70)-ROW($X$15),-1))),IF($C70=0,0,ROUND(SomaAgrup,15-13*$AF$11)))</f>
        <v>1777.44</v>
      </c>
      <c r="Y70" s="126" t="s">
        <v>751</v>
      </c>
      <c r="Z70" t="str">
        <f t="shared" ca="1" si="13"/>
        <v>RA</v>
      </c>
      <c r="AA70" s="127">
        <f ca="1">IF($C70="S",IF($Z70="CP",$X70,IF($Z70="RA",(($X70)*QCI!$AA$3),0)),SomaAgrup)</f>
        <v>0</v>
      </c>
      <c r="AB70" s="128">
        <f t="shared" ca="1" si="14"/>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IF(C70&lt;=CRONO.NivelExibicao,MAX($AD$15:OFFSET(AD70,-1,0))+IF($C70&lt;&gt;1,1,MAX(1,COUNTIF(QCI!$A$13:$A$15,OFFSET($E70,-1,0)))),"")</f>
        <v/>
      </c>
      <c r="AE70" s="7" t="str">
        <f ca="1">IF(AND($C70="S",ORÇAMENTO.CodBarra&lt;&gt;""),IF(ORÇAMENTO.Fonte="",ORÇAMENTO.CodBarra,CONCATENATE(ORÇAMENTO.Fonte," ",ORÇAMENTO.CodBarra)))</f>
        <v>SINAPI 95602</v>
      </c>
      <c r="AF70" s="12">
        <f ca="1">IF(ISERROR(INDIRECT(ORÇAMENTO.BancoRef)),"(abra o arquivo 'Referência "&amp;Excel_BuiltIn_Database&amp;".xlsm)",IF(OR($C70&lt;&gt;"S",ORÇAMENTO.CodBarra=""),"(Sem Código)",IF(ISERROR(MATCH($AE70,INDIRECT(ORÇAMENTO.BancoRef),0)),"(Código não identificado nas referências)",MATCH($AE70,INDIRECT(ORÇAMENTO.BancoRef),0))))</f>
        <v>6390</v>
      </c>
      <c r="AG70" s="428">
        <f ca="1">ROUND(IF(DESONERACAO="sim",REFERENCIA.Desonerado,REFERENCIA.NaoDesonerado),2)</f>
        <v>29.98</v>
      </c>
      <c r="AH70" s="429">
        <f t="shared" ca="1" si="15"/>
        <v>0.23499999999999999</v>
      </c>
      <c r="AJ70" s="431">
        <v>48</v>
      </c>
      <c r="AL70" s="439"/>
      <c r="AM70" s="336">
        <f t="shared" ca="1" si="0"/>
        <v>1777.44</v>
      </c>
      <c r="AN70" s="470">
        <f t="shared" ca="1" si="16"/>
        <v>37.03</v>
      </c>
    </row>
    <row r="71" spans="1:40" x14ac:dyDescent="0.2">
      <c r="A71" t="str">
        <f t="shared" si="1"/>
        <v>S</v>
      </c>
      <c r="B71">
        <f t="shared" ca="1" si="2"/>
        <v>4</v>
      </c>
      <c r="C71" t="str">
        <f t="shared" ca="1" si="3"/>
        <v>S</v>
      </c>
      <c r="D71">
        <f t="shared" ca="1" si="4"/>
        <v>0</v>
      </c>
      <c r="E71">
        <f ca="1">IF($C71=1,OFFSET(E71,-1,0)+MAX(1,COUNTIF(QCI!$A$13:$A$15,OFFSET(ORÇAMENTO!E71,-1,0))),OFFSET(E71,-1,0))</f>
        <v>1</v>
      </c>
      <c r="F71">
        <f t="shared" ca="1" si="5"/>
        <v>5</v>
      </c>
      <c r="G71">
        <f t="shared" ca="1" si="6"/>
        <v>1</v>
      </c>
      <c r="H71">
        <f t="shared" ca="1" si="7"/>
        <v>1</v>
      </c>
      <c r="I71">
        <f t="shared" ca="1" si="8"/>
        <v>10</v>
      </c>
      <c r="J71">
        <f t="shared" ca="1" si="9"/>
        <v>0</v>
      </c>
      <c r="K71">
        <f ca="1">IF(OR($C71="S",$C71=0),0,MATCH(OFFSET($D71,0,$C71)+IF($C71&lt;&gt;1,1,COUNTIF(QCI!$A$13:$A$15,ORÇAMENTO!E71)),OFFSET($D71,1,$C71,ROW($C$508)-ROW($C71)),0))</f>
        <v>0</v>
      </c>
      <c r="L71" s="114" t="str">
        <f t="shared" ca="1" si="10"/>
        <v>F</v>
      </c>
      <c r="M71" s="115" t="s">
        <v>705</v>
      </c>
      <c r="N71" s="116" t="str">
        <f t="shared" ca="1" si="11"/>
        <v>Serviço</v>
      </c>
      <c r="O71" s="117" t="str">
        <f t="shared" ca="1" si="12"/>
        <v>1.5.1.1.10.</v>
      </c>
      <c r="P71" s="118" t="s">
        <v>1280</v>
      </c>
      <c r="Q71" s="119" t="s">
        <v>1023</v>
      </c>
      <c r="R71" s="120" t="str">
        <f ca="1">IF($C71="S",REFERENCIA.Descricao,"(digite a descrição aqui)")</f>
        <v>ENSAIO DE RESISTENCIA A COMPRESSAO SIMPLES - CONCRETO</v>
      </c>
      <c r="S71" s="121" t="str">
        <f ca="1">REFERENCIA.Unidade</f>
        <v>UN</v>
      </c>
      <c r="T71" s="122">
        <f ca="1">OFFSET(CÁLCULO!H$15,ROW($T71)-ROW(T$15),0)</f>
        <v>69</v>
      </c>
      <c r="U71" s="123">
        <f t="shared" ca="1" si="21"/>
        <v>100.21</v>
      </c>
      <c r="V71" s="124" t="s">
        <v>663</v>
      </c>
      <c r="W71" s="122">
        <f ca="1">IF($C71="S",ROUND(IF(TIPOORCAMENTO="Proposto",ORÇAMENTO.CustoUnitario*(1+$AH71),ORÇAMENTO.PrecoUnitarioLicitado),15-13*$AF$10),0)</f>
        <v>123.76</v>
      </c>
      <c r="X71" s="125" cm="1">
        <f t="array" aca="1" ref="X71" ca="1">IF($C71="S",IF(OR(Import.TipoArredondamento&lt;&gt;"TransfereGOV",ACOMPANHAMENTO="BM"),VTOTAL1,SUM(OFFSET(CÁLCULO!$AI$15,ROW($X71)-ROW($X$15),1):OFFSET(CÁLCULO!$BB$15,ROW($X71)-ROW($X$15),-1))),IF($C71=0,0,ROUND(SomaAgrup,15-13*$AF$11)))</f>
        <v>8539.44</v>
      </c>
      <c r="Y71" s="126" t="s">
        <v>751</v>
      </c>
      <c r="Z71" t="str">
        <f t="shared" ca="1" si="13"/>
        <v>RA</v>
      </c>
      <c r="AA71" s="127">
        <f ca="1">IF($C71="S",IF($Z71="CP",$X71,IF($Z71="RA",(($X71)*QCI!$AA$3),0)),SomaAgrup)</f>
        <v>0</v>
      </c>
      <c r="AB71" s="128">
        <f t="shared" ca="1" si="14"/>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IF(C71&lt;=CRONO.NivelExibicao,MAX($AD$15:OFFSET(AD71,-1,0))+IF($C71&lt;&gt;1,1,MAX(1,COUNTIF(QCI!$A$13:$A$15,OFFSET($E71,-1,0)))),"")</f>
        <v/>
      </c>
      <c r="AE71" s="7" t="str">
        <f ca="1">IF(AND($C71="S",ORÇAMENTO.CodBarra&lt;&gt;""),IF(ORÇAMENTO.Fonte="",ORÇAMENTO.CodBarra,CONCATENATE(ORÇAMENTO.Fonte," ",ORÇAMENTO.CodBarra)))</f>
        <v>SETOP ED-49546</v>
      </c>
      <c r="AF71" s="12">
        <f ca="1">IF(ISERROR(INDIRECT(ORÇAMENTO.BancoRef)),"(abra o arquivo 'Referência "&amp;Excel_BuiltIn_Database&amp;".xlsm)",IF(OR($C71&lt;&gt;"S",ORÇAMENTO.CodBarra=""),"(Sem Código)",IF(ISERROR(MATCH($AE71,INDIRECT(ORÇAMENTO.BancoRef),0)),"(Código não identificado nas referências)",MATCH($AE71,INDIRECT(ORÇAMENTO.BancoRef),0))))</f>
        <v>30193</v>
      </c>
      <c r="AG71" s="428">
        <f ca="1">ROUND(IF(DESONERACAO="sim",REFERENCIA.Desonerado,REFERENCIA.NaoDesonerado),2)</f>
        <v>100.21</v>
      </c>
      <c r="AH71" s="429">
        <f t="shared" ca="1" si="15"/>
        <v>0.23499999999999999</v>
      </c>
      <c r="AJ71" s="431">
        <f>ROUND(AJ64/8*4,0)</f>
        <v>69</v>
      </c>
      <c r="AL71" s="439"/>
      <c r="AM71" s="336">
        <f t="shared" ca="1" si="0"/>
        <v>8539.44</v>
      </c>
      <c r="AN71" s="470">
        <f t="shared" ca="1" si="16"/>
        <v>123.76</v>
      </c>
    </row>
    <row r="72" spans="1:40" x14ac:dyDescent="0.2">
      <c r="A72">
        <f t="shared" si="1"/>
        <v>4</v>
      </c>
      <c r="B72">
        <f t="shared" ca="1" si="2"/>
        <v>4</v>
      </c>
      <c r="C72">
        <f t="shared" ca="1" si="3"/>
        <v>4</v>
      </c>
      <c r="D72">
        <f t="shared" ca="1" si="4"/>
        <v>15</v>
      </c>
      <c r="E72">
        <f ca="1">IF($C72=1,OFFSET(E72,-1,0)+MAX(1,COUNTIF(QCI!$A$13:$A$15,OFFSET(ORÇAMENTO!E72,-1,0))),OFFSET(E72,-1,0))</f>
        <v>1</v>
      </c>
      <c r="F72">
        <f t="shared" ca="1" si="5"/>
        <v>5</v>
      </c>
      <c r="G72">
        <f t="shared" ca="1" si="6"/>
        <v>1</v>
      </c>
      <c r="H72">
        <f t="shared" ca="1" si="7"/>
        <v>2</v>
      </c>
      <c r="I72">
        <f t="shared" ca="1" si="8"/>
        <v>0</v>
      </c>
      <c r="J72">
        <f t="shared" ca="1" si="9"/>
        <v>33</v>
      </c>
      <c r="K72">
        <f ca="1">IF(OR($C72="S",$C72=0),0,MATCH(OFFSET($D72,0,$C72)+IF($C72&lt;&gt;1,1,COUNTIF(QCI!$A$13:$A$15,ORÇAMENTO!E72)),OFFSET($D72,1,$C72,ROW($C$508)-ROW($C72)),0))</f>
        <v>15</v>
      </c>
      <c r="L72" s="114" t="str">
        <f t="shared" ca="1" si="10"/>
        <v>F</v>
      </c>
      <c r="M72" s="115" t="s">
        <v>704</v>
      </c>
      <c r="N72" s="116" t="str">
        <f t="shared" ca="1" si="11"/>
        <v>Nível 4</v>
      </c>
      <c r="O72" s="117" t="str">
        <f t="shared" ca="1" si="12"/>
        <v>1.5.1.2.</v>
      </c>
      <c r="P72" s="118" t="s">
        <v>750</v>
      </c>
      <c r="Q72" s="119"/>
      <c r="R72" s="120" t="s">
        <v>1219</v>
      </c>
      <c r="S72" s="121" t="s">
        <v>688</v>
      </c>
      <c r="T72" s="122">
        <f ca="1">OFFSET(CÁLCULO!H$15,ROW($T72)-ROW(T$15),0)</f>
        <v>0</v>
      </c>
      <c r="U72" s="123">
        <f t="shared" ca="1" si="21"/>
        <v>0</v>
      </c>
      <c r="V72" s="124" t="s">
        <v>663</v>
      </c>
      <c r="W72" s="122">
        <f ca="1">IF($C72="S",ROUND(IF(TIPOORCAMENTO="Proposto",ORÇAMENTO.CustoUnitario*(1+$AH72),ORÇAMENTO.PrecoUnitarioLicitado),15-13*$AF$10),0)</f>
        <v>0</v>
      </c>
      <c r="X72" s="125" cm="1">
        <f t="array" aca="1" ref="X72" ca="1">IF($C72="S",IF(OR(Import.TipoArredondamento&lt;&gt;"TransfereGOV",ACOMPANHAMENTO="BM"),VTOTAL1,SUM(OFFSET(CÁLCULO!$AI$15,ROW($X72)-ROW($X$15),1):OFFSET(CÁLCULO!$BB$15,ROW($X72)-ROW($X$15),-1))),IF($C72=0,0,ROUND(SomaAgrup,15-13*$AF$11)))</f>
        <v>2399.19</v>
      </c>
      <c r="Y72" s="126" t="s">
        <v>751</v>
      </c>
      <c r="Z72" t="str">
        <f t="shared" ca="1" si="13"/>
        <v/>
      </c>
      <c r="AA72" s="127">
        <f ca="1">IF($C72="S",IF($Z72="CP",$X72,IF($Z72="RA",(($X72)*QCI!$AA$3),0)),SomaAgrup)</f>
        <v>0</v>
      </c>
      <c r="AB72" s="128">
        <f t="shared" ca="1" si="14"/>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IF(C72&lt;=CRONO.NivelExibicao,MAX($AD$15:OFFSET(AD72,-1,0))+IF($C72&lt;&gt;1,1,MAX(1,COUNTIF(QCI!$A$13:$A$15,OFFSET($E72,-1,0)))),"")</f>
        <v/>
      </c>
      <c r="AE72" s="7" t="b">
        <f ca="1">IF(AND($C72="S",ORÇAMENTO.CodBarra&lt;&gt;""),IF(ORÇAMENTO.Fonte="",ORÇAMENTO.CodBarra,CONCATENATE(ORÇAMENTO.Fonte," ",ORÇAMENTO.CodBarra)))</f>
        <v>0</v>
      </c>
      <c r="AF72" s="12" t="str">
        <f ca="1">IF(ISERROR(INDIRECT(ORÇAMENTO.BancoRef)),"(abra o arquivo 'Referência "&amp;Excel_BuiltIn_Database&amp;".xlsm)",IF(OR($C72&lt;&gt;"S",ORÇAMENTO.CodBarra=""),"(Sem Código)",IF(ISERROR(MATCH($AE72,INDIRECT(ORÇAMENTO.BancoRef),0)),"(Código não identificado nas referências)",MATCH($AE72,INDIRECT(ORÇAMENTO.BancoRef),0))))</f>
        <v>(Sem Código)</v>
      </c>
      <c r="AG72" s="428">
        <f ca="1">ROUND(IF(DESONERACAO="sim",REFERENCIA.Desonerado,REFERENCIA.NaoDesonerado),2)</f>
        <v>0</v>
      </c>
      <c r="AH72" s="429">
        <f t="shared" ca="1" si="15"/>
        <v>0.23499999999999999</v>
      </c>
      <c r="AJ72" s="431"/>
      <c r="AL72" s="439"/>
      <c r="AM72" s="336">
        <f t="shared" ca="1" si="0"/>
        <v>2399.19</v>
      </c>
      <c r="AN72" s="470">
        <f t="shared" ca="1" si="16"/>
        <v>0</v>
      </c>
    </row>
    <row r="73" spans="1:40" ht="38.25" x14ac:dyDescent="0.2">
      <c r="A73" t="str">
        <f t="shared" si="1"/>
        <v>S</v>
      </c>
      <c r="B73">
        <f t="shared" ca="1" si="2"/>
        <v>4</v>
      </c>
      <c r="C73" t="str">
        <f t="shared" ca="1" si="3"/>
        <v>S</v>
      </c>
      <c r="D73">
        <f t="shared" ca="1" si="4"/>
        <v>0</v>
      </c>
      <c r="E73">
        <f ca="1">IF($C73=1,OFFSET(E73,-1,0)+MAX(1,COUNTIF(QCI!$A$13:$A$15,OFFSET(ORÇAMENTO!E73,-1,0))),OFFSET(E73,-1,0))</f>
        <v>1</v>
      </c>
      <c r="F73">
        <f t="shared" ca="1" si="5"/>
        <v>5</v>
      </c>
      <c r="G73">
        <f t="shared" ca="1" si="6"/>
        <v>1</v>
      </c>
      <c r="H73">
        <f t="shared" ca="1" si="7"/>
        <v>2</v>
      </c>
      <c r="I73">
        <f t="shared" ca="1" si="8"/>
        <v>1</v>
      </c>
      <c r="J73">
        <f t="shared" ca="1" si="9"/>
        <v>0</v>
      </c>
      <c r="K73">
        <f ca="1">IF(OR($C73="S",$C73=0),0,MATCH(OFFSET($D73,0,$C73)+IF($C73&lt;&gt;1,1,COUNTIF(QCI!$A$13:$A$15,ORÇAMENTO!E73)),OFFSET($D73,1,$C73,ROW($C$508)-ROW($C73)),0))</f>
        <v>0</v>
      </c>
      <c r="L73" s="114" t="str">
        <f t="shared" ca="1" si="10"/>
        <v>F</v>
      </c>
      <c r="M73" s="115" t="s">
        <v>705</v>
      </c>
      <c r="N73" s="116" t="str">
        <f t="shared" ca="1" si="11"/>
        <v>Serviço</v>
      </c>
      <c r="O73" s="117" t="str">
        <f t="shared" ca="1" si="12"/>
        <v>1.5.1.2.1.</v>
      </c>
      <c r="P73" s="118" t="s">
        <v>750</v>
      </c>
      <c r="Q73" s="119">
        <v>96527</v>
      </c>
      <c r="R73" s="120" t="str">
        <f ca="1">IF($C73="S",REFERENCIA.Descricao,"(digite a descrição aqui)")</f>
        <v>ESCAVAÇÃO MANUAL PARA VIGA BALDRAME OU SAPATA CORRIDA (INCLUINDO ESCAVAÇÃO PARA COLOCAÇÃO DE FÔRMAS). AF_01/2024</v>
      </c>
      <c r="S73" s="121" t="str">
        <f ca="1">REFERENCIA.Unidade</f>
        <v>M3</v>
      </c>
      <c r="T73" s="122">
        <f ca="1">OFFSET(CÁLCULO!H$15,ROW($T73)-ROW(T$15),0)</f>
        <v>5.91</v>
      </c>
      <c r="U73" s="123">
        <f t="shared" ca="1" si="21"/>
        <v>110.9</v>
      </c>
      <c r="V73" s="124" t="s">
        <v>663</v>
      </c>
      <c r="W73" s="122">
        <f ca="1">IF($C73="S",ROUND(IF(TIPOORCAMENTO="Proposto",ORÇAMENTO.CustoUnitario*(1+$AH73),ORÇAMENTO.PrecoUnitarioLicitado),15-13*$AF$10),0)</f>
        <v>136.96</v>
      </c>
      <c r="X73" s="125" cm="1">
        <f t="array" aca="1" ref="X73" ca="1">IF($C73="S",IF(OR(Import.TipoArredondamento&lt;&gt;"TransfereGOV",ACOMPANHAMENTO="BM"),VTOTAL1,SUM(OFFSET(CÁLCULO!$AI$15,ROW($X73)-ROW($X$15),1):OFFSET(CÁLCULO!$BB$15,ROW($X73)-ROW($X$15),-1))),IF($C73=0,0,ROUND(SomaAgrup,15-13*$AF$11)))</f>
        <v>809.43</v>
      </c>
      <c r="Y73" s="126" t="s">
        <v>751</v>
      </c>
      <c r="Z73" t="str">
        <f t="shared" ca="1" si="13"/>
        <v>RA</v>
      </c>
      <c r="AA73" s="127">
        <f ca="1">IF($C73="S",IF($Z73="CP",$X73,IF($Z73="RA",(($X73)*QCI!$AA$3),0)),SomaAgrup)</f>
        <v>0</v>
      </c>
      <c r="AB73" s="128">
        <f t="shared" ca="1" si="14"/>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IF(C73&lt;=CRONO.NivelExibicao,MAX($AD$15:OFFSET(AD73,-1,0))+IF($C73&lt;&gt;1,1,MAX(1,COUNTIF(QCI!$A$13:$A$15,OFFSET($E73,-1,0)))),"")</f>
        <v/>
      </c>
      <c r="AE73" s="7" t="str">
        <f ca="1">IF(AND($C73="S",ORÇAMENTO.CodBarra&lt;&gt;""),IF(ORÇAMENTO.Fonte="",ORÇAMENTO.CodBarra,CONCATENATE(ORÇAMENTO.Fonte," ",ORÇAMENTO.CodBarra)))</f>
        <v>SINAPI 96527</v>
      </c>
      <c r="AF73" s="12">
        <f ca="1">IF(ISERROR(INDIRECT(ORÇAMENTO.BancoRef)),"(abra o arquivo 'Referência "&amp;Excel_BuiltIn_Database&amp;".xlsm)",IF(OR($C73&lt;&gt;"S",ORÇAMENTO.CodBarra=""),"(Sem Código)",IF(ISERROR(MATCH($AE73,INDIRECT(ORÇAMENTO.BancoRef),0)),"(Código não identificado nas referências)",MATCH($AE73,INDIRECT(ORÇAMENTO.BancoRef),0))))</f>
        <v>10011</v>
      </c>
      <c r="AG73" s="428">
        <f ca="1">ROUND(IF(DESONERACAO="sim",REFERENCIA.Desonerado,REFERENCIA.NaoDesonerado),2)</f>
        <v>110.9</v>
      </c>
      <c r="AH73" s="429">
        <f t="shared" ca="1" si="15"/>
        <v>0.23499999999999999</v>
      </c>
      <c r="AJ73" s="431">
        <f>ROUND(AJ74*1.25,2)</f>
        <v>5.91</v>
      </c>
      <c r="AL73" s="439"/>
      <c r="AM73" s="336">
        <f t="shared" ca="1" si="0"/>
        <v>809.43</v>
      </c>
      <c r="AN73" s="470">
        <f t="shared" ca="1" si="16"/>
        <v>136.96</v>
      </c>
    </row>
    <row r="74" spans="1:40" ht="25.5" x14ac:dyDescent="0.2">
      <c r="A74" t="str">
        <f t="shared" si="1"/>
        <v>S</v>
      </c>
      <c r="B74">
        <f t="shared" ca="1" si="2"/>
        <v>4</v>
      </c>
      <c r="C74" t="str">
        <f t="shared" ca="1" si="3"/>
        <v>S</v>
      </c>
      <c r="D74">
        <f t="shared" ca="1" si="4"/>
        <v>0</v>
      </c>
      <c r="E74">
        <f ca="1">IF($C74=1,OFFSET(E74,-1,0)+MAX(1,COUNTIF(QCI!$A$13:$A$15,OFFSET(ORÇAMENTO!E74,-1,0))),OFFSET(E74,-1,0))</f>
        <v>1</v>
      </c>
      <c r="F74">
        <f t="shared" ca="1" si="5"/>
        <v>5</v>
      </c>
      <c r="G74">
        <f t="shared" ca="1" si="6"/>
        <v>1</v>
      </c>
      <c r="H74">
        <f t="shared" ca="1" si="7"/>
        <v>2</v>
      </c>
      <c r="I74">
        <f t="shared" ca="1" si="8"/>
        <v>2</v>
      </c>
      <c r="J74">
        <f t="shared" ca="1" si="9"/>
        <v>0</v>
      </c>
      <c r="K74">
        <f ca="1">IF(OR($C74="S",$C74=0),0,MATCH(OFFSET($D74,0,$C74)+IF($C74&lt;&gt;1,1,COUNTIF(QCI!$A$13:$A$15,ORÇAMENTO!E74)),OFFSET($D74,1,$C74,ROW($C$508)-ROW($C74)),0))</f>
        <v>0</v>
      </c>
      <c r="L74" s="114" t="str">
        <f t="shared" ca="1" si="10"/>
        <v>F</v>
      </c>
      <c r="M74" s="115" t="s">
        <v>705</v>
      </c>
      <c r="N74" s="116" t="str">
        <f t="shared" ca="1" si="11"/>
        <v>Serviço</v>
      </c>
      <c r="O74" s="117" t="str">
        <f t="shared" ca="1" si="12"/>
        <v>1.5.1.2.2.</v>
      </c>
      <c r="P74" s="118" t="s">
        <v>750</v>
      </c>
      <c r="Q74" s="119">
        <v>101616</v>
      </c>
      <c r="R74" s="120" t="str">
        <f ca="1">IF($C74="S",REFERENCIA.Descricao,"(digite a descrição aqui)")</f>
        <v>PREPARO DE FUNDO DE VALA COM LARGURA MENOR QUE 1,5 M (ACERTO DO SOLO NATURAL). AF_08/2020</v>
      </c>
      <c r="S74" s="121" t="str">
        <f ca="1">REFERENCIA.Unidade</f>
        <v>M2</v>
      </c>
      <c r="T74" s="122">
        <f ca="1">OFFSET(CÁLCULO!H$15,ROW($T74)-ROW(T$15),0)</f>
        <v>4.7300000000000004</v>
      </c>
      <c r="U74" s="123">
        <f t="shared" ca="1" si="21"/>
        <v>6.93</v>
      </c>
      <c r="V74" s="124" t="s">
        <v>663</v>
      </c>
      <c r="W74" s="122">
        <f ca="1">IF($C74="S",ROUND(IF(TIPOORCAMENTO="Proposto",ORÇAMENTO.CustoUnitario*(1+$AH74),ORÇAMENTO.PrecoUnitarioLicitado),15-13*$AF$10),0)</f>
        <v>8.56</v>
      </c>
      <c r="X74" s="125" cm="1">
        <f t="array" aca="1" ref="X74" ca="1">IF($C74="S",IF(OR(Import.TipoArredondamento&lt;&gt;"TransfereGOV",ACOMPANHAMENTO="BM"),VTOTAL1,SUM(OFFSET(CÁLCULO!$AI$15,ROW($X74)-ROW($X$15),1):OFFSET(CÁLCULO!$BB$15,ROW($X74)-ROW($X$15),-1))),IF($C74=0,0,ROUND(SomaAgrup,15-13*$AF$11)))</f>
        <v>40.49</v>
      </c>
      <c r="Y74" s="126" t="s">
        <v>751</v>
      </c>
      <c r="Z74" t="str">
        <f t="shared" ca="1" si="13"/>
        <v>RA</v>
      </c>
      <c r="AA74" s="127">
        <f ca="1">IF($C74="S",IF($Z74="CP",$X74,IF($Z74="RA",(($X74)*QCI!$AA$3),0)),SomaAgrup)</f>
        <v>0</v>
      </c>
      <c r="AB74" s="128">
        <f t="shared" ca="1" si="14"/>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IF(C74&lt;=CRONO.NivelExibicao,MAX($AD$15:OFFSET(AD74,-1,0))+IF($C74&lt;&gt;1,1,MAX(1,COUNTIF(QCI!$A$13:$A$15,OFFSET($E74,-1,0)))),"")</f>
        <v/>
      </c>
      <c r="AE74" s="7" t="str">
        <f ca="1">IF(AND($C74="S",ORÇAMENTO.CodBarra&lt;&gt;""),IF(ORÇAMENTO.Fonte="",ORÇAMENTO.CodBarra,CONCATENATE(ORÇAMENTO.Fonte," ",ORÇAMENTO.CodBarra)))</f>
        <v>SINAPI 101616</v>
      </c>
      <c r="AF74" s="12">
        <f ca="1">IF(ISERROR(INDIRECT(ORÇAMENTO.BancoRef)),"(abra o arquivo 'Referência "&amp;Excel_BuiltIn_Database&amp;".xlsm)",IF(OR($C74&lt;&gt;"S",ORÇAMENTO.CodBarra=""),"(Sem Código)",IF(ISERROR(MATCH($AE74,INDIRECT(ORÇAMENTO.BancoRef),0)),"(Código não identificado nas referências)",MATCH($AE74,INDIRECT(ORÇAMENTO.BancoRef),0))))</f>
        <v>9424</v>
      </c>
      <c r="AG74" s="428">
        <f ca="1">ROUND(IF(DESONERACAO="sim",REFERENCIA.Desonerado,REFERENCIA.NaoDesonerado),2)</f>
        <v>6.93</v>
      </c>
      <c r="AH74" s="429">
        <f t="shared" ca="1" si="15"/>
        <v>0.23499999999999999</v>
      </c>
      <c r="AJ74" s="431">
        <f>ROUND(3.5*1.35,2)</f>
        <v>4.7300000000000004</v>
      </c>
      <c r="AL74" s="439"/>
      <c r="AM74" s="336">
        <f t="shared" ca="1" si="0"/>
        <v>40.49</v>
      </c>
      <c r="AN74" s="470">
        <f t="shared" ca="1" si="16"/>
        <v>8.56</v>
      </c>
    </row>
    <row r="75" spans="1:40" ht="25.5" x14ac:dyDescent="0.2">
      <c r="A75" t="str">
        <f t="shared" si="1"/>
        <v>S</v>
      </c>
      <c r="B75">
        <f t="shared" ca="1" si="2"/>
        <v>4</v>
      </c>
      <c r="C75" t="str">
        <f t="shared" ca="1" si="3"/>
        <v>S</v>
      </c>
      <c r="D75">
        <f t="shared" ca="1" si="4"/>
        <v>0</v>
      </c>
      <c r="E75">
        <f ca="1">IF($C75=1,OFFSET(E75,-1,0)+MAX(1,COUNTIF(QCI!$A$13:$A$15,OFFSET(ORÇAMENTO!E75,-1,0))),OFFSET(E75,-1,0))</f>
        <v>1</v>
      </c>
      <c r="F75">
        <f t="shared" ca="1" si="5"/>
        <v>5</v>
      </c>
      <c r="G75">
        <f t="shared" ca="1" si="6"/>
        <v>1</v>
      </c>
      <c r="H75">
        <f t="shared" ca="1" si="7"/>
        <v>2</v>
      </c>
      <c r="I75">
        <f t="shared" ca="1" si="8"/>
        <v>3</v>
      </c>
      <c r="J75">
        <f t="shared" ca="1" si="9"/>
        <v>0</v>
      </c>
      <c r="K75">
        <f ca="1">IF(OR($C75="S",$C75=0),0,MATCH(OFFSET($D75,0,$C75)+IF($C75&lt;&gt;1,1,COUNTIF(QCI!$A$13:$A$15,ORÇAMENTO!E75)),OFFSET($D75,1,$C75,ROW($C$508)-ROW($C75)),0))</f>
        <v>0</v>
      </c>
      <c r="L75" s="114" t="str">
        <f t="shared" ca="1" si="10"/>
        <v>F</v>
      </c>
      <c r="M75" s="115" t="s">
        <v>705</v>
      </c>
      <c r="N75" s="116" t="str">
        <f t="shared" ca="1" si="11"/>
        <v>Serviço</v>
      </c>
      <c r="O75" s="117" t="str">
        <f t="shared" ca="1" si="12"/>
        <v>1.5.1.2.3.</v>
      </c>
      <c r="P75" s="118" t="s">
        <v>956</v>
      </c>
      <c r="Q75" s="119" t="s">
        <v>1024</v>
      </c>
      <c r="R75" s="120" t="str">
        <f ca="1">IF($C75="S",REFERENCIA.Descricao,"(digite a descrição aqui)")</f>
        <v>FÔRMAS DE COMPENSADO RESINADO 10 MM - USO GERAL - UTILIZAÇÃO DE 3 VEZES - CONFECÇÃO, INSTALAÇÃO E RETIRADA</v>
      </c>
      <c r="S75" s="121" t="str">
        <f ca="1">REFERENCIA.Unidade</f>
        <v>M2</v>
      </c>
      <c r="T75" s="122">
        <f ca="1">OFFSET(CÁLCULO!H$15,ROW($T75)-ROW(T$15),0)</f>
        <v>2.96</v>
      </c>
      <c r="U75" s="123">
        <f t="shared" ca="1" si="21"/>
        <v>71.66</v>
      </c>
      <c r="V75" s="124" t="s">
        <v>663</v>
      </c>
      <c r="W75" s="122">
        <f ca="1">IF($C75="S",ROUND(IF(TIPOORCAMENTO="Proposto",ORÇAMENTO.CustoUnitario*(1+$AH75),ORÇAMENTO.PrecoUnitarioLicitado),15-13*$AF$10),0)</f>
        <v>88.5</v>
      </c>
      <c r="X75" s="125" cm="1">
        <f t="array" aca="1" ref="X75" ca="1">IF($C75="S",IF(OR(Import.TipoArredondamento&lt;&gt;"TransfereGOV",ACOMPANHAMENTO="BM"),VTOTAL1,SUM(OFFSET(CÁLCULO!$AI$15,ROW($X75)-ROW($X$15),1):OFFSET(CÁLCULO!$BB$15,ROW($X75)-ROW($X$15),-1))),IF($C75=0,0,ROUND(SomaAgrup,15-13*$AF$11)))</f>
        <v>261.95999999999998</v>
      </c>
      <c r="Y75" s="126" t="s">
        <v>751</v>
      </c>
      <c r="Z75" t="str">
        <f t="shared" ca="1" si="13"/>
        <v>RA</v>
      </c>
      <c r="AA75" s="127">
        <f ca="1">IF($C75="S",IF($Z75="CP",$X75,IF($Z75="RA",(($X75)*QCI!$AA$3),0)),SomaAgrup)</f>
        <v>0</v>
      </c>
      <c r="AB75" s="128">
        <f t="shared" ca="1" si="14"/>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IF(C75&lt;=CRONO.NivelExibicao,MAX($AD$15:OFFSET(AD75,-1,0))+IF($C75&lt;&gt;1,1,MAX(1,COUNTIF(QCI!$A$13:$A$15,OFFSET($E75,-1,0)))),"")</f>
        <v/>
      </c>
      <c r="AE75" s="7" t="str">
        <f ca="1">IF(AND($C75="S",ORÇAMENTO.CodBarra&lt;&gt;""),IF(ORÇAMENTO.Fonte="",ORÇAMENTO.CodBarra,CONCATENATE(ORÇAMENTO.Fonte," ",ORÇAMENTO.CodBarra)))</f>
        <v>SICRO 3107997</v>
      </c>
      <c r="AF75" s="12">
        <f ca="1">IF(ISERROR(INDIRECT(ORÇAMENTO.BancoRef)),"(abra o arquivo 'Referência "&amp;Excel_BuiltIn_Database&amp;".xlsm)",IF(OR($C75&lt;&gt;"S",ORÇAMENTO.CodBarra=""),"(Sem Código)",IF(ISERROR(MATCH($AE75,INDIRECT(ORÇAMENTO.BancoRef),0)),"(Código não identificado nas referências)",MATCH($AE75,INDIRECT(ORÇAMENTO.BancoRef),0))))</f>
        <v>19900</v>
      </c>
      <c r="AG75" s="428">
        <f ca="1">ROUND(IF(DESONERACAO="sim",REFERENCIA.Desonerado,REFERENCIA.NaoDesonerado),2)</f>
        <v>71.66</v>
      </c>
      <c r="AH75" s="429">
        <f t="shared" ca="1" si="15"/>
        <v>0.23499999999999999</v>
      </c>
      <c r="AJ75" s="431">
        <v>2.96</v>
      </c>
      <c r="AL75" s="439"/>
      <c r="AM75" s="336">
        <f t="shared" ca="1" si="0"/>
        <v>261.95999999999998</v>
      </c>
      <c r="AN75" s="470">
        <f t="shared" ca="1" si="16"/>
        <v>88.5</v>
      </c>
    </row>
    <row r="76" spans="1:40" ht="25.5" x14ac:dyDescent="0.2">
      <c r="A76" t="str">
        <f t="shared" si="1"/>
        <v>S</v>
      </c>
      <c r="B76">
        <f t="shared" ca="1" si="2"/>
        <v>4</v>
      </c>
      <c r="C76" t="str">
        <f t="shared" ca="1" si="3"/>
        <v>S</v>
      </c>
      <c r="D76">
        <f t="shared" ca="1" si="4"/>
        <v>0</v>
      </c>
      <c r="E76">
        <f ca="1">IF($C76=1,OFFSET(E76,-1,0)+MAX(1,COUNTIF(QCI!$A$13:$A$15,OFFSET(ORÇAMENTO!E76,-1,0))),OFFSET(E76,-1,0))</f>
        <v>1</v>
      </c>
      <c r="F76">
        <f t="shared" ca="1" si="5"/>
        <v>5</v>
      </c>
      <c r="G76">
        <f t="shared" ca="1" si="6"/>
        <v>1</v>
      </c>
      <c r="H76">
        <f t="shared" ca="1" si="7"/>
        <v>2</v>
      </c>
      <c r="I76">
        <f t="shared" ca="1" si="8"/>
        <v>4</v>
      </c>
      <c r="J76">
        <f t="shared" ca="1" si="9"/>
        <v>0</v>
      </c>
      <c r="K76">
        <f ca="1">IF(OR($C76="S",$C76=0),0,MATCH(OFFSET($D76,0,$C76)+IF($C76&lt;&gt;1,1,COUNTIF(QCI!$A$13:$A$15,ORÇAMENTO!E76)),OFFSET($D76,1,$C76,ROW($C$508)-ROW($C76)),0))</f>
        <v>0</v>
      </c>
      <c r="L76" s="114" t="str">
        <f t="shared" ca="1" si="10"/>
        <v>F</v>
      </c>
      <c r="M76" s="115" t="s">
        <v>705</v>
      </c>
      <c r="N76" s="116" t="str">
        <f t="shared" ca="1" si="11"/>
        <v>Serviço</v>
      </c>
      <c r="O76" s="117" t="str">
        <f t="shared" ca="1" si="12"/>
        <v>1.5.1.2.4.</v>
      </c>
      <c r="P76" s="118" t="s">
        <v>750</v>
      </c>
      <c r="Q76" s="119">
        <v>96616</v>
      </c>
      <c r="R76" s="120" t="str">
        <f ca="1">IF($C76="S",REFERENCIA.Descricao,"(digite a descrição aqui)")</f>
        <v>LASTRO DE CONCRETO MAGRO, APLICADO EM BLOCOS DE COROAMENTO OU SAPATAS. AF_01/2024</v>
      </c>
      <c r="S76" s="121" t="str">
        <f ca="1">REFERENCIA.Unidade</f>
        <v>M3</v>
      </c>
      <c r="T76" s="122">
        <f ca="1">OFFSET(CÁLCULO!H$15,ROW($T76)-ROW(T$15),0)</f>
        <v>0.24</v>
      </c>
      <c r="U76" s="123">
        <f t="shared" ca="1" si="21"/>
        <v>881.27</v>
      </c>
      <c r="V76" s="124" t="s">
        <v>663</v>
      </c>
      <c r="W76" s="122">
        <f ca="1">IF($C76="S",ROUND(IF(TIPOORCAMENTO="Proposto",ORÇAMENTO.CustoUnitario*(1+$AH76),ORÇAMENTO.PrecoUnitarioLicitado),15-13*$AF$10),0)</f>
        <v>1088.3699999999999</v>
      </c>
      <c r="X76" s="125" cm="1">
        <f t="array" aca="1" ref="X76" ca="1">IF($C76="S",IF(OR(Import.TipoArredondamento&lt;&gt;"TransfereGOV",ACOMPANHAMENTO="BM"),VTOTAL1,SUM(OFFSET(CÁLCULO!$AI$15,ROW($X76)-ROW($X$15),1):OFFSET(CÁLCULO!$BB$15,ROW($X76)-ROW($X$15),-1))),IF($C76=0,0,ROUND(SomaAgrup,15-13*$AF$11)))</f>
        <v>261.20999999999998</v>
      </c>
      <c r="Y76" s="126" t="s">
        <v>751</v>
      </c>
      <c r="Z76" t="str">
        <f t="shared" ca="1" si="13"/>
        <v>RA</v>
      </c>
      <c r="AA76" s="127">
        <f ca="1">IF($C76="S",IF($Z76="CP",$X76,IF($Z76="RA",(($X76)*QCI!$AA$3),0)),SomaAgrup)</f>
        <v>0</v>
      </c>
      <c r="AB76" s="128">
        <f t="shared" ca="1" si="14"/>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IF(C76&lt;=CRONO.NivelExibicao,MAX($AD$15:OFFSET(AD76,-1,0))+IF($C76&lt;&gt;1,1,MAX(1,COUNTIF(QCI!$A$13:$A$15,OFFSET($E76,-1,0)))),"")</f>
        <v/>
      </c>
      <c r="AE76" s="7" t="str">
        <f ca="1">IF(AND($C76="S",ORÇAMENTO.CodBarra&lt;&gt;""),IF(ORÇAMENTO.Fonte="",ORÇAMENTO.CodBarra,CONCATENATE(ORÇAMENTO.Fonte," ",ORÇAMENTO.CodBarra)))</f>
        <v>SINAPI 96616</v>
      </c>
      <c r="AF76" s="12">
        <f ca="1">IF(ISERROR(INDIRECT(ORÇAMENTO.BancoRef)),"(abra o arquivo 'Referência "&amp;Excel_BuiltIn_Database&amp;".xlsm)",IF(OR($C76&lt;&gt;"S",ORÇAMENTO.CodBarra=""),"(Sem Código)",IF(ISERROR(MATCH($AE76,INDIRECT(ORÇAMENTO.BancoRef),0)),"(Código não identificado nas referências)",MATCH($AE76,INDIRECT(ORÇAMENTO.BancoRef),0))))</f>
        <v>12704</v>
      </c>
      <c r="AG76" s="428">
        <f ca="1">ROUND(IF(DESONERACAO="sim",REFERENCIA.Desonerado,REFERENCIA.NaoDesonerado),2)</f>
        <v>881.27</v>
      </c>
      <c r="AH76" s="429">
        <f t="shared" ca="1" si="15"/>
        <v>0.23499999999999999</v>
      </c>
      <c r="AJ76" s="431">
        <f>ROUND(AJ74*0.05,2)</f>
        <v>0.24</v>
      </c>
      <c r="AL76" s="439"/>
      <c r="AM76" s="336">
        <f t="shared" ca="1" si="0"/>
        <v>261.20999999999998</v>
      </c>
      <c r="AN76" s="470">
        <f t="shared" ca="1" si="16"/>
        <v>1088.3699999999999</v>
      </c>
    </row>
    <row r="77" spans="1:40" ht="25.5" x14ac:dyDescent="0.2">
      <c r="A77" t="str">
        <f t="shared" si="1"/>
        <v>S</v>
      </c>
      <c r="B77">
        <f t="shared" ca="1" si="2"/>
        <v>4</v>
      </c>
      <c r="C77" t="str">
        <f t="shared" ca="1" si="3"/>
        <v>S</v>
      </c>
      <c r="D77">
        <f t="shared" ca="1" si="4"/>
        <v>0</v>
      </c>
      <c r="E77">
        <f ca="1">IF($C77=1,OFFSET(E77,-1,0)+MAX(1,COUNTIF(QCI!$A$13:$A$15,OFFSET(ORÇAMENTO!E77,-1,0))),OFFSET(E77,-1,0))</f>
        <v>1</v>
      </c>
      <c r="F77">
        <f t="shared" ca="1" si="5"/>
        <v>5</v>
      </c>
      <c r="G77">
        <f t="shared" ca="1" si="6"/>
        <v>1</v>
      </c>
      <c r="H77">
        <f t="shared" ca="1" si="7"/>
        <v>2</v>
      </c>
      <c r="I77">
        <f t="shared" ca="1" si="8"/>
        <v>5</v>
      </c>
      <c r="J77">
        <f t="shared" ca="1" si="9"/>
        <v>0</v>
      </c>
      <c r="K77">
        <f ca="1">IF(OR($C77="S",$C77=0),0,MATCH(OFFSET($D77,0,$C77)+IF($C77&lt;&gt;1,1,COUNTIF(QCI!$A$13:$A$15,ORÇAMENTO!E77)),OFFSET($D77,1,$C77,ROW($C$508)-ROW($C77)),0))</f>
        <v>0</v>
      </c>
      <c r="L77" s="114" t="str">
        <f t="shared" ca="1" si="10"/>
        <v>F</v>
      </c>
      <c r="M77" s="115" t="s">
        <v>705</v>
      </c>
      <c r="N77" s="116" t="str">
        <f t="shared" ca="1" si="11"/>
        <v>Serviço</v>
      </c>
      <c r="O77" s="117" t="str">
        <f t="shared" ca="1" si="12"/>
        <v>1.5.1.2.5.</v>
      </c>
      <c r="P77" s="118" t="s">
        <v>750</v>
      </c>
      <c r="Q77" s="119">
        <v>98557</v>
      </c>
      <c r="R77" s="120" t="str">
        <f ca="1">IF($C77="S",REFERENCIA.Descricao,"(digite a descrição aqui)")</f>
        <v>IMPERMEABILIZAÇÃO DE SUPERFÍCIE COM EMULSÃO ASFÁLTICA, 2 DEMÃOS. AF_09/2023</v>
      </c>
      <c r="S77" s="121" t="str">
        <f ca="1">REFERENCIA.Unidade</f>
        <v>M2</v>
      </c>
      <c r="T77" s="122">
        <f ca="1">OFFSET(CÁLCULO!H$15,ROW($T77)-ROW(T$15),0)</f>
        <v>2.2400000000000002</v>
      </c>
      <c r="U77" s="123">
        <f t="shared" ca="1" si="21"/>
        <v>43.34</v>
      </c>
      <c r="V77" s="124" t="s">
        <v>663</v>
      </c>
      <c r="W77" s="122">
        <f ca="1">IF($C77="S",ROUND(IF(TIPOORCAMENTO="Proposto",ORÇAMENTO.CustoUnitario*(1+$AH77),ORÇAMENTO.PrecoUnitarioLicitado),15-13*$AF$10),0)</f>
        <v>53.52</v>
      </c>
      <c r="X77" s="125" cm="1">
        <f t="array" aca="1" ref="X77" ca="1">IF($C77="S",IF(OR(Import.TipoArredondamento&lt;&gt;"TransfereGOV",ACOMPANHAMENTO="BM"),VTOTAL1,SUM(OFFSET(CÁLCULO!$AI$15,ROW($X77)-ROW($X$15),1):OFFSET(CÁLCULO!$BB$15,ROW($X77)-ROW($X$15),-1))),IF($C77=0,0,ROUND(SomaAgrup,15-13*$AF$11)))</f>
        <v>119.88</v>
      </c>
      <c r="Y77" s="126" t="s">
        <v>751</v>
      </c>
      <c r="Z77" t="str">
        <f t="shared" ca="1" si="13"/>
        <v>RA</v>
      </c>
      <c r="AA77" s="127">
        <f ca="1">IF($C77="S",IF($Z77="CP",$X77,IF($Z77="RA",(($X77)*QCI!$AA$3),0)),SomaAgrup)</f>
        <v>0</v>
      </c>
      <c r="AB77" s="128">
        <f t="shared" ca="1" si="14"/>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IF(C77&lt;=CRONO.NivelExibicao,MAX($AD$15:OFFSET(AD77,-1,0))+IF($C77&lt;&gt;1,1,MAX(1,COUNTIF(QCI!$A$13:$A$15,OFFSET($E77,-1,0)))),"")</f>
        <v/>
      </c>
      <c r="AE77" s="7" t="str">
        <f ca="1">IF(AND($C77="S",ORÇAMENTO.CodBarra&lt;&gt;""),IF(ORÇAMENTO.Fonte="",ORÇAMENTO.CodBarra,CONCATENATE(ORÇAMENTO.Fonte," ",ORÇAMENTO.CodBarra)))</f>
        <v>SINAPI 98557</v>
      </c>
      <c r="AF77" s="12">
        <f ca="1">IF(ISERROR(INDIRECT(ORÇAMENTO.BancoRef)),"(abra o arquivo 'Referência "&amp;Excel_BuiltIn_Database&amp;".xlsm)",IF(OR($C77&lt;&gt;"S",ORÇAMENTO.CodBarra=""),"(Sem Código)",IF(ISERROR(MATCH($AE77,INDIRECT(ORÇAMENTO.BancoRef),0)),"(Código não identificado nas referências)",MATCH($AE77,INDIRECT(ORÇAMENTO.BancoRef),0))))</f>
        <v>10348</v>
      </c>
      <c r="AG77" s="428">
        <f ca="1">ROUND(IF(DESONERACAO="sim",REFERENCIA.Desonerado,REFERENCIA.NaoDesonerado),2)</f>
        <v>43.34</v>
      </c>
      <c r="AH77" s="429">
        <f t="shared" ca="1" si="15"/>
        <v>0.23499999999999999</v>
      </c>
      <c r="AJ77" s="431">
        <f>(0.6+0.5*2)*1.4*1</f>
        <v>2.2399999999999998</v>
      </c>
      <c r="AL77" s="439"/>
      <c r="AM77" s="336">
        <f t="shared" ca="1" si="0"/>
        <v>119.88</v>
      </c>
      <c r="AN77" s="470">
        <f t="shared" ca="1" si="16"/>
        <v>53.52</v>
      </c>
    </row>
    <row r="78" spans="1:40" ht="38.25" x14ac:dyDescent="0.2">
      <c r="A78" t="str">
        <f t="shared" si="1"/>
        <v>S</v>
      </c>
      <c r="B78">
        <f t="shared" ca="1" si="2"/>
        <v>4</v>
      </c>
      <c r="C78" t="str">
        <f t="shared" ca="1" si="3"/>
        <v>S</v>
      </c>
      <c r="D78">
        <f t="shared" ca="1" si="4"/>
        <v>0</v>
      </c>
      <c r="E78">
        <f ca="1">IF($C78=1,OFFSET(E78,-1,0)+MAX(1,COUNTIF(QCI!$A$13:$A$15,OFFSET(ORÇAMENTO!E78,-1,0))),OFFSET(E78,-1,0))</f>
        <v>1</v>
      </c>
      <c r="F78">
        <f t="shared" ca="1" si="5"/>
        <v>5</v>
      </c>
      <c r="G78">
        <f t="shared" ca="1" si="6"/>
        <v>1</v>
      </c>
      <c r="H78">
        <f t="shared" ca="1" si="7"/>
        <v>2</v>
      </c>
      <c r="I78">
        <f t="shared" ca="1" si="8"/>
        <v>6</v>
      </c>
      <c r="J78">
        <f t="shared" ca="1" si="9"/>
        <v>0</v>
      </c>
      <c r="K78">
        <f ca="1">IF(OR($C78="S",$C78=0),0,MATCH(OFFSET($D78,0,$C78)+IF($C78&lt;&gt;1,1,COUNTIF(QCI!$A$13:$A$15,ORÇAMENTO!E78)),OFFSET($D78,1,$C78,ROW($C$508)-ROW($C78)),0))</f>
        <v>0</v>
      </c>
      <c r="L78" s="114" t="str">
        <f t="shared" ca="1" si="10"/>
        <v>F</v>
      </c>
      <c r="M78" s="115" t="s">
        <v>705</v>
      </c>
      <c r="N78" s="116" t="str">
        <f t="shared" ca="1" si="11"/>
        <v>Serviço</v>
      </c>
      <c r="O78" s="117" t="str">
        <f t="shared" ca="1" si="12"/>
        <v>1.5.1.2.6.</v>
      </c>
      <c r="P78" s="118" t="s">
        <v>750</v>
      </c>
      <c r="Q78" s="119" t="s">
        <v>1017</v>
      </c>
      <c r="R78" s="120" t="str">
        <f ca="1">IF($C78="S",REFERENCIA.Descricao,"(digite a descrição aqui)")</f>
        <v>CONCRETO FCK = 40MPA, TRAÇO 1:1,6:1,9 (EM MASSA SECA DE CIMENTO/ AREIA MÉDIA/ BRITA 1) - PREPARO MECÂNICO COM BETONEIRA 600 L. AF_05/2021</v>
      </c>
      <c r="S78" s="121" t="str">
        <f ca="1">REFERENCIA.Unidade</f>
        <v>M3</v>
      </c>
      <c r="T78" s="122">
        <f ca="1">OFFSET(CÁLCULO!H$15,ROW($T78)-ROW(T$15),0)</f>
        <v>0.41</v>
      </c>
      <c r="U78" s="123">
        <f t="shared" ca="1" si="21"/>
        <v>628.30999999999995</v>
      </c>
      <c r="V78" s="124" t="s">
        <v>663</v>
      </c>
      <c r="W78" s="122">
        <f ca="1">IF($C78="S",ROUND(IF(TIPOORCAMENTO="Proposto",ORÇAMENTO.CustoUnitario*(1+$AH78),ORÇAMENTO.PrecoUnitarioLicitado),15-13*$AF$10),0)</f>
        <v>775.96</v>
      </c>
      <c r="X78" s="125" cm="1">
        <f t="array" aca="1" ref="X78" ca="1">IF($C78="S",IF(OR(Import.TipoArredondamento&lt;&gt;"TransfereGOV",ACOMPANHAMENTO="BM"),VTOTAL1,SUM(OFFSET(CÁLCULO!$AI$15,ROW($X78)-ROW($X$15),1):OFFSET(CÁLCULO!$BB$15,ROW($X78)-ROW($X$15),-1))),IF($C78=0,0,ROUND(SomaAgrup,15-13*$AF$11)))</f>
        <v>318.14</v>
      </c>
      <c r="Y78" s="126" t="s">
        <v>751</v>
      </c>
      <c r="Z78" t="str">
        <f t="shared" ca="1" si="13"/>
        <v>RA</v>
      </c>
      <c r="AA78" s="127">
        <f ca="1">IF($C78="S",IF($Z78="CP",$X78,IF($Z78="RA",(($X78)*QCI!$AA$3),0)),SomaAgrup)</f>
        <v>0</v>
      </c>
      <c r="AB78" s="128">
        <f t="shared" ca="1" si="14"/>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IF(C78&lt;=CRONO.NivelExibicao,MAX($AD$15:OFFSET(AD78,-1,0))+IF($C78&lt;&gt;1,1,MAX(1,COUNTIF(QCI!$A$13:$A$15,OFFSET($E78,-1,0)))),"")</f>
        <v/>
      </c>
      <c r="AE78" s="7" t="str">
        <f ca="1">IF(AND($C78="S",ORÇAMENTO.CodBarra&lt;&gt;""),IF(ORÇAMENTO.Fonte="",ORÇAMENTO.CodBarra,CONCATENATE(ORÇAMENTO.Fonte," ",ORÇAMENTO.CodBarra)))</f>
        <v>SINAPI 94973</v>
      </c>
      <c r="AF78" s="12">
        <f ca="1">IF(ISERROR(INDIRECT(ORÇAMENTO.BancoRef)),"(abra o arquivo 'Referência "&amp;Excel_BuiltIn_Database&amp;".xlsm)",IF(OR($C78&lt;&gt;"S",ORÇAMENTO.CodBarra=""),"(Sem Código)",IF(ISERROR(MATCH($AE78,INDIRECT(ORÇAMENTO.BancoRef),0)),"(Código não identificado nas referências)",MATCH($AE78,INDIRECT(ORÇAMENTO.BancoRef),0))))</f>
        <v>14326</v>
      </c>
      <c r="AG78" s="428">
        <f ca="1">ROUND(IF(DESONERACAO="sim",REFERENCIA.Desonerado,REFERENCIA.NaoDesonerado),2)</f>
        <v>628.30999999999995</v>
      </c>
      <c r="AH78" s="429">
        <f t="shared" ca="1" si="15"/>
        <v>0.23499999999999999</v>
      </c>
      <c r="AJ78" s="431">
        <v>0.41</v>
      </c>
      <c r="AL78" s="439"/>
      <c r="AM78" s="336">
        <f t="shared" ca="1" si="0"/>
        <v>318.14</v>
      </c>
      <c r="AN78" s="470">
        <f t="shared" ca="1" si="16"/>
        <v>775.96</v>
      </c>
    </row>
    <row r="79" spans="1:40" ht="25.5" x14ac:dyDescent="0.2">
      <c r="A79" t="str">
        <f t="shared" si="1"/>
        <v>S</v>
      </c>
      <c r="B79">
        <f t="shared" ca="1" si="2"/>
        <v>4</v>
      </c>
      <c r="C79" t="str">
        <f t="shared" ca="1" si="3"/>
        <v>S</v>
      </c>
      <c r="D79">
        <f t="shared" ca="1" si="4"/>
        <v>0</v>
      </c>
      <c r="E79">
        <f ca="1">IF($C79=1,OFFSET(E79,-1,0)+MAX(1,COUNTIF(QCI!$A$13:$A$15,OFFSET(ORÇAMENTO!E79,-1,0))),OFFSET(E79,-1,0))</f>
        <v>1</v>
      </c>
      <c r="F79">
        <f t="shared" ca="1" si="5"/>
        <v>5</v>
      </c>
      <c r="G79">
        <f t="shared" ca="1" si="6"/>
        <v>1</v>
      </c>
      <c r="H79">
        <f t="shared" ca="1" si="7"/>
        <v>2</v>
      </c>
      <c r="I79">
        <f t="shared" ca="1" si="8"/>
        <v>7</v>
      </c>
      <c r="J79">
        <f t="shared" ca="1" si="9"/>
        <v>0</v>
      </c>
      <c r="K79">
        <f ca="1">IF(OR($C79="S",$C79=0),0,MATCH(OFFSET($D79,0,$C79)+IF($C79&lt;&gt;1,1,COUNTIF(QCI!$A$13:$A$15,ORÇAMENTO!E79)),OFFSET($D79,1,$C79,ROW($C$508)-ROW($C79)),0))</f>
        <v>0</v>
      </c>
      <c r="L79" s="114" t="str">
        <f t="shared" ca="1" si="10"/>
        <v>F</v>
      </c>
      <c r="M79" s="115" t="s">
        <v>705</v>
      </c>
      <c r="N79" s="116" t="str">
        <f t="shared" ca="1" si="11"/>
        <v>Serviço</v>
      </c>
      <c r="O79" s="117" t="str">
        <f t="shared" ca="1" si="12"/>
        <v>1.5.1.2.7.</v>
      </c>
      <c r="P79" s="118" t="s">
        <v>750</v>
      </c>
      <c r="Q79" s="119" t="s">
        <v>1018</v>
      </c>
      <c r="R79" s="120" t="str">
        <f ca="1">IF($C79="S",REFERENCIA.Descricao,"(digite a descrição aqui)")</f>
        <v>LANÇAMENTO COM USO DE BOMBA, ADENSAMENTO E ACABAMENTO DE CONCRETO EM ESTRUTURAS. AF_02/2022</v>
      </c>
      <c r="S79" s="121" t="str">
        <f ca="1">REFERENCIA.Unidade</f>
        <v>M3</v>
      </c>
      <c r="T79" s="122">
        <f ca="1">OFFSET(CÁLCULO!H$15,ROW($T79)-ROW(T$15),0)</f>
        <v>0.41</v>
      </c>
      <c r="U79" s="123">
        <f t="shared" ca="1" si="21"/>
        <v>44.5</v>
      </c>
      <c r="V79" s="124" t="s">
        <v>663</v>
      </c>
      <c r="W79" s="122">
        <f ca="1">IF($C79="S",ROUND(IF(TIPOORCAMENTO="Proposto",ORÇAMENTO.CustoUnitario*(1+$AH79),ORÇAMENTO.PrecoUnitarioLicitado),15-13*$AF$10),0)</f>
        <v>54.96</v>
      </c>
      <c r="X79" s="125" cm="1">
        <f t="array" aca="1" ref="X79" ca="1">IF($C79="S",IF(OR(Import.TipoArredondamento&lt;&gt;"TransfereGOV",ACOMPANHAMENTO="BM"),VTOTAL1,SUM(OFFSET(CÁLCULO!$AI$15,ROW($X79)-ROW($X$15),1):OFFSET(CÁLCULO!$BB$15,ROW($X79)-ROW($X$15),-1))),IF($C79=0,0,ROUND(SomaAgrup,15-13*$AF$11)))</f>
        <v>22.53</v>
      </c>
      <c r="Y79" s="126" t="s">
        <v>751</v>
      </c>
      <c r="Z79" t="str">
        <f t="shared" ca="1" si="13"/>
        <v>RA</v>
      </c>
      <c r="AA79" s="127">
        <f ca="1">IF($C79="S",IF($Z79="CP",$X79,IF($Z79="RA",(($X79)*QCI!$AA$3),0)),SomaAgrup)</f>
        <v>0</v>
      </c>
      <c r="AB79" s="128">
        <f t="shared" ca="1" si="14"/>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IF(C79&lt;=CRONO.NivelExibicao,MAX($AD$15:OFFSET(AD79,-1,0))+IF($C79&lt;&gt;1,1,MAX(1,COUNTIF(QCI!$A$13:$A$15,OFFSET($E79,-1,0)))),"")</f>
        <v/>
      </c>
      <c r="AE79" s="7" t="str">
        <f ca="1">IF(AND($C79="S",ORÇAMENTO.CodBarra&lt;&gt;""),IF(ORÇAMENTO.Fonte="",ORÇAMENTO.CodBarra,CONCATENATE(ORÇAMENTO.Fonte," ",ORÇAMENTO.CodBarra)))</f>
        <v>SINAPI 103673</v>
      </c>
      <c r="AF79" s="12">
        <f ca="1">IF(ISERROR(INDIRECT(ORÇAMENTO.BancoRef)),"(abra o arquivo 'Referência "&amp;Excel_BuiltIn_Database&amp;".xlsm)",IF(OR($C79&lt;&gt;"S",ORÇAMENTO.CodBarra=""),"(Sem Código)",IF(ISERROR(MATCH($AE79,INDIRECT(ORÇAMENTO.BancoRef),0)),"(Código não identificado nas referências)",MATCH($AE79,INDIRECT(ORÇAMENTO.BancoRef),0))))</f>
        <v>7334</v>
      </c>
      <c r="AG79" s="428">
        <f ca="1">ROUND(IF(DESONERACAO="sim",REFERENCIA.Desonerado,REFERENCIA.NaoDesonerado),2)</f>
        <v>44.5</v>
      </c>
      <c r="AH79" s="429">
        <f t="shared" ca="1" si="15"/>
        <v>0.23499999999999999</v>
      </c>
      <c r="AJ79" s="431">
        <f>AJ78</f>
        <v>0.41</v>
      </c>
      <c r="AL79" s="439"/>
      <c r="AM79" s="336">
        <f t="shared" ca="1" si="0"/>
        <v>22.53</v>
      </c>
      <c r="AN79" s="470">
        <f t="shared" ca="1" si="16"/>
        <v>54.96</v>
      </c>
    </row>
    <row r="80" spans="1:40" ht="25.5" x14ac:dyDescent="0.2">
      <c r="A80" t="str">
        <f t="shared" si="1"/>
        <v>S</v>
      </c>
      <c r="B80">
        <f t="shared" ca="1" si="2"/>
        <v>4</v>
      </c>
      <c r="C80" t="str">
        <f t="shared" ca="1" si="3"/>
        <v>S</v>
      </c>
      <c r="D80">
        <f t="shared" ca="1" si="4"/>
        <v>0</v>
      </c>
      <c r="E80">
        <f ca="1">IF($C80=1,OFFSET(E80,-1,0)+MAX(1,COUNTIF(QCI!$A$13:$A$15,OFFSET(ORÇAMENTO!E80,-1,0))),OFFSET(E80,-1,0))</f>
        <v>1</v>
      </c>
      <c r="F80">
        <f t="shared" ca="1" si="5"/>
        <v>5</v>
      </c>
      <c r="G80">
        <f t="shared" ca="1" si="6"/>
        <v>1</v>
      </c>
      <c r="H80">
        <f t="shared" ca="1" si="7"/>
        <v>2</v>
      </c>
      <c r="I80">
        <f t="shared" ca="1" si="8"/>
        <v>8</v>
      </c>
      <c r="J80">
        <f t="shared" ref="J80:J143" ca="1" si="22">IF(OR($C80="S",$C80=0),0,MATCH(0,OFFSET($D80,1,$C80,ROW($C$508)-ROW($C80)),0))</f>
        <v>0</v>
      </c>
      <c r="K80">
        <f ca="1">IF(OR($C80="S",$C80=0),0,MATCH(OFFSET($D80,0,$C80)+IF($C80&lt;&gt;1,1,COUNTIF(QCI!$A$13:$A$15,ORÇAMENTO!E80)),OFFSET($D80,1,$C80,ROW($C$508)-ROW($C80)),0))</f>
        <v>0</v>
      </c>
      <c r="L80" s="114" t="str">
        <f t="shared" ca="1" si="10"/>
        <v>F</v>
      </c>
      <c r="M80" s="115" t="s">
        <v>705</v>
      </c>
      <c r="N80" s="116" t="str">
        <f t="shared" ca="1" si="11"/>
        <v>Serviço</v>
      </c>
      <c r="O80" s="117" t="str">
        <f t="shared" ca="1" si="12"/>
        <v>1.5.1.2.8.</v>
      </c>
      <c r="P80" s="118" t="s">
        <v>956</v>
      </c>
      <c r="Q80" s="119" t="s">
        <v>1019</v>
      </c>
      <c r="R80" s="120" t="str">
        <f ca="1">IF($C80="S",REFERENCIA.Descricao,"(digite a descrição aqui)")</f>
        <v>ARMAÇÃO EM AÇO CA-50 - FORNECIMENTO, PREPARO E COLOCAÇÃO</v>
      </c>
      <c r="S80" s="121" t="str">
        <f ca="1">REFERENCIA.Unidade</f>
        <v>KG</v>
      </c>
      <c r="T80" s="122">
        <f ca="1">OFFSET(CÁLCULO!H$15,ROW($T80)-ROW(T$15),0)</f>
        <v>9.41</v>
      </c>
      <c r="U80" s="123">
        <f t="shared" ca="1" si="21"/>
        <v>12.08</v>
      </c>
      <c r="V80" s="124" t="s">
        <v>663</v>
      </c>
      <c r="W80" s="122">
        <f ca="1">IF($C80="S",ROUND(IF(TIPOORCAMENTO="Proposto",ORÇAMENTO.CustoUnitario*(1+$AH80),ORÇAMENTO.PrecoUnitarioLicitado),15-13*$AF$10),0)</f>
        <v>14.92</v>
      </c>
      <c r="X80" s="125" cm="1">
        <f t="array" aca="1" ref="X80" ca="1">IF($C80="S",IF(OR(Import.TipoArredondamento&lt;&gt;"TransfereGOV",ACOMPANHAMENTO="BM"),VTOTAL1,SUM(OFFSET(CÁLCULO!$AI$15,ROW($X80)-ROW($X$15),1):OFFSET(CÁLCULO!$BB$15,ROW($X80)-ROW($X$15),-1))),IF($C80=0,0,ROUND(SomaAgrup,15-13*$AF$11)))</f>
        <v>140.4</v>
      </c>
      <c r="Y80" s="126" t="s">
        <v>751</v>
      </c>
      <c r="Z80" t="str">
        <f t="shared" ca="1" si="13"/>
        <v>RA</v>
      </c>
      <c r="AA80" s="127">
        <f ca="1">IF($C80="S",IF($Z80="CP",$X80,IF($Z80="RA",(($X80)*QCI!$AA$3),0)),SomaAgrup)</f>
        <v>0</v>
      </c>
      <c r="AB80" s="128">
        <f t="shared" ca="1" si="14"/>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IF(C80&lt;=CRONO.NivelExibicao,MAX($AD$15:OFFSET(AD80,-1,0))+IF($C80&lt;&gt;1,1,MAX(1,COUNTIF(QCI!$A$13:$A$15,OFFSET($E80,-1,0)))),"")</f>
        <v/>
      </c>
      <c r="AE80" s="7" t="str">
        <f ca="1">IF(AND($C80="S",ORÇAMENTO.CodBarra&lt;&gt;""),IF(ORÇAMENTO.Fonte="",ORÇAMENTO.CodBarra,CONCATENATE(ORÇAMENTO.Fonte," ",ORÇAMENTO.CodBarra)))</f>
        <v>SICRO 407819</v>
      </c>
      <c r="AF80" s="12">
        <f ca="1">IF(ISERROR(INDIRECT(ORÇAMENTO.BancoRef)),"(abra o arquivo 'Referência "&amp;Excel_BuiltIn_Database&amp;".xlsm)",IF(OR($C80&lt;&gt;"S",ORÇAMENTO.CodBarra=""),"(Sem Código)",IF(ISERROR(MATCH($AE80,INDIRECT(ORÇAMENTO.BancoRef),0)),"(Código não identificado nas referências)",MATCH($AE80,INDIRECT(ORÇAMENTO.BancoRef),0))))</f>
        <v>15833</v>
      </c>
      <c r="AG80" s="428">
        <f ca="1">ROUND(IF(DESONERACAO="sim",REFERENCIA.Desonerado,REFERENCIA.NaoDesonerado),2)</f>
        <v>12.08</v>
      </c>
      <c r="AH80" s="429">
        <f t="shared" ca="1" si="15"/>
        <v>0.23499999999999999</v>
      </c>
      <c r="AJ80" s="431">
        <f>4.74+4.67</f>
        <v>9.41</v>
      </c>
      <c r="AL80" s="439"/>
      <c r="AM80" s="336">
        <f t="shared" ca="1" si="0"/>
        <v>140.4</v>
      </c>
      <c r="AN80" s="470">
        <f t="shared" ca="1" si="16"/>
        <v>14.92</v>
      </c>
    </row>
    <row r="81" spans="1:40" ht="25.5" x14ac:dyDescent="0.2">
      <c r="A81" t="str">
        <f t="shared" si="1"/>
        <v>S</v>
      </c>
      <c r="B81">
        <f t="shared" ca="1" si="2"/>
        <v>4</v>
      </c>
      <c r="C81" t="str">
        <f t="shared" ca="1" si="3"/>
        <v>S</v>
      </c>
      <c r="D81">
        <f t="shared" ca="1" si="4"/>
        <v>0</v>
      </c>
      <c r="E81">
        <f ca="1">IF($C81=1,OFFSET(E81,-1,0)+MAX(1,COUNTIF(QCI!$A$13:$A$15,OFFSET(ORÇAMENTO!E81,-1,0))),OFFSET(E81,-1,0))</f>
        <v>1</v>
      </c>
      <c r="F81">
        <f t="shared" ca="1" si="5"/>
        <v>5</v>
      </c>
      <c r="G81">
        <f t="shared" ca="1" si="6"/>
        <v>1</v>
      </c>
      <c r="H81">
        <f t="shared" ca="1" si="7"/>
        <v>2</v>
      </c>
      <c r="I81">
        <f t="shared" ca="1" si="8"/>
        <v>9</v>
      </c>
      <c r="J81">
        <f t="shared" ca="1" si="22"/>
        <v>0</v>
      </c>
      <c r="K81">
        <f ca="1">IF(OR($C81="S",$C81=0),0,MATCH(OFFSET($D81,0,$C81)+IF($C81&lt;&gt;1,1,COUNTIF(QCI!$A$13:$A$15,ORÇAMENTO!E81)),OFFSET($D81,1,$C81,ROW($C$508)-ROW($C81)),0))</f>
        <v>0</v>
      </c>
      <c r="L81" s="114" t="str">
        <f t="shared" ca="1" si="10"/>
        <v>F</v>
      </c>
      <c r="M81" s="115" t="s">
        <v>705</v>
      </c>
      <c r="N81" s="116" t="str">
        <f t="shared" ca="1" si="11"/>
        <v>Serviço</v>
      </c>
      <c r="O81" s="117" t="str">
        <f t="shared" ca="1" si="12"/>
        <v>1.5.1.2.9.</v>
      </c>
      <c r="P81" s="118" t="s">
        <v>750</v>
      </c>
      <c r="Q81" s="119">
        <v>93382</v>
      </c>
      <c r="R81" s="120" t="str">
        <f ca="1">IF($C81="S",REFERENCIA.Descricao,"(digite a descrição aqui)")</f>
        <v>REATERRO MANUAL DE VALAS, COM COMPACTADOR DE SOLOS DE PERCUSSÃO. AF_08/2023</v>
      </c>
      <c r="S81" s="121" t="str">
        <f ca="1">REFERENCIA.Unidade</f>
        <v>M3</v>
      </c>
      <c r="T81" s="122">
        <f ca="1">OFFSET(CÁLCULO!H$15,ROW($T81)-ROW(T$15),0)</f>
        <v>5.26</v>
      </c>
      <c r="U81" s="123">
        <f t="shared" ca="1" si="21"/>
        <v>28.36</v>
      </c>
      <c r="V81" s="124" t="s">
        <v>663</v>
      </c>
      <c r="W81" s="122">
        <f ca="1">IF($C81="S",ROUND(IF(TIPOORCAMENTO="Proposto",ORÇAMENTO.CustoUnitario*(1+$AH81),ORÇAMENTO.PrecoUnitarioLicitado),15-13*$AF$10),0)</f>
        <v>35.020000000000003</v>
      </c>
      <c r="X81" s="125" cm="1">
        <f t="array" aca="1" ref="X81" ca="1">IF($C81="S",IF(OR(Import.TipoArredondamento&lt;&gt;"TransfereGOV",ACOMPANHAMENTO="BM"),VTOTAL1,SUM(OFFSET(CÁLCULO!$AI$15,ROW($X81)-ROW($X$15),1):OFFSET(CÁLCULO!$BB$15,ROW($X81)-ROW($X$15),-1))),IF($C81=0,0,ROUND(SomaAgrup,15-13*$AF$11)))</f>
        <v>184.21</v>
      </c>
      <c r="Y81" s="126" t="s">
        <v>751</v>
      </c>
      <c r="Z81" t="str">
        <f t="shared" ca="1" si="13"/>
        <v>RA</v>
      </c>
      <c r="AA81" s="127">
        <f ca="1">IF($C81="S",IF($Z81="CP",$X81,IF($Z81="RA",(($X81)*QCI!$AA$3),0)),SomaAgrup)</f>
        <v>0</v>
      </c>
      <c r="AB81" s="128">
        <f t="shared" ca="1" si="14"/>
        <v>0</v>
      </c>
      <c r="AC81" s="565" t="str" cm="1">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IF(AND(_xlfn.SINGLE(TIPOORCAMENTO)="Licitado",$AL81=0,$AN81&gt;0),"SEM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t="str">
        <f ca="1">IF(C81&lt;=CRONO.NivelExibicao,MAX($AD$15:OFFSET(AD81,-1,0))+IF($C81&lt;&gt;1,1,MAX(1,COUNTIF(QCI!$A$13:$A$15,OFFSET($E81,-1,0)))),"")</f>
        <v/>
      </c>
      <c r="AE81" s="7" t="str">
        <f ca="1">IF(AND($C81="S",ORÇAMENTO.CodBarra&lt;&gt;""),IF(ORÇAMENTO.Fonte="",ORÇAMENTO.CodBarra,CONCATENATE(ORÇAMENTO.Fonte," ",ORÇAMENTO.CodBarra)))</f>
        <v>SINAPI 93382</v>
      </c>
      <c r="AF81" s="12">
        <f ca="1">IF(ISERROR(INDIRECT(ORÇAMENTO.BancoRef)),"(abra o arquivo 'Referência "&amp;Excel_BuiltIn_Database&amp;".xlsm)",IF(OR($C81&lt;&gt;"S",ORÇAMENTO.CodBarra=""),"(Sem Código)",IF(ISERROR(MATCH($AE81,INDIRECT(ORÇAMENTO.BancoRef),0)),"(Código não identificado nas referências)",MATCH($AE81,INDIRECT(ORÇAMENTO.BancoRef),0))))</f>
        <v>6788</v>
      </c>
      <c r="AG81" s="428">
        <f ca="1">ROUND(IF(DESONERACAO="sim",REFERENCIA.Desonerado,REFERENCIA.NaoDesonerado),2)</f>
        <v>28.36</v>
      </c>
      <c r="AH81" s="429">
        <f t="shared" ca="1" si="15"/>
        <v>0.23499999999999999</v>
      </c>
      <c r="AJ81" s="431">
        <f>AJ73-(AJ76+AJ78)</f>
        <v>5.26</v>
      </c>
      <c r="AL81" s="439"/>
      <c r="AM81" s="336">
        <f t="shared" ca="1" si="0"/>
        <v>184.21</v>
      </c>
      <c r="AN81" s="470">
        <f t="shared" ca="1" si="16"/>
        <v>35.020000000000003</v>
      </c>
    </row>
    <row r="82" spans="1:40" ht="51" x14ac:dyDescent="0.2">
      <c r="A82" t="str">
        <f t="shared" si="1"/>
        <v>S</v>
      </c>
      <c r="B82">
        <f t="shared" ca="1" si="2"/>
        <v>4</v>
      </c>
      <c r="C82" t="str">
        <f t="shared" ca="1" si="3"/>
        <v>S</v>
      </c>
      <c r="D82">
        <f t="shared" ca="1" si="4"/>
        <v>0</v>
      </c>
      <c r="E82">
        <f ca="1">IF($C82=1,OFFSET(E82,-1,0)+MAX(1,COUNTIF(QCI!$A$13:$A$15,OFFSET(ORÇAMENTO!E82,-1,0))),OFFSET(E82,-1,0))</f>
        <v>1</v>
      </c>
      <c r="F82">
        <f t="shared" ca="1" si="5"/>
        <v>5</v>
      </c>
      <c r="G82">
        <f t="shared" ca="1" si="6"/>
        <v>1</v>
      </c>
      <c r="H82">
        <f t="shared" ca="1" si="7"/>
        <v>2</v>
      </c>
      <c r="I82">
        <f t="shared" ca="1" si="8"/>
        <v>10</v>
      </c>
      <c r="J82">
        <f t="shared" ca="1" si="22"/>
        <v>0</v>
      </c>
      <c r="K82">
        <f ca="1">IF(OR($C82="S",$C82=0),0,MATCH(OFFSET($D82,0,$C82)+IF($C82&lt;&gt;1,1,COUNTIF(QCI!$A$13:$A$15,ORÇAMENTO!E82)),OFFSET($D82,1,$C82,ROW($C$508)-ROW($C82)),0))</f>
        <v>0</v>
      </c>
      <c r="L82" s="114" t="str">
        <f t="shared" ca="1" si="10"/>
        <v>F</v>
      </c>
      <c r="M82" s="115" t="s">
        <v>705</v>
      </c>
      <c r="N82" s="116" t="str">
        <f t="shared" ca="1" si="11"/>
        <v>Serviço</v>
      </c>
      <c r="O82" s="117" t="str">
        <f t="shared" ca="1" si="12"/>
        <v>1.5.1.2.10.</v>
      </c>
      <c r="P82" s="118" t="s">
        <v>750</v>
      </c>
      <c r="Q82" s="119" t="s">
        <v>1020</v>
      </c>
      <c r="R82" s="120" t="str">
        <f ca="1">IF($C82="S",REFERENCIA.Descricao,"(digite a descrição aqui)")</f>
        <v>CARGA, MANOBRA E DESCARGA DE SOLOS E MATERIAIS GRANULARES EM CAMINHÃO BASCULANTE 18 M³ - CARGA COM ESCAVADEIRA HIDRÁULICA (CAÇAMBA DE 1,20 M³ / 155 HP) E DESCARGA LIVRE (UNIDADE: M3). AF_07/2020</v>
      </c>
      <c r="S82" s="121" t="str">
        <f ca="1">REFERENCIA.Unidade</f>
        <v>M3</v>
      </c>
      <c r="T82" s="122">
        <f ca="1">OFFSET(CÁLCULO!H$15,ROW($T82)-ROW(T$15),0)</f>
        <v>0.85</v>
      </c>
      <c r="U82" s="123">
        <f t="shared" ca="1" si="21"/>
        <v>6.52</v>
      </c>
      <c r="V82" s="124" t="s">
        <v>663</v>
      </c>
      <c r="W82" s="122">
        <f ca="1">IF($C82="S",ROUND(IF(TIPOORCAMENTO="Proposto",ORÇAMENTO.CustoUnitario*(1+$AH82),ORÇAMENTO.PrecoUnitarioLicitado),15-13*$AF$10),0)</f>
        <v>8.0500000000000007</v>
      </c>
      <c r="X82" s="125" cm="1">
        <f t="array" aca="1" ref="X82" ca="1">IF($C82="S",IF(OR(Import.TipoArredondamento&lt;&gt;"TransfereGOV",ACOMPANHAMENTO="BM"),VTOTAL1,SUM(OFFSET(CÁLCULO!$AI$15,ROW($X82)-ROW($X$15),1):OFFSET(CÁLCULO!$BB$15,ROW($X82)-ROW($X$15),-1))),IF($C82=0,0,ROUND(SomaAgrup,15-13*$AF$11)))</f>
        <v>6.84</v>
      </c>
      <c r="Y82" s="126" t="s">
        <v>751</v>
      </c>
      <c r="Z82" t="str">
        <f t="shared" ca="1" si="13"/>
        <v>RA</v>
      </c>
      <c r="AA82" s="127">
        <f ca="1">IF($C82="S",IF($Z82="CP",$X82,IF($Z82="RA",(($X82)*QCI!$AA$3),0)),SomaAgrup)</f>
        <v>0</v>
      </c>
      <c r="AB82" s="128">
        <f t="shared" ca="1" si="14"/>
        <v>0</v>
      </c>
      <c r="AC82" s="565" t="str" cm="1">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IF(AND(_xlfn.SINGLE(TIPOORCAMENTO)="Licitado",$AL82=0,$AN82&gt;0),"SEM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t="str">
        <f ca="1">IF(C82&lt;=CRONO.NivelExibicao,MAX($AD$15:OFFSET(AD82,-1,0))+IF($C82&lt;&gt;1,1,MAX(1,COUNTIF(QCI!$A$13:$A$15,OFFSET($E82,-1,0)))),"")</f>
        <v/>
      </c>
      <c r="AE82" s="7" t="str">
        <f ca="1">IF(AND($C82="S",ORÇAMENTO.CodBarra&lt;&gt;""),IF(ORÇAMENTO.Fonte="",ORÇAMENTO.CodBarra,CONCATENATE(ORÇAMENTO.Fonte," ",ORÇAMENTO.CodBarra)))</f>
        <v>SINAPI 100980</v>
      </c>
      <c r="AF82" s="12">
        <f ca="1">IF(ISERROR(INDIRECT(ORÇAMENTO.BancoRef)),"(abra o arquivo 'Referência "&amp;Excel_BuiltIn_Database&amp;".xlsm)",IF(OR($C82&lt;&gt;"S",ORÇAMENTO.CodBarra=""),"(Sem Código)",IF(ISERROR(MATCH($AE82,INDIRECT(ORÇAMENTO.BancoRef),0)),"(Código não identificado nas referências)",MATCH($AE82,INDIRECT(ORÇAMENTO.BancoRef),0))))</f>
        <v>15290</v>
      </c>
      <c r="AG82" s="428">
        <f ca="1">ROUND(IF(DESONERACAO="sim",REFERENCIA.Desonerado,REFERENCIA.NaoDesonerado),2)</f>
        <v>6.52</v>
      </c>
      <c r="AH82" s="429">
        <f t="shared" ca="1" si="15"/>
        <v>0.23499999999999999</v>
      </c>
      <c r="AJ82" s="431">
        <f>ROUND((5.91-5.26)*1.3,2)</f>
        <v>0.85</v>
      </c>
      <c r="AL82" s="439"/>
      <c r="AM82" s="336">
        <f t="shared" ca="1" si="0"/>
        <v>6.84</v>
      </c>
      <c r="AN82" s="470">
        <f t="shared" ca="1" si="16"/>
        <v>8.0500000000000007</v>
      </c>
    </row>
    <row r="83" spans="1:40" ht="38.25" x14ac:dyDescent="0.2">
      <c r="A83" t="str">
        <f t="shared" si="1"/>
        <v>S</v>
      </c>
      <c r="B83">
        <f t="shared" ca="1" si="2"/>
        <v>4</v>
      </c>
      <c r="C83" t="str">
        <f t="shared" ca="1" si="3"/>
        <v>S</v>
      </c>
      <c r="D83">
        <f t="shared" ca="1" si="4"/>
        <v>0</v>
      </c>
      <c r="E83">
        <f ca="1">IF($C83=1,OFFSET(E83,-1,0)+MAX(1,COUNTIF(QCI!$A$13:$A$15,OFFSET(ORÇAMENTO!E83,-1,0))),OFFSET(E83,-1,0))</f>
        <v>1</v>
      </c>
      <c r="F83">
        <f t="shared" ca="1" si="5"/>
        <v>5</v>
      </c>
      <c r="G83">
        <f t="shared" ca="1" si="6"/>
        <v>1</v>
      </c>
      <c r="H83">
        <f t="shared" ca="1" si="7"/>
        <v>2</v>
      </c>
      <c r="I83">
        <f t="shared" ca="1" si="8"/>
        <v>11</v>
      </c>
      <c r="J83">
        <f t="shared" ca="1" si="22"/>
        <v>0</v>
      </c>
      <c r="K83">
        <f ca="1">IF(OR($C83="S",$C83=0),0,MATCH(OFFSET($D83,0,$C83)+IF($C83&lt;&gt;1,1,COUNTIF(QCI!$A$13:$A$15,ORÇAMENTO!E83)),OFFSET($D83,1,$C83,ROW($C$508)-ROW($C83)),0))</f>
        <v>0</v>
      </c>
      <c r="L83" s="114" t="str">
        <f t="shared" ca="1" si="10"/>
        <v>F</v>
      </c>
      <c r="M83" s="115" t="s">
        <v>705</v>
      </c>
      <c r="N83" s="116" t="str">
        <f t="shared" ca="1" si="11"/>
        <v>Serviço</v>
      </c>
      <c r="O83" s="117" t="str">
        <f t="shared" ca="1" si="12"/>
        <v>1.5.1.2.11.</v>
      </c>
      <c r="P83" s="118" t="s">
        <v>750</v>
      </c>
      <c r="Q83" s="119" t="s">
        <v>1021</v>
      </c>
      <c r="R83" s="120" t="str">
        <f ca="1">IF($C83="S",REFERENCIA.Descricao,"(digite a descrição aqui)")</f>
        <v>TRANSPORTE COM CAMINHÃO BASCULANTE DE 18 M³, EM VIA URBANA PAVIMENTADA, DMT ATÉ 30 KM (UNIDADE: M3XKM). AF_07/2020</v>
      </c>
      <c r="S83" s="121" t="str">
        <f ca="1">REFERENCIA.Unidade</f>
        <v>M3XKM</v>
      </c>
      <c r="T83" s="122">
        <f ca="1">OFFSET(CÁLCULO!H$15,ROW($T83)-ROW(T$15),0)</f>
        <v>6.55</v>
      </c>
      <c r="U83" s="123">
        <f t="shared" ca="1" si="21"/>
        <v>1.9</v>
      </c>
      <c r="V83" s="124" t="s">
        <v>663</v>
      </c>
      <c r="W83" s="122">
        <f ca="1">IF($C83="S",ROUND(IF(TIPOORCAMENTO="Proposto",ORÇAMENTO.CustoUnitario*(1+$AH83),ORÇAMENTO.PrecoUnitarioLicitado),15-13*$AF$10),0)</f>
        <v>2.35</v>
      </c>
      <c r="X83" s="125" cm="1">
        <f t="array" aca="1" ref="X83" ca="1">IF($C83="S",IF(OR(Import.TipoArredondamento&lt;&gt;"TransfereGOV",ACOMPANHAMENTO="BM"),VTOTAL1,SUM(OFFSET(CÁLCULO!$AI$15,ROW($X83)-ROW($X$15),1):OFFSET(CÁLCULO!$BB$15,ROW($X83)-ROW($X$15),-1))),IF($C83=0,0,ROUND(SomaAgrup,15-13*$AF$11)))</f>
        <v>15.39</v>
      </c>
      <c r="Y83" s="126" t="s">
        <v>751</v>
      </c>
      <c r="Z83" t="str">
        <f t="shared" ca="1" si="13"/>
        <v>RA</v>
      </c>
      <c r="AA83" s="127">
        <f ca="1">IF($C83="S",IF($Z83="CP",$X83,IF($Z83="RA",(($X83)*QCI!$AA$3),0)),SomaAgrup)</f>
        <v>0</v>
      </c>
      <c r="AB83" s="128">
        <f t="shared" ca="1" si="14"/>
        <v>0</v>
      </c>
      <c r="AC83" s="565" t="str" cm="1">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IF(AND(_xlfn.SINGLE(TIPOORCAMENTO)="Licitado",$AL83=0,$AN83&gt;0),"SEM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t="str">
        <f ca="1">IF(C83&lt;=CRONO.NivelExibicao,MAX($AD$15:OFFSET(AD83,-1,0))+IF($C83&lt;&gt;1,1,MAX(1,COUNTIF(QCI!$A$13:$A$15,OFFSET($E83,-1,0)))),"")</f>
        <v/>
      </c>
      <c r="AE83" s="7" t="str">
        <f ca="1">IF(AND($C83="S",ORÇAMENTO.CodBarra&lt;&gt;""),IF(ORÇAMENTO.Fonte="",ORÇAMENTO.CodBarra,CONCATENATE(ORÇAMENTO.Fonte," ",ORÇAMENTO.CodBarra)))</f>
        <v>SINAPI 95877</v>
      </c>
      <c r="AF83" s="12">
        <f ca="1">IF(ISERROR(INDIRECT(ORÇAMENTO.BancoRef)),"(abra o arquivo 'Referência "&amp;Excel_BuiltIn_Database&amp;".xlsm)",IF(OR($C83&lt;&gt;"S",ORÇAMENTO.CodBarra=""),"(Sem Código)",IF(ISERROR(MATCH($AE83,INDIRECT(ORÇAMENTO.BancoRef),0)),"(Código não identificado nas referências)",MATCH($AE83,INDIRECT(ORÇAMENTO.BancoRef),0))))</f>
        <v>15362</v>
      </c>
      <c r="AG83" s="428">
        <f ca="1">ROUND(IF(DESONERACAO="sim",REFERENCIA.Desonerado,REFERENCIA.NaoDesonerado),2)</f>
        <v>1.9</v>
      </c>
      <c r="AH83" s="429">
        <f t="shared" ca="1" si="15"/>
        <v>0.23499999999999999</v>
      </c>
      <c r="AJ83" s="431">
        <f>ROUND(AJ82*7.7,2)</f>
        <v>6.55</v>
      </c>
      <c r="AL83" s="439"/>
      <c r="AM83" s="336">
        <f t="shared" ca="1" si="0"/>
        <v>15.39</v>
      </c>
      <c r="AN83" s="470">
        <f t="shared" ca="1" si="16"/>
        <v>2.35</v>
      </c>
    </row>
    <row r="84" spans="1:40" x14ac:dyDescent="0.2">
      <c r="A84" t="str">
        <f t="shared" si="1"/>
        <v>S</v>
      </c>
      <c r="B84">
        <f t="shared" ca="1" si="2"/>
        <v>4</v>
      </c>
      <c r="C84" t="str">
        <f t="shared" ca="1" si="3"/>
        <v>S</v>
      </c>
      <c r="D84">
        <f t="shared" ca="1" si="4"/>
        <v>0</v>
      </c>
      <c r="E84">
        <f ca="1">IF($C84=1,OFFSET(E84,-1,0)+MAX(1,COUNTIF(QCI!$A$13:$A$15,OFFSET(ORÇAMENTO!E84,-1,0))),OFFSET(E84,-1,0))</f>
        <v>1</v>
      </c>
      <c r="F84">
        <f t="shared" ca="1" si="5"/>
        <v>5</v>
      </c>
      <c r="G84">
        <f t="shared" ca="1" si="6"/>
        <v>1</v>
      </c>
      <c r="H84">
        <f t="shared" ca="1" si="7"/>
        <v>2</v>
      </c>
      <c r="I84">
        <f t="shared" ca="1" si="8"/>
        <v>12</v>
      </c>
      <c r="J84">
        <f t="shared" ca="1" si="22"/>
        <v>0</v>
      </c>
      <c r="K84">
        <f ca="1">IF(OR($C84="S",$C84=0),0,MATCH(OFFSET($D84,0,$C84)+IF($C84&lt;&gt;1,1,COUNTIF(QCI!$A$13:$A$15,ORÇAMENTO!E84)),OFFSET($D84,1,$C84,ROW($C$508)-ROW($C84)),0))</f>
        <v>0</v>
      </c>
      <c r="L84" s="114" t="str">
        <f t="shared" ca="1" si="10"/>
        <v>F</v>
      </c>
      <c r="M84" s="115" t="s">
        <v>705</v>
      </c>
      <c r="N84" s="116" t="str">
        <f t="shared" ca="1" si="11"/>
        <v>Serviço</v>
      </c>
      <c r="O84" s="117" t="str">
        <f t="shared" ca="1" si="12"/>
        <v>1.5.1.2.12.</v>
      </c>
      <c r="P84" s="118" t="s">
        <v>958</v>
      </c>
      <c r="Q84" s="119" t="s">
        <v>1013</v>
      </c>
      <c r="R84" s="120" t="str">
        <f ca="1">IF($C84="S",REFERENCIA.Descricao,"(digite a descrição aqui)")</f>
        <v>TAXA ATERRO SANITÁRIO</v>
      </c>
      <c r="S84" s="121" t="str">
        <f ca="1">REFERENCIA.Unidade</f>
        <v>T</v>
      </c>
      <c r="T84" s="122">
        <f ca="1">OFFSET(CÁLCULO!H$15,ROW($T84)-ROW(T$15),0)</f>
        <v>1.1599999999999999</v>
      </c>
      <c r="U84" s="123">
        <f ca="1">AG84</f>
        <v>65.19</v>
      </c>
      <c r="V84" s="124" t="s">
        <v>663</v>
      </c>
      <c r="W84" s="122">
        <f ca="1">IF($C84="S",ROUND(IF(TIPOORCAMENTO="Proposto",ORÇAMENTO.CustoUnitario*(1+$AH84),ORÇAMENTO.PrecoUnitarioLicitado),15-13*$AF$10),0)</f>
        <v>80.510000000000005</v>
      </c>
      <c r="X84" s="125" cm="1">
        <f t="array" aca="1" ref="X84" ca="1">IF($C84="S",IF(OR(Import.TipoArredondamento&lt;&gt;"TransfereGOV",ACOMPANHAMENTO="BM"),VTOTAL1,SUM(OFFSET(CÁLCULO!$AI$15,ROW($X84)-ROW($X$15),1):OFFSET(CÁLCULO!$BB$15,ROW($X84)-ROW($X$15),-1))),IF($C84=0,0,ROUND(SomaAgrup,15-13*$AF$11)))</f>
        <v>93.39</v>
      </c>
      <c r="Y84" s="126" t="s">
        <v>751</v>
      </c>
      <c r="Z84" t="str">
        <f t="shared" ca="1" si="13"/>
        <v>RA</v>
      </c>
      <c r="AA84" s="127">
        <f ca="1">IF($C84="S",IF($Z84="CP",$X84,IF($Z84="RA",(($X84)*QCI!$AA$3),0)),SomaAgrup)</f>
        <v>0</v>
      </c>
      <c r="AB84" s="128">
        <f t="shared" ca="1" si="14"/>
        <v>0</v>
      </c>
      <c r="AC84" s="565" t="str" cm="1">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IF(AND(_xlfn.SINGLE(TIPOORCAMENTO)="Licitado",$AL84=0,$AN84&gt;0),"SEM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t="str">
        <f ca="1">IF(C84&lt;=CRONO.NivelExibicao,MAX($AD$15:OFFSET(AD84,-1,0))+IF($C84&lt;&gt;1,1,MAX(1,COUNTIF(QCI!$A$13:$A$15,OFFSET($E84,-1,0)))),"")</f>
        <v/>
      </c>
      <c r="AE84" s="7" t="str">
        <f ca="1">IF(AND($C84="S",ORÇAMENTO.CodBarra&lt;&gt;""),IF(ORÇAMENTO.Fonte="",ORÇAMENTO.CodBarra,CONCATENATE(ORÇAMENTO.Fonte," ",ORÇAMENTO.CodBarra)))</f>
        <v>Cotação COT-072</v>
      </c>
      <c r="AF84" s="12">
        <f ca="1">IF(ISERROR(INDIRECT(ORÇAMENTO.BancoRef)),"(abra o arquivo 'Referência "&amp;Excel_BuiltIn_Database&amp;".xlsm)",IF(OR($C84&lt;&gt;"S",ORÇAMENTO.CodBarra=""),"(Sem Código)",IF(ISERROR(MATCH($AE84,INDIRECT(ORÇAMENTO.BancoRef),0)),"(Código não identificado nas referências)",MATCH($AE84,INDIRECT(ORÇAMENTO.BancoRef),0))))</f>
        <v>138</v>
      </c>
      <c r="AG84" s="428">
        <f ca="1">ROUND(IF(DESONERACAO="sim",REFERENCIA.Desonerado,REFERENCIA.NaoDesonerado),2)</f>
        <v>65.19</v>
      </c>
      <c r="AH84" s="429">
        <f t="shared" ca="1" si="15"/>
        <v>0.23499999999999999</v>
      </c>
      <c r="AJ84" s="431">
        <f>ROUND(AJ82*1.36,2)</f>
        <v>1.1599999999999999</v>
      </c>
      <c r="AL84" s="439"/>
      <c r="AM84" s="336">
        <f t="shared" ca="1" si="0"/>
        <v>93.39</v>
      </c>
      <c r="AN84" s="470">
        <f t="shared" ca="1" si="16"/>
        <v>80.510000000000005</v>
      </c>
    </row>
    <row r="85" spans="1:40" ht="25.5" x14ac:dyDescent="0.2">
      <c r="A85" t="str">
        <f t="shared" ref="A85:A148" si="23">CHOOSE(1+LOG(1+2*(ORÇAMENTO.Nivel="Meta")+4*(ORÇAMENTO.Nivel="Nível 2")+8*(ORÇAMENTO.Nivel="Nível 3")+16*(ORÇAMENTO.Nivel="Nível 4")+32*(ORÇAMENTO.Nivel="Serviço"),2),0,1,2,3,4,"S")</f>
        <v>S</v>
      </c>
      <c r="B85">
        <f t="shared" ref="B85:B148" ca="1" si="24">IF(OR(C85="s",C85=0),OFFSET(B85,-1,0),C85)</f>
        <v>4</v>
      </c>
      <c r="C85" t="str">
        <f t="shared" ref="C85:C148" ca="1" si="25">IF(OFFSET(C85,-1,0)="L",1,IF(OFFSET(C85,-1,0)=1,2,IF(OR(A85="s",A85=0),"S",IF(AND(OFFSET(C85,-1,0)=2,A85=4),3,IF(AND(OR(OFFSET(C85,-1,0)="s",OFFSET(C85,-1,0)=0),A85&lt;&gt;"s",A85&gt;OFFSET(B85,-1,0)),OFFSET(B85,-1,0),A85)))))</f>
        <v>S</v>
      </c>
      <c r="D85">
        <f t="shared" ref="D85:D148" ca="1" si="26">IF(OR(C85="S",C85=0),0,IF(ISERROR(K85),J85,SMALL(J85:K85,1)))</f>
        <v>0</v>
      </c>
      <c r="E85">
        <f ca="1">IF($C85=1,OFFSET(E85,-1,0)+MAX(1,COUNTIF(QCI!$A$13:$A$15,OFFSET(ORÇAMENTO!E85,-1,0))),OFFSET(E85,-1,0))</f>
        <v>1</v>
      </c>
      <c r="F85">
        <f t="shared" ref="F85:F148" ca="1" si="27">IF($C85=1,0,IF($C85=2,OFFSET(F85,-1,0)+1,OFFSET(F85,-1,0)))</f>
        <v>5</v>
      </c>
      <c r="G85">
        <f t="shared" ref="G85:G148" ca="1" si="28">IF(AND($C85&lt;=2,$C85&lt;&gt;0),0,IF($C85=3,OFFSET(G85,-1,0)+1,OFFSET(G85,-1,0)))</f>
        <v>1</v>
      </c>
      <c r="H85">
        <f t="shared" ref="H85:H148" ca="1" si="29">IF(AND($C85&lt;=3,$C85&lt;&gt;0),0,IF($C85=4,OFFSET(H85,-1,0)+1,OFFSET(H85,-1,0)))</f>
        <v>2</v>
      </c>
      <c r="I85">
        <f t="shared" ref="I85:I148" ca="1" si="30">IF(AND($C85&lt;=4,$C85&lt;&gt;0),0,IF(AND($C85="S",$X85&gt;0),OFFSET(I85,-1,0)+1,OFFSET(I85,-1,0)))</f>
        <v>13</v>
      </c>
      <c r="J85">
        <f t="shared" ca="1" si="22"/>
        <v>0</v>
      </c>
      <c r="K85">
        <f ca="1">IF(OR($C85="S",$C85=0),0,MATCH(OFFSET($D85,0,$C85)+IF($C85&lt;&gt;1,1,COUNTIF(QCI!$A$13:$A$15,ORÇAMENTO!E85)),OFFSET($D85,1,$C85,ROW($C$508)-ROW($C85)),0))</f>
        <v>0</v>
      </c>
      <c r="L85" s="114" t="str">
        <f t="shared" ref="L85:L148" ca="1" si="31">IF(OR($X85&gt;0,$C85=1,$C85=2,$C85=3,$C85=4),"F","")</f>
        <v>F</v>
      </c>
      <c r="M85" s="115" t="s">
        <v>705</v>
      </c>
      <c r="N85" s="116" t="str">
        <f t="shared" ref="N85:N148" ca="1" si="32">CHOOSE(1+LOG(1+2*(C85=1)+4*(C85=2)+8*(C85=3)+16*(C85=4)+32*(C85="S"),2),"","Meta","Nível 2","Nível 3","Nível 4","Serviço")</f>
        <v>Serviço</v>
      </c>
      <c r="O85" s="117" t="str">
        <f t="shared" ref="O85:O148" ca="1" si="33">IF(OR($C85=0,$L85=""),"-",CONCATENATE(E85&amp;".",IF(AND($A$5&gt;=2,$C85&gt;=2),F85&amp;".",""),IF(AND($A$5&gt;=3,$C85&gt;=3),G85&amp;".",""),IF(AND($A$5&gt;=4,$C85&gt;=4),H85&amp;".",""),IF($C85="S",I85&amp;".","")))</f>
        <v>1.5.1.2.13.</v>
      </c>
      <c r="P85" s="118" t="s">
        <v>750</v>
      </c>
      <c r="Q85" s="119" t="s">
        <v>1014</v>
      </c>
      <c r="R85" s="120" t="str">
        <f ca="1">IF($C85="S",REFERENCIA.Descricao,"(digite a descrição aqui)")</f>
        <v>ESPALHAMENTO DE MATERIAL COM TRATOR DE ESTEIRAS. AF_09/2024</v>
      </c>
      <c r="S85" s="121" t="str">
        <f ca="1">REFERENCIA.Unidade</f>
        <v>M3</v>
      </c>
      <c r="T85" s="122">
        <f ca="1">OFFSET(CÁLCULO!H$15,ROW($T85)-ROW(T$15),0)</f>
        <v>0.85</v>
      </c>
      <c r="U85" s="123">
        <f t="shared" ca="1" si="21"/>
        <v>1.49</v>
      </c>
      <c r="V85" s="124" t="s">
        <v>663</v>
      </c>
      <c r="W85" s="122">
        <f ca="1">IF($C85="S",ROUND(IF(TIPOORCAMENTO="Proposto",ORÇAMENTO.CustoUnitario*(1+$AH85),ORÇAMENTO.PrecoUnitarioLicitado),15-13*$AF$10),0)</f>
        <v>1.84</v>
      </c>
      <c r="X85" s="125" cm="1">
        <f t="array" aca="1" ref="X85" ca="1">IF($C85="S",IF(OR(Import.TipoArredondamento&lt;&gt;"TransfereGOV",ACOMPANHAMENTO="BM"),VTOTAL1,SUM(OFFSET(CÁLCULO!$AI$15,ROW($X85)-ROW($X$15),1):OFFSET(CÁLCULO!$BB$15,ROW($X85)-ROW($X$15),-1))),IF($C85=0,0,ROUND(SomaAgrup,15-13*$AF$11)))</f>
        <v>1.56</v>
      </c>
      <c r="Y85" s="126" t="s">
        <v>751</v>
      </c>
      <c r="Z85" t="str">
        <f t="shared" ref="Z85:Z148" ca="1" si="34">IF(AND($C85="S",$X85&gt;0),IF(ISBLANK($Y85),"RA",LEFT($Y85,2)),"")</f>
        <v>RA</v>
      </c>
      <c r="AA85" s="127">
        <f ca="1">IF($C85="S",IF($Z85="CP",$X85,IF($Z85="RA",(($X85)*QCI!$AA$3),0)),SomaAgrup)</f>
        <v>0</v>
      </c>
      <c r="AB85" s="128">
        <f t="shared" ref="AB85:AB148" ca="1" si="35">IF($C85="S",IF($Z85="OU",ROUND($X85,2),0),SomaAgrup)</f>
        <v>0</v>
      </c>
      <c r="AC85" s="565" t="str" cm="1">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IF(AND(_xlfn.SINGLE(TIPOORCAMENTO)="Licitado",$AL85=0,$AN85&gt;0),"SEM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t="str">
        <f ca="1">IF(C85&lt;=CRONO.NivelExibicao,MAX($AD$15:OFFSET(AD85,-1,0))+IF($C85&lt;&gt;1,1,MAX(1,COUNTIF(QCI!$A$13:$A$15,OFFSET($E85,-1,0)))),"")</f>
        <v/>
      </c>
      <c r="AE85" s="7" t="str">
        <f ca="1">IF(AND($C85="S",ORÇAMENTO.CodBarra&lt;&gt;""),IF(ORÇAMENTO.Fonte="",ORÇAMENTO.CodBarra,CONCATENATE(ORÇAMENTO.Fonte," ",ORÇAMENTO.CodBarra)))</f>
        <v>SINAPI 100574</v>
      </c>
      <c r="AF85" s="12">
        <f ca="1">IF(ISERROR(INDIRECT(ORÇAMENTO.BancoRef)),"(abra o arquivo 'Referência "&amp;Excel_BuiltIn_Database&amp;".xlsm)",IF(OR($C85&lt;&gt;"S",ORÇAMENTO.CodBarra=""),"(Sem Código)",IF(ISERROR(MATCH($AE85,INDIRECT(ORÇAMENTO.BancoRef),0)),"(Código não identificado nas referências)",MATCH($AE85,INDIRECT(ORÇAMENTO.BancoRef),0))))</f>
        <v>6916</v>
      </c>
      <c r="AG85" s="428">
        <f ca="1">ROUND(IF(DESONERACAO="sim",REFERENCIA.Desonerado,REFERENCIA.NaoDesonerado),2)</f>
        <v>1.49</v>
      </c>
      <c r="AH85" s="429">
        <f t="shared" ref="AH85:AH148" ca="1" si="36">ROUND(IF(ISNUMBER(ORÇAMENTO.OpcaoBDI),ORÇAMENTO.OpcaoBDI,IF(LEFT(ORÇAMENTO.OpcaoBDI,3)="BDI",HLOOKUP(ORÇAMENTO.OpcaoBDI,$F$4:$H$5,2,FALSE),0)),15-11*$AF$9)</f>
        <v>0.23499999999999999</v>
      </c>
      <c r="AJ85" s="431">
        <f>AJ82</f>
        <v>0.85</v>
      </c>
      <c r="AL85" s="439"/>
      <c r="AM85" s="336">
        <f t="shared" ca="1" si="0"/>
        <v>1.56</v>
      </c>
      <c r="AN85" s="470">
        <f t="shared" ref="AN85:AN148" ca="1" si="37">ROUND(ORÇAMENTO.CustoUnitario*(1+$AH85),2)</f>
        <v>1.84</v>
      </c>
    </row>
    <row r="86" spans="1:40" x14ac:dyDescent="0.2">
      <c r="A86" t="str">
        <f t="shared" si="23"/>
        <v>S</v>
      </c>
      <c r="B86">
        <f t="shared" ca="1" si="24"/>
        <v>4</v>
      </c>
      <c r="C86" t="str">
        <f t="shared" ca="1" si="25"/>
        <v>S</v>
      </c>
      <c r="D86">
        <f t="shared" ca="1" si="26"/>
        <v>0</v>
      </c>
      <c r="E86">
        <f ca="1">IF($C86=1,OFFSET(E86,-1,0)+MAX(1,COUNTIF(QCI!$A$13:$A$15,OFFSET(ORÇAMENTO!E86,-1,0))),OFFSET(E86,-1,0))</f>
        <v>1</v>
      </c>
      <c r="F86">
        <f t="shared" ca="1" si="27"/>
        <v>5</v>
      </c>
      <c r="G86">
        <f t="shared" ca="1" si="28"/>
        <v>1</v>
      </c>
      <c r="H86">
        <f t="shared" ca="1" si="29"/>
        <v>2</v>
      </c>
      <c r="I86">
        <f t="shared" ca="1" si="30"/>
        <v>14</v>
      </c>
      <c r="J86">
        <f t="shared" ca="1" si="22"/>
        <v>0</v>
      </c>
      <c r="K86">
        <f ca="1">IF(OR($C86="S",$C86=0),0,MATCH(OFFSET($D86,0,$C86)+IF($C86&lt;&gt;1,1,COUNTIF(QCI!$A$13:$A$15,ORÇAMENTO!E86)),OFFSET($D86,1,$C86,ROW($C$508)-ROW($C86)),0))</f>
        <v>0</v>
      </c>
      <c r="L86" s="114" t="str">
        <f t="shared" ca="1" si="31"/>
        <v>F</v>
      </c>
      <c r="M86" s="115" t="s">
        <v>705</v>
      </c>
      <c r="N86" s="116" t="str">
        <f t="shared" ca="1" si="32"/>
        <v>Serviço</v>
      </c>
      <c r="O86" s="117" t="str">
        <f t="shared" ca="1" si="33"/>
        <v>1.5.1.2.14.</v>
      </c>
      <c r="P86" s="118" t="s">
        <v>1280</v>
      </c>
      <c r="Q86" s="119" t="s">
        <v>1023</v>
      </c>
      <c r="R86" s="120" t="str">
        <f ca="1">IF($C86="S",REFERENCIA.Descricao,"(digite a descrição aqui)")</f>
        <v>ENSAIO DE RESISTENCIA A COMPRESSAO SIMPLES - CONCRETO</v>
      </c>
      <c r="S86" s="121" t="str">
        <f ca="1">REFERENCIA.Unidade</f>
        <v>UN</v>
      </c>
      <c r="T86" s="122">
        <f ca="1">OFFSET(CÁLCULO!H$15,ROW($T86)-ROW(T$15),0)</f>
        <v>1</v>
      </c>
      <c r="U86" s="123">
        <f t="shared" ca="1" si="21"/>
        <v>100.21</v>
      </c>
      <c r="V86" s="124" t="s">
        <v>663</v>
      </c>
      <c r="W86" s="122">
        <f ca="1">IF($C86="S",ROUND(IF(TIPOORCAMENTO="Proposto",ORÇAMENTO.CustoUnitario*(1+$AH86),ORÇAMENTO.PrecoUnitarioLicitado),15-13*$AF$10),0)</f>
        <v>123.76</v>
      </c>
      <c r="X86" s="125" cm="1">
        <f t="array" aca="1" ref="X86" ca="1">IF($C86="S",IF(OR(Import.TipoArredondamento&lt;&gt;"TransfereGOV",ACOMPANHAMENTO="BM"),VTOTAL1,SUM(OFFSET(CÁLCULO!$AI$15,ROW($X86)-ROW($X$15),1):OFFSET(CÁLCULO!$BB$15,ROW($X86)-ROW($X$15),-1))),IF($C86=0,0,ROUND(SomaAgrup,15-13*$AF$11)))</f>
        <v>123.76</v>
      </c>
      <c r="Y86" s="126" t="s">
        <v>751</v>
      </c>
      <c r="Z86" t="str">
        <f t="shared" ca="1" si="34"/>
        <v>RA</v>
      </c>
      <c r="AA86" s="127">
        <f ca="1">IF($C86="S",IF($Z86="CP",$X86,IF($Z86="RA",(($X86)*QCI!$AA$3),0)),SomaAgrup)</f>
        <v>0</v>
      </c>
      <c r="AB86" s="128">
        <f t="shared" ca="1" si="35"/>
        <v>0</v>
      </c>
      <c r="AC86" s="565" t="str" cm="1">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IF(AND(_xlfn.SINGLE(TIPOORCAMENTO)="Licitado",$AL86=0,$AN86&gt;0),"SEM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t="str">
        <f ca="1">IF(C86&lt;=CRONO.NivelExibicao,MAX($AD$15:OFFSET(AD86,-1,0))+IF($C86&lt;&gt;1,1,MAX(1,COUNTIF(QCI!$A$13:$A$15,OFFSET($E86,-1,0)))),"")</f>
        <v/>
      </c>
      <c r="AE86" s="7" t="str">
        <f ca="1">IF(AND($C86="S",ORÇAMENTO.CodBarra&lt;&gt;""),IF(ORÇAMENTO.Fonte="",ORÇAMENTO.CodBarra,CONCATENATE(ORÇAMENTO.Fonte," ",ORÇAMENTO.CodBarra)))</f>
        <v>SETOP ED-49546</v>
      </c>
      <c r="AF86" s="12">
        <f ca="1">IF(ISERROR(INDIRECT(ORÇAMENTO.BancoRef)),"(abra o arquivo 'Referência "&amp;Excel_BuiltIn_Database&amp;".xlsm)",IF(OR($C86&lt;&gt;"S",ORÇAMENTO.CodBarra=""),"(Sem Código)",IF(ISERROR(MATCH($AE86,INDIRECT(ORÇAMENTO.BancoRef),0)),"(Código não identificado nas referências)",MATCH($AE86,INDIRECT(ORÇAMENTO.BancoRef),0))))</f>
        <v>30193</v>
      </c>
      <c r="AG86" s="428">
        <f ca="1">ROUND(IF(DESONERACAO="sim",REFERENCIA.Desonerado,REFERENCIA.NaoDesonerado),2)</f>
        <v>100.21</v>
      </c>
      <c r="AH86" s="429">
        <f t="shared" ca="1" si="36"/>
        <v>0.23499999999999999</v>
      </c>
      <c r="AJ86" s="431">
        <f>ROUND(AJ77/8*4,0)</f>
        <v>1</v>
      </c>
      <c r="AL86" s="439"/>
      <c r="AM86" s="336">
        <f t="shared" ca="1" si="0"/>
        <v>123.76</v>
      </c>
      <c r="AN86" s="470">
        <f t="shared" ca="1" si="37"/>
        <v>123.76</v>
      </c>
    </row>
    <row r="87" spans="1:40" x14ac:dyDescent="0.2">
      <c r="A87">
        <f t="shared" si="23"/>
        <v>4</v>
      </c>
      <c r="B87">
        <f t="shared" ca="1" si="24"/>
        <v>4</v>
      </c>
      <c r="C87">
        <f t="shared" ca="1" si="25"/>
        <v>4</v>
      </c>
      <c r="D87">
        <f t="shared" ca="1" si="26"/>
        <v>8</v>
      </c>
      <c r="E87">
        <f ca="1">IF($C87=1,OFFSET(E87,-1,0)+MAX(1,COUNTIF(QCI!$A$13:$A$15,OFFSET(ORÇAMENTO!E87,-1,0))),OFFSET(E87,-1,0))</f>
        <v>1</v>
      </c>
      <c r="F87">
        <f t="shared" ca="1" si="27"/>
        <v>5</v>
      </c>
      <c r="G87">
        <f t="shared" ca="1" si="28"/>
        <v>1</v>
      </c>
      <c r="H87">
        <f t="shared" ca="1" si="29"/>
        <v>3</v>
      </c>
      <c r="I87">
        <f t="shared" ca="1" si="30"/>
        <v>0</v>
      </c>
      <c r="J87">
        <f t="shared" ca="1" si="22"/>
        <v>18</v>
      </c>
      <c r="K87">
        <f ca="1">IF(OR($C87="S",$C87=0),0,MATCH(OFFSET($D87,0,$C87)+IF($C87&lt;&gt;1,1,COUNTIF(QCI!$A$13:$A$15,ORÇAMENTO!E87)),OFFSET($D87,1,$C87,ROW($C$508)-ROW($C87)),0))</f>
        <v>8</v>
      </c>
      <c r="L87" s="114" t="str">
        <f t="shared" ca="1" si="31"/>
        <v>F</v>
      </c>
      <c r="M87" s="115" t="s">
        <v>704</v>
      </c>
      <c r="N87" s="116" t="str">
        <f t="shared" ca="1" si="32"/>
        <v>Nível 4</v>
      </c>
      <c r="O87" s="117" t="str">
        <f t="shared" ca="1" si="33"/>
        <v>1.5.1.3.</v>
      </c>
      <c r="P87" s="118" t="s">
        <v>750</v>
      </c>
      <c r="Q87" s="119"/>
      <c r="R87" s="120" t="s">
        <v>1220</v>
      </c>
      <c r="S87" s="121" t="s">
        <v>688</v>
      </c>
      <c r="T87" s="122">
        <f ca="1">OFFSET(CÁLCULO!H$15,ROW($T87)-ROW(T$15),0)</f>
        <v>0</v>
      </c>
      <c r="U87" s="123">
        <f t="shared" ca="1" si="21"/>
        <v>0</v>
      </c>
      <c r="V87" s="124" t="s">
        <v>663</v>
      </c>
      <c r="W87" s="122">
        <f ca="1">IF($C87="S",ROUND(IF(TIPOORCAMENTO="Proposto",ORÇAMENTO.CustoUnitario*(1+$AH87),ORÇAMENTO.PrecoUnitarioLicitado),15-13*$AF$10),0)</f>
        <v>0</v>
      </c>
      <c r="X87" s="125" cm="1">
        <f t="array" aca="1" ref="X87" ca="1">IF($C87="S",IF(OR(Import.TipoArredondamento&lt;&gt;"TransfereGOV",ACOMPANHAMENTO="BM"),VTOTAL1,SUM(OFFSET(CÁLCULO!$AI$15,ROW($X87)-ROW($X$15),1):OFFSET(CÁLCULO!$BB$15,ROW($X87)-ROW($X$15),-1))),IF($C87=0,0,ROUND(SomaAgrup,15-13*$AF$11)))</f>
        <v>799089.63</v>
      </c>
      <c r="Y87" s="126" t="s">
        <v>751</v>
      </c>
      <c r="Z87" t="str">
        <f t="shared" ca="1" si="34"/>
        <v/>
      </c>
      <c r="AA87" s="127">
        <f ca="1">IF($C87="S",IF($Z87="CP",$X87,IF($Z87="RA",(($X87)*QCI!$AA$3),0)),SomaAgrup)</f>
        <v>0</v>
      </c>
      <c r="AB87" s="128">
        <f t="shared" ca="1" si="35"/>
        <v>0</v>
      </c>
      <c r="AC87" s="565" t="str" cm="1">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IF(AND(_xlfn.SINGLE(TIPOORCAMENTO)="Licitado",$AL87=0,$AN87&gt;0),"SEM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t="str">
        <f ca="1">IF(C87&lt;=CRONO.NivelExibicao,MAX($AD$15:OFFSET(AD87,-1,0))+IF($C87&lt;&gt;1,1,MAX(1,COUNTIF(QCI!$A$13:$A$15,OFFSET($E87,-1,0)))),"")</f>
        <v/>
      </c>
      <c r="AE87" s="7" t="b">
        <f ca="1">IF(AND($C87="S",ORÇAMENTO.CodBarra&lt;&gt;""),IF(ORÇAMENTO.Fonte="",ORÇAMENTO.CodBarra,CONCATENATE(ORÇAMENTO.Fonte," ",ORÇAMENTO.CodBarra)))</f>
        <v>0</v>
      </c>
      <c r="AF87" s="12" t="str">
        <f ca="1">IF(ISERROR(INDIRECT(ORÇAMENTO.BancoRef)),"(abra o arquivo 'Referência "&amp;Excel_BuiltIn_Database&amp;".xlsm)",IF(OR($C87&lt;&gt;"S",ORÇAMENTO.CodBarra=""),"(Sem Código)",IF(ISERROR(MATCH($AE87,INDIRECT(ORÇAMENTO.BancoRef),0)),"(Código não identificado nas referências)",MATCH($AE87,INDIRECT(ORÇAMENTO.BancoRef),0))))</f>
        <v>(Sem Código)</v>
      </c>
      <c r="AG87" s="428">
        <f ca="1">ROUND(IF(DESONERACAO="sim",REFERENCIA.Desonerado,REFERENCIA.NaoDesonerado),2)</f>
        <v>0</v>
      </c>
      <c r="AH87" s="429">
        <f t="shared" ca="1" si="36"/>
        <v>0.23499999999999999</v>
      </c>
      <c r="AJ87" s="431"/>
      <c r="AL87" s="439"/>
      <c r="AM87" s="336">
        <f t="shared" ca="1" si="0"/>
        <v>799089.63</v>
      </c>
      <c r="AN87" s="470">
        <f t="shared" ca="1" si="37"/>
        <v>0</v>
      </c>
    </row>
    <row r="88" spans="1:40" ht="38.25" x14ac:dyDescent="0.2">
      <c r="A88" t="str">
        <f t="shared" si="23"/>
        <v>S</v>
      </c>
      <c r="B88">
        <f t="shared" ca="1" si="24"/>
        <v>4</v>
      </c>
      <c r="C88" t="str">
        <f t="shared" ca="1" si="25"/>
        <v>S</v>
      </c>
      <c r="D88">
        <f t="shared" ca="1" si="26"/>
        <v>0</v>
      </c>
      <c r="E88">
        <f ca="1">IF($C88=1,OFFSET(E88,-1,0)+MAX(1,COUNTIF(QCI!$A$13:$A$15,OFFSET(ORÇAMENTO!E88,-1,0))),OFFSET(E88,-1,0))</f>
        <v>1</v>
      </c>
      <c r="F88">
        <f t="shared" ca="1" si="27"/>
        <v>5</v>
      </c>
      <c r="G88">
        <f t="shared" ca="1" si="28"/>
        <v>1</v>
      </c>
      <c r="H88">
        <f t="shared" ca="1" si="29"/>
        <v>3</v>
      </c>
      <c r="I88">
        <f t="shared" ca="1" si="30"/>
        <v>1</v>
      </c>
      <c r="J88">
        <f t="shared" ca="1" si="22"/>
        <v>0</v>
      </c>
      <c r="K88">
        <f ca="1">IF(OR($C88="S",$C88=0),0,MATCH(OFFSET($D88,0,$C88)+IF($C88&lt;&gt;1,1,COUNTIF(QCI!$A$13:$A$15,ORÇAMENTO!E88)),OFFSET($D88,1,$C88,ROW($C$508)-ROW($C88)),0))</f>
        <v>0</v>
      </c>
      <c r="L88" s="114" t="str">
        <f t="shared" ca="1" si="31"/>
        <v>F</v>
      </c>
      <c r="M88" s="115" t="s">
        <v>705</v>
      </c>
      <c r="N88" s="116" t="str">
        <f t="shared" ca="1" si="32"/>
        <v>Serviço</v>
      </c>
      <c r="O88" s="117" t="str">
        <f t="shared" ca="1" si="33"/>
        <v>1.5.1.3.1.</v>
      </c>
      <c r="P88" s="118" t="s">
        <v>750</v>
      </c>
      <c r="Q88" s="119" t="s">
        <v>1017</v>
      </c>
      <c r="R88" s="120" t="str">
        <f ca="1">IF($C88="S",REFERENCIA.Descricao,"(digite a descrição aqui)")</f>
        <v>CONCRETO FCK = 40MPA, TRAÇO 1:1,6:1,9 (EM MASSA SECA DE CIMENTO/ AREIA MÉDIA/ BRITA 1) - PREPARO MECÂNICO COM BETONEIRA 600 L. AF_05/2021</v>
      </c>
      <c r="S88" s="121" t="str">
        <f ca="1">REFERENCIA.Unidade</f>
        <v>M3</v>
      </c>
      <c r="T88" s="122">
        <f ca="1">OFFSET(CÁLCULO!H$15,ROW($T88)-ROW(T$15),0)</f>
        <v>215.9</v>
      </c>
      <c r="U88" s="123">
        <f t="shared" ca="1" si="21"/>
        <v>628.30999999999995</v>
      </c>
      <c r="V88" s="124" t="s">
        <v>663</v>
      </c>
      <c r="W88" s="122">
        <f ca="1">IF($C88="S",ROUND(IF(TIPOORCAMENTO="Proposto",ORÇAMENTO.CustoUnitario*(1+$AH88),ORÇAMENTO.PrecoUnitarioLicitado),15-13*$AF$10),0)</f>
        <v>775.96</v>
      </c>
      <c r="X88" s="125" cm="1">
        <f t="array" aca="1" ref="X88" ca="1">IF($C88="S",IF(OR(Import.TipoArredondamento&lt;&gt;"TransfereGOV",ACOMPANHAMENTO="BM"),VTOTAL1,SUM(OFFSET(CÁLCULO!$AI$15,ROW($X88)-ROW($X$15),1):OFFSET(CÁLCULO!$BB$15,ROW($X88)-ROW($X$15),-1))),IF($C88=0,0,ROUND(SomaAgrup,15-13*$AF$11)))</f>
        <v>167529.76</v>
      </c>
      <c r="Y88" s="126" t="s">
        <v>751</v>
      </c>
      <c r="Z88" t="str">
        <f t="shared" ca="1" si="34"/>
        <v>RA</v>
      </c>
      <c r="AA88" s="127">
        <f ca="1">IF($C88="S",IF($Z88="CP",$X88,IF($Z88="RA",(($X88)*QCI!$AA$3),0)),SomaAgrup)</f>
        <v>0</v>
      </c>
      <c r="AB88" s="128">
        <f t="shared" ca="1" si="35"/>
        <v>0</v>
      </c>
      <c r="AC88" s="565" t="str" cm="1">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IF(AND(_xlfn.SINGLE(TIPOORCAMENTO)="Licitado",$AL88=0,$AN88&gt;0),"SEM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t="str">
        <f ca="1">IF(C88&lt;=CRONO.NivelExibicao,MAX($AD$15:OFFSET(AD88,-1,0))+IF($C88&lt;&gt;1,1,MAX(1,COUNTIF(QCI!$A$13:$A$15,OFFSET($E88,-1,0)))),"")</f>
        <v/>
      </c>
      <c r="AE88" s="7" t="str">
        <f ca="1">IF(AND($C88="S",ORÇAMENTO.CodBarra&lt;&gt;""),IF(ORÇAMENTO.Fonte="",ORÇAMENTO.CodBarra,CONCATENATE(ORÇAMENTO.Fonte," ",ORÇAMENTO.CodBarra)))</f>
        <v>SINAPI 94973</v>
      </c>
      <c r="AF88" s="12">
        <f ca="1">IF(ISERROR(INDIRECT(ORÇAMENTO.BancoRef)),"(abra o arquivo 'Referência "&amp;Excel_BuiltIn_Database&amp;".xlsm)",IF(OR($C88&lt;&gt;"S",ORÇAMENTO.CodBarra=""),"(Sem Código)",IF(ISERROR(MATCH($AE88,INDIRECT(ORÇAMENTO.BancoRef),0)),"(Código não identificado nas referências)",MATCH($AE88,INDIRECT(ORÇAMENTO.BancoRef),0))))</f>
        <v>14326</v>
      </c>
      <c r="AG88" s="428">
        <f ca="1">ROUND(IF(DESONERACAO="sim",REFERENCIA.Desonerado,REFERENCIA.NaoDesonerado),2)</f>
        <v>628.30999999999995</v>
      </c>
      <c r="AH88" s="429">
        <f t="shared" ca="1" si="36"/>
        <v>0.23499999999999999</v>
      </c>
      <c r="AJ88" s="431">
        <f>215.9</f>
        <v>215.9</v>
      </c>
      <c r="AL88" s="439"/>
      <c r="AM88" s="336">
        <f t="shared" ca="1" si="0"/>
        <v>167529.76</v>
      </c>
      <c r="AN88" s="470">
        <f t="shared" ca="1" si="37"/>
        <v>775.96</v>
      </c>
    </row>
    <row r="89" spans="1:40" ht="25.5" x14ac:dyDescent="0.2">
      <c r="A89" t="str">
        <f t="shared" si="23"/>
        <v>S</v>
      </c>
      <c r="B89">
        <f t="shared" ca="1" si="24"/>
        <v>4</v>
      </c>
      <c r="C89" t="str">
        <f t="shared" ca="1" si="25"/>
        <v>S</v>
      </c>
      <c r="D89">
        <f t="shared" ca="1" si="26"/>
        <v>0</v>
      </c>
      <c r="E89">
        <f ca="1">IF($C89=1,OFFSET(E89,-1,0)+MAX(1,COUNTIF(QCI!$A$13:$A$15,OFFSET(ORÇAMENTO!E89,-1,0))),OFFSET(E89,-1,0))</f>
        <v>1</v>
      </c>
      <c r="F89">
        <f t="shared" ca="1" si="27"/>
        <v>5</v>
      </c>
      <c r="G89">
        <f t="shared" ca="1" si="28"/>
        <v>1</v>
      </c>
      <c r="H89">
        <f t="shared" ca="1" si="29"/>
        <v>3</v>
      </c>
      <c r="I89">
        <f t="shared" ca="1" si="30"/>
        <v>2</v>
      </c>
      <c r="J89">
        <f t="shared" ca="1" si="22"/>
        <v>0</v>
      </c>
      <c r="K89">
        <f ca="1">IF(OR($C89="S",$C89=0),0,MATCH(OFFSET($D89,0,$C89)+IF($C89&lt;&gt;1,1,COUNTIF(QCI!$A$13:$A$15,ORÇAMENTO!E89)),OFFSET($D89,1,$C89,ROW($C$508)-ROW($C89)),0))</f>
        <v>0</v>
      </c>
      <c r="L89" s="114" t="str">
        <f t="shared" ca="1" si="31"/>
        <v>F</v>
      </c>
      <c r="M89" s="115" t="s">
        <v>705</v>
      </c>
      <c r="N89" s="116" t="str">
        <f t="shared" ca="1" si="32"/>
        <v>Serviço</v>
      </c>
      <c r="O89" s="117" t="str">
        <f t="shared" ca="1" si="33"/>
        <v>1.5.1.3.2.</v>
      </c>
      <c r="P89" s="118" t="s">
        <v>750</v>
      </c>
      <c r="Q89" s="119" t="s">
        <v>1018</v>
      </c>
      <c r="R89" s="120" t="str">
        <f ca="1">IF($C89="S",REFERENCIA.Descricao,"(digite a descrição aqui)")</f>
        <v>LANÇAMENTO COM USO DE BOMBA, ADENSAMENTO E ACABAMENTO DE CONCRETO EM ESTRUTURAS. AF_02/2022</v>
      </c>
      <c r="S89" s="121" t="str">
        <f ca="1">REFERENCIA.Unidade</f>
        <v>M3</v>
      </c>
      <c r="T89" s="122">
        <f ca="1">OFFSET(CÁLCULO!H$15,ROW($T89)-ROW(T$15),0)</f>
        <v>215.9</v>
      </c>
      <c r="U89" s="123">
        <f t="shared" ca="1" si="21"/>
        <v>44.5</v>
      </c>
      <c r="V89" s="124" t="s">
        <v>663</v>
      </c>
      <c r="W89" s="122">
        <f ca="1">IF($C89="S",ROUND(IF(TIPOORCAMENTO="Proposto",ORÇAMENTO.CustoUnitario*(1+$AH89),ORÇAMENTO.PrecoUnitarioLicitado),15-13*$AF$10),0)</f>
        <v>54.96</v>
      </c>
      <c r="X89" s="125" cm="1">
        <f t="array" aca="1" ref="X89" ca="1">IF($C89="S",IF(OR(Import.TipoArredondamento&lt;&gt;"TransfereGOV",ACOMPANHAMENTO="BM"),VTOTAL1,SUM(OFFSET(CÁLCULO!$AI$15,ROW($X89)-ROW($X$15),1):OFFSET(CÁLCULO!$BB$15,ROW($X89)-ROW($X$15),-1))),IF($C89=0,0,ROUND(SomaAgrup,15-13*$AF$11)))</f>
        <v>11865.86</v>
      </c>
      <c r="Y89" s="126" t="s">
        <v>751</v>
      </c>
      <c r="Z89" t="str">
        <f t="shared" ca="1" si="34"/>
        <v>RA</v>
      </c>
      <c r="AA89" s="127">
        <f ca="1">IF($C89="S",IF($Z89="CP",$X89,IF($Z89="RA",(($X89)*QCI!$AA$3),0)),SomaAgrup)</f>
        <v>0</v>
      </c>
      <c r="AB89" s="128">
        <f t="shared" ca="1" si="35"/>
        <v>0</v>
      </c>
      <c r="AC89" s="565" t="str" cm="1">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IF(AND(_xlfn.SINGLE(TIPOORCAMENTO)="Licitado",$AL89=0,$AN89&gt;0),"SEM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t="str">
        <f ca="1">IF(C89&lt;=CRONO.NivelExibicao,MAX($AD$15:OFFSET(AD89,-1,0))+IF($C89&lt;&gt;1,1,MAX(1,COUNTIF(QCI!$A$13:$A$15,OFFSET($E89,-1,0)))),"")</f>
        <v/>
      </c>
      <c r="AE89" s="7" t="str">
        <f ca="1">IF(AND($C89="S",ORÇAMENTO.CodBarra&lt;&gt;""),IF(ORÇAMENTO.Fonte="",ORÇAMENTO.CodBarra,CONCATENATE(ORÇAMENTO.Fonte," ",ORÇAMENTO.CodBarra)))</f>
        <v>SINAPI 103673</v>
      </c>
      <c r="AF89" s="12">
        <f ca="1">IF(ISERROR(INDIRECT(ORÇAMENTO.BancoRef)),"(abra o arquivo 'Referência "&amp;Excel_BuiltIn_Database&amp;".xlsm)",IF(OR($C89&lt;&gt;"S",ORÇAMENTO.CodBarra=""),"(Sem Código)",IF(ISERROR(MATCH($AE89,INDIRECT(ORÇAMENTO.BancoRef),0)),"(Código não identificado nas referências)",MATCH($AE89,INDIRECT(ORÇAMENTO.BancoRef),0))))</f>
        <v>7334</v>
      </c>
      <c r="AG89" s="428">
        <f ca="1">ROUND(IF(DESONERACAO="sim",REFERENCIA.Desonerado,REFERENCIA.NaoDesonerado),2)</f>
        <v>44.5</v>
      </c>
      <c r="AH89" s="429">
        <f t="shared" ca="1" si="36"/>
        <v>0.23499999999999999</v>
      </c>
      <c r="AJ89" s="431">
        <f>AJ88</f>
        <v>215.9</v>
      </c>
      <c r="AL89" s="439"/>
      <c r="AM89" s="336">
        <f t="shared" ca="1" si="0"/>
        <v>11865.86</v>
      </c>
      <c r="AN89" s="470">
        <f t="shared" ca="1" si="37"/>
        <v>54.96</v>
      </c>
    </row>
    <row r="90" spans="1:40" ht="25.5" x14ac:dyDescent="0.2">
      <c r="A90" t="str">
        <f t="shared" si="23"/>
        <v>S</v>
      </c>
      <c r="B90">
        <f t="shared" ca="1" si="24"/>
        <v>4</v>
      </c>
      <c r="C90" t="str">
        <f t="shared" ca="1" si="25"/>
        <v>S</v>
      </c>
      <c r="D90">
        <f t="shared" ca="1" si="26"/>
        <v>0</v>
      </c>
      <c r="E90">
        <f ca="1">IF($C90=1,OFFSET(E90,-1,0)+MAX(1,COUNTIF(QCI!$A$13:$A$15,OFFSET(ORÇAMENTO!E90,-1,0))),OFFSET(E90,-1,0))</f>
        <v>1</v>
      </c>
      <c r="F90">
        <f t="shared" ca="1" si="27"/>
        <v>5</v>
      </c>
      <c r="G90">
        <f t="shared" ca="1" si="28"/>
        <v>1</v>
      </c>
      <c r="H90">
        <f t="shared" ca="1" si="29"/>
        <v>3</v>
      </c>
      <c r="I90">
        <f t="shared" ca="1" si="30"/>
        <v>3</v>
      </c>
      <c r="J90">
        <f t="shared" ca="1" si="22"/>
        <v>0</v>
      </c>
      <c r="K90">
        <f ca="1">IF(OR($C90="S",$C90=0),0,MATCH(OFFSET($D90,0,$C90)+IF($C90&lt;&gt;1,1,COUNTIF(QCI!$A$13:$A$15,ORÇAMENTO!E90)),OFFSET($D90,1,$C90,ROW($C$508)-ROW($C90)),0))</f>
        <v>0</v>
      </c>
      <c r="L90" s="114" t="str">
        <f t="shared" ca="1" si="31"/>
        <v>F</v>
      </c>
      <c r="M90" s="115" t="s">
        <v>705</v>
      </c>
      <c r="N90" s="116" t="str">
        <f t="shared" ca="1" si="32"/>
        <v>Serviço</v>
      </c>
      <c r="O90" s="117" t="str">
        <f t="shared" ca="1" si="33"/>
        <v>1.5.1.3.3.</v>
      </c>
      <c r="P90" s="118" t="s">
        <v>1280</v>
      </c>
      <c r="Q90" s="119" t="s">
        <v>1025</v>
      </c>
      <c r="R90" s="120" t="str">
        <f ca="1">IF($C90="S",REFERENCIA.Descricao,"(digite a descrição aqui)")</f>
        <v xml:space="preserve">LASTRO DE CONCRETO MAGRO, INCLUSIVE TRANSPORTE, LANÇAMENTO E ADENSAMENTO </v>
      </c>
      <c r="S90" s="121" t="str">
        <f ca="1">REFERENCIA.Unidade</f>
        <v>M3</v>
      </c>
      <c r="T90" s="122">
        <f ca="1">OFFSET(CÁLCULO!H$15,ROW($T90)-ROW(T$15),0)</f>
        <v>2.37</v>
      </c>
      <c r="U90" s="123">
        <f t="shared" ca="1" si="21"/>
        <v>589.23</v>
      </c>
      <c r="V90" s="124" t="s">
        <v>663</v>
      </c>
      <c r="W90" s="122">
        <f ca="1">IF($C90="S",ROUND(IF(TIPOORCAMENTO="Proposto",ORÇAMENTO.CustoUnitario*(1+$AH90),ORÇAMENTO.PrecoUnitarioLicitado),15-13*$AF$10),0)</f>
        <v>727.7</v>
      </c>
      <c r="X90" s="125" cm="1">
        <f t="array" aca="1" ref="X90" ca="1">IF($C90="S",IF(OR(Import.TipoArredondamento&lt;&gt;"TransfereGOV",ACOMPANHAMENTO="BM"),VTOTAL1,SUM(OFFSET(CÁLCULO!$AI$15,ROW($X90)-ROW($X$15),1):OFFSET(CÁLCULO!$BB$15,ROW($X90)-ROW($X$15),-1))),IF($C90=0,0,ROUND(SomaAgrup,15-13*$AF$11)))</f>
        <v>1724.65</v>
      </c>
      <c r="Y90" s="126" t="s">
        <v>751</v>
      </c>
      <c r="Z90" t="str">
        <f t="shared" ca="1" si="34"/>
        <v>RA</v>
      </c>
      <c r="AA90" s="127">
        <f ca="1">IF($C90="S",IF($Z90="CP",$X90,IF($Z90="RA",(($X90)*QCI!$AA$3),0)),SomaAgrup)</f>
        <v>0</v>
      </c>
      <c r="AB90" s="128">
        <f t="shared" ca="1" si="35"/>
        <v>0</v>
      </c>
      <c r="AC90" s="565" t="str" cm="1">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IF(AND(_xlfn.SINGLE(TIPOORCAMENTO)="Licitado",$AL90=0,$AN90&gt;0),"SEM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t="str">
        <f ca="1">IF(C90&lt;=CRONO.NivelExibicao,MAX($AD$15:OFFSET(AD90,-1,0))+IF($C90&lt;&gt;1,1,MAX(1,COUNTIF(QCI!$A$13:$A$15,OFFSET($E90,-1,0)))),"")</f>
        <v/>
      </c>
      <c r="AE90" s="7" t="str">
        <f ca="1">IF(AND($C90="S",ORÇAMENTO.CodBarra&lt;&gt;""),IF(ORÇAMENTO.Fonte="",ORÇAMENTO.CodBarra,CONCATENATE(ORÇAMENTO.Fonte," ",ORÇAMENTO.CodBarra)))</f>
        <v>SETOP ED-49812</v>
      </c>
      <c r="AF90" s="12">
        <f ca="1">IF(ISERROR(INDIRECT(ORÇAMENTO.BancoRef)),"(abra o arquivo 'Referência "&amp;Excel_BuiltIn_Database&amp;".xlsm)",IF(OR($C90&lt;&gt;"S",ORÇAMENTO.CodBarra=""),"(Sem Código)",IF(ISERROR(MATCH($AE90,INDIRECT(ORÇAMENTO.BancoRef),0)),"(Código não identificado nas referências)",MATCH($AE90,INDIRECT(ORÇAMENTO.BancoRef),0))))</f>
        <v>28059</v>
      </c>
      <c r="AG90" s="428">
        <f ca="1">ROUND(IF(DESONERACAO="sim",REFERENCIA.Desonerado,REFERENCIA.NaoDesonerado),2)</f>
        <v>589.23</v>
      </c>
      <c r="AH90" s="429">
        <f t="shared" ca="1" si="36"/>
        <v>0.23499999999999999</v>
      </c>
      <c r="AJ90" s="431">
        <f>ROUND(21.53*2.2*0.05,2)</f>
        <v>2.37</v>
      </c>
      <c r="AL90" s="439"/>
      <c r="AM90" s="336">
        <f t="shared" ca="1" si="0"/>
        <v>1724.65</v>
      </c>
      <c r="AN90" s="470">
        <f t="shared" ca="1" si="37"/>
        <v>727.7</v>
      </c>
    </row>
    <row r="91" spans="1:40" ht="25.5" x14ac:dyDescent="0.2">
      <c r="A91" t="str">
        <f t="shared" si="23"/>
        <v>S</v>
      </c>
      <c r="B91">
        <f t="shared" ca="1" si="24"/>
        <v>4</v>
      </c>
      <c r="C91" t="str">
        <f t="shared" ca="1" si="25"/>
        <v>S</v>
      </c>
      <c r="D91">
        <f t="shared" ca="1" si="26"/>
        <v>0</v>
      </c>
      <c r="E91">
        <f ca="1">IF($C91=1,OFFSET(E91,-1,0)+MAX(1,COUNTIF(QCI!$A$13:$A$15,OFFSET(ORÇAMENTO!E91,-1,0))),OFFSET(E91,-1,0))</f>
        <v>1</v>
      </c>
      <c r="F91">
        <f t="shared" ca="1" si="27"/>
        <v>5</v>
      </c>
      <c r="G91">
        <f t="shared" ca="1" si="28"/>
        <v>1</v>
      </c>
      <c r="H91">
        <f t="shared" ca="1" si="29"/>
        <v>3</v>
      </c>
      <c r="I91">
        <f t="shared" ca="1" si="30"/>
        <v>4</v>
      </c>
      <c r="J91">
        <f t="shared" ca="1" si="22"/>
        <v>0</v>
      </c>
      <c r="K91">
        <f ca="1">IF(OR($C91="S",$C91=0),0,MATCH(OFFSET($D91,0,$C91)+IF($C91&lt;&gt;1,1,COUNTIF(QCI!$A$13:$A$15,ORÇAMENTO!E91)),OFFSET($D91,1,$C91,ROW($C$508)-ROW($C91)),0))</f>
        <v>0</v>
      </c>
      <c r="L91" s="114" t="str">
        <f t="shared" ca="1" si="31"/>
        <v>F</v>
      </c>
      <c r="M91" s="115" t="s">
        <v>705</v>
      </c>
      <c r="N91" s="116" t="str">
        <f t="shared" ca="1" si="32"/>
        <v>Serviço</v>
      </c>
      <c r="O91" s="117" t="str">
        <f t="shared" ca="1" si="33"/>
        <v>1.5.1.3.4.</v>
      </c>
      <c r="P91" s="118" t="s">
        <v>956</v>
      </c>
      <c r="Q91" s="119" t="s">
        <v>1024</v>
      </c>
      <c r="R91" s="120" t="str">
        <f ca="1">IF($C91="S",REFERENCIA.Descricao,"(digite a descrição aqui)")</f>
        <v>FÔRMAS DE COMPENSADO RESINADO 10 MM - USO GERAL - UTILIZAÇÃO DE 3 VEZES - CONFECÇÃO, INSTALAÇÃO E RETIRADA</v>
      </c>
      <c r="S91" s="121" t="str">
        <f ca="1">REFERENCIA.Unidade</f>
        <v>M2</v>
      </c>
      <c r="T91" s="122">
        <f ca="1">OFFSET(CÁLCULO!H$15,ROW($T91)-ROW(T$15),0)</f>
        <v>775.1</v>
      </c>
      <c r="U91" s="123">
        <f t="shared" ca="1" si="21"/>
        <v>71.66</v>
      </c>
      <c r="V91" s="124" t="s">
        <v>663</v>
      </c>
      <c r="W91" s="122">
        <f ca="1">IF($C91="S",ROUND(IF(TIPOORCAMENTO="Proposto",ORÇAMENTO.CustoUnitario*(1+$AH91),ORÇAMENTO.PrecoUnitarioLicitado),15-13*$AF$10),0)</f>
        <v>88.5</v>
      </c>
      <c r="X91" s="125" cm="1">
        <f t="array" aca="1" ref="X91" ca="1">IF($C91="S",IF(OR(Import.TipoArredondamento&lt;&gt;"TransfereGOV",ACOMPANHAMENTO="BM"),VTOTAL1,SUM(OFFSET(CÁLCULO!$AI$15,ROW($X91)-ROW($X$15),1):OFFSET(CÁLCULO!$BB$15,ROW($X91)-ROW($X$15),-1))),IF($C91=0,0,ROUND(SomaAgrup,15-13*$AF$11)))</f>
        <v>68596.350000000006</v>
      </c>
      <c r="Y91" s="126" t="s">
        <v>751</v>
      </c>
      <c r="Z91" t="str">
        <f t="shared" ca="1" si="34"/>
        <v>RA</v>
      </c>
      <c r="AA91" s="127">
        <f ca="1">IF($C91="S",IF($Z91="CP",$X91,IF($Z91="RA",(($X91)*QCI!$AA$3),0)),SomaAgrup)</f>
        <v>0</v>
      </c>
      <c r="AB91" s="128">
        <f t="shared" ca="1" si="35"/>
        <v>0</v>
      </c>
      <c r="AC91" s="565" t="str" cm="1">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IF(AND(_xlfn.SINGLE(TIPOORCAMENTO)="Licitado",$AL91=0,$AN91&gt;0),"SEM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t="str">
        <f ca="1">IF(C91&lt;=CRONO.NivelExibicao,MAX($AD$15:OFFSET(AD91,-1,0))+IF($C91&lt;&gt;1,1,MAX(1,COUNTIF(QCI!$A$13:$A$15,OFFSET($E91,-1,0)))),"")</f>
        <v/>
      </c>
      <c r="AE91" s="7" t="str">
        <f ca="1">IF(AND($C91="S",ORÇAMENTO.CodBarra&lt;&gt;""),IF(ORÇAMENTO.Fonte="",ORÇAMENTO.CodBarra,CONCATENATE(ORÇAMENTO.Fonte," ",ORÇAMENTO.CodBarra)))</f>
        <v>SICRO 3107997</v>
      </c>
      <c r="AF91" s="12">
        <f ca="1">IF(ISERROR(INDIRECT(ORÇAMENTO.BancoRef)),"(abra o arquivo 'Referência "&amp;Excel_BuiltIn_Database&amp;".xlsm)",IF(OR($C91&lt;&gt;"S",ORÇAMENTO.CodBarra=""),"(Sem Código)",IF(ISERROR(MATCH($AE91,INDIRECT(ORÇAMENTO.BancoRef),0)),"(Código não identificado nas referências)",MATCH($AE91,INDIRECT(ORÇAMENTO.BancoRef),0))))</f>
        <v>19900</v>
      </c>
      <c r="AG91" s="428">
        <f ca="1">ROUND(IF(DESONERACAO="sim",REFERENCIA.Desonerado,REFERENCIA.NaoDesonerado),2)</f>
        <v>71.66</v>
      </c>
      <c r="AH91" s="429">
        <f t="shared" ca="1" si="36"/>
        <v>0.23499999999999999</v>
      </c>
      <c r="AJ91" s="431">
        <v>775.1</v>
      </c>
      <c r="AL91" s="439"/>
      <c r="AM91" s="336">
        <f t="shared" ca="1" si="0"/>
        <v>68596.350000000006</v>
      </c>
      <c r="AN91" s="470">
        <f t="shared" ca="1" si="37"/>
        <v>88.5</v>
      </c>
    </row>
    <row r="92" spans="1:40" ht="25.5" x14ac:dyDescent="0.2">
      <c r="A92" t="str">
        <f t="shared" si="23"/>
        <v>S</v>
      </c>
      <c r="B92">
        <f t="shared" ca="1" si="24"/>
        <v>4</v>
      </c>
      <c r="C92" t="str">
        <f t="shared" ca="1" si="25"/>
        <v>S</v>
      </c>
      <c r="D92">
        <f t="shared" ca="1" si="26"/>
        <v>0</v>
      </c>
      <c r="E92">
        <f ca="1">IF($C92=1,OFFSET(E92,-1,0)+MAX(1,COUNTIF(QCI!$A$13:$A$15,OFFSET(ORÇAMENTO!E92,-1,0))),OFFSET(E92,-1,0))</f>
        <v>1</v>
      </c>
      <c r="F92">
        <f t="shared" ca="1" si="27"/>
        <v>5</v>
      </c>
      <c r="G92">
        <f t="shared" ca="1" si="28"/>
        <v>1</v>
      </c>
      <c r="H92">
        <f t="shared" ca="1" si="29"/>
        <v>3</v>
      </c>
      <c r="I92">
        <f t="shared" ca="1" si="30"/>
        <v>5</v>
      </c>
      <c r="J92">
        <f t="shared" ca="1" si="22"/>
        <v>0</v>
      </c>
      <c r="K92">
        <f ca="1">IF(OR($C92="S",$C92=0),0,MATCH(OFFSET($D92,0,$C92)+IF($C92&lt;&gt;1,1,COUNTIF(QCI!$A$13:$A$15,ORÇAMENTO!E92)),OFFSET($D92,1,$C92,ROW($C$508)-ROW($C92)),0))</f>
        <v>0</v>
      </c>
      <c r="L92" s="114" t="str">
        <f t="shared" ca="1" si="31"/>
        <v>F</v>
      </c>
      <c r="M92" s="115" t="s">
        <v>705</v>
      </c>
      <c r="N92" s="116" t="str">
        <f t="shared" ca="1" si="32"/>
        <v>Serviço</v>
      </c>
      <c r="O92" s="117" t="str">
        <f t="shared" ca="1" si="33"/>
        <v>1.5.1.3.5.</v>
      </c>
      <c r="P92" s="118" t="s">
        <v>750</v>
      </c>
      <c r="Q92" s="119" t="s">
        <v>1026</v>
      </c>
      <c r="R92" s="120" t="str">
        <f ca="1">IF($C92="S",REFERENCIA.Descricao,"(digite a descrição aqui)")</f>
        <v>REATERRO MANUAL DE VALAS, COM PLACA VIBRATÓRIA. AF_08/2023</v>
      </c>
      <c r="S92" s="121" t="str">
        <f ca="1">REFERENCIA.Unidade</f>
        <v>M3</v>
      </c>
      <c r="T92" s="122">
        <f ca="1">OFFSET(CÁLCULO!H$15,ROW($T92)-ROW(T$15),0)</f>
        <v>1834.92</v>
      </c>
      <c r="U92" s="123">
        <f t="shared" ca="1" si="21"/>
        <v>22.68</v>
      </c>
      <c r="V92" s="124" t="s">
        <v>663</v>
      </c>
      <c r="W92" s="122">
        <f ca="1">IF($C92="S",ROUND(IF(TIPOORCAMENTO="Proposto",ORÇAMENTO.CustoUnitario*(1+$AH92),ORÇAMENTO.PrecoUnitarioLicitado),15-13*$AF$10),0)</f>
        <v>28.01</v>
      </c>
      <c r="X92" s="125" cm="1">
        <f t="array" aca="1" ref="X92" ca="1">IF($C92="S",IF(OR(Import.TipoArredondamento&lt;&gt;"TransfereGOV",ACOMPANHAMENTO="BM"),VTOTAL1,SUM(OFFSET(CÁLCULO!$AI$15,ROW($X92)-ROW($X$15),1):OFFSET(CÁLCULO!$BB$15,ROW($X92)-ROW($X$15),-1))),IF($C92=0,0,ROUND(SomaAgrup,15-13*$AF$11)))</f>
        <v>51396.11</v>
      </c>
      <c r="Y92" s="126" t="s">
        <v>751</v>
      </c>
      <c r="Z92" t="str">
        <f t="shared" ca="1" si="34"/>
        <v>RA</v>
      </c>
      <c r="AA92" s="127">
        <f ca="1">IF($C92="S",IF($Z92="CP",$X92,IF($Z92="RA",(($X92)*QCI!$AA$3),0)),SomaAgrup)</f>
        <v>0</v>
      </c>
      <c r="AB92" s="128">
        <f t="shared" ca="1" si="35"/>
        <v>0</v>
      </c>
      <c r="AC92" s="565" t="str" cm="1">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IF(AND(_xlfn.SINGLE(TIPOORCAMENTO)="Licitado",$AL92=0,$AN92&gt;0),"SEM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t="str">
        <f ca="1">IF(C92&lt;=CRONO.NivelExibicao,MAX($AD$15:OFFSET(AD92,-1,0))+IF($C92&lt;&gt;1,1,MAX(1,COUNTIF(QCI!$A$13:$A$15,OFFSET($E92,-1,0)))),"")</f>
        <v/>
      </c>
      <c r="AE92" s="7" t="str">
        <f ca="1">IF(AND($C92="S",ORÇAMENTO.CodBarra&lt;&gt;""),IF(ORÇAMENTO.Fonte="",ORÇAMENTO.CodBarra,CONCATENATE(ORÇAMENTO.Fonte," ",ORÇAMENTO.CodBarra)))</f>
        <v>SINAPI 104737</v>
      </c>
      <c r="AF92" s="12">
        <f ca="1">IF(ISERROR(INDIRECT(ORÇAMENTO.BancoRef)),"(abra o arquivo 'Referência "&amp;Excel_BuiltIn_Database&amp;".xlsm)",IF(OR($C92&lt;&gt;"S",ORÇAMENTO.CodBarra=""),"(Sem Código)",IF(ISERROR(MATCH($AE92,INDIRECT(ORÇAMENTO.BancoRef),0)),"(Código não identificado nas referências)",MATCH($AE92,INDIRECT(ORÇAMENTO.BancoRef),0))))</f>
        <v>6789</v>
      </c>
      <c r="AG92" s="428">
        <f ca="1">ROUND(IF(DESONERACAO="sim",REFERENCIA.Desonerado,REFERENCIA.NaoDesonerado),2)</f>
        <v>22.68</v>
      </c>
      <c r="AH92" s="429">
        <f t="shared" ca="1" si="36"/>
        <v>0.23499999999999999</v>
      </c>
      <c r="AJ92" s="431">
        <v>1834.92</v>
      </c>
      <c r="AL92" s="439"/>
      <c r="AM92" s="336">
        <f t="shared" ca="1" si="0"/>
        <v>51396.11</v>
      </c>
      <c r="AN92" s="470">
        <f t="shared" ca="1" si="37"/>
        <v>28.01</v>
      </c>
    </row>
    <row r="93" spans="1:40" x14ac:dyDescent="0.2">
      <c r="A93" t="str">
        <f t="shared" si="23"/>
        <v>S</v>
      </c>
      <c r="B93">
        <f t="shared" ca="1" si="24"/>
        <v>4</v>
      </c>
      <c r="C93" t="str">
        <f t="shared" ca="1" si="25"/>
        <v>S</v>
      </c>
      <c r="D93">
        <f t="shared" ca="1" si="26"/>
        <v>0</v>
      </c>
      <c r="E93">
        <f ca="1">IF($C93=1,OFFSET(E93,-1,0)+MAX(1,COUNTIF(QCI!$A$13:$A$15,OFFSET(ORÇAMENTO!E93,-1,0))),OFFSET(E93,-1,0))</f>
        <v>1</v>
      </c>
      <c r="F93">
        <f t="shared" ca="1" si="27"/>
        <v>5</v>
      </c>
      <c r="G93">
        <f t="shared" ca="1" si="28"/>
        <v>1</v>
      </c>
      <c r="H93">
        <f t="shared" ca="1" si="29"/>
        <v>3</v>
      </c>
      <c r="I93">
        <f t="shared" ca="1" si="30"/>
        <v>6</v>
      </c>
      <c r="J93">
        <f t="shared" ca="1" si="22"/>
        <v>0</v>
      </c>
      <c r="K93">
        <f ca="1">IF(OR($C93="S",$C93=0),0,MATCH(OFFSET($D93,0,$C93)+IF($C93&lt;&gt;1,1,COUNTIF(QCI!$A$13:$A$15,ORÇAMENTO!E93)),OFFSET($D93,1,$C93,ROW($C$508)-ROW($C93)),0))</f>
        <v>0</v>
      </c>
      <c r="L93" s="114" t="str">
        <f t="shared" ca="1" si="31"/>
        <v>F</v>
      </c>
      <c r="M93" s="115" t="s">
        <v>705</v>
      </c>
      <c r="N93" s="116" t="str">
        <f t="shared" ca="1" si="32"/>
        <v>Serviço</v>
      </c>
      <c r="O93" s="117" t="str">
        <f t="shared" ca="1" si="33"/>
        <v>1.5.1.3.6.</v>
      </c>
      <c r="P93" s="118" t="s">
        <v>956</v>
      </c>
      <c r="Q93" s="119" t="s">
        <v>1027</v>
      </c>
      <c r="R93" s="120" t="str">
        <f ca="1">IF($C93="S",REFERENCIA.Descricao,"(digite a descrição aqui)")</f>
        <v>RACHÃO OU PEDRA DE MÃO PRODUZIDA</v>
      </c>
      <c r="S93" s="121" t="str">
        <f ca="1">REFERENCIA.Unidade</f>
        <v>M3</v>
      </c>
      <c r="T93" s="122">
        <f ca="1">OFFSET(CÁLCULO!H$15,ROW($T93)-ROW(T$15),0)</f>
        <v>693.73</v>
      </c>
      <c r="U93" s="123">
        <f t="shared" ca="1" si="21"/>
        <v>41.54</v>
      </c>
      <c r="V93" s="124" t="s">
        <v>663</v>
      </c>
      <c r="W93" s="122">
        <f ca="1">IF($C93="S",ROUND(IF(TIPOORCAMENTO="Proposto",ORÇAMENTO.CustoUnitario*(1+$AH93),ORÇAMENTO.PrecoUnitarioLicitado),15-13*$AF$10),0)</f>
        <v>51.3</v>
      </c>
      <c r="X93" s="125" cm="1">
        <f t="array" aca="1" ref="X93" ca="1">IF($C93="S",IF(OR(Import.TipoArredondamento&lt;&gt;"TransfereGOV",ACOMPANHAMENTO="BM"),VTOTAL1,SUM(OFFSET(CÁLCULO!$AI$15,ROW($X93)-ROW($X$15),1):OFFSET(CÁLCULO!$BB$15,ROW($X93)-ROW($X$15),-1))),IF($C93=0,0,ROUND(SomaAgrup,15-13*$AF$11)))</f>
        <v>35588.35</v>
      </c>
      <c r="Y93" s="126" t="s">
        <v>751</v>
      </c>
      <c r="Z93" t="str">
        <f t="shared" ca="1" si="34"/>
        <v>RA</v>
      </c>
      <c r="AA93" s="127">
        <f ca="1">IF($C93="S",IF($Z93="CP",$X93,IF($Z93="RA",(($X93)*QCI!$AA$3),0)),SomaAgrup)</f>
        <v>0</v>
      </c>
      <c r="AB93" s="128">
        <f t="shared" ca="1" si="35"/>
        <v>0</v>
      </c>
      <c r="AC93" s="565" t="str" cm="1">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IF(AND(_xlfn.SINGLE(TIPOORCAMENTO)="Licitado",$AL93=0,$AN93&gt;0),"SEM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t="str">
        <f ca="1">IF(C93&lt;=CRONO.NivelExibicao,MAX($AD$15:OFFSET(AD93,-1,0))+IF($C93&lt;&gt;1,1,MAX(1,COUNTIF(QCI!$A$13:$A$15,OFFSET($E93,-1,0)))),"")</f>
        <v/>
      </c>
      <c r="AE93" s="7" t="str">
        <f ca="1">IF(AND($C93="S",ORÇAMENTO.CodBarra&lt;&gt;""),IF(ORÇAMENTO.Fonte="",ORÇAMENTO.CodBarra,CONCATENATE(ORÇAMENTO.Fonte," ",ORÇAMENTO.CodBarra)))</f>
        <v>SICRO 4816016</v>
      </c>
      <c r="AF93" s="12">
        <f ca="1">IF(ISERROR(INDIRECT(ORÇAMENTO.BancoRef)),"(abra o arquivo 'Referência "&amp;Excel_BuiltIn_Database&amp;".xlsm)",IF(OR($C93&lt;&gt;"S",ORÇAMENTO.CodBarra=""),"(Sem Código)",IF(ISERROR(MATCH($AE93,INDIRECT(ORÇAMENTO.BancoRef),0)),"(Código não identificado nas referências)",MATCH($AE93,INDIRECT(ORÇAMENTO.BancoRef),0))))</f>
        <v>20636</v>
      </c>
      <c r="AG93" s="428">
        <f ca="1">ROUND(IF(DESONERACAO="sim",REFERENCIA.Desonerado,REFERENCIA.NaoDesonerado),2)</f>
        <v>41.54</v>
      </c>
      <c r="AH93" s="429">
        <f t="shared" ca="1" si="36"/>
        <v>0.23499999999999999</v>
      </c>
      <c r="AJ93" s="431">
        <v>693.73</v>
      </c>
      <c r="AL93" s="439"/>
      <c r="AM93" s="336">
        <f t="shared" ca="1" si="0"/>
        <v>35588.35</v>
      </c>
      <c r="AN93" s="470">
        <f t="shared" ca="1" si="37"/>
        <v>51.3</v>
      </c>
    </row>
    <row r="94" spans="1:40" ht="25.5" x14ac:dyDescent="0.2">
      <c r="A94" t="str">
        <f t="shared" si="23"/>
        <v>S</v>
      </c>
      <c r="B94">
        <f t="shared" ca="1" si="24"/>
        <v>4</v>
      </c>
      <c r="C94" t="str">
        <f t="shared" ca="1" si="25"/>
        <v>S</v>
      </c>
      <c r="D94">
        <f t="shared" ca="1" si="26"/>
        <v>0</v>
      </c>
      <c r="E94">
        <f ca="1">IF($C94=1,OFFSET(E94,-1,0)+MAX(1,COUNTIF(QCI!$A$13:$A$15,OFFSET(ORÇAMENTO!E94,-1,0))),OFFSET(E94,-1,0))</f>
        <v>1</v>
      </c>
      <c r="F94">
        <f t="shared" ca="1" si="27"/>
        <v>5</v>
      </c>
      <c r="G94">
        <f t="shared" ca="1" si="28"/>
        <v>1</v>
      </c>
      <c r="H94">
        <f t="shared" ca="1" si="29"/>
        <v>3</v>
      </c>
      <c r="I94">
        <f t="shared" ca="1" si="30"/>
        <v>7</v>
      </c>
      <c r="J94">
        <f t="shared" ca="1" si="22"/>
        <v>0</v>
      </c>
      <c r="K94">
        <f ca="1">IF(OR($C94="S",$C94=0),0,MATCH(OFFSET($D94,0,$C94)+IF($C94&lt;&gt;1,1,COUNTIF(QCI!$A$13:$A$15,ORÇAMENTO!E94)),OFFSET($D94,1,$C94,ROW($C$508)-ROW($C94)),0))</f>
        <v>0</v>
      </c>
      <c r="L94" s="114" t="str">
        <f t="shared" ca="1" si="31"/>
        <v>F</v>
      </c>
      <c r="M94" s="115" t="s">
        <v>705</v>
      </c>
      <c r="N94" s="116" t="str">
        <f t="shared" ca="1" si="32"/>
        <v>Serviço</v>
      </c>
      <c r="O94" s="117" t="str">
        <f t="shared" ca="1" si="33"/>
        <v>1.5.1.3.7.</v>
      </c>
      <c r="P94" s="118" t="s">
        <v>956</v>
      </c>
      <c r="Q94" s="119" t="s">
        <v>1019</v>
      </c>
      <c r="R94" s="120" t="str">
        <f ca="1">IF($C94="S",REFERENCIA.Descricao,"(digite a descrição aqui)")</f>
        <v>ARMAÇÃO EM AÇO CA-50 - FORNECIMENTO, PREPARO E COLOCAÇÃO</v>
      </c>
      <c r="S94" s="121" t="str">
        <f ca="1">REFERENCIA.Unidade</f>
        <v>KG</v>
      </c>
      <c r="T94" s="122">
        <f ca="1">OFFSET(CÁLCULO!H$15,ROW($T94)-ROW(T$15),0)</f>
        <v>30991.19</v>
      </c>
      <c r="U94" s="123">
        <f t="shared" ca="1" si="21"/>
        <v>12.08</v>
      </c>
      <c r="V94" s="124" t="s">
        <v>663</v>
      </c>
      <c r="W94" s="122">
        <f ca="1">IF($C94="S",ROUND(IF(TIPOORCAMENTO="Proposto",ORÇAMENTO.CustoUnitario*(1+$AH94),ORÇAMENTO.PrecoUnitarioLicitado),15-13*$AF$10),0)</f>
        <v>14.92</v>
      </c>
      <c r="X94" s="125" cm="1">
        <f t="array" aca="1" ref="X94" ca="1">IF($C94="S",IF(OR(Import.TipoArredondamento&lt;&gt;"TransfereGOV",ACOMPANHAMENTO="BM"),VTOTAL1,SUM(OFFSET(CÁLCULO!$AI$15,ROW($X94)-ROW($X$15),1):OFFSET(CÁLCULO!$BB$15,ROW($X94)-ROW($X$15),-1))),IF($C94=0,0,ROUND(SomaAgrup,15-13*$AF$11)))</f>
        <v>462388.55</v>
      </c>
      <c r="Y94" s="126" t="s">
        <v>751</v>
      </c>
      <c r="Z94" t="str">
        <f t="shared" ca="1" si="34"/>
        <v>RA</v>
      </c>
      <c r="AA94" s="127">
        <f ca="1">IF($C94="S",IF($Z94="CP",$X94,IF($Z94="RA",(($X94)*QCI!$AA$3),0)),SomaAgrup)</f>
        <v>0</v>
      </c>
      <c r="AB94" s="128">
        <f t="shared" ca="1" si="35"/>
        <v>0</v>
      </c>
      <c r="AC94" s="565" t="str" cm="1">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IF(AND(_xlfn.SINGLE(TIPOORCAMENTO)="Licitado",$AL94=0,$AN94&gt;0),"SEM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t="str">
        <f ca="1">IF(C94&lt;=CRONO.NivelExibicao,MAX($AD$15:OFFSET(AD94,-1,0))+IF($C94&lt;&gt;1,1,MAX(1,COUNTIF(QCI!$A$13:$A$15,OFFSET($E94,-1,0)))),"")</f>
        <v/>
      </c>
      <c r="AE94" s="7" t="str">
        <f ca="1">IF(AND($C94="S",ORÇAMENTO.CodBarra&lt;&gt;""),IF(ORÇAMENTO.Fonte="",ORÇAMENTO.CodBarra,CONCATENATE(ORÇAMENTO.Fonte," ",ORÇAMENTO.CodBarra)))</f>
        <v>SICRO 407819</v>
      </c>
      <c r="AF94" s="12">
        <f ca="1">IF(ISERROR(INDIRECT(ORÇAMENTO.BancoRef)),"(abra o arquivo 'Referência "&amp;Excel_BuiltIn_Database&amp;".xlsm)",IF(OR($C94&lt;&gt;"S",ORÇAMENTO.CodBarra=""),"(Sem Código)",IF(ISERROR(MATCH($AE94,INDIRECT(ORÇAMENTO.BancoRef),0)),"(Código não identificado nas referências)",MATCH($AE94,INDIRECT(ORÇAMENTO.BancoRef),0))))</f>
        <v>15833</v>
      </c>
      <c r="AG94" s="428">
        <f ca="1">ROUND(IF(DESONERACAO="sim",REFERENCIA.Desonerado,REFERENCIA.NaoDesonerado),2)</f>
        <v>12.08</v>
      </c>
      <c r="AH94" s="429">
        <f t="shared" ca="1" si="36"/>
        <v>0.23499999999999999</v>
      </c>
      <c r="AJ94" s="431">
        <f>36492.65-(AI66+AI80+AJ99+AJ104)</f>
        <v>30991.190000000002</v>
      </c>
      <c r="AL94" s="439"/>
      <c r="AM94" s="336">
        <f t="shared" ca="1" si="0"/>
        <v>462388.55</v>
      </c>
      <c r="AN94" s="470">
        <f t="shared" ca="1" si="37"/>
        <v>14.92</v>
      </c>
    </row>
    <row r="95" spans="1:40" x14ac:dyDescent="0.2">
      <c r="A95">
        <f t="shared" si="23"/>
        <v>4</v>
      </c>
      <c r="B95">
        <f t="shared" ca="1" si="24"/>
        <v>4</v>
      </c>
      <c r="C95">
        <f t="shared" ca="1" si="25"/>
        <v>4</v>
      </c>
      <c r="D95">
        <f t="shared" ca="1" si="26"/>
        <v>5</v>
      </c>
      <c r="E95">
        <f ca="1">IF($C95=1,OFFSET(E95,-1,0)+MAX(1,COUNTIF(QCI!$A$13:$A$15,OFFSET(ORÇAMENTO!E95,-1,0))),OFFSET(E95,-1,0))</f>
        <v>1</v>
      </c>
      <c r="F95">
        <f t="shared" ca="1" si="27"/>
        <v>5</v>
      </c>
      <c r="G95">
        <f t="shared" ca="1" si="28"/>
        <v>1</v>
      </c>
      <c r="H95">
        <f t="shared" ca="1" si="29"/>
        <v>4</v>
      </c>
      <c r="I95">
        <f t="shared" ca="1" si="30"/>
        <v>0</v>
      </c>
      <c r="J95">
        <f t="shared" ca="1" si="22"/>
        <v>10</v>
      </c>
      <c r="K95">
        <f ca="1">IF(OR($C95="S",$C95=0),0,MATCH(OFFSET($D95,0,$C95)+IF($C95&lt;&gt;1,1,COUNTIF(QCI!$A$13:$A$15,ORÇAMENTO!E95)),OFFSET($D95,1,$C95,ROW($C$508)-ROW($C95)),0))</f>
        <v>5</v>
      </c>
      <c r="L95" s="114" t="str">
        <f t="shared" ca="1" si="31"/>
        <v>F</v>
      </c>
      <c r="M95" s="115" t="s">
        <v>704</v>
      </c>
      <c r="N95" s="116" t="str">
        <f t="shared" ca="1" si="32"/>
        <v>Nível 4</v>
      </c>
      <c r="O95" s="117" t="str">
        <f t="shared" ca="1" si="33"/>
        <v>1.5.1.4.</v>
      </c>
      <c r="P95" s="118" t="s">
        <v>750</v>
      </c>
      <c r="Q95" s="119"/>
      <c r="R95" s="120" t="s">
        <v>1221</v>
      </c>
      <c r="S95" s="121" t="s">
        <v>688</v>
      </c>
      <c r="T95" s="122">
        <f ca="1">OFFSET(CÁLCULO!H$15,ROW($T95)-ROW(T$15),0)</f>
        <v>0</v>
      </c>
      <c r="U95" s="123">
        <f t="shared" ca="1" si="21"/>
        <v>0</v>
      </c>
      <c r="V95" s="124" t="s">
        <v>663</v>
      </c>
      <c r="W95" s="122">
        <f ca="1">IF($C95="S",ROUND(IF(TIPOORCAMENTO="Proposto",ORÇAMENTO.CustoUnitario*(1+$AH95),ORÇAMENTO.PrecoUnitarioLicitado),15-13*$AF$10),0)</f>
        <v>0</v>
      </c>
      <c r="X95" s="125" cm="1">
        <f t="array" aca="1" ref="X95" ca="1">IF($C95="S",IF(OR(Import.TipoArredondamento&lt;&gt;"TransfereGOV",ACOMPANHAMENTO="BM"),VTOTAL1,SUM(OFFSET(CÁLCULO!$AI$15,ROW($X95)-ROW($X$15),1):OFFSET(CÁLCULO!$BB$15,ROW($X95)-ROW($X$15),-1))),IF($C95=0,0,ROUND(SomaAgrup,15-13*$AF$11)))</f>
        <v>4083.54</v>
      </c>
      <c r="Y95" s="126" t="s">
        <v>751</v>
      </c>
      <c r="Z95" t="str">
        <f t="shared" ca="1" si="34"/>
        <v/>
      </c>
      <c r="AA95" s="127">
        <f ca="1">IF($C95="S",IF($Z95="CP",$X95,IF($Z95="RA",(($X95)*QCI!$AA$3),0)),SomaAgrup)</f>
        <v>0</v>
      </c>
      <c r="AB95" s="128">
        <f t="shared" ca="1" si="35"/>
        <v>0</v>
      </c>
      <c r="AC95" s="565" t="str" cm="1">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IF(AND(_xlfn.SINGLE(TIPOORCAMENTO)="Licitado",$AL95=0,$AN95&gt;0),"SEM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t="str">
        <f ca="1">IF(C95&lt;=CRONO.NivelExibicao,MAX($AD$15:OFFSET(AD95,-1,0))+IF($C95&lt;&gt;1,1,MAX(1,COUNTIF(QCI!$A$13:$A$15,OFFSET($E95,-1,0)))),"")</f>
        <v/>
      </c>
      <c r="AE95" s="7" t="b">
        <f ca="1">IF(AND($C95="S",ORÇAMENTO.CodBarra&lt;&gt;""),IF(ORÇAMENTO.Fonte="",ORÇAMENTO.CodBarra,CONCATENATE(ORÇAMENTO.Fonte," ",ORÇAMENTO.CodBarra)))</f>
        <v>0</v>
      </c>
      <c r="AF95" s="12" t="str">
        <f ca="1">IF(ISERROR(INDIRECT(ORÇAMENTO.BancoRef)),"(abra o arquivo 'Referência "&amp;Excel_BuiltIn_Database&amp;".xlsm)",IF(OR($C95&lt;&gt;"S",ORÇAMENTO.CodBarra=""),"(Sem Código)",IF(ISERROR(MATCH($AE95,INDIRECT(ORÇAMENTO.BancoRef),0)),"(Código não identificado nas referências)",MATCH($AE95,INDIRECT(ORÇAMENTO.BancoRef),0))))</f>
        <v>(Sem Código)</v>
      </c>
      <c r="AG95" s="428">
        <f ca="1">ROUND(IF(DESONERACAO="sim",REFERENCIA.Desonerado,REFERENCIA.NaoDesonerado),2)</f>
        <v>0</v>
      </c>
      <c r="AH95" s="429">
        <f t="shared" ca="1" si="36"/>
        <v>0.23499999999999999</v>
      </c>
      <c r="AJ95" s="431"/>
      <c r="AL95" s="439"/>
      <c r="AM95" s="336">
        <f t="shared" ca="1" si="0"/>
        <v>4083.54</v>
      </c>
      <c r="AN95" s="470">
        <f t="shared" ca="1" si="37"/>
        <v>0</v>
      </c>
    </row>
    <row r="96" spans="1:40" ht="38.25" x14ac:dyDescent="0.2">
      <c r="A96" t="str">
        <f t="shared" si="23"/>
        <v>S</v>
      </c>
      <c r="B96">
        <f t="shared" ca="1" si="24"/>
        <v>4</v>
      </c>
      <c r="C96" t="str">
        <f t="shared" ca="1" si="25"/>
        <v>S</v>
      </c>
      <c r="D96">
        <f t="shared" ca="1" si="26"/>
        <v>0</v>
      </c>
      <c r="E96">
        <f ca="1">IF($C96=1,OFFSET(E96,-1,0)+MAX(1,COUNTIF(QCI!$A$13:$A$15,OFFSET(ORÇAMENTO!E96,-1,0))),OFFSET(E96,-1,0))</f>
        <v>1</v>
      </c>
      <c r="F96">
        <f t="shared" ca="1" si="27"/>
        <v>5</v>
      </c>
      <c r="G96">
        <f t="shared" ca="1" si="28"/>
        <v>1</v>
      </c>
      <c r="H96">
        <f t="shared" ca="1" si="29"/>
        <v>4</v>
      </c>
      <c r="I96">
        <f t="shared" ca="1" si="30"/>
        <v>1</v>
      </c>
      <c r="J96">
        <f t="shared" ca="1" si="22"/>
        <v>0</v>
      </c>
      <c r="K96">
        <f ca="1">IF(OR($C96="S",$C96=0),0,MATCH(OFFSET($D96,0,$C96)+IF($C96&lt;&gt;1,1,COUNTIF(QCI!$A$13:$A$15,ORÇAMENTO!E96)),OFFSET($D96,1,$C96,ROW($C$508)-ROW($C96)),0))</f>
        <v>0</v>
      </c>
      <c r="L96" s="114" t="str">
        <f t="shared" ca="1" si="31"/>
        <v>F</v>
      </c>
      <c r="M96" s="115" t="s">
        <v>705</v>
      </c>
      <c r="N96" s="116" t="str">
        <f t="shared" ca="1" si="32"/>
        <v>Serviço</v>
      </c>
      <c r="O96" s="117" t="str">
        <f t="shared" ca="1" si="33"/>
        <v>1.5.1.4.1.</v>
      </c>
      <c r="P96" s="118" t="s">
        <v>750</v>
      </c>
      <c r="Q96" s="119" t="s">
        <v>1017</v>
      </c>
      <c r="R96" s="120" t="str">
        <f ca="1">IF($C96="S",REFERENCIA.Descricao,"(digite a descrição aqui)")</f>
        <v>CONCRETO FCK = 40MPA, TRAÇO 1:1,6:1,9 (EM MASSA SECA DE CIMENTO/ AREIA MÉDIA/ BRITA 1) - PREPARO MECÂNICO COM BETONEIRA 600 L. AF_05/2021</v>
      </c>
      <c r="S96" s="121" t="str">
        <f ca="1">REFERENCIA.Unidade</f>
        <v>M3</v>
      </c>
      <c r="T96" s="122">
        <f ca="1">OFFSET(CÁLCULO!H$15,ROW($T96)-ROW(T$15),0)</f>
        <v>1.36</v>
      </c>
      <c r="U96" s="123">
        <f t="shared" ca="1" si="21"/>
        <v>628.30999999999995</v>
      </c>
      <c r="V96" s="124" t="s">
        <v>663</v>
      </c>
      <c r="W96" s="122">
        <f ca="1">IF($C96="S",ROUND(IF(TIPOORCAMENTO="Proposto",ORÇAMENTO.CustoUnitario*(1+$AH96),ORÇAMENTO.PrecoUnitarioLicitado),15-13*$AF$10),0)</f>
        <v>775.96</v>
      </c>
      <c r="X96" s="125" cm="1">
        <f t="array" aca="1" ref="X96" ca="1">IF($C96="S",IF(OR(Import.TipoArredondamento&lt;&gt;"TransfereGOV",ACOMPANHAMENTO="BM"),VTOTAL1,SUM(OFFSET(CÁLCULO!$AI$15,ROW($X96)-ROW($X$15),1):OFFSET(CÁLCULO!$BB$15,ROW($X96)-ROW($X$15),-1))),IF($C96=0,0,ROUND(SomaAgrup,15-13*$AF$11)))</f>
        <v>1055.31</v>
      </c>
      <c r="Y96" s="126" t="s">
        <v>751</v>
      </c>
      <c r="Z96" t="str">
        <f t="shared" ca="1" si="34"/>
        <v>RA</v>
      </c>
      <c r="AA96" s="127">
        <f ca="1">IF($C96="S",IF($Z96="CP",$X96,IF($Z96="RA",(($X96)*QCI!$AA$3),0)),SomaAgrup)</f>
        <v>0</v>
      </c>
      <c r="AB96" s="128">
        <f t="shared" ca="1" si="35"/>
        <v>0</v>
      </c>
      <c r="AC96" s="565" t="str" cm="1">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IF(AND(_xlfn.SINGLE(TIPOORCAMENTO)="Licitado",$AL96=0,$AN96&gt;0),"SEM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t="str">
        <f ca="1">IF(C96&lt;=CRONO.NivelExibicao,MAX($AD$15:OFFSET(AD96,-1,0))+IF($C96&lt;&gt;1,1,MAX(1,COUNTIF(QCI!$A$13:$A$15,OFFSET($E96,-1,0)))),"")</f>
        <v/>
      </c>
      <c r="AE96" s="7" t="str">
        <f ca="1">IF(AND($C96="S",ORÇAMENTO.CodBarra&lt;&gt;""),IF(ORÇAMENTO.Fonte="",ORÇAMENTO.CodBarra,CONCATENATE(ORÇAMENTO.Fonte," ",ORÇAMENTO.CodBarra)))</f>
        <v>SINAPI 94973</v>
      </c>
      <c r="AF96" s="12">
        <f ca="1">IF(ISERROR(INDIRECT(ORÇAMENTO.BancoRef)),"(abra o arquivo 'Referência "&amp;Excel_BuiltIn_Database&amp;".xlsm)",IF(OR($C96&lt;&gt;"S",ORÇAMENTO.CodBarra=""),"(Sem Código)",IF(ISERROR(MATCH($AE96,INDIRECT(ORÇAMENTO.BancoRef),0)),"(Código não identificado nas referências)",MATCH($AE96,INDIRECT(ORÇAMENTO.BancoRef),0))))</f>
        <v>14326</v>
      </c>
      <c r="AG96" s="428">
        <f ca="1">ROUND(IF(DESONERACAO="sim",REFERENCIA.Desonerado,REFERENCIA.NaoDesonerado),2)</f>
        <v>628.30999999999995</v>
      </c>
      <c r="AH96" s="429">
        <f t="shared" ca="1" si="36"/>
        <v>0.23499999999999999</v>
      </c>
      <c r="AJ96" s="431">
        <v>1.36</v>
      </c>
      <c r="AL96" s="439"/>
      <c r="AM96" s="336">
        <f t="shared" ca="1" si="0"/>
        <v>1055.31</v>
      </c>
      <c r="AN96" s="470">
        <f t="shared" ca="1" si="37"/>
        <v>775.96</v>
      </c>
    </row>
    <row r="97" spans="1:40" ht="25.5" x14ac:dyDescent="0.2">
      <c r="A97" t="str">
        <f t="shared" si="23"/>
        <v>S</v>
      </c>
      <c r="B97">
        <f t="shared" ca="1" si="24"/>
        <v>4</v>
      </c>
      <c r="C97" t="str">
        <f t="shared" ca="1" si="25"/>
        <v>S</v>
      </c>
      <c r="D97">
        <f t="shared" ca="1" si="26"/>
        <v>0</v>
      </c>
      <c r="E97">
        <f ca="1">IF($C97=1,OFFSET(E97,-1,0)+MAX(1,COUNTIF(QCI!$A$13:$A$15,OFFSET(ORÇAMENTO!E97,-1,0))),OFFSET(E97,-1,0))</f>
        <v>1</v>
      </c>
      <c r="F97">
        <f t="shared" ca="1" si="27"/>
        <v>5</v>
      </c>
      <c r="G97">
        <f t="shared" ca="1" si="28"/>
        <v>1</v>
      </c>
      <c r="H97">
        <f t="shared" ca="1" si="29"/>
        <v>4</v>
      </c>
      <c r="I97">
        <f t="shared" ca="1" si="30"/>
        <v>2</v>
      </c>
      <c r="J97">
        <f t="shared" ca="1" si="22"/>
        <v>0</v>
      </c>
      <c r="K97">
        <f ca="1">IF(OR($C97="S",$C97=0),0,MATCH(OFFSET($D97,0,$C97)+IF($C97&lt;&gt;1,1,COUNTIF(QCI!$A$13:$A$15,ORÇAMENTO!E97)),OFFSET($D97,1,$C97,ROW($C$508)-ROW($C97)),0))</f>
        <v>0</v>
      </c>
      <c r="L97" s="114" t="str">
        <f t="shared" ca="1" si="31"/>
        <v>F</v>
      </c>
      <c r="M97" s="115" t="s">
        <v>705</v>
      </c>
      <c r="N97" s="116" t="str">
        <f t="shared" ca="1" si="32"/>
        <v>Serviço</v>
      </c>
      <c r="O97" s="117" t="str">
        <f t="shared" ca="1" si="33"/>
        <v>1.5.1.4.2.</v>
      </c>
      <c r="P97" s="118" t="s">
        <v>750</v>
      </c>
      <c r="Q97" s="119" t="s">
        <v>1018</v>
      </c>
      <c r="R97" s="120" t="str">
        <f ca="1">IF($C97="S",REFERENCIA.Descricao,"(digite a descrição aqui)")</f>
        <v>LANÇAMENTO COM USO DE BOMBA, ADENSAMENTO E ACABAMENTO DE CONCRETO EM ESTRUTURAS. AF_02/2022</v>
      </c>
      <c r="S97" s="121" t="str">
        <f ca="1">REFERENCIA.Unidade</f>
        <v>M3</v>
      </c>
      <c r="T97" s="122">
        <f ca="1">OFFSET(CÁLCULO!H$15,ROW($T97)-ROW(T$15),0)</f>
        <v>1.36</v>
      </c>
      <c r="U97" s="123">
        <f t="shared" ca="1" si="21"/>
        <v>44.5</v>
      </c>
      <c r="V97" s="124" t="s">
        <v>663</v>
      </c>
      <c r="W97" s="122">
        <f ca="1">IF($C97="S",ROUND(IF(TIPOORCAMENTO="Proposto",ORÇAMENTO.CustoUnitario*(1+$AH97),ORÇAMENTO.PrecoUnitarioLicitado),15-13*$AF$10),0)</f>
        <v>54.96</v>
      </c>
      <c r="X97" s="125" cm="1">
        <f t="array" aca="1" ref="X97" ca="1">IF($C97="S",IF(OR(Import.TipoArredondamento&lt;&gt;"TransfereGOV",ACOMPANHAMENTO="BM"),VTOTAL1,SUM(OFFSET(CÁLCULO!$AI$15,ROW($X97)-ROW($X$15),1):OFFSET(CÁLCULO!$BB$15,ROW($X97)-ROW($X$15),-1))),IF($C97=0,0,ROUND(SomaAgrup,15-13*$AF$11)))</f>
        <v>74.75</v>
      </c>
      <c r="Y97" s="126" t="s">
        <v>751</v>
      </c>
      <c r="Z97" t="str">
        <f t="shared" ca="1" si="34"/>
        <v>RA</v>
      </c>
      <c r="AA97" s="127">
        <f ca="1">IF($C97="S",IF($Z97="CP",$X97,IF($Z97="RA",(($X97)*QCI!$AA$3),0)),SomaAgrup)</f>
        <v>0</v>
      </c>
      <c r="AB97" s="128">
        <f t="shared" ca="1" si="35"/>
        <v>0</v>
      </c>
      <c r="AC97" s="565" t="str" cm="1">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IF(AND(_xlfn.SINGLE(TIPOORCAMENTO)="Licitado",$AL97=0,$AN97&gt;0),"SEM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t="str">
        <f ca="1">IF(C97&lt;=CRONO.NivelExibicao,MAX($AD$15:OFFSET(AD97,-1,0))+IF($C97&lt;&gt;1,1,MAX(1,COUNTIF(QCI!$A$13:$A$15,OFFSET($E97,-1,0)))),"")</f>
        <v/>
      </c>
      <c r="AE97" s="7" t="str">
        <f ca="1">IF(AND($C97="S",ORÇAMENTO.CodBarra&lt;&gt;""),IF(ORÇAMENTO.Fonte="",ORÇAMENTO.CodBarra,CONCATENATE(ORÇAMENTO.Fonte," ",ORÇAMENTO.CodBarra)))</f>
        <v>SINAPI 103673</v>
      </c>
      <c r="AF97" s="12">
        <f ca="1">IF(ISERROR(INDIRECT(ORÇAMENTO.BancoRef)),"(abra o arquivo 'Referência "&amp;Excel_BuiltIn_Database&amp;".xlsm)",IF(OR($C97&lt;&gt;"S",ORÇAMENTO.CodBarra=""),"(Sem Código)",IF(ISERROR(MATCH($AE97,INDIRECT(ORÇAMENTO.BancoRef),0)),"(Código não identificado nas referências)",MATCH($AE97,INDIRECT(ORÇAMENTO.BancoRef),0))))</f>
        <v>7334</v>
      </c>
      <c r="AG97" s="428">
        <f ca="1">ROUND(IF(DESONERACAO="sim",REFERENCIA.Desonerado,REFERENCIA.NaoDesonerado),2)</f>
        <v>44.5</v>
      </c>
      <c r="AH97" s="429">
        <f t="shared" ca="1" si="36"/>
        <v>0.23499999999999999</v>
      </c>
      <c r="AJ97" s="431">
        <f>AJ96</f>
        <v>1.36</v>
      </c>
      <c r="AL97" s="439"/>
      <c r="AM97" s="336">
        <f t="shared" ca="1" si="0"/>
        <v>74.75</v>
      </c>
      <c r="AN97" s="470">
        <f t="shared" ca="1" si="37"/>
        <v>54.96</v>
      </c>
    </row>
    <row r="98" spans="1:40" ht="25.5" x14ac:dyDescent="0.2">
      <c r="A98" t="str">
        <f t="shared" si="23"/>
        <v>S</v>
      </c>
      <c r="B98">
        <f t="shared" ca="1" si="24"/>
        <v>4</v>
      </c>
      <c r="C98" t="str">
        <f t="shared" ca="1" si="25"/>
        <v>S</v>
      </c>
      <c r="D98">
        <f t="shared" ca="1" si="26"/>
        <v>0</v>
      </c>
      <c r="E98">
        <f ca="1">IF($C98=1,OFFSET(E98,-1,0)+MAX(1,COUNTIF(QCI!$A$13:$A$15,OFFSET(ORÇAMENTO!E98,-1,0))),OFFSET(E98,-1,0))</f>
        <v>1</v>
      </c>
      <c r="F98">
        <f t="shared" ca="1" si="27"/>
        <v>5</v>
      </c>
      <c r="G98">
        <f t="shared" ca="1" si="28"/>
        <v>1</v>
      </c>
      <c r="H98">
        <f t="shared" ca="1" si="29"/>
        <v>4</v>
      </c>
      <c r="I98">
        <f t="shared" ca="1" si="30"/>
        <v>3</v>
      </c>
      <c r="J98">
        <f t="shared" ca="1" si="22"/>
        <v>0</v>
      </c>
      <c r="K98">
        <f ca="1">IF(OR($C98="S",$C98=0),0,MATCH(OFFSET($D98,0,$C98)+IF($C98&lt;&gt;1,1,COUNTIF(QCI!$A$13:$A$15,ORÇAMENTO!E98)),OFFSET($D98,1,$C98,ROW($C$508)-ROW($C98)),0))</f>
        <v>0</v>
      </c>
      <c r="L98" s="114" t="str">
        <f t="shared" ca="1" si="31"/>
        <v>F</v>
      </c>
      <c r="M98" s="115" t="s">
        <v>705</v>
      </c>
      <c r="N98" s="116" t="str">
        <f t="shared" ca="1" si="32"/>
        <v>Serviço</v>
      </c>
      <c r="O98" s="117" t="str">
        <f t="shared" ca="1" si="33"/>
        <v>1.5.1.4.3.</v>
      </c>
      <c r="P98" s="118" t="s">
        <v>956</v>
      </c>
      <c r="Q98" s="119" t="s">
        <v>1024</v>
      </c>
      <c r="R98" s="120" t="str">
        <f ca="1">IF($C98="S",REFERENCIA.Descricao,"(digite a descrição aqui)")</f>
        <v>FÔRMAS DE COMPENSADO RESINADO 10 MM - USO GERAL - UTILIZAÇÃO DE 3 VEZES - CONFECÇÃO, INSTALAÇÃO E RETIRADA</v>
      </c>
      <c r="S98" s="121" t="str">
        <f ca="1">REFERENCIA.Unidade</f>
        <v>M2</v>
      </c>
      <c r="T98" s="122">
        <f ca="1">OFFSET(CÁLCULO!H$15,ROW($T98)-ROW(T$15),0)</f>
        <v>9.89</v>
      </c>
      <c r="U98" s="123">
        <f t="shared" ca="1" si="21"/>
        <v>71.66</v>
      </c>
      <c r="V98" s="124" t="s">
        <v>663</v>
      </c>
      <c r="W98" s="122">
        <f ca="1">IF($C98="S",ROUND(IF(TIPOORCAMENTO="Proposto",ORÇAMENTO.CustoUnitario*(1+$AH98),ORÇAMENTO.PrecoUnitarioLicitado),15-13*$AF$10),0)</f>
        <v>88.5</v>
      </c>
      <c r="X98" s="125" cm="1">
        <f t="array" aca="1" ref="X98" ca="1">IF($C98="S",IF(OR(Import.TipoArredondamento&lt;&gt;"TransfereGOV",ACOMPANHAMENTO="BM"),VTOTAL1,SUM(OFFSET(CÁLCULO!$AI$15,ROW($X98)-ROW($X$15),1):OFFSET(CÁLCULO!$BB$15,ROW($X98)-ROW($X$15),-1))),IF($C98=0,0,ROUND(SomaAgrup,15-13*$AF$11)))</f>
        <v>875.27</v>
      </c>
      <c r="Y98" s="126" t="s">
        <v>751</v>
      </c>
      <c r="Z98" t="str">
        <f t="shared" ca="1" si="34"/>
        <v>RA</v>
      </c>
      <c r="AA98" s="127">
        <f ca="1">IF($C98="S",IF($Z98="CP",$X98,IF($Z98="RA",(($X98)*QCI!$AA$3),0)),SomaAgrup)</f>
        <v>0</v>
      </c>
      <c r="AB98" s="128">
        <f t="shared" ca="1" si="35"/>
        <v>0</v>
      </c>
      <c r="AC98" s="565" t="str" cm="1">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IF(AND(_xlfn.SINGLE(TIPOORCAMENTO)="Licitado",$AL98=0,$AN98&gt;0),"SEM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t="str">
        <f ca="1">IF(C98&lt;=CRONO.NivelExibicao,MAX($AD$15:OFFSET(AD98,-1,0))+IF($C98&lt;&gt;1,1,MAX(1,COUNTIF(QCI!$A$13:$A$15,OFFSET($E98,-1,0)))),"")</f>
        <v/>
      </c>
      <c r="AE98" s="7" t="str">
        <f ca="1">IF(AND($C98="S",ORÇAMENTO.CodBarra&lt;&gt;""),IF(ORÇAMENTO.Fonte="",ORÇAMENTO.CodBarra,CONCATENATE(ORÇAMENTO.Fonte," ",ORÇAMENTO.CodBarra)))</f>
        <v>SICRO 3107997</v>
      </c>
      <c r="AF98" s="12">
        <f ca="1">IF(ISERROR(INDIRECT(ORÇAMENTO.BancoRef)),"(abra o arquivo 'Referência "&amp;Excel_BuiltIn_Database&amp;".xlsm)",IF(OR($C98&lt;&gt;"S",ORÇAMENTO.CodBarra=""),"(Sem Código)",IF(ISERROR(MATCH($AE98,INDIRECT(ORÇAMENTO.BancoRef),0)),"(Código não identificado nas referências)",MATCH($AE98,INDIRECT(ORÇAMENTO.BancoRef),0))))</f>
        <v>19900</v>
      </c>
      <c r="AG98" s="428">
        <f ca="1">ROUND(IF(DESONERACAO="sim",REFERENCIA.Desonerado,REFERENCIA.NaoDesonerado),2)</f>
        <v>71.66</v>
      </c>
      <c r="AH98" s="429">
        <f t="shared" ca="1" si="36"/>
        <v>0.23499999999999999</v>
      </c>
      <c r="AJ98" s="431">
        <v>9.89</v>
      </c>
      <c r="AL98" s="439"/>
      <c r="AM98" s="336">
        <f t="shared" ca="1" si="0"/>
        <v>875.27</v>
      </c>
      <c r="AN98" s="470">
        <f t="shared" ca="1" si="37"/>
        <v>88.5</v>
      </c>
    </row>
    <row r="99" spans="1:40" ht="25.5" x14ac:dyDescent="0.2">
      <c r="A99" t="str">
        <f t="shared" si="23"/>
        <v>S</v>
      </c>
      <c r="B99">
        <f t="shared" ca="1" si="24"/>
        <v>4</v>
      </c>
      <c r="C99" t="str">
        <f t="shared" ca="1" si="25"/>
        <v>S</v>
      </c>
      <c r="D99">
        <f t="shared" ca="1" si="26"/>
        <v>0</v>
      </c>
      <c r="E99">
        <f ca="1">IF($C99=1,OFFSET(E99,-1,0)+MAX(1,COUNTIF(QCI!$A$13:$A$15,OFFSET(ORÇAMENTO!E99,-1,0))),OFFSET(E99,-1,0))</f>
        <v>1</v>
      </c>
      <c r="F99">
        <f t="shared" ca="1" si="27"/>
        <v>5</v>
      </c>
      <c r="G99">
        <f t="shared" ca="1" si="28"/>
        <v>1</v>
      </c>
      <c r="H99">
        <f t="shared" ca="1" si="29"/>
        <v>4</v>
      </c>
      <c r="I99">
        <f t="shared" ca="1" si="30"/>
        <v>4</v>
      </c>
      <c r="J99">
        <f t="shared" ca="1" si="22"/>
        <v>0</v>
      </c>
      <c r="K99">
        <f ca="1">IF(OR($C99="S",$C99=0),0,MATCH(OFFSET($D99,0,$C99)+IF($C99&lt;&gt;1,1,COUNTIF(QCI!$A$13:$A$15,ORÇAMENTO!E99)),OFFSET($D99,1,$C99,ROW($C$508)-ROW($C99)),0))</f>
        <v>0</v>
      </c>
      <c r="L99" s="114" t="str">
        <f t="shared" ca="1" si="31"/>
        <v>F</v>
      </c>
      <c r="M99" s="115" t="s">
        <v>705</v>
      </c>
      <c r="N99" s="116" t="str">
        <f t="shared" ca="1" si="32"/>
        <v>Serviço</v>
      </c>
      <c r="O99" s="117" t="str">
        <f t="shared" ca="1" si="33"/>
        <v>1.5.1.4.4.</v>
      </c>
      <c r="P99" s="118" t="s">
        <v>956</v>
      </c>
      <c r="Q99" s="119" t="s">
        <v>1019</v>
      </c>
      <c r="R99" s="120" t="str">
        <f ca="1">IF($C99="S",REFERENCIA.Descricao,"(digite a descrição aqui)")</f>
        <v>ARMAÇÃO EM AÇO CA-50 - FORNECIMENTO, PREPARO E COLOCAÇÃO</v>
      </c>
      <c r="S99" s="121" t="str">
        <f ca="1">REFERENCIA.Unidade</f>
        <v>KG</v>
      </c>
      <c r="T99" s="122">
        <f ca="1">OFFSET(CÁLCULO!H$15,ROW($T99)-ROW(T$15),0)</f>
        <v>139.29</v>
      </c>
      <c r="U99" s="123">
        <f t="shared" ca="1" si="21"/>
        <v>12.08</v>
      </c>
      <c r="V99" s="124" t="s">
        <v>663</v>
      </c>
      <c r="W99" s="122">
        <f ca="1">IF($C99="S",ROUND(IF(TIPOORCAMENTO="Proposto",ORÇAMENTO.CustoUnitario*(1+$AH99),ORÇAMENTO.PrecoUnitarioLicitado),15-13*$AF$10),0)</f>
        <v>14.92</v>
      </c>
      <c r="X99" s="125" cm="1">
        <f t="array" aca="1" ref="X99" ca="1">IF($C99="S",IF(OR(Import.TipoArredondamento&lt;&gt;"TransfereGOV",ACOMPANHAMENTO="BM"),VTOTAL1,SUM(OFFSET(CÁLCULO!$AI$15,ROW($X99)-ROW($X$15),1):OFFSET(CÁLCULO!$BB$15,ROW($X99)-ROW($X$15),-1))),IF($C99=0,0,ROUND(SomaAgrup,15-13*$AF$11)))</f>
        <v>2078.21</v>
      </c>
      <c r="Y99" s="126" t="s">
        <v>751</v>
      </c>
      <c r="Z99" t="str">
        <f t="shared" ca="1" si="34"/>
        <v>RA</v>
      </c>
      <c r="AA99" s="127">
        <f ca="1">IF($C99="S",IF($Z99="CP",$X99,IF($Z99="RA",(($X99)*QCI!$AA$3),0)),SomaAgrup)</f>
        <v>0</v>
      </c>
      <c r="AB99" s="128">
        <f t="shared" ca="1" si="35"/>
        <v>0</v>
      </c>
      <c r="AC99" s="565" t="str" cm="1">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IF(AND(_xlfn.SINGLE(TIPOORCAMENTO)="Licitado",$AL99=0,$AN99&gt;0),"SEM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t="str">
        <f ca="1">IF(C99&lt;=CRONO.NivelExibicao,MAX($AD$15:OFFSET(AD99,-1,0))+IF($C99&lt;&gt;1,1,MAX(1,COUNTIF(QCI!$A$13:$A$15,OFFSET($E99,-1,0)))),"")</f>
        <v/>
      </c>
      <c r="AE99" s="7" t="str">
        <f ca="1">IF(AND($C99="S",ORÇAMENTO.CodBarra&lt;&gt;""),IF(ORÇAMENTO.Fonte="",ORÇAMENTO.CodBarra,CONCATENATE(ORÇAMENTO.Fonte," ",ORÇAMENTO.CodBarra)))</f>
        <v>SICRO 407819</v>
      </c>
      <c r="AF99" s="12">
        <f ca="1">IF(ISERROR(INDIRECT(ORÇAMENTO.BancoRef)),"(abra o arquivo 'Referência "&amp;Excel_BuiltIn_Database&amp;".xlsm)",IF(OR($C99&lt;&gt;"S",ORÇAMENTO.CodBarra=""),"(Sem Código)",IF(ISERROR(MATCH($AE99,INDIRECT(ORÇAMENTO.BancoRef),0)),"(Código não identificado nas referências)",MATCH($AE99,INDIRECT(ORÇAMENTO.BancoRef),0))))</f>
        <v>15833</v>
      </c>
      <c r="AG99" s="428">
        <f ca="1">ROUND(IF(DESONERACAO="sim",REFERENCIA.Desonerado,REFERENCIA.NaoDesonerado),2)</f>
        <v>12.08</v>
      </c>
      <c r="AH99" s="429">
        <f t="shared" ca="1" si="36"/>
        <v>0.23499999999999999</v>
      </c>
      <c r="AJ99" s="431">
        <f>30.8+29.03+6.19+73.27</f>
        <v>139.29</v>
      </c>
      <c r="AL99" s="439"/>
      <c r="AM99" s="336">
        <f t="shared" ca="1" si="0"/>
        <v>2078.21</v>
      </c>
      <c r="AN99" s="470">
        <f t="shared" ca="1" si="37"/>
        <v>14.92</v>
      </c>
    </row>
    <row r="100" spans="1:40" x14ac:dyDescent="0.2">
      <c r="A100">
        <f t="shared" si="23"/>
        <v>4</v>
      </c>
      <c r="B100">
        <f t="shared" ca="1" si="24"/>
        <v>4</v>
      </c>
      <c r="C100">
        <f t="shared" ca="1" si="25"/>
        <v>4</v>
      </c>
      <c r="D100">
        <f t="shared" ca="1" si="26"/>
        <v>5</v>
      </c>
      <c r="E100">
        <f ca="1">IF($C100=1,OFFSET(E100,-1,0)+MAX(1,COUNTIF(QCI!$A$13:$A$15,OFFSET(ORÇAMENTO!E100,-1,0))),OFFSET(E100,-1,0))</f>
        <v>1</v>
      </c>
      <c r="F100">
        <f t="shared" ca="1" si="27"/>
        <v>5</v>
      </c>
      <c r="G100">
        <f t="shared" ca="1" si="28"/>
        <v>1</v>
      </c>
      <c r="H100">
        <f t="shared" ca="1" si="29"/>
        <v>5</v>
      </c>
      <c r="I100">
        <f t="shared" ca="1" si="30"/>
        <v>0</v>
      </c>
      <c r="J100">
        <f t="shared" ca="1" si="22"/>
        <v>5</v>
      </c>
      <c r="K100">
        <f ca="1">IF(OR($C100="S",$C100=0),0,MATCH(OFFSET($D100,0,$C100)+IF($C100&lt;&gt;1,1,COUNTIF(QCI!$A$13:$A$15,ORÇAMENTO!E100)),OFFSET($D100,1,$C100,ROW($C$508)-ROW($C100)),0))</f>
        <v>101</v>
      </c>
      <c r="L100" s="114" t="str">
        <f t="shared" ca="1" si="31"/>
        <v>F</v>
      </c>
      <c r="M100" s="115" t="s">
        <v>704</v>
      </c>
      <c r="N100" s="116" t="str">
        <f t="shared" ca="1" si="32"/>
        <v>Nível 4</v>
      </c>
      <c r="O100" s="117" t="str">
        <f t="shared" ca="1" si="33"/>
        <v>1.5.1.5.</v>
      </c>
      <c r="P100" s="118" t="s">
        <v>750</v>
      </c>
      <c r="Q100" s="119"/>
      <c r="R100" s="120" t="s">
        <v>1222</v>
      </c>
      <c r="S100" s="121" t="s">
        <v>688</v>
      </c>
      <c r="T100" s="122">
        <f ca="1">OFFSET(CÁLCULO!H$15,ROW($T100)-ROW(T$15),0)</f>
        <v>0</v>
      </c>
      <c r="U100" s="123">
        <f t="shared" ca="1" si="21"/>
        <v>0</v>
      </c>
      <c r="V100" s="124" t="s">
        <v>663</v>
      </c>
      <c r="W100" s="122">
        <f ca="1">IF($C100="S",ROUND(IF(TIPOORCAMENTO="Proposto",ORÇAMENTO.CustoUnitario*(1+$AH100),ORÇAMENTO.PrecoUnitarioLicitado),15-13*$AF$10),0)</f>
        <v>0</v>
      </c>
      <c r="X100" s="125" cm="1">
        <f t="array" aca="1" ref="X100" ca="1">IF($C100="S",IF(OR(Import.TipoArredondamento&lt;&gt;"TransfereGOV",ACOMPANHAMENTO="BM"),VTOTAL1,SUM(OFFSET(CÁLCULO!$AI$15,ROW($X100)-ROW($X$15),1):OFFSET(CÁLCULO!$BB$15,ROW($X100)-ROW($X$15),-1))),IF($C100=0,0,ROUND(SomaAgrup,15-13*$AF$11)))</f>
        <v>127966.29</v>
      </c>
      <c r="Y100" s="126" t="s">
        <v>751</v>
      </c>
      <c r="Z100" t="str">
        <f t="shared" ca="1" si="34"/>
        <v/>
      </c>
      <c r="AA100" s="127">
        <f ca="1">IF($C100="S",IF($Z100="CP",$X100,IF($Z100="RA",(($X100)*QCI!$AA$3),0)),SomaAgrup)</f>
        <v>0</v>
      </c>
      <c r="AB100" s="128">
        <f t="shared" ca="1" si="35"/>
        <v>0</v>
      </c>
      <c r="AC100" s="565" t="str" cm="1">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IF(AND(_xlfn.SINGLE(TIPOORCAMENTO)="Licitado",$AL100=0,$AN100&gt;0),"SEM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t="str">
        <f ca="1">IF(C100&lt;=CRONO.NivelExibicao,MAX($AD$15:OFFSET(AD100,-1,0))+IF($C100&lt;&gt;1,1,MAX(1,COUNTIF(QCI!$A$13:$A$15,OFFSET($E100,-1,0)))),"")</f>
        <v/>
      </c>
      <c r="AE100" s="7" t="b">
        <f ca="1">IF(AND($C100="S",ORÇAMENTO.CodBarra&lt;&gt;""),IF(ORÇAMENTO.Fonte="",ORÇAMENTO.CodBarra,CONCATENATE(ORÇAMENTO.Fonte," ",ORÇAMENTO.CodBarra)))</f>
        <v>0</v>
      </c>
      <c r="AF100" s="12" t="str">
        <f ca="1">IF(ISERROR(INDIRECT(ORÇAMENTO.BancoRef)),"(abra o arquivo 'Referência "&amp;Excel_BuiltIn_Database&amp;".xlsm)",IF(OR($C100&lt;&gt;"S",ORÇAMENTO.CodBarra=""),"(Sem Código)",IF(ISERROR(MATCH($AE100,INDIRECT(ORÇAMENTO.BancoRef),0)),"(Código não identificado nas referências)",MATCH($AE100,INDIRECT(ORÇAMENTO.BancoRef),0))))</f>
        <v>(Sem Código)</v>
      </c>
      <c r="AG100" s="428">
        <f ca="1">ROUND(IF(DESONERACAO="sim",REFERENCIA.Desonerado,REFERENCIA.NaoDesonerado),2)</f>
        <v>0</v>
      </c>
      <c r="AH100" s="429">
        <f t="shared" ca="1" si="36"/>
        <v>0.23499999999999999</v>
      </c>
      <c r="AJ100" s="431"/>
      <c r="AL100" s="439"/>
      <c r="AM100" s="336">
        <f t="shared" ca="1" si="0"/>
        <v>127966.29</v>
      </c>
      <c r="AN100" s="470">
        <f t="shared" ca="1" si="37"/>
        <v>0</v>
      </c>
    </row>
    <row r="101" spans="1:40" ht="38.25" x14ac:dyDescent="0.2">
      <c r="A101" t="str">
        <f t="shared" si="23"/>
        <v>S</v>
      </c>
      <c r="B101">
        <f t="shared" ca="1" si="24"/>
        <v>4</v>
      </c>
      <c r="C101" t="str">
        <f t="shared" ca="1" si="25"/>
        <v>S</v>
      </c>
      <c r="D101">
        <f t="shared" ca="1" si="26"/>
        <v>0</v>
      </c>
      <c r="E101">
        <f ca="1">IF($C101=1,OFFSET(E101,-1,0)+MAX(1,COUNTIF(QCI!$A$13:$A$15,OFFSET(ORÇAMENTO!E101,-1,0))),OFFSET(E101,-1,0))</f>
        <v>1</v>
      </c>
      <c r="F101">
        <f t="shared" ca="1" si="27"/>
        <v>5</v>
      </c>
      <c r="G101">
        <f t="shared" ca="1" si="28"/>
        <v>1</v>
      </c>
      <c r="H101">
        <f t="shared" ca="1" si="29"/>
        <v>5</v>
      </c>
      <c r="I101">
        <f t="shared" ca="1" si="30"/>
        <v>1</v>
      </c>
      <c r="J101">
        <f t="shared" ca="1" si="22"/>
        <v>0</v>
      </c>
      <c r="K101">
        <f ca="1">IF(OR($C101="S",$C101=0),0,MATCH(OFFSET($D101,0,$C101)+IF($C101&lt;&gt;1,1,COUNTIF(QCI!$A$13:$A$15,ORÇAMENTO!E101)),OFFSET($D101,1,$C101,ROW($C$508)-ROW($C101)),0))</f>
        <v>0</v>
      </c>
      <c r="L101" s="114" t="str">
        <f t="shared" ca="1" si="31"/>
        <v>F</v>
      </c>
      <c r="M101" s="115" t="s">
        <v>705</v>
      </c>
      <c r="N101" s="116" t="str">
        <f t="shared" ca="1" si="32"/>
        <v>Serviço</v>
      </c>
      <c r="O101" s="117" t="str">
        <f t="shared" ca="1" si="33"/>
        <v>1.5.1.5.1.</v>
      </c>
      <c r="P101" s="118" t="s">
        <v>750</v>
      </c>
      <c r="Q101" s="119" t="s">
        <v>1017</v>
      </c>
      <c r="R101" s="120" t="str">
        <f ca="1">IF($C101="S",REFERENCIA.Descricao,"(digite a descrição aqui)")</f>
        <v>CONCRETO FCK = 40MPA, TRAÇO 1:1,6:1,9 (EM MASSA SECA DE CIMENTO/ AREIA MÉDIA/ BRITA 1) - PREPARO MECÂNICO COM BETONEIRA 600 L. AF_05/2021</v>
      </c>
      <c r="S101" s="121" t="str">
        <f ca="1">REFERENCIA.Unidade</f>
        <v>M3</v>
      </c>
      <c r="T101" s="122">
        <f ca="1">OFFSET(CÁLCULO!H$15,ROW($T101)-ROW(T$15),0)</f>
        <v>24.79</v>
      </c>
      <c r="U101" s="123">
        <f t="shared" ca="1" si="21"/>
        <v>628.30999999999995</v>
      </c>
      <c r="V101" s="124" t="s">
        <v>663</v>
      </c>
      <c r="W101" s="122">
        <f ca="1">IF($C101="S",ROUND(IF(TIPOORCAMENTO="Proposto",ORÇAMENTO.CustoUnitario*(1+$AH101),ORÇAMENTO.PrecoUnitarioLicitado),15-13*$AF$10),0)</f>
        <v>775.96</v>
      </c>
      <c r="X101" s="125" cm="1">
        <f t="array" aca="1" ref="X101" ca="1">IF($C101="S",IF(OR(Import.TipoArredondamento&lt;&gt;"TransfereGOV",ACOMPANHAMENTO="BM"),VTOTAL1,SUM(OFFSET(CÁLCULO!$AI$15,ROW($X101)-ROW($X$15),1):OFFSET(CÁLCULO!$BB$15,ROW($X101)-ROW($X$15),-1))),IF($C101=0,0,ROUND(SomaAgrup,15-13*$AF$11)))</f>
        <v>19236.05</v>
      </c>
      <c r="Y101" s="126" t="s">
        <v>751</v>
      </c>
      <c r="Z101" t="str">
        <f t="shared" ca="1" si="34"/>
        <v>RA</v>
      </c>
      <c r="AA101" s="127">
        <f ca="1">IF($C101="S",IF($Z101="CP",$X101,IF($Z101="RA",(($X101)*QCI!$AA$3),0)),SomaAgrup)</f>
        <v>0</v>
      </c>
      <c r="AB101" s="128">
        <f t="shared" ca="1" si="35"/>
        <v>0</v>
      </c>
      <c r="AC101" s="565" t="str" cm="1">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IF(AND(_xlfn.SINGLE(TIPOORCAMENTO)="Licitado",$AL101=0,$AN101&gt;0),"SEM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t="str">
        <f ca="1">IF(C101&lt;=CRONO.NivelExibicao,MAX($AD$15:OFFSET(AD101,-1,0))+IF($C101&lt;&gt;1,1,MAX(1,COUNTIF(QCI!$A$13:$A$15,OFFSET($E101,-1,0)))),"")</f>
        <v/>
      </c>
      <c r="AE101" s="7" t="str">
        <f ca="1">IF(AND($C101="S",ORÇAMENTO.CodBarra&lt;&gt;""),IF(ORÇAMENTO.Fonte="",ORÇAMENTO.CodBarra,CONCATENATE(ORÇAMENTO.Fonte," ",ORÇAMENTO.CodBarra)))</f>
        <v>SINAPI 94973</v>
      </c>
      <c r="AF101" s="12">
        <f ca="1">IF(ISERROR(INDIRECT(ORÇAMENTO.BancoRef)),"(abra o arquivo 'Referência "&amp;Excel_BuiltIn_Database&amp;".xlsm)",IF(OR($C101&lt;&gt;"S",ORÇAMENTO.CodBarra=""),"(Sem Código)",IF(ISERROR(MATCH($AE101,INDIRECT(ORÇAMENTO.BancoRef),0)),"(Código não identificado nas referências)",MATCH($AE101,INDIRECT(ORÇAMENTO.BancoRef),0))))</f>
        <v>14326</v>
      </c>
      <c r="AG101" s="428">
        <f ca="1">ROUND(IF(DESONERACAO="sim",REFERENCIA.Desonerado,REFERENCIA.NaoDesonerado),2)</f>
        <v>628.30999999999995</v>
      </c>
      <c r="AH101" s="429">
        <f t="shared" ca="1" si="36"/>
        <v>0.23499999999999999</v>
      </c>
      <c r="AJ101" s="431">
        <f>6.03+0.91+17.85</f>
        <v>24.790000000000003</v>
      </c>
      <c r="AL101" s="439"/>
      <c r="AM101" s="336">
        <f t="shared" ca="1" si="0"/>
        <v>19236.05</v>
      </c>
      <c r="AN101" s="470">
        <f t="shared" ca="1" si="37"/>
        <v>775.96</v>
      </c>
    </row>
    <row r="102" spans="1:40" ht="25.5" x14ac:dyDescent="0.2">
      <c r="A102" t="str">
        <f t="shared" si="23"/>
        <v>S</v>
      </c>
      <c r="B102">
        <f t="shared" ca="1" si="24"/>
        <v>4</v>
      </c>
      <c r="C102" t="str">
        <f t="shared" ca="1" si="25"/>
        <v>S</v>
      </c>
      <c r="D102">
        <f t="shared" ca="1" si="26"/>
        <v>0</v>
      </c>
      <c r="E102">
        <f ca="1">IF($C102=1,OFFSET(E102,-1,0)+MAX(1,COUNTIF(QCI!$A$13:$A$15,OFFSET(ORÇAMENTO!E102,-1,0))),OFFSET(E102,-1,0))</f>
        <v>1</v>
      </c>
      <c r="F102">
        <f t="shared" ca="1" si="27"/>
        <v>5</v>
      </c>
      <c r="G102">
        <f t="shared" ca="1" si="28"/>
        <v>1</v>
      </c>
      <c r="H102">
        <f t="shared" ca="1" si="29"/>
        <v>5</v>
      </c>
      <c r="I102">
        <f t="shared" ca="1" si="30"/>
        <v>2</v>
      </c>
      <c r="J102">
        <f t="shared" ca="1" si="22"/>
        <v>0</v>
      </c>
      <c r="K102">
        <f ca="1">IF(OR($C102="S",$C102=0),0,MATCH(OFFSET($D102,0,$C102)+IF($C102&lt;&gt;1,1,COUNTIF(QCI!$A$13:$A$15,ORÇAMENTO!E102)),OFFSET($D102,1,$C102,ROW($C$508)-ROW($C102)),0))</f>
        <v>0</v>
      </c>
      <c r="L102" s="114" t="str">
        <f t="shared" ca="1" si="31"/>
        <v>F</v>
      </c>
      <c r="M102" s="115" t="s">
        <v>705</v>
      </c>
      <c r="N102" s="116" t="str">
        <f t="shared" ca="1" si="32"/>
        <v>Serviço</v>
      </c>
      <c r="O102" s="117" t="str">
        <f t="shared" ca="1" si="33"/>
        <v>1.5.1.5.2.</v>
      </c>
      <c r="P102" s="118" t="s">
        <v>750</v>
      </c>
      <c r="Q102" s="119" t="s">
        <v>1018</v>
      </c>
      <c r="R102" s="120" t="str">
        <f ca="1">IF($C102="S",REFERENCIA.Descricao,"(digite a descrição aqui)")</f>
        <v>LANÇAMENTO COM USO DE BOMBA, ADENSAMENTO E ACABAMENTO DE CONCRETO EM ESTRUTURAS. AF_02/2022</v>
      </c>
      <c r="S102" s="121" t="str">
        <f ca="1">REFERENCIA.Unidade</f>
        <v>M3</v>
      </c>
      <c r="T102" s="122">
        <f ca="1">OFFSET(CÁLCULO!H$15,ROW($T102)-ROW(T$15),0)</f>
        <v>24.79</v>
      </c>
      <c r="U102" s="123">
        <f t="shared" ca="1" si="21"/>
        <v>44.5</v>
      </c>
      <c r="V102" s="124" t="s">
        <v>663</v>
      </c>
      <c r="W102" s="122">
        <f ca="1">IF($C102="S",ROUND(IF(TIPOORCAMENTO="Proposto",ORÇAMENTO.CustoUnitario*(1+$AH102),ORÇAMENTO.PrecoUnitarioLicitado),15-13*$AF$10),0)</f>
        <v>54.96</v>
      </c>
      <c r="X102" s="125" cm="1">
        <f t="array" aca="1" ref="X102" ca="1">IF($C102="S",IF(OR(Import.TipoArredondamento&lt;&gt;"TransfereGOV",ACOMPANHAMENTO="BM"),VTOTAL1,SUM(OFFSET(CÁLCULO!$AI$15,ROW($X102)-ROW($X$15),1):OFFSET(CÁLCULO!$BB$15,ROW($X102)-ROW($X$15),-1))),IF($C102=0,0,ROUND(SomaAgrup,15-13*$AF$11)))</f>
        <v>1362.46</v>
      </c>
      <c r="Y102" s="126" t="s">
        <v>751</v>
      </c>
      <c r="Z102" t="str">
        <f t="shared" ca="1" si="34"/>
        <v>RA</v>
      </c>
      <c r="AA102" s="127">
        <f ca="1">IF($C102="S",IF($Z102="CP",$X102,IF($Z102="RA",(($X102)*QCI!$AA$3),0)),SomaAgrup)</f>
        <v>0</v>
      </c>
      <c r="AB102" s="128">
        <f t="shared" ca="1" si="35"/>
        <v>0</v>
      </c>
      <c r="AC102" s="565" t="str" cm="1">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IF(AND(_xlfn.SINGLE(TIPOORCAMENTO)="Licitado",$AL102=0,$AN102&gt;0),"SEM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t="str">
        <f ca="1">IF(C102&lt;=CRONO.NivelExibicao,MAX($AD$15:OFFSET(AD102,-1,0))+IF($C102&lt;&gt;1,1,MAX(1,COUNTIF(QCI!$A$13:$A$15,OFFSET($E102,-1,0)))),"")</f>
        <v/>
      </c>
      <c r="AE102" s="7" t="str">
        <f ca="1">IF(AND($C102="S",ORÇAMENTO.CodBarra&lt;&gt;""),IF(ORÇAMENTO.Fonte="",ORÇAMENTO.CodBarra,CONCATENATE(ORÇAMENTO.Fonte," ",ORÇAMENTO.CodBarra)))</f>
        <v>SINAPI 103673</v>
      </c>
      <c r="AF102" s="12">
        <f ca="1">IF(ISERROR(INDIRECT(ORÇAMENTO.BancoRef)),"(abra o arquivo 'Referência "&amp;Excel_BuiltIn_Database&amp;".xlsm)",IF(OR($C102&lt;&gt;"S",ORÇAMENTO.CodBarra=""),"(Sem Código)",IF(ISERROR(MATCH($AE102,INDIRECT(ORÇAMENTO.BancoRef),0)),"(Código não identificado nas referências)",MATCH($AE102,INDIRECT(ORÇAMENTO.BancoRef),0))))</f>
        <v>7334</v>
      </c>
      <c r="AG102" s="428">
        <f ca="1">ROUND(IF(DESONERACAO="sim",REFERENCIA.Desonerado,REFERENCIA.NaoDesonerado),2)</f>
        <v>44.5</v>
      </c>
      <c r="AH102" s="429">
        <f t="shared" ca="1" si="36"/>
        <v>0.23499999999999999</v>
      </c>
      <c r="AJ102" s="431">
        <f>AJ101</f>
        <v>24.790000000000003</v>
      </c>
      <c r="AL102" s="439"/>
      <c r="AM102" s="336">
        <f t="shared" ca="1" si="0"/>
        <v>1362.46</v>
      </c>
      <c r="AN102" s="470">
        <f t="shared" ca="1" si="37"/>
        <v>54.96</v>
      </c>
    </row>
    <row r="103" spans="1:40" ht="25.5" x14ac:dyDescent="0.2">
      <c r="A103" t="str">
        <f t="shared" si="23"/>
        <v>S</v>
      </c>
      <c r="B103">
        <f t="shared" ca="1" si="24"/>
        <v>4</v>
      </c>
      <c r="C103" t="str">
        <f t="shared" ca="1" si="25"/>
        <v>S</v>
      </c>
      <c r="D103">
        <f t="shared" ca="1" si="26"/>
        <v>0</v>
      </c>
      <c r="E103">
        <f ca="1">IF($C103=1,OFFSET(E103,-1,0)+MAX(1,COUNTIF(QCI!$A$13:$A$15,OFFSET(ORÇAMENTO!E103,-1,0))),OFFSET(E103,-1,0))</f>
        <v>1</v>
      </c>
      <c r="F103">
        <f t="shared" ca="1" si="27"/>
        <v>5</v>
      </c>
      <c r="G103">
        <f t="shared" ca="1" si="28"/>
        <v>1</v>
      </c>
      <c r="H103">
        <f t="shared" ca="1" si="29"/>
        <v>5</v>
      </c>
      <c r="I103">
        <f t="shared" ca="1" si="30"/>
        <v>3</v>
      </c>
      <c r="J103">
        <f t="shared" ca="1" si="22"/>
        <v>0</v>
      </c>
      <c r="K103">
        <f ca="1">IF(OR($C103="S",$C103=0),0,MATCH(OFFSET($D103,0,$C103)+IF($C103&lt;&gt;1,1,COUNTIF(QCI!$A$13:$A$15,ORÇAMENTO!E103)),OFFSET($D103,1,$C103,ROW($C$508)-ROW($C103)),0))</f>
        <v>0</v>
      </c>
      <c r="L103" s="114" t="str">
        <f t="shared" ca="1" si="31"/>
        <v>F</v>
      </c>
      <c r="M103" s="115" t="s">
        <v>705</v>
      </c>
      <c r="N103" s="116" t="str">
        <f t="shared" ca="1" si="32"/>
        <v>Serviço</v>
      </c>
      <c r="O103" s="117" t="str">
        <f t="shared" ca="1" si="33"/>
        <v>1.5.1.5.3.</v>
      </c>
      <c r="P103" s="118" t="s">
        <v>956</v>
      </c>
      <c r="Q103" s="119" t="s">
        <v>1024</v>
      </c>
      <c r="R103" s="120" t="str">
        <f ca="1">IF($C103="S",REFERENCIA.Descricao,"(digite a descrição aqui)")</f>
        <v>FÔRMAS DE COMPENSADO RESINADO 10 MM - USO GERAL - UTILIZAÇÃO DE 3 VEZES - CONFECÇÃO, INSTALAÇÃO E RETIRADA</v>
      </c>
      <c r="S103" s="121" t="str">
        <f ca="1">REFERENCIA.Unidade</f>
        <v>M2</v>
      </c>
      <c r="T103" s="122">
        <f ca="1">OFFSET(CÁLCULO!H$15,ROW($T103)-ROW(T$15),0)</f>
        <v>309.2</v>
      </c>
      <c r="U103" s="123">
        <f t="shared" ca="1" si="21"/>
        <v>71.66</v>
      </c>
      <c r="V103" s="124" t="s">
        <v>663</v>
      </c>
      <c r="W103" s="122">
        <f ca="1">IF($C103="S",ROUND(IF(TIPOORCAMENTO="Proposto",ORÇAMENTO.CustoUnitario*(1+$AH103),ORÇAMENTO.PrecoUnitarioLicitado),15-13*$AF$10),0)</f>
        <v>88.5</v>
      </c>
      <c r="X103" s="125" cm="1">
        <f t="array" aca="1" ref="X103" ca="1">IF($C103="S",IF(OR(Import.TipoArredondamento&lt;&gt;"TransfereGOV",ACOMPANHAMENTO="BM"),VTOTAL1,SUM(OFFSET(CÁLCULO!$AI$15,ROW($X103)-ROW($X$15),1):OFFSET(CÁLCULO!$BB$15,ROW($X103)-ROW($X$15),-1))),IF($C103=0,0,ROUND(SomaAgrup,15-13*$AF$11)))</f>
        <v>27364.2</v>
      </c>
      <c r="Y103" s="126" t="s">
        <v>751</v>
      </c>
      <c r="Z103" t="str">
        <f t="shared" ca="1" si="34"/>
        <v>RA</v>
      </c>
      <c r="AA103" s="127">
        <f ca="1">IF($C103="S",IF($Z103="CP",$X103,IF($Z103="RA",(($X103)*QCI!$AA$3),0)),SomaAgrup)</f>
        <v>0</v>
      </c>
      <c r="AB103" s="128">
        <f t="shared" ca="1" si="35"/>
        <v>0</v>
      </c>
      <c r="AC103" s="565" t="str" cm="1">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IF(AND(_xlfn.SINGLE(TIPOORCAMENTO)="Licitado",$AL103=0,$AN103&gt;0),"SEM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t="str">
        <f ca="1">IF(C103&lt;=CRONO.NivelExibicao,MAX($AD$15:OFFSET(AD103,-1,0))+IF($C103&lt;&gt;1,1,MAX(1,COUNTIF(QCI!$A$13:$A$15,OFFSET($E103,-1,0)))),"")</f>
        <v/>
      </c>
      <c r="AE103" s="7" t="str">
        <f ca="1">IF(AND($C103="S",ORÇAMENTO.CodBarra&lt;&gt;""),IF(ORÇAMENTO.Fonte="",ORÇAMENTO.CodBarra,CONCATENATE(ORÇAMENTO.Fonte," ",ORÇAMENTO.CodBarra)))</f>
        <v>SICRO 3107997</v>
      </c>
      <c r="AF103" s="12">
        <f ca="1">IF(ISERROR(INDIRECT(ORÇAMENTO.BancoRef)),"(abra o arquivo 'Referência "&amp;Excel_BuiltIn_Database&amp;".xlsm)",IF(OR($C103&lt;&gt;"S",ORÇAMENTO.CodBarra=""),"(Sem Código)",IF(ISERROR(MATCH($AE103,INDIRECT(ORÇAMENTO.BancoRef),0)),"(Código não identificado nas referências)",MATCH($AE103,INDIRECT(ORÇAMENTO.BancoRef),0))))</f>
        <v>19900</v>
      </c>
      <c r="AG103" s="428">
        <f ca="1">ROUND(IF(DESONERACAO="sim",REFERENCIA.Desonerado,REFERENCIA.NaoDesonerado),2)</f>
        <v>71.66</v>
      </c>
      <c r="AH103" s="429">
        <f t="shared" ca="1" si="36"/>
        <v>0.23499999999999999</v>
      </c>
      <c r="AJ103" s="431">
        <f>74.55+12.95+221.7</f>
        <v>309.2</v>
      </c>
      <c r="AL103" s="439"/>
      <c r="AM103" s="336">
        <f t="shared" ca="1" si="0"/>
        <v>27364.2</v>
      </c>
      <c r="AN103" s="470">
        <f t="shared" ca="1" si="37"/>
        <v>88.5</v>
      </c>
    </row>
    <row r="104" spans="1:40" ht="25.5" x14ac:dyDescent="0.2">
      <c r="A104" t="str">
        <f t="shared" si="23"/>
        <v>S</v>
      </c>
      <c r="B104">
        <f t="shared" ca="1" si="24"/>
        <v>4</v>
      </c>
      <c r="C104" t="str">
        <f t="shared" ca="1" si="25"/>
        <v>S</v>
      </c>
      <c r="D104">
        <f t="shared" ca="1" si="26"/>
        <v>0</v>
      </c>
      <c r="E104">
        <f ca="1">IF($C104=1,OFFSET(E104,-1,0)+MAX(1,COUNTIF(QCI!$A$13:$A$15,OFFSET(ORÇAMENTO!E104,-1,0))),OFFSET(E104,-1,0))</f>
        <v>1</v>
      </c>
      <c r="F104">
        <f t="shared" ca="1" si="27"/>
        <v>5</v>
      </c>
      <c r="G104">
        <f t="shared" ca="1" si="28"/>
        <v>1</v>
      </c>
      <c r="H104">
        <f t="shared" ca="1" si="29"/>
        <v>5</v>
      </c>
      <c r="I104">
        <f t="shared" ca="1" si="30"/>
        <v>4</v>
      </c>
      <c r="J104">
        <f t="shared" ca="1" si="22"/>
        <v>0</v>
      </c>
      <c r="K104">
        <f ca="1">IF(OR($C104="S",$C104=0),0,MATCH(OFFSET($D104,0,$C104)+IF($C104&lt;&gt;1,1,COUNTIF(QCI!$A$13:$A$15,ORÇAMENTO!E104)),OFFSET($D104,1,$C104,ROW($C$508)-ROW($C104)),0))</f>
        <v>0</v>
      </c>
      <c r="L104" s="114" t="str">
        <f t="shared" ca="1" si="31"/>
        <v>F</v>
      </c>
      <c r="M104" s="115" t="s">
        <v>705</v>
      </c>
      <c r="N104" s="116" t="str">
        <f t="shared" ca="1" si="32"/>
        <v>Serviço</v>
      </c>
      <c r="O104" s="117" t="str">
        <f t="shared" ca="1" si="33"/>
        <v>1.5.1.5.4.</v>
      </c>
      <c r="P104" s="118" t="s">
        <v>956</v>
      </c>
      <c r="Q104" s="119" t="s">
        <v>1019</v>
      </c>
      <c r="R104" s="120" t="str">
        <f ca="1">IF($C104="S",REFERENCIA.Descricao,"(digite a descrição aqui)")</f>
        <v>ARMAÇÃO EM AÇO CA-50 - FORNECIMENTO, PREPARO E COLOCAÇÃO</v>
      </c>
      <c r="S104" s="121" t="str">
        <f ca="1">REFERENCIA.Unidade</f>
        <v>KG</v>
      </c>
      <c r="T104" s="122">
        <f ca="1">OFFSET(CÁLCULO!H$15,ROW($T104)-ROW(T$15),0)</f>
        <v>5362.17</v>
      </c>
      <c r="U104" s="123">
        <f t="shared" ca="1" si="21"/>
        <v>12.08</v>
      </c>
      <c r="V104" s="124" t="s">
        <v>663</v>
      </c>
      <c r="W104" s="122">
        <f ca="1">IF($C104="S",ROUND(IF(TIPOORCAMENTO="Proposto",ORÇAMENTO.CustoUnitario*(1+$AH104),ORÇAMENTO.PrecoUnitarioLicitado),15-13*$AF$10),0)</f>
        <v>14.92</v>
      </c>
      <c r="X104" s="125" cm="1">
        <f t="array" aca="1" ref="X104" ca="1">IF($C104="S",IF(OR(Import.TipoArredondamento&lt;&gt;"TransfereGOV",ACOMPANHAMENTO="BM"),VTOTAL1,SUM(OFFSET(CÁLCULO!$AI$15,ROW($X104)-ROW($X$15),1):OFFSET(CÁLCULO!$BB$15,ROW($X104)-ROW($X$15),-1))),IF($C104=0,0,ROUND(SomaAgrup,15-13*$AF$11)))</f>
        <v>80003.58</v>
      </c>
      <c r="Y104" s="126" t="s">
        <v>751</v>
      </c>
      <c r="Z104" t="str">
        <f t="shared" ca="1" si="34"/>
        <v>RA</v>
      </c>
      <c r="AA104" s="127">
        <f ca="1">IF($C104="S",IF($Z104="CP",$X104,IF($Z104="RA",(($X104)*QCI!$AA$3),0)),SomaAgrup)</f>
        <v>0</v>
      </c>
      <c r="AB104" s="128">
        <f t="shared" ca="1" si="35"/>
        <v>0</v>
      </c>
      <c r="AC104" s="565" t="str" cm="1">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IF(AND(_xlfn.SINGLE(TIPOORCAMENTO)="Licitado",$AL104=0,$AN104&gt;0),"SEM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t="str">
        <f ca="1">IF(C104&lt;=CRONO.NivelExibicao,MAX($AD$15:OFFSET(AD104,-1,0))+IF($C104&lt;&gt;1,1,MAX(1,COUNTIF(QCI!$A$13:$A$15,OFFSET($E104,-1,0)))),"")</f>
        <v/>
      </c>
      <c r="AE104" s="7" t="str">
        <f ca="1">IF(AND($C104="S",ORÇAMENTO.CodBarra&lt;&gt;""),IF(ORÇAMENTO.Fonte="",ORÇAMENTO.CodBarra,CONCATENATE(ORÇAMENTO.Fonte," ",ORÇAMENTO.CodBarra)))</f>
        <v>SICRO 407819</v>
      </c>
      <c r="AF104" s="12">
        <f ca="1">IF(ISERROR(INDIRECT(ORÇAMENTO.BancoRef)),"(abra o arquivo 'Referência "&amp;Excel_BuiltIn_Database&amp;".xlsm)",IF(OR($C104&lt;&gt;"S",ORÇAMENTO.CodBarra=""),"(Sem Código)",IF(ISERROR(MATCH($AE104,INDIRECT(ORÇAMENTO.BancoRef),0)),"(Código não identificado nas referências)",MATCH($AE104,INDIRECT(ORÇAMENTO.BancoRef),0))))</f>
        <v>15833</v>
      </c>
      <c r="AG104" s="428">
        <f ca="1">ROUND(IF(DESONERACAO="sim",REFERENCIA.Desonerado,REFERENCIA.NaoDesonerado),2)</f>
        <v>12.08</v>
      </c>
      <c r="AH104" s="429">
        <f t="shared" ca="1" si="36"/>
        <v>0.23499999999999999</v>
      </c>
      <c r="AJ104" s="431">
        <f>84.61+23.7+1151.31+87.09+271.18+109.49+557.74+2221.38+47.78+572.81+181.7+41.66+11.72</f>
        <v>5362.17</v>
      </c>
      <c r="AL104" s="439"/>
      <c r="AM104" s="336">
        <f t="shared" ca="1" si="0"/>
        <v>80003.58</v>
      </c>
      <c r="AN104" s="470">
        <f t="shared" ca="1" si="37"/>
        <v>14.92</v>
      </c>
    </row>
    <row r="105" spans="1:40" x14ac:dyDescent="0.2">
      <c r="A105">
        <f t="shared" si="23"/>
        <v>3</v>
      </c>
      <c r="B105">
        <f t="shared" ca="1" si="24"/>
        <v>3</v>
      </c>
      <c r="C105">
        <f t="shared" ca="1" si="25"/>
        <v>3</v>
      </c>
      <c r="D105">
        <f t="shared" ca="1" si="26"/>
        <v>29</v>
      </c>
      <c r="E105">
        <f ca="1">IF($C105=1,OFFSET(E105,-1,0)+MAX(1,COUNTIF(QCI!$A$13:$A$15,OFFSET(ORÇAMENTO!E105,-1,0))),OFFSET(E105,-1,0))</f>
        <v>1</v>
      </c>
      <c r="F105">
        <f t="shared" ca="1" si="27"/>
        <v>5</v>
      </c>
      <c r="G105">
        <f t="shared" ca="1" si="28"/>
        <v>2</v>
      </c>
      <c r="H105">
        <f t="shared" ca="1" si="29"/>
        <v>0</v>
      </c>
      <c r="I105">
        <f t="shared" ca="1" si="30"/>
        <v>0</v>
      </c>
      <c r="J105">
        <f t="shared" ca="1" si="22"/>
        <v>110</v>
      </c>
      <c r="K105">
        <f ca="1">IF(OR($C105="S",$C105=0),0,MATCH(OFFSET($D105,0,$C105)+IF($C105&lt;&gt;1,1,COUNTIF(QCI!$A$13:$A$15,ORÇAMENTO!E105)),OFFSET($D105,1,$C105,ROW($C$508)-ROW($C105)),0))</f>
        <v>29</v>
      </c>
      <c r="L105" s="114" t="str">
        <f t="shared" ca="1" si="31"/>
        <v>F</v>
      </c>
      <c r="M105" s="115" t="s">
        <v>703</v>
      </c>
      <c r="N105" s="116" t="str">
        <f t="shared" ca="1" si="32"/>
        <v>Nível 3</v>
      </c>
      <c r="O105" s="117" t="str">
        <f t="shared" ca="1" si="33"/>
        <v>1.5.2.</v>
      </c>
      <c r="P105" s="118" t="s">
        <v>750</v>
      </c>
      <c r="Q105" s="119"/>
      <c r="R105" s="120" t="s">
        <v>1223</v>
      </c>
      <c r="S105" s="121" t="s">
        <v>688</v>
      </c>
      <c r="T105" s="122">
        <f ca="1">OFFSET(CÁLCULO!H$15,ROW($T105)-ROW(T$15),0)</f>
        <v>0</v>
      </c>
      <c r="U105" s="123">
        <f t="shared" ca="1" si="21"/>
        <v>0</v>
      </c>
      <c r="V105" s="124" t="s">
        <v>663</v>
      </c>
      <c r="W105" s="122">
        <f ca="1">IF($C105="S",ROUND(IF(TIPOORCAMENTO="Proposto",ORÇAMENTO.CustoUnitario*(1+$AH105),ORÇAMENTO.PrecoUnitarioLicitado),15-13*$AF$10),0)</f>
        <v>0</v>
      </c>
      <c r="X105" s="125" cm="1">
        <f t="array" aca="1" ref="X105" ca="1">IF($C105="S",IF(OR(Import.TipoArredondamento&lt;&gt;"TransfereGOV",ACOMPANHAMENTO="BM"),VTOTAL1,SUM(OFFSET(CÁLCULO!$AI$15,ROW($X105)-ROW($X$15),1):OFFSET(CÁLCULO!$BB$15,ROW($X105)-ROW($X$15),-1))),IF($C105=0,0,ROUND(SomaAgrup,15-13*$AF$11)))</f>
        <v>808293.31</v>
      </c>
      <c r="Y105" s="126" t="s">
        <v>751</v>
      </c>
      <c r="Z105" t="str">
        <f t="shared" ca="1" si="34"/>
        <v/>
      </c>
      <c r="AA105" s="127">
        <f ca="1">IF($C105="S",IF($Z105="CP",$X105,IF($Z105="RA",(($X105)*QCI!$AA$3),0)),SomaAgrup)</f>
        <v>0</v>
      </c>
      <c r="AB105" s="128">
        <f t="shared" ca="1" si="35"/>
        <v>0</v>
      </c>
      <c r="AC105" s="565" t="str" cm="1">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IF(AND(_xlfn.SINGLE(TIPOORCAMENTO)="Licitado",$AL105=0,$AN105&gt;0),"SEM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t="str">
        <f ca="1">IF(C105&lt;=CRONO.NivelExibicao,MAX($AD$15:OFFSET(AD105,-1,0))+IF($C105&lt;&gt;1,1,MAX(1,COUNTIF(QCI!$A$13:$A$15,OFFSET($E105,-1,0)))),"")</f>
        <v/>
      </c>
      <c r="AE105" s="7" t="b">
        <f ca="1">IF(AND($C105="S",ORÇAMENTO.CodBarra&lt;&gt;""),IF(ORÇAMENTO.Fonte="",ORÇAMENTO.CodBarra,CONCATENATE(ORÇAMENTO.Fonte," ",ORÇAMENTO.CodBarra)))</f>
        <v>0</v>
      </c>
      <c r="AF105" s="12" t="str">
        <f ca="1">IF(ISERROR(INDIRECT(ORÇAMENTO.BancoRef)),"(abra o arquivo 'Referência "&amp;Excel_BuiltIn_Database&amp;".xlsm)",IF(OR($C105&lt;&gt;"S",ORÇAMENTO.CodBarra=""),"(Sem Código)",IF(ISERROR(MATCH($AE105,INDIRECT(ORÇAMENTO.BancoRef),0)),"(Código não identificado nas referências)",MATCH($AE105,INDIRECT(ORÇAMENTO.BancoRef),0))))</f>
        <v>(Sem Código)</v>
      </c>
      <c r="AG105" s="428">
        <f ca="1">ROUND(IF(DESONERACAO="sim",REFERENCIA.Desonerado,REFERENCIA.NaoDesonerado),2)</f>
        <v>0</v>
      </c>
      <c r="AH105" s="429">
        <f t="shared" ca="1" si="36"/>
        <v>0.23499999999999999</v>
      </c>
      <c r="AJ105" s="431"/>
      <c r="AL105" s="439"/>
      <c r="AM105" s="336">
        <f t="shared" ca="1" si="0"/>
        <v>808293.31</v>
      </c>
      <c r="AN105" s="470">
        <f t="shared" ca="1" si="37"/>
        <v>0</v>
      </c>
    </row>
    <row r="106" spans="1:40" x14ac:dyDescent="0.2">
      <c r="A106">
        <f t="shared" si="23"/>
        <v>4</v>
      </c>
      <c r="B106">
        <f t="shared" ca="1" si="24"/>
        <v>4</v>
      </c>
      <c r="C106">
        <f t="shared" ca="1" si="25"/>
        <v>4</v>
      </c>
      <c r="D106">
        <f t="shared" ca="1" si="26"/>
        <v>12</v>
      </c>
      <c r="E106">
        <f ca="1">IF($C106=1,OFFSET(E106,-1,0)+MAX(1,COUNTIF(QCI!$A$13:$A$15,OFFSET(ORÇAMENTO!E106,-1,0))),OFFSET(E106,-1,0))</f>
        <v>1</v>
      </c>
      <c r="F106">
        <f t="shared" ca="1" si="27"/>
        <v>5</v>
      </c>
      <c r="G106">
        <f t="shared" ca="1" si="28"/>
        <v>2</v>
      </c>
      <c r="H106">
        <f t="shared" ca="1" si="29"/>
        <v>1</v>
      </c>
      <c r="I106">
        <f t="shared" ca="1" si="30"/>
        <v>0</v>
      </c>
      <c r="J106">
        <f t="shared" ca="1" si="22"/>
        <v>28</v>
      </c>
      <c r="K106">
        <f ca="1">IF(OR($C106="S",$C106=0),0,MATCH(OFFSET($D106,0,$C106)+IF($C106&lt;&gt;1,1,COUNTIF(QCI!$A$13:$A$15,ORÇAMENTO!E106)),OFFSET($D106,1,$C106,ROW($C$508)-ROW($C106)),0))</f>
        <v>12</v>
      </c>
      <c r="L106" s="114" t="str">
        <f t="shared" ca="1" si="31"/>
        <v>F</v>
      </c>
      <c r="M106" s="115" t="s">
        <v>704</v>
      </c>
      <c r="N106" s="116" t="str">
        <f t="shared" ca="1" si="32"/>
        <v>Nível 4</v>
      </c>
      <c r="O106" s="117" t="str">
        <f t="shared" ca="1" si="33"/>
        <v>1.5.2.1.</v>
      </c>
      <c r="P106" s="118" t="s">
        <v>750</v>
      </c>
      <c r="Q106" s="119"/>
      <c r="R106" s="120" t="s">
        <v>1218</v>
      </c>
      <c r="S106" s="121" t="s">
        <v>688</v>
      </c>
      <c r="T106" s="122">
        <f ca="1">OFFSET(CÁLCULO!H$15,ROW($T106)-ROW(T$15),0)</f>
        <v>0</v>
      </c>
      <c r="U106" s="123">
        <f t="shared" ca="1" si="21"/>
        <v>0</v>
      </c>
      <c r="V106" s="124" t="s">
        <v>663</v>
      </c>
      <c r="W106" s="122">
        <f ca="1">IF($C106="S",ROUND(IF(TIPOORCAMENTO="Proposto",ORÇAMENTO.CustoUnitario*(1+$AH106),ORÇAMENTO.PrecoUnitarioLicitado),15-13*$AF$10),0)</f>
        <v>0</v>
      </c>
      <c r="X106" s="125" cm="1">
        <f t="array" aca="1" ref="X106" ca="1">IF($C106="S",IF(OR(Import.TipoArredondamento&lt;&gt;"TransfereGOV",ACOMPANHAMENTO="BM"),VTOTAL1,SUM(OFFSET(CÁLCULO!$AI$15,ROW($X106)-ROW($X$15),1):OFFSET(CÁLCULO!$BB$15,ROW($X106)-ROW($X$15),-1))),IF($C106=0,0,ROUND(SomaAgrup,15-13*$AF$11)))</f>
        <v>151449.60999999999</v>
      </c>
      <c r="Y106" s="126" t="s">
        <v>751</v>
      </c>
      <c r="Z106" t="str">
        <f t="shared" ca="1" si="34"/>
        <v/>
      </c>
      <c r="AA106" s="127">
        <f ca="1">IF($C106="S",IF($Z106="CP",$X106,IF($Z106="RA",(($X106)*QCI!$AA$3),0)),SomaAgrup)</f>
        <v>0</v>
      </c>
      <c r="AB106" s="128">
        <f t="shared" ca="1" si="35"/>
        <v>0</v>
      </c>
      <c r="AC106" s="565" t="str" cm="1">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IF(AND(_xlfn.SINGLE(TIPOORCAMENTO)="Licitado",$AL106=0,$AN106&gt;0),"SEM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t="str">
        <f ca="1">IF(C106&lt;=CRONO.NivelExibicao,MAX($AD$15:OFFSET(AD106,-1,0))+IF($C106&lt;&gt;1,1,MAX(1,COUNTIF(QCI!$A$13:$A$15,OFFSET($E106,-1,0)))),"")</f>
        <v/>
      </c>
      <c r="AE106" s="7" t="b">
        <f ca="1">IF(AND($C106="S",ORÇAMENTO.CodBarra&lt;&gt;""),IF(ORÇAMENTO.Fonte="",ORÇAMENTO.CodBarra,CONCATENATE(ORÇAMENTO.Fonte," ",ORÇAMENTO.CodBarra)))</f>
        <v>0</v>
      </c>
      <c r="AF106" s="12" t="str">
        <f ca="1">IF(ISERROR(INDIRECT(ORÇAMENTO.BancoRef)),"(abra o arquivo 'Referência "&amp;Excel_BuiltIn_Database&amp;".xlsm)",IF(OR($C106&lt;&gt;"S",ORÇAMENTO.CodBarra=""),"(Sem Código)",IF(ISERROR(MATCH($AE106,INDIRECT(ORÇAMENTO.BancoRef),0)),"(Código não identificado nas referências)",MATCH($AE106,INDIRECT(ORÇAMENTO.BancoRef),0))))</f>
        <v>(Sem Código)</v>
      </c>
      <c r="AG106" s="428">
        <f ca="1">ROUND(IF(DESONERACAO="sim",REFERENCIA.Desonerado,REFERENCIA.NaoDesonerado),2)</f>
        <v>0</v>
      </c>
      <c r="AH106" s="429">
        <f t="shared" ca="1" si="36"/>
        <v>0.23499999999999999</v>
      </c>
      <c r="AJ106" s="431"/>
      <c r="AL106" s="439"/>
      <c r="AM106" s="336">
        <f t="shared" ca="1" si="0"/>
        <v>151449.60999999999</v>
      </c>
      <c r="AN106" s="470">
        <f t="shared" ca="1" si="37"/>
        <v>0</v>
      </c>
    </row>
    <row r="107" spans="1:40" ht="25.5" x14ac:dyDescent="0.2">
      <c r="A107" t="str">
        <f t="shared" si="23"/>
        <v>S</v>
      </c>
      <c r="B107">
        <f t="shared" ca="1" si="24"/>
        <v>4</v>
      </c>
      <c r="C107" t="str">
        <f t="shared" ca="1" si="25"/>
        <v>S</v>
      </c>
      <c r="D107">
        <f t="shared" ca="1" si="26"/>
        <v>0</v>
      </c>
      <c r="E107">
        <f ca="1">IF($C107=1,OFFSET(E107,-1,0)+MAX(1,COUNTIF(QCI!$A$13:$A$15,OFFSET(ORÇAMENTO!E107,-1,0))),OFFSET(E107,-1,0))</f>
        <v>1</v>
      </c>
      <c r="F107">
        <f t="shared" ca="1" si="27"/>
        <v>5</v>
      </c>
      <c r="G107">
        <f t="shared" ca="1" si="28"/>
        <v>2</v>
      </c>
      <c r="H107">
        <f t="shared" ca="1" si="29"/>
        <v>1</v>
      </c>
      <c r="I107">
        <f t="shared" ca="1" si="30"/>
        <v>1</v>
      </c>
      <c r="J107">
        <f t="shared" ca="1" si="22"/>
        <v>0</v>
      </c>
      <c r="K107">
        <f ca="1">IF(OR($C107="S",$C107=0),0,MATCH(OFFSET($D107,0,$C107)+IF($C107&lt;&gt;1,1,COUNTIF(QCI!$A$13:$A$15,ORÇAMENTO!E107)),OFFSET($D107,1,$C107,ROW($C$508)-ROW($C107)),0))</f>
        <v>0</v>
      </c>
      <c r="L107" s="114" t="str">
        <f t="shared" ca="1" si="31"/>
        <v>F</v>
      </c>
      <c r="M107" s="115" t="s">
        <v>705</v>
      </c>
      <c r="N107" s="116" t="str">
        <f t="shared" ca="1" si="32"/>
        <v>Serviço</v>
      </c>
      <c r="O107" s="117" t="str">
        <f t="shared" ca="1" si="33"/>
        <v>1.5.2.1.1.</v>
      </c>
      <c r="P107" s="118" t="s">
        <v>1282</v>
      </c>
      <c r="Q107" s="119" t="s">
        <v>1015</v>
      </c>
      <c r="R107" s="120" t="str">
        <f ca="1">IF($C107="S",REFERENCIA.Descricao,"(digite a descrição aqui)")</f>
        <v>MOBILIZAÇÃO E DESMOBILIZAÇÃO DE EQUIPAMENTO - HÉLICE CONTÍNUA</v>
      </c>
      <c r="S107" s="121" t="str">
        <f ca="1">REFERENCIA.Unidade</f>
        <v>UN</v>
      </c>
      <c r="T107" s="122">
        <f ca="1">OFFSET(CÁLCULO!H$15,ROW($T107)-ROW(T$15),0)</f>
        <v>1</v>
      </c>
      <c r="U107" s="123">
        <f t="shared" ca="1" si="21"/>
        <v>25000</v>
      </c>
      <c r="V107" s="124" t="s">
        <v>663</v>
      </c>
      <c r="W107" s="122">
        <f ca="1">IF($C107="S",ROUND(IF(TIPOORCAMENTO="Proposto",ORÇAMENTO.CustoUnitario*(1+$AH107),ORÇAMENTO.PrecoUnitarioLicitado),15-13*$AF$10),0)</f>
        <v>30875</v>
      </c>
      <c r="X107" s="125" cm="1">
        <f t="array" aca="1" ref="X107" ca="1">IF($C107="S",IF(OR(Import.TipoArredondamento&lt;&gt;"TransfereGOV",ACOMPANHAMENTO="BM"),VTOTAL1,SUM(OFFSET(CÁLCULO!$AI$15,ROW($X107)-ROW($X$15),1):OFFSET(CÁLCULO!$BB$15,ROW($X107)-ROW($X$15),-1))),IF($C107=0,0,ROUND(SomaAgrup,15-13*$AF$11)))</f>
        <v>30875</v>
      </c>
      <c r="Y107" s="126" t="s">
        <v>751</v>
      </c>
      <c r="Z107" t="str">
        <f t="shared" ca="1" si="34"/>
        <v>RA</v>
      </c>
      <c r="AA107" s="127">
        <f ca="1">IF($C107="S",IF($Z107="CP",$X107,IF($Z107="RA",(($X107)*QCI!$AA$3),0)),SomaAgrup)</f>
        <v>0</v>
      </c>
      <c r="AB107" s="128">
        <f t="shared" ca="1" si="35"/>
        <v>0</v>
      </c>
      <c r="AC107" s="565" t="str" cm="1">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IF(AND(_xlfn.SINGLE(TIPOORCAMENTO)="Licitado",$AL107=0,$AN107&gt;0),"SEM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t="str">
        <f ca="1">IF(C107&lt;=CRONO.NivelExibicao,MAX($AD$15:OFFSET(AD107,-1,0))+IF($C107&lt;&gt;1,1,MAX(1,COUNTIF(QCI!$A$13:$A$15,OFFSET($E107,-1,0)))),"")</f>
        <v/>
      </c>
      <c r="AE107" s="7" t="str">
        <f ca="1">IF(AND($C107="S",ORÇAMENTO.CodBarra&lt;&gt;""),IF(ORÇAMENTO.Fonte="",ORÇAMENTO.CodBarra,CONCATENATE(ORÇAMENTO.Fonte," ",ORÇAMENTO.CodBarra)))</f>
        <v>SUDECAP 04.06.01</v>
      </c>
      <c r="AF107" s="12">
        <f ca="1">IF(ISERROR(INDIRECT(ORÇAMENTO.BancoRef)),"(abra o arquivo 'Referência "&amp;Excel_BuiltIn_Database&amp;".xlsm)",IF(OR($C107&lt;&gt;"S",ORÇAMENTO.CodBarra=""),"(Sem Código)",IF(ISERROR(MATCH($AE107,INDIRECT(ORÇAMENTO.BancoRef),0)),"(Código não identificado nas referências)",MATCH($AE107,INDIRECT(ORÇAMENTO.BancoRef),0))))</f>
        <v>24160</v>
      </c>
      <c r="AG107" s="428">
        <f ca="1">ROUND(IF(DESONERACAO="sim",REFERENCIA.Desonerado,REFERENCIA.NaoDesonerado),2)</f>
        <v>25000</v>
      </c>
      <c r="AH107" s="429">
        <f t="shared" ca="1" si="36"/>
        <v>0.23499999999999999</v>
      </c>
      <c r="AJ107" s="431">
        <v>1</v>
      </c>
      <c r="AL107" s="439"/>
      <c r="AM107" s="336">
        <f t="shared" ca="1" si="0"/>
        <v>30875</v>
      </c>
      <c r="AN107" s="470">
        <f t="shared" ca="1" si="37"/>
        <v>30875</v>
      </c>
    </row>
    <row r="108" spans="1:40" ht="51" x14ac:dyDescent="0.2">
      <c r="A108" t="str">
        <f t="shared" si="23"/>
        <v>S</v>
      </c>
      <c r="B108">
        <f t="shared" ca="1" si="24"/>
        <v>4</v>
      </c>
      <c r="C108" t="str">
        <f t="shared" ca="1" si="25"/>
        <v>S</v>
      </c>
      <c r="D108">
        <f t="shared" ca="1" si="26"/>
        <v>0</v>
      </c>
      <c r="E108">
        <f ca="1">IF($C108=1,OFFSET(E108,-1,0)+MAX(1,COUNTIF(QCI!$A$13:$A$15,OFFSET(ORÇAMENTO!E108,-1,0))),OFFSET(E108,-1,0))</f>
        <v>1</v>
      </c>
      <c r="F108">
        <f t="shared" ca="1" si="27"/>
        <v>5</v>
      </c>
      <c r="G108">
        <f t="shared" ca="1" si="28"/>
        <v>2</v>
      </c>
      <c r="H108">
        <f t="shared" ca="1" si="29"/>
        <v>1</v>
      </c>
      <c r="I108">
        <f t="shared" ca="1" si="30"/>
        <v>2</v>
      </c>
      <c r="J108">
        <f t="shared" ca="1" si="22"/>
        <v>0</v>
      </c>
      <c r="K108">
        <f ca="1">IF(OR($C108="S",$C108=0),0,MATCH(OFFSET($D108,0,$C108)+IF($C108&lt;&gt;1,1,COUNTIF(QCI!$A$13:$A$15,ORÇAMENTO!E108)),OFFSET($D108,1,$C108,ROW($C$508)-ROW($C108)),0))</f>
        <v>0</v>
      </c>
      <c r="L108" s="114" t="str">
        <f t="shared" ca="1" si="31"/>
        <v>F</v>
      </c>
      <c r="M108" s="115" t="s">
        <v>705</v>
      </c>
      <c r="N108" s="116" t="str">
        <f t="shared" ca="1" si="32"/>
        <v>Serviço</v>
      </c>
      <c r="O108" s="117" t="str">
        <f t="shared" ca="1" si="33"/>
        <v>1.5.2.1.2.</v>
      </c>
      <c r="P108" s="118" t="s">
        <v>1280</v>
      </c>
      <c r="Q108" s="119" t="s">
        <v>1028</v>
      </c>
      <c r="R108" s="120" t="str">
        <f ca="1">IF($C108="S",REFERENCIA.Descricao,"(digite a descrição aqui)")</f>
        <v>EXECUÇÃO DE ESTACA TIPO HÉLICE CONTÍNUA, DIÂMETRO 50CM, INCLUSIVE AFASTAMENTO LATERAL, EXCLUSIVE ARMAÇÃO, CONCRETO ESTRUTURAL, TRANSPORTE E RETIRADA DO MATERIAL ESCAVADO</v>
      </c>
      <c r="S108" s="121" t="str">
        <f ca="1">REFERENCIA.Unidade</f>
        <v>M</v>
      </c>
      <c r="T108" s="122">
        <f ca="1">OFFSET(CÁLCULO!H$15,ROW($T108)-ROW(T$15),0)</f>
        <v>256</v>
      </c>
      <c r="U108" s="123">
        <f t="shared" ca="1" si="21"/>
        <v>68.67</v>
      </c>
      <c r="V108" s="124" t="s">
        <v>663</v>
      </c>
      <c r="W108" s="122">
        <f ca="1">IF($C108="S",ROUND(IF(TIPOORCAMENTO="Proposto",ORÇAMENTO.CustoUnitario*(1+$AH108),ORÇAMENTO.PrecoUnitarioLicitado),15-13*$AF$10),0)</f>
        <v>84.81</v>
      </c>
      <c r="X108" s="125" cm="1">
        <f t="array" aca="1" ref="X108" ca="1">IF($C108="S",IF(OR(Import.TipoArredondamento&lt;&gt;"TransfereGOV",ACOMPANHAMENTO="BM"),VTOTAL1,SUM(OFFSET(CÁLCULO!$AI$15,ROW($X108)-ROW($X$15),1):OFFSET(CÁLCULO!$BB$15,ROW($X108)-ROW($X$15),-1))),IF($C108=0,0,ROUND(SomaAgrup,15-13*$AF$11)))</f>
        <v>21711.360000000001</v>
      </c>
      <c r="Y108" s="126" t="s">
        <v>751</v>
      </c>
      <c r="Z108" t="str">
        <f t="shared" ca="1" si="34"/>
        <v>RA</v>
      </c>
      <c r="AA108" s="127">
        <f ca="1">IF($C108="S",IF($Z108="CP",$X108,IF($Z108="RA",(($X108)*QCI!$AA$3),0)),SomaAgrup)</f>
        <v>0</v>
      </c>
      <c r="AB108" s="128">
        <f t="shared" ca="1" si="35"/>
        <v>0</v>
      </c>
      <c r="AC108" s="565" t="str" cm="1">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IF(AND(_xlfn.SINGLE(TIPOORCAMENTO)="Licitado",$AL108=0,$AN108&gt;0),"SEM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t="str">
        <f ca="1">IF(C108&lt;=CRONO.NivelExibicao,MAX($AD$15:OFFSET(AD108,-1,0))+IF($C108&lt;&gt;1,1,MAX(1,COUNTIF(QCI!$A$13:$A$15,OFFSET($E108,-1,0)))),"")</f>
        <v/>
      </c>
      <c r="AE108" s="7" t="str">
        <f ca="1">IF(AND($C108="S",ORÇAMENTO.CodBarra&lt;&gt;""),IF(ORÇAMENTO.Fonte="",ORÇAMENTO.CodBarra,CONCATENATE(ORÇAMENTO.Fonte," ",ORÇAMENTO.CodBarra)))</f>
        <v>SETOP ED-49716</v>
      </c>
      <c r="AF108" s="12">
        <f ca="1">IF(ISERROR(INDIRECT(ORÇAMENTO.BancoRef)),"(abra o arquivo 'Referência "&amp;Excel_BuiltIn_Database&amp;".xlsm)",IF(OR($C108&lt;&gt;"S",ORÇAMENTO.CodBarra=""),"(Sem Código)",IF(ISERROR(MATCH($AE108,INDIRECT(ORÇAMENTO.BancoRef),0)),"(Código não identificado nas referências)",MATCH($AE108,INDIRECT(ORÇAMENTO.BancoRef),0))))</f>
        <v>28008</v>
      </c>
      <c r="AG108" s="428">
        <f ca="1">ROUND(IF(DESONERACAO="sim",REFERENCIA.Desonerado,REFERENCIA.NaoDesonerado),2)</f>
        <v>68.67</v>
      </c>
      <c r="AH108" s="429">
        <f t="shared" ca="1" si="36"/>
        <v>0.23499999999999999</v>
      </c>
      <c r="AJ108" s="431">
        <f>(7*16)+(6*24)</f>
        <v>256</v>
      </c>
      <c r="AL108" s="439"/>
      <c r="AM108" s="336">
        <f t="shared" ca="1" si="0"/>
        <v>21711.360000000001</v>
      </c>
      <c r="AN108" s="470">
        <f t="shared" ca="1" si="37"/>
        <v>84.81</v>
      </c>
    </row>
    <row r="109" spans="1:40" ht="38.25" x14ac:dyDescent="0.2">
      <c r="A109" t="str">
        <f t="shared" si="23"/>
        <v>S</v>
      </c>
      <c r="B109">
        <f t="shared" ca="1" si="24"/>
        <v>4</v>
      </c>
      <c r="C109" t="str">
        <f t="shared" ca="1" si="25"/>
        <v>S</v>
      </c>
      <c r="D109">
        <f t="shared" ca="1" si="26"/>
        <v>0</v>
      </c>
      <c r="E109">
        <f ca="1">IF($C109=1,OFFSET(E109,-1,0)+MAX(1,COUNTIF(QCI!$A$13:$A$15,OFFSET(ORÇAMENTO!E109,-1,0))),OFFSET(E109,-1,0))</f>
        <v>1</v>
      </c>
      <c r="F109">
        <f t="shared" ca="1" si="27"/>
        <v>5</v>
      </c>
      <c r="G109">
        <f t="shared" ca="1" si="28"/>
        <v>2</v>
      </c>
      <c r="H109">
        <f t="shared" ca="1" si="29"/>
        <v>1</v>
      </c>
      <c r="I109">
        <f t="shared" ca="1" si="30"/>
        <v>3</v>
      </c>
      <c r="J109">
        <f t="shared" ca="1" si="22"/>
        <v>0</v>
      </c>
      <c r="K109">
        <f ca="1">IF(OR($C109="S",$C109=0),0,MATCH(OFFSET($D109,0,$C109)+IF($C109&lt;&gt;1,1,COUNTIF(QCI!$A$13:$A$15,ORÇAMENTO!E109)),OFFSET($D109,1,$C109,ROW($C$508)-ROW($C109)),0))</f>
        <v>0</v>
      </c>
      <c r="L109" s="114" t="str">
        <f t="shared" ca="1" si="31"/>
        <v>F</v>
      </c>
      <c r="M109" s="115" t="s">
        <v>705</v>
      </c>
      <c r="N109" s="116" t="str">
        <f t="shared" ca="1" si="32"/>
        <v>Serviço</v>
      </c>
      <c r="O109" s="117" t="str">
        <f t="shared" ca="1" si="33"/>
        <v>1.5.2.1.3.</v>
      </c>
      <c r="P109" s="118" t="s">
        <v>750</v>
      </c>
      <c r="Q109" s="119" t="s">
        <v>1017</v>
      </c>
      <c r="R109" s="120" t="str">
        <f ca="1">IF($C109="S",REFERENCIA.Descricao,"(digite a descrição aqui)")</f>
        <v>CONCRETO FCK = 40MPA, TRAÇO 1:1,6:1,9 (EM MASSA SECA DE CIMENTO/ AREIA MÉDIA/ BRITA 1) - PREPARO MECÂNICO COM BETONEIRA 600 L. AF_05/2021</v>
      </c>
      <c r="S109" s="121" t="str">
        <f ca="1">REFERENCIA.Unidade</f>
        <v>M3</v>
      </c>
      <c r="T109" s="122">
        <f ca="1">OFFSET(CÁLCULO!H$15,ROW($T109)-ROW(T$15),0)</f>
        <v>41.61</v>
      </c>
      <c r="U109" s="123">
        <f t="shared" ca="1" si="21"/>
        <v>628.30999999999995</v>
      </c>
      <c r="V109" s="124" t="s">
        <v>663</v>
      </c>
      <c r="W109" s="122">
        <f ca="1">IF($C109="S",ROUND(IF(TIPOORCAMENTO="Proposto",ORÇAMENTO.CustoUnitario*(1+$AH109),ORÇAMENTO.PrecoUnitarioLicitado),15-13*$AF$10),0)</f>
        <v>775.96</v>
      </c>
      <c r="X109" s="125" cm="1">
        <f t="array" aca="1" ref="X109" ca="1">IF($C109="S",IF(OR(Import.TipoArredondamento&lt;&gt;"TransfereGOV",ACOMPANHAMENTO="BM"),VTOTAL1,SUM(OFFSET(CÁLCULO!$AI$15,ROW($X109)-ROW($X$15),1):OFFSET(CÁLCULO!$BB$15,ROW($X109)-ROW($X$15),-1))),IF($C109=0,0,ROUND(SomaAgrup,15-13*$AF$11)))</f>
        <v>32287.7</v>
      </c>
      <c r="Y109" s="126" t="s">
        <v>751</v>
      </c>
      <c r="Z109" t="str">
        <f t="shared" ca="1" si="34"/>
        <v>RA</v>
      </c>
      <c r="AA109" s="127">
        <f ca="1">IF($C109="S",IF($Z109="CP",$X109,IF($Z109="RA",(($X109)*QCI!$AA$3),0)),SomaAgrup)</f>
        <v>0</v>
      </c>
      <c r="AB109" s="128">
        <f t="shared" ca="1" si="35"/>
        <v>0</v>
      </c>
      <c r="AC109" s="565" t="str" cm="1">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IF(AND(_xlfn.SINGLE(TIPOORCAMENTO)="Licitado",$AL109=0,$AN109&gt;0),"SEM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t="str">
        <f ca="1">IF(C109&lt;=CRONO.NivelExibicao,MAX($AD$15:OFFSET(AD109,-1,0))+IF($C109&lt;&gt;1,1,MAX(1,COUNTIF(QCI!$A$13:$A$15,OFFSET($E109,-1,0)))),"")</f>
        <v/>
      </c>
      <c r="AE109" s="7" t="str">
        <f ca="1">IF(AND($C109="S",ORÇAMENTO.CodBarra&lt;&gt;""),IF(ORÇAMENTO.Fonte="",ORÇAMENTO.CodBarra,CONCATENATE(ORÇAMENTO.Fonte," ",ORÇAMENTO.CodBarra)))</f>
        <v>SINAPI 94973</v>
      </c>
      <c r="AF109" s="12">
        <f ca="1">IF(ISERROR(INDIRECT(ORÇAMENTO.BancoRef)),"(abra o arquivo 'Referência "&amp;Excel_BuiltIn_Database&amp;".xlsm)",IF(OR($C109&lt;&gt;"S",ORÇAMENTO.CodBarra=""),"(Sem Código)",IF(ISERROR(MATCH($AE109,INDIRECT(ORÇAMENTO.BancoRef),0)),"(Código não identificado nas referências)",MATCH($AE109,INDIRECT(ORÇAMENTO.BancoRef),0))))</f>
        <v>14326</v>
      </c>
      <c r="AG109" s="428">
        <f ca="1">ROUND(IF(DESONERACAO="sim",REFERENCIA.Desonerado,REFERENCIA.NaoDesonerado),2)</f>
        <v>628.30999999999995</v>
      </c>
      <c r="AH109" s="429">
        <f t="shared" ca="1" si="36"/>
        <v>0.23499999999999999</v>
      </c>
      <c r="AJ109" s="431">
        <f>22.31+19.3</f>
        <v>41.61</v>
      </c>
      <c r="AL109" s="439"/>
      <c r="AM109" s="336">
        <f t="shared" ca="1" si="0"/>
        <v>32287.7</v>
      </c>
      <c r="AN109" s="470">
        <f t="shared" ca="1" si="37"/>
        <v>775.96</v>
      </c>
    </row>
    <row r="110" spans="1:40" ht="25.5" x14ac:dyDescent="0.2">
      <c r="A110" t="str">
        <f t="shared" si="23"/>
        <v>S</v>
      </c>
      <c r="B110">
        <f t="shared" ca="1" si="24"/>
        <v>4</v>
      </c>
      <c r="C110" t="str">
        <f t="shared" ca="1" si="25"/>
        <v>S</v>
      </c>
      <c r="D110">
        <f t="shared" ca="1" si="26"/>
        <v>0</v>
      </c>
      <c r="E110">
        <f ca="1">IF($C110=1,OFFSET(E110,-1,0)+MAX(1,COUNTIF(QCI!$A$13:$A$15,OFFSET(ORÇAMENTO!E110,-1,0))),OFFSET(E110,-1,0))</f>
        <v>1</v>
      </c>
      <c r="F110">
        <f t="shared" ca="1" si="27"/>
        <v>5</v>
      </c>
      <c r="G110">
        <f t="shared" ca="1" si="28"/>
        <v>2</v>
      </c>
      <c r="H110">
        <f t="shared" ca="1" si="29"/>
        <v>1</v>
      </c>
      <c r="I110">
        <f t="shared" ca="1" si="30"/>
        <v>4</v>
      </c>
      <c r="J110">
        <f t="shared" ca="1" si="22"/>
        <v>0</v>
      </c>
      <c r="K110">
        <f ca="1">IF(OR($C110="S",$C110=0),0,MATCH(OFFSET($D110,0,$C110)+IF($C110&lt;&gt;1,1,COUNTIF(QCI!$A$13:$A$15,ORÇAMENTO!E110)),OFFSET($D110,1,$C110,ROW($C$508)-ROW($C110)),0))</f>
        <v>0</v>
      </c>
      <c r="L110" s="114" t="str">
        <f t="shared" ca="1" si="31"/>
        <v>F</v>
      </c>
      <c r="M110" s="115" t="s">
        <v>705</v>
      </c>
      <c r="N110" s="116" t="str">
        <f t="shared" ca="1" si="32"/>
        <v>Serviço</v>
      </c>
      <c r="O110" s="117" t="str">
        <f t="shared" ca="1" si="33"/>
        <v>1.5.2.1.4.</v>
      </c>
      <c r="P110" s="118" t="s">
        <v>750</v>
      </c>
      <c r="Q110" s="119" t="s">
        <v>1018</v>
      </c>
      <c r="R110" s="120" t="str">
        <f ca="1">IF($C110="S",REFERENCIA.Descricao,"(digite a descrição aqui)")</f>
        <v>LANÇAMENTO COM USO DE BOMBA, ADENSAMENTO E ACABAMENTO DE CONCRETO EM ESTRUTURAS. AF_02/2022</v>
      </c>
      <c r="S110" s="121" t="str">
        <f ca="1">REFERENCIA.Unidade</f>
        <v>M3</v>
      </c>
      <c r="T110" s="122">
        <f ca="1">OFFSET(CÁLCULO!H$15,ROW($T110)-ROW(T$15),0)</f>
        <v>41.61</v>
      </c>
      <c r="U110" s="123">
        <f t="shared" ca="1" si="21"/>
        <v>44.5</v>
      </c>
      <c r="V110" s="124" t="s">
        <v>663</v>
      </c>
      <c r="W110" s="122">
        <f ca="1">IF($C110="S",ROUND(IF(TIPOORCAMENTO="Proposto",ORÇAMENTO.CustoUnitario*(1+$AH110),ORÇAMENTO.PrecoUnitarioLicitado),15-13*$AF$10),0)</f>
        <v>54.96</v>
      </c>
      <c r="X110" s="125" cm="1">
        <f t="array" aca="1" ref="X110" ca="1">IF($C110="S",IF(OR(Import.TipoArredondamento&lt;&gt;"TransfereGOV",ACOMPANHAMENTO="BM"),VTOTAL1,SUM(OFFSET(CÁLCULO!$AI$15,ROW($X110)-ROW($X$15),1):OFFSET(CÁLCULO!$BB$15,ROW($X110)-ROW($X$15),-1))),IF($C110=0,0,ROUND(SomaAgrup,15-13*$AF$11)))</f>
        <v>2286.89</v>
      </c>
      <c r="Y110" s="126" t="s">
        <v>751</v>
      </c>
      <c r="Z110" t="str">
        <f t="shared" ca="1" si="34"/>
        <v>RA</v>
      </c>
      <c r="AA110" s="127">
        <f ca="1">IF($C110="S",IF($Z110="CP",$X110,IF($Z110="RA",(($X110)*QCI!$AA$3),0)),SomaAgrup)</f>
        <v>0</v>
      </c>
      <c r="AB110" s="128">
        <f t="shared" ca="1" si="35"/>
        <v>0</v>
      </c>
      <c r="AC110" s="565" t="str" cm="1">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IF(AND(_xlfn.SINGLE(TIPOORCAMENTO)="Licitado",$AL110=0,$AN110&gt;0),"SEM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t="str">
        <f ca="1">IF(C110&lt;=CRONO.NivelExibicao,MAX($AD$15:OFFSET(AD110,-1,0))+IF($C110&lt;&gt;1,1,MAX(1,COUNTIF(QCI!$A$13:$A$15,OFFSET($E110,-1,0)))),"")</f>
        <v/>
      </c>
      <c r="AE110" s="7" t="str">
        <f ca="1">IF(AND($C110="S",ORÇAMENTO.CodBarra&lt;&gt;""),IF(ORÇAMENTO.Fonte="",ORÇAMENTO.CodBarra,CONCATENATE(ORÇAMENTO.Fonte," ",ORÇAMENTO.CodBarra)))</f>
        <v>SINAPI 103673</v>
      </c>
      <c r="AF110" s="12">
        <f ca="1">IF(ISERROR(INDIRECT(ORÇAMENTO.BancoRef)),"(abra o arquivo 'Referência "&amp;Excel_BuiltIn_Database&amp;".xlsm)",IF(OR($C110&lt;&gt;"S",ORÇAMENTO.CodBarra=""),"(Sem Código)",IF(ISERROR(MATCH($AE110,INDIRECT(ORÇAMENTO.BancoRef),0)),"(Código não identificado nas referências)",MATCH($AE110,INDIRECT(ORÇAMENTO.BancoRef),0))))</f>
        <v>7334</v>
      </c>
      <c r="AG110" s="428">
        <f ca="1">ROUND(IF(DESONERACAO="sim",REFERENCIA.Desonerado,REFERENCIA.NaoDesonerado),2)</f>
        <v>44.5</v>
      </c>
      <c r="AH110" s="429">
        <f t="shared" ca="1" si="36"/>
        <v>0.23499999999999999</v>
      </c>
      <c r="AJ110" s="431">
        <f>AJ109</f>
        <v>41.61</v>
      </c>
      <c r="AL110" s="439"/>
      <c r="AM110" s="336">
        <f t="shared" ca="1" si="0"/>
        <v>2286.89</v>
      </c>
      <c r="AN110" s="470">
        <f t="shared" ca="1" si="37"/>
        <v>54.96</v>
      </c>
    </row>
    <row r="111" spans="1:40" ht="25.5" x14ac:dyDescent="0.2">
      <c r="A111" t="str">
        <f t="shared" si="23"/>
        <v>S</v>
      </c>
      <c r="B111">
        <f t="shared" ca="1" si="24"/>
        <v>4</v>
      </c>
      <c r="C111" t="str">
        <f t="shared" ca="1" si="25"/>
        <v>S</v>
      </c>
      <c r="D111">
        <f t="shared" ca="1" si="26"/>
        <v>0</v>
      </c>
      <c r="E111">
        <f ca="1">IF($C111=1,OFFSET(E111,-1,0)+MAX(1,COUNTIF(QCI!$A$13:$A$15,OFFSET(ORÇAMENTO!E111,-1,0))),OFFSET(E111,-1,0))</f>
        <v>1</v>
      </c>
      <c r="F111">
        <f t="shared" ca="1" si="27"/>
        <v>5</v>
      </c>
      <c r="G111">
        <f t="shared" ca="1" si="28"/>
        <v>2</v>
      </c>
      <c r="H111">
        <f t="shared" ca="1" si="29"/>
        <v>1</v>
      </c>
      <c r="I111">
        <f t="shared" ca="1" si="30"/>
        <v>5</v>
      </c>
      <c r="J111">
        <f t="shared" ca="1" si="22"/>
        <v>0</v>
      </c>
      <c r="K111">
        <f ca="1">IF(OR($C111="S",$C111=0),0,MATCH(OFFSET($D111,0,$C111)+IF($C111&lt;&gt;1,1,COUNTIF(QCI!$A$13:$A$15,ORÇAMENTO!E111)),OFFSET($D111,1,$C111,ROW($C$508)-ROW($C111)),0))</f>
        <v>0</v>
      </c>
      <c r="L111" s="114" t="str">
        <f t="shared" ca="1" si="31"/>
        <v>F</v>
      </c>
      <c r="M111" s="115" t="s">
        <v>705</v>
      </c>
      <c r="N111" s="116" t="str">
        <f t="shared" ca="1" si="32"/>
        <v>Serviço</v>
      </c>
      <c r="O111" s="117" t="str">
        <f t="shared" ca="1" si="33"/>
        <v>1.5.2.1.5.</v>
      </c>
      <c r="P111" s="118" t="s">
        <v>956</v>
      </c>
      <c r="Q111" s="119" t="s">
        <v>1019</v>
      </c>
      <c r="R111" s="120" t="str">
        <f ca="1">IF($C111="S",REFERENCIA.Descricao,"(digite a descrição aqui)")</f>
        <v>ARMAÇÃO EM AÇO CA-50 - FORNECIMENTO, PREPARO E COLOCAÇÃO</v>
      </c>
      <c r="S111" s="121" t="str">
        <f ca="1">REFERENCIA.Unidade</f>
        <v>KG</v>
      </c>
      <c r="T111" s="122">
        <f ca="1">OFFSET(CÁLCULO!H$15,ROW($T111)-ROW(T$15),0)</f>
        <v>3433.24</v>
      </c>
      <c r="U111" s="123">
        <f t="shared" ca="1" si="21"/>
        <v>12.08</v>
      </c>
      <c r="V111" s="124" t="s">
        <v>663</v>
      </c>
      <c r="W111" s="122">
        <f ca="1">IF($C111="S",ROUND(IF(TIPOORCAMENTO="Proposto",ORÇAMENTO.CustoUnitario*(1+$AH111),ORÇAMENTO.PrecoUnitarioLicitado),15-13*$AF$10),0)</f>
        <v>14.92</v>
      </c>
      <c r="X111" s="125" cm="1">
        <f t="array" aca="1" ref="X111" ca="1">IF($C111="S",IF(OR(Import.TipoArredondamento&lt;&gt;"TransfereGOV",ACOMPANHAMENTO="BM"),VTOTAL1,SUM(OFFSET(CÁLCULO!$AI$15,ROW($X111)-ROW($X$15),1):OFFSET(CÁLCULO!$BB$15,ROW($X111)-ROW($X$15),-1))),IF($C111=0,0,ROUND(SomaAgrup,15-13*$AF$11)))</f>
        <v>51223.94</v>
      </c>
      <c r="Y111" s="126" t="s">
        <v>751</v>
      </c>
      <c r="Z111" t="str">
        <f t="shared" ca="1" si="34"/>
        <v>RA</v>
      </c>
      <c r="AA111" s="127">
        <f ca="1">IF($C111="S",IF($Z111="CP",$X111,IF($Z111="RA",(($X111)*QCI!$AA$3),0)),SomaAgrup)</f>
        <v>0</v>
      </c>
      <c r="AB111" s="128">
        <f t="shared" ca="1" si="35"/>
        <v>0</v>
      </c>
      <c r="AC111" s="565" t="str" cm="1">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IF(AND(_xlfn.SINGLE(TIPOORCAMENTO)="Licitado",$AL111=0,$AN111&gt;0),"SEM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t="str">
        <f ca="1">IF(C111&lt;=CRONO.NivelExibicao,MAX($AD$15:OFFSET(AD111,-1,0))+IF($C111&lt;&gt;1,1,MAX(1,COUNTIF(QCI!$A$13:$A$15,OFFSET($E111,-1,0)))),"")</f>
        <v/>
      </c>
      <c r="AE111" s="7" t="str">
        <f ca="1">IF(AND($C111="S",ORÇAMENTO.CodBarra&lt;&gt;""),IF(ORÇAMENTO.Fonte="",ORÇAMENTO.CodBarra,CONCATENATE(ORÇAMENTO.Fonte," ",ORÇAMENTO.CodBarra)))</f>
        <v>SICRO 407819</v>
      </c>
      <c r="AF111" s="12">
        <f ca="1">IF(ISERROR(INDIRECT(ORÇAMENTO.BancoRef)),"(abra o arquivo 'Referência "&amp;Excel_BuiltIn_Database&amp;".xlsm)",IF(OR($C111&lt;&gt;"S",ORÇAMENTO.CodBarra=""),"(Sem Código)",IF(ISERROR(MATCH($AE111,INDIRECT(ORÇAMENTO.BancoRef),0)),"(Código não identificado nas referências)",MATCH($AE111,INDIRECT(ORÇAMENTO.BancoRef),0))))</f>
        <v>15833</v>
      </c>
      <c r="AG111" s="428">
        <f ca="1">ROUND(IF(DESONERACAO="sim",REFERENCIA.Desonerado,REFERENCIA.NaoDesonerado),2)</f>
        <v>12.08</v>
      </c>
      <c r="AH111" s="429">
        <f t="shared" ca="1" si="36"/>
        <v>0.23499999999999999</v>
      </c>
      <c r="AJ111" s="431">
        <f>125.44+338.75+2310.19+658.86</f>
        <v>3433.2400000000002</v>
      </c>
      <c r="AL111" s="439"/>
      <c r="AM111" s="336">
        <f t="shared" ca="1" si="0"/>
        <v>51223.94</v>
      </c>
      <c r="AN111" s="470">
        <f t="shared" ca="1" si="37"/>
        <v>14.92</v>
      </c>
    </row>
    <row r="112" spans="1:40" ht="51" x14ac:dyDescent="0.2">
      <c r="A112" t="str">
        <f t="shared" si="23"/>
        <v>S</v>
      </c>
      <c r="B112">
        <f t="shared" ca="1" si="24"/>
        <v>4</v>
      </c>
      <c r="C112" t="str">
        <f t="shared" ca="1" si="25"/>
        <v>S</v>
      </c>
      <c r="D112">
        <f t="shared" ca="1" si="26"/>
        <v>0</v>
      </c>
      <c r="E112">
        <f ca="1">IF($C112=1,OFFSET(E112,-1,0)+MAX(1,COUNTIF(QCI!$A$13:$A$15,OFFSET(ORÇAMENTO!E112,-1,0))),OFFSET(E112,-1,0))</f>
        <v>1</v>
      </c>
      <c r="F112">
        <f t="shared" ca="1" si="27"/>
        <v>5</v>
      </c>
      <c r="G112">
        <f t="shared" ca="1" si="28"/>
        <v>2</v>
      </c>
      <c r="H112">
        <f t="shared" ca="1" si="29"/>
        <v>1</v>
      </c>
      <c r="I112">
        <f t="shared" ca="1" si="30"/>
        <v>6</v>
      </c>
      <c r="J112">
        <f t="shared" ca="1" si="22"/>
        <v>0</v>
      </c>
      <c r="K112">
        <f ca="1">IF(OR($C112="S",$C112=0),0,MATCH(OFFSET($D112,0,$C112)+IF($C112&lt;&gt;1,1,COUNTIF(QCI!$A$13:$A$15,ORÇAMENTO!E112)),OFFSET($D112,1,$C112,ROW($C$508)-ROW($C112)),0))</f>
        <v>0</v>
      </c>
      <c r="L112" s="114" t="str">
        <f t="shared" ca="1" si="31"/>
        <v>F</v>
      </c>
      <c r="M112" s="115" t="s">
        <v>705</v>
      </c>
      <c r="N112" s="116" t="str">
        <f t="shared" ca="1" si="32"/>
        <v>Serviço</v>
      </c>
      <c r="O112" s="117" t="str">
        <f t="shared" ca="1" si="33"/>
        <v>1.5.2.1.6.</v>
      </c>
      <c r="P112" s="118" t="s">
        <v>750</v>
      </c>
      <c r="Q112" s="119" t="s">
        <v>1020</v>
      </c>
      <c r="R112" s="120" t="str">
        <f ca="1">IF($C112="S",REFERENCIA.Descricao,"(digite a descrição aqui)")</f>
        <v>CARGA, MANOBRA E DESCARGA DE SOLOS E MATERIAIS GRANULARES EM CAMINHÃO BASCULANTE 18 M³ - CARGA COM ESCAVADEIRA HIDRÁULICA (CAÇAMBA DE 1,20 M³ / 155 HP) E DESCARGA LIVRE (UNIDADE: M3). AF_07/2020</v>
      </c>
      <c r="S112" s="121" t="str">
        <f ca="1">REFERENCIA.Unidade</f>
        <v>M3</v>
      </c>
      <c r="T112" s="122">
        <f ca="1">OFFSET(CÁLCULO!H$15,ROW($T112)-ROW(T$15),0)</f>
        <v>65.349999999999994</v>
      </c>
      <c r="U112" s="123">
        <f t="shared" ca="1" si="21"/>
        <v>6.52</v>
      </c>
      <c r="V112" s="124" t="s">
        <v>663</v>
      </c>
      <c r="W112" s="122">
        <f ca="1">IF($C112="S",ROUND(IF(TIPOORCAMENTO="Proposto",ORÇAMENTO.CustoUnitario*(1+$AH112),ORÇAMENTO.PrecoUnitarioLicitado),15-13*$AF$10),0)</f>
        <v>8.0500000000000007</v>
      </c>
      <c r="X112" s="125" cm="1">
        <f t="array" aca="1" ref="X112" ca="1">IF($C112="S",IF(OR(Import.TipoArredondamento&lt;&gt;"TransfereGOV",ACOMPANHAMENTO="BM"),VTOTAL1,SUM(OFFSET(CÁLCULO!$AI$15,ROW($X112)-ROW($X$15),1):OFFSET(CÁLCULO!$BB$15,ROW($X112)-ROW($X$15),-1))),IF($C112=0,0,ROUND(SomaAgrup,15-13*$AF$11)))</f>
        <v>526.07000000000005</v>
      </c>
      <c r="Y112" s="126" t="s">
        <v>751</v>
      </c>
      <c r="Z112" t="str">
        <f t="shared" ca="1" si="34"/>
        <v>RA</v>
      </c>
      <c r="AA112" s="127">
        <f ca="1">IF($C112="S",IF($Z112="CP",$X112,IF($Z112="RA",(($X112)*QCI!$AA$3),0)),SomaAgrup)</f>
        <v>0</v>
      </c>
      <c r="AB112" s="128">
        <f t="shared" ca="1" si="35"/>
        <v>0</v>
      </c>
      <c r="AC112" s="565" t="str" cm="1">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IF(AND(_xlfn.SINGLE(TIPOORCAMENTO)="Licitado",$AL112=0,$AN112&gt;0),"SEM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t="str">
        <f ca="1">IF(C112&lt;=CRONO.NivelExibicao,MAX($AD$15:OFFSET(AD112,-1,0))+IF($C112&lt;&gt;1,1,MAX(1,COUNTIF(QCI!$A$13:$A$15,OFFSET($E112,-1,0)))),"")</f>
        <v/>
      </c>
      <c r="AE112" s="7" t="str">
        <f ca="1">IF(AND($C112="S",ORÇAMENTO.CodBarra&lt;&gt;""),IF(ORÇAMENTO.Fonte="",ORÇAMENTO.CodBarra,CONCATENATE(ORÇAMENTO.Fonte," ",ORÇAMENTO.CodBarra)))</f>
        <v>SINAPI 100980</v>
      </c>
      <c r="AF112" s="12">
        <f ca="1">IF(ISERROR(INDIRECT(ORÇAMENTO.BancoRef)),"(abra o arquivo 'Referência "&amp;Excel_BuiltIn_Database&amp;".xlsm)",IF(OR($C112&lt;&gt;"S",ORÇAMENTO.CodBarra=""),"(Sem Código)",IF(ISERROR(MATCH($AE112,INDIRECT(ORÇAMENTO.BancoRef),0)),"(Código não identificado nas referências)",MATCH($AE112,INDIRECT(ORÇAMENTO.BancoRef),0))))</f>
        <v>15290</v>
      </c>
      <c r="AG112" s="428">
        <f ca="1">ROUND(IF(DESONERACAO="sim",REFERENCIA.Desonerado,REFERENCIA.NaoDesonerado),2)</f>
        <v>6.52</v>
      </c>
      <c r="AH112" s="429">
        <f t="shared" ca="1" si="36"/>
        <v>0.23499999999999999</v>
      </c>
      <c r="AJ112" s="431">
        <f>ROUND((PI()*0.5^2/4*7*16+PI()*0.5^2/4*6*24)*1.3,2)</f>
        <v>65.349999999999994</v>
      </c>
      <c r="AL112" s="439"/>
      <c r="AM112" s="336">
        <f t="shared" ca="1" si="0"/>
        <v>526.07000000000005</v>
      </c>
      <c r="AN112" s="470">
        <f t="shared" ca="1" si="37"/>
        <v>8.0500000000000007</v>
      </c>
    </row>
    <row r="113" spans="1:40" ht="38.25" x14ac:dyDescent="0.2">
      <c r="A113" t="str">
        <f t="shared" si="23"/>
        <v>S</v>
      </c>
      <c r="B113">
        <f t="shared" ca="1" si="24"/>
        <v>4</v>
      </c>
      <c r="C113" t="str">
        <f t="shared" ca="1" si="25"/>
        <v>S</v>
      </c>
      <c r="D113">
        <f t="shared" ca="1" si="26"/>
        <v>0</v>
      </c>
      <c r="E113">
        <f ca="1">IF($C113=1,OFFSET(E113,-1,0)+MAX(1,COUNTIF(QCI!$A$13:$A$15,OFFSET(ORÇAMENTO!E113,-1,0))),OFFSET(E113,-1,0))</f>
        <v>1</v>
      </c>
      <c r="F113">
        <f t="shared" ca="1" si="27"/>
        <v>5</v>
      </c>
      <c r="G113">
        <f t="shared" ca="1" si="28"/>
        <v>2</v>
      </c>
      <c r="H113">
        <f t="shared" ca="1" si="29"/>
        <v>1</v>
      </c>
      <c r="I113">
        <f t="shared" ca="1" si="30"/>
        <v>7</v>
      </c>
      <c r="J113">
        <f t="shared" ca="1" si="22"/>
        <v>0</v>
      </c>
      <c r="K113">
        <f ca="1">IF(OR($C113="S",$C113=0),0,MATCH(OFFSET($D113,0,$C113)+IF($C113&lt;&gt;1,1,COUNTIF(QCI!$A$13:$A$15,ORÇAMENTO!E113)),OFFSET($D113,1,$C113,ROW($C$508)-ROW($C113)),0))</f>
        <v>0</v>
      </c>
      <c r="L113" s="114" t="str">
        <f t="shared" ca="1" si="31"/>
        <v>F</v>
      </c>
      <c r="M113" s="115" t="s">
        <v>705</v>
      </c>
      <c r="N113" s="116" t="str">
        <f t="shared" ca="1" si="32"/>
        <v>Serviço</v>
      </c>
      <c r="O113" s="117" t="str">
        <f t="shared" ca="1" si="33"/>
        <v>1.5.2.1.7.</v>
      </c>
      <c r="P113" s="118" t="s">
        <v>750</v>
      </c>
      <c r="Q113" s="119" t="s">
        <v>1021</v>
      </c>
      <c r="R113" s="120" t="str">
        <f ca="1">IF($C113="S",REFERENCIA.Descricao,"(digite a descrição aqui)")</f>
        <v>TRANSPORTE COM CAMINHÃO BASCULANTE DE 18 M³, EM VIA URBANA PAVIMENTADA, DMT ATÉ 30 KM (UNIDADE: M3XKM). AF_07/2020</v>
      </c>
      <c r="S113" s="121" t="str">
        <f ca="1">REFERENCIA.Unidade</f>
        <v>M3XKM</v>
      </c>
      <c r="T113" s="122">
        <f ca="1">OFFSET(CÁLCULO!H$15,ROW($T113)-ROW(T$15),0)</f>
        <v>503.2</v>
      </c>
      <c r="U113" s="123">
        <f t="shared" ca="1" si="21"/>
        <v>1.9</v>
      </c>
      <c r="V113" s="124" t="s">
        <v>663</v>
      </c>
      <c r="W113" s="122">
        <f ca="1">IF($C113="S",ROUND(IF(TIPOORCAMENTO="Proposto",ORÇAMENTO.CustoUnitario*(1+$AH113),ORÇAMENTO.PrecoUnitarioLicitado),15-13*$AF$10),0)</f>
        <v>2.35</v>
      </c>
      <c r="X113" s="125" cm="1">
        <f t="array" aca="1" ref="X113" ca="1">IF($C113="S",IF(OR(Import.TipoArredondamento&lt;&gt;"TransfereGOV",ACOMPANHAMENTO="BM"),VTOTAL1,SUM(OFFSET(CÁLCULO!$AI$15,ROW($X113)-ROW($X$15),1):OFFSET(CÁLCULO!$BB$15,ROW($X113)-ROW($X$15),-1))),IF($C113=0,0,ROUND(SomaAgrup,15-13*$AF$11)))</f>
        <v>1182.52</v>
      </c>
      <c r="Y113" s="126" t="s">
        <v>751</v>
      </c>
      <c r="Z113" t="str">
        <f t="shared" ca="1" si="34"/>
        <v>RA</v>
      </c>
      <c r="AA113" s="127">
        <f ca="1">IF($C113="S",IF($Z113="CP",$X113,IF($Z113="RA",(($X113)*QCI!$AA$3),0)),SomaAgrup)</f>
        <v>0</v>
      </c>
      <c r="AB113" s="128">
        <f t="shared" ca="1" si="35"/>
        <v>0</v>
      </c>
      <c r="AC113" s="565" t="str" cm="1">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IF(AND(_xlfn.SINGLE(TIPOORCAMENTO)="Licitado",$AL113=0,$AN113&gt;0),"SEM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t="str">
        <f ca="1">IF(C113&lt;=CRONO.NivelExibicao,MAX($AD$15:OFFSET(AD113,-1,0))+IF($C113&lt;&gt;1,1,MAX(1,COUNTIF(QCI!$A$13:$A$15,OFFSET($E113,-1,0)))),"")</f>
        <v/>
      </c>
      <c r="AE113" s="7" t="str">
        <f ca="1">IF(AND($C113="S",ORÇAMENTO.CodBarra&lt;&gt;""),IF(ORÇAMENTO.Fonte="",ORÇAMENTO.CodBarra,CONCATENATE(ORÇAMENTO.Fonte," ",ORÇAMENTO.CodBarra)))</f>
        <v>SINAPI 95877</v>
      </c>
      <c r="AF113" s="12">
        <f ca="1">IF(ISERROR(INDIRECT(ORÇAMENTO.BancoRef)),"(abra o arquivo 'Referência "&amp;Excel_BuiltIn_Database&amp;".xlsm)",IF(OR($C113&lt;&gt;"S",ORÇAMENTO.CodBarra=""),"(Sem Código)",IF(ISERROR(MATCH($AE113,INDIRECT(ORÇAMENTO.BancoRef),0)),"(Código não identificado nas referências)",MATCH($AE113,INDIRECT(ORÇAMENTO.BancoRef),0))))</f>
        <v>15362</v>
      </c>
      <c r="AG113" s="428">
        <f ca="1">ROUND(IF(DESONERACAO="sim",REFERENCIA.Desonerado,REFERENCIA.NaoDesonerado),2)</f>
        <v>1.9</v>
      </c>
      <c r="AH113" s="429">
        <f t="shared" ca="1" si="36"/>
        <v>0.23499999999999999</v>
      </c>
      <c r="AJ113" s="431">
        <f>ROUND(AJ112*7.7,2)</f>
        <v>503.2</v>
      </c>
      <c r="AL113" s="439"/>
      <c r="AM113" s="336">
        <f t="shared" ca="1" si="0"/>
        <v>1182.52</v>
      </c>
      <c r="AN113" s="470">
        <f t="shared" ca="1" si="37"/>
        <v>2.35</v>
      </c>
    </row>
    <row r="114" spans="1:40" x14ac:dyDescent="0.2">
      <c r="A114" t="str">
        <f t="shared" si="23"/>
        <v>S</v>
      </c>
      <c r="B114">
        <f t="shared" ca="1" si="24"/>
        <v>4</v>
      </c>
      <c r="C114" t="str">
        <f t="shared" ca="1" si="25"/>
        <v>S</v>
      </c>
      <c r="D114">
        <f t="shared" ca="1" si="26"/>
        <v>0</v>
      </c>
      <c r="E114">
        <f ca="1">IF($C114=1,OFFSET(E114,-1,0)+MAX(1,COUNTIF(QCI!$A$13:$A$15,OFFSET(ORÇAMENTO!E114,-1,0))),OFFSET(E114,-1,0))</f>
        <v>1</v>
      </c>
      <c r="F114">
        <f t="shared" ca="1" si="27"/>
        <v>5</v>
      </c>
      <c r="G114">
        <f t="shared" ca="1" si="28"/>
        <v>2</v>
      </c>
      <c r="H114">
        <f t="shared" ca="1" si="29"/>
        <v>1</v>
      </c>
      <c r="I114">
        <f t="shared" ca="1" si="30"/>
        <v>8</v>
      </c>
      <c r="J114">
        <f t="shared" ca="1" si="22"/>
        <v>0</v>
      </c>
      <c r="K114">
        <f ca="1">IF(OR($C114="S",$C114=0),0,MATCH(OFFSET($D114,0,$C114)+IF($C114&lt;&gt;1,1,COUNTIF(QCI!$A$13:$A$15,ORÇAMENTO!E114)),OFFSET($D114,1,$C114,ROW($C$508)-ROW($C114)),0))</f>
        <v>0</v>
      </c>
      <c r="L114" s="114" t="str">
        <f t="shared" ca="1" si="31"/>
        <v>F</v>
      </c>
      <c r="M114" s="115" t="s">
        <v>705</v>
      </c>
      <c r="N114" s="116" t="str">
        <f t="shared" ca="1" si="32"/>
        <v>Serviço</v>
      </c>
      <c r="O114" s="117" t="str">
        <f t="shared" ca="1" si="33"/>
        <v>1.5.2.1.8.</v>
      </c>
      <c r="P114" s="118" t="s">
        <v>958</v>
      </c>
      <c r="Q114" s="119" t="s">
        <v>1013</v>
      </c>
      <c r="R114" s="120" t="str">
        <f ca="1">IF($C114="S",REFERENCIA.Descricao,"(digite a descrição aqui)")</f>
        <v>TAXA ATERRO SANITÁRIO</v>
      </c>
      <c r="S114" s="121" t="str">
        <f ca="1">REFERENCIA.Unidade</f>
        <v>T</v>
      </c>
      <c r="T114" s="122">
        <f ca="1">OFFSET(CÁLCULO!H$15,ROW($T114)-ROW(T$15),0)</f>
        <v>88.88</v>
      </c>
      <c r="U114" s="123">
        <f ca="1">AG114</f>
        <v>65.19</v>
      </c>
      <c r="V114" s="124" t="s">
        <v>663</v>
      </c>
      <c r="W114" s="122">
        <f ca="1">IF($C114="S",ROUND(IF(TIPOORCAMENTO="Proposto",ORÇAMENTO.CustoUnitario*(1+$AH114),ORÇAMENTO.PrecoUnitarioLicitado),15-13*$AF$10),0)</f>
        <v>80.510000000000005</v>
      </c>
      <c r="X114" s="125" cm="1">
        <f t="array" aca="1" ref="X114" ca="1">IF($C114="S",IF(OR(Import.TipoArredondamento&lt;&gt;"TransfereGOV",ACOMPANHAMENTO="BM"),VTOTAL1,SUM(OFFSET(CÁLCULO!$AI$15,ROW($X114)-ROW($X$15),1):OFFSET(CÁLCULO!$BB$15,ROW($X114)-ROW($X$15),-1))),IF($C114=0,0,ROUND(SomaAgrup,15-13*$AF$11)))</f>
        <v>7155.73</v>
      </c>
      <c r="Y114" s="126" t="s">
        <v>751</v>
      </c>
      <c r="Z114" t="str">
        <f t="shared" ca="1" si="34"/>
        <v>RA</v>
      </c>
      <c r="AA114" s="127">
        <f ca="1">IF($C114="S",IF($Z114="CP",$X114,IF($Z114="RA",(($X114)*QCI!$AA$3),0)),SomaAgrup)</f>
        <v>0</v>
      </c>
      <c r="AB114" s="128">
        <f t="shared" ca="1" si="35"/>
        <v>0</v>
      </c>
      <c r="AC114" s="565" t="str" cm="1">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IF(AND(_xlfn.SINGLE(TIPOORCAMENTO)="Licitado",$AL114=0,$AN114&gt;0),"SEM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t="str">
        <f ca="1">IF(C114&lt;=CRONO.NivelExibicao,MAX($AD$15:OFFSET(AD114,-1,0))+IF($C114&lt;&gt;1,1,MAX(1,COUNTIF(QCI!$A$13:$A$15,OFFSET($E114,-1,0)))),"")</f>
        <v/>
      </c>
      <c r="AE114" s="7" t="str">
        <f ca="1">IF(AND($C114="S",ORÇAMENTO.CodBarra&lt;&gt;""),IF(ORÇAMENTO.Fonte="",ORÇAMENTO.CodBarra,CONCATENATE(ORÇAMENTO.Fonte," ",ORÇAMENTO.CodBarra)))</f>
        <v>Cotação COT-072</v>
      </c>
      <c r="AF114" s="12">
        <f ca="1">IF(ISERROR(INDIRECT(ORÇAMENTO.BancoRef)),"(abra o arquivo 'Referência "&amp;Excel_BuiltIn_Database&amp;".xlsm)",IF(OR($C114&lt;&gt;"S",ORÇAMENTO.CodBarra=""),"(Sem Código)",IF(ISERROR(MATCH($AE114,INDIRECT(ORÇAMENTO.BancoRef),0)),"(Código não identificado nas referências)",MATCH($AE114,INDIRECT(ORÇAMENTO.BancoRef),0))))</f>
        <v>138</v>
      </c>
      <c r="AG114" s="428">
        <f ca="1">ROUND(IF(DESONERACAO="sim",REFERENCIA.Desonerado,REFERENCIA.NaoDesonerado),2)</f>
        <v>65.19</v>
      </c>
      <c r="AH114" s="429">
        <f t="shared" ca="1" si="36"/>
        <v>0.23499999999999999</v>
      </c>
      <c r="AJ114" s="431">
        <f>ROUND(AJ112*1.36,2)</f>
        <v>88.88</v>
      </c>
      <c r="AL114" s="439"/>
      <c r="AM114" s="336">
        <f t="shared" ca="1" si="0"/>
        <v>7155.73</v>
      </c>
      <c r="AN114" s="470">
        <f t="shared" ca="1" si="37"/>
        <v>80.510000000000005</v>
      </c>
    </row>
    <row r="115" spans="1:40" ht="25.5" x14ac:dyDescent="0.2">
      <c r="A115" t="str">
        <f t="shared" si="23"/>
        <v>S</v>
      </c>
      <c r="B115">
        <f t="shared" ca="1" si="24"/>
        <v>4</v>
      </c>
      <c r="C115" t="str">
        <f t="shared" ca="1" si="25"/>
        <v>S</v>
      </c>
      <c r="D115">
        <f t="shared" ca="1" si="26"/>
        <v>0</v>
      </c>
      <c r="E115">
        <f ca="1">IF($C115=1,OFFSET(E115,-1,0)+MAX(1,COUNTIF(QCI!$A$13:$A$15,OFFSET(ORÇAMENTO!E115,-1,0))),OFFSET(E115,-1,0))</f>
        <v>1</v>
      </c>
      <c r="F115">
        <f t="shared" ca="1" si="27"/>
        <v>5</v>
      </c>
      <c r="G115">
        <f t="shared" ca="1" si="28"/>
        <v>2</v>
      </c>
      <c r="H115">
        <f t="shared" ca="1" si="29"/>
        <v>1</v>
      </c>
      <c r="I115">
        <f t="shared" ca="1" si="30"/>
        <v>9</v>
      </c>
      <c r="J115">
        <f t="shared" ca="1" si="22"/>
        <v>0</v>
      </c>
      <c r="K115">
        <f ca="1">IF(OR($C115="S",$C115=0),0,MATCH(OFFSET($D115,0,$C115)+IF($C115&lt;&gt;1,1,COUNTIF(QCI!$A$13:$A$15,ORÇAMENTO!E115)),OFFSET($D115,1,$C115,ROW($C$508)-ROW($C115)),0))</f>
        <v>0</v>
      </c>
      <c r="L115" s="114" t="str">
        <f t="shared" ca="1" si="31"/>
        <v>F</v>
      </c>
      <c r="M115" s="115" t="s">
        <v>705</v>
      </c>
      <c r="N115" s="116" t="str">
        <f t="shared" ca="1" si="32"/>
        <v>Serviço</v>
      </c>
      <c r="O115" s="117" t="str">
        <f t="shared" ca="1" si="33"/>
        <v>1.5.2.1.9.</v>
      </c>
      <c r="P115" s="118" t="s">
        <v>750</v>
      </c>
      <c r="Q115" s="119" t="s">
        <v>1014</v>
      </c>
      <c r="R115" s="120" t="str">
        <f ca="1">IF($C115="S",REFERENCIA.Descricao,"(digite a descrição aqui)")</f>
        <v>ESPALHAMENTO DE MATERIAL COM TRATOR DE ESTEIRAS. AF_09/2024</v>
      </c>
      <c r="S115" s="121" t="str">
        <f ca="1">REFERENCIA.Unidade</f>
        <v>M3</v>
      </c>
      <c r="T115" s="122">
        <f ca="1">OFFSET(CÁLCULO!H$15,ROW($T115)-ROW(T$15),0)</f>
        <v>65.349999999999994</v>
      </c>
      <c r="U115" s="123">
        <f t="shared" ca="1" si="21"/>
        <v>1.49</v>
      </c>
      <c r="V115" s="124" t="s">
        <v>663</v>
      </c>
      <c r="W115" s="122">
        <f ca="1">IF($C115="S",ROUND(IF(TIPOORCAMENTO="Proposto",ORÇAMENTO.CustoUnitario*(1+$AH115),ORÇAMENTO.PrecoUnitarioLicitado),15-13*$AF$10),0)</f>
        <v>1.84</v>
      </c>
      <c r="X115" s="125" cm="1">
        <f t="array" aca="1" ref="X115" ca="1">IF($C115="S",IF(OR(Import.TipoArredondamento&lt;&gt;"TransfereGOV",ACOMPANHAMENTO="BM"),VTOTAL1,SUM(OFFSET(CÁLCULO!$AI$15,ROW($X115)-ROW($X$15),1):OFFSET(CÁLCULO!$BB$15,ROW($X115)-ROW($X$15),-1))),IF($C115=0,0,ROUND(SomaAgrup,15-13*$AF$11)))</f>
        <v>120.24</v>
      </c>
      <c r="Y115" s="126" t="s">
        <v>751</v>
      </c>
      <c r="Z115" t="str">
        <f t="shared" ca="1" si="34"/>
        <v>RA</v>
      </c>
      <c r="AA115" s="127">
        <f ca="1">IF($C115="S",IF($Z115="CP",$X115,IF($Z115="RA",(($X115)*QCI!$AA$3),0)),SomaAgrup)</f>
        <v>0</v>
      </c>
      <c r="AB115" s="128">
        <f t="shared" ca="1" si="35"/>
        <v>0</v>
      </c>
      <c r="AC115" s="565" t="str" cm="1">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IF(AND(_xlfn.SINGLE(TIPOORCAMENTO)="Licitado",$AL115=0,$AN115&gt;0),"SEM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t="str">
        <f ca="1">IF(C115&lt;=CRONO.NivelExibicao,MAX($AD$15:OFFSET(AD115,-1,0))+IF($C115&lt;&gt;1,1,MAX(1,COUNTIF(QCI!$A$13:$A$15,OFFSET($E115,-1,0)))),"")</f>
        <v/>
      </c>
      <c r="AE115" s="7" t="str">
        <f ca="1">IF(AND($C115="S",ORÇAMENTO.CodBarra&lt;&gt;""),IF(ORÇAMENTO.Fonte="",ORÇAMENTO.CodBarra,CONCATENATE(ORÇAMENTO.Fonte," ",ORÇAMENTO.CodBarra)))</f>
        <v>SINAPI 100574</v>
      </c>
      <c r="AF115" s="12">
        <f ca="1">IF(ISERROR(INDIRECT(ORÇAMENTO.BancoRef)),"(abra o arquivo 'Referência "&amp;Excel_BuiltIn_Database&amp;".xlsm)",IF(OR($C115&lt;&gt;"S",ORÇAMENTO.CodBarra=""),"(Sem Código)",IF(ISERROR(MATCH($AE115,INDIRECT(ORÇAMENTO.BancoRef),0)),"(Código não identificado nas referências)",MATCH($AE115,INDIRECT(ORÇAMENTO.BancoRef),0))))</f>
        <v>6916</v>
      </c>
      <c r="AG115" s="428">
        <f ca="1">ROUND(IF(DESONERACAO="sim",REFERENCIA.Desonerado,REFERENCIA.NaoDesonerado),2)</f>
        <v>1.49</v>
      </c>
      <c r="AH115" s="429">
        <f t="shared" ca="1" si="36"/>
        <v>0.23499999999999999</v>
      </c>
      <c r="AJ115" s="431">
        <f>AJ112</f>
        <v>65.349999999999994</v>
      </c>
      <c r="AL115" s="439"/>
      <c r="AM115" s="336">
        <f t="shared" ca="1" si="0"/>
        <v>120.24</v>
      </c>
      <c r="AN115" s="470">
        <f t="shared" ca="1" si="37"/>
        <v>1.84</v>
      </c>
    </row>
    <row r="116" spans="1:40" ht="25.5" x14ac:dyDescent="0.2">
      <c r="A116" t="str">
        <f t="shared" si="23"/>
        <v>S</v>
      </c>
      <c r="B116">
        <f t="shared" ca="1" si="24"/>
        <v>4</v>
      </c>
      <c r="C116" t="str">
        <f t="shared" ca="1" si="25"/>
        <v>S</v>
      </c>
      <c r="D116">
        <f t="shared" ca="1" si="26"/>
        <v>0</v>
      </c>
      <c r="E116">
        <f ca="1">IF($C116=1,OFFSET(E116,-1,0)+MAX(1,COUNTIF(QCI!$A$13:$A$15,OFFSET(ORÇAMENTO!E116,-1,0))),OFFSET(E116,-1,0))</f>
        <v>1</v>
      </c>
      <c r="F116">
        <f t="shared" ca="1" si="27"/>
        <v>5</v>
      </c>
      <c r="G116">
        <f t="shared" ca="1" si="28"/>
        <v>2</v>
      </c>
      <c r="H116">
        <f t="shared" ca="1" si="29"/>
        <v>1</v>
      </c>
      <c r="I116">
        <f t="shared" ca="1" si="30"/>
        <v>10</v>
      </c>
      <c r="J116">
        <f t="shared" ca="1" si="22"/>
        <v>0</v>
      </c>
      <c r="K116">
        <f ca="1">IF(OR($C116="S",$C116=0),0,MATCH(OFFSET($D116,0,$C116)+IF($C116&lt;&gt;1,1,COUNTIF(QCI!$A$13:$A$15,ORÇAMENTO!E116)),OFFSET($D116,1,$C116,ROW($C$508)-ROW($C116)),0))</f>
        <v>0</v>
      </c>
      <c r="L116" s="114" t="str">
        <f t="shared" ca="1" si="31"/>
        <v>F</v>
      </c>
      <c r="M116" s="115" t="s">
        <v>705</v>
      </c>
      <c r="N116" s="116" t="str">
        <f t="shared" ca="1" si="32"/>
        <v>Serviço</v>
      </c>
      <c r="O116" s="117" t="str">
        <f t="shared" ca="1" si="33"/>
        <v>1.5.2.1.10.</v>
      </c>
      <c r="P116" s="118" t="s">
        <v>750</v>
      </c>
      <c r="Q116" s="119" t="s">
        <v>1022</v>
      </c>
      <c r="R116" s="120" t="str">
        <f ca="1">IF($C116="S",REFERENCIA.Descricao,"(digite a descrição aqui)")</f>
        <v>ARRASAMENTO MECANICO DE ESTACA DE CONCRETO ARMADO, DIAMETROS DE 41 CM A 60 CM. AF_05/2021</v>
      </c>
      <c r="S116" s="121" t="str">
        <f ca="1">REFERENCIA.Unidade</f>
        <v>UN</v>
      </c>
      <c r="T116" s="122">
        <f ca="1">OFFSET(CÁLCULO!H$15,ROW($T116)-ROW(T$15),0)</f>
        <v>40</v>
      </c>
      <c r="U116" s="123">
        <f t="shared" ca="1" si="21"/>
        <v>29.98</v>
      </c>
      <c r="V116" s="124" t="s">
        <v>663</v>
      </c>
      <c r="W116" s="122">
        <f ca="1">IF($C116="S",ROUND(IF(TIPOORCAMENTO="Proposto",ORÇAMENTO.CustoUnitario*(1+$AH116),ORÇAMENTO.PrecoUnitarioLicitado),15-13*$AF$10),0)</f>
        <v>37.03</v>
      </c>
      <c r="X116" s="125" cm="1">
        <f t="array" aca="1" ref="X116" ca="1">IF($C116="S",IF(OR(Import.TipoArredondamento&lt;&gt;"TransfereGOV",ACOMPANHAMENTO="BM"),VTOTAL1,SUM(OFFSET(CÁLCULO!$AI$15,ROW($X116)-ROW($X$15),1):OFFSET(CÁLCULO!$BB$15,ROW($X116)-ROW($X$15),-1))),IF($C116=0,0,ROUND(SomaAgrup,15-13*$AF$11)))</f>
        <v>1481.2</v>
      </c>
      <c r="Y116" s="126" t="s">
        <v>751</v>
      </c>
      <c r="Z116" t="str">
        <f t="shared" ca="1" si="34"/>
        <v>RA</v>
      </c>
      <c r="AA116" s="127">
        <f ca="1">IF($C116="S",IF($Z116="CP",$X116,IF($Z116="RA",(($X116)*QCI!$AA$3),0)),SomaAgrup)</f>
        <v>0</v>
      </c>
      <c r="AB116" s="128">
        <f t="shared" ca="1" si="35"/>
        <v>0</v>
      </c>
      <c r="AC116" s="565" t="str" cm="1">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IF(AND(_xlfn.SINGLE(TIPOORCAMENTO)="Licitado",$AL116=0,$AN116&gt;0),"SEM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t="str">
        <f ca="1">IF(C116&lt;=CRONO.NivelExibicao,MAX($AD$15:OFFSET(AD116,-1,0))+IF($C116&lt;&gt;1,1,MAX(1,COUNTIF(QCI!$A$13:$A$15,OFFSET($E116,-1,0)))),"")</f>
        <v/>
      </c>
      <c r="AE116" s="7" t="str">
        <f ca="1">IF(AND($C116="S",ORÇAMENTO.CodBarra&lt;&gt;""),IF(ORÇAMENTO.Fonte="",ORÇAMENTO.CodBarra,CONCATENATE(ORÇAMENTO.Fonte," ",ORÇAMENTO.CodBarra)))</f>
        <v>SINAPI 95602</v>
      </c>
      <c r="AF116" s="12">
        <f ca="1">IF(ISERROR(INDIRECT(ORÇAMENTO.BancoRef)),"(abra o arquivo 'Referência "&amp;Excel_BuiltIn_Database&amp;".xlsm)",IF(OR($C116&lt;&gt;"S",ORÇAMENTO.CodBarra=""),"(Sem Código)",IF(ISERROR(MATCH($AE116,INDIRECT(ORÇAMENTO.BancoRef),0)),"(Código não identificado nas referências)",MATCH($AE116,INDIRECT(ORÇAMENTO.BancoRef),0))))</f>
        <v>6390</v>
      </c>
      <c r="AG116" s="428">
        <f ca="1">ROUND(IF(DESONERACAO="sim",REFERENCIA.Desonerado,REFERENCIA.NaoDesonerado),2)</f>
        <v>29.98</v>
      </c>
      <c r="AH116" s="429">
        <f t="shared" ca="1" si="36"/>
        <v>0.23499999999999999</v>
      </c>
      <c r="AJ116" s="431">
        <f>16+24</f>
        <v>40</v>
      </c>
      <c r="AL116" s="439"/>
      <c r="AM116" s="336">
        <f t="shared" ca="1" si="0"/>
        <v>1481.2</v>
      </c>
      <c r="AN116" s="470">
        <f t="shared" ca="1" si="37"/>
        <v>37.03</v>
      </c>
    </row>
    <row r="117" spans="1:40" x14ac:dyDescent="0.2">
      <c r="A117" t="str">
        <f t="shared" si="23"/>
        <v>S</v>
      </c>
      <c r="B117">
        <f t="shared" ca="1" si="24"/>
        <v>4</v>
      </c>
      <c r="C117" t="str">
        <f t="shared" ca="1" si="25"/>
        <v>S</v>
      </c>
      <c r="D117">
        <f t="shared" ca="1" si="26"/>
        <v>0</v>
      </c>
      <c r="E117">
        <f ca="1">IF($C117=1,OFFSET(E117,-1,0)+MAX(1,COUNTIF(QCI!$A$13:$A$15,OFFSET(ORÇAMENTO!E117,-1,0))),OFFSET(E117,-1,0))</f>
        <v>1</v>
      </c>
      <c r="F117">
        <f t="shared" ca="1" si="27"/>
        <v>5</v>
      </c>
      <c r="G117">
        <f t="shared" ca="1" si="28"/>
        <v>2</v>
      </c>
      <c r="H117">
        <f t="shared" ca="1" si="29"/>
        <v>1</v>
      </c>
      <c r="I117">
        <f t="shared" ca="1" si="30"/>
        <v>11</v>
      </c>
      <c r="J117">
        <f t="shared" ca="1" si="22"/>
        <v>0</v>
      </c>
      <c r="K117">
        <f ca="1">IF(OR($C117="S",$C117=0),0,MATCH(OFFSET($D117,0,$C117)+IF($C117&lt;&gt;1,1,COUNTIF(QCI!$A$13:$A$15,ORÇAMENTO!E117)),OFFSET($D117,1,$C117,ROW($C$508)-ROW($C117)),0))</f>
        <v>0</v>
      </c>
      <c r="L117" s="114" t="str">
        <f t="shared" ca="1" si="31"/>
        <v>F</v>
      </c>
      <c r="M117" s="115" t="s">
        <v>705</v>
      </c>
      <c r="N117" s="116" t="str">
        <f t="shared" ca="1" si="32"/>
        <v>Serviço</v>
      </c>
      <c r="O117" s="117" t="str">
        <f t="shared" ca="1" si="33"/>
        <v>1.5.2.1.11.</v>
      </c>
      <c r="P117" s="118" t="s">
        <v>1280</v>
      </c>
      <c r="Q117" s="119" t="s">
        <v>1023</v>
      </c>
      <c r="R117" s="120" t="str">
        <f ca="1">IF($C117="S",REFERENCIA.Descricao,"(digite a descrição aqui)")</f>
        <v>ENSAIO DE RESISTENCIA A COMPRESSAO SIMPLES - CONCRETO</v>
      </c>
      <c r="S117" s="121" t="str">
        <f ca="1">REFERENCIA.Unidade</f>
        <v>UN</v>
      </c>
      <c r="T117" s="122">
        <f ca="1">OFFSET(CÁLCULO!H$15,ROW($T117)-ROW(T$15),0)</f>
        <v>21</v>
      </c>
      <c r="U117" s="123">
        <f t="shared" ca="1" si="21"/>
        <v>100.21</v>
      </c>
      <c r="V117" s="124" t="s">
        <v>663</v>
      </c>
      <c r="W117" s="122">
        <f ca="1">IF($C117="S",ROUND(IF(TIPOORCAMENTO="Proposto",ORÇAMENTO.CustoUnitario*(1+$AH117),ORÇAMENTO.PrecoUnitarioLicitado),15-13*$AF$10),0)</f>
        <v>123.76</v>
      </c>
      <c r="X117" s="125" cm="1">
        <f t="array" aca="1" ref="X117" ca="1">IF($C117="S",IF(OR(Import.TipoArredondamento&lt;&gt;"TransfereGOV",ACOMPANHAMENTO="BM"),VTOTAL1,SUM(OFFSET(CÁLCULO!$AI$15,ROW($X117)-ROW($X$15),1):OFFSET(CÁLCULO!$BB$15,ROW($X117)-ROW($X$15),-1))),IF($C117=0,0,ROUND(SomaAgrup,15-13*$AF$11)))</f>
        <v>2598.96</v>
      </c>
      <c r="Y117" s="126" t="s">
        <v>751</v>
      </c>
      <c r="Z117" t="str">
        <f t="shared" ca="1" si="34"/>
        <v>RA</v>
      </c>
      <c r="AA117" s="127">
        <f ca="1">IF($C117="S",IF($Z117="CP",$X117,IF($Z117="RA",(($X117)*QCI!$AA$3),0)),SomaAgrup)</f>
        <v>0</v>
      </c>
      <c r="AB117" s="128">
        <f t="shared" ca="1" si="35"/>
        <v>0</v>
      </c>
      <c r="AC117" s="565" t="str" cm="1">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IF(AND(_xlfn.SINGLE(TIPOORCAMENTO)="Licitado",$AL117=0,$AN117&gt;0),"SEM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t="str">
        <f ca="1">IF(C117&lt;=CRONO.NivelExibicao,MAX($AD$15:OFFSET(AD117,-1,0))+IF($C117&lt;&gt;1,1,MAX(1,COUNTIF(QCI!$A$13:$A$15,OFFSET($E117,-1,0)))),"")</f>
        <v/>
      </c>
      <c r="AE117" s="7" t="str">
        <f ca="1">IF(AND($C117="S",ORÇAMENTO.CodBarra&lt;&gt;""),IF(ORÇAMENTO.Fonte="",ORÇAMENTO.CodBarra,CONCATENATE(ORÇAMENTO.Fonte," ",ORÇAMENTO.CodBarra)))</f>
        <v>SETOP ED-49546</v>
      </c>
      <c r="AF117" s="12">
        <f ca="1">IF(ISERROR(INDIRECT(ORÇAMENTO.BancoRef)),"(abra o arquivo 'Referência "&amp;Excel_BuiltIn_Database&amp;".xlsm)",IF(OR($C117&lt;&gt;"S",ORÇAMENTO.CodBarra=""),"(Sem Código)",IF(ISERROR(MATCH($AE117,INDIRECT(ORÇAMENTO.BancoRef),0)),"(Código não identificado nas referências)",MATCH($AE117,INDIRECT(ORÇAMENTO.BancoRef),0))))</f>
        <v>30193</v>
      </c>
      <c r="AG117" s="428">
        <f ca="1">ROUND(IF(DESONERACAO="sim",REFERENCIA.Desonerado,REFERENCIA.NaoDesonerado),2)</f>
        <v>100.21</v>
      </c>
      <c r="AH117" s="429">
        <f t="shared" ca="1" si="36"/>
        <v>0.23499999999999999</v>
      </c>
      <c r="AJ117" s="431">
        <f>ROUND(AJ109/8*4,0)</f>
        <v>21</v>
      </c>
      <c r="AL117" s="439"/>
      <c r="AM117" s="336">
        <f t="shared" ca="1" si="0"/>
        <v>2598.96</v>
      </c>
      <c r="AN117" s="470">
        <f t="shared" ca="1" si="37"/>
        <v>123.76</v>
      </c>
    </row>
    <row r="118" spans="1:40" x14ac:dyDescent="0.2">
      <c r="A118">
        <f t="shared" si="23"/>
        <v>4</v>
      </c>
      <c r="B118">
        <f t="shared" ca="1" si="24"/>
        <v>4</v>
      </c>
      <c r="C118">
        <f t="shared" ca="1" si="25"/>
        <v>4</v>
      </c>
      <c r="D118">
        <f t="shared" ca="1" si="26"/>
        <v>6</v>
      </c>
      <c r="E118">
        <f ca="1">IF($C118=1,OFFSET(E118,-1,0)+MAX(1,COUNTIF(QCI!$A$13:$A$15,OFFSET(ORÇAMENTO!E118,-1,0))),OFFSET(E118,-1,0))</f>
        <v>1</v>
      </c>
      <c r="F118">
        <f t="shared" ca="1" si="27"/>
        <v>5</v>
      </c>
      <c r="G118">
        <f t="shared" ca="1" si="28"/>
        <v>2</v>
      </c>
      <c r="H118">
        <f t="shared" ca="1" si="29"/>
        <v>2</v>
      </c>
      <c r="I118">
        <f t="shared" ca="1" si="30"/>
        <v>0</v>
      </c>
      <c r="J118">
        <f t="shared" ca="1" si="22"/>
        <v>16</v>
      </c>
      <c r="K118">
        <f ca="1">IF(OR($C118="S",$C118=0),0,MATCH(OFFSET($D118,0,$C118)+IF($C118&lt;&gt;1,1,COUNTIF(QCI!$A$13:$A$15,ORÇAMENTO!E118)),OFFSET($D118,1,$C118,ROW($C$508)-ROW($C118)),0))</f>
        <v>6</v>
      </c>
      <c r="L118" s="114" t="str">
        <f t="shared" ca="1" si="31"/>
        <v>F</v>
      </c>
      <c r="M118" s="115" t="s">
        <v>704</v>
      </c>
      <c r="N118" s="116" t="str">
        <f t="shared" ca="1" si="32"/>
        <v>Nível 4</v>
      </c>
      <c r="O118" s="117" t="str">
        <f t="shared" ca="1" si="33"/>
        <v>1.5.2.2.</v>
      </c>
      <c r="P118" s="118" t="s">
        <v>750</v>
      </c>
      <c r="Q118" s="119"/>
      <c r="R118" s="120" t="s">
        <v>1220</v>
      </c>
      <c r="S118" s="121" t="s">
        <v>688</v>
      </c>
      <c r="T118" s="122">
        <f ca="1">OFFSET(CÁLCULO!H$15,ROW($T118)-ROW(T$15),0)</f>
        <v>0</v>
      </c>
      <c r="U118" s="123">
        <f t="shared" ca="1" si="21"/>
        <v>0</v>
      </c>
      <c r="V118" s="124" t="s">
        <v>663</v>
      </c>
      <c r="W118" s="122">
        <f ca="1">IF($C118="S",ROUND(IF(TIPOORCAMENTO="Proposto",ORÇAMENTO.CustoUnitario*(1+$AH118),ORÇAMENTO.PrecoUnitarioLicitado),15-13*$AF$10),0)</f>
        <v>0</v>
      </c>
      <c r="X118" s="125" cm="1">
        <f t="array" aca="1" ref="X118" ca="1">IF($C118="S",IF(OR(Import.TipoArredondamento&lt;&gt;"TransfereGOV",ACOMPANHAMENTO="BM"),VTOTAL1,SUM(OFFSET(CÁLCULO!$AI$15,ROW($X118)-ROW($X$15),1):OFFSET(CÁLCULO!$BB$15,ROW($X118)-ROW($X$15),-1))),IF($C118=0,0,ROUND(SomaAgrup,15-13*$AF$11)))</f>
        <v>472890.11</v>
      </c>
      <c r="Y118" s="126" t="s">
        <v>751</v>
      </c>
      <c r="Z118" t="str">
        <f t="shared" ca="1" si="34"/>
        <v/>
      </c>
      <c r="AA118" s="127">
        <f ca="1">IF($C118="S",IF($Z118="CP",$X118,IF($Z118="RA",(($X118)*QCI!$AA$3),0)),SomaAgrup)</f>
        <v>0</v>
      </c>
      <c r="AB118" s="128">
        <f t="shared" ca="1" si="35"/>
        <v>0</v>
      </c>
      <c r="AC118" s="565" t="str" cm="1">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IF(AND(_xlfn.SINGLE(TIPOORCAMENTO)="Licitado",$AL118=0,$AN118&gt;0),"SEM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t="str">
        <f ca="1">IF(C118&lt;=CRONO.NivelExibicao,MAX($AD$15:OFFSET(AD118,-1,0))+IF($C118&lt;&gt;1,1,MAX(1,COUNTIF(QCI!$A$13:$A$15,OFFSET($E118,-1,0)))),"")</f>
        <v/>
      </c>
      <c r="AE118" s="7" t="b">
        <f ca="1">IF(AND($C118="S",ORÇAMENTO.CodBarra&lt;&gt;""),IF(ORÇAMENTO.Fonte="",ORÇAMENTO.CodBarra,CONCATENATE(ORÇAMENTO.Fonte," ",ORÇAMENTO.CodBarra)))</f>
        <v>0</v>
      </c>
      <c r="AF118" s="12" t="str">
        <f ca="1">IF(ISERROR(INDIRECT(ORÇAMENTO.BancoRef)),"(abra o arquivo 'Referência "&amp;Excel_BuiltIn_Database&amp;".xlsm)",IF(OR($C118&lt;&gt;"S",ORÇAMENTO.CodBarra=""),"(Sem Código)",IF(ISERROR(MATCH($AE118,INDIRECT(ORÇAMENTO.BancoRef),0)),"(Código não identificado nas referências)",MATCH($AE118,INDIRECT(ORÇAMENTO.BancoRef),0))))</f>
        <v>(Sem Código)</v>
      </c>
      <c r="AG118" s="428">
        <f ca="1">ROUND(IF(DESONERACAO="sim",REFERENCIA.Desonerado,REFERENCIA.NaoDesonerado),2)</f>
        <v>0</v>
      </c>
      <c r="AH118" s="429">
        <f t="shared" ca="1" si="36"/>
        <v>0.23499999999999999</v>
      </c>
      <c r="AJ118" s="431"/>
      <c r="AL118" s="439"/>
      <c r="AM118" s="336">
        <f t="shared" ca="1" si="0"/>
        <v>472890.11</v>
      </c>
      <c r="AN118" s="470">
        <f t="shared" ca="1" si="37"/>
        <v>0</v>
      </c>
    </row>
    <row r="119" spans="1:40" ht="38.25" x14ac:dyDescent="0.2">
      <c r="A119" t="str">
        <f t="shared" si="23"/>
        <v>S</v>
      </c>
      <c r="B119">
        <f t="shared" ca="1" si="24"/>
        <v>4</v>
      </c>
      <c r="C119" t="str">
        <f t="shared" ca="1" si="25"/>
        <v>S</v>
      </c>
      <c r="D119">
        <f t="shared" ca="1" si="26"/>
        <v>0</v>
      </c>
      <c r="E119">
        <f ca="1">IF($C119=1,OFFSET(E119,-1,0)+MAX(1,COUNTIF(QCI!$A$13:$A$15,OFFSET(ORÇAMENTO!E119,-1,0))),OFFSET(E119,-1,0))</f>
        <v>1</v>
      </c>
      <c r="F119">
        <f t="shared" ca="1" si="27"/>
        <v>5</v>
      </c>
      <c r="G119">
        <f t="shared" ca="1" si="28"/>
        <v>2</v>
      </c>
      <c r="H119">
        <f t="shared" ca="1" si="29"/>
        <v>2</v>
      </c>
      <c r="I119">
        <f t="shared" ca="1" si="30"/>
        <v>1</v>
      </c>
      <c r="J119">
        <f t="shared" ca="1" si="22"/>
        <v>0</v>
      </c>
      <c r="K119">
        <f ca="1">IF(OR($C119="S",$C119=0),0,MATCH(OFFSET($D119,0,$C119)+IF($C119&lt;&gt;1,1,COUNTIF(QCI!$A$13:$A$15,ORÇAMENTO!E119)),OFFSET($D119,1,$C119,ROW($C$508)-ROW($C119)),0))</f>
        <v>0</v>
      </c>
      <c r="L119" s="114" t="str">
        <f t="shared" ca="1" si="31"/>
        <v>F</v>
      </c>
      <c r="M119" s="115" t="s">
        <v>705</v>
      </c>
      <c r="N119" s="116" t="str">
        <f t="shared" ca="1" si="32"/>
        <v>Serviço</v>
      </c>
      <c r="O119" s="117" t="str">
        <f t="shared" ca="1" si="33"/>
        <v>1.5.2.2.1.</v>
      </c>
      <c r="P119" s="118" t="s">
        <v>750</v>
      </c>
      <c r="Q119" s="119" t="s">
        <v>1017</v>
      </c>
      <c r="R119" s="120" t="str">
        <f ca="1">IF($C119="S",REFERENCIA.Descricao,"(digite a descrição aqui)")</f>
        <v>CONCRETO FCK = 40MPA, TRAÇO 1:1,6:1,9 (EM MASSA SECA DE CIMENTO/ AREIA MÉDIA/ BRITA 1) - PREPARO MECÂNICO COM BETONEIRA 600 L. AF_05/2021</v>
      </c>
      <c r="S119" s="121" t="str">
        <f ca="1">REFERENCIA.Unidade</f>
        <v>M3</v>
      </c>
      <c r="T119" s="122">
        <f ca="1">OFFSET(CÁLCULO!H$15,ROW($T119)-ROW(T$15),0)</f>
        <v>228.37</v>
      </c>
      <c r="U119" s="123">
        <f t="shared" ca="1" si="21"/>
        <v>628.30999999999995</v>
      </c>
      <c r="V119" s="124" t="s">
        <v>663</v>
      </c>
      <c r="W119" s="122">
        <f ca="1">IF($C119="S",ROUND(IF(TIPOORCAMENTO="Proposto",ORÇAMENTO.CustoUnitario*(1+$AH119),ORÇAMENTO.PrecoUnitarioLicitado),15-13*$AF$10),0)</f>
        <v>775.96</v>
      </c>
      <c r="X119" s="125" cm="1">
        <f t="array" aca="1" ref="X119" ca="1">IF($C119="S",IF(OR(Import.TipoArredondamento&lt;&gt;"TransfereGOV",ACOMPANHAMENTO="BM"),VTOTAL1,SUM(OFFSET(CÁLCULO!$AI$15,ROW($X119)-ROW($X$15),1):OFFSET(CÁLCULO!$BB$15,ROW($X119)-ROW($X$15),-1))),IF($C119=0,0,ROUND(SomaAgrup,15-13*$AF$11)))</f>
        <v>177205.99</v>
      </c>
      <c r="Y119" s="126" t="s">
        <v>751</v>
      </c>
      <c r="Z119" t="str">
        <f t="shared" ca="1" si="34"/>
        <v>RA</v>
      </c>
      <c r="AA119" s="127">
        <f ca="1">IF($C119="S",IF($Z119="CP",$X119,IF($Z119="RA",(($X119)*QCI!$AA$3),0)),SomaAgrup)</f>
        <v>0</v>
      </c>
      <c r="AB119" s="128">
        <f t="shared" ca="1" si="35"/>
        <v>0</v>
      </c>
      <c r="AC119" s="565" t="str" cm="1">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IF(AND(_xlfn.SINGLE(TIPOORCAMENTO)="Licitado",$AL119=0,$AN119&gt;0),"SEM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t="str">
        <f ca="1">IF(C119&lt;=CRONO.NivelExibicao,MAX($AD$15:OFFSET(AD119,-1,0))+IF($C119&lt;&gt;1,1,MAX(1,COUNTIF(QCI!$A$13:$A$15,OFFSET($E119,-1,0)))),"")</f>
        <v/>
      </c>
      <c r="AE119" s="7" t="str">
        <f ca="1">IF(AND($C119="S",ORÇAMENTO.CodBarra&lt;&gt;""),IF(ORÇAMENTO.Fonte="",ORÇAMENTO.CodBarra,CONCATENATE(ORÇAMENTO.Fonte," ",ORÇAMENTO.CodBarra)))</f>
        <v>SINAPI 94973</v>
      </c>
      <c r="AF119" s="12">
        <f ca="1">IF(ISERROR(INDIRECT(ORÇAMENTO.BancoRef)),"(abra o arquivo 'Referência "&amp;Excel_BuiltIn_Database&amp;".xlsm)",IF(OR($C119&lt;&gt;"S",ORÇAMENTO.CodBarra=""),"(Sem Código)",IF(ISERROR(MATCH($AE119,INDIRECT(ORÇAMENTO.BancoRef),0)),"(Código não identificado nas referências)",MATCH($AE119,INDIRECT(ORÇAMENTO.BancoRef),0))))</f>
        <v>14326</v>
      </c>
      <c r="AG119" s="428">
        <f ca="1">ROUND(IF(DESONERACAO="sim",REFERENCIA.Desonerado,REFERENCIA.NaoDesonerado),2)</f>
        <v>628.30999999999995</v>
      </c>
      <c r="AH119" s="429">
        <f t="shared" ca="1" si="36"/>
        <v>0.23499999999999999</v>
      </c>
      <c r="AJ119" s="431">
        <v>228.37</v>
      </c>
      <c r="AL119" s="439"/>
      <c r="AM119" s="336">
        <f t="shared" ca="1" si="0"/>
        <v>177205.99</v>
      </c>
      <c r="AN119" s="470">
        <f t="shared" ca="1" si="37"/>
        <v>775.96</v>
      </c>
    </row>
    <row r="120" spans="1:40" ht="25.5" x14ac:dyDescent="0.2">
      <c r="A120" t="str">
        <f t="shared" si="23"/>
        <v>S</v>
      </c>
      <c r="B120">
        <f t="shared" ca="1" si="24"/>
        <v>4</v>
      </c>
      <c r="C120" t="str">
        <f t="shared" ca="1" si="25"/>
        <v>S</v>
      </c>
      <c r="D120">
        <f t="shared" ca="1" si="26"/>
        <v>0</v>
      </c>
      <c r="E120">
        <f ca="1">IF($C120=1,OFFSET(E120,-1,0)+MAX(1,COUNTIF(QCI!$A$13:$A$15,OFFSET(ORÇAMENTO!E120,-1,0))),OFFSET(E120,-1,0))</f>
        <v>1</v>
      </c>
      <c r="F120">
        <f t="shared" ca="1" si="27"/>
        <v>5</v>
      </c>
      <c r="G120">
        <f t="shared" ca="1" si="28"/>
        <v>2</v>
      </c>
      <c r="H120">
        <f t="shared" ca="1" si="29"/>
        <v>2</v>
      </c>
      <c r="I120">
        <f t="shared" ca="1" si="30"/>
        <v>2</v>
      </c>
      <c r="J120">
        <f t="shared" ca="1" si="22"/>
        <v>0</v>
      </c>
      <c r="K120">
        <f ca="1">IF(OR($C120="S",$C120=0),0,MATCH(OFFSET($D120,0,$C120)+IF($C120&lt;&gt;1,1,COUNTIF(QCI!$A$13:$A$15,ORÇAMENTO!E120)),OFFSET($D120,1,$C120,ROW($C$508)-ROW($C120)),0))</f>
        <v>0</v>
      </c>
      <c r="L120" s="114" t="str">
        <f t="shared" ca="1" si="31"/>
        <v>F</v>
      </c>
      <c r="M120" s="115" t="s">
        <v>705</v>
      </c>
      <c r="N120" s="116" t="str">
        <f t="shared" ca="1" si="32"/>
        <v>Serviço</v>
      </c>
      <c r="O120" s="117" t="str">
        <f t="shared" ca="1" si="33"/>
        <v>1.5.2.2.2.</v>
      </c>
      <c r="P120" s="118" t="s">
        <v>750</v>
      </c>
      <c r="Q120" s="119" t="s">
        <v>1018</v>
      </c>
      <c r="R120" s="120" t="str">
        <f ca="1">IF($C120="S",REFERENCIA.Descricao,"(digite a descrição aqui)")</f>
        <v>LANÇAMENTO COM USO DE BOMBA, ADENSAMENTO E ACABAMENTO DE CONCRETO EM ESTRUTURAS. AF_02/2022</v>
      </c>
      <c r="S120" s="121" t="str">
        <f ca="1">REFERENCIA.Unidade</f>
        <v>M3</v>
      </c>
      <c r="T120" s="122">
        <f ca="1">OFFSET(CÁLCULO!H$15,ROW($T120)-ROW(T$15),0)</f>
        <v>228.37</v>
      </c>
      <c r="U120" s="123">
        <f t="shared" ca="1" si="21"/>
        <v>44.5</v>
      </c>
      <c r="V120" s="124" t="s">
        <v>663</v>
      </c>
      <c r="W120" s="122">
        <f ca="1">IF($C120="S",ROUND(IF(TIPOORCAMENTO="Proposto",ORÇAMENTO.CustoUnitario*(1+$AH120),ORÇAMENTO.PrecoUnitarioLicitado),15-13*$AF$10),0)</f>
        <v>54.96</v>
      </c>
      <c r="X120" s="125" cm="1">
        <f t="array" aca="1" ref="X120" ca="1">IF($C120="S",IF(OR(Import.TipoArredondamento&lt;&gt;"TransfereGOV",ACOMPANHAMENTO="BM"),VTOTAL1,SUM(OFFSET(CÁLCULO!$AI$15,ROW($X120)-ROW($X$15),1):OFFSET(CÁLCULO!$BB$15,ROW($X120)-ROW($X$15),-1))),IF($C120=0,0,ROUND(SomaAgrup,15-13*$AF$11)))</f>
        <v>12551.22</v>
      </c>
      <c r="Y120" s="126" t="s">
        <v>751</v>
      </c>
      <c r="Z120" t="str">
        <f t="shared" ca="1" si="34"/>
        <v>RA</v>
      </c>
      <c r="AA120" s="127">
        <f ca="1">IF($C120="S",IF($Z120="CP",$X120,IF($Z120="RA",(($X120)*QCI!$AA$3),0)),SomaAgrup)</f>
        <v>0</v>
      </c>
      <c r="AB120" s="128">
        <f t="shared" ca="1" si="35"/>
        <v>0</v>
      </c>
      <c r="AC120" s="565" t="str" cm="1">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IF(AND(_xlfn.SINGLE(TIPOORCAMENTO)="Licitado",$AL120=0,$AN120&gt;0),"SEM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t="str">
        <f ca="1">IF(C120&lt;=CRONO.NivelExibicao,MAX($AD$15:OFFSET(AD120,-1,0))+IF($C120&lt;&gt;1,1,MAX(1,COUNTIF(QCI!$A$13:$A$15,OFFSET($E120,-1,0)))),"")</f>
        <v/>
      </c>
      <c r="AE120" s="7" t="str">
        <f ca="1">IF(AND($C120="S",ORÇAMENTO.CodBarra&lt;&gt;""),IF(ORÇAMENTO.Fonte="",ORÇAMENTO.CodBarra,CONCATENATE(ORÇAMENTO.Fonte," ",ORÇAMENTO.CodBarra)))</f>
        <v>SINAPI 103673</v>
      </c>
      <c r="AF120" s="12">
        <f ca="1">IF(ISERROR(INDIRECT(ORÇAMENTO.BancoRef)),"(abra o arquivo 'Referência "&amp;Excel_BuiltIn_Database&amp;".xlsm)",IF(OR($C120&lt;&gt;"S",ORÇAMENTO.CodBarra=""),"(Sem Código)",IF(ISERROR(MATCH($AE120,INDIRECT(ORÇAMENTO.BancoRef),0)),"(Código não identificado nas referências)",MATCH($AE120,INDIRECT(ORÇAMENTO.BancoRef),0))))</f>
        <v>7334</v>
      </c>
      <c r="AG120" s="428">
        <f ca="1">ROUND(IF(DESONERACAO="sim",REFERENCIA.Desonerado,REFERENCIA.NaoDesonerado),2)</f>
        <v>44.5</v>
      </c>
      <c r="AH120" s="429">
        <f t="shared" ca="1" si="36"/>
        <v>0.23499999999999999</v>
      </c>
      <c r="AJ120" s="431">
        <f>AJ119</f>
        <v>228.37</v>
      </c>
      <c r="AL120" s="439"/>
      <c r="AM120" s="336">
        <f t="shared" ca="1" si="0"/>
        <v>12551.22</v>
      </c>
      <c r="AN120" s="470">
        <f t="shared" ca="1" si="37"/>
        <v>54.96</v>
      </c>
    </row>
    <row r="121" spans="1:40" ht="25.5" x14ac:dyDescent="0.2">
      <c r="A121" t="str">
        <f t="shared" si="23"/>
        <v>S</v>
      </c>
      <c r="B121">
        <f t="shared" ca="1" si="24"/>
        <v>4</v>
      </c>
      <c r="C121" t="str">
        <f t="shared" ca="1" si="25"/>
        <v>S</v>
      </c>
      <c r="D121">
        <f t="shared" ca="1" si="26"/>
        <v>0</v>
      </c>
      <c r="E121">
        <f ca="1">IF($C121=1,OFFSET(E121,-1,0)+MAX(1,COUNTIF(QCI!$A$13:$A$15,OFFSET(ORÇAMENTO!E121,-1,0))),OFFSET(E121,-1,0))</f>
        <v>1</v>
      </c>
      <c r="F121">
        <f t="shared" ca="1" si="27"/>
        <v>5</v>
      </c>
      <c r="G121">
        <f t="shared" ca="1" si="28"/>
        <v>2</v>
      </c>
      <c r="H121">
        <f t="shared" ca="1" si="29"/>
        <v>2</v>
      </c>
      <c r="I121">
        <f t="shared" ca="1" si="30"/>
        <v>3</v>
      </c>
      <c r="J121">
        <f t="shared" ca="1" si="22"/>
        <v>0</v>
      </c>
      <c r="K121">
        <f ca="1">IF(OR($C121="S",$C121=0),0,MATCH(OFFSET($D121,0,$C121)+IF($C121&lt;&gt;1,1,COUNTIF(QCI!$A$13:$A$15,ORÇAMENTO!E121)),OFFSET($D121,1,$C121,ROW($C$508)-ROW($C121)),0))</f>
        <v>0</v>
      </c>
      <c r="L121" s="114" t="str">
        <f t="shared" ca="1" si="31"/>
        <v>F</v>
      </c>
      <c r="M121" s="115" t="s">
        <v>705</v>
      </c>
      <c r="N121" s="116" t="str">
        <f t="shared" ca="1" si="32"/>
        <v>Serviço</v>
      </c>
      <c r="O121" s="117" t="str">
        <f t="shared" ca="1" si="33"/>
        <v>1.5.2.2.3.</v>
      </c>
      <c r="P121" s="118" t="s">
        <v>1280</v>
      </c>
      <c r="Q121" s="119" t="s">
        <v>1025</v>
      </c>
      <c r="R121" s="120" t="str">
        <f ca="1">IF($C121="S",REFERENCIA.Descricao,"(digite a descrição aqui)")</f>
        <v xml:space="preserve">LASTRO DE CONCRETO MAGRO, INCLUSIVE TRANSPORTE, LANÇAMENTO E ADENSAMENTO </v>
      </c>
      <c r="S121" s="121" t="str">
        <f ca="1">REFERENCIA.Unidade</f>
        <v>M3</v>
      </c>
      <c r="T121" s="122">
        <f ca="1">OFFSET(CÁLCULO!H$15,ROW($T121)-ROW(T$15),0)</f>
        <v>14.49</v>
      </c>
      <c r="U121" s="123">
        <f t="shared" ca="1" si="21"/>
        <v>589.23</v>
      </c>
      <c r="V121" s="124" t="s">
        <v>663</v>
      </c>
      <c r="W121" s="122">
        <f ca="1">IF($C121="S",ROUND(IF(TIPOORCAMENTO="Proposto",ORÇAMENTO.CustoUnitario*(1+$AH121),ORÇAMENTO.PrecoUnitarioLicitado),15-13*$AF$10),0)</f>
        <v>727.7</v>
      </c>
      <c r="X121" s="125" cm="1">
        <f t="array" aca="1" ref="X121" ca="1">IF($C121="S",IF(OR(Import.TipoArredondamento&lt;&gt;"TransfereGOV",ACOMPANHAMENTO="BM"),VTOTAL1,SUM(OFFSET(CÁLCULO!$AI$15,ROW($X121)-ROW($X$15),1):OFFSET(CÁLCULO!$BB$15,ROW($X121)-ROW($X$15),-1))),IF($C121=0,0,ROUND(SomaAgrup,15-13*$AF$11)))</f>
        <v>10544.37</v>
      </c>
      <c r="Y121" s="126" t="s">
        <v>751</v>
      </c>
      <c r="Z121" t="str">
        <f t="shared" ca="1" si="34"/>
        <v>RA</v>
      </c>
      <c r="AA121" s="127">
        <f ca="1">IF($C121="S",IF($Z121="CP",$X121,IF($Z121="RA",(($X121)*QCI!$AA$3),0)),SomaAgrup)</f>
        <v>0</v>
      </c>
      <c r="AB121" s="128">
        <f t="shared" ca="1" si="35"/>
        <v>0</v>
      </c>
      <c r="AC121" s="565" t="str" cm="1">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IF(AND(_xlfn.SINGLE(TIPOORCAMENTO)="Licitado",$AL121=0,$AN121&gt;0),"SEM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t="str">
        <f ca="1">IF(C121&lt;=CRONO.NivelExibicao,MAX($AD$15:OFFSET(AD121,-1,0))+IF($C121&lt;&gt;1,1,MAX(1,COUNTIF(QCI!$A$13:$A$15,OFFSET($E121,-1,0)))),"")</f>
        <v/>
      </c>
      <c r="AE121" s="7" t="str">
        <f ca="1">IF(AND($C121="S",ORÇAMENTO.CodBarra&lt;&gt;""),IF(ORÇAMENTO.Fonte="",ORÇAMENTO.CodBarra,CONCATENATE(ORÇAMENTO.Fonte," ",ORÇAMENTO.CodBarra)))</f>
        <v>SETOP ED-49812</v>
      </c>
      <c r="AF121" s="12">
        <f ca="1">IF(ISERROR(INDIRECT(ORÇAMENTO.BancoRef)),"(abra o arquivo 'Referência "&amp;Excel_BuiltIn_Database&amp;".xlsm)",IF(OR($C121&lt;&gt;"S",ORÇAMENTO.CodBarra=""),"(Sem Código)",IF(ISERROR(MATCH($AE121,INDIRECT(ORÇAMENTO.BancoRef),0)),"(Código não identificado nas referências)",MATCH($AE121,INDIRECT(ORÇAMENTO.BancoRef),0))))</f>
        <v>28059</v>
      </c>
      <c r="AG121" s="428">
        <f ca="1">ROUND(IF(DESONERACAO="sim",REFERENCIA.Desonerado,REFERENCIA.NaoDesonerado),2)</f>
        <v>589.23</v>
      </c>
      <c r="AH121" s="429">
        <f t="shared" ca="1" si="36"/>
        <v>0.23499999999999999</v>
      </c>
      <c r="AJ121" s="431">
        <f>ROUND(PI()*(19.21)^2/4*0.05,2)</f>
        <v>14.49</v>
      </c>
      <c r="AL121" s="439"/>
      <c r="AM121" s="336">
        <f t="shared" ca="1" si="0"/>
        <v>10544.37</v>
      </c>
      <c r="AN121" s="470">
        <f t="shared" ca="1" si="37"/>
        <v>727.7</v>
      </c>
    </row>
    <row r="122" spans="1:40" ht="25.5" x14ac:dyDescent="0.2">
      <c r="A122" t="str">
        <f t="shared" si="23"/>
        <v>S</v>
      </c>
      <c r="B122">
        <f t="shared" ca="1" si="24"/>
        <v>4</v>
      </c>
      <c r="C122" t="str">
        <f t="shared" ca="1" si="25"/>
        <v>S</v>
      </c>
      <c r="D122">
        <f t="shared" ca="1" si="26"/>
        <v>0</v>
      </c>
      <c r="E122">
        <f ca="1">IF($C122=1,OFFSET(E122,-1,0)+MAX(1,COUNTIF(QCI!$A$13:$A$15,OFFSET(ORÇAMENTO!E122,-1,0))),OFFSET(E122,-1,0))</f>
        <v>1</v>
      </c>
      <c r="F122">
        <f t="shared" ca="1" si="27"/>
        <v>5</v>
      </c>
      <c r="G122">
        <f t="shared" ca="1" si="28"/>
        <v>2</v>
      </c>
      <c r="H122">
        <f t="shared" ca="1" si="29"/>
        <v>2</v>
      </c>
      <c r="I122">
        <f t="shared" ca="1" si="30"/>
        <v>4</v>
      </c>
      <c r="J122">
        <f t="shared" ca="1" si="22"/>
        <v>0</v>
      </c>
      <c r="K122">
        <f ca="1">IF(OR($C122="S",$C122=0),0,MATCH(OFFSET($D122,0,$C122)+IF($C122&lt;&gt;1,1,COUNTIF(QCI!$A$13:$A$15,ORÇAMENTO!E122)),OFFSET($D122,1,$C122,ROW($C$508)-ROW($C122)),0))</f>
        <v>0</v>
      </c>
      <c r="L122" s="114" t="str">
        <f t="shared" ca="1" si="31"/>
        <v>F</v>
      </c>
      <c r="M122" s="115" t="s">
        <v>705</v>
      </c>
      <c r="N122" s="116" t="str">
        <f t="shared" ca="1" si="32"/>
        <v>Serviço</v>
      </c>
      <c r="O122" s="117" t="str">
        <f t="shared" ca="1" si="33"/>
        <v>1.5.2.2.4.</v>
      </c>
      <c r="P122" s="118" t="s">
        <v>956</v>
      </c>
      <c r="Q122" s="119" t="s">
        <v>1024</v>
      </c>
      <c r="R122" s="120" t="str">
        <f ca="1">IF($C122="S",REFERENCIA.Descricao,"(digite a descrição aqui)")</f>
        <v>FÔRMAS DE COMPENSADO RESINADO 10 MM - USO GERAL - UTILIZAÇÃO DE 3 VEZES - CONFECÇÃO, INSTALAÇÃO E RETIRADA</v>
      </c>
      <c r="S122" s="121" t="str">
        <f ca="1">REFERENCIA.Unidade</f>
        <v>M2</v>
      </c>
      <c r="T122" s="122">
        <f ca="1">OFFSET(CÁLCULO!H$15,ROW($T122)-ROW(T$15),0)</f>
        <v>334.26</v>
      </c>
      <c r="U122" s="123">
        <f t="shared" ca="1" si="21"/>
        <v>71.66</v>
      </c>
      <c r="V122" s="124" t="s">
        <v>663</v>
      </c>
      <c r="W122" s="122">
        <f ca="1">IF($C122="S",ROUND(IF(TIPOORCAMENTO="Proposto",ORÇAMENTO.CustoUnitario*(1+$AH122),ORÇAMENTO.PrecoUnitarioLicitado),15-13*$AF$10),0)</f>
        <v>88.5</v>
      </c>
      <c r="X122" s="125" cm="1">
        <f t="array" aca="1" ref="X122" ca="1">IF($C122="S",IF(OR(Import.TipoArredondamento&lt;&gt;"TransfereGOV",ACOMPANHAMENTO="BM"),VTOTAL1,SUM(OFFSET(CÁLCULO!$AI$15,ROW($X122)-ROW($X$15),1):OFFSET(CÁLCULO!$BB$15,ROW($X122)-ROW($X$15),-1))),IF($C122=0,0,ROUND(SomaAgrup,15-13*$AF$11)))</f>
        <v>29582.01</v>
      </c>
      <c r="Y122" s="126" t="s">
        <v>751</v>
      </c>
      <c r="Z122" t="str">
        <f t="shared" ca="1" si="34"/>
        <v>RA</v>
      </c>
      <c r="AA122" s="127">
        <f ca="1">IF($C122="S",IF($Z122="CP",$X122,IF($Z122="RA",(($X122)*QCI!$AA$3),0)),SomaAgrup)</f>
        <v>0</v>
      </c>
      <c r="AB122" s="128">
        <f t="shared" ca="1" si="35"/>
        <v>0</v>
      </c>
      <c r="AC122" s="565" t="str" cm="1">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IF(AND(_xlfn.SINGLE(TIPOORCAMENTO)="Licitado",$AL122=0,$AN122&gt;0),"SEM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t="str">
        <f ca="1">IF(C122&lt;=CRONO.NivelExibicao,MAX($AD$15:OFFSET(AD122,-1,0))+IF($C122&lt;&gt;1,1,MAX(1,COUNTIF(QCI!$A$13:$A$15,OFFSET($E122,-1,0)))),"")</f>
        <v/>
      </c>
      <c r="AE122" s="7" t="str">
        <f ca="1">IF(AND($C122="S",ORÇAMENTO.CodBarra&lt;&gt;""),IF(ORÇAMENTO.Fonte="",ORÇAMENTO.CodBarra,CONCATENATE(ORÇAMENTO.Fonte," ",ORÇAMENTO.CodBarra)))</f>
        <v>SICRO 3107997</v>
      </c>
      <c r="AF122" s="12">
        <f ca="1">IF(ISERROR(INDIRECT(ORÇAMENTO.BancoRef)),"(abra o arquivo 'Referência "&amp;Excel_BuiltIn_Database&amp;".xlsm)",IF(OR($C122&lt;&gt;"S",ORÇAMENTO.CodBarra=""),"(Sem Código)",IF(ISERROR(MATCH($AE122,INDIRECT(ORÇAMENTO.BancoRef),0)),"(Código não identificado nas referências)",MATCH($AE122,INDIRECT(ORÇAMENTO.BancoRef),0))))</f>
        <v>19900</v>
      </c>
      <c r="AG122" s="428">
        <f ca="1">ROUND(IF(DESONERACAO="sim",REFERENCIA.Desonerado,REFERENCIA.NaoDesonerado),2)</f>
        <v>71.66</v>
      </c>
      <c r="AH122" s="429">
        <f t="shared" ca="1" si="36"/>
        <v>0.23499999999999999</v>
      </c>
      <c r="AJ122" s="431">
        <v>334.26</v>
      </c>
      <c r="AL122" s="439"/>
      <c r="AM122" s="336">
        <f t="shared" ca="1" si="0"/>
        <v>29582.01</v>
      </c>
      <c r="AN122" s="470">
        <f t="shared" ca="1" si="37"/>
        <v>88.5</v>
      </c>
    </row>
    <row r="123" spans="1:40" ht="25.5" x14ac:dyDescent="0.2">
      <c r="A123" t="str">
        <f t="shared" si="23"/>
        <v>S</v>
      </c>
      <c r="B123">
        <f t="shared" ca="1" si="24"/>
        <v>4</v>
      </c>
      <c r="C123" t="str">
        <f t="shared" ca="1" si="25"/>
        <v>S</v>
      </c>
      <c r="D123">
        <f t="shared" ca="1" si="26"/>
        <v>0</v>
      </c>
      <c r="E123">
        <f ca="1">IF($C123=1,OFFSET(E123,-1,0)+MAX(1,COUNTIF(QCI!$A$13:$A$15,OFFSET(ORÇAMENTO!E123,-1,0))),OFFSET(E123,-1,0))</f>
        <v>1</v>
      </c>
      <c r="F123">
        <f t="shared" ca="1" si="27"/>
        <v>5</v>
      </c>
      <c r="G123">
        <f t="shared" ca="1" si="28"/>
        <v>2</v>
      </c>
      <c r="H123">
        <f t="shared" ca="1" si="29"/>
        <v>2</v>
      </c>
      <c r="I123">
        <f t="shared" ca="1" si="30"/>
        <v>5</v>
      </c>
      <c r="J123">
        <f t="shared" ca="1" si="22"/>
        <v>0</v>
      </c>
      <c r="K123">
        <f ca="1">IF(OR($C123="S",$C123=0),0,MATCH(OFFSET($D123,0,$C123)+IF($C123&lt;&gt;1,1,COUNTIF(QCI!$A$13:$A$15,ORÇAMENTO!E123)),OFFSET($D123,1,$C123,ROW($C$508)-ROW($C123)),0))</f>
        <v>0</v>
      </c>
      <c r="L123" s="114" t="str">
        <f t="shared" ca="1" si="31"/>
        <v>F</v>
      </c>
      <c r="M123" s="115" t="s">
        <v>705</v>
      </c>
      <c r="N123" s="116" t="str">
        <f t="shared" ca="1" si="32"/>
        <v>Serviço</v>
      </c>
      <c r="O123" s="117" t="str">
        <f t="shared" ca="1" si="33"/>
        <v>1.5.2.2.5.</v>
      </c>
      <c r="P123" s="118" t="s">
        <v>956</v>
      </c>
      <c r="Q123" s="119" t="s">
        <v>1019</v>
      </c>
      <c r="R123" s="120" t="str">
        <f ca="1">IF($C123="S",REFERENCIA.Descricao,"(digite a descrição aqui)")</f>
        <v>ARMAÇÃO EM AÇO CA-50 - FORNECIMENTO, PREPARO E COLOCAÇÃO</v>
      </c>
      <c r="S123" s="121" t="str">
        <f ca="1">REFERENCIA.Unidade</f>
        <v>KG</v>
      </c>
      <c r="T123" s="122">
        <f ca="1">OFFSET(CÁLCULO!H$15,ROW($T123)-ROW(T$15),0)</f>
        <v>16287.3</v>
      </c>
      <c r="U123" s="123">
        <f t="shared" ca="1" si="21"/>
        <v>12.08</v>
      </c>
      <c r="V123" s="124" t="s">
        <v>663</v>
      </c>
      <c r="W123" s="122">
        <f ca="1">IF($C123="S",ROUND(IF(TIPOORCAMENTO="Proposto",ORÇAMENTO.CustoUnitario*(1+$AH123),ORÇAMENTO.PrecoUnitarioLicitado),15-13*$AF$10),0)</f>
        <v>14.92</v>
      </c>
      <c r="X123" s="125" cm="1">
        <f t="array" aca="1" ref="X123" ca="1">IF($C123="S",IF(OR(Import.TipoArredondamento&lt;&gt;"TransfereGOV",ACOMPANHAMENTO="BM"),VTOTAL1,SUM(OFFSET(CÁLCULO!$AI$15,ROW($X123)-ROW($X$15),1):OFFSET(CÁLCULO!$BB$15,ROW($X123)-ROW($X$15),-1))),IF($C123=0,0,ROUND(SomaAgrup,15-13*$AF$11)))</f>
        <v>243006.52</v>
      </c>
      <c r="Y123" s="126" t="s">
        <v>751</v>
      </c>
      <c r="Z123" t="str">
        <f t="shared" ca="1" si="34"/>
        <v>RA</v>
      </c>
      <c r="AA123" s="127">
        <f ca="1">IF($C123="S",IF($Z123="CP",$X123,IF($Z123="RA",(($X123)*QCI!$AA$3),0)),SomaAgrup)</f>
        <v>0</v>
      </c>
      <c r="AB123" s="128">
        <f t="shared" ca="1" si="35"/>
        <v>0</v>
      </c>
      <c r="AC123" s="565" t="str" cm="1">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IF(AND(_xlfn.SINGLE(TIPOORCAMENTO)="Licitado",$AL123=0,$AN123&gt;0),"SEM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t="str">
        <f ca="1">IF(C123&lt;=CRONO.NivelExibicao,MAX($AD$15:OFFSET(AD123,-1,0))+IF($C123&lt;&gt;1,1,MAX(1,COUNTIF(QCI!$A$13:$A$15,OFFSET($E123,-1,0)))),"")</f>
        <v/>
      </c>
      <c r="AE123" s="7" t="str">
        <f ca="1">IF(AND($C123="S",ORÇAMENTO.CodBarra&lt;&gt;""),IF(ORÇAMENTO.Fonte="",ORÇAMENTO.CodBarra,CONCATENATE(ORÇAMENTO.Fonte," ",ORÇAMENTO.CodBarra)))</f>
        <v>SICRO 407819</v>
      </c>
      <c r="AF123" s="12">
        <f ca="1">IF(ISERROR(INDIRECT(ORÇAMENTO.BancoRef)),"(abra o arquivo 'Referência "&amp;Excel_BuiltIn_Database&amp;".xlsm)",IF(OR($C123&lt;&gt;"S",ORÇAMENTO.CodBarra=""),"(Sem Código)",IF(ISERROR(MATCH($AE123,INDIRECT(ORÇAMENTO.BancoRef),0)),"(Código não identificado nas referências)",MATCH($AE123,INDIRECT(ORÇAMENTO.BancoRef),0))))</f>
        <v>15833</v>
      </c>
      <c r="AG123" s="428">
        <f ca="1">ROUND(IF(DESONERACAO="sim",REFERENCIA.Desonerado,REFERENCIA.NaoDesonerado),2)</f>
        <v>12.08</v>
      </c>
      <c r="AH123" s="429">
        <f t="shared" ca="1" si="36"/>
        <v>0.23499999999999999</v>
      </c>
      <c r="AJ123" s="431">
        <f>20103.59-(AJ111+AJ128)</f>
        <v>16287.3</v>
      </c>
      <c r="AL123" s="439"/>
      <c r="AM123" s="336">
        <f t="shared" ca="1" si="0"/>
        <v>243006.52</v>
      </c>
      <c r="AN123" s="470">
        <f t="shared" ca="1" si="37"/>
        <v>14.92</v>
      </c>
    </row>
    <row r="124" spans="1:40" x14ac:dyDescent="0.2">
      <c r="A124">
        <f t="shared" si="23"/>
        <v>4</v>
      </c>
      <c r="B124">
        <f t="shared" ca="1" si="24"/>
        <v>4</v>
      </c>
      <c r="C124">
        <f t="shared" ca="1" si="25"/>
        <v>4</v>
      </c>
      <c r="D124">
        <f t="shared" ca="1" si="26"/>
        <v>5</v>
      </c>
      <c r="E124">
        <f ca="1">IF($C124=1,OFFSET(E124,-1,0)+MAX(1,COUNTIF(QCI!$A$13:$A$15,OFFSET(ORÇAMENTO!E124,-1,0))),OFFSET(E124,-1,0))</f>
        <v>1</v>
      </c>
      <c r="F124">
        <f t="shared" ca="1" si="27"/>
        <v>5</v>
      </c>
      <c r="G124">
        <f t="shared" ca="1" si="28"/>
        <v>2</v>
      </c>
      <c r="H124">
        <f t="shared" ca="1" si="29"/>
        <v>3</v>
      </c>
      <c r="I124">
        <f t="shared" ca="1" si="30"/>
        <v>0</v>
      </c>
      <c r="J124">
        <f t="shared" ca="1" si="22"/>
        <v>10</v>
      </c>
      <c r="K124">
        <f ca="1">IF(OR($C124="S",$C124=0),0,MATCH(OFFSET($D124,0,$C124)+IF($C124&lt;&gt;1,1,COUNTIF(QCI!$A$13:$A$15,ORÇAMENTO!E124)),OFFSET($D124,1,$C124,ROW($C$508)-ROW($C124)),0))</f>
        <v>5</v>
      </c>
      <c r="L124" s="114" t="str">
        <f t="shared" ca="1" si="31"/>
        <v>F</v>
      </c>
      <c r="M124" s="115" t="s">
        <v>704</v>
      </c>
      <c r="N124" s="116" t="str">
        <f t="shared" ca="1" si="32"/>
        <v>Nível 4</v>
      </c>
      <c r="O124" s="117" t="str">
        <f t="shared" ca="1" si="33"/>
        <v>1.5.2.3.</v>
      </c>
      <c r="P124" s="118" t="s">
        <v>750</v>
      </c>
      <c r="Q124" s="119"/>
      <c r="R124" s="120" t="s">
        <v>477</v>
      </c>
      <c r="S124" s="121" t="s">
        <v>688</v>
      </c>
      <c r="T124" s="122">
        <f ca="1">OFFSET(CÁLCULO!H$15,ROW($T124)-ROW(T$15),0)</f>
        <v>0</v>
      </c>
      <c r="U124" s="123">
        <f t="shared" ca="1" si="21"/>
        <v>0</v>
      </c>
      <c r="V124" s="124" t="s">
        <v>663</v>
      </c>
      <c r="W124" s="122">
        <f ca="1">IF($C124="S",ROUND(IF(TIPOORCAMENTO="Proposto",ORÇAMENTO.CustoUnitario*(1+$AH124),ORÇAMENTO.PrecoUnitarioLicitado),15-13*$AF$10),0)</f>
        <v>0</v>
      </c>
      <c r="X124" s="125" cm="1">
        <f t="array" aca="1" ref="X124" ca="1">IF($C124="S",IF(OR(Import.TipoArredondamento&lt;&gt;"TransfereGOV",ACOMPANHAMENTO="BM"),VTOTAL1,SUM(OFFSET(CÁLCULO!$AI$15,ROW($X124)-ROW($X$15),1):OFFSET(CÁLCULO!$BB$15,ROW($X124)-ROW($X$15),-1))),IF($C124=0,0,ROUND(SomaAgrup,15-13*$AF$11)))</f>
        <v>9649.64</v>
      </c>
      <c r="Y124" s="126" t="s">
        <v>751</v>
      </c>
      <c r="Z124" t="str">
        <f t="shared" ca="1" si="34"/>
        <v/>
      </c>
      <c r="AA124" s="127">
        <f ca="1">IF($C124="S",IF($Z124="CP",$X124,IF($Z124="RA",(($X124)*QCI!$AA$3),0)),SomaAgrup)</f>
        <v>0</v>
      </c>
      <c r="AB124" s="128">
        <f t="shared" ca="1" si="35"/>
        <v>0</v>
      </c>
      <c r="AC124" s="565" t="str" cm="1">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IF(AND(_xlfn.SINGLE(TIPOORCAMENTO)="Licitado",$AL124=0,$AN124&gt;0),"SEM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t="str">
        <f ca="1">IF(C124&lt;=CRONO.NivelExibicao,MAX($AD$15:OFFSET(AD124,-1,0))+IF($C124&lt;&gt;1,1,MAX(1,COUNTIF(QCI!$A$13:$A$15,OFFSET($E124,-1,0)))),"")</f>
        <v/>
      </c>
      <c r="AE124" s="7" t="b">
        <f ca="1">IF(AND($C124="S",ORÇAMENTO.CodBarra&lt;&gt;""),IF(ORÇAMENTO.Fonte="",ORÇAMENTO.CodBarra,CONCATENATE(ORÇAMENTO.Fonte," ",ORÇAMENTO.CodBarra)))</f>
        <v>0</v>
      </c>
      <c r="AF124" s="12" t="str">
        <f ca="1">IF(ISERROR(INDIRECT(ORÇAMENTO.BancoRef)),"(abra o arquivo 'Referência "&amp;Excel_BuiltIn_Database&amp;".xlsm)",IF(OR($C124&lt;&gt;"S",ORÇAMENTO.CodBarra=""),"(Sem Código)",IF(ISERROR(MATCH($AE124,INDIRECT(ORÇAMENTO.BancoRef),0)),"(Código não identificado nas referências)",MATCH($AE124,INDIRECT(ORÇAMENTO.BancoRef),0))))</f>
        <v>(Sem Código)</v>
      </c>
      <c r="AG124" s="428">
        <f ca="1">ROUND(IF(DESONERACAO="sim",REFERENCIA.Desonerado,REFERENCIA.NaoDesonerado),2)</f>
        <v>0</v>
      </c>
      <c r="AH124" s="429">
        <f t="shared" ca="1" si="36"/>
        <v>0.23499999999999999</v>
      </c>
      <c r="AJ124" s="431"/>
      <c r="AL124" s="439"/>
      <c r="AM124" s="336">
        <f t="shared" ca="1" si="0"/>
        <v>9649.64</v>
      </c>
      <c r="AN124" s="470">
        <f t="shared" ca="1" si="37"/>
        <v>0</v>
      </c>
    </row>
    <row r="125" spans="1:40" ht="38.25" x14ac:dyDescent="0.2">
      <c r="A125" t="str">
        <f t="shared" si="23"/>
        <v>S</v>
      </c>
      <c r="B125">
        <f t="shared" ca="1" si="24"/>
        <v>4</v>
      </c>
      <c r="C125" t="str">
        <f t="shared" ca="1" si="25"/>
        <v>S</v>
      </c>
      <c r="D125">
        <f t="shared" ca="1" si="26"/>
        <v>0</v>
      </c>
      <c r="E125">
        <f ca="1">IF($C125=1,OFFSET(E125,-1,0)+MAX(1,COUNTIF(QCI!$A$13:$A$15,OFFSET(ORÇAMENTO!E125,-1,0))),OFFSET(E125,-1,0))</f>
        <v>1</v>
      </c>
      <c r="F125">
        <f t="shared" ca="1" si="27"/>
        <v>5</v>
      </c>
      <c r="G125">
        <f t="shared" ca="1" si="28"/>
        <v>2</v>
      </c>
      <c r="H125">
        <f t="shared" ca="1" si="29"/>
        <v>3</v>
      </c>
      <c r="I125">
        <f t="shared" ca="1" si="30"/>
        <v>1</v>
      </c>
      <c r="J125">
        <f t="shared" ca="1" si="22"/>
        <v>0</v>
      </c>
      <c r="K125">
        <f ca="1">IF(OR($C125="S",$C125=0),0,MATCH(OFFSET($D125,0,$C125)+IF($C125&lt;&gt;1,1,COUNTIF(QCI!$A$13:$A$15,ORÇAMENTO!E125)),OFFSET($D125,1,$C125,ROW($C$508)-ROW($C125)),0))</f>
        <v>0</v>
      </c>
      <c r="L125" s="114" t="str">
        <f t="shared" ca="1" si="31"/>
        <v>F</v>
      </c>
      <c r="M125" s="115" t="s">
        <v>705</v>
      </c>
      <c r="N125" s="116" t="str">
        <f t="shared" ca="1" si="32"/>
        <v>Serviço</v>
      </c>
      <c r="O125" s="117" t="str">
        <f t="shared" ca="1" si="33"/>
        <v>1.5.2.3.1.</v>
      </c>
      <c r="P125" s="118" t="s">
        <v>750</v>
      </c>
      <c r="Q125" s="119" t="s">
        <v>1017</v>
      </c>
      <c r="R125" s="120" t="str">
        <f ca="1">IF($C125="S",REFERENCIA.Descricao,"(digite a descrição aqui)")</f>
        <v>CONCRETO FCK = 40MPA, TRAÇO 1:1,6:1,9 (EM MASSA SECA DE CIMENTO/ AREIA MÉDIA/ BRITA 1) - PREPARO MECÂNICO COM BETONEIRA 600 L. AF_05/2021</v>
      </c>
      <c r="S125" s="121" t="str">
        <f ca="1">REFERENCIA.Unidade</f>
        <v>M3</v>
      </c>
      <c r="T125" s="122">
        <f ca="1">OFFSET(CÁLCULO!H$15,ROW($T125)-ROW(T$15),0)</f>
        <v>3.08</v>
      </c>
      <c r="U125" s="123">
        <f t="shared" ca="1" si="21"/>
        <v>628.30999999999995</v>
      </c>
      <c r="V125" s="124" t="s">
        <v>663</v>
      </c>
      <c r="W125" s="122">
        <f ca="1">IF($C125="S",ROUND(IF(TIPOORCAMENTO="Proposto",ORÇAMENTO.CustoUnitario*(1+$AH125),ORÇAMENTO.PrecoUnitarioLicitado),15-13*$AF$10),0)</f>
        <v>775.96</v>
      </c>
      <c r="X125" s="125" cm="1">
        <f t="array" aca="1" ref="X125" ca="1">IF($C125="S",IF(OR(Import.TipoArredondamento&lt;&gt;"TransfereGOV",ACOMPANHAMENTO="BM"),VTOTAL1,SUM(OFFSET(CÁLCULO!$AI$15,ROW($X125)-ROW($X$15),1):OFFSET(CÁLCULO!$BB$15,ROW($X125)-ROW($X$15),-1))),IF($C125=0,0,ROUND(SomaAgrup,15-13*$AF$11)))</f>
        <v>2389.96</v>
      </c>
      <c r="Y125" s="126" t="s">
        <v>751</v>
      </c>
      <c r="Z125" t="str">
        <f t="shared" ca="1" si="34"/>
        <v>RA</v>
      </c>
      <c r="AA125" s="127">
        <f ca="1">IF($C125="S",IF($Z125="CP",$X125,IF($Z125="RA",(($X125)*QCI!$AA$3),0)),SomaAgrup)</f>
        <v>0</v>
      </c>
      <c r="AB125" s="128">
        <f t="shared" ca="1" si="35"/>
        <v>0</v>
      </c>
      <c r="AC125" s="565" t="str" cm="1">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IF(AND(_xlfn.SINGLE(TIPOORCAMENTO)="Licitado",$AL125=0,$AN125&gt;0),"SEM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t="str">
        <f ca="1">IF(C125&lt;=CRONO.NivelExibicao,MAX($AD$15:OFFSET(AD125,-1,0))+IF($C125&lt;&gt;1,1,MAX(1,COUNTIF(QCI!$A$13:$A$15,OFFSET($E125,-1,0)))),"")</f>
        <v/>
      </c>
      <c r="AE125" s="7" t="str">
        <f ca="1">IF(AND($C125="S",ORÇAMENTO.CodBarra&lt;&gt;""),IF(ORÇAMENTO.Fonte="",ORÇAMENTO.CodBarra,CONCATENATE(ORÇAMENTO.Fonte," ",ORÇAMENTO.CodBarra)))</f>
        <v>SINAPI 94973</v>
      </c>
      <c r="AF125" s="12">
        <f ca="1">IF(ISERROR(INDIRECT(ORÇAMENTO.BancoRef)),"(abra o arquivo 'Referência "&amp;Excel_BuiltIn_Database&amp;".xlsm)",IF(OR($C125&lt;&gt;"S",ORÇAMENTO.CodBarra=""),"(Sem Código)",IF(ISERROR(MATCH($AE125,INDIRECT(ORÇAMENTO.BancoRef),0)),"(Código não identificado nas referências)",MATCH($AE125,INDIRECT(ORÇAMENTO.BancoRef),0))))</f>
        <v>14326</v>
      </c>
      <c r="AG125" s="428">
        <f ca="1">ROUND(IF(DESONERACAO="sim",REFERENCIA.Desonerado,REFERENCIA.NaoDesonerado),2)</f>
        <v>628.30999999999995</v>
      </c>
      <c r="AH125" s="429">
        <f t="shared" ca="1" si="36"/>
        <v>0.23499999999999999</v>
      </c>
      <c r="AJ125" s="431">
        <v>3.08</v>
      </c>
      <c r="AL125" s="439"/>
      <c r="AM125" s="336">
        <f t="shared" ca="1" si="0"/>
        <v>2389.96</v>
      </c>
      <c r="AN125" s="470">
        <f t="shared" ca="1" si="37"/>
        <v>775.96</v>
      </c>
    </row>
    <row r="126" spans="1:40" ht="25.5" x14ac:dyDescent="0.2">
      <c r="A126" t="str">
        <f t="shared" si="23"/>
        <v>S</v>
      </c>
      <c r="B126">
        <f t="shared" ca="1" si="24"/>
        <v>4</v>
      </c>
      <c r="C126" t="str">
        <f t="shared" ca="1" si="25"/>
        <v>S</v>
      </c>
      <c r="D126">
        <f t="shared" ca="1" si="26"/>
        <v>0</v>
      </c>
      <c r="E126">
        <f ca="1">IF($C126=1,OFFSET(E126,-1,0)+MAX(1,COUNTIF(QCI!$A$13:$A$15,OFFSET(ORÇAMENTO!E126,-1,0))),OFFSET(E126,-1,0))</f>
        <v>1</v>
      </c>
      <c r="F126">
        <f t="shared" ca="1" si="27"/>
        <v>5</v>
      </c>
      <c r="G126">
        <f t="shared" ca="1" si="28"/>
        <v>2</v>
      </c>
      <c r="H126">
        <f t="shared" ca="1" si="29"/>
        <v>3</v>
      </c>
      <c r="I126">
        <f t="shared" ca="1" si="30"/>
        <v>2</v>
      </c>
      <c r="J126">
        <f t="shared" ca="1" si="22"/>
        <v>0</v>
      </c>
      <c r="K126">
        <f ca="1">IF(OR($C126="S",$C126=0),0,MATCH(OFFSET($D126,0,$C126)+IF($C126&lt;&gt;1,1,COUNTIF(QCI!$A$13:$A$15,ORÇAMENTO!E126)),OFFSET($D126,1,$C126,ROW($C$508)-ROW($C126)),0))</f>
        <v>0</v>
      </c>
      <c r="L126" s="114" t="str">
        <f t="shared" ca="1" si="31"/>
        <v>F</v>
      </c>
      <c r="M126" s="115" t="s">
        <v>705</v>
      </c>
      <c r="N126" s="116" t="str">
        <f t="shared" ca="1" si="32"/>
        <v>Serviço</v>
      </c>
      <c r="O126" s="117" t="str">
        <f t="shared" ca="1" si="33"/>
        <v>1.5.2.3.2.</v>
      </c>
      <c r="P126" s="118" t="s">
        <v>750</v>
      </c>
      <c r="Q126" s="119" t="s">
        <v>1018</v>
      </c>
      <c r="R126" s="120" t="str">
        <f ca="1">IF($C126="S",REFERENCIA.Descricao,"(digite a descrição aqui)")</f>
        <v>LANÇAMENTO COM USO DE BOMBA, ADENSAMENTO E ACABAMENTO DE CONCRETO EM ESTRUTURAS. AF_02/2022</v>
      </c>
      <c r="S126" s="121" t="str">
        <f ca="1">REFERENCIA.Unidade</f>
        <v>M3</v>
      </c>
      <c r="T126" s="122">
        <f ca="1">OFFSET(CÁLCULO!H$15,ROW($T126)-ROW(T$15),0)</f>
        <v>3.08</v>
      </c>
      <c r="U126" s="123">
        <f t="shared" ca="1" si="21"/>
        <v>44.5</v>
      </c>
      <c r="V126" s="124" t="s">
        <v>663</v>
      </c>
      <c r="W126" s="122">
        <f ca="1">IF($C126="S",ROUND(IF(TIPOORCAMENTO="Proposto",ORÇAMENTO.CustoUnitario*(1+$AH126),ORÇAMENTO.PrecoUnitarioLicitado),15-13*$AF$10),0)</f>
        <v>54.96</v>
      </c>
      <c r="X126" s="125" cm="1">
        <f t="array" aca="1" ref="X126" ca="1">IF($C126="S",IF(OR(Import.TipoArredondamento&lt;&gt;"TransfereGOV",ACOMPANHAMENTO="BM"),VTOTAL1,SUM(OFFSET(CÁLCULO!$AI$15,ROW($X126)-ROW($X$15),1):OFFSET(CÁLCULO!$BB$15,ROW($X126)-ROW($X$15),-1))),IF($C126=0,0,ROUND(SomaAgrup,15-13*$AF$11)))</f>
        <v>169.28</v>
      </c>
      <c r="Y126" s="126" t="s">
        <v>751</v>
      </c>
      <c r="Z126" t="str">
        <f t="shared" ca="1" si="34"/>
        <v>RA</v>
      </c>
      <c r="AA126" s="127">
        <f ca="1">IF($C126="S",IF($Z126="CP",$X126,IF($Z126="RA",(($X126)*QCI!$AA$3),0)),SomaAgrup)</f>
        <v>0</v>
      </c>
      <c r="AB126" s="128">
        <f t="shared" ca="1" si="35"/>
        <v>0</v>
      </c>
      <c r="AC126" s="565" t="str" cm="1">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IF(AND(_xlfn.SINGLE(TIPOORCAMENTO)="Licitado",$AL126=0,$AN126&gt;0),"SEM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t="str">
        <f ca="1">IF(C126&lt;=CRONO.NivelExibicao,MAX($AD$15:OFFSET(AD126,-1,0))+IF($C126&lt;&gt;1,1,MAX(1,COUNTIF(QCI!$A$13:$A$15,OFFSET($E126,-1,0)))),"")</f>
        <v/>
      </c>
      <c r="AE126" s="7" t="str">
        <f ca="1">IF(AND($C126="S",ORÇAMENTO.CodBarra&lt;&gt;""),IF(ORÇAMENTO.Fonte="",ORÇAMENTO.CodBarra,CONCATENATE(ORÇAMENTO.Fonte," ",ORÇAMENTO.CodBarra)))</f>
        <v>SINAPI 103673</v>
      </c>
      <c r="AF126" s="12">
        <f ca="1">IF(ISERROR(INDIRECT(ORÇAMENTO.BancoRef)),"(abra o arquivo 'Referência "&amp;Excel_BuiltIn_Database&amp;".xlsm)",IF(OR($C126&lt;&gt;"S",ORÇAMENTO.CodBarra=""),"(Sem Código)",IF(ISERROR(MATCH($AE126,INDIRECT(ORÇAMENTO.BancoRef),0)),"(Código não identificado nas referências)",MATCH($AE126,INDIRECT(ORÇAMENTO.BancoRef),0))))</f>
        <v>7334</v>
      </c>
      <c r="AG126" s="428">
        <f ca="1">ROUND(IF(DESONERACAO="sim",REFERENCIA.Desonerado,REFERENCIA.NaoDesonerado),2)</f>
        <v>44.5</v>
      </c>
      <c r="AH126" s="429">
        <f t="shared" ca="1" si="36"/>
        <v>0.23499999999999999</v>
      </c>
      <c r="AJ126" s="431">
        <f>AJ125</f>
        <v>3.08</v>
      </c>
      <c r="AL126" s="439"/>
      <c r="AM126" s="336">
        <f t="shared" ca="1" si="0"/>
        <v>169.28</v>
      </c>
      <c r="AN126" s="470">
        <f t="shared" ca="1" si="37"/>
        <v>54.96</v>
      </c>
    </row>
    <row r="127" spans="1:40" ht="25.5" x14ac:dyDescent="0.2">
      <c r="A127" t="str">
        <f t="shared" si="23"/>
        <v>S</v>
      </c>
      <c r="B127">
        <f t="shared" ca="1" si="24"/>
        <v>4</v>
      </c>
      <c r="C127" t="str">
        <f t="shared" ca="1" si="25"/>
        <v>S</v>
      </c>
      <c r="D127">
        <f t="shared" ca="1" si="26"/>
        <v>0</v>
      </c>
      <c r="E127">
        <f ca="1">IF($C127=1,OFFSET(E127,-1,0)+MAX(1,COUNTIF(QCI!$A$13:$A$15,OFFSET(ORÇAMENTO!E127,-1,0))),OFFSET(E127,-1,0))</f>
        <v>1</v>
      </c>
      <c r="F127">
        <f t="shared" ca="1" si="27"/>
        <v>5</v>
      </c>
      <c r="G127">
        <f t="shared" ca="1" si="28"/>
        <v>2</v>
      </c>
      <c r="H127">
        <f t="shared" ca="1" si="29"/>
        <v>3</v>
      </c>
      <c r="I127">
        <f t="shared" ca="1" si="30"/>
        <v>3</v>
      </c>
      <c r="J127">
        <f t="shared" ca="1" si="22"/>
        <v>0</v>
      </c>
      <c r="K127">
        <f ca="1">IF(OR($C127="S",$C127=0),0,MATCH(OFFSET($D127,0,$C127)+IF($C127&lt;&gt;1,1,COUNTIF(QCI!$A$13:$A$15,ORÇAMENTO!E127)),OFFSET($D127,1,$C127,ROW($C$508)-ROW($C127)),0))</f>
        <v>0</v>
      </c>
      <c r="L127" s="114" t="str">
        <f t="shared" ca="1" si="31"/>
        <v>F</v>
      </c>
      <c r="M127" s="115" t="s">
        <v>705</v>
      </c>
      <c r="N127" s="116" t="str">
        <f t="shared" ca="1" si="32"/>
        <v>Serviço</v>
      </c>
      <c r="O127" s="117" t="str">
        <f t="shared" ca="1" si="33"/>
        <v>1.5.2.3.3.</v>
      </c>
      <c r="P127" s="118" t="s">
        <v>956</v>
      </c>
      <c r="Q127" s="119" t="s">
        <v>1024</v>
      </c>
      <c r="R127" s="120" t="str">
        <f ca="1">IF($C127="S",REFERENCIA.Descricao,"(digite a descrição aqui)")</f>
        <v>FÔRMAS DE COMPENSADO RESINADO 10 MM - USO GERAL - UTILIZAÇÃO DE 3 VEZES - CONFECÇÃO, INSTALAÇÃO E RETIRADA</v>
      </c>
      <c r="S127" s="121" t="str">
        <f ca="1">REFERENCIA.Unidade</f>
        <v>M2</v>
      </c>
      <c r="T127" s="122">
        <f ca="1">OFFSET(CÁLCULO!H$15,ROW($T127)-ROW(T$15),0)</f>
        <v>15.54</v>
      </c>
      <c r="U127" s="123">
        <f t="shared" ca="1" si="21"/>
        <v>71.66</v>
      </c>
      <c r="V127" s="124" t="s">
        <v>663</v>
      </c>
      <c r="W127" s="122">
        <f ca="1">IF($C127="S",ROUND(IF(TIPOORCAMENTO="Proposto",ORÇAMENTO.CustoUnitario*(1+$AH127),ORÇAMENTO.PrecoUnitarioLicitado),15-13*$AF$10),0)</f>
        <v>88.5</v>
      </c>
      <c r="X127" s="125" cm="1">
        <f t="array" aca="1" ref="X127" ca="1">IF($C127="S",IF(OR(Import.TipoArredondamento&lt;&gt;"TransfereGOV",ACOMPANHAMENTO="BM"),VTOTAL1,SUM(OFFSET(CÁLCULO!$AI$15,ROW($X127)-ROW($X$15),1):OFFSET(CÁLCULO!$BB$15,ROW($X127)-ROW($X$15),-1))),IF($C127=0,0,ROUND(SomaAgrup,15-13*$AF$11)))</f>
        <v>1375.29</v>
      </c>
      <c r="Y127" s="126" t="s">
        <v>751</v>
      </c>
      <c r="Z127" t="str">
        <f t="shared" ca="1" si="34"/>
        <v>RA</v>
      </c>
      <c r="AA127" s="127">
        <f ca="1">IF($C127="S",IF($Z127="CP",$X127,IF($Z127="RA",(($X127)*QCI!$AA$3),0)),SomaAgrup)</f>
        <v>0</v>
      </c>
      <c r="AB127" s="128">
        <f t="shared" ca="1" si="35"/>
        <v>0</v>
      </c>
      <c r="AC127" s="565" t="str" cm="1">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IF(AND(_xlfn.SINGLE(TIPOORCAMENTO)="Licitado",$AL127=0,$AN127&gt;0),"SEM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t="str">
        <f ca="1">IF(C127&lt;=CRONO.NivelExibicao,MAX($AD$15:OFFSET(AD127,-1,0))+IF($C127&lt;&gt;1,1,MAX(1,COUNTIF(QCI!$A$13:$A$15,OFFSET($E127,-1,0)))),"")</f>
        <v/>
      </c>
      <c r="AE127" s="7" t="str">
        <f ca="1">IF(AND($C127="S",ORÇAMENTO.CodBarra&lt;&gt;""),IF(ORÇAMENTO.Fonte="",ORÇAMENTO.CodBarra,CONCATENATE(ORÇAMENTO.Fonte," ",ORÇAMENTO.CodBarra)))</f>
        <v>SICRO 3107997</v>
      </c>
      <c r="AF127" s="12">
        <f ca="1">IF(ISERROR(INDIRECT(ORÇAMENTO.BancoRef)),"(abra o arquivo 'Referência "&amp;Excel_BuiltIn_Database&amp;".xlsm)",IF(OR($C127&lt;&gt;"S",ORÇAMENTO.CodBarra=""),"(Sem Código)",IF(ISERROR(MATCH($AE127,INDIRECT(ORÇAMENTO.BancoRef),0)),"(Código não identificado nas referências)",MATCH($AE127,INDIRECT(ORÇAMENTO.BancoRef),0))))</f>
        <v>19900</v>
      </c>
      <c r="AG127" s="428">
        <f ca="1">ROUND(IF(DESONERACAO="sim",REFERENCIA.Desonerado,REFERENCIA.NaoDesonerado),2)</f>
        <v>71.66</v>
      </c>
      <c r="AH127" s="429">
        <f t="shared" ca="1" si="36"/>
        <v>0.23499999999999999</v>
      </c>
      <c r="AJ127" s="431">
        <v>15.54</v>
      </c>
      <c r="AL127" s="439"/>
      <c r="AM127" s="336">
        <f t="shared" ca="1" si="0"/>
        <v>1375.29</v>
      </c>
      <c r="AN127" s="470">
        <f t="shared" ca="1" si="37"/>
        <v>88.5</v>
      </c>
    </row>
    <row r="128" spans="1:40" ht="25.5" x14ac:dyDescent="0.2">
      <c r="A128" t="str">
        <f t="shared" si="23"/>
        <v>S</v>
      </c>
      <c r="B128">
        <f t="shared" ca="1" si="24"/>
        <v>4</v>
      </c>
      <c r="C128" t="str">
        <f t="shared" ca="1" si="25"/>
        <v>S</v>
      </c>
      <c r="D128">
        <f t="shared" ca="1" si="26"/>
        <v>0</v>
      </c>
      <c r="E128">
        <f ca="1">IF($C128=1,OFFSET(E128,-1,0)+MAX(1,COUNTIF(QCI!$A$13:$A$15,OFFSET(ORÇAMENTO!E128,-1,0))),OFFSET(E128,-1,0))</f>
        <v>1</v>
      </c>
      <c r="F128">
        <f t="shared" ca="1" si="27"/>
        <v>5</v>
      </c>
      <c r="G128">
        <f t="shared" ca="1" si="28"/>
        <v>2</v>
      </c>
      <c r="H128">
        <f t="shared" ca="1" si="29"/>
        <v>3</v>
      </c>
      <c r="I128">
        <f t="shared" ca="1" si="30"/>
        <v>4</v>
      </c>
      <c r="J128">
        <f t="shared" ca="1" si="22"/>
        <v>0</v>
      </c>
      <c r="K128">
        <f ca="1">IF(OR($C128="S",$C128=0),0,MATCH(OFFSET($D128,0,$C128)+IF($C128&lt;&gt;1,1,COUNTIF(QCI!$A$13:$A$15,ORÇAMENTO!E128)),OFFSET($D128,1,$C128,ROW($C$508)-ROW($C128)),0))</f>
        <v>0</v>
      </c>
      <c r="L128" s="114" t="str">
        <f t="shared" ca="1" si="31"/>
        <v>F</v>
      </c>
      <c r="M128" s="115" t="s">
        <v>705</v>
      </c>
      <c r="N128" s="116" t="str">
        <f t="shared" ca="1" si="32"/>
        <v>Serviço</v>
      </c>
      <c r="O128" s="117" t="str">
        <f t="shared" ca="1" si="33"/>
        <v>1.5.2.3.4.</v>
      </c>
      <c r="P128" s="118" t="s">
        <v>956</v>
      </c>
      <c r="Q128" s="119" t="s">
        <v>1019</v>
      </c>
      <c r="R128" s="120" t="str">
        <f ca="1">IF($C128="S",REFERENCIA.Descricao,"(digite a descrição aqui)")</f>
        <v>ARMAÇÃO EM AÇO CA-50 - FORNECIMENTO, PREPARO E COLOCAÇÃO</v>
      </c>
      <c r="S128" s="121" t="str">
        <f ca="1">REFERENCIA.Unidade</f>
        <v>KG</v>
      </c>
      <c r="T128" s="122">
        <f ca="1">OFFSET(CÁLCULO!H$15,ROW($T128)-ROW(T$15),0)</f>
        <v>383.05</v>
      </c>
      <c r="U128" s="123">
        <f t="shared" ca="1" si="21"/>
        <v>12.08</v>
      </c>
      <c r="V128" s="124" t="s">
        <v>663</v>
      </c>
      <c r="W128" s="122">
        <f ca="1">IF($C128="S",ROUND(IF(TIPOORCAMENTO="Proposto",ORÇAMENTO.CustoUnitario*(1+$AH128),ORÇAMENTO.PrecoUnitarioLicitado),15-13*$AF$10),0)</f>
        <v>14.92</v>
      </c>
      <c r="X128" s="125" cm="1">
        <f t="array" aca="1" ref="X128" ca="1">IF($C128="S",IF(OR(Import.TipoArredondamento&lt;&gt;"TransfereGOV",ACOMPANHAMENTO="BM"),VTOTAL1,SUM(OFFSET(CÁLCULO!$AI$15,ROW($X128)-ROW($X$15),1):OFFSET(CÁLCULO!$BB$15,ROW($X128)-ROW($X$15),-1))),IF($C128=0,0,ROUND(SomaAgrup,15-13*$AF$11)))</f>
        <v>5715.11</v>
      </c>
      <c r="Y128" s="126" t="s">
        <v>751</v>
      </c>
      <c r="Z128" t="str">
        <f t="shared" ca="1" si="34"/>
        <v>RA</v>
      </c>
      <c r="AA128" s="127">
        <f ca="1">IF($C128="S",IF($Z128="CP",$X128,IF($Z128="RA",(($X128)*QCI!$AA$3),0)),SomaAgrup)</f>
        <v>0</v>
      </c>
      <c r="AB128" s="128">
        <f t="shared" ca="1" si="35"/>
        <v>0</v>
      </c>
      <c r="AC128" s="565" t="str" cm="1">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IF(AND(_xlfn.SINGLE(TIPOORCAMENTO)="Licitado",$AL128=0,$AN128&gt;0),"SEM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t="str">
        <f ca="1">IF(C128&lt;=CRONO.NivelExibicao,MAX($AD$15:OFFSET(AD128,-1,0))+IF($C128&lt;&gt;1,1,MAX(1,COUNTIF(QCI!$A$13:$A$15,OFFSET($E128,-1,0)))),"")</f>
        <v/>
      </c>
      <c r="AE128" s="7" t="str">
        <f ca="1">IF(AND($C128="S",ORÇAMENTO.CodBarra&lt;&gt;""),IF(ORÇAMENTO.Fonte="",ORÇAMENTO.CodBarra,CONCATENATE(ORÇAMENTO.Fonte," ",ORÇAMENTO.CodBarra)))</f>
        <v>SICRO 407819</v>
      </c>
      <c r="AF128" s="12">
        <f ca="1">IF(ISERROR(INDIRECT(ORÇAMENTO.BancoRef)),"(abra o arquivo 'Referência "&amp;Excel_BuiltIn_Database&amp;".xlsm)",IF(OR($C128&lt;&gt;"S",ORÇAMENTO.CodBarra=""),"(Sem Código)",IF(ISERROR(MATCH($AE128,INDIRECT(ORÇAMENTO.BancoRef),0)),"(Código não identificado nas referências)",MATCH($AE128,INDIRECT(ORÇAMENTO.BancoRef),0))))</f>
        <v>15833</v>
      </c>
      <c r="AG128" s="428">
        <f ca="1">ROUND(IF(DESONERACAO="sim",REFERENCIA.Desonerado,REFERENCIA.NaoDesonerado),2)</f>
        <v>12.08</v>
      </c>
      <c r="AH128" s="429">
        <f t="shared" ca="1" si="36"/>
        <v>0.23499999999999999</v>
      </c>
      <c r="AJ128" s="431">
        <f>116.29+98.84+30.82+73.3+63.8</f>
        <v>383.05</v>
      </c>
      <c r="AL128" s="439"/>
      <c r="AM128" s="336">
        <f t="shared" ca="1" si="0"/>
        <v>5715.11</v>
      </c>
      <c r="AN128" s="470">
        <f t="shared" ca="1" si="37"/>
        <v>14.92</v>
      </c>
    </row>
    <row r="129" spans="1:40" x14ac:dyDescent="0.2">
      <c r="A129">
        <f t="shared" si="23"/>
        <v>4</v>
      </c>
      <c r="B129">
        <f t="shared" ca="1" si="24"/>
        <v>4</v>
      </c>
      <c r="C129">
        <f t="shared" ca="1" si="25"/>
        <v>4</v>
      </c>
      <c r="D129">
        <f t="shared" ca="1" si="26"/>
        <v>5</v>
      </c>
      <c r="E129">
        <f ca="1">IF($C129=1,OFFSET(E129,-1,0)+MAX(1,COUNTIF(QCI!$A$13:$A$15,OFFSET(ORÇAMENTO!E129,-1,0))),OFFSET(E129,-1,0))</f>
        <v>1</v>
      </c>
      <c r="F129">
        <f t="shared" ca="1" si="27"/>
        <v>5</v>
      </c>
      <c r="G129">
        <f t="shared" ca="1" si="28"/>
        <v>2</v>
      </c>
      <c r="H129">
        <f t="shared" ca="1" si="29"/>
        <v>4</v>
      </c>
      <c r="I129">
        <f t="shared" ca="1" si="30"/>
        <v>0</v>
      </c>
      <c r="J129">
        <f t="shared" ca="1" si="22"/>
        <v>5</v>
      </c>
      <c r="K129">
        <f ca="1">IF(OR($C129="S",$C129=0),0,MATCH(OFFSET($D129,0,$C129)+IF($C129&lt;&gt;1,1,COUNTIF(QCI!$A$13:$A$15,ORÇAMENTO!E129)),OFFSET($D129,1,$C129,ROW($C$508)-ROW($C129)),0))</f>
        <v>65</v>
      </c>
      <c r="L129" s="114" t="str">
        <f t="shared" ca="1" si="31"/>
        <v>F</v>
      </c>
      <c r="M129" s="115" t="s">
        <v>704</v>
      </c>
      <c r="N129" s="116" t="str">
        <f t="shared" ca="1" si="32"/>
        <v>Nível 4</v>
      </c>
      <c r="O129" s="117" t="str">
        <f t="shared" ca="1" si="33"/>
        <v>1.5.2.4.</v>
      </c>
      <c r="P129" s="118" t="s">
        <v>750</v>
      </c>
      <c r="Q129" s="119"/>
      <c r="R129" s="120" t="s">
        <v>1224</v>
      </c>
      <c r="S129" s="121" t="s">
        <v>688</v>
      </c>
      <c r="T129" s="122">
        <f ca="1">OFFSET(CÁLCULO!H$15,ROW($T129)-ROW(T$15),0)</f>
        <v>0</v>
      </c>
      <c r="U129" s="123">
        <f t="shared" ca="1" si="21"/>
        <v>0</v>
      </c>
      <c r="V129" s="124" t="s">
        <v>663</v>
      </c>
      <c r="W129" s="122">
        <f ca="1">IF($C129="S",ROUND(IF(TIPOORCAMENTO="Proposto",ORÇAMENTO.CustoUnitario*(1+$AH129),ORÇAMENTO.PrecoUnitarioLicitado),15-13*$AF$10),0)</f>
        <v>0</v>
      </c>
      <c r="X129" s="125" cm="1">
        <f t="array" aca="1" ref="X129" ca="1">IF($C129="S",IF(OR(Import.TipoArredondamento&lt;&gt;"TransfereGOV",ACOMPANHAMENTO="BM"),VTOTAL1,SUM(OFFSET(CÁLCULO!$AI$15,ROW($X129)-ROW($X$15),1):OFFSET(CÁLCULO!$BB$15,ROW($X129)-ROW($X$15),-1))),IF($C129=0,0,ROUND(SomaAgrup,15-13*$AF$11)))</f>
        <v>174303.95</v>
      </c>
      <c r="Y129" s="126" t="s">
        <v>751</v>
      </c>
      <c r="Z129" t="str">
        <f t="shared" ca="1" si="34"/>
        <v/>
      </c>
      <c r="AA129" s="127">
        <f ca="1">IF($C129="S",IF($Z129="CP",$X129,IF($Z129="RA",(($X129)*QCI!$AA$3),0)),SomaAgrup)</f>
        <v>0</v>
      </c>
      <c r="AB129" s="128">
        <f t="shared" ca="1" si="35"/>
        <v>0</v>
      </c>
      <c r="AC129" s="565" t="str" cm="1">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IF(AND(_xlfn.SINGLE(TIPOORCAMENTO)="Licitado",$AL129=0,$AN129&gt;0),"SEM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t="str">
        <f ca="1">IF(C129&lt;=CRONO.NivelExibicao,MAX($AD$15:OFFSET(AD129,-1,0))+IF($C129&lt;&gt;1,1,MAX(1,COUNTIF(QCI!$A$13:$A$15,OFFSET($E129,-1,0)))),"")</f>
        <v/>
      </c>
      <c r="AE129" s="7" t="b">
        <f ca="1">IF(AND($C129="S",ORÇAMENTO.CodBarra&lt;&gt;""),IF(ORÇAMENTO.Fonte="",ORÇAMENTO.CodBarra,CONCATENATE(ORÇAMENTO.Fonte," ",ORÇAMENTO.CodBarra)))</f>
        <v>0</v>
      </c>
      <c r="AF129" s="12" t="str">
        <f ca="1">IF(ISERROR(INDIRECT(ORÇAMENTO.BancoRef)),"(abra o arquivo 'Referência "&amp;Excel_BuiltIn_Database&amp;".xlsm)",IF(OR($C129&lt;&gt;"S",ORÇAMENTO.CodBarra=""),"(Sem Código)",IF(ISERROR(MATCH($AE129,INDIRECT(ORÇAMENTO.BancoRef),0)),"(Código não identificado nas referências)",MATCH($AE129,INDIRECT(ORÇAMENTO.BancoRef),0))))</f>
        <v>(Sem Código)</v>
      </c>
      <c r="AG129" s="428">
        <f ca="1">ROUND(IF(DESONERACAO="sim",REFERENCIA.Desonerado,REFERENCIA.NaoDesonerado),2)</f>
        <v>0</v>
      </c>
      <c r="AH129" s="429">
        <f t="shared" ca="1" si="36"/>
        <v>0.23499999999999999</v>
      </c>
      <c r="AJ129" s="431"/>
      <c r="AL129" s="439"/>
      <c r="AM129" s="336">
        <f t="shared" ca="1" si="0"/>
        <v>174303.95</v>
      </c>
      <c r="AN129" s="470">
        <f t="shared" ca="1" si="37"/>
        <v>0</v>
      </c>
    </row>
    <row r="130" spans="1:40" ht="38.25" x14ac:dyDescent="0.2">
      <c r="A130" t="str">
        <f t="shared" si="23"/>
        <v>S</v>
      </c>
      <c r="B130">
        <f t="shared" ca="1" si="24"/>
        <v>4</v>
      </c>
      <c r="C130" t="str">
        <f t="shared" ca="1" si="25"/>
        <v>S</v>
      </c>
      <c r="D130">
        <f t="shared" ca="1" si="26"/>
        <v>0</v>
      </c>
      <c r="E130">
        <f ca="1">IF($C130=1,OFFSET(E130,-1,0)+MAX(1,COUNTIF(QCI!$A$13:$A$15,OFFSET(ORÇAMENTO!E130,-1,0))),OFFSET(E130,-1,0))</f>
        <v>1</v>
      </c>
      <c r="F130">
        <f t="shared" ca="1" si="27"/>
        <v>5</v>
      </c>
      <c r="G130">
        <f t="shared" ca="1" si="28"/>
        <v>2</v>
      </c>
      <c r="H130">
        <f t="shared" ca="1" si="29"/>
        <v>4</v>
      </c>
      <c r="I130">
        <f t="shared" ca="1" si="30"/>
        <v>1</v>
      </c>
      <c r="J130">
        <f t="shared" ca="1" si="22"/>
        <v>0</v>
      </c>
      <c r="K130">
        <f ca="1">IF(OR($C130="S",$C130=0),0,MATCH(OFFSET($D130,0,$C130)+IF($C130&lt;&gt;1,1,COUNTIF(QCI!$A$13:$A$15,ORÇAMENTO!E130)),OFFSET($D130,1,$C130,ROW($C$508)-ROW($C130)),0))</f>
        <v>0</v>
      </c>
      <c r="L130" s="114" t="str">
        <f t="shared" ca="1" si="31"/>
        <v>F</v>
      </c>
      <c r="M130" s="115" t="s">
        <v>705</v>
      </c>
      <c r="N130" s="116" t="str">
        <f t="shared" ca="1" si="32"/>
        <v>Serviço</v>
      </c>
      <c r="O130" s="117" t="str">
        <f t="shared" ca="1" si="33"/>
        <v>1.5.2.4.1.</v>
      </c>
      <c r="P130" s="118" t="s">
        <v>750</v>
      </c>
      <c r="Q130" s="119" t="s">
        <v>1017</v>
      </c>
      <c r="R130" s="120" t="str">
        <f ca="1">IF($C130="S",REFERENCIA.Descricao,"(digite a descrição aqui)")</f>
        <v>CONCRETO FCK = 40MPA, TRAÇO 1:1,6:1,9 (EM MASSA SECA DE CIMENTO/ AREIA MÉDIA/ BRITA 1) - PREPARO MECÂNICO COM BETONEIRA 600 L. AF_05/2021</v>
      </c>
      <c r="S130" s="121" t="str">
        <f ca="1">REFERENCIA.Unidade</f>
        <v>M3</v>
      </c>
      <c r="T130" s="122">
        <f ca="1">OFFSET(CÁLCULO!H$15,ROW($T130)-ROW(T$15),0)</f>
        <v>47.87</v>
      </c>
      <c r="U130" s="123">
        <f t="shared" ca="1" si="21"/>
        <v>628.30999999999995</v>
      </c>
      <c r="V130" s="124" t="s">
        <v>663</v>
      </c>
      <c r="W130" s="122">
        <f ca="1">IF($C130="S",ROUND(IF(TIPOORCAMENTO="Proposto",ORÇAMENTO.CustoUnitario*(1+$AH130),ORÇAMENTO.PrecoUnitarioLicitado),15-13*$AF$10),0)</f>
        <v>775.96</v>
      </c>
      <c r="X130" s="125" cm="1">
        <f t="array" aca="1" ref="X130" ca="1">IF($C130="S",IF(OR(Import.TipoArredondamento&lt;&gt;"TransfereGOV",ACOMPANHAMENTO="BM"),VTOTAL1,SUM(OFFSET(CÁLCULO!$AI$15,ROW($X130)-ROW($X$15),1):OFFSET(CÁLCULO!$BB$15,ROW($X130)-ROW($X$15),-1))),IF($C130=0,0,ROUND(SomaAgrup,15-13*$AF$11)))</f>
        <v>37145.21</v>
      </c>
      <c r="Y130" s="126" t="s">
        <v>751</v>
      </c>
      <c r="Z130" t="str">
        <f t="shared" ca="1" si="34"/>
        <v>RA</v>
      </c>
      <c r="AA130" s="127">
        <f ca="1">IF($C130="S",IF($Z130="CP",$X130,IF($Z130="RA",(($X130)*QCI!$AA$3),0)),SomaAgrup)</f>
        <v>0</v>
      </c>
      <c r="AB130" s="128">
        <f t="shared" ca="1" si="35"/>
        <v>0</v>
      </c>
      <c r="AC130" s="565" t="str" cm="1">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IF(AND(_xlfn.SINGLE(TIPOORCAMENTO)="Licitado",$AL130=0,$AN130&gt;0),"SEM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t="str">
        <f ca="1">IF(C130&lt;=CRONO.NivelExibicao,MAX($AD$15:OFFSET(AD130,-1,0))+IF($C130&lt;&gt;1,1,MAX(1,COUNTIF(QCI!$A$13:$A$15,OFFSET($E130,-1,0)))),"")</f>
        <v/>
      </c>
      <c r="AE130" s="7" t="str">
        <f ca="1">IF(AND($C130="S",ORÇAMENTO.CodBarra&lt;&gt;""),IF(ORÇAMENTO.Fonte="",ORÇAMENTO.CodBarra,CONCATENATE(ORÇAMENTO.Fonte," ",ORÇAMENTO.CodBarra)))</f>
        <v>SINAPI 94973</v>
      </c>
      <c r="AF130" s="12">
        <f ca="1">IF(ISERROR(INDIRECT(ORÇAMENTO.BancoRef)),"(abra o arquivo 'Referência "&amp;Excel_BuiltIn_Database&amp;".xlsm)",IF(OR($C130&lt;&gt;"S",ORÇAMENTO.CodBarra=""),"(Sem Código)",IF(ISERROR(MATCH($AE130,INDIRECT(ORÇAMENTO.BancoRef),0)),"(Código não identificado nas referências)",MATCH($AE130,INDIRECT(ORÇAMENTO.BancoRef),0))))</f>
        <v>14326</v>
      </c>
      <c r="AG130" s="428">
        <f ca="1">ROUND(IF(DESONERACAO="sim",REFERENCIA.Desonerado,REFERENCIA.NaoDesonerado),2)</f>
        <v>628.30999999999995</v>
      </c>
      <c r="AH130" s="429">
        <f t="shared" ca="1" si="36"/>
        <v>0.23499999999999999</v>
      </c>
      <c r="AJ130" s="431">
        <v>47.87</v>
      </c>
      <c r="AL130" s="439"/>
      <c r="AM130" s="336">
        <f t="shared" ca="1" si="0"/>
        <v>37145.21</v>
      </c>
      <c r="AN130" s="470">
        <f t="shared" ca="1" si="37"/>
        <v>775.96</v>
      </c>
    </row>
    <row r="131" spans="1:40" ht="25.5" x14ac:dyDescent="0.2">
      <c r="A131" t="str">
        <f t="shared" si="23"/>
        <v>S</v>
      </c>
      <c r="B131">
        <f t="shared" ca="1" si="24"/>
        <v>4</v>
      </c>
      <c r="C131" t="str">
        <f t="shared" ca="1" si="25"/>
        <v>S</v>
      </c>
      <c r="D131">
        <f t="shared" ca="1" si="26"/>
        <v>0</v>
      </c>
      <c r="E131">
        <f ca="1">IF($C131=1,OFFSET(E131,-1,0)+MAX(1,COUNTIF(QCI!$A$13:$A$15,OFFSET(ORÇAMENTO!E131,-1,0))),OFFSET(E131,-1,0))</f>
        <v>1</v>
      </c>
      <c r="F131">
        <f t="shared" ca="1" si="27"/>
        <v>5</v>
      </c>
      <c r="G131">
        <f t="shared" ca="1" si="28"/>
        <v>2</v>
      </c>
      <c r="H131">
        <f t="shared" ca="1" si="29"/>
        <v>4</v>
      </c>
      <c r="I131">
        <f t="shared" ca="1" si="30"/>
        <v>2</v>
      </c>
      <c r="J131">
        <f t="shared" ca="1" si="22"/>
        <v>0</v>
      </c>
      <c r="K131">
        <f ca="1">IF(OR($C131="S",$C131=0),0,MATCH(OFFSET($D131,0,$C131)+IF($C131&lt;&gt;1,1,COUNTIF(QCI!$A$13:$A$15,ORÇAMENTO!E131)),OFFSET($D131,1,$C131,ROW($C$508)-ROW($C131)),0))</f>
        <v>0</v>
      </c>
      <c r="L131" s="114" t="str">
        <f t="shared" ca="1" si="31"/>
        <v>F</v>
      </c>
      <c r="M131" s="115" t="s">
        <v>705</v>
      </c>
      <c r="N131" s="116" t="str">
        <f t="shared" ca="1" si="32"/>
        <v>Serviço</v>
      </c>
      <c r="O131" s="117" t="str">
        <f t="shared" ca="1" si="33"/>
        <v>1.5.2.4.2.</v>
      </c>
      <c r="P131" s="118" t="s">
        <v>750</v>
      </c>
      <c r="Q131" s="119" t="s">
        <v>1018</v>
      </c>
      <c r="R131" s="120" t="str">
        <f ca="1">IF($C131="S",REFERENCIA.Descricao,"(digite a descrição aqui)")</f>
        <v>LANÇAMENTO COM USO DE BOMBA, ADENSAMENTO E ACABAMENTO DE CONCRETO EM ESTRUTURAS. AF_02/2022</v>
      </c>
      <c r="S131" s="121" t="str">
        <f ca="1">REFERENCIA.Unidade</f>
        <v>M3</v>
      </c>
      <c r="T131" s="122">
        <f ca="1">OFFSET(CÁLCULO!H$15,ROW($T131)-ROW(T$15),0)</f>
        <v>47.87</v>
      </c>
      <c r="U131" s="123">
        <f t="shared" ca="1" si="21"/>
        <v>44.5</v>
      </c>
      <c r="V131" s="124" t="s">
        <v>663</v>
      </c>
      <c r="W131" s="122">
        <f ca="1">IF($C131="S",ROUND(IF(TIPOORCAMENTO="Proposto",ORÇAMENTO.CustoUnitario*(1+$AH131),ORÇAMENTO.PrecoUnitarioLicitado),15-13*$AF$10),0)</f>
        <v>54.96</v>
      </c>
      <c r="X131" s="125" cm="1">
        <f t="array" aca="1" ref="X131" ca="1">IF($C131="S",IF(OR(Import.TipoArredondamento&lt;&gt;"TransfereGOV",ACOMPANHAMENTO="BM"),VTOTAL1,SUM(OFFSET(CÁLCULO!$AI$15,ROW($X131)-ROW($X$15),1):OFFSET(CÁLCULO!$BB$15,ROW($X131)-ROW($X$15),-1))),IF($C131=0,0,ROUND(SomaAgrup,15-13*$AF$11)))</f>
        <v>2630.94</v>
      </c>
      <c r="Y131" s="126" t="s">
        <v>751</v>
      </c>
      <c r="Z131" t="str">
        <f t="shared" ca="1" si="34"/>
        <v>RA</v>
      </c>
      <c r="AA131" s="127">
        <f ca="1">IF($C131="S",IF($Z131="CP",$X131,IF($Z131="RA",(($X131)*QCI!$AA$3),0)),SomaAgrup)</f>
        <v>0</v>
      </c>
      <c r="AB131" s="128">
        <f t="shared" ca="1" si="35"/>
        <v>0</v>
      </c>
      <c r="AC131" s="565" t="str" cm="1">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IF(AND(_xlfn.SINGLE(TIPOORCAMENTO)="Licitado",$AL131=0,$AN131&gt;0),"SEM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t="str">
        <f ca="1">IF(C131&lt;=CRONO.NivelExibicao,MAX($AD$15:OFFSET(AD131,-1,0))+IF($C131&lt;&gt;1,1,MAX(1,COUNTIF(QCI!$A$13:$A$15,OFFSET($E131,-1,0)))),"")</f>
        <v/>
      </c>
      <c r="AE131" s="7" t="str">
        <f ca="1">IF(AND($C131="S",ORÇAMENTO.CodBarra&lt;&gt;""),IF(ORÇAMENTO.Fonte="",ORÇAMENTO.CodBarra,CONCATENATE(ORÇAMENTO.Fonte," ",ORÇAMENTO.CodBarra)))</f>
        <v>SINAPI 103673</v>
      </c>
      <c r="AF131" s="12">
        <f ca="1">IF(ISERROR(INDIRECT(ORÇAMENTO.BancoRef)),"(abra o arquivo 'Referência "&amp;Excel_BuiltIn_Database&amp;".xlsm)",IF(OR($C131&lt;&gt;"S",ORÇAMENTO.CodBarra=""),"(Sem Código)",IF(ISERROR(MATCH($AE131,INDIRECT(ORÇAMENTO.BancoRef),0)),"(Código não identificado nas referências)",MATCH($AE131,INDIRECT(ORÇAMENTO.BancoRef),0))))</f>
        <v>7334</v>
      </c>
      <c r="AG131" s="428">
        <f ca="1">ROUND(IF(DESONERACAO="sim",REFERENCIA.Desonerado,REFERENCIA.NaoDesonerado),2)</f>
        <v>44.5</v>
      </c>
      <c r="AH131" s="429">
        <f t="shared" ca="1" si="36"/>
        <v>0.23499999999999999</v>
      </c>
      <c r="AJ131" s="431">
        <f>AJ130</f>
        <v>47.87</v>
      </c>
      <c r="AL131" s="439"/>
      <c r="AM131" s="336">
        <f t="shared" ca="1" si="0"/>
        <v>2630.94</v>
      </c>
      <c r="AN131" s="470">
        <f t="shared" ca="1" si="37"/>
        <v>54.96</v>
      </c>
    </row>
    <row r="132" spans="1:40" ht="25.5" x14ac:dyDescent="0.2">
      <c r="A132" t="str">
        <f t="shared" si="23"/>
        <v>S</v>
      </c>
      <c r="B132">
        <f t="shared" ca="1" si="24"/>
        <v>4</v>
      </c>
      <c r="C132" t="str">
        <f t="shared" ca="1" si="25"/>
        <v>S</v>
      </c>
      <c r="D132">
        <f t="shared" ca="1" si="26"/>
        <v>0</v>
      </c>
      <c r="E132">
        <f ca="1">IF($C132=1,OFFSET(E132,-1,0)+MAX(1,COUNTIF(QCI!$A$13:$A$15,OFFSET(ORÇAMENTO!E132,-1,0))),OFFSET(E132,-1,0))</f>
        <v>1</v>
      </c>
      <c r="F132">
        <f t="shared" ca="1" si="27"/>
        <v>5</v>
      </c>
      <c r="G132">
        <f t="shared" ca="1" si="28"/>
        <v>2</v>
      </c>
      <c r="H132">
        <f t="shared" ca="1" si="29"/>
        <v>4</v>
      </c>
      <c r="I132">
        <f t="shared" ca="1" si="30"/>
        <v>3</v>
      </c>
      <c r="J132">
        <f t="shared" ca="1" si="22"/>
        <v>0</v>
      </c>
      <c r="K132">
        <f ca="1">IF(OR($C132="S",$C132=0),0,MATCH(OFFSET($D132,0,$C132)+IF($C132&lt;&gt;1,1,COUNTIF(QCI!$A$13:$A$15,ORÇAMENTO!E132)),OFFSET($D132,1,$C132,ROW($C$508)-ROW($C132)),0))</f>
        <v>0</v>
      </c>
      <c r="L132" s="114" t="str">
        <f t="shared" ca="1" si="31"/>
        <v>F</v>
      </c>
      <c r="M132" s="115" t="s">
        <v>705</v>
      </c>
      <c r="N132" s="116" t="str">
        <f t="shared" ca="1" si="32"/>
        <v>Serviço</v>
      </c>
      <c r="O132" s="117" t="str">
        <f t="shared" ca="1" si="33"/>
        <v>1.5.2.4.3.</v>
      </c>
      <c r="P132" s="118" t="s">
        <v>956</v>
      </c>
      <c r="Q132" s="119" t="s">
        <v>1024</v>
      </c>
      <c r="R132" s="120" t="str">
        <f ca="1">IF($C132="S",REFERENCIA.Descricao,"(digite a descrição aqui)")</f>
        <v>FÔRMAS DE COMPENSADO RESINADO 10 MM - USO GERAL - UTILIZAÇÃO DE 3 VEZES - CONFECÇÃO, INSTALAÇÃO E RETIRADA</v>
      </c>
      <c r="S132" s="121" t="str">
        <f ca="1">REFERENCIA.Unidade</f>
        <v>M2</v>
      </c>
      <c r="T132" s="122">
        <f ca="1">OFFSET(CÁLCULO!H$15,ROW($T132)-ROW(T$15),0)</f>
        <v>450.4</v>
      </c>
      <c r="U132" s="123">
        <f t="shared" ca="1" si="21"/>
        <v>71.66</v>
      </c>
      <c r="V132" s="124" t="s">
        <v>663</v>
      </c>
      <c r="W132" s="122">
        <f ca="1">IF($C132="S",ROUND(IF(TIPOORCAMENTO="Proposto",ORÇAMENTO.CustoUnitario*(1+$AH132),ORÇAMENTO.PrecoUnitarioLicitado),15-13*$AF$10),0)</f>
        <v>88.5</v>
      </c>
      <c r="X132" s="125" cm="1">
        <f t="array" aca="1" ref="X132" ca="1">IF($C132="S",IF(OR(Import.TipoArredondamento&lt;&gt;"TransfereGOV",ACOMPANHAMENTO="BM"),VTOTAL1,SUM(OFFSET(CÁLCULO!$AI$15,ROW($X132)-ROW($X$15),1):OFFSET(CÁLCULO!$BB$15,ROW($X132)-ROW($X$15),-1))),IF($C132=0,0,ROUND(SomaAgrup,15-13*$AF$11)))</f>
        <v>39860.400000000001</v>
      </c>
      <c r="Y132" s="126" t="s">
        <v>751</v>
      </c>
      <c r="Z132" t="str">
        <f t="shared" ca="1" si="34"/>
        <v>RA</v>
      </c>
      <c r="AA132" s="127">
        <f ca="1">IF($C132="S",IF($Z132="CP",$X132,IF($Z132="RA",(($X132)*QCI!$AA$3),0)),SomaAgrup)</f>
        <v>0</v>
      </c>
      <c r="AB132" s="128">
        <f t="shared" ca="1" si="35"/>
        <v>0</v>
      </c>
      <c r="AC132" s="565" t="str" cm="1">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IF(AND(_xlfn.SINGLE(TIPOORCAMENTO)="Licitado",$AL132=0,$AN132&gt;0),"SEM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t="str">
        <f ca="1">IF(C132&lt;=CRONO.NivelExibicao,MAX($AD$15:OFFSET(AD132,-1,0))+IF($C132&lt;&gt;1,1,MAX(1,COUNTIF(QCI!$A$13:$A$15,OFFSET($E132,-1,0)))),"")</f>
        <v/>
      </c>
      <c r="AE132" s="7" t="str">
        <f ca="1">IF(AND($C132="S",ORÇAMENTO.CodBarra&lt;&gt;""),IF(ORÇAMENTO.Fonte="",ORÇAMENTO.CodBarra,CONCATENATE(ORÇAMENTO.Fonte," ",ORÇAMENTO.CodBarra)))</f>
        <v>SICRO 3107997</v>
      </c>
      <c r="AF132" s="12">
        <f ca="1">IF(ISERROR(INDIRECT(ORÇAMENTO.BancoRef)),"(abra o arquivo 'Referência "&amp;Excel_BuiltIn_Database&amp;".xlsm)",IF(OR($C132&lt;&gt;"S",ORÇAMENTO.CodBarra=""),"(Sem Código)",IF(ISERROR(MATCH($AE132,INDIRECT(ORÇAMENTO.BancoRef),0)),"(Código não identificado nas referências)",MATCH($AE132,INDIRECT(ORÇAMENTO.BancoRef),0))))</f>
        <v>19900</v>
      </c>
      <c r="AG132" s="428">
        <f ca="1">ROUND(IF(DESONERACAO="sim",REFERENCIA.Desonerado,REFERENCIA.NaoDesonerado),2)</f>
        <v>71.66</v>
      </c>
      <c r="AH132" s="429">
        <f t="shared" ca="1" si="36"/>
        <v>0.23499999999999999</v>
      </c>
      <c r="AJ132" s="431">
        <v>450.4</v>
      </c>
      <c r="AL132" s="439"/>
      <c r="AM132" s="336">
        <f t="shared" ca="1" si="0"/>
        <v>39860.400000000001</v>
      </c>
      <c r="AN132" s="470">
        <f t="shared" ca="1" si="37"/>
        <v>88.5</v>
      </c>
    </row>
    <row r="133" spans="1:40" ht="25.5" x14ac:dyDescent="0.2">
      <c r="A133" t="str">
        <f t="shared" si="23"/>
        <v>S</v>
      </c>
      <c r="B133">
        <f t="shared" ca="1" si="24"/>
        <v>4</v>
      </c>
      <c r="C133" t="str">
        <f t="shared" ca="1" si="25"/>
        <v>S</v>
      </c>
      <c r="D133">
        <f t="shared" ca="1" si="26"/>
        <v>0</v>
      </c>
      <c r="E133">
        <f ca="1">IF($C133=1,OFFSET(E133,-1,0)+MAX(1,COUNTIF(QCI!$A$13:$A$15,OFFSET(ORÇAMENTO!E133,-1,0))),OFFSET(E133,-1,0))</f>
        <v>1</v>
      </c>
      <c r="F133">
        <f t="shared" ca="1" si="27"/>
        <v>5</v>
      </c>
      <c r="G133">
        <f t="shared" ca="1" si="28"/>
        <v>2</v>
      </c>
      <c r="H133">
        <f t="shared" ca="1" si="29"/>
        <v>4</v>
      </c>
      <c r="I133">
        <f t="shared" ca="1" si="30"/>
        <v>4</v>
      </c>
      <c r="J133">
        <f t="shared" ca="1" si="22"/>
        <v>0</v>
      </c>
      <c r="K133">
        <f ca="1">IF(OR($C133="S",$C133=0),0,MATCH(OFFSET($D133,0,$C133)+IF($C133&lt;&gt;1,1,COUNTIF(QCI!$A$13:$A$15,ORÇAMENTO!E133)),OFFSET($D133,1,$C133,ROW($C$508)-ROW($C133)),0))</f>
        <v>0</v>
      </c>
      <c r="L133" s="114" t="str">
        <f t="shared" ca="1" si="31"/>
        <v>F</v>
      </c>
      <c r="M133" s="115" t="s">
        <v>705</v>
      </c>
      <c r="N133" s="116" t="str">
        <f t="shared" ca="1" si="32"/>
        <v>Serviço</v>
      </c>
      <c r="O133" s="117" t="str">
        <f t="shared" ca="1" si="33"/>
        <v>1.5.2.4.4.</v>
      </c>
      <c r="P133" s="118" t="s">
        <v>956</v>
      </c>
      <c r="Q133" s="119" t="s">
        <v>1019</v>
      </c>
      <c r="R133" s="120" t="str">
        <f ca="1">IF($C133="S",REFERENCIA.Descricao,"(digite a descrição aqui)")</f>
        <v>ARMAÇÃO EM AÇO CA-50 - FORNECIMENTO, PREPARO E COLOCAÇÃO</v>
      </c>
      <c r="S133" s="121" t="str">
        <f ca="1">REFERENCIA.Unidade</f>
        <v>KG</v>
      </c>
      <c r="T133" s="122">
        <f ca="1">OFFSET(CÁLCULO!H$15,ROW($T133)-ROW(T$15),0)</f>
        <v>6345</v>
      </c>
      <c r="U133" s="123">
        <f t="shared" ca="1" si="21"/>
        <v>12.08</v>
      </c>
      <c r="V133" s="124" t="s">
        <v>663</v>
      </c>
      <c r="W133" s="122">
        <f ca="1">IF($C133="S",ROUND(IF(TIPOORCAMENTO="Proposto",ORÇAMENTO.CustoUnitario*(1+$AH133),ORÇAMENTO.PrecoUnitarioLicitado),15-13*$AF$10),0)</f>
        <v>14.92</v>
      </c>
      <c r="X133" s="125" cm="1">
        <f t="array" aca="1" ref="X133" ca="1">IF($C133="S",IF(OR(Import.TipoArredondamento&lt;&gt;"TransfereGOV",ACOMPANHAMENTO="BM"),VTOTAL1,SUM(OFFSET(CÁLCULO!$AI$15,ROW($X133)-ROW($X$15),1):OFFSET(CÁLCULO!$BB$15,ROW($X133)-ROW($X$15),-1))),IF($C133=0,0,ROUND(SomaAgrup,15-13*$AF$11)))</f>
        <v>94667.4</v>
      </c>
      <c r="Y133" s="126" t="s">
        <v>751</v>
      </c>
      <c r="Z133" t="str">
        <f t="shared" ca="1" si="34"/>
        <v>RA</v>
      </c>
      <c r="AA133" s="127">
        <f ca="1">IF($C133="S",IF($Z133="CP",$X133,IF($Z133="RA",(($X133)*QCI!$AA$3),0)),SomaAgrup)</f>
        <v>0</v>
      </c>
      <c r="AB133" s="128">
        <f t="shared" ca="1" si="35"/>
        <v>0</v>
      </c>
      <c r="AC133" s="565" t="str" cm="1">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IF(AND(_xlfn.SINGLE(TIPOORCAMENTO)="Licitado",$AL133=0,$AN133&gt;0),"SEM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t="str">
        <f ca="1">IF(C133&lt;=CRONO.NivelExibicao,MAX($AD$15:OFFSET(AD133,-1,0))+IF($C133&lt;&gt;1,1,MAX(1,COUNTIF(QCI!$A$13:$A$15,OFFSET($E133,-1,0)))),"")</f>
        <v/>
      </c>
      <c r="AE133" s="7" t="str">
        <f ca="1">IF(AND($C133="S",ORÇAMENTO.CodBarra&lt;&gt;""),IF(ORÇAMENTO.Fonte="",ORÇAMENTO.CodBarra,CONCATENATE(ORÇAMENTO.Fonte," ",ORÇAMENTO.CodBarra)))</f>
        <v>SICRO 407819</v>
      </c>
      <c r="AF133" s="12">
        <f ca="1">IF(ISERROR(INDIRECT(ORÇAMENTO.BancoRef)),"(abra o arquivo 'Referência "&amp;Excel_BuiltIn_Database&amp;".xlsm)",IF(OR($C133&lt;&gt;"S",ORÇAMENTO.CodBarra=""),"(Sem Código)",IF(ISERROR(MATCH($AE133,INDIRECT(ORÇAMENTO.BancoRef),0)),"(Código não identificado nas referências)",MATCH($AE133,INDIRECT(ORÇAMENTO.BancoRef),0))))</f>
        <v>15833</v>
      </c>
      <c r="AG133" s="428">
        <f ca="1">ROUND(IF(DESONERACAO="sim",REFERENCIA.Desonerado,REFERENCIA.NaoDesonerado),2)</f>
        <v>12.08</v>
      </c>
      <c r="AH133" s="429">
        <f t="shared" ca="1" si="36"/>
        <v>0.23499999999999999</v>
      </c>
      <c r="AJ133" s="431">
        <v>6345</v>
      </c>
      <c r="AL133" s="439"/>
      <c r="AM133" s="336">
        <f t="shared" ca="1" si="0"/>
        <v>94667.4</v>
      </c>
      <c r="AN133" s="470">
        <f t="shared" ca="1" si="37"/>
        <v>14.92</v>
      </c>
    </row>
    <row r="134" spans="1:40" x14ac:dyDescent="0.2">
      <c r="A134">
        <f t="shared" si="23"/>
        <v>3</v>
      </c>
      <c r="B134">
        <f t="shared" ca="1" si="24"/>
        <v>3</v>
      </c>
      <c r="C134">
        <f t="shared" ca="1" si="25"/>
        <v>3</v>
      </c>
      <c r="D134">
        <f t="shared" ca="1" si="26"/>
        <v>6</v>
      </c>
      <c r="E134">
        <f ca="1">IF($C134=1,OFFSET(E134,-1,0)+MAX(1,COUNTIF(QCI!$A$13:$A$15,OFFSET(ORÇAMENTO!E134,-1,0))),OFFSET(E134,-1,0))</f>
        <v>1</v>
      </c>
      <c r="F134">
        <f t="shared" ca="1" si="27"/>
        <v>5</v>
      </c>
      <c r="G134">
        <f t="shared" ca="1" si="28"/>
        <v>3</v>
      </c>
      <c r="H134">
        <f t="shared" ca="1" si="29"/>
        <v>0</v>
      </c>
      <c r="I134">
        <f t="shared" ca="1" si="30"/>
        <v>0</v>
      </c>
      <c r="J134">
        <f t="shared" ca="1" si="22"/>
        <v>81</v>
      </c>
      <c r="K134">
        <f ca="1">IF(OR($C134="S",$C134=0),0,MATCH(OFFSET($D134,0,$C134)+IF($C134&lt;&gt;1,1,COUNTIF(QCI!$A$13:$A$15,ORÇAMENTO!E134)),OFFSET($D134,1,$C134,ROW($C$508)-ROW($C134)),0))</f>
        <v>6</v>
      </c>
      <c r="L134" s="114" t="str">
        <f t="shared" ca="1" si="31"/>
        <v>F</v>
      </c>
      <c r="M134" s="115" t="s">
        <v>703</v>
      </c>
      <c r="N134" s="116" t="str">
        <f t="shared" ca="1" si="32"/>
        <v>Nível 3</v>
      </c>
      <c r="O134" s="117" t="str">
        <f t="shared" ca="1" si="33"/>
        <v>1.5.3.</v>
      </c>
      <c r="P134" s="118" t="s">
        <v>750</v>
      </c>
      <c r="Q134" s="119"/>
      <c r="R134" s="120" t="s">
        <v>1225</v>
      </c>
      <c r="S134" s="121" t="s">
        <v>688</v>
      </c>
      <c r="T134" s="122">
        <f ca="1">OFFSET(CÁLCULO!H$15,ROW($T134)-ROW(T$15),0)</f>
        <v>0</v>
      </c>
      <c r="U134" s="123">
        <f t="shared" ca="1" si="21"/>
        <v>0</v>
      </c>
      <c r="V134" s="124" t="s">
        <v>663</v>
      </c>
      <c r="W134" s="122">
        <f ca="1">IF($C134="S",ROUND(IF(TIPOORCAMENTO="Proposto",ORÇAMENTO.CustoUnitario*(1+$AH134),ORÇAMENTO.PrecoUnitarioLicitado),15-13*$AF$10),0)</f>
        <v>0</v>
      </c>
      <c r="X134" s="125" cm="1">
        <f t="array" aca="1" ref="X134" ca="1">IF($C134="S",IF(OR(Import.TipoArredondamento&lt;&gt;"TransfereGOV",ACOMPANHAMENTO="BM"),VTOTAL1,SUM(OFFSET(CÁLCULO!$AI$15,ROW($X134)-ROW($X$15),1):OFFSET(CÁLCULO!$BB$15,ROW($X134)-ROW($X$15),-1))),IF($C134=0,0,ROUND(SomaAgrup,15-13*$AF$11)))</f>
        <v>214442.29</v>
      </c>
      <c r="Y134" s="126" t="s">
        <v>751</v>
      </c>
      <c r="Z134" t="str">
        <f t="shared" ca="1" si="34"/>
        <v/>
      </c>
      <c r="AA134" s="127">
        <f ca="1">IF($C134="S",IF($Z134="CP",$X134,IF($Z134="RA",(($X134)*QCI!$AA$3),0)),SomaAgrup)</f>
        <v>0</v>
      </c>
      <c r="AB134" s="128">
        <f t="shared" ca="1" si="35"/>
        <v>0</v>
      </c>
      <c r="AC134" s="565" t="str" cm="1">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IF(AND(_xlfn.SINGLE(TIPOORCAMENTO)="Licitado",$AL134=0,$AN134&gt;0),"SEM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t="str">
        <f ca="1">IF(C134&lt;=CRONO.NivelExibicao,MAX($AD$15:OFFSET(AD134,-1,0))+IF($C134&lt;&gt;1,1,MAX(1,COUNTIF(QCI!$A$13:$A$15,OFFSET($E134,-1,0)))),"")</f>
        <v/>
      </c>
      <c r="AE134" s="7" t="b">
        <f ca="1">IF(AND($C134="S",ORÇAMENTO.CodBarra&lt;&gt;""),IF(ORÇAMENTO.Fonte="",ORÇAMENTO.CodBarra,CONCATENATE(ORÇAMENTO.Fonte," ",ORÇAMENTO.CodBarra)))</f>
        <v>0</v>
      </c>
      <c r="AF134" s="12" t="str">
        <f ca="1">IF(ISERROR(INDIRECT(ORÇAMENTO.BancoRef)),"(abra o arquivo 'Referência "&amp;Excel_BuiltIn_Database&amp;".xlsm)",IF(OR($C134&lt;&gt;"S",ORÇAMENTO.CodBarra=""),"(Sem Código)",IF(ISERROR(MATCH($AE134,INDIRECT(ORÇAMENTO.BancoRef),0)),"(Código não identificado nas referências)",MATCH($AE134,INDIRECT(ORÇAMENTO.BancoRef),0))))</f>
        <v>(Sem Código)</v>
      </c>
      <c r="AG134" s="428">
        <f ca="1">ROUND(IF(DESONERACAO="sim",REFERENCIA.Desonerado,REFERENCIA.NaoDesonerado),2)</f>
        <v>0</v>
      </c>
      <c r="AH134" s="429">
        <f t="shared" ca="1" si="36"/>
        <v>0.23499999999999999</v>
      </c>
      <c r="AJ134" s="431"/>
      <c r="AL134" s="439"/>
      <c r="AM134" s="336">
        <f t="shared" ca="1" si="0"/>
        <v>214442.29</v>
      </c>
      <c r="AN134" s="470">
        <f t="shared" ca="1" si="37"/>
        <v>0</v>
      </c>
    </row>
    <row r="135" spans="1:40" ht="38.25" x14ac:dyDescent="0.2">
      <c r="A135" t="str">
        <f t="shared" si="23"/>
        <v>S</v>
      </c>
      <c r="B135">
        <f t="shared" ca="1" si="24"/>
        <v>3</v>
      </c>
      <c r="C135" t="str">
        <f t="shared" ca="1" si="25"/>
        <v>S</v>
      </c>
      <c r="D135">
        <f t="shared" ca="1" si="26"/>
        <v>0</v>
      </c>
      <c r="E135">
        <f ca="1">IF($C135=1,OFFSET(E135,-1,0)+MAX(1,COUNTIF(QCI!$A$13:$A$15,OFFSET(ORÇAMENTO!E135,-1,0))),OFFSET(E135,-1,0))</f>
        <v>1</v>
      </c>
      <c r="F135">
        <f t="shared" ca="1" si="27"/>
        <v>5</v>
      </c>
      <c r="G135">
        <f t="shared" ca="1" si="28"/>
        <v>3</v>
      </c>
      <c r="H135">
        <f t="shared" ca="1" si="29"/>
        <v>0</v>
      </c>
      <c r="I135">
        <f t="shared" ca="1" si="30"/>
        <v>1</v>
      </c>
      <c r="J135">
        <f t="shared" ca="1" si="22"/>
        <v>0</v>
      </c>
      <c r="K135">
        <f ca="1">IF(OR($C135="S",$C135=0),0,MATCH(OFFSET($D135,0,$C135)+IF($C135&lt;&gt;1,1,COUNTIF(QCI!$A$13:$A$15,ORÇAMENTO!E135)),OFFSET($D135,1,$C135,ROW($C$508)-ROW($C135)),0))</f>
        <v>0</v>
      </c>
      <c r="L135" s="114" t="str">
        <f t="shared" ca="1" si="31"/>
        <v>F</v>
      </c>
      <c r="M135" s="115" t="s">
        <v>705</v>
      </c>
      <c r="N135" s="116" t="str">
        <f t="shared" ca="1" si="32"/>
        <v>Serviço</v>
      </c>
      <c r="O135" s="117" t="str">
        <f t="shared" ca="1" si="33"/>
        <v>1.5.3.0.1.</v>
      </c>
      <c r="P135" s="118" t="s">
        <v>750</v>
      </c>
      <c r="Q135" s="119" t="s">
        <v>1017</v>
      </c>
      <c r="R135" s="120" t="str">
        <f ca="1">IF($C135="S",REFERENCIA.Descricao,"(digite a descrição aqui)")</f>
        <v>CONCRETO FCK = 40MPA, TRAÇO 1:1,6:1,9 (EM MASSA SECA DE CIMENTO/ AREIA MÉDIA/ BRITA 1) - PREPARO MECÂNICO COM BETONEIRA 600 L. AF_05/2021</v>
      </c>
      <c r="S135" s="121" t="str">
        <f ca="1">REFERENCIA.Unidade</f>
        <v>M3</v>
      </c>
      <c r="T135" s="122">
        <f ca="1">OFFSET(CÁLCULO!H$15,ROW($T135)-ROW(T$15),0)</f>
        <v>62.5</v>
      </c>
      <c r="U135" s="123">
        <f t="shared" ca="1" si="21"/>
        <v>628.30999999999995</v>
      </c>
      <c r="V135" s="124" t="s">
        <v>663</v>
      </c>
      <c r="W135" s="122">
        <f ca="1">IF($C135="S",ROUND(IF(TIPOORCAMENTO="Proposto",ORÇAMENTO.CustoUnitario*(1+$AH135),ORÇAMENTO.PrecoUnitarioLicitado),15-13*$AF$10),0)</f>
        <v>775.96</v>
      </c>
      <c r="X135" s="125" cm="1">
        <f t="array" aca="1" ref="X135" ca="1">IF($C135="S",IF(OR(Import.TipoArredondamento&lt;&gt;"TransfereGOV",ACOMPANHAMENTO="BM"),VTOTAL1,SUM(OFFSET(CÁLCULO!$AI$15,ROW($X135)-ROW($X$15),1):OFFSET(CÁLCULO!$BB$15,ROW($X135)-ROW($X$15),-1))),IF($C135=0,0,ROUND(SomaAgrup,15-13*$AF$11)))</f>
        <v>48497.5</v>
      </c>
      <c r="Y135" s="126" t="s">
        <v>751</v>
      </c>
      <c r="Z135" t="str">
        <f t="shared" ca="1" si="34"/>
        <v>RA</v>
      </c>
      <c r="AA135" s="127">
        <f ca="1">IF($C135="S",IF($Z135="CP",$X135,IF($Z135="RA",(($X135)*QCI!$AA$3),0)),SomaAgrup)</f>
        <v>0</v>
      </c>
      <c r="AB135" s="128">
        <f t="shared" ca="1" si="35"/>
        <v>0</v>
      </c>
      <c r="AC135" s="565" t="str" cm="1">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IF(AND(_xlfn.SINGLE(TIPOORCAMENTO)="Licitado",$AL135=0,$AN135&gt;0),"SEM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t="str">
        <f ca="1">IF(C135&lt;=CRONO.NivelExibicao,MAX($AD$15:OFFSET(AD135,-1,0))+IF($C135&lt;&gt;1,1,MAX(1,COUNTIF(QCI!$A$13:$A$15,OFFSET($E135,-1,0)))),"")</f>
        <v/>
      </c>
      <c r="AE135" s="7" t="str">
        <f ca="1">IF(AND($C135="S",ORÇAMENTO.CodBarra&lt;&gt;""),IF(ORÇAMENTO.Fonte="",ORÇAMENTO.CodBarra,CONCATENATE(ORÇAMENTO.Fonte," ",ORÇAMENTO.CodBarra)))</f>
        <v>SINAPI 94973</v>
      </c>
      <c r="AF135" s="12">
        <f ca="1">IF(ISERROR(INDIRECT(ORÇAMENTO.BancoRef)),"(abra o arquivo 'Referência "&amp;Excel_BuiltIn_Database&amp;".xlsm)",IF(OR($C135&lt;&gt;"S",ORÇAMENTO.CodBarra=""),"(Sem Código)",IF(ISERROR(MATCH($AE135,INDIRECT(ORÇAMENTO.BancoRef),0)),"(Código não identificado nas referências)",MATCH($AE135,INDIRECT(ORÇAMENTO.BancoRef),0))))</f>
        <v>14326</v>
      </c>
      <c r="AG135" s="428">
        <f ca="1">ROUND(IF(DESONERACAO="sim",REFERENCIA.Desonerado,REFERENCIA.NaoDesonerado),2)</f>
        <v>628.30999999999995</v>
      </c>
      <c r="AH135" s="429">
        <f t="shared" ca="1" si="36"/>
        <v>0.23499999999999999</v>
      </c>
      <c r="AJ135" s="431">
        <v>62.5</v>
      </c>
      <c r="AL135" s="439"/>
      <c r="AM135" s="336">
        <f t="shared" ca="1" si="0"/>
        <v>48497.5</v>
      </c>
      <c r="AN135" s="470">
        <f t="shared" ca="1" si="37"/>
        <v>775.96</v>
      </c>
    </row>
    <row r="136" spans="1:40" ht="25.5" x14ac:dyDescent="0.2">
      <c r="A136" t="str">
        <f t="shared" si="23"/>
        <v>S</v>
      </c>
      <c r="B136">
        <f t="shared" ca="1" si="24"/>
        <v>3</v>
      </c>
      <c r="C136" t="str">
        <f t="shared" ca="1" si="25"/>
        <v>S</v>
      </c>
      <c r="D136">
        <f t="shared" ca="1" si="26"/>
        <v>0</v>
      </c>
      <c r="E136">
        <f ca="1">IF($C136=1,OFFSET(E136,-1,0)+MAX(1,COUNTIF(QCI!$A$13:$A$15,OFFSET(ORÇAMENTO!E136,-1,0))),OFFSET(E136,-1,0))</f>
        <v>1</v>
      </c>
      <c r="F136">
        <f t="shared" ca="1" si="27"/>
        <v>5</v>
      </c>
      <c r="G136">
        <f t="shared" ca="1" si="28"/>
        <v>3</v>
      </c>
      <c r="H136">
        <f t="shared" ca="1" si="29"/>
        <v>0</v>
      </c>
      <c r="I136">
        <f t="shared" ca="1" si="30"/>
        <v>2</v>
      </c>
      <c r="J136">
        <f t="shared" ca="1" si="22"/>
        <v>0</v>
      </c>
      <c r="K136">
        <f ca="1">IF(OR($C136="S",$C136=0),0,MATCH(OFFSET($D136,0,$C136)+IF($C136&lt;&gt;1,1,COUNTIF(QCI!$A$13:$A$15,ORÇAMENTO!E136)),OFFSET($D136,1,$C136,ROW($C$508)-ROW($C136)),0))</f>
        <v>0</v>
      </c>
      <c r="L136" s="114" t="str">
        <f t="shared" ca="1" si="31"/>
        <v>F</v>
      </c>
      <c r="M136" s="115" t="s">
        <v>705</v>
      </c>
      <c r="N136" s="116" t="str">
        <f t="shared" ca="1" si="32"/>
        <v>Serviço</v>
      </c>
      <c r="O136" s="117" t="str">
        <f t="shared" ca="1" si="33"/>
        <v>1.5.3.0.2.</v>
      </c>
      <c r="P136" s="118" t="s">
        <v>750</v>
      </c>
      <c r="Q136" s="119" t="s">
        <v>1018</v>
      </c>
      <c r="R136" s="120" t="str">
        <f ca="1">IF($C136="S",REFERENCIA.Descricao,"(digite a descrição aqui)")</f>
        <v>LANÇAMENTO COM USO DE BOMBA, ADENSAMENTO E ACABAMENTO DE CONCRETO EM ESTRUTURAS. AF_02/2022</v>
      </c>
      <c r="S136" s="121" t="str">
        <f ca="1">REFERENCIA.Unidade</f>
        <v>M3</v>
      </c>
      <c r="T136" s="122">
        <f ca="1">OFFSET(CÁLCULO!H$15,ROW($T136)-ROW(T$15),0)</f>
        <v>62.5</v>
      </c>
      <c r="U136" s="123">
        <f t="shared" ca="1" si="21"/>
        <v>44.5</v>
      </c>
      <c r="V136" s="124" t="s">
        <v>663</v>
      </c>
      <c r="W136" s="122">
        <f ca="1">IF($C136="S",ROUND(IF(TIPOORCAMENTO="Proposto",ORÇAMENTO.CustoUnitario*(1+$AH136),ORÇAMENTO.PrecoUnitarioLicitado),15-13*$AF$10),0)</f>
        <v>54.96</v>
      </c>
      <c r="X136" s="125" cm="1">
        <f t="array" aca="1" ref="X136" ca="1">IF($C136="S",IF(OR(Import.TipoArredondamento&lt;&gt;"TransfereGOV",ACOMPANHAMENTO="BM"),VTOTAL1,SUM(OFFSET(CÁLCULO!$AI$15,ROW($X136)-ROW($X$15),1):OFFSET(CÁLCULO!$BB$15,ROW($X136)-ROW($X$15),-1))),IF($C136=0,0,ROUND(SomaAgrup,15-13*$AF$11)))</f>
        <v>3435</v>
      </c>
      <c r="Y136" s="126" t="s">
        <v>751</v>
      </c>
      <c r="Z136" t="str">
        <f t="shared" ca="1" si="34"/>
        <v>RA</v>
      </c>
      <c r="AA136" s="127">
        <f ca="1">IF($C136="S",IF($Z136="CP",$X136,IF($Z136="RA",(($X136)*QCI!$AA$3),0)),SomaAgrup)</f>
        <v>0</v>
      </c>
      <c r="AB136" s="128">
        <f t="shared" ca="1" si="35"/>
        <v>0</v>
      </c>
      <c r="AC136" s="565" t="str" cm="1">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IF(AND(_xlfn.SINGLE(TIPOORCAMENTO)="Licitado",$AL136=0,$AN136&gt;0),"SEM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t="str">
        <f ca="1">IF(C136&lt;=CRONO.NivelExibicao,MAX($AD$15:OFFSET(AD136,-1,0))+IF($C136&lt;&gt;1,1,MAX(1,COUNTIF(QCI!$A$13:$A$15,OFFSET($E136,-1,0)))),"")</f>
        <v/>
      </c>
      <c r="AE136" s="7" t="str">
        <f ca="1">IF(AND($C136="S",ORÇAMENTO.CodBarra&lt;&gt;""),IF(ORÇAMENTO.Fonte="",ORÇAMENTO.CodBarra,CONCATENATE(ORÇAMENTO.Fonte," ",ORÇAMENTO.CodBarra)))</f>
        <v>SINAPI 103673</v>
      </c>
      <c r="AF136" s="12">
        <f ca="1">IF(ISERROR(INDIRECT(ORÇAMENTO.BancoRef)),"(abra o arquivo 'Referência "&amp;Excel_BuiltIn_Database&amp;".xlsm)",IF(OR($C136&lt;&gt;"S",ORÇAMENTO.CodBarra=""),"(Sem Código)",IF(ISERROR(MATCH($AE136,INDIRECT(ORÇAMENTO.BancoRef),0)),"(Código não identificado nas referências)",MATCH($AE136,INDIRECT(ORÇAMENTO.BancoRef),0))))</f>
        <v>7334</v>
      </c>
      <c r="AG136" s="428">
        <f ca="1">ROUND(IF(DESONERACAO="sim",REFERENCIA.Desonerado,REFERENCIA.NaoDesonerado),2)</f>
        <v>44.5</v>
      </c>
      <c r="AH136" s="429">
        <f t="shared" ca="1" si="36"/>
        <v>0.23499999999999999</v>
      </c>
      <c r="AJ136" s="431">
        <f>AJ135</f>
        <v>62.5</v>
      </c>
      <c r="AL136" s="439"/>
      <c r="AM136" s="336">
        <f t="shared" ca="1" si="0"/>
        <v>3435</v>
      </c>
      <c r="AN136" s="470">
        <f t="shared" ca="1" si="37"/>
        <v>54.96</v>
      </c>
    </row>
    <row r="137" spans="1:40" ht="25.5" x14ac:dyDescent="0.2">
      <c r="A137" t="str">
        <f t="shared" si="23"/>
        <v>S</v>
      </c>
      <c r="B137">
        <f t="shared" ca="1" si="24"/>
        <v>3</v>
      </c>
      <c r="C137" t="str">
        <f t="shared" ca="1" si="25"/>
        <v>S</v>
      </c>
      <c r="D137">
        <f t="shared" ca="1" si="26"/>
        <v>0</v>
      </c>
      <c r="E137">
        <f ca="1">IF($C137=1,OFFSET(E137,-1,0)+MAX(1,COUNTIF(QCI!$A$13:$A$15,OFFSET(ORÇAMENTO!E137,-1,0))),OFFSET(E137,-1,0))</f>
        <v>1</v>
      </c>
      <c r="F137">
        <f t="shared" ca="1" si="27"/>
        <v>5</v>
      </c>
      <c r="G137">
        <f t="shared" ca="1" si="28"/>
        <v>3</v>
      </c>
      <c r="H137">
        <f t="shared" ca="1" si="29"/>
        <v>0</v>
      </c>
      <c r="I137">
        <f t="shared" ca="1" si="30"/>
        <v>3</v>
      </c>
      <c r="J137">
        <f t="shared" ca="1" si="22"/>
        <v>0</v>
      </c>
      <c r="K137">
        <f ca="1">IF(OR($C137="S",$C137=0),0,MATCH(OFFSET($D137,0,$C137)+IF($C137&lt;&gt;1,1,COUNTIF(QCI!$A$13:$A$15,ORÇAMENTO!E137)),OFFSET($D137,1,$C137,ROW($C$508)-ROW($C137)),0))</f>
        <v>0</v>
      </c>
      <c r="L137" s="114" t="str">
        <f t="shared" ca="1" si="31"/>
        <v>F</v>
      </c>
      <c r="M137" s="115" t="s">
        <v>705</v>
      </c>
      <c r="N137" s="116" t="str">
        <f t="shared" ca="1" si="32"/>
        <v>Serviço</v>
      </c>
      <c r="O137" s="117" t="str">
        <f t="shared" ca="1" si="33"/>
        <v>1.5.3.0.3.</v>
      </c>
      <c r="P137" s="118" t="s">
        <v>956</v>
      </c>
      <c r="Q137" s="119" t="s">
        <v>1024</v>
      </c>
      <c r="R137" s="120" t="str">
        <f ca="1">IF($C137="S",REFERENCIA.Descricao,"(digite a descrição aqui)")</f>
        <v>FÔRMAS DE COMPENSADO RESINADO 10 MM - USO GERAL - UTILIZAÇÃO DE 3 VEZES - CONFECÇÃO, INSTALAÇÃO E RETIRADA</v>
      </c>
      <c r="S137" s="121" t="str">
        <f ca="1">REFERENCIA.Unidade</f>
        <v>M2</v>
      </c>
      <c r="T137" s="122">
        <f ca="1">OFFSET(CÁLCULO!H$15,ROW($T137)-ROW(T$15),0)</f>
        <v>449.12</v>
      </c>
      <c r="U137" s="123">
        <f t="shared" ca="1" si="21"/>
        <v>71.66</v>
      </c>
      <c r="V137" s="124" t="s">
        <v>663</v>
      </c>
      <c r="W137" s="122">
        <f ca="1">IF($C137="S",ROUND(IF(TIPOORCAMENTO="Proposto",ORÇAMENTO.CustoUnitario*(1+$AH137),ORÇAMENTO.PrecoUnitarioLicitado),15-13*$AF$10),0)</f>
        <v>88.5</v>
      </c>
      <c r="X137" s="125" cm="1">
        <f t="array" aca="1" ref="X137" ca="1">IF($C137="S",IF(OR(Import.TipoArredondamento&lt;&gt;"TransfereGOV",ACOMPANHAMENTO="BM"),VTOTAL1,SUM(OFFSET(CÁLCULO!$AI$15,ROW($X137)-ROW($X$15),1):OFFSET(CÁLCULO!$BB$15,ROW($X137)-ROW($X$15),-1))),IF($C137=0,0,ROUND(SomaAgrup,15-13*$AF$11)))</f>
        <v>39747.120000000003</v>
      </c>
      <c r="Y137" s="126" t="s">
        <v>751</v>
      </c>
      <c r="Z137" t="str">
        <f t="shared" ca="1" si="34"/>
        <v>RA</v>
      </c>
      <c r="AA137" s="127">
        <f ca="1">IF($C137="S",IF($Z137="CP",$X137,IF($Z137="RA",(($X137)*QCI!$AA$3),0)),SomaAgrup)</f>
        <v>0</v>
      </c>
      <c r="AB137" s="128">
        <f t="shared" ca="1" si="35"/>
        <v>0</v>
      </c>
      <c r="AC137" s="565" t="str" cm="1">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IF(AND(_xlfn.SINGLE(TIPOORCAMENTO)="Licitado",$AL137=0,$AN137&gt;0),"SEM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t="str">
        <f ca="1">IF(C137&lt;=CRONO.NivelExibicao,MAX($AD$15:OFFSET(AD137,-1,0))+IF($C137&lt;&gt;1,1,MAX(1,COUNTIF(QCI!$A$13:$A$15,OFFSET($E137,-1,0)))),"")</f>
        <v/>
      </c>
      <c r="AE137" s="7" t="str">
        <f ca="1">IF(AND($C137="S",ORÇAMENTO.CodBarra&lt;&gt;""),IF(ORÇAMENTO.Fonte="",ORÇAMENTO.CodBarra,CONCATENATE(ORÇAMENTO.Fonte," ",ORÇAMENTO.CodBarra)))</f>
        <v>SICRO 3107997</v>
      </c>
      <c r="AF137" s="12">
        <f ca="1">IF(ISERROR(INDIRECT(ORÇAMENTO.BancoRef)),"(abra o arquivo 'Referência "&amp;Excel_BuiltIn_Database&amp;".xlsm)",IF(OR($C137&lt;&gt;"S",ORÇAMENTO.CodBarra=""),"(Sem Código)",IF(ISERROR(MATCH($AE137,INDIRECT(ORÇAMENTO.BancoRef),0)),"(Código não identificado nas referências)",MATCH($AE137,INDIRECT(ORÇAMENTO.BancoRef),0))))</f>
        <v>19900</v>
      </c>
      <c r="AG137" s="428">
        <f ca="1">ROUND(IF(DESONERACAO="sim",REFERENCIA.Desonerado,REFERENCIA.NaoDesonerado),2)</f>
        <v>71.66</v>
      </c>
      <c r="AH137" s="429">
        <f t="shared" ca="1" si="36"/>
        <v>0.23499999999999999</v>
      </c>
      <c r="AJ137" s="431">
        <v>449.12</v>
      </c>
      <c r="AL137" s="439"/>
      <c r="AM137" s="336">
        <f t="shared" ca="1" si="0"/>
        <v>39747.120000000003</v>
      </c>
      <c r="AN137" s="470">
        <f t="shared" ca="1" si="37"/>
        <v>88.5</v>
      </c>
    </row>
    <row r="138" spans="1:40" ht="25.5" x14ac:dyDescent="0.2">
      <c r="A138" t="str">
        <f t="shared" si="23"/>
        <v>S</v>
      </c>
      <c r="B138">
        <f t="shared" ca="1" si="24"/>
        <v>3</v>
      </c>
      <c r="C138" t="str">
        <f t="shared" ca="1" si="25"/>
        <v>S</v>
      </c>
      <c r="D138">
        <f t="shared" ca="1" si="26"/>
        <v>0</v>
      </c>
      <c r="E138">
        <f ca="1">IF($C138=1,OFFSET(E138,-1,0)+MAX(1,COUNTIF(QCI!$A$13:$A$15,OFFSET(ORÇAMENTO!E138,-1,0))),OFFSET(E138,-1,0))</f>
        <v>1</v>
      </c>
      <c r="F138">
        <f t="shared" ca="1" si="27"/>
        <v>5</v>
      </c>
      <c r="G138">
        <f t="shared" ca="1" si="28"/>
        <v>3</v>
      </c>
      <c r="H138">
        <f t="shared" ca="1" si="29"/>
        <v>0</v>
      </c>
      <c r="I138">
        <f t="shared" ca="1" si="30"/>
        <v>4</v>
      </c>
      <c r="J138">
        <f t="shared" ca="1" si="22"/>
        <v>0</v>
      </c>
      <c r="K138">
        <f ca="1">IF(OR($C138="S",$C138=0),0,MATCH(OFFSET($D138,0,$C138)+IF($C138&lt;&gt;1,1,COUNTIF(QCI!$A$13:$A$15,ORÇAMENTO!E138)),OFFSET($D138,1,$C138,ROW($C$508)-ROW($C138)),0))</f>
        <v>0</v>
      </c>
      <c r="L138" s="114" t="str">
        <f t="shared" ca="1" si="31"/>
        <v>F</v>
      </c>
      <c r="M138" s="115" t="s">
        <v>705</v>
      </c>
      <c r="N138" s="116" t="str">
        <f t="shared" ca="1" si="32"/>
        <v>Serviço</v>
      </c>
      <c r="O138" s="117" t="str">
        <f t="shared" ca="1" si="33"/>
        <v>1.5.3.0.4.</v>
      </c>
      <c r="P138" s="118" t="s">
        <v>956</v>
      </c>
      <c r="Q138" s="119" t="s">
        <v>1019</v>
      </c>
      <c r="R138" s="120" t="str">
        <f ca="1">IF($C138="S",REFERENCIA.Descricao,"(digite a descrição aqui)")</f>
        <v>ARMAÇÃO EM AÇO CA-50 - FORNECIMENTO, PREPARO E COLOCAÇÃO</v>
      </c>
      <c r="S138" s="121" t="str">
        <f ca="1">REFERENCIA.Unidade</f>
        <v>KG</v>
      </c>
      <c r="T138" s="122">
        <f ca="1">OFFSET(CÁLCULO!H$15,ROW($T138)-ROW(T$15),0)</f>
        <v>7036</v>
      </c>
      <c r="U138" s="123">
        <f t="shared" ca="1" si="21"/>
        <v>12.08</v>
      </c>
      <c r="V138" s="124" t="s">
        <v>663</v>
      </c>
      <c r="W138" s="122">
        <f ca="1">IF($C138="S",ROUND(IF(TIPOORCAMENTO="Proposto",ORÇAMENTO.CustoUnitario*(1+$AH138),ORÇAMENTO.PrecoUnitarioLicitado),15-13*$AF$10),0)</f>
        <v>14.92</v>
      </c>
      <c r="X138" s="125" cm="1">
        <f t="array" aca="1" ref="X138" ca="1">IF($C138="S",IF(OR(Import.TipoArredondamento&lt;&gt;"TransfereGOV",ACOMPANHAMENTO="BM"),VTOTAL1,SUM(OFFSET(CÁLCULO!$AI$15,ROW($X138)-ROW($X$15),1):OFFSET(CÁLCULO!$BB$15,ROW($X138)-ROW($X$15),-1))),IF($C138=0,0,ROUND(SomaAgrup,15-13*$AF$11)))</f>
        <v>104977.12</v>
      </c>
      <c r="Y138" s="126" t="s">
        <v>751</v>
      </c>
      <c r="Z138" t="str">
        <f t="shared" ca="1" si="34"/>
        <v>RA</v>
      </c>
      <c r="AA138" s="127">
        <f ca="1">IF($C138="S",IF($Z138="CP",$X138,IF($Z138="RA",(($X138)*QCI!$AA$3),0)),SomaAgrup)</f>
        <v>0</v>
      </c>
      <c r="AB138" s="128">
        <f t="shared" ca="1" si="35"/>
        <v>0</v>
      </c>
      <c r="AC138" s="565" t="str" cm="1">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IF(AND(_xlfn.SINGLE(TIPOORCAMENTO)="Licitado",$AL138=0,$AN138&gt;0),"SEM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t="str">
        <f ca="1">IF(C138&lt;=CRONO.NivelExibicao,MAX($AD$15:OFFSET(AD138,-1,0))+IF($C138&lt;&gt;1,1,MAX(1,COUNTIF(QCI!$A$13:$A$15,OFFSET($E138,-1,0)))),"")</f>
        <v/>
      </c>
      <c r="AE138" s="7" t="str">
        <f ca="1">IF(AND($C138="S",ORÇAMENTO.CodBarra&lt;&gt;""),IF(ORÇAMENTO.Fonte="",ORÇAMENTO.CodBarra,CONCATENATE(ORÇAMENTO.Fonte," ",ORÇAMENTO.CodBarra)))</f>
        <v>SICRO 407819</v>
      </c>
      <c r="AF138" s="12">
        <f ca="1">IF(ISERROR(INDIRECT(ORÇAMENTO.BancoRef)),"(abra o arquivo 'Referência "&amp;Excel_BuiltIn_Database&amp;".xlsm)",IF(OR($C138&lt;&gt;"S",ORÇAMENTO.CodBarra=""),"(Sem Código)",IF(ISERROR(MATCH($AE138,INDIRECT(ORÇAMENTO.BancoRef),0)),"(Código não identificado nas referências)",MATCH($AE138,INDIRECT(ORÇAMENTO.BancoRef),0))))</f>
        <v>15833</v>
      </c>
      <c r="AG138" s="428">
        <f ca="1">ROUND(IF(DESONERACAO="sim",REFERENCIA.Desonerado,REFERENCIA.NaoDesonerado),2)</f>
        <v>12.08</v>
      </c>
      <c r="AH138" s="429">
        <f t="shared" ca="1" si="36"/>
        <v>0.23499999999999999</v>
      </c>
      <c r="AJ138" s="431">
        <v>7036</v>
      </c>
      <c r="AL138" s="439"/>
      <c r="AM138" s="336">
        <f t="shared" ca="1" si="0"/>
        <v>104977.12</v>
      </c>
      <c r="AN138" s="470">
        <f t="shared" ca="1" si="37"/>
        <v>14.92</v>
      </c>
    </row>
    <row r="139" spans="1:40" ht="25.5" x14ac:dyDescent="0.2">
      <c r="A139" t="str">
        <f t="shared" si="23"/>
        <v>S</v>
      </c>
      <c r="B139">
        <f t="shared" ca="1" si="24"/>
        <v>3</v>
      </c>
      <c r="C139" t="str">
        <f t="shared" ca="1" si="25"/>
        <v>S</v>
      </c>
      <c r="D139">
        <f t="shared" ca="1" si="26"/>
        <v>0</v>
      </c>
      <c r="E139">
        <f ca="1">IF($C139=1,OFFSET(E139,-1,0)+MAX(1,COUNTIF(QCI!$A$13:$A$15,OFFSET(ORÇAMENTO!E139,-1,0))),OFFSET(E139,-1,0))</f>
        <v>1</v>
      </c>
      <c r="F139">
        <f t="shared" ca="1" si="27"/>
        <v>5</v>
      </c>
      <c r="G139">
        <f t="shared" ca="1" si="28"/>
        <v>3</v>
      </c>
      <c r="H139">
        <f t="shared" ca="1" si="29"/>
        <v>0</v>
      </c>
      <c r="I139">
        <f t="shared" ca="1" si="30"/>
        <v>5</v>
      </c>
      <c r="J139">
        <f t="shared" ca="1" si="22"/>
        <v>0</v>
      </c>
      <c r="K139">
        <f ca="1">IF(OR($C139="S",$C139=0),0,MATCH(OFFSET($D139,0,$C139)+IF($C139&lt;&gt;1,1,COUNTIF(QCI!$A$13:$A$15,ORÇAMENTO!E139)),OFFSET($D139,1,$C139,ROW($C$508)-ROW($C139)),0))</f>
        <v>0</v>
      </c>
      <c r="L139" s="114" t="str">
        <f t="shared" ca="1" si="31"/>
        <v>F</v>
      </c>
      <c r="M139" s="115" t="s">
        <v>705</v>
      </c>
      <c r="N139" s="116" t="str">
        <f t="shared" ca="1" si="32"/>
        <v>Serviço</v>
      </c>
      <c r="O139" s="117" t="str">
        <f t="shared" ca="1" si="33"/>
        <v>1.5.3.0.5.</v>
      </c>
      <c r="P139" s="118" t="s">
        <v>750</v>
      </c>
      <c r="Q139" s="119" t="s">
        <v>1029</v>
      </c>
      <c r="R139" s="120" t="str">
        <f ca="1">IF($C139="S",REFERENCIA.Descricao,"(digite a descrição aqui)")</f>
        <v>ARMAÇÃO DO SISTEMA DE PAREDES DE CONCRETO, EXECUTADA COMO ARMADURA POSITIVA DE LAJES, TELA Q-113. AF_12/2024</v>
      </c>
      <c r="S139" s="121" t="str">
        <f ca="1">REFERENCIA.Unidade</f>
        <v>KG</v>
      </c>
      <c r="T139" s="122">
        <f ca="1">OFFSET(CÁLCULO!H$15,ROW($T139)-ROW(T$15),0)</f>
        <v>1306.8</v>
      </c>
      <c r="U139" s="123">
        <f t="shared" ca="1" si="21"/>
        <v>11.02</v>
      </c>
      <c r="V139" s="124" t="s">
        <v>663</v>
      </c>
      <c r="W139" s="122">
        <f ca="1">IF($C139="S",ROUND(IF(TIPOORCAMENTO="Proposto",ORÇAMENTO.CustoUnitario*(1+$AH139),ORÇAMENTO.PrecoUnitarioLicitado),15-13*$AF$10),0)</f>
        <v>13.61</v>
      </c>
      <c r="X139" s="125" cm="1">
        <f t="array" aca="1" ref="X139" ca="1">IF($C139="S",IF(OR(Import.TipoArredondamento&lt;&gt;"TransfereGOV",ACOMPANHAMENTO="BM"),VTOTAL1,SUM(OFFSET(CÁLCULO!$AI$15,ROW($X139)-ROW($X$15),1):OFFSET(CÁLCULO!$BB$15,ROW($X139)-ROW($X$15),-1))),IF($C139=0,0,ROUND(SomaAgrup,15-13*$AF$11)))</f>
        <v>17785.55</v>
      </c>
      <c r="Y139" s="126" t="s">
        <v>751</v>
      </c>
      <c r="Z139" t="str">
        <f t="shared" ca="1" si="34"/>
        <v>RA</v>
      </c>
      <c r="AA139" s="127">
        <f ca="1">IF($C139="S",IF($Z139="CP",$X139,IF($Z139="RA",(($X139)*QCI!$AA$3),0)),SomaAgrup)</f>
        <v>0</v>
      </c>
      <c r="AB139" s="128">
        <f t="shared" ca="1" si="35"/>
        <v>0</v>
      </c>
      <c r="AC139" s="565" t="str" cm="1">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IF(AND(_xlfn.SINGLE(TIPOORCAMENTO)="Licitado",$AL139=0,$AN139&gt;0),"SEM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t="str">
        <f ca="1">IF(C139&lt;=CRONO.NivelExibicao,MAX($AD$15:OFFSET(AD139,-1,0))+IF($C139&lt;&gt;1,1,MAX(1,COUNTIF(QCI!$A$13:$A$15,OFFSET($E139,-1,0)))),"")</f>
        <v/>
      </c>
      <c r="AE139" s="7" t="str">
        <f ca="1">IF(AND($C139="S",ORÇAMENTO.CodBarra&lt;&gt;""),IF(ORÇAMENTO.Fonte="",ORÇAMENTO.CodBarra,CONCATENATE(ORÇAMENTO.Fonte," ",ORÇAMENTO.CodBarra)))</f>
        <v>SINAPI 91598</v>
      </c>
      <c r="AF139" s="12">
        <f ca="1">IF(ISERROR(INDIRECT(ORÇAMENTO.BancoRef)),"(abra o arquivo 'Referência "&amp;Excel_BuiltIn_Database&amp;".xlsm)",IF(OR($C139&lt;&gt;"S",ORÇAMENTO.CodBarra=""),"(Sem Código)",IF(ISERROR(MATCH($AE139,INDIRECT(ORÇAMENTO.BancoRef),0)),"(Código não identificado nas referências)",MATCH($AE139,INDIRECT(ORÇAMENTO.BancoRef),0))))</f>
        <v>13522</v>
      </c>
      <c r="AG139" s="428">
        <f ca="1">ROUND(IF(DESONERACAO="sim",REFERENCIA.Desonerado,REFERENCIA.NaoDesonerado),2)</f>
        <v>11.02</v>
      </c>
      <c r="AH139" s="429">
        <f t="shared" ca="1" si="36"/>
        <v>0.23499999999999999</v>
      </c>
      <c r="AJ139" s="431">
        <v>1306.8</v>
      </c>
      <c r="AL139" s="439"/>
      <c r="AM139" s="336">
        <f t="shared" ca="1" si="0"/>
        <v>17785.55</v>
      </c>
      <c r="AN139" s="470">
        <f t="shared" ca="1" si="37"/>
        <v>13.61</v>
      </c>
    </row>
    <row r="140" spans="1:40" x14ac:dyDescent="0.2">
      <c r="A140">
        <f t="shared" si="23"/>
        <v>3</v>
      </c>
      <c r="B140">
        <f t="shared" ca="1" si="24"/>
        <v>3</v>
      </c>
      <c r="C140">
        <f t="shared" ca="1" si="25"/>
        <v>3</v>
      </c>
      <c r="D140">
        <f t="shared" ca="1" si="26"/>
        <v>7</v>
      </c>
      <c r="E140">
        <f ca="1">IF($C140=1,OFFSET(E140,-1,0)+MAX(1,COUNTIF(QCI!$A$13:$A$15,OFFSET(ORÇAMENTO!E140,-1,0))),OFFSET(E140,-1,0))</f>
        <v>1</v>
      </c>
      <c r="F140">
        <f t="shared" ca="1" si="27"/>
        <v>5</v>
      </c>
      <c r="G140">
        <f t="shared" ca="1" si="28"/>
        <v>4</v>
      </c>
      <c r="H140">
        <f t="shared" ca="1" si="29"/>
        <v>0</v>
      </c>
      <c r="I140">
        <f t="shared" ca="1" si="30"/>
        <v>0</v>
      </c>
      <c r="J140">
        <f t="shared" ca="1" si="22"/>
        <v>75</v>
      </c>
      <c r="K140">
        <f ca="1">IF(OR($C140="S",$C140=0),0,MATCH(OFFSET($D140,0,$C140)+IF($C140&lt;&gt;1,1,COUNTIF(QCI!$A$13:$A$15,ORÇAMENTO!E140)),OFFSET($D140,1,$C140,ROW($C$508)-ROW($C140)),0))</f>
        <v>7</v>
      </c>
      <c r="L140" s="114" t="str">
        <f t="shared" ca="1" si="31"/>
        <v>F</v>
      </c>
      <c r="M140" s="115" t="s">
        <v>703</v>
      </c>
      <c r="N140" s="116" t="str">
        <f t="shared" ca="1" si="32"/>
        <v>Nível 3</v>
      </c>
      <c r="O140" s="117" t="str">
        <f t="shared" ca="1" si="33"/>
        <v>1.5.4.</v>
      </c>
      <c r="P140" s="118" t="s">
        <v>750</v>
      </c>
      <c r="Q140" s="119"/>
      <c r="R140" s="120" t="s">
        <v>1226</v>
      </c>
      <c r="S140" s="121" t="s">
        <v>688</v>
      </c>
      <c r="T140" s="122">
        <f ca="1">OFFSET(CÁLCULO!H$15,ROW($T140)-ROW(T$15),0)</f>
        <v>0</v>
      </c>
      <c r="U140" s="123">
        <f t="shared" ca="1" si="21"/>
        <v>0</v>
      </c>
      <c r="V140" s="124" t="s">
        <v>663</v>
      </c>
      <c r="W140" s="122">
        <f ca="1">IF($C140="S",ROUND(IF(TIPOORCAMENTO="Proposto",ORÇAMENTO.CustoUnitario*(1+$AH140),ORÇAMENTO.PrecoUnitarioLicitado),15-13*$AF$10),0)</f>
        <v>0</v>
      </c>
      <c r="X140" s="125" cm="1">
        <f t="array" aca="1" ref="X140" ca="1">IF($C140="S",IF(OR(Import.TipoArredondamento&lt;&gt;"TransfereGOV",ACOMPANHAMENTO="BM"),VTOTAL1,SUM(OFFSET(CÁLCULO!$AI$15,ROW($X140)-ROW($X$15),1):OFFSET(CÁLCULO!$BB$15,ROW($X140)-ROW($X$15),-1))),IF($C140=0,0,ROUND(SomaAgrup,15-13*$AF$11)))</f>
        <v>71280.740000000005</v>
      </c>
      <c r="Y140" s="126" t="s">
        <v>751</v>
      </c>
      <c r="Z140" t="str">
        <f t="shared" ca="1" si="34"/>
        <v/>
      </c>
      <c r="AA140" s="127">
        <f ca="1">IF($C140="S",IF($Z140="CP",$X140,IF($Z140="RA",(($X140)*QCI!$AA$3),0)),SomaAgrup)</f>
        <v>0</v>
      </c>
      <c r="AB140" s="128">
        <f t="shared" ca="1" si="35"/>
        <v>0</v>
      </c>
      <c r="AC140" s="565" t="str" cm="1">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IF(AND(_xlfn.SINGLE(TIPOORCAMENTO)="Licitado",$AL140=0,$AN140&gt;0),"SEM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t="str">
        <f ca="1">IF(C140&lt;=CRONO.NivelExibicao,MAX($AD$15:OFFSET(AD140,-1,0))+IF($C140&lt;&gt;1,1,MAX(1,COUNTIF(QCI!$A$13:$A$15,OFFSET($E140,-1,0)))),"")</f>
        <v/>
      </c>
      <c r="AE140" s="7" t="b">
        <f ca="1">IF(AND($C140="S",ORÇAMENTO.CodBarra&lt;&gt;""),IF(ORÇAMENTO.Fonte="",ORÇAMENTO.CodBarra,CONCATENATE(ORÇAMENTO.Fonte," ",ORÇAMENTO.CodBarra)))</f>
        <v>0</v>
      </c>
      <c r="AF140" s="12" t="str">
        <f ca="1">IF(ISERROR(INDIRECT(ORÇAMENTO.BancoRef)),"(abra o arquivo 'Referência "&amp;Excel_BuiltIn_Database&amp;".xlsm)",IF(OR($C140&lt;&gt;"S",ORÇAMENTO.CodBarra=""),"(Sem Código)",IF(ISERROR(MATCH($AE140,INDIRECT(ORÇAMENTO.BancoRef),0)),"(Código não identificado nas referências)",MATCH($AE140,INDIRECT(ORÇAMENTO.BancoRef),0))))</f>
        <v>(Sem Código)</v>
      </c>
      <c r="AG140" s="428">
        <f ca="1">ROUND(IF(DESONERACAO="sim",REFERENCIA.Desonerado,REFERENCIA.NaoDesonerado),2)</f>
        <v>0</v>
      </c>
      <c r="AH140" s="429">
        <f t="shared" ca="1" si="36"/>
        <v>0.23499999999999999</v>
      </c>
      <c r="AJ140" s="431"/>
      <c r="AL140" s="439"/>
      <c r="AM140" s="336">
        <f t="shared" ca="1" si="0"/>
        <v>71280.740000000005</v>
      </c>
      <c r="AN140" s="470">
        <f t="shared" ca="1" si="37"/>
        <v>0</v>
      </c>
    </row>
    <row r="141" spans="1:40" ht="38.25" x14ac:dyDescent="0.2">
      <c r="A141" t="str">
        <f t="shared" si="23"/>
        <v>S</v>
      </c>
      <c r="B141">
        <f t="shared" ca="1" si="24"/>
        <v>3</v>
      </c>
      <c r="C141" t="str">
        <f t="shared" ca="1" si="25"/>
        <v>S</v>
      </c>
      <c r="D141">
        <f t="shared" ca="1" si="26"/>
        <v>0</v>
      </c>
      <c r="E141">
        <f ca="1">IF($C141=1,OFFSET(E141,-1,0)+MAX(1,COUNTIF(QCI!$A$13:$A$15,OFFSET(ORÇAMENTO!E141,-1,0))),OFFSET(E141,-1,0))</f>
        <v>1</v>
      </c>
      <c r="F141">
        <f t="shared" ca="1" si="27"/>
        <v>5</v>
      </c>
      <c r="G141">
        <f t="shared" ca="1" si="28"/>
        <v>4</v>
      </c>
      <c r="H141">
        <f t="shared" ca="1" si="29"/>
        <v>0</v>
      </c>
      <c r="I141">
        <f t="shared" ca="1" si="30"/>
        <v>1</v>
      </c>
      <c r="J141">
        <f t="shared" ca="1" si="22"/>
        <v>0</v>
      </c>
      <c r="K141">
        <f ca="1">IF(OR($C141="S",$C141=0),0,MATCH(OFFSET($D141,0,$C141)+IF($C141&lt;&gt;1,1,COUNTIF(QCI!$A$13:$A$15,ORÇAMENTO!E141)),OFFSET($D141,1,$C141,ROW($C$508)-ROW($C141)),0))</f>
        <v>0</v>
      </c>
      <c r="L141" s="114" t="str">
        <f t="shared" ca="1" si="31"/>
        <v>F</v>
      </c>
      <c r="M141" s="115" t="s">
        <v>705</v>
      </c>
      <c r="N141" s="116" t="str">
        <f t="shared" ca="1" si="32"/>
        <v>Serviço</v>
      </c>
      <c r="O141" s="117" t="str">
        <f t="shared" ca="1" si="33"/>
        <v>1.5.4.0.1.</v>
      </c>
      <c r="P141" s="118" t="s">
        <v>750</v>
      </c>
      <c r="Q141" s="119" t="s">
        <v>1017</v>
      </c>
      <c r="R141" s="120" t="str">
        <f ca="1">IF($C141="S",REFERENCIA.Descricao,"(digite a descrição aqui)")</f>
        <v>CONCRETO FCK = 40MPA, TRAÇO 1:1,6:1,9 (EM MASSA SECA DE CIMENTO/ AREIA MÉDIA/ BRITA 1) - PREPARO MECÂNICO COM BETONEIRA 600 L. AF_05/2021</v>
      </c>
      <c r="S141" s="121" t="str">
        <f ca="1">REFERENCIA.Unidade</f>
        <v>M3</v>
      </c>
      <c r="T141" s="122">
        <f ca="1">OFFSET(CÁLCULO!H$15,ROW($T141)-ROW(T$15),0)</f>
        <v>21.82</v>
      </c>
      <c r="U141" s="123">
        <f t="shared" ca="1" si="21"/>
        <v>628.30999999999995</v>
      </c>
      <c r="V141" s="124" t="s">
        <v>663</v>
      </c>
      <c r="W141" s="122">
        <f ca="1">IF($C141="S",ROUND(IF(TIPOORCAMENTO="Proposto",ORÇAMENTO.CustoUnitario*(1+$AH141),ORÇAMENTO.PrecoUnitarioLicitado),15-13*$AF$10),0)</f>
        <v>775.96</v>
      </c>
      <c r="X141" s="125" cm="1">
        <f t="array" aca="1" ref="X141" ca="1">IF($C141="S",IF(OR(Import.TipoArredondamento&lt;&gt;"TransfereGOV",ACOMPANHAMENTO="BM"),VTOTAL1,SUM(OFFSET(CÁLCULO!$AI$15,ROW($X141)-ROW($X$15),1):OFFSET(CÁLCULO!$BB$15,ROW($X141)-ROW($X$15),-1))),IF($C141=0,0,ROUND(SomaAgrup,15-13*$AF$11)))</f>
        <v>16931.45</v>
      </c>
      <c r="Y141" s="126" t="s">
        <v>751</v>
      </c>
      <c r="Z141" t="str">
        <f t="shared" ca="1" si="34"/>
        <v>RA</v>
      </c>
      <c r="AA141" s="127">
        <f ca="1">IF($C141="S",IF($Z141="CP",$X141,IF($Z141="RA",(($X141)*QCI!$AA$3),0)),SomaAgrup)</f>
        <v>0</v>
      </c>
      <c r="AB141" s="128">
        <f t="shared" ca="1" si="35"/>
        <v>0</v>
      </c>
      <c r="AC141" s="565" t="str" cm="1">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IF(AND(_xlfn.SINGLE(TIPOORCAMENTO)="Licitado",$AL141=0,$AN141&gt;0),"SEM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t="str">
        <f ca="1">IF(C141&lt;=CRONO.NivelExibicao,MAX($AD$15:OFFSET(AD141,-1,0))+IF($C141&lt;&gt;1,1,MAX(1,COUNTIF(QCI!$A$13:$A$15,OFFSET($E141,-1,0)))),"")</f>
        <v/>
      </c>
      <c r="AE141" s="7" t="str">
        <f ca="1">IF(AND($C141="S",ORÇAMENTO.CodBarra&lt;&gt;""),IF(ORÇAMENTO.Fonte="",ORÇAMENTO.CodBarra,CONCATENATE(ORÇAMENTO.Fonte," ",ORÇAMENTO.CodBarra)))</f>
        <v>SINAPI 94973</v>
      </c>
      <c r="AF141" s="12">
        <f ca="1">IF(ISERROR(INDIRECT(ORÇAMENTO.BancoRef)),"(abra o arquivo 'Referência "&amp;Excel_BuiltIn_Database&amp;".xlsm)",IF(OR($C141&lt;&gt;"S",ORÇAMENTO.CodBarra=""),"(Sem Código)",IF(ISERROR(MATCH($AE141,INDIRECT(ORÇAMENTO.BancoRef),0)),"(Código não identificado nas referências)",MATCH($AE141,INDIRECT(ORÇAMENTO.BancoRef),0))))</f>
        <v>14326</v>
      </c>
      <c r="AG141" s="428">
        <f ca="1">ROUND(IF(DESONERACAO="sim",REFERENCIA.Desonerado,REFERENCIA.NaoDesonerado),2)</f>
        <v>628.30999999999995</v>
      </c>
      <c r="AH141" s="429">
        <f t="shared" ca="1" si="36"/>
        <v>0.23499999999999999</v>
      </c>
      <c r="AJ141" s="431">
        <f>15.29 + 3.48 + 3.05</f>
        <v>21.82</v>
      </c>
      <c r="AL141" s="439"/>
      <c r="AM141" s="336">
        <f t="shared" ca="1" si="0"/>
        <v>16931.45</v>
      </c>
      <c r="AN141" s="470">
        <f t="shared" ca="1" si="37"/>
        <v>775.96</v>
      </c>
    </row>
    <row r="142" spans="1:40" ht="25.5" x14ac:dyDescent="0.2">
      <c r="A142" t="str">
        <f t="shared" si="23"/>
        <v>S</v>
      </c>
      <c r="B142">
        <f t="shared" ca="1" si="24"/>
        <v>3</v>
      </c>
      <c r="C142" t="str">
        <f t="shared" ca="1" si="25"/>
        <v>S</v>
      </c>
      <c r="D142">
        <f t="shared" ca="1" si="26"/>
        <v>0</v>
      </c>
      <c r="E142">
        <f ca="1">IF($C142=1,OFFSET(E142,-1,0)+MAX(1,COUNTIF(QCI!$A$13:$A$15,OFFSET(ORÇAMENTO!E142,-1,0))),OFFSET(E142,-1,0))</f>
        <v>1</v>
      </c>
      <c r="F142">
        <f t="shared" ca="1" si="27"/>
        <v>5</v>
      </c>
      <c r="G142">
        <f t="shared" ca="1" si="28"/>
        <v>4</v>
      </c>
      <c r="H142">
        <f t="shared" ca="1" si="29"/>
        <v>0</v>
      </c>
      <c r="I142">
        <f t="shared" ca="1" si="30"/>
        <v>2</v>
      </c>
      <c r="J142">
        <f t="shared" ca="1" si="22"/>
        <v>0</v>
      </c>
      <c r="K142">
        <f ca="1">IF(OR($C142="S",$C142=0),0,MATCH(OFFSET($D142,0,$C142)+IF($C142&lt;&gt;1,1,COUNTIF(QCI!$A$13:$A$15,ORÇAMENTO!E142)),OFFSET($D142,1,$C142,ROW($C$508)-ROW($C142)),0))</f>
        <v>0</v>
      </c>
      <c r="L142" s="114" t="str">
        <f t="shared" ca="1" si="31"/>
        <v>F</v>
      </c>
      <c r="M142" s="115" t="s">
        <v>705</v>
      </c>
      <c r="N142" s="116" t="str">
        <f t="shared" ca="1" si="32"/>
        <v>Serviço</v>
      </c>
      <c r="O142" s="117" t="str">
        <f t="shared" ca="1" si="33"/>
        <v>1.5.4.0.2.</v>
      </c>
      <c r="P142" s="118" t="s">
        <v>750</v>
      </c>
      <c r="Q142" s="119" t="s">
        <v>1018</v>
      </c>
      <c r="R142" s="120" t="str">
        <f ca="1">IF($C142="S",REFERENCIA.Descricao,"(digite a descrição aqui)")</f>
        <v>LANÇAMENTO COM USO DE BOMBA, ADENSAMENTO E ACABAMENTO DE CONCRETO EM ESTRUTURAS. AF_02/2022</v>
      </c>
      <c r="S142" s="121" t="str">
        <f ca="1">REFERENCIA.Unidade</f>
        <v>M3</v>
      </c>
      <c r="T142" s="122">
        <f ca="1">OFFSET(CÁLCULO!H$15,ROW($T142)-ROW(T$15),0)</f>
        <v>21.82</v>
      </c>
      <c r="U142" s="123">
        <f t="shared" ca="1" si="21"/>
        <v>44.5</v>
      </c>
      <c r="V142" s="124" t="s">
        <v>663</v>
      </c>
      <c r="W142" s="122">
        <f ca="1">IF($C142="S",ROUND(IF(TIPOORCAMENTO="Proposto",ORÇAMENTO.CustoUnitario*(1+$AH142),ORÇAMENTO.PrecoUnitarioLicitado),15-13*$AF$10),0)</f>
        <v>54.96</v>
      </c>
      <c r="X142" s="125" cm="1">
        <f t="array" aca="1" ref="X142" ca="1">IF($C142="S",IF(OR(Import.TipoArredondamento&lt;&gt;"TransfereGOV",ACOMPANHAMENTO="BM"),VTOTAL1,SUM(OFFSET(CÁLCULO!$AI$15,ROW($X142)-ROW($X$15),1):OFFSET(CÁLCULO!$BB$15,ROW($X142)-ROW($X$15),-1))),IF($C142=0,0,ROUND(SomaAgrup,15-13*$AF$11)))</f>
        <v>1199.23</v>
      </c>
      <c r="Y142" s="126" t="s">
        <v>751</v>
      </c>
      <c r="Z142" t="str">
        <f t="shared" ca="1" si="34"/>
        <v>RA</v>
      </c>
      <c r="AA142" s="127">
        <f ca="1">IF($C142="S",IF($Z142="CP",$X142,IF($Z142="RA",(($X142)*QCI!$AA$3),0)),SomaAgrup)</f>
        <v>0</v>
      </c>
      <c r="AB142" s="128">
        <f t="shared" ca="1" si="35"/>
        <v>0</v>
      </c>
      <c r="AC142" s="565" t="str" cm="1">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IF(AND(_xlfn.SINGLE(TIPOORCAMENTO)="Licitado",$AL142=0,$AN142&gt;0),"SEM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t="str">
        <f ca="1">IF(C142&lt;=CRONO.NivelExibicao,MAX($AD$15:OFFSET(AD142,-1,0))+IF($C142&lt;&gt;1,1,MAX(1,COUNTIF(QCI!$A$13:$A$15,OFFSET($E142,-1,0)))),"")</f>
        <v/>
      </c>
      <c r="AE142" s="7" t="str">
        <f ca="1">IF(AND($C142="S",ORÇAMENTO.CodBarra&lt;&gt;""),IF(ORÇAMENTO.Fonte="",ORÇAMENTO.CodBarra,CONCATENATE(ORÇAMENTO.Fonte," ",ORÇAMENTO.CodBarra)))</f>
        <v>SINAPI 103673</v>
      </c>
      <c r="AF142" s="12">
        <f ca="1">IF(ISERROR(INDIRECT(ORÇAMENTO.BancoRef)),"(abra o arquivo 'Referência "&amp;Excel_BuiltIn_Database&amp;".xlsm)",IF(OR($C142&lt;&gt;"S",ORÇAMENTO.CodBarra=""),"(Sem Código)",IF(ISERROR(MATCH($AE142,INDIRECT(ORÇAMENTO.BancoRef),0)),"(Código não identificado nas referências)",MATCH($AE142,INDIRECT(ORÇAMENTO.BancoRef),0))))</f>
        <v>7334</v>
      </c>
      <c r="AG142" s="428">
        <f ca="1">ROUND(IF(DESONERACAO="sim",REFERENCIA.Desonerado,REFERENCIA.NaoDesonerado),2)</f>
        <v>44.5</v>
      </c>
      <c r="AH142" s="429">
        <f t="shared" ca="1" si="36"/>
        <v>0.23499999999999999</v>
      </c>
      <c r="AJ142" s="431">
        <f>AJ141</f>
        <v>21.82</v>
      </c>
      <c r="AL142" s="439"/>
      <c r="AM142" s="336">
        <f t="shared" ca="1" si="0"/>
        <v>1199.23</v>
      </c>
      <c r="AN142" s="470">
        <f t="shared" ca="1" si="37"/>
        <v>54.96</v>
      </c>
    </row>
    <row r="143" spans="1:40" ht="25.5" x14ac:dyDescent="0.2">
      <c r="A143" t="str">
        <f t="shared" si="23"/>
        <v>S</v>
      </c>
      <c r="B143">
        <f t="shared" ca="1" si="24"/>
        <v>3</v>
      </c>
      <c r="C143" t="str">
        <f t="shared" ca="1" si="25"/>
        <v>S</v>
      </c>
      <c r="D143">
        <f t="shared" ca="1" si="26"/>
        <v>0</v>
      </c>
      <c r="E143">
        <f ca="1">IF($C143=1,OFFSET(E143,-1,0)+MAX(1,COUNTIF(QCI!$A$13:$A$15,OFFSET(ORÇAMENTO!E143,-1,0))),OFFSET(E143,-1,0))</f>
        <v>1</v>
      </c>
      <c r="F143">
        <f t="shared" ca="1" si="27"/>
        <v>5</v>
      </c>
      <c r="G143">
        <f t="shared" ca="1" si="28"/>
        <v>4</v>
      </c>
      <c r="H143">
        <f t="shared" ca="1" si="29"/>
        <v>0</v>
      </c>
      <c r="I143">
        <f t="shared" ca="1" si="30"/>
        <v>3</v>
      </c>
      <c r="J143">
        <f t="shared" ca="1" si="22"/>
        <v>0</v>
      </c>
      <c r="K143">
        <f ca="1">IF(OR($C143="S",$C143=0),0,MATCH(OFFSET($D143,0,$C143)+IF($C143&lt;&gt;1,1,COUNTIF(QCI!$A$13:$A$15,ORÇAMENTO!E143)),OFFSET($D143,1,$C143,ROW($C$508)-ROW($C143)),0))</f>
        <v>0</v>
      </c>
      <c r="L143" s="114" t="str">
        <f t="shared" ca="1" si="31"/>
        <v>F</v>
      </c>
      <c r="M143" s="115" t="s">
        <v>705</v>
      </c>
      <c r="N143" s="116" t="str">
        <f t="shared" ca="1" si="32"/>
        <v>Serviço</v>
      </c>
      <c r="O143" s="117" t="str">
        <f t="shared" ca="1" si="33"/>
        <v>1.5.4.0.3.</v>
      </c>
      <c r="P143" s="118" t="s">
        <v>956</v>
      </c>
      <c r="Q143" s="119" t="s">
        <v>1024</v>
      </c>
      <c r="R143" s="120" t="str">
        <f ca="1">IF($C143="S",REFERENCIA.Descricao,"(digite a descrição aqui)")</f>
        <v>FÔRMAS DE COMPENSADO RESINADO 10 MM - USO GERAL - UTILIZAÇÃO DE 3 VEZES - CONFECÇÃO, INSTALAÇÃO E RETIRADA</v>
      </c>
      <c r="S143" s="121" t="str">
        <f ca="1">REFERENCIA.Unidade</f>
        <v>M2</v>
      </c>
      <c r="T143" s="122">
        <f ca="1">OFFSET(CÁLCULO!H$15,ROW($T143)-ROW(T$15),0)</f>
        <v>201.39</v>
      </c>
      <c r="U143" s="123">
        <f t="shared" ca="1" si="21"/>
        <v>71.66</v>
      </c>
      <c r="V143" s="124" t="s">
        <v>663</v>
      </c>
      <c r="W143" s="122">
        <f ca="1">IF($C143="S",ROUND(IF(TIPOORCAMENTO="Proposto",ORÇAMENTO.CustoUnitario*(1+$AH143),ORÇAMENTO.PrecoUnitarioLicitado),15-13*$AF$10),0)</f>
        <v>88.5</v>
      </c>
      <c r="X143" s="125" cm="1">
        <f t="array" aca="1" ref="X143" ca="1">IF($C143="S",IF(OR(Import.TipoArredondamento&lt;&gt;"TransfereGOV",ACOMPANHAMENTO="BM"),VTOTAL1,SUM(OFFSET(CÁLCULO!$AI$15,ROW($X143)-ROW($X$15),1):OFFSET(CÁLCULO!$BB$15,ROW($X143)-ROW($X$15),-1))),IF($C143=0,0,ROUND(SomaAgrup,15-13*$AF$11)))</f>
        <v>17823.02</v>
      </c>
      <c r="Y143" s="126" t="s">
        <v>751</v>
      </c>
      <c r="Z143" t="str">
        <f t="shared" ca="1" si="34"/>
        <v>RA</v>
      </c>
      <c r="AA143" s="127">
        <f ca="1">IF($C143="S",IF($Z143="CP",$X143,IF($Z143="RA",(($X143)*QCI!$AA$3),0)),SomaAgrup)</f>
        <v>0</v>
      </c>
      <c r="AB143" s="128">
        <f t="shared" ca="1" si="35"/>
        <v>0</v>
      </c>
      <c r="AC143" s="565" t="str" cm="1">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IF(AND(_xlfn.SINGLE(TIPOORCAMENTO)="Licitado",$AL143=0,$AN143&gt;0),"SEM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t="str">
        <f ca="1">IF(C143&lt;=CRONO.NivelExibicao,MAX($AD$15:OFFSET(AD143,-1,0))+IF($C143&lt;&gt;1,1,MAX(1,COUNTIF(QCI!$A$13:$A$15,OFFSET($E143,-1,0)))),"")</f>
        <v/>
      </c>
      <c r="AE143" s="7" t="str">
        <f ca="1">IF(AND($C143="S",ORÇAMENTO.CodBarra&lt;&gt;""),IF(ORÇAMENTO.Fonte="",ORÇAMENTO.CodBarra,CONCATENATE(ORÇAMENTO.Fonte," ",ORÇAMENTO.CodBarra)))</f>
        <v>SICRO 3107997</v>
      </c>
      <c r="AF143" s="12">
        <f ca="1">IF(ISERROR(INDIRECT(ORÇAMENTO.BancoRef)),"(abra o arquivo 'Referência "&amp;Excel_BuiltIn_Database&amp;".xlsm)",IF(OR($C143&lt;&gt;"S",ORÇAMENTO.CodBarra=""),"(Sem Código)",IF(ISERROR(MATCH($AE143,INDIRECT(ORÇAMENTO.BancoRef),0)),"(Código não identificado nas referências)",MATCH($AE143,INDIRECT(ORÇAMENTO.BancoRef),0))))</f>
        <v>19900</v>
      </c>
      <c r="AG143" s="428">
        <f ca="1">ROUND(IF(DESONERACAO="sim",REFERENCIA.Desonerado,REFERENCIA.NaoDesonerado),2)</f>
        <v>71.66</v>
      </c>
      <c r="AH143" s="429">
        <f t="shared" ca="1" si="36"/>
        <v>0.23499999999999999</v>
      </c>
      <c r="AJ143" s="431">
        <f>139.47 + 33.44 + 28.48</f>
        <v>201.39</v>
      </c>
      <c r="AL143" s="439"/>
      <c r="AM143" s="336">
        <f t="shared" ca="1" si="0"/>
        <v>17823.02</v>
      </c>
      <c r="AN143" s="470">
        <f t="shared" ca="1" si="37"/>
        <v>88.5</v>
      </c>
    </row>
    <row r="144" spans="1:40" ht="25.5" x14ac:dyDescent="0.2">
      <c r="A144" t="str">
        <f t="shared" si="23"/>
        <v>S</v>
      </c>
      <c r="B144">
        <f t="shared" ca="1" si="24"/>
        <v>3</v>
      </c>
      <c r="C144" t="str">
        <f t="shared" ca="1" si="25"/>
        <v>S</v>
      </c>
      <c r="D144">
        <f t="shared" ca="1" si="26"/>
        <v>0</v>
      </c>
      <c r="E144">
        <f ca="1">IF($C144=1,OFFSET(E144,-1,0)+MAX(1,COUNTIF(QCI!$A$13:$A$15,OFFSET(ORÇAMENTO!E144,-1,0))),OFFSET(E144,-1,0))</f>
        <v>1</v>
      </c>
      <c r="F144">
        <f t="shared" ca="1" si="27"/>
        <v>5</v>
      </c>
      <c r="G144">
        <f t="shared" ca="1" si="28"/>
        <v>4</v>
      </c>
      <c r="H144">
        <f t="shared" ca="1" si="29"/>
        <v>0</v>
      </c>
      <c r="I144">
        <f t="shared" ca="1" si="30"/>
        <v>4</v>
      </c>
      <c r="J144">
        <f t="shared" ref="J144:J207" ca="1" si="38">IF(OR($C144="S",$C144=0),0,MATCH(0,OFFSET($D144,1,$C144,ROW($C$508)-ROW($C144)),0))</f>
        <v>0</v>
      </c>
      <c r="K144">
        <f ca="1">IF(OR($C144="S",$C144=0),0,MATCH(OFFSET($D144,0,$C144)+IF($C144&lt;&gt;1,1,COUNTIF(QCI!$A$13:$A$15,ORÇAMENTO!E144)),OFFSET($D144,1,$C144,ROW($C$508)-ROW($C144)),0))</f>
        <v>0</v>
      </c>
      <c r="L144" s="114" t="str">
        <f t="shared" ca="1" si="31"/>
        <v>F</v>
      </c>
      <c r="M144" s="115" t="s">
        <v>705</v>
      </c>
      <c r="N144" s="116" t="str">
        <f t="shared" ca="1" si="32"/>
        <v>Serviço</v>
      </c>
      <c r="O144" s="117" t="str">
        <f t="shared" ca="1" si="33"/>
        <v>1.5.4.0.4.</v>
      </c>
      <c r="P144" s="118" t="s">
        <v>956</v>
      </c>
      <c r="Q144" s="119" t="s">
        <v>1019</v>
      </c>
      <c r="R144" s="120" t="str">
        <f ca="1">IF($C144="S",REFERENCIA.Descricao,"(digite a descrição aqui)")</f>
        <v>ARMAÇÃO EM AÇO CA-50 - FORNECIMENTO, PREPARO E COLOCAÇÃO</v>
      </c>
      <c r="S144" s="121" t="str">
        <f ca="1">REFERENCIA.Unidade</f>
        <v>KG</v>
      </c>
      <c r="T144" s="122">
        <f ca="1">OFFSET(CÁLCULO!H$15,ROW($T144)-ROW(T$15),0)</f>
        <v>2150.5</v>
      </c>
      <c r="U144" s="123">
        <f t="shared" ca="1" si="21"/>
        <v>12.08</v>
      </c>
      <c r="V144" s="124" t="s">
        <v>663</v>
      </c>
      <c r="W144" s="122">
        <f ca="1">IF($C144="S",ROUND(IF(TIPOORCAMENTO="Proposto",ORÇAMENTO.CustoUnitario*(1+$AH144),ORÇAMENTO.PrecoUnitarioLicitado),15-13*$AF$10),0)</f>
        <v>14.92</v>
      </c>
      <c r="X144" s="125" cm="1">
        <f t="array" aca="1" ref="X144" ca="1">IF($C144="S",IF(OR(Import.TipoArredondamento&lt;&gt;"TransfereGOV",ACOMPANHAMENTO="BM"),VTOTAL1,SUM(OFFSET(CÁLCULO!$AI$15,ROW($X144)-ROW($X$15),1):OFFSET(CÁLCULO!$BB$15,ROW($X144)-ROW($X$15),-1))),IF($C144=0,0,ROUND(SomaAgrup,15-13*$AF$11)))</f>
        <v>32085.46</v>
      </c>
      <c r="Y144" s="126" t="s">
        <v>751</v>
      </c>
      <c r="Z144" t="str">
        <f t="shared" ca="1" si="34"/>
        <v>RA</v>
      </c>
      <c r="AA144" s="127">
        <f ca="1">IF($C144="S",IF($Z144="CP",$X144,IF($Z144="RA",(($X144)*QCI!$AA$3),0)),SomaAgrup)</f>
        <v>0</v>
      </c>
      <c r="AB144" s="128">
        <f t="shared" ca="1" si="35"/>
        <v>0</v>
      </c>
      <c r="AC144" s="565" t="str" cm="1">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IF(AND(_xlfn.SINGLE(TIPOORCAMENTO)="Licitado",$AL144=0,$AN144&gt;0),"SEM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t="str">
        <f ca="1">IF(C144&lt;=CRONO.NivelExibicao,MAX($AD$15:OFFSET(AD144,-1,0))+IF($C144&lt;&gt;1,1,MAX(1,COUNTIF(QCI!$A$13:$A$15,OFFSET($E144,-1,0)))),"")</f>
        <v/>
      </c>
      <c r="AE144" s="7" t="str">
        <f ca="1">IF(AND($C144="S",ORÇAMENTO.CodBarra&lt;&gt;""),IF(ORÇAMENTO.Fonte="",ORÇAMENTO.CodBarra,CONCATENATE(ORÇAMENTO.Fonte," ",ORÇAMENTO.CodBarra)))</f>
        <v>SICRO 407819</v>
      </c>
      <c r="AF144" s="12">
        <f ca="1">IF(ISERROR(INDIRECT(ORÇAMENTO.BancoRef)),"(abra o arquivo 'Referência "&amp;Excel_BuiltIn_Database&amp;".xlsm)",IF(OR($C144&lt;&gt;"S",ORÇAMENTO.CodBarra=""),"(Sem Código)",IF(ISERROR(MATCH($AE144,INDIRECT(ORÇAMENTO.BancoRef),0)),"(Código não identificado nas referências)",MATCH($AE144,INDIRECT(ORÇAMENTO.BancoRef),0))))</f>
        <v>15833</v>
      </c>
      <c r="AG144" s="428">
        <f ca="1">ROUND(IF(DESONERACAO="sim",REFERENCIA.Desonerado,REFERENCIA.NaoDesonerado),2)</f>
        <v>12.08</v>
      </c>
      <c r="AH144" s="429">
        <f t="shared" ca="1" si="36"/>
        <v>0.23499999999999999</v>
      </c>
      <c r="AJ144" s="431">
        <f>663.6 + 734.9 + 372.1 + 379.9</f>
        <v>2150.5</v>
      </c>
      <c r="AL144" s="439"/>
      <c r="AM144" s="336">
        <f t="shared" ca="1" si="0"/>
        <v>32085.46</v>
      </c>
      <c r="AN144" s="470">
        <f t="shared" ca="1" si="37"/>
        <v>14.92</v>
      </c>
    </row>
    <row r="145" spans="1:40" ht="25.5" x14ac:dyDescent="0.2">
      <c r="A145" t="str">
        <f t="shared" si="23"/>
        <v>S</v>
      </c>
      <c r="B145">
        <f t="shared" ca="1" si="24"/>
        <v>3</v>
      </c>
      <c r="C145" t="str">
        <f t="shared" ca="1" si="25"/>
        <v>S</v>
      </c>
      <c r="D145">
        <f t="shared" ca="1" si="26"/>
        <v>0</v>
      </c>
      <c r="E145">
        <f ca="1">IF($C145=1,OFFSET(E145,-1,0)+MAX(1,COUNTIF(QCI!$A$13:$A$15,OFFSET(ORÇAMENTO!E145,-1,0))),OFFSET(E145,-1,0))</f>
        <v>1</v>
      </c>
      <c r="F145">
        <f t="shared" ca="1" si="27"/>
        <v>5</v>
      </c>
      <c r="G145">
        <f t="shared" ca="1" si="28"/>
        <v>4</v>
      </c>
      <c r="H145">
        <f t="shared" ca="1" si="29"/>
        <v>0</v>
      </c>
      <c r="I145">
        <f t="shared" ca="1" si="30"/>
        <v>5</v>
      </c>
      <c r="J145">
        <f t="shared" ca="1" si="38"/>
        <v>0</v>
      </c>
      <c r="K145">
        <f ca="1">IF(OR($C145="S",$C145=0),0,MATCH(OFFSET($D145,0,$C145)+IF($C145&lt;&gt;1,1,COUNTIF(QCI!$A$13:$A$15,ORÇAMENTO!E145)),OFFSET($D145,1,$C145,ROW($C$508)-ROW($C145)),0))</f>
        <v>0</v>
      </c>
      <c r="L145" s="114" t="str">
        <f t="shared" ca="1" si="31"/>
        <v>F</v>
      </c>
      <c r="M145" s="115" t="s">
        <v>705</v>
      </c>
      <c r="N145" s="116" t="str">
        <f t="shared" ca="1" si="32"/>
        <v>Serviço</v>
      </c>
      <c r="O145" s="117" t="str">
        <f t="shared" ca="1" si="33"/>
        <v>1.5.4.0.5.</v>
      </c>
      <c r="P145" s="118" t="s">
        <v>956</v>
      </c>
      <c r="Q145" s="119" t="s">
        <v>1030</v>
      </c>
      <c r="R145" s="120" t="str">
        <f ca="1">IF($C145="S",REFERENCIA.Descricao,"(digite a descrição aqui)")</f>
        <v>ARMAÇÃO EM AÇO CA-60 - FORNECIMENTO, PREPARO E COLOCAÇÃO</v>
      </c>
      <c r="S145" s="121" t="str">
        <f ca="1">REFERENCIA.Unidade</f>
        <v>KG</v>
      </c>
      <c r="T145" s="122">
        <f ca="1">OFFSET(CÁLCULO!H$15,ROW($T145)-ROW(T$15),0)</f>
        <v>12.8</v>
      </c>
      <c r="U145" s="123">
        <f t="shared" ca="1" si="21"/>
        <v>13.06</v>
      </c>
      <c r="V145" s="124" t="s">
        <v>663</v>
      </c>
      <c r="W145" s="122">
        <f ca="1">IF($C145="S",ROUND(IF(TIPOORCAMENTO="Proposto",ORÇAMENTO.CustoUnitario*(1+$AH145),ORÇAMENTO.PrecoUnitarioLicitado),15-13*$AF$10),0)</f>
        <v>16.13</v>
      </c>
      <c r="X145" s="125" cm="1">
        <f t="array" aca="1" ref="X145" ca="1">IF($C145="S",IF(OR(Import.TipoArredondamento&lt;&gt;"TransfereGOV",ACOMPANHAMENTO="BM"),VTOTAL1,SUM(OFFSET(CÁLCULO!$AI$15,ROW($X145)-ROW($X$15),1):OFFSET(CÁLCULO!$BB$15,ROW($X145)-ROW($X$15),-1))),IF($C145=0,0,ROUND(SomaAgrup,15-13*$AF$11)))</f>
        <v>206.46</v>
      </c>
      <c r="Y145" s="126" t="s">
        <v>751</v>
      </c>
      <c r="Z145" t="str">
        <f t="shared" ca="1" si="34"/>
        <v>RA</v>
      </c>
      <c r="AA145" s="127">
        <f ca="1">IF($C145="S",IF($Z145="CP",$X145,IF($Z145="RA",(($X145)*QCI!$AA$3),0)),SomaAgrup)</f>
        <v>0</v>
      </c>
      <c r="AB145" s="128">
        <f t="shared" ca="1" si="35"/>
        <v>0</v>
      </c>
      <c r="AC145" s="565" t="str" cm="1">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IF(AND(_xlfn.SINGLE(TIPOORCAMENTO)="Licitado",$AL145=0,$AN145&gt;0),"SEM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t="str">
        <f ca="1">IF(C145&lt;=CRONO.NivelExibicao,MAX($AD$15:OFFSET(AD145,-1,0))+IF($C145&lt;&gt;1,1,MAX(1,COUNTIF(QCI!$A$13:$A$15,OFFSET($E145,-1,0)))),"")</f>
        <v/>
      </c>
      <c r="AE145" s="7" t="str">
        <f ca="1">IF(AND($C145="S",ORÇAMENTO.CodBarra&lt;&gt;""),IF(ORÇAMENTO.Fonte="",ORÇAMENTO.CodBarra,CONCATENATE(ORÇAMENTO.Fonte," ",ORÇAMENTO.CodBarra)))</f>
        <v>SICRO 407820</v>
      </c>
      <c r="AF145" s="12">
        <f ca="1">IF(ISERROR(INDIRECT(ORÇAMENTO.BancoRef)),"(abra o arquivo 'Referência "&amp;Excel_BuiltIn_Database&amp;".xlsm)",IF(OR($C145&lt;&gt;"S",ORÇAMENTO.CodBarra=""),"(Sem Código)",IF(ISERROR(MATCH($AE145,INDIRECT(ORÇAMENTO.BancoRef),0)),"(Código não identificado nas referências)",MATCH($AE145,INDIRECT(ORÇAMENTO.BancoRef),0))))</f>
        <v>15834</v>
      </c>
      <c r="AG145" s="428">
        <f ca="1">ROUND(IF(DESONERACAO="sim",REFERENCIA.Desonerado,REFERENCIA.NaoDesonerado),2)</f>
        <v>13.06</v>
      </c>
      <c r="AH145" s="429">
        <f t="shared" ca="1" si="36"/>
        <v>0.23499999999999999</v>
      </c>
      <c r="AJ145" s="431">
        <f>6.7 + 2.9 + 3.2</f>
        <v>12.8</v>
      </c>
      <c r="AL145" s="439"/>
      <c r="AM145" s="336">
        <f t="shared" ca="1" si="0"/>
        <v>206.46</v>
      </c>
      <c r="AN145" s="470">
        <f t="shared" ca="1" si="37"/>
        <v>16.13</v>
      </c>
    </row>
    <row r="146" spans="1:40" x14ac:dyDescent="0.2">
      <c r="A146" t="str">
        <f t="shared" si="23"/>
        <v>S</v>
      </c>
      <c r="B146">
        <f t="shared" ca="1" si="24"/>
        <v>3</v>
      </c>
      <c r="C146" t="str">
        <f t="shared" ca="1" si="25"/>
        <v>S</v>
      </c>
      <c r="D146">
        <f t="shared" ca="1" si="26"/>
        <v>0</v>
      </c>
      <c r="E146">
        <f ca="1">IF($C146=1,OFFSET(E146,-1,0)+MAX(1,COUNTIF(QCI!$A$13:$A$15,OFFSET(ORÇAMENTO!E146,-1,0))),OFFSET(E146,-1,0))</f>
        <v>1</v>
      </c>
      <c r="F146">
        <f t="shared" ca="1" si="27"/>
        <v>5</v>
      </c>
      <c r="G146">
        <f t="shared" ca="1" si="28"/>
        <v>4</v>
      </c>
      <c r="H146">
        <f t="shared" ca="1" si="29"/>
        <v>0</v>
      </c>
      <c r="I146">
        <f t="shared" ca="1" si="30"/>
        <v>6</v>
      </c>
      <c r="J146">
        <f t="shared" ca="1" si="38"/>
        <v>0</v>
      </c>
      <c r="K146">
        <f ca="1">IF(OR($C146="S",$C146=0),0,MATCH(OFFSET($D146,0,$C146)+IF($C146&lt;&gt;1,1,COUNTIF(QCI!$A$13:$A$15,ORÇAMENTO!E146)),OFFSET($D146,1,$C146,ROW($C$508)-ROW($C146)),0))</f>
        <v>0</v>
      </c>
      <c r="L146" s="114" t="str">
        <f t="shared" ca="1" si="31"/>
        <v>F</v>
      </c>
      <c r="M146" s="115" t="s">
        <v>705</v>
      </c>
      <c r="N146" s="116" t="str">
        <f t="shared" ca="1" si="32"/>
        <v>Serviço</v>
      </c>
      <c r="O146" s="117" t="str">
        <f t="shared" ca="1" si="33"/>
        <v>1.5.4.0.6.</v>
      </c>
      <c r="P146" s="118" t="s">
        <v>1280</v>
      </c>
      <c r="Q146" s="119" t="s">
        <v>1031</v>
      </c>
      <c r="R146" s="120" t="str">
        <f ca="1">IF($C146="S",REFERENCIA.Descricao,"(digite a descrição aqui)")</f>
        <v>IMPERMEABILIZAÇÃO COM EMULSÃO ASFÁLTICA, DUAS (2) DEMÃOS</v>
      </c>
      <c r="S146" s="121" t="str">
        <f ca="1">REFERENCIA.Unidade</f>
        <v>M2</v>
      </c>
      <c r="T146" s="122">
        <f ca="1">OFFSET(CÁLCULO!H$15,ROW($T146)-ROW(T$15),0)</f>
        <v>70.16</v>
      </c>
      <c r="U146" s="123">
        <f t="shared" ca="1" si="21"/>
        <v>35.03</v>
      </c>
      <c r="V146" s="124" t="s">
        <v>663</v>
      </c>
      <c r="W146" s="122">
        <f ca="1">IF($C146="S",ROUND(IF(TIPOORCAMENTO="Proposto",ORÇAMENTO.CustoUnitario*(1+$AH146),ORÇAMENTO.PrecoUnitarioLicitado),15-13*$AF$10),0)</f>
        <v>43.26</v>
      </c>
      <c r="X146" s="125" cm="1">
        <f t="array" aca="1" ref="X146" ca="1">IF($C146="S",IF(OR(Import.TipoArredondamento&lt;&gt;"TransfereGOV",ACOMPANHAMENTO="BM"),VTOTAL1,SUM(OFFSET(CÁLCULO!$AI$15,ROW($X146)-ROW($X$15),1):OFFSET(CÁLCULO!$BB$15,ROW($X146)-ROW($X$15),-1))),IF($C146=0,0,ROUND(SomaAgrup,15-13*$AF$11)))</f>
        <v>3035.12</v>
      </c>
      <c r="Y146" s="126" t="s">
        <v>751</v>
      </c>
      <c r="Z146" t="str">
        <f t="shared" ca="1" si="34"/>
        <v>RA</v>
      </c>
      <c r="AA146" s="127">
        <f ca="1">IF($C146="S",IF($Z146="CP",$X146,IF($Z146="RA",(($X146)*QCI!$AA$3),0)),SomaAgrup)</f>
        <v>0</v>
      </c>
      <c r="AB146" s="128">
        <f t="shared" ca="1" si="35"/>
        <v>0</v>
      </c>
      <c r="AC146" s="565" t="str" cm="1">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IF(AND(_xlfn.SINGLE(TIPOORCAMENTO)="Licitado",$AL146=0,$AN146&gt;0),"SEM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t="str">
        <f ca="1">IF(C146&lt;=CRONO.NivelExibicao,MAX($AD$15:OFFSET(AD146,-1,0))+IF($C146&lt;&gt;1,1,MAX(1,COUNTIF(QCI!$A$13:$A$15,OFFSET($E146,-1,0)))),"")</f>
        <v/>
      </c>
      <c r="AE146" s="7" t="str">
        <f ca="1">IF(AND($C146="S",ORÇAMENTO.CodBarra&lt;&gt;""),IF(ORÇAMENTO.Fonte="",ORÇAMENTO.CodBarra,CONCATENATE(ORÇAMENTO.Fonte," ",ORÇAMENTO.CodBarra)))</f>
        <v>SETOP ED-50174</v>
      </c>
      <c r="AF146" s="12">
        <f ca="1">IF(ISERROR(INDIRECT(ORÇAMENTO.BancoRef)),"(abra o arquivo 'Referência "&amp;Excel_BuiltIn_Database&amp;".xlsm)",IF(OR($C146&lt;&gt;"S",ORÇAMENTO.CodBarra=""),"(Sem Código)",IF(ISERROR(MATCH($AE146,INDIRECT(ORÇAMENTO.BancoRef),0)),"(Código não identificado nas referências)",MATCH($AE146,INDIRECT(ORÇAMENTO.BancoRef),0))))</f>
        <v>28405</v>
      </c>
      <c r="AG146" s="428">
        <f ca="1">ROUND(IF(DESONERACAO="sim",REFERENCIA.Desonerado,REFERENCIA.NaoDesonerado),2)</f>
        <v>35.03</v>
      </c>
      <c r="AH146" s="429">
        <f t="shared" ca="1" si="36"/>
        <v>0.23499999999999999</v>
      </c>
      <c r="AJ146" s="431">
        <f>ROUND(2*(12.47+0.75)*2.3+12.47*0.75,2)</f>
        <v>70.16</v>
      </c>
      <c r="AL146" s="439"/>
      <c r="AM146" s="336">
        <f t="shared" ca="1" si="0"/>
        <v>3035.12</v>
      </c>
      <c r="AN146" s="470">
        <f t="shared" ca="1" si="37"/>
        <v>43.26</v>
      </c>
    </row>
    <row r="147" spans="1:40" x14ac:dyDescent="0.2">
      <c r="A147">
        <f t="shared" si="23"/>
        <v>3</v>
      </c>
      <c r="B147">
        <f t="shared" ca="1" si="24"/>
        <v>3</v>
      </c>
      <c r="C147">
        <f t="shared" ca="1" si="25"/>
        <v>3</v>
      </c>
      <c r="D147">
        <f t="shared" ca="1" si="26"/>
        <v>60</v>
      </c>
      <c r="E147">
        <f ca="1">IF($C147=1,OFFSET(E147,-1,0)+MAX(1,COUNTIF(QCI!$A$13:$A$15,OFFSET(ORÇAMENTO!E147,-1,0))),OFFSET(E147,-1,0))</f>
        <v>1</v>
      </c>
      <c r="F147">
        <f t="shared" ca="1" si="27"/>
        <v>5</v>
      </c>
      <c r="G147">
        <f t="shared" ca="1" si="28"/>
        <v>5</v>
      </c>
      <c r="H147">
        <f t="shared" ca="1" si="29"/>
        <v>0</v>
      </c>
      <c r="I147">
        <f t="shared" ca="1" si="30"/>
        <v>0</v>
      </c>
      <c r="J147">
        <f t="shared" ca="1" si="38"/>
        <v>68</v>
      </c>
      <c r="K147">
        <f ca="1">IF(OR($C147="S",$C147=0),0,MATCH(OFFSET($D147,0,$C147)+IF($C147&lt;&gt;1,1,COUNTIF(QCI!$A$13:$A$15,ORÇAMENTO!E147)),OFFSET($D147,1,$C147,ROW($C$508)-ROW($C147)),0))</f>
        <v>60</v>
      </c>
      <c r="L147" s="114" t="str">
        <f t="shared" ca="1" si="31"/>
        <v>F</v>
      </c>
      <c r="M147" s="115" t="s">
        <v>703</v>
      </c>
      <c r="N147" s="116" t="str">
        <f t="shared" ca="1" si="32"/>
        <v>Nível 3</v>
      </c>
      <c r="O147" s="117" t="str">
        <f t="shared" ca="1" si="33"/>
        <v>1.5.5.</v>
      </c>
      <c r="P147" s="118" t="s">
        <v>750</v>
      </c>
      <c r="Q147" s="119"/>
      <c r="R147" s="120" t="s">
        <v>1227</v>
      </c>
      <c r="S147" s="121" t="s">
        <v>688</v>
      </c>
      <c r="T147" s="122">
        <f ca="1">OFFSET(CÁLCULO!H$15,ROW($T147)-ROW(T$15),0)</f>
        <v>0</v>
      </c>
      <c r="U147" s="123">
        <f t="shared" ca="1" si="21"/>
        <v>0</v>
      </c>
      <c r="V147" s="124" t="s">
        <v>663</v>
      </c>
      <c r="W147" s="122">
        <f ca="1">IF($C147="S",ROUND(IF(TIPOORCAMENTO="Proposto",ORÇAMENTO.CustoUnitario*(1+$AH147),ORÇAMENTO.PrecoUnitarioLicitado),15-13*$AF$10),0)</f>
        <v>0</v>
      </c>
      <c r="X147" s="125" cm="1">
        <f t="array" aca="1" ref="X147" ca="1">IF($C147="S",IF(OR(Import.TipoArredondamento&lt;&gt;"TransfereGOV",ACOMPANHAMENTO="BM"),VTOTAL1,SUM(OFFSET(CÁLCULO!$AI$15,ROW($X147)-ROW($X$15),1):OFFSET(CÁLCULO!$BB$15,ROW($X147)-ROW($X$15),-1))),IF($C147=0,0,ROUND(SomaAgrup,15-13*$AF$11)))</f>
        <v>51930.61</v>
      </c>
      <c r="Y147" s="126" t="s">
        <v>751</v>
      </c>
      <c r="Z147" t="str">
        <f t="shared" ca="1" si="34"/>
        <v/>
      </c>
      <c r="AA147" s="127">
        <f ca="1">IF($C147="S",IF($Z147="CP",$X147,IF($Z147="RA",(($X147)*QCI!$AA$3),0)),SomaAgrup)</f>
        <v>0</v>
      </c>
      <c r="AB147" s="128">
        <f t="shared" ca="1" si="35"/>
        <v>0</v>
      </c>
      <c r="AC147" s="565" t="str" cm="1">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IF(AND(_xlfn.SINGLE(TIPOORCAMENTO)="Licitado",$AL147=0,$AN147&gt;0),"SEM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t="str">
        <f ca="1">IF(C147&lt;=CRONO.NivelExibicao,MAX($AD$15:OFFSET(AD147,-1,0))+IF($C147&lt;&gt;1,1,MAX(1,COUNTIF(QCI!$A$13:$A$15,OFFSET($E147,-1,0)))),"")</f>
        <v/>
      </c>
      <c r="AE147" s="7" t="b">
        <f ca="1">IF(AND($C147="S",ORÇAMENTO.CodBarra&lt;&gt;""),IF(ORÇAMENTO.Fonte="",ORÇAMENTO.CodBarra,CONCATENATE(ORÇAMENTO.Fonte," ",ORÇAMENTO.CodBarra)))</f>
        <v>0</v>
      </c>
      <c r="AF147" s="12" t="str">
        <f ca="1">IF(ISERROR(INDIRECT(ORÇAMENTO.BancoRef)),"(abra o arquivo 'Referência "&amp;Excel_BuiltIn_Database&amp;".xlsm)",IF(OR($C147&lt;&gt;"S",ORÇAMENTO.CodBarra=""),"(Sem Código)",IF(ISERROR(MATCH($AE147,INDIRECT(ORÇAMENTO.BancoRef),0)),"(Código não identificado nas referências)",MATCH($AE147,INDIRECT(ORÇAMENTO.BancoRef),0))))</f>
        <v>(Sem Código)</v>
      </c>
      <c r="AG147" s="428">
        <f ca="1">ROUND(IF(DESONERACAO="sim",REFERENCIA.Desonerado,REFERENCIA.NaoDesonerado),2)</f>
        <v>0</v>
      </c>
      <c r="AH147" s="429">
        <f t="shared" ca="1" si="36"/>
        <v>0.23499999999999999</v>
      </c>
      <c r="AJ147" s="431"/>
      <c r="AL147" s="439"/>
      <c r="AM147" s="336">
        <f t="shared" ca="1" si="0"/>
        <v>51930.61</v>
      </c>
      <c r="AN147" s="470">
        <f t="shared" ca="1" si="37"/>
        <v>0</v>
      </c>
    </row>
    <row r="148" spans="1:40" x14ac:dyDescent="0.2">
      <c r="A148">
        <f t="shared" si="23"/>
        <v>4</v>
      </c>
      <c r="B148">
        <f t="shared" ca="1" si="24"/>
        <v>4</v>
      </c>
      <c r="C148">
        <f t="shared" ca="1" si="25"/>
        <v>4</v>
      </c>
      <c r="D148">
        <f t="shared" ca="1" si="26"/>
        <v>11</v>
      </c>
      <c r="E148">
        <f ca="1">IF($C148=1,OFFSET(E148,-1,0)+MAX(1,COUNTIF(QCI!$A$13:$A$15,OFFSET(ORÇAMENTO!E148,-1,0))),OFFSET(E148,-1,0))</f>
        <v>1</v>
      </c>
      <c r="F148">
        <f t="shared" ca="1" si="27"/>
        <v>5</v>
      </c>
      <c r="G148">
        <f t="shared" ca="1" si="28"/>
        <v>5</v>
      </c>
      <c r="H148">
        <f t="shared" ca="1" si="29"/>
        <v>1</v>
      </c>
      <c r="I148">
        <f t="shared" ca="1" si="30"/>
        <v>0</v>
      </c>
      <c r="J148">
        <f t="shared" ca="1" si="38"/>
        <v>59</v>
      </c>
      <c r="K148">
        <f ca="1">IF(OR($C148="S",$C148=0),0,MATCH(OFFSET($D148,0,$C148)+IF($C148&lt;&gt;1,1,COUNTIF(QCI!$A$13:$A$15,ORÇAMENTO!E148)),OFFSET($D148,1,$C148,ROW($C$508)-ROW($C148)),0))</f>
        <v>11</v>
      </c>
      <c r="L148" s="114" t="str">
        <f t="shared" ca="1" si="31"/>
        <v>F</v>
      </c>
      <c r="M148" s="115" t="s">
        <v>704</v>
      </c>
      <c r="N148" s="116" t="str">
        <f t="shared" ca="1" si="32"/>
        <v>Nível 4</v>
      </c>
      <c r="O148" s="117" t="str">
        <f t="shared" ca="1" si="33"/>
        <v>1.5.5.1.</v>
      </c>
      <c r="P148" s="118" t="s">
        <v>750</v>
      </c>
      <c r="Q148" s="119"/>
      <c r="R148" s="120" t="s">
        <v>1218</v>
      </c>
      <c r="S148" s="121" t="s">
        <v>688</v>
      </c>
      <c r="T148" s="122">
        <f ca="1">OFFSET(CÁLCULO!H$15,ROW($T148)-ROW(T$15),0)</f>
        <v>0</v>
      </c>
      <c r="U148" s="123">
        <f t="shared" ca="1" si="21"/>
        <v>0</v>
      </c>
      <c r="V148" s="124" t="s">
        <v>663</v>
      </c>
      <c r="W148" s="122">
        <f ca="1">IF($C148="S",ROUND(IF(TIPOORCAMENTO="Proposto",ORÇAMENTO.CustoUnitario*(1+$AH148),ORÇAMENTO.PrecoUnitarioLicitado),15-13*$AF$10),0)</f>
        <v>0</v>
      </c>
      <c r="X148" s="125" cm="1">
        <f t="array" aca="1" ref="X148" ca="1">IF($C148="S",IF(OR(Import.TipoArredondamento&lt;&gt;"TransfereGOV",ACOMPANHAMENTO="BM"),VTOTAL1,SUM(OFFSET(CÁLCULO!$AI$15,ROW($X148)-ROW($X$15),1):OFFSET(CÁLCULO!$BB$15,ROW($X148)-ROW($X$15),-1))),IF($C148=0,0,ROUND(SomaAgrup,15-13*$AF$11)))</f>
        <v>18936.419999999998</v>
      </c>
      <c r="Y148" s="126" t="s">
        <v>751</v>
      </c>
      <c r="Z148" t="str">
        <f t="shared" ca="1" si="34"/>
        <v/>
      </c>
      <c r="AA148" s="127">
        <f ca="1">IF($C148="S",IF($Z148="CP",$X148,IF($Z148="RA",(($X148)*QCI!$AA$3),0)),SomaAgrup)</f>
        <v>0</v>
      </c>
      <c r="AB148" s="128">
        <f t="shared" ca="1" si="35"/>
        <v>0</v>
      </c>
      <c r="AC148" s="565" t="str" cm="1">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IF(AND(_xlfn.SINGLE(TIPOORCAMENTO)="Licitado",$AL148=0,$AN148&gt;0),"SEM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t="str">
        <f ca="1">IF(C148&lt;=CRONO.NivelExibicao,MAX($AD$15:OFFSET(AD148,-1,0))+IF($C148&lt;&gt;1,1,MAX(1,COUNTIF(QCI!$A$13:$A$15,OFFSET($E148,-1,0)))),"")</f>
        <v/>
      </c>
      <c r="AE148" s="7" t="b">
        <f ca="1">IF(AND($C148="S",ORÇAMENTO.CodBarra&lt;&gt;""),IF(ORÇAMENTO.Fonte="",ORÇAMENTO.CodBarra,CONCATENATE(ORÇAMENTO.Fonte," ",ORÇAMENTO.CodBarra)))</f>
        <v>0</v>
      </c>
      <c r="AF148" s="12" t="str">
        <f ca="1">IF(ISERROR(INDIRECT(ORÇAMENTO.BancoRef)),"(abra o arquivo 'Referência "&amp;Excel_BuiltIn_Database&amp;".xlsm)",IF(OR($C148&lt;&gt;"S",ORÇAMENTO.CodBarra=""),"(Sem Código)",IF(ISERROR(MATCH($AE148,INDIRECT(ORÇAMENTO.BancoRef),0)),"(Código não identificado nas referências)",MATCH($AE148,INDIRECT(ORÇAMENTO.BancoRef),0))))</f>
        <v>(Sem Código)</v>
      </c>
      <c r="AG148" s="428">
        <f ca="1">ROUND(IF(DESONERACAO="sim",REFERENCIA.Desonerado,REFERENCIA.NaoDesonerado),2)</f>
        <v>0</v>
      </c>
      <c r="AH148" s="429">
        <f t="shared" ca="1" si="36"/>
        <v>0.23499999999999999</v>
      </c>
      <c r="AJ148" s="431"/>
      <c r="AL148" s="439"/>
      <c r="AM148" s="336">
        <f t="shared" ca="1" si="0"/>
        <v>18936.419999999998</v>
      </c>
      <c r="AN148" s="470">
        <f t="shared" ca="1" si="37"/>
        <v>0</v>
      </c>
    </row>
    <row r="149" spans="1:40" x14ac:dyDescent="0.2">
      <c r="A149" t="str">
        <f t="shared" ref="A149:A212" si="39">CHOOSE(1+LOG(1+2*(ORÇAMENTO.Nivel="Meta")+4*(ORÇAMENTO.Nivel="Nível 2")+8*(ORÇAMENTO.Nivel="Nível 3")+16*(ORÇAMENTO.Nivel="Nível 4")+32*(ORÇAMENTO.Nivel="Serviço"),2),0,1,2,3,4,"S")</f>
        <v>S</v>
      </c>
      <c r="B149">
        <f t="shared" ref="B149:B212" ca="1" si="40">IF(OR(C149="s",C149=0),OFFSET(B149,-1,0),C149)</f>
        <v>4</v>
      </c>
      <c r="C149" t="str">
        <f t="shared" ref="C149:C212" ca="1" si="41">IF(OFFSET(C149,-1,0)="L",1,IF(OFFSET(C149,-1,0)=1,2,IF(OR(A149="s",A149=0),"S",IF(AND(OFFSET(C149,-1,0)=2,A149=4),3,IF(AND(OR(OFFSET(C149,-1,0)="s",OFFSET(C149,-1,0)=0),A149&lt;&gt;"s",A149&gt;OFFSET(B149,-1,0)),OFFSET(B149,-1,0),A149)))))</f>
        <v>S</v>
      </c>
      <c r="D149">
        <f t="shared" ref="D149:D212" ca="1" si="42">IF(OR(C149="S",C149=0),0,IF(ISERROR(K149),J149,SMALL(J149:K149,1)))</f>
        <v>0</v>
      </c>
      <c r="E149">
        <f ca="1">IF($C149=1,OFFSET(E149,-1,0)+MAX(1,COUNTIF(QCI!$A$13:$A$15,OFFSET(ORÇAMENTO!E149,-1,0))),OFFSET(E149,-1,0))</f>
        <v>1</v>
      </c>
      <c r="F149">
        <f t="shared" ref="F149:F212" ca="1" si="43">IF($C149=1,0,IF($C149=2,OFFSET(F149,-1,0)+1,OFFSET(F149,-1,0)))</f>
        <v>5</v>
      </c>
      <c r="G149">
        <f t="shared" ref="G149:G212" ca="1" si="44">IF(AND($C149&lt;=2,$C149&lt;&gt;0),0,IF($C149=3,OFFSET(G149,-1,0)+1,OFFSET(G149,-1,0)))</f>
        <v>5</v>
      </c>
      <c r="H149">
        <f t="shared" ref="H149:H212" ca="1" si="45">IF(AND($C149&lt;=3,$C149&lt;&gt;0),0,IF($C149=4,OFFSET(H149,-1,0)+1,OFFSET(H149,-1,0)))</f>
        <v>1</v>
      </c>
      <c r="I149">
        <f t="shared" ref="I149:I212" ca="1" si="46">IF(AND($C149&lt;=4,$C149&lt;&gt;0),0,IF(AND($C149="S",$X149&gt;0),OFFSET(I149,-1,0)+1,OFFSET(I149,-1,0)))</f>
        <v>1</v>
      </c>
      <c r="J149">
        <f t="shared" ca="1" si="38"/>
        <v>0</v>
      </c>
      <c r="K149">
        <f ca="1">IF(OR($C149="S",$C149=0),0,MATCH(OFFSET($D149,0,$C149)+IF($C149&lt;&gt;1,1,COUNTIF(QCI!$A$13:$A$15,ORÇAMENTO!E149)),OFFSET($D149,1,$C149,ROW($C$508)-ROW($C149)),0))</f>
        <v>0</v>
      </c>
      <c r="L149" s="114" t="str">
        <f t="shared" ref="L149:L212" ca="1" si="47">IF(OR($X149&gt;0,$C149=1,$C149=2,$C149=3,$C149=4),"F","")</f>
        <v>F</v>
      </c>
      <c r="M149" s="115" t="s">
        <v>705</v>
      </c>
      <c r="N149" s="116" t="str">
        <f t="shared" ref="N149:N212" ca="1" si="48">CHOOSE(1+LOG(1+2*(C149=1)+4*(C149=2)+8*(C149=3)+16*(C149=4)+32*(C149="S"),2),"","Meta","Nível 2","Nível 3","Nível 4","Serviço")</f>
        <v>Serviço</v>
      </c>
      <c r="O149" s="117" t="str">
        <f t="shared" ref="O149:O212" ca="1" si="49">IF(OR($C149=0,$L149=""),"-",CONCATENATE(E149&amp;".",IF(AND($A$5&gt;=2,$C149&gt;=2),F149&amp;".",""),IF(AND($A$5&gt;=3,$C149&gt;=3),G149&amp;".",""),IF(AND($A$5&gt;=4,$C149&gt;=4),H149&amp;".",""),IF($C149="S",I149&amp;".","")))</f>
        <v>1.5.5.1.1.</v>
      </c>
      <c r="P149" s="118" t="s">
        <v>956</v>
      </c>
      <c r="Q149" s="119" t="s">
        <v>1032</v>
      </c>
      <c r="R149" s="120" t="str">
        <f ca="1">IF($C149="S",REFERENCIA.Descricao,"(digite a descrição aqui)")</f>
        <v>ESTACA BROCA MANUAL D = 30 CM - CONFECÇÃO</v>
      </c>
      <c r="S149" s="121" t="str">
        <f ca="1">REFERENCIA.Unidade</f>
        <v>M</v>
      </c>
      <c r="T149" s="122">
        <f ca="1">OFFSET(CÁLCULO!H$15,ROW($T149)-ROW(T$15),0)</f>
        <v>6.2</v>
      </c>
      <c r="U149" s="123">
        <f t="shared" ca="1" si="21"/>
        <v>55.79</v>
      </c>
      <c r="V149" s="124" t="s">
        <v>663</v>
      </c>
      <c r="W149" s="122">
        <f ca="1">IF($C149="S",ROUND(IF(TIPOORCAMENTO="Proposto",ORÇAMENTO.CustoUnitario*(1+$AH149),ORÇAMENTO.PrecoUnitarioLicitado),15-13*$AF$10),0)</f>
        <v>68.900000000000006</v>
      </c>
      <c r="X149" s="125" cm="1">
        <f t="array" aca="1" ref="X149" ca="1">IF($C149="S",IF(OR(Import.TipoArredondamento&lt;&gt;"TransfereGOV",ACOMPANHAMENTO="BM"),VTOTAL1,SUM(OFFSET(CÁLCULO!$AI$15,ROW($X149)-ROW($X$15),1):OFFSET(CÁLCULO!$BB$15,ROW($X149)-ROW($X$15),-1))),IF($C149=0,0,ROUND(SomaAgrup,15-13*$AF$11)))</f>
        <v>427.18</v>
      </c>
      <c r="Y149" s="126" t="s">
        <v>751</v>
      </c>
      <c r="Z149" t="str">
        <f t="shared" ref="Z149:Z212" ca="1" si="50">IF(AND($C149="S",$X149&gt;0),IF(ISBLANK($Y149),"RA",LEFT($Y149,2)),"")</f>
        <v>RA</v>
      </c>
      <c r="AA149" s="127">
        <f ca="1">IF($C149="S",IF($Z149="CP",$X149,IF($Z149="RA",(($X149)*QCI!$AA$3),0)),SomaAgrup)</f>
        <v>0</v>
      </c>
      <c r="AB149" s="128">
        <f t="shared" ref="AB149:AB212" ca="1" si="51">IF($C149="S",IF($Z149="OU",ROUND($X149,2),0),SomaAgrup)</f>
        <v>0</v>
      </c>
      <c r="AC149" s="565" t="str" cm="1">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IF(AND(_xlfn.SINGLE(TIPOORCAMENTO)="Licitado",$AL149=0,$AN149&gt;0),"SEM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t="str">
        <f ca="1">IF(C149&lt;=CRONO.NivelExibicao,MAX($AD$15:OFFSET(AD149,-1,0))+IF($C149&lt;&gt;1,1,MAX(1,COUNTIF(QCI!$A$13:$A$15,OFFSET($E149,-1,0)))),"")</f>
        <v/>
      </c>
      <c r="AE149" s="7" t="str">
        <f ca="1">IF(AND($C149="S",ORÇAMENTO.CodBarra&lt;&gt;""),IF(ORÇAMENTO.Fonte="",ORÇAMENTO.CodBarra,CONCATENATE(ORÇAMENTO.Fonte," ",ORÇAMENTO.CodBarra)))</f>
        <v>SICRO 2306091</v>
      </c>
      <c r="AF149" s="12">
        <f ca="1">IF(ISERROR(INDIRECT(ORÇAMENTO.BancoRef)),"(abra o arquivo 'Referência "&amp;Excel_BuiltIn_Database&amp;".xlsm)",IF(OR($C149&lt;&gt;"S",ORÇAMENTO.CodBarra=""),"(Sem Código)",IF(ISERROR(MATCH($AE149,INDIRECT(ORÇAMENTO.BancoRef),0)),"(Código não identificado nas referências)",MATCH($AE149,INDIRECT(ORÇAMENTO.BancoRef),0))))</f>
        <v>19379</v>
      </c>
      <c r="AG149" s="428">
        <f ca="1">ROUND(IF(DESONERACAO="sim",REFERENCIA.Desonerado,REFERENCIA.NaoDesonerado),2)</f>
        <v>55.79</v>
      </c>
      <c r="AH149" s="429">
        <f t="shared" ref="AH149:AH212" ca="1" si="52">ROUND(IF(ISNUMBER(ORÇAMENTO.OpcaoBDI),ORÇAMENTO.OpcaoBDI,IF(LEFT(ORÇAMENTO.OpcaoBDI,3)="BDI",HLOOKUP(ORÇAMENTO.OpcaoBDI,$F$4:$H$5,2,FALSE),0)),15-11*$AF$9)</f>
        <v>0.23499999999999999</v>
      </c>
      <c r="AJ149" s="431">
        <f>3.1*2</f>
        <v>6.2</v>
      </c>
      <c r="AL149" s="439"/>
      <c r="AM149" s="336">
        <f t="shared" ca="1" si="0"/>
        <v>427.18</v>
      </c>
      <c r="AN149" s="470">
        <f t="shared" ref="AN149:AN212" ca="1" si="53">ROUND(ORÇAMENTO.CustoUnitario*(1+$AH149),2)</f>
        <v>68.900000000000006</v>
      </c>
    </row>
    <row r="150" spans="1:40" ht="25.5" x14ac:dyDescent="0.2">
      <c r="A150" t="str">
        <f t="shared" si="39"/>
        <v>S</v>
      </c>
      <c r="B150">
        <f t="shared" ca="1" si="40"/>
        <v>4</v>
      </c>
      <c r="C150" t="str">
        <f t="shared" ca="1" si="41"/>
        <v>S</v>
      </c>
      <c r="D150">
        <f t="shared" ca="1" si="42"/>
        <v>0</v>
      </c>
      <c r="E150">
        <f ca="1">IF($C150=1,OFFSET(E150,-1,0)+MAX(1,COUNTIF(QCI!$A$13:$A$15,OFFSET(ORÇAMENTO!E150,-1,0))),OFFSET(E150,-1,0))</f>
        <v>1</v>
      </c>
      <c r="F150">
        <f t="shared" ca="1" si="43"/>
        <v>5</v>
      </c>
      <c r="G150">
        <f t="shared" ca="1" si="44"/>
        <v>5</v>
      </c>
      <c r="H150">
        <f t="shared" ca="1" si="45"/>
        <v>1</v>
      </c>
      <c r="I150">
        <f t="shared" ca="1" si="46"/>
        <v>2</v>
      </c>
      <c r="J150">
        <f t="shared" ca="1" si="38"/>
        <v>0</v>
      </c>
      <c r="K150">
        <f ca="1">IF(OR($C150="S",$C150=0),0,MATCH(OFFSET($D150,0,$C150)+IF($C150&lt;&gt;1,1,COUNTIF(QCI!$A$13:$A$15,ORÇAMENTO!E150)),OFFSET($D150,1,$C150,ROW($C$508)-ROW($C150)),0))</f>
        <v>0</v>
      </c>
      <c r="L150" s="114" t="str">
        <f t="shared" ca="1" si="47"/>
        <v>F</v>
      </c>
      <c r="M150" s="115" t="s">
        <v>705</v>
      </c>
      <c r="N150" s="116" t="str">
        <f t="shared" ca="1" si="48"/>
        <v>Serviço</v>
      </c>
      <c r="O150" s="117" t="str">
        <f t="shared" ca="1" si="49"/>
        <v>1.5.5.1.2.</v>
      </c>
      <c r="P150" s="118" t="s">
        <v>1282</v>
      </c>
      <c r="Q150" s="119" t="s">
        <v>1033</v>
      </c>
      <c r="R150" s="120" t="str">
        <f ca="1">IF($C150="S",REFERENCIA.Descricao,"(digite a descrição aqui)")</f>
        <v>ESTACA ESCAVADA COM TRADO MANUAL, D=30CM, INCLUSIVE CONCRETO EXCLUSIVE ARMAÇÃO</v>
      </c>
      <c r="S150" s="121" t="str">
        <f ca="1">REFERENCIA.Unidade</f>
        <v>M</v>
      </c>
      <c r="T150" s="122">
        <f ca="1">OFFSET(CÁLCULO!H$15,ROW($T150)-ROW(T$15),0)</f>
        <v>52.7</v>
      </c>
      <c r="U150" s="123">
        <f ca="1">AG150</f>
        <v>111.51</v>
      </c>
      <c r="V150" s="124" t="s">
        <v>663</v>
      </c>
      <c r="W150" s="122">
        <f ca="1">IF($C150="S",ROUND(IF(TIPOORCAMENTO="Proposto",ORÇAMENTO.CustoUnitario*(1+$AH150),ORÇAMENTO.PrecoUnitarioLicitado),15-13*$AF$10),0)</f>
        <v>137.71</v>
      </c>
      <c r="X150" s="125" cm="1">
        <f t="array" aca="1" ref="X150" ca="1">IF($C150="S",IF(OR(Import.TipoArredondamento&lt;&gt;"TransfereGOV",ACOMPANHAMENTO="BM"),VTOTAL1,SUM(OFFSET(CÁLCULO!$AI$15,ROW($X150)-ROW($X$15),1):OFFSET(CÁLCULO!$BB$15,ROW($X150)-ROW($X$15),-1))),IF($C150=0,0,ROUND(SomaAgrup,15-13*$AF$11)))</f>
        <v>7257.32</v>
      </c>
      <c r="Y150" s="126" t="s">
        <v>751</v>
      </c>
      <c r="Z150" t="str">
        <f t="shared" ca="1" si="50"/>
        <v>RA</v>
      </c>
      <c r="AA150" s="127">
        <f ca="1">IF($C150="S",IF($Z150="CP",$X150,IF($Z150="RA",(($X150)*QCI!$AA$3),0)),SomaAgrup)</f>
        <v>0</v>
      </c>
      <c r="AB150" s="128">
        <f t="shared" ca="1" si="51"/>
        <v>0</v>
      </c>
      <c r="AC150" s="565" t="str" cm="1">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IF(AND(_xlfn.SINGLE(TIPOORCAMENTO)="Licitado",$AL150=0,$AN150&gt;0),"SEM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t="str">
        <f ca="1">IF(C150&lt;=CRONO.NivelExibicao,MAX($AD$15:OFFSET(AD150,-1,0))+IF($C150&lt;&gt;1,1,MAX(1,COUNTIF(QCI!$A$13:$A$15,OFFSET($E150,-1,0)))),"")</f>
        <v/>
      </c>
      <c r="AE150" s="7" t="str">
        <f ca="1">IF(AND($C150="S",ORÇAMENTO.CodBarra&lt;&gt;""),IF(ORÇAMENTO.Fonte="",ORÇAMENTO.CodBarra,CONCATENATE(ORÇAMENTO.Fonte," ",ORÇAMENTO.CodBarra)))</f>
        <v>SUDECAP 04.03.27</v>
      </c>
      <c r="AF150" s="12">
        <f ca="1">IF(ISERROR(INDIRECT(ORÇAMENTO.BancoRef)),"(abra o arquivo 'Referência "&amp;Excel_BuiltIn_Database&amp;".xlsm)",IF(OR($C150&lt;&gt;"S",ORÇAMENTO.CodBarra=""),"(Sem Código)",IF(ISERROR(MATCH($AE150,INDIRECT(ORÇAMENTO.BancoRef),0)),"(Código não identificado nas referências)",MATCH($AE150,INDIRECT(ORÇAMENTO.BancoRef),0))))</f>
        <v>24153</v>
      </c>
      <c r="AG150" s="428">
        <f ca="1">ROUND(IF(DESONERACAO="sim",REFERENCIA.Desonerado,REFERENCIA.NaoDesonerado),2)</f>
        <v>111.51</v>
      </c>
      <c r="AH150" s="429">
        <f t="shared" ca="1" si="52"/>
        <v>0.23499999999999999</v>
      </c>
      <c r="AJ150" s="431">
        <f>17*3.1</f>
        <v>52.7</v>
      </c>
      <c r="AL150" s="439"/>
      <c r="AM150" s="336">
        <f t="shared" ca="1" si="0"/>
        <v>7257.32</v>
      </c>
      <c r="AN150" s="470">
        <f t="shared" ca="1" si="53"/>
        <v>137.71</v>
      </c>
    </row>
    <row r="151" spans="1:40" ht="38.25" x14ac:dyDescent="0.2">
      <c r="A151" t="str">
        <f t="shared" si="39"/>
        <v>S</v>
      </c>
      <c r="B151">
        <f t="shared" ca="1" si="40"/>
        <v>4</v>
      </c>
      <c r="C151" t="str">
        <f t="shared" ca="1" si="41"/>
        <v>S</v>
      </c>
      <c r="D151">
        <f t="shared" ca="1" si="42"/>
        <v>0</v>
      </c>
      <c r="E151">
        <f ca="1">IF($C151=1,OFFSET(E151,-1,0)+MAX(1,COUNTIF(QCI!$A$13:$A$15,OFFSET(ORÇAMENTO!E151,-1,0))),OFFSET(E151,-1,0))</f>
        <v>1</v>
      </c>
      <c r="F151">
        <f t="shared" ca="1" si="43"/>
        <v>5</v>
      </c>
      <c r="G151">
        <f t="shared" ca="1" si="44"/>
        <v>5</v>
      </c>
      <c r="H151">
        <f t="shared" ca="1" si="45"/>
        <v>1</v>
      </c>
      <c r="I151">
        <f t="shared" ca="1" si="46"/>
        <v>3</v>
      </c>
      <c r="J151">
        <f t="shared" ca="1" si="38"/>
        <v>0</v>
      </c>
      <c r="K151">
        <f ca="1">IF(OR($C151="S",$C151=0),0,MATCH(OFFSET($D151,0,$C151)+IF($C151&lt;&gt;1,1,COUNTIF(QCI!$A$13:$A$15,ORÇAMENTO!E151)),OFFSET($D151,1,$C151,ROW($C$508)-ROW($C151)),0))</f>
        <v>0</v>
      </c>
      <c r="L151" s="114" t="str">
        <f t="shared" ca="1" si="47"/>
        <v>F</v>
      </c>
      <c r="M151" s="115" t="s">
        <v>705</v>
      </c>
      <c r="N151" s="116" t="str">
        <f t="shared" ca="1" si="48"/>
        <v>Serviço</v>
      </c>
      <c r="O151" s="117" t="str">
        <f t="shared" ca="1" si="49"/>
        <v>1.5.5.1.3.</v>
      </c>
      <c r="P151" s="118" t="s">
        <v>750</v>
      </c>
      <c r="Q151" s="119" t="s">
        <v>1017</v>
      </c>
      <c r="R151" s="120" t="str">
        <f ca="1">IF($C151="S",REFERENCIA.Descricao,"(digite a descrição aqui)")</f>
        <v>CONCRETO FCK = 40MPA, TRAÇO 1:1,6:1,9 (EM MASSA SECA DE CIMENTO/ AREIA MÉDIA/ BRITA 1) - PREPARO MECÂNICO COM BETONEIRA 600 L. AF_05/2021</v>
      </c>
      <c r="S151" s="121" t="str">
        <f ca="1">REFERENCIA.Unidade</f>
        <v>M3</v>
      </c>
      <c r="T151" s="122">
        <f ca="1">OFFSET(CÁLCULO!H$15,ROW($T151)-ROW(T$15),0)</f>
        <v>4.17</v>
      </c>
      <c r="U151" s="123">
        <f t="shared" ca="1" si="21"/>
        <v>628.30999999999995</v>
      </c>
      <c r="V151" s="124" t="s">
        <v>663</v>
      </c>
      <c r="W151" s="122">
        <f ca="1">IF($C151="S",ROUND(IF(TIPOORCAMENTO="Proposto",ORÇAMENTO.CustoUnitario*(1+$AH151),ORÇAMENTO.PrecoUnitarioLicitado),15-13*$AF$10),0)</f>
        <v>775.96</v>
      </c>
      <c r="X151" s="125" cm="1">
        <f t="array" aca="1" ref="X151" ca="1">IF($C151="S",IF(OR(Import.TipoArredondamento&lt;&gt;"TransfereGOV",ACOMPANHAMENTO="BM"),VTOTAL1,SUM(OFFSET(CÁLCULO!$AI$15,ROW($X151)-ROW($X$15),1):OFFSET(CÁLCULO!$BB$15,ROW($X151)-ROW($X$15),-1))),IF($C151=0,0,ROUND(SomaAgrup,15-13*$AF$11)))</f>
        <v>3235.75</v>
      </c>
      <c r="Y151" s="126" t="s">
        <v>751</v>
      </c>
      <c r="Z151" t="str">
        <f t="shared" ca="1" si="50"/>
        <v>RA</v>
      </c>
      <c r="AA151" s="127">
        <f ca="1">IF($C151="S",IF($Z151="CP",$X151,IF($Z151="RA",(($X151)*QCI!$AA$3),0)),SomaAgrup)</f>
        <v>0</v>
      </c>
      <c r="AB151" s="128">
        <f t="shared" ca="1" si="51"/>
        <v>0</v>
      </c>
      <c r="AC151" s="565" t="str" cm="1">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IF(AND(_xlfn.SINGLE(TIPOORCAMENTO)="Licitado",$AL151=0,$AN151&gt;0),"SEM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t="str">
        <f ca="1">IF(C151&lt;=CRONO.NivelExibicao,MAX($AD$15:OFFSET(AD151,-1,0))+IF($C151&lt;&gt;1,1,MAX(1,COUNTIF(QCI!$A$13:$A$15,OFFSET($E151,-1,0)))),"")</f>
        <v/>
      </c>
      <c r="AE151" s="7" t="str">
        <f ca="1">IF(AND($C151="S",ORÇAMENTO.CodBarra&lt;&gt;""),IF(ORÇAMENTO.Fonte="",ORÇAMENTO.CodBarra,CONCATENATE(ORÇAMENTO.Fonte," ",ORÇAMENTO.CodBarra)))</f>
        <v>SINAPI 94973</v>
      </c>
      <c r="AF151" s="12">
        <f ca="1">IF(ISERROR(INDIRECT(ORÇAMENTO.BancoRef)),"(abra o arquivo 'Referência "&amp;Excel_BuiltIn_Database&amp;".xlsm)",IF(OR($C151&lt;&gt;"S",ORÇAMENTO.CodBarra=""),"(Sem Código)",IF(ISERROR(MATCH($AE151,INDIRECT(ORÇAMENTO.BancoRef),0)),"(Código não identificado nas referências)",MATCH($AE151,INDIRECT(ORÇAMENTO.BancoRef),0))))</f>
        <v>14326</v>
      </c>
      <c r="AG151" s="428">
        <f ca="1">ROUND(IF(DESONERACAO="sim",REFERENCIA.Desonerado,REFERENCIA.NaoDesonerado),2)</f>
        <v>628.30999999999995</v>
      </c>
      <c r="AH151" s="429">
        <f t="shared" ca="1" si="52"/>
        <v>0.23499999999999999</v>
      </c>
      <c r="AJ151" s="431">
        <f>ROUND(3.605+0.121+0.015+0.425,2)</f>
        <v>4.17</v>
      </c>
      <c r="AL151" s="439"/>
      <c r="AM151" s="336">
        <f t="shared" ca="1" si="0"/>
        <v>3235.75</v>
      </c>
      <c r="AN151" s="470">
        <f t="shared" ca="1" si="53"/>
        <v>775.96</v>
      </c>
    </row>
    <row r="152" spans="1:40" ht="25.5" x14ac:dyDescent="0.2">
      <c r="A152" t="str">
        <f t="shared" si="39"/>
        <v>S</v>
      </c>
      <c r="B152">
        <f t="shared" ca="1" si="40"/>
        <v>4</v>
      </c>
      <c r="C152" t="str">
        <f t="shared" ca="1" si="41"/>
        <v>S</v>
      </c>
      <c r="D152">
        <f t="shared" ca="1" si="42"/>
        <v>0</v>
      </c>
      <c r="E152">
        <f ca="1">IF($C152=1,OFFSET(E152,-1,0)+MAX(1,COUNTIF(QCI!$A$13:$A$15,OFFSET(ORÇAMENTO!E152,-1,0))),OFFSET(E152,-1,0))</f>
        <v>1</v>
      </c>
      <c r="F152">
        <f t="shared" ca="1" si="43"/>
        <v>5</v>
      </c>
      <c r="G152">
        <f t="shared" ca="1" si="44"/>
        <v>5</v>
      </c>
      <c r="H152">
        <f t="shared" ca="1" si="45"/>
        <v>1</v>
      </c>
      <c r="I152">
        <f t="shared" ca="1" si="46"/>
        <v>4</v>
      </c>
      <c r="J152">
        <f t="shared" ca="1" si="38"/>
        <v>0</v>
      </c>
      <c r="K152">
        <f ca="1">IF(OR($C152="S",$C152=0),0,MATCH(OFFSET($D152,0,$C152)+IF($C152&lt;&gt;1,1,COUNTIF(QCI!$A$13:$A$15,ORÇAMENTO!E152)),OFFSET($D152,1,$C152,ROW($C$508)-ROW($C152)),0))</f>
        <v>0</v>
      </c>
      <c r="L152" s="114" t="str">
        <f t="shared" ca="1" si="47"/>
        <v>F</v>
      </c>
      <c r="M152" s="115" t="s">
        <v>705</v>
      </c>
      <c r="N152" s="116" t="str">
        <f t="shared" ca="1" si="48"/>
        <v>Serviço</v>
      </c>
      <c r="O152" s="117" t="str">
        <f t="shared" ca="1" si="49"/>
        <v>1.5.5.1.4.</v>
      </c>
      <c r="P152" s="118" t="s">
        <v>750</v>
      </c>
      <c r="Q152" s="119" t="s">
        <v>1018</v>
      </c>
      <c r="R152" s="120" t="str">
        <f ca="1">IF($C152="S",REFERENCIA.Descricao,"(digite a descrição aqui)")</f>
        <v>LANÇAMENTO COM USO DE BOMBA, ADENSAMENTO E ACABAMENTO DE CONCRETO EM ESTRUTURAS. AF_02/2022</v>
      </c>
      <c r="S152" s="121" t="str">
        <f ca="1">REFERENCIA.Unidade</f>
        <v>M3</v>
      </c>
      <c r="T152" s="122">
        <f ca="1">OFFSET(CÁLCULO!H$15,ROW($T152)-ROW(T$15),0)</f>
        <v>4.17</v>
      </c>
      <c r="U152" s="123">
        <f t="shared" ca="1" si="21"/>
        <v>44.5</v>
      </c>
      <c r="V152" s="124" t="s">
        <v>663</v>
      </c>
      <c r="W152" s="122">
        <f ca="1">IF($C152="S",ROUND(IF(TIPOORCAMENTO="Proposto",ORÇAMENTO.CustoUnitario*(1+$AH152),ORÇAMENTO.PrecoUnitarioLicitado),15-13*$AF$10),0)</f>
        <v>54.96</v>
      </c>
      <c r="X152" s="125" cm="1">
        <f t="array" aca="1" ref="X152" ca="1">IF($C152="S",IF(OR(Import.TipoArredondamento&lt;&gt;"TransfereGOV",ACOMPANHAMENTO="BM"),VTOTAL1,SUM(OFFSET(CÁLCULO!$AI$15,ROW($X152)-ROW($X$15),1):OFFSET(CÁLCULO!$BB$15,ROW($X152)-ROW($X$15),-1))),IF($C152=0,0,ROUND(SomaAgrup,15-13*$AF$11)))</f>
        <v>229.18</v>
      </c>
      <c r="Y152" s="126" t="s">
        <v>751</v>
      </c>
      <c r="Z152" t="str">
        <f t="shared" ca="1" si="50"/>
        <v>RA</v>
      </c>
      <c r="AA152" s="127">
        <f ca="1">IF($C152="S",IF($Z152="CP",$X152,IF($Z152="RA",(($X152)*QCI!$AA$3),0)),SomaAgrup)</f>
        <v>0</v>
      </c>
      <c r="AB152" s="128">
        <f t="shared" ca="1" si="51"/>
        <v>0</v>
      </c>
      <c r="AC152" s="565" t="str" cm="1">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IF(AND(_xlfn.SINGLE(TIPOORCAMENTO)="Licitado",$AL152=0,$AN152&gt;0),"SEM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t="str">
        <f ca="1">IF(C152&lt;=CRONO.NivelExibicao,MAX($AD$15:OFFSET(AD152,-1,0))+IF($C152&lt;&gt;1,1,MAX(1,COUNTIF(QCI!$A$13:$A$15,OFFSET($E152,-1,0)))),"")</f>
        <v/>
      </c>
      <c r="AE152" s="7" t="str">
        <f ca="1">IF(AND($C152="S",ORÇAMENTO.CodBarra&lt;&gt;""),IF(ORÇAMENTO.Fonte="",ORÇAMENTO.CodBarra,CONCATENATE(ORÇAMENTO.Fonte," ",ORÇAMENTO.CodBarra)))</f>
        <v>SINAPI 103673</v>
      </c>
      <c r="AF152" s="12">
        <f ca="1">IF(ISERROR(INDIRECT(ORÇAMENTO.BancoRef)),"(abra o arquivo 'Referência "&amp;Excel_BuiltIn_Database&amp;".xlsm)",IF(OR($C152&lt;&gt;"S",ORÇAMENTO.CodBarra=""),"(Sem Código)",IF(ISERROR(MATCH($AE152,INDIRECT(ORÇAMENTO.BancoRef),0)),"(Código não identificado nas referências)",MATCH($AE152,INDIRECT(ORÇAMENTO.BancoRef),0))))</f>
        <v>7334</v>
      </c>
      <c r="AG152" s="428">
        <f ca="1">ROUND(IF(DESONERACAO="sim",REFERENCIA.Desonerado,REFERENCIA.NaoDesonerado),2)</f>
        <v>44.5</v>
      </c>
      <c r="AH152" s="429">
        <f t="shared" ca="1" si="52"/>
        <v>0.23499999999999999</v>
      </c>
      <c r="AJ152" s="431">
        <f>AJ151</f>
        <v>4.17</v>
      </c>
      <c r="AL152" s="439"/>
      <c r="AM152" s="336">
        <f t="shared" ca="1" si="0"/>
        <v>229.18</v>
      </c>
      <c r="AN152" s="470">
        <f t="shared" ca="1" si="53"/>
        <v>54.96</v>
      </c>
    </row>
    <row r="153" spans="1:40" ht="25.5" x14ac:dyDescent="0.2">
      <c r="A153" t="str">
        <f t="shared" si="39"/>
        <v>S</v>
      </c>
      <c r="B153">
        <f t="shared" ca="1" si="40"/>
        <v>4</v>
      </c>
      <c r="C153" t="str">
        <f t="shared" ca="1" si="41"/>
        <v>S</v>
      </c>
      <c r="D153">
        <f t="shared" ca="1" si="42"/>
        <v>0</v>
      </c>
      <c r="E153">
        <f ca="1">IF($C153=1,OFFSET(E153,-1,0)+MAX(1,COUNTIF(QCI!$A$13:$A$15,OFFSET(ORÇAMENTO!E153,-1,0))),OFFSET(E153,-1,0))</f>
        <v>1</v>
      </c>
      <c r="F153">
        <f t="shared" ca="1" si="43"/>
        <v>5</v>
      </c>
      <c r="G153">
        <f t="shared" ca="1" si="44"/>
        <v>5</v>
      </c>
      <c r="H153">
        <f t="shared" ca="1" si="45"/>
        <v>1</v>
      </c>
      <c r="I153">
        <f t="shared" ca="1" si="46"/>
        <v>5</v>
      </c>
      <c r="J153">
        <f t="shared" ca="1" si="38"/>
        <v>0</v>
      </c>
      <c r="K153">
        <f ca="1">IF(OR($C153="S",$C153=0),0,MATCH(OFFSET($D153,0,$C153)+IF($C153&lt;&gt;1,1,COUNTIF(QCI!$A$13:$A$15,ORÇAMENTO!E153)),OFFSET($D153,1,$C153,ROW($C$508)-ROW($C153)),0))</f>
        <v>0</v>
      </c>
      <c r="L153" s="114" t="str">
        <f t="shared" ca="1" si="47"/>
        <v>F</v>
      </c>
      <c r="M153" s="115" t="s">
        <v>705</v>
      </c>
      <c r="N153" s="116" t="str">
        <f t="shared" ca="1" si="48"/>
        <v>Serviço</v>
      </c>
      <c r="O153" s="117" t="str">
        <f t="shared" ca="1" si="49"/>
        <v>1.5.5.1.5.</v>
      </c>
      <c r="P153" s="118" t="s">
        <v>956</v>
      </c>
      <c r="Q153" s="119" t="s">
        <v>1019</v>
      </c>
      <c r="R153" s="120" t="str">
        <f ca="1">IF($C153="S",REFERENCIA.Descricao,"(digite a descrição aqui)")</f>
        <v>ARMAÇÃO EM AÇO CA-50 - FORNECIMENTO, PREPARO E COLOCAÇÃO</v>
      </c>
      <c r="S153" s="121" t="str">
        <f ca="1">REFERENCIA.Unidade</f>
        <v>KG</v>
      </c>
      <c r="T153" s="122">
        <f ca="1">OFFSET(CÁLCULO!H$15,ROW($T153)-ROW(T$15),0)</f>
        <v>433.51</v>
      </c>
      <c r="U153" s="123">
        <f t="shared" ca="1" si="21"/>
        <v>12.08</v>
      </c>
      <c r="V153" s="124" t="s">
        <v>663</v>
      </c>
      <c r="W153" s="122">
        <f ca="1">IF($C153="S",ROUND(IF(TIPOORCAMENTO="Proposto",ORÇAMENTO.CustoUnitario*(1+$AH153),ORÇAMENTO.PrecoUnitarioLicitado),15-13*$AF$10),0)</f>
        <v>14.92</v>
      </c>
      <c r="X153" s="125" cm="1">
        <f t="array" aca="1" ref="X153" ca="1">IF($C153="S",IF(OR(Import.TipoArredondamento&lt;&gt;"TransfereGOV",ACOMPANHAMENTO="BM"),VTOTAL1,SUM(OFFSET(CÁLCULO!$AI$15,ROW($X153)-ROW($X$15),1):OFFSET(CÁLCULO!$BB$15,ROW($X153)-ROW($X$15),-1))),IF($C153=0,0,ROUND(SomaAgrup,15-13*$AF$11)))</f>
        <v>6467.97</v>
      </c>
      <c r="Y153" s="126" t="s">
        <v>751</v>
      </c>
      <c r="Z153" t="str">
        <f t="shared" ca="1" si="50"/>
        <v>RA</v>
      </c>
      <c r="AA153" s="127">
        <f ca="1">IF($C153="S",IF($Z153="CP",$X153,IF($Z153="RA",(($X153)*QCI!$AA$3),0)),SomaAgrup)</f>
        <v>0</v>
      </c>
      <c r="AB153" s="128">
        <f t="shared" ca="1" si="51"/>
        <v>0</v>
      </c>
      <c r="AC153" s="565" t="str" cm="1">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IF(AND(_xlfn.SINGLE(TIPOORCAMENTO)="Licitado",$AL153=0,$AN153&gt;0),"SEM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t="str">
        <f ca="1">IF(C153&lt;=CRONO.NivelExibicao,MAX($AD$15:OFFSET(AD153,-1,0))+IF($C153&lt;&gt;1,1,MAX(1,COUNTIF(QCI!$A$13:$A$15,OFFSET($E153,-1,0)))),"")</f>
        <v/>
      </c>
      <c r="AE153" s="7" t="str">
        <f ca="1">IF(AND($C153="S",ORÇAMENTO.CodBarra&lt;&gt;""),IF(ORÇAMENTO.Fonte="",ORÇAMENTO.CodBarra,CONCATENATE(ORÇAMENTO.Fonte," ",ORÇAMENTO.CodBarra)))</f>
        <v>SICRO 407819</v>
      </c>
      <c r="AF153" s="12">
        <f ca="1">IF(ISERROR(INDIRECT(ORÇAMENTO.BancoRef)),"(abra o arquivo 'Referência "&amp;Excel_BuiltIn_Database&amp;".xlsm)",IF(OR($C153&lt;&gt;"S",ORÇAMENTO.CodBarra=""),"(Sem Código)",IF(ISERROR(MATCH($AE153,INDIRECT(ORÇAMENTO.BancoRef),0)),"(Código não identificado nas referências)",MATCH($AE153,INDIRECT(ORÇAMENTO.BancoRef),0))))</f>
        <v>15833</v>
      </c>
      <c r="AG153" s="428">
        <f ca="1">ROUND(IF(DESONERACAO="sim",REFERENCIA.Desonerado,REFERENCIA.NaoDesonerado),2)</f>
        <v>12.08</v>
      </c>
      <c r="AH153" s="429">
        <f t="shared" ca="1" si="52"/>
        <v>0.23499999999999999</v>
      </c>
      <c r="AJ153" s="431">
        <f>401.17+32.34</f>
        <v>433.51</v>
      </c>
      <c r="AL153" s="439"/>
      <c r="AM153" s="336">
        <f t="shared" ca="1" si="0"/>
        <v>6467.97</v>
      </c>
      <c r="AN153" s="470">
        <f t="shared" ca="1" si="53"/>
        <v>14.92</v>
      </c>
    </row>
    <row r="154" spans="1:40" ht="51" x14ac:dyDescent="0.2">
      <c r="A154" t="str">
        <f t="shared" si="39"/>
        <v>S</v>
      </c>
      <c r="B154">
        <f t="shared" ca="1" si="40"/>
        <v>4</v>
      </c>
      <c r="C154" t="str">
        <f t="shared" ca="1" si="41"/>
        <v>S</v>
      </c>
      <c r="D154">
        <f t="shared" ca="1" si="42"/>
        <v>0</v>
      </c>
      <c r="E154">
        <f ca="1">IF($C154=1,OFFSET(E154,-1,0)+MAX(1,COUNTIF(QCI!$A$13:$A$15,OFFSET(ORÇAMENTO!E154,-1,0))),OFFSET(E154,-1,0))</f>
        <v>1</v>
      </c>
      <c r="F154">
        <f t="shared" ca="1" si="43"/>
        <v>5</v>
      </c>
      <c r="G154">
        <f t="shared" ca="1" si="44"/>
        <v>5</v>
      </c>
      <c r="H154">
        <f t="shared" ca="1" si="45"/>
        <v>1</v>
      </c>
      <c r="I154">
        <f t="shared" ca="1" si="46"/>
        <v>6</v>
      </c>
      <c r="J154">
        <f t="shared" ca="1" si="38"/>
        <v>0</v>
      </c>
      <c r="K154">
        <f ca="1">IF(OR($C154="S",$C154=0),0,MATCH(OFFSET($D154,0,$C154)+IF($C154&lt;&gt;1,1,COUNTIF(QCI!$A$13:$A$15,ORÇAMENTO!E154)),OFFSET($D154,1,$C154,ROW($C$508)-ROW($C154)),0))</f>
        <v>0</v>
      </c>
      <c r="L154" s="114" t="str">
        <f t="shared" ca="1" si="47"/>
        <v>F</v>
      </c>
      <c r="M154" s="115" t="s">
        <v>705</v>
      </c>
      <c r="N154" s="116" t="str">
        <f t="shared" ca="1" si="48"/>
        <v>Serviço</v>
      </c>
      <c r="O154" s="117" t="str">
        <f t="shared" ca="1" si="49"/>
        <v>1.5.5.1.6.</v>
      </c>
      <c r="P154" s="118" t="s">
        <v>750</v>
      </c>
      <c r="Q154" s="119" t="s">
        <v>1020</v>
      </c>
      <c r="R154" s="120" t="str">
        <f ca="1">IF($C154="S",REFERENCIA.Descricao,"(digite a descrição aqui)")</f>
        <v>CARGA, MANOBRA E DESCARGA DE SOLOS E MATERIAIS GRANULARES EM CAMINHÃO BASCULANTE 18 M³ - CARGA COM ESCAVADEIRA HIDRÁULICA (CAÇAMBA DE 1,20 M³ / 155 HP) E DESCARGA LIVRE (UNIDADE: M3). AF_07/2020</v>
      </c>
      <c r="S154" s="121" t="str">
        <f ca="1">REFERENCIA.Unidade</f>
        <v>M3</v>
      </c>
      <c r="T154" s="122">
        <f ca="1">OFFSET(CÁLCULO!H$15,ROW($T154)-ROW(T$15),0)</f>
        <v>6.4</v>
      </c>
      <c r="U154" s="123">
        <f t="shared" ca="1" si="21"/>
        <v>6.52</v>
      </c>
      <c r="V154" s="124" t="s">
        <v>663</v>
      </c>
      <c r="W154" s="122">
        <f ca="1">IF($C154="S",ROUND(IF(TIPOORCAMENTO="Proposto",ORÇAMENTO.CustoUnitario*(1+$AH154),ORÇAMENTO.PrecoUnitarioLicitado),15-13*$AF$10),0)</f>
        <v>8.0500000000000007</v>
      </c>
      <c r="X154" s="125" cm="1">
        <f t="array" aca="1" ref="X154" ca="1">IF($C154="S",IF(OR(Import.TipoArredondamento&lt;&gt;"TransfereGOV",ACOMPANHAMENTO="BM"),VTOTAL1,SUM(OFFSET(CÁLCULO!$AI$15,ROW($X154)-ROW($X$15),1):OFFSET(CÁLCULO!$BB$15,ROW($X154)-ROW($X$15),-1))),IF($C154=0,0,ROUND(SomaAgrup,15-13*$AF$11)))</f>
        <v>51.52</v>
      </c>
      <c r="Y154" s="126" t="s">
        <v>751</v>
      </c>
      <c r="Z154" t="str">
        <f t="shared" ca="1" si="50"/>
        <v>RA</v>
      </c>
      <c r="AA154" s="127">
        <f ca="1">IF($C154="S",IF($Z154="CP",$X154,IF($Z154="RA",(($X154)*QCI!$AA$3),0)),SomaAgrup)</f>
        <v>0</v>
      </c>
      <c r="AB154" s="128">
        <f t="shared" ca="1" si="51"/>
        <v>0</v>
      </c>
      <c r="AC154" s="565" t="str" cm="1">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IF(AND(_xlfn.SINGLE(TIPOORCAMENTO)="Licitado",$AL154=0,$AN154&gt;0),"SEM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t="str">
        <f ca="1">IF(C154&lt;=CRONO.NivelExibicao,MAX($AD$15:OFFSET(AD154,-1,0))+IF($C154&lt;&gt;1,1,MAX(1,COUNTIF(QCI!$A$13:$A$15,OFFSET($E154,-1,0)))),"")</f>
        <v/>
      </c>
      <c r="AE154" s="7" t="str">
        <f ca="1">IF(AND($C154="S",ORÇAMENTO.CodBarra&lt;&gt;""),IF(ORÇAMENTO.Fonte="",ORÇAMENTO.CodBarra,CONCATENATE(ORÇAMENTO.Fonte," ",ORÇAMENTO.CodBarra)))</f>
        <v>SINAPI 100980</v>
      </c>
      <c r="AF154" s="12">
        <f ca="1">IF(ISERROR(INDIRECT(ORÇAMENTO.BancoRef)),"(abra o arquivo 'Referência "&amp;Excel_BuiltIn_Database&amp;".xlsm)",IF(OR($C154&lt;&gt;"S",ORÇAMENTO.CodBarra=""),"(Sem Código)",IF(ISERROR(MATCH($AE154,INDIRECT(ORÇAMENTO.BancoRef),0)),"(Código não identificado nas referências)",MATCH($AE154,INDIRECT(ORÇAMENTO.BancoRef),0))))</f>
        <v>15290</v>
      </c>
      <c r="AG154" s="428">
        <f ca="1">ROUND(IF(DESONERACAO="sim",REFERENCIA.Desonerado,REFERENCIA.NaoDesonerado),2)</f>
        <v>6.52</v>
      </c>
      <c r="AH154" s="429">
        <f t="shared" ca="1" si="52"/>
        <v>0.23499999999999999</v>
      </c>
      <c r="AJ154" s="431">
        <f>ROUND((PI()*(0.3)^2/4*4.1*17)*1.3,2)</f>
        <v>6.4</v>
      </c>
      <c r="AL154" s="439"/>
      <c r="AM154" s="336">
        <f t="shared" ca="1" si="0"/>
        <v>51.52</v>
      </c>
      <c r="AN154" s="470">
        <f t="shared" ca="1" si="53"/>
        <v>8.0500000000000007</v>
      </c>
    </row>
    <row r="155" spans="1:40" ht="38.25" x14ac:dyDescent="0.2">
      <c r="A155" t="str">
        <f t="shared" si="39"/>
        <v>S</v>
      </c>
      <c r="B155">
        <f t="shared" ca="1" si="40"/>
        <v>4</v>
      </c>
      <c r="C155" t="str">
        <f t="shared" ca="1" si="41"/>
        <v>S</v>
      </c>
      <c r="D155">
        <f t="shared" ca="1" si="42"/>
        <v>0</v>
      </c>
      <c r="E155">
        <f ca="1">IF($C155=1,OFFSET(E155,-1,0)+MAX(1,COUNTIF(QCI!$A$13:$A$15,OFFSET(ORÇAMENTO!E155,-1,0))),OFFSET(E155,-1,0))</f>
        <v>1</v>
      </c>
      <c r="F155">
        <f t="shared" ca="1" si="43"/>
        <v>5</v>
      </c>
      <c r="G155">
        <f t="shared" ca="1" si="44"/>
        <v>5</v>
      </c>
      <c r="H155">
        <f t="shared" ca="1" si="45"/>
        <v>1</v>
      </c>
      <c r="I155">
        <f t="shared" ca="1" si="46"/>
        <v>7</v>
      </c>
      <c r="J155">
        <f t="shared" ca="1" si="38"/>
        <v>0</v>
      </c>
      <c r="K155">
        <f ca="1">IF(OR($C155="S",$C155=0),0,MATCH(OFFSET($D155,0,$C155)+IF($C155&lt;&gt;1,1,COUNTIF(QCI!$A$13:$A$15,ORÇAMENTO!E155)),OFFSET($D155,1,$C155,ROW($C$508)-ROW($C155)),0))</f>
        <v>0</v>
      </c>
      <c r="L155" s="114" t="str">
        <f t="shared" ca="1" si="47"/>
        <v>F</v>
      </c>
      <c r="M155" s="115" t="s">
        <v>705</v>
      </c>
      <c r="N155" s="116" t="str">
        <f t="shared" ca="1" si="48"/>
        <v>Serviço</v>
      </c>
      <c r="O155" s="117" t="str">
        <f t="shared" ca="1" si="49"/>
        <v>1.5.5.1.7.</v>
      </c>
      <c r="P155" s="118" t="s">
        <v>750</v>
      </c>
      <c r="Q155" s="119" t="s">
        <v>1021</v>
      </c>
      <c r="R155" s="120" t="str">
        <f ca="1">IF($C155="S",REFERENCIA.Descricao,"(digite a descrição aqui)")</f>
        <v>TRANSPORTE COM CAMINHÃO BASCULANTE DE 18 M³, EM VIA URBANA PAVIMENTADA, DMT ATÉ 30 KM (UNIDADE: M3XKM). AF_07/2020</v>
      </c>
      <c r="S155" s="121" t="str">
        <f ca="1">REFERENCIA.Unidade</f>
        <v>M3XKM</v>
      </c>
      <c r="T155" s="122">
        <f ca="1">OFFSET(CÁLCULO!H$15,ROW($T155)-ROW(T$15),0)</f>
        <v>49.28</v>
      </c>
      <c r="U155" s="123">
        <f t="shared" ca="1" si="21"/>
        <v>1.9</v>
      </c>
      <c r="V155" s="124" t="s">
        <v>663</v>
      </c>
      <c r="W155" s="122">
        <f ca="1">IF($C155="S",ROUND(IF(TIPOORCAMENTO="Proposto",ORÇAMENTO.CustoUnitario*(1+$AH155),ORÇAMENTO.PrecoUnitarioLicitado),15-13*$AF$10),0)</f>
        <v>2.35</v>
      </c>
      <c r="X155" s="125" cm="1">
        <f t="array" aca="1" ref="X155" ca="1">IF($C155="S",IF(OR(Import.TipoArredondamento&lt;&gt;"TransfereGOV",ACOMPANHAMENTO="BM"),VTOTAL1,SUM(OFFSET(CÁLCULO!$AI$15,ROW($X155)-ROW($X$15),1):OFFSET(CÁLCULO!$BB$15,ROW($X155)-ROW($X$15),-1))),IF($C155=0,0,ROUND(SomaAgrup,15-13*$AF$11)))</f>
        <v>115.81</v>
      </c>
      <c r="Y155" s="126" t="s">
        <v>751</v>
      </c>
      <c r="Z155" t="str">
        <f t="shared" ca="1" si="50"/>
        <v>RA</v>
      </c>
      <c r="AA155" s="127">
        <f ca="1">IF($C155="S",IF($Z155="CP",$X155,IF($Z155="RA",(($X155)*QCI!$AA$3),0)),SomaAgrup)</f>
        <v>0</v>
      </c>
      <c r="AB155" s="128">
        <f t="shared" ca="1" si="51"/>
        <v>0</v>
      </c>
      <c r="AC155" s="565" t="str" cm="1">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IF(AND(_xlfn.SINGLE(TIPOORCAMENTO)="Licitado",$AL155=0,$AN155&gt;0),"SEM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t="str">
        <f ca="1">IF(C155&lt;=CRONO.NivelExibicao,MAX($AD$15:OFFSET(AD155,-1,0))+IF($C155&lt;&gt;1,1,MAX(1,COUNTIF(QCI!$A$13:$A$15,OFFSET($E155,-1,0)))),"")</f>
        <v/>
      </c>
      <c r="AE155" s="7" t="str">
        <f ca="1">IF(AND($C155="S",ORÇAMENTO.CodBarra&lt;&gt;""),IF(ORÇAMENTO.Fonte="",ORÇAMENTO.CodBarra,CONCATENATE(ORÇAMENTO.Fonte," ",ORÇAMENTO.CodBarra)))</f>
        <v>SINAPI 95877</v>
      </c>
      <c r="AF155" s="12">
        <f ca="1">IF(ISERROR(INDIRECT(ORÇAMENTO.BancoRef)),"(abra o arquivo 'Referência "&amp;Excel_BuiltIn_Database&amp;".xlsm)",IF(OR($C155&lt;&gt;"S",ORÇAMENTO.CodBarra=""),"(Sem Código)",IF(ISERROR(MATCH($AE155,INDIRECT(ORÇAMENTO.BancoRef),0)),"(Código não identificado nas referências)",MATCH($AE155,INDIRECT(ORÇAMENTO.BancoRef),0))))</f>
        <v>15362</v>
      </c>
      <c r="AG155" s="428">
        <f ca="1">ROUND(IF(DESONERACAO="sim",REFERENCIA.Desonerado,REFERENCIA.NaoDesonerado),2)</f>
        <v>1.9</v>
      </c>
      <c r="AH155" s="429">
        <f t="shared" ca="1" si="52"/>
        <v>0.23499999999999999</v>
      </c>
      <c r="AJ155" s="431">
        <f>AJ154*7.7</f>
        <v>49.28</v>
      </c>
      <c r="AL155" s="439"/>
      <c r="AM155" s="336">
        <f t="shared" ca="1" si="0"/>
        <v>115.81</v>
      </c>
      <c r="AN155" s="470">
        <f t="shared" ca="1" si="53"/>
        <v>2.35</v>
      </c>
    </row>
    <row r="156" spans="1:40" x14ac:dyDescent="0.2">
      <c r="A156" t="str">
        <f t="shared" si="39"/>
        <v>S</v>
      </c>
      <c r="B156">
        <f t="shared" ca="1" si="40"/>
        <v>4</v>
      </c>
      <c r="C156" t="str">
        <f t="shared" ca="1" si="41"/>
        <v>S</v>
      </c>
      <c r="D156">
        <f t="shared" ca="1" si="42"/>
        <v>0</v>
      </c>
      <c r="E156">
        <f ca="1">IF($C156=1,OFFSET(E156,-1,0)+MAX(1,COUNTIF(QCI!$A$13:$A$15,OFFSET(ORÇAMENTO!E156,-1,0))),OFFSET(E156,-1,0))</f>
        <v>1</v>
      </c>
      <c r="F156">
        <f t="shared" ca="1" si="43"/>
        <v>5</v>
      </c>
      <c r="G156">
        <f t="shared" ca="1" si="44"/>
        <v>5</v>
      </c>
      <c r="H156">
        <f t="shared" ca="1" si="45"/>
        <v>1</v>
      </c>
      <c r="I156">
        <f t="shared" ca="1" si="46"/>
        <v>8</v>
      </c>
      <c r="J156">
        <f t="shared" ca="1" si="38"/>
        <v>0</v>
      </c>
      <c r="K156">
        <f ca="1">IF(OR($C156="S",$C156=0),0,MATCH(OFFSET($D156,0,$C156)+IF($C156&lt;&gt;1,1,COUNTIF(QCI!$A$13:$A$15,ORÇAMENTO!E156)),OFFSET($D156,1,$C156,ROW($C$508)-ROW($C156)),0))</f>
        <v>0</v>
      </c>
      <c r="L156" s="114" t="str">
        <f t="shared" ca="1" si="47"/>
        <v>F</v>
      </c>
      <c r="M156" s="115" t="s">
        <v>705</v>
      </c>
      <c r="N156" s="116" t="str">
        <f t="shared" ca="1" si="48"/>
        <v>Serviço</v>
      </c>
      <c r="O156" s="117" t="str">
        <f t="shared" ca="1" si="49"/>
        <v>1.5.5.1.8.</v>
      </c>
      <c r="P156" s="118" t="s">
        <v>958</v>
      </c>
      <c r="Q156" s="119" t="s">
        <v>1013</v>
      </c>
      <c r="R156" s="120" t="str">
        <f ca="1">IF($C156="S",REFERENCIA.Descricao,"(digite a descrição aqui)")</f>
        <v>TAXA ATERRO SANITÁRIO</v>
      </c>
      <c r="S156" s="121" t="str">
        <f ca="1">REFERENCIA.Unidade</f>
        <v>T</v>
      </c>
      <c r="T156" s="122">
        <f ca="1">OFFSET(CÁLCULO!H$15,ROW($T156)-ROW(T$15),0)</f>
        <v>8.6999999999999993</v>
      </c>
      <c r="U156" s="123">
        <f ca="1">AG156</f>
        <v>65.19</v>
      </c>
      <c r="V156" s="124" t="s">
        <v>663</v>
      </c>
      <c r="W156" s="122">
        <f ca="1">IF($C156="S",ROUND(IF(TIPOORCAMENTO="Proposto",ORÇAMENTO.CustoUnitario*(1+$AH156),ORÇAMENTO.PrecoUnitarioLicitado),15-13*$AF$10),0)</f>
        <v>80.510000000000005</v>
      </c>
      <c r="X156" s="125" cm="1">
        <f t="array" aca="1" ref="X156" ca="1">IF($C156="S",IF(OR(Import.TipoArredondamento&lt;&gt;"TransfereGOV",ACOMPANHAMENTO="BM"),VTOTAL1,SUM(OFFSET(CÁLCULO!$AI$15,ROW($X156)-ROW($X$15),1):OFFSET(CÁLCULO!$BB$15,ROW($X156)-ROW($X$15),-1))),IF($C156=0,0,ROUND(SomaAgrup,15-13*$AF$11)))</f>
        <v>700.44</v>
      </c>
      <c r="Y156" s="126" t="s">
        <v>751</v>
      </c>
      <c r="Z156" t="str">
        <f t="shared" ca="1" si="50"/>
        <v>RA</v>
      </c>
      <c r="AA156" s="127">
        <f ca="1">IF($C156="S",IF($Z156="CP",$X156,IF($Z156="RA",(($X156)*QCI!$AA$3),0)),SomaAgrup)</f>
        <v>0</v>
      </c>
      <c r="AB156" s="128">
        <f t="shared" ca="1" si="51"/>
        <v>0</v>
      </c>
      <c r="AC156" s="565" t="str" cm="1">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IF(AND(_xlfn.SINGLE(TIPOORCAMENTO)="Licitado",$AL156=0,$AN156&gt;0),"SEM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t="str">
        <f ca="1">IF(C156&lt;=CRONO.NivelExibicao,MAX($AD$15:OFFSET(AD156,-1,0))+IF($C156&lt;&gt;1,1,MAX(1,COUNTIF(QCI!$A$13:$A$15,OFFSET($E156,-1,0)))),"")</f>
        <v/>
      </c>
      <c r="AE156" s="7" t="str">
        <f ca="1">IF(AND($C156="S",ORÇAMENTO.CodBarra&lt;&gt;""),IF(ORÇAMENTO.Fonte="",ORÇAMENTO.CodBarra,CONCATENATE(ORÇAMENTO.Fonte," ",ORÇAMENTO.CodBarra)))</f>
        <v>Cotação COT-072</v>
      </c>
      <c r="AF156" s="12">
        <f ca="1">IF(ISERROR(INDIRECT(ORÇAMENTO.BancoRef)),"(abra o arquivo 'Referência "&amp;Excel_BuiltIn_Database&amp;".xlsm)",IF(OR($C156&lt;&gt;"S",ORÇAMENTO.CodBarra=""),"(Sem Código)",IF(ISERROR(MATCH($AE156,INDIRECT(ORÇAMENTO.BancoRef),0)),"(Código não identificado nas referências)",MATCH($AE156,INDIRECT(ORÇAMENTO.BancoRef),0))))</f>
        <v>138</v>
      </c>
      <c r="AG156" s="428">
        <f ca="1">ROUND(IF(DESONERACAO="sim",REFERENCIA.Desonerado,REFERENCIA.NaoDesonerado),2)</f>
        <v>65.19</v>
      </c>
      <c r="AH156" s="429">
        <f t="shared" ca="1" si="52"/>
        <v>0.23499999999999999</v>
      </c>
      <c r="AJ156" s="431">
        <f>ROUND(AJ154*1.36,2)</f>
        <v>8.6999999999999993</v>
      </c>
      <c r="AL156" s="439"/>
      <c r="AM156" s="336">
        <f t="shared" ca="1" si="0"/>
        <v>700.44</v>
      </c>
      <c r="AN156" s="470">
        <f t="shared" ca="1" si="53"/>
        <v>80.510000000000005</v>
      </c>
    </row>
    <row r="157" spans="1:40" ht="25.5" x14ac:dyDescent="0.2">
      <c r="A157" t="str">
        <f t="shared" si="39"/>
        <v>S</v>
      </c>
      <c r="B157">
        <f t="shared" ca="1" si="40"/>
        <v>4</v>
      </c>
      <c r="C157" t="str">
        <f t="shared" ca="1" si="41"/>
        <v>S</v>
      </c>
      <c r="D157">
        <f t="shared" ca="1" si="42"/>
        <v>0</v>
      </c>
      <c r="E157">
        <f ca="1">IF($C157=1,OFFSET(E157,-1,0)+MAX(1,COUNTIF(QCI!$A$13:$A$15,OFFSET(ORÇAMENTO!E157,-1,0))),OFFSET(E157,-1,0))</f>
        <v>1</v>
      </c>
      <c r="F157">
        <f t="shared" ca="1" si="43"/>
        <v>5</v>
      </c>
      <c r="G157">
        <f t="shared" ca="1" si="44"/>
        <v>5</v>
      </c>
      <c r="H157">
        <f t="shared" ca="1" si="45"/>
        <v>1</v>
      </c>
      <c r="I157">
        <f t="shared" ca="1" si="46"/>
        <v>9</v>
      </c>
      <c r="J157">
        <f t="shared" ca="1" si="38"/>
        <v>0</v>
      </c>
      <c r="K157">
        <f ca="1">IF(OR($C157="S",$C157=0),0,MATCH(OFFSET($D157,0,$C157)+IF($C157&lt;&gt;1,1,COUNTIF(QCI!$A$13:$A$15,ORÇAMENTO!E157)),OFFSET($D157,1,$C157,ROW($C$508)-ROW($C157)),0))</f>
        <v>0</v>
      </c>
      <c r="L157" s="114" t="str">
        <f t="shared" ca="1" si="47"/>
        <v>F</v>
      </c>
      <c r="M157" s="115" t="s">
        <v>705</v>
      </c>
      <c r="N157" s="116" t="str">
        <f t="shared" ca="1" si="48"/>
        <v>Serviço</v>
      </c>
      <c r="O157" s="117" t="str">
        <f t="shared" ca="1" si="49"/>
        <v>1.5.5.1.9.</v>
      </c>
      <c r="P157" s="118" t="s">
        <v>750</v>
      </c>
      <c r="Q157" s="119" t="s">
        <v>1014</v>
      </c>
      <c r="R157" s="120" t="str">
        <f ca="1">IF($C157="S",REFERENCIA.Descricao,"(digite a descrição aqui)")</f>
        <v>ESPALHAMENTO DE MATERIAL COM TRATOR DE ESTEIRAS. AF_09/2024</v>
      </c>
      <c r="S157" s="121" t="str">
        <f ca="1">REFERENCIA.Unidade</f>
        <v>M3</v>
      </c>
      <c r="T157" s="122">
        <f ca="1">OFFSET(CÁLCULO!H$15,ROW($T157)-ROW(T$15),0)</f>
        <v>6.4</v>
      </c>
      <c r="U157" s="123">
        <f t="shared" ca="1" si="21"/>
        <v>1.49</v>
      </c>
      <c r="V157" s="124" t="s">
        <v>663</v>
      </c>
      <c r="W157" s="122">
        <f ca="1">IF($C157="S",ROUND(IF(TIPOORCAMENTO="Proposto",ORÇAMENTO.CustoUnitario*(1+$AH157),ORÇAMENTO.PrecoUnitarioLicitado),15-13*$AF$10),0)</f>
        <v>1.84</v>
      </c>
      <c r="X157" s="125" cm="1">
        <f t="array" aca="1" ref="X157" ca="1">IF($C157="S",IF(OR(Import.TipoArredondamento&lt;&gt;"TransfereGOV",ACOMPANHAMENTO="BM"),VTOTAL1,SUM(OFFSET(CÁLCULO!$AI$15,ROW($X157)-ROW($X$15),1):OFFSET(CÁLCULO!$BB$15,ROW($X157)-ROW($X$15),-1))),IF($C157=0,0,ROUND(SomaAgrup,15-13*$AF$11)))</f>
        <v>11.78</v>
      </c>
      <c r="Y157" s="126" t="s">
        <v>751</v>
      </c>
      <c r="Z157" t="str">
        <f t="shared" ca="1" si="50"/>
        <v>RA</v>
      </c>
      <c r="AA157" s="127">
        <f ca="1">IF($C157="S",IF($Z157="CP",$X157,IF($Z157="RA",(($X157)*QCI!$AA$3),0)),SomaAgrup)</f>
        <v>0</v>
      </c>
      <c r="AB157" s="128">
        <f t="shared" ca="1" si="51"/>
        <v>0</v>
      </c>
      <c r="AC157" s="565" t="str" cm="1">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IF(AND(_xlfn.SINGLE(TIPOORCAMENTO)="Licitado",$AL157=0,$AN157&gt;0),"SEM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t="str">
        <f ca="1">IF(C157&lt;=CRONO.NivelExibicao,MAX($AD$15:OFFSET(AD157,-1,0))+IF($C157&lt;&gt;1,1,MAX(1,COUNTIF(QCI!$A$13:$A$15,OFFSET($E157,-1,0)))),"")</f>
        <v/>
      </c>
      <c r="AE157" s="7" t="str">
        <f ca="1">IF(AND($C157="S",ORÇAMENTO.CodBarra&lt;&gt;""),IF(ORÇAMENTO.Fonte="",ORÇAMENTO.CodBarra,CONCATENATE(ORÇAMENTO.Fonte," ",ORÇAMENTO.CodBarra)))</f>
        <v>SINAPI 100574</v>
      </c>
      <c r="AF157" s="12">
        <f ca="1">IF(ISERROR(INDIRECT(ORÇAMENTO.BancoRef)),"(abra o arquivo 'Referência "&amp;Excel_BuiltIn_Database&amp;".xlsm)",IF(OR($C157&lt;&gt;"S",ORÇAMENTO.CodBarra=""),"(Sem Código)",IF(ISERROR(MATCH($AE157,INDIRECT(ORÇAMENTO.BancoRef),0)),"(Código não identificado nas referências)",MATCH($AE157,INDIRECT(ORÇAMENTO.BancoRef),0))))</f>
        <v>6916</v>
      </c>
      <c r="AG157" s="428">
        <f ca="1">ROUND(IF(DESONERACAO="sim",REFERENCIA.Desonerado,REFERENCIA.NaoDesonerado),2)</f>
        <v>1.49</v>
      </c>
      <c r="AH157" s="429">
        <f t="shared" ca="1" si="52"/>
        <v>0.23499999999999999</v>
      </c>
      <c r="AJ157" s="431">
        <f>AJ154</f>
        <v>6.4</v>
      </c>
      <c r="AL157" s="439"/>
      <c r="AM157" s="336">
        <f t="shared" ca="1" si="0"/>
        <v>11.78</v>
      </c>
      <c r="AN157" s="470">
        <f t="shared" ca="1" si="53"/>
        <v>1.84</v>
      </c>
    </row>
    <row r="158" spans="1:40" ht="25.5" x14ac:dyDescent="0.2">
      <c r="A158" t="str">
        <f t="shared" si="39"/>
        <v>S</v>
      </c>
      <c r="B158">
        <f t="shared" ca="1" si="40"/>
        <v>4</v>
      </c>
      <c r="C158" t="str">
        <f t="shared" ca="1" si="41"/>
        <v>S</v>
      </c>
      <c r="D158">
        <f t="shared" ca="1" si="42"/>
        <v>0</v>
      </c>
      <c r="E158">
        <f ca="1">IF($C158=1,OFFSET(E158,-1,0)+MAX(1,COUNTIF(QCI!$A$13:$A$15,OFFSET(ORÇAMENTO!E158,-1,0))),OFFSET(E158,-1,0))</f>
        <v>1</v>
      </c>
      <c r="F158">
        <f t="shared" ca="1" si="43"/>
        <v>5</v>
      </c>
      <c r="G158">
        <f t="shared" ca="1" si="44"/>
        <v>5</v>
      </c>
      <c r="H158">
        <f t="shared" ca="1" si="45"/>
        <v>1</v>
      </c>
      <c r="I158">
        <f t="shared" ca="1" si="46"/>
        <v>10</v>
      </c>
      <c r="J158">
        <f t="shared" ca="1" si="38"/>
        <v>0</v>
      </c>
      <c r="K158">
        <f ca="1">IF(OR($C158="S",$C158=0),0,MATCH(OFFSET($D158,0,$C158)+IF($C158&lt;&gt;1,1,COUNTIF(QCI!$A$13:$A$15,ORÇAMENTO!E158)),OFFSET($D158,1,$C158,ROW($C$508)-ROW($C158)),0))</f>
        <v>0</v>
      </c>
      <c r="L158" s="114" t="str">
        <f t="shared" ca="1" si="47"/>
        <v>F</v>
      </c>
      <c r="M158" s="115" t="s">
        <v>705</v>
      </c>
      <c r="N158" s="116" t="str">
        <f t="shared" ca="1" si="48"/>
        <v>Serviço</v>
      </c>
      <c r="O158" s="117" t="str">
        <f t="shared" ca="1" si="49"/>
        <v>1.5.5.1.10.</v>
      </c>
      <c r="P158" s="118" t="s">
        <v>750</v>
      </c>
      <c r="Q158" s="119" t="s">
        <v>1034</v>
      </c>
      <c r="R158" s="120" t="str">
        <f ca="1">IF($C158="S",REFERENCIA.Descricao,"(digite a descrição aqui)")</f>
        <v>ARRASAMENTO MECANICO DE ESTACA DE CONCRETO ARMADO, DIAMETROS DE ATÉ 40 CM. AF_05/2021</v>
      </c>
      <c r="S158" s="121" t="str">
        <f ca="1">REFERENCIA.Unidade</f>
        <v>UN</v>
      </c>
      <c r="T158" s="122">
        <f ca="1">OFFSET(CÁLCULO!H$15,ROW($T158)-ROW(T$15),0)</f>
        <v>19</v>
      </c>
      <c r="U158" s="123">
        <f t="shared" ca="1" si="21"/>
        <v>18.73</v>
      </c>
      <c r="V158" s="124" t="s">
        <v>663</v>
      </c>
      <c r="W158" s="122">
        <f ca="1">IF($C158="S",ROUND(IF(TIPOORCAMENTO="Proposto",ORÇAMENTO.CustoUnitario*(1+$AH158),ORÇAMENTO.PrecoUnitarioLicitado),15-13*$AF$10),0)</f>
        <v>23.13</v>
      </c>
      <c r="X158" s="125" cm="1">
        <f t="array" aca="1" ref="X158" ca="1">IF($C158="S",IF(OR(Import.TipoArredondamento&lt;&gt;"TransfereGOV",ACOMPANHAMENTO="BM"),VTOTAL1,SUM(OFFSET(CÁLCULO!$AI$15,ROW($X158)-ROW($X$15),1):OFFSET(CÁLCULO!$BB$15,ROW($X158)-ROW($X$15),-1))),IF($C158=0,0,ROUND(SomaAgrup,15-13*$AF$11)))</f>
        <v>439.47</v>
      </c>
      <c r="Y158" s="126" t="s">
        <v>751</v>
      </c>
      <c r="Z158" t="str">
        <f t="shared" ca="1" si="50"/>
        <v>RA</v>
      </c>
      <c r="AA158" s="127">
        <f ca="1">IF($C158="S",IF($Z158="CP",$X158,IF($Z158="RA",(($X158)*QCI!$AA$3),0)),SomaAgrup)</f>
        <v>0</v>
      </c>
      <c r="AB158" s="128">
        <f t="shared" ca="1" si="51"/>
        <v>0</v>
      </c>
      <c r="AC158" s="565" t="str" cm="1">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IF(AND(_xlfn.SINGLE(TIPOORCAMENTO)="Licitado",$AL158=0,$AN158&gt;0),"SEM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t="str">
        <f ca="1">IF(C158&lt;=CRONO.NivelExibicao,MAX($AD$15:OFFSET(AD158,-1,0))+IF($C158&lt;&gt;1,1,MAX(1,COUNTIF(QCI!$A$13:$A$15,OFFSET($E158,-1,0)))),"")</f>
        <v/>
      </c>
      <c r="AE158" s="7" t="str">
        <f ca="1">IF(AND($C158="S",ORÇAMENTO.CodBarra&lt;&gt;""),IF(ORÇAMENTO.Fonte="",ORÇAMENTO.CodBarra,CONCATENATE(ORÇAMENTO.Fonte," ",ORÇAMENTO.CodBarra)))</f>
        <v>SINAPI 95601</v>
      </c>
      <c r="AF158" s="12">
        <f ca="1">IF(ISERROR(INDIRECT(ORÇAMENTO.BancoRef)),"(abra o arquivo 'Referência "&amp;Excel_BuiltIn_Database&amp;".xlsm)",IF(OR($C158&lt;&gt;"S",ORÇAMENTO.CodBarra=""),"(Sem Código)",IF(ISERROR(MATCH($AE158,INDIRECT(ORÇAMENTO.BancoRef),0)),"(Código não identificado nas referências)",MATCH($AE158,INDIRECT(ORÇAMENTO.BancoRef),0))))</f>
        <v>6393</v>
      </c>
      <c r="AG158" s="428">
        <f ca="1">ROUND(IF(DESONERACAO="sim",REFERENCIA.Desonerado,REFERENCIA.NaoDesonerado),2)</f>
        <v>18.73</v>
      </c>
      <c r="AH158" s="429">
        <f t="shared" ca="1" si="52"/>
        <v>0.23499999999999999</v>
      </c>
      <c r="AJ158" s="431">
        <v>19</v>
      </c>
      <c r="AL158" s="439"/>
      <c r="AM158" s="336">
        <f t="shared" ca="1" si="0"/>
        <v>439.47</v>
      </c>
      <c r="AN158" s="470">
        <f t="shared" ca="1" si="53"/>
        <v>23.13</v>
      </c>
    </row>
    <row r="159" spans="1:40" x14ac:dyDescent="0.2">
      <c r="A159">
        <f t="shared" si="39"/>
        <v>4</v>
      </c>
      <c r="B159">
        <f t="shared" ca="1" si="40"/>
        <v>4</v>
      </c>
      <c r="C159">
        <f t="shared" ca="1" si="41"/>
        <v>4</v>
      </c>
      <c r="D159">
        <f t="shared" ca="1" si="42"/>
        <v>14</v>
      </c>
      <c r="E159">
        <f ca="1">IF($C159=1,OFFSET(E159,-1,0)+MAX(1,COUNTIF(QCI!$A$13:$A$15,OFFSET(ORÇAMENTO!E159,-1,0))),OFFSET(E159,-1,0))</f>
        <v>1</v>
      </c>
      <c r="F159">
        <f t="shared" ca="1" si="43"/>
        <v>5</v>
      </c>
      <c r="G159">
        <f t="shared" ca="1" si="44"/>
        <v>5</v>
      </c>
      <c r="H159">
        <f t="shared" ca="1" si="45"/>
        <v>2</v>
      </c>
      <c r="I159">
        <f t="shared" ca="1" si="46"/>
        <v>0</v>
      </c>
      <c r="J159">
        <f t="shared" ca="1" si="38"/>
        <v>48</v>
      </c>
      <c r="K159">
        <f ca="1">IF(OR($C159="S",$C159=0),0,MATCH(OFFSET($D159,0,$C159)+IF($C159&lt;&gt;1,1,COUNTIF(QCI!$A$13:$A$15,ORÇAMENTO!E159)),OFFSET($D159,1,$C159,ROW($C$508)-ROW($C159)),0))</f>
        <v>14</v>
      </c>
      <c r="L159" s="114" t="str">
        <f t="shared" ca="1" si="47"/>
        <v>F</v>
      </c>
      <c r="M159" s="115" t="s">
        <v>704</v>
      </c>
      <c r="N159" s="116" t="str">
        <f t="shared" ca="1" si="48"/>
        <v>Nível 4</v>
      </c>
      <c r="O159" s="117" t="str">
        <f t="shared" ca="1" si="49"/>
        <v>1.5.5.2.</v>
      </c>
      <c r="P159" s="118" t="s">
        <v>750</v>
      </c>
      <c r="Q159" s="119"/>
      <c r="R159" s="120" t="s">
        <v>1228</v>
      </c>
      <c r="S159" s="121" t="s">
        <v>688</v>
      </c>
      <c r="T159" s="122">
        <f ca="1">OFFSET(CÁLCULO!H$15,ROW($T159)-ROW(T$15),0)</f>
        <v>0</v>
      </c>
      <c r="U159" s="123">
        <f t="shared" ca="1" si="21"/>
        <v>0</v>
      </c>
      <c r="V159" s="124" t="s">
        <v>663</v>
      </c>
      <c r="W159" s="122">
        <f ca="1">IF($C159="S",ROUND(IF(TIPOORCAMENTO="Proposto",ORÇAMENTO.CustoUnitario*(1+$AH159),ORÇAMENTO.PrecoUnitarioLicitado),15-13*$AF$10),0)</f>
        <v>0</v>
      </c>
      <c r="X159" s="125" cm="1">
        <f t="array" aca="1" ref="X159" ca="1">IF($C159="S",IF(OR(Import.TipoArredondamento&lt;&gt;"TransfereGOV",ACOMPANHAMENTO="BM"),VTOTAL1,SUM(OFFSET(CÁLCULO!$AI$15,ROW($X159)-ROW($X$15),1):OFFSET(CÁLCULO!$BB$15,ROW($X159)-ROW($X$15),-1))),IF($C159=0,0,ROUND(SomaAgrup,15-13*$AF$11)))</f>
        <v>12789.16</v>
      </c>
      <c r="Y159" s="126" t="s">
        <v>751</v>
      </c>
      <c r="Z159" t="str">
        <f t="shared" ca="1" si="50"/>
        <v/>
      </c>
      <c r="AA159" s="127">
        <f ca="1">IF($C159="S",IF($Z159="CP",$X159,IF($Z159="RA",(($X159)*QCI!$AA$3),0)),SomaAgrup)</f>
        <v>0</v>
      </c>
      <c r="AB159" s="128">
        <f t="shared" ca="1" si="51"/>
        <v>0</v>
      </c>
      <c r="AC159" s="565" t="str" cm="1">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IF(AND(_xlfn.SINGLE(TIPOORCAMENTO)="Licitado",$AL159=0,$AN159&gt;0),"SEM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t="str">
        <f ca="1">IF(C159&lt;=CRONO.NivelExibicao,MAX($AD$15:OFFSET(AD159,-1,0))+IF($C159&lt;&gt;1,1,MAX(1,COUNTIF(QCI!$A$13:$A$15,OFFSET($E159,-1,0)))),"")</f>
        <v/>
      </c>
      <c r="AE159" s="7" t="b">
        <f ca="1">IF(AND($C159="S",ORÇAMENTO.CodBarra&lt;&gt;""),IF(ORÇAMENTO.Fonte="",ORÇAMENTO.CodBarra,CONCATENATE(ORÇAMENTO.Fonte," ",ORÇAMENTO.CodBarra)))</f>
        <v>0</v>
      </c>
      <c r="AF159" s="12" t="str">
        <f ca="1">IF(ISERROR(INDIRECT(ORÇAMENTO.BancoRef)),"(abra o arquivo 'Referência "&amp;Excel_BuiltIn_Database&amp;".xlsm)",IF(OR($C159&lt;&gt;"S",ORÇAMENTO.CodBarra=""),"(Sem Código)",IF(ISERROR(MATCH($AE159,INDIRECT(ORÇAMENTO.BancoRef),0)),"(Código não identificado nas referências)",MATCH($AE159,INDIRECT(ORÇAMENTO.BancoRef),0))))</f>
        <v>(Sem Código)</v>
      </c>
      <c r="AG159" s="428">
        <f ca="1">ROUND(IF(DESONERACAO="sim",REFERENCIA.Desonerado,REFERENCIA.NaoDesonerado),2)</f>
        <v>0</v>
      </c>
      <c r="AH159" s="429">
        <f t="shared" ca="1" si="52"/>
        <v>0.23499999999999999</v>
      </c>
      <c r="AJ159" s="431"/>
      <c r="AL159" s="439"/>
      <c r="AM159" s="336">
        <f t="shared" ca="1" si="0"/>
        <v>12789.16</v>
      </c>
      <c r="AN159" s="470">
        <f t="shared" ca="1" si="53"/>
        <v>0</v>
      </c>
    </row>
    <row r="160" spans="1:40" ht="38.25" x14ac:dyDescent="0.2">
      <c r="A160" t="str">
        <f t="shared" si="39"/>
        <v>S</v>
      </c>
      <c r="B160">
        <f t="shared" ca="1" si="40"/>
        <v>4</v>
      </c>
      <c r="C160" t="str">
        <f t="shared" ca="1" si="41"/>
        <v>S</v>
      </c>
      <c r="D160">
        <f t="shared" ca="1" si="42"/>
        <v>0</v>
      </c>
      <c r="E160">
        <f ca="1">IF($C160=1,OFFSET(E160,-1,0)+MAX(1,COUNTIF(QCI!$A$13:$A$15,OFFSET(ORÇAMENTO!E160,-1,0))),OFFSET(E160,-1,0))</f>
        <v>1</v>
      </c>
      <c r="F160">
        <f t="shared" ca="1" si="43"/>
        <v>5</v>
      </c>
      <c r="G160">
        <f t="shared" ca="1" si="44"/>
        <v>5</v>
      </c>
      <c r="H160">
        <f t="shared" ca="1" si="45"/>
        <v>2</v>
      </c>
      <c r="I160">
        <f t="shared" ca="1" si="46"/>
        <v>1</v>
      </c>
      <c r="J160">
        <f t="shared" ca="1" si="38"/>
        <v>0</v>
      </c>
      <c r="K160">
        <f ca="1">IF(OR($C160="S",$C160=0),0,MATCH(OFFSET($D160,0,$C160)+IF($C160&lt;&gt;1,1,COUNTIF(QCI!$A$13:$A$15,ORÇAMENTO!E160)),OFFSET($D160,1,$C160,ROW($C$508)-ROW($C160)),0))</f>
        <v>0</v>
      </c>
      <c r="L160" s="114" t="str">
        <f t="shared" ca="1" si="47"/>
        <v>F</v>
      </c>
      <c r="M160" s="115" t="s">
        <v>705</v>
      </c>
      <c r="N160" s="116" t="str">
        <f t="shared" ca="1" si="48"/>
        <v>Serviço</v>
      </c>
      <c r="O160" s="117" t="str">
        <f t="shared" ca="1" si="49"/>
        <v>1.5.5.2.1.</v>
      </c>
      <c r="P160" s="118" t="s">
        <v>750</v>
      </c>
      <c r="Q160" s="119" t="s">
        <v>1035</v>
      </c>
      <c r="R160" s="120" t="str">
        <f ca="1">IF($C160="S",REFERENCIA.Descricao,"(digite a descrição aqui)")</f>
        <v>ESCAVAÇÃO MANUAL PARA BLOCO DE COROAMENTO OU SAPATA (INCLUINDO ESCAVAÇÃO PARA COLOCAÇÃO DE FÔRMAS). AF_01/2024</v>
      </c>
      <c r="S160" s="121" t="str">
        <f ca="1">REFERENCIA.Unidade</f>
        <v>M3</v>
      </c>
      <c r="T160" s="122">
        <f ca="1">OFFSET(CÁLCULO!H$15,ROW($T160)-ROW(T$15),0)</f>
        <v>24.99</v>
      </c>
      <c r="U160" s="123">
        <f t="shared" ca="1" si="21"/>
        <v>100.91</v>
      </c>
      <c r="V160" s="124" t="s">
        <v>663</v>
      </c>
      <c r="W160" s="122">
        <f ca="1">IF($C160="S",ROUND(IF(TIPOORCAMENTO="Proposto",ORÇAMENTO.CustoUnitario*(1+$AH160),ORÇAMENTO.PrecoUnitarioLicitado),15-13*$AF$10),0)</f>
        <v>124.62</v>
      </c>
      <c r="X160" s="125" cm="1">
        <f t="array" aca="1" ref="X160" ca="1">IF($C160="S",IF(OR(Import.TipoArredondamento&lt;&gt;"TransfereGOV",ACOMPANHAMENTO="BM"),VTOTAL1,SUM(OFFSET(CÁLCULO!$AI$15,ROW($X160)-ROW($X$15),1):OFFSET(CÁLCULO!$BB$15,ROW($X160)-ROW($X$15),-1))),IF($C160=0,0,ROUND(SomaAgrup,15-13*$AF$11)))</f>
        <v>3114.25</v>
      </c>
      <c r="Y160" s="126" t="s">
        <v>751</v>
      </c>
      <c r="Z160" t="str">
        <f t="shared" ca="1" si="50"/>
        <v>RA</v>
      </c>
      <c r="AA160" s="127">
        <f ca="1">IF($C160="S",IF($Z160="CP",$X160,IF($Z160="RA",(($X160)*QCI!$AA$3),0)),SomaAgrup)</f>
        <v>0</v>
      </c>
      <c r="AB160" s="128">
        <f t="shared" ca="1" si="51"/>
        <v>0</v>
      </c>
      <c r="AC160" s="565" t="str" cm="1">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IF(AND(_xlfn.SINGLE(TIPOORCAMENTO)="Licitado",$AL160=0,$AN160&gt;0),"SEM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t="str">
        <f ca="1">IF(C160&lt;=CRONO.NivelExibicao,MAX($AD$15:OFFSET(AD160,-1,0))+IF($C160&lt;&gt;1,1,MAX(1,COUNTIF(QCI!$A$13:$A$15,OFFSET($E160,-1,0)))),"")</f>
        <v/>
      </c>
      <c r="AE160" s="7" t="str">
        <f ca="1">IF(AND($C160="S",ORÇAMENTO.CodBarra&lt;&gt;""),IF(ORÇAMENTO.Fonte="",ORÇAMENTO.CodBarra,CONCATENATE(ORÇAMENTO.Fonte," ",ORÇAMENTO.CodBarra)))</f>
        <v>SINAPI 96523</v>
      </c>
      <c r="AF160" s="12">
        <f ca="1">IF(ISERROR(INDIRECT(ORÇAMENTO.BancoRef)),"(abra o arquivo 'Referência "&amp;Excel_BuiltIn_Database&amp;".xlsm)",IF(OR($C160&lt;&gt;"S",ORÇAMENTO.CodBarra=""),"(Sem Código)",IF(ISERROR(MATCH($AE160,INDIRECT(ORÇAMENTO.BancoRef),0)),"(Código não identificado nas referências)",MATCH($AE160,INDIRECT(ORÇAMENTO.BancoRef),0))))</f>
        <v>10009</v>
      </c>
      <c r="AG160" s="428">
        <f ca="1">ROUND(IF(DESONERACAO="sim",REFERENCIA.Desonerado,REFERENCIA.NaoDesonerado),2)</f>
        <v>100.91</v>
      </c>
      <c r="AH160" s="429">
        <f t="shared" ca="1" si="52"/>
        <v>0.23499999999999999</v>
      </c>
      <c r="AJ160" s="431">
        <v>24.99</v>
      </c>
      <c r="AL160" s="439"/>
      <c r="AM160" s="336">
        <f t="shared" ca="1" si="0"/>
        <v>3114.25</v>
      </c>
      <c r="AN160" s="470">
        <f t="shared" ca="1" si="53"/>
        <v>124.62</v>
      </c>
    </row>
    <row r="161" spans="1:40" ht="25.5" x14ac:dyDescent="0.2">
      <c r="A161" t="str">
        <f t="shared" si="39"/>
        <v>S</v>
      </c>
      <c r="B161">
        <f t="shared" ca="1" si="40"/>
        <v>4</v>
      </c>
      <c r="C161" t="str">
        <f t="shared" ca="1" si="41"/>
        <v>S</v>
      </c>
      <c r="D161">
        <f t="shared" ca="1" si="42"/>
        <v>0</v>
      </c>
      <c r="E161">
        <f ca="1">IF($C161=1,OFFSET(E161,-1,0)+MAX(1,COUNTIF(QCI!$A$13:$A$15,OFFSET(ORÇAMENTO!E161,-1,0))),OFFSET(E161,-1,0))</f>
        <v>1</v>
      </c>
      <c r="F161">
        <f t="shared" ca="1" si="43"/>
        <v>5</v>
      </c>
      <c r="G161">
        <f t="shared" ca="1" si="44"/>
        <v>5</v>
      </c>
      <c r="H161">
        <f t="shared" ca="1" si="45"/>
        <v>2</v>
      </c>
      <c r="I161">
        <f t="shared" ca="1" si="46"/>
        <v>2</v>
      </c>
      <c r="J161">
        <f t="shared" ca="1" si="38"/>
        <v>0</v>
      </c>
      <c r="K161">
        <f ca="1">IF(OR($C161="S",$C161=0),0,MATCH(OFFSET($D161,0,$C161)+IF($C161&lt;&gt;1,1,COUNTIF(QCI!$A$13:$A$15,ORÇAMENTO!E161)),OFFSET($D161,1,$C161,ROW($C$508)-ROW($C161)),0))</f>
        <v>0</v>
      </c>
      <c r="L161" s="114" t="str">
        <f t="shared" ca="1" si="47"/>
        <v>F</v>
      </c>
      <c r="M161" s="115" t="s">
        <v>705</v>
      </c>
      <c r="N161" s="116" t="str">
        <f t="shared" ca="1" si="48"/>
        <v>Serviço</v>
      </c>
      <c r="O161" s="117" t="str">
        <f t="shared" ca="1" si="49"/>
        <v>1.5.5.2.2.</v>
      </c>
      <c r="P161" s="118" t="s">
        <v>750</v>
      </c>
      <c r="Q161" s="119" t="s">
        <v>1036</v>
      </c>
      <c r="R161" s="120" t="str">
        <f ca="1">IF($C161="S",REFERENCIA.Descricao,"(digite a descrição aqui)")</f>
        <v>PREPARO DE FUNDO DE VALA COM LARGURA MENOR QUE 1,5 M (ACERTO DO SOLO NATURAL). AF_08/2020</v>
      </c>
      <c r="S161" s="121" t="str">
        <f ca="1">REFERENCIA.Unidade</f>
        <v>M2</v>
      </c>
      <c r="T161" s="122">
        <f ca="1">OFFSET(CÁLCULO!H$15,ROW($T161)-ROW(T$15),0)</f>
        <v>17</v>
      </c>
      <c r="U161" s="123">
        <f t="shared" ca="1" si="21"/>
        <v>6.93</v>
      </c>
      <c r="V161" s="124" t="s">
        <v>663</v>
      </c>
      <c r="W161" s="122">
        <f ca="1">IF($C161="S",ROUND(IF(TIPOORCAMENTO="Proposto",ORÇAMENTO.CustoUnitario*(1+$AH161),ORÇAMENTO.PrecoUnitarioLicitado),15-13*$AF$10),0)</f>
        <v>8.56</v>
      </c>
      <c r="X161" s="125" cm="1">
        <f t="array" aca="1" ref="X161" ca="1">IF($C161="S",IF(OR(Import.TipoArredondamento&lt;&gt;"TransfereGOV",ACOMPANHAMENTO="BM"),VTOTAL1,SUM(OFFSET(CÁLCULO!$AI$15,ROW($X161)-ROW($X$15),1):OFFSET(CÁLCULO!$BB$15,ROW($X161)-ROW($X$15),-1))),IF($C161=0,0,ROUND(SomaAgrup,15-13*$AF$11)))</f>
        <v>145.52000000000001</v>
      </c>
      <c r="Y161" s="126" t="s">
        <v>751</v>
      </c>
      <c r="Z161" t="str">
        <f t="shared" ca="1" si="50"/>
        <v>RA</v>
      </c>
      <c r="AA161" s="127">
        <f ca="1">IF($C161="S",IF($Z161="CP",$X161,IF($Z161="RA",(($X161)*QCI!$AA$3),0)),SomaAgrup)</f>
        <v>0</v>
      </c>
      <c r="AB161" s="128">
        <f t="shared" ca="1" si="51"/>
        <v>0</v>
      </c>
      <c r="AC161" s="565" t="str" cm="1">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IF(AND(_xlfn.SINGLE(TIPOORCAMENTO)="Licitado",$AL161=0,$AN161&gt;0),"SEM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t="str">
        <f ca="1">IF(C161&lt;=CRONO.NivelExibicao,MAX($AD$15:OFFSET(AD161,-1,0))+IF($C161&lt;&gt;1,1,MAX(1,COUNTIF(QCI!$A$13:$A$15,OFFSET($E161,-1,0)))),"")</f>
        <v/>
      </c>
      <c r="AE161" s="7" t="str">
        <f ca="1">IF(AND($C161="S",ORÇAMENTO.CodBarra&lt;&gt;""),IF(ORÇAMENTO.Fonte="",ORÇAMENTO.CodBarra,CONCATENATE(ORÇAMENTO.Fonte," ",ORÇAMENTO.CodBarra)))</f>
        <v>SINAPI 101616</v>
      </c>
      <c r="AF161" s="12">
        <f ca="1">IF(ISERROR(INDIRECT(ORÇAMENTO.BancoRef)),"(abra o arquivo 'Referência "&amp;Excel_BuiltIn_Database&amp;".xlsm)",IF(OR($C161&lt;&gt;"S",ORÇAMENTO.CodBarra=""),"(Sem Código)",IF(ISERROR(MATCH($AE161,INDIRECT(ORÇAMENTO.BancoRef),0)),"(Código não identificado nas referências)",MATCH($AE161,INDIRECT(ORÇAMENTO.BancoRef),0))))</f>
        <v>9424</v>
      </c>
      <c r="AG161" s="428">
        <f ca="1">ROUND(IF(DESONERACAO="sim",REFERENCIA.Desonerado,REFERENCIA.NaoDesonerado),2)</f>
        <v>6.93</v>
      </c>
      <c r="AH161" s="429">
        <f t="shared" ca="1" si="52"/>
        <v>0.23499999999999999</v>
      </c>
      <c r="AJ161" s="431">
        <v>17</v>
      </c>
      <c r="AL161" s="439"/>
      <c r="AM161" s="336">
        <f t="shared" ca="1" si="0"/>
        <v>145.52000000000001</v>
      </c>
      <c r="AN161" s="470">
        <f t="shared" ca="1" si="53"/>
        <v>8.56</v>
      </c>
    </row>
    <row r="162" spans="1:40" ht="25.5" x14ac:dyDescent="0.2">
      <c r="A162" t="str">
        <f t="shared" si="39"/>
        <v>S</v>
      </c>
      <c r="B162">
        <f t="shared" ca="1" si="40"/>
        <v>4</v>
      </c>
      <c r="C162" t="str">
        <f t="shared" ca="1" si="41"/>
        <v>S</v>
      </c>
      <c r="D162">
        <f t="shared" ca="1" si="42"/>
        <v>0</v>
      </c>
      <c r="E162">
        <f ca="1">IF($C162=1,OFFSET(E162,-1,0)+MAX(1,COUNTIF(QCI!$A$13:$A$15,OFFSET(ORÇAMENTO!E162,-1,0))),OFFSET(E162,-1,0))</f>
        <v>1</v>
      </c>
      <c r="F162">
        <f t="shared" ca="1" si="43"/>
        <v>5</v>
      </c>
      <c r="G162">
        <f t="shared" ca="1" si="44"/>
        <v>5</v>
      </c>
      <c r="H162">
        <f t="shared" ca="1" si="45"/>
        <v>2</v>
      </c>
      <c r="I162">
        <f t="shared" ca="1" si="46"/>
        <v>3</v>
      </c>
      <c r="J162">
        <f t="shared" ca="1" si="38"/>
        <v>0</v>
      </c>
      <c r="K162">
        <f ca="1">IF(OR($C162="S",$C162=0),0,MATCH(OFFSET($D162,0,$C162)+IF($C162&lt;&gt;1,1,COUNTIF(QCI!$A$13:$A$15,ORÇAMENTO!E162)),OFFSET($D162,1,$C162,ROW($C$508)-ROW($C162)),0))</f>
        <v>0</v>
      </c>
      <c r="L162" s="114" t="str">
        <f t="shared" ca="1" si="47"/>
        <v>F</v>
      </c>
      <c r="M162" s="115" t="s">
        <v>705</v>
      </c>
      <c r="N162" s="116" t="str">
        <f t="shared" ca="1" si="48"/>
        <v>Serviço</v>
      </c>
      <c r="O162" s="117" t="str">
        <f t="shared" ca="1" si="49"/>
        <v>1.5.5.2.3.</v>
      </c>
      <c r="P162" s="118" t="s">
        <v>956</v>
      </c>
      <c r="Q162" s="119" t="s">
        <v>1019</v>
      </c>
      <c r="R162" s="120" t="str">
        <f ca="1">IF($C162="S",REFERENCIA.Descricao,"(digite a descrição aqui)")</f>
        <v>ARMAÇÃO EM AÇO CA-50 - FORNECIMENTO, PREPARO E COLOCAÇÃO</v>
      </c>
      <c r="S162" s="121" t="str">
        <f ca="1">REFERENCIA.Unidade</f>
        <v>KG</v>
      </c>
      <c r="T162" s="122">
        <f ca="1">OFFSET(CÁLCULO!H$15,ROW($T162)-ROW(T$15),0)</f>
        <v>83.7</v>
      </c>
      <c r="U162" s="123">
        <f t="shared" ca="1" si="21"/>
        <v>12.08</v>
      </c>
      <c r="V162" s="124" t="s">
        <v>663</v>
      </c>
      <c r="W162" s="122">
        <f ca="1">IF($C162="S",ROUND(IF(TIPOORCAMENTO="Proposto",ORÇAMENTO.CustoUnitario*(1+$AH162),ORÇAMENTO.PrecoUnitarioLicitado),15-13*$AF$10),0)</f>
        <v>14.92</v>
      </c>
      <c r="X162" s="125" cm="1">
        <f t="array" aca="1" ref="X162" ca="1">IF($C162="S",IF(OR(Import.TipoArredondamento&lt;&gt;"TransfereGOV",ACOMPANHAMENTO="BM"),VTOTAL1,SUM(OFFSET(CÁLCULO!$AI$15,ROW($X162)-ROW($X$15),1):OFFSET(CÁLCULO!$BB$15,ROW($X162)-ROW($X$15),-1))),IF($C162=0,0,ROUND(SomaAgrup,15-13*$AF$11)))</f>
        <v>1248.8</v>
      </c>
      <c r="Y162" s="126" t="s">
        <v>751</v>
      </c>
      <c r="Z162" t="str">
        <f t="shared" ca="1" si="50"/>
        <v>RA</v>
      </c>
      <c r="AA162" s="127">
        <f ca="1">IF($C162="S",IF($Z162="CP",$X162,IF($Z162="RA",(($X162)*QCI!$AA$3),0)),SomaAgrup)</f>
        <v>0</v>
      </c>
      <c r="AB162" s="128">
        <f t="shared" ca="1" si="51"/>
        <v>0</v>
      </c>
      <c r="AC162" s="565" t="str" cm="1">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IF(AND(_xlfn.SINGLE(TIPOORCAMENTO)="Licitado",$AL162=0,$AN162&gt;0),"SEM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t="str">
        <f ca="1">IF(C162&lt;=CRONO.NivelExibicao,MAX($AD$15:OFFSET(AD162,-1,0))+IF($C162&lt;&gt;1,1,MAX(1,COUNTIF(QCI!$A$13:$A$15,OFFSET($E162,-1,0)))),"")</f>
        <v/>
      </c>
      <c r="AE162" s="7" t="str">
        <f ca="1">IF(AND($C162="S",ORÇAMENTO.CodBarra&lt;&gt;""),IF(ORÇAMENTO.Fonte="",ORÇAMENTO.CodBarra,CONCATENATE(ORÇAMENTO.Fonte," ",ORÇAMENTO.CodBarra)))</f>
        <v>SICRO 407819</v>
      </c>
      <c r="AF162" s="12">
        <f ca="1">IF(ISERROR(INDIRECT(ORÇAMENTO.BancoRef)),"(abra o arquivo 'Referência "&amp;Excel_BuiltIn_Database&amp;".xlsm)",IF(OR($C162&lt;&gt;"S",ORÇAMENTO.CodBarra=""),"(Sem Código)",IF(ISERROR(MATCH($AE162,INDIRECT(ORÇAMENTO.BancoRef),0)),"(Código não identificado nas referências)",MATCH($AE162,INDIRECT(ORÇAMENTO.BancoRef),0))))</f>
        <v>15833</v>
      </c>
      <c r="AG162" s="428">
        <f ca="1">ROUND(IF(DESONERACAO="sim",REFERENCIA.Desonerado,REFERENCIA.NaoDesonerado),2)</f>
        <v>12.08</v>
      </c>
      <c r="AH162" s="429">
        <f t="shared" ca="1" si="52"/>
        <v>0.23499999999999999</v>
      </c>
      <c r="AJ162" s="431">
        <v>83.7</v>
      </c>
      <c r="AL162" s="439"/>
      <c r="AM162" s="336">
        <f t="shared" ca="1" si="0"/>
        <v>1248.8</v>
      </c>
      <c r="AN162" s="470">
        <f t="shared" ca="1" si="53"/>
        <v>14.92</v>
      </c>
    </row>
    <row r="163" spans="1:40" ht="25.5" x14ac:dyDescent="0.2">
      <c r="A163" t="str">
        <f t="shared" si="39"/>
        <v>S</v>
      </c>
      <c r="B163">
        <f t="shared" ca="1" si="40"/>
        <v>4</v>
      </c>
      <c r="C163" t="str">
        <f t="shared" ca="1" si="41"/>
        <v>S</v>
      </c>
      <c r="D163">
        <f t="shared" ca="1" si="42"/>
        <v>0</v>
      </c>
      <c r="E163">
        <f ca="1">IF($C163=1,OFFSET(E163,-1,0)+MAX(1,COUNTIF(QCI!$A$13:$A$15,OFFSET(ORÇAMENTO!E163,-1,0))),OFFSET(E163,-1,0))</f>
        <v>1</v>
      </c>
      <c r="F163">
        <f t="shared" ca="1" si="43"/>
        <v>5</v>
      </c>
      <c r="G163">
        <f t="shared" ca="1" si="44"/>
        <v>5</v>
      </c>
      <c r="H163">
        <f t="shared" ca="1" si="45"/>
        <v>2</v>
      </c>
      <c r="I163">
        <f t="shared" ca="1" si="46"/>
        <v>4</v>
      </c>
      <c r="J163">
        <f t="shared" ca="1" si="38"/>
        <v>0</v>
      </c>
      <c r="K163">
        <f ca="1">IF(OR($C163="S",$C163=0),0,MATCH(OFFSET($D163,0,$C163)+IF($C163&lt;&gt;1,1,COUNTIF(QCI!$A$13:$A$15,ORÇAMENTO!E163)),OFFSET($D163,1,$C163,ROW($C$508)-ROW($C163)),0))</f>
        <v>0</v>
      </c>
      <c r="L163" s="114" t="str">
        <f t="shared" ca="1" si="47"/>
        <v>F</v>
      </c>
      <c r="M163" s="115" t="s">
        <v>705</v>
      </c>
      <c r="N163" s="116" t="str">
        <f t="shared" ca="1" si="48"/>
        <v>Serviço</v>
      </c>
      <c r="O163" s="117" t="str">
        <f t="shared" ca="1" si="49"/>
        <v>1.5.5.2.4.</v>
      </c>
      <c r="P163" s="118" t="s">
        <v>956</v>
      </c>
      <c r="Q163" s="119" t="s">
        <v>1024</v>
      </c>
      <c r="R163" s="120" t="str">
        <f ca="1">IF($C163="S",REFERENCIA.Descricao,"(digite a descrição aqui)")</f>
        <v>FÔRMAS DE COMPENSADO RESINADO 10 MM - USO GERAL - UTILIZAÇÃO DE 3 VEZES - CONFECÇÃO, INSTALAÇÃO E RETIRADA</v>
      </c>
      <c r="S163" s="121" t="str">
        <f ca="1">REFERENCIA.Unidade</f>
        <v>M2</v>
      </c>
      <c r="T163" s="122">
        <f ca="1">OFFSET(CÁLCULO!H$15,ROW($T163)-ROW(T$15),0)</f>
        <v>24.48</v>
      </c>
      <c r="U163" s="123">
        <f t="shared" ca="1" si="21"/>
        <v>71.66</v>
      </c>
      <c r="V163" s="124" t="s">
        <v>663</v>
      </c>
      <c r="W163" s="122">
        <f ca="1">IF($C163="S",ROUND(IF(TIPOORCAMENTO="Proposto",ORÇAMENTO.CustoUnitario*(1+$AH163),ORÇAMENTO.PrecoUnitarioLicitado),15-13*$AF$10),0)</f>
        <v>88.5</v>
      </c>
      <c r="X163" s="125" cm="1">
        <f t="array" aca="1" ref="X163" ca="1">IF($C163="S",IF(OR(Import.TipoArredondamento&lt;&gt;"TransfereGOV",ACOMPANHAMENTO="BM"),VTOTAL1,SUM(OFFSET(CÁLCULO!$AI$15,ROW($X163)-ROW($X$15),1):OFFSET(CÁLCULO!$BB$15,ROW($X163)-ROW($X$15),-1))),IF($C163=0,0,ROUND(SomaAgrup,15-13*$AF$11)))</f>
        <v>2166.48</v>
      </c>
      <c r="Y163" s="126" t="s">
        <v>751</v>
      </c>
      <c r="Z163" t="str">
        <f t="shared" ca="1" si="50"/>
        <v>RA</v>
      </c>
      <c r="AA163" s="127">
        <f ca="1">IF($C163="S",IF($Z163="CP",$X163,IF($Z163="RA",(($X163)*QCI!$AA$3),0)),SomaAgrup)</f>
        <v>0</v>
      </c>
      <c r="AB163" s="128">
        <f t="shared" ca="1" si="51"/>
        <v>0</v>
      </c>
      <c r="AC163" s="565" t="str" cm="1">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IF(AND(_xlfn.SINGLE(TIPOORCAMENTO)="Licitado",$AL163=0,$AN163&gt;0),"SEM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t="str">
        <f ca="1">IF(C163&lt;=CRONO.NivelExibicao,MAX($AD$15:OFFSET(AD163,-1,0))+IF($C163&lt;&gt;1,1,MAX(1,COUNTIF(QCI!$A$13:$A$15,OFFSET($E163,-1,0)))),"")</f>
        <v/>
      </c>
      <c r="AE163" s="7" t="str">
        <f ca="1">IF(AND($C163="S",ORÇAMENTO.CodBarra&lt;&gt;""),IF(ORÇAMENTO.Fonte="",ORÇAMENTO.CodBarra,CONCATENATE(ORÇAMENTO.Fonte," ",ORÇAMENTO.CodBarra)))</f>
        <v>SICRO 3107997</v>
      </c>
      <c r="AF163" s="12">
        <f ca="1">IF(ISERROR(INDIRECT(ORÇAMENTO.BancoRef)),"(abra o arquivo 'Referência "&amp;Excel_BuiltIn_Database&amp;".xlsm)",IF(OR($C163&lt;&gt;"S",ORÇAMENTO.CodBarra=""),"(Sem Código)",IF(ISERROR(MATCH($AE163,INDIRECT(ORÇAMENTO.BancoRef),0)),"(Código não identificado nas referências)",MATCH($AE163,INDIRECT(ORÇAMENTO.BancoRef),0))))</f>
        <v>19900</v>
      </c>
      <c r="AG163" s="428">
        <f ca="1">ROUND(IF(DESONERACAO="sim",REFERENCIA.Desonerado,REFERENCIA.NaoDesonerado),2)</f>
        <v>71.66</v>
      </c>
      <c r="AH163" s="429">
        <f t="shared" ca="1" si="52"/>
        <v>0.23499999999999999</v>
      </c>
      <c r="AJ163" s="431">
        <v>24.48</v>
      </c>
      <c r="AL163" s="439"/>
      <c r="AM163" s="336">
        <f t="shared" ca="1" si="0"/>
        <v>2166.48</v>
      </c>
      <c r="AN163" s="470">
        <f t="shared" ca="1" si="53"/>
        <v>88.5</v>
      </c>
    </row>
    <row r="164" spans="1:40" ht="25.5" x14ac:dyDescent="0.2">
      <c r="A164" t="str">
        <f t="shared" si="39"/>
        <v>S</v>
      </c>
      <c r="B164">
        <f t="shared" ca="1" si="40"/>
        <v>4</v>
      </c>
      <c r="C164" t="str">
        <f t="shared" ca="1" si="41"/>
        <v>S</v>
      </c>
      <c r="D164">
        <f t="shared" ca="1" si="42"/>
        <v>0</v>
      </c>
      <c r="E164">
        <f ca="1">IF($C164=1,OFFSET(E164,-1,0)+MAX(1,COUNTIF(QCI!$A$13:$A$15,OFFSET(ORÇAMENTO!E164,-1,0))),OFFSET(E164,-1,0))</f>
        <v>1</v>
      </c>
      <c r="F164">
        <f t="shared" ca="1" si="43"/>
        <v>5</v>
      </c>
      <c r="G164">
        <f t="shared" ca="1" si="44"/>
        <v>5</v>
      </c>
      <c r="H164">
        <f t="shared" ca="1" si="45"/>
        <v>2</v>
      </c>
      <c r="I164">
        <f t="shared" ca="1" si="46"/>
        <v>5</v>
      </c>
      <c r="J164">
        <f t="shared" ca="1" si="38"/>
        <v>0</v>
      </c>
      <c r="K164">
        <f ca="1">IF(OR($C164="S",$C164=0),0,MATCH(OFFSET($D164,0,$C164)+IF($C164&lt;&gt;1,1,COUNTIF(QCI!$A$13:$A$15,ORÇAMENTO!E164)),OFFSET($D164,1,$C164,ROW($C$508)-ROW($C164)),0))</f>
        <v>0</v>
      </c>
      <c r="L164" s="114" t="str">
        <f t="shared" ca="1" si="47"/>
        <v>F</v>
      </c>
      <c r="M164" s="115" t="s">
        <v>705</v>
      </c>
      <c r="N164" s="116" t="str">
        <f t="shared" ca="1" si="48"/>
        <v>Serviço</v>
      </c>
      <c r="O164" s="117" t="str">
        <f t="shared" ca="1" si="49"/>
        <v>1.5.5.2.5.</v>
      </c>
      <c r="P164" s="118" t="s">
        <v>1280</v>
      </c>
      <c r="Q164" s="119" t="s">
        <v>1025</v>
      </c>
      <c r="R164" s="120" t="str">
        <f ca="1">IF($C164="S",REFERENCIA.Descricao,"(digite a descrição aqui)")</f>
        <v xml:space="preserve">LASTRO DE CONCRETO MAGRO, INCLUSIVE TRANSPORTE, LANÇAMENTO E ADENSAMENTO </v>
      </c>
      <c r="S164" s="121" t="str">
        <f ca="1">REFERENCIA.Unidade</f>
        <v>M3</v>
      </c>
      <c r="T164" s="122">
        <f ca="1">OFFSET(CÁLCULO!H$15,ROW($T164)-ROW(T$15),0)</f>
        <v>0.85</v>
      </c>
      <c r="U164" s="123">
        <f t="shared" ca="1" si="21"/>
        <v>589.23</v>
      </c>
      <c r="V164" s="124" t="s">
        <v>663</v>
      </c>
      <c r="W164" s="122">
        <f ca="1">IF($C164="S",ROUND(IF(TIPOORCAMENTO="Proposto",ORÇAMENTO.CustoUnitario*(1+$AH164),ORÇAMENTO.PrecoUnitarioLicitado),15-13*$AF$10),0)</f>
        <v>727.7</v>
      </c>
      <c r="X164" s="125" cm="1">
        <f t="array" aca="1" ref="X164" ca="1">IF($C164="S",IF(OR(Import.TipoArredondamento&lt;&gt;"TransfereGOV",ACOMPANHAMENTO="BM"),VTOTAL1,SUM(OFFSET(CÁLCULO!$AI$15,ROW($X164)-ROW($X$15),1):OFFSET(CÁLCULO!$BB$15,ROW($X164)-ROW($X$15),-1))),IF($C164=0,0,ROUND(SomaAgrup,15-13*$AF$11)))</f>
        <v>618.54999999999995</v>
      </c>
      <c r="Y164" s="126" t="s">
        <v>751</v>
      </c>
      <c r="Z164" t="str">
        <f t="shared" ca="1" si="50"/>
        <v>RA</v>
      </c>
      <c r="AA164" s="127">
        <f ca="1">IF($C164="S",IF($Z164="CP",$X164,IF($Z164="RA",(($X164)*QCI!$AA$3),0)),SomaAgrup)</f>
        <v>0</v>
      </c>
      <c r="AB164" s="128">
        <f t="shared" ca="1" si="51"/>
        <v>0</v>
      </c>
      <c r="AC164" s="565" t="str" cm="1">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IF(AND(_xlfn.SINGLE(TIPOORCAMENTO)="Licitado",$AL164=0,$AN164&gt;0),"SEM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t="str">
        <f ca="1">IF(C164&lt;=CRONO.NivelExibicao,MAX($AD$15:OFFSET(AD164,-1,0))+IF($C164&lt;&gt;1,1,MAX(1,COUNTIF(QCI!$A$13:$A$15,OFFSET($E164,-1,0)))),"")</f>
        <v/>
      </c>
      <c r="AE164" s="7" t="str">
        <f ca="1">IF(AND($C164="S",ORÇAMENTO.CodBarra&lt;&gt;""),IF(ORÇAMENTO.Fonte="",ORÇAMENTO.CodBarra,CONCATENATE(ORÇAMENTO.Fonte," ",ORÇAMENTO.CodBarra)))</f>
        <v>SETOP ED-49812</v>
      </c>
      <c r="AF164" s="12">
        <f ca="1">IF(ISERROR(INDIRECT(ORÇAMENTO.BancoRef)),"(abra o arquivo 'Referência "&amp;Excel_BuiltIn_Database&amp;".xlsm)",IF(OR($C164&lt;&gt;"S",ORÇAMENTO.CodBarra=""),"(Sem Código)",IF(ISERROR(MATCH($AE164,INDIRECT(ORÇAMENTO.BancoRef),0)),"(Código não identificado nas referências)",MATCH($AE164,INDIRECT(ORÇAMENTO.BancoRef),0))))</f>
        <v>28059</v>
      </c>
      <c r="AG164" s="428">
        <f ca="1">ROUND(IF(DESONERACAO="sim",REFERENCIA.Desonerado,REFERENCIA.NaoDesonerado),2)</f>
        <v>589.23</v>
      </c>
      <c r="AH164" s="429">
        <f t="shared" ca="1" si="52"/>
        <v>0.23499999999999999</v>
      </c>
      <c r="AJ164" s="431">
        <v>0.85</v>
      </c>
      <c r="AL164" s="439"/>
      <c r="AM164" s="336">
        <f t="shared" ca="1" si="0"/>
        <v>618.54999999999995</v>
      </c>
      <c r="AN164" s="470">
        <f t="shared" ca="1" si="53"/>
        <v>727.7</v>
      </c>
    </row>
    <row r="165" spans="1:40" x14ac:dyDescent="0.2">
      <c r="A165" t="str">
        <f t="shared" si="39"/>
        <v>S</v>
      </c>
      <c r="B165">
        <f t="shared" ca="1" si="40"/>
        <v>4</v>
      </c>
      <c r="C165" t="str">
        <f t="shared" ca="1" si="41"/>
        <v>S</v>
      </c>
      <c r="D165">
        <f t="shared" ca="1" si="42"/>
        <v>0</v>
      </c>
      <c r="E165">
        <f ca="1">IF($C165=1,OFFSET(E165,-1,0)+MAX(1,COUNTIF(QCI!$A$13:$A$15,OFFSET(ORÇAMENTO!E165,-1,0))),OFFSET(E165,-1,0))</f>
        <v>1</v>
      </c>
      <c r="F165">
        <f t="shared" ca="1" si="43"/>
        <v>5</v>
      </c>
      <c r="G165">
        <f t="shared" ca="1" si="44"/>
        <v>5</v>
      </c>
      <c r="H165">
        <f t="shared" ca="1" si="45"/>
        <v>2</v>
      </c>
      <c r="I165">
        <f t="shared" ca="1" si="46"/>
        <v>6</v>
      </c>
      <c r="J165">
        <f t="shared" ca="1" si="38"/>
        <v>0</v>
      </c>
      <c r="K165">
        <f ca="1">IF(OR($C165="S",$C165=0),0,MATCH(OFFSET($D165,0,$C165)+IF($C165&lt;&gt;1,1,COUNTIF(QCI!$A$13:$A$15,ORÇAMENTO!E165)),OFFSET($D165,1,$C165,ROW($C$508)-ROW($C165)),0))</f>
        <v>0</v>
      </c>
      <c r="L165" s="114" t="str">
        <f t="shared" ca="1" si="47"/>
        <v>F</v>
      </c>
      <c r="M165" s="115" t="s">
        <v>705</v>
      </c>
      <c r="N165" s="116" t="str">
        <f t="shared" ca="1" si="48"/>
        <v>Serviço</v>
      </c>
      <c r="O165" s="117" t="str">
        <f t="shared" ca="1" si="49"/>
        <v>1.5.5.2.6.</v>
      </c>
      <c r="P165" s="118" t="s">
        <v>1280</v>
      </c>
      <c r="Q165" s="119" t="s">
        <v>1031</v>
      </c>
      <c r="R165" s="120" t="str">
        <f ca="1">IF($C165="S",REFERENCIA.Descricao,"(digite a descrição aqui)")</f>
        <v>IMPERMEABILIZAÇÃO COM EMULSÃO ASFÁLTICA, DUAS (2) DEMÃOS</v>
      </c>
      <c r="S165" s="121" t="str">
        <f ca="1">REFERENCIA.Unidade</f>
        <v>M2</v>
      </c>
      <c r="T165" s="122">
        <f ca="1">OFFSET(CÁLCULO!H$15,ROW($T165)-ROW(T$15),0)</f>
        <v>24.84</v>
      </c>
      <c r="U165" s="123">
        <f t="shared" ca="1" si="21"/>
        <v>35.03</v>
      </c>
      <c r="V165" s="124" t="s">
        <v>663</v>
      </c>
      <c r="W165" s="122">
        <f ca="1">IF($C165="S",ROUND(IF(TIPOORCAMENTO="Proposto",ORÇAMENTO.CustoUnitario*(1+$AH165),ORÇAMENTO.PrecoUnitarioLicitado),15-13*$AF$10),0)</f>
        <v>43.26</v>
      </c>
      <c r="X165" s="125" cm="1">
        <f t="array" aca="1" ref="X165" ca="1">IF($C165="S",IF(OR(Import.TipoArredondamento&lt;&gt;"TransfereGOV",ACOMPANHAMENTO="BM"),VTOTAL1,SUM(OFFSET(CÁLCULO!$AI$15,ROW($X165)-ROW($X$15),1):OFFSET(CÁLCULO!$BB$15,ROW($X165)-ROW($X$15),-1))),IF($C165=0,0,ROUND(SomaAgrup,15-13*$AF$11)))</f>
        <v>1074.58</v>
      </c>
      <c r="Y165" s="126" t="s">
        <v>751</v>
      </c>
      <c r="Z165" t="str">
        <f t="shared" ca="1" si="50"/>
        <v>RA</v>
      </c>
      <c r="AA165" s="127">
        <f ca="1">IF($C165="S",IF($Z165="CP",$X165,IF($Z165="RA",(($X165)*QCI!$AA$3),0)),SomaAgrup)</f>
        <v>0</v>
      </c>
      <c r="AB165" s="128">
        <f t="shared" ca="1" si="51"/>
        <v>0</v>
      </c>
      <c r="AC165" s="565" t="str" cm="1">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IF(AND(_xlfn.SINGLE(TIPOORCAMENTO)="Licitado",$AL165=0,$AN165&gt;0),"SEM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t="str">
        <f ca="1">IF(C165&lt;=CRONO.NivelExibicao,MAX($AD$15:OFFSET(AD165,-1,0))+IF($C165&lt;&gt;1,1,MAX(1,COUNTIF(QCI!$A$13:$A$15,OFFSET($E165,-1,0)))),"")</f>
        <v/>
      </c>
      <c r="AE165" s="7" t="str">
        <f ca="1">IF(AND($C165="S",ORÇAMENTO.CodBarra&lt;&gt;""),IF(ORÇAMENTO.Fonte="",ORÇAMENTO.CodBarra,CONCATENATE(ORÇAMENTO.Fonte," ",ORÇAMENTO.CodBarra)))</f>
        <v>SETOP ED-50174</v>
      </c>
      <c r="AF165" s="12">
        <f ca="1">IF(ISERROR(INDIRECT(ORÇAMENTO.BancoRef)),"(abra o arquivo 'Referência "&amp;Excel_BuiltIn_Database&amp;".xlsm)",IF(OR($C165&lt;&gt;"S",ORÇAMENTO.CodBarra=""),"(Sem Código)",IF(ISERROR(MATCH($AE165,INDIRECT(ORÇAMENTO.BancoRef),0)),"(Código não identificado nas referências)",MATCH($AE165,INDIRECT(ORÇAMENTO.BancoRef),0))))</f>
        <v>28405</v>
      </c>
      <c r="AG165" s="428">
        <f ca="1">ROUND(IF(DESONERACAO="sim",REFERENCIA.Desonerado,REFERENCIA.NaoDesonerado),2)</f>
        <v>35.03</v>
      </c>
      <c r="AH165" s="429">
        <f t="shared" ca="1" si="52"/>
        <v>0.23499999999999999</v>
      </c>
      <c r="AJ165" s="431">
        <v>24.84</v>
      </c>
      <c r="AL165" s="439"/>
      <c r="AM165" s="336">
        <f t="shared" ca="1" si="0"/>
        <v>1074.58</v>
      </c>
      <c r="AN165" s="470">
        <f t="shared" ca="1" si="53"/>
        <v>43.26</v>
      </c>
    </row>
    <row r="166" spans="1:40" ht="38.25" x14ac:dyDescent="0.2">
      <c r="A166" t="str">
        <f t="shared" si="39"/>
        <v>S</v>
      </c>
      <c r="B166">
        <f t="shared" ca="1" si="40"/>
        <v>4</v>
      </c>
      <c r="C166" t="str">
        <f t="shared" ca="1" si="41"/>
        <v>S</v>
      </c>
      <c r="D166">
        <f t="shared" ca="1" si="42"/>
        <v>0</v>
      </c>
      <c r="E166">
        <f ca="1">IF($C166=1,OFFSET(E166,-1,0)+MAX(1,COUNTIF(QCI!$A$13:$A$15,OFFSET(ORÇAMENTO!E166,-1,0))),OFFSET(E166,-1,0))</f>
        <v>1</v>
      </c>
      <c r="F166">
        <f t="shared" ca="1" si="43"/>
        <v>5</v>
      </c>
      <c r="G166">
        <f t="shared" ca="1" si="44"/>
        <v>5</v>
      </c>
      <c r="H166">
        <f t="shared" ca="1" si="45"/>
        <v>2</v>
      </c>
      <c r="I166">
        <f t="shared" ca="1" si="46"/>
        <v>7</v>
      </c>
      <c r="J166">
        <f t="shared" ca="1" si="38"/>
        <v>0</v>
      </c>
      <c r="K166">
        <f ca="1">IF(OR($C166="S",$C166=0),0,MATCH(OFFSET($D166,0,$C166)+IF($C166&lt;&gt;1,1,COUNTIF(QCI!$A$13:$A$15,ORÇAMENTO!E166)),OFFSET($D166,1,$C166,ROW($C$508)-ROW($C166)),0))</f>
        <v>0</v>
      </c>
      <c r="L166" s="114" t="str">
        <f t="shared" ca="1" si="47"/>
        <v>F</v>
      </c>
      <c r="M166" s="115" t="s">
        <v>705</v>
      </c>
      <c r="N166" s="116" t="str">
        <f t="shared" ca="1" si="48"/>
        <v>Serviço</v>
      </c>
      <c r="O166" s="117" t="str">
        <f t="shared" ca="1" si="49"/>
        <v>1.5.5.2.7.</v>
      </c>
      <c r="P166" s="118" t="s">
        <v>750</v>
      </c>
      <c r="Q166" s="119" t="s">
        <v>1017</v>
      </c>
      <c r="R166" s="120" t="str">
        <f ca="1">IF($C166="S",REFERENCIA.Descricao,"(digite a descrição aqui)")</f>
        <v>CONCRETO FCK = 40MPA, TRAÇO 1:1,6:1,9 (EM MASSA SECA DE CIMENTO/ AREIA MÉDIA/ BRITA 1) - PREPARO MECÂNICO COM BETONEIRA 600 L. AF_05/2021</v>
      </c>
      <c r="S166" s="121" t="str">
        <f ca="1">REFERENCIA.Unidade</f>
        <v>M3</v>
      </c>
      <c r="T166" s="122">
        <f ca="1">OFFSET(CÁLCULO!H$15,ROW($T166)-ROW(T$15),0)</f>
        <v>3.55</v>
      </c>
      <c r="U166" s="123">
        <f t="shared" ca="1" si="21"/>
        <v>628.30999999999995</v>
      </c>
      <c r="V166" s="124" t="s">
        <v>663</v>
      </c>
      <c r="W166" s="122">
        <f ca="1">IF($C166="S",ROUND(IF(TIPOORCAMENTO="Proposto",ORÇAMENTO.CustoUnitario*(1+$AH166),ORÇAMENTO.PrecoUnitarioLicitado),15-13*$AF$10),0)</f>
        <v>775.96</v>
      </c>
      <c r="X166" s="125" cm="1">
        <f t="array" aca="1" ref="X166" ca="1">IF($C166="S",IF(OR(Import.TipoArredondamento&lt;&gt;"TransfereGOV",ACOMPANHAMENTO="BM"),VTOTAL1,SUM(OFFSET(CÁLCULO!$AI$15,ROW($X166)-ROW($X$15),1):OFFSET(CÁLCULO!$BB$15,ROW($X166)-ROW($X$15),-1))),IF($C166=0,0,ROUND(SomaAgrup,15-13*$AF$11)))</f>
        <v>2754.66</v>
      </c>
      <c r="Y166" s="126" t="s">
        <v>751</v>
      </c>
      <c r="Z166" t="str">
        <f t="shared" ca="1" si="50"/>
        <v>RA</v>
      </c>
      <c r="AA166" s="127">
        <f ca="1">IF($C166="S",IF($Z166="CP",$X166,IF($Z166="RA",(($X166)*QCI!$AA$3),0)),SomaAgrup)</f>
        <v>0</v>
      </c>
      <c r="AB166" s="128">
        <f t="shared" ca="1" si="51"/>
        <v>0</v>
      </c>
      <c r="AC166" s="565" t="str" cm="1">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IF(AND(_xlfn.SINGLE(TIPOORCAMENTO)="Licitado",$AL166=0,$AN166&gt;0),"SEM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t="str">
        <f ca="1">IF(C166&lt;=CRONO.NivelExibicao,MAX($AD$15:OFFSET(AD166,-1,0))+IF($C166&lt;&gt;1,1,MAX(1,COUNTIF(QCI!$A$13:$A$15,OFFSET($E166,-1,0)))),"")</f>
        <v/>
      </c>
      <c r="AE166" s="7" t="str">
        <f ca="1">IF(AND($C166="S",ORÇAMENTO.CodBarra&lt;&gt;""),IF(ORÇAMENTO.Fonte="",ORÇAMENTO.CodBarra,CONCATENATE(ORÇAMENTO.Fonte," ",ORÇAMENTO.CodBarra)))</f>
        <v>SINAPI 94973</v>
      </c>
      <c r="AF166" s="12">
        <f ca="1">IF(ISERROR(INDIRECT(ORÇAMENTO.BancoRef)),"(abra o arquivo 'Referência "&amp;Excel_BuiltIn_Database&amp;".xlsm)",IF(OR($C166&lt;&gt;"S",ORÇAMENTO.CodBarra=""),"(Sem Código)",IF(ISERROR(MATCH($AE166,INDIRECT(ORÇAMENTO.BancoRef),0)),"(Código não identificado nas referências)",MATCH($AE166,INDIRECT(ORÇAMENTO.BancoRef),0))))</f>
        <v>14326</v>
      </c>
      <c r="AG166" s="428">
        <f ca="1">ROUND(IF(DESONERACAO="sim",REFERENCIA.Desonerado,REFERENCIA.NaoDesonerado),2)</f>
        <v>628.30999999999995</v>
      </c>
      <c r="AH166" s="429">
        <f t="shared" ca="1" si="52"/>
        <v>0.23499999999999999</v>
      </c>
      <c r="AJ166" s="431">
        <v>3.55</v>
      </c>
      <c r="AL166" s="439"/>
      <c r="AM166" s="336">
        <f t="shared" ca="1" si="0"/>
        <v>2754.66</v>
      </c>
      <c r="AN166" s="470">
        <f t="shared" ca="1" si="53"/>
        <v>775.96</v>
      </c>
    </row>
    <row r="167" spans="1:40" ht="25.5" x14ac:dyDescent="0.2">
      <c r="A167" t="str">
        <f t="shared" si="39"/>
        <v>S</v>
      </c>
      <c r="B167">
        <f t="shared" ca="1" si="40"/>
        <v>4</v>
      </c>
      <c r="C167" t="str">
        <f t="shared" ca="1" si="41"/>
        <v>S</v>
      </c>
      <c r="D167">
        <f t="shared" ca="1" si="42"/>
        <v>0</v>
      </c>
      <c r="E167">
        <f ca="1">IF($C167=1,OFFSET(E167,-1,0)+MAX(1,COUNTIF(QCI!$A$13:$A$15,OFFSET(ORÇAMENTO!E167,-1,0))),OFFSET(E167,-1,0))</f>
        <v>1</v>
      </c>
      <c r="F167">
        <f t="shared" ca="1" si="43"/>
        <v>5</v>
      </c>
      <c r="G167">
        <f t="shared" ca="1" si="44"/>
        <v>5</v>
      </c>
      <c r="H167">
        <f t="shared" ca="1" si="45"/>
        <v>2</v>
      </c>
      <c r="I167">
        <f t="shared" ca="1" si="46"/>
        <v>8</v>
      </c>
      <c r="J167">
        <f t="shared" ca="1" si="38"/>
        <v>0</v>
      </c>
      <c r="K167">
        <f ca="1">IF(OR($C167="S",$C167=0),0,MATCH(OFFSET($D167,0,$C167)+IF($C167&lt;&gt;1,1,COUNTIF(QCI!$A$13:$A$15,ORÇAMENTO!E167)),OFFSET($D167,1,$C167,ROW($C$508)-ROW($C167)),0))</f>
        <v>0</v>
      </c>
      <c r="L167" s="114" t="str">
        <f t="shared" ca="1" si="47"/>
        <v>F</v>
      </c>
      <c r="M167" s="115" t="s">
        <v>705</v>
      </c>
      <c r="N167" s="116" t="str">
        <f t="shared" ca="1" si="48"/>
        <v>Serviço</v>
      </c>
      <c r="O167" s="117" t="str">
        <f t="shared" ca="1" si="49"/>
        <v>1.5.5.2.8.</v>
      </c>
      <c r="P167" s="118" t="s">
        <v>750</v>
      </c>
      <c r="Q167" s="119" t="s">
        <v>1018</v>
      </c>
      <c r="R167" s="120" t="str">
        <f ca="1">IF($C167="S",REFERENCIA.Descricao,"(digite a descrição aqui)")</f>
        <v>LANÇAMENTO COM USO DE BOMBA, ADENSAMENTO E ACABAMENTO DE CONCRETO EM ESTRUTURAS. AF_02/2022</v>
      </c>
      <c r="S167" s="121" t="str">
        <f ca="1">REFERENCIA.Unidade</f>
        <v>M3</v>
      </c>
      <c r="T167" s="122">
        <f ca="1">OFFSET(CÁLCULO!H$15,ROW($T167)-ROW(T$15),0)</f>
        <v>3.55</v>
      </c>
      <c r="U167" s="123">
        <f t="shared" ca="1" si="21"/>
        <v>44.5</v>
      </c>
      <c r="V167" s="124" t="s">
        <v>663</v>
      </c>
      <c r="W167" s="122">
        <f ca="1">IF($C167="S",ROUND(IF(TIPOORCAMENTO="Proposto",ORÇAMENTO.CustoUnitario*(1+$AH167),ORÇAMENTO.PrecoUnitarioLicitado),15-13*$AF$10),0)</f>
        <v>54.96</v>
      </c>
      <c r="X167" s="125" cm="1">
        <f t="array" aca="1" ref="X167" ca="1">IF($C167="S",IF(OR(Import.TipoArredondamento&lt;&gt;"TransfereGOV",ACOMPANHAMENTO="BM"),VTOTAL1,SUM(OFFSET(CÁLCULO!$AI$15,ROW($X167)-ROW($X$15),1):OFFSET(CÁLCULO!$BB$15,ROW($X167)-ROW($X$15),-1))),IF($C167=0,0,ROUND(SomaAgrup,15-13*$AF$11)))</f>
        <v>195.11</v>
      </c>
      <c r="Y167" s="126" t="s">
        <v>751</v>
      </c>
      <c r="Z167" t="str">
        <f t="shared" ca="1" si="50"/>
        <v>RA</v>
      </c>
      <c r="AA167" s="127">
        <f ca="1">IF($C167="S",IF($Z167="CP",$X167,IF($Z167="RA",(($X167)*QCI!$AA$3),0)),SomaAgrup)</f>
        <v>0</v>
      </c>
      <c r="AB167" s="128">
        <f t="shared" ca="1" si="51"/>
        <v>0</v>
      </c>
      <c r="AC167" s="565" t="str" cm="1">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IF(AND(_xlfn.SINGLE(TIPOORCAMENTO)="Licitado",$AL167=0,$AN167&gt;0),"SEM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t="str">
        <f ca="1">IF(C167&lt;=CRONO.NivelExibicao,MAX($AD$15:OFFSET(AD167,-1,0))+IF($C167&lt;&gt;1,1,MAX(1,COUNTIF(QCI!$A$13:$A$15,OFFSET($E167,-1,0)))),"")</f>
        <v/>
      </c>
      <c r="AE167" s="7" t="str">
        <f ca="1">IF(AND($C167="S",ORÇAMENTO.CodBarra&lt;&gt;""),IF(ORÇAMENTO.Fonte="",ORÇAMENTO.CodBarra,CONCATENATE(ORÇAMENTO.Fonte," ",ORÇAMENTO.CodBarra)))</f>
        <v>SINAPI 103673</v>
      </c>
      <c r="AF167" s="12">
        <f ca="1">IF(ISERROR(INDIRECT(ORÇAMENTO.BancoRef)),"(abra o arquivo 'Referência "&amp;Excel_BuiltIn_Database&amp;".xlsm)",IF(OR($C167&lt;&gt;"S",ORÇAMENTO.CodBarra=""),"(Sem Código)",IF(ISERROR(MATCH($AE167,INDIRECT(ORÇAMENTO.BancoRef),0)),"(Código não identificado nas referências)",MATCH($AE167,INDIRECT(ORÇAMENTO.BancoRef),0))))</f>
        <v>7334</v>
      </c>
      <c r="AG167" s="428">
        <f ca="1">ROUND(IF(DESONERACAO="sim",REFERENCIA.Desonerado,REFERENCIA.NaoDesonerado),2)</f>
        <v>44.5</v>
      </c>
      <c r="AH167" s="429">
        <f t="shared" ca="1" si="52"/>
        <v>0.23499999999999999</v>
      </c>
      <c r="AJ167" s="431">
        <f>AJ166</f>
        <v>3.55</v>
      </c>
      <c r="AL167" s="439"/>
      <c r="AM167" s="336">
        <f t="shared" ca="1" si="0"/>
        <v>195.11</v>
      </c>
      <c r="AN167" s="470">
        <f t="shared" ca="1" si="53"/>
        <v>54.96</v>
      </c>
    </row>
    <row r="168" spans="1:40" ht="25.5" x14ac:dyDescent="0.2">
      <c r="A168" t="str">
        <f t="shared" si="39"/>
        <v>S</v>
      </c>
      <c r="B168">
        <f t="shared" ca="1" si="40"/>
        <v>4</v>
      </c>
      <c r="C168" t="str">
        <f t="shared" ca="1" si="41"/>
        <v>S</v>
      </c>
      <c r="D168">
        <f t="shared" ca="1" si="42"/>
        <v>0</v>
      </c>
      <c r="E168">
        <f ca="1">IF($C168=1,OFFSET(E168,-1,0)+MAX(1,COUNTIF(QCI!$A$13:$A$15,OFFSET(ORÇAMENTO!E168,-1,0))),OFFSET(E168,-1,0))</f>
        <v>1</v>
      </c>
      <c r="F168">
        <f t="shared" ca="1" si="43"/>
        <v>5</v>
      </c>
      <c r="G168">
        <f t="shared" ca="1" si="44"/>
        <v>5</v>
      </c>
      <c r="H168">
        <f t="shared" ca="1" si="45"/>
        <v>2</v>
      </c>
      <c r="I168">
        <f t="shared" ca="1" si="46"/>
        <v>9</v>
      </c>
      <c r="J168">
        <f t="shared" ca="1" si="38"/>
        <v>0</v>
      </c>
      <c r="K168">
        <f ca="1">IF(OR($C168="S",$C168=0),0,MATCH(OFFSET($D168,0,$C168)+IF($C168&lt;&gt;1,1,COUNTIF(QCI!$A$13:$A$15,ORÇAMENTO!E168)),OFFSET($D168,1,$C168,ROW($C$508)-ROW($C168)),0))</f>
        <v>0</v>
      </c>
      <c r="L168" s="114" t="str">
        <f t="shared" ca="1" si="47"/>
        <v>F</v>
      </c>
      <c r="M168" s="115" t="s">
        <v>705</v>
      </c>
      <c r="N168" s="116" t="str">
        <f t="shared" ca="1" si="48"/>
        <v>Serviço</v>
      </c>
      <c r="O168" s="117" t="str">
        <f t="shared" ca="1" si="49"/>
        <v>1.5.5.2.9.</v>
      </c>
      <c r="P168" s="118" t="s">
        <v>750</v>
      </c>
      <c r="Q168" s="119" t="s">
        <v>1037</v>
      </c>
      <c r="R168" s="120" t="str">
        <f ca="1">IF($C168="S",REFERENCIA.Descricao,"(digite a descrição aqui)")</f>
        <v>REATERRO MANUAL DE VALAS, COM COMPACTADOR DE SOLOS DE PERCUSSÃO. AF_08/2023</v>
      </c>
      <c r="S168" s="121" t="str">
        <f ca="1">REFERENCIA.Unidade</f>
        <v>M3</v>
      </c>
      <c r="T168" s="122">
        <f ca="1">OFFSET(CÁLCULO!H$15,ROW($T168)-ROW(T$15),0)</f>
        <v>20.59</v>
      </c>
      <c r="U168" s="123">
        <f t="shared" ca="1" si="21"/>
        <v>28.36</v>
      </c>
      <c r="V168" s="124" t="s">
        <v>663</v>
      </c>
      <c r="W168" s="122">
        <f ca="1">IF($C168="S",ROUND(IF(TIPOORCAMENTO="Proposto",ORÇAMENTO.CustoUnitario*(1+$AH168),ORÇAMENTO.PrecoUnitarioLicitado),15-13*$AF$10),0)</f>
        <v>35.020000000000003</v>
      </c>
      <c r="X168" s="125" cm="1">
        <f t="array" aca="1" ref="X168" ca="1">IF($C168="S",IF(OR(Import.TipoArredondamento&lt;&gt;"TransfereGOV",ACOMPANHAMENTO="BM"),VTOTAL1,SUM(OFFSET(CÁLCULO!$AI$15,ROW($X168)-ROW($X$15),1):OFFSET(CÁLCULO!$BB$15,ROW($X168)-ROW($X$15),-1))),IF($C168=0,0,ROUND(SomaAgrup,15-13*$AF$11)))</f>
        <v>721.06</v>
      </c>
      <c r="Y168" s="126" t="s">
        <v>751</v>
      </c>
      <c r="Z168" t="str">
        <f t="shared" ca="1" si="50"/>
        <v>RA</v>
      </c>
      <c r="AA168" s="127">
        <f ca="1">IF($C168="S",IF($Z168="CP",$X168,IF($Z168="RA",(($X168)*QCI!$AA$3),0)),SomaAgrup)</f>
        <v>0</v>
      </c>
      <c r="AB168" s="128">
        <f t="shared" ca="1" si="51"/>
        <v>0</v>
      </c>
      <c r="AC168" s="565" t="str" cm="1">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IF(AND(_xlfn.SINGLE(TIPOORCAMENTO)="Licitado",$AL168=0,$AN168&gt;0),"SEM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t="str">
        <f ca="1">IF(C168&lt;=CRONO.NivelExibicao,MAX($AD$15:OFFSET(AD168,-1,0))+IF($C168&lt;&gt;1,1,MAX(1,COUNTIF(QCI!$A$13:$A$15,OFFSET($E168,-1,0)))),"")</f>
        <v/>
      </c>
      <c r="AE168" s="7" t="str">
        <f ca="1">IF(AND($C168="S",ORÇAMENTO.CodBarra&lt;&gt;""),IF(ORÇAMENTO.Fonte="",ORÇAMENTO.CodBarra,CONCATENATE(ORÇAMENTO.Fonte," ",ORÇAMENTO.CodBarra)))</f>
        <v>SINAPI 93382</v>
      </c>
      <c r="AF168" s="12">
        <f ca="1">IF(ISERROR(INDIRECT(ORÇAMENTO.BancoRef)),"(abra o arquivo 'Referência "&amp;Excel_BuiltIn_Database&amp;".xlsm)",IF(OR($C168&lt;&gt;"S",ORÇAMENTO.CodBarra=""),"(Sem Código)",IF(ISERROR(MATCH($AE168,INDIRECT(ORÇAMENTO.BancoRef),0)),"(Código não identificado nas referências)",MATCH($AE168,INDIRECT(ORÇAMENTO.BancoRef),0))))</f>
        <v>6788</v>
      </c>
      <c r="AG168" s="428">
        <f ca="1">ROUND(IF(DESONERACAO="sim",REFERENCIA.Desonerado,REFERENCIA.NaoDesonerado),2)</f>
        <v>28.36</v>
      </c>
      <c r="AH168" s="429">
        <f t="shared" ca="1" si="52"/>
        <v>0.23499999999999999</v>
      </c>
      <c r="AJ168" s="431">
        <v>20.59</v>
      </c>
      <c r="AL168" s="439"/>
      <c r="AM168" s="336">
        <f t="shared" ca="1" si="0"/>
        <v>721.06</v>
      </c>
      <c r="AN168" s="470">
        <f t="shared" ca="1" si="53"/>
        <v>35.020000000000003</v>
      </c>
    </row>
    <row r="169" spans="1:40" ht="51" x14ac:dyDescent="0.2">
      <c r="A169" t="str">
        <f t="shared" si="39"/>
        <v>S</v>
      </c>
      <c r="B169">
        <f t="shared" ca="1" si="40"/>
        <v>4</v>
      </c>
      <c r="C169" t="str">
        <f t="shared" ca="1" si="41"/>
        <v>S</v>
      </c>
      <c r="D169">
        <f t="shared" ca="1" si="42"/>
        <v>0</v>
      </c>
      <c r="E169">
        <f ca="1">IF($C169=1,OFFSET(E169,-1,0)+MAX(1,COUNTIF(QCI!$A$13:$A$15,OFFSET(ORÇAMENTO!E169,-1,0))),OFFSET(E169,-1,0))</f>
        <v>1</v>
      </c>
      <c r="F169">
        <f t="shared" ca="1" si="43"/>
        <v>5</v>
      </c>
      <c r="G169">
        <f t="shared" ca="1" si="44"/>
        <v>5</v>
      </c>
      <c r="H169">
        <f t="shared" ca="1" si="45"/>
        <v>2</v>
      </c>
      <c r="I169">
        <f t="shared" ca="1" si="46"/>
        <v>10</v>
      </c>
      <c r="J169">
        <f t="shared" ca="1" si="38"/>
        <v>0</v>
      </c>
      <c r="K169">
        <f ca="1">IF(OR($C169="S",$C169=0),0,MATCH(OFFSET($D169,0,$C169)+IF($C169&lt;&gt;1,1,COUNTIF(QCI!$A$13:$A$15,ORÇAMENTO!E169)),OFFSET($D169,1,$C169,ROW($C$508)-ROW($C169)),0))</f>
        <v>0</v>
      </c>
      <c r="L169" s="114" t="str">
        <f t="shared" ca="1" si="47"/>
        <v>F</v>
      </c>
      <c r="M169" s="115" t="s">
        <v>705</v>
      </c>
      <c r="N169" s="116" t="str">
        <f t="shared" ca="1" si="48"/>
        <v>Serviço</v>
      </c>
      <c r="O169" s="117" t="str">
        <f t="shared" ca="1" si="49"/>
        <v>1.5.5.2.10.</v>
      </c>
      <c r="P169" s="118" t="s">
        <v>750</v>
      </c>
      <c r="Q169" s="119" t="s">
        <v>1020</v>
      </c>
      <c r="R169" s="120" t="str">
        <f ca="1">IF($C169="S",REFERENCIA.Descricao,"(digite a descrição aqui)")</f>
        <v>CARGA, MANOBRA E DESCARGA DE SOLOS E MATERIAIS GRANULARES EM CAMINHÃO BASCULANTE 18 M³ - CARGA COM ESCAVADEIRA HIDRÁULICA (CAÇAMBA DE 1,20 M³ / 155 HP) E DESCARGA LIVRE (UNIDADE: M3). AF_07/2020</v>
      </c>
      <c r="S169" s="121" t="str">
        <f ca="1">REFERENCIA.Unidade</f>
        <v>M3</v>
      </c>
      <c r="T169" s="122">
        <f ca="1">OFFSET(CÁLCULO!H$15,ROW($T169)-ROW(T$15),0)</f>
        <v>5.72</v>
      </c>
      <c r="U169" s="123">
        <f t="shared" ca="1" si="21"/>
        <v>6.52</v>
      </c>
      <c r="V169" s="124" t="s">
        <v>663</v>
      </c>
      <c r="W169" s="122">
        <f ca="1">IF($C169="S",ROUND(IF(TIPOORCAMENTO="Proposto",ORÇAMENTO.CustoUnitario*(1+$AH169),ORÇAMENTO.PrecoUnitarioLicitado),15-13*$AF$10),0)</f>
        <v>8.0500000000000007</v>
      </c>
      <c r="X169" s="125" cm="1">
        <f t="array" aca="1" ref="X169" ca="1">IF($C169="S",IF(OR(Import.TipoArredondamento&lt;&gt;"TransfereGOV",ACOMPANHAMENTO="BM"),VTOTAL1,SUM(OFFSET(CÁLCULO!$AI$15,ROW($X169)-ROW($X$15),1):OFFSET(CÁLCULO!$BB$15,ROW($X169)-ROW($X$15),-1))),IF($C169=0,0,ROUND(SomaAgrup,15-13*$AF$11)))</f>
        <v>46.05</v>
      </c>
      <c r="Y169" s="126" t="s">
        <v>751</v>
      </c>
      <c r="Z169" t="str">
        <f t="shared" ca="1" si="50"/>
        <v>RA</v>
      </c>
      <c r="AA169" s="127">
        <f ca="1">IF($C169="S",IF($Z169="CP",$X169,IF($Z169="RA",(($X169)*QCI!$AA$3),0)),SomaAgrup)</f>
        <v>0</v>
      </c>
      <c r="AB169" s="128">
        <f t="shared" ca="1" si="51"/>
        <v>0</v>
      </c>
      <c r="AC169" s="565" t="str" cm="1">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IF(AND(_xlfn.SINGLE(TIPOORCAMENTO)="Licitado",$AL169=0,$AN169&gt;0),"SEM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t="str">
        <f ca="1">IF(C169&lt;=CRONO.NivelExibicao,MAX($AD$15:OFFSET(AD169,-1,0))+IF($C169&lt;&gt;1,1,MAX(1,COUNTIF(QCI!$A$13:$A$15,OFFSET($E169,-1,0)))),"")</f>
        <v/>
      </c>
      <c r="AE169" s="7" t="str">
        <f ca="1">IF(AND($C169="S",ORÇAMENTO.CodBarra&lt;&gt;""),IF(ORÇAMENTO.Fonte="",ORÇAMENTO.CodBarra,CONCATENATE(ORÇAMENTO.Fonte," ",ORÇAMENTO.CodBarra)))</f>
        <v>SINAPI 100980</v>
      </c>
      <c r="AF169" s="12">
        <f ca="1">IF(ISERROR(INDIRECT(ORÇAMENTO.BancoRef)),"(abra o arquivo 'Referência "&amp;Excel_BuiltIn_Database&amp;".xlsm)",IF(OR($C169&lt;&gt;"S",ORÇAMENTO.CodBarra=""),"(Sem Código)",IF(ISERROR(MATCH($AE169,INDIRECT(ORÇAMENTO.BancoRef),0)),"(Código não identificado nas referências)",MATCH($AE169,INDIRECT(ORÇAMENTO.BancoRef),0))))</f>
        <v>15290</v>
      </c>
      <c r="AG169" s="428">
        <f ca="1">ROUND(IF(DESONERACAO="sim",REFERENCIA.Desonerado,REFERENCIA.NaoDesonerado),2)</f>
        <v>6.52</v>
      </c>
      <c r="AH169" s="429">
        <f t="shared" ca="1" si="52"/>
        <v>0.23499999999999999</v>
      </c>
      <c r="AJ169" s="431">
        <v>5.72</v>
      </c>
      <c r="AL169" s="439"/>
      <c r="AM169" s="336">
        <f t="shared" ca="1" si="0"/>
        <v>46.05</v>
      </c>
      <c r="AN169" s="470">
        <f t="shared" ca="1" si="53"/>
        <v>8.0500000000000007</v>
      </c>
    </row>
    <row r="170" spans="1:40" ht="38.25" x14ac:dyDescent="0.2">
      <c r="A170" t="str">
        <f t="shared" si="39"/>
        <v>S</v>
      </c>
      <c r="B170">
        <f t="shared" ca="1" si="40"/>
        <v>4</v>
      </c>
      <c r="C170" t="str">
        <f t="shared" ca="1" si="41"/>
        <v>S</v>
      </c>
      <c r="D170">
        <f t="shared" ca="1" si="42"/>
        <v>0</v>
      </c>
      <c r="E170">
        <f ca="1">IF($C170=1,OFFSET(E170,-1,0)+MAX(1,COUNTIF(QCI!$A$13:$A$15,OFFSET(ORÇAMENTO!E170,-1,0))),OFFSET(E170,-1,0))</f>
        <v>1</v>
      </c>
      <c r="F170">
        <f t="shared" ca="1" si="43"/>
        <v>5</v>
      </c>
      <c r="G170">
        <f t="shared" ca="1" si="44"/>
        <v>5</v>
      </c>
      <c r="H170">
        <f t="shared" ca="1" si="45"/>
        <v>2</v>
      </c>
      <c r="I170">
        <f t="shared" ca="1" si="46"/>
        <v>11</v>
      </c>
      <c r="J170">
        <f t="shared" ca="1" si="38"/>
        <v>0</v>
      </c>
      <c r="K170">
        <f ca="1">IF(OR($C170="S",$C170=0),0,MATCH(OFFSET($D170,0,$C170)+IF($C170&lt;&gt;1,1,COUNTIF(QCI!$A$13:$A$15,ORÇAMENTO!E170)),OFFSET($D170,1,$C170,ROW($C$508)-ROW($C170)),0))</f>
        <v>0</v>
      </c>
      <c r="L170" s="114" t="str">
        <f t="shared" ca="1" si="47"/>
        <v>F</v>
      </c>
      <c r="M170" s="115" t="s">
        <v>705</v>
      </c>
      <c r="N170" s="116" t="str">
        <f t="shared" ca="1" si="48"/>
        <v>Serviço</v>
      </c>
      <c r="O170" s="117" t="str">
        <f t="shared" ca="1" si="49"/>
        <v>1.5.5.2.11.</v>
      </c>
      <c r="P170" s="118" t="s">
        <v>750</v>
      </c>
      <c r="Q170" s="119" t="s">
        <v>1021</v>
      </c>
      <c r="R170" s="120" t="str">
        <f ca="1">IF($C170="S",REFERENCIA.Descricao,"(digite a descrição aqui)")</f>
        <v>TRANSPORTE COM CAMINHÃO BASCULANTE DE 18 M³, EM VIA URBANA PAVIMENTADA, DMT ATÉ 30 KM (UNIDADE: M3XKM). AF_07/2020</v>
      </c>
      <c r="S170" s="121" t="str">
        <f ca="1">REFERENCIA.Unidade</f>
        <v>M3XKM</v>
      </c>
      <c r="T170" s="122">
        <f ca="1">OFFSET(CÁLCULO!H$15,ROW($T170)-ROW(T$15),0)</f>
        <v>28.6</v>
      </c>
      <c r="U170" s="123">
        <f t="shared" ca="1" si="21"/>
        <v>1.9</v>
      </c>
      <c r="V170" s="124" t="s">
        <v>663</v>
      </c>
      <c r="W170" s="122">
        <f ca="1">IF($C170="S",ROUND(IF(TIPOORCAMENTO="Proposto",ORÇAMENTO.CustoUnitario*(1+$AH170),ORÇAMENTO.PrecoUnitarioLicitado),15-13*$AF$10),0)</f>
        <v>2.35</v>
      </c>
      <c r="X170" s="125" cm="1">
        <f t="array" aca="1" ref="X170" ca="1">IF($C170="S",IF(OR(Import.TipoArredondamento&lt;&gt;"TransfereGOV",ACOMPANHAMENTO="BM"),VTOTAL1,SUM(OFFSET(CÁLCULO!$AI$15,ROW($X170)-ROW($X$15),1):OFFSET(CÁLCULO!$BB$15,ROW($X170)-ROW($X$15),-1))),IF($C170=0,0,ROUND(SomaAgrup,15-13*$AF$11)))</f>
        <v>67.209999999999994</v>
      </c>
      <c r="Y170" s="126" t="s">
        <v>751</v>
      </c>
      <c r="Z170" t="str">
        <f t="shared" ca="1" si="50"/>
        <v>RA</v>
      </c>
      <c r="AA170" s="127">
        <f ca="1">IF($C170="S",IF($Z170="CP",$X170,IF($Z170="RA",(($X170)*QCI!$AA$3),0)),SomaAgrup)</f>
        <v>0</v>
      </c>
      <c r="AB170" s="128">
        <f t="shared" ca="1" si="51"/>
        <v>0</v>
      </c>
      <c r="AC170" s="565" t="str" cm="1">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IF(AND(_xlfn.SINGLE(TIPOORCAMENTO)="Licitado",$AL170=0,$AN170&gt;0),"SEM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t="str">
        <f ca="1">IF(C170&lt;=CRONO.NivelExibicao,MAX($AD$15:OFFSET(AD170,-1,0))+IF($C170&lt;&gt;1,1,MAX(1,COUNTIF(QCI!$A$13:$A$15,OFFSET($E170,-1,0)))),"")</f>
        <v/>
      </c>
      <c r="AE170" s="7" t="str">
        <f ca="1">IF(AND($C170="S",ORÇAMENTO.CodBarra&lt;&gt;""),IF(ORÇAMENTO.Fonte="",ORÇAMENTO.CodBarra,CONCATENATE(ORÇAMENTO.Fonte," ",ORÇAMENTO.CodBarra)))</f>
        <v>SINAPI 95877</v>
      </c>
      <c r="AF170" s="12">
        <f ca="1">IF(ISERROR(INDIRECT(ORÇAMENTO.BancoRef)),"(abra o arquivo 'Referência "&amp;Excel_BuiltIn_Database&amp;".xlsm)",IF(OR($C170&lt;&gt;"S",ORÇAMENTO.CodBarra=""),"(Sem Código)",IF(ISERROR(MATCH($AE170,INDIRECT(ORÇAMENTO.BancoRef),0)),"(Código não identificado nas referências)",MATCH($AE170,INDIRECT(ORÇAMENTO.BancoRef),0))))</f>
        <v>15362</v>
      </c>
      <c r="AG170" s="428">
        <f ca="1">ROUND(IF(DESONERACAO="sim",REFERENCIA.Desonerado,REFERENCIA.NaoDesonerado),2)</f>
        <v>1.9</v>
      </c>
      <c r="AH170" s="429">
        <f t="shared" ca="1" si="52"/>
        <v>0.23499999999999999</v>
      </c>
      <c r="AJ170" s="431">
        <f>AJ169*5</f>
        <v>28.599999999999998</v>
      </c>
      <c r="AL170" s="439"/>
      <c r="AM170" s="336">
        <f t="shared" ca="1" si="0"/>
        <v>67.209999999999994</v>
      </c>
      <c r="AN170" s="470">
        <f t="shared" ca="1" si="53"/>
        <v>2.35</v>
      </c>
    </row>
    <row r="171" spans="1:40" x14ac:dyDescent="0.2">
      <c r="A171" t="str">
        <f t="shared" si="39"/>
        <v>S</v>
      </c>
      <c r="B171">
        <f t="shared" ca="1" si="40"/>
        <v>4</v>
      </c>
      <c r="C171" t="str">
        <f t="shared" ca="1" si="41"/>
        <v>S</v>
      </c>
      <c r="D171">
        <f t="shared" ca="1" si="42"/>
        <v>0</v>
      </c>
      <c r="E171">
        <f ca="1">IF($C171=1,OFFSET(E171,-1,0)+MAX(1,COUNTIF(QCI!$A$13:$A$15,OFFSET(ORÇAMENTO!E171,-1,0))),OFFSET(E171,-1,0))</f>
        <v>1</v>
      </c>
      <c r="F171">
        <f t="shared" ca="1" si="43"/>
        <v>5</v>
      </c>
      <c r="G171">
        <f t="shared" ca="1" si="44"/>
        <v>5</v>
      </c>
      <c r="H171">
        <f t="shared" ca="1" si="45"/>
        <v>2</v>
      </c>
      <c r="I171">
        <f t="shared" ca="1" si="46"/>
        <v>12</v>
      </c>
      <c r="J171">
        <f t="shared" ca="1" si="38"/>
        <v>0</v>
      </c>
      <c r="K171">
        <f ca="1">IF(OR($C171="S",$C171=0),0,MATCH(OFFSET($D171,0,$C171)+IF($C171&lt;&gt;1,1,COUNTIF(QCI!$A$13:$A$15,ORÇAMENTO!E171)),OFFSET($D171,1,$C171,ROW($C$508)-ROW($C171)),0))</f>
        <v>0</v>
      </c>
      <c r="L171" s="114" t="str">
        <f t="shared" ca="1" si="47"/>
        <v>F</v>
      </c>
      <c r="M171" s="115" t="s">
        <v>705</v>
      </c>
      <c r="N171" s="116" t="str">
        <f t="shared" ca="1" si="48"/>
        <v>Serviço</v>
      </c>
      <c r="O171" s="117" t="str">
        <f t="shared" ca="1" si="49"/>
        <v>1.5.5.2.12.</v>
      </c>
      <c r="P171" s="118" t="s">
        <v>958</v>
      </c>
      <c r="Q171" s="119" t="s">
        <v>1013</v>
      </c>
      <c r="R171" s="120" t="str">
        <f ca="1">IF($C171="S",REFERENCIA.Descricao,"(digite a descrição aqui)")</f>
        <v>TAXA ATERRO SANITÁRIO</v>
      </c>
      <c r="S171" s="121" t="str">
        <f ca="1">REFERENCIA.Unidade</f>
        <v>T</v>
      </c>
      <c r="T171" s="122">
        <f ca="1">OFFSET(CÁLCULO!H$15,ROW($T171)-ROW(T$15),0)</f>
        <v>7.78</v>
      </c>
      <c r="U171" s="123">
        <f ca="1">AG171</f>
        <v>65.19</v>
      </c>
      <c r="V171" s="124" t="s">
        <v>663</v>
      </c>
      <c r="W171" s="122">
        <f ca="1">IF($C171="S",ROUND(IF(TIPOORCAMENTO="Proposto",ORÇAMENTO.CustoUnitario*(1+$AH171),ORÇAMENTO.PrecoUnitarioLicitado),15-13*$AF$10),0)</f>
        <v>80.510000000000005</v>
      </c>
      <c r="X171" s="125" cm="1">
        <f t="array" aca="1" ref="X171" ca="1">IF($C171="S",IF(OR(Import.TipoArredondamento&lt;&gt;"TransfereGOV",ACOMPANHAMENTO="BM"),VTOTAL1,SUM(OFFSET(CÁLCULO!$AI$15,ROW($X171)-ROW($X$15),1):OFFSET(CÁLCULO!$BB$15,ROW($X171)-ROW($X$15),-1))),IF($C171=0,0,ROUND(SomaAgrup,15-13*$AF$11)))</f>
        <v>626.37</v>
      </c>
      <c r="Y171" s="126" t="s">
        <v>751</v>
      </c>
      <c r="Z171" t="str">
        <f t="shared" ca="1" si="50"/>
        <v>RA</v>
      </c>
      <c r="AA171" s="127">
        <f ca="1">IF($C171="S",IF($Z171="CP",$X171,IF($Z171="RA",(($X171)*QCI!$AA$3),0)),SomaAgrup)</f>
        <v>0</v>
      </c>
      <c r="AB171" s="128">
        <f t="shared" ca="1" si="51"/>
        <v>0</v>
      </c>
      <c r="AC171" s="565" t="str" cm="1">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IF(AND(_xlfn.SINGLE(TIPOORCAMENTO)="Licitado",$AL171=0,$AN171&gt;0),"SEM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t="str">
        <f ca="1">IF(C171&lt;=CRONO.NivelExibicao,MAX($AD$15:OFFSET(AD171,-1,0))+IF($C171&lt;&gt;1,1,MAX(1,COUNTIF(QCI!$A$13:$A$15,OFFSET($E171,-1,0)))),"")</f>
        <v/>
      </c>
      <c r="AE171" s="7" t="str">
        <f ca="1">IF(AND($C171="S",ORÇAMENTO.CodBarra&lt;&gt;""),IF(ORÇAMENTO.Fonte="",ORÇAMENTO.CodBarra,CONCATENATE(ORÇAMENTO.Fonte," ",ORÇAMENTO.CodBarra)))</f>
        <v>Cotação COT-072</v>
      </c>
      <c r="AF171" s="12">
        <f ca="1">IF(ISERROR(INDIRECT(ORÇAMENTO.BancoRef)),"(abra o arquivo 'Referência "&amp;Excel_BuiltIn_Database&amp;".xlsm)",IF(OR($C171&lt;&gt;"S",ORÇAMENTO.CodBarra=""),"(Sem Código)",IF(ISERROR(MATCH($AE171,INDIRECT(ORÇAMENTO.BancoRef),0)),"(Código não identificado nas referências)",MATCH($AE171,INDIRECT(ORÇAMENTO.BancoRef),0))))</f>
        <v>138</v>
      </c>
      <c r="AG171" s="428">
        <f ca="1">ROUND(IF(DESONERACAO="sim",REFERENCIA.Desonerado,REFERENCIA.NaoDesonerado),2)</f>
        <v>65.19</v>
      </c>
      <c r="AH171" s="429">
        <f t="shared" ca="1" si="52"/>
        <v>0.23499999999999999</v>
      </c>
      <c r="AJ171" s="431">
        <f>ROUND(AJ169*1.36,2)</f>
        <v>7.78</v>
      </c>
      <c r="AL171" s="439"/>
      <c r="AM171" s="336">
        <f t="shared" ca="1" si="0"/>
        <v>626.37</v>
      </c>
      <c r="AN171" s="470">
        <f t="shared" ca="1" si="53"/>
        <v>80.510000000000005</v>
      </c>
    </row>
    <row r="172" spans="1:40" ht="25.5" x14ac:dyDescent="0.2">
      <c r="A172" t="str">
        <f t="shared" si="39"/>
        <v>S</v>
      </c>
      <c r="B172">
        <f t="shared" ca="1" si="40"/>
        <v>4</v>
      </c>
      <c r="C172" t="str">
        <f t="shared" ca="1" si="41"/>
        <v>S</v>
      </c>
      <c r="D172">
        <f t="shared" ca="1" si="42"/>
        <v>0</v>
      </c>
      <c r="E172">
        <f ca="1">IF($C172=1,OFFSET(E172,-1,0)+MAX(1,COUNTIF(QCI!$A$13:$A$15,OFFSET(ORÇAMENTO!E172,-1,0))),OFFSET(E172,-1,0))</f>
        <v>1</v>
      </c>
      <c r="F172">
        <f t="shared" ca="1" si="43"/>
        <v>5</v>
      </c>
      <c r="G172">
        <f t="shared" ca="1" si="44"/>
        <v>5</v>
      </c>
      <c r="H172">
        <f t="shared" ca="1" si="45"/>
        <v>2</v>
      </c>
      <c r="I172">
        <f t="shared" ca="1" si="46"/>
        <v>13</v>
      </c>
      <c r="J172">
        <f t="shared" ca="1" si="38"/>
        <v>0</v>
      </c>
      <c r="K172">
        <f ca="1">IF(OR($C172="S",$C172=0),0,MATCH(OFFSET($D172,0,$C172)+IF($C172&lt;&gt;1,1,COUNTIF(QCI!$A$13:$A$15,ORÇAMENTO!E172)),OFFSET($D172,1,$C172,ROW($C$508)-ROW($C172)),0))</f>
        <v>0</v>
      </c>
      <c r="L172" s="114" t="str">
        <f t="shared" ca="1" si="47"/>
        <v>F</v>
      </c>
      <c r="M172" s="115" t="s">
        <v>705</v>
      </c>
      <c r="N172" s="116" t="str">
        <f t="shared" ca="1" si="48"/>
        <v>Serviço</v>
      </c>
      <c r="O172" s="117" t="str">
        <f t="shared" ca="1" si="49"/>
        <v>1.5.5.2.13.</v>
      </c>
      <c r="P172" s="118" t="s">
        <v>750</v>
      </c>
      <c r="Q172" s="119" t="s">
        <v>1014</v>
      </c>
      <c r="R172" s="120" t="str">
        <f ca="1">IF($C172="S",REFERENCIA.Descricao,"(digite a descrição aqui)")</f>
        <v>ESPALHAMENTO DE MATERIAL COM TRATOR DE ESTEIRAS. AF_09/2024</v>
      </c>
      <c r="S172" s="121" t="str">
        <f ca="1">REFERENCIA.Unidade</f>
        <v>M3</v>
      </c>
      <c r="T172" s="122">
        <f ca="1">OFFSET(CÁLCULO!H$15,ROW($T172)-ROW(T$15),0)</f>
        <v>5.72</v>
      </c>
      <c r="U172" s="123">
        <f t="shared" ca="1" si="21"/>
        <v>1.49</v>
      </c>
      <c r="V172" s="124" t="s">
        <v>663</v>
      </c>
      <c r="W172" s="122">
        <f ca="1">IF($C172="S",ROUND(IF(TIPOORCAMENTO="Proposto",ORÇAMENTO.CustoUnitario*(1+$AH172),ORÇAMENTO.PrecoUnitarioLicitado),15-13*$AF$10),0)</f>
        <v>1.84</v>
      </c>
      <c r="X172" s="125" cm="1">
        <f t="array" aca="1" ref="X172" ca="1">IF($C172="S",IF(OR(Import.TipoArredondamento&lt;&gt;"TransfereGOV",ACOMPANHAMENTO="BM"),VTOTAL1,SUM(OFFSET(CÁLCULO!$AI$15,ROW($X172)-ROW($X$15),1):OFFSET(CÁLCULO!$BB$15,ROW($X172)-ROW($X$15),-1))),IF($C172=0,0,ROUND(SomaAgrup,15-13*$AF$11)))</f>
        <v>10.52</v>
      </c>
      <c r="Y172" s="126" t="s">
        <v>751</v>
      </c>
      <c r="Z172" t="str">
        <f t="shared" ca="1" si="50"/>
        <v>RA</v>
      </c>
      <c r="AA172" s="127">
        <f ca="1">IF($C172="S",IF($Z172="CP",$X172,IF($Z172="RA",(($X172)*QCI!$AA$3),0)),SomaAgrup)</f>
        <v>0</v>
      </c>
      <c r="AB172" s="128">
        <f t="shared" ca="1" si="51"/>
        <v>0</v>
      </c>
      <c r="AC172" s="565" t="str" cm="1">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IF(AND(_xlfn.SINGLE(TIPOORCAMENTO)="Licitado",$AL172=0,$AN172&gt;0),"SEM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t="str">
        <f ca="1">IF(C172&lt;=CRONO.NivelExibicao,MAX($AD$15:OFFSET(AD172,-1,0))+IF($C172&lt;&gt;1,1,MAX(1,COUNTIF(QCI!$A$13:$A$15,OFFSET($E172,-1,0)))),"")</f>
        <v/>
      </c>
      <c r="AE172" s="7" t="str">
        <f ca="1">IF(AND($C172="S",ORÇAMENTO.CodBarra&lt;&gt;""),IF(ORÇAMENTO.Fonte="",ORÇAMENTO.CodBarra,CONCATENATE(ORÇAMENTO.Fonte," ",ORÇAMENTO.CodBarra)))</f>
        <v>SINAPI 100574</v>
      </c>
      <c r="AF172" s="12">
        <f ca="1">IF(ISERROR(INDIRECT(ORÇAMENTO.BancoRef)),"(abra o arquivo 'Referência "&amp;Excel_BuiltIn_Database&amp;".xlsm)",IF(OR($C172&lt;&gt;"S",ORÇAMENTO.CodBarra=""),"(Sem Código)",IF(ISERROR(MATCH($AE172,INDIRECT(ORÇAMENTO.BancoRef),0)),"(Código não identificado nas referências)",MATCH($AE172,INDIRECT(ORÇAMENTO.BancoRef),0))))</f>
        <v>6916</v>
      </c>
      <c r="AG172" s="428">
        <f ca="1">ROUND(IF(DESONERACAO="sim",REFERENCIA.Desonerado,REFERENCIA.NaoDesonerado),2)</f>
        <v>1.49</v>
      </c>
      <c r="AH172" s="429">
        <f t="shared" ca="1" si="52"/>
        <v>0.23499999999999999</v>
      </c>
      <c r="AJ172" s="431">
        <f>AJ169</f>
        <v>5.72</v>
      </c>
      <c r="AL172" s="439"/>
      <c r="AM172" s="336">
        <f t="shared" ca="1" si="0"/>
        <v>10.52</v>
      </c>
      <c r="AN172" s="470">
        <f t="shared" ca="1" si="53"/>
        <v>1.84</v>
      </c>
    </row>
    <row r="173" spans="1:40" x14ac:dyDescent="0.2">
      <c r="A173">
        <f t="shared" si="39"/>
        <v>4</v>
      </c>
      <c r="B173">
        <f t="shared" ca="1" si="40"/>
        <v>4</v>
      </c>
      <c r="C173">
        <f t="shared" ca="1" si="41"/>
        <v>4</v>
      </c>
      <c r="D173">
        <f t="shared" ca="1" si="42"/>
        <v>15</v>
      </c>
      <c r="E173">
        <f ca="1">IF($C173=1,OFFSET(E173,-1,0)+MAX(1,COUNTIF(QCI!$A$13:$A$15,OFFSET(ORÇAMENTO!E173,-1,0))),OFFSET(E173,-1,0))</f>
        <v>1</v>
      </c>
      <c r="F173">
        <f t="shared" ca="1" si="43"/>
        <v>5</v>
      </c>
      <c r="G173">
        <f t="shared" ca="1" si="44"/>
        <v>5</v>
      </c>
      <c r="H173">
        <f t="shared" ca="1" si="45"/>
        <v>3</v>
      </c>
      <c r="I173">
        <f t="shared" ca="1" si="46"/>
        <v>0</v>
      </c>
      <c r="J173">
        <f t="shared" ca="1" si="38"/>
        <v>34</v>
      </c>
      <c r="K173">
        <f ca="1">IF(OR($C173="S",$C173=0),0,MATCH(OFFSET($D173,0,$C173)+IF($C173&lt;&gt;1,1,COUNTIF(QCI!$A$13:$A$15,ORÇAMENTO!E173)),OFFSET($D173,1,$C173,ROW($C$508)-ROW($C173)),0))</f>
        <v>15</v>
      </c>
      <c r="L173" s="114" t="str">
        <f t="shared" ca="1" si="47"/>
        <v>F</v>
      </c>
      <c r="M173" s="115" t="s">
        <v>704</v>
      </c>
      <c r="N173" s="116" t="str">
        <f t="shared" ca="1" si="48"/>
        <v>Nível 4</v>
      </c>
      <c r="O173" s="117" t="str">
        <f t="shared" ca="1" si="49"/>
        <v>1.5.5.3.</v>
      </c>
      <c r="P173" s="118" t="s">
        <v>750</v>
      </c>
      <c r="Q173" s="119"/>
      <c r="R173" s="120" t="s">
        <v>1229</v>
      </c>
      <c r="S173" s="121" t="s">
        <v>688</v>
      </c>
      <c r="T173" s="122">
        <f ca="1">OFFSET(CÁLCULO!H$15,ROW($T173)-ROW(T$15),0)</f>
        <v>0</v>
      </c>
      <c r="U173" s="123">
        <f t="shared" ca="1" si="21"/>
        <v>0</v>
      </c>
      <c r="V173" s="124" t="s">
        <v>663</v>
      </c>
      <c r="W173" s="122">
        <f ca="1">IF($C173="S",ROUND(IF(TIPOORCAMENTO="Proposto",ORÇAMENTO.CustoUnitario*(1+$AH173),ORÇAMENTO.PrecoUnitarioLicitado),15-13*$AF$10),0)</f>
        <v>0</v>
      </c>
      <c r="X173" s="125" cm="1">
        <f t="array" aca="1" ref="X173" ca="1">IF($C173="S",IF(OR(Import.TipoArredondamento&lt;&gt;"TransfereGOV",ACOMPANHAMENTO="BM"),VTOTAL1,SUM(OFFSET(CÁLCULO!$AI$15,ROW($X173)-ROW($X$15),1):OFFSET(CÁLCULO!$BB$15,ROW($X173)-ROW($X$15),-1))),IF($C173=0,0,ROUND(SomaAgrup,15-13*$AF$11)))</f>
        <v>3708.06</v>
      </c>
      <c r="Y173" s="126" t="s">
        <v>751</v>
      </c>
      <c r="Z173" t="str">
        <f t="shared" ca="1" si="50"/>
        <v/>
      </c>
      <c r="AA173" s="127">
        <f ca="1">IF($C173="S",IF($Z173="CP",$X173,IF($Z173="RA",(($X173)*QCI!$AA$3),0)),SomaAgrup)</f>
        <v>0</v>
      </c>
      <c r="AB173" s="128">
        <f t="shared" ca="1" si="51"/>
        <v>0</v>
      </c>
      <c r="AC173" s="565" t="str" cm="1">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IF(AND(_xlfn.SINGLE(TIPOORCAMENTO)="Licitado",$AL173=0,$AN173&gt;0),"SEM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t="str">
        <f ca="1">IF(C173&lt;=CRONO.NivelExibicao,MAX($AD$15:OFFSET(AD173,-1,0))+IF($C173&lt;&gt;1,1,MAX(1,COUNTIF(QCI!$A$13:$A$15,OFFSET($E173,-1,0)))),"")</f>
        <v/>
      </c>
      <c r="AE173" s="7" t="b">
        <f ca="1">IF(AND($C173="S",ORÇAMENTO.CodBarra&lt;&gt;""),IF(ORÇAMENTO.Fonte="",ORÇAMENTO.CodBarra,CONCATENATE(ORÇAMENTO.Fonte," ",ORÇAMENTO.CodBarra)))</f>
        <v>0</v>
      </c>
      <c r="AF173" s="12" t="str">
        <f ca="1">IF(ISERROR(INDIRECT(ORÇAMENTO.BancoRef)),"(abra o arquivo 'Referência "&amp;Excel_BuiltIn_Database&amp;".xlsm)",IF(OR($C173&lt;&gt;"S",ORÇAMENTO.CodBarra=""),"(Sem Código)",IF(ISERROR(MATCH($AE173,INDIRECT(ORÇAMENTO.BancoRef),0)),"(Código não identificado nas referências)",MATCH($AE173,INDIRECT(ORÇAMENTO.BancoRef),0))))</f>
        <v>(Sem Código)</v>
      </c>
      <c r="AG173" s="428">
        <f ca="1">ROUND(IF(DESONERACAO="sim",REFERENCIA.Desonerado,REFERENCIA.NaoDesonerado),2)</f>
        <v>0</v>
      </c>
      <c r="AH173" s="429">
        <f t="shared" ca="1" si="52"/>
        <v>0.23499999999999999</v>
      </c>
      <c r="AJ173" s="431"/>
      <c r="AL173" s="439"/>
      <c r="AM173" s="336">
        <f t="shared" ca="1" si="0"/>
        <v>3708.06</v>
      </c>
      <c r="AN173" s="470">
        <f t="shared" ca="1" si="53"/>
        <v>0</v>
      </c>
    </row>
    <row r="174" spans="1:40" ht="25.5" x14ac:dyDescent="0.2">
      <c r="A174" t="str">
        <f t="shared" si="39"/>
        <v>S</v>
      </c>
      <c r="B174">
        <f t="shared" ca="1" si="40"/>
        <v>4</v>
      </c>
      <c r="C174" t="str">
        <f t="shared" ca="1" si="41"/>
        <v>S</v>
      </c>
      <c r="D174">
        <f t="shared" ca="1" si="42"/>
        <v>0</v>
      </c>
      <c r="E174">
        <f ca="1">IF($C174=1,OFFSET(E174,-1,0)+MAX(1,COUNTIF(QCI!$A$13:$A$15,OFFSET(ORÇAMENTO!E174,-1,0))),OFFSET(E174,-1,0))</f>
        <v>1</v>
      </c>
      <c r="F174">
        <f t="shared" ca="1" si="43"/>
        <v>5</v>
      </c>
      <c r="G174">
        <f t="shared" ca="1" si="44"/>
        <v>5</v>
      </c>
      <c r="H174">
        <f t="shared" ca="1" si="45"/>
        <v>3</v>
      </c>
      <c r="I174">
        <f t="shared" ca="1" si="46"/>
        <v>1</v>
      </c>
      <c r="J174">
        <f t="shared" ca="1" si="38"/>
        <v>0</v>
      </c>
      <c r="K174">
        <f ca="1">IF(OR($C174="S",$C174=0),0,MATCH(OFFSET($D174,0,$C174)+IF($C174&lt;&gt;1,1,COUNTIF(QCI!$A$13:$A$15,ORÇAMENTO!E174)),OFFSET($D174,1,$C174,ROW($C$508)-ROW($C174)),0))</f>
        <v>0</v>
      </c>
      <c r="L174" s="114" t="str">
        <f t="shared" ca="1" si="47"/>
        <v>F</v>
      </c>
      <c r="M174" s="115" t="s">
        <v>705</v>
      </c>
      <c r="N174" s="116" t="str">
        <f t="shared" ca="1" si="48"/>
        <v>Serviço</v>
      </c>
      <c r="O174" s="117" t="str">
        <f t="shared" ca="1" si="49"/>
        <v>1.5.5.3.1.</v>
      </c>
      <c r="P174" s="118" t="s">
        <v>1280</v>
      </c>
      <c r="Q174" s="119" t="s">
        <v>1038</v>
      </c>
      <c r="R174" s="120" t="str">
        <f ca="1">IF($C174="S",REFERENCIA.Descricao,"(digite a descrição aqui)")</f>
        <v>ESCAVAÇÃO MANUAL DE VALA COM PROFUNDIDADE MENOR OU IGUAL A 1,5M, INCLUSIVE DESCARGA LATERAL</v>
      </c>
      <c r="S174" s="121" t="str">
        <f ca="1">REFERENCIA.Unidade</f>
        <v>M3</v>
      </c>
      <c r="T174" s="122">
        <f ca="1">OFFSET(CÁLCULO!H$15,ROW($T174)-ROW(T$15),0)</f>
        <v>5.72</v>
      </c>
      <c r="U174" s="123">
        <f t="shared" ca="1" si="21"/>
        <v>77.290000000000006</v>
      </c>
      <c r="V174" s="124" t="s">
        <v>663</v>
      </c>
      <c r="W174" s="122">
        <f ca="1">IF($C174="S",ROUND(IF(TIPOORCAMENTO="Proposto",ORÇAMENTO.CustoUnitario*(1+$AH174),ORÇAMENTO.PrecoUnitarioLicitado),15-13*$AF$10),0)</f>
        <v>95.45</v>
      </c>
      <c r="X174" s="125" cm="1">
        <f t="array" aca="1" ref="X174" ca="1">IF($C174="S",IF(OR(Import.TipoArredondamento&lt;&gt;"TransfereGOV",ACOMPANHAMENTO="BM"),VTOTAL1,SUM(OFFSET(CÁLCULO!$AI$15,ROW($X174)-ROW($X$15),1):OFFSET(CÁLCULO!$BB$15,ROW($X174)-ROW($X$15),-1))),IF($C174=0,0,ROUND(SomaAgrup,15-13*$AF$11)))</f>
        <v>545.97</v>
      </c>
      <c r="Y174" s="126" t="s">
        <v>751</v>
      </c>
      <c r="Z174" t="str">
        <f t="shared" ca="1" si="50"/>
        <v>RA</v>
      </c>
      <c r="AA174" s="127">
        <f ca="1">IF($C174="S",IF($Z174="CP",$X174,IF($Z174="RA",(($X174)*QCI!$AA$3),0)),SomaAgrup)</f>
        <v>0</v>
      </c>
      <c r="AB174" s="128">
        <f t="shared" ca="1" si="51"/>
        <v>0</v>
      </c>
      <c r="AC174" s="565" t="str" cm="1">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IF(AND(_xlfn.SINGLE(TIPOORCAMENTO)="Licitado",$AL174=0,$AN174&gt;0),"SEM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t="str">
        <f ca="1">IF(C174&lt;=CRONO.NivelExibicao,MAX($AD$15:OFFSET(AD174,-1,0))+IF($C174&lt;&gt;1,1,MAX(1,COUNTIF(QCI!$A$13:$A$15,OFFSET($E174,-1,0)))),"")</f>
        <v/>
      </c>
      <c r="AE174" s="7" t="str">
        <f ca="1">IF(AND($C174="S",ORÇAMENTO.CodBarra&lt;&gt;""),IF(ORÇAMENTO.Fonte="",ORÇAMENTO.CodBarra,CONCATENATE(ORÇAMENTO.Fonte," ",ORÇAMENTO.CodBarra)))</f>
        <v>SETOP ED-51107</v>
      </c>
      <c r="AF174" s="12">
        <f ca="1">IF(ISERROR(INDIRECT(ORÇAMENTO.BancoRef)),"(abra o arquivo 'Referência "&amp;Excel_BuiltIn_Database&amp;".xlsm)",IF(OR($C174&lt;&gt;"S",ORÇAMENTO.CodBarra=""),"(Sem Código)",IF(ISERROR(MATCH($AE174,INDIRECT(ORÇAMENTO.BancoRef),0)),"(Código não identificado nas referências)",MATCH($AE174,INDIRECT(ORÇAMENTO.BancoRef),0))))</f>
        <v>27964</v>
      </c>
      <c r="AG174" s="428">
        <f ca="1">ROUND(IF(DESONERACAO="sim",REFERENCIA.Desonerado,REFERENCIA.NaoDesonerado),2)</f>
        <v>77.290000000000006</v>
      </c>
      <c r="AH174" s="429">
        <f t="shared" ca="1" si="52"/>
        <v>0.23499999999999999</v>
      </c>
      <c r="AJ174" s="431">
        <v>5.72</v>
      </c>
      <c r="AL174" s="439"/>
      <c r="AM174" s="336">
        <f t="shared" ca="1" si="0"/>
        <v>545.97</v>
      </c>
      <c r="AN174" s="470">
        <f t="shared" ca="1" si="53"/>
        <v>95.45</v>
      </c>
    </row>
    <row r="175" spans="1:40" ht="25.5" x14ac:dyDescent="0.2">
      <c r="A175" t="str">
        <f t="shared" si="39"/>
        <v>S</v>
      </c>
      <c r="B175">
        <f t="shared" ca="1" si="40"/>
        <v>4</v>
      </c>
      <c r="C175" t="str">
        <f t="shared" ca="1" si="41"/>
        <v>S</v>
      </c>
      <c r="D175">
        <f t="shared" ca="1" si="42"/>
        <v>0</v>
      </c>
      <c r="E175">
        <f ca="1">IF($C175=1,OFFSET(E175,-1,0)+MAX(1,COUNTIF(QCI!$A$13:$A$15,OFFSET(ORÇAMENTO!E175,-1,0))),OFFSET(E175,-1,0))</f>
        <v>1</v>
      </c>
      <c r="F175">
        <f t="shared" ca="1" si="43"/>
        <v>5</v>
      </c>
      <c r="G175">
        <f t="shared" ca="1" si="44"/>
        <v>5</v>
      </c>
      <c r="H175">
        <f t="shared" ca="1" si="45"/>
        <v>3</v>
      </c>
      <c r="I175">
        <f t="shared" ca="1" si="46"/>
        <v>2</v>
      </c>
      <c r="J175">
        <f t="shared" ca="1" si="38"/>
        <v>0</v>
      </c>
      <c r="K175">
        <f ca="1">IF(OR($C175="S",$C175=0),0,MATCH(OFFSET($D175,0,$C175)+IF($C175&lt;&gt;1,1,COUNTIF(QCI!$A$13:$A$15,ORÇAMENTO!E175)),OFFSET($D175,1,$C175,ROW($C$508)-ROW($C175)),0))</f>
        <v>0</v>
      </c>
      <c r="L175" s="114" t="str">
        <f t="shared" ca="1" si="47"/>
        <v>F</v>
      </c>
      <c r="M175" s="115" t="s">
        <v>705</v>
      </c>
      <c r="N175" s="116" t="str">
        <f t="shared" ca="1" si="48"/>
        <v>Serviço</v>
      </c>
      <c r="O175" s="117" t="str">
        <f t="shared" ca="1" si="49"/>
        <v>1.5.5.3.2.</v>
      </c>
      <c r="P175" s="118" t="s">
        <v>750</v>
      </c>
      <c r="Q175" s="119" t="s">
        <v>1036</v>
      </c>
      <c r="R175" s="120" t="str">
        <f ca="1">IF($C175="S",REFERENCIA.Descricao,"(digite a descrição aqui)")</f>
        <v>PREPARO DE FUNDO DE VALA COM LARGURA MENOR QUE 1,5 M (ACERTO DO SOLO NATURAL). AF_08/2020</v>
      </c>
      <c r="S175" s="121" t="str">
        <f ca="1">REFERENCIA.Unidade</f>
        <v>M2</v>
      </c>
      <c r="T175" s="122">
        <f ca="1">OFFSET(CÁLCULO!H$15,ROW($T175)-ROW(T$15),0)</f>
        <v>8.17</v>
      </c>
      <c r="U175" s="123">
        <f t="shared" ca="1" si="21"/>
        <v>6.93</v>
      </c>
      <c r="V175" s="124" t="s">
        <v>663</v>
      </c>
      <c r="W175" s="122">
        <f ca="1">IF($C175="S",ROUND(IF(TIPOORCAMENTO="Proposto",ORÇAMENTO.CustoUnitario*(1+$AH175),ORÇAMENTO.PrecoUnitarioLicitado),15-13*$AF$10),0)</f>
        <v>8.56</v>
      </c>
      <c r="X175" s="125" cm="1">
        <f t="array" aca="1" ref="X175" ca="1">IF($C175="S",IF(OR(Import.TipoArredondamento&lt;&gt;"TransfereGOV",ACOMPANHAMENTO="BM"),VTOTAL1,SUM(OFFSET(CÁLCULO!$AI$15,ROW($X175)-ROW($X$15),1):OFFSET(CÁLCULO!$BB$15,ROW($X175)-ROW($X$15),-1))),IF($C175=0,0,ROUND(SomaAgrup,15-13*$AF$11)))</f>
        <v>69.94</v>
      </c>
      <c r="Y175" s="126" t="s">
        <v>751</v>
      </c>
      <c r="Z175" t="str">
        <f t="shared" ca="1" si="50"/>
        <v>RA</v>
      </c>
      <c r="AA175" s="127">
        <f ca="1">IF($C175="S",IF($Z175="CP",$X175,IF($Z175="RA",(($X175)*QCI!$AA$3),0)),SomaAgrup)</f>
        <v>0</v>
      </c>
      <c r="AB175" s="128">
        <f t="shared" ca="1" si="51"/>
        <v>0</v>
      </c>
      <c r="AC175" s="565" t="str" cm="1">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IF(AND(_xlfn.SINGLE(TIPOORCAMENTO)="Licitado",$AL175=0,$AN175&gt;0),"SEM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t="str">
        <f ca="1">IF(C175&lt;=CRONO.NivelExibicao,MAX($AD$15:OFFSET(AD175,-1,0))+IF($C175&lt;&gt;1,1,MAX(1,COUNTIF(QCI!$A$13:$A$15,OFFSET($E175,-1,0)))),"")</f>
        <v/>
      </c>
      <c r="AE175" s="7" t="str">
        <f ca="1">IF(AND($C175="S",ORÇAMENTO.CodBarra&lt;&gt;""),IF(ORÇAMENTO.Fonte="",ORÇAMENTO.CodBarra,CONCATENATE(ORÇAMENTO.Fonte," ",ORÇAMENTO.CodBarra)))</f>
        <v>SINAPI 101616</v>
      </c>
      <c r="AF175" s="12">
        <f ca="1">IF(ISERROR(INDIRECT(ORÇAMENTO.BancoRef)),"(abra o arquivo 'Referência "&amp;Excel_BuiltIn_Database&amp;".xlsm)",IF(OR($C175&lt;&gt;"S",ORÇAMENTO.CodBarra=""),"(Sem Código)",IF(ISERROR(MATCH($AE175,INDIRECT(ORÇAMENTO.BancoRef),0)),"(Código não identificado nas referências)",MATCH($AE175,INDIRECT(ORÇAMENTO.BancoRef),0))))</f>
        <v>9424</v>
      </c>
      <c r="AG175" s="428">
        <f ca="1">ROUND(IF(DESONERACAO="sim",REFERENCIA.Desonerado,REFERENCIA.NaoDesonerado),2)</f>
        <v>6.93</v>
      </c>
      <c r="AH175" s="429">
        <f t="shared" ca="1" si="52"/>
        <v>0.23499999999999999</v>
      </c>
      <c r="AJ175" s="431">
        <v>8.17</v>
      </c>
      <c r="AL175" s="439"/>
      <c r="AM175" s="336">
        <f t="shared" ca="1" si="0"/>
        <v>69.94</v>
      </c>
      <c r="AN175" s="470">
        <f t="shared" ca="1" si="53"/>
        <v>8.56</v>
      </c>
    </row>
    <row r="176" spans="1:40" ht="25.5" x14ac:dyDescent="0.2">
      <c r="A176" t="str">
        <f t="shared" si="39"/>
        <v>S</v>
      </c>
      <c r="B176">
        <f t="shared" ca="1" si="40"/>
        <v>4</v>
      </c>
      <c r="C176" t="str">
        <f t="shared" ca="1" si="41"/>
        <v>S</v>
      </c>
      <c r="D176">
        <f t="shared" ca="1" si="42"/>
        <v>0</v>
      </c>
      <c r="E176">
        <f ca="1">IF($C176=1,OFFSET(E176,-1,0)+MAX(1,COUNTIF(QCI!$A$13:$A$15,OFFSET(ORÇAMENTO!E176,-1,0))),OFFSET(E176,-1,0))</f>
        <v>1</v>
      </c>
      <c r="F176">
        <f t="shared" ca="1" si="43"/>
        <v>5</v>
      </c>
      <c r="G176">
        <f t="shared" ca="1" si="44"/>
        <v>5</v>
      </c>
      <c r="H176">
        <f t="shared" ca="1" si="45"/>
        <v>3</v>
      </c>
      <c r="I176">
        <f t="shared" ca="1" si="46"/>
        <v>3</v>
      </c>
      <c r="J176">
        <f t="shared" ca="1" si="38"/>
        <v>0</v>
      </c>
      <c r="K176">
        <f ca="1">IF(OR($C176="S",$C176=0),0,MATCH(OFFSET($D176,0,$C176)+IF($C176&lt;&gt;1,1,COUNTIF(QCI!$A$13:$A$15,ORÇAMENTO!E176)),OFFSET($D176,1,$C176,ROW($C$508)-ROW($C176)),0))</f>
        <v>0</v>
      </c>
      <c r="L176" s="114" t="str">
        <f t="shared" ca="1" si="47"/>
        <v>F</v>
      </c>
      <c r="M176" s="115" t="s">
        <v>705</v>
      </c>
      <c r="N176" s="116" t="str">
        <f t="shared" ca="1" si="48"/>
        <v>Serviço</v>
      </c>
      <c r="O176" s="117" t="str">
        <f t="shared" ca="1" si="49"/>
        <v>1.5.5.3.3.</v>
      </c>
      <c r="P176" s="118" t="s">
        <v>956</v>
      </c>
      <c r="Q176" s="119" t="s">
        <v>1024</v>
      </c>
      <c r="R176" s="120" t="str">
        <f ca="1">IF($C176="S",REFERENCIA.Descricao,"(digite a descrição aqui)")</f>
        <v>FÔRMAS DE COMPENSADO RESINADO 10 MM - USO GERAL - UTILIZAÇÃO DE 3 VEZES - CONFECÇÃO, INSTALAÇÃO E RETIRADA</v>
      </c>
      <c r="S176" s="121" t="str">
        <f ca="1">REFERENCIA.Unidade</f>
        <v>M2</v>
      </c>
      <c r="T176" s="122">
        <f ca="1">OFFSET(CÁLCULO!H$15,ROW($T176)-ROW(T$15),0)</f>
        <v>9.61</v>
      </c>
      <c r="U176" s="123">
        <f t="shared" ca="1" si="21"/>
        <v>71.66</v>
      </c>
      <c r="V176" s="124" t="s">
        <v>663</v>
      </c>
      <c r="W176" s="122">
        <f ca="1">IF($C176="S",ROUND(IF(TIPOORCAMENTO="Proposto",ORÇAMENTO.CustoUnitario*(1+$AH176),ORÇAMENTO.PrecoUnitarioLicitado),15-13*$AF$10),0)</f>
        <v>88.5</v>
      </c>
      <c r="X176" s="125" cm="1">
        <f t="array" aca="1" ref="X176" ca="1">IF($C176="S",IF(OR(Import.TipoArredondamento&lt;&gt;"TransfereGOV",ACOMPANHAMENTO="BM"),VTOTAL1,SUM(OFFSET(CÁLCULO!$AI$15,ROW($X176)-ROW($X$15),1):OFFSET(CÁLCULO!$BB$15,ROW($X176)-ROW($X$15),-1))),IF($C176=0,0,ROUND(SomaAgrup,15-13*$AF$11)))</f>
        <v>850.49</v>
      </c>
      <c r="Y176" s="126" t="s">
        <v>751</v>
      </c>
      <c r="Z176" t="str">
        <f t="shared" ca="1" si="50"/>
        <v>RA</v>
      </c>
      <c r="AA176" s="127">
        <f ca="1">IF($C176="S",IF($Z176="CP",$X176,IF($Z176="RA",(($X176)*QCI!$AA$3),0)),SomaAgrup)</f>
        <v>0</v>
      </c>
      <c r="AB176" s="128">
        <f t="shared" ca="1" si="51"/>
        <v>0</v>
      </c>
      <c r="AC176" s="565" t="str" cm="1">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IF(AND(_xlfn.SINGLE(TIPOORCAMENTO)="Licitado",$AL176=0,$AN176&gt;0),"SEM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t="str">
        <f ca="1">IF(C176&lt;=CRONO.NivelExibicao,MAX($AD$15:OFFSET(AD176,-1,0))+IF($C176&lt;&gt;1,1,MAX(1,COUNTIF(QCI!$A$13:$A$15,OFFSET($E176,-1,0)))),"")</f>
        <v/>
      </c>
      <c r="AE176" s="7" t="str">
        <f ca="1">IF(AND($C176="S",ORÇAMENTO.CodBarra&lt;&gt;""),IF(ORÇAMENTO.Fonte="",ORÇAMENTO.CodBarra,CONCATENATE(ORÇAMENTO.Fonte," ",ORÇAMENTO.CodBarra)))</f>
        <v>SICRO 3107997</v>
      </c>
      <c r="AF176" s="12">
        <f ca="1">IF(ISERROR(INDIRECT(ORÇAMENTO.BancoRef)),"(abra o arquivo 'Referência "&amp;Excel_BuiltIn_Database&amp;".xlsm)",IF(OR($C176&lt;&gt;"S",ORÇAMENTO.CodBarra=""),"(Sem Código)",IF(ISERROR(MATCH($AE176,INDIRECT(ORÇAMENTO.BancoRef),0)),"(Código não identificado nas referências)",MATCH($AE176,INDIRECT(ORÇAMENTO.BancoRef),0))))</f>
        <v>19900</v>
      </c>
      <c r="AG176" s="428">
        <f ca="1">ROUND(IF(DESONERACAO="sim",REFERENCIA.Desonerado,REFERENCIA.NaoDesonerado),2)</f>
        <v>71.66</v>
      </c>
      <c r="AH176" s="429">
        <f t="shared" ca="1" si="52"/>
        <v>0.23499999999999999</v>
      </c>
      <c r="AJ176" s="431">
        <v>9.61</v>
      </c>
      <c r="AL176" s="439"/>
      <c r="AM176" s="336">
        <f t="shared" ca="1" si="0"/>
        <v>850.49</v>
      </c>
      <c r="AN176" s="470">
        <f t="shared" ca="1" si="53"/>
        <v>88.5</v>
      </c>
    </row>
    <row r="177" spans="1:40" ht="25.5" x14ac:dyDescent="0.2">
      <c r="A177" t="str">
        <f t="shared" si="39"/>
        <v>S</v>
      </c>
      <c r="B177">
        <f t="shared" ca="1" si="40"/>
        <v>4</v>
      </c>
      <c r="C177" t="str">
        <f t="shared" ca="1" si="41"/>
        <v>S</v>
      </c>
      <c r="D177">
        <f t="shared" ca="1" si="42"/>
        <v>0</v>
      </c>
      <c r="E177">
        <f ca="1">IF($C177=1,OFFSET(E177,-1,0)+MAX(1,COUNTIF(QCI!$A$13:$A$15,OFFSET(ORÇAMENTO!E177,-1,0))),OFFSET(E177,-1,0))</f>
        <v>1</v>
      </c>
      <c r="F177">
        <f t="shared" ca="1" si="43"/>
        <v>5</v>
      </c>
      <c r="G177">
        <f t="shared" ca="1" si="44"/>
        <v>5</v>
      </c>
      <c r="H177">
        <f t="shared" ca="1" si="45"/>
        <v>3</v>
      </c>
      <c r="I177">
        <f t="shared" ca="1" si="46"/>
        <v>4</v>
      </c>
      <c r="J177">
        <f t="shared" ca="1" si="38"/>
        <v>0</v>
      </c>
      <c r="K177">
        <f ca="1">IF(OR($C177="S",$C177=0),0,MATCH(OFFSET($D177,0,$C177)+IF($C177&lt;&gt;1,1,COUNTIF(QCI!$A$13:$A$15,ORÇAMENTO!E177)),OFFSET($D177,1,$C177,ROW($C$508)-ROW($C177)),0))</f>
        <v>0</v>
      </c>
      <c r="L177" s="114" t="str">
        <f t="shared" ca="1" si="47"/>
        <v>F</v>
      </c>
      <c r="M177" s="115" t="s">
        <v>705</v>
      </c>
      <c r="N177" s="116" t="str">
        <f t="shared" ca="1" si="48"/>
        <v>Serviço</v>
      </c>
      <c r="O177" s="117" t="str">
        <f t="shared" ca="1" si="49"/>
        <v>1.5.5.3.4.</v>
      </c>
      <c r="P177" s="118" t="s">
        <v>1280</v>
      </c>
      <c r="Q177" s="119" t="s">
        <v>1025</v>
      </c>
      <c r="R177" s="120" t="str">
        <f ca="1">IF($C177="S",REFERENCIA.Descricao,"(digite a descrição aqui)")</f>
        <v xml:space="preserve">LASTRO DE CONCRETO MAGRO, INCLUSIVE TRANSPORTE, LANÇAMENTO E ADENSAMENTO </v>
      </c>
      <c r="S177" s="121" t="str">
        <f ca="1">REFERENCIA.Unidade</f>
        <v>M3</v>
      </c>
      <c r="T177" s="122">
        <f ca="1">OFFSET(CÁLCULO!H$15,ROW($T177)-ROW(T$15),0)</f>
        <v>0.41</v>
      </c>
      <c r="U177" s="123">
        <f t="shared" ca="1" si="21"/>
        <v>589.23</v>
      </c>
      <c r="V177" s="124" t="s">
        <v>663</v>
      </c>
      <c r="W177" s="122">
        <f ca="1">IF($C177="S",ROUND(IF(TIPOORCAMENTO="Proposto",ORÇAMENTO.CustoUnitario*(1+$AH177),ORÇAMENTO.PrecoUnitarioLicitado),15-13*$AF$10),0)</f>
        <v>727.7</v>
      </c>
      <c r="X177" s="125" cm="1">
        <f t="array" aca="1" ref="X177" ca="1">IF($C177="S",IF(OR(Import.TipoArredondamento&lt;&gt;"TransfereGOV",ACOMPANHAMENTO="BM"),VTOTAL1,SUM(OFFSET(CÁLCULO!$AI$15,ROW($X177)-ROW($X$15),1):OFFSET(CÁLCULO!$BB$15,ROW($X177)-ROW($X$15),-1))),IF($C177=0,0,ROUND(SomaAgrup,15-13*$AF$11)))</f>
        <v>298.36</v>
      </c>
      <c r="Y177" s="126" t="s">
        <v>751</v>
      </c>
      <c r="Z177" t="str">
        <f t="shared" ca="1" si="50"/>
        <v>RA</v>
      </c>
      <c r="AA177" s="127">
        <f ca="1">IF($C177="S",IF($Z177="CP",$X177,IF($Z177="RA",(($X177)*QCI!$AA$3),0)),SomaAgrup)</f>
        <v>0</v>
      </c>
      <c r="AB177" s="128">
        <f t="shared" ca="1" si="51"/>
        <v>0</v>
      </c>
      <c r="AC177" s="565" t="str" cm="1">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IF(AND(_xlfn.SINGLE(TIPOORCAMENTO)="Licitado",$AL177=0,$AN177&gt;0),"SEM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t="str">
        <f ca="1">IF(C177&lt;=CRONO.NivelExibicao,MAX($AD$15:OFFSET(AD177,-1,0))+IF($C177&lt;&gt;1,1,MAX(1,COUNTIF(QCI!$A$13:$A$15,OFFSET($E177,-1,0)))),"")</f>
        <v/>
      </c>
      <c r="AE177" s="7" t="str">
        <f ca="1">IF(AND($C177="S",ORÇAMENTO.CodBarra&lt;&gt;""),IF(ORÇAMENTO.Fonte="",ORÇAMENTO.CodBarra,CONCATENATE(ORÇAMENTO.Fonte," ",ORÇAMENTO.CodBarra)))</f>
        <v>SETOP ED-49812</v>
      </c>
      <c r="AF177" s="12">
        <f ca="1">IF(ISERROR(INDIRECT(ORÇAMENTO.BancoRef)),"(abra o arquivo 'Referência "&amp;Excel_BuiltIn_Database&amp;".xlsm)",IF(OR($C177&lt;&gt;"S",ORÇAMENTO.CodBarra=""),"(Sem Código)",IF(ISERROR(MATCH($AE177,INDIRECT(ORÇAMENTO.BancoRef),0)),"(Código não identificado nas referências)",MATCH($AE177,INDIRECT(ORÇAMENTO.BancoRef),0))))</f>
        <v>28059</v>
      </c>
      <c r="AG177" s="428">
        <f ca="1">ROUND(IF(DESONERACAO="sim",REFERENCIA.Desonerado,REFERENCIA.NaoDesonerado),2)</f>
        <v>589.23</v>
      </c>
      <c r="AH177" s="429">
        <f t="shared" ca="1" si="52"/>
        <v>0.23499999999999999</v>
      </c>
      <c r="AJ177" s="431">
        <v>0.41</v>
      </c>
      <c r="AL177" s="439"/>
      <c r="AM177" s="336">
        <f t="shared" ca="1" si="0"/>
        <v>298.36</v>
      </c>
      <c r="AN177" s="470">
        <f t="shared" ca="1" si="53"/>
        <v>727.7</v>
      </c>
    </row>
    <row r="178" spans="1:40" x14ac:dyDescent="0.2">
      <c r="A178" t="str">
        <f t="shared" si="39"/>
        <v>S</v>
      </c>
      <c r="B178">
        <f t="shared" ca="1" si="40"/>
        <v>4</v>
      </c>
      <c r="C178" t="str">
        <f t="shared" ca="1" si="41"/>
        <v>S</v>
      </c>
      <c r="D178">
        <f t="shared" ca="1" si="42"/>
        <v>0</v>
      </c>
      <c r="E178">
        <f ca="1">IF($C178=1,OFFSET(E178,-1,0)+MAX(1,COUNTIF(QCI!$A$13:$A$15,OFFSET(ORÇAMENTO!E178,-1,0))),OFFSET(E178,-1,0))</f>
        <v>1</v>
      </c>
      <c r="F178">
        <f t="shared" ca="1" si="43"/>
        <v>5</v>
      </c>
      <c r="G178">
        <f t="shared" ca="1" si="44"/>
        <v>5</v>
      </c>
      <c r="H178">
        <f t="shared" ca="1" si="45"/>
        <v>3</v>
      </c>
      <c r="I178">
        <f t="shared" ca="1" si="46"/>
        <v>5</v>
      </c>
      <c r="J178">
        <f t="shared" ca="1" si="38"/>
        <v>0</v>
      </c>
      <c r="K178">
        <f ca="1">IF(OR($C178="S",$C178=0),0,MATCH(OFFSET($D178,0,$C178)+IF($C178&lt;&gt;1,1,COUNTIF(QCI!$A$13:$A$15,ORÇAMENTO!E178)),OFFSET($D178,1,$C178,ROW($C$508)-ROW($C178)),0))</f>
        <v>0</v>
      </c>
      <c r="L178" s="114" t="str">
        <f t="shared" ca="1" si="47"/>
        <v>F</v>
      </c>
      <c r="M178" s="115" t="s">
        <v>705</v>
      </c>
      <c r="N178" s="116" t="str">
        <f t="shared" ca="1" si="48"/>
        <v>Serviço</v>
      </c>
      <c r="O178" s="117" t="str">
        <f t="shared" ca="1" si="49"/>
        <v>1.5.5.3.5.</v>
      </c>
      <c r="P178" s="118" t="s">
        <v>1280</v>
      </c>
      <c r="Q178" s="119" t="s">
        <v>1031</v>
      </c>
      <c r="R178" s="120" t="str">
        <f ca="1">IF($C178="S",REFERENCIA.Descricao,"(digite a descrição aqui)")</f>
        <v>IMPERMEABILIZAÇÃO COM EMULSÃO ASFÁLTICA, DUAS (2) DEMÃOS</v>
      </c>
      <c r="S178" s="121" t="str">
        <f ca="1">REFERENCIA.Unidade</f>
        <v>M2</v>
      </c>
      <c r="T178" s="122">
        <f ca="1">OFFSET(CÁLCULO!H$15,ROW($T178)-ROW(T$15),0)</f>
        <v>10.81</v>
      </c>
      <c r="U178" s="123">
        <f t="shared" ca="1" si="21"/>
        <v>35.03</v>
      </c>
      <c r="V178" s="124" t="s">
        <v>663</v>
      </c>
      <c r="W178" s="122">
        <f ca="1">IF($C178="S",ROUND(IF(TIPOORCAMENTO="Proposto",ORÇAMENTO.CustoUnitario*(1+$AH178),ORÇAMENTO.PrecoUnitarioLicitado),15-13*$AF$10),0)</f>
        <v>43.26</v>
      </c>
      <c r="X178" s="125" cm="1">
        <f t="array" aca="1" ref="X178" ca="1">IF($C178="S",IF(OR(Import.TipoArredondamento&lt;&gt;"TransfereGOV",ACOMPANHAMENTO="BM"),VTOTAL1,SUM(OFFSET(CÁLCULO!$AI$15,ROW($X178)-ROW($X$15),1):OFFSET(CÁLCULO!$BB$15,ROW($X178)-ROW($X$15),-1))),IF($C178=0,0,ROUND(SomaAgrup,15-13*$AF$11)))</f>
        <v>467.64</v>
      </c>
      <c r="Y178" s="126" t="s">
        <v>751</v>
      </c>
      <c r="Z178" t="str">
        <f t="shared" ca="1" si="50"/>
        <v>RA</v>
      </c>
      <c r="AA178" s="127">
        <f ca="1">IF($C178="S",IF($Z178="CP",$X178,IF($Z178="RA",(($X178)*QCI!$AA$3),0)),SomaAgrup)</f>
        <v>0</v>
      </c>
      <c r="AB178" s="128">
        <f t="shared" ca="1" si="51"/>
        <v>0</v>
      </c>
      <c r="AC178" s="565" t="str" cm="1">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IF(AND(_xlfn.SINGLE(TIPOORCAMENTO)="Licitado",$AL178=0,$AN178&gt;0),"SEM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t="str">
        <f ca="1">IF(C178&lt;=CRONO.NivelExibicao,MAX($AD$15:OFFSET(AD178,-1,0))+IF($C178&lt;&gt;1,1,MAX(1,COUNTIF(QCI!$A$13:$A$15,OFFSET($E178,-1,0)))),"")</f>
        <v/>
      </c>
      <c r="AE178" s="7" t="str">
        <f ca="1">IF(AND($C178="S",ORÇAMENTO.CodBarra&lt;&gt;""),IF(ORÇAMENTO.Fonte="",ORÇAMENTO.CodBarra,CONCATENATE(ORÇAMENTO.Fonte," ",ORÇAMENTO.CodBarra)))</f>
        <v>SETOP ED-50174</v>
      </c>
      <c r="AF178" s="12">
        <f ca="1">IF(ISERROR(INDIRECT(ORÇAMENTO.BancoRef)),"(abra o arquivo 'Referência "&amp;Excel_BuiltIn_Database&amp;".xlsm)",IF(OR($C178&lt;&gt;"S",ORÇAMENTO.CodBarra=""),"(Sem Código)",IF(ISERROR(MATCH($AE178,INDIRECT(ORÇAMENTO.BancoRef),0)),"(Código não identificado nas referências)",MATCH($AE178,INDIRECT(ORÇAMENTO.BancoRef),0))))</f>
        <v>28405</v>
      </c>
      <c r="AG178" s="428">
        <f ca="1">ROUND(IF(DESONERACAO="sim",REFERENCIA.Desonerado,REFERENCIA.NaoDesonerado),2)</f>
        <v>35.03</v>
      </c>
      <c r="AH178" s="429">
        <f t="shared" ca="1" si="52"/>
        <v>0.23499999999999999</v>
      </c>
      <c r="AJ178" s="431">
        <v>10.81</v>
      </c>
      <c r="AL178" s="439"/>
      <c r="AM178" s="336">
        <f t="shared" ca="1" si="0"/>
        <v>467.64</v>
      </c>
      <c r="AN178" s="470">
        <f t="shared" ca="1" si="53"/>
        <v>43.26</v>
      </c>
    </row>
    <row r="179" spans="1:40" ht="25.5" x14ac:dyDescent="0.2">
      <c r="A179" t="str">
        <f t="shared" si="39"/>
        <v>S</v>
      </c>
      <c r="B179">
        <f t="shared" ca="1" si="40"/>
        <v>4</v>
      </c>
      <c r="C179" t="str">
        <f t="shared" ca="1" si="41"/>
        <v>S</v>
      </c>
      <c r="D179">
        <f t="shared" ca="1" si="42"/>
        <v>0</v>
      </c>
      <c r="E179">
        <f ca="1">IF($C179=1,OFFSET(E179,-1,0)+MAX(1,COUNTIF(QCI!$A$13:$A$15,OFFSET(ORÇAMENTO!E179,-1,0))),OFFSET(E179,-1,0))</f>
        <v>1</v>
      </c>
      <c r="F179">
        <f t="shared" ca="1" si="43"/>
        <v>5</v>
      </c>
      <c r="G179">
        <f t="shared" ca="1" si="44"/>
        <v>5</v>
      </c>
      <c r="H179">
        <f t="shared" ca="1" si="45"/>
        <v>3</v>
      </c>
      <c r="I179">
        <f t="shared" ca="1" si="46"/>
        <v>6</v>
      </c>
      <c r="J179">
        <f t="shared" ca="1" si="38"/>
        <v>0</v>
      </c>
      <c r="K179">
        <f ca="1">IF(OR($C179="S",$C179=0),0,MATCH(OFFSET($D179,0,$C179)+IF($C179&lt;&gt;1,1,COUNTIF(QCI!$A$13:$A$15,ORÇAMENTO!E179)),OFFSET($D179,1,$C179,ROW($C$508)-ROW($C179)),0))</f>
        <v>0</v>
      </c>
      <c r="L179" s="114" t="str">
        <f t="shared" ca="1" si="47"/>
        <v>F</v>
      </c>
      <c r="M179" s="115" t="s">
        <v>705</v>
      </c>
      <c r="N179" s="116" t="str">
        <f t="shared" ca="1" si="48"/>
        <v>Serviço</v>
      </c>
      <c r="O179" s="117" t="str">
        <f t="shared" ca="1" si="49"/>
        <v>1.5.5.3.6.</v>
      </c>
      <c r="P179" s="118" t="s">
        <v>956</v>
      </c>
      <c r="Q179" s="119" t="s">
        <v>1019</v>
      </c>
      <c r="R179" s="120" t="str">
        <f ca="1">IF($C179="S",REFERENCIA.Descricao,"(digite a descrição aqui)")</f>
        <v>ARMAÇÃO EM AÇO CA-50 - FORNECIMENTO, PREPARO E COLOCAÇÃO</v>
      </c>
      <c r="S179" s="121" t="str">
        <f ca="1">REFERENCIA.Unidade</f>
        <v>KG</v>
      </c>
      <c r="T179" s="122">
        <f ca="1">OFFSET(CÁLCULO!H$15,ROW($T179)-ROW(T$15),0)</f>
        <v>24.6</v>
      </c>
      <c r="U179" s="123">
        <f t="shared" ca="1" si="21"/>
        <v>12.08</v>
      </c>
      <c r="V179" s="124" t="s">
        <v>663</v>
      </c>
      <c r="W179" s="122">
        <f ca="1">IF($C179="S",ROUND(IF(TIPOORCAMENTO="Proposto",ORÇAMENTO.CustoUnitario*(1+$AH179),ORÇAMENTO.PrecoUnitarioLicitado),15-13*$AF$10),0)</f>
        <v>14.92</v>
      </c>
      <c r="X179" s="125" cm="1">
        <f t="array" aca="1" ref="X179" ca="1">IF($C179="S",IF(OR(Import.TipoArredondamento&lt;&gt;"TransfereGOV",ACOMPANHAMENTO="BM"),VTOTAL1,SUM(OFFSET(CÁLCULO!$AI$15,ROW($X179)-ROW($X$15),1):OFFSET(CÁLCULO!$BB$15,ROW($X179)-ROW($X$15),-1))),IF($C179=0,0,ROUND(SomaAgrup,15-13*$AF$11)))</f>
        <v>367.03</v>
      </c>
      <c r="Y179" s="126" t="s">
        <v>751</v>
      </c>
      <c r="Z179" t="str">
        <f t="shared" ca="1" si="50"/>
        <v>RA</v>
      </c>
      <c r="AA179" s="127">
        <f ca="1">IF($C179="S",IF($Z179="CP",$X179,IF($Z179="RA",(($X179)*QCI!$AA$3),0)),SomaAgrup)</f>
        <v>0</v>
      </c>
      <c r="AB179" s="128">
        <f t="shared" ca="1" si="51"/>
        <v>0</v>
      </c>
      <c r="AC179" s="565" t="str" cm="1">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IF(AND(_xlfn.SINGLE(TIPOORCAMENTO)="Licitado",$AL179=0,$AN179&gt;0),"SEM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t="str">
        <f ca="1">IF(C179&lt;=CRONO.NivelExibicao,MAX($AD$15:OFFSET(AD179,-1,0))+IF($C179&lt;&gt;1,1,MAX(1,COUNTIF(QCI!$A$13:$A$15,OFFSET($E179,-1,0)))),"")</f>
        <v/>
      </c>
      <c r="AE179" s="7" t="str">
        <f ca="1">IF(AND($C179="S",ORÇAMENTO.CodBarra&lt;&gt;""),IF(ORÇAMENTO.Fonte="",ORÇAMENTO.CodBarra,CONCATENATE(ORÇAMENTO.Fonte," ",ORÇAMENTO.CodBarra)))</f>
        <v>SICRO 407819</v>
      </c>
      <c r="AF179" s="12">
        <f ca="1">IF(ISERROR(INDIRECT(ORÇAMENTO.BancoRef)),"(abra o arquivo 'Referência "&amp;Excel_BuiltIn_Database&amp;".xlsm)",IF(OR($C179&lt;&gt;"S",ORÇAMENTO.CodBarra=""),"(Sem Código)",IF(ISERROR(MATCH($AE179,INDIRECT(ORÇAMENTO.BancoRef),0)),"(Código não identificado nas referências)",MATCH($AE179,INDIRECT(ORÇAMENTO.BancoRef),0))))</f>
        <v>15833</v>
      </c>
      <c r="AG179" s="428">
        <f ca="1">ROUND(IF(DESONERACAO="sim",REFERENCIA.Desonerado,REFERENCIA.NaoDesonerado),2)</f>
        <v>12.08</v>
      </c>
      <c r="AH179" s="429">
        <f t="shared" ca="1" si="52"/>
        <v>0.23499999999999999</v>
      </c>
      <c r="AJ179" s="431">
        <v>24.6</v>
      </c>
      <c r="AL179" s="439"/>
      <c r="AM179" s="336">
        <f t="shared" ca="1" si="0"/>
        <v>367.03</v>
      </c>
      <c r="AN179" s="470">
        <f t="shared" ca="1" si="53"/>
        <v>14.92</v>
      </c>
    </row>
    <row r="180" spans="1:40" ht="25.5" x14ac:dyDescent="0.2">
      <c r="A180" t="str">
        <f t="shared" si="39"/>
        <v>S</v>
      </c>
      <c r="B180">
        <f t="shared" ca="1" si="40"/>
        <v>4</v>
      </c>
      <c r="C180" t="str">
        <f t="shared" ca="1" si="41"/>
        <v>S</v>
      </c>
      <c r="D180">
        <f t="shared" ca="1" si="42"/>
        <v>0</v>
      </c>
      <c r="E180">
        <f ca="1">IF($C180=1,OFFSET(E180,-1,0)+MAX(1,COUNTIF(QCI!$A$13:$A$15,OFFSET(ORÇAMENTO!E180,-1,0))),OFFSET(E180,-1,0))</f>
        <v>1</v>
      </c>
      <c r="F180">
        <f t="shared" ca="1" si="43"/>
        <v>5</v>
      </c>
      <c r="G180">
        <f t="shared" ca="1" si="44"/>
        <v>5</v>
      </c>
      <c r="H180">
        <f t="shared" ca="1" si="45"/>
        <v>3</v>
      </c>
      <c r="I180">
        <f t="shared" ca="1" si="46"/>
        <v>7</v>
      </c>
      <c r="J180">
        <f t="shared" ca="1" si="38"/>
        <v>0</v>
      </c>
      <c r="K180">
        <f ca="1">IF(OR($C180="S",$C180=0),0,MATCH(OFFSET($D180,0,$C180)+IF($C180&lt;&gt;1,1,COUNTIF(QCI!$A$13:$A$15,ORÇAMENTO!E180)),OFFSET($D180,1,$C180,ROW($C$508)-ROW($C180)),0))</f>
        <v>0</v>
      </c>
      <c r="L180" s="114" t="str">
        <f t="shared" ca="1" si="47"/>
        <v>F</v>
      </c>
      <c r="M180" s="115" t="s">
        <v>705</v>
      </c>
      <c r="N180" s="116" t="str">
        <f t="shared" ca="1" si="48"/>
        <v>Serviço</v>
      </c>
      <c r="O180" s="117" t="str">
        <f t="shared" ca="1" si="49"/>
        <v>1.5.5.3.7.</v>
      </c>
      <c r="P180" s="118" t="s">
        <v>956</v>
      </c>
      <c r="Q180" s="119" t="s">
        <v>1030</v>
      </c>
      <c r="R180" s="120" t="str">
        <f ca="1">IF($C180="S",REFERENCIA.Descricao,"(digite a descrição aqui)")</f>
        <v>ARMAÇÃO EM AÇO CA-60 - FORNECIMENTO, PREPARO E COLOCAÇÃO</v>
      </c>
      <c r="S180" s="121" t="str">
        <f ca="1">REFERENCIA.Unidade</f>
        <v>KG</v>
      </c>
      <c r="T180" s="122">
        <f ca="1">OFFSET(CÁLCULO!H$15,ROW($T180)-ROW(T$15),0)</f>
        <v>9.8000000000000007</v>
      </c>
      <c r="U180" s="123">
        <f t="shared" ca="1" si="21"/>
        <v>13.06</v>
      </c>
      <c r="V180" s="124" t="s">
        <v>663</v>
      </c>
      <c r="W180" s="122">
        <f ca="1">IF($C180="S",ROUND(IF(TIPOORCAMENTO="Proposto",ORÇAMENTO.CustoUnitario*(1+$AH180),ORÇAMENTO.PrecoUnitarioLicitado),15-13*$AF$10),0)</f>
        <v>16.13</v>
      </c>
      <c r="X180" s="125" cm="1">
        <f t="array" aca="1" ref="X180" ca="1">IF($C180="S",IF(OR(Import.TipoArredondamento&lt;&gt;"TransfereGOV",ACOMPANHAMENTO="BM"),VTOTAL1,SUM(OFFSET(CÁLCULO!$AI$15,ROW($X180)-ROW($X$15),1):OFFSET(CÁLCULO!$BB$15,ROW($X180)-ROW($X$15),-1))),IF($C180=0,0,ROUND(SomaAgrup,15-13*$AF$11)))</f>
        <v>158.07</v>
      </c>
      <c r="Y180" s="126" t="s">
        <v>751</v>
      </c>
      <c r="Z180" t="str">
        <f t="shared" ca="1" si="50"/>
        <v>RA</v>
      </c>
      <c r="AA180" s="127">
        <f ca="1">IF($C180="S",IF($Z180="CP",$X180,IF($Z180="RA",(($X180)*QCI!$AA$3),0)),SomaAgrup)</f>
        <v>0</v>
      </c>
      <c r="AB180" s="128">
        <f t="shared" ca="1" si="51"/>
        <v>0</v>
      </c>
      <c r="AC180" s="565" t="str" cm="1">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IF(AND(_xlfn.SINGLE(TIPOORCAMENTO)="Licitado",$AL180=0,$AN180&gt;0),"SEM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t="str">
        <f ca="1">IF(C180&lt;=CRONO.NivelExibicao,MAX($AD$15:OFFSET(AD180,-1,0))+IF($C180&lt;&gt;1,1,MAX(1,COUNTIF(QCI!$A$13:$A$15,OFFSET($E180,-1,0)))),"")</f>
        <v/>
      </c>
      <c r="AE180" s="7" t="str">
        <f ca="1">IF(AND($C180="S",ORÇAMENTO.CodBarra&lt;&gt;""),IF(ORÇAMENTO.Fonte="",ORÇAMENTO.CodBarra,CONCATENATE(ORÇAMENTO.Fonte," ",ORÇAMENTO.CodBarra)))</f>
        <v>SICRO 407820</v>
      </c>
      <c r="AF180" s="12">
        <f ca="1">IF(ISERROR(INDIRECT(ORÇAMENTO.BancoRef)),"(abra o arquivo 'Referência "&amp;Excel_BuiltIn_Database&amp;".xlsm)",IF(OR($C180&lt;&gt;"S",ORÇAMENTO.CodBarra=""),"(Sem Código)",IF(ISERROR(MATCH($AE180,INDIRECT(ORÇAMENTO.BancoRef),0)),"(Código não identificado nas referências)",MATCH($AE180,INDIRECT(ORÇAMENTO.BancoRef),0))))</f>
        <v>15834</v>
      </c>
      <c r="AG180" s="428">
        <f ca="1">ROUND(IF(DESONERACAO="sim",REFERENCIA.Desonerado,REFERENCIA.NaoDesonerado),2)</f>
        <v>13.06</v>
      </c>
      <c r="AH180" s="429">
        <f t="shared" ca="1" si="52"/>
        <v>0.23499999999999999</v>
      </c>
      <c r="AJ180" s="431">
        <v>9.8000000000000007</v>
      </c>
      <c r="AL180" s="439"/>
      <c r="AM180" s="336">
        <f t="shared" ca="1" si="0"/>
        <v>158.07</v>
      </c>
      <c r="AN180" s="470">
        <f t="shared" ca="1" si="53"/>
        <v>16.13</v>
      </c>
    </row>
    <row r="181" spans="1:40" ht="38.25" x14ac:dyDescent="0.2">
      <c r="A181" t="str">
        <f t="shared" si="39"/>
        <v>S</v>
      </c>
      <c r="B181">
        <f t="shared" ca="1" si="40"/>
        <v>4</v>
      </c>
      <c r="C181" t="str">
        <f t="shared" ca="1" si="41"/>
        <v>S</v>
      </c>
      <c r="D181">
        <f t="shared" ca="1" si="42"/>
        <v>0</v>
      </c>
      <c r="E181">
        <f ca="1">IF($C181=1,OFFSET(E181,-1,0)+MAX(1,COUNTIF(QCI!$A$13:$A$15,OFFSET(ORÇAMENTO!E181,-1,0))),OFFSET(E181,-1,0))</f>
        <v>1</v>
      </c>
      <c r="F181">
        <f t="shared" ca="1" si="43"/>
        <v>5</v>
      </c>
      <c r="G181">
        <f t="shared" ca="1" si="44"/>
        <v>5</v>
      </c>
      <c r="H181">
        <f t="shared" ca="1" si="45"/>
        <v>3</v>
      </c>
      <c r="I181">
        <f t="shared" ca="1" si="46"/>
        <v>8</v>
      </c>
      <c r="J181">
        <f t="shared" ca="1" si="38"/>
        <v>0</v>
      </c>
      <c r="K181">
        <f ca="1">IF(OR($C181="S",$C181=0),0,MATCH(OFFSET($D181,0,$C181)+IF($C181&lt;&gt;1,1,COUNTIF(QCI!$A$13:$A$15,ORÇAMENTO!E181)),OFFSET($D181,1,$C181,ROW($C$508)-ROW($C181)),0))</f>
        <v>0</v>
      </c>
      <c r="L181" s="114" t="str">
        <f t="shared" ca="1" si="47"/>
        <v>F</v>
      </c>
      <c r="M181" s="115" t="s">
        <v>705</v>
      </c>
      <c r="N181" s="116" t="str">
        <f t="shared" ca="1" si="48"/>
        <v>Serviço</v>
      </c>
      <c r="O181" s="117" t="str">
        <f t="shared" ca="1" si="49"/>
        <v>1.5.5.3.8.</v>
      </c>
      <c r="P181" s="118" t="s">
        <v>750</v>
      </c>
      <c r="Q181" s="119" t="s">
        <v>1017</v>
      </c>
      <c r="R181" s="120" t="str">
        <f ca="1">IF($C181="S",REFERENCIA.Descricao,"(digite a descrição aqui)")</f>
        <v>CONCRETO FCK = 40MPA, TRAÇO 1:1,6:1,9 (EM MASSA SECA DE CIMENTO/ AREIA MÉDIA/ BRITA 1) - PREPARO MECÂNICO COM BETONEIRA 600 L. AF_05/2021</v>
      </c>
      <c r="S181" s="121" t="str">
        <f ca="1">REFERENCIA.Unidade</f>
        <v>M3</v>
      </c>
      <c r="T181" s="122">
        <f ca="1">OFFSET(CÁLCULO!H$15,ROW($T181)-ROW(T$15),0)</f>
        <v>0.72</v>
      </c>
      <c r="U181" s="123">
        <f t="shared" ca="1" si="21"/>
        <v>628.30999999999995</v>
      </c>
      <c r="V181" s="124" t="s">
        <v>663</v>
      </c>
      <c r="W181" s="122">
        <f ca="1">IF($C181="S",ROUND(IF(TIPOORCAMENTO="Proposto",ORÇAMENTO.CustoUnitario*(1+$AH181),ORÇAMENTO.PrecoUnitarioLicitado),15-13*$AF$10),0)</f>
        <v>775.96</v>
      </c>
      <c r="X181" s="125" cm="1">
        <f t="array" aca="1" ref="X181" ca="1">IF($C181="S",IF(OR(Import.TipoArredondamento&lt;&gt;"TransfereGOV",ACOMPANHAMENTO="BM"),VTOTAL1,SUM(OFFSET(CÁLCULO!$AI$15,ROW($X181)-ROW($X$15),1):OFFSET(CÁLCULO!$BB$15,ROW($X181)-ROW($X$15),-1))),IF($C181=0,0,ROUND(SomaAgrup,15-13*$AF$11)))</f>
        <v>558.69000000000005</v>
      </c>
      <c r="Y181" s="126" t="s">
        <v>751</v>
      </c>
      <c r="Z181" t="str">
        <f t="shared" ca="1" si="50"/>
        <v>RA</v>
      </c>
      <c r="AA181" s="127">
        <f ca="1">IF($C181="S",IF($Z181="CP",$X181,IF($Z181="RA",(($X181)*QCI!$AA$3),0)),SomaAgrup)</f>
        <v>0</v>
      </c>
      <c r="AB181" s="128">
        <f t="shared" ca="1" si="51"/>
        <v>0</v>
      </c>
      <c r="AC181" s="565" t="str" cm="1">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IF(AND(_xlfn.SINGLE(TIPOORCAMENTO)="Licitado",$AL181=0,$AN181&gt;0),"SEM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t="str">
        <f ca="1">IF(C181&lt;=CRONO.NivelExibicao,MAX($AD$15:OFFSET(AD181,-1,0))+IF($C181&lt;&gt;1,1,MAX(1,COUNTIF(QCI!$A$13:$A$15,OFFSET($E181,-1,0)))),"")</f>
        <v/>
      </c>
      <c r="AE181" s="7" t="str">
        <f ca="1">IF(AND($C181="S",ORÇAMENTO.CodBarra&lt;&gt;""),IF(ORÇAMENTO.Fonte="",ORÇAMENTO.CodBarra,CONCATENATE(ORÇAMENTO.Fonte," ",ORÇAMENTO.CodBarra)))</f>
        <v>SINAPI 94973</v>
      </c>
      <c r="AF181" s="12">
        <f ca="1">IF(ISERROR(INDIRECT(ORÇAMENTO.BancoRef)),"(abra o arquivo 'Referência "&amp;Excel_BuiltIn_Database&amp;".xlsm)",IF(OR($C181&lt;&gt;"S",ORÇAMENTO.CodBarra=""),"(Sem Código)",IF(ISERROR(MATCH($AE181,INDIRECT(ORÇAMENTO.BancoRef),0)),"(Código não identificado nas referências)",MATCH($AE181,INDIRECT(ORÇAMENTO.BancoRef),0))))</f>
        <v>14326</v>
      </c>
      <c r="AG181" s="428">
        <f ca="1">ROUND(IF(DESONERACAO="sim",REFERENCIA.Desonerado,REFERENCIA.NaoDesonerado),2)</f>
        <v>628.30999999999995</v>
      </c>
      <c r="AH181" s="429">
        <f t="shared" ca="1" si="52"/>
        <v>0.23499999999999999</v>
      </c>
      <c r="AJ181" s="431">
        <v>0.72</v>
      </c>
      <c r="AL181" s="439"/>
      <c r="AM181" s="336">
        <f t="shared" ca="1" si="0"/>
        <v>558.69000000000005</v>
      </c>
      <c r="AN181" s="470">
        <f t="shared" ca="1" si="53"/>
        <v>775.96</v>
      </c>
    </row>
    <row r="182" spans="1:40" ht="25.5" x14ac:dyDescent="0.2">
      <c r="A182" t="str">
        <f t="shared" si="39"/>
        <v>S</v>
      </c>
      <c r="B182">
        <f t="shared" ca="1" si="40"/>
        <v>4</v>
      </c>
      <c r="C182" t="str">
        <f t="shared" ca="1" si="41"/>
        <v>S</v>
      </c>
      <c r="D182">
        <f t="shared" ca="1" si="42"/>
        <v>0</v>
      </c>
      <c r="E182">
        <f ca="1">IF($C182=1,OFFSET(E182,-1,0)+MAX(1,COUNTIF(QCI!$A$13:$A$15,OFFSET(ORÇAMENTO!E182,-1,0))),OFFSET(E182,-1,0))</f>
        <v>1</v>
      </c>
      <c r="F182">
        <f t="shared" ca="1" si="43"/>
        <v>5</v>
      </c>
      <c r="G182">
        <f t="shared" ca="1" si="44"/>
        <v>5</v>
      </c>
      <c r="H182">
        <f t="shared" ca="1" si="45"/>
        <v>3</v>
      </c>
      <c r="I182">
        <f t="shared" ca="1" si="46"/>
        <v>9</v>
      </c>
      <c r="J182">
        <f t="shared" ca="1" si="38"/>
        <v>0</v>
      </c>
      <c r="K182">
        <f ca="1">IF(OR($C182="S",$C182=0),0,MATCH(OFFSET($D182,0,$C182)+IF($C182&lt;&gt;1,1,COUNTIF(QCI!$A$13:$A$15,ORÇAMENTO!E182)),OFFSET($D182,1,$C182,ROW($C$508)-ROW($C182)),0))</f>
        <v>0</v>
      </c>
      <c r="L182" s="114" t="str">
        <f t="shared" ca="1" si="47"/>
        <v>F</v>
      </c>
      <c r="M182" s="115" t="s">
        <v>705</v>
      </c>
      <c r="N182" s="116" t="str">
        <f t="shared" ca="1" si="48"/>
        <v>Serviço</v>
      </c>
      <c r="O182" s="117" t="str">
        <f t="shared" ca="1" si="49"/>
        <v>1.5.5.3.9.</v>
      </c>
      <c r="P182" s="118" t="s">
        <v>750</v>
      </c>
      <c r="Q182" s="119" t="s">
        <v>1018</v>
      </c>
      <c r="R182" s="120" t="str">
        <f ca="1">IF($C182="S",REFERENCIA.Descricao,"(digite a descrição aqui)")</f>
        <v>LANÇAMENTO COM USO DE BOMBA, ADENSAMENTO E ACABAMENTO DE CONCRETO EM ESTRUTURAS. AF_02/2022</v>
      </c>
      <c r="S182" s="121" t="str">
        <f ca="1">REFERENCIA.Unidade</f>
        <v>M3</v>
      </c>
      <c r="T182" s="122">
        <f ca="1">OFFSET(CÁLCULO!H$15,ROW($T182)-ROW(T$15),0)</f>
        <v>0.72</v>
      </c>
      <c r="U182" s="123">
        <f t="shared" ca="1" si="21"/>
        <v>44.5</v>
      </c>
      <c r="V182" s="124" t="s">
        <v>663</v>
      </c>
      <c r="W182" s="122">
        <f ca="1">IF($C182="S",ROUND(IF(TIPOORCAMENTO="Proposto",ORÇAMENTO.CustoUnitario*(1+$AH182),ORÇAMENTO.PrecoUnitarioLicitado),15-13*$AF$10),0)</f>
        <v>54.96</v>
      </c>
      <c r="X182" s="125" cm="1">
        <f t="array" aca="1" ref="X182" ca="1">IF($C182="S",IF(OR(Import.TipoArredondamento&lt;&gt;"TransfereGOV",ACOMPANHAMENTO="BM"),VTOTAL1,SUM(OFFSET(CÁLCULO!$AI$15,ROW($X182)-ROW($X$15),1):OFFSET(CÁLCULO!$BB$15,ROW($X182)-ROW($X$15),-1))),IF($C182=0,0,ROUND(SomaAgrup,15-13*$AF$11)))</f>
        <v>39.57</v>
      </c>
      <c r="Y182" s="126" t="s">
        <v>751</v>
      </c>
      <c r="Z182" t="str">
        <f t="shared" ca="1" si="50"/>
        <v>RA</v>
      </c>
      <c r="AA182" s="127">
        <f ca="1">IF($C182="S",IF($Z182="CP",$X182,IF($Z182="RA",(($X182)*QCI!$AA$3),0)),SomaAgrup)</f>
        <v>0</v>
      </c>
      <c r="AB182" s="128">
        <f t="shared" ca="1" si="51"/>
        <v>0</v>
      </c>
      <c r="AC182" s="565" t="str" cm="1">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IF(AND(_xlfn.SINGLE(TIPOORCAMENTO)="Licitado",$AL182=0,$AN182&gt;0),"SEM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t="str">
        <f ca="1">IF(C182&lt;=CRONO.NivelExibicao,MAX($AD$15:OFFSET(AD182,-1,0))+IF($C182&lt;&gt;1,1,MAX(1,COUNTIF(QCI!$A$13:$A$15,OFFSET($E182,-1,0)))),"")</f>
        <v/>
      </c>
      <c r="AE182" s="7" t="str">
        <f ca="1">IF(AND($C182="S",ORÇAMENTO.CodBarra&lt;&gt;""),IF(ORÇAMENTO.Fonte="",ORÇAMENTO.CodBarra,CONCATENATE(ORÇAMENTO.Fonte," ",ORÇAMENTO.CodBarra)))</f>
        <v>SINAPI 103673</v>
      </c>
      <c r="AF182" s="12">
        <f ca="1">IF(ISERROR(INDIRECT(ORÇAMENTO.BancoRef)),"(abra o arquivo 'Referência "&amp;Excel_BuiltIn_Database&amp;".xlsm)",IF(OR($C182&lt;&gt;"S",ORÇAMENTO.CodBarra=""),"(Sem Código)",IF(ISERROR(MATCH($AE182,INDIRECT(ORÇAMENTO.BancoRef),0)),"(Código não identificado nas referências)",MATCH($AE182,INDIRECT(ORÇAMENTO.BancoRef),0))))</f>
        <v>7334</v>
      </c>
      <c r="AG182" s="428">
        <f ca="1">ROUND(IF(DESONERACAO="sim",REFERENCIA.Desonerado,REFERENCIA.NaoDesonerado),2)</f>
        <v>44.5</v>
      </c>
      <c r="AH182" s="429">
        <f t="shared" ca="1" si="52"/>
        <v>0.23499999999999999</v>
      </c>
      <c r="AJ182" s="431">
        <f>AJ181</f>
        <v>0.72</v>
      </c>
      <c r="AL182" s="439"/>
      <c r="AM182" s="336">
        <f t="shared" ca="1" si="0"/>
        <v>39.57</v>
      </c>
      <c r="AN182" s="470">
        <f t="shared" ca="1" si="53"/>
        <v>54.96</v>
      </c>
    </row>
    <row r="183" spans="1:40" ht="25.5" x14ac:dyDescent="0.2">
      <c r="A183" t="str">
        <f t="shared" si="39"/>
        <v>S</v>
      </c>
      <c r="B183">
        <f t="shared" ca="1" si="40"/>
        <v>4</v>
      </c>
      <c r="C183" t="str">
        <f t="shared" ca="1" si="41"/>
        <v>S</v>
      </c>
      <c r="D183">
        <f t="shared" ca="1" si="42"/>
        <v>0</v>
      </c>
      <c r="E183">
        <f ca="1">IF($C183=1,OFFSET(E183,-1,0)+MAX(1,COUNTIF(QCI!$A$13:$A$15,OFFSET(ORÇAMENTO!E183,-1,0))),OFFSET(E183,-1,0))</f>
        <v>1</v>
      </c>
      <c r="F183">
        <f t="shared" ca="1" si="43"/>
        <v>5</v>
      </c>
      <c r="G183">
        <f t="shared" ca="1" si="44"/>
        <v>5</v>
      </c>
      <c r="H183">
        <f t="shared" ca="1" si="45"/>
        <v>3</v>
      </c>
      <c r="I183">
        <f t="shared" ca="1" si="46"/>
        <v>10</v>
      </c>
      <c r="J183">
        <f t="shared" ca="1" si="38"/>
        <v>0</v>
      </c>
      <c r="K183">
        <f ca="1">IF(OR($C183="S",$C183=0),0,MATCH(OFFSET($D183,0,$C183)+IF($C183&lt;&gt;1,1,COUNTIF(QCI!$A$13:$A$15,ORÇAMENTO!E183)),OFFSET($D183,1,$C183,ROW($C$508)-ROW($C183)),0))</f>
        <v>0</v>
      </c>
      <c r="L183" s="114" t="str">
        <f t="shared" ca="1" si="47"/>
        <v>F</v>
      </c>
      <c r="M183" s="115" t="s">
        <v>705</v>
      </c>
      <c r="N183" s="116" t="str">
        <f t="shared" ca="1" si="48"/>
        <v>Serviço</v>
      </c>
      <c r="O183" s="117" t="str">
        <f t="shared" ca="1" si="49"/>
        <v>1.5.5.3.10.</v>
      </c>
      <c r="P183" s="118" t="s">
        <v>750</v>
      </c>
      <c r="Q183" s="119" t="s">
        <v>1037</v>
      </c>
      <c r="R183" s="120" t="str">
        <f ca="1">IF($C183="S",REFERENCIA.Descricao,"(digite a descrição aqui)")</f>
        <v>REATERRO MANUAL DE VALAS, COM COMPACTADOR DE SOLOS DE PERCUSSÃO. AF_08/2023</v>
      </c>
      <c r="S183" s="121" t="str">
        <f ca="1">REFERENCIA.Unidade</f>
        <v>M3</v>
      </c>
      <c r="T183" s="122">
        <f ca="1">OFFSET(CÁLCULO!H$15,ROW($T183)-ROW(T$15),0)</f>
        <v>4.59</v>
      </c>
      <c r="U183" s="123">
        <f t="shared" ca="1" si="21"/>
        <v>28.36</v>
      </c>
      <c r="V183" s="124" t="s">
        <v>663</v>
      </c>
      <c r="W183" s="122">
        <f ca="1">IF($C183="S",ROUND(IF(TIPOORCAMENTO="Proposto",ORÇAMENTO.CustoUnitario*(1+$AH183),ORÇAMENTO.PrecoUnitarioLicitado),15-13*$AF$10),0)</f>
        <v>35.020000000000003</v>
      </c>
      <c r="X183" s="125" cm="1">
        <f t="array" aca="1" ref="X183" ca="1">IF($C183="S",IF(OR(Import.TipoArredondamento&lt;&gt;"TransfereGOV",ACOMPANHAMENTO="BM"),VTOTAL1,SUM(OFFSET(CÁLCULO!$AI$15,ROW($X183)-ROW($X$15),1):OFFSET(CÁLCULO!$BB$15,ROW($X183)-ROW($X$15),-1))),IF($C183=0,0,ROUND(SomaAgrup,15-13*$AF$11)))</f>
        <v>160.74</v>
      </c>
      <c r="Y183" s="126" t="s">
        <v>751</v>
      </c>
      <c r="Z183" t="str">
        <f t="shared" ca="1" si="50"/>
        <v>RA</v>
      </c>
      <c r="AA183" s="127">
        <f ca="1">IF($C183="S",IF($Z183="CP",$X183,IF($Z183="RA",(($X183)*QCI!$AA$3),0)),SomaAgrup)</f>
        <v>0</v>
      </c>
      <c r="AB183" s="128">
        <f t="shared" ca="1" si="51"/>
        <v>0</v>
      </c>
      <c r="AC183" s="565" t="str" cm="1">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IF(AND(_xlfn.SINGLE(TIPOORCAMENTO)="Licitado",$AL183=0,$AN183&gt;0),"SEM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t="str">
        <f ca="1">IF(C183&lt;=CRONO.NivelExibicao,MAX($AD$15:OFFSET(AD183,-1,0))+IF($C183&lt;&gt;1,1,MAX(1,COUNTIF(QCI!$A$13:$A$15,OFFSET($E183,-1,0)))),"")</f>
        <v/>
      </c>
      <c r="AE183" s="7" t="str">
        <f ca="1">IF(AND($C183="S",ORÇAMENTO.CodBarra&lt;&gt;""),IF(ORÇAMENTO.Fonte="",ORÇAMENTO.CodBarra,CONCATENATE(ORÇAMENTO.Fonte," ",ORÇAMENTO.CodBarra)))</f>
        <v>SINAPI 93382</v>
      </c>
      <c r="AF183" s="12">
        <f ca="1">IF(ISERROR(INDIRECT(ORÇAMENTO.BancoRef)),"(abra o arquivo 'Referência "&amp;Excel_BuiltIn_Database&amp;".xlsm)",IF(OR($C183&lt;&gt;"S",ORÇAMENTO.CodBarra=""),"(Sem Código)",IF(ISERROR(MATCH($AE183,INDIRECT(ORÇAMENTO.BancoRef),0)),"(Código não identificado nas referências)",MATCH($AE183,INDIRECT(ORÇAMENTO.BancoRef),0))))</f>
        <v>6788</v>
      </c>
      <c r="AG183" s="428">
        <f ca="1">ROUND(IF(DESONERACAO="sim",REFERENCIA.Desonerado,REFERENCIA.NaoDesonerado),2)</f>
        <v>28.36</v>
      </c>
      <c r="AH183" s="429">
        <f t="shared" ca="1" si="52"/>
        <v>0.23499999999999999</v>
      </c>
      <c r="AJ183" s="431">
        <v>4.59</v>
      </c>
      <c r="AL183" s="439"/>
      <c r="AM183" s="336">
        <f t="shared" ca="1" si="0"/>
        <v>160.74</v>
      </c>
      <c r="AN183" s="470">
        <f t="shared" ca="1" si="53"/>
        <v>35.020000000000003</v>
      </c>
    </row>
    <row r="184" spans="1:40" ht="51" x14ac:dyDescent="0.2">
      <c r="A184" t="str">
        <f t="shared" si="39"/>
        <v>S</v>
      </c>
      <c r="B184">
        <f t="shared" ca="1" si="40"/>
        <v>4</v>
      </c>
      <c r="C184" t="str">
        <f t="shared" ca="1" si="41"/>
        <v>S</v>
      </c>
      <c r="D184">
        <f t="shared" ca="1" si="42"/>
        <v>0</v>
      </c>
      <c r="E184">
        <f ca="1">IF($C184=1,OFFSET(E184,-1,0)+MAX(1,COUNTIF(QCI!$A$13:$A$15,OFFSET(ORÇAMENTO!E184,-1,0))),OFFSET(E184,-1,0))</f>
        <v>1</v>
      </c>
      <c r="F184">
        <f t="shared" ca="1" si="43"/>
        <v>5</v>
      </c>
      <c r="G184">
        <f t="shared" ca="1" si="44"/>
        <v>5</v>
      </c>
      <c r="H184">
        <f t="shared" ca="1" si="45"/>
        <v>3</v>
      </c>
      <c r="I184">
        <f t="shared" ca="1" si="46"/>
        <v>11</v>
      </c>
      <c r="J184">
        <f t="shared" ca="1" si="38"/>
        <v>0</v>
      </c>
      <c r="K184">
        <f ca="1">IF(OR($C184="S",$C184=0),0,MATCH(OFFSET($D184,0,$C184)+IF($C184&lt;&gt;1,1,COUNTIF(QCI!$A$13:$A$15,ORÇAMENTO!E184)),OFFSET($D184,1,$C184,ROW($C$508)-ROW($C184)),0))</f>
        <v>0</v>
      </c>
      <c r="L184" s="114" t="str">
        <f t="shared" ca="1" si="47"/>
        <v>F</v>
      </c>
      <c r="M184" s="115" t="s">
        <v>705</v>
      </c>
      <c r="N184" s="116" t="str">
        <f t="shared" ca="1" si="48"/>
        <v>Serviço</v>
      </c>
      <c r="O184" s="117" t="str">
        <f t="shared" ca="1" si="49"/>
        <v>1.5.5.3.11.</v>
      </c>
      <c r="P184" s="118" t="s">
        <v>750</v>
      </c>
      <c r="Q184" s="119" t="s">
        <v>1020</v>
      </c>
      <c r="R184" s="120" t="str">
        <f ca="1">IF($C184="S",REFERENCIA.Descricao,"(digite a descrição aqui)")</f>
        <v>CARGA, MANOBRA E DESCARGA DE SOLOS E MATERIAIS GRANULARES EM CAMINHÃO BASCULANTE 18 M³ - CARGA COM ESCAVADEIRA HIDRÁULICA (CAÇAMBA DE 1,20 M³ / 155 HP) E DESCARGA LIVRE (UNIDADE: M3). AF_07/2020</v>
      </c>
      <c r="S184" s="121" t="str">
        <f ca="1">REFERENCIA.Unidade</f>
        <v>M3</v>
      </c>
      <c r="T184" s="122">
        <f ca="1">OFFSET(CÁLCULO!H$15,ROW($T184)-ROW(T$15),0)</f>
        <v>1.47</v>
      </c>
      <c r="U184" s="123">
        <f t="shared" ca="1" si="21"/>
        <v>6.52</v>
      </c>
      <c r="V184" s="124" t="s">
        <v>663</v>
      </c>
      <c r="W184" s="122">
        <f ca="1">IF($C184="S",ROUND(IF(TIPOORCAMENTO="Proposto",ORÇAMENTO.CustoUnitario*(1+$AH184),ORÇAMENTO.PrecoUnitarioLicitado),15-13*$AF$10),0)</f>
        <v>8.0500000000000007</v>
      </c>
      <c r="X184" s="125" cm="1">
        <f t="array" aca="1" ref="X184" ca="1">IF($C184="S",IF(OR(Import.TipoArredondamento&lt;&gt;"TransfereGOV",ACOMPANHAMENTO="BM"),VTOTAL1,SUM(OFFSET(CÁLCULO!$AI$15,ROW($X184)-ROW($X$15),1):OFFSET(CÁLCULO!$BB$15,ROW($X184)-ROW($X$15),-1))),IF($C184=0,0,ROUND(SomaAgrup,15-13*$AF$11)))</f>
        <v>11.83</v>
      </c>
      <c r="Y184" s="126" t="s">
        <v>751</v>
      </c>
      <c r="Z184" t="str">
        <f t="shared" ca="1" si="50"/>
        <v>RA</v>
      </c>
      <c r="AA184" s="127">
        <f ca="1">IF($C184="S",IF($Z184="CP",$X184,IF($Z184="RA",(($X184)*QCI!$AA$3),0)),SomaAgrup)</f>
        <v>0</v>
      </c>
      <c r="AB184" s="128">
        <f t="shared" ca="1" si="51"/>
        <v>0</v>
      </c>
      <c r="AC184" s="565" t="str" cm="1">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IF(AND(_xlfn.SINGLE(TIPOORCAMENTO)="Licitado",$AL184=0,$AN184&gt;0),"SEM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t="str">
        <f ca="1">IF(C184&lt;=CRONO.NivelExibicao,MAX($AD$15:OFFSET(AD184,-1,0))+IF($C184&lt;&gt;1,1,MAX(1,COUNTIF(QCI!$A$13:$A$15,OFFSET($E184,-1,0)))),"")</f>
        <v/>
      </c>
      <c r="AE184" s="7" t="str">
        <f ca="1">IF(AND($C184="S",ORÇAMENTO.CodBarra&lt;&gt;""),IF(ORÇAMENTO.Fonte="",ORÇAMENTO.CodBarra,CONCATENATE(ORÇAMENTO.Fonte," ",ORÇAMENTO.CodBarra)))</f>
        <v>SINAPI 100980</v>
      </c>
      <c r="AF184" s="12">
        <f ca="1">IF(ISERROR(INDIRECT(ORÇAMENTO.BancoRef)),"(abra o arquivo 'Referência "&amp;Excel_BuiltIn_Database&amp;".xlsm)",IF(OR($C184&lt;&gt;"S",ORÇAMENTO.CodBarra=""),"(Sem Código)",IF(ISERROR(MATCH($AE184,INDIRECT(ORÇAMENTO.BancoRef),0)),"(Código não identificado nas referências)",MATCH($AE184,INDIRECT(ORÇAMENTO.BancoRef),0))))</f>
        <v>15290</v>
      </c>
      <c r="AG184" s="428">
        <f ca="1">ROUND(IF(DESONERACAO="sim",REFERENCIA.Desonerado,REFERENCIA.NaoDesonerado),2)</f>
        <v>6.52</v>
      </c>
      <c r="AH184" s="429">
        <f t="shared" ca="1" si="52"/>
        <v>0.23499999999999999</v>
      </c>
      <c r="AJ184" s="431">
        <v>1.47</v>
      </c>
      <c r="AL184" s="439"/>
      <c r="AM184" s="336">
        <f t="shared" ca="1" si="0"/>
        <v>11.83</v>
      </c>
      <c r="AN184" s="470">
        <f t="shared" ca="1" si="53"/>
        <v>8.0500000000000007</v>
      </c>
    </row>
    <row r="185" spans="1:40" ht="38.25" x14ac:dyDescent="0.2">
      <c r="A185" t="str">
        <f t="shared" si="39"/>
        <v>S</v>
      </c>
      <c r="B185">
        <f t="shared" ca="1" si="40"/>
        <v>4</v>
      </c>
      <c r="C185" t="str">
        <f t="shared" ca="1" si="41"/>
        <v>S</v>
      </c>
      <c r="D185">
        <f t="shared" ca="1" si="42"/>
        <v>0</v>
      </c>
      <c r="E185">
        <f ca="1">IF($C185=1,OFFSET(E185,-1,0)+MAX(1,COUNTIF(QCI!$A$13:$A$15,OFFSET(ORÇAMENTO!E185,-1,0))),OFFSET(E185,-1,0))</f>
        <v>1</v>
      </c>
      <c r="F185">
        <f t="shared" ca="1" si="43"/>
        <v>5</v>
      </c>
      <c r="G185">
        <f t="shared" ca="1" si="44"/>
        <v>5</v>
      </c>
      <c r="H185">
        <f t="shared" ca="1" si="45"/>
        <v>3</v>
      </c>
      <c r="I185">
        <f t="shared" ca="1" si="46"/>
        <v>12</v>
      </c>
      <c r="J185">
        <f t="shared" ca="1" si="38"/>
        <v>0</v>
      </c>
      <c r="K185">
        <f ca="1">IF(OR($C185="S",$C185=0),0,MATCH(OFFSET($D185,0,$C185)+IF($C185&lt;&gt;1,1,COUNTIF(QCI!$A$13:$A$15,ORÇAMENTO!E185)),OFFSET($D185,1,$C185,ROW($C$508)-ROW($C185)),0))</f>
        <v>0</v>
      </c>
      <c r="L185" s="114" t="str">
        <f t="shared" ca="1" si="47"/>
        <v>F</v>
      </c>
      <c r="M185" s="115" t="s">
        <v>705</v>
      </c>
      <c r="N185" s="116" t="str">
        <f t="shared" ca="1" si="48"/>
        <v>Serviço</v>
      </c>
      <c r="O185" s="117" t="str">
        <f t="shared" ca="1" si="49"/>
        <v>1.5.5.3.12.</v>
      </c>
      <c r="P185" s="118" t="s">
        <v>750</v>
      </c>
      <c r="Q185" s="119" t="s">
        <v>1021</v>
      </c>
      <c r="R185" s="120" t="str">
        <f ca="1">IF($C185="S",REFERENCIA.Descricao,"(digite a descrição aqui)")</f>
        <v>TRANSPORTE COM CAMINHÃO BASCULANTE DE 18 M³, EM VIA URBANA PAVIMENTADA, DMT ATÉ 30 KM (UNIDADE: M3XKM). AF_07/2020</v>
      </c>
      <c r="S185" s="121" t="str">
        <f ca="1">REFERENCIA.Unidade</f>
        <v>M3XKM</v>
      </c>
      <c r="T185" s="122">
        <f ca="1">OFFSET(CÁLCULO!H$15,ROW($T185)-ROW(T$15),0)</f>
        <v>7.35</v>
      </c>
      <c r="U185" s="123">
        <f t="shared" ca="1" si="21"/>
        <v>1.9</v>
      </c>
      <c r="V185" s="124" t="s">
        <v>663</v>
      </c>
      <c r="W185" s="122">
        <f ca="1">IF($C185="S",ROUND(IF(TIPOORCAMENTO="Proposto",ORÇAMENTO.CustoUnitario*(1+$AH185),ORÇAMENTO.PrecoUnitarioLicitado),15-13*$AF$10),0)</f>
        <v>2.35</v>
      </c>
      <c r="X185" s="125" cm="1">
        <f t="array" aca="1" ref="X185" ca="1">IF($C185="S",IF(OR(Import.TipoArredondamento&lt;&gt;"TransfereGOV",ACOMPANHAMENTO="BM"),VTOTAL1,SUM(OFFSET(CÁLCULO!$AI$15,ROW($X185)-ROW($X$15),1):OFFSET(CÁLCULO!$BB$15,ROW($X185)-ROW($X$15),-1))),IF($C185=0,0,ROUND(SomaAgrup,15-13*$AF$11)))</f>
        <v>17.27</v>
      </c>
      <c r="Y185" s="126" t="s">
        <v>751</v>
      </c>
      <c r="Z185" t="str">
        <f t="shared" ca="1" si="50"/>
        <v>RA</v>
      </c>
      <c r="AA185" s="127">
        <f ca="1">IF($C185="S",IF($Z185="CP",$X185,IF($Z185="RA",(($X185)*QCI!$AA$3),0)),SomaAgrup)</f>
        <v>0</v>
      </c>
      <c r="AB185" s="128">
        <f t="shared" ca="1" si="51"/>
        <v>0</v>
      </c>
      <c r="AC185" s="565" t="str" cm="1">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IF(AND(_xlfn.SINGLE(TIPOORCAMENTO)="Licitado",$AL185=0,$AN185&gt;0),"SEM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t="str">
        <f ca="1">IF(C185&lt;=CRONO.NivelExibicao,MAX($AD$15:OFFSET(AD185,-1,0))+IF($C185&lt;&gt;1,1,MAX(1,COUNTIF(QCI!$A$13:$A$15,OFFSET($E185,-1,0)))),"")</f>
        <v/>
      </c>
      <c r="AE185" s="7" t="str">
        <f ca="1">IF(AND($C185="S",ORÇAMENTO.CodBarra&lt;&gt;""),IF(ORÇAMENTO.Fonte="",ORÇAMENTO.CodBarra,CONCATENATE(ORÇAMENTO.Fonte," ",ORÇAMENTO.CodBarra)))</f>
        <v>SINAPI 95877</v>
      </c>
      <c r="AF185" s="12">
        <f ca="1">IF(ISERROR(INDIRECT(ORÇAMENTO.BancoRef)),"(abra o arquivo 'Referência "&amp;Excel_BuiltIn_Database&amp;".xlsm)",IF(OR($C185&lt;&gt;"S",ORÇAMENTO.CodBarra=""),"(Sem Código)",IF(ISERROR(MATCH($AE185,INDIRECT(ORÇAMENTO.BancoRef),0)),"(Código não identificado nas referências)",MATCH($AE185,INDIRECT(ORÇAMENTO.BancoRef),0))))</f>
        <v>15362</v>
      </c>
      <c r="AG185" s="428">
        <f ca="1">ROUND(IF(DESONERACAO="sim",REFERENCIA.Desonerado,REFERENCIA.NaoDesonerado),2)</f>
        <v>1.9</v>
      </c>
      <c r="AH185" s="429">
        <f t="shared" ca="1" si="52"/>
        <v>0.23499999999999999</v>
      </c>
      <c r="AJ185" s="431">
        <v>7.35</v>
      </c>
      <c r="AL185" s="439"/>
      <c r="AM185" s="336">
        <f t="shared" ca="1" si="0"/>
        <v>17.27</v>
      </c>
      <c r="AN185" s="470">
        <f t="shared" ca="1" si="53"/>
        <v>2.35</v>
      </c>
    </row>
    <row r="186" spans="1:40" x14ac:dyDescent="0.2">
      <c r="A186" t="str">
        <f t="shared" si="39"/>
        <v>S</v>
      </c>
      <c r="B186">
        <f t="shared" ca="1" si="40"/>
        <v>4</v>
      </c>
      <c r="C186" t="str">
        <f t="shared" ca="1" si="41"/>
        <v>S</v>
      </c>
      <c r="D186">
        <f t="shared" ca="1" si="42"/>
        <v>0</v>
      </c>
      <c r="E186">
        <f ca="1">IF($C186=1,OFFSET(E186,-1,0)+MAX(1,COUNTIF(QCI!$A$13:$A$15,OFFSET(ORÇAMENTO!E186,-1,0))),OFFSET(E186,-1,0))</f>
        <v>1</v>
      </c>
      <c r="F186">
        <f t="shared" ca="1" si="43"/>
        <v>5</v>
      </c>
      <c r="G186">
        <f t="shared" ca="1" si="44"/>
        <v>5</v>
      </c>
      <c r="H186">
        <f t="shared" ca="1" si="45"/>
        <v>3</v>
      </c>
      <c r="I186">
        <f t="shared" ca="1" si="46"/>
        <v>13</v>
      </c>
      <c r="J186">
        <f t="shared" ca="1" si="38"/>
        <v>0</v>
      </c>
      <c r="K186">
        <f ca="1">IF(OR($C186="S",$C186=0),0,MATCH(OFFSET($D186,0,$C186)+IF($C186&lt;&gt;1,1,COUNTIF(QCI!$A$13:$A$15,ORÇAMENTO!E186)),OFFSET($D186,1,$C186,ROW($C$508)-ROW($C186)),0))</f>
        <v>0</v>
      </c>
      <c r="L186" s="114" t="str">
        <f t="shared" ca="1" si="47"/>
        <v>F</v>
      </c>
      <c r="M186" s="115" t="s">
        <v>705</v>
      </c>
      <c r="N186" s="116" t="str">
        <f t="shared" ca="1" si="48"/>
        <v>Serviço</v>
      </c>
      <c r="O186" s="117" t="str">
        <f t="shared" ca="1" si="49"/>
        <v>1.5.5.3.13.</v>
      </c>
      <c r="P186" s="118" t="s">
        <v>958</v>
      </c>
      <c r="Q186" s="119" t="s">
        <v>1013</v>
      </c>
      <c r="R186" s="120" t="str">
        <f ca="1">IF($C186="S",REFERENCIA.Descricao,"(digite a descrição aqui)")</f>
        <v>TAXA ATERRO SANITÁRIO</v>
      </c>
      <c r="S186" s="121" t="str">
        <f ca="1">REFERENCIA.Unidade</f>
        <v>T</v>
      </c>
      <c r="T186" s="122">
        <f ca="1">OFFSET(CÁLCULO!H$15,ROW($T186)-ROW(T$15),0)</f>
        <v>2</v>
      </c>
      <c r="U186" s="123">
        <f ca="1">AG186</f>
        <v>65.19</v>
      </c>
      <c r="V186" s="124" t="s">
        <v>663</v>
      </c>
      <c r="W186" s="122">
        <f ca="1">IF($C186="S",ROUND(IF(TIPOORCAMENTO="Proposto",ORÇAMENTO.CustoUnitario*(1+$AH186),ORÇAMENTO.PrecoUnitarioLicitado),15-13*$AF$10),0)</f>
        <v>80.510000000000005</v>
      </c>
      <c r="X186" s="125" cm="1">
        <f t="array" aca="1" ref="X186" ca="1">IF($C186="S",IF(OR(Import.TipoArredondamento&lt;&gt;"TransfereGOV",ACOMPANHAMENTO="BM"),VTOTAL1,SUM(OFFSET(CÁLCULO!$AI$15,ROW($X186)-ROW($X$15),1):OFFSET(CÁLCULO!$BB$15,ROW($X186)-ROW($X$15),-1))),IF($C186=0,0,ROUND(SomaAgrup,15-13*$AF$11)))</f>
        <v>161.02000000000001</v>
      </c>
      <c r="Y186" s="126" t="s">
        <v>751</v>
      </c>
      <c r="Z186" t="str">
        <f t="shared" ca="1" si="50"/>
        <v>RA</v>
      </c>
      <c r="AA186" s="127">
        <f ca="1">IF($C186="S",IF($Z186="CP",$X186,IF($Z186="RA",(($X186)*QCI!$AA$3),0)),SomaAgrup)</f>
        <v>0</v>
      </c>
      <c r="AB186" s="128">
        <f t="shared" ca="1" si="51"/>
        <v>0</v>
      </c>
      <c r="AC186" s="565" t="str" cm="1">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IF(AND(_xlfn.SINGLE(TIPOORCAMENTO)="Licitado",$AL186=0,$AN186&gt;0),"SEM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t="str">
        <f ca="1">IF(C186&lt;=CRONO.NivelExibicao,MAX($AD$15:OFFSET(AD186,-1,0))+IF($C186&lt;&gt;1,1,MAX(1,COUNTIF(QCI!$A$13:$A$15,OFFSET($E186,-1,0)))),"")</f>
        <v/>
      </c>
      <c r="AE186" s="7" t="str">
        <f ca="1">IF(AND($C186="S",ORÇAMENTO.CodBarra&lt;&gt;""),IF(ORÇAMENTO.Fonte="",ORÇAMENTO.CodBarra,CONCATENATE(ORÇAMENTO.Fonte," ",ORÇAMENTO.CodBarra)))</f>
        <v>Cotação COT-072</v>
      </c>
      <c r="AF186" s="12">
        <f ca="1">IF(ISERROR(INDIRECT(ORÇAMENTO.BancoRef)),"(abra o arquivo 'Referência "&amp;Excel_BuiltIn_Database&amp;".xlsm)",IF(OR($C186&lt;&gt;"S",ORÇAMENTO.CodBarra=""),"(Sem Código)",IF(ISERROR(MATCH($AE186,INDIRECT(ORÇAMENTO.BancoRef),0)),"(Código não identificado nas referências)",MATCH($AE186,INDIRECT(ORÇAMENTO.BancoRef),0))))</f>
        <v>138</v>
      </c>
      <c r="AG186" s="428">
        <f ca="1">ROUND(IF(DESONERACAO="sim",REFERENCIA.Desonerado,REFERENCIA.NaoDesonerado),2)</f>
        <v>65.19</v>
      </c>
      <c r="AH186" s="429">
        <f t="shared" ca="1" si="52"/>
        <v>0.23499999999999999</v>
      </c>
      <c r="AJ186" s="431">
        <f>ROUND(AJ184*1.36,2)</f>
        <v>2</v>
      </c>
      <c r="AL186" s="439"/>
      <c r="AM186" s="336">
        <f t="shared" ca="1" si="0"/>
        <v>161.02000000000001</v>
      </c>
      <c r="AN186" s="470">
        <f t="shared" ca="1" si="53"/>
        <v>80.510000000000005</v>
      </c>
    </row>
    <row r="187" spans="1:40" ht="25.5" x14ac:dyDescent="0.2">
      <c r="A187" t="str">
        <f t="shared" si="39"/>
        <v>S</v>
      </c>
      <c r="B187">
        <f t="shared" ca="1" si="40"/>
        <v>4</v>
      </c>
      <c r="C187" t="str">
        <f t="shared" ca="1" si="41"/>
        <v>S</v>
      </c>
      <c r="D187">
        <f t="shared" ca="1" si="42"/>
        <v>0</v>
      </c>
      <c r="E187">
        <f ca="1">IF($C187=1,OFFSET(E187,-1,0)+MAX(1,COUNTIF(QCI!$A$13:$A$15,OFFSET(ORÇAMENTO!E187,-1,0))),OFFSET(E187,-1,0))</f>
        <v>1</v>
      </c>
      <c r="F187">
        <f t="shared" ca="1" si="43"/>
        <v>5</v>
      </c>
      <c r="G187">
        <f t="shared" ca="1" si="44"/>
        <v>5</v>
      </c>
      <c r="H187">
        <f t="shared" ca="1" si="45"/>
        <v>3</v>
      </c>
      <c r="I187">
        <f t="shared" ca="1" si="46"/>
        <v>14</v>
      </c>
      <c r="J187">
        <f t="shared" ca="1" si="38"/>
        <v>0</v>
      </c>
      <c r="K187">
        <f ca="1">IF(OR($C187="S",$C187=0),0,MATCH(OFFSET($D187,0,$C187)+IF($C187&lt;&gt;1,1,COUNTIF(QCI!$A$13:$A$15,ORÇAMENTO!E187)),OFFSET($D187,1,$C187,ROW($C$508)-ROW($C187)),0))</f>
        <v>0</v>
      </c>
      <c r="L187" s="114" t="str">
        <f t="shared" ca="1" si="47"/>
        <v>F</v>
      </c>
      <c r="M187" s="115" t="s">
        <v>705</v>
      </c>
      <c r="N187" s="116" t="str">
        <f t="shared" ca="1" si="48"/>
        <v>Serviço</v>
      </c>
      <c r="O187" s="117" t="str">
        <f t="shared" ca="1" si="49"/>
        <v>1.5.5.3.14.</v>
      </c>
      <c r="P187" s="118" t="s">
        <v>750</v>
      </c>
      <c r="Q187" s="119" t="s">
        <v>1014</v>
      </c>
      <c r="R187" s="120" t="str">
        <f ca="1">IF($C187="S",REFERENCIA.Descricao,"(digite a descrição aqui)")</f>
        <v>ESPALHAMENTO DE MATERIAL COM TRATOR DE ESTEIRAS. AF_09/2024</v>
      </c>
      <c r="S187" s="121" t="str">
        <f ca="1">REFERENCIA.Unidade</f>
        <v>M3</v>
      </c>
      <c r="T187" s="122">
        <f ca="1">OFFSET(CÁLCULO!H$15,ROW($T187)-ROW(T$15),0)</f>
        <v>0.78</v>
      </c>
      <c r="U187" s="123">
        <f t="shared" ca="1" si="21"/>
        <v>1.49</v>
      </c>
      <c r="V187" s="124" t="s">
        <v>663</v>
      </c>
      <c r="W187" s="122">
        <f ca="1">IF($C187="S",ROUND(IF(TIPOORCAMENTO="Proposto",ORÇAMENTO.CustoUnitario*(1+$AH187),ORÇAMENTO.PrecoUnitarioLicitado),15-13*$AF$10),0)</f>
        <v>1.84</v>
      </c>
      <c r="X187" s="125" cm="1">
        <f t="array" aca="1" ref="X187" ca="1">IF($C187="S",IF(OR(Import.TipoArredondamento&lt;&gt;"TransfereGOV",ACOMPANHAMENTO="BM"),VTOTAL1,SUM(OFFSET(CÁLCULO!$AI$15,ROW($X187)-ROW($X$15),1):OFFSET(CÁLCULO!$BB$15,ROW($X187)-ROW($X$15),-1))),IF($C187=0,0,ROUND(SomaAgrup,15-13*$AF$11)))</f>
        <v>1.44</v>
      </c>
      <c r="Y187" s="126" t="s">
        <v>751</v>
      </c>
      <c r="Z187" t="str">
        <f t="shared" ca="1" si="50"/>
        <v>RA</v>
      </c>
      <c r="AA187" s="127">
        <f ca="1">IF($C187="S",IF($Z187="CP",$X187,IF($Z187="RA",(($X187)*QCI!$AA$3),0)),SomaAgrup)</f>
        <v>0</v>
      </c>
      <c r="AB187" s="128">
        <f t="shared" ca="1" si="51"/>
        <v>0</v>
      </c>
      <c r="AC187" s="565" t="str" cm="1">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IF(AND(_xlfn.SINGLE(TIPOORCAMENTO)="Licitado",$AL187=0,$AN187&gt;0),"SEM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t="str">
        <f ca="1">IF(C187&lt;=CRONO.NivelExibicao,MAX($AD$15:OFFSET(AD187,-1,0))+IF($C187&lt;&gt;1,1,MAX(1,COUNTIF(QCI!$A$13:$A$15,OFFSET($E187,-1,0)))),"")</f>
        <v/>
      </c>
      <c r="AE187" s="7" t="str">
        <f ca="1">IF(AND($C187="S",ORÇAMENTO.CodBarra&lt;&gt;""),IF(ORÇAMENTO.Fonte="",ORÇAMENTO.CodBarra,CONCATENATE(ORÇAMENTO.Fonte," ",ORÇAMENTO.CodBarra)))</f>
        <v>SINAPI 100574</v>
      </c>
      <c r="AF187" s="12">
        <f ca="1">IF(ISERROR(INDIRECT(ORÇAMENTO.BancoRef)),"(abra o arquivo 'Referência "&amp;Excel_BuiltIn_Database&amp;".xlsm)",IF(OR($C187&lt;&gt;"S",ORÇAMENTO.CodBarra=""),"(Sem Código)",IF(ISERROR(MATCH($AE187,INDIRECT(ORÇAMENTO.BancoRef),0)),"(Código não identificado nas referências)",MATCH($AE187,INDIRECT(ORÇAMENTO.BancoRef),0))))</f>
        <v>6916</v>
      </c>
      <c r="AG187" s="428">
        <f ca="1">ROUND(IF(DESONERACAO="sim",REFERENCIA.Desonerado,REFERENCIA.NaoDesonerado),2)</f>
        <v>1.49</v>
      </c>
      <c r="AH187" s="429">
        <f t="shared" ca="1" si="52"/>
        <v>0.23499999999999999</v>
      </c>
      <c r="AJ187" s="431">
        <v>0.78</v>
      </c>
      <c r="AL187" s="439"/>
      <c r="AM187" s="336">
        <f t="shared" ca="1" si="0"/>
        <v>1.44</v>
      </c>
      <c r="AN187" s="470">
        <f t="shared" ca="1" si="53"/>
        <v>1.84</v>
      </c>
    </row>
    <row r="188" spans="1:40" x14ac:dyDescent="0.2">
      <c r="A188">
        <f t="shared" si="39"/>
        <v>4</v>
      </c>
      <c r="B188">
        <f t="shared" ca="1" si="40"/>
        <v>4</v>
      </c>
      <c r="C188">
        <f t="shared" ca="1" si="41"/>
        <v>4</v>
      </c>
      <c r="D188">
        <f t="shared" ca="1" si="42"/>
        <v>6</v>
      </c>
      <c r="E188">
        <f ca="1">IF($C188=1,OFFSET(E188,-1,0)+MAX(1,COUNTIF(QCI!$A$13:$A$15,OFFSET(ORÇAMENTO!E188,-1,0))),OFFSET(E188,-1,0))</f>
        <v>1</v>
      </c>
      <c r="F188">
        <f t="shared" ca="1" si="43"/>
        <v>5</v>
      </c>
      <c r="G188">
        <f t="shared" ca="1" si="44"/>
        <v>5</v>
      </c>
      <c r="H188">
        <f t="shared" ca="1" si="45"/>
        <v>4</v>
      </c>
      <c r="I188">
        <f t="shared" ca="1" si="46"/>
        <v>0</v>
      </c>
      <c r="J188">
        <f t="shared" ca="1" si="38"/>
        <v>19</v>
      </c>
      <c r="K188">
        <f ca="1">IF(OR($C188="S",$C188=0),0,MATCH(OFFSET($D188,0,$C188)+IF($C188&lt;&gt;1,1,COUNTIF(QCI!$A$13:$A$15,ORÇAMENTO!E188)),OFFSET($D188,1,$C188,ROW($C$508)-ROW($C188)),0))</f>
        <v>6</v>
      </c>
      <c r="L188" s="114" t="str">
        <f t="shared" ca="1" si="47"/>
        <v>F</v>
      </c>
      <c r="M188" s="115" t="s">
        <v>704</v>
      </c>
      <c r="N188" s="116" t="str">
        <f t="shared" ca="1" si="48"/>
        <v>Nível 4</v>
      </c>
      <c r="O188" s="117" t="str">
        <f t="shared" ca="1" si="49"/>
        <v>1.5.5.4.</v>
      </c>
      <c r="P188" s="118" t="s">
        <v>750</v>
      </c>
      <c r="Q188" s="119"/>
      <c r="R188" s="120" t="s">
        <v>1222</v>
      </c>
      <c r="S188" s="121" t="s">
        <v>688</v>
      </c>
      <c r="T188" s="122">
        <f ca="1">OFFSET(CÁLCULO!H$15,ROW($T188)-ROW(T$15),0)</f>
        <v>0</v>
      </c>
      <c r="U188" s="123">
        <f t="shared" ca="1" si="21"/>
        <v>0</v>
      </c>
      <c r="V188" s="124" t="s">
        <v>663</v>
      </c>
      <c r="W188" s="122">
        <f ca="1">IF($C188="S",ROUND(IF(TIPOORCAMENTO="Proposto",ORÇAMENTO.CustoUnitario*(1+$AH188),ORÇAMENTO.PrecoUnitarioLicitado),15-13*$AF$10),0)</f>
        <v>0</v>
      </c>
      <c r="X188" s="125" cm="1">
        <f t="array" aca="1" ref="X188" ca="1">IF($C188="S",IF(OR(Import.TipoArredondamento&lt;&gt;"TransfereGOV",ACOMPANHAMENTO="BM"),VTOTAL1,SUM(OFFSET(CÁLCULO!$AI$15,ROW($X188)-ROW($X$15),1):OFFSET(CÁLCULO!$BB$15,ROW($X188)-ROW($X$15),-1))),IF($C188=0,0,ROUND(SomaAgrup,15-13*$AF$11)))</f>
        <v>6977.62</v>
      </c>
      <c r="Y188" s="126" t="s">
        <v>751</v>
      </c>
      <c r="Z188" t="str">
        <f t="shared" ca="1" si="50"/>
        <v/>
      </c>
      <c r="AA188" s="127">
        <f ca="1">IF($C188="S",IF($Z188="CP",$X188,IF($Z188="RA",(($X188)*QCI!$AA$3),0)),SomaAgrup)</f>
        <v>0</v>
      </c>
      <c r="AB188" s="128">
        <f t="shared" ca="1" si="51"/>
        <v>0</v>
      </c>
      <c r="AC188" s="565" t="str" cm="1">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IF(AND(_xlfn.SINGLE(TIPOORCAMENTO)="Licitado",$AL188=0,$AN188&gt;0),"SEM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t="str">
        <f ca="1">IF(C188&lt;=CRONO.NivelExibicao,MAX($AD$15:OFFSET(AD188,-1,0))+IF($C188&lt;&gt;1,1,MAX(1,COUNTIF(QCI!$A$13:$A$15,OFFSET($E188,-1,0)))),"")</f>
        <v/>
      </c>
      <c r="AE188" s="7" t="b">
        <f ca="1">IF(AND($C188="S",ORÇAMENTO.CodBarra&lt;&gt;""),IF(ORÇAMENTO.Fonte="",ORÇAMENTO.CodBarra,CONCATENATE(ORÇAMENTO.Fonte," ",ORÇAMENTO.CodBarra)))</f>
        <v>0</v>
      </c>
      <c r="AF188" s="12" t="str">
        <f ca="1">IF(ISERROR(INDIRECT(ORÇAMENTO.BancoRef)),"(abra o arquivo 'Referência "&amp;Excel_BuiltIn_Database&amp;".xlsm)",IF(OR($C188&lt;&gt;"S",ORÇAMENTO.CodBarra=""),"(Sem Código)",IF(ISERROR(MATCH($AE188,INDIRECT(ORÇAMENTO.BancoRef),0)),"(Código não identificado nas referências)",MATCH($AE188,INDIRECT(ORÇAMENTO.BancoRef),0))))</f>
        <v>(Sem Código)</v>
      </c>
      <c r="AG188" s="428">
        <f ca="1">ROUND(IF(DESONERACAO="sim",REFERENCIA.Desonerado,REFERENCIA.NaoDesonerado),2)</f>
        <v>0</v>
      </c>
      <c r="AH188" s="429">
        <f t="shared" ca="1" si="52"/>
        <v>0.23499999999999999</v>
      </c>
      <c r="AJ188" s="431"/>
      <c r="AL188" s="439"/>
      <c r="AM188" s="336">
        <f t="shared" ca="1" si="0"/>
        <v>6977.62</v>
      </c>
      <c r="AN188" s="470">
        <f t="shared" ca="1" si="53"/>
        <v>0</v>
      </c>
    </row>
    <row r="189" spans="1:40" ht="38.25" x14ac:dyDescent="0.2">
      <c r="A189" t="str">
        <f t="shared" si="39"/>
        <v>S</v>
      </c>
      <c r="B189">
        <f t="shared" ca="1" si="40"/>
        <v>4</v>
      </c>
      <c r="C189" t="str">
        <f t="shared" ca="1" si="41"/>
        <v>S</v>
      </c>
      <c r="D189">
        <f t="shared" ca="1" si="42"/>
        <v>0</v>
      </c>
      <c r="E189">
        <f ca="1">IF($C189=1,OFFSET(E189,-1,0)+MAX(1,COUNTIF(QCI!$A$13:$A$15,OFFSET(ORÇAMENTO!E189,-1,0))),OFFSET(E189,-1,0))</f>
        <v>1</v>
      </c>
      <c r="F189">
        <f t="shared" ca="1" si="43"/>
        <v>5</v>
      </c>
      <c r="G189">
        <f t="shared" ca="1" si="44"/>
        <v>5</v>
      </c>
      <c r="H189">
        <f t="shared" ca="1" si="45"/>
        <v>4</v>
      </c>
      <c r="I189">
        <f t="shared" ca="1" si="46"/>
        <v>1</v>
      </c>
      <c r="J189">
        <f t="shared" ca="1" si="38"/>
        <v>0</v>
      </c>
      <c r="K189">
        <f ca="1">IF(OR($C189="S",$C189=0),0,MATCH(OFFSET($D189,0,$C189)+IF($C189&lt;&gt;1,1,COUNTIF(QCI!$A$13:$A$15,ORÇAMENTO!E189)),OFFSET($D189,1,$C189,ROW($C$508)-ROW($C189)),0))</f>
        <v>0</v>
      </c>
      <c r="L189" s="114" t="str">
        <f t="shared" ca="1" si="47"/>
        <v>F</v>
      </c>
      <c r="M189" s="115" t="s">
        <v>705</v>
      </c>
      <c r="N189" s="116" t="str">
        <f t="shared" ca="1" si="48"/>
        <v>Serviço</v>
      </c>
      <c r="O189" s="117" t="str">
        <f t="shared" ca="1" si="49"/>
        <v>1.5.5.4.1.</v>
      </c>
      <c r="P189" s="118" t="s">
        <v>750</v>
      </c>
      <c r="Q189" s="119" t="s">
        <v>1017</v>
      </c>
      <c r="R189" s="120" t="str">
        <f ca="1">IF($C189="S",REFERENCIA.Descricao,"(digite a descrição aqui)")</f>
        <v>CONCRETO FCK = 40MPA, TRAÇO 1:1,6:1,9 (EM MASSA SECA DE CIMENTO/ AREIA MÉDIA/ BRITA 1) - PREPARO MECÂNICO COM BETONEIRA 600 L. AF_05/2021</v>
      </c>
      <c r="S189" s="121" t="str">
        <f ca="1">REFERENCIA.Unidade</f>
        <v>M3</v>
      </c>
      <c r="T189" s="122">
        <f ca="1">OFFSET(CÁLCULO!H$15,ROW($T189)-ROW(T$15),0)</f>
        <v>1.4</v>
      </c>
      <c r="U189" s="123">
        <f t="shared" ca="1" si="21"/>
        <v>628.30999999999995</v>
      </c>
      <c r="V189" s="124" t="s">
        <v>663</v>
      </c>
      <c r="W189" s="122">
        <f ca="1">IF($C189="S",ROUND(IF(TIPOORCAMENTO="Proposto",ORÇAMENTO.CustoUnitario*(1+$AH189),ORÇAMENTO.PrecoUnitarioLicitado),15-13*$AF$10),0)</f>
        <v>775.96</v>
      </c>
      <c r="X189" s="125" cm="1">
        <f t="array" aca="1" ref="X189" ca="1">IF($C189="S",IF(OR(Import.TipoArredondamento&lt;&gt;"TransfereGOV",ACOMPANHAMENTO="BM"),VTOTAL1,SUM(OFFSET(CÁLCULO!$AI$15,ROW($X189)-ROW($X$15),1):OFFSET(CÁLCULO!$BB$15,ROW($X189)-ROW($X$15),-1))),IF($C189=0,0,ROUND(SomaAgrup,15-13*$AF$11)))</f>
        <v>1086.3399999999999</v>
      </c>
      <c r="Y189" s="126" t="s">
        <v>751</v>
      </c>
      <c r="Z189" t="str">
        <f t="shared" ca="1" si="50"/>
        <v>RA</v>
      </c>
      <c r="AA189" s="127">
        <f ca="1">IF($C189="S",IF($Z189="CP",$X189,IF($Z189="RA",(($X189)*QCI!$AA$3),0)),SomaAgrup)</f>
        <v>0</v>
      </c>
      <c r="AB189" s="128">
        <f t="shared" ca="1" si="51"/>
        <v>0</v>
      </c>
      <c r="AC189" s="565" t="str" cm="1">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IF(AND(_xlfn.SINGLE(TIPOORCAMENTO)="Licitado",$AL189=0,$AN189&gt;0),"SEM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t="str">
        <f ca="1">IF(C189&lt;=CRONO.NivelExibicao,MAX($AD$15:OFFSET(AD189,-1,0))+IF($C189&lt;&gt;1,1,MAX(1,COUNTIF(QCI!$A$13:$A$15,OFFSET($E189,-1,0)))),"")</f>
        <v/>
      </c>
      <c r="AE189" s="7" t="str">
        <f ca="1">IF(AND($C189="S",ORÇAMENTO.CodBarra&lt;&gt;""),IF(ORÇAMENTO.Fonte="",ORÇAMENTO.CodBarra,CONCATENATE(ORÇAMENTO.Fonte," ",ORÇAMENTO.CodBarra)))</f>
        <v>SINAPI 94973</v>
      </c>
      <c r="AF189" s="12">
        <f ca="1">IF(ISERROR(INDIRECT(ORÇAMENTO.BancoRef)),"(abra o arquivo 'Referência "&amp;Excel_BuiltIn_Database&amp;".xlsm)",IF(OR($C189&lt;&gt;"S",ORÇAMENTO.CodBarra=""),"(Sem Código)",IF(ISERROR(MATCH($AE189,INDIRECT(ORÇAMENTO.BancoRef),0)),"(Código não identificado nas referências)",MATCH($AE189,INDIRECT(ORÇAMENTO.BancoRef),0))))</f>
        <v>14326</v>
      </c>
      <c r="AG189" s="428">
        <f ca="1">ROUND(IF(DESONERACAO="sim",REFERENCIA.Desonerado,REFERENCIA.NaoDesonerado),2)</f>
        <v>628.30999999999995</v>
      </c>
      <c r="AH189" s="429">
        <f t="shared" ca="1" si="52"/>
        <v>0.23499999999999999</v>
      </c>
      <c r="AJ189" s="431">
        <f>0.65+0.75</f>
        <v>1.4</v>
      </c>
      <c r="AL189" s="439"/>
      <c r="AM189" s="336">
        <f t="shared" ca="1" si="0"/>
        <v>1086.3399999999999</v>
      </c>
      <c r="AN189" s="470">
        <f t="shared" ca="1" si="53"/>
        <v>775.96</v>
      </c>
    </row>
    <row r="190" spans="1:40" ht="25.5" x14ac:dyDescent="0.2">
      <c r="A190" t="str">
        <f t="shared" si="39"/>
        <v>S</v>
      </c>
      <c r="B190">
        <f t="shared" ca="1" si="40"/>
        <v>4</v>
      </c>
      <c r="C190" t="str">
        <f t="shared" ca="1" si="41"/>
        <v>S</v>
      </c>
      <c r="D190">
        <f t="shared" ca="1" si="42"/>
        <v>0</v>
      </c>
      <c r="E190">
        <f ca="1">IF($C190=1,OFFSET(E190,-1,0)+MAX(1,COUNTIF(QCI!$A$13:$A$15,OFFSET(ORÇAMENTO!E190,-1,0))),OFFSET(E190,-1,0))</f>
        <v>1</v>
      </c>
      <c r="F190">
        <f t="shared" ca="1" si="43"/>
        <v>5</v>
      </c>
      <c r="G190">
        <f t="shared" ca="1" si="44"/>
        <v>5</v>
      </c>
      <c r="H190">
        <f t="shared" ca="1" si="45"/>
        <v>4</v>
      </c>
      <c r="I190">
        <f t="shared" ca="1" si="46"/>
        <v>2</v>
      </c>
      <c r="J190">
        <f t="shared" ca="1" si="38"/>
        <v>0</v>
      </c>
      <c r="K190">
        <f ca="1">IF(OR($C190="S",$C190=0),0,MATCH(OFFSET($D190,0,$C190)+IF($C190&lt;&gt;1,1,COUNTIF(QCI!$A$13:$A$15,ORÇAMENTO!E190)),OFFSET($D190,1,$C190,ROW($C$508)-ROW($C190)),0))</f>
        <v>0</v>
      </c>
      <c r="L190" s="114" t="str">
        <f t="shared" ca="1" si="47"/>
        <v>F</v>
      </c>
      <c r="M190" s="115" t="s">
        <v>705</v>
      </c>
      <c r="N190" s="116" t="str">
        <f t="shared" ca="1" si="48"/>
        <v>Serviço</v>
      </c>
      <c r="O190" s="117" t="str">
        <f t="shared" ca="1" si="49"/>
        <v>1.5.5.4.2.</v>
      </c>
      <c r="P190" s="118" t="s">
        <v>750</v>
      </c>
      <c r="Q190" s="119" t="s">
        <v>1018</v>
      </c>
      <c r="R190" s="120" t="str">
        <f ca="1">IF($C190="S",REFERENCIA.Descricao,"(digite a descrição aqui)")</f>
        <v>LANÇAMENTO COM USO DE BOMBA, ADENSAMENTO E ACABAMENTO DE CONCRETO EM ESTRUTURAS. AF_02/2022</v>
      </c>
      <c r="S190" s="121" t="str">
        <f ca="1">REFERENCIA.Unidade</f>
        <v>M3</v>
      </c>
      <c r="T190" s="122">
        <f ca="1">OFFSET(CÁLCULO!H$15,ROW($T190)-ROW(T$15),0)</f>
        <v>1.4</v>
      </c>
      <c r="U190" s="123">
        <f t="shared" ca="1" si="21"/>
        <v>44.5</v>
      </c>
      <c r="V190" s="124" t="s">
        <v>663</v>
      </c>
      <c r="W190" s="122">
        <f ca="1">IF($C190="S",ROUND(IF(TIPOORCAMENTO="Proposto",ORÇAMENTO.CustoUnitario*(1+$AH190),ORÇAMENTO.PrecoUnitarioLicitado),15-13*$AF$10),0)</f>
        <v>54.96</v>
      </c>
      <c r="X190" s="125" cm="1">
        <f t="array" aca="1" ref="X190" ca="1">IF($C190="S",IF(OR(Import.TipoArredondamento&lt;&gt;"TransfereGOV",ACOMPANHAMENTO="BM"),VTOTAL1,SUM(OFFSET(CÁLCULO!$AI$15,ROW($X190)-ROW($X$15),1):OFFSET(CÁLCULO!$BB$15,ROW($X190)-ROW($X$15),-1))),IF($C190=0,0,ROUND(SomaAgrup,15-13*$AF$11)))</f>
        <v>76.94</v>
      </c>
      <c r="Y190" s="126" t="s">
        <v>751</v>
      </c>
      <c r="Z190" t="str">
        <f t="shared" ca="1" si="50"/>
        <v>RA</v>
      </c>
      <c r="AA190" s="127">
        <f ca="1">IF($C190="S",IF($Z190="CP",$X190,IF($Z190="RA",(($X190)*QCI!$AA$3),0)),SomaAgrup)</f>
        <v>0</v>
      </c>
      <c r="AB190" s="128">
        <f t="shared" ca="1" si="51"/>
        <v>0</v>
      </c>
      <c r="AC190" s="565" t="str" cm="1">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IF(AND(_xlfn.SINGLE(TIPOORCAMENTO)="Licitado",$AL190=0,$AN190&gt;0),"SEM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t="str">
        <f ca="1">IF(C190&lt;=CRONO.NivelExibicao,MAX($AD$15:OFFSET(AD190,-1,0))+IF($C190&lt;&gt;1,1,MAX(1,COUNTIF(QCI!$A$13:$A$15,OFFSET($E190,-1,0)))),"")</f>
        <v/>
      </c>
      <c r="AE190" s="7" t="str">
        <f ca="1">IF(AND($C190="S",ORÇAMENTO.CodBarra&lt;&gt;""),IF(ORÇAMENTO.Fonte="",ORÇAMENTO.CodBarra,CONCATENATE(ORÇAMENTO.Fonte," ",ORÇAMENTO.CodBarra)))</f>
        <v>SINAPI 103673</v>
      </c>
      <c r="AF190" s="12">
        <f ca="1">IF(ISERROR(INDIRECT(ORÇAMENTO.BancoRef)),"(abra o arquivo 'Referência "&amp;Excel_BuiltIn_Database&amp;".xlsm)",IF(OR($C190&lt;&gt;"S",ORÇAMENTO.CodBarra=""),"(Sem Código)",IF(ISERROR(MATCH($AE190,INDIRECT(ORÇAMENTO.BancoRef),0)),"(Código não identificado nas referências)",MATCH($AE190,INDIRECT(ORÇAMENTO.BancoRef),0))))</f>
        <v>7334</v>
      </c>
      <c r="AG190" s="428">
        <f ca="1">ROUND(IF(DESONERACAO="sim",REFERENCIA.Desonerado,REFERENCIA.NaoDesonerado),2)</f>
        <v>44.5</v>
      </c>
      <c r="AH190" s="429">
        <f t="shared" ca="1" si="52"/>
        <v>0.23499999999999999</v>
      </c>
      <c r="AJ190" s="431">
        <f>AJ189</f>
        <v>1.4</v>
      </c>
      <c r="AL190" s="439"/>
      <c r="AM190" s="336">
        <f t="shared" ca="1" si="0"/>
        <v>76.94</v>
      </c>
      <c r="AN190" s="470">
        <f t="shared" ca="1" si="53"/>
        <v>54.96</v>
      </c>
    </row>
    <row r="191" spans="1:40" ht="25.5" x14ac:dyDescent="0.2">
      <c r="A191" t="str">
        <f t="shared" si="39"/>
        <v>S</v>
      </c>
      <c r="B191">
        <f t="shared" ca="1" si="40"/>
        <v>4</v>
      </c>
      <c r="C191" t="str">
        <f t="shared" ca="1" si="41"/>
        <v>S</v>
      </c>
      <c r="D191">
        <f t="shared" ca="1" si="42"/>
        <v>0</v>
      </c>
      <c r="E191">
        <f ca="1">IF($C191=1,OFFSET(E191,-1,0)+MAX(1,COUNTIF(QCI!$A$13:$A$15,OFFSET(ORÇAMENTO!E191,-1,0))),OFFSET(E191,-1,0))</f>
        <v>1</v>
      </c>
      <c r="F191">
        <f t="shared" ca="1" si="43"/>
        <v>5</v>
      </c>
      <c r="G191">
        <f t="shared" ca="1" si="44"/>
        <v>5</v>
      </c>
      <c r="H191">
        <f t="shared" ca="1" si="45"/>
        <v>4</v>
      </c>
      <c r="I191">
        <f t="shared" ca="1" si="46"/>
        <v>3</v>
      </c>
      <c r="J191">
        <f t="shared" ca="1" si="38"/>
        <v>0</v>
      </c>
      <c r="K191">
        <f ca="1">IF(OR($C191="S",$C191=0),0,MATCH(OFFSET($D191,0,$C191)+IF($C191&lt;&gt;1,1,COUNTIF(QCI!$A$13:$A$15,ORÇAMENTO!E191)),OFFSET($D191,1,$C191,ROW($C$508)-ROW($C191)),0))</f>
        <v>0</v>
      </c>
      <c r="L191" s="114" t="str">
        <f t="shared" ca="1" si="47"/>
        <v>F</v>
      </c>
      <c r="M191" s="115" t="s">
        <v>705</v>
      </c>
      <c r="N191" s="116" t="str">
        <f t="shared" ca="1" si="48"/>
        <v>Serviço</v>
      </c>
      <c r="O191" s="117" t="str">
        <f t="shared" ca="1" si="49"/>
        <v>1.5.5.4.3.</v>
      </c>
      <c r="P191" s="118" t="s">
        <v>956</v>
      </c>
      <c r="Q191" s="119" t="s">
        <v>1024</v>
      </c>
      <c r="R191" s="120" t="str">
        <f ca="1">IF($C191="S",REFERENCIA.Descricao,"(digite a descrição aqui)")</f>
        <v>FÔRMAS DE COMPENSADO RESINADO 10 MM - USO GERAL - UTILIZAÇÃO DE 3 VEZES - CONFECÇÃO, INSTALAÇÃO E RETIRADA</v>
      </c>
      <c r="S191" s="121" t="str">
        <f ca="1">REFERENCIA.Unidade</f>
        <v>M2</v>
      </c>
      <c r="T191" s="122">
        <f ca="1">OFFSET(CÁLCULO!H$15,ROW($T191)-ROW(T$15),0)</f>
        <v>21.01</v>
      </c>
      <c r="U191" s="123">
        <f t="shared" ca="1" si="21"/>
        <v>71.66</v>
      </c>
      <c r="V191" s="124" t="s">
        <v>663</v>
      </c>
      <c r="W191" s="122">
        <f ca="1">IF($C191="S",ROUND(IF(TIPOORCAMENTO="Proposto",ORÇAMENTO.CustoUnitario*(1+$AH191),ORÇAMENTO.PrecoUnitarioLicitado),15-13*$AF$10),0)</f>
        <v>88.5</v>
      </c>
      <c r="X191" s="125" cm="1">
        <f t="array" aca="1" ref="X191" ca="1">IF($C191="S",IF(OR(Import.TipoArredondamento&lt;&gt;"TransfereGOV",ACOMPANHAMENTO="BM"),VTOTAL1,SUM(OFFSET(CÁLCULO!$AI$15,ROW($X191)-ROW($X$15),1):OFFSET(CÁLCULO!$BB$15,ROW($X191)-ROW($X$15),-1))),IF($C191=0,0,ROUND(SomaAgrup,15-13*$AF$11)))</f>
        <v>1859.39</v>
      </c>
      <c r="Y191" s="126" t="s">
        <v>751</v>
      </c>
      <c r="Z191" t="str">
        <f t="shared" ca="1" si="50"/>
        <v>RA</v>
      </c>
      <c r="AA191" s="127">
        <f ca="1">IF($C191="S",IF($Z191="CP",$X191,IF($Z191="RA",(($X191)*QCI!$AA$3),0)),SomaAgrup)</f>
        <v>0</v>
      </c>
      <c r="AB191" s="128">
        <f t="shared" ca="1" si="51"/>
        <v>0</v>
      </c>
      <c r="AC191" s="565" t="str" cm="1">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IF(AND(_xlfn.SINGLE(TIPOORCAMENTO)="Licitado",$AL191=0,$AN191&gt;0),"SEM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t="str">
        <f ca="1">IF(C191&lt;=CRONO.NivelExibicao,MAX($AD$15:OFFSET(AD191,-1,0))+IF($C191&lt;&gt;1,1,MAX(1,COUNTIF(QCI!$A$13:$A$15,OFFSET($E191,-1,0)))),"")</f>
        <v/>
      </c>
      <c r="AE191" s="7" t="str">
        <f ca="1">IF(AND($C191="S",ORÇAMENTO.CodBarra&lt;&gt;""),IF(ORÇAMENTO.Fonte="",ORÇAMENTO.CodBarra,CONCATENATE(ORÇAMENTO.Fonte," ",ORÇAMENTO.CodBarra)))</f>
        <v>SICRO 3107997</v>
      </c>
      <c r="AF191" s="12">
        <f ca="1">IF(ISERROR(INDIRECT(ORÇAMENTO.BancoRef)),"(abra o arquivo 'Referência "&amp;Excel_BuiltIn_Database&amp;".xlsm)",IF(OR($C191&lt;&gt;"S",ORÇAMENTO.CodBarra=""),"(Sem Código)",IF(ISERROR(MATCH($AE191,INDIRECT(ORÇAMENTO.BancoRef),0)),"(Código não identificado nas referências)",MATCH($AE191,INDIRECT(ORÇAMENTO.BancoRef),0))))</f>
        <v>19900</v>
      </c>
      <c r="AG191" s="428">
        <f ca="1">ROUND(IF(DESONERACAO="sim",REFERENCIA.Desonerado,REFERENCIA.NaoDesonerado),2)</f>
        <v>71.66</v>
      </c>
      <c r="AH191" s="429">
        <f t="shared" ca="1" si="52"/>
        <v>0.23499999999999999</v>
      </c>
      <c r="AJ191" s="431">
        <v>21.01</v>
      </c>
      <c r="AL191" s="439"/>
      <c r="AM191" s="336">
        <f t="shared" ca="1" si="0"/>
        <v>1859.39</v>
      </c>
      <c r="AN191" s="470">
        <f t="shared" ca="1" si="53"/>
        <v>88.5</v>
      </c>
    </row>
    <row r="192" spans="1:40" ht="25.5" x14ac:dyDescent="0.2">
      <c r="A192" t="str">
        <f t="shared" si="39"/>
        <v>S</v>
      </c>
      <c r="B192">
        <f t="shared" ca="1" si="40"/>
        <v>4</v>
      </c>
      <c r="C192" t="str">
        <f t="shared" ca="1" si="41"/>
        <v>S</v>
      </c>
      <c r="D192">
        <f t="shared" ca="1" si="42"/>
        <v>0</v>
      </c>
      <c r="E192">
        <f ca="1">IF($C192=1,OFFSET(E192,-1,0)+MAX(1,COUNTIF(QCI!$A$13:$A$15,OFFSET(ORÇAMENTO!E192,-1,0))),OFFSET(E192,-1,0))</f>
        <v>1</v>
      </c>
      <c r="F192">
        <f t="shared" ca="1" si="43"/>
        <v>5</v>
      </c>
      <c r="G192">
        <f t="shared" ca="1" si="44"/>
        <v>5</v>
      </c>
      <c r="H192">
        <f t="shared" ca="1" si="45"/>
        <v>4</v>
      </c>
      <c r="I192">
        <f t="shared" ca="1" si="46"/>
        <v>4</v>
      </c>
      <c r="J192">
        <f t="shared" ca="1" si="38"/>
        <v>0</v>
      </c>
      <c r="K192">
        <f ca="1">IF(OR($C192="S",$C192=0),0,MATCH(OFFSET($D192,0,$C192)+IF($C192&lt;&gt;1,1,COUNTIF(QCI!$A$13:$A$15,ORÇAMENTO!E192)),OFFSET($D192,1,$C192,ROW($C$508)-ROW($C192)),0))</f>
        <v>0</v>
      </c>
      <c r="L192" s="114" t="str">
        <f t="shared" ca="1" si="47"/>
        <v>F</v>
      </c>
      <c r="M192" s="115" t="s">
        <v>705</v>
      </c>
      <c r="N192" s="116" t="str">
        <f t="shared" ca="1" si="48"/>
        <v>Serviço</v>
      </c>
      <c r="O192" s="117" t="str">
        <f t="shared" ca="1" si="49"/>
        <v>1.5.5.4.4.</v>
      </c>
      <c r="P192" s="118" t="s">
        <v>956</v>
      </c>
      <c r="Q192" s="119" t="s">
        <v>1019</v>
      </c>
      <c r="R192" s="120" t="str">
        <f ca="1">IF($C192="S",REFERENCIA.Descricao,"(digite a descrição aqui)")</f>
        <v>ARMAÇÃO EM AÇO CA-50 - FORNECIMENTO, PREPARO E COLOCAÇÃO</v>
      </c>
      <c r="S192" s="121" t="str">
        <f ca="1">REFERENCIA.Unidade</f>
        <v>KG</v>
      </c>
      <c r="T192" s="122">
        <f ca="1">OFFSET(CÁLCULO!H$15,ROW($T192)-ROW(T$15),0)</f>
        <v>177.4</v>
      </c>
      <c r="U192" s="123">
        <f t="shared" ca="1" si="21"/>
        <v>12.08</v>
      </c>
      <c r="V192" s="124" t="s">
        <v>663</v>
      </c>
      <c r="W192" s="122">
        <f ca="1">IF($C192="S",ROUND(IF(TIPOORCAMENTO="Proposto",ORÇAMENTO.CustoUnitario*(1+$AH192),ORÇAMENTO.PrecoUnitarioLicitado),15-13*$AF$10),0)</f>
        <v>14.92</v>
      </c>
      <c r="X192" s="125" cm="1">
        <f t="array" aca="1" ref="X192" ca="1">IF($C192="S",IF(OR(Import.TipoArredondamento&lt;&gt;"TransfereGOV",ACOMPANHAMENTO="BM"),VTOTAL1,SUM(OFFSET(CÁLCULO!$AI$15,ROW($X192)-ROW($X$15),1):OFFSET(CÁLCULO!$BB$15,ROW($X192)-ROW($X$15),-1))),IF($C192=0,0,ROUND(SomaAgrup,15-13*$AF$11)))</f>
        <v>2646.81</v>
      </c>
      <c r="Y192" s="126" t="s">
        <v>751</v>
      </c>
      <c r="Z192" t="str">
        <f t="shared" ca="1" si="50"/>
        <v>RA</v>
      </c>
      <c r="AA192" s="127">
        <f ca="1">IF($C192="S",IF($Z192="CP",$X192,IF($Z192="RA",(($X192)*QCI!$AA$3),0)),SomaAgrup)</f>
        <v>0</v>
      </c>
      <c r="AB192" s="128">
        <f t="shared" ca="1" si="51"/>
        <v>0</v>
      </c>
      <c r="AC192" s="565" t="str" cm="1">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IF(AND(_xlfn.SINGLE(TIPOORCAMENTO)="Licitado",$AL192=0,$AN192&gt;0),"SEM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t="str">
        <f ca="1">IF(C192&lt;=CRONO.NivelExibicao,MAX($AD$15:OFFSET(AD192,-1,0))+IF($C192&lt;&gt;1,1,MAX(1,COUNTIF(QCI!$A$13:$A$15,OFFSET($E192,-1,0)))),"")</f>
        <v/>
      </c>
      <c r="AE192" s="7" t="str">
        <f ca="1">IF(AND($C192="S",ORÇAMENTO.CodBarra&lt;&gt;""),IF(ORÇAMENTO.Fonte="",ORÇAMENTO.CodBarra,CONCATENATE(ORÇAMENTO.Fonte," ",ORÇAMENTO.CodBarra)))</f>
        <v>SICRO 407819</v>
      </c>
      <c r="AF192" s="12">
        <f ca="1">IF(ISERROR(INDIRECT(ORÇAMENTO.BancoRef)),"(abra o arquivo 'Referência "&amp;Excel_BuiltIn_Database&amp;".xlsm)",IF(OR($C192&lt;&gt;"S",ORÇAMENTO.CodBarra=""),"(Sem Código)",IF(ISERROR(MATCH($AE192,INDIRECT(ORÇAMENTO.BancoRef),0)),"(Código não identificado nas referências)",MATCH($AE192,INDIRECT(ORÇAMENTO.BancoRef),0))))</f>
        <v>15833</v>
      </c>
      <c r="AG192" s="428">
        <f ca="1">ROUND(IF(DESONERACAO="sim",REFERENCIA.Desonerado,REFERENCIA.NaoDesonerado),2)</f>
        <v>12.08</v>
      </c>
      <c r="AH192" s="429">
        <f t="shared" ca="1" si="52"/>
        <v>0.23499999999999999</v>
      </c>
      <c r="AJ192" s="431">
        <f>153.2+24.2</f>
        <v>177.39999999999998</v>
      </c>
      <c r="AL192" s="439"/>
      <c r="AM192" s="336">
        <f t="shared" ca="1" si="0"/>
        <v>2646.81</v>
      </c>
      <c r="AN192" s="470">
        <f t="shared" ca="1" si="53"/>
        <v>14.92</v>
      </c>
    </row>
    <row r="193" spans="1:40" ht="25.5" x14ac:dyDescent="0.2">
      <c r="A193" t="str">
        <f t="shared" si="39"/>
        <v>S</v>
      </c>
      <c r="B193">
        <f t="shared" ca="1" si="40"/>
        <v>4</v>
      </c>
      <c r="C193" t="str">
        <f t="shared" ca="1" si="41"/>
        <v>S</v>
      </c>
      <c r="D193">
        <f t="shared" ca="1" si="42"/>
        <v>0</v>
      </c>
      <c r="E193">
        <f ca="1">IF($C193=1,OFFSET(E193,-1,0)+MAX(1,COUNTIF(QCI!$A$13:$A$15,OFFSET(ORÇAMENTO!E193,-1,0))),OFFSET(E193,-1,0))</f>
        <v>1</v>
      </c>
      <c r="F193">
        <f t="shared" ca="1" si="43"/>
        <v>5</v>
      </c>
      <c r="G193">
        <f t="shared" ca="1" si="44"/>
        <v>5</v>
      </c>
      <c r="H193">
        <f t="shared" ca="1" si="45"/>
        <v>4</v>
      </c>
      <c r="I193">
        <f t="shared" ca="1" si="46"/>
        <v>5</v>
      </c>
      <c r="J193">
        <f t="shared" ca="1" si="38"/>
        <v>0</v>
      </c>
      <c r="K193">
        <f ca="1">IF(OR($C193="S",$C193=0),0,MATCH(OFFSET($D193,0,$C193)+IF($C193&lt;&gt;1,1,COUNTIF(QCI!$A$13:$A$15,ORÇAMENTO!E193)),OFFSET($D193,1,$C193,ROW($C$508)-ROW($C193)),0))</f>
        <v>0</v>
      </c>
      <c r="L193" s="114" t="str">
        <f t="shared" ca="1" si="47"/>
        <v>F</v>
      </c>
      <c r="M193" s="115" t="s">
        <v>705</v>
      </c>
      <c r="N193" s="116" t="str">
        <f t="shared" ca="1" si="48"/>
        <v>Serviço</v>
      </c>
      <c r="O193" s="117" t="str">
        <f t="shared" ca="1" si="49"/>
        <v>1.5.5.4.5.</v>
      </c>
      <c r="P193" s="118" t="s">
        <v>956</v>
      </c>
      <c r="Q193" s="119" t="s">
        <v>1030</v>
      </c>
      <c r="R193" s="120" t="str">
        <f ca="1">IF($C193="S",REFERENCIA.Descricao,"(digite a descrição aqui)")</f>
        <v>ARMAÇÃO EM AÇO CA-60 - FORNECIMENTO, PREPARO E COLOCAÇÃO</v>
      </c>
      <c r="S193" s="121" t="str">
        <f ca="1">REFERENCIA.Unidade</f>
        <v>KG</v>
      </c>
      <c r="T193" s="122">
        <f ca="1">OFFSET(CÁLCULO!H$15,ROW($T193)-ROW(T$15),0)</f>
        <v>81.099999999999994</v>
      </c>
      <c r="U193" s="123">
        <f t="shared" ca="1" si="21"/>
        <v>13.06</v>
      </c>
      <c r="V193" s="124" t="s">
        <v>663</v>
      </c>
      <c r="W193" s="122">
        <f ca="1">IF($C193="S",ROUND(IF(TIPOORCAMENTO="Proposto",ORÇAMENTO.CustoUnitario*(1+$AH193),ORÇAMENTO.PrecoUnitarioLicitado),15-13*$AF$10),0)</f>
        <v>16.13</v>
      </c>
      <c r="X193" s="125" cm="1">
        <f t="array" aca="1" ref="X193" ca="1">IF($C193="S",IF(OR(Import.TipoArredondamento&lt;&gt;"TransfereGOV",ACOMPANHAMENTO="BM"),VTOTAL1,SUM(OFFSET(CÁLCULO!$AI$15,ROW($X193)-ROW($X$15),1):OFFSET(CÁLCULO!$BB$15,ROW($X193)-ROW($X$15),-1))),IF($C193=0,0,ROUND(SomaAgrup,15-13*$AF$11)))</f>
        <v>1308.1400000000001</v>
      </c>
      <c r="Y193" s="126" t="s">
        <v>751</v>
      </c>
      <c r="Z193" t="str">
        <f t="shared" ca="1" si="50"/>
        <v>RA</v>
      </c>
      <c r="AA193" s="127">
        <f ca="1">IF($C193="S",IF($Z193="CP",$X193,IF($Z193="RA",(($X193)*QCI!$AA$3),0)),SomaAgrup)</f>
        <v>0</v>
      </c>
      <c r="AB193" s="128">
        <f t="shared" ca="1" si="51"/>
        <v>0</v>
      </c>
      <c r="AC193" s="565" t="str" cm="1">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IF(AND(_xlfn.SINGLE(TIPOORCAMENTO)="Licitado",$AL193=0,$AN193&gt;0),"SEM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t="str">
        <f ca="1">IF(C193&lt;=CRONO.NivelExibicao,MAX($AD$15:OFFSET(AD193,-1,0))+IF($C193&lt;&gt;1,1,MAX(1,COUNTIF(QCI!$A$13:$A$15,OFFSET($E193,-1,0)))),"")</f>
        <v/>
      </c>
      <c r="AE193" s="7" t="str">
        <f ca="1">IF(AND($C193="S",ORÇAMENTO.CodBarra&lt;&gt;""),IF(ORÇAMENTO.Fonte="",ORÇAMENTO.CodBarra,CONCATENATE(ORÇAMENTO.Fonte," ",ORÇAMENTO.CodBarra)))</f>
        <v>SICRO 407820</v>
      </c>
      <c r="AF193" s="12">
        <f ca="1">IF(ISERROR(INDIRECT(ORÇAMENTO.BancoRef)),"(abra o arquivo 'Referência "&amp;Excel_BuiltIn_Database&amp;".xlsm)",IF(OR($C193&lt;&gt;"S",ORÇAMENTO.CodBarra=""),"(Sem Código)",IF(ISERROR(MATCH($AE193,INDIRECT(ORÇAMENTO.BancoRef),0)),"(Código não identificado nas referências)",MATCH($AE193,INDIRECT(ORÇAMENTO.BancoRef),0))))</f>
        <v>15834</v>
      </c>
      <c r="AG193" s="428">
        <f ca="1">ROUND(IF(DESONERACAO="sim",REFERENCIA.Desonerado,REFERENCIA.NaoDesonerado),2)</f>
        <v>13.06</v>
      </c>
      <c r="AH193" s="429">
        <f t="shared" ca="1" si="52"/>
        <v>0.23499999999999999</v>
      </c>
      <c r="AJ193" s="431">
        <f>70.7+10.4</f>
        <v>81.100000000000009</v>
      </c>
      <c r="AL193" s="439"/>
      <c r="AM193" s="336">
        <f t="shared" ca="1" si="0"/>
        <v>1308.1400000000001</v>
      </c>
      <c r="AN193" s="470">
        <f t="shared" ca="1" si="53"/>
        <v>16.13</v>
      </c>
    </row>
    <row r="194" spans="1:40" x14ac:dyDescent="0.2">
      <c r="A194">
        <f t="shared" si="39"/>
        <v>4</v>
      </c>
      <c r="B194">
        <f t="shared" ca="1" si="40"/>
        <v>4</v>
      </c>
      <c r="C194">
        <f t="shared" ca="1" si="41"/>
        <v>4</v>
      </c>
      <c r="D194">
        <f t="shared" ca="1" si="42"/>
        <v>7</v>
      </c>
      <c r="E194">
        <f ca="1">IF($C194=1,OFFSET(E194,-1,0)+MAX(1,COUNTIF(QCI!$A$13:$A$15,OFFSET(ORÇAMENTO!E194,-1,0))),OFFSET(E194,-1,0))</f>
        <v>1</v>
      </c>
      <c r="F194">
        <f t="shared" ca="1" si="43"/>
        <v>5</v>
      </c>
      <c r="G194">
        <f t="shared" ca="1" si="44"/>
        <v>5</v>
      </c>
      <c r="H194">
        <f t="shared" ca="1" si="45"/>
        <v>5</v>
      </c>
      <c r="I194">
        <f t="shared" ca="1" si="46"/>
        <v>0</v>
      </c>
      <c r="J194">
        <f t="shared" ca="1" si="38"/>
        <v>13</v>
      </c>
      <c r="K194">
        <f ca="1">IF(OR($C194="S",$C194=0),0,MATCH(OFFSET($D194,0,$C194)+IF($C194&lt;&gt;1,1,COUNTIF(QCI!$A$13:$A$15,ORÇAMENTO!E194)),OFFSET($D194,1,$C194,ROW($C$508)-ROW($C194)),0))</f>
        <v>7</v>
      </c>
      <c r="L194" s="114" t="str">
        <f t="shared" ca="1" si="47"/>
        <v>F</v>
      </c>
      <c r="M194" s="115" t="s">
        <v>704</v>
      </c>
      <c r="N194" s="116" t="str">
        <f t="shared" ca="1" si="48"/>
        <v>Nível 4</v>
      </c>
      <c r="O194" s="117" t="str">
        <f t="shared" ca="1" si="49"/>
        <v>1.5.5.5.</v>
      </c>
      <c r="P194" s="118" t="s">
        <v>750</v>
      </c>
      <c r="Q194" s="119"/>
      <c r="R194" s="120" t="s">
        <v>1230</v>
      </c>
      <c r="S194" s="121" t="s">
        <v>688</v>
      </c>
      <c r="T194" s="122">
        <f ca="1">OFFSET(CÁLCULO!H$15,ROW($T194)-ROW(T$15),0)</f>
        <v>0</v>
      </c>
      <c r="U194" s="123">
        <f t="shared" ca="1" si="21"/>
        <v>0</v>
      </c>
      <c r="V194" s="124" t="s">
        <v>663</v>
      </c>
      <c r="W194" s="122">
        <f ca="1">IF($C194="S",ROUND(IF(TIPOORCAMENTO="Proposto",ORÇAMENTO.CustoUnitario*(1+$AH194),ORÇAMENTO.PrecoUnitarioLicitado),15-13*$AF$10),0)</f>
        <v>0</v>
      </c>
      <c r="X194" s="125" cm="1">
        <f t="array" aca="1" ref="X194" ca="1">IF($C194="S",IF(OR(Import.TipoArredondamento&lt;&gt;"TransfereGOV",ACOMPANHAMENTO="BM"),VTOTAL1,SUM(OFFSET(CÁLCULO!$AI$15,ROW($X194)-ROW($X$15),1):OFFSET(CÁLCULO!$BB$15,ROW($X194)-ROW($X$15),-1))),IF($C194=0,0,ROUND(SomaAgrup,15-13*$AF$11)))</f>
        <v>5929.47</v>
      </c>
      <c r="Y194" s="126" t="s">
        <v>751</v>
      </c>
      <c r="Z194" t="str">
        <f t="shared" ca="1" si="50"/>
        <v/>
      </c>
      <c r="AA194" s="127">
        <f ca="1">IF($C194="S",IF($Z194="CP",$X194,IF($Z194="RA",(($X194)*QCI!$AA$3),0)),SomaAgrup)</f>
        <v>0</v>
      </c>
      <c r="AB194" s="128">
        <f t="shared" ca="1" si="51"/>
        <v>0</v>
      </c>
      <c r="AC194" s="565" t="str" cm="1">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IF(AND(_xlfn.SINGLE(TIPOORCAMENTO)="Licitado",$AL194=0,$AN194&gt;0),"SEM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t="str">
        <f ca="1">IF(C194&lt;=CRONO.NivelExibicao,MAX($AD$15:OFFSET(AD194,-1,0))+IF($C194&lt;&gt;1,1,MAX(1,COUNTIF(QCI!$A$13:$A$15,OFFSET($E194,-1,0)))),"")</f>
        <v/>
      </c>
      <c r="AE194" s="7" t="b">
        <f ca="1">IF(AND($C194="S",ORÇAMENTO.CodBarra&lt;&gt;""),IF(ORÇAMENTO.Fonte="",ORÇAMENTO.CodBarra,CONCATENATE(ORÇAMENTO.Fonte," ",ORÇAMENTO.CodBarra)))</f>
        <v>0</v>
      </c>
      <c r="AF194" s="12" t="str">
        <f ca="1">IF(ISERROR(INDIRECT(ORÇAMENTO.BancoRef)),"(abra o arquivo 'Referência "&amp;Excel_BuiltIn_Database&amp;".xlsm)",IF(OR($C194&lt;&gt;"S",ORÇAMENTO.CodBarra=""),"(Sem Código)",IF(ISERROR(MATCH($AE194,INDIRECT(ORÇAMENTO.BancoRef),0)),"(Código não identificado nas referências)",MATCH($AE194,INDIRECT(ORÇAMENTO.BancoRef),0))))</f>
        <v>(Sem Código)</v>
      </c>
      <c r="AG194" s="428">
        <f ca="1">ROUND(IF(DESONERACAO="sim",REFERENCIA.Desonerado,REFERENCIA.NaoDesonerado),2)</f>
        <v>0</v>
      </c>
      <c r="AH194" s="429">
        <f t="shared" ca="1" si="52"/>
        <v>0.23499999999999999</v>
      </c>
      <c r="AJ194" s="431"/>
      <c r="AL194" s="439"/>
      <c r="AM194" s="336">
        <f t="shared" ca="1" si="0"/>
        <v>5929.47</v>
      </c>
      <c r="AN194" s="470">
        <f t="shared" ca="1" si="53"/>
        <v>0</v>
      </c>
    </row>
    <row r="195" spans="1:40" ht="38.25" x14ac:dyDescent="0.2">
      <c r="A195" t="str">
        <f t="shared" si="39"/>
        <v>S</v>
      </c>
      <c r="B195">
        <f t="shared" ca="1" si="40"/>
        <v>4</v>
      </c>
      <c r="C195" t="str">
        <f t="shared" ca="1" si="41"/>
        <v>S</v>
      </c>
      <c r="D195">
        <f t="shared" ca="1" si="42"/>
        <v>0</v>
      </c>
      <c r="E195">
        <f ca="1">IF($C195=1,OFFSET(E195,-1,0)+MAX(1,COUNTIF(QCI!$A$13:$A$15,OFFSET(ORÇAMENTO!E195,-1,0))),OFFSET(E195,-1,0))</f>
        <v>1</v>
      </c>
      <c r="F195">
        <f t="shared" ca="1" si="43"/>
        <v>5</v>
      </c>
      <c r="G195">
        <f t="shared" ca="1" si="44"/>
        <v>5</v>
      </c>
      <c r="H195">
        <f t="shared" ca="1" si="45"/>
        <v>5</v>
      </c>
      <c r="I195">
        <f t="shared" ca="1" si="46"/>
        <v>1</v>
      </c>
      <c r="J195">
        <f t="shared" ca="1" si="38"/>
        <v>0</v>
      </c>
      <c r="K195">
        <f ca="1">IF(OR($C195="S",$C195=0),0,MATCH(OFFSET($D195,0,$C195)+IF($C195&lt;&gt;1,1,COUNTIF(QCI!$A$13:$A$15,ORÇAMENTO!E195)),OFFSET($D195,1,$C195,ROW($C$508)-ROW($C195)),0))</f>
        <v>0</v>
      </c>
      <c r="L195" s="114" t="str">
        <f t="shared" ca="1" si="47"/>
        <v>F</v>
      </c>
      <c r="M195" s="115" t="s">
        <v>705</v>
      </c>
      <c r="N195" s="116" t="str">
        <f t="shared" ca="1" si="48"/>
        <v>Serviço</v>
      </c>
      <c r="O195" s="117" t="str">
        <f t="shared" ca="1" si="49"/>
        <v>1.5.5.5.1.</v>
      </c>
      <c r="P195" s="118" t="s">
        <v>750</v>
      </c>
      <c r="Q195" s="119" t="s">
        <v>1017</v>
      </c>
      <c r="R195" s="120" t="str">
        <f ca="1">IF($C195="S",REFERENCIA.Descricao,"(digite a descrição aqui)")</f>
        <v>CONCRETO FCK = 40MPA, TRAÇO 1:1,6:1,9 (EM MASSA SECA DE CIMENTO/ AREIA MÉDIA/ BRITA 1) - PREPARO MECÂNICO COM BETONEIRA 600 L. AF_05/2021</v>
      </c>
      <c r="S195" s="121" t="str">
        <f ca="1">REFERENCIA.Unidade</f>
        <v>M3</v>
      </c>
      <c r="T195" s="122">
        <f ca="1">OFFSET(CÁLCULO!H$15,ROW($T195)-ROW(T$15),0)</f>
        <v>3.4</v>
      </c>
      <c r="U195" s="123">
        <f t="shared" ca="1" si="21"/>
        <v>628.30999999999995</v>
      </c>
      <c r="V195" s="124" t="s">
        <v>663</v>
      </c>
      <c r="W195" s="122">
        <f ca="1">IF($C195="S",ROUND(IF(TIPOORCAMENTO="Proposto",ORÇAMENTO.CustoUnitario*(1+$AH195),ORÇAMENTO.PrecoUnitarioLicitado),15-13*$AF$10),0)</f>
        <v>775.96</v>
      </c>
      <c r="X195" s="125" cm="1">
        <f t="array" aca="1" ref="X195" ca="1">IF($C195="S",IF(OR(Import.TipoArredondamento&lt;&gt;"TransfereGOV",ACOMPANHAMENTO="BM"),VTOTAL1,SUM(OFFSET(CÁLCULO!$AI$15,ROW($X195)-ROW($X$15),1):OFFSET(CÁLCULO!$BB$15,ROW($X195)-ROW($X$15),-1))),IF($C195=0,0,ROUND(SomaAgrup,15-13*$AF$11)))</f>
        <v>2638.26</v>
      </c>
      <c r="Y195" s="126" t="s">
        <v>751</v>
      </c>
      <c r="Z195" t="str">
        <f t="shared" ca="1" si="50"/>
        <v>RA</v>
      </c>
      <c r="AA195" s="127">
        <f ca="1">IF($C195="S",IF($Z195="CP",$X195,IF($Z195="RA",(($X195)*QCI!$AA$3),0)),SomaAgrup)</f>
        <v>0</v>
      </c>
      <c r="AB195" s="128">
        <f t="shared" ca="1" si="51"/>
        <v>0</v>
      </c>
      <c r="AC195" s="565" t="str" cm="1">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IF(AND(_xlfn.SINGLE(TIPOORCAMENTO)="Licitado",$AL195=0,$AN195&gt;0),"SEM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t="str">
        <f ca="1">IF(C195&lt;=CRONO.NivelExibicao,MAX($AD$15:OFFSET(AD195,-1,0))+IF($C195&lt;&gt;1,1,MAX(1,COUNTIF(QCI!$A$13:$A$15,OFFSET($E195,-1,0)))),"")</f>
        <v/>
      </c>
      <c r="AE195" s="7" t="str">
        <f ca="1">IF(AND($C195="S",ORÇAMENTO.CodBarra&lt;&gt;""),IF(ORÇAMENTO.Fonte="",ORÇAMENTO.CodBarra,CONCATENATE(ORÇAMENTO.Fonte," ",ORÇAMENTO.CodBarra)))</f>
        <v>SINAPI 94973</v>
      </c>
      <c r="AF195" s="12">
        <f ca="1">IF(ISERROR(INDIRECT(ORÇAMENTO.BancoRef)),"(abra o arquivo 'Referência "&amp;Excel_BuiltIn_Database&amp;".xlsm)",IF(OR($C195&lt;&gt;"S",ORÇAMENTO.CodBarra=""),"(Sem Código)",IF(ISERROR(MATCH($AE195,INDIRECT(ORÇAMENTO.BancoRef),0)),"(Código não identificado nas referências)",MATCH($AE195,INDIRECT(ORÇAMENTO.BancoRef),0))))</f>
        <v>14326</v>
      </c>
      <c r="AG195" s="428">
        <f ca="1">ROUND(IF(DESONERACAO="sim",REFERENCIA.Desonerado,REFERENCIA.NaoDesonerado),2)</f>
        <v>628.30999999999995</v>
      </c>
      <c r="AH195" s="429">
        <f t="shared" ca="1" si="52"/>
        <v>0.23499999999999999</v>
      </c>
      <c r="AJ195" s="431">
        <v>3.4</v>
      </c>
      <c r="AL195" s="439"/>
      <c r="AM195" s="336">
        <f t="shared" ca="1" si="0"/>
        <v>2638.26</v>
      </c>
      <c r="AN195" s="470">
        <f t="shared" ca="1" si="53"/>
        <v>775.96</v>
      </c>
    </row>
    <row r="196" spans="1:40" ht="25.5" x14ac:dyDescent="0.2">
      <c r="A196" t="str">
        <f t="shared" si="39"/>
        <v>S</v>
      </c>
      <c r="B196">
        <f t="shared" ca="1" si="40"/>
        <v>4</v>
      </c>
      <c r="C196" t="str">
        <f t="shared" ca="1" si="41"/>
        <v>S</v>
      </c>
      <c r="D196">
        <f t="shared" ca="1" si="42"/>
        <v>0</v>
      </c>
      <c r="E196">
        <f ca="1">IF($C196=1,OFFSET(E196,-1,0)+MAX(1,COUNTIF(QCI!$A$13:$A$15,OFFSET(ORÇAMENTO!E196,-1,0))),OFFSET(E196,-1,0))</f>
        <v>1</v>
      </c>
      <c r="F196">
        <f t="shared" ca="1" si="43"/>
        <v>5</v>
      </c>
      <c r="G196">
        <f t="shared" ca="1" si="44"/>
        <v>5</v>
      </c>
      <c r="H196">
        <f t="shared" ca="1" si="45"/>
        <v>5</v>
      </c>
      <c r="I196">
        <f t="shared" ca="1" si="46"/>
        <v>2</v>
      </c>
      <c r="J196">
        <f t="shared" ca="1" si="38"/>
        <v>0</v>
      </c>
      <c r="K196">
        <f ca="1">IF(OR($C196="S",$C196=0),0,MATCH(OFFSET($D196,0,$C196)+IF($C196&lt;&gt;1,1,COUNTIF(QCI!$A$13:$A$15,ORÇAMENTO!E196)),OFFSET($D196,1,$C196,ROW($C$508)-ROW($C196)),0))</f>
        <v>0</v>
      </c>
      <c r="L196" s="114" t="str">
        <f t="shared" ca="1" si="47"/>
        <v>F</v>
      </c>
      <c r="M196" s="115" t="s">
        <v>705</v>
      </c>
      <c r="N196" s="116" t="str">
        <f t="shared" ca="1" si="48"/>
        <v>Serviço</v>
      </c>
      <c r="O196" s="117" t="str">
        <f t="shared" ca="1" si="49"/>
        <v>1.5.5.5.2.</v>
      </c>
      <c r="P196" s="118" t="s">
        <v>750</v>
      </c>
      <c r="Q196" s="119" t="s">
        <v>1018</v>
      </c>
      <c r="R196" s="120" t="str">
        <f ca="1">IF($C196="S",REFERENCIA.Descricao,"(digite a descrição aqui)")</f>
        <v>LANÇAMENTO COM USO DE BOMBA, ADENSAMENTO E ACABAMENTO DE CONCRETO EM ESTRUTURAS. AF_02/2022</v>
      </c>
      <c r="S196" s="121" t="str">
        <f ca="1">REFERENCIA.Unidade</f>
        <v>M3</v>
      </c>
      <c r="T196" s="122">
        <f ca="1">OFFSET(CÁLCULO!H$15,ROW($T196)-ROW(T$15),0)</f>
        <v>3.4</v>
      </c>
      <c r="U196" s="123">
        <f t="shared" ca="1" si="21"/>
        <v>44.5</v>
      </c>
      <c r="V196" s="124" t="s">
        <v>663</v>
      </c>
      <c r="W196" s="122">
        <f ca="1">IF($C196="S",ROUND(IF(TIPOORCAMENTO="Proposto",ORÇAMENTO.CustoUnitario*(1+$AH196),ORÇAMENTO.PrecoUnitarioLicitado),15-13*$AF$10),0)</f>
        <v>54.96</v>
      </c>
      <c r="X196" s="125" cm="1">
        <f t="array" aca="1" ref="X196" ca="1">IF($C196="S",IF(OR(Import.TipoArredondamento&lt;&gt;"TransfereGOV",ACOMPANHAMENTO="BM"),VTOTAL1,SUM(OFFSET(CÁLCULO!$AI$15,ROW($X196)-ROW($X$15),1):OFFSET(CÁLCULO!$BB$15,ROW($X196)-ROW($X$15),-1))),IF($C196=0,0,ROUND(SomaAgrup,15-13*$AF$11)))</f>
        <v>186.86</v>
      </c>
      <c r="Y196" s="126" t="s">
        <v>751</v>
      </c>
      <c r="Z196" t="str">
        <f t="shared" ca="1" si="50"/>
        <v>RA</v>
      </c>
      <c r="AA196" s="127">
        <f ca="1">IF($C196="S",IF($Z196="CP",$X196,IF($Z196="RA",(($X196)*QCI!$AA$3),0)),SomaAgrup)</f>
        <v>0</v>
      </c>
      <c r="AB196" s="128">
        <f t="shared" ca="1" si="51"/>
        <v>0</v>
      </c>
      <c r="AC196" s="565" t="str" cm="1">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IF(AND(_xlfn.SINGLE(TIPOORCAMENTO)="Licitado",$AL196=0,$AN196&gt;0),"SEM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t="str">
        <f ca="1">IF(C196&lt;=CRONO.NivelExibicao,MAX($AD$15:OFFSET(AD196,-1,0))+IF($C196&lt;&gt;1,1,MAX(1,COUNTIF(QCI!$A$13:$A$15,OFFSET($E196,-1,0)))),"")</f>
        <v/>
      </c>
      <c r="AE196" s="7" t="str">
        <f ca="1">IF(AND($C196="S",ORÇAMENTO.CodBarra&lt;&gt;""),IF(ORÇAMENTO.Fonte="",ORÇAMENTO.CodBarra,CONCATENATE(ORÇAMENTO.Fonte," ",ORÇAMENTO.CodBarra)))</f>
        <v>SINAPI 103673</v>
      </c>
      <c r="AF196" s="12">
        <f ca="1">IF(ISERROR(INDIRECT(ORÇAMENTO.BancoRef)),"(abra o arquivo 'Referência "&amp;Excel_BuiltIn_Database&amp;".xlsm)",IF(OR($C196&lt;&gt;"S",ORÇAMENTO.CodBarra=""),"(Sem Código)",IF(ISERROR(MATCH($AE196,INDIRECT(ORÇAMENTO.BancoRef),0)),"(Código não identificado nas referências)",MATCH($AE196,INDIRECT(ORÇAMENTO.BancoRef),0))))</f>
        <v>7334</v>
      </c>
      <c r="AG196" s="428">
        <f ca="1">ROUND(IF(DESONERACAO="sim",REFERENCIA.Desonerado,REFERENCIA.NaoDesonerado),2)</f>
        <v>44.5</v>
      </c>
      <c r="AH196" s="429">
        <f t="shared" ca="1" si="52"/>
        <v>0.23499999999999999</v>
      </c>
      <c r="AJ196" s="431">
        <f>AJ195</f>
        <v>3.4</v>
      </c>
      <c r="AL196" s="439"/>
      <c r="AM196" s="336">
        <f t="shared" ca="1" si="0"/>
        <v>186.86</v>
      </c>
      <c r="AN196" s="470">
        <f t="shared" ca="1" si="53"/>
        <v>54.96</v>
      </c>
    </row>
    <row r="197" spans="1:40" ht="25.5" x14ac:dyDescent="0.2">
      <c r="A197" t="str">
        <f t="shared" si="39"/>
        <v>S</v>
      </c>
      <c r="B197">
        <f t="shared" ca="1" si="40"/>
        <v>4</v>
      </c>
      <c r="C197" t="str">
        <f t="shared" ca="1" si="41"/>
        <v>S</v>
      </c>
      <c r="D197">
        <f t="shared" ca="1" si="42"/>
        <v>0</v>
      </c>
      <c r="E197">
        <f ca="1">IF($C197=1,OFFSET(E197,-1,0)+MAX(1,COUNTIF(QCI!$A$13:$A$15,OFFSET(ORÇAMENTO!E197,-1,0))),OFFSET(E197,-1,0))</f>
        <v>1</v>
      </c>
      <c r="F197">
        <f t="shared" ca="1" si="43"/>
        <v>5</v>
      </c>
      <c r="G197">
        <f t="shared" ca="1" si="44"/>
        <v>5</v>
      </c>
      <c r="H197">
        <f t="shared" ca="1" si="45"/>
        <v>5</v>
      </c>
      <c r="I197">
        <f t="shared" ca="1" si="46"/>
        <v>3</v>
      </c>
      <c r="J197">
        <f t="shared" ca="1" si="38"/>
        <v>0</v>
      </c>
      <c r="K197">
        <f ca="1">IF(OR($C197="S",$C197=0),0,MATCH(OFFSET($D197,0,$C197)+IF($C197&lt;&gt;1,1,COUNTIF(QCI!$A$13:$A$15,ORÇAMENTO!E197)),OFFSET($D197,1,$C197,ROW($C$508)-ROW($C197)),0))</f>
        <v>0</v>
      </c>
      <c r="L197" s="114" t="str">
        <f t="shared" ca="1" si="47"/>
        <v>F</v>
      </c>
      <c r="M197" s="115" t="s">
        <v>705</v>
      </c>
      <c r="N197" s="116" t="str">
        <f t="shared" ca="1" si="48"/>
        <v>Serviço</v>
      </c>
      <c r="O197" s="117" t="str">
        <f t="shared" ca="1" si="49"/>
        <v>1.5.5.5.3.</v>
      </c>
      <c r="P197" s="118" t="s">
        <v>750</v>
      </c>
      <c r="Q197" s="119" t="s">
        <v>1039</v>
      </c>
      <c r="R197" s="120" t="str">
        <f ca="1">IF($C197="S",REFERENCIA.Descricao,"(digite a descrição aqui)")</f>
        <v>ARMAÇÃO PARA EXECUÇÃO DE RADIER, PISO DE CONCRETO OU LAJE SOBRE SOLO, COM USO DE TELA Q-92. AF_09/2021</v>
      </c>
      <c r="S197" s="121" t="str">
        <f ca="1">REFERENCIA.Unidade</f>
        <v>KG</v>
      </c>
      <c r="T197" s="122">
        <f ca="1">OFFSET(CÁLCULO!H$15,ROW($T197)-ROW(T$15),0)</f>
        <v>100.5</v>
      </c>
      <c r="U197" s="123">
        <f t="shared" ca="1" si="21"/>
        <v>17.45</v>
      </c>
      <c r="V197" s="124" t="s">
        <v>663</v>
      </c>
      <c r="W197" s="122">
        <f ca="1">IF($C197="S",ROUND(IF(TIPOORCAMENTO="Proposto",ORÇAMENTO.CustoUnitario*(1+$AH197),ORÇAMENTO.PrecoUnitarioLicitado),15-13*$AF$10),0)</f>
        <v>21.55</v>
      </c>
      <c r="X197" s="125" cm="1">
        <f t="array" aca="1" ref="X197" ca="1">IF($C197="S",IF(OR(Import.TipoArredondamento&lt;&gt;"TransfereGOV",ACOMPANHAMENTO="BM"),VTOTAL1,SUM(OFFSET(CÁLCULO!$AI$15,ROW($X197)-ROW($X$15),1):OFFSET(CÁLCULO!$BB$15,ROW($X197)-ROW($X$15),-1))),IF($C197=0,0,ROUND(SomaAgrup,15-13*$AF$11)))</f>
        <v>2165.7800000000002</v>
      </c>
      <c r="Y197" s="126" t="s">
        <v>751</v>
      </c>
      <c r="Z197" t="str">
        <f t="shared" ca="1" si="50"/>
        <v>RA</v>
      </c>
      <c r="AA197" s="127">
        <f ca="1">IF($C197="S",IF($Z197="CP",$X197,IF($Z197="RA",(($X197)*QCI!$AA$3),0)),SomaAgrup)</f>
        <v>0</v>
      </c>
      <c r="AB197" s="128">
        <f t="shared" ca="1" si="51"/>
        <v>0</v>
      </c>
      <c r="AC197" s="565" t="str" cm="1">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IF(AND(_xlfn.SINGLE(TIPOORCAMENTO)="Licitado",$AL197=0,$AN197&gt;0),"SEM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t="str">
        <f ca="1">IF(C197&lt;=CRONO.NivelExibicao,MAX($AD$15:OFFSET(AD197,-1,0))+IF($C197&lt;&gt;1,1,MAX(1,COUNTIF(QCI!$A$13:$A$15,OFFSET($E197,-1,0)))),"")</f>
        <v/>
      </c>
      <c r="AE197" s="7" t="str">
        <f ca="1">IF(AND($C197="S",ORÇAMENTO.CodBarra&lt;&gt;""),IF(ORÇAMENTO.Fonte="",ORÇAMENTO.CodBarra,CONCATENATE(ORÇAMENTO.Fonte," ",ORÇAMENTO.CodBarra)))</f>
        <v>SINAPI 97088</v>
      </c>
      <c r="AF197" s="12">
        <f ca="1">IF(ISERROR(INDIRECT(ORÇAMENTO.BancoRef)),"(abra o arquivo 'Referência "&amp;Excel_BuiltIn_Database&amp;".xlsm)",IF(OR($C197&lt;&gt;"S",ORÇAMENTO.CodBarra=""),"(Sem Código)",IF(ISERROR(MATCH($AE197,INDIRECT(ORÇAMENTO.BancoRef),0)),"(Código não identificado nas referências)",MATCH($AE197,INDIRECT(ORÇAMENTO.BancoRef),0))))</f>
        <v>14371</v>
      </c>
      <c r="AG197" s="428">
        <f ca="1">ROUND(IF(DESONERACAO="sim",REFERENCIA.Desonerado,REFERENCIA.NaoDesonerado),2)</f>
        <v>17.45</v>
      </c>
      <c r="AH197" s="429">
        <f t="shared" ca="1" si="52"/>
        <v>0.23499999999999999</v>
      </c>
      <c r="AJ197" s="431">
        <v>100.5</v>
      </c>
      <c r="AL197" s="439"/>
      <c r="AM197" s="336">
        <f t="shared" ca="1" si="0"/>
        <v>2165.7800000000002</v>
      </c>
      <c r="AN197" s="470">
        <f t="shared" ca="1" si="53"/>
        <v>21.55</v>
      </c>
    </row>
    <row r="198" spans="1:40" ht="25.5" x14ac:dyDescent="0.2">
      <c r="A198" t="str">
        <f t="shared" si="39"/>
        <v>S</v>
      </c>
      <c r="B198">
        <f t="shared" ca="1" si="40"/>
        <v>4</v>
      </c>
      <c r="C198" t="str">
        <f t="shared" ca="1" si="41"/>
        <v>S</v>
      </c>
      <c r="D198">
        <f t="shared" ca="1" si="42"/>
        <v>0</v>
      </c>
      <c r="E198">
        <f ca="1">IF($C198=1,OFFSET(E198,-1,0)+MAX(1,COUNTIF(QCI!$A$13:$A$15,OFFSET(ORÇAMENTO!E198,-1,0))),OFFSET(E198,-1,0))</f>
        <v>1</v>
      </c>
      <c r="F198">
        <f t="shared" ca="1" si="43"/>
        <v>5</v>
      </c>
      <c r="G198">
        <f t="shared" ca="1" si="44"/>
        <v>5</v>
      </c>
      <c r="H198">
        <f t="shared" ca="1" si="45"/>
        <v>5</v>
      </c>
      <c r="I198">
        <f t="shared" ca="1" si="46"/>
        <v>4</v>
      </c>
      <c r="J198">
        <f t="shared" ca="1" si="38"/>
        <v>0</v>
      </c>
      <c r="K198">
        <f ca="1">IF(OR($C198="S",$C198=0),0,MATCH(OFFSET($D198,0,$C198)+IF($C198&lt;&gt;1,1,COUNTIF(QCI!$A$13:$A$15,ORÇAMENTO!E198)),OFFSET($D198,1,$C198,ROW($C$508)-ROW($C198)),0))</f>
        <v>0</v>
      </c>
      <c r="L198" s="114" t="str">
        <f t="shared" ca="1" si="47"/>
        <v>F</v>
      </c>
      <c r="M198" s="115" t="s">
        <v>705</v>
      </c>
      <c r="N198" s="116" t="str">
        <f t="shared" ca="1" si="48"/>
        <v>Serviço</v>
      </c>
      <c r="O198" s="117" t="str">
        <f t="shared" ca="1" si="49"/>
        <v>1.5.5.5.4.</v>
      </c>
      <c r="P198" s="118" t="s">
        <v>956</v>
      </c>
      <c r="Q198" s="119" t="s">
        <v>1024</v>
      </c>
      <c r="R198" s="120" t="str">
        <f ca="1">IF($C198="S",REFERENCIA.Descricao,"(digite a descrição aqui)")</f>
        <v>FÔRMAS DE COMPENSADO RESINADO 10 MM - USO GERAL - UTILIZAÇÃO DE 3 VEZES - CONFECÇÃO, INSTALAÇÃO E RETIRADA</v>
      </c>
      <c r="S198" s="121" t="str">
        <f ca="1">REFERENCIA.Unidade</f>
        <v>M2</v>
      </c>
      <c r="T198" s="122">
        <f ca="1">OFFSET(CÁLCULO!H$15,ROW($T198)-ROW(T$15),0)</f>
        <v>2.61</v>
      </c>
      <c r="U198" s="123">
        <f t="shared" ca="1" si="21"/>
        <v>71.66</v>
      </c>
      <c r="V198" s="124" t="s">
        <v>663</v>
      </c>
      <c r="W198" s="122">
        <f ca="1">IF($C198="S",ROUND(IF(TIPOORCAMENTO="Proposto",ORÇAMENTO.CustoUnitario*(1+$AH198),ORÇAMENTO.PrecoUnitarioLicitado),15-13*$AF$10),0)</f>
        <v>88.5</v>
      </c>
      <c r="X198" s="125" cm="1">
        <f t="array" aca="1" ref="X198" ca="1">IF($C198="S",IF(OR(Import.TipoArredondamento&lt;&gt;"TransfereGOV",ACOMPANHAMENTO="BM"),VTOTAL1,SUM(OFFSET(CÁLCULO!$AI$15,ROW($X198)-ROW($X$15),1):OFFSET(CÁLCULO!$BB$15,ROW($X198)-ROW($X$15),-1))),IF($C198=0,0,ROUND(SomaAgrup,15-13*$AF$11)))</f>
        <v>230.99</v>
      </c>
      <c r="Y198" s="126" t="s">
        <v>751</v>
      </c>
      <c r="Z198" t="str">
        <f t="shared" ca="1" si="50"/>
        <v>RA</v>
      </c>
      <c r="AA198" s="127">
        <f ca="1">IF($C198="S",IF($Z198="CP",$X198,IF($Z198="RA",(($X198)*QCI!$AA$3),0)),SomaAgrup)</f>
        <v>0</v>
      </c>
      <c r="AB198" s="128">
        <f t="shared" ca="1" si="51"/>
        <v>0</v>
      </c>
      <c r="AC198" s="565" t="str" cm="1">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IF(AND(_xlfn.SINGLE(TIPOORCAMENTO)="Licitado",$AL198=0,$AN198&gt;0),"SEM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t="str">
        <f ca="1">IF(C198&lt;=CRONO.NivelExibicao,MAX($AD$15:OFFSET(AD198,-1,0))+IF($C198&lt;&gt;1,1,MAX(1,COUNTIF(QCI!$A$13:$A$15,OFFSET($E198,-1,0)))),"")</f>
        <v/>
      </c>
      <c r="AE198" s="7" t="str">
        <f ca="1">IF(AND($C198="S",ORÇAMENTO.CodBarra&lt;&gt;""),IF(ORÇAMENTO.Fonte="",ORÇAMENTO.CodBarra,CONCATENATE(ORÇAMENTO.Fonte," ",ORÇAMENTO.CodBarra)))</f>
        <v>SICRO 3107997</v>
      </c>
      <c r="AF198" s="12">
        <f ca="1">IF(ISERROR(INDIRECT(ORÇAMENTO.BancoRef)),"(abra o arquivo 'Referência "&amp;Excel_BuiltIn_Database&amp;".xlsm)",IF(OR($C198&lt;&gt;"S",ORÇAMENTO.CodBarra=""),"(Sem Código)",IF(ISERROR(MATCH($AE198,INDIRECT(ORÇAMENTO.BancoRef),0)),"(Código não identificado nas referências)",MATCH($AE198,INDIRECT(ORÇAMENTO.BancoRef),0))))</f>
        <v>19900</v>
      </c>
      <c r="AG198" s="428">
        <f ca="1">ROUND(IF(DESONERACAO="sim",REFERENCIA.Desonerado,REFERENCIA.NaoDesonerado),2)</f>
        <v>71.66</v>
      </c>
      <c r="AH198" s="429">
        <f t="shared" ca="1" si="52"/>
        <v>0.23499999999999999</v>
      </c>
      <c r="AJ198" s="431">
        <v>2.61</v>
      </c>
      <c r="AL198" s="439"/>
      <c r="AM198" s="336">
        <f t="shared" ca="1" si="0"/>
        <v>230.99</v>
      </c>
      <c r="AN198" s="470">
        <f t="shared" ca="1" si="53"/>
        <v>88.5</v>
      </c>
    </row>
    <row r="199" spans="1:40" ht="25.5" x14ac:dyDescent="0.2">
      <c r="A199" t="str">
        <f t="shared" si="39"/>
        <v>S</v>
      </c>
      <c r="B199">
        <f t="shared" ca="1" si="40"/>
        <v>4</v>
      </c>
      <c r="C199" t="str">
        <f t="shared" ca="1" si="41"/>
        <v>S</v>
      </c>
      <c r="D199">
        <f t="shared" ca="1" si="42"/>
        <v>0</v>
      </c>
      <c r="E199">
        <f ca="1">IF($C199=1,OFFSET(E199,-1,0)+MAX(1,COUNTIF(QCI!$A$13:$A$15,OFFSET(ORÇAMENTO!E199,-1,0))),OFFSET(E199,-1,0))</f>
        <v>1</v>
      </c>
      <c r="F199">
        <f t="shared" ca="1" si="43"/>
        <v>5</v>
      </c>
      <c r="G199">
        <f t="shared" ca="1" si="44"/>
        <v>5</v>
      </c>
      <c r="H199">
        <f t="shared" ca="1" si="45"/>
        <v>5</v>
      </c>
      <c r="I199">
        <f t="shared" ca="1" si="46"/>
        <v>5</v>
      </c>
      <c r="J199">
        <f t="shared" ca="1" si="38"/>
        <v>0</v>
      </c>
      <c r="K199">
        <f ca="1">IF(OR($C199="S",$C199=0),0,MATCH(OFFSET($D199,0,$C199)+IF($C199&lt;&gt;1,1,COUNTIF(QCI!$A$13:$A$15,ORÇAMENTO!E199)),OFFSET($D199,1,$C199,ROW($C$508)-ROW($C199)),0))</f>
        <v>0</v>
      </c>
      <c r="L199" s="114" t="str">
        <f t="shared" ca="1" si="47"/>
        <v>F</v>
      </c>
      <c r="M199" s="115" t="s">
        <v>705</v>
      </c>
      <c r="N199" s="116" t="str">
        <f t="shared" ca="1" si="48"/>
        <v>Serviço</v>
      </c>
      <c r="O199" s="117" t="str">
        <f t="shared" ca="1" si="49"/>
        <v>1.5.5.5.5.</v>
      </c>
      <c r="P199" s="118" t="s">
        <v>750</v>
      </c>
      <c r="Q199" s="119" t="s">
        <v>1040</v>
      </c>
      <c r="R199" s="120" t="str">
        <f ca="1">IF($C199="S",REFERENCIA.Descricao,"(digite a descrição aqui)")</f>
        <v>APLICAÇÃO DE LONA PLÁSTICA PARA EXECUÇÃO DE PAVIMENTOS DE CONCRETO. AF_04/2022</v>
      </c>
      <c r="S199" s="121" t="str">
        <f ca="1">REFERENCIA.Unidade</f>
        <v>M2</v>
      </c>
      <c r="T199" s="122">
        <f ca="1">OFFSET(CÁLCULO!H$15,ROW($T199)-ROW(T$15),0)</f>
        <v>33.950000000000003</v>
      </c>
      <c r="U199" s="123">
        <f t="shared" ca="1" si="21"/>
        <v>2.54</v>
      </c>
      <c r="V199" s="124" t="s">
        <v>663</v>
      </c>
      <c r="W199" s="122">
        <f ca="1">IF($C199="S",ROUND(IF(TIPOORCAMENTO="Proposto",ORÇAMENTO.CustoUnitario*(1+$AH199),ORÇAMENTO.PrecoUnitarioLicitado),15-13*$AF$10),0)</f>
        <v>3.14</v>
      </c>
      <c r="X199" s="125" cm="1">
        <f t="array" aca="1" ref="X199" ca="1">IF($C199="S",IF(OR(Import.TipoArredondamento&lt;&gt;"TransfereGOV",ACOMPANHAMENTO="BM"),VTOTAL1,SUM(OFFSET(CÁLCULO!$AI$15,ROW($X199)-ROW($X$15),1):OFFSET(CÁLCULO!$BB$15,ROW($X199)-ROW($X$15),-1))),IF($C199=0,0,ROUND(SomaAgrup,15-13*$AF$11)))</f>
        <v>106.6</v>
      </c>
      <c r="Y199" s="126" t="s">
        <v>751</v>
      </c>
      <c r="Z199" t="str">
        <f t="shared" ca="1" si="50"/>
        <v>RA</v>
      </c>
      <c r="AA199" s="127">
        <f ca="1">IF($C199="S",IF($Z199="CP",$X199,IF($Z199="RA",(($X199)*QCI!$AA$3),0)),SomaAgrup)</f>
        <v>0</v>
      </c>
      <c r="AB199" s="128">
        <f t="shared" ca="1" si="51"/>
        <v>0</v>
      </c>
      <c r="AC199" s="565" t="str" cm="1">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IF(AND(_xlfn.SINGLE(TIPOORCAMENTO)="Licitado",$AL199=0,$AN199&gt;0),"SEM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t="str">
        <f ca="1">IF(C199&lt;=CRONO.NivelExibicao,MAX($AD$15:OFFSET(AD199,-1,0))+IF($C199&lt;&gt;1,1,MAX(1,COUNTIF(QCI!$A$13:$A$15,OFFSET($E199,-1,0)))),"")</f>
        <v/>
      </c>
      <c r="AE199" s="7" t="str">
        <f ca="1">IF(AND($C199="S",ORÇAMENTO.CodBarra&lt;&gt;""),IF(ORÇAMENTO.Fonte="",ORÇAMENTO.CodBarra,CONCATENATE(ORÇAMENTO.Fonte," ",ORÇAMENTO.CodBarra)))</f>
        <v>SINAPI 97113</v>
      </c>
      <c r="AF199" s="12">
        <f ca="1">IF(ISERROR(INDIRECT(ORÇAMENTO.BancoRef)),"(abra o arquivo 'Referência "&amp;Excel_BuiltIn_Database&amp;".xlsm)",IF(OR($C199&lt;&gt;"S",ORÇAMENTO.CodBarra=""),"(Sem Código)",IF(ISERROR(MATCH($AE199,INDIRECT(ORÇAMENTO.BancoRef),0)),"(Código não identificado nas referências)",MATCH($AE199,INDIRECT(ORÇAMENTO.BancoRef),0))))</f>
        <v>13709</v>
      </c>
      <c r="AG199" s="428">
        <f ca="1">ROUND(IF(DESONERACAO="sim",REFERENCIA.Desonerado,REFERENCIA.NaoDesonerado),2)</f>
        <v>2.54</v>
      </c>
      <c r="AH199" s="429">
        <f t="shared" ca="1" si="52"/>
        <v>0.23499999999999999</v>
      </c>
      <c r="AJ199" s="431">
        <v>33.950000000000003</v>
      </c>
      <c r="AL199" s="439"/>
      <c r="AM199" s="336">
        <f t="shared" ca="1" si="0"/>
        <v>106.6</v>
      </c>
      <c r="AN199" s="470">
        <f t="shared" ca="1" si="53"/>
        <v>3.14</v>
      </c>
    </row>
    <row r="200" spans="1:40" ht="51" x14ac:dyDescent="0.2">
      <c r="A200" t="str">
        <f t="shared" si="39"/>
        <v>S</v>
      </c>
      <c r="B200">
        <f t="shared" ca="1" si="40"/>
        <v>4</v>
      </c>
      <c r="C200" t="str">
        <f t="shared" ca="1" si="41"/>
        <v>S</v>
      </c>
      <c r="D200">
        <f t="shared" ca="1" si="42"/>
        <v>0</v>
      </c>
      <c r="E200">
        <f ca="1">IF($C200=1,OFFSET(E200,-1,0)+MAX(1,COUNTIF(QCI!$A$13:$A$15,OFFSET(ORÇAMENTO!E200,-1,0))),OFFSET(E200,-1,0))</f>
        <v>1</v>
      </c>
      <c r="F200">
        <f t="shared" ca="1" si="43"/>
        <v>5</v>
      </c>
      <c r="G200">
        <f t="shared" ca="1" si="44"/>
        <v>5</v>
      </c>
      <c r="H200">
        <f t="shared" ca="1" si="45"/>
        <v>5</v>
      </c>
      <c r="I200">
        <f t="shared" ca="1" si="46"/>
        <v>6</v>
      </c>
      <c r="J200">
        <f t="shared" ca="1" si="38"/>
        <v>0</v>
      </c>
      <c r="K200">
        <f ca="1">IF(OR($C200="S",$C200=0),0,MATCH(OFFSET($D200,0,$C200)+IF($C200&lt;&gt;1,1,COUNTIF(QCI!$A$13:$A$15,ORÇAMENTO!E200)),OFFSET($D200,1,$C200,ROW($C$508)-ROW($C200)),0))</f>
        <v>0</v>
      </c>
      <c r="L200" s="114" t="str">
        <f t="shared" ca="1" si="47"/>
        <v>F</v>
      </c>
      <c r="M200" s="115" t="s">
        <v>705</v>
      </c>
      <c r="N200" s="116" t="str">
        <f t="shared" ca="1" si="48"/>
        <v>Serviço</v>
      </c>
      <c r="O200" s="117" t="str">
        <f t="shared" ca="1" si="49"/>
        <v>1.5.5.5.6.</v>
      </c>
      <c r="P200" s="118" t="s">
        <v>750</v>
      </c>
      <c r="Q200" s="119" t="s">
        <v>1041</v>
      </c>
      <c r="R200" s="120" t="str">
        <f ca="1">IF($C200="S",REFERENCIA.Descricao,"(digite a descrição aqui)")</f>
        <v>CONSTRUÇÃO DE BASE E SUB-BASE PARA PAVIMENTAÇÃO DE BRITA GRADUADA SIMPLES TRATADA COM CIMENTO, COM ESPESSURA DE 15 CM - EXCLUSIVE CARGA E TRANSPORTE. AF_09/2024</v>
      </c>
      <c r="S200" s="121" t="str">
        <f ca="1">REFERENCIA.Unidade</f>
        <v>M3</v>
      </c>
      <c r="T200" s="122">
        <f ca="1">OFFSET(CÁLCULO!H$15,ROW($T200)-ROW(T$15),0)</f>
        <v>1.7</v>
      </c>
      <c r="U200" s="123">
        <f t="shared" ca="1" si="21"/>
        <v>286.25</v>
      </c>
      <c r="V200" s="124" t="s">
        <v>663</v>
      </c>
      <c r="W200" s="122">
        <f ca="1">IF($C200="S",ROUND(IF(TIPOORCAMENTO="Proposto",ORÇAMENTO.CustoUnitario*(1+$AH200),ORÇAMENTO.PrecoUnitarioLicitado),15-13*$AF$10),0)</f>
        <v>353.52</v>
      </c>
      <c r="X200" s="125" cm="1">
        <f t="array" aca="1" ref="X200" ca="1">IF($C200="S",IF(OR(Import.TipoArredondamento&lt;&gt;"TransfereGOV",ACOMPANHAMENTO="BM"),VTOTAL1,SUM(OFFSET(CÁLCULO!$AI$15,ROW($X200)-ROW($X$15),1):OFFSET(CÁLCULO!$BB$15,ROW($X200)-ROW($X$15),-1))),IF($C200=0,0,ROUND(SomaAgrup,15-13*$AF$11)))</f>
        <v>600.98</v>
      </c>
      <c r="Y200" s="126" t="s">
        <v>751</v>
      </c>
      <c r="Z200" t="str">
        <f t="shared" ca="1" si="50"/>
        <v>RA</v>
      </c>
      <c r="AA200" s="127">
        <f ca="1">IF($C200="S",IF($Z200="CP",$X200,IF($Z200="RA",(($X200)*QCI!$AA$3),0)),SomaAgrup)</f>
        <v>0</v>
      </c>
      <c r="AB200" s="128">
        <f t="shared" ca="1" si="51"/>
        <v>0</v>
      </c>
      <c r="AC200" s="565" t="str" cm="1">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IF(AND(_xlfn.SINGLE(TIPOORCAMENTO)="Licitado",$AL200=0,$AN200&gt;0),"SEM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t="str">
        <f ca="1">IF(C200&lt;=CRONO.NivelExibicao,MAX($AD$15:OFFSET(AD200,-1,0))+IF($C200&lt;&gt;1,1,MAX(1,COUNTIF(QCI!$A$13:$A$15,OFFSET($E200,-1,0)))),"")</f>
        <v/>
      </c>
      <c r="AE200" s="7" t="str">
        <f ca="1">IF(AND($C200="S",ORÇAMENTO.CodBarra&lt;&gt;""),IF(ORÇAMENTO.Fonte="",ORÇAMENTO.CodBarra,CONCATENATE(ORÇAMENTO.Fonte," ",ORÇAMENTO.CodBarra)))</f>
        <v>SINAPI 96397</v>
      </c>
      <c r="AF200" s="12">
        <f ca="1">IF(ISERROR(INDIRECT(ORÇAMENTO.BancoRef)),"(abra o arquivo 'Referência "&amp;Excel_BuiltIn_Database&amp;".xlsm)",IF(OR($C200&lt;&gt;"S",ORÇAMENTO.CodBarra=""),"(Sem Código)",IF(ISERROR(MATCH($AE200,INDIRECT(ORÇAMENTO.BancoRef),0)),"(Código não identificado nas referências)",MATCH($AE200,INDIRECT(ORÇAMENTO.BancoRef),0))))</f>
        <v>6811</v>
      </c>
      <c r="AG200" s="428">
        <f ca="1">ROUND(IF(DESONERACAO="sim",REFERENCIA.Desonerado,REFERENCIA.NaoDesonerado),2)</f>
        <v>286.25</v>
      </c>
      <c r="AH200" s="429">
        <f t="shared" ca="1" si="52"/>
        <v>0.23499999999999999</v>
      </c>
      <c r="AJ200" s="431">
        <f>ROUND(AJ199*0.05,2)</f>
        <v>1.7</v>
      </c>
      <c r="AL200" s="439"/>
      <c r="AM200" s="336">
        <f t="shared" ca="1" si="0"/>
        <v>600.98</v>
      </c>
      <c r="AN200" s="470">
        <f t="shared" ca="1" si="53"/>
        <v>353.52</v>
      </c>
    </row>
    <row r="201" spans="1:40" x14ac:dyDescent="0.2">
      <c r="A201">
        <f t="shared" si="39"/>
        <v>4</v>
      </c>
      <c r="B201">
        <f t="shared" ca="1" si="40"/>
        <v>4</v>
      </c>
      <c r="C201">
        <f t="shared" ca="1" si="41"/>
        <v>4</v>
      </c>
      <c r="D201">
        <f t="shared" ca="1" si="42"/>
        <v>6</v>
      </c>
      <c r="E201">
        <f ca="1">IF($C201=1,OFFSET(E201,-1,0)+MAX(1,COUNTIF(QCI!$A$13:$A$15,OFFSET(ORÇAMENTO!E201,-1,0))),OFFSET(E201,-1,0))</f>
        <v>1</v>
      </c>
      <c r="F201">
        <f t="shared" ca="1" si="43"/>
        <v>5</v>
      </c>
      <c r="G201">
        <f t="shared" ca="1" si="44"/>
        <v>5</v>
      </c>
      <c r="H201">
        <f t="shared" ca="1" si="45"/>
        <v>6</v>
      </c>
      <c r="I201">
        <f t="shared" ca="1" si="46"/>
        <v>0</v>
      </c>
      <c r="J201">
        <f t="shared" ca="1" si="38"/>
        <v>6</v>
      </c>
      <c r="K201" t="e">
        <f ca="1">IF(OR($C201="S",$C201=0),0,MATCH(OFFSET($D201,0,$C201)+IF($C201&lt;&gt;1,1,COUNTIF(QCI!$A$13:$A$15,ORÇAMENTO!E201)),OFFSET($D201,1,$C201,ROW($C$508)-ROW($C201)),0))</f>
        <v>#N/A</v>
      </c>
      <c r="L201" s="114" t="str">
        <f t="shared" ca="1" si="47"/>
        <v>F</v>
      </c>
      <c r="M201" s="115" t="s">
        <v>704</v>
      </c>
      <c r="N201" s="116" t="str">
        <f t="shared" ca="1" si="48"/>
        <v>Nível 4</v>
      </c>
      <c r="O201" s="117" t="str">
        <f t="shared" ca="1" si="49"/>
        <v>1.5.5.6.</v>
      </c>
      <c r="P201" s="118" t="s">
        <v>750</v>
      </c>
      <c r="Q201" s="119"/>
      <c r="R201" s="120" t="s">
        <v>1231</v>
      </c>
      <c r="S201" s="121" t="s">
        <v>688</v>
      </c>
      <c r="T201" s="122">
        <f ca="1">OFFSET(CÁLCULO!H$15,ROW($T201)-ROW(T$15),0)</f>
        <v>0</v>
      </c>
      <c r="U201" s="123">
        <f t="shared" ca="1" si="21"/>
        <v>0</v>
      </c>
      <c r="V201" s="124" t="s">
        <v>663</v>
      </c>
      <c r="W201" s="122">
        <f ca="1">IF($C201="S",ROUND(IF(TIPOORCAMENTO="Proposto",ORÇAMENTO.CustoUnitario*(1+$AH201),ORÇAMENTO.PrecoUnitarioLicitado),15-13*$AF$10),0)</f>
        <v>0</v>
      </c>
      <c r="X201" s="125" cm="1">
        <f t="array" aca="1" ref="X201" ca="1">IF($C201="S",IF(OR(Import.TipoArredondamento&lt;&gt;"TransfereGOV",ACOMPANHAMENTO="BM"),VTOTAL1,SUM(OFFSET(CÁLCULO!$AI$15,ROW($X201)-ROW($X$15),1):OFFSET(CÁLCULO!$BB$15,ROW($X201)-ROW($X$15),-1))),IF($C201=0,0,ROUND(SomaAgrup,15-13*$AF$11)))</f>
        <v>3589.88</v>
      </c>
      <c r="Y201" s="126" t="s">
        <v>751</v>
      </c>
      <c r="Z201" t="str">
        <f t="shared" ca="1" si="50"/>
        <v/>
      </c>
      <c r="AA201" s="127">
        <f ca="1">IF($C201="S",IF($Z201="CP",$X201,IF($Z201="RA",(($X201)*QCI!$AA$3),0)),SomaAgrup)</f>
        <v>0</v>
      </c>
      <c r="AB201" s="128">
        <f t="shared" ca="1" si="51"/>
        <v>0</v>
      </c>
      <c r="AC201" s="565" t="str" cm="1">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IF(AND(_xlfn.SINGLE(TIPOORCAMENTO)="Licitado",$AL201=0,$AN201&gt;0),"SEM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t="str">
        <f ca="1">IF(C201&lt;=CRONO.NivelExibicao,MAX($AD$15:OFFSET(AD201,-1,0))+IF($C201&lt;&gt;1,1,MAX(1,COUNTIF(QCI!$A$13:$A$15,OFFSET($E201,-1,0)))),"")</f>
        <v/>
      </c>
      <c r="AE201" s="7" t="b">
        <f ca="1">IF(AND($C201="S",ORÇAMENTO.CodBarra&lt;&gt;""),IF(ORÇAMENTO.Fonte="",ORÇAMENTO.CodBarra,CONCATENATE(ORÇAMENTO.Fonte," ",ORÇAMENTO.CodBarra)))</f>
        <v>0</v>
      </c>
      <c r="AF201" s="12" t="str">
        <f ca="1">IF(ISERROR(INDIRECT(ORÇAMENTO.BancoRef)),"(abra o arquivo 'Referência "&amp;Excel_BuiltIn_Database&amp;".xlsm)",IF(OR($C201&lt;&gt;"S",ORÇAMENTO.CodBarra=""),"(Sem Código)",IF(ISERROR(MATCH($AE201,INDIRECT(ORÇAMENTO.BancoRef),0)),"(Código não identificado nas referências)",MATCH($AE201,INDIRECT(ORÇAMENTO.BancoRef),0))))</f>
        <v>(Sem Código)</v>
      </c>
      <c r="AG201" s="428">
        <f ca="1">ROUND(IF(DESONERACAO="sim",REFERENCIA.Desonerado,REFERENCIA.NaoDesonerado),2)</f>
        <v>0</v>
      </c>
      <c r="AH201" s="429">
        <f t="shared" ca="1" si="52"/>
        <v>0.23499999999999999</v>
      </c>
      <c r="AJ201" s="431"/>
      <c r="AL201" s="439"/>
      <c r="AM201" s="336">
        <f t="shared" ca="1" si="0"/>
        <v>3589.88</v>
      </c>
      <c r="AN201" s="470">
        <f t="shared" ca="1" si="53"/>
        <v>0</v>
      </c>
    </row>
    <row r="202" spans="1:40" ht="38.25" x14ac:dyDescent="0.2">
      <c r="A202" t="str">
        <f t="shared" si="39"/>
        <v>S</v>
      </c>
      <c r="B202">
        <f t="shared" ca="1" si="40"/>
        <v>4</v>
      </c>
      <c r="C202" t="str">
        <f t="shared" ca="1" si="41"/>
        <v>S</v>
      </c>
      <c r="D202">
        <f t="shared" ca="1" si="42"/>
        <v>0</v>
      </c>
      <c r="E202">
        <f ca="1">IF($C202=1,OFFSET(E202,-1,0)+MAX(1,COUNTIF(QCI!$A$13:$A$15,OFFSET(ORÇAMENTO!E202,-1,0))),OFFSET(E202,-1,0))</f>
        <v>1</v>
      </c>
      <c r="F202">
        <f t="shared" ca="1" si="43"/>
        <v>5</v>
      </c>
      <c r="G202">
        <f t="shared" ca="1" si="44"/>
        <v>5</v>
      </c>
      <c r="H202">
        <f t="shared" ca="1" si="45"/>
        <v>6</v>
      </c>
      <c r="I202">
        <f t="shared" ca="1" si="46"/>
        <v>1</v>
      </c>
      <c r="J202">
        <f t="shared" ca="1" si="38"/>
        <v>0</v>
      </c>
      <c r="K202">
        <f ca="1">IF(OR($C202="S",$C202=0),0,MATCH(OFFSET($D202,0,$C202)+IF($C202&lt;&gt;1,1,COUNTIF(QCI!$A$13:$A$15,ORÇAMENTO!E202)),OFFSET($D202,1,$C202,ROW($C$508)-ROW($C202)),0))</f>
        <v>0</v>
      </c>
      <c r="L202" s="114" t="str">
        <f t="shared" ca="1" si="47"/>
        <v>F</v>
      </c>
      <c r="M202" s="115" t="s">
        <v>705</v>
      </c>
      <c r="N202" s="116" t="str">
        <f t="shared" ca="1" si="48"/>
        <v>Serviço</v>
      </c>
      <c r="O202" s="117" t="str">
        <f t="shared" ca="1" si="49"/>
        <v>1.5.5.6.1.</v>
      </c>
      <c r="P202" s="118" t="s">
        <v>750</v>
      </c>
      <c r="Q202" s="119" t="s">
        <v>1017</v>
      </c>
      <c r="R202" s="120" t="str">
        <f ca="1">IF($C202="S",REFERENCIA.Descricao,"(digite a descrição aqui)")</f>
        <v>CONCRETO FCK = 40MPA, TRAÇO 1:1,6:1,9 (EM MASSA SECA DE CIMENTO/ AREIA MÉDIA/ BRITA 1) - PREPARO MECÂNICO COM BETONEIRA 600 L. AF_05/2021</v>
      </c>
      <c r="S202" s="121" t="str">
        <f ca="1">REFERENCIA.Unidade</f>
        <v>M3</v>
      </c>
      <c r="T202" s="122">
        <f ca="1">OFFSET(CÁLCULO!H$15,ROW($T202)-ROW(T$15),0)</f>
        <v>3</v>
      </c>
      <c r="U202" s="123">
        <f t="shared" ca="1" si="21"/>
        <v>628.30999999999995</v>
      </c>
      <c r="V202" s="124" t="s">
        <v>663</v>
      </c>
      <c r="W202" s="122">
        <f ca="1">IF($C202="S",ROUND(IF(TIPOORCAMENTO="Proposto",ORÇAMENTO.CustoUnitario*(1+$AH202),ORÇAMENTO.PrecoUnitarioLicitado),15-13*$AF$10),0)</f>
        <v>775.96</v>
      </c>
      <c r="X202" s="125" cm="1">
        <f t="array" aca="1" ref="X202" ca="1">IF($C202="S",IF(OR(Import.TipoArredondamento&lt;&gt;"TransfereGOV",ACOMPANHAMENTO="BM"),VTOTAL1,SUM(OFFSET(CÁLCULO!$AI$15,ROW($X202)-ROW($X$15),1):OFFSET(CÁLCULO!$BB$15,ROW($X202)-ROW($X$15),-1))),IF($C202=0,0,ROUND(SomaAgrup,15-13*$AF$11)))</f>
        <v>2327.88</v>
      </c>
      <c r="Y202" s="126" t="s">
        <v>751</v>
      </c>
      <c r="Z202" t="str">
        <f t="shared" ca="1" si="50"/>
        <v>RA</v>
      </c>
      <c r="AA202" s="127">
        <f ca="1">IF($C202="S",IF($Z202="CP",$X202,IF($Z202="RA",(($X202)*QCI!$AA$3),0)),SomaAgrup)</f>
        <v>0</v>
      </c>
      <c r="AB202" s="128">
        <f t="shared" ca="1" si="51"/>
        <v>0</v>
      </c>
      <c r="AC202" s="565" t="str" cm="1">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IF(AND(_xlfn.SINGLE(TIPOORCAMENTO)="Licitado",$AL202=0,$AN202&gt;0),"SEM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t="str">
        <f ca="1">IF(C202&lt;=CRONO.NivelExibicao,MAX($AD$15:OFFSET(AD202,-1,0))+IF($C202&lt;&gt;1,1,MAX(1,COUNTIF(QCI!$A$13:$A$15,OFFSET($E202,-1,0)))),"")</f>
        <v/>
      </c>
      <c r="AE202" s="7" t="str">
        <f ca="1">IF(AND($C202="S",ORÇAMENTO.CodBarra&lt;&gt;""),IF(ORÇAMENTO.Fonte="",ORÇAMENTO.CodBarra,CONCATENATE(ORÇAMENTO.Fonte," ",ORÇAMENTO.CodBarra)))</f>
        <v>SINAPI 94973</v>
      </c>
      <c r="AF202" s="12">
        <f ca="1">IF(ISERROR(INDIRECT(ORÇAMENTO.BancoRef)),"(abra o arquivo 'Referência "&amp;Excel_BuiltIn_Database&amp;".xlsm)",IF(OR($C202&lt;&gt;"S",ORÇAMENTO.CodBarra=""),"(Sem Código)",IF(ISERROR(MATCH($AE202,INDIRECT(ORÇAMENTO.BancoRef),0)),"(Código não identificado nas referências)",MATCH($AE202,INDIRECT(ORÇAMENTO.BancoRef),0))))</f>
        <v>14326</v>
      </c>
      <c r="AG202" s="428">
        <f ca="1">ROUND(IF(DESONERACAO="sim",REFERENCIA.Desonerado,REFERENCIA.NaoDesonerado),2)</f>
        <v>628.30999999999995</v>
      </c>
      <c r="AH202" s="429">
        <f t="shared" ca="1" si="52"/>
        <v>0.23499999999999999</v>
      </c>
      <c r="AJ202" s="431">
        <v>3</v>
      </c>
      <c r="AL202" s="439"/>
      <c r="AM202" s="336">
        <f t="shared" ca="1" si="0"/>
        <v>2327.88</v>
      </c>
      <c r="AN202" s="470">
        <f t="shared" ca="1" si="53"/>
        <v>775.96</v>
      </c>
    </row>
    <row r="203" spans="1:40" ht="25.5" x14ac:dyDescent="0.2">
      <c r="A203" t="str">
        <f t="shared" si="39"/>
        <v>S</v>
      </c>
      <c r="B203">
        <f t="shared" ca="1" si="40"/>
        <v>4</v>
      </c>
      <c r="C203" t="str">
        <f t="shared" ca="1" si="41"/>
        <v>S</v>
      </c>
      <c r="D203">
        <f t="shared" ca="1" si="42"/>
        <v>0</v>
      </c>
      <c r="E203">
        <f ca="1">IF($C203=1,OFFSET(E203,-1,0)+MAX(1,COUNTIF(QCI!$A$13:$A$15,OFFSET(ORÇAMENTO!E203,-1,0))),OFFSET(E203,-1,0))</f>
        <v>1</v>
      </c>
      <c r="F203">
        <f t="shared" ca="1" si="43"/>
        <v>5</v>
      </c>
      <c r="G203">
        <f t="shared" ca="1" si="44"/>
        <v>5</v>
      </c>
      <c r="H203">
        <f t="shared" ca="1" si="45"/>
        <v>6</v>
      </c>
      <c r="I203">
        <f t="shared" ca="1" si="46"/>
        <v>2</v>
      </c>
      <c r="J203">
        <f t="shared" ca="1" si="38"/>
        <v>0</v>
      </c>
      <c r="K203">
        <f ca="1">IF(OR($C203="S",$C203=0),0,MATCH(OFFSET($D203,0,$C203)+IF($C203&lt;&gt;1,1,COUNTIF(QCI!$A$13:$A$15,ORÇAMENTO!E203)),OFFSET($D203,1,$C203,ROW($C$508)-ROW($C203)),0))</f>
        <v>0</v>
      </c>
      <c r="L203" s="114" t="str">
        <f t="shared" ca="1" si="47"/>
        <v>F</v>
      </c>
      <c r="M203" s="115" t="s">
        <v>705</v>
      </c>
      <c r="N203" s="116" t="str">
        <f t="shared" ca="1" si="48"/>
        <v>Serviço</v>
      </c>
      <c r="O203" s="117" t="str">
        <f t="shared" ca="1" si="49"/>
        <v>1.5.5.6.2.</v>
      </c>
      <c r="P203" s="118" t="s">
        <v>750</v>
      </c>
      <c r="Q203" s="119" t="s">
        <v>1018</v>
      </c>
      <c r="R203" s="120" t="str">
        <f ca="1">IF($C203="S",REFERENCIA.Descricao,"(digite a descrição aqui)")</f>
        <v>LANÇAMENTO COM USO DE BOMBA, ADENSAMENTO E ACABAMENTO DE CONCRETO EM ESTRUTURAS. AF_02/2022</v>
      </c>
      <c r="S203" s="121" t="str">
        <f ca="1">REFERENCIA.Unidade</f>
        <v>M3</v>
      </c>
      <c r="T203" s="122">
        <f ca="1">OFFSET(CÁLCULO!H$15,ROW($T203)-ROW(T$15),0)</f>
        <v>3</v>
      </c>
      <c r="U203" s="123">
        <f t="shared" ca="1" si="21"/>
        <v>44.5</v>
      </c>
      <c r="V203" s="124" t="s">
        <v>663</v>
      </c>
      <c r="W203" s="122">
        <f ca="1">IF($C203="S",ROUND(IF(TIPOORCAMENTO="Proposto",ORÇAMENTO.CustoUnitario*(1+$AH203),ORÇAMENTO.PrecoUnitarioLicitado),15-13*$AF$10),0)</f>
        <v>54.96</v>
      </c>
      <c r="X203" s="125" cm="1">
        <f t="array" aca="1" ref="X203" ca="1">IF($C203="S",IF(OR(Import.TipoArredondamento&lt;&gt;"TransfereGOV",ACOMPANHAMENTO="BM"),VTOTAL1,SUM(OFFSET(CÁLCULO!$AI$15,ROW($X203)-ROW($X$15),1):OFFSET(CÁLCULO!$BB$15,ROW($X203)-ROW($X$15),-1))),IF($C203=0,0,ROUND(SomaAgrup,15-13*$AF$11)))</f>
        <v>164.88</v>
      </c>
      <c r="Y203" s="126" t="s">
        <v>751</v>
      </c>
      <c r="Z203" t="str">
        <f t="shared" ca="1" si="50"/>
        <v>RA</v>
      </c>
      <c r="AA203" s="127">
        <f ca="1">IF($C203="S",IF($Z203="CP",$X203,IF($Z203="RA",(($X203)*QCI!$AA$3),0)),SomaAgrup)</f>
        <v>0</v>
      </c>
      <c r="AB203" s="128">
        <f t="shared" ca="1" si="51"/>
        <v>0</v>
      </c>
      <c r="AC203" s="565" t="str" cm="1">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IF(AND(_xlfn.SINGLE(TIPOORCAMENTO)="Licitado",$AL203=0,$AN203&gt;0),"SEM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t="str">
        <f ca="1">IF(C203&lt;=CRONO.NivelExibicao,MAX($AD$15:OFFSET(AD203,-1,0))+IF($C203&lt;&gt;1,1,MAX(1,COUNTIF(QCI!$A$13:$A$15,OFFSET($E203,-1,0)))),"")</f>
        <v/>
      </c>
      <c r="AE203" s="7" t="str">
        <f ca="1">IF(AND($C203="S",ORÇAMENTO.CodBarra&lt;&gt;""),IF(ORÇAMENTO.Fonte="",ORÇAMENTO.CodBarra,CONCATENATE(ORÇAMENTO.Fonte," ",ORÇAMENTO.CodBarra)))</f>
        <v>SINAPI 103673</v>
      </c>
      <c r="AF203" s="12">
        <f ca="1">IF(ISERROR(INDIRECT(ORÇAMENTO.BancoRef)),"(abra o arquivo 'Referência "&amp;Excel_BuiltIn_Database&amp;".xlsm)",IF(OR($C203&lt;&gt;"S",ORÇAMENTO.CodBarra=""),"(Sem Código)",IF(ISERROR(MATCH($AE203,INDIRECT(ORÇAMENTO.BancoRef),0)),"(Código não identificado nas referências)",MATCH($AE203,INDIRECT(ORÇAMENTO.BancoRef),0))))</f>
        <v>7334</v>
      </c>
      <c r="AG203" s="428">
        <f ca="1">ROUND(IF(DESONERACAO="sim",REFERENCIA.Desonerado,REFERENCIA.NaoDesonerado),2)</f>
        <v>44.5</v>
      </c>
      <c r="AH203" s="429">
        <f t="shared" ca="1" si="52"/>
        <v>0.23499999999999999</v>
      </c>
      <c r="AJ203" s="431">
        <f>AJ202</f>
        <v>3</v>
      </c>
      <c r="AL203" s="439"/>
      <c r="AM203" s="336">
        <f t="shared" ca="1" si="0"/>
        <v>164.88</v>
      </c>
      <c r="AN203" s="470">
        <f t="shared" ca="1" si="53"/>
        <v>54.96</v>
      </c>
    </row>
    <row r="204" spans="1:40" ht="25.5" x14ac:dyDescent="0.2">
      <c r="A204" t="str">
        <f t="shared" si="39"/>
        <v>S</v>
      </c>
      <c r="B204">
        <f t="shared" ca="1" si="40"/>
        <v>4</v>
      </c>
      <c r="C204" t="str">
        <f t="shared" ca="1" si="41"/>
        <v>S</v>
      </c>
      <c r="D204">
        <f t="shared" ca="1" si="42"/>
        <v>0</v>
      </c>
      <c r="E204">
        <f ca="1">IF($C204=1,OFFSET(E204,-1,0)+MAX(1,COUNTIF(QCI!$A$13:$A$15,OFFSET(ORÇAMENTO!E204,-1,0))),OFFSET(E204,-1,0))</f>
        <v>1</v>
      </c>
      <c r="F204">
        <f t="shared" ca="1" si="43"/>
        <v>5</v>
      </c>
      <c r="G204">
        <f t="shared" ca="1" si="44"/>
        <v>5</v>
      </c>
      <c r="H204">
        <f t="shared" ca="1" si="45"/>
        <v>6</v>
      </c>
      <c r="I204">
        <f t="shared" ca="1" si="46"/>
        <v>3</v>
      </c>
      <c r="J204">
        <f t="shared" ca="1" si="38"/>
        <v>0</v>
      </c>
      <c r="K204">
        <f ca="1">IF(OR($C204="S",$C204=0),0,MATCH(OFFSET($D204,0,$C204)+IF($C204&lt;&gt;1,1,COUNTIF(QCI!$A$13:$A$15,ORÇAMENTO!E204)),OFFSET($D204,1,$C204,ROW($C$508)-ROW($C204)),0))</f>
        <v>0</v>
      </c>
      <c r="L204" s="114" t="str">
        <f t="shared" ca="1" si="47"/>
        <v>F</v>
      </c>
      <c r="M204" s="115" t="s">
        <v>705</v>
      </c>
      <c r="N204" s="116" t="str">
        <f t="shared" ca="1" si="48"/>
        <v>Serviço</v>
      </c>
      <c r="O204" s="117" t="str">
        <f t="shared" ca="1" si="49"/>
        <v>1.5.5.6.3.</v>
      </c>
      <c r="P204" s="118" t="s">
        <v>956</v>
      </c>
      <c r="Q204" s="119" t="s">
        <v>1024</v>
      </c>
      <c r="R204" s="120" t="str">
        <f ca="1">IF($C204="S",REFERENCIA.Descricao,"(digite a descrição aqui)")</f>
        <v>FÔRMAS DE COMPENSADO RESINADO 10 MM - USO GERAL - UTILIZAÇÃO DE 3 VEZES - CONFECÇÃO, INSTALAÇÃO E RETIRADA</v>
      </c>
      <c r="S204" s="121" t="str">
        <f ca="1">REFERENCIA.Unidade</f>
        <v>M2</v>
      </c>
      <c r="T204" s="122">
        <f ca="1">OFFSET(CÁLCULO!H$15,ROW($T204)-ROW(T$15),0)</f>
        <v>3.6</v>
      </c>
      <c r="U204" s="123">
        <f t="shared" ca="1" si="21"/>
        <v>71.66</v>
      </c>
      <c r="V204" s="124" t="s">
        <v>663</v>
      </c>
      <c r="W204" s="122">
        <f ca="1">IF($C204="S",ROUND(IF(TIPOORCAMENTO="Proposto",ORÇAMENTO.CustoUnitario*(1+$AH204),ORÇAMENTO.PrecoUnitarioLicitado),15-13*$AF$10),0)</f>
        <v>88.5</v>
      </c>
      <c r="X204" s="125" cm="1">
        <f t="array" aca="1" ref="X204" ca="1">IF($C204="S",IF(OR(Import.TipoArredondamento&lt;&gt;"TransfereGOV",ACOMPANHAMENTO="BM"),VTOTAL1,SUM(OFFSET(CÁLCULO!$AI$15,ROW($X204)-ROW($X$15),1):OFFSET(CÁLCULO!$BB$15,ROW($X204)-ROW($X$15),-1))),IF($C204=0,0,ROUND(SomaAgrup,15-13*$AF$11)))</f>
        <v>318.60000000000002</v>
      </c>
      <c r="Y204" s="126" t="s">
        <v>751</v>
      </c>
      <c r="Z204" t="str">
        <f t="shared" ca="1" si="50"/>
        <v>RA</v>
      </c>
      <c r="AA204" s="127">
        <f ca="1">IF($C204="S",IF($Z204="CP",$X204,IF($Z204="RA",(($X204)*QCI!$AA$3),0)),SomaAgrup)</f>
        <v>0</v>
      </c>
      <c r="AB204" s="128">
        <f t="shared" ca="1" si="51"/>
        <v>0</v>
      </c>
      <c r="AC204" s="565" t="str" cm="1">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IF(AND(_xlfn.SINGLE(TIPOORCAMENTO)="Licitado",$AL204=0,$AN204&gt;0),"SEM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t="str">
        <f ca="1">IF(C204&lt;=CRONO.NivelExibicao,MAX($AD$15:OFFSET(AD204,-1,0))+IF($C204&lt;&gt;1,1,MAX(1,COUNTIF(QCI!$A$13:$A$15,OFFSET($E204,-1,0)))),"")</f>
        <v/>
      </c>
      <c r="AE204" s="7" t="str">
        <f ca="1">IF(AND($C204="S",ORÇAMENTO.CodBarra&lt;&gt;""),IF(ORÇAMENTO.Fonte="",ORÇAMENTO.CodBarra,CONCATENATE(ORÇAMENTO.Fonte," ",ORÇAMENTO.CodBarra)))</f>
        <v>SICRO 3107997</v>
      </c>
      <c r="AF204" s="12">
        <f ca="1">IF(ISERROR(INDIRECT(ORÇAMENTO.BancoRef)),"(abra o arquivo 'Referência "&amp;Excel_BuiltIn_Database&amp;".xlsm)",IF(OR($C204&lt;&gt;"S",ORÇAMENTO.CodBarra=""),"(Sem Código)",IF(ISERROR(MATCH($AE204,INDIRECT(ORÇAMENTO.BancoRef),0)),"(Código não identificado nas referências)",MATCH($AE204,INDIRECT(ORÇAMENTO.BancoRef),0))))</f>
        <v>19900</v>
      </c>
      <c r="AG204" s="428">
        <f ca="1">ROUND(IF(DESONERACAO="sim",REFERENCIA.Desonerado,REFERENCIA.NaoDesonerado),2)</f>
        <v>71.66</v>
      </c>
      <c r="AH204" s="429">
        <f t="shared" ca="1" si="52"/>
        <v>0.23499999999999999</v>
      </c>
      <c r="AJ204" s="431">
        <v>3.6</v>
      </c>
      <c r="AL204" s="439"/>
      <c r="AM204" s="336">
        <f t="shared" ca="1" si="0"/>
        <v>318.60000000000002</v>
      </c>
      <c r="AN204" s="470">
        <f t="shared" ca="1" si="53"/>
        <v>88.5</v>
      </c>
    </row>
    <row r="205" spans="1:40" ht="25.5" x14ac:dyDescent="0.2">
      <c r="A205" t="str">
        <f t="shared" si="39"/>
        <v>S</v>
      </c>
      <c r="B205">
        <f t="shared" ca="1" si="40"/>
        <v>4</v>
      </c>
      <c r="C205" t="str">
        <f t="shared" ca="1" si="41"/>
        <v>S</v>
      </c>
      <c r="D205">
        <f t="shared" ca="1" si="42"/>
        <v>0</v>
      </c>
      <c r="E205">
        <f ca="1">IF($C205=1,OFFSET(E205,-1,0)+MAX(1,COUNTIF(QCI!$A$13:$A$15,OFFSET(ORÇAMENTO!E205,-1,0))),OFFSET(E205,-1,0))</f>
        <v>1</v>
      </c>
      <c r="F205">
        <f t="shared" ca="1" si="43"/>
        <v>5</v>
      </c>
      <c r="G205">
        <f t="shared" ca="1" si="44"/>
        <v>5</v>
      </c>
      <c r="H205">
        <f t="shared" ca="1" si="45"/>
        <v>6</v>
      </c>
      <c r="I205">
        <f t="shared" ca="1" si="46"/>
        <v>4</v>
      </c>
      <c r="J205">
        <f t="shared" ca="1" si="38"/>
        <v>0</v>
      </c>
      <c r="K205">
        <f ca="1">IF(OR($C205="S",$C205=0),0,MATCH(OFFSET($D205,0,$C205)+IF($C205&lt;&gt;1,1,COUNTIF(QCI!$A$13:$A$15,ORÇAMENTO!E205)),OFFSET($D205,1,$C205,ROW($C$508)-ROW($C205)),0))</f>
        <v>0</v>
      </c>
      <c r="L205" s="114" t="str">
        <f t="shared" ca="1" si="47"/>
        <v>F</v>
      </c>
      <c r="M205" s="115" t="s">
        <v>705</v>
      </c>
      <c r="N205" s="116" t="str">
        <f t="shared" ca="1" si="48"/>
        <v>Serviço</v>
      </c>
      <c r="O205" s="117" t="str">
        <f t="shared" ca="1" si="49"/>
        <v>1.5.5.6.4.</v>
      </c>
      <c r="P205" s="118" t="s">
        <v>750</v>
      </c>
      <c r="Q205" s="119" t="s">
        <v>1040</v>
      </c>
      <c r="R205" s="120" t="str">
        <f ca="1">IF($C205="S",REFERENCIA.Descricao,"(digite a descrição aqui)")</f>
        <v>APLICAÇÃO DE LONA PLÁSTICA PARA EXECUÇÃO DE PAVIMENTOS DE CONCRETO. AF_04/2022</v>
      </c>
      <c r="S205" s="121" t="str">
        <f ca="1">REFERENCIA.Unidade</f>
        <v>M2</v>
      </c>
      <c r="T205" s="122">
        <f ca="1">OFFSET(CÁLCULO!H$15,ROW($T205)-ROW(T$15),0)</f>
        <v>37.4</v>
      </c>
      <c r="U205" s="123">
        <f t="shared" ca="1" si="21"/>
        <v>2.54</v>
      </c>
      <c r="V205" s="124" t="s">
        <v>663</v>
      </c>
      <c r="W205" s="122">
        <f ca="1">IF($C205="S",ROUND(IF(TIPOORCAMENTO="Proposto",ORÇAMENTO.CustoUnitario*(1+$AH205),ORÇAMENTO.PrecoUnitarioLicitado),15-13*$AF$10),0)</f>
        <v>3.14</v>
      </c>
      <c r="X205" s="125" cm="1">
        <f t="array" aca="1" ref="X205" ca="1">IF($C205="S",IF(OR(Import.TipoArredondamento&lt;&gt;"TransfereGOV",ACOMPANHAMENTO="BM"),VTOTAL1,SUM(OFFSET(CÁLCULO!$AI$15,ROW($X205)-ROW($X$15),1):OFFSET(CÁLCULO!$BB$15,ROW($X205)-ROW($X$15),-1))),IF($C205=0,0,ROUND(SomaAgrup,15-13*$AF$11)))</f>
        <v>117.44</v>
      </c>
      <c r="Y205" s="126" t="s">
        <v>751</v>
      </c>
      <c r="Z205" t="str">
        <f t="shared" ca="1" si="50"/>
        <v>RA</v>
      </c>
      <c r="AA205" s="127">
        <f ca="1">IF($C205="S",IF($Z205="CP",$X205,IF($Z205="RA",(($X205)*QCI!$AA$3),0)),SomaAgrup)</f>
        <v>0</v>
      </c>
      <c r="AB205" s="128">
        <f t="shared" ca="1" si="51"/>
        <v>0</v>
      </c>
      <c r="AC205" s="565" t="str" cm="1">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IF(AND(_xlfn.SINGLE(TIPOORCAMENTO)="Licitado",$AL205=0,$AN205&gt;0),"SEM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t="str">
        <f ca="1">IF(C205&lt;=CRONO.NivelExibicao,MAX($AD$15:OFFSET(AD205,-1,0))+IF($C205&lt;&gt;1,1,MAX(1,COUNTIF(QCI!$A$13:$A$15,OFFSET($E205,-1,0)))),"")</f>
        <v/>
      </c>
      <c r="AE205" s="7" t="str">
        <f ca="1">IF(AND($C205="S",ORÇAMENTO.CodBarra&lt;&gt;""),IF(ORÇAMENTO.Fonte="",ORÇAMENTO.CodBarra,CONCATENATE(ORÇAMENTO.Fonte," ",ORÇAMENTO.CodBarra)))</f>
        <v>SINAPI 97113</v>
      </c>
      <c r="AF205" s="12">
        <f ca="1">IF(ISERROR(INDIRECT(ORÇAMENTO.BancoRef)),"(abra o arquivo 'Referência "&amp;Excel_BuiltIn_Database&amp;".xlsm)",IF(OR($C205&lt;&gt;"S",ORÇAMENTO.CodBarra=""),"(Sem Código)",IF(ISERROR(MATCH($AE205,INDIRECT(ORÇAMENTO.BancoRef),0)),"(Código não identificado nas referências)",MATCH($AE205,INDIRECT(ORÇAMENTO.BancoRef),0))))</f>
        <v>13709</v>
      </c>
      <c r="AG205" s="428">
        <f ca="1">ROUND(IF(DESONERACAO="sim",REFERENCIA.Desonerado,REFERENCIA.NaoDesonerado),2)</f>
        <v>2.54</v>
      </c>
      <c r="AH205" s="429">
        <f t="shared" ca="1" si="52"/>
        <v>0.23499999999999999</v>
      </c>
      <c r="AJ205" s="431">
        <v>37.4</v>
      </c>
      <c r="AL205" s="439"/>
      <c r="AM205" s="336">
        <f t="shared" ca="1" si="0"/>
        <v>117.44</v>
      </c>
      <c r="AN205" s="470">
        <f t="shared" ca="1" si="53"/>
        <v>3.14</v>
      </c>
    </row>
    <row r="206" spans="1:40" ht="51" x14ac:dyDescent="0.2">
      <c r="A206" t="str">
        <f t="shared" si="39"/>
        <v>S</v>
      </c>
      <c r="B206">
        <f t="shared" ca="1" si="40"/>
        <v>4</v>
      </c>
      <c r="C206" t="str">
        <f t="shared" ca="1" si="41"/>
        <v>S</v>
      </c>
      <c r="D206">
        <f t="shared" ca="1" si="42"/>
        <v>0</v>
      </c>
      <c r="E206">
        <f ca="1">IF($C206=1,OFFSET(E206,-1,0)+MAX(1,COUNTIF(QCI!$A$13:$A$15,OFFSET(ORÇAMENTO!E206,-1,0))),OFFSET(E206,-1,0))</f>
        <v>1</v>
      </c>
      <c r="F206">
        <f t="shared" ca="1" si="43"/>
        <v>5</v>
      </c>
      <c r="G206">
        <f t="shared" ca="1" si="44"/>
        <v>5</v>
      </c>
      <c r="H206">
        <f t="shared" ca="1" si="45"/>
        <v>6</v>
      </c>
      <c r="I206">
        <f t="shared" ca="1" si="46"/>
        <v>5</v>
      </c>
      <c r="J206">
        <f t="shared" ca="1" si="38"/>
        <v>0</v>
      </c>
      <c r="K206">
        <f ca="1">IF(OR($C206="S",$C206=0),0,MATCH(OFFSET($D206,0,$C206)+IF($C206&lt;&gt;1,1,COUNTIF(QCI!$A$13:$A$15,ORÇAMENTO!E206)),OFFSET($D206,1,$C206,ROW($C$508)-ROW($C206)),0))</f>
        <v>0</v>
      </c>
      <c r="L206" s="114" t="str">
        <f t="shared" ca="1" si="47"/>
        <v>F</v>
      </c>
      <c r="M206" s="115" t="s">
        <v>705</v>
      </c>
      <c r="N206" s="116" t="str">
        <f t="shared" ca="1" si="48"/>
        <v>Serviço</v>
      </c>
      <c r="O206" s="117" t="str">
        <f t="shared" ca="1" si="49"/>
        <v>1.5.5.6.5.</v>
      </c>
      <c r="P206" s="118" t="s">
        <v>750</v>
      </c>
      <c r="Q206" s="119" t="s">
        <v>1041</v>
      </c>
      <c r="R206" s="120" t="str">
        <f ca="1">IF($C206="S",REFERENCIA.Descricao,"(digite a descrição aqui)")</f>
        <v>CONSTRUÇÃO DE BASE E SUB-BASE PARA PAVIMENTAÇÃO DE BRITA GRADUADA SIMPLES TRATADA COM CIMENTO, COM ESPESSURA DE 15 CM - EXCLUSIVE CARGA E TRANSPORTE. AF_09/2024</v>
      </c>
      <c r="S206" s="121" t="str">
        <f ca="1">REFERENCIA.Unidade</f>
        <v>M3</v>
      </c>
      <c r="T206" s="122">
        <f ca="1">OFFSET(CÁLCULO!H$15,ROW($T206)-ROW(T$15),0)</f>
        <v>1.87</v>
      </c>
      <c r="U206" s="123">
        <f t="shared" ca="1" si="21"/>
        <v>286.25</v>
      </c>
      <c r="V206" s="124" t="s">
        <v>663</v>
      </c>
      <c r="W206" s="122">
        <f ca="1">IF($C206="S",ROUND(IF(TIPOORCAMENTO="Proposto",ORÇAMENTO.CustoUnitario*(1+$AH206),ORÇAMENTO.PrecoUnitarioLicitado),15-13*$AF$10),0)</f>
        <v>353.52</v>
      </c>
      <c r="X206" s="125" cm="1">
        <f t="array" aca="1" ref="X206" ca="1">IF($C206="S",IF(OR(Import.TipoArredondamento&lt;&gt;"TransfereGOV",ACOMPANHAMENTO="BM"),VTOTAL1,SUM(OFFSET(CÁLCULO!$AI$15,ROW($X206)-ROW($X$15),1):OFFSET(CÁLCULO!$BB$15,ROW($X206)-ROW($X$15),-1))),IF($C206=0,0,ROUND(SomaAgrup,15-13*$AF$11)))</f>
        <v>661.08</v>
      </c>
      <c r="Y206" s="126" t="s">
        <v>751</v>
      </c>
      <c r="Z206" t="str">
        <f t="shared" ca="1" si="50"/>
        <v>RA</v>
      </c>
      <c r="AA206" s="127">
        <f ca="1">IF($C206="S",IF($Z206="CP",$X206,IF($Z206="RA",(($X206)*QCI!$AA$3),0)),SomaAgrup)</f>
        <v>0</v>
      </c>
      <c r="AB206" s="128">
        <f t="shared" ca="1" si="51"/>
        <v>0</v>
      </c>
      <c r="AC206" s="565" t="str" cm="1">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IF(AND(_xlfn.SINGLE(TIPOORCAMENTO)="Licitado",$AL206=0,$AN206&gt;0),"SEM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t="str">
        <f ca="1">IF(C206&lt;=CRONO.NivelExibicao,MAX($AD$15:OFFSET(AD206,-1,0))+IF($C206&lt;&gt;1,1,MAX(1,COUNTIF(QCI!$A$13:$A$15,OFFSET($E206,-1,0)))),"")</f>
        <v/>
      </c>
      <c r="AE206" s="7" t="str">
        <f ca="1">IF(AND($C206="S",ORÇAMENTO.CodBarra&lt;&gt;""),IF(ORÇAMENTO.Fonte="",ORÇAMENTO.CodBarra,CONCATENATE(ORÇAMENTO.Fonte," ",ORÇAMENTO.CodBarra)))</f>
        <v>SINAPI 96397</v>
      </c>
      <c r="AF206" s="12">
        <f ca="1">IF(ISERROR(INDIRECT(ORÇAMENTO.BancoRef)),"(abra o arquivo 'Referência "&amp;Excel_BuiltIn_Database&amp;".xlsm)",IF(OR($C206&lt;&gt;"S",ORÇAMENTO.CodBarra=""),"(Sem Código)",IF(ISERROR(MATCH($AE206,INDIRECT(ORÇAMENTO.BancoRef),0)),"(Código não identificado nas referências)",MATCH($AE206,INDIRECT(ORÇAMENTO.BancoRef),0))))</f>
        <v>6811</v>
      </c>
      <c r="AG206" s="428">
        <f ca="1">ROUND(IF(DESONERACAO="sim",REFERENCIA.Desonerado,REFERENCIA.NaoDesonerado),2)</f>
        <v>286.25</v>
      </c>
      <c r="AH206" s="429">
        <f t="shared" ca="1" si="52"/>
        <v>0.23499999999999999</v>
      </c>
      <c r="AJ206" s="431">
        <f>AJ205*0.05</f>
        <v>1.87</v>
      </c>
      <c r="AL206" s="439"/>
      <c r="AM206" s="336">
        <f t="shared" ca="1" si="0"/>
        <v>661.08</v>
      </c>
      <c r="AN206" s="470">
        <f t="shared" ca="1" si="53"/>
        <v>353.52</v>
      </c>
    </row>
    <row r="207" spans="1:40" x14ac:dyDescent="0.2">
      <c r="A207">
        <f t="shared" si="39"/>
        <v>3</v>
      </c>
      <c r="B207">
        <f t="shared" ca="1" si="40"/>
        <v>3</v>
      </c>
      <c r="C207">
        <f t="shared" ca="1" si="41"/>
        <v>3</v>
      </c>
      <c r="D207">
        <f t="shared" ca="1" si="42"/>
        <v>8</v>
      </c>
      <c r="E207">
        <f ca="1">IF($C207=1,OFFSET(E207,-1,0)+MAX(1,COUNTIF(QCI!$A$13:$A$15,OFFSET(ORÇAMENTO!E207,-1,0))),OFFSET(E207,-1,0))</f>
        <v>1</v>
      </c>
      <c r="F207">
        <f t="shared" ca="1" si="43"/>
        <v>5</v>
      </c>
      <c r="G207">
        <f t="shared" ca="1" si="44"/>
        <v>6</v>
      </c>
      <c r="H207">
        <f t="shared" ca="1" si="45"/>
        <v>0</v>
      </c>
      <c r="I207">
        <f t="shared" ca="1" si="46"/>
        <v>0</v>
      </c>
      <c r="J207">
        <f t="shared" ca="1" si="38"/>
        <v>8</v>
      </c>
      <c r="K207">
        <f ca="1">IF(OR($C207="S",$C207=0),0,MATCH(OFFSET($D207,0,$C207)+IF($C207&lt;&gt;1,1,COUNTIF(QCI!$A$13:$A$15,ORÇAMENTO!E207)),OFFSET($D207,1,$C207,ROW($C$508)-ROW($C207)),0))</f>
        <v>293</v>
      </c>
      <c r="L207" s="114" t="str">
        <f t="shared" ca="1" si="47"/>
        <v>F</v>
      </c>
      <c r="M207" s="115" t="s">
        <v>703</v>
      </c>
      <c r="N207" s="116" t="str">
        <f t="shared" ca="1" si="48"/>
        <v>Nível 3</v>
      </c>
      <c r="O207" s="117" t="str">
        <f t="shared" ca="1" si="49"/>
        <v>1.5.6.</v>
      </c>
      <c r="P207" s="118" t="s">
        <v>750</v>
      </c>
      <c r="Q207" s="119"/>
      <c r="R207" s="120" t="s">
        <v>1232</v>
      </c>
      <c r="S207" s="121" t="s">
        <v>688</v>
      </c>
      <c r="T207" s="122">
        <f ca="1">OFFSET(CÁLCULO!H$15,ROW($T207)-ROW(T$15),0)</f>
        <v>0</v>
      </c>
      <c r="U207" s="123"/>
      <c r="V207" s="124" t="s">
        <v>663</v>
      </c>
      <c r="W207" s="122">
        <f ca="1">IF($C207="S",ROUND(IF(TIPOORCAMENTO="Proposto",ORÇAMENTO.CustoUnitario*(1+$AH207),ORÇAMENTO.PrecoUnitarioLicitado),15-13*$AF$10),0)</f>
        <v>0</v>
      </c>
      <c r="X207" s="125" cm="1">
        <f t="array" aca="1" ref="X207" ca="1">IF($C207="S",IF(OR(Import.TipoArredondamento&lt;&gt;"TransfereGOV",ACOMPANHAMENTO="BM"),VTOTAL1,SUM(OFFSET(CÁLCULO!$AI$15,ROW($X207)-ROW($X$15),1):OFFSET(CÁLCULO!$BB$15,ROW($X207)-ROW($X$15),-1))),IF($C207=0,0,ROUND(SomaAgrup,15-13*$AF$11)))</f>
        <v>6960.17</v>
      </c>
      <c r="Y207" s="126" t="s">
        <v>751</v>
      </c>
      <c r="Z207" t="str">
        <f t="shared" ca="1" si="50"/>
        <v/>
      </c>
      <c r="AA207" s="127">
        <f ca="1">IF($C207="S",IF($Z207="CP",$X207,IF($Z207="RA",(($X207)*QCI!$AA$3),0)),SomaAgrup)</f>
        <v>0</v>
      </c>
      <c r="AB207" s="128">
        <f t="shared" ca="1" si="51"/>
        <v>0</v>
      </c>
      <c r="AC207" s="565" t="str" cm="1">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IF(AND(_xlfn.SINGLE(TIPOORCAMENTO)="Licitado",$AL207=0,$AN207&gt;0),"SEM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t="str">
        <f ca="1">IF(C207&lt;=CRONO.NivelExibicao,MAX($AD$15:OFFSET(AD207,-1,0))+IF($C207&lt;&gt;1,1,MAX(1,COUNTIF(QCI!$A$13:$A$15,OFFSET($E207,-1,0)))),"")</f>
        <v/>
      </c>
      <c r="AE207" s="7" t="b">
        <f ca="1">IF(AND($C207="S",ORÇAMENTO.CodBarra&lt;&gt;""),IF(ORÇAMENTO.Fonte="",ORÇAMENTO.CodBarra,CONCATENATE(ORÇAMENTO.Fonte," ",ORÇAMENTO.CodBarra)))</f>
        <v>0</v>
      </c>
      <c r="AF207" s="12" t="str">
        <f ca="1">IF(ISERROR(INDIRECT(ORÇAMENTO.BancoRef)),"(abra o arquivo 'Referência "&amp;Excel_BuiltIn_Database&amp;".xlsm)",IF(OR($C207&lt;&gt;"S",ORÇAMENTO.CodBarra=""),"(Sem Código)",IF(ISERROR(MATCH($AE207,INDIRECT(ORÇAMENTO.BancoRef),0)),"(Código não identificado nas referências)",MATCH($AE207,INDIRECT(ORÇAMENTO.BancoRef),0))))</f>
        <v>(Sem Código)</v>
      </c>
      <c r="AG207" s="428">
        <f ca="1">ROUND(IF(DESONERACAO="sim",REFERENCIA.Desonerado,REFERENCIA.NaoDesonerado),2)</f>
        <v>0</v>
      </c>
      <c r="AH207" s="429">
        <f t="shared" ca="1" si="52"/>
        <v>0.23499999999999999</v>
      </c>
      <c r="AJ207" s="431"/>
      <c r="AL207" s="439"/>
      <c r="AM207" s="336">
        <f t="shared" ca="1" si="0"/>
        <v>6960.17</v>
      </c>
      <c r="AN207" s="470">
        <f t="shared" ca="1" si="53"/>
        <v>0</v>
      </c>
    </row>
    <row r="208" spans="1:40" x14ac:dyDescent="0.2">
      <c r="A208">
        <f t="shared" si="39"/>
        <v>4</v>
      </c>
      <c r="B208">
        <f t="shared" ca="1" si="40"/>
        <v>4</v>
      </c>
      <c r="C208">
        <f t="shared" ca="1" si="41"/>
        <v>4</v>
      </c>
      <c r="D208">
        <f t="shared" ca="1" si="42"/>
        <v>7</v>
      </c>
      <c r="E208">
        <f ca="1">IF($C208=1,OFFSET(E208,-1,0)+MAX(1,COUNTIF(QCI!$A$13:$A$15,OFFSET(ORÇAMENTO!E208,-1,0))),OFFSET(E208,-1,0))</f>
        <v>1</v>
      </c>
      <c r="F208">
        <f t="shared" ca="1" si="43"/>
        <v>5</v>
      </c>
      <c r="G208">
        <f t="shared" ca="1" si="44"/>
        <v>6</v>
      </c>
      <c r="H208">
        <f t="shared" ca="1" si="45"/>
        <v>1</v>
      </c>
      <c r="I208">
        <f t="shared" ca="1" si="46"/>
        <v>0</v>
      </c>
      <c r="J208">
        <f t="shared" ref="J208:J271" ca="1" si="54">IF(OR($C208="S",$C208=0),0,MATCH(0,OFFSET($D208,1,$C208,ROW($C$508)-ROW($C208)),0))</f>
        <v>7</v>
      </c>
      <c r="K208">
        <f ca="1">IF(OR($C208="S",$C208=0),0,MATCH(OFFSET($D208,0,$C208)+IF($C208&lt;&gt;1,1,COUNTIF(QCI!$A$13:$A$15,ORÇAMENTO!E208)),OFFSET($D208,1,$C208,ROW($C$508)-ROW($C208)),0))</f>
        <v>51</v>
      </c>
      <c r="L208" s="114" t="str">
        <f t="shared" ca="1" si="47"/>
        <v>F</v>
      </c>
      <c r="M208" s="115" t="s">
        <v>704</v>
      </c>
      <c r="N208" s="116" t="str">
        <f t="shared" ca="1" si="48"/>
        <v>Nível 4</v>
      </c>
      <c r="O208" s="117" t="str">
        <f t="shared" ca="1" si="49"/>
        <v>1.5.6.1.</v>
      </c>
      <c r="P208" s="118" t="s">
        <v>750</v>
      </c>
      <c r="Q208" s="119"/>
      <c r="R208" s="120" t="s">
        <v>1230</v>
      </c>
      <c r="S208" s="121" t="s">
        <v>688</v>
      </c>
      <c r="T208" s="122">
        <f ca="1">OFFSET(CÁLCULO!H$15,ROW($T208)-ROW(T$15),0)</f>
        <v>0</v>
      </c>
      <c r="U208" s="123"/>
      <c r="V208" s="124" t="s">
        <v>663</v>
      </c>
      <c r="W208" s="122">
        <f ca="1">IF($C208="S",ROUND(IF(TIPOORCAMENTO="Proposto",ORÇAMENTO.CustoUnitario*(1+$AH208),ORÇAMENTO.PrecoUnitarioLicitado),15-13*$AF$10),0)</f>
        <v>0</v>
      </c>
      <c r="X208" s="125" cm="1">
        <f t="array" aca="1" ref="X208" ca="1">IF($C208="S",IF(OR(Import.TipoArredondamento&lt;&gt;"TransfereGOV",ACOMPANHAMENTO="BM"),VTOTAL1,SUM(OFFSET(CÁLCULO!$AI$15,ROW($X208)-ROW($X$15),1):OFFSET(CÁLCULO!$BB$15,ROW($X208)-ROW($X$15),-1))),IF($C208=0,0,ROUND(SomaAgrup,15-13*$AF$11)))</f>
        <v>6960.17</v>
      </c>
      <c r="Y208" s="126" t="s">
        <v>751</v>
      </c>
      <c r="Z208" t="str">
        <f t="shared" ca="1" si="50"/>
        <v/>
      </c>
      <c r="AA208" s="127">
        <f ca="1">IF($C208="S",IF($Z208="CP",$X208,IF($Z208="RA",(($X208)*QCI!$AA$3),0)),SomaAgrup)</f>
        <v>0</v>
      </c>
      <c r="AB208" s="128">
        <f t="shared" ca="1" si="51"/>
        <v>0</v>
      </c>
      <c r="AC208" s="565" t="str" cm="1">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IF(AND(_xlfn.SINGLE(TIPOORCAMENTO)="Licitado",$AL208=0,$AN208&gt;0),"SEM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t="str">
        <f ca="1">IF(C208&lt;=CRONO.NivelExibicao,MAX($AD$15:OFFSET(AD208,-1,0))+IF($C208&lt;&gt;1,1,MAX(1,COUNTIF(QCI!$A$13:$A$15,OFFSET($E208,-1,0)))),"")</f>
        <v/>
      </c>
      <c r="AE208" s="7" t="b">
        <f ca="1">IF(AND($C208="S",ORÇAMENTO.CodBarra&lt;&gt;""),IF(ORÇAMENTO.Fonte="",ORÇAMENTO.CodBarra,CONCATENATE(ORÇAMENTO.Fonte," ",ORÇAMENTO.CodBarra)))</f>
        <v>0</v>
      </c>
      <c r="AF208" s="12" t="str">
        <f ca="1">IF(ISERROR(INDIRECT(ORÇAMENTO.BancoRef)),"(abra o arquivo 'Referência "&amp;Excel_BuiltIn_Database&amp;".xlsm)",IF(OR($C208&lt;&gt;"S",ORÇAMENTO.CodBarra=""),"(Sem Código)",IF(ISERROR(MATCH($AE208,INDIRECT(ORÇAMENTO.BancoRef),0)),"(Código não identificado nas referências)",MATCH($AE208,INDIRECT(ORÇAMENTO.BancoRef),0))))</f>
        <v>(Sem Código)</v>
      </c>
      <c r="AG208" s="428">
        <f ca="1">ROUND(IF(DESONERACAO="sim",REFERENCIA.Desonerado,REFERENCIA.NaoDesonerado),2)</f>
        <v>0</v>
      </c>
      <c r="AH208" s="429">
        <f t="shared" ca="1" si="52"/>
        <v>0.23499999999999999</v>
      </c>
      <c r="AJ208" s="431"/>
      <c r="AL208" s="439"/>
      <c r="AM208" s="336">
        <f t="shared" ca="1" si="0"/>
        <v>6960.17</v>
      </c>
      <c r="AN208" s="470">
        <f t="shared" ca="1" si="53"/>
        <v>0</v>
      </c>
    </row>
    <row r="209" spans="1:40" ht="38.25" x14ac:dyDescent="0.2">
      <c r="A209" t="str">
        <f t="shared" si="39"/>
        <v>S</v>
      </c>
      <c r="B209">
        <f t="shared" ca="1" si="40"/>
        <v>4</v>
      </c>
      <c r="C209" t="str">
        <f t="shared" ca="1" si="41"/>
        <v>S</v>
      </c>
      <c r="D209">
        <f t="shared" ca="1" si="42"/>
        <v>0</v>
      </c>
      <c r="E209">
        <f ca="1">IF($C209=1,OFFSET(E209,-1,0)+MAX(1,COUNTIF(QCI!$A$13:$A$15,OFFSET(ORÇAMENTO!E209,-1,0))),OFFSET(E209,-1,0))</f>
        <v>1</v>
      </c>
      <c r="F209">
        <f t="shared" ca="1" si="43"/>
        <v>5</v>
      </c>
      <c r="G209">
        <f t="shared" ca="1" si="44"/>
        <v>6</v>
      </c>
      <c r="H209">
        <f t="shared" ca="1" si="45"/>
        <v>1</v>
      </c>
      <c r="I209">
        <f t="shared" ca="1" si="46"/>
        <v>1</v>
      </c>
      <c r="J209">
        <f t="shared" ca="1" si="54"/>
        <v>0</v>
      </c>
      <c r="K209">
        <f ca="1">IF(OR($C209="S",$C209=0),0,MATCH(OFFSET($D209,0,$C209)+IF($C209&lt;&gt;1,1,COUNTIF(QCI!$A$13:$A$15,ORÇAMENTO!E209)),OFFSET($D209,1,$C209,ROW($C$508)-ROW($C209)),0))</f>
        <v>0</v>
      </c>
      <c r="L209" s="114" t="str">
        <f t="shared" ca="1" si="47"/>
        <v>F</v>
      </c>
      <c r="M209" s="115" t="s">
        <v>705</v>
      </c>
      <c r="N209" s="116" t="str">
        <f t="shared" ca="1" si="48"/>
        <v>Serviço</v>
      </c>
      <c r="O209" s="117" t="str">
        <f t="shared" ca="1" si="49"/>
        <v>1.5.6.1.1.</v>
      </c>
      <c r="P209" s="118" t="s">
        <v>750</v>
      </c>
      <c r="Q209" s="119" t="s">
        <v>1017</v>
      </c>
      <c r="R209" s="120" t="str">
        <f ca="1">IF($C209="S",REFERENCIA.Descricao,"(digite a descrição aqui)")</f>
        <v>CONCRETO FCK = 40MPA, TRAÇO 1:1,6:1,9 (EM MASSA SECA DE CIMENTO/ AREIA MÉDIA/ BRITA 1) - PREPARO MECÂNICO COM BETONEIRA 600 L. AF_05/2021</v>
      </c>
      <c r="S209" s="121" t="str">
        <f ca="1">REFERENCIA.Unidade</f>
        <v>M3</v>
      </c>
      <c r="T209" s="122">
        <f ca="1">OFFSET(CÁLCULO!H$15,ROW($T209)-ROW(T$15),0)</f>
        <v>4.7300000000000004</v>
      </c>
      <c r="U209" s="123">
        <f ca="1">AG209</f>
        <v>628.30999999999995</v>
      </c>
      <c r="V209" s="124" t="s">
        <v>663</v>
      </c>
      <c r="W209" s="122">
        <f ca="1">IF($C209="S",ROUND(IF(TIPOORCAMENTO="Proposto",ORÇAMENTO.CustoUnitario*(1+$AH209),ORÇAMENTO.PrecoUnitarioLicitado),15-13*$AF$10),0)</f>
        <v>775.96</v>
      </c>
      <c r="X209" s="125" cm="1">
        <f t="array" aca="1" ref="X209" ca="1">IF($C209="S",IF(OR(Import.TipoArredondamento&lt;&gt;"TransfereGOV",ACOMPANHAMENTO="BM"),VTOTAL1,SUM(OFFSET(CÁLCULO!$AI$15,ROW($X209)-ROW($X$15),1):OFFSET(CÁLCULO!$BB$15,ROW($X209)-ROW($X$15),-1))),IF($C209=0,0,ROUND(SomaAgrup,15-13*$AF$11)))</f>
        <v>3670.29</v>
      </c>
      <c r="Y209" s="126" t="s">
        <v>751</v>
      </c>
      <c r="Z209" t="str">
        <f t="shared" ca="1" si="50"/>
        <v>RA</v>
      </c>
      <c r="AA209" s="127">
        <f ca="1">IF($C209="S",IF($Z209="CP",$X209,IF($Z209="RA",(($X209)*QCI!$AA$3),0)),SomaAgrup)</f>
        <v>0</v>
      </c>
      <c r="AB209" s="128">
        <f t="shared" ca="1" si="51"/>
        <v>0</v>
      </c>
      <c r="AC209" s="565" t="str" cm="1">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IF(AND(_xlfn.SINGLE(TIPOORCAMENTO)="Licitado",$AL209=0,$AN209&gt;0),"SEM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t="str">
        <f ca="1">IF(C209&lt;=CRONO.NivelExibicao,MAX($AD$15:OFFSET(AD209,-1,0))+IF($C209&lt;&gt;1,1,MAX(1,COUNTIF(QCI!$A$13:$A$15,OFFSET($E209,-1,0)))),"")</f>
        <v/>
      </c>
      <c r="AE209" s="7" t="str">
        <f ca="1">IF(AND($C209="S",ORÇAMENTO.CodBarra&lt;&gt;""),IF(ORÇAMENTO.Fonte="",ORÇAMENTO.CodBarra,CONCATENATE(ORÇAMENTO.Fonte," ",ORÇAMENTO.CodBarra)))</f>
        <v>SINAPI 94973</v>
      </c>
      <c r="AF209" s="12">
        <f ca="1">IF(ISERROR(INDIRECT(ORÇAMENTO.BancoRef)),"(abra o arquivo 'Referência "&amp;Excel_BuiltIn_Database&amp;".xlsm)",IF(OR($C209&lt;&gt;"S",ORÇAMENTO.CodBarra=""),"(Sem Código)",IF(ISERROR(MATCH($AE209,INDIRECT(ORÇAMENTO.BancoRef),0)),"(Código não identificado nas referências)",MATCH($AE209,INDIRECT(ORÇAMENTO.BancoRef),0))))</f>
        <v>14326</v>
      </c>
      <c r="AG209" s="428">
        <f ca="1">ROUND(IF(DESONERACAO="sim",REFERENCIA.Desonerado,REFERENCIA.NaoDesonerado),2)</f>
        <v>628.30999999999995</v>
      </c>
      <c r="AH209" s="429">
        <f t="shared" ca="1" si="52"/>
        <v>0.23499999999999999</v>
      </c>
      <c r="AJ209" s="431">
        <v>4.7300000000000004</v>
      </c>
      <c r="AL209" s="439"/>
      <c r="AM209" s="336">
        <f t="shared" ca="1" si="0"/>
        <v>3670.29</v>
      </c>
      <c r="AN209" s="470">
        <f t="shared" ca="1" si="53"/>
        <v>775.96</v>
      </c>
    </row>
    <row r="210" spans="1:40" ht="25.5" x14ac:dyDescent="0.2">
      <c r="A210" t="str">
        <f t="shared" si="39"/>
        <v>S</v>
      </c>
      <c r="B210">
        <f t="shared" ca="1" si="40"/>
        <v>4</v>
      </c>
      <c r="C210" t="str">
        <f t="shared" ca="1" si="41"/>
        <v>S</v>
      </c>
      <c r="D210">
        <f t="shared" ca="1" si="42"/>
        <v>0</v>
      </c>
      <c r="E210">
        <f ca="1">IF($C210=1,OFFSET(E210,-1,0)+MAX(1,COUNTIF(QCI!$A$13:$A$15,OFFSET(ORÇAMENTO!E210,-1,0))),OFFSET(E210,-1,0))</f>
        <v>1</v>
      </c>
      <c r="F210">
        <f t="shared" ca="1" si="43"/>
        <v>5</v>
      </c>
      <c r="G210">
        <f t="shared" ca="1" si="44"/>
        <v>6</v>
      </c>
      <c r="H210">
        <f t="shared" ca="1" si="45"/>
        <v>1</v>
      </c>
      <c r="I210">
        <f t="shared" ca="1" si="46"/>
        <v>2</v>
      </c>
      <c r="J210">
        <f t="shared" ca="1" si="54"/>
        <v>0</v>
      </c>
      <c r="K210">
        <f ca="1">IF(OR($C210="S",$C210=0),0,MATCH(OFFSET($D210,0,$C210)+IF($C210&lt;&gt;1,1,COUNTIF(QCI!$A$13:$A$15,ORÇAMENTO!E210)),OFFSET($D210,1,$C210,ROW($C$508)-ROW($C210)),0))</f>
        <v>0</v>
      </c>
      <c r="L210" s="114" t="str">
        <f t="shared" ca="1" si="47"/>
        <v>F</v>
      </c>
      <c r="M210" s="115" t="s">
        <v>705</v>
      </c>
      <c r="N210" s="116" t="str">
        <f t="shared" ca="1" si="48"/>
        <v>Serviço</v>
      </c>
      <c r="O210" s="117" t="str">
        <f t="shared" ca="1" si="49"/>
        <v>1.5.6.1.2.</v>
      </c>
      <c r="P210" s="118" t="s">
        <v>750</v>
      </c>
      <c r="Q210" s="119" t="s">
        <v>1018</v>
      </c>
      <c r="R210" s="120" t="str">
        <f ca="1">IF($C210="S",REFERENCIA.Descricao,"(digite a descrição aqui)")</f>
        <v>LANÇAMENTO COM USO DE BOMBA, ADENSAMENTO E ACABAMENTO DE CONCRETO EM ESTRUTURAS. AF_02/2022</v>
      </c>
      <c r="S210" s="121" t="str">
        <f ca="1">REFERENCIA.Unidade</f>
        <v>M3</v>
      </c>
      <c r="T210" s="122">
        <f ca="1">OFFSET(CÁLCULO!H$15,ROW($T210)-ROW(T$15),0)</f>
        <v>4.7300000000000004</v>
      </c>
      <c r="U210" s="123">
        <f t="shared" ref="U210:U214" ca="1" si="55">AG210</f>
        <v>44.5</v>
      </c>
      <c r="V210" s="124" t="s">
        <v>663</v>
      </c>
      <c r="W210" s="122">
        <f ca="1">IF($C210="S",ROUND(IF(TIPOORCAMENTO="Proposto",ORÇAMENTO.CustoUnitario*(1+$AH210),ORÇAMENTO.PrecoUnitarioLicitado),15-13*$AF$10),0)</f>
        <v>54.96</v>
      </c>
      <c r="X210" s="125" cm="1">
        <f t="array" aca="1" ref="X210" ca="1">IF($C210="S",IF(OR(Import.TipoArredondamento&lt;&gt;"TransfereGOV",ACOMPANHAMENTO="BM"),VTOTAL1,SUM(OFFSET(CÁLCULO!$AI$15,ROW($X210)-ROW($X$15),1):OFFSET(CÁLCULO!$BB$15,ROW($X210)-ROW($X$15),-1))),IF($C210=0,0,ROUND(SomaAgrup,15-13*$AF$11)))</f>
        <v>259.95999999999998</v>
      </c>
      <c r="Y210" s="126" t="s">
        <v>751</v>
      </c>
      <c r="Z210" t="str">
        <f t="shared" ca="1" si="50"/>
        <v>RA</v>
      </c>
      <c r="AA210" s="127">
        <f ca="1">IF($C210="S",IF($Z210="CP",$X210,IF($Z210="RA",(($X210)*QCI!$AA$3),0)),SomaAgrup)</f>
        <v>0</v>
      </c>
      <c r="AB210" s="128">
        <f t="shared" ca="1" si="51"/>
        <v>0</v>
      </c>
      <c r="AC210" s="565" t="str" cm="1">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IF(AND(_xlfn.SINGLE(TIPOORCAMENTO)="Licitado",$AL210=0,$AN210&gt;0),"SEM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t="str">
        <f ca="1">IF(C210&lt;=CRONO.NivelExibicao,MAX($AD$15:OFFSET(AD210,-1,0))+IF($C210&lt;&gt;1,1,MAX(1,COUNTIF(QCI!$A$13:$A$15,OFFSET($E210,-1,0)))),"")</f>
        <v/>
      </c>
      <c r="AE210" s="7" t="str">
        <f ca="1">IF(AND($C210="S",ORÇAMENTO.CodBarra&lt;&gt;""),IF(ORÇAMENTO.Fonte="",ORÇAMENTO.CodBarra,CONCATENATE(ORÇAMENTO.Fonte," ",ORÇAMENTO.CodBarra)))</f>
        <v>SINAPI 103673</v>
      </c>
      <c r="AF210" s="12">
        <f ca="1">IF(ISERROR(INDIRECT(ORÇAMENTO.BancoRef)),"(abra o arquivo 'Referência "&amp;Excel_BuiltIn_Database&amp;".xlsm)",IF(OR($C210&lt;&gt;"S",ORÇAMENTO.CodBarra=""),"(Sem Código)",IF(ISERROR(MATCH($AE210,INDIRECT(ORÇAMENTO.BancoRef),0)),"(Código não identificado nas referências)",MATCH($AE210,INDIRECT(ORÇAMENTO.BancoRef),0))))</f>
        <v>7334</v>
      </c>
      <c r="AG210" s="428">
        <f ca="1">ROUND(IF(DESONERACAO="sim",REFERENCIA.Desonerado,REFERENCIA.NaoDesonerado),2)</f>
        <v>44.5</v>
      </c>
      <c r="AH210" s="429">
        <f t="shared" ca="1" si="52"/>
        <v>0.23499999999999999</v>
      </c>
      <c r="AJ210" s="431">
        <f>AJ209</f>
        <v>4.7300000000000004</v>
      </c>
      <c r="AL210" s="439"/>
      <c r="AM210" s="336">
        <f t="shared" ca="1" si="0"/>
        <v>259.95999999999998</v>
      </c>
      <c r="AN210" s="470">
        <f t="shared" ca="1" si="53"/>
        <v>54.96</v>
      </c>
    </row>
    <row r="211" spans="1:40" ht="25.5" x14ac:dyDescent="0.2">
      <c r="A211" t="str">
        <f t="shared" si="39"/>
        <v>S</v>
      </c>
      <c r="B211">
        <f t="shared" ca="1" si="40"/>
        <v>4</v>
      </c>
      <c r="C211" t="str">
        <f t="shared" ca="1" si="41"/>
        <v>S</v>
      </c>
      <c r="D211">
        <f t="shared" ca="1" si="42"/>
        <v>0</v>
      </c>
      <c r="E211">
        <f ca="1">IF($C211=1,OFFSET(E211,-1,0)+MAX(1,COUNTIF(QCI!$A$13:$A$15,OFFSET(ORÇAMENTO!E211,-1,0))),OFFSET(E211,-1,0))</f>
        <v>1</v>
      </c>
      <c r="F211">
        <f t="shared" ca="1" si="43"/>
        <v>5</v>
      </c>
      <c r="G211">
        <f t="shared" ca="1" si="44"/>
        <v>6</v>
      </c>
      <c r="H211">
        <f t="shared" ca="1" si="45"/>
        <v>1</v>
      </c>
      <c r="I211">
        <f t="shared" ca="1" si="46"/>
        <v>3</v>
      </c>
      <c r="J211">
        <f t="shared" ca="1" si="54"/>
        <v>0</v>
      </c>
      <c r="K211">
        <f ca="1">IF(OR($C211="S",$C211=0),0,MATCH(OFFSET($D211,0,$C211)+IF($C211&lt;&gt;1,1,COUNTIF(QCI!$A$13:$A$15,ORÇAMENTO!E211)),OFFSET($D211,1,$C211,ROW($C$508)-ROW($C211)),0))</f>
        <v>0</v>
      </c>
      <c r="L211" s="114" t="str">
        <f t="shared" ca="1" si="47"/>
        <v>F</v>
      </c>
      <c r="M211" s="115" t="s">
        <v>705</v>
      </c>
      <c r="N211" s="116" t="str">
        <f t="shared" ca="1" si="48"/>
        <v>Serviço</v>
      </c>
      <c r="O211" s="117" t="str">
        <f t="shared" ca="1" si="49"/>
        <v>1.5.6.1.3.</v>
      </c>
      <c r="P211" s="118" t="s">
        <v>750</v>
      </c>
      <c r="Q211" s="119" t="s">
        <v>1039</v>
      </c>
      <c r="R211" s="120" t="str">
        <f ca="1">IF($C211="S",REFERENCIA.Descricao,"(digite a descrição aqui)")</f>
        <v>ARMAÇÃO PARA EXECUÇÃO DE RADIER, PISO DE CONCRETO OU LAJE SOBRE SOLO, COM USO DE TELA Q-92. AF_09/2021</v>
      </c>
      <c r="S211" s="121" t="str">
        <f ca="1">REFERENCIA.Unidade</f>
        <v>KG</v>
      </c>
      <c r="T211" s="122">
        <f ca="1">OFFSET(CÁLCULO!H$15,ROW($T211)-ROW(T$15),0)</f>
        <v>94.69</v>
      </c>
      <c r="U211" s="123">
        <f t="shared" ca="1" si="55"/>
        <v>17.45</v>
      </c>
      <c r="V211" s="124" t="s">
        <v>663</v>
      </c>
      <c r="W211" s="122">
        <f ca="1">IF($C211="S",ROUND(IF(TIPOORCAMENTO="Proposto",ORÇAMENTO.CustoUnitario*(1+$AH211),ORÇAMENTO.PrecoUnitarioLicitado),15-13*$AF$10),0)</f>
        <v>21.55</v>
      </c>
      <c r="X211" s="125" cm="1">
        <f t="array" aca="1" ref="X211" ca="1">IF($C211="S",IF(OR(Import.TipoArredondamento&lt;&gt;"TransfereGOV",ACOMPANHAMENTO="BM"),VTOTAL1,SUM(OFFSET(CÁLCULO!$AI$15,ROW($X211)-ROW($X$15),1):OFFSET(CÁLCULO!$BB$15,ROW($X211)-ROW($X$15),-1))),IF($C211=0,0,ROUND(SomaAgrup,15-13*$AF$11)))</f>
        <v>2040.57</v>
      </c>
      <c r="Y211" s="126" t="s">
        <v>751</v>
      </c>
      <c r="Z211" t="str">
        <f t="shared" ca="1" si="50"/>
        <v>RA</v>
      </c>
      <c r="AA211" s="127">
        <f ca="1">IF($C211="S",IF($Z211="CP",$X211,IF($Z211="RA",(($X211)*QCI!$AA$3),0)),SomaAgrup)</f>
        <v>0</v>
      </c>
      <c r="AB211" s="128">
        <f t="shared" ca="1" si="51"/>
        <v>0</v>
      </c>
      <c r="AC211" s="565" t="str" cm="1">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IF(AND(_xlfn.SINGLE(TIPOORCAMENTO)="Licitado",$AL211=0,$AN211&gt;0),"SEM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t="str">
        <f ca="1">IF(C211&lt;=CRONO.NivelExibicao,MAX($AD$15:OFFSET(AD211,-1,0))+IF($C211&lt;&gt;1,1,MAX(1,COUNTIF(QCI!$A$13:$A$15,OFFSET($E211,-1,0)))),"")</f>
        <v/>
      </c>
      <c r="AE211" s="7" t="str">
        <f ca="1">IF(AND($C211="S",ORÇAMENTO.CodBarra&lt;&gt;""),IF(ORÇAMENTO.Fonte="",ORÇAMENTO.CodBarra,CONCATENATE(ORÇAMENTO.Fonte," ",ORÇAMENTO.CodBarra)))</f>
        <v>SINAPI 97088</v>
      </c>
      <c r="AF211" s="12">
        <f ca="1">IF(ISERROR(INDIRECT(ORÇAMENTO.BancoRef)),"(abra o arquivo 'Referência "&amp;Excel_BuiltIn_Database&amp;".xlsm)",IF(OR($C211&lt;&gt;"S",ORÇAMENTO.CodBarra=""),"(Sem Código)",IF(ISERROR(MATCH($AE211,INDIRECT(ORÇAMENTO.BancoRef),0)),"(Código não identificado nas referências)",MATCH($AE211,INDIRECT(ORÇAMENTO.BancoRef),0))))</f>
        <v>14371</v>
      </c>
      <c r="AG211" s="428">
        <f ca="1">ROUND(IF(DESONERACAO="sim",REFERENCIA.Desonerado,REFERENCIA.NaoDesonerado),2)</f>
        <v>17.45</v>
      </c>
      <c r="AH211" s="429">
        <f t="shared" ca="1" si="52"/>
        <v>0.23499999999999999</v>
      </c>
      <c r="AJ211" s="431">
        <v>94.69</v>
      </c>
      <c r="AL211" s="439"/>
      <c r="AM211" s="336">
        <f t="shared" ca="1" si="0"/>
        <v>2040.57</v>
      </c>
      <c r="AN211" s="470">
        <f t="shared" ca="1" si="53"/>
        <v>21.55</v>
      </c>
    </row>
    <row r="212" spans="1:40" ht="25.5" x14ac:dyDescent="0.2">
      <c r="A212" t="str">
        <f t="shared" si="39"/>
        <v>S</v>
      </c>
      <c r="B212">
        <f t="shared" ca="1" si="40"/>
        <v>4</v>
      </c>
      <c r="C212" t="str">
        <f t="shared" ca="1" si="41"/>
        <v>S</v>
      </c>
      <c r="D212">
        <f t="shared" ca="1" si="42"/>
        <v>0</v>
      </c>
      <c r="E212">
        <f ca="1">IF($C212=1,OFFSET(E212,-1,0)+MAX(1,COUNTIF(QCI!$A$13:$A$15,OFFSET(ORÇAMENTO!E212,-1,0))),OFFSET(E212,-1,0))</f>
        <v>1</v>
      </c>
      <c r="F212">
        <f t="shared" ca="1" si="43"/>
        <v>5</v>
      </c>
      <c r="G212">
        <f t="shared" ca="1" si="44"/>
        <v>6</v>
      </c>
      <c r="H212">
        <f t="shared" ca="1" si="45"/>
        <v>1</v>
      </c>
      <c r="I212">
        <f t="shared" ca="1" si="46"/>
        <v>4</v>
      </c>
      <c r="J212">
        <f t="shared" ca="1" si="54"/>
        <v>0</v>
      </c>
      <c r="K212">
        <f ca="1">IF(OR($C212="S",$C212=0),0,MATCH(OFFSET($D212,0,$C212)+IF($C212&lt;&gt;1,1,COUNTIF(QCI!$A$13:$A$15,ORÇAMENTO!E212)),OFFSET($D212,1,$C212,ROW($C$508)-ROW($C212)),0))</f>
        <v>0</v>
      </c>
      <c r="L212" s="114" t="str">
        <f t="shared" ca="1" si="47"/>
        <v>F</v>
      </c>
      <c r="M212" s="115" t="s">
        <v>705</v>
      </c>
      <c r="N212" s="116" t="str">
        <f t="shared" ca="1" si="48"/>
        <v>Serviço</v>
      </c>
      <c r="O212" s="117" t="str">
        <f t="shared" ca="1" si="49"/>
        <v>1.5.6.1.4.</v>
      </c>
      <c r="P212" s="118" t="s">
        <v>956</v>
      </c>
      <c r="Q212" s="119" t="s">
        <v>1024</v>
      </c>
      <c r="R212" s="120" t="str">
        <f ca="1">IF($C212="S",REFERENCIA.Descricao,"(digite a descrição aqui)")</f>
        <v>FÔRMAS DE COMPENSADO RESINADO 10 MM - USO GERAL - UTILIZAÇÃO DE 3 VEZES - CONFECÇÃO, INSTALAÇÃO E RETIRADA</v>
      </c>
      <c r="S212" s="121" t="str">
        <f ca="1">REFERENCIA.Unidade</f>
        <v>M2</v>
      </c>
      <c r="T212" s="122">
        <f ca="1">OFFSET(CÁLCULO!H$15,ROW($T212)-ROW(T$15),0)</f>
        <v>3.75</v>
      </c>
      <c r="U212" s="123">
        <f t="shared" ca="1" si="55"/>
        <v>71.66</v>
      </c>
      <c r="V212" s="124" t="s">
        <v>663</v>
      </c>
      <c r="W212" s="122">
        <f ca="1">IF($C212="S",ROUND(IF(TIPOORCAMENTO="Proposto",ORÇAMENTO.CustoUnitario*(1+$AH212),ORÇAMENTO.PrecoUnitarioLicitado),15-13*$AF$10),0)</f>
        <v>88.5</v>
      </c>
      <c r="X212" s="125" cm="1">
        <f t="array" aca="1" ref="X212" ca="1">IF($C212="S",IF(OR(Import.TipoArredondamento&lt;&gt;"TransfereGOV",ACOMPANHAMENTO="BM"),VTOTAL1,SUM(OFFSET(CÁLCULO!$AI$15,ROW($X212)-ROW($X$15),1):OFFSET(CÁLCULO!$BB$15,ROW($X212)-ROW($X$15),-1))),IF($C212=0,0,ROUND(SomaAgrup,15-13*$AF$11)))</f>
        <v>331.88</v>
      </c>
      <c r="Y212" s="126" t="s">
        <v>751</v>
      </c>
      <c r="Z212" t="str">
        <f t="shared" ca="1" si="50"/>
        <v>RA</v>
      </c>
      <c r="AA212" s="127">
        <f ca="1">IF($C212="S",IF($Z212="CP",$X212,IF($Z212="RA",(($X212)*QCI!$AA$3),0)),SomaAgrup)</f>
        <v>0</v>
      </c>
      <c r="AB212" s="128">
        <f t="shared" ca="1" si="51"/>
        <v>0</v>
      </c>
      <c r="AC212" s="565" t="str" cm="1">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IF(AND(_xlfn.SINGLE(TIPOORCAMENTO)="Licitado",$AL212=0,$AN212&gt;0),"SEM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t="str">
        <f ca="1">IF(C212&lt;=CRONO.NivelExibicao,MAX($AD$15:OFFSET(AD212,-1,0))+IF($C212&lt;&gt;1,1,MAX(1,COUNTIF(QCI!$A$13:$A$15,OFFSET($E212,-1,0)))),"")</f>
        <v/>
      </c>
      <c r="AE212" s="7" t="str">
        <f ca="1">IF(AND($C212="S",ORÇAMENTO.CodBarra&lt;&gt;""),IF(ORÇAMENTO.Fonte="",ORÇAMENTO.CodBarra,CONCATENATE(ORÇAMENTO.Fonte," ",ORÇAMENTO.CodBarra)))</f>
        <v>SICRO 3107997</v>
      </c>
      <c r="AF212" s="12">
        <f ca="1">IF(ISERROR(INDIRECT(ORÇAMENTO.BancoRef)),"(abra o arquivo 'Referência "&amp;Excel_BuiltIn_Database&amp;".xlsm)",IF(OR($C212&lt;&gt;"S",ORÇAMENTO.CodBarra=""),"(Sem Código)",IF(ISERROR(MATCH($AE212,INDIRECT(ORÇAMENTO.BancoRef),0)),"(Código não identificado nas referências)",MATCH($AE212,INDIRECT(ORÇAMENTO.BancoRef),0))))</f>
        <v>19900</v>
      </c>
      <c r="AG212" s="428">
        <f ca="1">ROUND(IF(DESONERACAO="sim",REFERENCIA.Desonerado,REFERENCIA.NaoDesonerado),2)</f>
        <v>71.66</v>
      </c>
      <c r="AH212" s="429">
        <f t="shared" ca="1" si="52"/>
        <v>0.23499999999999999</v>
      </c>
      <c r="AJ212" s="431">
        <v>3.75</v>
      </c>
      <c r="AL212" s="439"/>
      <c r="AM212" s="336">
        <f t="shared" ca="1" si="0"/>
        <v>331.88</v>
      </c>
      <c r="AN212" s="470">
        <f t="shared" ca="1" si="53"/>
        <v>88.5</v>
      </c>
    </row>
    <row r="213" spans="1:40" ht="25.5" x14ac:dyDescent="0.2">
      <c r="A213" t="str">
        <f t="shared" ref="A213:A276" si="56">CHOOSE(1+LOG(1+2*(ORÇAMENTO.Nivel="Meta")+4*(ORÇAMENTO.Nivel="Nível 2")+8*(ORÇAMENTO.Nivel="Nível 3")+16*(ORÇAMENTO.Nivel="Nível 4")+32*(ORÇAMENTO.Nivel="Serviço"),2),0,1,2,3,4,"S")</f>
        <v>S</v>
      </c>
      <c r="B213">
        <f t="shared" ref="B213:B276" ca="1" si="57">IF(OR(C213="s",C213=0),OFFSET(B213,-1,0),C213)</f>
        <v>4</v>
      </c>
      <c r="C213" t="str">
        <f t="shared" ref="C213:C276" ca="1" si="58">IF(OFFSET(C213,-1,0)="L",1,IF(OFFSET(C213,-1,0)=1,2,IF(OR(A213="s",A213=0),"S",IF(AND(OFFSET(C213,-1,0)=2,A213=4),3,IF(AND(OR(OFFSET(C213,-1,0)="s",OFFSET(C213,-1,0)=0),A213&lt;&gt;"s",A213&gt;OFFSET(B213,-1,0)),OFFSET(B213,-1,0),A213)))))</f>
        <v>S</v>
      </c>
      <c r="D213">
        <f t="shared" ref="D213:D276" ca="1" si="59">IF(OR(C213="S",C213=0),0,IF(ISERROR(K213),J213,SMALL(J213:K213,1)))</f>
        <v>0</v>
      </c>
      <c r="E213">
        <f ca="1">IF($C213=1,OFFSET(E213,-1,0)+MAX(1,COUNTIF(QCI!$A$13:$A$15,OFFSET(ORÇAMENTO!E213,-1,0))),OFFSET(E213,-1,0))</f>
        <v>1</v>
      </c>
      <c r="F213">
        <f t="shared" ref="F213:F276" ca="1" si="60">IF($C213=1,0,IF($C213=2,OFFSET(F213,-1,0)+1,OFFSET(F213,-1,0)))</f>
        <v>5</v>
      </c>
      <c r="G213">
        <f t="shared" ref="G213:G276" ca="1" si="61">IF(AND($C213&lt;=2,$C213&lt;&gt;0),0,IF($C213=3,OFFSET(G213,-1,0)+1,OFFSET(G213,-1,0)))</f>
        <v>6</v>
      </c>
      <c r="H213">
        <f t="shared" ref="H213:H276" ca="1" si="62">IF(AND($C213&lt;=3,$C213&lt;&gt;0),0,IF($C213=4,OFFSET(H213,-1,0)+1,OFFSET(H213,-1,0)))</f>
        <v>1</v>
      </c>
      <c r="I213">
        <f t="shared" ref="I213:I276" ca="1" si="63">IF(AND($C213&lt;=4,$C213&lt;&gt;0),0,IF(AND($C213="S",$X213&gt;0),OFFSET(I213,-1,0)+1,OFFSET(I213,-1,0)))</f>
        <v>5</v>
      </c>
      <c r="J213">
        <f t="shared" ca="1" si="54"/>
        <v>0</v>
      </c>
      <c r="K213">
        <f ca="1">IF(OR($C213="S",$C213=0),0,MATCH(OFFSET($D213,0,$C213)+IF($C213&lt;&gt;1,1,COUNTIF(QCI!$A$13:$A$15,ORÇAMENTO!E213)),OFFSET($D213,1,$C213,ROW($C$508)-ROW($C213)),0))</f>
        <v>0</v>
      </c>
      <c r="L213" s="114" t="str">
        <f t="shared" ref="L213:L276" ca="1" si="64">IF(OR($X213&gt;0,$C213=1,$C213=2,$C213=3,$C213=4),"F","")</f>
        <v>F</v>
      </c>
      <c r="M213" s="115" t="s">
        <v>705</v>
      </c>
      <c r="N213" s="116" t="str">
        <f t="shared" ref="N213:N276" ca="1" si="65">CHOOSE(1+LOG(1+2*(C213=1)+4*(C213=2)+8*(C213=3)+16*(C213=4)+32*(C213="S"),2),"","Meta","Nível 2","Nível 3","Nível 4","Serviço")</f>
        <v>Serviço</v>
      </c>
      <c r="O213" s="117" t="str">
        <f t="shared" ref="O213:O276" ca="1" si="66">IF(OR($C213=0,$L213=""),"-",CONCATENATE(E213&amp;".",IF(AND($A$5&gt;=2,$C213&gt;=2),F213&amp;".",""),IF(AND($A$5&gt;=3,$C213&gt;=3),G213&amp;".",""),IF(AND($A$5&gt;=4,$C213&gt;=4),H213&amp;".",""),IF($C213="S",I213&amp;".","")))</f>
        <v>1.5.6.1.5.</v>
      </c>
      <c r="P213" s="118" t="s">
        <v>750</v>
      </c>
      <c r="Q213" s="119" t="s">
        <v>1040</v>
      </c>
      <c r="R213" s="120" t="str">
        <f ca="1">IF($C213="S",REFERENCIA.Descricao,"(digite a descrição aqui)")</f>
        <v>APLICAÇÃO DE LONA PLÁSTICA PARA EXECUÇÃO DE PAVIMENTOS DE CONCRETO. AF_04/2022</v>
      </c>
      <c r="S213" s="121" t="str">
        <f ca="1">REFERENCIA.Unidade</f>
        <v>M2</v>
      </c>
      <c r="T213" s="122">
        <f ca="1">OFFSET(CÁLCULO!H$15,ROW($T213)-ROW(T$15),0)</f>
        <v>31.5</v>
      </c>
      <c r="U213" s="123">
        <f t="shared" ca="1" si="55"/>
        <v>2.54</v>
      </c>
      <c r="V213" s="124" t="s">
        <v>663</v>
      </c>
      <c r="W213" s="122">
        <f ca="1">IF($C213="S",ROUND(IF(TIPOORCAMENTO="Proposto",ORÇAMENTO.CustoUnitario*(1+$AH213),ORÇAMENTO.PrecoUnitarioLicitado),15-13*$AF$10),0)</f>
        <v>3.14</v>
      </c>
      <c r="X213" s="125" cm="1">
        <f t="array" aca="1" ref="X213" ca="1">IF($C213="S",IF(OR(Import.TipoArredondamento&lt;&gt;"TransfereGOV",ACOMPANHAMENTO="BM"),VTOTAL1,SUM(OFFSET(CÁLCULO!$AI$15,ROW($X213)-ROW($X$15),1):OFFSET(CÁLCULO!$BB$15,ROW($X213)-ROW($X$15),-1))),IF($C213=0,0,ROUND(SomaAgrup,15-13*$AF$11)))</f>
        <v>98.91</v>
      </c>
      <c r="Y213" s="126" t="s">
        <v>751</v>
      </c>
      <c r="Z213" t="str">
        <f t="shared" ref="Z213:Z276" ca="1" si="67">IF(AND($C213="S",$X213&gt;0),IF(ISBLANK($Y213),"RA",LEFT($Y213,2)),"")</f>
        <v>RA</v>
      </c>
      <c r="AA213" s="127">
        <f ca="1">IF($C213="S",IF($Z213="CP",$X213,IF($Z213="RA",(($X213)*QCI!$AA$3),0)),SomaAgrup)</f>
        <v>0</v>
      </c>
      <c r="AB213" s="128">
        <f t="shared" ref="AB213:AB276" ca="1" si="68">IF($C213="S",IF($Z213="OU",ROUND($X213,2),0),SomaAgrup)</f>
        <v>0</v>
      </c>
      <c r="AC213" s="565" t="str" cm="1">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IF(AND(_xlfn.SINGLE(TIPOORCAMENTO)="Licitado",$AL213=0,$AN213&gt;0),"SEM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t="str">
        <f ca="1">IF(C213&lt;=CRONO.NivelExibicao,MAX($AD$15:OFFSET(AD213,-1,0))+IF($C213&lt;&gt;1,1,MAX(1,COUNTIF(QCI!$A$13:$A$15,OFFSET($E213,-1,0)))),"")</f>
        <v/>
      </c>
      <c r="AE213" s="7" t="str">
        <f ca="1">IF(AND($C213="S",ORÇAMENTO.CodBarra&lt;&gt;""),IF(ORÇAMENTO.Fonte="",ORÇAMENTO.CodBarra,CONCATENATE(ORÇAMENTO.Fonte," ",ORÇAMENTO.CodBarra)))</f>
        <v>SINAPI 97113</v>
      </c>
      <c r="AF213" s="12">
        <f ca="1">IF(ISERROR(INDIRECT(ORÇAMENTO.BancoRef)),"(abra o arquivo 'Referência "&amp;Excel_BuiltIn_Database&amp;".xlsm)",IF(OR($C213&lt;&gt;"S",ORÇAMENTO.CodBarra=""),"(Sem Código)",IF(ISERROR(MATCH($AE213,INDIRECT(ORÇAMENTO.BancoRef),0)),"(Código não identificado nas referências)",MATCH($AE213,INDIRECT(ORÇAMENTO.BancoRef),0))))</f>
        <v>13709</v>
      </c>
      <c r="AG213" s="428">
        <f ca="1">ROUND(IF(DESONERACAO="sim",REFERENCIA.Desonerado,REFERENCIA.NaoDesonerado),2)</f>
        <v>2.54</v>
      </c>
      <c r="AH213" s="429">
        <f t="shared" ref="AH213:AH276" ca="1" si="69">ROUND(IF(ISNUMBER(ORÇAMENTO.OpcaoBDI),ORÇAMENTO.OpcaoBDI,IF(LEFT(ORÇAMENTO.OpcaoBDI,3)="BDI",HLOOKUP(ORÇAMENTO.OpcaoBDI,$F$4:$H$5,2,FALSE),0)),15-11*$AF$9)</f>
        <v>0.23499999999999999</v>
      </c>
      <c r="AJ213" s="431">
        <v>31.5</v>
      </c>
      <c r="AL213" s="439"/>
      <c r="AM213" s="336">
        <f t="shared" ca="1" si="0"/>
        <v>98.91</v>
      </c>
      <c r="AN213" s="470">
        <f t="shared" ref="AN213:AN276" ca="1" si="70">ROUND(ORÇAMENTO.CustoUnitario*(1+$AH213),2)</f>
        <v>3.14</v>
      </c>
    </row>
    <row r="214" spans="1:40" ht="51" x14ac:dyDescent="0.2">
      <c r="A214" t="str">
        <f t="shared" si="56"/>
        <v>S</v>
      </c>
      <c r="B214">
        <f t="shared" ca="1" si="57"/>
        <v>4</v>
      </c>
      <c r="C214" t="str">
        <f t="shared" ca="1" si="58"/>
        <v>S</v>
      </c>
      <c r="D214">
        <f t="shared" ca="1" si="59"/>
        <v>0</v>
      </c>
      <c r="E214">
        <f ca="1">IF($C214=1,OFFSET(E214,-1,0)+MAX(1,COUNTIF(QCI!$A$13:$A$15,OFFSET(ORÇAMENTO!E214,-1,0))),OFFSET(E214,-1,0))</f>
        <v>1</v>
      </c>
      <c r="F214">
        <f t="shared" ca="1" si="60"/>
        <v>5</v>
      </c>
      <c r="G214">
        <f t="shared" ca="1" si="61"/>
        <v>6</v>
      </c>
      <c r="H214">
        <f t="shared" ca="1" si="62"/>
        <v>1</v>
      </c>
      <c r="I214">
        <f t="shared" ca="1" si="63"/>
        <v>6</v>
      </c>
      <c r="J214">
        <f t="shared" ca="1" si="54"/>
        <v>0</v>
      </c>
      <c r="K214">
        <f ca="1">IF(OR($C214="S",$C214=0),0,MATCH(OFFSET($D214,0,$C214)+IF($C214&lt;&gt;1,1,COUNTIF(QCI!$A$13:$A$15,ORÇAMENTO!E214)),OFFSET($D214,1,$C214,ROW($C$508)-ROW($C214)),0))</f>
        <v>0</v>
      </c>
      <c r="L214" s="114" t="str">
        <f t="shared" ca="1" si="64"/>
        <v>F</v>
      </c>
      <c r="M214" s="115" t="s">
        <v>705</v>
      </c>
      <c r="N214" s="116" t="str">
        <f t="shared" ca="1" si="65"/>
        <v>Serviço</v>
      </c>
      <c r="O214" s="117" t="str">
        <f t="shared" ca="1" si="66"/>
        <v>1.5.6.1.6.</v>
      </c>
      <c r="P214" s="118" t="s">
        <v>750</v>
      </c>
      <c r="Q214" s="119" t="s">
        <v>1041</v>
      </c>
      <c r="R214" s="120" t="str">
        <f ca="1">IF($C214="S",REFERENCIA.Descricao,"(digite a descrição aqui)")</f>
        <v>CONSTRUÇÃO DE BASE E SUB-BASE PARA PAVIMENTAÇÃO DE BRITA GRADUADA SIMPLES TRATADA COM CIMENTO, COM ESPESSURA DE 15 CM - EXCLUSIVE CARGA E TRANSPORTE. AF_09/2024</v>
      </c>
      <c r="S214" s="121" t="str">
        <f ca="1">REFERENCIA.Unidade</f>
        <v>M3</v>
      </c>
      <c r="T214" s="122">
        <f ca="1">OFFSET(CÁLCULO!H$15,ROW($T214)-ROW(T$15),0)</f>
        <v>1.58</v>
      </c>
      <c r="U214" s="123">
        <f t="shared" ca="1" si="55"/>
        <v>286.25</v>
      </c>
      <c r="V214" s="124" t="s">
        <v>663</v>
      </c>
      <c r="W214" s="122">
        <f ca="1">IF($C214="S",ROUND(IF(TIPOORCAMENTO="Proposto",ORÇAMENTO.CustoUnitario*(1+$AH214),ORÇAMENTO.PrecoUnitarioLicitado),15-13*$AF$10),0)</f>
        <v>353.52</v>
      </c>
      <c r="X214" s="125" cm="1">
        <f t="array" aca="1" ref="X214" ca="1">IF($C214="S",IF(OR(Import.TipoArredondamento&lt;&gt;"TransfereGOV",ACOMPANHAMENTO="BM"),VTOTAL1,SUM(OFFSET(CÁLCULO!$AI$15,ROW($X214)-ROW($X$15),1):OFFSET(CÁLCULO!$BB$15,ROW($X214)-ROW($X$15),-1))),IF($C214=0,0,ROUND(SomaAgrup,15-13*$AF$11)))</f>
        <v>558.55999999999995</v>
      </c>
      <c r="Y214" s="126" t="s">
        <v>751</v>
      </c>
      <c r="Z214" t="str">
        <f t="shared" ca="1" si="67"/>
        <v>RA</v>
      </c>
      <c r="AA214" s="127">
        <f ca="1">IF($C214="S",IF($Z214="CP",$X214,IF($Z214="RA",(($X214)*QCI!$AA$3),0)),SomaAgrup)</f>
        <v>0</v>
      </c>
      <c r="AB214" s="128">
        <f t="shared" ca="1" si="68"/>
        <v>0</v>
      </c>
      <c r="AC214" s="565" t="str" cm="1">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IF(AND(_xlfn.SINGLE(TIPOORCAMENTO)="Licitado",$AL214=0,$AN214&gt;0),"SEM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t="str">
        <f ca="1">IF(C214&lt;=CRONO.NivelExibicao,MAX($AD$15:OFFSET(AD214,-1,0))+IF($C214&lt;&gt;1,1,MAX(1,COUNTIF(QCI!$A$13:$A$15,OFFSET($E214,-1,0)))),"")</f>
        <v/>
      </c>
      <c r="AE214" s="7" t="str">
        <f ca="1">IF(AND($C214="S",ORÇAMENTO.CodBarra&lt;&gt;""),IF(ORÇAMENTO.Fonte="",ORÇAMENTO.CodBarra,CONCATENATE(ORÇAMENTO.Fonte," ",ORÇAMENTO.CodBarra)))</f>
        <v>SINAPI 96397</v>
      </c>
      <c r="AF214" s="12">
        <f ca="1">IF(ISERROR(INDIRECT(ORÇAMENTO.BancoRef)),"(abra o arquivo 'Referência "&amp;Excel_BuiltIn_Database&amp;".xlsm)",IF(OR($C214&lt;&gt;"S",ORÇAMENTO.CodBarra=""),"(Sem Código)",IF(ISERROR(MATCH($AE214,INDIRECT(ORÇAMENTO.BancoRef),0)),"(Código não identificado nas referências)",MATCH($AE214,INDIRECT(ORÇAMENTO.BancoRef),0))))</f>
        <v>6811</v>
      </c>
      <c r="AG214" s="428">
        <f ca="1">ROUND(IF(DESONERACAO="sim",REFERENCIA.Desonerado,REFERENCIA.NaoDesonerado),2)</f>
        <v>286.25</v>
      </c>
      <c r="AH214" s="429">
        <f t="shared" ca="1" si="69"/>
        <v>0.23499999999999999</v>
      </c>
      <c r="AJ214" s="431">
        <v>1.58</v>
      </c>
      <c r="AL214" s="439"/>
      <c r="AM214" s="336">
        <f t="shared" ca="1" si="0"/>
        <v>558.55999999999995</v>
      </c>
      <c r="AN214" s="470">
        <f t="shared" ca="1" si="70"/>
        <v>353.52</v>
      </c>
    </row>
    <row r="215" spans="1:40" x14ac:dyDescent="0.2">
      <c r="A215">
        <f t="shared" si="56"/>
        <v>2</v>
      </c>
      <c r="B215">
        <f t="shared" ca="1" si="57"/>
        <v>2</v>
      </c>
      <c r="C215">
        <f t="shared" ca="1" si="58"/>
        <v>2</v>
      </c>
      <c r="D215">
        <f t="shared" ca="1" si="59"/>
        <v>29</v>
      </c>
      <c r="E215">
        <f ca="1">IF($C215=1,OFFSET(E215,-1,0)+MAX(1,COUNTIF(QCI!$A$13:$A$15,OFFSET(ORÇAMENTO!E215,-1,0))),OFFSET(E215,-1,0))</f>
        <v>1</v>
      </c>
      <c r="F215">
        <f t="shared" ca="1" si="60"/>
        <v>6</v>
      </c>
      <c r="G215">
        <f t="shared" ca="1" si="61"/>
        <v>0</v>
      </c>
      <c r="H215">
        <f t="shared" ca="1" si="62"/>
        <v>0</v>
      </c>
      <c r="I215">
        <f t="shared" ca="1" si="63"/>
        <v>0</v>
      </c>
      <c r="J215">
        <f t="shared" ca="1" si="54"/>
        <v>293</v>
      </c>
      <c r="K215">
        <f ca="1">IF(OR($C215="S",$C215=0),0,MATCH(OFFSET($D215,0,$C215)+IF($C215&lt;&gt;1,1,COUNTIF(QCI!$A$13:$A$15,ORÇAMENTO!E215)),OFFSET($D215,1,$C215,ROW($C$508)-ROW($C215)),0))</f>
        <v>29</v>
      </c>
      <c r="L215" s="114" t="str">
        <f t="shared" ca="1" si="64"/>
        <v>F</v>
      </c>
      <c r="M215" s="115" t="s">
        <v>702</v>
      </c>
      <c r="N215" s="116" t="str">
        <f t="shared" ca="1" si="65"/>
        <v>Nível 2</v>
      </c>
      <c r="O215" s="117" t="str">
        <f t="shared" ca="1" si="66"/>
        <v>1.6.</v>
      </c>
      <c r="P215" s="118" t="s">
        <v>750</v>
      </c>
      <c r="Q215" s="119"/>
      <c r="R215" s="120" t="s">
        <v>1233</v>
      </c>
      <c r="S215" s="121" t="s">
        <v>688</v>
      </c>
      <c r="T215" s="122">
        <f ca="1">OFFSET(CÁLCULO!H$15,ROW($T215)-ROW(T$15),0)</f>
        <v>0</v>
      </c>
      <c r="U215" s="123">
        <f t="shared" ca="1" si="21"/>
        <v>0</v>
      </c>
      <c r="V215" s="124" t="s">
        <v>663</v>
      </c>
      <c r="W215" s="122">
        <f ca="1">IF($C215="S",ROUND(IF(TIPOORCAMENTO="Proposto",ORÇAMENTO.CustoUnitario*(1+$AH215),ORÇAMENTO.PrecoUnitarioLicitado),15-13*$AF$10),0)</f>
        <v>0</v>
      </c>
      <c r="X215" s="125" cm="1">
        <f t="array" aca="1" ref="X215" ca="1">IF($C215="S",IF(OR(Import.TipoArredondamento&lt;&gt;"TransfereGOV",ACOMPANHAMENTO="BM"),VTOTAL1,SUM(OFFSET(CÁLCULO!$AI$15,ROW($X215)-ROW($X$15),1):OFFSET(CÁLCULO!$BB$15,ROW($X215)-ROW($X$15),-1))),IF($C215=0,0,ROUND(SomaAgrup,15-13*$AF$11)))</f>
        <v>207925.22</v>
      </c>
      <c r="Y215" s="126" t="s">
        <v>751</v>
      </c>
      <c r="Z215" t="str">
        <f t="shared" ca="1" si="67"/>
        <v/>
      </c>
      <c r="AA215" s="127">
        <f ca="1">IF($C215="S",IF($Z215="CP",$X215,IF($Z215="RA",(($X215)*QCI!$AA$3),0)),SomaAgrup)</f>
        <v>0</v>
      </c>
      <c r="AB215" s="128">
        <f t="shared" ca="1" si="68"/>
        <v>0</v>
      </c>
      <c r="AC215" s="565" t="str" cm="1">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IF(AND(_xlfn.SINGLE(TIPOORCAMENTO)="Licitado",$AL215=0,$AN215&gt;0),"SEM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f ca="1">IF(C215&lt;=CRONO.NivelExibicao,MAX($AD$15:OFFSET(AD215,-1,0))+IF($C215&lt;&gt;1,1,MAX(1,COUNTIF(QCI!$A$13:$A$15,OFFSET($E215,-1,0)))),"")</f>
        <v>7</v>
      </c>
      <c r="AE215" s="7" t="b">
        <f ca="1">IF(AND($C215="S",ORÇAMENTO.CodBarra&lt;&gt;""),IF(ORÇAMENTO.Fonte="",ORÇAMENTO.CodBarra,CONCATENATE(ORÇAMENTO.Fonte," ",ORÇAMENTO.CodBarra)))</f>
        <v>0</v>
      </c>
      <c r="AF215" s="12" t="str">
        <f ca="1">IF(ISERROR(INDIRECT(ORÇAMENTO.BancoRef)),"(abra o arquivo 'Referência "&amp;Excel_BuiltIn_Database&amp;".xlsm)",IF(OR($C215&lt;&gt;"S",ORÇAMENTO.CodBarra=""),"(Sem Código)",IF(ISERROR(MATCH($AE215,INDIRECT(ORÇAMENTO.BancoRef),0)),"(Código não identificado nas referências)",MATCH($AE215,INDIRECT(ORÇAMENTO.BancoRef),0))))</f>
        <v>(Sem Código)</v>
      </c>
      <c r="AG215" s="428">
        <f ca="1">ROUND(IF(DESONERACAO="sim",REFERENCIA.Desonerado,REFERENCIA.NaoDesonerado),2)</f>
        <v>0</v>
      </c>
      <c r="AH215" s="429">
        <f t="shared" ca="1" si="69"/>
        <v>0.23499999999999999</v>
      </c>
      <c r="AJ215" s="431"/>
      <c r="AL215" s="439"/>
      <c r="AM215" s="336">
        <f t="shared" ca="1" si="0"/>
        <v>207925.22</v>
      </c>
      <c r="AN215" s="470">
        <f t="shared" ca="1" si="70"/>
        <v>0</v>
      </c>
    </row>
    <row r="216" spans="1:40" x14ac:dyDescent="0.2">
      <c r="A216">
        <f t="shared" si="56"/>
        <v>3</v>
      </c>
      <c r="B216">
        <f t="shared" ca="1" si="57"/>
        <v>3</v>
      </c>
      <c r="C216">
        <f t="shared" ca="1" si="58"/>
        <v>3</v>
      </c>
      <c r="D216">
        <f t="shared" ca="1" si="59"/>
        <v>8</v>
      </c>
      <c r="E216">
        <f ca="1">IF($C216=1,OFFSET(E216,-1,0)+MAX(1,COUNTIF(QCI!$A$13:$A$15,OFFSET(ORÇAMENTO!E216,-1,0))),OFFSET(E216,-1,0))</f>
        <v>1</v>
      </c>
      <c r="F216">
        <f t="shared" ca="1" si="60"/>
        <v>6</v>
      </c>
      <c r="G216">
        <f t="shared" ca="1" si="61"/>
        <v>1</v>
      </c>
      <c r="H216">
        <f t="shared" ca="1" si="62"/>
        <v>0</v>
      </c>
      <c r="I216">
        <f t="shared" ca="1" si="63"/>
        <v>0</v>
      </c>
      <c r="J216">
        <f t="shared" ca="1" si="54"/>
        <v>28</v>
      </c>
      <c r="K216">
        <f ca="1">IF(OR($C216="S",$C216=0),0,MATCH(OFFSET($D216,0,$C216)+IF($C216&lt;&gt;1,1,COUNTIF(QCI!$A$13:$A$15,ORÇAMENTO!E216)),OFFSET($D216,1,$C216,ROW($C$508)-ROW($C216)),0))</f>
        <v>8</v>
      </c>
      <c r="L216" s="114" t="str">
        <f t="shared" ca="1" si="64"/>
        <v>F</v>
      </c>
      <c r="M216" s="115" t="s">
        <v>703</v>
      </c>
      <c r="N216" s="116" t="str">
        <f t="shared" ca="1" si="65"/>
        <v>Nível 3</v>
      </c>
      <c r="O216" s="117" t="str">
        <f t="shared" ca="1" si="66"/>
        <v>1.6.1.</v>
      </c>
      <c r="P216" s="118" t="s">
        <v>750</v>
      </c>
      <c r="Q216" s="119"/>
      <c r="R216" s="120" t="s">
        <v>1234</v>
      </c>
      <c r="S216" s="121" t="s">
        <v>688</v>
      </c>
      <c r="T216" s="122">
        <f ca="1">OFFSET(CÁLCULO!H$15,ROW($T216)-ROW(T$15),0)</f>
        <v>0</v>
      </c>
      <c r="U216" s="123">
        <f t="shared" ca="1" si="21"/>
        <v>0</v>
      </c>
      <c r="V216" s="124" t="s">
        <v>663</v>
      </c>
      <c r="W216" s="122">
        <f ca="1">IF($C216="S",ROUND(IF(TIPOORCAMENTO="Proposto",ORÇAMENTO.CustoUnitario*(1+$AH216),ORÇAMENTO.PrecoUnitarioLicitado),15-13*$AF$10),0)</f>
        <v>0</v>
      </c>
      <c r="X216" s="125" cm="1">
        <f t="array" aca="1" ref="X216" ca="1">IF($C216="S",IF(OR(Import.TipoArredondamento&lt;&gt;"TransfereGOV",ACOMPANHAMENTO="BM"),VTOTAL1,SUM(OFFSET(CÁLCULO!$AI$15,ROW($X216)-ROW($X$15),1):OFFSET(CÁLCULO!$BB$15,ROW($X216)-ROW($X$15),-1))),IF($C216=0,0,ROUND(SomaAgrup,15-13*$AF$11)))</f>
        <v>11986.5</v>
      </c>
      <c r="Y216" s="126" t="s">
        <v>751</v>
      </c>
      <c r="Z216" t="str">
        <f t="shared" ca="1" si="67"/>
        <v/>
      </c>
      <c r="AA216" s="127">
        <f ca="1">IF($C216="S",IF($Z216="CP",$X216,IF($Z216="RA",(($X216)*QCI!$AA$3),0)),SomaAgrup)</f>
        <v>0</v>
      </c>
      <c r="AB216" s="128">
        <f t="shared" ca="1" si="68"/>
        <v>0</v>
      </c>
      <c r="AC216" s="565" t="str" cm="1">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IF(AND(_xlfn.SINGLE(TIPOORCAMENTO)="Licitado",$AL216=0,$AN216&gt;0),"SEM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t="str">
        <f ca="1">IF(C216&lt;=CRONO.NivelExibicao,MAX($AD$15:OFFSET(AD216,-1,0))+IF($C216&lt;&gt;1,1,MAX(1,COUNTIF(QCI!$A$13:$A$15,OFFSET($E216,-1,0)))),"")</f>
        <v/>
      </c>
      <c r="AE216" s="7" t="b">
        <f ca="1">IF(AND($C216="S",ORÇAMENTO.CodBarra&lt;&gt;""),IF(ORÇAMENTO.Fonte="",ORÇAMENTO.CodBarra,CONCATENATE(ORÇAMENTO.Fonte," ",ORÇAMENTO.CodBarra)))</f>
        <v>0</v>
      </c>
      <c r="AF216" s="12" t="str">
        <f ca="1">IF(ISERROR(INDIRECT(ORÇAMENTO.BancoRef)),"(abra o arquivo 'Referência "&amp;Excel_BuiltIn_Database&amp;".xlsm)",IF(OR($C216&lt;&gt;"S",ORÇAMENTO.CodBarra=""),"(Sem Código)",IF(ISERROR(MATCH($AE216,INDIRECT(ORÇAMENTO.BancoRef),0)),"(Código não identificado nas referências)",MATCH($AE216,INDIRECT(ORÇAMENTO.BancoRef),0))))</f>
        <v>(Sem Código)</v>
      </c>
      <c r="AG216" s="428">
        <f ca="1">ROUND(IF(DESONERACAO="sim",REFERENCIA.Desonerado,REFERENCIA.NaoDesonerado),2)</f>
        <v>0</v>
      </c>
      <c r="AH216" s="429">
        <f t="shared" ca="1" si="69"/>
        <v>0.23499999999999999</v>
      </c>
      <c r="AJ216" s="431"/>
      <c r="AL216" s="439"/>
      <c r="AM216" s="336">
        <f t="shared" ca="1" si="0"/>
        <v>11986.5</v>
      </c>
      <c r="AN216" s="470">
        <f t="shared" ca="1" si="70"/>
        <v>0</v>
      </c>
    </row>
    <row r="217" spans="1:40" ht="51" x14ac:dyDescent="0.2">
      <c r="A217" t="str">
        <f t="shared" si="56"/>
        <v>S</v>
      </c>
      <c r="B217">
        <f t="shared" ca="1" si="57"/>
        <v>3</v>
      </c>
      <c r="C217" t="str">
        <f t="shared" ca="1" si="58"/>
        <v>S</v>
      </c>
      <c r="D217">
        <f t="shared" ca="1" si="59"/>
        <v>0</v>
      </c>
      <c r="E217">
        <f ca="1">IF($C217=1,OFFSET(E217,-1,0)+MAX(1,COUNTIF(QCI!$A$13:$A$15,OFFSET(ORÇAMENTO!E217,-1,0))),OFFSET(E217,-1,0))</f>
        <v>1</v>
      </c>
      <c r="F217">
        <f t="shared" ca="1" si="60"/>
        <v>6</v>
      </c>
      <c r="G217">
        <f t="shared" ca="1" si="61"/>
        <v>1</v>
      </c>
      <c r="H217">
        <f t="shared" ca="1" si="62"/>
        <v>0</v>
      </c>
      <c r="I217">
        <f t="shared" ca="1" si="63"/>
        <v>1</v>
      </c>
      <c r="J217">
        <f t="shared" ca="1" si="54"/>
        <v>0</v>
      </c>
      <c r="K217">
        <f ca="1">IF(OR($C217="S",$C217=0),0,MATCH(OFFSET($D217,0,$C217)+IF($C217&lt;&gt;1,1,COUNTIF(QCI!$A$13:$A$15,ORÇAMENTO!E217)),OFFSET($D217,1,$C217,ROW($C$508)-ROW($C217)),0))</f>
        <v>0</v>
      </c>
      <c r="L217" s="114" t="str">
        <f t="shared" ca="1" si="64"/>
        <v>F</v>
      </c>
      <c r="M217" s="115" t="s">
        <v>705</v>
      </c>
      <c r="N217" s="116" t="str">
        <f t="shared" ca="1" si="65"/>
        <v>Serviço</v>
      </c>
      <c r="O217" s="117" t="str">
        <f t="shared" ca="1" si="66"/>
        <v>1.6.1.0.1.</v>
      </c>
      <c r="P217" s="118" t="s">
        <v>1280</v>
      </c>
      <c r="Q217" s="119" t="s">
        <v>1042</v>
      </c>
      <c r="R217" s="120" t="str">
        <f ca="1">IF($C217="S",REFERENCIA.Descricao,"(digite a descrição aqui)")</f>
        <v>FORNECIMENTO DE ESTRUTURA METÁLICA EM PERFIL LAMINADO, INCLUSIVE FABRICAÇÃO, TRANSPORTE, MONTAGEM E APLICAÇÃO DE FUNDO PREPARADOR ANTICORROSIVO EM SUPERFÍCIE METÁLICA, UMA (1) DEMÃO</v>
      </c>
      <c r="S217" s="121" t="str">
        <f ca="1">REFERENCIA.Unidade</f>
        <v>KG</v>
      </c>
      <c r="T217" s="122">
        <f ca="1">OFFSET(CÁLCULO!H$15,ROW($T217)-ROW(T$15),0)</f>
        <v>249.2</v>
      </c>
      <c r="U217" s="123">
        <f t="shared" ca="1" si="21"/>
        <v>25.27</v>
      </c>
      <c r="V217" s="124" t="s">
        <v>663</v>
      </c>
      <c r="W217" s="122">
        <f ca="1">IF($C217="S",ROUND(IF(TIPOORCAMENTO="Proposto",ORÇAMENTO.CustoUnitario*(1+$AH217),ORÇAMENTO.PrecoUnitarioLicitado),15-13*$AF$10),0)</f>
        <v>31.21</v>
      </c>
      <c r="X217" s="125" cm="1">
        <f t="array" aca="1" ref="X217" ca="1">IF($C217="S",IF(OR(Import.TipoArredondamento&lt;&gt;"TransfereGOV",ACOMPANHAMENTO="BM"),VTOTAL1,SUM(OFFSET(CÁLCULO!$AI$15,ROW($X217)-ROW($X$15),1):OFFSET(CÁLCULO!$BB$15,ROW($X217)-ROW($X$15),-1))),IF($C217=0,0,ROUND(SomaAgrup,15-13*$AF$11)))</f>
        <v>7777.53</v>
      </c>
      <c r="Y217" s="126" t="s">
        <v>751</v>
      </c>
      <c r="Z217" t="str">
        <f t="shared" ca="1" si="67"/>
        <v>RA</v>
      </c>
      <c r="AA217" s="127">
        <f ca="1">IF($C217="S",IF($Z217="CP",$X217,IF($Z217="RA",(($X217)*QCI!$AA$3),0)),SomaAgrup)</f>
        <v>0</v>
      </c>
      <c r="AB217" s="128">
        <f t="shared" ca="1" si="68"/>
        <v>0</v>
      </c>
      <c r="AC217" s="565" t="str" cm="1">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IF(AND(_xlfn.SINGLE(TIPOORCAMENTO)="Licitado",$AL217=0,$AN217&gt;0),"SEM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t="str">
        <f ca="1">IF(C217&lt;=CRONO.NivelExibicao,MAX($AD$15:OFFSET(AD217,-1,0))+IF($C217&lt;&gt;1,1,MAX(1,COUNTIF(QCI!$A$13:$A$15,OFFSET($E217,-1,0)))),"")</f>
        <v/>
      </c>
      <c r="AE217" s="7" t="str">
        <f ca="1">IF(AND($C217="S",ORÇAMENTO.CodBarra&lt;&gt;""),IF(ORÇAMENTO.Fonte="",ORÇAMENTO.CodBarra,CONCATENATE(ORÇAMENTO.Fonte," ",ORÇAMENTO.CodBarra)))</f>
        <v>SETOP ED-49664</v>
      </c>
      <c r="AF217" s="12">
        <f ca="1">IF(ISERROR(INDIRECT(ORÇAMENTO.BancoRef)),"(abra o arquivo 'Referência "&amp;Excel_BuiltIn_Database&amp;".xlsm)",IF(OR($C217&lt;&gt;"S",ORÇAMENTO.CodBarra=""),"(Sem Código)",IF(ISERROR(MATCH($AE217,INDIRECT(ORÇAMENTO.BancoRef),0)),"(Código não identificado nas referências)",MATCH($AE217,INDIRECT(ORÇAMENTO.BancoRef),0))))</f>
        <v>28148</v>
      </c>
      <c r="AG217" s="428">
        <f ca="1">ROUND(IF(DESONERACAO="sim",REFERENCIA.Desonerado,REFERENCIA.NaoDesonerado),2)</f>
        <v>25.27</v>
      </c>
      <c r="AH217" s="429">
        <f t="shared" ca="1" si="69"/>
        <v>0.23499999999999999</v>
      </c>
      <c r="AJ217" s="431">
        <v>249.2</v>
      </c>
      <c r="AL217" s="439"/>
      <c r="AM217" s="336">
        <f t="shared" ca="1" si="0"/>
        <v>7777.53</v>
      </c>
      <c r="AN217" s="470">
        <f t="shared" ca="1" si="70"/>
        <v>31.21</v>
      </c>
    </row>
    <row r="218" spans="1:40" ht="25.5" x14ac:dyDescent="0.2">
      <c r="A218" t="str">
        <f t="shared" si="56"/>
        <v>S</v>
      </c>
      <c r="B218">
        <f t="shared" ca="1" si="57"/>
        <v>3</v>
      </c>
      <c r="C218" t="str">
        <f t="shared" ca="1" si="58"/>
        <v>S</v>
      </c>
      <c r="D218">
        <f t="shared" ca="1" si="59"/>
        <v>0</v>
      </c>
      <c r="E218">
        <f ca="1">IF($C218=1,OFFSET(E218,-1,0)+MAX(1,COUNTIF(QCI!$A$13:$A$15,OFFSET(ORÇAMENTO!E218,-1,0))),OFFSET(E218,-1,0))</f>
        <v>1</v>
      </c>
      <c r="F218">
        <f t="shared" ca="1" si="60"/>
        <v>6</v>
      </c>
      <c r="G218">
        <f t="shared" ca="1" si="61"/>
        <v>1</v>
      </c>
      <c r="H218">
        <f t="shared" ca="1" si="62"/>
        <v>0</v>
      </c>
      <c r="I218">
        <f t="shared" ca="1" si="63"/>
        <v>2</v>
      </c>
      <c r="J218">
        <f t="shared" ca="1" si="54"/>
        <v>0</v>
      </c>
      <c r="K218">
        <f ca="1">IF(OR($C218="S",$C218=0),0,MATCH(OFFSET($D218,0,$C218)+IF($C218&lt;&gt;1,1,COUNTIF(QCI!$A$13:$A$15,ORÇAMENTO!E218)),OFFSET($D218,1,$C218,ROW($C$508)-ROW($C218)),0))</f>
        <v>0</v>
      </c>
      <c r="L218" s="114" t="str">
        <f t="shared" ca="1" si="64"/>
        <v>F</v>
      </c>
      <c r="M218" s="115" t="s">
        <v>705</v>
      </c>
      <c r="N218" s="116" t="str">
        <f t="shared" ca="1" si="65"/>
        <v>Serviço</v>
      </c>
      <c r="O218" s="117" t="str">
        <f t="shared" ca="1" si="66"/>
        <v>1.6.1.0.2.</v>
      </c>
      <c r="P218" s="118" t="s">
        <v>1281</v>
      </c>
      <c r="Q218" s="119" t="s">
        <v>1043</v>
      </c>
      <c r="R218" s="120" t="str">
        <f ca="1">IF($C218="S",REFERENCIA.Descricao,"(digite a descrição aqui)")</f>
        <v>PARAFUSO AUTO-BROCANTE 12-14X3.1/2, FORNECIMENTO E INSTALAÇÃO - BASEADO EM ORSE (11035)</v>
      </c>
      <c r="S218" s="121" t="str">
        <f ca="1">REFERENCIA.Unidade</f>
        <v>UN</v>
      </c>
      <c r="T218" s="122">
        <f ca="1">OFFSET(CÁLCULO!H$15,ROW($T218)-ROW(T$15),0)</f>
        <v>40</v>
      </c>
      <c r="U218" s="123">
        <f t="shared" ca="1" si="21"/>
        <v>1.76</v>
      </c>
      <c r="V218" s="124" t="s">
        <v>663</v>
      </c>
      <c r="W218" s="122">
        <f ca="1">IF($C218="S",ROUND(IF(TIPOORCAMENTO="Proposto",ORÇAMENTO.CustoUnitario*(1+$AH218),ORÇAMENTO.PrecoUnitarioLicitado),15-13*$AF$10),0)</f>
        <v>2.17</v>
      </c>
      <c r="X218" s="125" cm="1">
        <f t="array" aca="1" ref="X218" ca="1">IF($C218="S",IF(OR(Import.TipoArredondamento&lt;&gt;"TransfereGOV",ACOMPANHAMENTO="BM"),VTOTAL1,SUM(OFFSET(CÁLCULO!$AI$15,ROW($X218)-ROW($X$15),1):OFFSET(CÁLCULO!$BB$15,ROW($X218)-ROW($X$15),-1))),IF($C218=0,0,ROUND(SomaAgrup,15-13*$AF$11)))</f>
        <v>86.8</v>
      </c>
      <c r="Y218" s="126" t="s">
        <v>751</v>
      </c>
      <c r="Z218" t="str">
        <f t="shared" ca="1" si="67"/>
        <v>RA</v>
      </c>
      <c r="AA218" s="127">
        <f ca="1">IF($C218="S",IF($Z218="CP",$X218,IF($Z218="RA",(($X218)*QCI!$AA$3),0)),SomaAgrup)</f>
        <v>0</v>
      </c>
      <c r="AB218" s="128">
        <f t="shared" ca="1" si="68"/>
        <v>0</v>
      </c>
      <c r="AC218" s="565" t="str" cm="1">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IF(AND(_xlfn.SINGLE(TIPOORCAMENTO)="Licitado",$AL218=0,$AN218&gt;0),"SEM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t="str">
        <f ca="1">IF(C218&lt;=CRONO.NivelExibicao,MAX($AD$15:OFFSET(AD218,-1,0))+IF($C218&lt;&gt;1,1,MAX(1,COUNTIF(QCI!$A$13:$A$15,OFFSET($E218,-1,0)))),"")</f>
        <v/>
      </c>
      <c r="AE218" s="7" t="str">
        <f ca="1">IF(AND($C218="S",ORÇAMENTO.CodBarra&lt;&gt;""),IF(ORÇAMENTO.Fonte="",ORÇAMENTO.CodBarra,CONCATENATE(ORÇAMENTO.Fonte," ",ORÇAMENTO.CodBarra)))</f>
        <v>COMPOSIÇÃO CPU-061</v>
      </c>
      <c r="AF218" s="12">
        <f ca="1">IF(ISERROR(INDIRECT(ORÇAMENTO.BancoRef)),"(abra o arquivo 'Referência "&amp;Excel_BuiltIn_Database&amp;".xlsm)",IF(OR($C218&lt;&gt;"S",ORÇAMENTO.CodBarra=""),"(Sem Código)",IF(ISERROR(MATCH($AE218,INDIRECT(ORÇAMENTO.BancoRef),0)),"(Código não identificado nas referências)",MATCH($AE218,INDIRECT(ORÇAMENTO.BancoRef),0))))</f>
        <v>63</v>
      </c>
      <c r="AG218" s="428">
        <f ca="1">ROUND(IF(DESONERACAO="sim",REFERENCIA.Desonerado,REFERENCIA.NaoDesonerado),2)</f>
        <v>1.76</v>
      </c>
      <c r="AH218" s="429">
        <f t="shared" ca="1" si="69"/>
        <v>0.23499999999999999</v>
      </c>
      <c r="AJ218" s="431">
        <v>40</v>
      </c>
      <c r="AL218" s="439"/>
      <c r="AM218" s="336">
        <f t="shared" ca="1" si="0"/>
        <v>86.8</v>
      </c>
      <c r="AN218" s="470">
        <f t="shared" ca="1" si="70"/>
        <v>2.17</v>
      </c>
    </row>
    <row r="219" spans="1:40" ht="25.5" x14ac:dyDescent="0.2">
      <c r="A219" t="str">
        <f t="shared" si="56"/>
        <v>S</v>
      </c>
      <c r="B219">
        <f t="shared" ca="1" si="57"/>
        <v>3</v>
      </c>
      <c r="C219" t="str">
        <f t="shared" ca="1" si="58"/>
        <v>S</v>
      </c>
      <c r="D219">
        <f t="shared" ca="1" si="59"/>
        <v>0</v>
      </c>
      <c r="E219">
        <f ca="1">IF($C219=1,OFFSET(E219,-1,0)+MAX(1,COUNTIF(QCI!$A$13:$A$15,OFFSET(ORÇAMENTO!E219,-1,0))),OFFSET(E219,-1,0))</f>
        <v>1</v>
      </c>
      <c r="F219">
        <f t="shared" ca="1" si="60"/>
        <v>6</v>
      </c>
      <c r="G219">
        <f t="shared" ca="1" si="61"/>
        <v>1</v>
      </c>
      <c r="H219">
        <f t="shared" ca="1" si="62"/>
        <v>0</v>
      </c>
      <c r="I219">
        <f t="shared" ca="1" si="63"/>
        <v>3</v>
      </c>
      <c r="J219">
        <f t="shared" ca="1" si="54"/>
        <v>0</v>
      </c>
      <c r="K219">
        <f ca="1">IF(OR($C219="S",$C219=0),0,MATCH(OFFSET($D219,0,$C219)+IF($C219&lt;&gt;1,1,COUNTIF(QCI!$A$13:$A$15,ORÇAMENTO!E219)),OFFSET($D219,1,$C219,ROW($C$508)-ROW($C219)),0))</f>
        <v>0</v>
      </c>
      <c r="L219" s="114" t="str">
        <f t="shared" ca="1" si="64"/>
        <v>F</v>
      </c>
      <c r="M219" s="115" t="s">
        <v>705</v>
      </c>
      <c r="N219" s="116" t="str">
        <f t="shared" ca="1" si="65"/>
        <v>Serviço</v>
      </c>
      <c r="O219" s="117" t="str">
        <f t="shared" ca="1" si="66"/>
        <v>1.6.1.0.3.</v>
      </c>
      <c r="P219" s="118" t="s">
        <v>1281</v>
      </c>
      <c r="Q219" s="119" t="s">
        <v>1044</v>
      </c>
      <c r="R219" s="120" t="str">
        <f ca="1">IF($C219="S",REFERENCIA.Descricao,"(digite a descrição aqui)")</f>
        <v>PARAFUSO AUTO-BROCANTE 12-14X3/4, FORNECIMENTO E INSTALAÇÃO - BASEADO EM ORSE (11035)</v>
      </c>
      <c r="S219" s="121" t="str">
        <f ca="1">REFERENCIA.Unidade</f>
        <v>UN</v>
      </c>
      <c r="T219" s="122">
        <f ca="1">OFFSET(CÁLCULO!H$15,ROW($T219)-ROW(T$15),0)</f>
        <v>25</v>
      </c>
      <c r="U219" s="123">
        <f t="shared" ca="1" si="21"/>
        <v>1.03</v>
      </c>
      <c r="V219" s="124" t="s">
        <v>663</v>
      </c>
      <c r="W219" s="122">
        <f ca="1">IF($C219="S",ROUND(IF(TIPOORCAMENTO="Proposto",ORÇAMENTO.CustoUnitario*(1+$AH219),ORÇAMENTO.PrecoUnitarioLicitado),15-13*$AF$10),0)</f>
        <v>1.27</v>
      </c>
      <c r="X219" s="125" cm="1">
        <f t="array" aca="1" ref="X219" ca="1">IF($C219="S",IF(OR(Import.TipoArredondamento&lt;&gt;"TransfereGOV",ACOMPANHAMENTO="BM"),VTOTAL1,SUM(OFFSET(CÁLCULO!$AI$15,ROW($X219)-ROW($X$15),1):OFFSET(CÁLCULO!$BB$15,ROW($X219)-ROW($X$15),-1))),IF($C219=0,0,ROUND(SomaAgrup,15-13*$AF$11)))</f>
        <v>31.75</v>
      </c>
      <c r="Y219" s="126" t="s">
        <v>751</v>
      </c>
      <c r="Z219" t="str">
        <f t="shared" ca="1" si="67"/>
        <v>RA</v>
      </c>
      <c r="AA219" s="127">
        <f ca="1">IF($C219="S",IF($Z219="CP",$X219,IF($Z219="RA",(($X219)*QCI!$AA$3),0)),SomaAgrup)</f>
        <v>0</v>
      </c>
      <c r="AB219" s="128">
        <f t="shared" ca="1" si="68"/>
        <v>0</v>
      </c>
      <c r="AC219" s="565" t="str" cm="1">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IF(AND(_xlfn.SINGLE(TIPOORCAMENTO)="Licitado",$AL219=0,$AN219&gt;0),"SEM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t="str">
        <f ca="1">IF(C219&lt;=CRONO.NivelExibicao,MAX($AD$15:OFFSET(AD219,-1,0))+IF($C219&lt;&gt;1,1,MAX(1,COUNTIF(QCI!$A$13:$A$15,OFFSET($E219,-1,0)))),"")</f>
        <v/>
      </c>
      <c r="AE219" s="7" t="str">
        <f ca="1">IF(AND($C219="S",ORÇAMENTO.CodBarra&lt;&gt;""),IF(ORÇAMENTO.Fonte="",ORÇAMENTO.CodBarra,CONCATENATE(ORÇAMENTO.Fonte," ",ORÇAMENTO.CodBarra)))</f>
        <v>COMPOSIÇÃO CPU-003</v>
      </c>
      <c r="AF219" s="12">
        <f ca="1">IF(ISERROR(INDIRECT(ORÇAMENTO.BancoRef)),"(abra o arquivo 'Referência "&amp;Excel_BuiltIn_Database&amp;".xlsm)",IF(OR($C219&lt;&gt;"S",ORÇAMENTO.CodBarra=""),"(Sem Código)",IF(ISERROR(MATCH($AE219,INDIRECT(ORÇAMENTO.BancoRef),0)),"(Código não identificado nas referências)",MATCH($AE219,INDIRECT(ORÇAMENTO.BancoRef),0))))</f>
        <v>6</v>
      </c>
      <c r="AG219" s="428">
        <f ca="1">ROUND(IF(DESONERACAO="sim",REFERENCIA.Desonerado,REFERENCIA.NaoDesonerado),2)</f>
        <v>1.03</v>
      </c>
      <c r="AH219" s="429">
        <f t="shared" ca="1" si="69"/>
        <v>0.23499999999999999</v>
      </c>
      <c r="AJ219" s="431">
        <v>25</v>
      </c>
      <c r="AL219" s="439"/>
      <c r="AM219" s="336">
        <f t="shared" ca="1" si="0"/>
        <v>31.75</v>
      </c>
      <c r="AN219" s="470">
        <f t="shared" ca="1" si="70"/>
        <v>1.27</v>
      </c>
    </row>
    <row r="220" spans="1:40" ht="25.5" x14ac:dyDescent="0.2">
      <c r="A220" t="str">
        <f t="shared" si="56"/>
        <v>S</v>
      </c>
      <c r="B220">
        <f t="shared" ca="1" si="57"/>
        <v>3</v>
      </c>
      <c r="C220" t="str">
        <f t="shared" ca="1" si="58"/>
        <v>S</v>
      </c>
      <c r="D220">
        <f t="shared" ca="1" si="59"/>
        <v>0</v>
      </c>
      <c r="E220">
        <f ca="1">IF($C220=1,OFFSET(E220,-1,0)+MAX(1,COUNTIF(QCI!$A$13:$A$15,OFFSET(ORÇAMENTO!E220,-1,0))),OFFSET(E220,-1,0))</f>
        <v>1</v>
      </c>
      <c r="F220">
        <f t="shared" ca="1" si="60"/>
        <v>6</v>
      </c>
      <c r="G220">
        <f t="shared" ca="1" si="61"/>
        <v>1</v>
      </c>
      <c r="H220">
        <f t="shared" ca="1" si="62"/>
        <v>0</v>
      </c>
      <c r="I220">
        <f t="shared" ca="1" si="63"/>
        <v>4</v>
      </c>
      <c r="J220">
        <f t="shared" ca="1" si="54"/>
        <v>0</v>
      </c>
      <c r="K220">
        <f ca="1">IF(OR($C220="S",$C220=0),0,MATCH(OFFSET($D220,0,$C220)+IF($C220&lt;&gt;1,1,COUNTIF(QCI!$A$13:$A$15,ORÇAMENTO!E220)),OFFSET($D220,1,$C220,ROW($C$508)-ROW($C220)),0))</f>
        <v>0</v>
      </c>
      <c r="L220" s="114" t="str">
        <f t="shared" ca="1" si="64"/>
        <v>F</v>
      </c>
      <c r="M220" s="115" t="s">
        <v>705</v>
      </c>
      <c r="N220" s="116" t="str">
        <f t="shared" ca="1" si="65"/>
        <v>Serviço</v>
      </c>
      <c r="O220" s="117" t="str">
        <f t="shared" ca="1" si="66"/>
        <v>1.6.1.0.4.</v>
      </c>
      <c r="P220" s="118" t="s">
        <v>1281</v>
      </c>
      <c r="Q220" s="119" t="s">
        <v>1045</v>
      </c>
      <c r="R220" s="120" t="str">
        <f ca="1">IF($C220="S",REFERENCIA.Descricao,"(digite a descrição aqui)")</f>
        <v>CONJUNTO PARAFUSO, PORCA E ARRUELA 3/4 - C = 1.3/4" - BASEADO EM AGESUL (1201008354)</v>
      </c>
      <c r="S220" s="121" t="str">
        <f ca="1">REFERENCIA.Unidade</f>
        <v>CJ</v>
      </c>
      <c r="T220" s="122">
        <f ca="1">OFFSET(CÁLCULO!H$15,ROW($T220)-ROW(T$15),0)</f>
        <v>40</v>
      </c>
      <c r="U220" s="123">
        <f t="shared" ca="1" si="21"/>
        <v>14.2</v>
      </c>
      <c r="V220" s="124" t="s">
        <v>663</v>
      </c>
      <c r="W220" s="122">
        <f ca="1">IF($C220="S",ROUND(IF(TIPOORCAMENTO="Proposto",ORÇAMENTO.CustoUnitario*(1+$AH220),ORÇAMENTO.PrecoUnitarioLicitado),15-13*$AF$10),0)</f>
        <v>17.54</v>
      </c>
      <c r="X220" s="125" cm="1">
        <f t="array" aca="1" ref="X220" ca="1">IF($C220="S",IF(OR(Import.TipoArredondamento&lt;&gt;"TransfereGOV",ACOMPANHAMENTO="BM"),VTOTAL1,SUM(OFFSET(CÁLCULO!$AI$15,ROW($X220)-ROW($X$15),1):OFFSET(CÁLCULO!$BB$15,ROW($X220)-ROW($X$15),-1))),IF($C220=0,0,ROUND(SomaAgrup,15-13*$AF$11)))</f>
        <v>701.6</v>
      </c>
      <c r="Y220" s="126" t="s">
        <v>751</v>
      </c>
      <c r="Z220" t="str">
        <f t="shared" ca="1" si="67"/>
        <v>RA</v>
      </c>
      <c r="AA220" s="127">
        <f ca="1">IF($C220="S",IF($Z220="CP",$X220,IF($Z220="RA",(($X220)*QCI!$AA$3),0)),SomaAgrup)</f>
        <v>0</v>
      </c>
      <c r="AB220" s="128">
        <f t="shared" ca="1" si="68"/>
        <v>0</v>
      </c>
      <c r="AC220" s="565" t="str" cm="1">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IF(AND(_xlfn.SINGLE(TIPOORCAMENTO)="Licitado",$AL220=0,$AN220&gt;0),"SEM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t="str">
        <f ca="1">IF(C220&lt;=CRONO.NivelExibicao,MAX($AD$15:OFFSET(AD220,-1,0))+IF($C220&lt;&gt;1,1,MAX(1,COUNTIF(QCI!$A$13:$A$15,OFFSET($E220,-1,0)))),"")</f>
        <v/>
      </c>
      <c r="AE220" s="7" t="str">
        <f ca="1">IF(AND($C220="S",ORÇAMENTO.CodBarra&lt;&gt;""),IF(ORÇAMENTO.Fonte="",ORÇAMENTO.CodBarra,CONCATENATE(ORÇAMENTO.Fonte," ",ORÇAMENTO.CodBarra)))</f>
        <v>COMPOSIÇÃO CPU-005</v>
      </c>
      <c r="AF220" s="12">
        <f ca="1">IF(ISERROR(INDIRECT(ORÇAMENTO.BancoRef)),"(abra o arquivo 'Referência "&amp;Excel_BuiltIn_Database&amp;".xlsm)",IF(OR($C220&lt;&gt;"S",ORÇAMENTO.CodBarra=""),"(Sem Código)",IF(ISERROR(MATCH($AE220,INDIRECT(ORÇAMENTO.BancoRef),0)),"(Código não identificado nas referências)",MATCH($AE220,INDIRECT(ORÇAMENTO.BancoRef),0))))</f>
        <v>8</v>
      </c>
      <c r="AG220" s="428">
        <f ca="1">ROUND(IF(DESONERACAO="sim",REFERENCIA.Desonerado,REFERENCIA.NaoDesonerado),2)</f>
        <v>14.2</v>
      </c>
      <c r="AH220" s="429">
        <f t="shared" ca="1" si="69"/>
        <v>0.23499999999999999</v>
      </c>
      <c r="AJ220" s="431">
        <v>40</v>
      </c>
      <c r="AL220" s="439"/>
      <c r="AM220" s="336">
        <f t="shared" ca="1" si="0"/>
        <v>701.6</v>
      </c>
      <c r="AN220" s="470">
        <f t="shared" ca="1" si="70"/>
        <v>17.54</v>
      </c>
    </row>
    <row r="221" spans="1:40" ht="38.25" x14ac:dyDescent="0.2">
      <c r="A221" t="str">
        <f t="shared" si="56"/>
        <v>S</v>
      </c>
      <c r="B221">
        <f t="shared" ca="1" si="57"/>
        <v>3</v>
      </c>
      <c r="C221" t="str">
        <f t="shared" ca="1" si="58"/>
        <v>S</v>
      </c>
      <c r="D221">
        <f t="shared" ca="1" si="59"/>
        <v>0</v>
      </c>
      <c r="E221">
        <f ca="1">IF($C221=1,OFFSET(E221,-1,0)+MAX(1,COUNTIF(QCI!$A$13:$A$15,OFFSET(ORÇAMENTO!E221,-1,0))),OFFSET(E221,-1,0))</f>
        <v>1</v>
      </c>
      <c r="F221">
        <f t="shared" ca="1" si="60"/>
        <v>6</v>
      </c>
      <c r="G221">
        <f t="shared" ca="1" si="61"/>
        <v>1</v>
      </c>
      <c r="H221">
        <f t="shared" ca="1" si="62"/>
        <v>0</v>
      </c>
      <c r="I221">
        <f t="shared" ca="1" si="63"/>
        <v>5</v>
      </c>
      <c r="J221">
        <f t="shared" ca="1" si="54"/>
        <v>0</v>
      </c>
      <c r="K221">
        <f ca="1">IF(OR($C221="S",$C221=0),0,MATCH(OFFSET($D221,0,$C221)+IF($C221&lt;&gt;1,1,COUNTIF(QCI!$A$13:$A$15,ORÇAMENTO!E221)),OFFSET($D221,1,$C221,ROW($C$508)-ROW($C221)),0))</f>
        <v>0</v>
      </c>
      <c r="L221" s="114" t="str">
        <f t="shared" ca="1" si="64"/>
        <v>F</v>
      </c>
      <c r="M221" s="115" t="s">
        <v>705</v>
      </c>
      <c r="N221" s="116" t="str">
        <f t="shared" ca="1" si="65"/>
        <v>Serviço</v>
      </c>
      <c r="O221" s="117" t="str">
        <f t="shared" ca="1" si="66"/>
        <v>1.6.1.0.5.</v>
      </c>
      <c r="P221" s="118" t="s">
        <v>1281</v>
      </c>
      <c r="Q221" s="119" t="s">
        <v>1046</v>
      </c>
      <c r="R221" s="120" t="str">
        <f ca="1">IF($C221="S",REFERENCIA.Descricao,"(digite a descrição aqui)")</f>
        <v>CHUMBADOR MECÂNICO CB 14200 1/4" X 50MM, COM PORCA E ARRUELA ZINCADOS, FORNECIMENTO E INSTALAÇÃO - BASEADO EM ORSE (9819)</v>
      </c>
      <c r="S221" s="121" t="str">
        <f ca="1">REFERENCIA.Unidade</f>
        <v>UN</v>
      </c>
      <c r="T221" s="122">
        <f ca="1">OFFSET(CÁLCULO!H$15,ROW($T221)-ROW(T$15),0)</f>
        <v>24</v>
      </c>
      <c r="U221" s="123">
        <f t="shared" ca="1" si="21"/>
        <v>2.27</v>
      </c>
      <c r="V221" s="124" t="s">
        <v>663</v>
      </c>
      <c r="W221" s="122">
        <f ca="1">IF($C221="S",ROUND(IF(TIPOORCAMENTO="Proposto",ORÇAMENTO.CustoUnitario*(1+$AH221),ORÇAMENTO.PrecoUnitarioLicitado),15-13*$AF$10),0)</f>
        <v>2.8</v>
      </c>
      <c r="X221" s="125" cm="1">
        <f t="array" aca="1" ref="X221" ca="1">IF($C221="S",IF(OR(Import.TipoArredondamento&lt;&gt;"TransfereGOV",ACOMPANHAMENTO="BM"),VTOTAL1,SUM(OFFSET(CÁLCULO!$AI$15,ROW($X221)-ROW($X$15),1):OFFSET(CÁLCULO!$BB$15,ROW($X221)-ROW($X$15),-1))),IF($C221=0,0,ROUND(SomaAgrup,15-13*$AF$11)))</f>
        <v>67.2</v>
      </c>
      <c r="Y221" s="126" t="s">
        <v>751</v>
      </c>
      <c r="Z221" t="str">
        <f t="shared" ca="1" si="67"/>
        <v>RA</v>
      </c>
      <c r="AA221" s="127">
        <f ca="1">IF($C221="S",IF($Z221="CP",$X221,IF($Z221="RA",(($X221)*QCI!$AA$3),0)),SomaAgrup)</f>
        <v>0</v>
      </c>
      <c r="AB221" s="128">
        <f t="shared" ca="1" si="68"/>
        <v>0</v>
      </c>
      <c r="AC221" s="565" t="str" cm="1">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IF(AND(_xlfn.SINGLE(TIPOORCAMENTO)="Licitado",$AL221=0,$AN221&gt;0),"SEM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t="str">
        <f ca="1">IF(C221&lt;=CRONO.NivelExibicao,MAX($AD$15:OFFSET(AD221,-1,0))+IF($C221&lt;&gt;1,1,MAX(1,COUNTIF(QCI!$A$13:$A$15,OFFSET($E221,-1,0)))),"")</f>
        <v/>
      </c>
      <c r="AE221" s="7" t="str">
        <f ca="1">IF(AND($C221="S",ORÇAMENTO.CodBarra&lt;&gt;""),IF(ORÇAMENTO.Fonte="",ORÇAMENTO.CodBarra,CONCATENATE(ORÇAMENTO.Fonte," ",ORÇAMENTO.CodBarra)))</f>
        <v>COMPOSIÇÃO CPU-007</v>
      </c>
      <c r="AF221" s="12">
        <f ca="1">IF(ISERROR(INDIRECT(ORÇAMENTO.BancoRef)),"(abra o arquivo 'Referência "&amp;Excel_BuiltIn_Database&amp;".xlsm)",IF(OR($C221&lt;&gt;"S",ORÇAMENTO.CodBarra=""),"(Sem Código)",IF(ISERROR(MATCH($AE221,INDIRECT(ORÇAMENTO.BancoRef),0)),"(Código não identificado nas referências)",MATCH($AE221,INDIRECT(ORÇAMENTO.BancoRef),0))))</f>
        <v>9</v>
      </c>
      <c r="AG221" s="428">
        <f ca="1">ROUND(IF(DESONERACAO="sim",REFERENCIA.Desonerado,REFERENCIA.NaoDesonerado),2)</f>
        <v>2.27</v>
      </c>
      <c r="AH221" s="429">
        <f t="shared" ca="1" si="69"/>
        <v>0.23499999999999999</v>
      </c>
      <c r="AJ221" s="431">
        <v>24</v>
      </c>
      <c r="AL221" s="439"/>
      <c r="AM221" s="336">
        <f t="shared" ca="1" si="0"/>
        <v>67.2</v>
      </c>
      <c r="AN221" s="470">
        <f t="shared" ca="1" si="70"/>
        <v>2.8</v>
      </c>
    </row>
    <row r="222" spans="1:40" ht="38.25" x14ac:dyDescent="0.2">
      <c r="A222" t="str">
        <f t="shared" si="56"/>
        <v>S</v>
      </c>
      <c r="B222">
        <f t="shared" ca="1" si="57"/>
        <v>3</v>
      </c>
      <c r="C222" t="str">
        <f t="shared" ca="1" si="58"/>
        <v>S</v>
      </c>
      <c r="D222">
        <f t="shared" ca="1" si="59"/>
        <v>0</v>
      </c>
      <c r="E222">
        <f ca="1">IF($C222=1,OFFSET(E222,-1,0)+MAX(1,COUNTIF(QCI!$A$13:$A$15,OFFSET(ORÇAMENTO!E222,-1,0))),OFFSET(E222,-1,0))</f>
        <v>1</v>
      </c>
      <c r="F222">
        <f t="shared" ca="1" si="60"/>
        <v>6</v>
      </c>
      <c r="G222">
        <f t="shared" ca="1" si="61"/>
        <v>1</v>
      </c>
      <c r="H222">
        <f t="shared" ca="1" si="62"/>
        <v>0</v>
      </c>
      <c r="I222">
        <f t="shared" ca="1" si="63"/>
        <v>6</v>
      </c>
      <c r="J222">
        <f t="shared" ca="1" si="54"/>
        <v>0</v>
      </c>
      <c r="K222">
        <f ca="1">IF(OR($C222="S",$C222=0),0,MATCH(OFFSET($D222,0,$C222)+IF($C222&lt;&gt;1,1,COUNTIF(QCI!$A$13:$A$15,ORÇAMENTO!E222)),OFFSET($D222,1,$C222,ROW($C$508)-ROW($C222)),0))</f>
        <v>0</v>
      </c>
      <c r="L222" s="114" t="str">
        <f t="shared" ca="1" si="64"/>
        <v>F</v>
      </c>
      <c r="M222" s="115" t="s">
        <v>705</v>
      </c>
      <c r="N222" s="116" t="str">
        <f t="shared" ca="1" si="65"/>
        <v>Serviço</v>
      </c>
      <c r="O222" s="117" t="str">
        <f t="shared" ca="1" si="66"/>
        <v>1.6.1.0.6.</v>
      </c>
      <c r="P222" s="118" t="s">
        <v>1280</v>
      </c>
      <c r="Q222" s="119" t="s">
        <v>1047</v>
      </c>
      <c r="R222" s="120" t="str">
        <f ca="1">IF($C222="S",REFERENCIA.Descricao,"(digite a descrição aqui)")</f>
        <v>PINTURA ESMALTE BASE SOLVENTE EM ESTRUTURA METÁLICA, DUAS (2) DEMÃOS, COM APLICAÇÃO MANUAL, INCLUSIVE UMA (1) DEMÃO FUNDO GALVANIZADO</v>
      </c>
      <c r="S222" s="121" t="str">
        <f ca="1">REFERENCIA.Unidade</f>
        <v>M2</v>
      </c>
      <c r="T222" s="122">
        <f ca="1">OFFSET(CÁLCULO!H$15,ROW($T222)-ROW(T$15),0)</f>
        <v>12.05</v>
      </c>
      <c r="U222" s="123">
        <f t="shared" ca="1" si="21"/>
        <v>35.880000000000003</v>
      </c>
      <c r="V222" s="124" t="s">
        <v>663</v>
      </c>
      <c r="W222" s="122">
        <f ca="1">IF($C222="S",ROUND(IF(TIPOORCAMENTO="Proposto",ORÇAMENTO.CustoUnitario*(1+$AH222),ORÇAMENTO.PrecoUnitarioLicitado),15-13*$AF$10),0)</f>
        <v>44.31</v>
      </c>
      <c r="X222" s="125" cm="1">
        <f t="array" aca="1" ref="X222" ca="1">IF($C222="S",IF(OR(Import.TipoArredondamento&lt;&gt;"TransfereGOV",ACOMPANHAMENTO="BM"),VTOTAL1,SUM(OFFSET(CÁLCULO!$AI$15,ROW($X222)-ROW($X$15),1):OFFSET(CÁLCULO!$BB$15,ROW($X222)-ROW($X$15),-1))),IF($C222=0,0,ROUND(SomaAgrup,15-13*$AF$11)))</f>
        <v>533.94000000000005</v>
      </c>
      <c r="Y222" s="126" t="s">
        <v>751</v>
      </c>
      <c r="Z222" t="str">
        <f t="shared" ca="1" si="67"/>
        <v>RA</v>
      </c>
      <c r="AA222" s="127">
        <f ca="1">IF($C222="S",IF($Z222="CP",$X222,IF($Z222="RA",(($X222)*QCI!$AA$3),0)),SomaAgrup)</f>
        <v>0</v>
      </c>
      <c r="AB222" s="128">
        <f t="shared" ca="1" si="68"/>
        <v>0</v>
      </c>
      <c r="AC222" s="565" t="str" cm="1">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IF(AND(_xlfn.SINGLE(TIPOORCAMENTO)="Licitado",$AL222=0,$AN222&gt;0),"SEM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t="str">
        <f ca="1">IF(C222&lt;=CRONO.NivelExibicao,MAX($AD$15:OFFSET(AD222,-1,0))+IF($C222&lt;&gt;1,1,MAX(1,COUNTIF(QCI!$A$13:$A$15,OFFSET($E222,-1,0)))),"")</f>
        <v/>
      </c>
      <c r="AE222" s="7" t="str">
        <f ca="1">IF(AND($C222="S",ORÇAMENTO.CodBarra&lt;&gt;""),IF(ORÇAMENTO.Fonte="",ORÇAMENTO.CodBarra,CONCATENATE(ORÇAMENTO.Fonte," ",ORÇAMENTO.CodBarra)))</f>
        <v>SETOP ED-50497</v>
      </c>
      <c r="AF222" s="12">
        <f ca="1">IF(ISERROR(INDIRECT(ORÇAMENTO.BancoRef)),"(abra o arquivo 'Referência "&amp;Excel_BuiltIn_Database&amp;".xlsm)",IF(OR($C222&lt;&gt;"S",ORÇAMENTO.CodBarra=""),"(Sem Código)",IF(ISERROR(MATCH($AE222,INDIRECT(ORÇAMENTO.BancoRef),0)),"(Código não identificado nas referências)",MATCH($AE222,INDIRECT(ORÇAMENTO.BancoRef),0))))</f>
        <v>28718</v>
      </c>
      <c r="AG222" s="428">
        <f ca="1">ROUND(IF(DESONERACAO="sim",REFERENCIA.Desonerado,REFERENCIA.NaoDesonerado),2)</f>
        <v>35.880000000000003</v>
      </c>
      <c r="AH222" s="429">
        <f t="shared" ca="1" si="69"/>
        <v>0.23499999999999999</v>
      </c>
      <c r="AJ222" s="431">
        <v>12.05</v>
      </c>
      <c r="AL222" s="439"/>
      <c r="AM222" s="336">
        <f t="shared" ca="1" si="0"/>
        <v>533.94000000000005</v>
      </c>
      <c r="AN222" s="470">
        <f t="shared" ca="1" si="70"/>
        <v>44.31</v>
      </c>
    </row>
    <row r="223" spans="1:40" ht="25.5" x14ac:dyDescent="0.2">
      <c r="A223" t="str">
        <f t="shared" si="56"/>
        <v>S</v>
      </c>
      <c r="B223">
        <f t="shared" ca="1" si="57"/>
        <v>3</v>
      </c>
      <c r="C223" t="str">
        <f t="shared" ca="1" si="58"/>
        <v>S</v>
      </c>
      <c r="D223">
        <f t="shared" ca="1" si="59"/>
        <v>0</v>
      </c>
      <c r="E223">
        <f ca="1">IF($C223=1,OFFSET(E223,-1,0)+MAX(1,COUNTIF(QCI!$A$13:$A$15,OFFSET(ORÇAMENTO!E223,-1,0))),OFFSET(E223,-1,0))</f>
        <v>1</v>
      </c>
      <c r="F223">
        <f t="shared" ca="1" si="60"/>
        <v>6</v>
      </c>
      <c r="G223">
        <f t="shared" ca="1" si="61"/>
        <v>1</v>
      </c>
      <c r="H223">
        <f t="shared" ca="1" si="62"/>
        <v>0</v>
      </c>
      <c r="I223">
        <f t="shared" ca="1" si="63"/>
        <v>7</v>
      </c>
      <c r="J223">
        <f t="shared" ca="1" si="54"/>
        <v>0</v>
      </c>
      <c r="K223">
        <f ca="1">IF(OR($C223="S",$C223=0),0,MATCH(OFFSET($D223,0,$C223)+IF($C223&lt;&gt;1,1,COUNTIF(QCI!$A$13:$A$15,ORÇAMENTO!E223)),OFFSET($D223,1,$C223,ROW($C$508)-ROW($C223)),0))</f>
        <v>0</v>
      </c>
      <c r="L223" s="114" t="str">
        <f t="shared" ca="1" si="64"/>
        <v>F</v>
      </c>
      <c r="M223" s="115" t="s">
        <v>705</v>
      </c>
      <c r="N223" s="116" t="str">
        <f t="shared" ca="1" si="65"/>
        <v>Serviço</v>
      </c>
      <c r="O223" s="117" t="str">
        <f t="shared" ca="1" si="66"/>
        <v>1.6.1.0.7.</v>
      </c>
      <c r="P223" s="118" t="s">
        <v>750</v>
      </c>
      <c r="Q223" s="119" t="s">
        <v>1048</v>
      </c>
      <c r="R223" s="120" t="str">
        <f ca="1">IF($C223="S",REFERENCIA.Descricao,"(digite a descrição aqui)")</f>
        <v>TELHAMENTO COM TELHA METÁLICA TERMOACÚSTICA E = 30 MM, COM ATÉ 2 ÁGUAS, INCLUSO IÇAMENTO. AF_07/2019</v>
      </c>
      <c r="S223" s="121" t="str">
        <f ca="1">REFERENCIA.Unidade</f>
        <v>M2</v>
      </c>
      <c r="T223" s="122">
        <f ca="1">OFFSET(CÁLCULO!H$15,ROW($T223)-ROW(T$15),0)</f>
        <v>13.75</v>
      </c>
      <c r="U223" s="123">
        <f ca="1">AG223</f>
        <v>164.16</v>
      </c>
      <c r="V223" s="124" t="s">
        <v>663</v>
      </c>
      <c r="W223" s="122">
        <f ca="1">IF($C223="S",ROUND(IF(TIPOORCAMENTO="Proposto",ORÇAMENTO.CustoUnitario*(1+$AH223),ORÇAMENTO.PrecoUnitarioLicitado),15-13*$AF$10),0)</f>
        <v>202.74</v>
      </c>
      <c r="X223" s="125" cm="1">
        <f t="array" aca="1" ref="X223" ca="1">IF($C223="S",IF(OR(Import.TipoArredondamento&lt;&gt;"TransfereGOV",ACOMPANHAMENTO="BM"),VTOTAL1,SUM(OFFSET(CÁLCULO!$AI$15,ROW($X223)-ROW($X$15),1):OFFSET(CÁLCULO!$BB$15,ROW($X223)-ROW($X$15),-1))),IF($C223=0,0,ROUND(SomaAgrup,15-13*$AF$11)))</f>
        <v>2787.68</v>
      </c>
      <c r="Y223" s="126" t="s">
        <v>751</v>
      </c>
      <c r="Z223" t="str">
        <f t="shared" ca="1" si="67"/>
        <v>RA</v>
      </c>
      <c r="AA223" s="127">
        <f ca="1">IF($C223="S",IF($Z223="CP",$X223,IF($Z223="RA",(($X223)*QCI!$AA$3),0)),SomaAgrup)</f>
        <v>0</v>
      </c>
      <c r="AB223" s="128">
        <f t="shared" ca="1" si="68"/>
        <v>0</v>
      </c>
      <c r="AC223" s="565" t="str" cm="1">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IF(AND(_xlfn.SINGLE(TIPOORCAMENTO)="Licitado",$AL223=0,$AN223&gt;0),"SEM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t="str">
        <f ca="1">IF(C223&lt;=CRONO.NivelExibicao,MAX($AD$15:OFFSET(AD223,-1,0))+IF($C223&lt;&gt;1,1,MAX(1,COUNTIF(QCI!$A$13:$A$15,OFFSET($E223,-1,0)))),"")</f>
        <v/>
      </c>
      <c r="AE223" s="7" t="str">
        <f ca="1">IF(AND($C223="S",ORÇAMENTO.CodBarra&lt;&gt;""),IF(ORÇAMENTO.Fonte="",ORÇAMENTO.CodBarra,CONCATENATE(ORÇAMENTO.Fonte," ",ORÇAMENTO.CodBarra)))</f>
        <v>SINAPI 94216</v>
      </c>
      <c r="AF223" s="12">
        <f ca="1">IF(ISERROR(INDIRECT(ORÇAMENTO.BancoRef)),"(abra o arquivo 'Referência "&amp;Excel_BuiltIn_Database&amp;".xlsm)",IF(OR($C223&lt;&gt;"S",ORÇAMENTO.CodBarra=""),"(Sem Código)",IF(ISERROR(MATCH($AE223,INDIRECT(ORÇAMENTO.BancoRef),0)),"(Código não identificado nas referências)",MATCH($AE223,INDIRECT(ORÇAMENTO.BancoRef),0))))</f>
        <v>15045</v>
      </c>
      <c r="AG223" s="428">
        <f ca="1">ROUND(IF(DESONERACAO="sim",REFERENCIA.Desonerado,REFERENCIA.NaoDesonerado),2)</f>
        <v>164.16</v>
      </c>
      <c r="AH223" s="429">
        <f t="shared" ca="1" si="69"/>
        <v>0.23499999999999999</v>
      </c>
      <c r="AJ223" s="431">
        <v>13.75</v>
      </c>
      <c r="AL223" s="439"/>
      <c r="AM223" s="336">
        <f t="shared" ca="1" si="0"/>
        <v>2787.68</v>
      </c>
      <c r="AN223" s="470">
        <f t="shared" ca="1" si="70"/>
        <v>202.74</v>
      </c>
    </row>
    <row r="224" spans="1:40" x14ac:dyDescent="0.2">
      <c r="A224">
        <f t="shared" si="56"/>
        <v>3</v>
      </c>
      <c r="B224">
        <f t="shared" ca="1" si="57"/>
        <v>3</v>
      </c>
      <c r="C224">
        <f t="shared" ca="1" si="58"/>
        <v>3</v>
      </c>
      <c r="D224">
        <f t="shared" ca="1" si="59"/>
        <v>11</v>
      </c>
      <c r="E224">
        <f ca="1">IF($C224=1,OFFSET(E224,-1,0)+MAX(1,COUNTIF(QCI!$A$13:$A$15,OFFSET(ORÇAMENTO!E224,-1,0))),OFFSET(E224,-1,0))</f>
        <v>1</v>
      </c>
      <c r="F224">
        <f t="shared" ca="1" si="60"/>
        <v>6</v>
      </c>
      <c r="G224">
        <f t="shared" ca="1" si="61"/>
        <v>2</v>
      </c>
      <c r="H224">
        <f t="shared" ca="1" si="62"/>
        <v>0</v>
      </c>
      <c r="I224">
        <f t="shared" ca="1" si="63"/>
        <v>0</v>
      </c>
      <c r="J224">
        <f t="shared" ca="1" si="54"/>
        <v>20</v>
      </c>
      <c r="K224">
        <f ca="1">IF(OR($C224="S",$C224=0),0,MATCH(OFFSET($D224,0,$C224)+IF($C224&lt;&gt;1,1,COUNTIF(QCI!$A$13:$A$15,ORÇAMENTO!E224)),OFFSET($D224,1,$C224,ROW($C$508)-ROW($C224)),0))</f>
        <v>11</v>
      </c>
      <c r="L224" s="114" t="str">
        <f t="shared" ca="1" si="64"/>
        <v>F</v>
      </c>
      <c r="M224" s="115" t="s">
        <v>703</v>
      </c>
      <c r="N224" s="116" t="str">
        <f t="shared" ca="1" si="65"/>
        <v>Nível 3</v>
      </c>
      <c r="O224" s="117" t="str">
        <f t="shared" ca="1" si="66"/>
        <v>1.6.2.</v>
      </c>
      <c r="P224" s="118" t="s">
        <v>750</v>
      </c>
      <c r="Q224" s="119"/>
      <c r="R224" s="120" t="s">
        <v>1235</v>
      </c>
      <c r="S224" s="121" t="s">
        <v>688</v>
      </c>
      <c r="T224" s="122">
        <f ca="1">OFFSET(CÁLCULO!H$15,ROW($T224)-ROW(T$15),0)</f>
        <v>0</v>
      </c>
      <c r="U224" s="123">
        <f t="shared" ca="1" si="21"/>
        <v>0</v>
      </c>
      <c r="V224" s="124" t="s">
        <v>663</v>
      </c>
      <c r="W224" s="122">
        <f ca="1">IF($C224="S",ROUND(IF(TIPOORCAMENTO="Proposto",ORÇAMENTO.CustoUnitario*(1+$AH224),ORÇAMENTO.PrecoUnitarioLicitado),15-13*$AF$10),0)</f>
        <v>0</v>
      </c>
      <c r="X224" s="125" cm="1">
        <f t="array" aca="1" ref="X224" ca="1">IF($C224="S",IF(OR(Import.TipoArredondamento&lt;&gt;"TransfereGOV",ACOMPANHAMENTO="BM"),VTOTAL1,SUM(OFFSET(CÁLCULO!$AI$15,ROW($X224)-ROW($X$15),1):OFFSET(CÁLCULO!$BB$15,ROW($X224)-ROW($X$15),-1))),IF($C224=0,0,ROUND(SomaAgrup,15-13*$AF$11)))</f>
        <v>168721.94</v>
      </c>
      <c r="Y224" s="126" t="s">
        <v>751</v>
      </c>
      <c r="Z224" t="str">
        <f t="shared" ca="1" si="67"/>
        <v/>
      </c>
      <c r="AA224" s="127">
        <f ca="1">IF($C224="S",IF($Z224="CP",$X224,IF($Z224="RA",(($X224)*QCI!$AA$3),0)),SomaAgrup)</f>
        <v>0</v>
      </c>
      <c r="AB224" s="128">
        <f t="shared" ca="1" si="68"/>
        <v>0</v>
      </c>
      <c r="AC224" s="565" t="str" cm="1">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IF(AND(_xlfn.SINGLE(TIPOORCAMENTO)="Licitado",$AL224=0,$AN224&gt;0),"SEM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t="str">
        <f ca="1">IF(C224&lt;=CRONO.NivelExibicao,MAX($AD$15:OFFSET(AD224,-1,0))+IF($C224&lt;&gt;1,1,MAX(1,COUNTIF(QCI!$A$13:$A$15,OFFSET($E224,-1,0)))),"")</f>
        <v/>
      </c>
      <c r="AE224" s="7" t="b">
        <f ca="1">IF(AND($C224="S",ORÇAMENTO.CodBarra&lt;&gt;""),IF(ORÇAMENTO.Fonte="",ORÇAMENTO.CodBarra,CONCATENATE(ORÇAMENTO.Fonte," ",ORÇAMENTO.CodBarra)))</f>
        <v>0</v>
      </c>
      <c r="AF224" s="12" t="str">
        <f ca="1">IF(ISERROR(INDIRECT(ORÇAMENTO.BancoRef)),"(abra o arquivo 'Referência "&amp;Excel_BuiltIn_Database&amp;".xlsm)",IF(OR($C224&lt;&gt;"S",ORÇAMENTO.CodBarra=""),"(Sem Código)",IF(ISERROR(MATCH($AE224,INDIRECT(ORÇAMENTO.BancoRef),0)),"(Código não identificado nas referências)",MATCH($AE224,INDIRECT(ORÇAMENTO.BancoRef),0))))</f>
        <v>(Sem Código)</v>
      </c>
      <c r="AG224" s="428">
        <f ca="1">ROUND(IF(DESONERACAO="sim",REFERENCIA.Desonerado,REFERENCIA.NaoDesonerado),2)</f>
        <v>0</v>
      </c>
      <c r="AH224" s="429">
        <f t="shared" ca="1" si="69"/>
        <v>0.23499999999999999</v>
      </c>
      <c r="AJ224" s="431"/>
      <c r="AL224" s="439"/>
      <c r="AM224" s="336">
        <f t="shared" ca="1" si="0"/>
        <v>168721.94</v>
      </c>
      <c r="AN224" s="470">
        <f t="shared" ca="1" si="70"/>
        <v>0</v>
      </c>
    </row>
    <row r="225" spans="1:40" ht="51" x14ac:dyDescent="0.2">
      <c r="A225" t="str">
        <f t="shared" si="56"/>
        <v>S</v>
      </c>
      <c r="B225">
        <f t="shared" ca="1" si="57"/>
        <v>3</v>
      </c>
      <c r="C225" t="str">
        <f t="shared" ca="1" si="58"/>
        <v>S</v>
      </c>
      <c r="D225">
        <f t="shared" ca="1" si="59"/>
        <v>0</v>
      </c>
      <c r="E225">
        <f ca="1">IF($C225=1,OFFSET(E225,-1,0)+MAX(1,COUNTIF(QCI!$A$13:$A$15,OFFSET(ORÇAMENTO!E225,-1,0))),OFFSET(E225,-1,0))</f>
        <v>1</v>
      </c>
      <c r="F225">
        <f t="shared" ca="1" si="60"/>
        <v>6</v>
      </c>
      <c r="G225">
        <f t="shared" ca="1" si="61"/>
        <v>2</v>
      </c>
      <c r="H225">
        <f t="shared" ca="1" si="62"/>
        <v>0</v>
      </c>
      <c r="I225">
        <f t="shared" ca="1" si="63"/>
        <v>1</v>
      </c>
      <c r="J225">
        <f t="shared" ca="1" si="54"/>
        <v>0</v>
      </c>
      <c r="K225">
        <f ca="1">IF(OR($C225="S",$C225=0),0,MATCH(OFFSET($D225,0,$C225)+IF($C225&lt;&gt;1,1,COUNTIF(QCI!$A$13:$A$15,ORÇAMENTO!E225)),OFFSET($D225,1,$C225,ROW($C$508)-ROW($C225)),0))</f>
        <v>0</v>
      </c>
      <c r="L225" s="114" t="str">
        <f t="shared" ca="1" si="64"/>
        <v>F</v>
      </c>
      <c r="M225" s="115" t="s">
        <v>705</v>
      </c>
      <c r="N225" s="116" t="str">
        <f t="shared" ca="1" si="65"/>
        <v>Serviço</v>
      </c>
      <c r="O225" s="117" t="str">
        <f t="shared" ca="1" si="66"/>
        <v>1.6.2.0.1.</v>
      </c>
      <c r="P225" s="118" t="s">
        <v>1280</v>
      </c>
      <c r="Q225" s="119" t="s">
        <v>1042</v>
      </c>
      <c r="R225" s="120" t="str">
        <f ca="1">IF($C225="S",REFERENCIA.Descricao,"(digite a descrição aqui)")</f>
        <v>FORNECIMENTO DE ESTRUTURA METÁLICA EM PERFIL LAMINADO, INCLUSIVE FABRICAÇÃO, TRANSPORTE, MONTAGEM E APLICAÇÃO DE FUNDO PREPARADOR ANTICORROSIVO EM SUPERFÍCIE METÁLICA, UMA (1) DEMÃO</v>
      </c>
      <c r="S225" s="121" t="str">
        <f ca="1">REFERENCIA.Unidade</f>
        <v>KG</v>
      </c>
      <c r="T225" s="122">
        <f ca="1">OFFSET(CÁLCULO!H$15,ROW($T225)-ROW(T$15),0)</f>
        <v>4736.3500000000004</v>
      </c>
      <c r="U225" s="123">
        <f t="shared" ca="1" si="21"/>
        <v>25.27</v>
      </c>
      <c r="V225" s="124" t="s">
        <v>663</v>
      </c>
      <c r="W225" s="122">
        <f ca="1">IF($C225="S",ROUND(IF(TIPOORCAMENTO="Proposto",ORÇAMENTO.CustoUnitario*(1+$AH225),ORÇAMENTO.PrecoUnitarioLicitado),15-13*$AF$10),0)</f>
        <v>31.21</v>
      </c>
      <c r="X225" s="125" cm="1">
        <f t="array" aca="1" ref="X225" ca="1">IF($C225="S",IF(OR(Import.TipoArredondamento&lt;&gt;"TransfereGOV",ACOMPANHAMENTO="BM"),VTOTAL1,SUM(OFFSET(CÁLCULO!$AI$15,ROW($X225)-ROW($X$15),1):OFFSET(CÁLCULO!$BB$15,ROW($X225)-ROW($X$15),-1))),IF($C225=0,0,ROUND(SomaAgrup,15-13*$AF$11)))</f>
        <v>147821.48000000001</v>
      </c>
      <c r="Y225" s="126" t="s">
        <v>751</v>
      </c>
      <c r="Z225" t="str">
        <f t="shared" ca="1" si="67"/>
        <v>RA</v>
      </c>
      <c r="AA225" s="127">
        <f ca="1">IF($C225="S",IF($Z225="CP",$X225,IF($Z225="RA",(($X225)*QCI!$AA$3),0)),SomaAgrup)</f>
        <v>0</v>
      </c>
      <c r="AB225" s="128">
        <f t="shared" ca="1" si="68"/>
        <v>0</v>
      </c>
      <c r="AC225" s="565" t="str" cm="1">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IF(AND(_xlfn.SINGLE(TIPOORCAMENTO)="Licitado",$AL225=0,$AN225&gt;0),"SEM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t="str">
        <f ca="1">IF(C225&lt;=CRONO.NivelExibicao,MAX($AD$15:OFFSET(AD225,-1,0))+IF($C225&lt;&gt;1,1,MAX(1,COUNTIF(QCI!$A$13:$A$15,OFFSET($E225,-1,0)))),"")</f>
        <v/>
      </c>
      <c r="AE225" s="7" t="str">
        <f ca="1">IF(AND($C225="S",ORÇAMENTO.CodBarra&lt;&gt;""),IF(ORÇAMENTO.Fonte="",ORÇAMENTO.CodBarra,CONCATENATE(ORÇAMENTO.Fonte," ",ORÇAMENTO.CodBarra)))</f>
        <v>SETOP ED-49664</v>
      </c>
      <c r="AF225" s="12">
        <f ca="1">IF(ISERROR(INDIRECT(ORÇAMENTO.BancoRef)),"(abra o arquivo 'Referência "&amp;Excel_BuiltIn_Database&amp;".xlsm)",IF(OR($C225&lt;&gt;"S",ORÇAMENTO.CodBarra=""),"(Sem Código)",IF(ISERROR(MATCH($AE225,INDIRECT(ORÇAMENTO.BancoRef),0)),"(Código não identificado nas referências)",MATCH($AE225,INDIRECT(ORÇAMENTO.BancoRef),0))))</f>
        <v>28148</v>
      </c>
      <c r="AG225" s="428">
        <f ca="1">ROUND(IF(DESONERACAO="sim",REFERENCIA.Desonerado,REFERENCIA.NaoDesonerado),2)</f>
        <v>25.27</v>
      </c>
      <c r="AH225" s="429">
        <f t="shared" ca="1" si="69"/>
        <v>0.23499999999999999</v>
      </c>
      <c r="AJ225" s="431">
        <v>4736.3500000000004</v>
      </c>
      <c r="AL225" s="439"/>
      <c r="AM225" s="336">
        <f t="shared" ca="1" si="0"/>
        <v>147821.48000000001</v>
      </c>
      <c r="AN225" s="470">
        <f t="shared" ca="1" si="70"/>
        <v>31.21</v>
      </c>
    </row>
    <row r="226" spans="1:40" ht="25.5" x14ac:dyDescent="0.2">
      <c r="A226" t="str">
        <f t="shared" si="56"/>
        <v>S</v>
      </c>
      <c r="B226">
        <f t="shared" ca="1" si="57"/>
        <v>3</v>
      </c>
      <c r="C226" t="str">
        <f t="shared" ca="1" si="58"/>
        <v>S</v>
      </c>
      <c r="D226">
        <f t="shared" ca="1" si="59"/>
        <v>0</v>
      </c>
      <c r="E226">
        <f ca="1">IF($C226=1,OFFSET(E226,-1,0)+MAX(1,COUNTIF(QCI!$A$13:$A$15,OFFSET(ORÇAMENTO!E226,-1,0))),OFFSET(E226,-1,0))</f>
        <v>1</v>
      </c>
      <c r="F226">
        <f t="shared" ca="1" si="60"/>
        <v>6</v>
      </c>
      <c r="G226">
        <f t="shared" ca="1" si="61"/>
        <v>2</v>
      </c>
      <c r="H226">
        <f t="shared" ca="1" si="62"/>
        <v>0</v>
      </c>
      <c r="I226">
        <f t="shared" ca="1" si="63"/>
        <v>2</v>
      </c>
      <c r="J226">
        <f t="shared" ca="1" si="54"/>
        <v>0</v>
      </c>
      <c r="K226">
        <f ca="1">IF(OR($C226="S",$C226=0),0,MATCH(OFFSET($D226,0,$C226)+IF($C226&lt;&gt;1,1,COUNTIF(QCI!$A$13:$A$15,ORÇAMENTO!E226)),OFFSET($D226,1,$C226,ROW($C$508)-ROW($C226)),0))</f>
        <v>0</v>
      </c>
      <c r="L226" s="114" t="str">
        <f t="shared" ca="1" si="64"/>
        <v>F</v>
      </c>
      <c r="M226" s="115" t="s">
        <v>705</v>
      </c>
      <c r="N226" s="116" t="str">
        <f t="shared" ca="1" si="65"/>
        <v>Serviço</v>
      </c>
      <c r="O226" s="117" t="str">
        <f t="shared" ca="1" si="66"/>
        <v>1.6.2.0.2.</v>
      </c>
      <c r="P226" s="118" t="s">
        <v>1281</v>
      </c>
      <c r="Q226" s="119" t="s">
        <v>1043</v>
      </c>
      <c r="R226" s="120" t="str">
        <f ca="1">IF($C226="S",REFERENCIA.Descricao,"(digite a descrição aqui)")</f>
        <v>PARAFUSO AUTO-BROCANTE 12-14X3.1/2, FORNECIMENTO E INSTALAÇÃO - BASEADO EM ORSE (11035)</v>
      </c>
      <c r="S226" s="121" t="str">
        <f ca="1">REFERENCIA.Unidade</f>
        <v>UN</v>
      </c>
      <c r="T226" s="122">
        <f ca="1">OFFSET(CÁLCULO!H$15,ROW($T226)-ROW(T$15),0)</f>
        <v>130</v>
      </c>
      <c r="U226" s="123">
        <f t="shared" ca="1" si="21"/>
        <v>1.76</v>
      </c>
      <c r="V226" s="124" t="s">
        <v>663</v>
      </c>
      <c r="W226" s="122">
        <f ca="1">IF($C226="S",ROUND(IF(TIPOORCAMENTO="Proposto",ORÇAMENTO.CustoUnitario*(1+$AH226),ORÇAMENTO.PrecoUnitarioLicitado),15-13*$AF$10),0)</f>
        <v>2.17</v>
      </c>
      <c r="X226" s="125" cm="1">
        <f t="array" aca="1" ref="X226" ca="1">IF($C226="S",IF(OR(Import.TipoArredondamento&lt;&gt;"TransfereGOV",ACOMPANHAMENTO="BM"),VTOTAL1,SUM(OFFSET(CÁLCULO!$AI$15,ROW($X226)-ROW($X$15),1):OFFSET(CÁLCULO!$BB$15,ROW($X226)-ROW($X$15),-1))),IF($C226=0,0,ROUND(SomaAgrup,15-13*$AF$11)))</f>
        <v>282.10000000000002</v>
      </c>
      <c r="Y226" s="126" t="s">
        <v>751</v>
      </c>
      <c r="Z226" t="str">
        <f t="shared" ca="1" si="67"/>
        <v>RA</v>
      </c>
      <c r="AA226" s="127">
        <f ca="1">IF($C226="S",IF($Z226="CP",$X226,IF($Z226="RA",(($X226)*QCI!$AA$3),0)),SomaAgrup)</f>
        <v>0</v>
      </c>
      <c r="AB226" s="128">
        <f t="shared" ca="1" si="68"/>
        <v>0</v>
      </c>
      <c r="AC226" s="565" t="str" cm="1">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IF(AND(_xlfn.SINGLE(TIPOORCAMENTO)="Licitado",$AL226=0,$AN226&gt;0),"SEM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t="str">
        <f ca="1">IF(C226&lt;=CRONO.NivelExibicao,MAX($AD$15:OFFSET(AD226,-1,0))+IF($C226&lt;&gt;1,1,MAX(1,COUNTIF(QCI!$A$13:$A$15,OFFSET($E226,-1,0)))),"")</f>
        <v/>
      </c>
      <c r="AE226" s="7" t="str">
        <f ca="1">IF(AND($C226="S",ORÇAMENTO.CodBarra&lt;&gt;""),IF(ORÇAMENTO.Fonte="",ORÇAMENTO.CodBarra,CONCATENATE(ORÇAMENTO.Fonte," ",ORÇAMENTO.CodBarra)))</f>
        <v>COMPOSIÇÃO CPU-061</v>
      </c>
      <c r="AF226" s="12">
        <f ca="1">IF(ISERROR(INDIRECT(ORÇAMENTO.BancoRef)),"(abra o arquivo 'Referência "&amp;Excel_BuiltIn_Database&amp;".xlsm)",IF(OR($C226&lt;&gt;"S",ORÇAMENTO.CodBarra=""),"(Sem Código)",IF(ISERROR(MATCH($AE226,INDIRECT(ORÇAMENTO.BancoRef),0)),"(Código não identificado nas referências)",MATCH($AE226,INDIRECT(ORÇAMENTO.BancoRef),0))))</f>
        <v>63</v>
      </c>
      <c r="AG226" s="428">
        <f ca="1">ROUND(IF(DESONERACAO="sim",REFERENCIA.Desonerado,REFERENCIA.NaoDesonerado),2)</f>
        <v>1.76</v>
      </c>
      <c r="AH226" s="429">
        <f t="shared" ca="1" si="69"/>
        <v>0.23499999999999999</v>
      </c>
      <c r="AJ226" s="431">
        <v>130</v>
      </c>
      <c r="AL226" s="439"/>
      <c r="AM226" s="336">
        <f t="shared" ca="1" si="0"/>
        <v>282.10000000000002</v>
      </c>
      <c r="AN226" s="470">
        <f t="shared" ca="1" si="70"/>
        <v>2.17</v>
      </c>
    </row>
    <row r="227" spans="1:40" ht="25.5" x14ac:dyDescent="0.2">
      <c r="A227" t="str">
        <f t="shared" si="56"/>
        <v>S</v>
      </c>
      <c r="B227">
        <f t="shared" ca="1" si="57"/>
        <v>3</v>
      </c>
      <c r="C227" t="str">
        <f t="shared" ca="1" si="58"/>
        <v>S</v>
      </c>
      <c r="D227">
        <f t="shared" ca="1" si="59"/>
        <v>0</v>
      </c>
      <c r="E227">
        <f ca="1">IF($C227=1,OFFSET(E227,-1,0)+MAX(1,COUNTIF(QCI!$A$13:$A$15,OFFSET(ORÇAMENTO!E227,-1,0))),OFFSET(E227,-1,0))</f>
        <v>1</v>
      </c>
      <c r="F227">
        <f t="shared" ca="1" si="60"/>
        <v>6</v>
      </c>
      <c r="G227">
        <f t="shared" ca="1" si="61"/>
        <v>2</v>
      </c>
      <c r="H227">
        <f t="shared" ca="1" si="62"/>
        <v>0</v>
      </c>
      <c r="I227">
        <f t="shared" ca="1" si="63"/>
        <v>3</v>
      </c>
      <c r="J227">
        <f t="shared" ca="1" si="54"/>
        <v>0</v>
      </c>
      <c r="K227">
        <f ca="1">IF(OR($C227="S",$C227=0),0,MATCH(OFFSET($D227,0,$C227)+IF($C227&lt;&gt;1,1,COUNTIF(QCI!$A$13:$A$15,ORÇAMENTO!E227)),OFFSET($D227,1,$C227,ROW($C$508)-ROW($C227)),0))</f>
        <v>0</v>
      </c>
      <c r="L227" s="114" t="str">
        <f t="shared" ca="1" si="64"/>
        <v>F</v>
      </c>
      <c r="M227" s="115" t="s">
        <v>705</v>
      </c>
      <c r="N227" s="116" t="str">
        <f t="shared" ca="1" si="65"/>
        <v>Serviço</v>
      </c>
      <c r="O227" s="117" t="str">
        <f t="shared" ca="1" si="66"/>
        <v>1.6.2.0.3.</v>
      </c>
      <c r="P227" s="118" t="s">
        <v>1281</v>
      </c>
      <c r="Q227" s="119" t="s">
        <v>1044</v>
      </c>
      <c r="R227" s="120" t="str">
        <f ca="1">IF($C227="S",REFERENCIA.Descricao,"(digite a descrição aqui)")</f>
        <v>PARAFUSO AUTO-BROCANTE 12-14X3/4, FORNECIMENTO E INSTALAÇÃO - BASEADO EM ORSE (11035)</v>
      </c>
      <c r="S227" s="121" t="str">
        <f ca="1">REFERENCIA.Unidade</f>
        <v>UN</v>
      </c>
      <c r="T227" s="122">
        <f ca="1">OFFSET(CÁLCULO!H$15,ROW($T227)-ROW(T$15),0)</f>
        <v>90</v>
      </c>
      <c r="U227" s="123">
        <f t="shared" ca="1" si="21"/>
        <v>1.03</v>
      </c>
      <c r="V227" s="124" t="s">
        <v>663</v>
      </c>
      <c r="W227" s="122">
        <f ca="1">IF($C227="S",ROUND(IF(TIPOORCAMENTO="Proposto",ORÇAMENTO.CustoUnitario*(1+$AH227),ORÇAMENTO.PrecoUnitarioLicitado),15-13*$AF$10),0)</f>
        <v>1.27</v>
      </c>
      <c r="X227" s="125" cm="1">
        <f t="array" aca="1" ref="X227" ca="1">IF($C227="S",IF(OR(Import.TipoArredondamento&lt;&gt;"TransfereGOV",ACOMPANHAMENTO="BM"),VTOTAL1,SUM(OFFSET(CÁLCULO!$AI$15,ROW($X227)-ROW($X$15),1):OFFSET(CÁLCULO!$BB$15,ROW($X227)-ROW($X$15),-1))),IF($C227=0,0,ROUND(SomaAgrup,15-13*$AF$11)))</f>
        <v>114.3</v>
      </c>
      <c r="Y227" s="126" t="s">
        <v>751</v>
      </c>
      <c r="Z227" t="str">
        <f t="shared" ca="1" si="67"/>
        <v>RA</v>
      </c>
      <c r="AA227" s="127">
        <f ca="1">IF($C227="S",IF($Z227="CP",$X227,IF($Z227="RA",(($X227)*QCI!$AA$3),0)),SomaAgrup)</f>
        <v>0</v>
      </c>
      <c r="AB227" s="128">
        <f t="shared" ca="1" si="68"/>
        <v>0</v>
      </c>
      <c r="AC227" s="565" t="str" cm="1">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IF(AND(_xlfn.SINGLE(TIPOORCAMENTO)="Licitado",$AL227=0,$AN227&gt;0),"SEM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t="str">
        <f ca="1">IF(C227&lt;=CRONO.NivelExibicao,MAX($AD$15:OFFSET(AD227,-1,0))+IF($C227&lt;&gt;1,1,MAX(1,COUNTIF(QCI!$A$13:$A$15,OFFSET($E227,-1,0)))),"")</f>
        <v/>
      </c>
      <c r="AE227" s="7" t="str">
        <f ca="1">IF(AND($C227="S",ORÇAMENTO.CodBarra&lt;&gt;""),IF(ORÇAMENTO.Fonte="",ORÇAMENTO.CodBarra,CONCATENATE(ORÇAMENTO.Fonte," ",ORÇAMENTO.CodBarra)))</f>
        <v>COMPOSIÇÃO CPU-003</v>
      </c>
      <c r="AF227" s="12">
        <f ca="1">IF(ISERROR(INDIRECT(ORÇAMENTO.BancoRef)),"(abra o arquivo 'Referência "&amp;Excel_BuiltIn_Database&amp;".xlsm)",IF(OR($C227&lt;&gt;"S",ORÇAMENTO.CodBarra=""),"(Sem Código)",IF(ISERROR(MATCH($AE227,INDIRECT(ORÇAMENTO.BancoRef),0)),"(Código não identificado nas referências)",MATCH($AE227,INDIRECT(ORÇAMENTO.BancoRef),0))))</f>
        <v>6</v>
      </c>
      <c r="AG227" s="428">
        <f ca="1">ROUND(IF(DESONERACAO="sim",REFERENCIA.Desonerado,REFERENCIA.NaoDesonerado),2)</f>
        <v>1.03</v>
      </c>
      <c r="AH227" s="429">
        <f t="shared" ca="1" si="69"/>
        <v>0.23499999999999999</v>
      </c>
      <c r="AJ227" s="431">
        <v>90</v>
      </c>
      <c r="AL227" s="439"/>
      <c r="AM227" s="336">
        <f t="shared" ca="1" si="0"/>
        <v>114.3</v>
      </c>
      <c r="AN227" s="470">
        <f t="shared" ca="1" si="70"/>
        <v>1.27</v>
      </c>
    </row>
    <row r="228" spans="1:40" ht="25.5" x14ac:dyDescent="0.2">
      <c r="A228" t="str">
        <f t="shared" si="56"/>
        <v>S</v>
      </c>
      <c r="B228">
        <f t="shared" ca="1" si="57"/>
        <v>3</v>
      </c>
      <c r="C228" t="str">
        <f t="shared" ca="1" si="58"/>
        <v>S</v>
      </c>
      <c r="D228">
        <f t="shared" ca="1" si="59"/>
        <v>0</v>
      </c>
      <c r="E228">
        <f ca="1">IF($C228=1,OFFSET(E228,-1,0)+MAX(1,COUNTIF(QCI!$A$13:$A$15,OFFSET(ORÇAMENTO!E228,-1,0))),OFFSET(E228,-1,0))</f>
        <v>1</v>
      </c>
      <c r="F228">
        <f t="shared" ca="1" si="60"/>
        <v>6</v>
      </c>
      <c r="G228">
        <f t="shared" ca="1" si="61"/>
        <v>2</v>
      </c>
      <c r="H228">
        <f t="shared" ca="1" si="62"/>
        <v>0</v>
      </c>
      <c r="I228">
        <f t="shared" ca="1" si="63"/>
        <v>4</v>
      </c>
      <c r="J228">
        <f t="shared" ca="1" si="54"/>
        <v>0</v>
      </c>
      <c r="K228">
        <f ca="1">IF(OR($C228="S",$C228=0),0,MATCH(OFFSET($D228,0,$C228)+IF($C228&lt;&gt;1,1,COUNTIF(QCI!$A$13:$A$15,ORÇAMENTO!E228)),OFFSET($D228,1,$C228,ROW($C$508)-ROW($C228)),0))</f>
        <v>0</v>
      </c>
      <c r="L228" s="114" t="str">
        <f t="shared" ca="1" si="64"/>
        <v>F</v>
      </c>
      <c r="M228" s="115" t="s">
        <v>705</v>
      </c>
      <c r="N228" s="116" t="str">
        <f t="shared" ca="1" si="65"/>
        <v>Serviço</v>
      </c>
      <c r="O228" s="117" t="str">
        <f t="shared" ca="1" si="66"/>
        <v>1.6.2.0.4.</v>
      </c>
      <c r="P228" s="118" t="s">
        <v>1281</v>
      </c>
      <c r="Q228" s="119" t="s">
        <v>1045</v>
      </c>
      <c r="R228" s="120" t="str">
        <f ca="1">IF($C228="S",REFERENCIA.Descricao,"(digite a descrição aqui)")</f>
        <v>CONJUNTO PARAFUSO, PORCA E ARRUELA 3/4 - C = 1.3/4" - BASEADO EM AGESUL (1201008354)</v>
      </c>
      <c r="S228" s="121" t="str">
        <f ca="1">REFERENCIA.Unidade</f>
        <v>CJ</v>
      </c>
      <c r="T228" s="122">
        <f ca="1">OFFSET(CÁLCULO!H$15,ROW($T228)-ROW(T$15),0)</f>
        <v>75</v>
      </c>
      <c r="U228" s="123">
        <f t="shared" ca="1" si="21"/>
        <v>14.2</v>
      </c>
      <c r="V228" s="124" t="s">
        <v>663</v>
      </c>
      <c r="W228" s="122">
        <f ca="1">IF($C228="S",ROUND(IF(TIPOORCAMENTO="Proposto",ORÇAMENTO.CustoUnitario*(1+$AH228),ORÇAMENTO.PrecoUnitarioLicitado),15-13*$AF$10),0)</f>
        <v>17.54</v>
      </c>
      <c r="X228" s="125" cm="1">
        <f t="array" aca="1" ref="X228" ca="1">IF($C228="S",IF(OR(Import.TipoArredondamento&lt;&gt;"TransfereGOV",ACOMPANHAMENTO="BM"),VTOTAL1,SUM(OFFSET(CÁLCULO!$AI$15,ROW($X228)-ROW($X$15),1):OFFSET(CÁLCULO!$BB$15,ROW($X228)-ROW($X$15),-1))),IF($C228=0,0,ROUND(SomaAgrup,15-13*$AF$11)))</f>
        <v>1315.5</v>
      </c>
      <c r="Y228" s="126" t="s">
        <v>751</v>
      </c>
      <c r="Z228" t="str">
        <f t="shared" ca="1" si="67"/>
        <v>RA</v>
      </c>
      <c r="AA228" s="127">
        <f ca="1">IF($C228="S",IF($Z228="CP",$X228,IF($Z228="RA",(($X228)*QCI!$AA$3),0)),SomaAgrup)</f>
        <v>0</v>
      </c>
      <c r="AB228" s="128">
        <f t="shared" ca="1" si="68"/>
        <v>0</v>
      </c>
      <c r="AC228" s="565" t="str" cm="1">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IF(AND(_xlfn.SINGLE(TIPOORCAMENTO)="Licitado",$AL228=0,$AN228&gt;0),"SEM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t="str">
        <f ca="1">IF(C228&lt;=CRONO.NivelExibicao,MAX($AD$15:OFFSET(AD228,-1,0))+IF($C228&lt;&gt;1,1,MAX(1,COUNTIF(QCI!$A$13:$A$15,OFFSET($E228,-1,0)))),"")</f>
        <v/>
      </c>
      <c r="AE228" s="7" t="str">
        <f ca="1">IF(AND($C228="S",ORÇAMENTO.CodBarra&lt;&gt;""),IF(ORÇAMENTO.Fonte="",ORÇAMENTO.CodBarra,CONCATENATE(ORÇAMENTO.Fonte," ",ORÇAMENTO.CodBarra)))</f>
        <v>COMPOSIÇÃO CPU-005</v>
      </c>
      <c r="AF228" s="12">
        <f ca="1">IF(ISERROR(INDIRECT(ORÇAMENTO.BancoRef)),"(abra o arquivo 'Referência "&amp;Excel_BuiltIn_Database&amp;".xlsm)",IF(OR($C228&lt;&gt;"S",ORÇAMENTO.CodBarra=""),"(Sem Código)",IF(ISERROR(MATCH($AE228,INDIRECT(ORÇAMENTO.BancoRef),0)),"(Código não identificado nas referências)",MATCH($AE228,INDIRECT(ORÇAMENTO.BancoRef),0))))</f>
        <v>8</v>
      </c>
      <c r="AG228" s="428">
        <f ca="1">ROUND(IF(DESONERACAO="sim",REFERENCIA.Desonerado,REFERENCIA.NaoDesonerado),2)</f>
        <v>14.2</v>
      </c>
      <c r="AH228" s="429">
        <f t="shared" ca="1" si="69"/>
        <v>0.23499999999999999</v>
      </c>
      <c r="AJ228" s="431">
        <v>75</v>
      </c>
      <c r="AL228" s="439"/>
      <c r="AM228" s="336">
        <f t="shared" ca="1" si="0"/>
        <v>1315.5</v>
      </c>
      <c r="AN228" s="470">
        <f t="shared" ca="1" si="70"/>
        <v>17.54</v>
      </c>
    </row>
    <row r="229" spans="1:40" ht="25.5" x14ac:dyDescent="0.2">
      <c r="A229" t="str">
        <f t="shared" si="56"/>
        <v>S</v>
      </c>
      <c r="B229">
        <f t="shared" ca="1" si="57"/>
        <v>3</v>
      </c>
      <c r="C229" t="str">
        <f t="shared" ca="1" si="58"/>
        <v>S</v>
      </c>
      <c r="D229">
        <f t="shared" ca="1" si="59"/>
        <v>0</v>
      </c>
      <c r="E229">
        <f ca="1">IF($C229=1,OFFSET(E229,-1,0)+MAX(1,COUNTIF(QCI!$A$13:$A$15,OFFSET(ORÇAMENTO!E229,-1,0))),OFFSET(E229,-1,0))</f>
        <v>1</v>
      </c>
      <c r="F229">
        <f t="shared" ca="1" si="60"/>
        <v>6</v>
      </c>
      <c r="G229">
        <f t="shared" ca="1" si="61"/>
        <v>2</v>
      </c>
      <c r="H229">
        <f t="shared" ca="1" si="62"/>
        <v>0</v>
      </c>
      <c r="I229">
        <f t="shared" ca="1" si="63"/>
        <v>5</v>
      </c>
      <c r="J229">
        <f t="shared" ca="1" si="54"/>
        <v>0</v>
      </c>
      <c r="K229">
        <f ca="1">IF(OR($C229="S",$C229=0),0,MATCH(OFFSET($D229,0,$C229)+IF($C229&lt;&gt;1,1,COUNTIF(QCI!$A$13:$A$15,ORÇAMENTO!E229)),OFFSET($D229,1,$C229,ROW($C$508)-ROW($C229)),0))</f>
        <v>0</v>
      </c>
      <c r="L229" s="114" t="str">
        <f t="shared" ca="1" si="64"/>
        <v>F</v>
      </c>
      <c r="M229" s="115" t="s">
        <v>705</v>
      </c>
      <c r="N229" s="116" t="str">
        <f t="shared" ca="1" si="65"/>
        <v>Serviço</v>
      </c>
      <c r="O229" s="117" t="str">
        <f t="shared" ca="1" si="66"/>
        <v>1.6.2.0.5.</v>
      </c>
      <c r="P229" s="118" t="s">
        <v>1281</v>
      </c>
      <c r="Q229" s="119" t="s">
        <v>1049</v>
      </c>
      <c r="R229" s="120" t="str">
        <f ca="1">IF($C229="S",REFERENCIA.Descricao,"(digite a descrição aqui)")</f>
        <v>CONJUNTO PARAFUSO, PORCA E ARRUELA 1/2 - C = 3" - BASEADO EM AGESUL (1201008354)</v>
      </c>
      <c r="S229" s="121" t="str">
        <f ca="1">REFERENCIA.Unidade</f>
        <v>CJ</v>
      </c>
      <c r="T229" s="122">
        <f ca="1">OFFSET(CÁLCULO!H$15,ROW($T229)-ROW(T$15),0)</f>
        <v>25</v>
      </c>
      <c r="U229" s="123">
        <f t="shared" ca="1" si="21"/>
        <v>10.26</v>
      </c>
      <c r="V229" s="124" t="s">
        <v>663</v>
      </c>
      <c r="W229" s="122">
        <f ca="1">IF($C229="S",ROUND(IF(TIPOORCAMENTO="Proposto",ORÇAMENTO.CustoUnitario*(1+$AH229),ORÇAMENTO.PrecoUnitarioLicitado),15-13*$AF$10),0)</f>
        <v>12.67</v>
      </c>
      <c r="X229" s="125" cm="1">
        <f t="array" aca="1" ref="X229" ca="1">IF($C229="S",IF(OR(Import.TipoArredondamento&lt;&gt;"TransfereGOV",ACOMPANHAMENTO="BM"),VTOTAL1,SUM(OFFSET(CÁLCULO!$AI$15,ROW($X229)-ROW($X$15),1):OFFSET(CÁLCULO!$BB$15,ROW($X229)-ROW($X$15),-1))),IF($C229=0,0,ROUND(SomaAgrup,15-13*$AF$11)))</f>
        <v>316.75</v>
      </c>
      <c r="Y229" s="126" t="s">
        <v>751</v>
      </c>
      <c r="Z229" t="str">
        <f t="shared" ca="1" si="67"/>
        <v>RA</v>
      </c>
      <c r="AA229" s="127">
        <f ca="1">IF($C229="S",IF($Z229="CP",$X229,IF($Z229="RA",(($X229)*QCI!$AA$3),0)),SomaAgrup)</f>
        <v>0</v>
      </c>
      <c r="AB229" s="128">
        <f t="shared" ca="1" si="68"/>
        <v>0</v>
      </c>
      <c r="AC229" s="565" t="str" cm="1">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IF(AND(_xlfn.SINGLE(TIPOORCAMENTO)="Licitado",$AL229=0,$AN229&gt;0),"SEM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t="str">
        <f ca="1">IF(C229&lt;=CRONO.NivelExibicao,MAX($AD$15:OFFSET(AD229,-1,0))+IF($C229&lt;&gt;1,1,MAX(1,COUNTIF(QCI!$A$13:$A$15,OFFSET($E229,-1,0)))),"")</f>
        <v/>
      </c>
      <c r="AE229" s="7" t="str">
        <f ca="1">IF(AND($C229="S",ORÇAMENTO.CodBarra&lt;&gt;""),IF(ORÇAMENTO.Fonte="",ORÇAMENTO.CodBarra,CONCATENATE(ORÇAMENTO.Fonte," ",ORÇAMENTO.CodBarra)))</f>
        <v>COMPOSIÇÃO CPU-008</v>
      </c>
      <c r="AF229" s="12">
        <f ca="1">IF(ISERROR(INDIRECT(ORÇAMENTO.BancoRef)),"(abra o arquivo 'Referência "&amp;Excel_BuiltIn_Database&amp;".xlsm)",IF(OR($C229&lt;&gt;"S",ORÇAMENTO.CodBarra=""),"(Sem Código)",IF(ISERROR(MATCH($AE229,INDIRECT(ORÇAMENTO.BancoRef),0)),"(Código não identificado nas referências)",MATCH($AE229,INDIRECT(ORÇAMENTO.BancoRef),0))))</f>
        <v>10</v>
      </c>
      <c r="AG229" s="428">
        <f ca="1">ROUND(IF(DESONERACAO="sim",REFERENCIA.Desonerado,REFERENCIA.NaoDesonerado),2)</f>
        <v>10.26</v>
      </c>
      <c r="AH229" s="429">
        <f t="shared" ca="1" si="69"/>
        <v>0.23499999999999999</v>
      </c>
      <c r="AJ229" s="431">
        <v>25</v>
      </c>
      <c r="AL229" s="439"/>
      <c r="AM229" s="336">
        <f t="shared" ca="1" si="0"/>
        <v>316.75</v>
      </c>
      <c r="AN229" s="470">
        <f t="shared" ca="1" si="70"/>
        <v>12.67</v>
      </c>
    </row>
    <row r="230" spans="1:40" ht="25.5" x14ac:dyDescent="0.2">
      <c r="A230" t="str">
        <f t="shared" si="56"/>
        <v>S</v>
      </c>
      <c r="B230">
        <f t="shared" ca="1" si="57"/>
        <v>3</v>
      </c>
      <c r="C230" t="str">
        <f t="shared" ca="1" si="58"/>
        <v>S</v>
      </c>
      <c r="D230">
        <f t="shared" ca="1" si="59"/>
        <v>0</v>
      </c>
      <c r="E230">
        <f ca="1">IF($C230=1,OFFSET(E230,-1,0)+MAX(1,COUNTIF(QCI!$A$13:$A$15,OFFSET(ORÇAMENTO!E230,-1,0))),OFFSET(E230,-1,0))</f>
        <v>1</v>
      </c>
      <c r="F230">
        <f t="shared" ca="1" si="60"/>
        <v>6</v>
      </c>
      <c r="G230">
        <f t="shared" ca="1" si="61"/>
        <v>2</v>
      </c>
      <c r="H230">
        <f t="shared" ca="1" si="62"/>
        <v>0</v>
      </c>
      <c r="I230">
        <f t="shared" ca="1" si="63"/>
        <v>6</v>
      </c>
      <c r="J230">
        <f t="shared" ca="1" si="54"/>
        <v>0</v>
      </c>
      <c r="K230">
        <f ca="1">IF(OR($C230="S",$C230=0),0,MATCH(OFFSET($D230,0,$C230)+IF($C230&lt;&gt;1,1,COUNTIF(QCI!$A$13:$A$15,ORÇAMENTO!E230)),OFFSET($D230,1,$C230,ROW($C$508)-ROW($C230)),0))</f>
        <v>0</v>
      </c>
      <c r="L230" s="114" t="str">
        <f t="shared" ca="1" si="64"/>
        <v>F</v>
      </c>
      <c r="M230" s="115" t="s">
        <v>705</v>
      </c>
      <c r="N230" s="116" t="str">
        <f t="shared" ca="1" si="65"/>
        <v>Serviço</v>
      </c>
      <c r="O230" s="117" t="str">
        <f t="shared" ca="1" si="66"/>
        <v>1.6.2.0.6.</v>
      </c>
      <c r="P230" s="118" t="s">
        <v>1281</v>
      </c>
      <c r="Q230" s="119" t="s">
        <v>1050</v>
      </c>
      <c r="R230" s="120" t="str">
        <f ca="1">IF($C230="S",REFERENCIA.Descricao,"(digite a descrição aqui)")</f>
        <v>CONJUNTO PARAFUSO, PORCA E ARRUELA 1/2 - C = 2" - BASEADO EM AGESUL (1201008354)</v>
      </c>
      <c r="S230" s="121" t="str">
        <f ca="1">REFERENCIA.Unidade</f>
        <v>CJ</v>
      </c>
      <c r="T230" s="122">
        <f ca="1">OFFSET(CÁLCULO!H$15,ROW($T230)-ROW(T$15),0)</f>
        <v>185</v>
      </c>
      <c r="U230" s="123">
        <f t="shared" ca="1" si="21"/>
        <v>9.36</v>
      </c>
      <c r="V230" s="124" t="s">
        <v>663</v>
      </c>
      <c r="W230" s="122">
        <f ca="1">IF($C230="S",ROUND(IF(TIPOORCAMENTO="Proposto",ORÇAMENTO.CustoUnitario*(1+$AH230),ORÇAMENTO.PrecoUnitarioLicitado),15-13*$AF$10),0)</f>
        <v>11.56</v>
      </c>
      <c r="X230" s="125" cm="1">
        <f t="array" aca="1" ref="X230" ca="1">IF($C230="S",IF(OR(Import.TipoArredondamento&lt;&gt;"TransfereGOV",ACOMPANHAMENTO="BM"),VTOTAL1,SUM(OFFSET(CÁLCULO!$AI$15,ROW($X230)-ROW($X$15),1):OFFSET(CÁLCULO!$BB$15,ROW($X230)-ROW($X$15),-1))),IF($C230=0,0,ROUND(SomaAgrup,15-13*$AF$11)))</f>
        <v>2138.6</v>
      </c>
      <c r="Y230" s="126" t="s">
        <v>751</v>
      </c>
      <c r="Z230" t="str">
        <f t="shared" ca="1" si="67"/>
        <v>RA</v>
      </c>
      <c r="AA230" s="127">
        <f ca="1">IF($C230="S",IF($Z230="CP",$X230,IF($Z230="RA",(($X230)*QCI!$AA$3),0)),SomaAgrup)</f>
        <v>0</v>
      </c>
      <c r="AB230" s="128">
        <f t="shared" ca="1" si="68"/>
        <v>0</v>
      </c>
      <c r="AC230" s="565" t="str" cm="1">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IF(AND(_xlfn.SINGLE(TIPOORCAMENTO)="Licitado",$AL230=0,$AN230&gt;0),"SEM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t="str">
        <f ca="1">IF(C230&lt;=CRONO.NivelExibicao,MAX($AD$15:OFFSET(AD230,-1,0))+IF($C230&lt;&gt;1,1,MAX(1,COUNTIF(QCI!$A$13:$A$15,OFFSET($E230,-1,0)))),"")</f>
        <v/>
      </c>
      <c r="AE230" s="7" t="str">
        <f ca="1">IF(AND($C230="S",ORÇAMENTO.CodBarra&lt;&gt;""),IF(ORÇAMENTO.Fonte="",ORÇAMENTO.CodBarra,CONCATENATE(ORÇAMENTO.Fonte," ",ORÇAMENTO.CodBarra)))</f>
        <v>COMPOSIÇÃO CPU-009</v>
      </c>
      <c r="AF230" s="12">
        <f ca="1">IF(ISERROR(INDIRECT(ORÇAMENTO.BancoRef)),"(abra o arquivo 'Referência "&amp;Excel_BuiltIn_Database&amp;".xlsm)",IF(OR($C230&lt;&gt;"S",ORÇAMENTO.CodBarra=""),"(Sem Código)",IF(ISERROR(MATCH($AE230,INDIRECT(ORÇAMENTO.BancoRef),0)),"(Código não identificado nas referências)",MATCH($AE230,INDIRECT(ORÇAMENTO.BancoRef),0))))</f>
        <v>11</v>
      </c>
      <c r="AG230" s="428">
        <f ca="1">ROUND(IF(DESONERACAO="sim",REFERENCIA.Desonerado,REFERENCIA.NaoDesonerado),2)</f>
        <v>9.36</v>
      </c>
      <c r="AH230" s="429">
        <f t="shared" ca="1" si="69"/>
        <v>0.23499999999999999</v>
      </c>
      <c r="AJ230" s="431">
        <v>185</v>
      </c>
      <c r="AL230" s="439"/>
      <c r="AM230" s="336">
        <f t="shared" ca="1" si="0"/>
        <v>2138.6</v>
      </c>
      <c r="AN230" s="470">
        <f t="shared" ca="1" si="70"/>
        <v>11.56</v>
      </c>
    </row>
    <row r="231" spans="1:40" ht="25.5" x14ac:dyDescent="0.2">
      <c r="A231" t="str">
        <f t="shared" si="56"/>
        <v>S</v>
      </c>
      <c r="B231">
        <f t="shared" ca="1" si="57"/>
        <v>3</v>
      </c>
      <c r="C231" t="str">
        <f t="shared" ca="1" si="58"/>
        <v>S</v>
      </c>
      <c r="D231">
        <f t="shared" ca="1" si="59"/>
        <v>0</v>
      </c>
      <c r="E231">
        <f ca="1">IF($C231=1,OFFSET(E231,-1,0)+MAX(1,COUNTIF(QCI!$A$13:$A$15,OFFSET(ORÇAMENTO!E231,-1,0))),OFFSET(E231,-1,0))</f>
        <v>1</v>
      </c>
      <c r="F231">
        <f t="shared" ca="1" si="60"/>
        <v>6</v>
      </c>
      <c r="G231">
        <f t="shared" ca="1" si="61"/>
        <v>2</v>
      </c>
      <c r="H231">
        <f t="shared" ca="1" si="62"/>
        <v>0</v>
      </c>
      <c r="I231">
        <f t="shared" ca="1" si="63"/>
        <v>7</v>
      </c>
      <c r="J231">
        <f t="shared" ca="1" si="54"/>
        <v>0</v>
      </c>
      <c r="K231">
        <f ca="1">IF(OR($C231="S",$C231=0),0,MATCH(OFFSET($D231,0,$C231)+IF($C231&lt;&gt;1,1,COUNTIF(QCI!$A$13:$A$15,ORÇAMENTO!E231)),OFFSET($D231,1,$C231,ROW($C$508)-ROW($C231)),0))</f>
        <v>0</v>
      </c>
      <c r="L231" s="114" t="str">
        <f t="shared" ca="1" si="64"/>
        <v>F</v>
      </c>
      <c r="M231" s="115" t="s">
        <v>705</v>
      </c>
      <c r="N231" s="116" t="str">
        <f t="shared" ca="1" si="65"/>
        <v>Serviço</v>
      </c>
      <c r="O231" s="117" t="str">
        <f t="shared" ca="1" si="66"/>
        <v>1.6.2.0.7.</v>
      </c>
      <c r="P231" s="118" t="s">
        <v>1281</v>
      </c>
      <c r="Q231" s="119" t="s">
        <v>1051</v>
      </c>
      <c r="R231" s="120" t="str">
        <f ca="1">IF($C231="S",REFERENCIA.Descricao,"(digite a descrição aqui)")</f>
        <v>CONJUNTO PARAFUSO, PORCA E ARRUELA 1/2 - C = 1.3/4" - BASEADO EM AGESUL (1201008354)</v>
      </c>
      <c r="S231" s="121" t="str">
        <f ca="1">REFERENCIA.Unidade</f>
        <v>CJ</v>
      </c>
      <c r="T231" s="122">
        <f ca="1">OFFSET(CÁLCULO!H$15,ROW($T231)-ROW(T$15),0)</f>
        <v>15</v>
      </c>
      <c r="U231" s="123">
        <f t="shared" ca="1" si="21"/>
        <v>9.11</v>
      </c>
      <c r="V231" s="124" t="s">
        <v>663</v>
      </c>
      <c r="W231" s="122">
        <f ca="1">IF($C231="S",ROUND(IF(TIPOORCAMENTO="Proposto",ORÇAMENTO.CustoUnitario*(1+$AH231),ORÇAMENTO.PrecoUnitarioLicitado),15-13*$AF$10),0)</f>
        <v>11.25</v>
      </c>
      <c r="X231" s="125" cm="1">
        <f t="array" aca="1" ref="X231" ca="1">IF($C231="S",IF(OR(Import.TipoArredondamento&lt;&gt;"TransfereGOV",ACOMPANHAMENTO="BM"),VTOTAL1,SUM(OFFSET(CÁLCULO!$AI$15,ROW($X231)-ROW($X$15),1):OFFSET(CÁLCULO!$BB$15,ROW($X231)-ROW($X$15),-1))),IF($C231=0,0,ROUND(SomaAgrup,15-13*$AF$11)))</f>
        <v>168.75</v>
      </c>
      <c r="Y231" s="126" t="s">
        <v>751</v>
      </c>
      <c r="Z231" t="str">
        <f t="shared" ca="1" si="67"/>
        <v>RA</v>
      </c>
      <c r="AA231" s="127">
        <f ca="1">IF($C231="S",IF($Z231="CP",$X231,IF($Z231="RA",(($X231)*QCI!$AA$3),0)),SomaAgrup)</f>
        <v>0</v>
      </c>
      <c r="AB231" s="128">
        <f t="shared" ca="1" si="68"/>
        <v>0</v>
      </c>
      <c r="AC231" s="565" t="str" cm="1">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IF(AND(_xlfn.SINGLE(TIPOORCAMENTO)="Licitado",$AL231=0,$AN231&gt;0),"SEM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t="str">
        <f ca="1">IF(C231&lt;=CRONO.NivelExibicao,MAX($AD$15:OFFSET(AD231,-1,0))+IF($C231&lt;&gt;1,1,MAX(1,COUNTIF(QCI!$A$13:$A$15,OFFSET($E231,-1,0)))),"")</f>
        <v/>
      </c>
      <c r="AE231" s="7" t="str">
        <f ca="1">IF(AND($C231="S",ORÇAMENTO.CodBarra&lt;&gt;""),IF(ORÇAMENTO.Fonte="",ORÇAMENTO.CodBarra,CONCATENATE(ORÇAMENTO.Fonte," ",ORÇAMENTO.CodBarra)))</f>
        <v>COMPOSIÇÃO CPU-010</v>
      </c>
      <c r="AF231" s="12">
        <f ca="1">IF(ISERROR(INDIRECT(ORÇAMENTO.BancoRef)),"(abra o arquivo 'Referência "&amp;Excel_BuiltIn_Database&amp;".xlsm)",IF(OR($C231&lt;&gt;"S",ORÇAMENTO.CodBarra=""),"(Sem Código)",IF(ISERROR(MATCH($AE231,INDIRECT(ORÇAMENTO.BancoRef),0)),"(Código não identificado nas referências)",MATCH($AE231,INDIRECT(ORÇAMENTO.BancoRef),0))))</f>
        <v>12</v>
      </c>
      <c r="AG231" s="428">
        <f ca="1">ROUND(IF(DESONERACAO="sim",REFERENCIA.Desonerado,REFERENCIA.NaoDesonerado),2)</f>
        <v>9.11</v>
      </c>
      <c r="AH231" s="429">
        <f t="shared" ca="1" si="69"/>
        <v>0.23499999999999999</v>
      </c>
      <c r="AJ231" s="431">
        <v>15</v>
      </c>
      <c r="AL231" s="439"/>
      <c r="AM231" s="336">
        <f t="shared" ca="1" si="0"/>
        <v>168.75</v>
      </c>
      <c r="AN231" s="470">
        <f t="shared" ca="1" si="70"/>
        <v>11.25</v>
      </c>
    </row>
    <row r="232" spans="1:40" ht="25.5" x14ac:dyDescent="0.2">
      <c r="A232" t="str">
        <f t="shared" si="56"/>
        <v>S</v>
      </c>
      <c r="B232">
        <f t="shared" ca="1" si="57"/>
        <v>3</v>
      </c>
      <c r="C232" t="str">
        <f t="shared" ca="1" si="58"/>
        <v>S</v>
      </c>
      <c r="D232">
        <f t="shared" ca="1" si="59"/>
        <v>0</v>
      </c>
      <c r="E232">
        <f ca="1">IF($C232=1,OFFSET(E232,-1,0)+MAX(1,COUNTIF(QCI!$A$13:$A$15,OFFSET(ORÇAMENTO!E232,-1,0))),OFFSET(E232,-1,0))</f>
        <v>1</v>
      </c>
      <c r="F232">
        <f t="shared" ca="1" si="60"/>
        <v>6</v>
      </c>
      <c r="G232">
        <f t="shared" ca="1" si="61"/>
        <v>2</v>
      </c>
      <c r="H232">
        <f t="shared" ca="1" si="62"/>
        <v>0</v>
      </c>
      <c r="I232">
        <f t="shared" ca="1" si="63"/>
        <v>8</v>
      </c>
      <c r="J232">
        <f t="shared" ca="1" si="54"/>
        <v>0</v>
      </c>
      <c r="K232">
        <f ca="1">IF(OR($C232="S",$C232=0),0,MATCH(OFFSET($D232,0,$C232)+IF($C232&lt;&gt;1,1,COUNTIF(QCI!$A$13:$A$15,ORÇAMENTO!E232)),OFFSET($D232,1,$C232,ROW($C$508)-ROW($C232)),0))</f>
        <v>0</v>
      </c>
      <c r="L232" s="114" t="str">
        <f t="shared" ca="1" si="64"/>
        <v>F</v>
      </c>
      <c r="M232" s="115" t="s">
        <v>705</v>
      </c>
      <c r="N232" s="116" t="str">
        <f t="shared" ca="1" si="65"/>
        <v>Serviço</v>
      </c>
      <c r="O232" s="117" t="str">
        <f t="shared" ca="1" si="66"/>
        <v>1.6.2.0.8.</v>
      </c>
      <c r="P232" s="118" t="s">
        <v>1281</v>
      </c>
      <c r="Q232" s="119" t="s">
        <v>1052</v>
      </c>
      <c r="R232" s="120" t="str">
        <f ca="1">IF($C232="S",REFERENCIA.Descricao,"(digite a descrição aqui)")</f>
        <v>CONJUNTO PORCA E ARRUELA 5/8 - BASEADO EM AGESUL (1201008354)</v>
      </c>
      <c r="S232" s="121" t="str">
        <f ca="1">REFERENCIA.Unidade</f>
        <v>CJ</v>
      </c>
      <c r="T232" s="122">
        <f ca="1">OFFSET(CÁLCULO!H$15,ROW($T232)-ROW(T$15),0)</f>
        <v>52</v>
      </c>
      <c r="U232" s="123">
        <f t="shared" ca="1" si="21"/>
        <v>7.42</v>
      </c>
      <c r="V232" s="124" t="s">
        <v>663</v>
      </c>
      <c r="W232" s="122">
        <f ca="1">IF($C232="S",ROUND(IF(TIPOORCAMENTO="Proposto",ORÇAMENTO.CustoUnitario*(1+$AH232),ORÇAMENTO.PrecoUnitarioLicitado),15-13*$AF$10),0)</f>
        <v>9.16</v>
      </c>
      <c r="X232" s="125" cm="1">
        <f t="array" aca="1" ref="X232" ca="1">IF($C232="S",IF(OR(Import.TipoArredondamento&lt;&gt;"TransfereGOV",ACOMPANHAMENTO="BM"),VTOTAL1,SUM(OFFSET(CÁLCULO!$AI$15,ROW($X232)-ROW($X$15),1):OFFSET(CÁLCULO!$BB$15,ROW($X232)-ROW($X$15),-1))),IF($C232=0,0,ROUND(SomaAgrup,15-13*$AF$11)))</f>
        <v>476.32</v>
      </c>
      <c r="Y232" s="126" t="s">
        <v>751</v>
      </c>
      <c r="Z232" t="str">
        <f t="shared" ca="1" si="67"/>
        <v>RA</v>
      </c>
      <c r="AA232" s="127">
        <f ca="1">IF($C232="S",IF($Z232="CP",$X232,IF($Z232="RA",(($X232)*QCI!$AA$3),0)),SomaAgrup)</f>
        <v>0</v>
      </c>
      <c r="AB232" s="128">
        <f t="shared" ca="1" si="68"/>
        <v>0</v>
      </c>
      <c r="AC232" s="565" t="str" cm="1">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IF(AND(_xlfn.SINGLE(TIPOORCAMENTO)="Licitado",$AL232=0,$AN232&gt;0),"SEM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t="str">
        <f ca="1">IF(C232&lt;=CRONO.NivelExibicao,MAX($AD$15:OFFSET(AD232,-1,0))+IF($C232&lt;&gt;1,1,MAX(1,COUNTIF(QCI!$A$13:$A$15,OFFSET($E232,-1,0)))),"")</f>
        <v/>
      </c>
      <c r="AE232" s="7" t="str">
        <f ca="1">IF(AND($C232="S",ORÇAMENTO.CodBarra&lt;&gt;""),IF(ORÇAMENTO.Fonte="",ORÇAMENTO.CodBarra,CONCATENATE(ORÇAMENTO.Fonte," ",ORÇAMENTO.CodBarra)))</f>
        <v>COMPOSIÇÃO CPU-011</v>
      </c>
      <c r="AF232" s="12">
        <f ca="1">IF(ISERROR(INDIRECT(ORÇAMENTO.BancoRef)),"(abra o arquivo 'Referência "&amp;Excel_BuiltIn_Database&amp;".xlsm)",IF(OR($C232&lt;&gt;"S",ORÇAMENTO.CodBarra=""),"(Sem Código)",IF(ISERROR(MATCH($AE232,INDIRECT(ORÇAMENTO.BancoRef),0)),"(Código não identificado nas referências)",MATCH($AE232,INDIRECT(ORÇAMENTO.BancoRef),0))))</f>
        <v>13</v>
      </c>
      <c r="AG232" s="428">
        <f ca="1">ROUND(IF(DESONERACAO="sim",REFERENCIA.Desonerado,REFERENCIA.NaoDesonerado),2)</f>
        <v>7.42</v>
      </c>
      <c r="AH232" s="429">
        <f t="shared" ca="1" si="69"/>
        <v>0.23499999999999999</v>
      </c>
      <c r="AJ232" s="431">
        <v>52</v>
      </c>
      <c r="AL232" s="439"/>
      <c r="AM232" s="336">
        <f t="shared" ca="1" si="0"/>
        <v>476.32</v>
      </c>
      <c r="AN232" s="470">
        <f t="shared" ca="1" si="70"/>
        <v>9.16</v>
      </c>
    </row>
    <row r="233" spans="1:40" ht="38.25" x14ac:dyDescent="0.2">
      <c r="A233" t="str">
        <f t="shared" si="56"/>
        <v>S</v>
      </c>
      <c r="B233">
        <f t="shared" ca="1" si="57"/>
        <v>3</v>
      </c>
      <c r="C233" t="str">
        <f t="shared" ca="1" si="58"/>
        <v>S</v>
      </c>
      <c r="D233">
        <f t="shared" ca="1" si="59"/>
        <v>0</v>
      </c>
      <c r="E233">
        <f ca="1">IF($C233=1,OFFSET(E233,-1,0)+MAX(1,COUNTIF(QCI!$A$13:$A$15,OFFSET(ORÇAMENTO!E233,-1,0))),OFFSET(E233,-1,0))</f>
        <v>1</v>
      </c>
      <c r="F233">
        <f t="shared" ca="1" si="60"/>
        <v>6</v>
      </c>
      <c r="G233">
        <f t="shared" ca="1" si="61"/>
        <v>2</v>
      </c>
      <c r="H233">
        <f t="shared" ca="1" si="62"/>
        <v>0</v>
      </c>
      <c r="I233">
        <f t="shared" ca="1" si="63"/>
        <v>9</v>
      </c>
      <c r="J233">
        <f t="shared" ca="1" si="54"/>
        <v>0</v>
      </c>
      <c r="K233">
        <f ca="1">IF(OR($C233="S",$C233=0),0,MATCH(OFFSET($D233,0,$C233)+IF($C233&lt;&gt;1,1,COUNTIF(QCI!$A$13:$A$15,ORÇAMENTO!E233)),OFFSET($D233,1,$C233,ROW($C$508)-ROW($C233)),0))</f>
        <v>0</v>
      </c>
      <c r="L233" s="114" t="str">
        <f t="shared" ca="1" si="64"/>
        <v>F</v>
      </c>
      <c r="M233" s="115" t="s">
        <v>705</v>
      </c>
      <c r="N233" s="116" t="str">
        <f t="shared" ca="1" si="65"/>
        <v>Serviço</v>
      </c>
      <c r="O233" s="117" t="str">
        <f t="shared" ca="1" si="66"/>
        <v>1.6.2.0.9.</v>
      </c>
      <c r="P233" s="118" t="s">
        <v>1280</v>
      </c>
      <c r="Q233" s="119" t="s">
        <v>1047</v>
      </c>
      <c r="R233" s="120" t="str">
        <f ca="1">IF($C233="S",REFERENCIA.Descricao,"(digite a descrição aqui)")</f>
        <v>PINTURA ESMALTE BASE SOLVENTE EM ESTRUTURA METÁLICA, DUAS (2) DEMÃOS, COM APLICAÇÃO MANUAL, INCLUSIVE UMA (1) DEMÃO FUNDO GALVANIZADO</v>
      </c>
      <c r="S233" s="121" t="str">
        <f ca="1">REFERENCIA.Unidade</f>
        <v>M2</v>
      </c>
      <c r="T233" s="122">
        <f ca="1">OFFSET(CÁLCULO!H$15,ROW($T233)-ROW(T$15),0)</f>
        <v>169.95</v>
      </c>
      <c r="U233" s="123">
        <f t="shared" ca="1" si="21"/>
        <v>35.880000000000003</v>
      </c>
      <c r="V233" s="124" t="s">
        <v>663</v>
      </c>
      <c r="W233" s="122">
        <f ca="1">IF($C233="S",ROUND(IF(TIPOORCAMENTO="Proposto",ORÇAMENTO.CustoUnitario*(1+$AH233),ORÇAMENTO.PrecoUnitarioLicitado),15-13*$AF$10),0)</f>
        <v>44.31</v>
      </c>
      <c r="X233" s="125" cm="1">
        <f t="array" aca="1" ref="X233" ca="1">IF($C233="S",IF(OR(Import.TipoArredondamento&lt;&gt;"TransfereGOV",ACOMPANHAMENTO="BM"),VTOTAL1,SUM(OFFSET(CÁLCULO!$AI$15,ROW($X233)-ROW($X$15),1):OFFSET(CÁLCULO!$BB$15,ROW($X233)-ROW($X$15),-1))),IF($C233=0,0,ROUND(SomaAgrup,15-13*$AF$11)))</f>
        <v>7530.48</v>
      </c>
      <c r="Y233" s="126" t="s">
        <v>751</v>
      </c>
      <c r="Z233" t="str">
        <f t="shared" ca="1" si="67"/>
        <v>RA</v>
      </c>
      <c r="AA233" s="127">
        <f ca="1">IF($C233="S",IF($Z233="CP",$X233,IF($Z233="RA",(($X233)*QCI!$AA$3),0)),SomaAgrup)</f>
        <v>0</v>
      </c>
      <c r="AB233" s="128">
        <f t="shared" ca="1" si="68"/>
        <v>0</v>
      </c>
      <c r="AC233" s="565" t="str" cm="1">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IF(AND(_xlfn.SINGLE(TIPOORCAMENTO)="Licitado",$AL233=0,$AN233&gt;0),"SEM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t="str">
        <f ca="1">IF(C233&lt;=CRONO.NivelExibicao,MAX($AD$15:OFFSET(AD233,-1,0))+IF($C233&lt;&gt;1,1,MAX(1,COUNTIF(QCI!$A$13:$A$15,OFFSET($E233,-1,0)))),"")</f>
        <v/>
      </c>
      <c r="AE233" s="7" t="str">
        <f ca="1">IF(AND($C233="S",ORÇAMENTO.CodBarra&lt;&gt;""),IF(ORÇAMENTO.Fonte="",ORÇAMENTO.CodBarra,CONCATENATE(ORÇAMENTO.Fonte," ",ORÇAMENTO.CodBarra)))</f>
        <v>SETOP ED-50497</v>
      </c>
      <c r="AF233" s="12">
        <f ca="1">IF(ISERROR(INDIRECT(ORÇAMENTO.BancoRef)),"(abra o arquivo 'Referência "&amp;Excel_BuiltIn_Database&amp;".xlsm)",IF(OR($C233&lt;&gt;"S",ORÇAMENTO.CodBarra=""),"(Sem Código)",IF(ISERROR(MATCH($AE233,INDIRECT(ORÇAMENTO.BancoRef),0)),"(Código não identificado nas referências)",MATCH($AE233,INDIRECT(ORÇAMENTO.BancoRef),0))))</f>
        <v>28718</v>
      </c>
      <c r="AG233" s="428">
        <f ca="1">ROUND(IF(DESONERACAO="sim",REFERENCIA.Desonerado,REFERENCIA.NaoDesonerado),2)</f>
        <v>35.880000000000003</v>
      </c>
      <c r="AH233" s="429">
        <f t="shared" ca="1" si="69"/>
        <v>0.23499999999999999</v>
      </c>
      <c r="AJ233" s="431">
        <v>169.95</v>
      </c>
      <c r="AL233" s="439"/>
      <c r="AM233" s="336">
        <f t="shared" ca="1" si="0"/>
        <v>7530.48</v>
      </c>
      <c r="AN233" s="470">
        <f t="shared" ca="1" si="70"/>
        <v>44.31</v>
      </c>
    </row>
    <row r="234" spans="1:40" ht="25.5" x14ac:dyDescent="0.2">
      <c r="A234" t="str">
        <f t="shared" si="56"/>
        <v>S</v>
      </c>
      <c r="B234">
        <f t="shared" ca="1" si="57"/>
        <v>3</v>
      </c>
      <c r="C234" t="str">
        <f t="shared" ca="1" si="58"/>
        <v>S</v>
      </c>
      <c r="D234">
        <f t="shared" ca="1" si="59"/>
        <v>0</v>
      </c>
      <c r="E234">
        <f ca="1">IF($C234=1,OFFSET(E234,-1,0)+MAX(1,COUNTIF(QCI!$A$13:$A$15,OFFSET(ORÇAMENTO!E234,-1,0))),OFFSET(E234,-1,0))</f>
        <v>1</v>
      </c>
      <c r="F234">
        <f t="shared" ca="1" si="60"/>
        <v>6</v>
      </c>
      <c r="G234">
        <f t="shared" ca="1" si="61"/>
        <v>2</v>
      </c>
      <c r="H234">
        <f t="shared" ca="1" si="62"/>
        <v>0</v>
      </c>
      <c r="I234">
        <f t="shared" ca="1" si="63"/>
        <v>10</v>
      </c>
      <c r="J234">
        <f t="shared" ca="1" si="54"/>
        <v>0</v>
      </c>
      <c r="K234">
        <f ca="1">IF(OR($C234="S",$C234=0),0,MATCH(OFFSET($D234,0,$C234)+IF($C234&lt;&gt;1,1,COUNTIF(QCI!$A$13:$A$15,ORÇAMENTO!E234)),OFFSET($D234,1,$C234,ROW($C$508)-ROW($C234)),0))</f>
        <v>0</v>
      </c>
      <c r="L234" s="114" t="str">
        <f t="shared" ca="1" si="64"/>
        <v>F</v>
      </c>
      <c r="M234" s="115" t="s">
        <v>705</v>
      </c>
      <c r="N234" s="116" t="str">
        <f t="shared" ca="1" si="65"/>
        <v>Serviço</v>
      </c>
      <c r="O234" s="117" t="str">
        <f t="shared" ca="1" si="66"/>
        <v>1.6.2.0.10.</v>
      </c>
      <c r="P234" s="118" t="s">
        <v>750</v>
      </c>
      <c r="Q234" s="119" t="s">
        <v>1048</v>
      </c>
      <c r="R234" s="120" t="str">
        <f ca="1">IF($C234="S",REFERENCIA.Descricao,"(digite a descrição aqui)")</f>
        <v>TELHAMENTO COM TELHA METÁLICA TERMOACÚSTICA E = 30 MM, COM ATÉ 2 ÁGUAS, INCLUSO IÇAMENTO. AF_07/2019</v>
      </c>
      <c r="S234" s="121" t="str">
        <f ca="1">REFERENCIA.Unidade</f>
        <v>M2</v>
      </c>
      <c r="T234" s="122">
        <f ca="1">OFFSET(CÁLCULO!H$15,ROW($T234)-ROW(T$15),0)</f>
        <v>42.21</v>
      </c>
      <c r="U234" s="123">
        <f ca="1">AG234</f>
        <v>164.16</v>
      </c>
      <c r="V234" s="124" t="s">
        <v>663</v>
      </c>
      <c r="W234" s="122">
        <f ca="1">IF($C234="S",ROUND(IF(TIPOORCAMENTO="Proposto",ORÇAMENTO.CustoUnitario*(1+$AH234),ORÇAMENTO.PrecoUnitarioLicitado),15-13*$AF$10),0)</f>
        <v>202.74</v>
      </c>
      <c r="X234" s="125" cm="1">
        <f t="array" aca="1" ref="X234" ca="1">IF($C234="S",IF(OR(Import.TipoArredondamento&lt;&gt;"TransfereGOV",ACOMPANHAMENTO="BM"),VTOTAL1,SUM(OFFSET(CÁLCULO!$AI$15,ROW($X234)-ROW($X$15),1):OFFSET(CÁLCULO!$BB$15,ROW($X234)-ROW($X$15),-1))),IF($C234=0,0,ROUND(SomaAgrup,15-13*$AF$11)))</f>
        <v>8557.66</v>
      </c>
      <c r="Y234" s="126" t="s">
        <v>751</v>
      </c>
      <c r="Z234" t="str">
        <f t="shared" ca="1" si="67"/>
        <v>RA</v>
      </c>
      <c r="AA234" s="127">
        <f ca="1">IF($C234="S",IF($Z234="CP",$X234,IF($Z234="RA",(($X234)*QCI!$AA$3),0)),SomaAgrup)</f>
        <v>0</v>
      </c>
      <c r="AB234" s="128">
        <f t="shared" ca="1" si="68"/>
        <v>0</v>
      </c>
      <c r="AC234" s="565" t="str" cm="1">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IF(AND(_xlfn.SINGLE(TIPOORCAMENTO)="Licitado",$AL234=0,$AN234&gt;0),"SEM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t="str">
        <f ca="1">IF(C234&lt;=CRONO.NivelExibicao,MAX($AD$15:OFFSET(AD234,-1,0))+IF($C234&lt;&gt;1,1,MAX(1,COUNTIF(QCI!$A$13:$A$15,OFFSET($E234,-1,0)))),"")</f>
        <v/>
      </c>
      <c r="AE234" s="7" t="str">
        <f ca="1">IF(AND($C234="S",ORÇAMENTO.CodBarra&lt;&gt;""),IF(ORÇAMENTO.Fonte="",ORÇAMENTO.CodBarra,CONCATENATE(ORÇAMENTO.Fonte," ",ORÇAMENTO.CodBarra)))</f>
        <v>SINAPI 94216</v>
      </c>
      <c r="AF234" s="12">
        <f ca="1">IF(ISERROR(INDIRECT(ORÇAMENTO.BancoRef)),"(abra o arquivo 'Referência "&amp;Excel_BuiltIn_Database&amp;".xlsm)",IF(OR($C234&lt;&gt;"S",ORÇAMENTO.CodBarra=""),"(Sem Código)",IF(ISERROR(MATCH($AE234,INDIRECT(ORÇAMENTO.BancoRef),0)),"(Código não identificado nas referências)",MATCH($AE234,INDIRECT(ORÇAMENTO.BancoRef),0))))</f>
        <v>15045</v>
      </c>
      <c r="AG234" s="428">
        <f ca="1">ROUND(IF(DESONERACAO="sim",REFERENCIA.Desonerado,REFERENCIA.NaoDesonerado),2)</f>
        <v>164.16</v>
      </c>
      <c r="AH234" s="429">
        <f t="shared" ca="1" si="69"/>
        <v>0.23499999999999999</v>
      </c>
      <c r="AJ234" s="431">
        <v>42.21</v>
      </c>
      <c r="AL234" s="439"/>
      <c r="AM234" s="336">
        <f t="shared" ca="1" si="0"/>
        <v>8557.66</v>
      </c>
      <c r="AN234" s="470">
        <f t="shared" ca="1" si="70"/>
        <v>202.74</v>
      </c>
    </row>
    <row r="235" spans="1:40" x14ac:dyDescent="0.2">
      <c r="A235">
        <f t="shared" si="56"/>
        <v>3</v>
      </c>
      <c r="B235">
        <f t="shared" ca="1" si="57"/>
        <v>3</v>
      </c>
      <c r="C235">
        <f t="shared" ca="1" si="58"/>
        <v>3</v>
      </c>
      <c r="D235">
        <f t="shared" ca="1" si="59"/>
        <v>9</v>
      </c>
      <c r="E235">
        <f ca="1">IF($C235=1,OFFSET(E235,-1,0)+MAX(1,COUNTIF(QCI!$A$13:$A$15,OFFSET(ORÇAMENTO!E235,-1,0))),OFFSET(E235,-1,0))</f>
        <v>1</v>
      </c>
      <c r="F235">
        <f t="shared" ca="1" si="60"/>
        <v>6</v>
      </c>
      <c r="G235">
        <f t="shared" ca="1" si="61"/>
        <v>3</v>
      </c>
      <c r="H235">
        <f t="shared" ca="1" si="62"/>
        <v>0</v>
      </c>
      <c r="I235">
        <f t="shared" ca="1" si="63"/>
        <v>0</v>
      </c>
      <c r="J235">
        <f t="shared" ca="1" si="54"/>
        <v>9</v>
      </c>
      <c r="K235">
        <f ca="1">IF(OR($C235="S",$C235=0),0,MATCH(OFFSET($D235,0,$C235)+IF($C235&lt;&gt;1,1,COUNTIF(QCI!$A$13:$A$15,ORÇAMENTO!E235)),OFFSET($D235,1,$C235,ROW($C$508)-ROW($C235)),0))</f>
        <v>67</v>
      </c>
      <c r="L235" s="114" t="str">
        <f t="shared" ca="1" si="64"/>
        <v>F</v>
      </c>
      <c r="M235" s="115" t="s">
        <v>703</v>
      </c>
      <c r="N235" s="116" t="str">
        <f t="shared" ca="1" si="65"/>
        <v>Nível 3</v>
      </c>
      <c r="O235" s="117" t="str">
        <f t="shared" ca="1" si="66"/>
        <v>1.6.3.</v>
      </c>
      <c r="P235" s="118" t="s">
        <v>750</v>
      </c>
      <c r="Q235" s="119"/>
      <c r="R235" s="120" t="s">
        <v>1232</v>
      </c>
      <c r="S235" s="121" t="s">
        <v>688</v>
      </c>
      <c r="T235" s="122">
        <f ca="1">OFFSET(CÁLCULO!H$15,ROW($T235)-ROW(T$15),0)</f>
        <v>0</v>
      </c>
      <c r="U235" s="123"/>
      <c r="V235" s="124" t="s">
        <v>663</v>
      </c>
      <c r="W235" s="122">
        <f ca="1">IF($C235="S",ROUND(IF(TIPOORCAMENTO="Proposto",ORÇAMENTO.CustoUnitario*(1+$AH235),ORÇAMENTO.PrecoUnitarioLicitado),15-13*$AF$10),0)</f>
        <v>0</v>
      </c>
      <c r="X235" s="125" cm="1">
        <f t="array" aca="1" ref="X235" ca="1">IF($C235="S",IF(OR(Import.TipoArredondamento&lt;&gt;"TransfereGOV",ACOMPANHAMENTO="BM"),VTOTAL1,SUM(OFFSET(CÁLCULO!$AI$15,ROW($X235)-ROW($X$15),1):OFFSET(CÁLCULO!$BB$15,ROW($X235)-ROW($X$15),-1))),IF($C235=0,0,ROUND(SomaAgrup,15-13*$AF$11)))</f>
        <v>27216.78</v>
      </c>
      <c r="Y235" s="126" t="s">
        <v>751</v>
      </c>
      <c r="Z235" t="str">
        <f t="shared" ca="1" si="67"/>
        <v/>
      </c>
      <c r="AA235" s="127">
        <f ca="1">IF($C235="S",IF($Z235="CP",$X235,IF($Z235="RA",(($X235)*QCI!$AA$3),0)),SomaAgrup)</f>
        <v>0</v>
      </c>
      <c r="AB235" s="128">
        <f t="shared" ca="1" si="68"/>
        <v>0</v>
      </c>
      <c r="AC235" s="565" t="str" cm="1">
        <f t="array" aca="1" ref="AC235" ca="1">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IF(AND(_xlfn.SINGLE(TIPOORCAMENTO)="Licitado",$AL235=0,$AN235&gt;0),"SEM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D235" t="str">
        <f ca="1">IF(C235&lt;=CRONO.NivelExibicao,MAX($AD$15:OFFSET(AD235,-1,0))+IF($C235&lt;&gt;1,1,MAX(1,COUNTIF(QCI!$A$13:$A$15,OFFSET($E235,-1,0)))),"")</f>
        <v/>
      </c>
      <c r="AE235" s="7" t="b">
        <f ca="1">IF(AND($C235="S",ORÇAMENTO.CodBarra&lt;&gt;""),IF(ORÇAMENTO.Fonte="",ORÇAMENTO.CodBarra,CONCATENATE(ORÇAMENTO.Fonte," ",ORÇAMENTO.CodBarra)))</f>
        <v>0</v>
      </c>
      <c r="AF235" s="12" t="str">
        <f ca="1">IF(ISERROR(INDIRECT(ORÇAMENTO.BancoRef)),"(abra o arquivo 'Referência "&amp;Excel_BuiltIn_Database&amp;".xlsm)",IF(OR($C235&lt;&gt;"S",ORÇAMENTO.CodBarra=""),"(Sem Código)",IF(ISERROR(MATCH($AE235,INDIRECT(ORÇAMENTO.BancoRef),0)),"(Código não identificado nas referências)",MATCH($AE235,INDIRECT(ORÇAMENTO.BancoRef),0))))</f>
        <v>(Sem Código)</v>
      </c>
      <c r="AG235" s="428">
        <f ca="1">ROUND(IF(DESONERACAO="sim",REFERENCIA.Desonerado,REFERENCIA.NaoDesonerado),2)</f>
        <v>0</v>
      </c>
      <c r="AH235" s="429">
        <f t="shared" ca="1" si="69"/>
        <v>0.23499999999999999</v>
      </c>
      <c r="AJ235" s="431"/>
      <c r="AL235" s="439"/>
      <c r="AM235" s="336">
        <f t="shared" ca="1" si="0"/>
        <v>27216.78</v>
      </c>
      <c r="AN235" s="470">
        <f t="shared" ca="1" si="70"/>
        <v>0</v>
      </c>
    </row>
    <row r="236" spans="1:40" ht="51" x14ac:dyDescent="0.2">
      <c r="A236" t="str">
        <f t="shared" si="56"/>
        <v>S</v>
      </c>
      <c r="B236">
        <f t="shared" ca="1" si="57"/>
        <v>3</v>
      </c>
      <c r="C236" t="str">
        <f t="shared" ca="1" si="58"/>
        <v>S</v>
      </c>
      <c r="D236">
        <f t="shared" ca="1" si="59"/>
        <v>0</v>
      </c>
      <c r="E236">
        <f ca="1">IF($C236=1,OFFSET(E236,-1,0)+MAX(1,COUNTIF(QCI!$A$13:$A$15,OFFSET(ORÇAMENTO!E236,-1,0))),OFFSET(E236,-1,0))</f>
        <v>1</v>
      </c>
      <c r="F236">
        <f t="shared" ca="1" si="60"/>
        <v>6</v>
      </c>
      <c r="G236">
        <f t="shared" ca="1" si="61"/>
        <v>3</v>
      </c>
      <c r="H236">
        <f t="shared" ca="1" si="62"/>
        <v>0</v>
      </c>
      <c r="I236">
        <f t="shared" ca="1" si="63"/>
        <v>1</v>
      </c>
      <c r="J236">
        <f t="shared" ca="1" si="54"/>
        <v>0</v>
      </c>
      <c r="K236">
        <f ca="1">IF(OR($C236="S",$C236=0),0,MATCH(OFFSET($D236,0,$C236)+IF($C236&lt;&gt;1,1,COUNTIF(QCI!$A$13:$A$15,ORÇAMENTO!E236)),OFFSET($D236,1,$C236,ROW($C$508)-ROW($C236)),0))</f>
        <v>0</v>
      </c>
      <c r="L236" s="114" t="str">
        <f t="shared" ca="1" si="64"/>
        <v>F</v>
      </c>
      <c r="M236" s="115" t="s">
        <v>705</v>
      </c>
      <c r="N236" s="116" t="str">
        <f t="shared" ca="1" si="65"/>
        <v>Serviço</v>
      </c>
      <c r="O236" s="117" t="str">
        <f t="shared" ca="1" si="66"/>
        <v>1.6.3.0.1.</v>
      </c>
      <c r="P236" s="118" t="s">
        <v>1280</v>
      </c>
      <c r="Q236" s="119" t="s">
        <v>1042</v>
      </c>
      <c r="R236" s="120" t="str">
        <f ca="1">IF($C236="S",REFERENCIA.Descricao,"(digite a descrição aqui)")</f>
        <v>FORNECIMENTO DE ESTRUTURA METÁLICA EM PERFIL LAMINADO, INCLUSIVE FABRICAÇÃO, TRANSPORTE, MONTAGEM E APLICAÇÃO DE FUNDO PREPARADOR ANTICORROSIVO EM SUPERFÍCIE METÁLICA, UMA (1) DEMÃO</v>
      </c>
      <c r="S236" s="121" t="str">
        <f ca="1">REFERENCIA.Unidade</f>
        <v>KG</v>
      </c>
      <c r="T236" s="122">
        <f ca="1">OFFSET(CÁLCULO!H$15,ROW($T236)-ROW(T$15),0)</f>
        <v>517.79999999999995</v>
      </c>
      <c r="U236" s="123">
        <f ca="1">AG236</f>
        <v>25.27</v>
      </c>
      <c r="V236" s="124" t="s">
        <v>663</v>
      </c>
      <c r="W236" s="122">
        <f ca="1">IF($C236="S",ROUND(IF(TIPOORCAMENTO="Proposto",ORÇAMENTO.CustoUnitario*(1+$AH236),ORÇAMENTO.PrecoUnitarioLicitado),15-13*$AF$10),0)</f>
        <v>31.21</v>
      </c>
      <c r="X236" s="125" cm="1">
        <f t="array" aca="1" ref="X236" ca="1">IF($C236="S",IF(OR(Import.TipoArredondamento&lt;&gt;"TransfereGOV",ACOMPANHAMENTO="BM"),VTOTAL1,SUM(OFFSET(CÁLCULO!$AI$15,ROW($X236)-ROW($X$15),1):OFFSET(CÁLCULO!$BB$15,ROW($X236)-ROW($X$15),-1))),IF($C236=0,0,ROUND(SomaAgrup,15-13*$AF$11)))</f>
        <v>16160.54</v>
      </c>
      <c r="Y236" s="126" t="s">
        <v>751</v>
      </c>
      <c r="Z236" t="str">
        <f t="shared" ca="1" si="67"/>
        <v>RA</v>
      </c>
      <c r="AA236" s="127">
        <f ca="1">IF($C236="S",IF($Z236="CP",$X236,IF($Z236="RA",(($X236)*QCI!$AA$3),0)),SomaAgrup)</f>
        <v>0</v>
      </c>
      <c r="AB236" s="128">
        <f t="shared" ca="1" si="68"/>
        <v>0</v>
      </c>
      <c r="AC236" s="565" t="str" cm="1">
        <f t="array" aca="1" ref="AC236" ca="1">IF($N236=""," ",
IF(AND($C236&lt;&gt;"S",OR($R236="",$R236="(digite a descrição aqui)")),"DESCRIÇÃO",
IF(AND($C236="S",OR($Q236&lt;&gt;"",$T236&gt;0,$U236&gt;0),$P236=""),"FONTE",
IF(AND($C236="S",$P236&lt;&gt;"",OR($T236&gt;0,$U236&gt;0),$Q236=""),"CÓDIGO",
IF(AND($C236="S",$P236&lt;&gt;"",$Q236&lt;&gt;"",$R236="(Código não identificado nas referências)"),"CÓDIGO N/ID",
IF(AND($C236="S",OR($R236="",$R236="(digite a descrição aqui)"),OR($Q236&lt;&gt;"",$T236&gt;0,$U236&gt;0)),"DESCRIÇÃO",
IF(AND($C236="S",$P236&lt;&gt;"",$Q236&lt;&gt;"",$S236=""),"UNIDADE",
IF(AND($C236="S",$P236&lt;&gt;"",$Q236&lt;&gt;"",$U236=0),"SEM CUSTO",
IF(AND(_xlfn.SINGLE(TIPOORCAMENTO)="Licitado",$AL236=0,$AN236&gt;0),"SEM PREÇO",
IF(AND($C236="S",$P236&lt;&gt;"",$Q236&lt;&gt;"",$U236&gt;0,AND($V236&lt;&gt;"BDI 1",$V236&lt;&gt;"BDI 2",$V236&lt;&gt;"BDI 3")),IF(ISNUMBER($V236),"JUSTIFICAR BDI","BDI"),
IF(OR(AND(import.recurso="OGU",TIPOORCAMENTO="Proposto",LEFT($O$8,5)&lt;&gt;"(N/D:",$AG236&lt;&gt;"",ORÇAMENTO.CustoUnitario&gt;$AG236),AND(TIPOORCAMENTO="LICITADO",ORÇAMENTO.PrecoUnitarioLicitado&gt;$AN236)),"ACIMA REF.",
IF(AND($C236="S",$P236&lt;&gt;"",$Q236&lt;&gt;"",$T236=0,$U236&gt;0),"QUANT.",
IF(AND(Import.TipoArredondamento="TransfereGOV",$L236="F",$C236="S",LEN($Q236)&gt;13),"Código &gt;13",
IF(AND(Import.TipoArredondamento="TransfereGOV",$L236="F",$C236&lt;&gt;"S",LEN($R236)&gt;100),"Descrição &gt;100",
IF(AND(Import.TipoArredondamento="TransfereGOV",$L236="F",$C236="S",LEN($R236)&gt;500),"Descrição &gt;500",
IF(AND(Import.TipoArredondamento="TransfereGOV",$L236="F",$C236="S",LEFT(TRIM(UPPER($P236)),6)&lt;&gt;"SINAPI",ISNA(VLOOKUP(TRIM(UPPER($S236)),ListaTgov.Unidades,1,FALSE))),"Unid. Não Disp",
" "))))))))))))))))</f>
        <v xml:space="preserve"> </v>
      </c>
      <c r="AD236" t="str">
        <f ca="1">IF(C236&lt;=CRONO.NivelExibicao,MAX($AD$15:OFFSET(AD236,-1,0))+IF($C236&lt;&gt;1,1,MAX(1,COUNTIF(QCI!$A$13:$A$15,OFFSET($E236,-1,0)))),"")</f>
        <v/>
      </c>
      <c r="AE236" s="7" t="str">
        <f ca="1">IF(AND($C236="S",ORÇAMENTO.CodBarra&lt;&gt;""),IF(ORÇAMENTO.Fonte="",ORÇAMENTO.CodBarra,CONCATENATE(ORÇAMENTO.Fonte," ",ORÇAMENTO.CodBarra)))</f>
        <v>SETOP ED-49664</v>
      </c>
      <c r="AF236" s="12">
        <f ca="1">IF(ISERROR(INDIRECT(ORÇAMENTO.BancoRef)),"(abra o arquivo 'Referência "&amp;Excel_BuiltIn_Database&amp;".xlsm)",IF(OR($C236&lt;&gt;"S",ORÇAMENTO.CodBarra=""),"(Sem Código)",IF(ISERROR(MATCH($AE236,INDIRECT(ORÇAMENTO.BancoRef),0)),"(Código não identificado nas referências)",MATCH($AE236,INDIRECT(ORÇAMENTO.BancoRef),0))))</f>
        <v>28148</v>
      </c>
      <c r="AG236" s="428">
        <f ca="1">ROUND(IF(DESONERACAO="sim",REFERENCIA.Desonerado,REFERENCIA.NaoDesonerado),2)</f>
        <v>25.27</v>
      </c>
      <c r="AH236" s="429">
        <f t="shared" ca="1" si="69"/>
        <v>0.23499999999999999</v>
      </c>
      <c r="AJ236" s="431">
        <v>517.79999999999995</v>
      </c>
      <c r="AL236" s="439"/>
      <c r="AM236" s="336">
        <f t="shared" ca="1" si="0"/>
        <v>16160.54</v>
      </c>
      <c r="AN236" s="470">
        <f t="shared" ca="1" si="70"/>
        <v>31.21</v>
      </c>
    </row>
    <row r="237" spans="1:40" ht="25.5" x14ac:dyDescent="0.2">
      <c r="A237" t="str">
        <f t="shared" si="56"/>
        <v>S</v>
      </c>
      <c r="B237">
        <f t="shared" ca="1" si="57"/>
        <v>3</v>
      </c>
      <c r="C237" t="str">
        <f t="shared" ca="1" si="58"/>
        <v>S</v>
      </c>
      <c r="D237">
        <f t="shared" ca="1" si="59"/>
        <v>0</v>
      </c>
      <c r="E237">
        <f ca="1">IF($C237=1,OFFSET(E237,-1,0)+MAX(1,COUNTIF(QCI!$A$13:$A$15,OFFSET(ORÇAMENTO!E237,-1,0))),OFFSET(E237,-1,0))</f>
        <v>1</v>
      </c>
      <c r="F237">
        <f t="shared" ca="1" si="60"/>
        <v>6</v>
      </c>
      <c r="G237">
        <f t="shared" ca="1" si="61"/>
        <v>3</v>
      </c>
      <c r="H237">
        <f t="shared" ca="1" si="62"/>
        <v>0</v>
      </c>
      <c r="I237">
        <f t="shared" ca="1" si="63"/>
        <v>2</v>
      </c>
      <c r="J237">
        <f t="shared" ca="1" si="54"/>
        <v>0</v>
      </c>
      <c r="K237">
        <f ca="1">IF(OR($C237="S",$C237=0),0,MATCH(OFFSET($D237,0,$C237)+IF($C237&lt;&gt;1,1,COUNTIF(QCI!$A$13:$A$15,ORÇAMENTO!E237)),OFFSET($D237,1,$C237,ROW($C$508)-ROW($C237)),0))</f>
        <v>0</v>
      </c>
      <c r="L237" s="114" t="str">
        <f t="shared" ca="1" si="64"/>
        <v>F</v>
      </c>
      <c r="M237" s="115" t="s">
        <v>705</v>
      </c>
      <c r="N237" s="116" t="str">
        <f t="shared" ca="1" si="65"/>
        <v>Serviço</v>
      </c>
      <c r="O237" s="117" t="str">
        <f t="shared" ca="1" si="66"/>
        <v>1.6.3.0.2.</v>
      </c>
      <c r="P237" s="118" t="s">
        <v>1281</v>
      </c>
      <c r="Q237" s="119" t="s">
        <v>1043</v>
      </c>
      <c r="R237" s="120" t="str">
        <f ca="1">IF($C237="S",REFERENCIA.Descricao,"(digite a descrição aqui)")</f>
        <v>PARAFUSO AUTO-BROCANTE 12-14X3.1/2, FORNECIMENTO E INSTALAÇÃO - BASEADO EM ORSE (11035)</v>
      </c>
      <c r="S237" s="121" t="str">
        <f ca="1">REFERENCIA.Unidade</f>
        <v>UN</v>
      </c>
      <c r="T237" s="122">
        <f ca="1">OFFSET(CÁLCULO!H$15,ROW($T237)-ROW(T$15),0)</f>
        <v>132</v>
      </c>
      <c r="U237" s="123">
        <f t="shared" ref="U237:U242" ca="1" si="71">AG237</f>
        <v>1.76</v>
      </c>
      <c r="V237" s="124" t="s">
        <v>663</v>
      </c>
      <c r="W237" s="122">
        <f ca="1">IF($C237="S",ROUND(IF(TIPOORCAMENTO="Proposto",ORÇAMENTO.CustoUnitario*(1+$AH237),ORÇAMENTO.PrecoUnitarioLicitado),15-13*$AF$10),0)</f>
        <v>2.17</v>
      </c>
      <c r="X237" s="125" cm="1">
        <f t="array" aca="1" ref="X237" ca="1">IF($C237="S",IF(OR(Import.TipoArredondamento&lt;&gt;"TransfereGOV",ACOMPANHAMENTO="BM"),VTOTAL1,SUM(OFFSET(CÁLCULO!$AI$15,ROW($X237)-ROW($X$15),1):OFFSET(CÁLCULO!$BB$15,ROW($X237)-ROW($X$15),-1))),IF($C237=0,0,ROUND(SomaAgrup,15-13*$AF$11)))</f>
        <v>286.44</v>
      </c>
      <c r="Y237" s="126" t="s">
        <v>751</v>
      </c>
      <c r="Z237" t="str">
        <f t="shared" ca="1" si="67"/>
        <v>RA</v>
      </c>
      <c r="AA237" s="127">
        <f ca="1">IF($C237="S",IF($Z237="CP",$X237,IF($Z237="RA",(($X237)*QCI!$AA$3),0)),SomaAgrup)</f>
        <v>0</v>
      </c>
      <c r="AB237" s="128">
        <f t="shared" ca="1" si="68"/>
        <v>0</v>
      </c>
      <c r="AC237" s="565" t="str" cm="1">
        <f t="array" aca="1" ref="AC237" ca="1">IF($N237=""," ",
IF(AND($C237&lt;&gt;"S",OR($R237="",$R237="(digite a descrição aqui)")),"DESCRIÇÃO",
IF(AND($C237="S",OR($Q237&lt;&gt;"",$T237&gt;0,$U237&gt;0),$P237=""),"FONTE",
IF(AND($C237="S",$P237&lt;&gt;"",OR($T237&gt;0,$U237&gt;0),$Q237=""),"CÓDIGO",
IF(AND($C237="S",$P237&lt;&gt;"",$Q237&lt;&gt;"",$R237="(Código não identificado nas referências)"),"CÓDIGO N/ID",
IF(AND($C237="S",OR($R237="",$R237="(digite a descrição aqui)"),OR($Q237&lt;&gt;"",$T237&gt;0,$U237&gt;0)),"DESCRIÇÃO",
IF(AND($C237="S",$P237&lt;&gt;"",$Q237&lt;&gt;"",$S237=""),"UNIDADE",
IF(AND($C237="S",$P237&lt;&gt;"",$Q237&lt;&gt;"",$U237=0),"SEM CUSTO",
IF(AND(_xlfn.SINGLE(TIPOORCAMENTO)="Licitado",$AL237=0,$AN237&gt;0),"SEM PREÇO",
IF(AND($C237="S",$P237&lt;&gt;"",$Q237&lt;&gt;"",$U237&gt;0,AND($V237&lt;&gt;"BDI 1",$V237&lt;&gt;"BDI 2",$V237&lt;&gt;"BDI 3")),IF(ISNUMBER($V237),"JUSTIFICAR BDI","BDI"),
IF(OR(AND(import.recurso="OGU",TIPOORCAMENTO="Proposto",LEFT($O$8,5)&lt;&gt;"(N/D:",$AG237&lt;&gt;"",ORÇAMENTO.CustoUnitario&gt;$AG237),AND(TIPOORCAMENTO="LICITADO",ORÇAMENTO.PrecoUnitarioLicitado&gt;$AN237)),"ACIMA REF.",
IF(AND($C237="S",$P237&lt;&gt;"",$Q237&lt;&gt;"",$T237=0,$U237&gt;0),"QUANT.",
IF(AND(Import.TipoArredondamento="TransfereGOV",$L237="F",$C237="S",LEN($Q237)&gt;13),"Código &gt;13",
IF(AND(Import.TipoArredondamento="TransfereGOV",$L237="F",$C237&lt;&gt;"S",LEN($R237)&gt;100),"Descrição &gt;100",
IF(AND(Import.TipoArredondamento="TransfereGOV",$L237="F",$C237="S",LEN($R237)&gt;500),"Descrição &gt;500",
IF(AND(Import.TipoArredondamento="TransfereGOV",$L237="F",$C237="S",LEFT(TRIM(UPPER($P237)),6)&lt;&gt;"SINAPI",ISNA(VLOOKUP(TRIM(UPPER($S237)),ListaTgov.Unidades,1,FALSE))),"Unid. Não Disp",
" "))))))))))))))))</f>
        <v xml:space="preserve"> </v>
      </c>
      <c r="AD237" t="str">
        <f ca="1">IF(C237&lt;=CRONO.NivelExibicao,MAX($AD$15:OFFSET(AD237,-1,0))+IF($C237&lt;&gt;1,1,MAX(1,COUNTIF(QCI!$A$13:$A$15,OFFSET($E237,-1,0)))),"")</f>
        <v/>
      </c>
      <c r="AE237" s="7" t="str">
        <f ca="1">IF(AND($C237="S",ORÇAMENTO.CodBarra&lt;&gt;""),IF(ORÇAMENTO.Fonte="",ORÇAMENTO.CodBarra,CONCATENATE(ORÇAMENTO.Fonte," ",ORÇAMENTO.CodBarra)))</f>
        <v>COMPOSIÇÃO CPU-061</v>
      </c>
      <c r="AF237" s="12">
        <f ca="1">IF(ISERROR(INDIRECT(ORÇAMENTO.BancoRef)),"(abra o arquivo 'Referência "&amp;Excel_BuiltIn_Database&amp;".xlsm)",IF(OR($C237&lt;&gt;"S",ORÇAMENTO.CodBarra=""),"(Sem Código)",IF(ISERROR(MATCH($AE237,INDIRECT(ORÇAMENTO.BancoRef),0)),"(Código não identificado nas referências)",MATCH($AE237,INDIRECT(ORÇAMENTO.BancoRef),0))))</f>
        <v>63</v>
      </c>
      <c r="AG237" s="428">
        <f ca="1">ROUND(IF(DESONERACAO="sim",REFERENCIA.Desonerado,REFERENCIA.NaoDesonerado),2)</f>
        <v>1.76</v>
      </c>
      <c r="AH237" s="429">
        <f t="shared" ca="1" si="69"/>
        <v>0.23499999999999999</v>
      </c>
      <c r="AJ237" s="431">
        <v>132</v>
      </c>
      <c r="AL237" s="439"/>
      <c r="AM237" s="336">
        <f t="shared" ca="1" si="0"/>
        <v>286.44</v>
      </c>
      <c r="AN237" s="470">
        <f t="shared" ca="1" si="70"/>
        <v>2.17</v>
      </c>
    </row>
    <row r="238" spans="1:40" ht="25.5" x14ac:dyDescent="0.2">
      <c r="A238" t="str">
        <f t="shared" si="56"/>
        <v>S</v>
      </c>
      <c r="B238">
        <f t="shared" ca="1" si="57"/>
        <v>3</v>
      </c>
      <c r="C238" t="str">
        <f t="shared" ca="1" si="58"/>
        <v>S</v>
      </c>
      <c r="D238">
        <f t="shared" ca="1" si="59"/>
        <v>0</v>
      </c>
      <c r="E238">
        <f ca="1">IF($C238=1,OFFSET(E238,-1,0)+MAX(1,COUNTIF(QCI!$A$13:$A$15,OFFSET(ORÇAMENTO!E238,-1,0))),OFFSET(E238,-1,0))</f>
        <v>1</v>
      </c>
      <c r="F238">
        <f t="shared" ca="1" si="60"/>
        <v>6</v>
      </c>
      <c r="G238">
        <f t="shared" ca="1" si="61"/>
        <v>3</v>
      </c>
      <c r="H238">
        <f t="shared" ca="1" si="62"/>
        <v>0</v>
      </c>
      <c r="I238">
        <f t="shared" ca="1" si="63"/>
        <v>3</v>
      </c>
      <c r="J238">
        <f t="shared" ca="1" si="54"/>
        <v>0</v>
      </c>
      <c r="K238">
        <f ca="1">IF(OR($C238="S",$C238=0),0,MATCH(OFFSET($D238,0,$C238)+IF($C238&lt;&gt;1,1,COUNTIF(QCI!$A$13:$A$15,ORÇAMENTO!E238)),OFFSET($D238,1,$C238,ROW($C$508)-ROW($C238)),0))</f>
        <v>0</v>
      </c>
      <c r="L238" s="114" t="str">
        <f t="shared" ca="1" si="64"/>
        <v>F</v>
      </c>
      <c r="M238" s="115" t="s">
        <v>705</v>
      </c>
      <c r="N238" s="116" t="str">
        <f t="shared" ca="1" si="65"/>
        <v>Serviço</v>
      </c>
      <c r="O238" s="117" t="str">
        <f t="shared" ca="1" si="66"/>
        <v>1.6.3.0.3.</v>
      </c>
      <c r="P238" s="118" t="s">
        <v>1281</v>
      </c>
      <c r="Q238" s="119" t="s">
        <v>1044</v>
      </c>
      <c r="R238" s="120" t="str">
        <f ca="1">IF($C238="S",REFERENCIA.Descricao,"(digite a descrição aqui)")</f>
        <v>PARAFUSO AUTO-BROCANTE 12-14X3/4, FORNECIMENTO E INSTALAÇÃO - BASEADO EM ORSE (11035)</v>
      </c>
      <c r="S238" s="121" t="str">
        <f ca="1">REFERENCIA.Unidade</f>
        <v>UN</v>
      </c>
      <c r="T238" s="122">
        <f ca="1">OFFSET(CÁLCULO!H$15,ROW($T238)-ROW(T$15),0)</f>
        <v>77</v>
      </c>
      <c r="U238" s="123">
        <f t="shared" ca="1" si="71"/>
        <v>1.03</v>
      </c>
      <c r="V238" s="124" t="s">
        <v>663</v>
      </c>
      <c r="W238" s="122">
        <f ca="1">IF($C238="S",ROUND(IF(TIPOORCAMENTO="Proposto",ORÇAMENTO.CustoUnitario*(1+$AH238),ORÇAMENTO.PrecoUnitarioLicitado),15-13*$AF$10),0)</f>
        <v>1.27</v>
      </c>
      <c r="X238" s="125" cm="1">
        <f t="array" aca="1" ref="X238" ca="1">IF($C238="S",IF(OR(Import.TipoArredondamento&lt;&gt;"TransfereGOV",ACOMPANHAMENTO="BM"),VTOTAL1,SUM(OFFSET(CÁLCULO!$AI$15,ROW($X238)-ROW($X$15),1):OFFSET(CÁLCULO!$BB$15,ROW($X238)-ROW($X$15),-1))),IF($C238=0,0,ROUND(SomaAgrup,15-13*$AF$11)))</f>
        <v>97.79</v>
      </c>
      <c r="Y238" s="126" t="s">
        <v>751</v>
      </c>
      <c r="Z238" t="str">
        <f t="shared" ca="1" si="67"/>
        <v>RA</v>
      </c>
      <c r="AA238" s="127">
        <f ca="1">IF($C238="S",IF($Z238="CP",$X238,IF($Z238="RA",(($X238)*QCI!$AA$3),0)),SomaAgrup)</f>
        <v>0</v>
      </c>
      <c r="AB238" s="128">
        <f t="shared" ca="1" si="68"/>
        <v>0</v>
      </c>
      <c r="AC238" s="565" t="str" cm="1">
        <f t="array" aca="1" ref="AC238" ca="1">IF($N238=""," ",
IF(AND($C238&lt;&gt;"S",OR($R238="",$R238="(digite a descrição aqui)")),"DESCRIÇÃO",
IF(AND($C238="S",OR($Q238&lt;&gt;"",$T238&gt;0,$U238&gt;0),$P238=""),"FONTE",
IF(AND($C238="S",$P238&lt;&gt;"",OR($T238&gt;0,$U238&gt;0),$Q238=""),"CÓDIGO",
IF(AND($C238="S",$P238&lt;&gt;"",$Q238&lt;&gt;"",$R238="(Código não identificado nas referências)"),"CÓDIGO N/ID",
IF(AND($C238="S",OR($R238="",$R238="(digite a descrição aqui)"),OR($Q238&lt;&gt;"",$T238&gt;0,$U238&gt;0)),"DESCRIÇÃO",
IF(AND($C238="S",$P238&lt;&gt;"",$Q238&lt;&gt;"",$S238=""),"UNIDADE",
IF(AND($C238="S",$P238&lt;&gt;"",$Q238&lt;&gt;"",$U238=0),"SEM CUSTO",
IF(AND(_xlfn.SINGLE(TIPOORCAMENTO)="Licitado",$AL238=0,$AN238&gt;0),"SEM PREÇO",
IF(AND($C238="S",$P238&lt;&gt;"",$Q238&lt;&gt;"",$U238&gt;0,AND($V238&lt;&gt;"BDI 1",$V238&lt;&gt;"BDI 2",$V238&lt;&gt;"BDI 3")),IF(ISNUMBER($V238),"JUSTIFICAR BDI","BDI"),
IF(OR(AND(import.recurso="OGU",TIPOORCAMENTO="Proposto",LEFT($O$8,5)&lt;&gt;"(N/D:",$AG238&lt;&gt;"",ORÇAMENTO.CustoUnitario&gt;$AG238),AND(TIPOORCAMENTO="LICITADO",ORÇAMENTO.PrecoUnitarioLicitado&gt;$AN238)),"ACIMA REF.",
IF(AND($C238="S",$P238&lt;&gt;"",$Q238&lt;&gt;"",$T238=0,$U238&gt;0),"QUANT.",
IF(AND(Import.TipoArredondamento="TransfereGOV",$L238="F",$C238="S",LEN($Q238)&gt;13),"Código &gt;13",
IF(AND(Import.TipoArredondamento="TransfereGOV",$L238="F",$C238&lt;&gt;"S",LEN($R238)&gt;100),"Descrição &gt;100",
IF(AND(Import.TipoArredondamento="TransfereGOV",$L238="F",$C238="S",LEN($R238)&gt;500),"Descrição &gt;500",
IF(AND(Import.TipoArredondamento="TransfereGOV",$L238="F",$C238="S",LEFT(TRIM(UPPER($P238)),6)&lt;&gt;"SINAPI",ISNA(VLOOKUP(TRIM(UPPER($S238)),ListaTgov.Unidades,1,FALSE))),"Unid. Não Disp",
" "))))))))))))))))</f>
        <v xml:space="preserve"> </v>
      </c>
      <c r="AD238" t="str">
        <f ca="1">IF(C238&lt;=CRONO.NivelExibicao,MAX($AD$15:OFFSET(AD238,-1,0))+IF($C238&lt;&gt;1,1,MAX(1,COUNTIF(QCI!$A$13:$A$15,OFFSET($E238,-1,0)))),"")</f>
        <v/>
      </c>
      <c r="AE238" s="7" t="str">
        <f ca="1">IF(AND($C238="S",ORÇAMENTO.CodBarra&lt;&gt;""),IF(ORÇAMENTO.Fonte="",ORÇAMENTO.CodBarra,CONCATENATE(ORÇAMENTO.Fonte," ",ORÇAMENTO.CodBarra)))</f>
        <v>COMPOSIÇÃO CPU-003</v>
      </c>
      <c r="AF238" s="12">
        <f ca="1">IF(ISERROR(INDIRECT(ORÇAMENTO.BancoRef)),"(abra o arquivo 'Referência "&amp;Excel_BuiltIn_Database&amp;".xlsm)",IF(OR($C238&lt;&gt;"S",ORÇAMENTO.CodBarra=""),"(Sem Código)",IF(ISERROR(MATCH($AE238,INDIRECT(ORÇAMENTO.BancoRef),0)),"(Código não identificado nas referências)",MATCH($AE238,INDIRECT(ORÇAMENTO.BancoRef),0))))</f>
        <v>6</v>
      </c>
      <c r="AG238" s="428">
        <f ca="1">ROUND(IF(DESONERACAO="sim",REFERENCIA.Desonerado,REFERENCIA.NaoDesonerado),2)</f>
        <v>1.03</v>
      </c>
      <c r="AH238" s="429">
        <f t="shared" ca="1" si="69"/>
        <v>0.23499999999999999</v>
      </c>
      <c r="AJ238" s="431">
        <v>77</v>
      </c>
      <c r="AL238" s="439"/>
      <c r="AM238" s="336">
        <f t="shared" ca="1" si="0"/>
        <v>97.79</v>
      </c>
      <c r="AN238" s="470">
        <f t="shared" ca="1" si="70"/>
        <v>1.27</v>
      </c>
    </row>
    <row r="239" spans="1:40" ht="38.25" x14ac:dyDescent="0.2">
      <c r="A239" t="str">
        <f t="shared" si="56"/>
        <v>S</v>
      </c>
      <c r="B239">
        <f t="shared" ca="1" si="57"/>
        <v>3</v>
      </c>
      <c r="C239" t="str">
        <f t="shared" ca="1" si="58"/>
        <v>S</v>
      </c>
      <c r="D239">
        <f t="shared" ca="1" si="59"/>
        <v>0</v>
      </c>
      <c r="E239">
        <f ca="1">IF($C239=1,OFFSET(E239,-1,0)+MAX(1,COUNTIF(QCI!$A$13:$A$15,OFFSET(ORÇAMENTO!E239,-1,0))),OFFSET(E239,-1,0))</f>
        <v>1</v>
      </c>
      <c r="F239">
        <f t="shared" ca="1" si="60"/>
        <v>6</v>
      </c>
      <c r="G239">
        <f t="shared" ca="1" si="61"/>
        <v>3</v>
      </c>
      <c r="H239">
        <f t="shared" ca="1" si="62"/>
        <v>0</v>
      </c>
      <c r="I239">
        <f t="shared" ca="1" si="63"/>
        <v>4</v>
      </c>
      <c r="J239">
        <f t="shared" ca="1" si="54"/>
        <v>0</v>
      </c>
      <c r="K239">
        <f ca="1">IF(OR($C239="S",$C239=0),0,MATCH(OFFSET($D239,0,$C239)+IF($C239&lt;&gt;1,1,COUNTIF(QCI!$A$13:$A$15,ORÇAMENTO!E239)),OFFSET($D239,1,$C239,ROW($C$508)-ROW($C239)),0))</f>
        <v>0</v>
      </c>
      <c r="L239" s="114" t="str">
        <f t="shared" ca="1" si="64"/>
        <v>F</v>
      </c>
      <c r="M239" s="115" t="s">
        <v>705</v>
      </c>
      <c r="N239" s="116" t="str">
        <f t="shared" ca="1" si="65"/>
        <v>Serviço</v>
      </c>
      <c r="O239" s="117" t="str">
        <f t="shared" ca="1" si="66"/>
        <v>1.6.3.0.4.</v>
      </c>
      <c r="P239" s="118" t="s">
        <v>1281</v>
      </c>
      <c r="Q239" s="119" t="s">
        <v>1046</v>
      </c>
      <c r="R239" s="120" t="str">
        <f ca="1">IF($C239="S",REFERENCIA.Descricao,"(digite a descrição aqui)")</f>
        <v>CHUMBADOR MECÂNICO CB 14200 1/4" X 50MM, COM PORCA E ARRUELA ZINCADOS, FORNECIMENTO E INSTALAÇÃO - BASEADO EM ORSE (9819)</v>
      </c>
      <c r="S239" s="121" t="str">
        <f ca="1">REFERENCIA.Unidade</f>
        <v>UN</v>
      </c>
      <c r="T239" s="122">
        <f ca="1">OFFSET(CÁLCULO!H$15,ROW($T239)-ROW(T$15),0)</f>
        <v>24</v>
      </c>
      <c r="U239" s="123">
        <f t="shared" ca="1" si="71"/>
        <v>2.27</v>
      </c>
      <c r="V239" s="124" t="s">
        <v>663</v>
      </c>
      <c r="W239" s="122">
        <f ca="1">IF($C239="S",ROUND(IF(TIPOORCAMENTO="Proposto",ORÇAMENTO.CustoUnitario*(1+$AH239),ORÇAMENTO.PrecoUnitarioLicitado),15-13*$AF$10),0)</f>
        <v>2.8</v>
      </c>
      <c r="X239" s="125" cm="1">
        <f t="array" aca="1" ref="X239" ca="1">IF($C239="S",IF(OR(Import.TipoArredondamento&lt;&gt;"TransfereGOV",ACOMPANHAMENTO="BM"),VTOTAL1,SUM(OFFSET(CÁLCULO!$AI$15,ROW($X239)-ROW($X$15),1):OFFSET(CÁLCULO!$BB$15,ROW($X239)-ROW($X$15),-1))),IF($C239=0,0,ROUND(SomaAgrup,15-13*$AF$11)))</f>
        <v>67.2</v>
      </c>
      <c r="Y239" s="126" t="s">
        <v>751</v>
      </c>
      <c r="Z239" t="str">
        <f t="shared" ca="1" si="67"/>
        <v>RA</v>
      </c>
      <c r="AA239" s="127">
        <f ca="1">IF($C239="S",IF($Z239="CP",$X239,IF($Z239="RA",(($X239)*QCI!$AA$3),0)),SomaAgrup)</f>
        <v>0</v>
      </c>
      <c r="AB239" s="128">
        <f t="shared" ca="1" si="68"/>
        <v>0</v>
      </c>
      <c r="AC239" s="565" t="str" cm="1">
        <f t="array" aca="1" ref="AC239" ca="1">IF($N239=""," ",
IF(AND($C239&lt;&gt;"S",OR($R239="",$R239="(digite a descrição aqui)")),"DESCRIÇÃO",
IF(AND($C239="S",OR($Q239&lt;&gt;"",$T239&gt;0,$U239&gt;0),$P239=""),"FONTE",
IF(AND($C239="S",$P239&lt;&gt;"",OR($T239&gt;0,$U239&gt;0),$Q239=""),"CÓDIGO",
IF(AND($C239="S",$P239&lt;&gt;"",$Q239&lt;&gt;"",$R239="(Código não identificado nas referências)"),"CÓDIGO N/ID",
IF(AND($C239="S",OR($R239="",$R239="(digite a descrição aqui)"),OR($Q239&lt;&gt;"",$T239&gt;0,$U239&gt;0)),"DESCRIÇÃO",
IF(AND($C239="S",$P239&lt;&gt;"",$Q239&lt;&gt;"",$S239=""),"UNIDADE",
IF(AND($C239="S",$P239&lt;&gt;"",$Q239&lt;&gt;"",$U239=0),"SEM CUSTO",
IF(AND(_xlfn.SINGLE(TIPOORCAMENTO)="Licitado",$AL239=0,$AN239&gt;0),"SEM PREÇO",
IF(AND($C239="S",$P239&lt;&gt;"",$Q239&lt;&gt;"",$U239&gt;0,AND($V239&lt;&gt;"BDI 1",$V239&lt;&gt;"BDI 2",$V239&lt;&gt;"BDI 3")),IF(ISNUMBER($V239),"JUSTIFICAR BDI","BDI"),
IF(OR(AND(import.recurso="OGU",TIPOORCAMENTO="Proposto",LEFT($O$8,5)&lt;&gt;"(N/D:",$AG239&lt;&gt;"",ORÇAMENTO.CustoUnitario&gt;$AG239),AND(TIPOORCAMENTO="LICITADO",ORÇAMENTO.PrecoUnitarioLicitado&gt;$AN239)),"ACIMA REF.",
IF(AND($C239="S",$P239&lt;&gt;"",$Q239&lt;&gt;"",$T239=0,$U239&gt;0),"QUANT.",
IF(AND(Import.TipoArredondamento="TransfereGOV",$L239="F",$C239="S",LEN($Q239)&gt;13),"Código &gt;13",
IF(AND(Import.TipoArredondamento="TransfereGOV",$L239="F",$C239&lt;&gt;"S",LEN($R239)&gt;100),"Descrição &gt;100",
IF(AND(Import.TipoArredondamento="TransfereGOV",$L239="F",$C239="S",LEN($R239)&gt;500),"Descrição &gt;500",
IF(AND(Import.TipoArredondamento="TransfereGOV",$L239="F",$C239="S",LEFT(TRIM(UPPER($P239)),6)&lt;&gt;"SINAPI",ISNA(VLOOKUP(TRIM(UPPER($S239)),ListaTgov.Unidades,1,FALSE))),"Unid. Não Disp",
" "))))))))))))))))</f>
        <v xml:space="preserve"> </v>
      </c>
      <c r="AD239" t="str">
        <f ca="1">IF(C239&lt;=CRONO.NivelExibicao,MAX($AD$15:OFFSET(AD239,-1,0))+IF($C239&lt;&gt;1,1,MAX(1,COUNTIF(QCI!$A$13:$A$15,OFFSET($E239,-1,0)))),"")</f>
        <v/>
      </c>
      <c r="AE239" s="7" t="str">
        <f ca="1">IF(AND($C239="S",ORÇAMENTO.CodBarra&lt;&gt;""),IF(ORÇAMENTO.Fonte="",ORÇAMENTO.CodBarra,CONCATENATE(ORÇAMENTO.Fonte," ",ORÇAMENTO.CodBarra)))</f>
        <v>COMPOSIÇÃO CPU-007</v>
      </c>
      <c r="AF239" s="12">
        <f ca="1">IF(ISERROR(INDIRECT(ORÇAMENTO.BancoRef)),"(abra o arquivo 'Referência "&amp;Excel_BuiltIn_Database&amp;".xlsm)",IF(OR($C239&lt;&gt;"S",ORÇAMENTO.CodBarra=""),"(Sem Código)",IF(ISERROR(MATCH($AE239,INDIRECT(ORÇAMENTO.BancoRef),0)),"(Código não identificado nas referências)",MATCH($AE239,INDIRECT(ORÇAMENTO.BancoRef),0))))</f>
        <v>9</v>
      </c>
      <c r="AG239" s="428">
        <f ca="1">ROUND(IF(DESONERACAO="sim",REFERENCIA.Desonerado,REFERENCIA.NaoDesonerado),2)</f>
        <v>2.27</v>
      </c>
      <c r="AH239" s="429">
        <f t="shared" ca="1" si="69"/>
        <v>0.23499999999999999</v>
      </c>
      <c r="AJ239" s="431">
        <v>24</v>
      </c>
      <c r="AL239" s="439"/>
      <c r="AM239" s="336">
        <f t="shared" ca="1" si="0"/>
        <v>67.2</v>
      </c>
      <c r="AN239" s="470">
        <f t="shared" ca="1" si="70"/>
        <v>2.8</v>
      </c>
    </row>
    <row r="240" spans="1:40" ht="25.5" x14ac:dyDescent="0.2">
      <c r="A240" t="str">
        <f t="shared" si="56"/>
        <v>S</v>
      </c>
      <c r="B240">
        <f t="shared" ca="1" si="57"/>
        <v>3</v>
      </c>
      <c r="C240" t="str">
        <f t="shared" ca="1" si="58"/>
        <v>S</v>
      </c>
      <c r="D240">
        <f t="shared" ca="1" si="59"/>
        <v>0</v>
      </c>
      <c r="E240">
        <f ca="1">IF($C240=1,OFFSET(E240,-1,0)+MAX(1,COUNTIF(QCI!$A$13:$A$15,OFFSET(ORÇAMENTO!E240,-1,0))),OFFSET(E240,-1,0))</f>
        <v>1</v>
      </c>
      <c r="F240">
        <f t="shared" ca="1" si="60"/>
        <v>6</v>
      </c>
      <c r="G240">
        <f t="shared" ca="1" si="61"/>
        <v>3</v>
      </c>
      <c r="H240">
        <f t="shared" ca="1" si="62"/>
        <v>0</v>
      </c>
      <c r="I240">
        <f t="shared" ca="1" si="63"/>
        <v>5</v>
      </c>
      <c r="J240">
        <f t="shared" ca="1" si="54"/>
        <v>0</v>
      </c>
      <c r="K240">
        <f ca="1">IF(OR($C240="S",$C240=0),0,MATCH(OFFSET($D240,0,$C240)+IF($C240&lt;&gt;1,1,COUNTIF(QCI!$A$13:$A$15,ORÇAMENTO!E240)),OFFSET($D240,1,$C240,ROW($C$508)-ROW($C240)),0))</f>
        <v>0</v>
      </c>
      <c r="L240" s="114" t="str">
        <f t="shared" ca="1" si="64"/>
        <v>F</v>
      </c>
      <c r="M240" s="115" t="s">
        <v>705</v>
      </c>
      <c r="N240" s="116" t="str">
        <f t="shared" ca="1" si="65"/>
        <v>Serviço</v>
      </c>
      <c r="O240" s="117" t="str">
        <f t="shared" ca="1" si="66"/>
        <v>1.6.3.0.5.</v>
      </c>
      <c r="P240" s="118" t="s">
        <v>1281</v>
      </c>
      <c r="Q240" s="119" t="s">
        <v>1053</v>
      </c>
      <c r="R240" s="120" t="str">
        <f ca="1">IF($C240="S",REFERENCIA.Descricao,"(digite a descrição aqui)")</f>
        <v>CONJUNTO PARAFUSO, PORCA E ARRUELA 3/8 - C = 1.1/4" - BASEADO EM AGESUL (1201008354)</v>
      </c>
      <c r="S240" s="121" t="str">
        <f ca="1">REFERENCIA.Unidade</f>
        <v>CJ</v>
      </c>
      <c r="T240" s="122">
        <f ca="1">OFFSET(CÁLCULO!H$15,ROW($T240)-ROW(T$15),0)</f>
        <v>48</v>
      </c>
      <c r="U240" s="123">
        <f ca="1">AG240</f>
        <v>6.99</v>
      </c>
      <c r="V240" s="124" t="s">
        <v>663</v>
      </c>
      <c r="W240" s="122">
        <f ca="1">IF($C240="S",ROUND(IF(TIPOORCAMENTO="Proposto",ORÇAMENTO.CustoUnitario*(1+$AH240),ORÇAMENTO.PrecoUnitarioLicitado),15-13*$AF$10),0)</f>
        <v>8.6300000000000008</v>
      </c>
      <c r="X240" s="125" cm="1">
        <f t="array" aca="1" ref="X240" ca="1">IF($C240="S",IF(OR(Import.TipoArredondamento&lt;&gt;"TransfereGOV",ACOMPANHAMENTO="BM"),VTOTAL1,SUM(OFFSET(CÁLCULO!$AI$15,ROW($X240)-ROW($X$15),1):OFFSET(CÁLCULO!$BB$15,ROW($X240)-ROW($X$15),-1))),IF($C240=0,0,ROUND(SomaAgrup,15-13*$AF$11)))</f>
        <v>414.24</v>
      </c>
      <c r="Y240" s="126" t="s">
        <v>751</v>
      </c>
      <c r="Z240" t="str">
        <f t="shared" ca="1" si="67"/>
        <v>RA</v>
      </c>
      <c r="AA240" s="127">
        <f ca="1">IF($C240="S",IF($Z240="CP",$X240,IF($Z240="RA",(($X240)*QCI!$AA$3),0)),SomaAgrup)</f>
        <v>0</v>
      </c>
      <c r="AB240" s="128">
        <f t="shared" ca="1" si="68"/>
        <v>0</v>
      </c>
      <c r="AC240" s="565" t="str" cm="1">
        <f t="array" aca="1" ref="AC240" ca="1">IF($N240=""," ",
IF(AND($C240&lt;&gt;"S",OR($R240="",$R240="(digite a descrição aqui)")),"DESCRIÇÃO",
IF(AND($C240="S",OR($Q240&lt;&gt;"",$T240&gt;0,$U240&gt;0),$P240=""),"FONTE",
IF(AND($C240="S",$P240&lt;&gt;"",OR($T240&gt;0,$U240&gt;0),$Q240=""),"CÓDIGO",
IF(AND($C240="S",$P240&lt;&gt;"",$Q240&lt;&gt;"",$R240="(Código não identificado nas referências)"),"CÓDIGO N/ID",
IF(AND($C240="S",OR($R240="",$R240="(digite a descrição aqui)"),OR($Q240&lt;&gt;"",$T240&gt;0,$U240&gt;0)),"DESCRIÇÃO",
IF(AND($C240="S",$P240&lt;&gt;"",$Q240&lt;&gt;"",$S240=""),"UNIDADE",
IF(AND($C240="S",$P240&lt;&gt;"",$Q240&lt;&gt;"",$U240=0),"SEM CUSTO",
IF(AND(_xlfn.SINGLE(TIPOORCAMENTO)="Licitado",$AL240=0,$AN240&gt;0),"SEM PREÇO",
IF(AND($C240="S",$P240&lt;&gt;"",$Q240&lt;&gt;"",$U240&gt;0,AND($V240&lt;&gt;"BDI 1",$V240&lt;&gt;"BDI 2",$V240&lt;&gt;"BDI 3")),IF(ISNUMBER($V240),"JUSTIFICAR BDI","BDI"),
IF(OR(AND(import.recurso="OGU",TIPOORCAMENTO="Proposto",LEFT($O$8,5)&lt;&gt;"(N/D:",$AG240&lt;&gt;"",ORÇAMENTO.CustoUnitario&gt;$AG240),AND(TIPOORCAMENTO="LICITADO",ORÇAMENTO.PrecoUnitarioLicitado&gt;$AN240)),"ACIMA REF.",
IF(AND($C240="S",$P240&lt;&gt;"",$Q240&lt;&gt;"",$T240=0,$U240&gt;0),"QUANT.",
IF(AND(Import.TipoArredondamento="TransfereGOV",$L240="F",$C240="S",LEN($Q240)&gt;13),"Código &gt;13",
IF(AND(Import.TipoArredondamento="TransfereGOV",$L240="F",$C240&lt;&gt;"S",LEN($R240)&gt;100),"Descrição &gt;100",
IF(AND(Import.TipoArredondamento="TransfereGOV",$L240="F",$C240="S",LEN($R240)&gt;500),"Descrição &gt;500",
IF(AND(Import.TipoArredondamento="TransfereGOV",$L240="F",$C240="S",LEFT(TRIM(UPPER($P240)),6)&lt;&gt;"SINAPI",ISNA(VLOOKUP(TRIM(UPPER($S240)),ListaTgov.Unidades,1,FALSE))),"Unid. Não Disp",
" "))))))))))))))))</f>
        <v xml:space="preserve"> </v>
      </c>
      <c r="AD240" t="str">
        <f ca="1">IF(C240&lt;=CRONO.NivelExibicao,MAX($AD$15:OFFSET(AD240,-1,0))+IF($C240&lt;&gt;1,1,MAX(1,COUNTIF(QCI!$A$13:$A$15,OFFSET($E240,-1,0)))),"")</f>
        <v/>
      </c>
      <c r="AE240" s="7" t="str">
        <f ca="1">IF(AND($C240="S",ORÇAMENTO.CodBarra&lt;&gt;""),IF(ORÇAMENTO.Fonte="",ORÇAMENTO.CodBarra,CONCATENATE(ORÇAMENTO.Fonte," ",ORÇAMENTO.CodBarra)))</f>
        <v>COMPOSIÇÃO CPU-062</v>
      </c>
      <c r="AF240" s="12">
        <f ca="1">IF(ISERROR(INDIRECT(ORÇAMENTO.BancoRef)),"(abra o arquivo 'Referência "&amp;Excel_BuiltIn_Database&amp;".xlsm)",IF(OR($C240&lt;&gt;"S",ORÇAMENTO.CodBarra=""),"(Sem Código)",IF(ISERROR(MATCH($AE240,INDIRECT(ORÇAMENTO.BancoRef),0)),"(Código não identificado nas referências)",MATCH($AE240,INDIRECT(ORÇAMENTO.BancoRef),0))))</f>
        <v>64</v>
      </c>
      <c r="AG240" s="428">
        <f ca="1">ROUND(IF(DESONERACAO="sim",REFERENCIA.Desonerado,REFERENCIA.NaoDesonerado),2)</f>
        <v>6.99</v>
      </c>
      <c r="AH240" s="429">
        <f t="shared" ca="1" si="69"/>
        <v>0.23499999999999999</v>
      </c>
      <c r="AJ240" s="431">
        <v>48</v>
      </c>
      <c r="AL240" s="439"/>
      <c r="AM240" s="336">
        <f t="shared" ca="1" si="0"/>
        <v>414.24</v>
      </c>
      <c r="AN240" s="470">
        <f t="shared" ca="1" si="70"/>
        <v>8.6300000000000008</v>
      </c>
    </row>
    <row r="241" spans="1:40" ht="25.5" x14ac:dyDescent="0.2">
      <c r="A241" t="str">
        <f t="shared" si="56"/>
        <v>S</v>
      </c>
      <c r="B241">
        <f t="shared" ca="1" si="57"/>
        <v>3</v>
      </c>
      <c r="C241" t="str">
        <f t="shared" ca="1" si="58"/>
        <v>S</v>
      </c>
      <c r="D241">
        <f t="shared" ca="1" si="59"/>
        <v>0</v>
      </c>
      <c r="E241">
        <f ca="1">IF($C241=1,OFFSET(E241,-1,0)+MAX(1,COUNTIF(QCI!$A$13:$A$15,OFFSET(ORÇAMENTO!E241,-1,0))),OFFSET(E241,-1,0))</f>
        <v>1</v>
      </c>
      <c r="F241">
        <f t="shared" ca="1" si="60"/>
        <v>6</v>
      </c>
      <c r="G241">
        <f t="shared" ca="1" si="61"/>
        <v>3</v>
      </c>
      <c r="H241">
        <f t="shared" ca="1" si="62"/>
        <v>0</v>
      </c>
      <c r="I241">
        <f t="shared" ca="1" si="63"/>
        <v>6</v>
      </c>
      <c r="J241">
        <f t="shared" ca="1" si="54"/>
        <v>0</v>
      </c>
      <c r="K241">
        <f ca="1">IF(OR($C241="S",$C241=0),0,MATCH(OFFSET($D241,0,$C241)+IF($C241&lt;&gt;1,1,COUNTIF(QCI!$A$13:$A$15,ORÇAMENTO!E241)),OFFSET($D241,1,$C241,ROW($C$508)-ROW($C241)),0))</f>
        <v>0</v>
      </c>
      <c r="L241" s="114" t="str">
        <f t="shared" ca="1" si="64"/>
        <v>F</v>
      </c>
      <c r="M241" s="115" t="s">
        <v>705</v>
      </c>
      <c r="N241" s="116" t="str">
        <f t="shared" ca="1" si="65"/>
        <v>Serviço</v>
      </c>
      <c r="O241" s="117" t="str">
        <f t="shared" ca="1" si="66"/>
        <v>1.6.3.0.6.</v>
      </c>
      <c r="P241" s="118" t="s">
        <v>1281</v>
      </c>
      <c r="Q241" s="119" t="s">
        <v>1054</v>
      </c>
      <c r="R241" s="120" t="str">
        <f ca="1">IF($C241="S",REFERENCIA.Descricao,"(digite a descrição aqui)")</f>
        <v>CONJUNTO PORCA E ARRUELA 3/8 - BASEADO EM AGESUL (1201008354)</v>
      </c>
      <c r="S241" s="121" t="str">
        <f ca="1">REFERENCIA.Unidade</f>
        <v>CJ</v>
      </c>
      <c r="T241" s="122">
        <f ca="1">OFFSET(CÁLCULO!H$15,ROW($T241)-ROW(T$15),0)</f>
        <v>192</v>
      </c>
      <c r="U241" s="123">
        <f ca="1">AG241</f>
        <v>6.17</v>
      </c>
      <c r="V241" s="124" t="s">
        <v>663</v>
      </c>
      <c r="W241" s="122">
        <f ca="1">IF($C241="S",ROUND(IF(TIPOORCAMENTO="Proposto",ORÇAMENTO.CustoUnitario*(1+$AH241),ORÇAMENTO.PrecoUnitarioLicitado),15-13*$AF$10),0)</f>
        <v>7.62</v>
      </c>
      <c r="X241" s="125" cm="1">
        <f t="array" aca="1" ref="X241" ca="1">IF($C241="S",IF(OR(Import.TipoArredondamento&lt;&gt;"TransfereGOV",ACOMPANHAMENTO="BM"),VTOTAL1,SUM(OFFSET(CÁLCULO!$AI$15,ROW($X241)-ROW($X$15),1):OFFSET(CÁLCULO!$BB$15,ROW($X241)-ROW($X$15),-1))),IF($C241=0,0,ROUND(SomaAgrup,15-13*$AF$11)))</f>
        <v>1463.04</v>
      </c>
      <c r="Y241" s="126" t="s">
        <v>751</v>
      </c>
      <c r="Z241" t="str">
        <f t="shared" ca="1" si="67"/>
        <v>RA</v>
      </c>
      <c r="AA241" s="127">
        <f ca="1">IF($C241="S",IF($Z241="CP",$X241,IF($Z241="RA",(($X241)*QCI!$AA$3),0)),SomaAgrup)</f>
        <v>0</v>
      </c>
      <c r="AB241" s="128">
        <f t="shared" ca="1" si="68"/>
        <v>0</v>
      </c>
      <c r="AC241" s="565" t="str" cm="1">
        <f t="array" aca="1" ref="AC241" ca="1">IF($N241=""," ",
IF(AND($C241&lt;&gt;"S",OR($R241="",$R241="(digite a descrição aqui)")),"DESCRIÇÃO",
IF(AND($C241="S",OR($Q241&lt;&gt;"",$T241&gt;0,$U241&gt;0),$P241=""),"FONTE",
IF(AND($C241="S",$P241&lt;&gt;"",OR($T241&gt;0,$U241&gt;0),$Q241=""),"CÓDIGO",
IF(AND($C241="S",$P241&lt;&gt;"",$Q241&lt;&gt;"",$R241="(Código não identificado nas referências)"),"CÓDIGO N/ID",
IF(AND($C241="S",OR($R241="",$R241="(digite a descrição aqui)"),OR($Q241&lt;&gt;"",$T241&gt;0,$U241&gt;0)),"DESCRIÇÃO",
IF(AND($C241="S",$P241&lt;&gt;"",$Q241&lt;&gt;"",$S241=""),"UNIDADE",
IF(AND($C241="S",$P241&lt;&gt;"",$Q241&lt;&gt;"",$U241=0),"SEM CUSTO",
IF(AND(_xlfn.SINGLE(TIPOORCAMENTO)="Licitado",$AL241=0,$AN241&gt;0),"SEM PREÇO",
IF(AND($C241="S",$P241&lt;&gt;"",$Q241&lt;&gt;"",$U241&gt;0,AND($V241&lt;&gt;"BDI 1",$V241&lt;&gt;"BDI 2",$V241&lt;&gt;"BDI 3")),IF(ISNUMBER($V241),"JUSTIFICAR BDI","BDI"),
IF(OR(AND(import.recurso="OGU",TIPOORCAMENTO="Proposto",LEFT($O$8,5)&lt;&gt;"(N/D:",$AG241&lt;&gt;"",ORÇAMENTO.CustoUnitario&gt;$AG241),AND(TIPOORCAMENTO="LICITADO",ORÇAMENTO.PrecoUnitarioLicitado&gt;$AN241)),"ACIMA REF.",
IF(AND($C241="S",$P241&lt;&gt;"",$Q241&lt;&gt;"",$T241=0,$U241&gt;0),"QUANT.",
IF(AND(Import.TipoArredondamento="TransfereGOV",$L241="F",$C241="S",LEN($Q241)&gt;13),"Código &gt;13",
IF(AND(Import.TipoArredondamento="TransfereGOV",$L241="F",$C241&lt;&gt;"S",LEN($R241)&gt;100),"Descrição &gt;100",
IF(AND(Import.TipoArredondamento="TransfereGOV",$L241="F",$C241="S",LEN($R241)&gt;500),"Descrição &gt;500",
IF(AND(Import.TipoArredondamento="TransfereGOV",$L241="F",$C241="S",LEFT(TRIM(UPPER($P241)),6)&lt;&gt;"SINAPI",ISNA(VLOOKUP(TRIM(UPPER($S241)),ListaTgov.Unidades,1,FALSE))),"Unid. Não Disp",
" "))))))))))))))))</f>
        <v xml:space="preserve"> </v>
      </c>
      <c r="AD241" t="str">
        <f ca="1">IF(C241&lt;=CRONO.NivelExibicao,MAX($AD$15:OFFSET(AD241,-1,0))+IF($C241&lt;&gt;1,1,MAX(1,COUNTIF(QCI!$A$13:$A$15,OFFSET($E241,-1,0)))),"")</f>
        <v/>
      </c>
      <c r="AE241" s="7" t="str">
        <f ca="1">IF(AND($C241="S",ORÇAMENTO.CodBarra&lt;&gt;""),IF(ORÇAMENTO.Fonte="",ORÇAMENTO.CodBarra,CONCATENATE(ORÇAMENTO.Fonte," ",ORÇAMENTO.CodBarra)))</f>
        <v>COMPOSIÇÃO CPU-063</v>
      </c>
      <c r="AF241" s="12">
        <f ca="1">IF(ISERROR(INDIRECT(ORÇAMENTO.BancoRef)),"(abra o arquivo 'Referência "&amp;Excel_BuiltIn_Database&amp;".xlsm)",IF(OR($C241&lt;&gt;"S",ORÇAMENTO.CodBarra=""),"(Sem Código)",IF(ISERROR(MATCH($AE241,INDIRECT(ORÇAMENTO.BancoRef),0)),"(Código não identificado nas referências)",MATCH($AE241,INDIRECT(ORÇAMENTO.BancoRef),0))))</f>
        <v>65</v>
      </c>
      <c r="AG241" s="428">
        <f ca="1">ROUND(IF(DESONERACAO="sim",REFERENCIA.Desonerado,REFERENCIA.NaoDesonerado),2)</f>
        <v>6.17</v>
      </c>
      <c r="AH241" s="429">
        <f t="shared" ca="1" si="69"/>
        <v>0.23499999999999999</v>
      </c>
      <c r="AJ241" s="431">
        <v>192</v>
      </c>
      <c r="AL241" s="439"/>
      <c r="AM241" s="336">
        <f t="shared" ca="1" si="0"/>
        <v>1463.04</v>
      </c>
      <c r="AN241" s="470">
        <f t="shared" ca="1" si="70"/>
        <v>7.62</v>
      </c>
    </row>
    <row r="242" spans="1:40" ht="38.25" x14ac:dyDescent="0.2">
      <c r="A242" t="str">
        <f t="shared" si="56"/>
        <v>S</v>
      </c>
      <c r="B242">
        <f t="shared" ca="1" si="57"/>
        <v>3</v>
      </c>
      <c r="C242" t="str">
        <f t="shared" ca="1" si="58"/>
        <v>S</v>
      </c>
      <c r="D242">
        <f t="shared" ca="1" si="59"/>
        <v>0</v>
      </c>
      <c r="E242">
        <f ca="1">IF($C242=1,OFFSET(E242,-1,0)+MAX(1,COUNTIF(QCI!$A$13:$A$15,OFFSET(ORÇAMENTO!E242,-1,0))),OFFSET(E242,-1,0))</f>
        <v>1</v>
      </c>
      <c r="F242">
        <f t="shared" ca="1" si="60"/>
        <v>6</v>
      </c>
      <c r="G242">
        <f t="shared" ca="1" si="61"/>
        <v>3</v>
      </c>
      <c r="H242">
        <f t="shared" ca="1" si="62"/>
        <v>0</v>
      </c>
      <c r="I242">
        <f t="shared" ca="1" si="63"/>
        <v>7</v>
      </c>
      <c r="J242">
        <f t="shared" ca="1" si="54"/>
        <v>0</v>
      </c>
      <c r="K242">
        <f ca="1">IF(OR($C242="S",$C242=0),0,MATCH(OFFSET($D242,0,$C242)+IF($C242&lt;&gt;1,1,COUNTIF(QCI!$A$13:$A$15,ORÇAMENTO!E242)),OFFSET($D242,1,$C242,ROW($C$508)-ROW($C242)),0))</f>
        <v>0</v>
      </c>
      <c r="L242" s="114" t="str">
        <f t="shared" ca="1" si="64"/>
        <v>F</v>
      </c>
      <c r="M242" s="115" t="s">
        <v>705</v>
      </c>
      <c r="N242" s="116" t="str">
        <f t="shared" ca="1" si="65"/>
        <v>Serviço</v>
      </c>
      <c r="O242" s="117" t="str">
        <f t="shared" ca="1" si="66"/>
        <v>1.6.3.0.7.</v>
      </c>
      <c r="P242" s="118" t="s">
        <v>1280</v>
      </c>
      <c r="Q242" s="119" t="s">
        <v>1047</v>
      </c>
      <c r="R242" s="120" t="str">
        <f ca="1">IF($C242="S",REFERENCIA.Descricao,"(digite a descrição aqui)")</f>
        <v>PINTURA ESMALTE BASE SOLVENTE EM ESTRUTURA METÁLICA, DUAS (2) DEMÃOS, COM APLICAÇÃO MANUAL, INCLUSIVE UMA (1) DEMÃO FUNDO GALVANIZADO</v>
      </c>
      <c r="S242" s="121" t="str">
        <f ca="1">REFERENCIA.Unidade</f>
        <v>M2</v>
      </c>
      <c r="T242" s="122">
        <f ca="1">OFFSET(CÁLCULO!H$15,ROW($T242)-ROW(T$15),0)</f>
        <v>36.64</v>
      </c>
      <c r="U242" s="123">
        <f t="shared" ca="1" si="71"/>
        <v>35.880000000000003</v>
      </c>
      <c r="V242" s="124" t="s">
        <v>663</v>
      </c>
      <c r="W242" s="122">
        <f ca="1">IF($C242="S",ROUND(IF(TIPOORCAMENTO="Proposto",ORÇAMENTO.CustoUnitario*(1+$AH242),ORÇAMENTO.PrecoUnitarioLicitado),15-13*$AF$10),0)</f>
        <v>44.31</v>
      </c>
      <c r="X242" s="125" cm="1">
        <f t="array" aca="1" ref="X242" ca="1">IF($C242="S",IF(OR(Import.TipoArredondamento&lt;&gt;"TransfereGOV",ACOMPANHAMENTO="BM"),VTOTAL1,SUM(OFFSET(CÁLCULO!$AI$15,ROW($X242)-ROW($X$15),1):OFFSET(CÁLCULO!$BB$15,ROW($X242)-ROW($X$15),-1))),IF($C242=0,0,ROUND(SomaAgrup,15-13*$AF$11)))</f>
        <v>1623.52</v>
      </c>
      <c r="Y242" s="126" t="s">
        <v>751</v>
      </c>
      <c r="Z242" t="str">
        <f t="shared" ca="1" si="67"/>
        <v>RA</v>
      </c>
      <c r="AA242" s="127">
        <f ca="1">IF($C242="S",IF($Z242="CP",$X242,IF($Z242="RA",(($X242)*QCI!$AA$3),0)),SomaAgrup)</f>
        <v>0</v>
      </c>
      <c r="AB242" s="128">
        <f t="shared" ca="1" si="68"/>
        <v>0</v>
      </c>
      <c r="AC242" s="565" t="str" cm="1">
        <f t="array" aca="1" ref="AC242" ca="1">IF($N242=""," ",
IF(AND($C242&lt;&gt;"S",OR($R242="",$R242="(digite a descrição aqui)")),"DESCRIÇÃO",
IF(AND($C242="S",OR($Q242&lt;&gt;"",$T242&gt;0,$U242&gt;0),$P242=""),"FONTE",
IF(AND($C242="S",$P242&lt;&gt;"",OR($T242&gt;0,$U242&gt;0),$Q242=""),"CÓDIGO",
IF(AND($C242="S",$P242&lt;&gt;"",$Q242&lt;&gt;"",$R242="(Código não identificado nas referências)"),"CÓDIGO N/ID",
IF(AND($C242="S",OR($R242="",$R242="(digite a descrição aqui)"),OR($Q242&lt;&gt;"",$T242&gt;0,$U242&gt;0)),"DESCRIÇÃO",
IF(AND($C242="S",$P242&lt;&gt;"",$Q242&lt;&gt;"",$S242=""),"UNIDADE",
IF(AND($C242="S",$P242&lt;&gt;"",$Q242&lt;&gt;"",$U242=0),"SEM CUSTO",
IF(AND(_xlfn.SINGLE(TIPOORCAMENTO)="Licitado",$AL242=0,$AN242&gt;0),"SEM PREÇO",
IF(AND($C242="S",$P242&lt;&gt;"",$Q242&lt;&gt;"",$U242&gt;0,AND($V242&lt;&gt;"BDI 1",$V242&lt;&gt;"BDI 2",$V242&lt;&gt;"BDI 3")),IF(ISNUMBER($V242),"JUSTIFICAR BDI","BDI"),
IF(OR(AND(import.recurso="OGU",TIPOORCAMENTO="Proposto",LEFT($O$8,5)&lt;&gt;"(N/D:",$AG242&lt;&gt;"",ORÇAMENTO.CustoUnitario&gt;$AG242),AND(TIPOORCAMENTO="LICITADO",ORÇAMENTO.PrecoUnitarioLicitado&gt;$AN242)),"ACIMA REF.",
IF(AND($C242="S",$P242&lt;&gt;"",$Q242&lt;&gt;"",$T242=0,$U242&gt;0),"QUANT.",
IF(AND(Import.TipoArredondamento="TransfereGOV",$L242="F",$C242="S",LEN($Q242)&gt;13),"Código &gt;13",
IF(AND(Import.TipoArredondamento="TransfereGOV",$L242="F",$C242&lt;&gt;"S",LEN($R242)&gt;100),"Descrição &gt;100",
IF(AND(Import.TipoArredondamento="TransfereGOV",$L242="F",$C242="S",LEN($R242)&gt;500),"Descrição &gt;500",
IF(AND(Import.TipoArredondamento="TransfereGOV",$L242="F",$C242="S",LEFT(TRIM(UPPER($P242)),6)&lt;&gt;"SINAPI",ISNA(VLOOKUP(TRIM(UPPER($S242)),ListaTgov.Unidades,1,FALSE))),"Unid. Não Disp",
" "))))))))))))))))</f>
        <v xml:space="preserve"> </v>
      </c>
      <c r="AD242" t="str">
        <f ca="1">IF(C242&lt;=CRONO.NivelExibicao,MAX($AD$15:OFFSET(AD242,-1,0))+IF($C242&lt;&gt;1,1,MAX(1,COUNTIF(QCI!$A$13:$A$15,OFFSET($E242,-1,0)))),"")</f>
        <v/>
      </c>
      <c r="AE242" s="7" t="str">
        <f ca="1">IF(AND($C242="S",ORÇAMENTO.CodBarra&lt;&gt;""),IF(ORÇAMENTO.Fonte="",ORÇAMENTO.CodBarra,CONCATENATE(ORÇAMENTO.Fonte," ",ORÇAMENTO.CodBarra)))</f>
        <v>SETOP ED-50497</v>
      </c>
      <c r="AF242" s="12">
        <f ca="1">IF(ISERROR(INDIRECT(ORÇAMENTO.BancoRef)),"(abra o arquivo 'Referência "&amp;Excel_BuiltIn_Database&amp;".xlsm)",IF(OR($C242&lt;&gt;"S",ORÇAMENTO.CodBarra=""),"(Sem Código)",IF(ISERROR(MATCH($AE242,INDIRECT(ORÇAMENTO.BancoRef),0)),"(Código não identificado nas referências)",MATCH($AE242,INDIRECT(ORÇAMENTO.BancoRef),0))))</f>
        <v>28718</v>
      </c>
      <c r="AG242" s="428">
        <f ca="1">ROUND(IF(DESONERACAO="sim",REFERENCIA.Desonerado,REFERENCIA.NaoDesonerado),2)</f>
        <v>35.880000000000003</v>
      </c>
      <c r="AH242" s="429">
        <f t="shared" ca="1" si="69"/>
        <v>0.23499999999999999</v>
      </c>
      <c r="AJ242" s="431">
        <v>36.64</v>
      </c>
      <c r="AL242" s="439"/>
      <c r="AM242" s="336">
        <f t="shared" ca="1" si="0"/>
        <v>1623.52</v>
      </c>
      <c r="AN242" s="470">
        <f t="shared" ca="1" si="70"/>
        <v>44.31</v>
      </c>
    </row>
    <row r="243" spans="1:40" ht="25.5" x14ac:dyDescent="0.2">
      <c r="A243" t="str">
        <f t="shared" si="56"/>
        <v>S</v>
      </c>
      <c r="B243">
        <f t="shared" ca="1" si="57"/>
        <v>3</v>
      </c>
      <c r="C243" t="str">
        <f t="shared" ca="1" si="58"/>
        <v>S</v>
      </c>
      <c r="D243">
        <f t="shared" ca="1" si="59"/>
        <v>0</v>
      </c>
      <c r="E243">
        <f ca="1">IF($C243=1,OFFSET(E243,-1,0)+MAX(1,COUNTIF(QCI!$A$13:$A$15,OFFSET(ORÇAMENTO!E243,-1,0))),OFFSET(E243,-1,0))</f>
        <v>1</v>
      </c>
      <c r="F243">
        <f t="shared" ca="1" si="60"/>
        <v>6</v>
      </c>
      <c r="G243">
        <f t="shared" ca="1" si="61"/>
        <v>3</v>
      </c>
      <c r="H243">
        <f t="shared" ca="1" si="62"/>
        <v>0</v>
      </c>
      <c r="I243">
        <f t="shared" ca="1" si="63"/>
        <v>8</v>
      </c>
      <c r="J243">
        <f t="shared" ca="1" si="54"/>
        <v>0</v>
      </c>
      <c r="K243">
        <f ca="1">IF(OR($C243="S",$C243=0),0,MATCH(OFFSET($D243,0,$C243)+IF($C243&lt;&gt;1,1,COUNTIF(QCI!$A$13:$A$15,ORÇAMENTO!E243)),OFFSET($D243,1,$C243,ROW($C$508)-ROW($C243)),0))</f>
        <v>0</v>
      </c>
      <c r="L243" s="114" t="str">
        <f t="shared" ca="1" si="64"/>
        <v>F</v>
      </c>
      <c r="M243" s="115" t="s">
        <v>705</v>
      </c>
      <c r="N243" s="116" t="str">
        <f t="shared" ca="1" si="65"/>
        <v>Serviço</v>
      </c>
      <c r="O243" s="117" t="str">
        <f t="shared" ca="1" si="66"/>
        <v>1.6.3.0.8.</v>
      </c>
      <c r="P243" s="118" t="s">
        <v>750</v>
      </c>
      <c r="Q243" s="119" t="s">
        <v>1048</v>
      </c>
      <c r="R243" s="120" t="str">
        <f ca="1">IF($C243="S",REFERENCIA.Descricao,"(digite a descrição aqui)")</f>
        <v>TELHAMENTO COM TELHA METÁLICA TERMOACÚSTICA E = 30 MM, COM ATÉ 2 ÁGUAS, INCLUSO IÇAMENTO. AF_07/2019</v>
      </c>
      <c r="S243" s="121" t="str">
        <f ca="1">REFERENCIA.Unidade</f>
        <v>M2</v>
      </c>
      <c r="T243" s="122">
        <f ca="1">OFFSET(CÁLCULO!H$15,ROW($T243)-ROW(T$15),0)</f>
        <v>35.04</v>
      </c>
      <c r="U243" s="123">
        <f ca="1">AG243</f>
        <v>164.16</v>
      </c>
      <c r="V243" s="124" t="s">
        <v>663</v>
      </c>
      <c r="W243" s="122">
        <f ca="1">IF($C243="S",ROUND(IF(TIPOORCAMENTO="Proposto",ORÇAMENTO.CustoUnitario*(1+$AH243),ORÇAMENTO.PrecoUnitarioLicitado),15-13*$AF$10),0)</f>
        <v>202.74</v>
      </c>
      <c r="X243" s="125" cm="1">
        <f t="array" aca="1" ref="X243" ca="1">IF($C243="S",IF(OR(Import.TipoArredondamento&lt;&gt;"TransfereGOV",ACOMPANHAMENTO="BM"),VTOTAL1,SUM(OFFSET(CÁLCULO!$AI$15,ROW($X243)-ROW($X$15),1):OFFSET(CÁLCULO!$BB$15,ROW($X243)-ROW($X$15),-1))),IF($C243=0,0,ROUND(SomaAgrup,15-13*$AF$11)))</f>
        <v>7104.01</v>
      </c>
      <c r="Y243" s="126" t="s">
        <v>751</v>
      </c>
      <c r="Z243" t="str">
        <f t="shared" ca="1" si="67"/>
        <v>RA</v>
      </c>
      <c r="AA243" s="127">
        <f ca="1">IF($C243="S",IF($Z243="CP",$X243,IF($Z243="RA",(($X243)*QCI!$AA$3),0)),SomaAgrup)</f>
        <v>0</v>
      </c>
      <c r="AB243" s="128">
        <f t="shared" ca="1" si="68"/>
        <v>0</v>
      </c>
      <c r="AC243" s="565" t="str" cm="1">
        <f t="array" aca="1" ref="AC243" ca="1">IF($N243=""," ",
IF(AND($C243&lt;&gt;"S",OR($R243="",$R243="(digite a descrição aqui)")),"DESCRIÇÃO",
IF(AND($C243="S",OR($Q243&lt;&gt;"",$T243&gt;0,$U243&gt;0),$P243=""),"FONTE",
IF(AND($C243="S",$P243&lt;&gt;"",OR($T243&gt;0,$U243&gt;0),$Q243=""),"CÓDIGO",
IF(AND($C243="S",$P243&lt;&gt;"",$Q243&lt;&gt;"",$R243="(Código não identificado nas referências)"),"CÓDIGO N/ID",
IF(AND($C243="S",OR($R243="",$R243="(digite a descrição aqui)"),OR($Q243&lt;&gt;"",$T243&gt;0,$U243&gt;0)),"DESCRIÇÃO",
IF(AND($C243="S",$P243&lt;&gt;"",$Q243&lt;&gt;"",$S243=""),"UNIDADE",
IF(AND($C243="S",$P243&lt;&gt;"",$Q243&lt;&gt;"",$U243=0),"SEM CUSTO",
IF(AND(_xlfn.SINGLE(TIPOORCAMENTO)="Licitado",$AL243=0,$AN243&gt;0),"SEM PREÇO",
IF(AND($C243="S",$P243&lt;&gt;"",$Q243&lt;&gt;"",$U243&gt;0,AND($V243&lt;&gt;"BDI 1",$V243&lt;&gt;"BDI 2",$V243&lt;&gt;"BDI 3")),IF(ISNUMBER($V243),"JUSTIFICAR BDI","BDI"),
IF(OR(AND(import.recurso="OGU",TIPOORCAMENTO="Proposto",LEFT($O$8,5)&lt;&gt;"(N/D:",$AG243&lt;&gt;"",ORÇAMENTO.CustoUnitario&gt;$AG243),AND(TIPOORCAMENTO="LICITADO",ORÇAMENTO.PrecoUnitarioLicitado&gt;$AN243)),"ACIMA REF.",
IF(AND($C243="S",$P243&lt;&gt;"",$Q243&lt;&gt;"",$T243=0,$U243&gt;0),"QUANT.",
IF(AND(Import.TipoArredondamento="TransfereGOV",$L243="F",$C243="S",LEN($Q243)&gt;13),"Código &gt;13",
IF(AND(Import.TipoArredondamento="TransfereGOV",$L243="F",$C243&lt;&gt;"S",LEN($R243)&gt;100),"Descrição &gt;100",
IF(AND(Import.TipoArredondamento="TransfereGOV",$L243="F",$C243="S",LEN($R243)&gt;500),"Descrição &gt;500",
IF(AND(Import.TipoArredondamento="TransfereGOV",$L243="F",$C243="S",LEFT(TRIM(UPPER($P243)),6)&lt;&gt;"SINAPI",ISNA(VLOOKUP(TRIM(UPPER($S243)),ListaTgov.Unidades,1,FALSE))),"Unid. Não Disp",
" "))))))))))))))))</f>
        <v xml:space="preserve"> </v>
      </c>
      <c r="AD243" t="str">
        <f ca="1">IF(C243&lt;=CRONO.NivelExibicao,MAX($AD$15:OFFSET(AD243,-1,0))+IF($C243&lt;&gt;1,1,MAX(1,COUNTIF(QCI!$A$13:$A$15,OFFSET($E243,-1,0)))),"")</f>
        <v/>
      </c>
      <c r="AE243" s="7" t="str">
        <f ca="1">IF(AND($C243="S",ORÇAMENTO.CodBarra&lt;&gt;""),IF(ORÇAMENTO.Fonte="",ORÇAMENTO.CodBarra,CONCATENATE(ORÇAMENTO.Fonte," ",ORÇAMENTO.CodBarra)))</f>
        <v>SINAPI 94216</v>
      </c>
      <c r="AF243" s="12">
        <f ca="1">IF(ISERROR(INDIRECT(ORÇAMENTO.BancoRef)),"(abra o arquivo 'Referência "&amp;Excel_BuiltIn_Database&amp;".xlsm)",IF(OR($C243&lt;&gt;"S",ORÇAMENTO.CodBarra=""),"(Sem Código)",IF(ISERROR(MATCH($AE243,INDIRECT(ORÇAMENTO.BancoRef),0)),"(Código não identificado nas referências)",MATCH($AE243,INDIRECT(ORÇAMENTO.BancoRef),0))))</f>
        <v>15045</v>
      </c>
      <c r="AG243" s="428">
        <f ca="1">ROUND(IF(DESONERACAO="sim",REFERENCIA.Desonerado,REFERENCIA.NaoDesonerado),2)</f>
        <v>164.16</v>
      </c>
      <c r="AH243" s="429">
        <f t="shared" ca="1" si="69"/>
        <v>0.23499999999999999</v>
      </c>
      <c r="AJ243" s="431">
        <v>35.04</v>
      </c>
      <c r="AL243" s="439"/>
      <c r="AM243" s="336">
        <f t="shared" ca="1" si="0"/>
        <v>7104.01</v>
      </c>
      <c r="AN243" s="470">
        <f t="shared" ca="1" si="70"/>
        <v>202.74</v>
      </c>
    </row>
    <row r="244" spans="1:40" x14ac:dyDescent="0.2">
      <c r="A244">
        <f t="shared" si="56"/>
        <v>2</v>
      </c>
      <c r="B244">
        <f t="shared" ca="1" si="57"/>
        <v>2</v>
      </c>
      <c r="C244">
        <f t="shared" ca="1" si="58"/>
        <v>2</v>
      </c>
      <c r="D244">
        <f t="shared" ca="1" si="59"/>
        <v>116</v>
      </c>
      <c r="E244">
        <f ca="1">IF($C244=1,OFFSET(E244,-1,0)+MAX(1,COUNTIF(QCI!$A$13:$A$15,OFFSET(ORÇAMENTO!E244,-1,0))),OFFSET(E244,-1,0))</f>
        <v>1</v>
      </c>
      <c r="F244">
        <f t="shared" ca="1" si="60"/>
        <v>7</v>
      </c>
      <c r="G244">
        <f t="shared" ca="1" si="61"/>
        <v>0</v>
      </c>
      <c r="H244">
        <f t="shared" ca="1" si="62"/>
        <v>0</v>
      </c>
      <c r="I244">
        <f t="shared" ca="1" si="63"/>
        <v>0</v>
      </c>
      <c r="J244">
        <f t="shared" ca="1" si="54"/>
        <v>264</v>
      </c>
      <c r="K244">
        <f ca="1">IF(OR($C244="S",$C244=0),0,MATCH(OFFSET($D244,0,$C244)+IF($C244&lt;&gt;1,1,COUNTIF(QCI!$A$13:$A$15,ORÇAMENTO!E244)),OFFSET($D244,1,$C244,ROW($C$508)-ROW($C244)),0))</f>
        <v>116</v>
      </c>
      <c r="L244" s="114" t="str">
        <f t="shared" ca="1" si="64"/>
        <v>F</v>
      </c>
      <c r="M244" s="115" t="s">
        <v>702</v>
      </c>
      <c r="N244" s="116" t="str">
        <f t="shared" ca="1" si="65"/>
        <v>Nível 2</v>
      </c>
      <c r="O244" s="117" t="str">
        <f t="shared" ca="1" si="66"/>
        <v>1.7.</v>
      </c>
      <c r="P244" s="118" t="s">
        <v>750</v>
      </c>
      <c r="Q244" s="119"/>
      <c r="R244" s="120" t="s">
        <v>1236</v>
      </c>
      <c r="S244" s="121" t="s">
        <v>688</v>
      </c>
      <c r="T244" s="122">
        <f ca="1">OFFSET(CÁLCULO!H$15,ROW($T244)-ROW(T$15),0)</f>
        <v>0</v>
      </c>
      <c r="U244" s="123">
        <f t="shared" ca="1" si="21"/>
        <v>0</v>
      </c>
      <c r="V244" s="124" t="s">
        <v>663</v>
      </c>
      <c r="W244" s="122">
        <f ca="1">IF($C244="S",ROUND(IF(TIPOORCAMENTO="Proposto",ORÇAMENTO.CustoUnitario*(1+$AH244),ORÇAMENTO.PrecoUnitarioLicitado),15-13*$AF$10),0)</f>
        <v>0</v>
      </c>
      <c r="X244" s="125" cm="1">
        <f t="array" aca="1" ref="X244" ca="1">IF($C244="S",IF(OR(Import.TipoArredondamento&lt;&gt;"TransfereGOV",ACOMPANHAMENTO="BM"),VTOTAL1,SUM(OFFSET(CÁLCULO!$AI$15,ROW($X244)-ROW($X$15),1):OFFSET(CÁLCULO!$BB$15,ROW($X244)-ROW($X$15),-1))),IF($C244=0,0,ROUND(SomaAgrup,15-13*$AF$11)))</f>
        <v>3820032.18</v>
      </c>
      <c r="Y244" s="126" t="s">
        <v>751</v>
      </c>
      <c r="Z244" t="str">
        <f t="shared" ca="1" si="67"/>
        <v/>
      </c>
      <c r="AA244" s="127">
        <f ca="1">IF($C244="S",IF($Z244="CP",$X244,IF($Z244="RA",(($X244)*QCI!$AA$3),0)),SomaAgrup)</f>
        <v>0</v>
      </c>
      <c r="AB244" s="128">
        <f t="shared" ca="1" si="68"/>
        <v>0</v>
      </c>
      <c r="AC244" s="565" t="str" cm="1">
        <f t="array" aca="1" ref="AC244" ca="1">IF($N244=""," ",
IF(AND($C244&lt;&gt;"S",OR($R244="",$R244="(digite a descrição aqui)")),"DESCRIÇÃO",
IF(AND($C244="S",OR($Q244&lt;&gt;"",$T244&gt;0,$U244&gt;0),$P244=""),"FONTE",
IF(AND($C244="S",$P244&lt;&gt;"",OR($T244&gt;0,$U244&gt;0),$Q244=""),"CÓDIGO",
IF(AND($C244="S",$P244&lt;&gt;"",$Q244&lt;&gt;"",$R244="(Código não identificado nas referências)"),"CÓDIGO N/ID",
IF(AND($C244="S",OR($R244="",$R244="(digite a descrição aqui)"),OR($Q244&lt;&gt;"",$T244&gt;0,$U244&gt;0)),"DESCRIÇÃO",
IF(AND($C244="S",$P244&lt;&gt;"",$Q244&lt;&gt;"",$S244=""),"UNIDADE",
IF(AND($C244="S",$P244&lt;&gt;"",$Q244&lt;&gt;"",$U244=0),"SEM CUSTO",
IF(AND(_xlfn.SINGLE(TIPOORCAMENTO)="Licitado",$AL244=0,$AN244&gt;0),"SEM PREÇO",
IF(AND($C244="S",$P244&lt;&gt;"",$Q244&lt;&gt;"",$U244&gt;0,AND($V244&lt;&gt;"BDI 1",$V244&lt;&gt;"BDI 2",$V244&lt;&gt;"BDI 3")),IF(ISNUMBER($V244),"JUSTIFICAR BDI","BDI"),
IF(OR(AND(import.recurso="OGU",TIPOORCAMENTO="Proposto",LEFT($O$8,5)&lt;&gt;"(N/D:",$AG244&lt;&gt;"",ORÇAMENTO.CustoUnitario&gt;$AG244),AND(TIPOORCAMENTO="LICITADO",ORÇAMENTO.PrecoUnitarioLicitado&gt;$AN244)),"ACIMA REF.",
IF(AND($C244="S",$P244&lt;&gt;"",$Q244&lt;&gt;"",$T244=0,$U244&gt;0),"QUANT.",
IF(AND(Import.TipoArredondamento="TransfereGOV",$L244="F",$C244="S",LEN($Q244)&gt;13),"Código &gt;13",
IF(AND(Import.TipoArredondamento="TransfereGOV",$L244="F",$C244&lt;&gt;"S",LEN($R244)&gt;100),"Descrição &gt;100",
IF(AND(Import.TipoArredondamento="TransfereGOV",$L244="F",$C244="S",LEN($R244)&gt;500),"Descrição &gt;500",
IF(AND(Import.TipoArredondamento="TransfereGOV",$L244="F",$C244="S",LEFT(TRIM(UPPER($P244)),6)&lt;&gt;"SINAPI",ISNA(VLOOKUP(TRIM(UPPER($S244)),ListaTgov.Unidades,1,FALSE))),"Unid. Não Disp",
" "))))))))))))))))</f>
        <v xml:space="preserve"> </v>
      </c>
      <c r="AD244">
        <f ca="1">IF(C244&lt;=CRONO.NivelExibicao,MAX($AD$15:OFFSET(AD244,-1,0))+IF($C244&lt;&gt;1,1,MAX(1,COUNTIF(QCI!$A$13:$A$15,OFFSET($E244,-1,0)))),"")</f>
        <v>8</v>
      </c>
      <c r="AE244" s="7" t="b">
        <f ca="1">IF(AND($C244="S",ORÇAMENTO.CodBarra&lt;&gt;""),IF(ORÇAMENTO.Fonte="",ORÇAMENTO.CodBarra,CONCATENATE(ORÇAMENTO.Fonte," ",ORÇAMENTO.CodBarra)))</f>
        <v>0</v>
      </c>
      <c r="AF244" s="12" t="str">
        <f ca="1">IF(ISERROR(INDIRECT(ORÇAMENTO.BancoRef)),"(abra o arquivo 'Referência "&amp;Excel_BuiltIn_Database&amp;".xlsm)",IF(OR($C244&lt;&gt;"S",ORÇAMENTO.CodBarra=""),"(Sem Código)",IF(ISERROR(MATCH($AE244,INDIRECT(ORÇAMENTO.BancoRef),0)),"(Código não identificado nas referências)",MATCH($AE244,INDIRECT(ORÇAMENTO.BancoRef),0))))</f>
        <v>(Sem Código)</v>
      </c>
      <c r="AG244" s="428">
        <f ca="1">ROUND(IF(DESONERACAO="sim",REFERENCIA.Desonerado,REFERENCIA.NaoDesonerado),2)</f>
        <v>0</v>
      </c>
      <c r="AH244" s="429">
        <f t="shared" ca="1" si="69"/>
        <v>0.23499999999999999</v>
      </c>
      <c r="AJ244" s="431"/>
      <c r="AL244" s="439"/>
      <c r="AM244" s="336">
        <f t="shared" ca="1" si="0"/>
        <v>3820032.18</v>
      </c>
      <c r="AN244" s="470">
        <f t="shared" ca="1" si="70"/>
        <v>0</v>
      </c>
    </row>
    <row r="245" spans="1:40" x14ac:dyDescent="0.2">
      <c r="A245">
        <f t="shared" si="56"/>
        <v>3</v>
      </c>
      <c r="B245">
        <f t="shared" ca="1" si="57"/>
        <v>3</v>
      </c>
      <c r="C245">
        <f t="shared" ca="1" si="58"/>
        <v>3</v>
      </c>
      <c r="D245">
        <f t="shared" ca="1" si="59"/>
        <v>18</v>
      </c>
      <c r="E245">
        <f ca="1">IF($C245=1,OFFSET(E245,-1,0)+MAX(1,COUNTIF(QCI!$A$13:$A$15,OFFSET(ORÇAMENTO!E245,-1,0))),OFFSET(E245,-1,0))</f>
        <v>1</v>
      </c>
      <c r="F245">
        <f t="shared" ca="1" si="60"/>
        <v>7</v>
      </c>
      <c r="G245">
        <f t="shared" ca="1" si="61"/>
        <v>1</v>
      </c>
      <c r="H245">
        <f t="shared" ca="1" si="62"/>
        <v>0</v>
      </c>
      <c r="I245">
        <f t="shared" ca="1" si="63"/>
        <v>0</v>
      </c>
      <c r="J245">
        <f t="shared" ca="1" si="54"/>
        <v>115</v>
      </c>
      <c r="K245">
        <f ca="1">IF(OR($C245="S",$C245=0),0,MATCH(OFFSET($D245,0,$C245)+IF($C245&lt;&gt;1,1,COUNTIF(QCI!$A$13:$A$15,ORÇAMENTO!E245)),OFFSET($D245,1,$C245,ROW($C$508)-ROW($C245)),0))</f>
        <v>18</v>
      </c>
      <c r="L245" s="114" t="str">
        <f t="shared" ca="1" si="64"/>
        <v>F</v>
      </c>
      <c r="M245" s="115" t="s">
        <v>703</v>
      </c>
      <c r="N245" s="116" t="str">
        <f t="shared" ca="1" si="65"/>
        <v>Nível 3</v>
      </c>
      <c r="O245" s="117" t="str">
        <f t="shared" ca="1" si="66"/>
        <v>1.7.1.</v>
      </c>
      <c r="P245" s="118" t="s">
        <v>750</v>
      </c>
      <c r="Q245" s="119"/>
      <c r="R245" s="120" t="s">
        <v>1217</v>
      </c>
      <c r="S245" s="121" t="s">
        <v>688</v>
      </c>
      <c r="T245" s="122">
        <f ca="1">OFFSET(CÁLCULO!H$15,ROW($T245)-ROW(T$15),0)</f>
        <v>0</v>
      </c>
      <c r="U245" s="123">
        <f t="shared" ca="1" si="21"/>
        <v>0</v>
      </c>
      <c r="V245" s="124" t="s">
        <v>663</v>
      </c>
      <c r="W245" s="122">
        <f ca="1">IF($C245="S",ROUND(IF(TIPOORCAMENTO="Proposto",ORÇAMENTO.CustoUnitario*(1+$AH245),ORÇAMENTO.PrecoUnitarioLicitado),15-13*$AF$10),0)</f>
        <v>0</v>
      </c>
      <c r="X245" s="125" cm="1">
        <f t="array" aca="1" ref="X245" ca="1">IF($C245="S",IF(OR(Import.TipoArredondamento&lt;&gt;"TransfereGOV",ACOMPANHAMENTO="BM"),VTOTAL1,SUM(OFFSET(CÁLCULO!$AI$15,ROW($X245)-ROW($X$15),1):OFFSET(CÁLCULO!$BB$15,ROW($X245)-ROW($X$15),-1))),IF($C245=0,0,ROUND(SomaAgrup,15-13*$AF$11)))</f>
        <v>822972.16</v>
      </c>
      <c r="Y245" s="126" t="s">
        <v>751</v>
      </c>
      <c r="Z245" t="str">
        <f t="shared" ca="1" si="67"/>
        <v/>
      </c>
      <c r="AA245" s="127">
        <f ca="1">IF($C245="S",IF($Z245="CP",$X245,IF($Z245="RA",(($X245)*QCI!$AA$3),0)),SomaAgrup)</f>
        <v>0</v>
      </c>
      <c r="AB245" s="128">
        <f t="shared" ca="1" si="68"/>
        <v>0</v>
      </c>
      <c r="AC245" s="565" t="str" cm="1">
        <f t="array" aca="1" ref="AC245" ca="1">IF($N245=""," ",
IF(AND($C245&lt;&gt;"S",OR($R245="",$R245="(digite a descrição aqui)")),"DESCRIÇÃO",
IF(AND($C245="S",OR($Q245&lt;&gt;"",$T245&gt;0,$U245&gt;0),$P245=""),"FONTE",
IF(AND($C245="S",$P245&lt;&gt;"",OR($T245&gt;0,$U245&gt;0),$Q245=""),"CÓDIGO",
IF(AND($C245="S",$P245&lt;&gt;"",$Q245&lt;&gt;"",$R245="(Código não identificado nas referências)"),"CÓDIGO N/ID",
IF(AND($C245="S",OR($R245="",$R245="(digite a descrição aqui)"),OR($Q245&lt;&gt;"",$T245&gt;0,$U245&gt;0)),"DESCRIÇÃO",
IF(AND($C245="S",$P245&lt;&gt;"",$Q245&lt;&gt;"",$S245=""),"UNIDADE",
IF(AND($C245="S",$P245&lt;&gt;"",$Q245&lt;&gt;"",$U245=0),"SEM CUSTO",
IF(AND(_xlfn.SINGLE(TIPOORCAMENTO)="Licitado",$AL245=0,$AN245&gt;0),"SEM PREÇO",
IF(AND($C245="S",$P245&lt;&gt;"",$Q245&lt;&gt;"",$U245&gt;0,AND($V245&lt;&gt;"BDI 1",$V245&lt;&gt;"BDI 2",$V245&lt;&gt;"BDI 3")),IF(ISNUMBER($V245),"JUSTIFICAR BDI","BDI"),
IF(OR(AND(import.recurso="OGU",TIPOORCAMENTO="Proposto",LEFT($O$8,5)&lt;&gt;"(N/D:",$AG245&lt;&gt;"",ORÇAMENTO.CustoUnitario&gt;$AG245),AND(TIPOORCAMENTO="LICITADO",ORÇAMENTO.PrecoUnitarioLicitado&gt;$AN245)),"ACIMA REF.",
IF(AND($C245="S",$P245&lt;&gt;"",$Q245&lt;&gt;"",$T245=0,$U245&gt;0),"QUANT.",
IF(AND(Import.TipoArredondamento="TransfereGOV",$L245="F",$C245="S",LEN($Q245)&gt;13),"Código &gt;13",
IF(AND(Import.TipoArredondamento="TransfereGOV",$L245="F",$C245&lt;&gt;"S",LEN($R245)&gt;100),"Descrição &gt;100",
IF(AND(Import.TipoArredondamento="TransfereGOV",$L245="F",$C245="S",LEN($R245)&gt;500),"Descrição &gt;500",
IF(AND(Import.TipoArredondamento="TransfereGOV",$L245="F",$C245="S",LEFT(TRIM(UPPER($P245)),6)&lt;&gt;"SINAPI",ISNA(VLOOKUP(TRIM(UPPER($S245)),ListaTgov.Unidades,1,FALSE))),"Unid. Não Disp",
" "))))))))))))))))</f>
        <v xml:space="preserve"> </v>
      </c>
      <c r="AD245" t="str">
        <f ca="1">IF(C245&lt;=CRONO.NivelExibicao,MAX($AD$15:OFFSET(AD245,-1,0))+IF($C245&lt;&gt;1,1,MAX(1,COUNTIF(QCI!$A$13:$A$15,OFFSET($E245,-1,0)))),"")</f>
        <v/>
      </c>
      <c r="AE245" s="7" t="b">
        <f ca="1">IF(AND($C245="S",ORÇAMENTO.CodBarra&lt;&gt;""),IF(ORÇAMENTO.Fonte="",ORÇAMENTO.CodBarra,CONCATENATE(ORÇAMENTO.Fonte," ",ORÇAMENTO.CodBarra)))</f>
        <v>0</v>
      </c>
      <c r="AF245" s="12" t="str">
        <f ca="1">IF(ISERROR(INDIRECT(ORÇAMENTO.BancoRef)),"(abra o arquivo 'Referência "&amp;Excel_BuiltIn_Database&amp;".xlsm)",IF(OR($C245&lt;&gt;"S",ORÇAMENTO.CodBarra=""),"(Sem Código)",IF(ISERROR(MATCH($AE245,INDIRECT(ORÇAMENTO.BancoRef),0)),"(Código não identificado nas referências)",MATCH($AE245,INDIRECT(ORÇAMENTO.BancoRef),0))))</f>
        <v>(Sem Código)</v>
      </c>
      <c r="AG245" s="428">
        <f ca="1">ROUND(IF(DESONERACAO="sim",REFERENCIA.Desonerado,REFERENCIA.NaoDesonerado),2)</f>
        <v>0</v>
      </c>
      <c r="AH245" s="429">
        <f t="shared" ca="1" si="69"/>
        <v>0.23499999999999999</v>
      </c>
      <c r="AJ245" s="431"/>
      <c r="AL245" s="439"/>
      <c r="AM245" s="336">
        <f t="shared" ca="1" si="0"/>
        <v>822972.16</v>
      </c>
      <c r="AN245" s="470">
        <f t="shared" ca="1" si="70"/>
        <v>0</v>
      </c>
    </row>
    <row r="246" spans="1:40" x14ac:dyDescent="0.2">
      <c r="A246">
        <f t="shared" si="56"/>
        <v>4</v>
      </c>
      <c r="B246">
        <f t="shared" ca="1" si="57"/>
        <v>4</v>
      </c>
      <c r="C246">
        <f t="shared" ca="1" si="58"/>
        <v>4</v>
      </c>
      <c r="D246">
        <f t="shared" ca="1" si="59"/>
        <v>13</v>
      </c>
      <c r="E246">
        <f ca="1">IF($C246=1,OFFSET(E246,-1,0)+MAX(1,COUNTIF(QCI!$A$13:$A$15,OFFSET(ORÇAMENTO!E246,-1,0))),OFFSET(E246,-1,0))</f>
        <v>1</v>
      </c>
      <c r="F246">
        <f t="shared" ca="1" si="60"/>
        <v>7</v>
      </c>
      <c r="G246">
        <f t="shared" ca="1" si="61"/>
        <v>1</v>
      </c>
      <c r="H246">
        <f t="shared" ca="1" si="62"/>
        <v>1</v>
      </c>
      <c r="I246">
        <f t="shared" ca="1" si="63"/>
        <v>0</v>
      </c>
      <c r="J246">
        <f t="shared" ca="1" si="54"/>
        <v>17</v>
      </c>
      <c r="K246">
        <f ca="1">IF(OR($C246="S",$C246=0),0,MATCH(OFFSET($D246,0,$C246)+IF($C246&lt;&gt;1,1,COUNTIF(QCI!$A$13:$A$15,ORÇAMENTO!E246)),OFFSET($D246,1,$C246,ROW($C$508)-ROW($C246)),0))</f>
        <v>13</v>
      </c>
      <c r="L246" s="114" t="str">
        <f t="shared" ca="1" si="64"/>
        <v>F</v>
      </c>
      <c r="M246" s="115" t="s">
        <v>704</v>
      </c>
      <c r="N246" s="116" t="str">
        <f t="shared" ca="1" si="65"/>
        <v>Nível 4</v>
      </c>
      <c r="O246" s="117" t="str">
        <f t="shared" ca="1" si="66"/>
        <v>1.7.1.1.</v>
      </c>
      <c r="P246" s="118" t="s">
        <v>750</v>
      </c>
      <c r="Q246" s="119"/>
      <c r="R246" s="120" t="s">
        <v>1237</v>
      </c>
      <c r="S246" s="121" t="s">
        <v>688</v>
      </c>
      <c r="T246" s="122">
        <f ca="1">OFFSET(CÁLCULO!H$15,ROW($T246)-ROW(T$15),0)</f>
        <v>0</v>
      </c>
      <c r="U246" s="123"/>
      <c r="V246" s="124" t="s">
        <v>663</v>
      </c>
      <c r="W246" s="122">
        <f ca="1">IF($C246="S",ROUND(IF(TIPOORCAMENTO="Proposto",ORÇAMENTO.CustoUnitario*(1+$AH246),ORÇAMENTO.PrecoUnitarioLicitado),15-13*$AF$10),0)</f>
        <v>0</v>
      </c>
      <c r="X246" s="125" cm="1">
        <f t="array" aca="1" ref="X246" ca="1">IF($C246="S",IF(OR(Import.TipoArredondamento&lt;&gt;"TransfereGOV",ACOMPANHAMENTO="BM"),VTOTAL1,SUM(OFFSET(CÁLCULO!$AI$15,ROW($X246)-ROW($X$15),1):OFFSET(CÁLCULO!$BB$15,ROW($X246)-ROW($X$15),-1))),IF($C246=0,0,ROUND(SomaAgrup,15-13*$AF$11)))</f>
        <v>731271.29</v>
      </c>
      <c r="Y246" s="126" t="s">
        <v>751</v>
      </c>
      <c r="Z246" t="str">
        <f t="shared" ca="1" si="67"/>
        <v/>
      </c>
      <c r="AA246" s="127">
        <f ca="1">IF($C246="S",IF($Z246="CP",$X246,IF($Z246="RA",(($X246)*QCI!$AA$3),0)),SomaAgrup)</f>
        <v>0</v>
      </c>
      <c r="AB246" s="128">
        <f t="shared" ca="1" si="68"/>
        <v>0</v>
      </c>
      <c r="AC246" s="565" t="str" cm="1">
        <f t="array" aca="1" ref="AC246" ca="1">IF($N246=""," ",
IF(AND($C246&lt;&gt;"S",OR($R246="",$R246="(digite a descrição aqui)")),"DESCRIÇÃO",
IF(AND($C246="S",OR($Q246&lt;&gt;"",$T246&gt;0,$U246&gt;0),$P246=""),"FONTE",
IF(AND($C246="S",$P246&lt;&gt;"",OR($T246&gt;0,$U246&gt;0),$Q246=""),"CÓDIGO",
IF(AND($C246="S",$P246&lt;&gt;"",$Q246&lt;&gt;"",$R246="(Código não identificado nas referências)"),"CÓDIGO N/ID",
IF(AND($C246="S",OR($R246="",$R246="(digite a descrição aqui)"),OR($Q246&lt;&gt;"",$T246&gt;0,$U246&gt;0)),"DESCRIÇÃO",
IF(AND($C246="S",$P246&lt;&gt;"",$Q246&lt;&gt;"",$S246=""),"UNIDADE",
IF(AND($C246="S",$P246&lt;&gt;"",$Q246&lt;&gt;"",$U246=0),"SEM CUSTO",
IF(AND(_xlfn.SINGLE(TIPOORCAMENTO)="Licitado",$AL246=0,$AN246&gt;0),"SEM PREÇO",
IF(AND($C246="S",$P246&lt;&gt;"",$Q246&lt;&gt;"",$U246&gt;0,AND($V246&lt;&gt;"BDI 1",$V246&lt;&gt;"BDI 2",$V246&lt;&gt;"BDI 3")),IF(ISNUMBER($V246),"JUSTIFICAR BDI","BDI"),
IF(OR(AND(import.recurso="OGU",TIPOORCAMENTO="Proposto",LEFT($O$8,5)&lt;&gt;"(N/D:",$AG246&lt;&gt;"",ORÇAMENTO.CustoUnitario&gt;$AG246),AND(TIPOORCAMENTO="LICITADO",ORÇAMENTO.PrecoUnitarioLicitado&gt;$AN246)),"ACIMA REF.",
IF(AND($C246="S",$P246&lt;&gt;"",$Q246&lt;&gt;"",$T246=0,$U246&gt;0),"QUANT.",
IF(AND(Import.TipoArredondamento="TransfereGOV",$L246="F",$C246="S",LEN($Q246)&gt;13),"Código &gt;13",
IF(AND(Import.TipoArredondamento="TransfereGOV",$L246="F",$C246&lt;&gt;"S",LEN($R246)&gt;100),"Descrição &gt;100",
IF(AND(Import.TipoArredondamento="TransfereGOV",$L246="F",$C246="S",LEN($R246)&gt;500),"Descrição &gt;500",
IF(AND(Import.TipoArredondamento="TransfereGOV",$L246="F",$C246="S",LEFT(TRIM(UPPER($P246)),6)&lt;&gt;"SINAPI",ISNA(VLOOKUP(TRIM(UPPER($S246)),ListaTgov.Unidades,1,FALSE))),"Unid. Não Disp",
" "))))))))))))))))</f>
        <v xml:space="preserve"> </v>
      </c>
      <c r="AD246" t="str">
        <f ca="1">IF(C246&lt;=CRONO.NivelExibicao,MAX($AD$15:OFFSET(AD246,-1,0))+IF($C246&lt;&gt;1,1,MAX(1,COUNTIF(QCI!$A$13:$A$15,OFFSET($E246,-1,0)))),"")</f>
        <v/>
      </c>
      <c r="AE246" s="7" t="b">
        <f ca="1">IF(AND($C246="S",ORÇAMENTO.CodBarra&lt;&gt;""),IF(ORÇAMENTO.Fonte="",ORÇAMENTO.CodBarra,CONCATENATE(ORÇAMENTO.Fonte," ",ORÇAMENTO.CodBarra)))</f>
        <v>0</v>
      </c>
      <c r="AF246" s="12" t="str">
        <f ca="1">IF(ISERROR(INDIRECT(ORÇAMENTO.BancoRef)),"(abra o arquivo 'Referência "&amp;Excel_BuiltIn_Database&amp;".xlsm)",IF(OR($C246&lt;&gt;"S",ORÇAMENTO.CodBarra=""),"(Sem Código)",IF(ISERROR(MATCH($AE246,INDIRECT(ORÇAMENTO.BancoRef),0)),"(Código não identificado nas referências)",MATCH($AE246,INDIRECT(ORÇAMENTO.BancoRef),0))))</f>
        <v>(Sem Código)</v>
      </c>
      <c r="AG246" s="428">
        <f ca="1">ROUND(IF(DESONERACAO="sim",REFERENCIA.Desonerado,REFERENCIA.NaoDesonerado),2)</f>
        <v>0</v>
      </c>
      <c r="AH246" s="429">
        <f t="shared" ca="1" si="69"/>
        <v>0.23499999999999999</v>
      </c>
      <c r="AJ246" s="431"/>
      <c r="AL246" s="439"/>
      <c r="AM246" s="336">
        <f t="shared" ca="1" si="0"/>
        <v>731271.29</v>
      </c>
      <c r="AN246" s="470">
        <f t="shared" ca="1" si="70"/>
        <v>0</v>
      </c>
    </row>
    <row r="247" spans="1:40" x14ac:dyDescent="0.2">
      <c r="A247" t="str">
        <f t="shared" si="56"/>
        <v>S</v>
      </c>
      <c r="B247">
        <f t="shared" ca="1" si="57"/>
        <v>4</v>
      </c>
      <c r="C247" t="str">
        <f t="shared" ca="1" si="58"/>
        <v>S</v>
      </c>
      <c r="D247">
        <f t="shared" ca="1" si="59"/>
        <v>0</v>
      </c>
      <c r="E247">
        <f ca="1">IF($C247=1,OFFSET(E247,-1,0)+MAX(1,COUNTIF(QCI!$A$13:$A$15,OFFSET(ORÇAMENTO!E247,-1,0))),OFFSET(E247,-1,0))</f>
        <v>1</v>
      </c>
      <c r="F247">
        <f t="shared" ca="1" si="60"/>
        <v>7</v>
      </c>
      <c r="G247">
        <f t="shared" ca="1" si="61"/>
        <v>1</v>
      </c>
      <c r="H247">
        <f t="shared" ca="1" si="62"/>
        <v>1</v>
      </c>
      <c r="I247">
        <f t="shared" ca="1" si="63"/>
        <v>1</v>
      </c>
      <c r="J247">
        <f t="shared" ca="1" si="54"/>
        <v>0</v>
      </c>
      <c r="K247">
        <f ca="1">IF(OR($C247="S",$C247=0),0,MATCH(OFFSET($D247,0,$C247)+IF($C247&lt;&gt;1,1,COUNTIF(QCI!$A$13:$A$15,ORÇAMENTO!E247)),OFFSET($D247,1,$C247,ROW($C$508)-ROW($C247)),0))</f>
        <v>0</v>
      </c>
      <c r="L247" s="114" t="str">
        <f t="shared" ca="1" si="64"/>
        <v>F</v>
      </c>
      <c r="M247" s="115" t="s">
        <v>705</v>
      </c>
      <c r="N247" s="116" t="str">
        <f t="shared" ca="1" si="65"/>
        <v>Serviço</v>
      </c>
      <c r="O247" s="117" t="str">
        <f t="shared" ca="1" si="66"/>
        <v>1.7.1.1.1.</v>
      </c>
      <c r="P247" s="118" t="s">
        <v>1283</v>
      </c>
      <c r="Q247" s="119" t="s">
        <v>1055</v>
      </c>
      <c r="R247" s="120" t="str">
        <f ca="1">IF($C247="S",REFERENCIA.Descricao,"(digite a descrição aqui)")</f>
        <v>TÊ COM BOLSAS FoFo - DN 350</v>
      </c>
      <c r="S247" s="121" t="str">
        <f ca="1">REFERENCIA.Unidade</f>
        <v>UN</v>
      </c>
      <c r="T247" s="122">
        <f ca="1">OFFSET(CÁLCULO!H$15,ROW($T247)-ROW(T$15),0)</f>
        <v>1</v>
      </c>
      <c r="U247" s="123">
        <f t="shared" ca="1" si="21"/>
        <v>7433.31</v>
      </c>
      <c r="V247" s="124" t="s">
        <v>697</v>
      </c>
      <c r="W247" s="122">
        <f ca="1">IF($C247="S",ROUND(IF(TIPOORCAMENTO="Proposto",ORÇAMENTO.CustoUnitario*(1+$AH247),ORÇAMENTO.PrecoUnitarioLicitado),15-13*$AF$10),0)</f>
        <v>8682.11</v>
      </c>
      <c r="X247" s="125" cm="1">
        <f t="array" aca="1" ref="X247" ca="1">IF($C247="S",IF(OR(Import.TipoArredondamento&lt;&gt;"TransfereGOV",ACOMPANHAMENTO="BM"),VTOTAL1,SUM(OFFSET(CÁLCULO!$AI$15,ROW($X247)-ROW($X$15),1):OFFSET(CÁLCULO!$BB$15,ROW($X247)-ROW($X$15),-1))),IF($C247=0,0,ROUND(SomaAgrup,15-13*$AF$11)))</f>
        <v>8682.11</v>
      </c>
      <c r="Y247" s="126" t="s">
        <v>751</v>
      </c>
      <c r="Z247" t="str">
        <f t="shared" ca="1" si="67"/>
        <v>RA</v>
      </c>
      <c r="AA247" s="127">
        <f ca="1">IF($C247="S",IF($Z247="CP",$X247,IF($Z247="RA",(($X247)*QCI!$AA$3),0)),SomaAgrup)</f>
        <v>0</v>
      </c>
      <c r="AB247" s="128">
        <f t="shared" ca="1" si="68"/>
        <v>0</v>
      </c>
      <c r="AC247" s="565" t="str" cm="1">
        <f t="array" aca="1" ref="AC247" ca="1">IF($N247=""," ",
IF(AND($C247&lt;&gt;"S",OR($R247="",$R247="(digite a descrição aqui)")),"DESCRIÇÃO",
IF(AND($C247="S",OR($Q247&lt;&gt;"",$T247&gt;0,$U247&gt;0),$P247=""),"FONTE",
IF(AND($C247="S",$P247&lt;&gt;"",OR($T247&gt;0,$U247&gt;0),$Q247=""),"CÓDIGO",
IF(AND($C247="S",$P247&lt;&gt;"",$Q247&lt;&gt;"",$R247="(Código não identificado nas referências)"),"CÓDIGO N/ID",
IF(AND($C247="S",OR($R247="",$R247="(digite a descrição aqui)"),OR($Q247&lt;&gt;"",$T247&gt;0,$U247&gt;0)),"DESCRIÇÃO",
IF(AND($C247="S",$P247&lt;&gt;"",$Q247&lt;&gt;"",$S247=""),"UNIDADE",
IF(AND($C247="S",$P247&lt;&gt;"",$Q247&lt;&gt;"",$U247=0),"SEM CUSTO",
IF(AND(_xlfn.SINGLE(TIPOORCAMENTO)="Licitado",$AL247=0,$AN247&gt;0),"SEM PREÇO",
IF(AND($C247="S",$P247&lt;&gt;"",$Q247&lt;&gt;"",$U247&gt;0,AND($V247&lt;&gt;"BDI 1",$V247&lt;&gt;"BDI 2",$V247&lt;&gt;"BDI 3")),IF(ISNUMBER($V247),"JUSTIFICAR BDI","BDI"),
IF(OR(AND(import.recurso="OGU",TIPOORCAMENTO="Proposto",LEFT($O$8,5)&lt;&gt;"(N/D:",$AG247&lt;&gt;"",ORÇAMENTO.CustoUnitario&gt;$AG247),AND(TIPOORCAMENTO="LICITADO",ORÇAMENTO.PrecoUnitarioLicitado&gt;$AN247)),"ACIMA REF.",
IF(AND($C247="S",$P247&lt;&gt;"",$Q247&lt;&gt;"",$T247=0,$U247&gt;0),"QUANT.",
IF(AND(Import.TipoArredondamento="TransfereGOV",$L247="F",$C247="S",LEN($Q247)&gt;13),"Código &gt;13",
IF(AND(Import.TipoArredondamento="TransfereGOV",$L247="F",$C247&lt;&gt;"S",LEN($R247)&gt;100),"Descrição &gt;100",
IF(AND(Import.TipoArredondamento="TransfereGOV",$L247="F",$C247="S",LEN($R247)&gt;500),"Descrição &gt;500",
IF(AND(Import.TipoArredondamento="TransfereGOV",$L247="F",$C247="S",LEFT(TRIM(UPPER($P247)),6)&lt;&gt;"SINAPI",ISNA(VLOOKUP(TRIM(UPPER($S247)),ListaTgov.Unidades,1,FALSE))),"Unid. Não Disp",
" "))))))))))))))))</f>
        <v xml:space="preserve"> </v>
      </c>
      <c r="AD247" t="str">
        <f ca="1">IF(C247&lt;=CRONO.NivelExibicao,MAX($AD$15:OFFSET(AD247,-1,0))+IF($C247&lt;&gt;1,1,MAX(1,COUNTIF(QCI!$A$13:$A$15,OFFSET($E247,-1,0)))),"")</f>
        <v/>
      </c>
      <c r="AE247" s="7" t="str">
        <f ca="1">IF(AND($C247="S",ORÇAMENTO.CodBarra&lt;&gt;""),IF(ORÇAMENTO.Fonte="",ORÇAMENTO.CodBarra,CONCATENATE(ORÇAMENTO.Fonte," ",ORÇAMENTO.CodBarra)))</f>
        <v>COTAÇÃO COT-012</v>
      </c>
      <c r="AF247" s="12">
        <f ca="1">IF(ISERROR(INDIRECT(ORÇAMENTO.BancoRef)),"(abra o arquivo 'Referência "&amp;Excel_BuiltIn_Database&amp;".xlsm)",IF(OR($C247&lt;&gt;"S",ORÇAMENTO.CodBarra=""),"(Sem Código)",IF(ISERROR(MATCH($AE247,INDIRECT(ORÇAMENTO.BancoRef),0)),"(Código não identificado nas referências)",MATCH($AE247,INDIRECT(ORÇAMENTO.BancoRef),0))))</f>
        <v>80</v>
      </c>
      <c r="AG247" s="428">
        <f ca="1">ROUND(IF(DESONERACAO="sim",REFERENCIA.Desonerado,REFERENCIA.NaoDesonerado),2)</f>
        <v>7433.31</v>
      </c>
      <c r="AH247" s="429">
        <f t="shared" ca="1" si="69"/>
        <v>0.16800000000000001</v>
      </c>
      <c r="AJ247" s="431">
        <v>1</v>
      </c>
      <c r="AL247" s="439"/>
      <c r="AM247" s="336">
        <f t="shared" ca="1" si="0"/>
        <v>8682.11</v>
      </c>
      <c r="AN247" s="470">
        <f t="shared" ca="1" si="70"/>
        <v>8682.11</v>
      </c>
    </row>
    <row r="248" spans="1:40" x14ac:dyDescent="0.2">
      <c r="A248" t="str">
        <f t="shared" si="56"/>
        <v>S</v>
      </c>
      <c r="B248">
        <f t="shared" ca="1" si="57"/>
        <v>4</v>
      </c>
      <c r="C248" t="str">
        <f t="shared" ca="1" si="58"/>
        <v>S</v>
      </c>
      <c r="D248">
        <f t="shared" ca="1" si="59"/>
        <v>0</v>
      </c>
      <c r="E248">
        <f ca="1">IF($C248=1,OFFSET(E248,-1,0)+MAX(1,COUNTIF(QCI!$A$13:$A$15,OFFSET(ORÇAMENTO!E248,-1,0))),OFFSET(E248,-1,0))</f>
        <v>1</v>
      </c>
      <c r="F248">
        <f t="shared" ca="1" si="60"/>
        <v>7</v>
      </c>
      <c r="G248">
        <f t="shared" ca="1" si="61"/>
        <v>1</v>
      </c>
      <c r="H248">
        <f t="shared" ca="1" si="62"/>
        <v>1</v>
      </c>
      <c r="I248">
        <f t="shared" ca="1" si="63"/>
        <v>2</v>
      </c>
      <c r="J248">
        <f t="shared" ca="1" si="54"/>
        <v>0</v>
      </c>
      <c r="K248">
        <f ca="1">IF(OR($C248="S",$C248=0),0,MATCH(OFFSET($D248,0,$C248)+IF($C248&lt;&gt;1,1,COUNTIF(QCI!$A$13:$A$15,ORÇAMENTO!E248)),OFFSET($D248,1,$C248,ROW($C$508)-ROW($C248)),0))</f>
        <v>0</v>
      </c>
      <c r="L248" s="114" t="str">
        <f t="shared" ca="1" si="64"/>
        <v>F</v>
      </c>
      <c r="M248" s="115" t="s">
        <v>705</v>
      </c>
      <c r="N248" s="116" t="str">
        <f t="shared" ca="1" si="65"/>
        <v>Serviço</v>
      </c>
      <c r="O248" s="117" t="str">
        <f t="shared" ca="1" si="66"/>
        <v>1.7.1.1.2.</v>
      </c>
      <c r="P248" s="118" t="s">
        <v>1283</v>
      </c>
      <c r="Q248" s="119" t="s">
        <v>1056</v>
      </c>
      <c r="R248" s="120" t="str">
        <f ca="1">IF($C248="S",REFERENCIA.Descricao,"(digite a descrição aqui)")</f>
        <v>TUBO CILÍNDRICO FoFo L=4,70 M - DN 350 MM</v>
      </c>
      <c r="S248" s="121" t="str">
        <f ca="1">REFERENCIA.Unidade</f>
        <v>UN</v>
      </c>
      <c r="T248" s="122">
        <f ca="1">OFFSET(CÁLCULO!H$15,ROW($T248)-ROW(T$15),0)</f>
        <v>1</v>
      </c>
      <c r="U248" s="123">
        <f t="shared" ca="1" si="21"/>
        <v>11165.99</v>
      </c>
      <c r="V248" s="124" t="s">
        <v>697</v>
      </c>
      <c r="W248" s="122">
        <f ca="1">IF($C248="S",ROUND(IF(TIPOORCAMENTO="Proposto",ORÇAMENTO.CustoUnitario*(1+$AH248),ORÇAMENTO.PrecoUnitarioLicitado),15-13*$AF$10),0)</f>
        <v>13041.88</v>
      </c>
      <c r="X248" s="125" cm="1">
        <f t="array" aca="1" ref="X248" ca="1">IF($C248="S",IF(OR(Import.TipoArredondamento&lt;&gt;"TransfereGOV",ACOMPANHAMENTO="BM"),VTOTAL1,SUM(OFFSET(CÁLCULO!$AI$15,ROW($X248)-ROW($X$15),1):OFFSET(CÁLCULO!$BB$15,ROW($X248)-ROW($X$15),-1))),IF($C248=0,0,ROUND(SomaAgrup,15-13*$AF$11)))</f>
        <v>13041.88</v>
      </c>
      <c r="Y248" s="126" t="s">
        <v>751</v>
      </c>
      <c r="Z248" t="str">
        <f t="shared" ca="1" si="67"/>
        <v>RA</v>
      </c>
      <c r="AA248" s="127">
        <f ca="1">IF($C248="S",IF($Z248="CP",$X248,IF($Z248="RA",(($X248)*QCI!$AA$3),0)),SomaAgrup)</f>
        <v>0</v>
      </c>
      <c r="AB248" s="128">
        <f t="shared" ca="1" si="68"/>
        <v>0</v>
      </c>
      <c r="AC248" s="565" t="str" cm="1">
        <f t="array" aca="1" ref="AC248" ca="1">IF($N248=""," ",
IF(AND($C248&lt;&gt;"S",OR($R248="",$R248="(digite a descrição aqui)")),"DESCRIÇÃO",
IF(AND($C248="S",OR($Q248&lt;&gt;"",$T248&gt;0,$U248&gt;0),$P248=""),"FONTE",
IF(AND($C248="S",$P248&lt;&gt;"",OR($T248&gt;0,$U248&gt;0),$Q248=""),"CÓDIGO",
IF(AND($C248="S",$P248&lt;&gt;"",$Q248&lt;&gt;"",$R248="(Código não identificado nas referências)"),"CÓDIGO N/ID",
IF(AND($C248="S",OR($R248="",$R248="(digite a descrição aqui)"),OR($Q248&lt;&gt;"",$T248&gt;0,$U248&gt;0)),"DESCRIÇÃO",
IF(AND($C248="S",$P248&lt;&gt;"",$Q248&lt;&gt;"",$S248=""),"UNIDADE",
IF(AND($C248="S",$P248&lt;&gt;"",$Q248&lt;&gt;"",$U248=0),"SEM CUSTO",
IF(AND(_xlfn.SINGLE(TIPOORCAMENTO)="Licitado",$AL248=0,$AN248&gt;0),"SEM PREÇO",
IF(AND($C248="S",$P248&lt;&gt;"",$Q248&lt;&gt;"",$U248&gt;0,AND($V248&lt;&gt;"BDI 1",$V248&lt;&gt;"BDI 2",$V248&lt;&gt;"BDI 3")),IF(ISNUMBER($V248),"JUSTIFICAR BDI","BDI"),
IF(OR(AND(import.recurso="OGU",TIPOORCAMENTO="Proposto",LEFT($O$8,5)&lt;&gt;"(N/D:",$AG248&lt;&gt;"",ORÇAMENTO.CustoUnitario&gt;$AG248),AND(TIPOORCAMENTO="LICITADO",ORÇAMENTO.PrecoUnitarioLicitado&gt;$AN248)),"ACIMA REF.",
IF(AND($C248="S",$P248&lt;&gt;"",$Q248&lt;&gt;"",$T248=0,$U248&gt;0),"QUANT.",
IF(AND(Import.TipoArredondamento="TransfereGOV",$L248="F",$C248="S",LEN($Q248)&gt;13),"Código &gt;13",
IF(AND(Import.TipoArredondamento="TransfereGOV",$L248="F",$C248&lt;&gt;"S",LEN($R248)&gt;100),"Descrição &gt;100",
IF(AND(Import.TipoArredondamento="TransfereGOV",$L248="F",$C248="S",LEN($R248)&gt;500),"Descrição &gt;500",
IF(AND(Import.TipoArredondamento="TransfereGOV",$L248="F",$C248="S",LEFT(TRIM(UPPER($P248)),6)&lt;&gt;"SINAPI",ISNA(VLOOKUP(TRIM(UPPER($S248)),ListaTgov.Unidades,1,FALSE))),"Unid. Não Disp",
" "))))))))))))))))</f>
        <v xml:space="preserve"> </v>
      </c>
      <c r="AD248" t="str">
        <f ca="1">IF(C248&lt;=CRONO.NivelExibicao,MAX($AD$15:OFFSET(AD248,-1,0))+IF($C248&lt;&gt;1,1,MAX(1,COUNTIF(QCI!$A$13:$A$15,OFFSET($E248,-1,0)))),"")</f>
        <v/>
      </c>
      <c r="AE248" s="7" t="str">
        <f ca="1">IF(AND($C248="S",ORÇAMENTO.CodBarra&lt;&gt;""),IF(ORÇAMENTO.Fonte="",ORÇAMENTO.CodBarra,CONCATENATE(ORÇAMENTO.Fonte," ",ORÇAMENTO.CodBarra)))</f>
        <v>COTAÇÃO COT-013</v>
      </c>
      <c r="AF248" s="12">
        <f ca="1">IF(ISERROR(INDIRECT(ORÇAMENTO.BancoRef)),"(abra o arquivo 'Referência "&amp;Excel_BuiltIn_Database&amp;".xlsm)",IF(OR($C248&lt;&gt;"S",ORÇAMENTO.CodBarra=""),"(Sem Código)",IF(ISERROR(MATCH($AE248,INDIRECT(ORÇAMENTO.BancoRef),0)),"(Código não identificado nas referências)",MATCH($AE248,INDIRECT(ORÇAMENTO.BancoRef),0))))</f>
        <v>81</v>
      </c>
      <c r="AG248" s="428">
        <f ca="1">ROUND(IF(DESONERACAO="sim",REFERENCIA.Desonerado,REFERENCIA.NaoDesonerado),2)</f>
        <v>11165.99</v>
      </c>
      <c r="AH248" s="429">
        <f t="shared" ca="1" si="69"/>
        <v>0.16800000000000001</v>
      </c>
      <c r="AJ248" s="431">
        <v>1</v>
      </c>
      <c r="AL248" s="439"/>
      <c r="AM248" s="336">
        <f t="shared" ca="1" si="0"/>
        <v>13041.88</v>
      </c>
      <c r="AN248" s="470">
        <f t="shared" ca="1" si="70"/>
        <v>13041.88</v>
      </c>
    </row>
    <row r="249" spans="1:40" x14ac:dyDescent="0.2">
      <c r="A249" t="str">
        <f t="shared" si="56"/>
        <v>S</v>
      </c>
      <c r="B249">
        <f t="shared" ca="1" si="57"/>
        <v>4</v>
      </c>
      <c r="C249" t="str">
        <f t="shared" ca="1" si="58"/>
        <v>S</v>
      </c>
      <c r="D249">
        <f t="shared" ca="1" si="59"/>
        <v>0</v>
      </c>
      <c r="E249">
        <f ca="1">IF($C249=1,OFFSET(E249,-1,0)+MAX(1,COUNTIF(QCI!$A$13:$A$15,OFFSET(ORÇAMENTO!E249,-1,0))),OFFSET(E249,-1,0))</f>
        <v>1</v>
      </c>
      <c r="F249">
        <f t="shared" ca="1" si="60"/>
        <v>7</v>
      </c>
      <c r="G249">
        <f t="shared" ca="1" si="61"/>
        <v>1</v>
      </c>
      <c r="H249">
        <f t="shared" ca="1" si="62"/>
        <v>1</v>
      </c>
      <c r="I249">
        <f t="shared" ca="1" si="63"/>
        <v>3</v>
      </c>
      <c r="J249">
        <f t="shared" ca="1" si="54"/>
        <v>0</v>
      </c>
      <c r="K249">
        <f ca="1">IF(OR($C249="S",$C249=0),0,MATCH(OFFSET($D249,0,$C249)+IF($C249&lt;&gt;1,1,COUNTIF(QCI!$A$13:$A$15,ORÇAMENTO!E249)),OFFSET($D249,1,$C249,ROW($C$508)-ROW($C249)),0))</f>
        <v>0</v>
      </c>
      <c r="L249" s="114" t="str">
        <f t="shared" ca="1" si="64"/>
        <v>F</v>
      </c>
      <c r="M249" s="115" t="s">
        <v>705</v>
      </c>
      <c r="N249" s="116" t="str">
        <f t="shared" ca="1" si="65"/>
        <v>Serviço</v>
      </c>
      <c r="O249" s="117" t="str">
        <f t="shared" ca="1" si="66"/>
        <v>1.7.1.1.3.</v>
      </c>
      <c r="P249" s="118" t="s">
        <v>1283</v>
      </c>
      <c r="Q249" s="119" t="s">
        <v>1057</v>
      </c>
      <c r="R249" s="120" t="str">
        <f ca="1">IF($C249="S",REFERENCIA.Descricao,"(digite a descrição aqui)")</f>
        <v>TUBO PONTA/BOLSA FoFo L=6,00 M - DN 350 MM</v>
      </c>
      <c r="S249" s="121" t="str">
        <f ca="1">REFERENCIA.Unidade</f>
        <v>UN</v>
      </c>
      <c r="T249" s="122">
        <f ca="1">OFFSET(CÁLCULO!H$15,ROW($T249)-ROW(T$15),0)</f>
        <v>1</v>
      </c>
      <c r="U249" s="123">
        <f t="shared" ca="1" si="21"/>
        <v>8199.76</v>
      </c>
      <c r="V249" s="124" t="s">
        <v>697</v>
      </c>
      <c r="W249" s="122">
        <f ca="1">IF($C249="S",ROUND(IF(TIPOORCAMENTO="Proposto",ORÇAMENTO.CustoUnitario*(1+$AH249),ORÇAMENTO.PrecoUnitarioLicitado),15-13*$AF$10),0)</f>
        <v>9577.32</v>
      </c>
      <c r="X249" s="125" cm="1">
        <f t="array" aca="1" ref="X249" ca="1">IF($C249="S",IF(OR(Import.TipoArredondamento&lt;&gt;"TransfereGOV",ACOMPANHAMENTO="BM"),VTOTAL1,SUM(OFFSET(CÁLCULO!$AI$15,ROW($X249)-ROW($X$15),1):OFFSET(CÁLCULO!$BB$15,ROW($X249)-ROW($X$15),-1))),IF($C249=0,0,ROUND(SomaAgrup,15-13*$AF$11)))</f>
        <v>9577.32</v>
      </c>
      <c r="Y249" s="126" t="s">
        <v>751</v>
      </c>
      <c r="Z249" t="str">
        <f t="shared" ca="1" si="67"/>
        <v>RA</v>
      </c>
      <c r="AA249" s="127">
        <f ca="1">IF($C249="S",IF($Z249="CP",$X249,IF($Z249="RA",(($X249)*QCI!$AA$3),0)),SomaAgrup)</f>
        <v>0</v>
      </c>
      <c r="AB249" s="128">
        <f t="shared" ca="1" si="68"/>
        <v>0</v>
      </c>
      <c r="AC249" s="565" t="str" cm="1">
        <f t="array" aca="1" ref="AC249" ca="1">IF($N249=""," ",
IF(AND($C249&lt;&gt;"S",OR($R249="",$R249="(digite a descrição aqui)")),"DESCRIÇÃO",
IF(AND($C249="S",OR($Q249&lt;&gt;"",$T249&gt;0,$U249&gt;0),$P249=""),"FONTE",
IF(AND($C249="S",$P249&lt;&gt;"",OR($T249&gt;0,$U249&gt;0),$Q249=""),"CÓDIGO",
IF(AND($C249="S",$P249&lt;&gt;"",$Q249&lt;&gt;"",$R249="(Código não identificado nas referências)"),"CÓDIGO N/ID",
IF(AND($C249="S",OR($R249="",$R249="(digite a descrição aqui)"),OR($Q249&lt;&gt;"",$T249&gt;0,$U249&gt;0)),"DESCRIÇÃO",
IF(AND($C249="S",$P249&lt;&gt;"",$Q249&lt;&gt;"",$S249=""),"UNIDADE",
IF(AND($C249="S",$P249&lt;&gt;"",$Q249&lt;&gt;"",$U249=0),"SEM CUSTO",
IF(AND(_xlfn.SINGLE(TIPOORCAMENTO)="Licitado",$AL249=0,$AN249&gt;0),"SEM PREÇO",
IF(AND($C249="S",$P249&lt;&gt;"",$Q249&lt;&gt;"",$U249&gt;0,AND($V249&lt;&gt;"BDI 1",$V249&lt;&gt;"BDI 2",$V249&lt;&gt;"BDI 3")),IF(ISNUMBER($V249),"JUSTIFICAR BDI","BDI"),
IF(OR(AND(import.recurso="OGU",TIPOORCAMENTO="Proposto",LEFT($O$8,5)&lt;&gt;"(N/D:",$AG249&lt;&gt;"",ORÇAMENTO.CustoUnitario&gt;$AG249),AND(TIPOORCAMENTO="LICITADO",ORÇAMENTO.PrecoUnitarioLicitado&gt;$AN249)),"ACIMA REF.",
IF(AND($C249="S",$P249&lt;&gt;"",$Q249&lt;&gt;"",$T249=0,$U249&gt;0),"QUANT.",
IF(AND(Import.TipoArredondamento="TransfereGOV",$L249="F",$C249="S",LEN($Q249)&gt;13),"Código &gt;13",
IF(AND(Import.TipoArredondamento="TransfereGOV",$L249="F",$C249&lt;&gt;"S",LEN($R249)&gt;100),"Descrição &gt;100",
IF(AND(Import.TipoArredondamento="TransfereGOV",$L249="F",$C249="S",LEN($R249)&gt;500),"Descrição &gt;500",
IF(AND(Import.TipoArredondamento="TransfereGOV",$L249="F",$C249="S",LEFT(TRIM(UPPER($P249)),6)&lt;&gt;"SINAPI",ISNA(VLOOKUP(TRIM(UPPER($S249)),ListaTgov.Unidades,1,FALSE))),"Unid. Não Disp",
" "))))))))))))))))</f>
        <v xml:space="preserve"> </v>
      </c>
      <c r="AD249" t="str">
        <f ca="1">IF(C249&lt;=CRONO.NivelExibicao,MAX($AD$15:OFFSET(AD249,-1,0))+IF($C249&lt;&gt;1,1,MAX(1,COUNTIF(QCI!$A$13:$A$15,OFFSET($E249,-1,0)))),"")</f>
        <v/>
      </c>
      <c r="AE249" s="7" t="str">
        <f ca="1">IF(AND($C249="S",ORÇAMENTO.CodBarra&lt;&gt;""),IF(ORÇAMENTO.Fonte="",ORÇAMENTO.CodBarra,CONCATENATE(ORÇAMENTO.Fonte," ",ORÇAMENTO.CodBarra)))</f>
        <v>COTAÇÃO COT-014</v>
      </c>
      <c r="AF249" s="12">
        <f ca="1">IF(ISERROR(INDIRECT(ORÇAMENTO.BancoRef)),"(abra o arquivo 'Referência "&amp;Excel_BuiltIn_Database&amp;".xlsm)",IF(OR($C249&lt;&gt;"S",ORÇAMENTO.CodBarra=""),"(Sem Código)",IF(ISERROR(MATCH($AE249,INDIRECT(ORÇAMENTO.BancoRef),0)),"(Código não identificado nas referências)",MATCH($AE249,INDIRECT(ORÇAMENTO.BancoRef),0))))</f>
        <v>82</v>
      </c>
      <c r="AG249" s="428">
        <f ca="1">ROUND(IF(DESONERACAO="sim",REFERENCIA.Desonerado,REFERENCIA.NaoDesonerado),2)</f>
        <v>8199.76</v>
      </c>
      <c r="AH249" s="429">
        <f t="shared" ca="1" si="69"/>
        <v>0.16800000000000001</v>
      </c>
      <c r="AJ249" s="431">
        <v>1</v>
      </c>
      <c r="AL249" s="439"/>
      <c r="AM249" s="336">
        <f t="shared" ca="1" si="0"/>
        <v>9577.32</v>
      </c>
      <c r="AN249" s="470">
        <f t="shared" ca="1" si="70"/>
        <v>9577.32</v>
      </c>
    </row>
    <row r="250" spans="1:40" x14ac:dyDescent="0.2">
      <c r="A250" t="str">
        <f t="shared" si="56"/>
        <v>S</v>
      </c>
      <c r="B250">
        <f t="shared" ca="1" si="57"/>
        <v>4</v>
      </c>
      <c r="C250" t="str">
        <f t="shared" ca="1" si="58"/>
        <v>S</v>
      </c>
      <c r="D250">
        <f t="shared" ca="1" si="59"/>
        <v>0</v>
      </c>
      <c r="E250">
        <f ca="1">IF($C250=1,OFFSET(E250,-1,0)+MAX(1,COUNTIF(QCI!$A$13:$A$15,OFFSET(ORÇAMENTO!E250,-1,0))),OFFSET(E250,-1,0))</f>
        <v>1</v>
      </c>
      <c r="F250">
        <f t="shared" ca="1" si="60"/>
        <v>7</v>
      </c>
      <c r="G250">
        <f t="shared" ca="1" si="61"/>
        <v>1</v>
      </c>
      <c r="H250">
        <f t="shared" ca="1" si="62"/>
        <v>1</v>
      </c>
      <c r="I250">
        <f t="shared" ca="1" si="63"/>
        <v>4</v>
      </c>
      <c r="J250">
        <f t="shared" ca="1" si="54"/>
        <v>0</v>
      </c>
      <c r="K250">
        <f ca="1">IF(OR($C250="S",$C250=0),0,MATCH(OFFSET($D250,0,$C250)+IF($C250&lt;&gt;1,1,COUNTIF(QCI!$A$13:$A$15,ORÇAMENTO!E250)),OFFSET($D250,1,$C250,ROW($C$508)-ROW($C250)),0))</f>
        <v>0</v>
      </c>
      <c r="L250" s="114" t="str">
        <f t="shared" ca="1" si="64"/>
        <v>F</v>
      </c>
      <c r="M250" s="115" t="s">
        <v>705</v>
      </c>
      <c r="N250" s="116" t="str">
        <f t="shared" ca="1" si="65"/>
        <v>Serviço</v>
      </c>
      <c r="O250" s="117" t="str">
        <f t="shared" ca="1" si="66"/>
        <v>1.7.1.1.4.</v>
      </c>
      <c r="P250" s="118" t="s">
        <v>1283</v>
      </c>
      <c r="Q250" s="119" t="s">
        <v>1058</v>
      </c>
      <c r="R250" s="120" t="str">
        <f ca="1">IF($C250="S",REFERENCIA.Descricao,"(digite a descrição aqui)")</f>
        <v>CURVA 90 BOLSAS FoFo - DN 350 MM</v>
      </c>
      <c r="S250" s="121" t="str">
        <f ca="1">REFERENCIA.Unidade</f>
        <v>UN</v>
      </c>
      <c r="T250" s="122">
        <f ca="1">OFFSET(CÁLCULO!H$15,ROW($T250)-ROW(T$15),0)</f>
        <v>1</v>
      </c>
      <c r="U250" s="123">
        <f t="shared" ca="1" si="21"/>
        <v>6404.48</v>
      </c>
      <c r="V250" s="124" t="s">
        <v>697</v>
      </c>
      <c r="W250" s="122">
        <f ca="1">IF($C250="S",ROUND(IF(TIPOORCAMENTO="Proposto",ORÇAMENTO.CustoUnitario*(1+$AH250),ORÇAMENTO.PrecoUnitarioLicitado),15-13*$AF$10),0)</f>
        <v>7480.43</v>
      </c>
      <c r="X250" s="125" cm="1">
        <f t="array" aca="1" ref="X250" ca="1">IF($C250="S",IF(OR(Import.TipoArredondamento&lt;&gt;"TransfereGOV",ACOMPANHAMENTO="BM"),VTOTAL1,SUM(OFFSET(CÁLCULO!$AI$15,ROW($X250)-ROW($X$15),1):OFFSET(CÁLCULO!$BB$15,ROW($X250)-ROW($X$15),-1))),IF($C250=0,0,ROUND(SomaAgrup,15-13*$AF$11)))</f>
        <v>7480.43</v>
      </c>
      <c r="Y250" s="126" t="s">
        <v>751</v>
      </c>
      <c r="Z250" t="str">
        <f t="shared" ca="1" si="67"/>
        <v>RA</v>
      </c>
      <c r="AA250" s="127">
        <f ca="1">IF($C250="S",IF($Z250="CP",$X250,IF($Z250="RA",(($X250)*QCI!$AA$3),0)),SomaAgrup)</f>
        <v>0</v>
      </c>
      <c r="AB250" s="128">
        <f t="shared" ca="1" si="68"/>
        <v>0</v>
      </c>
      <c r="AC250" s="565" t="str" cm="1">
        <f t="array" aca="1" ref="AC250" ca="1">IF($N250=""," ",
IF(AND($C250&lt;&gt;"S",OR($R250="",$R250="(digite a descrição aqui)")),"DESCRIÇÃO",
IF(AND($C250="S",OR($Q250&lt;&gt;"",$T250&gt;0,$U250&gt;0),$P250=""),"FONTE",
IF(AND($C250="S",$P250&lt;&gt;"",OR($T250&gt;0,$U250&gt;0),$Q250=""),"CÓDIGO",
IF(AND($C250="S",$P250&lt;&gt;"",$Q250&lt;&gt;"",$R250="(Código não identificado nas referências)"),"CÓDIGO N/ID",
IF(AND($C250="S",OR($R250="",$R250="(digite a descrição aqui)"),OR($Q250&lt;&gt;"",$T250&gt;0,$U250&gt;0)),"DESCRIÇÃO",
IF(AND($C250="S",$P250&lt;&gt;"",$Q250&lt;&gt;"",$S250=""),"UNIDADE",
IF(AND($C250="S",$P250&lt;&gt;"",$Q250&lt;&gt;"",$U250=0),"SEM CUSTO",
IF(AND(_xlfn.SINGLE(TIPOORCAMENTO)="Licitado",$AL250=0,$AN250&gt;0),"SEM PREÇO",
IF(AND($C250="S",$P250&lt;&gt;"",$Q250&lt;&gt;"",$U250&gt;0,AND($V250&lt;&gt;"BDI 1",$V250&lt;&gt;"BDI 2",$V250&lt;&gt;"BDI 3")),IF(ISNUMBER($V250),"JUSTIFICAR BDI","BDI"),
IF(OR(AND(import.recurso="OGU",TIPOORCAMENTO="Proposto",LEFT($O$8,5)&lt;&gt;"(N/D:",$AG250&lt;&gt;"",ORÇAMENTO.CustoUnitario&gt;$AG250),AND(TIPOORCAMENTO="LICITADO",ORÇAMENTO.PrecoUnitarioLicitado&gt;$AN250)),"ACIMA REF.",
IF(AND($C250="S",$P250&lt;&gt;"",$Q250&lt;&gt;"",$T250=0,$U250&gt;0),"QUANT.",
IF(AND(Import.TipoArredondamento="TransfereGOV",$L250="F",$C250="S",LEN($Q250)&gt;13),"Código &gt;13",
IF(AND(Import.TipoArredondamento="TransfereGOV",$L250="F",$C250&lt;&gt;"S",LEN($R250)&gt;100),"Descrição &gt;100",
IF(AND(Import.TipoArredondamento="TransfereGOV",$L250="F",$C250="S",LEN($R250)&gt;500),"Descrição &gt;500",
IF(AND(Import.TipoArredondamento="TransfereGOV",$L250="F",$C250="S",LEFT(TRIM(UPPER($P250)),6)&lt;&gt;"SINAPI",ISNA(VLOOKUP(TRIM(UPPER($S250)),ListaTgov.Unidades,1,FALSE))),"Unid. Não Disp",
" "))))))))))))))))</f>
        <v xml:space="preserve"> </v>
      </c>
      <c r="AD250" t="str">
        <f ca="1">IF(C250&lt;=CRONO.NivelExibicao,MAX($AD$15:OFFSET(AD250,-1,0))+IF($C250&lt;&gt;1,1,MAX(1,COUNTIF(QCI!$A$13:$A$15,OFFSET($E250,-1,0)))),"")</f>
        <v/>
      </c>
      <c r="AE250" s="7" t="str">
        <f ca="1">IF(AND($C250="S",ORÇAMENTO.CodBarra&lt;&gt;""),IF(ORÇAMENTO.Fonte="",ORÇAMENTO.CodBarra,CONCATENATE(ORÇAMENTO.Fonte," ",ORÇAMENTO.CodBarra)))</f>
        <v>COTAÇÃO COT-015</v>
      </c>
      <c r="AF250" s="12">
        <f ca="1">IF(ISERROR(INDIRECT(ORÇAMENTO.BancoRef)),"(abra o arquivo 'Referência "&amp;Excel_BuiltIn_Database&amp;".xlsm)",IF(OR($C250&lt;&gt;"S",ORÇAMENTO.CodBarra=""),"(Sem Código)",IF(ISERROR(MATCH($AE250,INDIRECT(ORÇAMENTO.BancoRef),0)),"(Código não identificado nas referências)",MATCH($AE250,INDIRECT(ORÇAMENTO.BancoRef),0))))</f>
        <v>83</v>
      </c>
      <c r="AG250" s="428">
        <f ca="1">ROUND(IF(DESONERACAO="sim",REFERENCIA.Desonerado,REFERENCIA.NaoDesonerado),2)</f>
        <v>6404.48</v>
      </c>
      <c r="AH250" s="429">
        <f t="shared" ca="1" si="69"/>
        <v>0.16800000000000001</v>
      </c>
      <c r="AJ250" s="431">
        <v>1</v>
      </c>
      <c r="AL250" s="439"/>
      <c r="AM250" s="336">
        <f t="shared" ca="1" si="0"/>
        <v>7480.43</v>
      </c>
      <c r="AN250" s="470">
        <f t="shared" ca="1" si="70"/>
        <v>7480.43</v>
      </c>
    </row>
    <row r="251" spans="1:40" x14ac:dyDescent="0.2">
      <c r="A251" t="str">
        <f t="shared" si="56"/>
        <v>S</v>
      </c>
      <c r="B251">
        <f t="shared" ca="1" si="57"/>
        <v>4</v>
      </c>
      <c r="C251" t="str">
        <f t="shared" ca="1" si="58"/>
        <v>S</v>
      </c>
      <c r="D251">
        <f t="shared" ca="1" si="59"/>
        <v>0</v>
      </c>
      <c r="E251">
        <f ca="1">IF($C251=1,OFFSET(E251,-1,0)+MAX(1,COUNTIF(QCI!$A$13:$A$15,OFFSET(ORÇAMENTO!E251,-1,0))),OFFSET(E251,-1,0))</f>
        <v>1</v>
      </c>
      <c r="F251">
        <f t="shared" ca="1" si="60"/>
        <v>7</v>
      </c>
      <c r="G251">
        <f t="shared" ca="1" si="61"/>
        <v>1</v>
      </c>
      <c r="H251">
        <f t="shared" ca="1" si="62"/>
        <v>1</v>
      </c>
      <c r="I251">
        <f t="shared" ca="1" si="63"/>
        <v>5</v>
      </c>
      <c r="J251">
        <f t="shared" ca="1" si="54"/>
        <v>0</v>
      </c>
      <c r="K251">
        <f ca="1">IF(OR($C251="S",$C251=0),0,MATCH(OFFSET($D251,0,$C251)+IF($C251&lt;&gt;1,1,COUNTIF(QCI!$A$13:$A$15,ORÇAMENTO!E251)),OFFSET($D251,1,$C251,ROW($C$508)-ROW($C251)),0))</f>
        <v>0</v>
      </c>
      <c r="L251" s="114" t="str">
        <f t="shared" ca="1" si="64"/>
        <v>F</v>
      </c>
      <c r="M251" s="115" t="s">
        <v>705</v>
      </c>
      <c r="N251" s="116" t="str">
        <f t="shared" ca="1" si="65"/>
        <v>Serviço</v>
      </c>
      <c r="O251" s="117" t="str">
        <f t="shared" ca="1" si="66"/>
        <v>1.7.1.1.5.</v>
      </c>
      <c r="P251" s="118" t="s">
        <v>1283</v>
      </c>
      <c r="Q251" s="119" t="s">
        <v>1059</v>
      </c>
      <c r="R251" s="120" t="str">
        <f ca="1">IF($C251="S",REFERENCIA.Descricao,"(digite a descrição aqui)")</f>
        <v>TUBO FLANGE/PONTA FoFo L=3,05 M - DN 350 MM</v>
      </c>
      <c r="S251" s="121" t="str">
        <f ca="1">REFERENCIA.Unidade</f>
        <v>UN</v>
      </c>
      <c r="T251" s="122">
        <f ca="1">OFFSET(CÁLCULO!H$15,ROW($T251)-ROW(T$15),0)</f>
        <v>1</v>
      </c>
      <c r="U251" s="123">
        <f t="shared" ca="1" si="21"/>
        <v>7170.43</v>
      </c>
      <c r="V251" s="124" t="s">
        <v>697</v>
      </c>
      <c r="W251" s="122">
        <f ca="1">IF($C251="S",ROUND(IF(TIPOORCAMENTO="Proposto",ORÇAMENTO.CustoUnitario*(1+$AH251),ORÇAMENTO.PrecoUnitarioLicitado),15-13*$AF$10),0)</f>
        <v>8375.06</v>
      </c>
      <c r="X251" s="125" cm="1">
        <f t="array" aca="1" ref="X251" ca="1">IF($C251="S",IF(OR(Import.TipoArredondamento&lt;&gt;"TransfereGOV",ACOMPANHAMENTO="BM"),VTOTAL1,SUM(OFFSET(CÁLCULO!$AI$15,ROW($X251)-ROW($X$15),1):OFFSET(CÁLCULO!$BB$15,ROW($X251)-ROW($X$15),-1))),IF($C251=0,0,ROUND(SomaAgrup,15-13*$AF$11)))</f>
        <v>8375.06</v>
      </c>
      <c r="Y251" s="126" t="s">
        <v>751</v>
      </c>
      <c r="Z251" t="str">
        <f t="shared" ca="1" si="67"/>
        <v>RA</v>
      </c>
      <c r="AA251" s="127">
        <f ca="1">IF($C251="S",IF($Z251="CP",$X251,IF($Z251="RA",(($X251)*QCI!$AA$3),0)),SomaAgrup)</f>
        <v>0</v>
      </c>
      <c r="AB251" s="128">
        <f t="shared" ca="1" si="68"/>
        <v>0</v>
      </c>
      <c r="AC251" s="565" t="str" cm="1">
        <f t="array" aca="1" ref="AC251" ca="1">IF($N251=""," ",
IF(AND($C251&lt;&gt;"S",OR($R251="",$R251="(digite a descrição aqui)")),"DESCRIÇÃO",
IF(AND($C251="S",OR($Q251&lt;&gt;"",$T251&gt;0,$U251&gt;0),$P251=""),"FONTE",
IF(AND($C251="S",$P251&lt;&gt;"",OR($T251&gt;0,$U251&gt;0),$Q251=""),"CÓDIGO",
IF(AND($C251="S",$P251&lt;&gt;"",$Q251&lt;&gt;"",$R251="(Código não identificado nas referências)"),"CÓDIGO N/ID",
IF(AND($C251="S",OR($R251="",$R251="(digite a descrição aqui)"),OR($Q251&lt;&gt;"",$T251&gt;0,$U251&gt;0)),"DESCRIÇÃO",
IF(AND($C251="S",$P251&lt;&gt;"",$Q251&lt;&gt;"",$S251=""),"UNIDADE",
IF(AND($C251="S",$P251&lt;&gt;"",$Q251&lt;&gt;"",$U251=0),"SEM CUSTO",
IF(AND(_xlfn.SINGLE(TIPOORCAMENTO)="Licitado",$AL251=0,$AN251&gt;0),"SEM PREÇO",
IF(AND($C251="S",$P251&lt;&gt;"",$Q251&lt;&gt;"",$U251&gt;0,AND($V251&lt;&gt;"BDI 1",$V251&lt;&gt;"BDI 2",$V251&lt;&gt;"BDI 3")),IF(ISNUMBER($V251),"JUSTIFICAR BDI","BDI"),
IF(OR(AND(import.recurso="OGU",TIPOORCAMENTO="Proposto",LEFT($O$8,5)&lt;&gt;"(N/D:",$AG251&lt;&gt;"",ORÇAMENTO.CustoUnitario&gt;$AG251),AND(TIPOORCAMENTO="LICITADO",ORÇAMENTO.PrecoUnitarioLicitado&gt;$AN251)),"ACIMA REF.",
IF(AND($C251="S",$P251&lt;&gt;"",$Q251&lt;&gt;"",$T251=0,$U251&gt;0),"QUANT.",
IF(AND(Import.TipoArredondamento="TransfereGOV",$L251="F",$C251="S",LEN($Q251)&gt;13),"Código &gt;13",
IF(AND(Import.TipoArredondamento="TransfereGOV",$L251="F",$C251&lt;&gt;"S",LEN($R251)&gt;100),"Descrição &gt;100",
IF(AND(Import.TipoArredondamento="TransfereGOV",$L251="F",$C251="S",LEN($R251)&gt;500),"Descrição &gt;500",
IF(AND(Import.TipoArredondamento="TransfereGOV",$L251="F",$C251="S",LEFT(TRIM(UPPER($P251)),6)&lt;&gt;"SINAPI",ISNA(VLOOKUP(TRIM(UPPER($S251)),ListaTgov.Unidades,1,FALSE))),"Unid. Não Disp",
" "))))))))))))))))</f>
        <v xml:space="preserve"> </v>
      </c>
      <c r="AD251" t="str">
        <f ca="1">IF(C251&lt;=CRONO.NivelExibicao,MAX($AD$15:OFFSET(AD251,-1,0))+IF($C251&lt;&gt;1,1,MAX(1,COUNTIF(QCI!$A$13:$A$15,OFFSET($E251,-1,0)))),"")</f>
        <v/>
      </c>
      <c r="AE251" s="7" t="str">
        <f ca="1">IF(AND($C251="S",ORÇAMENTO.CodBarra&lt;&gt;""),IF(ORÇAMENTO.Fonte="",ORÇAMENTO.CodBarra,CONCATENATE(ORÇAMENTO.Fonte," ",ORÇAMENTO.CodBarra)))</f>
        <v>COTAÇÃO COT-016</v>
      </c>
      <c r="AF251" s="12">
        <f ca="1">IF(ISERROR(INDIRECT(ORÇAMENTO.BancoRef)),"(abra o arquivo 'Referência "&amp;Excel_BuiltIn_Database&amp;".xlsm)",IF(OR($C251&lt;&gt;"S",ORÇAMENTO.CodBarra=""),"(Sem Código)",IF(ISERROR(MATCH($AE251,INDIRECT(ORÇAMENTO.BancoRef),0)),"(Código não identificado nas referências)",MATCH($AE251,INDIRECT(ORÇAMENTO.BancoRef),0))))</f>
        <v>84</v>
      </c>
      <c r="AG251" s="428">
        <f ca="1">ROUND(IF(DESONERACAO="sim",REFERENCIA.Desonerado,REFERENCIA.NaoDesonerado),2)</f>
        <v>7170.43</v>
      </c>
      <c r="AH251" s="429">
        <f t="shared" ca="1" si="69"/>
        <v>0.16800000000000001</v>
      </c>
      <c r="AJ251" s="431">
        <v>1</v>
      </c>
      <c r="AL251" s="439"/>
      <c r="AM251" s="336">
        <f t="shared" ca="1" si="0"/>
        <v>8375.06</v>
      </c>
      <c r="AN251" s="470">
        <f t="shared" ca="1" si="70"/>
        <v>8375.06</v>
      </c>
    </row>
    <row r="252" spans="1:40" x14ac:dyDescent="0.2">
      <c r="A252" t="str">
        <f t="shared" si="56"/>
        <v>S</v>
      </c>
      <c r="B252">
        <f t="shared" ca="1" si="57"/>
        <v>4</v>
      </c>
      <c r="C252" t="str">
        <f t="shared" ca="1" si="58"/>
        <v>S</v>
      </c>
      <c r="D252">
        <f t="shared" ca="1" si="59"/>
        <v>0</v>
      </c>
      <c r="E252">
        <f ca="1">IF($C252=1,OFFSET(E252,-1,0)+MAX(1,COUNTIF(QCI!$A$13:$A$15,OFFSET(ORÇAMENTO!E252,-1,0))),OFFSET(E252,-1,0))</f>
        <v>1</v>
      </c>
      <c r="F252">
        <f t="shared" ca="1" si="60"/>
        <v>7</v>
      </c>
      <c r="G252">
        <f t="shared" ca="1" si="61"/>
        <v>1</v>
      </c>
      <c r="H252">
        <f t="shared" ca="1" si="62"/>
        <v>1</v>
      </c>
      <c r="I252">
        <f t="shared" ca="1" si="63"/>
        <v>6</v>
      </c>
      <c r="J252">
        <f t="shared" ca="1" si="54"/>
        <v>0</v>
      </c>
      <c r="K252">
        <f ca="1">IF(OR($C252="S",$C252=0),0,MATCH(OFFSET($D252,0,$C252)+IF($C252&lt;&gt;1,1,COUNTIF(QCI!$A$13:$A$15,ORÇAMENTO!E252)),OFFSET($D252,1,$C252,ROW($C$508)-ROW($C252)),0))</f>
        <v>0</v>
      </c>
      <c r="L252" s="114" t="str">
        <f t="shared" ca="1" si="64"/>
        <v>F</v>
      </c>
      <c r="M252" s="115" t="s">
        <v>705</v>
      </c>
      <c r="N252" s="116" t="str">
        <f t="shared" ca="1" si="65"/>
        <v>Serviço</v>
      </c>
      <c r="O252" s="117" t="str">
        <f t="shared" ca="1" si="66"/>
        <v>1.7.1.1.6.</v>
      </c>
      <c r="P252" s="118" t="s">
        <v>1283</v>
      </c>
      <c r="Q252" s="119" t="s">
        <v>1060</v>
      </c>
      <c r="R252" s="120" t="str">
        <f ca="1">IF($C252="S",REFERENCIA.Descricao,"(digite a descrição aqui)")</f>
        <v>TUBO FLANGE/PONTA FoFo L=4,10 M - DN 350 MM</v>
      </c>
      <c r="S252" s="121" t="str">
        <f ca="1">REFERENCIA.Unidade</f>
        <v>UN</v>
      </c>
      <c r="T252" s="122">
        <f ca="1">OFFSET(CÁLCULO!H$15,ROW($T252)-ROW(T$15),0)</f>
        <v>2</v>
      </c>
      <c r="U252" s="123">
        <f t="shared" ca="1" si="21"/>
        <v>9885.41</v>
      </c>
      <c r="V252" s="124" t="s">
        <v>697</v>
      </c>
      <c r="W252" s="122">
        <f ca="1">IF($C252="S",ROUND(IF(TIPOORCAMENTO="Proposto",ORÇAMENTO.CustoUnitario*(1+$AH252),ORÇAMENTO.PrecoUnitarioLicitado),15-13*$AF$10),0)</f>
        <v>11546.16</v>
      </c>
      <c r="X252" s="125" cm="1">
        <f t="array" aca="1" ref="X252" ca="1">IF($C252="S",IF(OR(Import.TipoArredondamento&lt;&gt;"TransfereGOV",ACOMPANHAMENTO="BM"),VTOTAL1,SUM(OFFSET(CÁLCULO!$AI$15,ROW($X252)-ROW($X$15),1):OFFSET(CÁLCULO!$BB$15,ROW($X252)-ROW($X$15),-1))),IF($C252=0,0,ROUND(SomaAgrup,15-13*$AF$11)))</f>
        <v>23092.32</v>
      </c>
      <c r="Y252" s="126" t="s">
        <v>751</v>
      </c>
      <c r="Z252" t="str">
        <f t="shared" ca="1" si="67"/>
        <v>RA</v>
      </c>
      <c r="AA252" s="127">
        <f ca="1">IF($C252="S",IF($Z252="CP",$X252,IF($Z252="RA",(($X252)*QCI!$AA$3),0)),SomaAgrup)</f>
        <v>0</v>
      </c>
      <c r="AB252" s="128">
        <f t="shared" ca="1" si="68"/>
        <v>0</v>
      </c>
      <c r="AC252" s="565" t="str" cm="1">
        <f t="array" aca="1" ref="AC252" ca="1">IF($N252=""," ",
IF(AND($C252&lt;&gt;"S",OR($R252="",$R252="(digite a descrição aqui)")),"DESCRIÇÃO",
IF(AND($C252="S",OR($Q252&lt;&gt;"",$T252&gt;0,$U252&gt;0),$P252=""),"FONTE",
IF(AND($C252="S",$P252&lt;&gt;"",OR($T252&gt;0,$U252&gt;0),$Q252=""),"CÓDIGO",
IF(AND($C252="S",$P252&lt;&gt;"",$Q252&lt;&gt;"",$R252="(Código não identificado nas referências)"),"CÓDIGO N/ID",
IF(AND($C252="S",OR($R252="",$R252="(digite a descrição aqui)"),OR($Q252&lt;&gt;"",$T252&gt;0,$U252&gt;0)),"DESCRIÇÃO",
IF(AND($C252="S",$P252&lt;&gt;"",$Q252&lt;&gt;"",$S252=""),"UNIDADE",
IF(AND($C252="S",$P252&lt;&gt;"",$Q252&lt;&gt;"",$U252=0),"SEM CUSTO",
IF(AND(_xlfn.SINGLE(TIPOORCAMENTO)="Licitado",$AL252=0,$AN252&gt;0),"SEM PREÇO",
IF(AND($C252="S",$P252&lt;&gt;"",$Q252&lt;&gt;"",$U252&gt;0,AND($V252&lt;&gt;"BDI 1",$V252&lt;&gt;"BDI 2",$V252&lt;&gt;"BDI 3")),IF(ISNUMBER($V252),"JUSTIFICAR BDI","BDI"),
IF(OR(AND(import.recurso="OGU",TIPOORCAMENTO="Proposto",LEFT($O$8,5)&lt;&gt;"(N/D:",$AG252&lt;&gt;"",ORÇAMENTO.CustoUnitario&gt;$AG252),AND(TIPOORCAMENTO="LICITADO",ORÇAMENTO.PrecoUnitarioLicitado&gt;$AN252)),"ACIMA REF.",
IF(AND($C252="S",$P252&lt;&gt;"",$Q252&lt;&gt;"",$T252=0,$U252&gt;0),"QUANT.",
IF(AND(Import.TipoArredondamento="TransfereGOV",$L252="F",$C252="S",LEN($Q252)&gt;13),"Código &gt;13",
IF(AND(Import.TipoArredondamento="TransfereGOV",$L252="F",$C252&lt;&gt;"S",LEN($R252)&gt;100),"Descrição &gt;100",
IF(AND(Import.TipoArredondamento="TransfereGOV",$L252="F",$C252="S",LEN($R252)&gt;500),"Descrição &gt;500",
IF(AND(Import.TipoArredondamento="TransfereGOV",$L252="F",$C252="S",LEFT(TRIM(UPPER($P252)),6)&lt;&gt;"SINAPI",ISNA(VLOOKUP(TRIM(UPPER($S252)),ListaTgov.Unidades,1,FALSE))),"Unid. Não Disp",
" "))))))))))))))))</f>
        <v xml:space="preserve"> </v>
      </c>
      <c r="AD252" t="str">
        <f ca="1">IF(C252&lt;=CRONO.NivelExibicao,MAX($AD$15:OFFSET(AD252,-1,0))+IF($C252&lt;&gt;1,1,MAX(1,COUNTIF(QCI!$A$13:$A$15,OFFSET($E252,-1,0)))),"")</f>
        <v/>
      </c>
      <c r="AE252" s="7" t="str">
        <f ca="1">IF(AND($C252="S",ORÇAMENTO.CodBarra&lt;&gt;""),IF(ORÇAMENTO.Fonte="",ORÇAMENTO.CodBarra,CONCATENATE(ORÇAMENTO.Fonte," ",ORÇAMENTO.CodBarra)))</f>
        <v>COTAÇÃO COT-017</v>
      </c>
      <c r="AF252" s="12">
        <f ca="1">IF(ISERROR(INDIRECT(ORÇAMENTO.BancoRef)),"(abra o arquivo 'Referência "&amp;Excel_BuiltIn_Database&amp;".xlsm)",IF(OR($C252&lt;&gt;"S",ORÇAMENTO.CodBarra=""),"(Sem Código)",IF(ISERROR(MATCH($AE252,INDIRECT(ORÇAMENTO.BancoRef),0)),"(Código não identificado nas referências)",MATCH($AE252,INDIRECT(ORÇAMENTO.BancoRef),0))))</f>
        <v>85</v>
      </c>
      <c r="AG252" s="428">
        <f ca="1">ROUND(IF(DESONERACAO="sim",REFERENCIA.Desonerado,REFERENCIA.NaoDesonerado),2)</f>
        <v>9885.41</v>
      </c>
      <c r="AH252" s="429">
        <f t="shared" ca="1" si="69"/>
        <v>0.16800000000000001</v>
      </c>
      <c r="AJ252" s="431">
        <v>2</v>
      </c>
      <c r="AL252" s="439"/>
      <c r="AM252" s="336">
        <f t="shared" ca="1" si="0"/>
        <v>23092.32</v>
      </c>
      <c r="AN252" s="470">
        <f t="shared" ca="1" si="70"/>
        <v>11546.16</v>
      </c>
    </row>
    <row r="253" spans="1:40" x14ac:dyDescent="0.2">
      <c r="A253" t="str">
        <f t="shared" si="56"/>
        <v>S</v>
      </c>
      <c r="B253">
        <f t="shared" ca="1" si="57"/>
        <v>4</v>
      </c>
      <c r="C253" t="str">
        <f t="shared" ca="1" si="58"/>
        <v>S</v>
      </c>
      <c r="D253">
        <f t="shared" ca="1" si="59"/>
        <v>0</v>
      </c>
      <c r="E253">
        <f ca="1">IF($C253=1,OFFSET(E253,-1,0)+MAX(1,COUNTIF(QCI!$A$13:$A$15,OFFSET(ORÇAMENTO!E253,-1,0))),OFFSET(E253,-1,0))</f>
        <v>1</v>
      </c>
      <c r="F253">
        <f t="shared" ca="1" si="60"/>
        <v>7</v>
      </c>
      <c r="G253">
        <f t="shared" ca="1" si="61"/>
        <v>1</v>
      </c>
      <c r="H253">
        <f t="shared" ca="1" si="62"/>
        <v>1</v>
      </c>
      <c r="I253">
        <f t="shared" ca="1" si="63"/>
        <v>7</v>
      </c>
      <c r="J253">
        <f t="shared" ca="1" si="54"/>
        <v>0</v>
      </c>
      <c r="K253">
        <f ca="1">IF(OR($C253="S",$C253=0),0,MATCH(OFFSET($D253,0,$C253)+IF($C253&lt;&gt;1,1,COUNTIF(QCI!$A$13:$A$15,ORÇAMENTO!E253)),OFFSET($D253,1,$C253,ROW($C$508)-ROW($C253)),0))</f>
        <v>0</v>
      </c>
      <c r="L253" s="114" t="str">
        <f t="shared" ca="1" si="64"/>
        <v>F</v>
      </c>
      <c r="M253" s="115" t="s">
        <v>705</v>
      </c>
      <c r="N253" s="116" t="str">
        <f t="shared" ca="1" si="65"/>
        <v>Serviço</v>
      </c>
      <c r="O253" s="117" t="str">
        <f t="shared" ca="1" si="66"/>
        <v>1.7.1.1.7.</v>
      </c>
      <c r="P253" s="118" t="s">
        <v>1283</v>
      </c>
      <c r="Q253" s="119" t="s">
        <v>1061</v>
      </c>
      <c r="R253" s="120" t="str">
        <f ca="1">IF($C253="S",REFERENCIA.Descricao,"(digite a descrição aqui)")</f>
        <v>CURVA 90 FLANGEADA FoFo - DN 350 MM</v>
      </c>
      <c r="S253" s="121" t="str">
        <f ca="1">REFERENCIA.Unidade</f>
        <v>UN</v>
      </c>
      <c r="T253" s="122">
        <f ca="1">OFFSET(CÁLCULO!H$15,ROW($T253)-ROW(T$15),0)</f>
        <v>1</v>
      </c>
      <c r="U253" s="123">
        <f t="shared" ca="1" si="21"/>
        <v>3834.09</v>
      </c>
      <c r="V253" s="124" t="s">
        <v>697</v>
      </c>
      <c r="W253" s="122">
        <f ca="1">IF($C253="S",ROUND(IF(TIPOORCAMENTO="Proposto",ORÇAMENTO.CustoUnitario*(1+$AH253),ORÇAMENTO.PrecoUnitarioLicitado),15-13*$AF$10),0)</f>
        <v>4478.22</v>
      </c>
      <c r="X253" s="125" cm="1">
        <f t="array" aca="1" ref="X253" ca="1">IF($C253="S",IF(OR(Import.TipoArredondamento&lt;&gt;"TransfereGOV",ACOMPANHAMENTO="BM"),VTOTAL1,SUM(OFFSET(CÁLCULO!$AI$15,ROW($X253)-ROW($X$15),1):OFFSET(CÁLCULO!$BB$15,ROW($X253)-ROW($X$15),-1))),IF($C253=0,0,ROUND(SomaAgrup,15-13*$AF$11)))</f>
        <v>4478.22</v>
      </c>
      <c r="Y253" s="126" t="s">
        <v>751</v>
      </c>
      <c r="Z253" t="str">
        <f t="shared" ca="1" si="67"/>
        <v>RA</v>
      </c>
      <c r="AA253" s="127">
        <f ca="1">IF($C253="S",IF($Z253="CP",$X253,IF($Z253="RA",(($X253)*QCI!$AA$3),0)),SomaAgrup)</f>
        <v>0</v>
      </c>
      <c r="AB253" s="128">
        <f t="shared" ca="1" si="68"/>
        <v>0</v>
      </c>
      <c r="AC253" s="565" t="str" cm="1">
        <f t="array" aca="1" ref="AC253" ca="1">IF($N253=""," ",
IF(AND($C253&lt;&gt;"S",OR($R253="",$R253="(digite a descrição aqui)")),"DESCRIÇÃO",
IF(AND($C253="S",OR($Q253&lt;&gt;"",$T253&gt;0,$U253&gt;0),$P253=""),"FONTE",
IF(AND($C253="S",$P253&lt;&gt;"",OR($T253&gt;0,$U253&gt;0),$Q253=""),"CÓDIGO",
IF(AND($C253="S",$P253&lt;&gt;"",$Q253&lt;&gt;"",$R253="(Código não identificado nas referências)"),"CÓDIGO N/ID",
IF(AND($C253="S",OR($R253="",$R253="(digite a descrição aqui)"),OR($Q253&lt;&gt;"",$T253&gt;0,$U253&gt;0)),"DESCRIÇÃO",
IF(AND($C253="S",$P253&lt;&gt;"",$Q253&lt;&gt;"",$S253=""),"UNIDADE",
IF(AND($C253="S",$P253&lt;&gt;"",$Q253&lt;&gt;"",$U253=0),"SEM CUSTO",
IF(AND(_xlfn.SINGLE(TIPOORCAMENTO)="Licitado",$AL253=0,$AN253&gt;0),"SEM PREÇO",
IF(AND($C253="S",$P253&lt;&gt;"",$Q253&lt;&gt;"",$U253&gt;0,AND($V253&lt;&gt;"BDI 1",$V253&lt;&gt;"BDI 2",$V253&lt;&gt;"BDI 3")),IF(ISNUMBER($V253),"JUSTIFICAR BDI","BDI"),
IF(OR(AND(import.recurso="OGU",TIPOORCAMENTO="Proposto",LEFT($O$8,5)&lt;&gt;"(N/D:",$AG253&lt;&gt;"",ORÇAMENTO.CustoUnitario&gt;$AG253),AND(TIPOORCAMENTO="LICITADO",ORÇAMENTO.PrecoUnitarioLicitado&gt;$AN253)),"ACIMA REF.",
IF(AND($C253="S",$P253&lt;&gt;"",$Q253&lt;&gt;"",$T253=0,$U253&gt;0),"QUANT.",
IF(AND(Import.TipoArredondamento="TransfereGOV",$L253="F",$C253="S",LEN($Q253)&gt;13),"Código &gt;13",
IF(AND(Import.TipoArredondamento="TransfereGOV",$L253="F",$C253&lt;&gt;"S",LEN($R253)&gt;100),"Descrição &gt;100",
IF(AND(Import.TipoArredondamento="TransfereGOV",$L253="F",$C253="S",LEN($R253)&gt;500),"Descrição &gt;500",
IF(AND(Import.TipoArredondamento="TransfereGOV",$L253="F",$C253="S",LEFT(TRIM(UPPER($P253)),6)&lt;&gt;"SINAPI",ISNA(VLOOKUP(TRIM(UPPER($S253)),ListaTgov.Unidades,1,FALSE))),"Unid. Não Disp",
" "))))))))))))))))</f>
        <v xml:space="preserve"> </v>
      </c>
      <c r="AD253" t="str">
        <f ca="1">IF(C253&lt;=CRONO.NivelExibicao,MAX($AD$15:OFFSET(AD253,-1,0))+IF($C253&lt;&gt;1,1,MAX(1,COUNTIF(QCI!$A$13:$A$15,OFFSET($E253,-1,0)))),"")</f>
        <v/>
      </c>
      <c r="AE253" s="7" t="str">
        <f ca="1">IF(AND($C253="S",ORÇAMENTO.CodBarra&lt;&gt;""),IF(ORÇAMENTO.Fonte="",ORÇAMENTO.CodBarra,CONCATENATE(ORÇAMENTO.Fonte," ",ORÇAMENTO.CodBarra)))</f>
        <v>COTAÇÃO COT-018</v>
      </c>
      <c r="AF253" s="12">
        <f ca="1">IF(ISERROR(INDIRECT(ORÇAMENTO.BancoRef)),"(abra o arquivo 'Referência "&amp;Excel_BuiltIn_Database&amp;".xlsm)",IF(OR($C253&lt;&gt;"S",ORÇAMENTO.CodBarra=""),"(Sem Código)",IF(ISERROR(MATCH($AE253,INDIRECT(ORÇAMENTO.BancoRef),0)),"(Código não identificado nas referências)",MATCH($AE253,INDIRECT(ORÇAMENTO.BancoRef),0))))</f>
        <v>86</v>
      </c>
      <c r="AG253" s="428">
        <f ca="1">ROUND(IF(DESONERACAO="sim",REFERENCIA.Desonerado,REFERENCIA.NaoDesonerado),2)</f>
        <v>3834.09</v>
      </c>
      <c r="AH253" s="429">
        <f t="shared" ca="1" si="69"/>
        <v>0.16800000000000001</v>
      </c>
      <c r="AJ253" s="431">
        <v>1</v>
      </c>
      <c r="AL253" s="439"/>
      <c r="AM253" s="336">
        <f t="shared" ca="1" si="0"/>
        <v>4478.22</v>
      </c>
      <c r="AN253" s="470">
        <f t="shared" ca="1" si="70"/>
        <v>4478.22</v>
      </c>
    </row>
    <row r="254" spans="1:40" ht="38.25" x14ac:dyDescent="0.2">
      <c r="A254" t="str">
        <f t="shared" si="56"/>
        <v>S</v>
      </c>
      <c r="B254">
        <f t="shared" ca="1" si="57"/>
        <v>4</v>
      </c>
      <c r="C254" t="str">
        <f t="shared" ca="1" si="58"/>
        <v>S</v>
      </c>
      <c r="D254">
        <f t="shared" ca="1" si="59"/>
        <v>0</v>
      </c>
      <c r="E254">
        <f ca="1">IF($C254=1,OFFSET(E254,-1,0)+MAX(1,COUNTIF(QCI!$A$13:$A$15,OFFSET(ORÇAMENTO!E254,-1,0))),OFFSET(E254,-1,0))</f>
        <v>1</v>
      </c>
      <c r="F254">
        <f t="shared" ca="1" si="60"/>
        <v>7</v>
      </c>
      <c r="G254">
        <f t="shared" ca="1" si="61"/>
        <v>1</v>
      </c>
      <c r="H254">
        <f t="shared" ca="1" si="62"/>
        <v>1</v>
      </c>
      <c r="I254">
        <f t="shared" ca="1" si="63"/>
        <v>8</v>
      </c>
      <c r="J254">
        <f t="shared" ca="1" si="54"/>
        <v>0</v>
      </c>
      <c r="K254">
        <f ca="1">IF(OR($C254="S",$C254=0),0,MATCH(OFFSET($D254,0,$C254)+IF($C254&lt;&gt;1,1,COUNTIF(QCI!$A$13:$A$15,ORÇAMENTO!E254)),OFFSET($D254,1,$C254,ROW($C$508)-ROW($C254)),0))</f>
        <v>0</v>
      </c>
      <c r="L254" s="114" t="str">
        <f t="shared" ca="1" si="64"/>
        <v>F</v>
      </c>
      <c r="M254" s="115" t="s">
        <v>705</v>
      </c>
      <c r="N254" s="116" t="str">
        <f t="shared" ca="1" si="65"/>
        <v>Serviço</v>
      </c>
      <c r="O254" s="117" t="str">
        <f t="shared" ca="1" si="66"/>
        <v>1.7.1.1.8.</v>
      </c>
      <c r="P254" s="118" t="s">
        <v>1283</v>
      </c>
      <c r="Q254" s="119" t="s">
        <v>1062</v>
      </c>
      <c r="R254" s="120" t="str">
        <f ca="1">IF($C254="S",REFERENCIA.Descricao,"(digite a descrição aqui)")</f>
        <v>DISTRIBUIDOR ROTATIVO PARA LEITO FILTRANTE (INCLUINDO ACESSÓRIOS: PEDESTAL DE SUSPENSÃO, HASTE DE PROLONGAMENTO E MANCAL)</v>
      </c>
      <c r="S254" s="121" t="str">
        <f ca="1">REFERENCIA.Unidade</f>
        <v>CJ</v>
      </c>
      <c r="T254" s="122">
        <f ca="1">OFFSET(CÁLCULO!H$15,ROW($T254)-ROW(T$15),0)</f>
        <v>1</v>
      </c>
      <c r="U254" s="123">
        <f t="shared" ca="1" si="21"/>
        <v>383554.11</v>
      </c>
      <c r="V254" s="124" t="s">
        <v>697</v>
      </c>
      <c r="W254" s="122">
        <f ca="1">IF($C254="S",ROUND(IF(TIPOORCAMENTO="Proposto",ORÇAMENTO.CustoUnitario*(1+$AH254),ORÇAMENTO.PrecoUnitarioLicitado),15-13*$AF$10),0)</f>
        <v>447991.2</v>
      </c>
      <c r="X254" s="125" cm="1">
        <f t="array" aca="1" ref="X254" ca="1">IF($C254="S",IF(OR(Import.TipoArredondamento&lt;&gt;"TransfereGOV",ACOMPANHAMENTO="BM"),VTOTAL1,SUM(OFFSET(CÁLCULO!$AI$15,ROW($X254)-ROW($X$15),1):OFFSET(CÁLCULO!$BB$15,ROW($X254)-ROW($X$15),-1))),IF($C254=0,0,ROUND(SomaAgrup,15-13*$AF$11)))</f>
        <v>447991.2</v>
      </c>
      <c r="Y254" s="126" t="s">
        <v>751</v>
      </c>
      <c r="Z254" t="str">
        <f t="shared" ca="1" si="67"/>
        <v>RA</v>
      </c>
      <c r="AA254" s="127">
        <f ca="1">IF($C254="S",IF($Z254="CP",$X254,IF($Z254="RA",(($X254)*QCI!$AA$3),0)),SomaAgrup)</f>
        <v>0</v>
      </c>
      <c r="AB254" s="128">
        <f t="shared" ca="1" si="68"/>
        <v>0</v>
      </c>
      <c r="AC254" s="565" t="str" cm="1">
        <f t="array" aca="1" ref="AC254" ca="1">IF($N254=""," ",
IF(AND($C254&lt;&gt;"S",OR($R254="",$R254="(digite a descrição aqui)")),"DESCRIÇÃO",
IF(AND($C254="S",OR($Q254&lt;&gt;"",$T254&gt;0,$U254&gt;0),$P254=""),"FONTE",
IF(AND($C254="S",$P254&lt;&gt;"",OR($T254&gt;0,$U254&gt;0),$Q254=""),"CÓDIGO",
IF(AND($C254="S",$P254&lt;&gt;"",$Q254&lt;&gt;"",$R254="(Código não identificado nas referências)"),"CÓDIGO N/ID",
IF(AND($C254="S",OR($R254="",$R254="(digite a descrição aqui)"),OR($Q254&lt;&gt;"",$T254&gt;0,$U254&gt;0)),"DESCRIÇÃO",
IF(AND($C254="S",$P254&lt;&gt;"",$Q254&lt;&gt;"",$S254=""),"UNIDADE",
IF(AND($C254="S",$P254&lt;&gt;"",$Q254&lt;&gt;"",$U254=0),"SEM CUSTO",
IF(AND(_xlfn.SINGLE(TIPOORCAMENTO)="Licitado",$AL254=0,$AN254&gt;0),"SEM PREÇO",
IF(AND($C254="S",$P254&lt;&gt;"",$Q254&lt;&gt;"",$U254&gt;0,AND($V254&lt;&gt;"BDI 1",$V254&lt;&gt;"BDI 2",$V254&lt;&gt;"BDI 3")),IF(ISNUMBER($V254),"JUSTIFICAR BDI","BDI"),
IF(OR(AND(import.recurso="OGU",TIPOORCAMENTO="Proposto",LEFT($O$8,5)&lt;&gt;"(N/D:",$AG254&lt;&gt;"",ORÇAMENTO.CustoUnitario&gt;$AG254),AND(TIPOORCAMENTO="LICITADO",ORÇAMENTO.PrecoUnitarioLicitado&gt;$AN254)),"ACIMA REF.",
IF(AND($C254="S",$P254&lt;&gt;"",$Q254&lt;&gt;"",$T254=0,$U254&gt;0),"QUANT.",
IF(AND(Import.TipoArredondamento="TransfereGOV",$L254="F",$C254="S",LEN($Q254)&gt;13),"Código &gt;13",
IF(AND(Import.TipoArredondamento="TransfereGOV",$L254="F",$C254&lt;&gt;"S",LEN($R254)&gt;100),"Descrição &gt;100",
IF(AND(Import.TipoArredondamento="TransfereGOV",$L254="F",$C254="S",LEN($R254)&gt;500),"Descrição &gt;500",
IF(AND(Import.TipoArredondamento="TransfereGOV",$L254="F",$C254="S",LEFT(TRIM(UPPER($P254)),6)&lt;&gt;"SINAPI",ISNA(VLOOKUP(TRIM(UPPER($S254)),ListaTgov.Unidades,1,FALSE))),"Unid. Não Disp",
" "))))))))))))))))</f>
        <v xml:space="preserve"> </v>
      </c>
      <c r="AD254" t="str">
        <f ca="1">IF(C254&lt;=CRONO.NivelExibicao,MAX($AD$15:OFFSET(AD254,-1,0))+IF($C254&lt;&gt;1,1,MAX(1,COUNTIF(QCI!$A$13:$A$15,OFFSET($E254,-1,0)))),"")</f>
        <v/>
      </c>
      <c r="AE254" s="7" t="str">
        <f ca="1">IF(AND($C254="S",ORÇAMENTO.CodBarra&lt;&gt;""),IF(ORÇAMENTO.Fonte="",ORÇAMENTO.CodBarra,CONCATENATE(ORÇAMENTO.Fonte," ",ORÇAMENTO.CodBarra)))</f>
        <v>COTAÇÃO COT-019</v>
      </c>
      <c r="AF254" s="12">
        <f ca="1">IF(ISERROR(INDIRECT(ORÇAMENTO.BancoRef)),"(abra o arquivo 'Referência "&amp;Excel_BuiltIn_Database&amp;".xlsm)",IF(OR($C254&lt;&gt;"S",ORÇAMENTO.CodBarra=""),"(Sem Código)",IF(ISERROR(MATCH($AE254,INDIRECT(ORÇAMENTO.BancoRef),0)),"(Código não identificado nas referências)",MATCH($AE254,INDIRECT(ORÇAMENTO.BancoRef),0))))</f>
        <v>87</v>
      </c>
      <c r="AG254" s="428">
        <f ca="1">ROUND(IF(DESONERACAO="sim",REFERENCIA.Desonerado,REFERENCIA.NaoDesonerado),2)</f>
        <v>383554.11</v>
      </c>
      <c r="AH254" s="429">
        <f t="shared" ca="1" si="69"/>
        <v>0.16800000000000001</v>
      </c>
      <c r="AJ254" s="431">
        <v>1</v>
      </c>
      <c r="AL254" s="439"/>
      <c r="AM254" s="336">
        <f t="shared" ca="1" si="0"/>
        <v>447991.2</v>
      </c>
      <c r="AN254" s="470">
        <f t="shared" ca="1" si="70"/>
        <v>447991.2</v>
      </c>
    </row>
    <row r="255" spans="1:40" ht="25.5" x14ac:dyDescent="0.2">
      <c r="A255" t="str">
        <f t="shared" si="56"/>
        <v>S</v>
      </c>
      <c r="B255">
        <f t="shared" ca="1" si="57"/>
        <v>4</v>
      </c>
      <c r="C255" t="str">
        <f t="shared" ca="1" si="58"/>
        <v>S</v>
      </c>
      <c r="D255">
        <f t="shared" ca="1" si="59"/>
        <v>0</v>
      </c>
      <c r="E255">
        <f ca="1">IF($C255=1,OFFSET(E255,-1,0)+MAX(1,COUNTIF(QCI!$A$13:$A$15,OFFSET(ORÇAMENTO!E255,-1,0))),OFFSET(E255,-1,0))</f>
        <v>1</v>
      </c>
      <c r="F255">
        <f t="shared" ca="1" si="60"/>
        <v>7</v>
      </c>
      <c r="G255">
        <f t="shared" ca="1" si="61"/>
        <v>1</v>
      </c>
      <c r="H255">
        <f t="shared" ca="1" si="62"/>
        <v>1</v>
      </c>
      <c r="I255">
        <f t="shared" ca="1" si="63"/>
        <v>9</v>
      </c>
      <c r="J255">
        <f t="shared" ca="1" si="54"/>
        <v>0</v>
      </c>
      <c r="K255">
        <f ca="1">IF(OR($C255="S",$C255=0),0,MATCH(OFFSET($D255,0,$C255)+IF($C255&lt;&gt;1,1,COUNTIF(QCI!$A$13:$A$15,ORÇAMENTO!E255)),OFFSET($D255,1,$C255,ROW($C$508)-ROW($C255)),0))</f>
        <v>0</v>
      </c>
      <c r="L255" s="114" t="str">
        <f t="shared" ca="1" si="64"/>
        <v>F</v>
      </c>
      <c r="M255" s="115" t="s">
        <v>705</v>
      </c>
      <c r="N255" s="116" t="str">
        <f t="shared" ca="1" si="65"/>
        <v>Serviço</v>
      </c>
      <c r="O255" s="117" t="str">
        <f t="shared" ca="1" si="66"/>
        <v>1.7.1.1.9.</v>
      </c>
      <c r="P255" s="118" t="s">
        <v>1283</v>
      </c>
      <c r="Q255" s="119" t="s">
        <v>1063</v>
      </c>
      <c r="R255" s="120" t="str">
        <f ca="1">IF($C255="S",REFERENCIA.Descricao,"(digite a descrição aqui)")</f>
        <v>COMPORTA QUADRADA DE SENTIDO DUPLO (CONFORME PROJETO) - FORNECIMENTO E INSTALAÇÃO</v>
      </c>
      <c r="S255" s="121" t="str">
        <f ca="1">REFERENCIA.Unidade</f>
        <v>UN</v>
      </c>
      <c r="T255" s="122">
        <f ca="1">OFFSET(CÁLCULO!H$15,ROW($T255)-ROW(T$15),0)</f>
        <v>1</v>
      </c>
      <c r="U255" s="123">
        <f t="shared" ca="1" si="21"/>
        <v>32217.5</v>
      </c>
      <c r="V255" s="124" t="s">
        <v>663</v>
      </c>
      <c r="W255" s="122">
        <f ca="1">IF($C255="S",ROUND(IF(TIPOORCAMENTO="Proposto",ORÇAMENTO.CustoUnitario*(1+$AH255),ORÇAMENTO.PrecoUnitarioLicitado),15-13*$AF$10),0)</f>
        <v>39788.61</v>
      </c>
      <c r="X255" s="125" cm="1">
        <f t="array" aca="1" ref="X255" ca="1">IF($C255="S",IF(OR(Import.TipoArredondamento&lt;&gt;"TransfereGOV",ACOMPANHAMENTO="BM"),VTOTAL1,SUM(OFFSET(CÁLCULO!$AI$15,ROW($X255)-ROW($X$15),1):OFFSET(CÁLCULO!$BB$15,ROW($X255)-ROW($X$15),-1))),IF($C255=0,0,ROUND(SomaAgrup,15-13*$AF$11)))</f>
        <v>39788.61</v>
      </c>
      <c r="Y255" s="126" t="s">
        <v>751</v>
      </c>
      <c r="Z255" t="str">
        <f t="shared" ca="1" si="67"/>
        <v>RA</v>
      </c>
      <c r="AA255" s="127">
        <f ca="1">IF($C255="S",IF($Z255="CP",$X255,IF($Z255="RA",(($X255)*QCI!$AA$3),0)),SomaAgrup)</f>
        <v>0</v>
      </c>
      <c r="AB255" s="128">
        <f t="shared" ca="1" si="68"/>
        <v>0</v>
      </c>
      <c r="AC255" s="565" t="str" cm="1">
        <f t="array" aca="1" ref="AC255" ca="1">IF($N255=""," ",
IF(AND($C255&lt;&gt;"S",OR($R255="",$R255="(digite a descrição aqui)")),"DESCRIÇÃO",
IF(AND($C255="S",OR($Q255&lt;&gt;"",$T255&gt;0,$U255&gt;0),$P255=""),"FONTE",
IF(AND($C255="S",$P255&lt;&gt;"",OR($T255&gt;0,$U255&gt;0),$Q255=""),"CÓDIGO",
IF(AND($C255="S",$P255&lt;&gt;"",$Q255&lt;&gt;"",$R255="(Código não identificado nas referências)"),"CÓDIGO N/ID",
IF(AND($C255="S",OR($R255="",$R255="(digite a descrição aqui)"),OR($Q255&lt;&gt;"",$T255&gt;0,$U255&gt;0)),"DESCRIÇÃO",
IF(AND($C255="S",$P255&lt;&gt;"",$Q255&lt;&gt;"",$S255=""),"UNIDADE",
IF(AND($C255="S",$P255&lt;&gt;"",$Q255&lt;&gt;"",$U255=0),"SEM CUSTO",
IF(AND(_xlfn.SINGLE(TIPOORCAMENTO)="Licitado",$AL255=0,$AN255&gt;0),"SEM PREÇO",
IF(AND($C255="S",$P255&lt;&gt;"",$Q255&lt;&gt;"",$U255&gt;0,AND($V255&lt;&gt;"BDI 1",$V255&lt;&gt;"BDI 2",$V255&lt;&gt;"BDI 3")),IF(ISNUMBER($V255),"JUSTIFICAR BDI","BDI"),
IF(OR(AND(import.recurso="OGU",TIPOORCAMENTO="Proposto",LEFT($O$8,5)&lt;&gt;"(N/D:",$AG255&lt;&gt;"",ORÇAMENTO.CustoUnitario&gt;$AG255),AND(TIPOORCAMENTO="LICITADO",ORÇAMENTO.PrecoUnitarioLicitado&gt;$AN255)),"ACIMA REF.",
IF(AND($C255="S",$P255&lt;&gt;"",$Q255&lt;&gt;"",$T255=0,$U255&gt;0),"QUANT.",
IF(AND(Import.TipoArredondamento="TransfereGOV",$L255="F",$C255="S",LEN($Q255)&gt;13),"Código &gt;13",
IF(AND(Import.TipoArredondamento="TransfereGOV",$L255="F",$C255&lt;&gt;"S",LEN($R255)&gt;100),"Descrição &gt;100",
IF(AND(Import.TipoArredondamento="TransfereGOV",$L255="F",$C255="S",LEN($R255)&gt;500),"Descrição &gt;500",
IF(AND(Import.TipoArredondamento="TransfereGOV",$L255="F",$C255="S",LEFT(TRIM(UPPER($P255)),6)&lt;&gt;"SINAPI",ISNA(VLOOKUP(TRIM(UPPER($S255)),ListaTgov.Unidades,1,FALSE))),"Unid. Não Disp",
" "))))))))))))))))</f>
        <v xml:space="preserve"> </v>
      </c>
      <c r="AD255" t="str">
        <f ca="1">IF(C255&lt;=CRONO.NivelExibicao,MAX($AD$15:OFFSET(AD255,-1,0))+IF($C255&lt;&gt;1,1,MAX(1,COUNTIF(QCI!$A$13:$A$15,OFFSET($E255,-1,0)))),"")</f>
        <v/>
      </c>
      <c r="AE255" s="7" t="str">
        <f ca="1">IF(AND($C255="S",ORÇAMENTO.CodBarra&lt;&gt;""),IF(ORÇAMENTO.Fonte="",ORÇAMENTO.CodBarra,CONCATENATE(ORÇAMENTO.Fonte," ",ORÇAMENTO.CodBarra)))</f>
        <v>COTAÇÃO COT-020</v>
      </c>
      <c r="AF255" s="12">
        <f ca="1">IF(ISERROR(INDIRECT(ORÇAMENTO.BancoRef)),"(abra o arquivo 'Referência "&amp;Excel_BuiltIn_Database&amp;".xlsm)",IF(OR($C255&lt;&gt;"S",ORÇAMENTO.CodBarra=""),"(Sem Código)",IF(ISERROR(MATCH($AE255,INDIRECT(ORÇAMENTO.BancoRef),0)),"(Código não identificado nas referências)",MATCH($AE255,INDIRECT(ORÇAMENTO.BancoRef),0))))</f>
        <v>88</v>
      </c>
      <c r="AG255" s="428">
        <f ca="1">ROUND(IF(DESONERACAO="sim",REFERENCIA.Desonerado,REFERENCIA.NaoDesonerado),2)</f>
        <v>32217.5</v>
      </c>
      <c r="AH255" s="429">
        <f t="shared" ca="1" si="69"/>
        <v>0.23499999999999999</v>
      </c>
      <c r="AJ255" s="431">
        <v>1</v>
      </c>
      <c r="AL255" s="439"/>
      <c r="AM255" s="336">
        <f t="shared" ca="1" si="0"/>
        <v>39788.61</v>
      </c>
      <c r="AN255" s="470">
        <f t="shared" ca="1" si="70"/>
        <v>39788.61</v>
      </c>
    </row>
    <row r="256" spans="1:40" ht="25.5" x14ac:dyDescent="0.2">
      <c r="A256" t="str">
        <f t="shared" si="56"/>
        <v>S</v>
      </c>
      <c r="B256">
        <f t="shared" ca="1" si="57"/>
        <v>4</v>
      </c>
      <c r="C256" t="str">
        <f t="shared" ca="1" si="58"/>
        <v>S</v>
      </c>
      <c r="D256">
        <f t="shared" ca="1" si="59"/>
        <v>0</v>
      </c>
      <c r="E256">
        <f ca="1">IF($C256=1,OFFSET(E256,-1,0)+MAX(1,COUNTIF(QCI!$A$13:$A$15,OFFSET(ORÇAMENTO!E256,-1,0))),OFFSET(E256,-1,0))</f>
        <v>1</v>
      </c>
      <c r="F256">
        <f t="shared" ca="1" si="60"/>
        <v>7</v>
      </c>
      <c r="G256">
        <f t="shared" ca="1" si="61"/>
        <v>1</v>
      </c>
      <c r="H256">
        <f t="shared" ca="1" si="62"/>
        <v>1</v>
      </c>
      <c r="I256">
        <f t="shared" ca="1" si="63"/>
        <v>10</v>
      </c>
      <c r="J256">
        <f t="shared" ca="1" si="54"/>
        <v>0</v>
      </c>
      <c r="K256">
        <f ca="1">IF(OR($C256="S",$C256=0),0,MATCH(OFFSET($D256,0,$C256)+IF($C256&lt;&gt;1,1,COUNTIF(QCI!$A$13:$A$15,ORÇAMENTO!E256)),OFFSET($D256,1,$C256,ROW($C$508)-ROW($C256)),0))</f>
        <v>0</v>
      </c>
      <c r="L256" s="114" t="str">
        <f t="shared" ca="1" si="64"/>
        <v>F</v>
      </c>
      <c r="M256" s="115" t="s">
        <v>705</v>
      </c>
      <c r="N256" s="116" t="str">
        <f t="shared" ca="1" si="65"/>
        <v>Serviço</v>
      </c>
      <c r="O256" s="117" t="str">
        <f t="shared" ca="1" si="66"/>
        <v>1.7.1.1.10.</v>
      </c>
      <c r="P256" s="118" t="s">
        <v>1281</v>
      </c>
      <c r="Q256" s="119" t="s">
        <v>1064</v>
      </c>
      <c r="R256" s="120" t="str">
        <f ca="1">IF($C256="S",REFERENCIA.Descricao,"(digite a descrição aqui)")</f>
        <v>FORNECIMENTO E COLOCAÇÃO DE MATERIAL PARA O LEITO FILTRANTE - BASEADO EM SEINFRA (C3401)</v>
      </c>
      <c r="S256" s="121" t="str">
        <f ca="1">REFERENCIA.Unidade</f>
        <v>M3</v>
      </c>
      <c r="T256" s="122">
        <f ca="1">OFFSET(CÁLCULO!H$15,ROW($T256)-ROW(T$15),0)</f>
        <v>454</v>
      </c>
      <c r="U256" s="123">
        <f t="shared" ca="1" si="21"/>
        <v>298.97000000000003</v>
      </c>
      <c r="V256" s="124" t="s">
        <v>663</v>
      </c>
      <c r="W256" s="122">
        <f ca="1">IF($C256="S",ROUND(IF(TIPOORCAMENTO="Proposto",ORÇAMENTO.CustoUnitario*(1+$AH256),ORÇAMENTO.PrecoUnitarioLicitado),15-13*$AF$10),0)</f>
        <v>369.23</v>
      </c>
      <c r="X256" s="125" cm="1">
        <f t="array" aca="1" ref="X256" ca="1">IF($C256="S",IF(OR(Import.TipoArredondamento&lt;&gt;"TransfereGOV",ACOMPANHAMENTO="BM"),VTOTAL1,SUM(OFFSET(CÁLCULO!$AI$15,ROW($X256)-ROW($X$15),1):OFFSET(CÁLCULO!$BB$15,ROW($X256)-ROW($X$15),-1))),IF($C256=0,0,ROUND(SomaAgrup,15-13*$AF$11)))</f>
        <v>167630.42000000001</v>
      </c>
      <c r="Y256" s="126" t="s">
        <v>751</v>
      </c>
      <c r="Z256" t="str">
        <f t="shared" ca="1" si="67"/>
        <v>RA</v>
      </c>
      <c r="AA256" s="127">
        <f ca="1">IF($C256="S",IF($Z256="CP",$X256,IF($Z256="RA",(($X256)*QCI!$AA$3),0)),SomaAgrup)</f>
        <v>0</v>
      </c>
      <c r="AB256" s="128">
        <f t="shared" ca="1" si="68"/>
        <v>0</v>
      </c>
      <c r="AC256" s="565" t="str" cm="1">
        <f t="array" aca="1" ref="AC256" ca="1">IF($N256=""," ",
IF(AND($C256&lt;&gt;"S",OR($R256="",$R256="(digite a descrição aqui)")),"DESCRIÇÃO",
IF(AND($C256="S",OR($Q256&lt;&gt;"",$T256&gt;0,$U256&gt;0),$P256=""),"FONTE",
IF(AND($C256="S",$P256&lt;&gt;"",OR($T256&gt;0,$U256&gt;0),$Q256=""),"CÓDIGO",
IF(AND($C256="S",$P256&lt;&gt;"",$Q256&lt;&gt;"",$R256="(Código não identificado nas referências)"),"CÓDIGO N/ID",
IF(AND($C256="S",OR($R256="",$R256="(digite a descrição aqui)"),OR($Q256&lt;&gt;"",$T256&gt;0,$U256&gt;0)),"DESCRIÇÃO",
IF(AND($C256="S",$P256&lt;&gt;"",$Q256&lt;&gt;"",$S256=""),"UNIDADE",
IF(AND($C256="S",$P256&lt;&gt;"",$Q256&lt;&gt;"",$U256=0),"SEM CUSTO",
IF(AND(_xlfn.SINGLE(TIPOORCAMENTO)="Licitado",$AL256=0,$AN256&gt;0),"SEM PREÇO",
IF(AND($C256="S",$P256&lt;&gt;"",$Q256&lt;&gt;"",$U256&gt;0,AND($V256&lt;&gt;"BDI 1",$V256&lt;&gt;"BDI 2",$V256&lt;&gt;"BDI 3")),IF(ISNUMBER($V256),"JUSTIFICAR BDI","BDI"),
IF(OR(AND(import.recurso="OGU",TIPOORCAMENTO="Proposto",LEFT($O$8,5)&lt;&gt;"(N/D:",$AG256&lt;&gt;"",ORÇAMENTO.CustoUnitario&gt;$AG256),AND(TIPOORCAMENTO="LICITADO",ORÇAMENTO.PrecoUnitarioLicitado&gt;$AN256)),"ACIMA REF.",
IF(AND($C256="S",$P256&lt;&gt;"",$Q256&lt;&gt;"",$T256=0,$U256&gt;0),"QUANT.",
IF(AND(Import.TipoArredondamento="TransfereGOV",$L256="F",$C256="S",LEN($Q256)&gt;13),"Código &gt;13",
IF(AND(Import.TipoArredondamento="TransfereGOV",$L256="F",$C256&lt;&gt;"S",LEN($R256)&gt;100),"Descrição &gt;100",
IF(AND(Import.TipoArredondamento="TransfereGOV",$L256="F",$C256="S",LEN($R256)&gt;500),"Descrição &gt;500",
IF(AND(Import.TipoArredondamento="TransfereGOV",$L256="F",$C256="S",LEFT(TRIM(UPPER($P256)),6)&lt;&gt;"SINAPI",ISNA(VLOOKUP(TRIM(UPPER($S256)),ListaTgov.Unidades,1,FALSE))),"Unid. Não Disp",
" "))))))))))))))))</f>
        <v xml:space="preserve"> </v>
      </c>
      <c r="AD256" t="str">
        <f ca="1">IF(C256&lt;=CRONO.NivelExibicao,MAX($AD$15:OFFSET(AD256,-1,0))+IF($C256&lt;&gt;1,1,MAX(1,COUNTIF(QCI!$A$13:$A$15,OFFSET($E256,-1,0)))),"")</f>
        <v/>
      </c>
      <c r="AE256" s="7" t="str">
        <f ca="1">IF(AND($C256="S",ORÇAMENTO.CodBarra&lt;&gt;""),IF(ORÇAMENTO.Fonte="",ORÇAMENTO.CodBarra,CONCATENATE(ORÇAMENTO.Fonte," ",ORÇAMENTO.CodBarra)))</f>
        <v>COMPOSIÇÃO CPU-012</v>
      </c>
      <c r="AF256" s="12">
        <f ca="1">IF(ISERROR(INDIRECT(ORÇAMENTO.BancoRef)),"(abra o arquivo 'Referência "&amp;Excel_BuiltIn_Database&amp;".xlsm)",IF(OR($C256&lt;&gt;"S",ORÇAMENTO.CodBarra=""),"(Sem Código)",IF(ISERROR(MATCH($AE256,INDIRECT(ORÇAMENTO.BancoRef),0)),"(Código não identificado nas referências)",MATCH($AE256,INDIRECT(ORÇAMENTO.BancoRef),0))))</f>
        <v>14</v>
      </c>
      <c r="AG256" s="428">
        <f ca="1">ROUND(IF(DESONERACAO="sim",REFERENCIA.Desonerado,REFERENCIA.NaoDesonerado),2)</f>
        <v>298.97000000000003</v>
      </c>
      <c r="AH256" s="429">
        <f t="shared" ca="1" si="69"/>
        <v>0.23499999999999999</v>
      </c>
      <c r="AJ256" s="431">
        <v>454</v>
      </c>
      <c r="AL256" s="439"/>
      <c r="AM256" s="336">
        <f t="shared" ca="1" si="0"/>
        <v>167630.42000000001</v>
      </c>
      <c r="AN256" s="470">
        <f t="shared" ca="1" si="70"/>
        <v>369.23</v>
      </c>
    </row>
    <row r="257" spans="1:40" x14ac:dyDescent="0.2">
      <c r="A257" t="str">
        <f t="shared" si="56"/>
        <v>S</v>
      </c>
      <c r="B257">
        <f t="shared" ca="1" si="57"/>
        <v>4</v>
      </c>
      <c r="C257" t="str">
        <f t="shared" ca="1" si="58"/>
        <v>S</v>
      </c>
      <c r="D257">
        <f t="shared" ca="1" si="59"/>
        <v>0</v>
      </c>
      <c r="E257">
        <f ca="1">IF($C257=1,OFFSET(E257,-1,0)+MAX(1,COUNTIF(QCI!$A$13:$A$15,OFFSET(ORÇAMENTO!E257,-1,0))),OFFSET(E257,-1,0))</f>
        <v>1</v>
      </c>
      <c r="F257">
        <f t="shared" ca="1" si="60"/>
        <v>7</v>
      </c>
      <c r="G257">
        <f t="shared" ca="1" si="61"/>
        <v>1</v>
      </c>
      <c r="H257">
        <f t="shared" ca="1" si="62"/>
        <v>1</v>
      </c>
      <c r="I257">
        <f t="shared" ca="1" si="63"/>
        <v>11</v>
      </c>
      <c r="J257">
        <f t="shared" ca="1" si="54"/>
        <v>0</v>
      </c>
      <c r="K257">
        <f ca="1">IF(OR($C257="S",$C257=0),0,MATCH(OFFSET($D257,0,$C257)+IF($C257&lt;&gt;1,1,COUNTIF(QCI!$A$13:$A$15,ORÇAMENTO!E257)),OFFSET($D257,1,$C257,ROW($C$508)-ROW($C257)),0))</f>
        <v>0</v>
      </c>
      <c r="L257" s="114" t="str">
        <f t="shared" ca="1" si="64"/>
        <v>F</v>
      </c>
      <c r="M257" s="115" t="s">
        <v>705</v>
      </c>
      <c r="N257" s="116" t="str">
        <f t="shared" ca="1" si="65"/>
        <v>Serviço</v>
      </c>
      <c r="O257" s="117" t="str">
        <f t="shared" ca="1" si="66"/>
        <v>1.7.1.1.11.</v>
      </c>
      <c r="P257" s="118" t="s">
        <v>1283</v>
      </c>
      <c r="Q257" s="119" t="s">
        <v>1065</v>
      </c>
      <c r="R257" s="120" t="str">
        <f ca="1">IF($C257="S",REFERENCIA.Descricao,"(digite a descrição aqui)")</f>
        <v>ARRUELA BORRACHA PARA FLANGE - DN 350 MM</v>
      </c>
      <c r="S257" s="121" t="str">
        <f ca="1">REFERENCIA.Unidade</f>
        <v>UN</v>
      </c>
      <c r="T257" s="122">
        <f ca="1">OFFSET(CÁLCULO!H$15,ROW($T257)-ROW(T$15),0)</f>
        <v>2</v>
      </c>
      <c r="U257" s="123">
        <f t="shared" ca="1" si="21"/>
        <v>34.229999999999997</v>
      </c>
      <c r="V257" s="124" t="s">
        <v>697</v>
      </c>
      <c r="W257" s="122">
        <f ca="1">IF($C257="S",ROUND(IF(TIPOORCAMENTO="Proposto",ORÇAMENTO.CustoUnitario*(1+$AH257),ORÇAMENTO.PrecoUnitarioLicitado),15-13*$AF$10),0)</f>
        <v>39.979999999999997</v>
      </c>
      <c r="X257" s="125" cm="1">
        <f t="array" aca="1" ref="X257" ca="1">IF($C257="S",IF(OR(Import.TipoArredondamento&lt;&gt;"TransfereGOV",ACOMPANHAMENTO="BM"),VTOTAL1,SUM(OFFSET(CÁLCULO!$AI$15,ROW($X257)-ROW($X$15),1):OFFSET(CÁLCULO!$BB$15,ROW($X257)-ROW($X$15),-1))),IF($C257=0,0,ROUND(SomaAgrup,15-13*$AF$11)))</f>
        <v>79.959999999999994</v>
      </c>
      <c r="Y257" s="126" t="s">
        <v>751</v>
      </c>
      <c r="Z257" t="str">
        <f t="shared" ca="1" si="67"/>
        <v>RA</v>
      </c>
      <c r="AA257" s="127">
        <f ca="1">IF($C257="S",IF($Z257="CP",$X257,IF($Z257="RA",(($X257)*QCI!$AA$3),0)),SomaAgrup)</f>
        <v>0</v>
      </c>
      <c r="AB257" s="128">
        <f t="shared" ca="1" si="68"/>
        <v>0</v>
      </c>
      <c r="AC257" s="565" t="str" cm="1">
        <f t="array" aca="1" ref="AC257" ca="1">IF($N257=""," ",
IF(AND($C257&lt;&gt;"S",OR($R257="",$R257="(digite a descrição aqui)")),"DESCRIÇÃO",
IF(AND($C257="S",OR($Q257&lt;&gt;"",$T257&gt;0,$U257&gt;0),$P257=""),"FONTE",
IF(AND($C257="S",$P257&lt;&gt;"",OR($T257&gt;0,$U257&gt;0),$Q257=""),"CÓDIGO",
IF(AND($C257="S",$P257&lt;&gt;"",$Q257&lt;&gt;"",$R257="(Código não identificado nas referências)"),"CÓDIGO N/ID",
IF(AND($C257="S",OR($R257="",$R257="(digite a descrição aqui)"),OR($Q257&lt;&gt;"",$T257&gt;0,$U257&gt;0)),"DESCRIÇÃO",
IF(AND($C257="S",$P257&lt;&gt;"",$Q257&lt;&gt;"",$S257=""),"UNIDADE",
IF(AND($C257="S",$P257&lt;&gt;"",$Q257&lt;&gt;"",$U257=0),"SEM CUSTO",
IF(AND(_xlfn.SINGLE(TIPOORCAMENTO)="Licitado",$AL257=0,$AN257&gt;0),"SEM PREÇO",
IF(AND($C257="S",$P257&lt;&gt;"",$Q257&lt;&gt;"",$U257&gt;0,AND($V257&lt;&gt;"BDI 1",$V257&lt;&gt;"BDI 2",$V257&lt;&gt;"BDI 3")),IF(ISNUMBER($V257),"JUSTIFICAR BDI","BDI"),
IF(OR(AND(import.recurso="OGU",TIPOORCAMENTO="Proposto",LEFT($O$8,5)&lt;&gt;"(N/D:",$AG257&lt;&gt;"",ORÇAMENTO.CustoUnitario&gt;$AG257),AND(TIPOORCAMENTO="LICITADO",ORÇAMENTO.PrecoUnitarioLicitado&gt;$AN257)),"ACIMA REF.",
IF(AND($C257="S",$P257&lt;&gt;"",$Q257&lt;&gt;"",$T257=0,$U257&gt;0),"QUANT.",
IF(AND(Import.TipoArredondamento="TransfereGOV",$L257="F",$C257="S",LEN($Q257)&gt;13),"Código &gt;13",
IF(AND(Import.TipoArredondamento="TransfereGOV",$L257="F",$C257&lt;&gt;"S",LEN($R257)&gt;100),"Descrição &gt;100",
IF(AND(Import.TipoArredondamento="TransfereGOV",$L257="F",$C257="S",LEN($R257)&gt;500),"Descrição &gt;500",
IF(AND(Import.TipoArredondamento="TransfereGOV",$L257="F",$C257="S",LEFT(TRIM(UPPER($P257)),6)&lt;&gt;"SINAPI",ISNA(VLOOKUP(TRIM(UPPER($S257)),ListaTgov.Unidades,1,FALSE))),"Unid. Não Disp",
" "))))))))))))))))</f>
        <v xml:space="preserve"> </v>
      </c>
      <c r="AD257" t="str">
        <f ca="1">IF(C257&lt;=CRONO.NivelExibicao,MAX($AD$15:OFFSET(AD257,-1,0))+IF($C257&lt;&gt;1,1,MAX(1,COUNTIF(QCI!$A$13:$A$15,OFFSET($E257,-1,0)))),"")</f>
        <v/>
      </c>
      <c r="AE257" s="7" t="str">
        <f ca="1">IF(AND($C257="S",ORÇAMENTO.CodBarra&lt;&gt;""),IF(ORÇAMENTO.Fonte="",ORÇAMENTO.CodBarra,CONCATENATE(ORÇAMENTO.Fonte," ",ORÇAMENTO.CodBarra)))</f>
        <v>COTAÇÃO COT-021</v>
      </c>
      <c r="AF257" s="12">
        <f ca="1">IF(ISERROR(INDIRECT(ORÇAMENTO.BancoRef)),"(abra o arquivo 'Referência "&amp;Excel_BuiltIn_Database&amp;".xlsm)",IF(OR($C257&lt;&gt;"S",ORÇAMENTO.CodBarra=""),"(Sem Código)",IF(ISERROR(MATCH($AE257,INDIRECT(ORÇAMENTO.BancoRef),0)),"(Código não identificado nas referências)",MATCH($AE257,INDIRECT(ORÇAMENTO.BancoRef),0))))</f>
        <v>89</v>
      </c>
      <c r="AG257" s="428">
        <f ca="1">ROUND(IF(DESONERACAO="sim",REFERENCIA.Desonerado,REFERENCIA.NaoDesonerado),2)</f>
        <v>34.229999999999997</v>
      </c>
      <c r="AH257" s="429">
        <f t="shared" ca="1" si="69"/>
        <v>0.16800000000000001</v>
      </c>
      <c r="AJ257" s="431">
        <v>2</v>
      </c>
      <c r="AL257" s="439"/>
      <c r="AM257" s="336">
        <f t="shared" ca="1" si="0"/>
        <v>79.959999999999994</v>
      </c>
      <c r="AN257" s="470">
        <f t="shared" ca="1" si="70"/>
        <v>39.979999999999997</v>
      </c>
    </row>
    <row r="258" spans="1:40" x14ac:dyDescent="0.2">
      <c r="A258" t="str">
        <f t="shared" si="56"/>
        <v>S</v>
      </c>
      <c r="B258">
        <f t="shared" ca="1" si="57"/>
        <v>4</v>
      </c>
      <c r="C258" t="str">
        <f t="shared" ca="1" si="58"/>
        <v>S</v>
      </c>
      <c r="D258">
        <f t="shared" ca="1" si="59"/>
        <v>0</v>
      </c>
      <c r="E258">
        <f ca="1">IF($C258=1,OFFSET(E258,-1,0)+MAX(1,COUNTIF(QCI!$A$13:$A$15,OFFSET(ORÇAMENTO!E258,-1,0))),OFFSET(E258,-1,0))</f>
        <v>1</v>
      </c>
      <c r="F258">
        <f t="shared" ca="1" si="60"/>
        <v>7</v>
      </c>
      <c r="G258">
        <f t="shared" ca="1" si="61"/>
        <v>1</v>
      </c>
      <c r="H258">
        <f t="shared" ca="1" si="62"/>
        <v>1</v>
      </c>
      <c r="I258">
        <f t="shared" ca="1" si="63"/>
        <v>12</v>
      </c>
      <c r="J258">
        <f t="shared" ca="1" si="54"/>
        <v>0</v>
      </c>
      <c r="K258">
        <f ca="1">IF(OR($C258="S",$C258=0),0,MATCH(OFFSET($D258,0,$C258)+IF($C258&lt;&gt;1,1,COUNTIF(QCI!$A$13:$A$15,ORÇAMENTO!E258)),OFFSET($D258,1,$C258,ROW($C$508)-ROW($C258)),0))</f>
        <v>0</v>
      </c>
      <c r="L258" s="114" t="str">
        <f t="shared" ca="1" si="64"/>
        <v>F</v>
      </c>
      <c r="M258" s="115" t="s">
        <v>705</v>
      </c>
      <c r="N258" s="116" t="str">
        <f t="shared" ca="1" si="65"/>
        <v>Serviço</v>
      </c>
      <c r="O258" s="117" t="str">
        <f t="shared" ca="1" si="66"/>
        <v>1.7.1.1.12.</v>
      </c>
      <c r="P258" s="118" t="s">
        <v>1283</v>
      </c>
      <c r="Q258" s="119" t="s">
        <v>1066</v>
      </c>
      <c r="R258" s="120" t="str">
        <f ca="1">IF($C258="S",REFERENCIA.Descricao,"(digite a descrição aqui)")</f>
        <v>PARAFUSO PARA FLANGE - 20 X 90 MM</v>
      </c>
      <c r="S258" s="121" t="str">
        <f ca="1">REFERENCIA.Unidade</f>
        <v>UN</v>
      </c>
      <c r="T258" s="122">
        <f ca="1">OFFSET(CÁLCULO!H$15,ROW($T258)-ROW(T$15),0)</f>
        <v>32</v>
      </c>
      <c r="U258" s="123">
        <f t="shared" ca="1" si="21"/>
        <v>28.19</v>
      </c>
      <c r="V258" s="124" t="s">
        <v>697</v>
      </c>
      <c r="W258" s="122">
        <f ca="1">IF($C258="S",ROUND(IF(TIPOORCAMENTO="Proposto",ORÇAMENTO.CustoUnitario*(1+$AH258),ORÇAMENTO.PrecoUnitarioLicitado),15-13*$AF$10),0)</f>
        <v>32.93</v>
      </c>
      <c r="X258" s="125" cm="1">
        <f t="array" aca="1" ref="X258" ca="1">IF($C258="S",IF(OR(Import.TipoArredondamento&lt;&gt;"TransfereGOV",ACOMPANHAMENTO="BM"),VTOTAL1,SUM(OFFSET(CÁLCULO!$AI$15,ROW($X258)-ROW($X$15),1):OFFSET(CÁLCULO!$BB$15,ROW($X258)-ROW($X$15),-1))),IF($C258=0,0,ROUND(SomaAgrup,15-13*$AF$11)))</f>
        <v>1053.76</v>
      </c>
      <c r="Y258" s="126" t="s">
        <v>751</v>
      </c>
      <c r="Z258" t="str">
        <f t="shared" ca="1" si="67"/>
        <v>RA</v>
      </c>
      <c r="AA258" s="127">
        <f ca="1">IF($C258="S",IF($Z258="CP",$X258,IF($Z258="RA",(($X258)*QCI!$AA$3),0)),SomaAgrup)</f>
        <v>0</v>
      </c>
      <c r="AB258" s="128">
        <f t="shared" ca="1" si="68"/>
        <v>0</v>
      </c>
      <c r="AC258" s="565" t="str" cm="1">
        <f t="array" aca="1" ref="AC258" ca="1">IF($N258=""," ",
IF(AND($C258&lt;&gt;"S",OR($R258="",$R258="(digite a descrição aqui)")),"DESCRIÇÃO",
IF(AND($C258="S",OR($Q258&lt;&gt;"",$T258&gt;0,$U258&gt;0),$P258=""),"FONTE",
IF(AND($C258="S",$P258&lt;&gt;"",OR($T258&gt;0,$U258&gt;0),$Q258=""),"CÓDIGO",
IF(AND($C258="S",$P258&lt;&gt;"",$Q258&lt;&gt;"",$R258="(Código não identificado nas referências)"),"CÓDIGO N/ID",
IF(AND($C258="S",OR($R258="",$R258="(digite a descrição aqui)"),OR($Q258&lt;&gt;"",$T258&gt;0,$U258&gt;0)),"DESCRIÇÃO",
IF(AND($C258="S",$P258&lt;&gt;"",$Q258&lt;&gt;"",$S258=""),"UNIDADE",
IF(AND($C258="S",$P258&lt;&gt;"",$Q258&lt;&gt;"",$U258=0),"SEM CUSTO",
IF(AND(_xlfn.SINGLE(TIPOORCAMENTO)="Licitado",$AL258=0,$AN258&gt;0),"SEM PREÇO",
IF(AND($C258="S",$P258&lt;&gt;"",$Q258&lt;&gt;"",$U258&gt;0,AND($V258&lt;&gt;"BDI 1",$V258&lt;&gt;"BDI 2",$V258&lt;&gt;"BDI 3")),IF(ISNUMBER($V258),"JUSTIFICAR BDI","BDI"),
IF(OR(AND(import.recurso="OGU",TIPOORCAMENTO="Proposto",LEFT($O$8,5)&lt;&gt;"(N/D:",$AG258&lt;&gt;"",ORÇAMENTO.CustoUnitario&gt;$AG258),AND(TIPOORCAMENTO="LICITADO",ORÇAMENTO.PrecoUnitarioLicitado&gt;$AN258)),"ACIMA REF.",
IF(AND($C258="S",$P258&lt;&gt;"",$Q258&lt;&gt;"",$T258=0,$U258&gt;0),"QUANT.",
IF(AND(Import.TipoArredondamento="TransfereGOV",$L258="F",$C258="S",LEN($Q258)&gt;13),"Código &gt;13",
IF(AND(Import.TipoArredondamento="TransfereGOV",$L258="F",$C258&lt;&gt;"S",LEN($R258)&gt;100),"Descrição &gt;100",
IF(AND(Import.TipoArredondamento="TransfereGOV",$L258="F",$C258="S",LEN($R258)&gt;500),"Descrição &gt;500",
IF(AND(Import.TipoArredondamento="TransfereGOV",$L258="F",$C258="S",LEFT(TRIM(UPPER($P258)),6)&lt;&gt;"SINAPI",ISNA(VLOOKUP(TRIM(UPPER($S258)),ListaTgov.Unidades,1,FALSE))),"Unid. Não Disp",
" "))))))))))))))))</f>
        <v xml:space="preserve"> </v>
      </c>
      <c r="AD258" t="str">
        <f ca="1">IF(C258&lt;=CRONO.NivelExibicao,MAX($AD$15:OFFSET(AD258,-1,0))+IF($C258&lt;&gt;1,1,MAX(1,COUNTIF(QCI!$A$13:$A$15,OFFSET($E258,-1,0)))),"")</f>
        <v/>
      </c>
      <c r="AE258" s="7" t="str">
        <f ca="1">IF(AND($C258="S",ORÇAMENTO.CodBarra&lt;&gt;""),IF(ORÇAMENTO.Fonte="",ORÇAMENTO.CodBarra,CONCATENATE(ORÇAMENTO.Fonte," ",ORÇAMENTO.CodBarra)))</f>
        <v>COTAÇÃO COT-022</v>
      </c>
      <c r="AF258" s="12">
        <f ca="1">IF(ISERROR(INDIRECT(ORÇAMENTO.BancoRef)),"(abra o arquivo 'Referência "&amp;Excel_BuiltIn_Database&amp;".xlsm)",IF(OR($C258&lt;&gt;"S",ORÇAMENTO.CodBarra=""),"(Sem Código)",IF(ISERROR(MATCH($AE258,INDIRECT(ORÇAMENTO.BancoRef),0)),"(Código não identificado nas referências)",MATCH($AE258,INDIRECT(ORÇAMENTO.BancoRef),0))))</f>
        <v>90</v>
      </c>
      <c r="AG258" s="428">
        <f ca="1">ROUND(IF(DESONERACAO="sim",REFERENCIA.Desonerado,REFERENCIA.NaoDesonerado),2)</f>
        <v>28.19</v>
      </c>
      <c r="AH258" s="429">
        <f t="shared" ca="1" si="69"/>
        <v>0.16800000000000001</v>
      </c>
      <c r="AJ258" s="431">
        <v>32</v>
      </c>
      <c r="AL258" s="439"/>
      <c r="AM258" s="336">
        <f t="shared" ca="1" si="0"/>
        <v>1053.76</v>
      </c>
      <c r="AN258" s="470">
        <f t="shared" ca="1" si="70"/>
        <v>32.93</v>
      </c>
    </row>
    <row r="259" spans="1:40" x14ac:dyDescent="0.2">
      <c r="A259">
        <f t="shared" si="56"/>
        <v>4</v>
      </c>
      <c r="B259">
        <f t="shared" ca="1" si="57"/>
        <v>4</v>
      </c>
      <c r="C259">
        <f t="shared" ca="1" si="58"/>
        <v>4</v>
      </c>
      <c r="D259">
        <f t="shared" ca="1" si="59"/>
        <v>4</v>
      </c>
      <c r="E259">
        <f ca="1">IF($C259=1,OFFSET(E259,-1,0)+MAX(1,COUNTIF(QCI!$A$13:$A$15,OFFSET(ORÇAMENTO!E259,-1,0))),OFFSET(E259,-1,0))</f>
        <v>1</v>
      </c>
      <c r="F259">
        <f t="shared" ca="1" si="60"/>
        <v>7</v>
      </c>
      <c r="G259">
        <f t="shared" ca="1" si="61"/>
        <v>1</v>
      </c>
      <c r="H259">
        <f t="shared" ca="1" si="62"/>
        <v>2</v>
      </c>
      <c r="I259">
        <f t="shared" ca="1" si="63"/>
        <v>0</v>
      </c>
      <c r="J259">
        <f t="shared" ca="1" si="54"/>
        <v>4</v>
      </c>
      <c r="K259">
        <f ca="1">IF(OR($C259="S",$C259=0),0,MATCH(OFFSET($D259,0,$C259)+IF($C259&lt;&gt;1,1,COUNTIF(QCI!$A$13:$A$15,ORÇAMENTO!E259)),OFFSET($D259,1,$C259,ROW($C$508)-ROW($C259)),0))</f>
        <v>30</v>
      </c>
      <c r="L259" s="114" t="str">
        <f t="shared" ca="1" si="64"/>
        <v>F</v>
      </c>
      <c r="M259" s="115" t="s">
        <v>704</v>
      </c>
      <c r="N259" s="116" t="str">
        <f t="shared" ca="1" si="65"/>
        <v>Nível 4</v>
      </c>
      <c r="O259" s="117" t="str">
        <f t="shared" ca="1" si="66"/>
        <v>1.7.1.2.</v>
      </c>
      <c r="P259" s="118" t="s">
        <v>750</v>
      </c>
      <c r="Q259" s="119"/>
      <c r="R259" s="120" t="s">
        <v>1238</v>
      </c>
      <c r="S259" s="121" t="s">
        <v>688</v>
      </c>
      <c r="T259" s="122">
        <f ca="1">OFFSET(CÁLCULO!H$15,ROW($T259)-ROW(T$15),0)</f>
        <v>0</v>
      </c>
      <c r="U259" s="123">
        <f t="shared" ref="U259:U320" ca="1" si="72">AG259</f>
        <v>0</v>
      </c>
      <c r="V259" s="124" t="s">
        <v>663</v>
      </c>
      <c r="W259" s="122">
        <f ca="1">IF($C259="S",ROUND(IF(TIPOORCAMENTO="Proposto",ORÇAMENTO.CustoUnitario*(1+$AH259),ORÇAMENTO.PrecoUnitarioLicitado),15-13*$AF$10),0)</f>
        <v>0</v>
      </c>
      <c r="X259" s="125" cm="1">
        <f t="array" aca="1" ref="X259" ca="1">IF($C259="S",IF(OR(Import.TipoArredondamento&lt;&gt;"TransfereGOV",ACOMPANHAMENTO="BM"),VTOTAL1,SUM(OFFSET(CÁLCULO!$AI$15,ROW($X259)-ROW($X$15),1):OFFSET(CÁLCULO!$BB$15,ROW($X259)-ROW($X$15),-1))),IF($C259=0,0,ROUND(SomaAgrup,15-13*$AF$11)))</f>
        <v>91700.87</v>
      </c>
      <c r="Y259" s="126" t="s">
        <v>751</v>
      </c>
      <c r="Z259" t="str">
        <f t="shared" ca="1" si="67"/>
        <v/>
      </c>
      <c r="AA259" s="127">
        <f ca="1">IF($C259="S",IF($Z259="CP",$X259,IF($Z259="RA",(($X259)*QCI!$AA$3),0)),SomaAgrup)</f>
        <v>0</v>
      </c>
      <c r="AB259" s="128">
        <f t="shared" ca="1" si="68"/>
        <v>0</v>
      </c>
      <c r="AC259" s="565" t="str" cm="1">
        <f t="array" aca="1" ref="AC259" ca="1">IF($N259=""," ",
IF(AND($C259&lt;&gt;"S",OR($R259="",$R259="(digite a descrição aqui)")),"DESCRIÇÃO",
IF(AND($C259="S",OR($Q259&lt;&gt;"",$T259&gt;0,$U259&gt;0),$P259=""),"FONTE",
IF(AND($C259="S",$P259&lt;&gt;"",OR($T259&gt;0,$U259&gt;0),$Q259=""),"CÓDIGO",
IF(AND($C259="S",$P259&lt;&gt;"",$Q259&lt;&gt;"",$R259="(Código não identificado nas referências)"),"CÓDIGO N/ID",
IF(AND($C259="S",OR($R259="",$R259="(digite a descrição aqui)"),OR($Q259&lt;&gt;"",$T259&gt;0,$U259&gt;0)),"DESCRIÇÃO",
IF(AND($C259="S",$P259&lt;&gt;"",$Q259&lt;&gt;"",$S259=""),"UNIDADE",
IF(AND($C259="S",$P259&lt;&gt;"",$Q259&lt;&gt;"",$U259=0),"SEM CUSTO",
IF(AND(_xlfn.SINGLE(TIPOORCAMENTO)="Licitado",$AL259=0,$AN259&gt;0),"SEM PREÇO",
IF(AND($C259="S",$P259&lt;&gt;"",$Q259&lt;&gt;"",$U259&gt;0,AND($V259&lt;&gt;"BDI 1",$V259&lt;&gt;"BDI 2",$V259&lt;&gt;"BDI 3")),IF(ISNUMBER($V259),"JUSTIFICAR BDI","BDI"),
IF(OR(AND(import.recurso="OGU",TIPOORCAMENTO="Proposto",LEFT($O$8,5)&lt;&gt;"(N/D:",$AG259&lt;&gt;"",ORÇAMENTO.CustoUnitario&gt;$AG259),AND(TIPOORCAMENTO="LICITADO",ORÇAMENTO.PrecoUnitarioLicitado&gt;$AN259)),"ACIMA REF.",
IF(AND($C259="S",$P259&lt;&gt;"",$Q259&lt;&gt;"",$T259=0,$U259&gt;0),"QUANT.",
IF(AND(Import.TipoArredondamento="TransfereGOV",$L259="F",$C259="S",LEN($Q259)&gt;13),"Código &gt;13",
IF(AND(Import.TipoArredondamento="TransfereGOV",$L259="F",$C259&lt;&gt;"S",LEN($R259)&gt;100),"Descrição &gt;100",
IF(AND(Import.TipoArredondamento="TransfereGOV",$L259="F",$C259="S",LEN($R259)&gt;500),"Descrição &gt;500",
IF(AND(Import.TipoArredondamento="TransfereGOV",$L259="F",$C259="S",LEFT(TRIM(UPPER($P259)),6)&lt;&gt;"SINAPI",ISNA(VLOOKUP(TRIM(UPPER($S259)),ListaTgov.Unidades,1,FALSE))),"Unid. Não Disp",
" "))))))))))))))))</f>
        <v xml:space="preserve"> </v>
      </c>
      <c r="AD259" t="str">
        <f ca="1">IF(C259&lt;=CRONO.NivelExibicao,MAX($AD$15:OFFSET(AD259,-1,0))+IF($C259&lt;&gt;1,1,MAX(1,COUNTIF(QCI!$A$13:$A$15,OFFSET($E259,-1,0)))),"")</f>
        <v/>
      </c>
      <c r="AE259" s="7" t="b">
        <f ca="1">IF(AND($C259="S",ORÇAMENTO.CodBarra&lt;&gt;""),IF(ORÇAMENTO.Fonte="",ORÇAMENTO.CodBarra,CONCATENATE(ORÇAMENTO.Fonte," ",ORÇAMENTO.CodBarra)))</f>
        <v>0</v>
      </c>
      <c r="AF259" s="12" t="str">
        <f ca="1">IF(ISERROR(INDIRECT(ORÇAMENTO.BancoRef)),"(abra o arquivo 'Referência "&amp;Excel_BuiltIn_Database&amp;".xlsm)",IF(OR($C259&lt;&gt;"S",ORÇAMENTO.CodBarra=""),"(Sem Código)",IF(ISERROR(MATCH($AE259,INDIRECT(ORÇAMENTO.BancoRef),0)),"(Código não identificado nas referências)",MATCH($AE259,INDIRECT(ORÇAMENTO.BancoRef),0))))</f>
        <v>(Sem Código)</v>
      </c>
      <c r="AG259" s="428">
        <f ca="1">ROUND(IF(DESONERACAO="sim",REFERENCIA.Desonerado,REFERENCIA.NaoDesonerado),2)</f>
        <v>0</v>
      </c>
      <c r="AH259" s="429">
        <f t="shared" ca="1" si="69"/>
        <v>0.23499999999999999</v>
      </c>
      <c r="AJ259" s="431"/>
      <c r="AL259" s="439"/>
      <c r="AM259" s="336">
        <f t="shared" ca="1" si="0"/>
        <v>91700.87</v>
      </c>
      <c r="AN259" s="470">
        <f t="shared" ca="1" si="70"/>
        <v>0</v>
      </c>
    </row>
    <row r="260" spans="1:40" ht="25.5" x14ac:dyDescent="0.2">
      <c r="A260" t="str">
        <f t="shared" si="56"/>
        <v>S</v>
      </c>
      <c r="B260">
        <f t="shared" ca="1" si="57"/>
        <v>4</v>
      </c>
      <c r="C260" t="str">
        <f t="shared" ca="1" si="58"/>
        <v>S</v>
      </c>
      <c r="D260">
        <f t="shared" ca="1" si="59"/>
        <v>0</v>
      </c>
      <c r="E260">
        <f ca="1">IF($C260=1,OFFSET(E260,-1,0)+MAX(1,COUNTIF(QCI!$A$13:$A$15,OFFSET(ORÇAMENTO!E260,-1,0))),OFFSET(E260,-1,0))</f>
        <v>1</v>
      </c>
      <c r="F260">
        <f t="shared" ca="1" si="60"/>
        <v>7</v>
      </c>
      <c r="G260">
        <f t="shared" ca="1" si="61"/>
        <v>1</v>
      </c>
      <c r="H260">
        <f t="shared" ca="1" si="62"/>
        <v>2</v>
      </c>
      <c r="I260">
        <f t="shared" ca="1" si="63"/>
        <v>1</v>
      </c>
      <c r="J260">
        <f t="shared" ca="1" si="54"/>
        <v>0</v>
      </c>
      <c r="K260">
        <f ca="1">IF(OR($C260="S",$C260=0),0,MATCH(OFFSET($D260,0,$C260)+IF($C260&lt;&gt;1,1,COUNTIF(QCI!$A$13:$A$15,ORÇAMENTO!E260)),OFFSET($D260,1,$C260,ROW($C$508)-ROW($C260)),0))</f>
        <v>0</v>
      </c>
      <c r="L260" s="114" t="str">
        <f t="shared" ca="1" si="64"/>
        <v>F</v>
      </c>
      <c r="M260" s="115" t="s">
        <v>705</v>
      </c>
      <c r="N260" s="116" t="str">
        <f t="shared" ca="1" si="65"/>
        <v>Serviço</v>
      </c>
      <c r="O260" s="117" t="str">
        <f t="shared" ca="1" si="66"/>
        <v>1.7.1.2.1.</v>
      </c>
      <c r="P260" s="118" t="s">
        <v>1281</v>
      </c>
      <c r="Q260" s="119" t="s">
        <v>1067</v>
      </c>
      <c r="R260" s="120" t="str">
        <f ca="1">IF($C260="S",REFERENCIA.Descricao,"(digite a descrição aqui)")</f>
        <v>ASSENTAMENTO DE CONEXÕES EM FERRO FUNDIDO, JUNTA ELÁSTICA, DN = 350 MM - BASEADO EM ORSE (5287)</v>
      </c>
      <c r="S260" s="121" t="str">
        <f ca="1">REFERENCIA.Unidade</f>
        <v>UN</v>
      </c>
      <c r="T260" s="122">
        <f ca="1">OFFSET(CÁLCULO!H$15,ROW($T260)-ROW(T$15),0)</f>
        <v>3</v>
      </c>
      <c r="U260" s="123">
        <f t="shared" ca="1" si="72"/>
        <v>21.71</v>
      </c>
      <c r="V260" s="124" t="s">
        <v>663</v>
      </c>
      <c r="W260" s="122">
        <f ca="1">IF($C260="S",ROUND(IF(TIPOORCAMENTO="Proposto",ORÇAMENTO.CustoUnitario*(1+$AH260),ORÇAMENTO.PrecoUnitarioLicitado),15-13*$AF$10),0)</f>
        <v>26.81</v>
      </c>
      <c r="X260" s="125" cm="1">
        <f t="array" aca="1" ref="X260" ca="1">IF($C260="S",IF(OR(Import.TipoArredondamento&lt;&gt;"TransfereGOV",ACOMPANHAMENTO="BM"),VTOTAL1,SUM(OFFSET(CÁLCULO!$AI$15,ROW($X260)-ROW($X$15),1):OFFSET(CÁLCULO!$BB$15,ROW($X260)-ROW($X$15),-1))),IF($C260=0,0,ROUND(SomaAgrup,15-13*$AF$11)))</f>
        <v>80.430000000000007</v>
      </c>
      <c r="Y260" s="126" t="s">
        <v>751</v>
      </c>
      <c r="Z260" t="str">
        <f t="shared" ca="1" si="67"/>
        <v>RA</v>
      </c>
      <c r="AA260" s="127">
        <f ca="1">IF($C260="S",IF($Z260="CP",$X260,IF($Z260="RA",(($X260)*QCI!$AA$3),0)),SomaAgrup)</f>
        <v>0</v>
      </c>
      <c r="AB260" s="128">
        <f t="shared" ca="1" si="68"/>
        <v>0</v>
      </c>
      <c r="AC260" s="565" t="str" cm="1">
        <f t="array" aca="1" ref="AC260" ca="1">IF($N260=""," ",
IF(AND($C260&lt;&gt;"S",OR($R260="",$R260="(digite a descrição aqui)")),"DESCRIÇÃO",
IF(AND($C260="S",OR($Q260&lt;&gt;"",$T260&gt;0,$U260&gt;0),$P260=""),"FONTE",
IF(AND($C260="S",$P260&lt;&gt;"",OR($T260&gt;0,$U260&gt;0),$Q260=""),"CÓDIGO",
IF(AND($C260="S",$P260&lt;&gt;"",$Q260&lt;&gt;"",$R260="(Código não identificado nas referências)"),"CÓDIGO N/ID",
IF(AND($C260="S",OR($R260="",$R260="(digite a descrição aqui)"),OR($Q260&lt;&gt;"",$T260&gt;0,$U260&gt;0)),"DESCRIÇÃO",
IF(AND($C260="S",$P260&lt;&gt;"",$Q260&lt;&gt;"",$S260=""),"UNIDADE",
IF(AND($C260="S",$P260&lt;&gt;"",$Q260&lt;&gt;"",$U260=0),"SEM CUSTO",
IF(AND(_xlfn.SINGLE(TIPOORCAMENTO)="Licitado",$AL260=0,$AN260&gt;0),"SEM PREÇO",
IF(AND($C260="S",$P260&lt;&gt;"",$Q260&lt;&gt;"",$U260&gt;0,AND($V260&lt;&gt;"BDI 1",$V260&lt;&gt;"BDI 2",$V260&lt;&gt;"BDI 3")),IF(ISNUMBER($V260),"JUSTIFICAR BDI","BDI"),
IF(OR(AND(import.recurso="OGU",TIPOORCAMENTO="Proposto",LEFT($O$8,5)&lt;&gt;"(N/D:",$AG260&lt;&gt;"",ORÇAMENTO.CustoUnitario&gt;$AG260),AND(TIPOORCAMENTO="LICITADO",ORÇAMENTO.PrecoUnitarioLicitado&gt;$AN260)),"ACIMA REF.",
IF(AND($C260="S",$P260&lt;&gt;"",$Q260&lt;&gt;"",$T260=0,$U260&gt;0),"QUANT.",
IF(AND(Import.TipoArredondamento="TransfereGOV",$L260="F",$C260="S",LEN($Q260)&gt;13),"Código &gt;13",
IF(AND(Import.TipoArredondamento="TransfereGOV",$L260="F",$C260&lt;&gt;"S",LEN($R260)&gt;100),"Descrição &gt;100",
IF(AND(Import.TipoArredondamento="TransfereGOV",$L260="F",$C260="S",LEN($R260)&gt;500),"Descrição &gt;500",
IF(AND(Import.TipoArredondamento="TransfereGOV",$L260="F",$C260="S",LEFT(TRIM(UPPER($P260)),6)&lt;&gt;"SINAPI",ISNA(VLOOKUP(TRIM(UPPER($S260)),ListaTgov.Unidades,1,FALSE))),"Unid. Não Disp",
" "))))))))))))))))</f>
        <v xml:space="preserve"> </v>
      </c>
      <c r="AD260" t="str">
        <f ca="1">IF(C260&lt;=CRONO.NivelExibicao,MAX($AD$15:OFFSET(AD260,-1,0))+IF($C260&lt;&gt;1,1,MAX(1,COUNTIF(QCI!$A$13:$A$15,OFFSET($E260,-1,0)))),"")</f>
        <v/>
      </c>
      <c r="AE260" s="7" t="str">
        <f ca="1">IF(AND($C260="S",ORÇAMENTO.CodBarra&lt;&gt;""),IF(ORÇAMENTO.Fonte="",ORÇAMENTO.CodBarra,CONCATENATE(ORÇAMENTO.Fonte," ",ORÇAMENTO.CodBarra)))</f>
        <v>COMPOSIÇÃO CPU-013</v>
      </c>
      <c r="AF260" s="12">
        <f ca="1">IF(ISERROR(INDIRECT(ORÇAMENTO.BancoRef)),"(abra o arquivo 'Referência "&amp;Excel_BuiltIn_Database&amp;".xlsm)",IF(OR($C260&lt;&gt;"S",ORÇAMENTO.CodBarra=""),"(Sem Código)",IF(ISERROR(MATCH($AE260,INDIRECT(ORÇAMENTO.BancoRef),0)),"(Código não identificado nas referências)",MATCH($AE260,INDIRECT(ORÇAMENTO.BancoRef),0))))</f>
        <v>15</v>
      </c>
      <c r="AG260" s="428">
        <f ca="1">ROUND(IF(DESONERACAO="sim",REFERENCIA.Desonerado,REFERENCIA.NaoDesonerado),2)</f>
        <v>21.71</v>
      </c>
      <c r="AH260" s="429">
        <f t="shared" ca="1" si="69"/>
        <v>0.23499999999999999</v>
      </c>
      <c r="AJ260" s="431">
        <f>AJ247+AJ250+AJ253</f>
        <v>3</v>
      </c>
      <c r="AL260" s="439"/>
      <c r="AM260" s="336">
        <f t="shared" ca="1" si="0"/>
        <v>80.430000000000007</v>
      </c>
      <c r="AN260" s="470">
        <f t="shared" ca="1" si="70"/>
        <v>26.81</v>
      </c>
    </row>
    <row r="261" spans="1:40" ht="51" x14ac:dyDescent="0.2">
      <c r="A261" t="str">
        <f t="shared" si="56"/>
        <v>S</v>
      </c>
      <c r="B261">
        <f t="shared" ca="1" si="57"/>
        <v>4</v>
      </c>
      <c r="C261" t="str">
        <f t="shared" ca="1" si="58"/>
        <v>S</v>
      </c>
      <c r="D261">
        <f t="shared" ca="1" si="59"/>
        <v>0</v>
      </c>
      <c r="E261">
        <f ca="1">IF($C261=1,OFFSET(E261,-1,0)+MAX(1,COUNTIF(QCI!$A$13:$A$15,OFFSET(ORÇAMENTO!E261,-1,0))),OFFSET(E261,-1,0))</f>
        <v>1</v>
      </c>
      <c r="F261">
        <f t="shared" ca="1" si="60"/>
        <v>7</v>
      </c>
      <c r="G261">
        <f t="shared" ca="1" si="61"/>
        <v>1</v>
      </c>
      <c r="H261">
        <f t="shared" ca="1" si="62"/>
        <v>2</v>
      </c>
      <c r="I261">
        <f t="shared" ca="1" si="63"/>
        <v>2</v>
      </c>
      <c r="J261">
        <f t="shared" ca="1" si="54"/>
        <v>0</v>
      </c>
      <c r="K261">
        <f ca="1">IF(OR($C261="S",$C261=0),0,MATCH(OFFSET($D261,0,$C261)+IF($C261&lt;&gt;1,1,COUNTIF(QCI!$A$13:$A$15,ORÇAMENTO!E261)),OFFSET($D261,1,$C261,ROW($C$508)-ROW($C261)),0))</f>
        <v>0</v>
      </c>
      <c r="L261" s="114" t="str">
        <f t="shared" ca="1" si="64"/>
        <v>F</v>
      </c>
      <c r="M261" s="115" t="s">
        <v>705</v>
      </c>
      <c r="N261" s="116" t="str">
        <f t="shared" ca="1" si="65"/>
        <v>Serviço</v>
      </c>
      <c r="O261" s="117" t="str">
        <f t="shared" ca="1" si="66"/>
        <v>1.7.1.2.2.</v>
      </c>
      <c r="P261" s="118" t="s">
        <v>750</v>
      </c>
      <c r="Q261" s="119" t="s">
        <v>1068</v>
      </c>
      <c r="R261" s="120" t="str">
        <f ca="1">IF($C261="S",REFERENCIA.Descricao,"(digite a descrição aqui)")</f>
        <v>ASSENTAMENTO DE TUBO DE FERRO FUNDIDO PARA REDE DE ÁGUA, DN 350 MM, JUNTA ELÁSTICA, INSTALADO EM LOCAL COM NÍVEL BAIXO DE INTERFERÊNCIAS (NÃO INCLUI FORNECIMENTO). AF_05/2024</v>
      </c>
      <c r="S261" s="121" t="str">
        <f ca="1">REFERENCIA.Unidade</f>
        <v>M</v>
      </c>
      <c r="T261" s="122">
        <f ca="1">OFFSET(CÁLCULO!H$15,ROW($T261)-ROW(T$15),0)</f>
        <v>21.95</v>
      </c>
      <c r="U261" s="123">
        <f t="shared" ca="1" si="72"/>
        <v>12.56</v>
      </c>
      <c r="V261" s="124" t="s">
        <v>663</v>
      </c>
      <c r="W261" s="122">
        <f ca="1">IF($C261="S",ROUND(IF(TIPOORCAMENTO="Proposto",ORÇAMENTO.CustoUnitario*(1+$AH261),ORÇAMENTO.PrecoUnitarioLicitado),15-13*$AF$10),0)</f>
        <v>15.51</v>
      </c>
      <c r="X261" s="125" cm="1">
        <f t="array" aca="1" ref="X261" ca="1">IF($C261="S",IF(OR(Import.TipoArredondamento&lt;&gt;"TransfereGOV",ACOMPANHAMENTO="BM"),VTOTAL1,SUM(OFFSET(CÁLCULO!$AI$15,ROW($X261)-ROW($X$15),1):OFFSET(CÁLCULO!$BB$15,ROW($X261)-ROW($X$15),-1))),IF($C261=0,0,ROUND(SomaAgrup,15-13*$AF$11)))</f>
        <v>340.44</v>
      </c>
      <c r="Y261" s="126" t="s">
        <v>751</v>
      </c>
      <c r="Z261" t="str">
        <f t="shared" ca="1" si="67"/>
        <v>RA</v>
      </c>
      <c r="AA261" s="127">
        <f ca="1">IF($C261="S",IF($Z261="CP",$X261,IF($Z261="RA",(($X261)*QCI!$AA$3),0)),SomaAgrup)</f>
        <v>0</v>
      </c>
      <c r="AB261" s="128">
        <f t="shared" ca="1" si="68"/>
        <v>0</v>
      </c>
      <c r="AC261" s="565" t="str" cm="1">
        <f t="array" aca="1" ref="AC261" ca="1">IF($N261=""," ",
IF(AND($C261&lt;&gt;"S",OR($R261="",$R261="(digite a descrição aqui)")),"DESCRIÇÃO",
IF(AND($C261="S",OR($Q261&lt;&gt;"",$T261&gt;0,$U261&gt;0),$P261=""),"FONTE",
IF(AND($C261="S",$P261&lt;&gt;"",OR($T261&gt;0,$U261&gt;0),$Q261=""),"CÓDIGO",
IF(AND($C261="S",$P261&lt;&gt;"",$Q261&lt;&gt;"",$R261="(Código não identificado nas referências)"),"CÓDIGO N/ID",
IF(AND($C261="S",OR($R261="",$R261="(digite a descrição aqui)"),OR($Q261&lt;&gt;"",$T261&gt;0,$U261&gt;0)),"DESCRIÇÃO",
IF(AND($C261="S",$P261&lt;&gt;"",$Q261&lt;&gt;"",$S261=""),"UNIDADE",
IF(AND($C261="S",$P261&lt;&gt;"",$Q261&lt;&gt;"",$U261=0),"SEM CUSTO",
IF(AND(_xlfn.SINGLE(TIPOORCAMENTO)="Licitado",$AL261=0,$AN261&gt;0),"SEM PREÇO",
IF(AND($C261="S",$P261&lt;&gt;"",$Q261&lt;&gt;"",$U261&gt;0,AND($V261&lt;&gt;"BDI 1",$V261&lt;&gt;"BDI 2",$V261&lt;&gt;"BDI 3")),IF(ISNUMBER($V261),"JUSTIFICAR BDI","BDI"),
IF(OR(AND(import.recurso="OGU",TIPOORCAMENTO="Proposto",LEFT($O$8,5)&lt;&gt;"(N/D:",$AG261&lt;&gt;"",ORÇAMENTO.CustoUnitario&gt;$AG261),AND(TIPOORCAMENTO="LICITADO",ORÇAMENTO.PrecoUnitarioLicitado&gt;$AN261)),"ACIMA REF.",
IF(AND($C261="S",$P261&lt;&gt;"",$Q261&lt;&gt;"",$T261=0,$U261&gt;0),"QUANT.",
IF(AND(Import.TipoArredondamento="TransfereGOV",$L261="F",$C261="S",LEN($Q261)&gt;13),"Código &gt;13",
IF(AND(Import.TipoArredondamento="TransfereGOV",$L261="F",$C261&lt;&gt;"S",LEN($R261)&gt;100),"Descrição &gt;100",
IF(AND(Import.TipoArredondamento="TransfereGOV",$L261="F",$C261="S",LEN($R261)&gt;500),"Descrição &gt;500",
IF(AND(Import.TipoArredondamento="TransfereGOV",$L261="F",$C261="S",LEFT(TRIM(UPPER($P261)),6)&lt;&gt;"SINAPI",ISNA(VLOOKUP(TRIM(UPPER($S261)),ListaTgov.Unidades,1,FALSE))),"Unid. Não Disp",
" "))))))))))))))))</f>
        <v xml:space="preserve"> </v>
      </c>
      <c r="AD261" t="str">
        <f ca="1">IF(C261&lt;=CRONO.NivelExibicao,MAX($AD$15:OFFSET(AD261,-1,0))+IF($C261&lt;&gt;1,1,MAX(1,COUNTIF(QCI!$A$13:$A$15,OFFSET($E261,-1,0)))),"")</f>
        <v/>
      </c>
      <c r="AE261" s="7" t="str">
        <f ca="1">IF(AND($C261="S",ORÇAMENTO.CodBarra&lt;&gt;""),IF(ORÇAMENTO.Fonte="",ORÇAMENTO.CodBarra,CONCATENATE(ORÇAMENTO.Fonte," ",ORÇAMENTO.CodBarra)))</f>
        <v>SINAPI 97163</v>
      </c>
      <c r="AF261" s="12">
        <f ca="1">IF(ISERROR(INDIRECT(ORÇAMENTO.BancoRef)),"(abra o arquivo 'Referência "&amp;Excel_BuiltIn_Database&amp;".xlsm)",IF(OR($C261&lt;&gt;"S",ORÇAMENTO.CodBarra=""),"(Sem Código)",IF(ISERROR(MATCH($AE261,INDIRECT(ORÇAMENTO.BancoRef),0)),"(Código não identificado nas referências)",MATCH($AE261,INDIRECT(ORÇAMENTO.BancoRef),0))))</f>
        <v>6610</v>
      </c>
      <c r="AG261" s="428">
        <f ca="1">ROUND(IF(DESONERACAO="sim",REFERENCIA.Desonerado,REFERENCIA.NaoDesonerado),2)</f>
        <v>12.56</v>
      </c>
      <c r="AH261" s="429">
        <f t="shared" ca="1" si="69"/>
        <v>0.23499999999999999</v>
      </c>
      <c r="AJ261" s="431">
        <f>AJ248*4.7+AJ249*6+AJ251*3.05+AJ252*4.1</f>
        <v>21.95</v>
      </c>
      <c r="AL261" s="439"/>
      <c r="AM261" s="336">
        <f t="shared" ca="1" si="0"/>
        <v>340.44</v>
      </c>
      <c r="AN261" s="470">
        <f t="shared" ca="1" si="70"/>
        <v>15.51</v>
      </c>
    </row>
    <row r="262" spans="1:40" ht="25.5" x14ac:dyDescent="0.2">
      <c r="A262" t="str">
        <f t="shared" si="56"/>
        <v>S</v>
      </c>
      <c r="B262">
        <f t="shared" ca="1" si="57"/>
        <v>4</v>
      </c>
      <c r="C262" t="str">
        <f t="shared" ca="1" si="58"/>
        <v>S</v>
      </c>
      <c r="D262">
        <f t="shared" ca="1" si="59"/>
        <v>0</v>
      </c>
      <c r="E262">
        <f ca="1">IF($C262=1,OFFSET(E262,-1,0)+MAX(1,COUNTIF(QCI!$A$13:$A$15,OFFSET(ORÇAMENTO!E262,-1,0))),OFFSET(E262,-1,0))</f>
        <v>1</v>
      </c>
      <c r="F262">
        <f t="shared" ca="1" si="60"/>
        <v>7</v>
      </c>
      <c r="G262">
        <f t="shared" ca="1" si="61"/>
        <v>1</v>
      </c>
      <c r="H262">
        <f t="shared" ca="1" si="62"/>
        <v>2</v>
      </c>
      <c r="I262">
        <f t="shared" ca="1" si="63"/>
        <v>3</v>
      </c>
      <c r="J262">
        <f t="shared" ca="1" si="54"/>
        <v>0</v>
      </c>
      <c r="K262">
        <f ca="1">IF(OR($C262="S",$C262=0),0,MATCH(OFFSET($D262,0,$C262)+IF($C262&lt;&gt;1,1,COUNTIF(QCI!$A$13:$A$15,ORÇAMENTO!E262)),OFFSET($D262,1,$C262,ROW($C$508)-ROW($C262)),0))</f>
        <v>0</v>
      </c>
      <c r="L262" s="114" t="str">
        <f t="shared" ca="1" si="64"/>
        <v>F</v>
      </c>
      <c r="M262" s="115" t="s">
        <v>705</v>
      </c>
      <c r="N262" s="116" t="str">
        <f t="shared" ca="1" si="65"/>
        <v>Serviço</v>
      </c>
      <c r="O262" s="117" t="str">
        <f t="shared" ca="1" si="66"/>
        <v>1.7.1.2.3.</v>
      </c>
      <c r="P262" s="118" t="s">
        <v>1281</v>
      </c>
      <c r="Q262" s="119" t="s">
        <v>1069</v>
      </c>
      <c r="R262" s="120" t="str">
        <f ca="1">IF($C262="S",REFERENCIA.Descricao,"(digite a descrição aqui)")</f>
        <v>DISTRIBUIDOR ROTATIVO - MONTAGEM - BASEADO EM SETOP (ED-20568)</v>
      </c>
      <c r="S262" s="121" t="str">
        <f ca="1">REFERENCIA.Unidade</f>
        <v>KG</v>
      </c>
      <c r="T262" s="122">
        <f ca="1">OFFSET(CÁLCULO!H$15,ROW($T262)-ROW(T$15),0)</f>
        <v>7000</v>
      </c>
      <c r="U262" s="123">
        <f t="shared" ca="1" si="72"/>
        <v>10.56</v>
      </c>
      <c r="V262" s="124" t="s">
        <v>663</v>
      </c>
      <c r="W262" s="122">
        <f ca="1">IF($C262="S",ROUND(IF(TIPOORCAMENTO="Proposto",ORÇAMENTO.CustoUnitario*(1+$AH262),ORÇAMENTO.PrecoUnitarioLicitado),15-13*$AF$10),0)</f>
        <v>13.04</v>
      </c>
      <c r="X262" s="125" cm="1">
        <f t="array" aca="1" ref="X262" ca="1">IF($C262="S",IF(OR(Import.TipoArredondamento&lt;&gt;"TransfereGOV",ACOMPANHAMENTO="BM"),VTOTAL1,SUM(OFFSET(CÁLCULO!$AI$15,ROW($X262)-ROW($X$15),1):OFFSET(CÁLCULO!$BB$15,ROW($X262)-ROW($X$15),-1))),IF($C262=0,0,ROUND(SomaAgrup,15-13*$AF$11)))</f>
        <v>91280</v>
      </c>
      <c r="Y262" s="126" t="s">
        <v>751</v>
      </c>
      <c r="Z262" t="str">
        <f t="shared" ca="1" si="67"/>
        <v>RA</v>
      </c>
      <c r="AA262" s="127">
        <f ca="1">IF($C262="S",IF($Z262="CP",$X262,IF($Z262="RA",(($X262)*QCI!$AA$3),0)),SomaAgrup)</f>
        <v>0</v>
      </c>
      <c r="AB262" s="128">
        <f t="shared" ca="1" si="68"/>
        <v>0</v>
      </c>
      <c r="AC262" s="565" t="str" cm="1">
        <f t="array" aca="1" ref="AC262" ca="1">IF($N262=""," ",
IF(AND($C262&lt;&gt;"S",OR($R262="",$R262="(digite a descrição aqui)")),"DESCRIÇÃO",
IF(AND($C262="S",OR($Q262&lt;&gt;"",$T262&gt;0,$U262&gt;0),$P262=""),"FONTE",
IF(AND($C262="S",$P262&lt;&gt;"",OR($T262&gt;0,$U262&gt;0),$Q262=""),"CÓDIGO",
IF(AND($C262="S",$P262&lt;&gt;"",$Q262&lt;&gt;"",$R262="(Código não identificado nas referências)"),"CÓDIGO N/ID",
IF(AND($C262="S",OR($R262="",$R262="(digite a descrição aqui)"),OR($Q262&lt;&gt;"",$T262&gt;0,$U262&gt;0)),"DESCRIÇÃO",
IF(AND($C262="S",$P262&lt;&gt;"",$Q262&lt;&gt;"",$S262=""),"UNIDADE",
IF(AND($C262="S",$P262&lt;&gt;"",$Q262&lt;&gt;"",$U262=0),"SEM CUSTO",
IF(AND(_xlfn.SINGLE(TIPOORCAMENTO)="Licitado",$AL262=0,$AN262&gt;0),"SEM PREÇO",
IF(AND($C262="S",$P262&lt;&gt;"",$Q262&lt;&gt;"",$U262&gt;0,AND($V262&lt;&gt;"BDI 1",$V262&lt;&gt;"BDI 2",$V262&lt;&gt;"BDI 3")),IF(ISNUMBER($V262),"JUSTIFICAR BDI","BDI"),
IF(OR(AND(import.recurso="OGU",TIPOORCAMENTO="Proposto",LEFT($O$8,5)&lt;&gt;"(N/D:",$AG262&lt;&gt;"",ORÇAMENTO.CustoUnitario&gt;$AG262),AND(TIPOORCAMENTO="LICITADO",ORÇAMENTO.PrecoUnitarioLicitado&gt;$AN262)),"ACIMA REF.",
IF(AND($C262="S",$P262&lt;&gt;"",$Q262&lt;&gt;"",$T262=0,$U262&gt;0),"QUANT.",
IF(AND(Import.TipoArredondamento="TransfereGOV",$L262="F",$C262="S",LEN($Q262)&gt;13),"Código &gt;13",
IF(AND(Import.TipoArredondamento="TransfereGOV",$L262="F",$C262&lt;&gt;"S",LEN($R262)&gt;100),"Descrição &gt;100",
IF(AND(Import.TipoArredondamento="TransfereGOV",$L262="F",$C262="S",LEN($R262)&gt;500),"Descrição &gt;500",
IF(AND(Import.TipoArredondamento="TransfereGOV",$L262="F",$C262="S",LEFT(TRIM(UPPER($P262)),6)&lt;&gt;"SINAPI",ISNA(VLOOKUP(TRIM(UPPER($S262)),ListaTgov.Unidades,1,FALSE))),"Unid. Não Disp",
" "))))))))))))))))</f>
        <v xml:space="preserve"> </v>
      </c>
      <c r="AD262" t="str">
        <f ca="1">IF(C262&lt;=CRONO.NivelExibicao,MAX($AD$15:OFFSET(AD262,-1,0))+IF($C262&lt;&gt;1,1,MAX(1,COUNTIF(QCI!$A$13:$A$15,OFFSET($E262,-1,0)))),"")</f>
        <v/>
      </c>
      <c r="AE262" s="7" t="str">
        <f ca="1">IF(AND($C262="S",ORÇAMENTO.CodBarra&lt;&gt;""),IF(ORÇAMENTO.Fonte="",ORÇAMENTO.CodBarra,CONCATENATE(ORÇAMENTO.Fonte," ",ORÇAMENTO.CodBarra)))</f>
        <v>COMPOSIÇÃO CPU-021</v>
      </c>
      <c r="AF262" s="12">
        <f ca="1">IF(ISERROR(INDIRECT(ORÇAMENTO.BancoRef)),"(abra o arquivo 'Referência "&amp;Excel_BuiltIn_Database&amp;".xlsm)",IF(OR($C262&lt;&gt;"S",ORÇAMENTO.CodBarra=""),"(Sem Código)",IF(ISERROR(MATCH($AE262,INDIRECT(ORÇAMENTO.BancoRef),0)),"(Código não identificado nas referências)",MATCH($AE262,INDIRECT(ORÇAMENTO.BancoRef),0))))</f>
        <v>23</v>
      </c>
      <c r="AG262" s="428">
        <f ca="1">ROUND(IF(DESONERACAO="sim",REFERENCIA.Desonerado,REFERENCIA.NaoDesonerado),2)</f>
        <v>10.56</v>
      </c>
      <c r="AH262" s="429">
        <f t="shared" ca="1" si="69"/>
        <v>0.23499999999999999</v>
      </c>
      <c r="AJ262" s="431">
        <v>7000</v>
      </c>
      <c r="AL262" s="439"/>
      <c r="AM262" s="336">
        <f t="shared" ca="1" si="0"/>
        <v>91280</v>
      </c>
      <c r="AN262" s="470">
        <f t="shared" ca="1" si="70"/>
        <v>13.04</v>
      </c>
    </row>
    <row r="263" spans="1:40" x14ac:dyDescent="0.2">
      <c r="A263">
        <f t="shared" si="56"/>
        <v>3</v>
      </c>
      <c r="B263">
        <f t="shared" ca="1" si="57"/>
        <v>3</v>
      </c>
      <c r="C263">
        <f t="shared" ca="1" si="58"/>
        <v>3</v>
      </c>
      <c r="D263">
        <f t="shared" ca="1" si="59"/>
        <v>14</v>
      </c>
      <c r="E263">
        <f ca="1">IF($C263=1,OFFSET(E263,-1,0)+MAX(1,COUNTIF(QCI!$A$13:$A$15,OFFSET(ORÇAMENTO!E263,-1,0))),OFFSET(E263,-1,0))</f>
        <v>1</v>
      </c>
      <c r="F263">
        <f t="shared" ca="1" si="60"/>
        <v>7</v>
      </c>
      <c r="G263">
        <f t="shared" ca="1" si="61"/>
        <v>2</v>
      </c>
      <c r="H263">
        <f t="shared" ca="1" si="62"/>
        <v>0</v>
      </c>
      <c r="I263">
        <f t="shared" ca="1" si="63"/>
        <v>0</v>
      </c>
      <c r="J263">
        <f t="shared" ca="1" si="54"/>
        <v>97</v>
      </c>
      <c r="K263">
        <f ca="1">IF(OR($C263="S",$C263=0),0,MATCH(OFFSET($D263,0,$C263)+IF($C263&lt;&gt;1,1,COUNTIF(QCI!$A$13:$A$15,ORÇAMENTO!E263)),OFFSET($D263,1,$C263,ROW($C$508)-ROW($C263)),0))</f>
        <v>14</v>
      </c>
      <c r="L263" s="114" t="str">
        <f t="shared" ca="1" si="64"/>
        <v>F</v>
      </c>
      <c r="M263" s="115" t="s">
        <v>703</v>
      </c>
      <c r="N263" s="116" t="str">
        <f t="shared" ca="1" si="65"/>
        <v>Nível 3</v>
      </c>
      <c r="O263" s="117" t="str">
        <f t="shared" ca="1" si="66"/>
        <v>1.7.2.</v>
      </c>
      <c r="P263" s="118" t="s">
        <v>750</v>
      </c>
      <c r="Q263" s="119"/>
      <c r="R263" s="120" t="s">
        <v>1223</v>
      </c>
      <c r="S263" s="121" t="s">
        <v>688</v>
      </c>
      <c r="T263" s="122">
        <f ca="1">OFFSET(CÁLCULO!H$15,ROW($T263)-ROW(T$15),0)</f>
        <v>0</v>
      </c>
      <c r="U263" s="123">
        <f t="shared" ca="1" si="72"/>
        <v>0</v>
      </c>
      <c r="V263" s="124" t="s">
        <v>663</v>
      </c>
      <c r="W263" s="122">
        <f ca="1">IF($C263="S",ROUND(IF(TIPOORCAMENTO="Proposto",ORÇAMENTO.CustoUnitario*(1+$AH263),ORÇAMENTO.PrecoUnitarioLicitado),15-13*$AF$10),0)</f>
        <v>0</v>
      </c>
      <c r="X263" s="125" cm="1">
        <f t="array" aca="1" ref="X263" ca="1">IF($C263="S",IF(OR(Import.TipoArredondamento&lt;&gt;"TransfereGOV",ACOMPANHAMENTO="BM"),VTOTAL1,SUM(OFFSET(CÁLCULO!$AI$15,ROW($X263)-ROW($X$15),1):OFFSET(CÁLCULO!$BB$15,ROW($X263)-ROW($X$15),-1))),IF($C263=0,0,ROUND(SomaAgrup,15-13*$AF$11)))</f>
        <v>650262.06000000006</v>
      </c>
      <c r="Y263" s="126" t="s">
        <v>751</v>
      </c>
      <c r="Z263" t="str">
        <f t="shared" ca="1" si="67"/>
        <v/>
      </c>
      <c r="AA263" s="127">
        <f ca="1">IF($C263="S",IF($Z263="CP",$X263,IF($Z263="RA",(($X263)*QCI!$AA$3),0)),SomaAgrup)</f>
        <v>0</v>
      </c>
      <c r="AB263" s="128">
        <f t="shared" ca="1" si="68"/>
        <v>0</v>
      </c>
      <c r="AC263" s="565" t="str" cm="1">
        <f t="array" aca="1" ref="AC263" ca="1">IF($N263=""," ",
IF(AND($C263&lt;&gt;"S",OR($R263="",$R263="(digite a descrição aqui)")),"DESCRIÇÃO",
IF(AND($C263="S",OR($Q263&lt;&gt;"",$T263&gt;0,$U263&gt;0),$P263=""),"FONTE",
IF(AND($C263="S",$P263&lt;&gt;"",OR($T263&gt;0,$U263&gt;0),$Q263=""),"CÓDIGO",
IF(AND($C263="S",$P263&lt;&gt;"",$Q263&lt;&gt;"",$R263="(Código não identificado nas referências)"),"CÓDIGO N/ID",
IF(AND($C263="S",OR($R263="",$R263="(digite a descrição aqui)"),OR($Q263&lt;&gt;"",$T263&gt;0,$U263&gt;0)),"DESCRIÇÃO",
IF(AND($C263="S",$P263&lt;&gt;"",$Q263&lt;&gt;"",$S263=""),"UNIDADE",
IF(AND($C263="S",$P263&lt;&gt;"",$Q263&lt;&gt;"",$U263=0),"SEM CUSTO",
IF(AND(_xlfn.SINGLE(TIPOORCAMENTO)="Licitado",$AL263=0,$AN263&gt;0),"SEM PREÇO",
IF(AND($C263="S",$P263&lt;&gt;"",$Q263&lt;&gt;"",$U263&gt;0,AND($V263&lt;&gt;"BDI 1",$V263&lt;&gt;"BDI 2",$V263&lt;&gt;"BDI 3")),IF(ISNUMBER($V263),"JUSTIFICAR BDI","BDI"),
IF(OR(AND(import.recurso="OGU",TIPOORCAMENTO="Proposto",LEFT($O$8,5)&lt;&gt;"(N/D:",$AG263&lt;&gt;"",ORÇAMENTO.CustoUnitario&gt;$AG263),AND(TIPOORCAMENTO="LICITADO",ORÇAMENTO.PrecoUnitarioLicitado&gt;$AN263)),"ACIMA REF.",
IF(AND($C263="S",$P263&lt;&gt;"",$Q263&lt;&gt;"",$T263=0,$U263&gt;0),"QUANT.",
IF(AND(Import.TipoArredondamento="TransfereGOV",$L263="F",$C263="S",LEN($Q263)&gt;13),"Código &gt;13",
IF(AND(Import.TipoArredondamento="TransfereGOV",$L263="F",$C263&lt;&gt;"S",LEN($R263)&gt;100),"Descrição &gt;100",
IF(AND(Import.TipoArredondamento="TransfereGOV",$L263="F",$C263="S",LEN($R263)&gt;500),"Descrição &gt;500",
IF(AND(Import.TipoArredondamento="TransfereGOV",$L263="F",$C263="S",LEFT(TRIM(UPPER($P263)),6)&lt;&gt;"SINAPI",ISNA(VLOOKUP(TRIM(UPPER($S263)),ListaTgov.Unidades,1,FALSE))),"Unid. Não Disp",
" "))))))))))))))))</f>
        <v xml:space="preserve"> </v>
      </c>
      <c r="AD263" t="str">
        <f ca="1">IF(C263&lt;=CRONO.NivelExibicao,MAX($AD$15:OFFSET(AD263,-1,0))+IF($C263&lt;&gt;1,1,MAX(1,COUNTIF(QCI!$A$13:$A$15,OFFSET($E263,-1,0)))),"")</f>
        <v/>
      </c>
      <c r="AE263" s="7" t="b">
        <f ca="1">IF(AND($C263="S",ORÇAMENTO.CodBarra&lt;&gt;""),IF(ORÇAMENTO.Fonte="",ORÇAMENTO.CodBarra,CONCATENATE(ORÇAMENTO.Fonte," ",ORÇAMENTO.CodBarra)))</f>
        <v>0</v>
      </c>
      <c r="AF263" s="12" t="str">
        <f ca="1">IF(ISERROR(INDIRECT(ORÇAMENTO.BancoRef)),"(abra o arquivo 'Referência "&amp;Excel_BuiltIn_Database&amp;".xlsm)",IF(OR($C263&lt;&gt;"S",ORÇAMENTO.CodBarra=""),"(Sem Código)",IF(ISERROR(MATCH($AE263,INDIRECT(ORÇAMENTO.BancoRef),0)),"(Código não identificado nas referências)",MATCH($AE263,INDIRECT(ORÇAMENTO.BancoRef),0))))</f>
        <v>(Sem Código)</v>
      </c>
      <c r="AG263" s="428">
        <f ca="1">ROUND(IF(DESONERACAO="sim",REFERENCIA.Desonerado,REFERENCIA.NaoDesonerado),2)</f>
        <v>0</v>
      </c>
      <c r="AH263" s="429">
        <f t="shared" ca="1" si="69"/>
        <v>0.23499999999999999</v>
      </c>
      <c r="AJ263" s="431"/>
      <c r="AL263" s="439"/>
      <c r="AM263" s="336">
        <f t="shared" ca="1" si="0"/>
        <v>650262.06000000006</v>
      </c>
      <c r="AN263" s="470">
        <f t="shared" ca="1" si="70"/>
        <v>0</v>
      </c>
    </row>
    <row r="264" spans="1:40" x14ac:dyDescent="0.2">
      <c r="A264">
        <f t="shared" si="56"/>
        <v>4</v>
      </c>
      <c r="B264">
        <f t="shared" ca="1" si="57"/>
        <v>4</v>
      </c>
      <c r="C264">
        <f t="shared" ca="1" si="58"/>
        <v>4</v>
      </c>
      <c r="D264">
        <f t="shared" ca="1" si="59"/>
        <v>8</v>
      </c>
      <c r="E264">
        <f ca="1">IF($C264=1,OFFSET(E264,-1,0)+MAX(1,COUNTIF(QCI!$A$13:$A$15,OFFSET(ORÇAMENTO!E264,-1,0))),OFFSET(E264,-1,0))</f>
        <v>1</v>
      </c>
      <c r="F264">
        <f t="shared" ca="1" si="60"/>
        <v>7</v>
      </c>
      <c r="G264">
        <f t="shared" ca="1" si="61"/>
        <v>2</v>
      </c>
      <c r="H264">
        <f t="shared" ca="1" si="62"/>
        <v>1</v>
      </c>
      <c r="I264">
        <f t="shared" ca="1" si="63"/>
        <v>0</v>
      </c>
      <c r="J264">
        <f t="shared" ca="1" si="54"/>
        <v>13</v>
      </c>
      <c r="K264">
        <f ca="1">IF(OR($C264="S",$C264=0),0,MATCH(OFFSET($D264,0,$C264)+IF($C264&lt;&gt;1,1,COUNTIF(QCI!$A$13:$A$15,ORÇAMENTO!E264)),OFFSET($D264,1,$C264,ROW($C$508)-ROW($C264)),0))</f>
        <v>8</v>
      </c>
      <c r="L264" s="114" t="str">
        <f t="shared" ca="1" si="64"/>
        <v>F</v>
      </c>
      <c r="M264" s="115" t="s">
        <v>704</v>
      </c>
      <c r="N264" s="116" t="str">
        <f t="shared" ca="1" si="65"/>
        <v>Nível 4</v>
      </c>
      <c r="O264" s="117" t="str">
        <f t="shared" ca="1" si="66"/>
        <v>1.7.2.1.</v>
      </c>
      <c r="P264" s="118" t="s">
        <v>750</v>
      </c>
      <c r="Q264" s="119"/>
      <c r="R264" s="120" t="s">
        <v>1237</v>
      </c>
      <c r="S264" s="121" t="s">
        <v>688</v>
      </c>
      <c r="T264" s="122">
        <f ca="1">OFFSET(CÁLCULO!H$15,ROW($T264)-ROW(T$15),0)</f>
        <v>0</v>
      </c>
      <c r="U264" s="123">
        <f t="shared" ca="1" si="72"/>
        <v>0</v>
      </c>
      <c r="V264" s="124" t="s">
        <v>663</v>
      </c>
      <c r="W264" s="122">
        <f ca="1">IF($C264="S",ROUND(IF(TIPOORCAMENTO="Proposto",ORÇAMENTO.CustoUnitario*(1+$AH264),ORÇAMENTO.PrecoUnitarioLicitado),15-13*$AF$10),0)</f>
        <v>0</v>
      </c>
      <c r="X264" s="125" cm="1">
        <f t="array" aca="1" ref="X264" ca="1">IF($C264="S",IF(OR(Import.TipoArredondamento&lt;&gt;"TransfereGOV",ACOMPANHAMENTO="BM"),VTOTAL1,SUM(OFFSET(CÁLCULO!$AI$15,ROW($X264)-ROW($X$15),1):OFFSET(CÁLCULO!$BB$15,ROW($X264)-ROW($X$15),-1))),IF($C264=0,0,ROUND(SomaAgrup,15-13*$AF$11)))</f>
        <v>532702.84</v>
      </c>
      <c r="Y264" s="126" t="s">
        <v>751</v>
      </c>
      <c r="Z264" t="str">
        <f t="shared" ca="1" si="67"/>
        <v/>
      </c>
      <c r="AA264" s="127">
        <f ca="1">IF($C264="S",IF($Z264="CP",$X264,IF($Z264="RA",(($X264)*QCI!$AA$3),0)),SomaAgrup)</f>
        <v>0</v>
      </c>
      <c r="AB264" s="128">
        <f t="shared" ca="1" si="68"/>
        <v>0</v>
      </c>
      <c r="AC264" s="565" t="str" cm="1">
        <f t="array" aca="1" ref="AC264" ca="1">IF($N264=""," ",
IF(AND($C264&lt;&gt;"S",OR($R264="",$R264="(digite a descrição aqui)")),"DESCRIÇÃO",
IF(AND($C264="S",OR($Q264&lt;&gt;"",$T264&gt;0,$U264&gt;0),$P264=""),"FONTE",
IF(AND($C264="S",$P264&lt;&gt;"",OR($T264&gt;0,$U264&gt;0),$Q264=""),"CÓDIGO",
IF(AND($C264="S",$P264&lt;&gt;"",$Q264&lt;&gt;"",$R264="(Código não identificado nas referências)"),"CÓDIGO N/ID",
IF(AND($C264="S",OR($R264="",$R264="(digite a descrição aqui)"),OR($Q264&lt;&gt;"",$T264&gt;0,$U264&gt;0)),"DESCRIÇÃO",
IF(AND($C264="S",$P264&lt;&gt;"",$Q264&lt;&gt;"",$S264=""),"UNIDADE",
IF(AND($C264="S",$P264&lt;&gt;"",$Q264&lt;&gt;"",$U264=0),"SEM CUSTO",
IF(AND(_xlfn.SINGLE(TIPOORCAMENTO)="Licitado",$AL264=0,$AN264&gt;0),"SEM PREÇO",
IF(AND($C264="S",$P264&lt;&gt;"",$Q264&lt;&gt;"",$U264&gt;0,AND($V264&lt;&gt;"BDI 1",$V264&lt;&gt;"BDI 2",$V264&lt;&gt;"BDI 3")),IF(ISNUMBER($V264),"JUSTIFICAR BDI","BDI"),
IF(OR(AND(import.recurso="OGU",TIPOORCAMENTO="Proposto",LEFT($O$8,5)&lt;&gt;"(N/D:",$AG264&lt;&gt;"",ORÇAMENTO.CustoUnitario&gt;$AG264),AND(TIPOORCAMENTO="LICITADO",ORÇAMENTO.PrecoUnitarioLicitado&gt;$AN264)),"ACIMA REF.",
IF(AND($C264="S",$P264&lt;&gt;"",$Q264&lt;&gt;"",$T264=0,$U264&gt;0),"QUANT.",
IF(AND(Import.TipoArredondamento="TransfereGOV",$L264="F",$C264="S",LEN($Q264)&gt;13),"Código &gt;13",
IF(AND(Import.TipoArredondamento="TransfereGOV",$L264="F",$C264&lt;&gt;"S",LEN($R264)&gt;100),"Descrição &gt;100",
IF(AND(Import.TipoArredondamento="TransfereGOV",$L264="F",$C264="S",LEN($R264)&gt;500),"Descrição &gt;500",
IF(AND(Import.TipoArredondamento="TransfereGOV",$L264="F",$C264="S",LEFT(TRIM(UPPER($P264)),6)&lt;&gt;"SINAPI",ISNA(VLOOKUP(TRIM(UPPER($S264)),ListaTgov.Unidades,1,FALSE))),"Unid. Não Disp",
" "))))))))))))))))</f>
        <v xml:space="preserve"> </v>
      </c>
      <c r="AD264" t="str">
        <f ca="1">IF(C264&lt;=CRONO.NivelExibicao,MAX($AD$15:OFFSET(AD264,-1,0))+IF($C264&lt;&gt;1,1,MAX(1,COUNTIF(QCI!$A$13:$A$15,OFFSET($E264,-1,0)))),"")</f>
        <v/>
      </c>
      <c r="AE264" s="7" t="b">
        <f ca="1">IF(AND($C264="S",ORÇAMENTO.CodBarra&lt;&gt;""),IF(ORÇAMENTO.Fonte="",ORÇAMENTO.CodBarra,CONCATENATE(ORÇAMENTO.Fonte," ",ORÇAMENTO.CodBarra)))</f>
        <v>0</v>
      </c>
      <c r="AF264" s="12" t="str">
        <f ca="1">IF(ISERROR(INDIRECT(ORÇAMENTO.BancoRef)),"(abra o arquivo 'Referência "&amp;Excel_BuiltIn_Database&amp;".xlsm)",IF(OR($C264&lt;&gt;"S",ORÇAMENTO.CodBarra=""),"(Sem Código)",IF(ISERROR(MATCH($AE264,INDIRECT(ORÇAMENTO.BancoRef),0)),"(Código não identificado nas referências)",MATCH($AE264,INDIRECT(ORÇAMENTO.BancoRef),0))))</f>
        <v>(Sem Código)</v>
      </c>
      <c r="AG264" s="428">
        <f ca="1">ROUND(IF(DESONERACAO="sim",REFERENCIA.Desonerado,REFERENCIA.NaoDesonerado),2)</f>
        <v>0</v>
      </c>
      <c r="AH264" s="429">
        <f t="shared" ca="1" si="69"/>
        <v>0.23499999999999999</v>
      </c>
      <c r="AJ264" s="431"/>
      <c r="AL264" s="439"/>
      <c r="AM264" s="336">
        <f t="shared" ca="1" si="0"/>
        <v>532702.84</v>
      </c>
      <c r="AN264" s="470">
        <f t="shared" ca="1" si="70"/>
        <v>0</v>
      </c>
    </row>
    <row r="265" spans="1:40" x14ac:dyDescent="0.2">
      <c r="A265" t="str">
        <f t="shared" si="56"/>
        <v>S</v>
      </c>
      <c r="B265">
        <f t="shared" ca="1" si="57"/>
        <v>4</v>
      </c>
      <c r="C265" t="str">
        <f t="shared" ca="1" si="58"/>
        <v>S</v>
      </c>
      <c r="D265">
        <f t="shared" ca="1" si="59"/>
        <v>0</v>
      </c>
      <c r="E265">
        <f ca="1">IF($C265=1,OFFSET(E265,-1,0)+MAX(1,COUNTIF(QCI!$A$13:$A$15,OFFSET(ORÇAMENTO!E265,-1,0))),OFFSET(E265,-1,0))</f>
        <v>1</v>
      </c>
      <c r="F265">
        <f t="shared" ca="1" si="60"/>
        <v>7</v>
      </c>
      <c r="G265">
        <f t="shared" ca="1" si="61"/>
        <v>2</v>
      </c>
      <c r="H265">
        <f t="shared" ca="1" si="62"/>
        <v>1</v>
      </c>
      <c r="I265">
        <f t="shared" ca="1" si="63"/>
        <v>1</v>
      </c>
      <c r="J265">
        <f t="shared" ca="1" si="54"/>
        <v>0</v>
      </c>
      <c r="K265">
        <f ca="1">IF(OR($C265="S",$C265=0),0,MATCH(OFFSET($D265,0,$C265)+IF($C265&lt;&gt;1,1,COUNTIF(QCI!$A$13:$A$15,ORÇAMENTO!E265)),OFFSET($D265,1,$C265,ROW($C$508)-ROW($C265)),0))</f>
        <v>0</v>
      </c>
      <c r="L265" s="114" t="str">
        <f t="shared" ca="1" si="64"/>
        <v>F</v>
      </c>
      <c r="M265" s="115" t="s">
        <v>705</v>
      </c>
      <c r="N265" s="116" t="str">
        <f t="shared" ca="1" si="65"/>
        <v>Serviço</v>
      </c>
      <c r="O265" s="117" t="str">
        <f t="shared" ca="1" si="66"/>
        <v>1.7.2.1.1.</v>
      </c>
      <c r="P265" s="118" t="s">
        <v>1283</v>
      </c>
      <c r="Q265" s="119" t="s">
        <v>1070</v>
      </c>
      <c r="R265" s="120" t="str">
        <f ca="1">IF($C265="S",REFERENCIA.Descricao,"(digite a descrição aqui)")</f>
        <v>MECANISMO PRA REMOÇÃO DE LODO - FORNECIMENTO</v>
      </c>
      <c r="S265" s="121" t="str">
        <f ca="1">REFERENCIA.Unidade</f>
        <v>CJ</v>
      </c>
      <c r="T265" s="122">
        <f ca="1">OFFSET(CÁLCULO!H$15,ROW($T265)-ROW(T$15),0)</f>
        <v>1</v>
      </c>
      <c r="U265" s="123">
        <f t="shared" ca="1" si="72"/>
        <v>438607.66</v>
      </c>
      <c r="V265" s="124" t="s">
        <v>697</v>
      </c>
      <c r="W265" s="122">
        <f ca="1">IF($C265="S",ROUND(IF(TIPOORCAMENTO="Proposto",ORÇAMENTO.CustoUnitario*(1+$AH265),ORÇAMENTO.PrecoUnitarioLicitado),15-13*$AF$10),0)</f>
        <v>512293.75</v>
      </c>
      <c r="X265" s="125" cm="1">
        <f t="array" aca="1" ref="X265" ca="1">IF($C265="S",IF(OR(Import.TipoArredondamento&lt;&gt;"TransfereGOV",ACOMPANHAMENTO="BM"),VTOTAL1,SUM(OFFSET(CÁLCULO!$AI$15,ROW($X265)-ROW($X$15),1):OFFSET(CÁLCULO!$BB$15,ROW($X265)-ROW($X$15),-1))),IF($C265=0,0,ROUND(SomaAgrup,15-13*$AF$11)))</f>
        <v>512293.75</v>
      </c>
      <c r="Y265" s="126" t="s">
        <v>751</v>
      </c>
      <c r="Z265" t="str">
        <f t="shared" ca="1" si="67"/>
        <v>RA</v>
      </c>
      <c r="AA265" s="127">
        <f ca="1">IF($C265="S",IF($Z265="CP",$X265,IF($Z265="RA",(($X265)*QCI!$AA$3),0)),SomaAgrup)</f>
        <v>0</v>
      </c>
      <c r="AB265" s="128">
        <f t="shared" ca="1" si="68"/>
        <v>0</v>
      </c>
      <c r="AC265" s="565" t="str" cm="1">
        <f t="array" aca="1" ref="AC265" ca="1">IF($N265=""," ",
IF(AND($C265&lt;&gt;"S",OR($R265="",$R265="(digite a descrição aqui)")),"DESCRIÇÃO",
IF(AND($C265="S",OR($Q265&lt;&gt;"",$T265&gt;0,$U265&gt;0),$P265=""),"FONTE",
IF(AND($C265="S",$P265&lt;&gt;"",OR($T265&gt;0,$U265&gt;0),$Q265=""),"CÓDIGO",
IF(AND($C265="S",$P265&lt;&gt;"",$Q265&lt;&gt;"",$R265="(Código não identificado nas referências)"),"CÓDIGO N/ID",
IF(AND($C265="S",OR($R265="",$R265="(digite a descrição aqui)"),OR($Q265&lt;&gt;"",$T265&gt;0,$U265&gt;0)),"DESCRIÇÃO",
IF(AND($C265="S",$P265&lt;&gt;"",$Q265&lt;&gt;"",$S265=""),"UNIDADE",
IF(AND($C265="S",$P265&lt;&gt;"",$Q265&lt;&gt;"",$U265=0),"SEM CUSTO",
IF(AND(_xlfn.SINGLE(TIPOORCAMENTO)="Licitado",$AL265=0,$AN265&gt;0),"SEM PREÇO",
IF(AND($C265="S",$P265&lt;&gt;"",$Q265&lt;&gt;"",$U265&gt;0,AND($V265&lt;&gt;"BDI 1",$V265&lt;&gt;"BDI 2",$V265&lt;&gt;"BDI 3")),IF(ISNUMBER($V265),"JUSTIFICAR BDI","BDI"),
IF(OR(AND(import.recurso="OGU",TIPOORCAMENTO="Proposto",LEFT($O$8,5)&lt;&gt;"(N/D:",$AG265&lt;&gt;"",ORÇAMENTO.CustoUnitario&gt;$AG265),AND(TIPOORCAMENTO="LICITADO",ORÇAMENTO.PrecoUnitarioLicitado&gt;$AN265)),"ACIMA REF.",
IF(AND($C265="S",$P265&lt;&gt;"",$Q265&lt;&gt;"",$T265=0,$U265&gt;0),"QUANT.",
IF(AND(Import.TipoArredondamento="TransfereGOV",$L265="F",$C265="S",LEN($Q265)&gt;13),"Código &gt;13",
IF(AND(Import.TipoArredondamento="TransfereGOV",$L265="F",$C265&lt;&gt;"S",LEN($R265)&gt;100),"Descrição &gt;100",
IF(AND(Import.TipoArredondamento="TransfereGOV",$L265="F",$C265="S",LEN($R265)&gt;500),"Descrição &gt;500",
IF(AND(Import.TipoArredondamento="TransfereGOV",$L265="F",$C265="S",LEFT(TRIM(UPPER($P265)),6)&lt;&gt;"SINAPI",ISNA(VLOOKUP(TRIM(UPPER($S265)),ListaTgov.Unidades,1,FALSE))),"Unid. Não Disp",
" "))))))))))))))))</f>
        <v xml:space="preserve"> </v>
      </c>
      <c r="AD265" t="str">
        <f ca="1">IF(C265&lt;=CRONO.NivelExibicao,MAX($AD$15:OFFSET(AD265,-1,0))+IF($C265&lt;&gt;1,1,MAX(1,COUNTIF(QCI!$A$13:$A$15,OFFSET($E265,-1,0)))),"")</f>
        <v/>
      </c>
      <c r="AE265" s="7" t="str">
        <f ca="1">IF(AND($C265="S",ORÇAMENTO.CodBarra&lt;&gt;""),IF(ORÇAMENTO.Fonte="",ORÇAMENTO.CodBarra,CONCATENATE(ORÇAMENTO.Fonte," ",ORÇAMENTO.CodBarra)))</f>
        <v>COTAÇÃO COT-024</v>
      </c>
      <c r="AF265" s="12">
        <f ca="1">IF(ISERROR(INDIRECT(ORÇAMENTO.BancoRef)),"(abra o arquivo 'Referência "&amp;Excel_BuiltIn_Database&amp;".xlsm)",IF(OR($C265&lt;&gt;"S",ORÇAMENTO.CodBarra=""),"(Sem Código)",IF(ISERROR(MATCH($AE265,INDIRECT(ORÇAMENTO.BancoRef),0)),"(Código não identificado nas referências)",MATCH($AE265,INDIRECT(ORÇAMENTO.BancoRef),0))))</f>
        <v>92</v>
      </c>
      <c r="AG265" s="428">
        <f ca="1">ROUND(IF(DESONERACAO="sim",REFERENCIA.Desonerado,REFERENCIA.NaoDesonerado),2)</f>
        <v>438607.66</v>
      </c>
      <c r="AH265" s="429">
        <f t="shared" ca="1" si="69"/>
        <v>0.16800000000000001</v>
      </c>
      <c r="AJ265" s="431">
        <v>1</v>
      </c>
      <c r="AL265" s="439"/>
      <c r="AM265" s="336">
        <f t="shared" ca="1" si="0"/>
        <v>512293.75</v>
      </c>
      <c r="AN265" s="470">
        <f t="shared" ca="1" si="70"/>
        <v>512293.75</v>
      </c>
    </row>
    <row r="266" spans="1:40" x14ac:dyDescent="0.2">
      <c r="A266" t="str">
        <f t="shared" si="56"/>
        <v>S</v>
      </c>
      <c r="B266">
        <f t="shared" ca="1" si="57"/>
        <v>4</v>
      </c>
      <c r="C266" t="str">
        <f t="shared" ca="1" si="58"/>
        <v>S</v>
      </c>
      <c r="D266">
        <f t="shared" ca="1" si="59"/>
        <v>0</v>
      </c>
      <c r="E266">
        <f ca="1">IF($C266=1,OFFSET(E266,-1,0)+MAX(1,COUNTIF(QCI!$A$13:$A$15,OFFSET(ORÇAMENTO!E266,-1,0))),OFFSET(E266,-1,0))</f>
        <v>1</v>
      </c>
      <c r="F266">
        <f t="shared" ca="1" si="60"/>
        <v>7</v>
      </c>
      <c r="G266">
        <f t="shared" ca="1" si="61"/>
        <v>2</v>
      </c>
      <c r="H266">
        <f t="shared" ca="1" si="62"/>
        <v>1</v>
      </c>
      <c r="I266">
        <f t="shared" ca="1" si="63"/>
        <v>2</v>
      </c>
      <c r="J266">
        <f t="shared" ca="1" si="54"/>
        <v>0</v>
      </c>
      <c r="K266">
        <f ca="1">IF(OR($C266="S",$C266=0),0,MATCH(OFFSET($D266,0,$C266)+IF($C266&lt;&gt;1,1,COUNTIF(QCI!$A$13:$A$15,ORÇAMENTO!E266)),OFFSET($D266,1,$C266,ROW($C$508)-ROW($C266)),0))</f>
        <v>0</v>
      </c>
      <c r="L266" s="114" t="str">
        <f t="shared" ca="1" si="64"/>
        <v>F</v>
      </c>
      <c r="M266" s="115" t="s">
        <v>705</v>
      </c>
      <c r="N266" s="116" t="str">
        <f t="shared" ca="1" si="65"/>
        <v>Serviço</v>
      </c>
      <c r="O266" s="117" t="str">
        <f t="shared" ca="1" si="66"/>
        <v>1.7.2.1.2.</v>
      </c>
      <c r="P266" s="118" t="s">
        <v>1283</v>
      </c>
      <c r="Q266" s="119" t="s">
        <v>1071</v>
      </c>
      <c r="R266" s="120" t="str">
        <f ca="1">IF($C266="S",REFERENCIA.Descricao,"(digite a descrição aqui)")</f>
        <v>EXTREMIDADE PONTA/FLANGE FoFo - DN 400 MM</v>
      </c>
      <c r="S266" s="121" t="str">
        <f ca="1">REFERENCIA.Unidade</f>
        <v>UN</v>
      </c>
      <c r="T266" s="122">
        <f ca="1">OFFSET(CÁLCULO!H$15,ROW($T266)-ROW(T$15),0)</f>
        <v>1</v>
      </c>
      <c r="U266" s="123">
        <f t="shared" ca="1" si="72"/>
        <v>4438.1099999999997</v>
      </c>
      <c r="V266" s="124" t="s">
        <v>697</v>
      </c>
      <c r="W266" s="122">
        <f ca="1">IF($C266="S",ROUND(IF(TIPOORCAMENTO="Proposto",ORÇAMENTO.CustoUnitario*(1+$AH266),ORÇAMENTO.PrecoUnitarioLicitado),15-13*$AF$10),0)</f>
        <v>5183.71</v>
      </c>
      <c r="X266" s="125" cm="1">
        <f t="array" aca="1" ref="X266" ca="1">IF($C266="S",IF(OR(Import.TipoArredondamento&lt;&gt;"TransfereGOV",ACOMPANHAMENTO="BM"),VTOTAL1,SUM(OFFSET(CÁLCULO!$AI$15,ROW($X266)-ROW($X$15),1):OFFSET(CÁLCULO!$BB$15,ROW($X266)-ROW($X$15),-1))),IF($C266=0,0,ROUND(SomaAgrup,15-13*$AF$11)))</f>
        <v>5183.71</v>
      </c>
      <c r="Y266" s="126" t="s">
        <v>751</v>
      </c>
      <c r="Z266" t="str">
        <f t="shared" ca="1" si="67"/>
        <v>RA</v>
      </c>
      <c r="AA266" s="127">
        <f ca="1">IF($C266="S",IF($Z266="CP",$X266,IF($Z266="RA",(($X266)*QCI!$AA$3),0)),SomaAgrup)</f>
        <v>0</v>
      </c>
      <c r="AB266" s="128">
        <f t="shared" ca="1" si="68"/>
        <v>0</v>
      </c>
      <c r="AC266" s="565" t="str" cm="1">
        <f t="array" aca="1" ref="AC266" ca="1">IF($N266=""," ",
IF(AND($C266&lt;&gt;"S",OR($R266="",$R266="(digite a descrição aqui)")),"DESCRIÇÃO",
IF(AND($C266="S",OR($Q266&lt;&gt;"",$T266&gt;0,$U266&gt;0),$P266=""),"FONTE",
IF(AND($C266="S",$P266&lt;&gt;"",OR($T266&gt;0,$U266&gt;0),$Q266=""),"CÓDIGO",
IF(AND($C266="S",$P266&lt;&gt;"",$Q266&lt;&gt;"",$R266="(Código não identificado nas referências)"),"CÓDIGO N/ID",
IF(AND($C266="S",OR($R266="",$R266="(digite a descrição aqui)"),OR($Q266&lt;&gt;"",$T266&gt;0,$U266&gt;0)),"DESCRIÇÃO",
IF(AND($C266="S",$P266&lt;&gt;"",$Q266&lt;&gt;"",$S266=""),"UNIDADE",
IF(AND($C266="S",$P266&lt;&gt;"",$Q266&lt;&gt;"",$U266=0),"SEM CUSTO",
IF(AND(_xlfn.SINGLE(TIPOORCAMENTO)="Licitado",$AL266=0,$AN266&gt;0),"SEM PREÇO",
IF(AND($C266="S",$P266&lt;&gt;"",$Q266&lt;&gt;"",$U266&gt;0,AND($V266&lt;&gt;"BDI 1",$V266&lt;&gt;"BDI 2",$V266&lt;&gt;"BDI 3")),IF(ISNUMBER($V266),"JUSTIFICAR BDI","BDI"),
IF(OR(AND(import.recurso="OGU",TIPOORCAMENTO="Proposto",LEFT($O$8,5)&lt;&gt;"(N/D:",$AG266&lt;&gt;"",ORÇAMENTO.CustoUnitario&gt;$AG266),AND(TIPOORCAMENTO="LICITADO",ORÇAMENTO.PrecoUnitarioLicitado&gt;$AN266)),"ACIMA REF.",
IF(AND($C266="S",$P266&lt;&gt;"",$Q266&lt;&gt;"",$T266=0,$U266&gt;0),"QUANT.",
IF(AND(Import.TipoArredondamento="TransfereGOV",$L266="F",$C266="S",LEN($Q266)&gt;13),"Código &gt;13",
IF(AND(Import.TipoArredondamento="TransfereGOV",$L266="F",$C266&lt;&gt;"S",LEN($R266)&gt;100),"Descrição &gt;100",
IF(AND(Import.TipoArredondamento="TransfereGOV",$L266="F",$C266="S",LEN($R266)&gt;500),"Descrição &gt;500",
IF(AND(Import.TipoArredondamento="TransfereGOV",$L266="F",$C266="S",LEFT(TRIM(UPPER($P266)),6)&lt;&gt;"SINAPI",ISNA(VLOOKUP(TRIM(UPPER($S266)),ListaTgov.Unidades,1,FALSE))),"Unid. Não Disp",
" "))))))))))))))))</f>
        <v xml:space="preserve"> </v>
      </c>
      <c r="AD266" t="str">
        <f ca="1">IF(C266&lt;=CRONO.NivelExibicao,MAX($AD$15:OFFSET(AD266,-1,0))+IF($C266&lt;&gt;1,1,MAX(1,COUNTIF(QCI!$A$13:$A$15,OFFSET($E266,-1,0)))),"")</f>
        <v/>
      </c>
      <c r="AE266" s="7" t="str">
        <f ca="1">IF(AND($C266="S",ORÇAMENTO.CodBarra&lt;&gt;""),IF(ORÇAMENTO.Fonte="",ORÇAMENTO.CodBarra,CONCATENATE(ORÇAMENTO.Fonte," ",ORÇAMENTO.CodBarra)))</f>
        <v>COTAÇÃO COT-025</v>
      </c>
      <c r="AF266" s="12">
        <f ca="1">IF(ISERROR(INDIRECT(ORÇAMENTO.BancoRef)),"(abra o arquivo 'Referência "&amp;Excel_BuiltIn_Database&amp;".xlsm)",IF(OR($C266&lt;&gt;"S",ORÇAMENTO.CodBarra=""),"(Sem Código)",IF(ISERROR(MATCH($AE266,INDIRECT(ORÇAMENTO.BancoRef),0)),"(Código não identificado nas referências)",MATCH($AE266,INDIRECT(ORÇAMENTO.BancoRef),0))))</f>
        <v>93</v>
      </c>
      <c r="AG266" s="428">
        <f ca="1">ROUND(IF(DESONERACAO="sim",REFERENCIA.Desonerado,REFERENCIA.NaoDesonerado),2)</f>
        <v>4438.1099999999997</v>
      </c>
      <c r="AH266" s="429">
        <f t="shared" ca="1" si="69"/>
        <v>0.16800000000000001</v>
      </c>
      <c r="AJ266" s="431">
        <v>1</v>
      </c>
      <c r="AL266" s="439"/>
      <c r="AM266" s="336">
        <f t="shared" ca="1" si="0"/>
        <v>5183.71</v>
      </c>
      <c r="AN266" s="470">
        <f t="shared" ca="1" si="70"/>
        <v>5183.71</v>
      </c>
    </row>
    <row r="267" spans="1:40" x14ac:dyDescent="0.2">
      <c r="A267" t="str">
        <f t="shared" si="56"/>
        <v>S</v>
      </c>
      <c r="B267">
        <f t="shared" ca="1" si="57"/>
        <v>4</v>
      </c>
      <c r="C267" t="str">
        <f t="shared" ca="1" si="58"/>
        <v>S</v>
      </c>
      <c r="D267">
        <f t="shared" ca="1" si="59"/>
        <v>0</v>
      </c>
      <c r="E267">
        <f ca="1">IF($C267=1,OFFSET(E267,-1,0)+MAX(1,COUNTIF(QCI!$A$13:$A$15,OFFSET(ORÇAMENTO!E267,-1,0))),OFFSET(E267,-1,0))</f>
        <v>1</v>
      </c>
      <c r="F267">
        <f t="shared" ca="1" si="60"/>
        <v>7</v>
      </c>
      <c r="G267">
        <f t="shared" ca="1" si="61"/>
        <v>2</v>
      </c>
      <c r="H267">
        <f t="shared" ca="1" si="62"/>
        <v>1</v>
      </c>
      <c r="I267">
        <f t="shared" ca="1" si="63"/>
        <v>3</v>
      </c>
      <c r="J267">
        <f t="shared" ca="1" si="54"/>
        <v>0</v>
      </c>
      <c r="K267">
        <f ca="1">IF(OR($C267="S",$C267=0),0,MATCH(OFFSET($D267,0,$C267)+IF($C267&lt;&gt;1,1,COUNTIF(QCI!$A$13:$A$15,ORÇAMENTO!E267)),OFFSET($D267,1,$C267,ROW($C$508)-ROW($C267)),0))</f>
        <v>0</v>
      </c>
      <c r="L267" s="114" t="str">
        <f t="shared" ca="1" si="64"/>
        <v>F</v>
      </c>
      <c r="M267" s="115" t="s">
        <v>705</v>
      </c>
      <c r="N267" s="116" t="str">
        <f t="shared" ca="1" si="65"/>
        <v>Serviço</v>
      </c>
      <c r="O267" s="117" t="str">
        <f t="shared" ca="1" si="66"/>
        <v>1.7.2.1.3.</v>
      </c>
      <c r="P267" s="118" t="s">
        <v>1283</v>
      </c>
      <c r="Q267" s="119" t="s">
        <v>1072</v>
      </c>
      <c r="R267" s="120" t="str">
        <f ca="1">IF($C267="S",REFERENCIA.Descricao,"(digite a descrição aqui)")</f>
        <v>LUVA COM BOLSAS FoFo - DN 400 MM</v>
      </c>
      <c r="S267" s="121" t="str">
        <f ca="1">REFERENCIA.Unidade</f>
        <v>UN</v>
      </c>
      <c r="T267" s="122">
        <f ca="1">OFFSET(CÁLCULO!H$15,ROW($T267)-ROW(T$15),0)</f>
        <v>1</v>
      </c>
      <c r="U267" s="123">
        <f t="shared" ca="1" si="72"/>
        <v>4649.45</v>
      </c>
      <c r="V267" s="124" t="s">
        <v>697</v>
      </c>
      <c r="W267" s="122">
        <f ca="1">IF($C267="S",ROUND(IF(TIPOORCAMENTO="Proposto",ORÇAMENTO.CustoUnitario*(1+$AH267),ORÇAMENTO.PrecoUnitarioLicitado),15-13*$AF$10),0)</f>
        <v>5430.56</v>
      </c>
      <c r="X267" s="125" cm="1">
        <f t="array" aca="1" ref="X267" ca="1">IF($C267="S",IF(OR(Import.TipoArredondamento&lt;&gt;"TransfereGOV",ACOMPANHAMENTO="BM"),VTOTAL1,SUM(OFFSET(CÁLCULO!$AI$15,ROW($X267)-ROW($X$15),1):OFFSET(CÁLCULO!$BB$15,ROW($X267)-ROW($X$15),-1))),IF($C267=0,0,ROUND(SomaAgrup,15-13*$AF$11)))</f>
        <v>5430.56</v>
      </c>
      <c r="Y267" s="126" t="s">
        <v>751</v>
      </c>
      <c r="Z267" t="str">
        <f t="shared" ca="1" si="67"/>
        <v>RA</v>
      </c>
      <c r="AA267" s="127">
        <f ca="1">IF($C267="S",IF($Z267="CP",$X267,IF($Z267="RA",(($X267)*QCI!$AA$3),0)),SomaAgrup)</f>
        <v>0</v>
      </c>
      <c r="AB267" s="128">
        <f t="shared" ca="1" si="68"/>
        <v>0</v>
      </c>
      <c r="AC267" s="565" t="str" cm="1">
        <f t="array" aca="1" ref="AC267" ca="1">IF($N267=""," ",
IF(AND($C267&lt;&gt;"S",OR($R267="",$R267="(digite a descrição aqui)")),"DESCRIÇÃO",
IF(AND($C267="S",OR($Q267&lt;&gt;"",$T267&gt;0,$U267&gt;0),$P267=""),"FONTE",
IF(AND($C267="S",$P267&lt;&gt;"",OR($T267&gt;0,$U267&gt;0),$Q267=""),"CÓDIGO",
IF(AND($C267="S",$P267&lt;&gt;"",$Q267&lt;&gt;"",$R267="(Código não identificado nas referências)"),"CÓDIGO N/ID",
IF(AND($C267="S",OR($R267="",$R267="(digite a descrição aqui)"),OR($Q267&lt;&gt;"",$T267&gt;0,$U267&gt;0)),"DESCRIÇÃO",
IF(AND($C267="S",$P267&lt;&gt;"",$Q267&lt;&gt;"",$S267=""),"UNIDADE",
IF(AND($C267="S",$P267&lt;&gt;"",$Q267&lt;&gt;"",$U267=0),"SEM CUSTO",
IF(AND(_xlfn.SINGLE(TIPOORCAMENTO)="Licitado",$AL267=0,$AN267&gt;0),"SEM PREÇO",
IF(AND($C267="S",$P267&lt;&gt;"",$Q267&lt;&gt;"",$U267&gt;0,AND($V267&lt;&gt;"BDI 1",$V267&lt;&gt;"BDI 2",$V267&lt;&gt;"BDI 3")),IF(ISNUMBER($V267),"JUSTIFICAR BDI","BDI"),
IF(OR(AND(import.recurso="OGU",TIPOORCAMENTO="Proposto",LEFT($O$8,5)&lt;&gt;"(N/D:",$AG267&lt;&gt;"",ORÇAMENTO.CustoUnitario&gt;$AG267),AND(TIPOORCAMENTO="LICITADO",ORÇAMENTO.PrecoUnitarioLicitado&gt;$AN267)),"ACIMA REF.",
IF(AND($C267="S",$P267&lt;&gt;"",$Q267&lt;&gt;"",$T267=0,$U267&gt;0),"QUANT.",
IF(AND(Import.TipoArredondamento="TransfereGOV",$L267="F",$C267="S",LEN($Q267)&gt;13),"Código &gt;13",
IF(AND(Import.TipoArredondamento="TransfereGOV",$L267="F",$C267&lt;&gt;"S",LEN($R267)&gt;100),"Descrição &gt;100",
IF(AND(Import.TipoArredondamento="TransfereGOV",$L267="F",$C267="S",LEN($R267)&gt;500),"Descrição &gt;500",
IF(AND(Import.TipoArredondamento="TransfereGOV",$L267="F",$C267="S",LEFT(TRIM(UPPER($P267)),6)&lt;&gt;"SINAPI",ISNA(VLOOKUP(TRIM(UPPER($S267)),ListaTgov.Unidades,1,FALSE))),"Unid. Não Disp",
" "))))))))))))))))</f>
        <v xml:space="preserve"> </v>
      </c>
      <c r="AD267" t="str">
        <f ca="1">IF(C267&lt;=CRONO.NivelExibicao,MAX($AD$15:OFFSET(AD267,-1,0))+IF($C267&lt;&gt;1,1,MAX(1,COUNTIF(QCI!$A$13:$A$15,OFFSET($E267,-1,0)))),"")</f>
        <v/>
      </c>
      <c r="AE267" s="7" t="str">
        <f ca="1">IF(AND($C267="S",ORÇAMENTO.CodBarra&lt;&gt;""),IF(ORÇAMENTO.Fonte="",ORÇAMENTO.CodBarra,CONCATENATE(ORÇAMENTO.Fonte," ",ORÇAMENTO.CodBarra)))</f>
        <v>COTAÇÃO COT-026</v>
      </c>
      <c r="AF267" s="12">
        <f ca="1">IF(ISERROR(INDIRECT(ORÇAMENTO.BancoRef)),"(abra o arquivo 'Referência "&amp;Excel_BuiltIn_Database&amp;".xlsm)",IF(OR($C267&lt;&gt;"S",ORÇAMENTO.CodBarra=""),"(Sem Código)",IF(ISERROR(MATCH($AE267,INDIRECT(ORÇAMENTO.BancoRef),0)),"(Código não identificado nas referências)",MATCH($AE267,INDIRECT(ORÇAMENTO.BancoRef),0))))</f>
        <v>94</v>
      </c>
      <c r="AG267" s="428">
        <f ca="1">ROUND(IF(DESONERACAO="sim",REFERENCIA.Desonerado,REFERENCIA.NaoDesonerado),2)</f>
        <v>4649.45</v>
      </c>
      <c r="AH267" s="429">
        <f t="shared" ca="1" si="69"/>
        <v>0.16800000000000001</v>
      </c>
      <c r="AJ267" s="431">
        <v>1</v>
      </c>
      <c r="AL267" s="439"/>
      <c r="AM267" s="336">
        <f t="shared" ca="1" si="0"/>
        <v>5430.56</v>
      </c>
      <c r="AN267" s="470">
        <f t="shared" ca="1" si="70"/>
        <v>5430.56</v>
      </c>
    </row>
    <row r="268" spans="1:40" x14ac:dyDescent="0.2">
      <c r="A268" t="str">
        <f t="shared" si="56"/>
        <v>S</v>
      </c>
      <c r="B268">
        <f t="shared" ca="1" si="57"/>
        <v>4</v>
      </c>
      <c r="C268" t="str">
        <f t="shared" ca="1" si="58"/>
        <v>S</v>
      </c>
      <c r="D268">
        <f t="shared" ca="1" si="59"/>
        <v>0</v>
      </c>
      <c r="E268">
        <f ca="1">IF($C268=1,OFFSET(E268,-1,0)+MAX(1,COUNTIF(QCI!$A$13:$A$15,OFFSET(ORÇAMENTO!E268,-1,0))),OFFSET(E268,-1,0))</f>
        <v>1</v>
      </c>
      <c r="F268">
        <f t="shared" ca="1" si="60"/>
        <v>7</v>
      </c>
      <c r="G268">
        <f t="shared" ca="1" si="61"/>
        <v>2</v>
      </c>
      <c r="H268">
        <f t="shared" ca="1" si="62"/>
        <v>1</v>
      </c>
      <c r="I268">
        <f t="shared" ca="1" si="63"/>
        <v>4</v>
      </c>
      <c r="J268">
        <f t="shared" ca="1" si="54"/>
        <v>0</v>
      </c>
      <c r="K268">
        <f ca="1">IF(OR($C268="S",$C268=0),0,MATCH(OFFSET($D268,0,$C268)+IF($C268&lt;&gt;1,1,COUNTIF(QCI!$A$13:$A$15,ORÇAMENTO!E268)),OFFSET($D268,1,$C268,ROW($C$508)-ROW($C268)),0))</f>
        <v>0</v>
      </c>
      <c r="L268" s="114" t="str">
        <f t="shared" ca="1" si="64"/>
        <v>F</v>
      </c>
      <c r="M268" s="115" t="s">
        <v>705</v>
      </c>
      <c r="N268" s="116" t="str">
        <f t="shared" ca="1" si="65"/>
        <v>Serviço</v>
      </c>
      <c r="O268" s="117" t="str">
        <f t="shared" ca="1" si="66"/>
        <v>1.7.2.1.4.</v>
      </c>
      <c r="P268" s="118" t="s">
        <v>1283</v>
      </c>
      <c r="Q268" s="119" t="s">
        <v>1073</v>
      </c>
      <c r="R268" s="120" t="str">
        <f ca="1">IF($C268="S",REFERENCIA.Descricao,"(digite a descrição aqui)")</f>
        <v>TUBO PONTA/BOLSA FoFo - DN 150 MM</v>
      </c>
      <c r="S268" s="121" t="str">
        <f ca="1">REFERENCIA.Unidade</f>
        <v>M</v>
      </c>
      <c r="T268" s="122">
        <f ca="1">OFFSET(CÁLCULO!H$15,ROW($T268)-ROW(T$15),0)</f>
        <v>9.25</v>
      </c>
      <c r="U268" s="123">
        <f t="shared" ca="1" si="72"/>
        <v>499.22</v>
      </c>
      <c r="V268" s="124" t="s">
        <v>697</v>
      </c>
      <c r="W268" s="122">
        <f ca="1">IF($C268="S",ROUND(IF(TIPOORCAMENTO="Proposto",ORÇAMENTO.CustoUnitario*(1+$AH268),ORÇAMENTO.PrecoUnitarioLicitado),15-13*$AF$10),0)</f>
        <v>583.09</v>
      </c>
      <c r="X268" s="125" cm="1">
        <f t="array" aca="1" ref="X268" ca="1">IF($C268="S",IF(OR(Import.TipoArredondamento&lt;&gt;"TransfereGOV",ACOMPANHAMENTO="BM"),VTOTAL1,SUM(OFFSET(CÁLCULO!$AI$15,ROW($X268)-ROW($X$15),1):OFFSET(CÁLCULO!$BB$15,ROW($X268)-ROW($X$15),-1))),IF($C268=0,0,ROUND(SomaAgrup,15-13*$AF$11)))</f>
        <v>5393.58</v>
      </c>
      <c r="Y268" s="126" t="s">
        <v>751</v>
      </c>
      <c r="Z268" t="str">
        <f t="shared" ca="1" si="67"/>
        <v>RA</v>
      </c>
      <c r="AA268" s="127">
        <f ca="1">IF($C268="S",IF($Z268="CP",$X268,IF($Z268="RA",(($X268)*QCI!$AA$3),0)),SomaAgrup)</f>
        <v>0</v>
      </c>
      <c r="AB268" s="128">
        <f t="shared" ca="1" si="68"/>
        <v>0</v>
      </c>
      <c r="AC268" s="565" t="str" cm="1">
        <f t="array" aca="1" ref="AC268" ca="1">IF($N268=""," ",
IF(AND($C268&lt;&gt;"S",OR($R268="",$R268="(digite a descrição aqui)")),"DESCRIÇÃO",
IF(AND($C268="S",OR($Q268&lt;&gt;"",$T268&gt;0,$U268&gt;0),$P268=""),"FONTE",
IF(AND($C268="S",$P268&lt;&gt;"",OR($T268&gt;0,$U268&gt;0),$Q268=""),"CÓDIGO",
IF(AND($C268="S",$P268&lt;&gt;"",$Q268&lt;&gt;"",$R268="(Código não identificado nas referências)"),"CÓDIGO N/ID",
IF(AND($C268="S",OR($R268="",$R268="(digite a descrição aqui)"),OR($Q268&lt;&gt;"",$T268&gt;0,$U268&gt;0)),"DESCRIÇÃO",
IF(AND($C268="S",$P268&lt;&gt;"",$Q268&lt;&gt;"",$S268=""),"UNIDADE",
IF(AND($C268="S",$P268&lt;&gt;"",$Q268&lt;&gt;"",$U268=0),"SEM CUSTO",
IF(AND(_xlfn.SINGLE(TIPOORCAMENTO)="Licitado",$AL268=0,$AN268&gt;0),"SEM PREÇO",
IF(AND($C268="S",$P268&lt;&gt;"",$Q268&lt;&gt;"",$U268&gt;0,AND($V268&lt;&gt;"BDI 1",$V268&lt;&gt;"BDI 2",$V268&lt;&gt;"BDI 3")),IF(ISNUMBER($V268),"JUSTIFICAR BDI","BDI"),
IF(OR(AND(import.recurso="OGU",TIPOORCAMENTO="Proposto",LEFT($O$8,5)&lt;&gt;"(N/D:",$AG268&lt;&gt;"",ORÇAMENTO.CustoUnitario&gt;$AG268),AND(TIPOORCAMENTO="LICITADO",ORÇAMENTO.PrecoUnitarioLicitado&gt;$AN268)),"ACIMA REF.",
IF(AND($C268="S",$P268&lt;&gt;"",$Q268&lt;&gt;"",$T268=0,$U268&gt;0),"QUANT.",
IF(AND(Import.TipoArredondamento="TransfereGOV",$L268="F",$C268="S",LEN($Q268)&gt;13),"Código &gt;13",
IF(AND(Import.TipoArredondamento="TransfereGOV",$L268="F",$C268&lt;&gt;"S",LEN($R268)&gt;100),"Descrição &gt;100",
IF(AND(Import.TipoArredondamento="TransfereGOV",$L268="F",$C268="S",LEN($R268)&gt;500),"Descrição &gt;500",
IF(AND(Import.TipoArredondamento="TransfereGOV",$L268="F",$C268="S",LEFT(TRIM(UPPER($P268)),6)&lt;&gt;"SINAPI",ISNA(VLOOKUP(TRIM(UPPER($S268)),ListaTgov.Unidades,1,FALSE))),"Unid. Não Disp",
" "))))))))))))))))</f>
        <v xml:space="preserve"> </v>
      </c>
      <c r="AD268" t="str">
        <f ca="1">IF(C268&lt;=CRONO.NivelExibicao,MAX($AD$15:OFFSET(AD268,-1,0))+IF($C268&lt;&gt;1,1,MAX(1,COUNTIF(QCI!$A$13:$A$15,OFFSET($E268,-1,0)))),"")</f>
        <v/>
      </c>
      <c r="AE268" s="7" t="str">
        <f ca="1">IF(AND($C268="S",ORÇAMENTO.CodBarra&lt;&gt;""),IF(ORÇAMENTO.Fonte="",ORÇAMENTO.CodBarra,CONCATENATE(ORÇAMENTO.Fonte," ",ORÇAMENTO.CodBarra)))</f>
        <v>COTAÇÃO COT-027</v>
      </c>
      <c r="AF268" s="12">
        <f ca="1">IF(ISERROR(INDIRECT(ORÇAMENTO.BancoRef)),"(abra o arquivo 'Referência "&amp;Excel_BuiltIn_Database&amp;".xlsm)",IF(OR($C268&lt;&gt;"S",ORÇAMENTO.CodBarra=""),"(Sem Código)",IF(ISERROR(MATCH($AE268,INDIRECT(ORÇAMENTO.BancoRef),0)),"(Código não identificado nas referências)",MATCH($AE268,INDIRECT(ORÇAMENTO.BancoRef),0))))</f>
        <v>95</v>
      </c>
      <c r="AG268" s="428">
        <f ca="1">ROUND(IF(DESONERACAO="sim",REFERENCIA.Desonerado,REFERENCIA.NaoDesonerado),2)</f>
        <v>499.22</v>
      </c>
      <c r="AH268" s="429">
        <f t="shared" ca="1" si="69"/>
        <v>0.16800000000000001</v>
      </c>
      <c r="AJ268" s="431">
        <v>9.25</v>
      </c>
      <c r="AL268" s="439"/>
      <c r="AM268" s="336">
        <f t="shared" ca="1" si="0"/>
        <v>5393.58</v>
      </c>
      <c r="AN268" s="470">
        <f t="shared" ca="1" si="70"/>
        <v>583.09</v>
      </c>
    </row>
    <row r="269" spans="1:40" x14ac:dyDescent="0.2">
      <c r="A269" t="str">
        <f t="shared" si="56"/>
        <v>S</v>
      </c>
      <c r="B269">
        <f t="shared" ca="1" si="57"/>
        <v>4</v>
      </c>
      <c r="C269" t="str">
        <f t="shared" ca="1" si="58"/>
        <v>S</v>
      </c>
      <c r="D269">
        <f t="shared" ca="1" si="59"/>
        <v>0</v>
      </c>
      <c r="E269">
        <f ca="1">IF($C269=1,OFFSET(E269,-1,0)+MAX(1,COUNTIF(QCI!$A$13:$A$15,OFFSET(ORÇAMENTO!E269,-1,0))),OFFSET(E269,-1,0))</f>
        <v>1</v>
      </c>
      <c r="F269">
        <f t="shared" ca="1" si="60"/>
        <v>7</v>
      </c>
      <c r="G269">
        <f t="shared" ca="1" si="61"/>
        <v>2</v>
      </c>
      <c r="H269">
        <f t="shared" ca="1" si="62"/>
        <v>1</v>
      </c>
      <c r="I269">
        <f t="shared" ca="1" si="63"/>
        <v>5</v>
      </c>
      <c r="J269">
        <f t="shared" ca="1" si="54"/>
        <v>0</v>
      </c>
      <c r="K269">
        <f ca="1">IF(OR($C269="S",$C269=0),0,MATCH(OFFSET($D269,0,$C269)+IF($C269&lt;&gt;1,1,COUNTIF(QCI!$A$13:$A$15,ORÇAMENTO!E269)),OFFSET($D269,1,$C269,ROW($C$508)-ROW($C269)),0))</f>
        <v>0</v>
      </c>
      <c r="L269" s="114" t="str">
        <f t="shared" ca="1" si="64"/>
        <v>F</v>
      </c>
      <c r="M269" s="115" t="s">
        <v>705</v>
      </c>
      <c r="N269" s="116" t="str">
        <f t="shared" ca="1" si="65"/>
        <v>Serviço</v>
      </c>
      <c r="O269" s="117" t="str">
        <f t="shared" ca="1" si="66"/>
        <v>1.7.2.1.5.</v>
      </c>
      <c r="P269" s="118" t="s">
        <v>1283</v>
      </c>
      <c r="Q269" s="119" t="s">
        <v>1074</v>
      </c>
      <c r="R269" s="120" t="str">
        <f ca="1">IF($C269="S",REFERENCIA.Descricao,"(digite a descrição aqui)")</f>
        <v>CURVA 45 BOLSAS FoFo - DN 150 MM</v>
      </c>
      <c r="S269" s="121" t="str">
        <f ca="1">REFERENCIA.Unidade</f>
        <v>UN</v>
      </c>
      <c r="T269" s="122">
        <f ca="1">OFFSET(CÁLCULO!H$15,ROW($T269)-ROW(T$15),0)</f>
        <v>2</v>
      </c>
      <c r="U269" s="123">
        <f t="shared" ca="1" si="72"/>
        <v>388.6</v>
      </c>
      <c r="V269" s="124" t="s">
        <v>697</v>
      </c>
      <c r="W269" s="122">
        <f ca="1">IF($C269="S",ROUND(IF(TIPOORCAMENTO="Proposto",ORÇAMENTO.CustoUnitario*(1+$AH269),ORÇAMENTO.PrecoUnitarioLicitado),15-13*$AF$10),0)</f>
        <v>453.88</v>
      </c>
      <c r="X269" s="125" cm="1">
        <f t="array" aca="1" ref="X269" ca="1">IF($C269="S",IF(OR(Import.TipoArredondamento&lt;&gt;"TransfereGOV",ACOMPANHAMENTO="BM"),VTOTAL1,SUM(OFFSET(CÁLCULO!$AI$15,ROW($X269)-ROW($X$15),1):OFFSET(CÁLCULO!$BB$15,ROW($X269)-ROW($X$15),-1))),IF($C269=0,0,ROUND(SomaAgrup,15-13*$AF$11)))</f>
        <v>907.76</v>
      </c>
      <c r="Y269" s="126" t="s">
        <v>751</v>
      </c>
      <c r="Z269" t="str">
        <f t="shared" ca="1" si="67"/>
        <v>RA</v>
      </c>
      <c r="AA269" s="127">
        <f ca="1">IF($C269="S",IF($Z269="CP",$X269,IF($Z269="RA",(($X269)*QCI!$AA$3),0)),SomaAgrup)</f>
        <v>0</v>
      </c>
      <c r="AB269" s="128">
        <f t="shared" ca="1" si="68"/>
        <v>0</v>
      </c>
      <c r="AC269" s="565" t="str" cm="1">
        <f t="array" aca="1" ref="AC269" ca="1">IF($N269=""," ",
IF(AND($C269&lt;&gt;"S",OR($R269="",$R269="(digite a descrição aqui)")),"DESCRIÇÃO",
IF(AND($C269="S",OR($Q269&lt;&gt;"",$T269&gt;0,$U269&gt;0),$P269=""),"FONTE",
IF(AND($C269="S",$P269&lt;&gt;"",OR($T269&gt;0,$U269&gt;0),$Q269=""),"CÓDIGO",
IF(AND($C269="S",$P269&lt;&gt;"",$Q269&lt;&gt;"",$R269="(Código não identificado nas referências)"),"CÓDIGO N/ID",
IF(AND($C269="S",OR($R269="",$R269="(digite a descrição aqui)"),OR($Q269&lt;&gt;"",$T269&gt;0,$U269&gt;0)),"DESCRIÇÃO",
IF(AND($C269="S",$P269&lt;&gt;"",$Q269&lt;&gt;"",$S269=""),"UNIDADE",
IF(AND($C269="S",$P269&lt;&gt;"",$Q269&lt;&gt;"",$U269=0),"SEM CUSTO",
IF(AND(_xlfn.SINGLE(TIPOORCAMENTO)="Licitado",$AL269=0,$AN269&gt;0),"SEM PREÇO",
IF(AND($C269="S",$P269&lt;&gt;"",$Q269&lt;&gt;"",$U269&gt;0,AND($V269&lt;&gt;"BDI 1",$V269&lt;&gt;"BDI 2",$V269&lt;&gt;"BDI 3")),IF(ISNUMBER($V269),"JUSTIFICAR BDI","BDI"),
IF(OR(AND(import.recurso="OGU",TIPOORCAMENTO="Proposto",LEFT($O$8,5)&lt;&gt;"(N/D:",$AG269&lt;&gt;"",ORÇAMENTO.CustoUnitario&gt;$AG269),AND(TIPOORCAMENTO="LICITADO",ORÇAMENTO.PrecoUnitarioLicitado&gt;$AN269)),"ACIMA REF.",
IF(AND($C269="S",$P269&lt;&gt;"",$Q269&lt;&gt;"",$T269=0,$U269&gt;0),"QUANT.",
IF(AND(Import.TipoArredondamento="TransfereGOV",$L269="F",$C269="S",LEN($Q269)&gt;13),"Código &gt;13",
IF(AND(Import.TipoArredondamento="TransfereGOV",$L269="F",$C269&lt;&gt;"S",LEN($R269)&gt;100),"Descrição &gt;100",
IF(AND(Import.TipoArredondamento="TransfereGOV",$L269="F",$C269="S",LEN($R269)&gt;500),"Descrição &gt;500",
IF(AND(Import.TipoArredondamento="TransfereGOV",$L269="F",$C269="S",LEFT(TRIM(UPPER($P269)),6)&lt;&gt;"SINAPI",ISNA(VLOOKUP(TRIM(UPPER($S269)),ListaTgov.Unidades,1,FALSE))),"Unid. Não Disp",
" "))))))))))))))))</f>
        <v xml:space="preserve"> </v>
      </c>
      <c r="AD269" t="str">
        <f ca="1">IF(C269&lt;=CRONO.NivelExibicao,MAX($AD$15:OFFSET(AD269,-1,0))+IF($C269&lt;&gt;1,1,MAX(1,COUNTIF(QCI!$A$13:$A$15,OFFSET($E269,-1,0)))),"")</f>
        <v/>
      </c>
      <c r="AE269" s="7" t="str">
        <f ca="1">IF(AND($C269="S",ORÇAMENTO.CodBarra&lt;&gt;""),IF(ORÇAMENTO.Fonte="",ORÇAMENTO.CodBarra,CONCATENATE(ORÇAMENTO.Fonte," ",ORÇAMENTO.CodBarra)))</f>
        <v>COTAÇÃO COT-028</v>
      </c>
      <c r="AF269" s="12">
        <f ca="1">IF(ISERROR(INDIRECT(ORÇAMENTO.BancoRef)),"(abra o arquivo 'Referência "&amp;Excel_BuiltIn_Database&amp;".xlsm)",IF(OR($C269&lt;&gt;"S",ORÇAMENTO.CodBarra=""),"(Sem Código)",IF(ISERROR(MATCH($AE269,INDIRECT(ORÇAMENTO.BancoRef),0)),"(Código não identificado nas referências)",MATCH($AE269,INDIRECT(ORÇAMENTO.BancoRef),0))))</f>
        <v>96</v>
      </c>
      <c r="AG269" s="428">
        <f ca="1">ROUND(IF(DESONERACAO="sim",REFERENCIA.Desonerado,REFERENCIA.NaoDesonerado),2)</f>
        <v>388.6</v>
      </c>
      <c r="AH269" s="429">
        <f t="shared" ca="1" si="69"/>
        <v>0.16800000000000001</v>
      </c>
      <c r="AJ269" s="431">
        <v>2</v>
      </c>
      <c r="AL269" s="439"/>
      <c r="AM269" s="336">
        <f t="shared" ca="1" si="0"/>
        <v>907.76</v>
      </c>
      <c r="AN269" s="470">
        <f t="shared" ca="1" si="70"/>
        <v>453.88</v>
      </c>
    </row>
    <row r="270" spans="1:40" x14ac:dyDescent="0.2">
      <c r="A270" t="str">
        <f t="shared" si="56"/>
        <v>S</v>
      </c>
      <c r="B270">
        <f t="shared" ca="1" si="57"/>
        <v>4</v>
      </c>
      <c r="C270" t="str">
        <f t="shared" ca="1" si="58"/>
        <v>S</v>
      </c>
      <c r="D270">
        <f t="shared" ca="1" si="59"/>
        <v>0</v>
      </c>
      <c r="E270">
        <f ca="1">IF($C270=1,OFFSET(E270,-1,0)+MAX(1,COUNTIF(QCI!$A$13:$A$15,OFFSET(ORÇAMENTO!E270,-1,0))),OFFSET(E270,-1,0))</f>
        <v>1</v>
      </c>
      <c r="F270">
        <f t="shared" ca="1" si="60"/>
        <v>7</v>
      </c>
      <c r="G270">
        <f t="shared" ca="1" si="61"/>
        <v>2</v>
      </c>
      <c r="H270">
        <f t="shared" ca="1" si="62"/>
        <v>1</v>
      </c>
      <c r="I270">
        <f t="shared" ca="1" si="63"/>
        <v>6</v>
      </c>
      <c r="J270">
        <f t="shared" ca="1" si="54"/>
        <v>0</v>
      </c>
      <c r="K270">
        <f ca="1">IF(OR($C270="S",$C270=0),0,MATCH(OFFSET($D270,0,$C270)+IF($C270&lt;&gt;1,1,COUNTIF(QCI!$A$13:$A$15,ORÇAMENTO!E270)),OFFSET($D270,1,$C270,ROW($C$508)-ROW($C270)),0))</f>
        <v>0</v>
      </c>
      <c r="L270" s="114" t="str">
        <f t="shared" ca="1" si="64"/>
        <v>F</v>
      </c>
      <c r="M270" s="115" t="s">
        <v>705</v>
      </c>
      <c r="N270" s="116" t="str">
        <f t="shared" ca="1" si="65"/>
        <v>Serviço</v>
      </c>
      <c r="O270" s="117" t="str">
        <f t="shared" ca="1" si="66"/>
        <v>1.7.2.1.6.</v>
      </c>
      <c r="P270" s="118" t="s">
        <v>1283</v>
      </c>
      <c r="Q270" s="119" t="s">
        <v>1075</v>
      </c>
      <c r="R270" s="120" t="str">
        <f ca="1">IF($C270="S",REFERENCIA.Descricao,"(digite a descrição aqui)")</f>
        <v>TUBO PONTA/FLANGE FoFo L = 0,80 M - DN 150 MM</v>
      </c>
      <c r="S270" s="121" t="str">
        <f ca="1">REFERENCIA.Unidade</f>
        <v>UN</v>
      </c>
      <c r="T270" s="122">
        <f ca="1">OFFSET(CÁLCULO!H$15,ROW($T270)-ROW(T$15),0)</f>
        <v>1</v>
      </c>
      <c r="U270" s="123">
        <f t="shared" ca="1" si="72"/>
        <v>1349.9</v>
      </c>
      <c r="V270" s="124" t="s">
        <v>697</v>
      </c>
      <c r="W270" s="122">
        <f ca="1">IF($C270="S",ROUND(IF(TIPOORCAMENTO="Proposto",ORÇAMENTO.CustoUnitario*(1+$AH270),ORÇAMENTO.PrecoUnitarioLicitado),15-13*$AF$10),0)</f>
        <v>1576.68</v>
      </c>
      <c r="X270" s="125" cm="1">
        <f t="array" aca="1" ref="X270" ca="1">IF($C270="S",IF(OR(Import.TipoArredondamento&lt;&gt;"TransfereGOV",ACOMPANHAMENTO="BM"),VTOTAL1,SUM(OFFSET(CÁLCULO!$AI$15,ROW($X270)-ROW($X$15),1):OFFSET(CÁLCULO!$BB$15,ROW($X270)-ROW($X$15),-1))),IF($C270=0,0,ROUND(SomaAgrup,15-13*$AF$11)))</f>
        <v>1576.68</v>
      </c>
      <c r="Y270" s="126" t="s">
        <v>751</v>
      </c>
      <c r="Z270" t="str">
        <f t="shared" ca="1" si="67"/>
        <v>RA</v>
      </c>
      <c r="AA270" s="127">
        <f ca="1">IF($C270="S",IF($Z270="CP",$X270,IF($Z270="RA",(($X270)*QCI!$AA$3),0)),SomaAgrup)</f>
        <v>0</v>
      </c>
      <c r="AB270" s="128">
        <f t="shared" ca="1" si="68"/>
        <v>0</v>
      </c>
      <c r="AC270" s="565" t="str" cm="1">
        <f t="array" aca="1" ref="AC270" ca="1">IF($N270=""," ",
IF(AND($C270&lt;&gt;"S",OR($R270="",$R270="(digite a descrição aqui)")),"DESCRIÇÃO",
IF(AND($C270="S",OR($Q270&lt;&gt;"",$T270&gt;0,$U270&gt;0),$P270=""),"FONTE",
IF(AND($C270="S",$P270&lt;&gt;"",OR($T270&gt;0,$U270&gt;0),$Q270=""),"CÓDIGO",
IF(AND($C270="S",$P270&lt;&gt;"",$Q270&lt;&gt;"",$R270="(Código não identificado nas referências)"),"CÓDIGO N/ID",
IF(AND($C270="S",OR($R270="",$R270="(digite a descrição aqui)"),OR($Q270&lt;&gt;"",$T270&gt;0,$U270&gt;0)),"DESCRIÇÃO",
IF(AND($C270="S",$P270&lt;&gt;"",$Q270&lt;&gt;"",$S270=""),"UNIDADE",
IF(AND($C270="S",$P270&lt;&gt;"",$Q270&lt;&gt;"",$U270=0),"SEM CUSTO",
IF(AND(_xlfn.SINGLE(TIPOORCAMENTO)="Licitado",$AL270=0,$AN270&gt;0),"SEM PREÇO",
IF(AND($C270="S",$P270&lt;&gt;"",$Q270&lt;&gt;"",$U270&gt;0,AND($V270&lt;&gt;"BDI 1",$V270&lt;&gt;"BDI 2",$V270&lt;&gt;"BDI 3")),IF(ISNUMBER($V270),"JUSTIFICAR BDI","BDI"),
IF(OR(AND(import.recurso="OGU",TIPOORCAMENTO="Proposto",LEFT($O$8,5)&lt;&gt;"(N/D:",$AG270&lt;&gt;"",ORÇAMENTO.CustoUnitario&gt;$AG270),AND(TIPOORCAMENTO="LICITADO",ORÇAMENTO.PrecoUnitarioLicitado&gt;$AN270)),"ACIMA REF.",
IF(AND($C270="S",$P270&lt;&gt;"",$Q270&lt;&gt;"",$T270=0,$U270&gt;0),"QUANT.",
IF(AND(Import.TipoArredondamento="TransfereGOV",$L270="F",$C270="S",LEN($Q270)&gt;13),"Código &gt;13",
IF(AND(Import.TipoArredondamento="TransfereGOV",$L270="F",$C270&lt;&gt;"S",LEN($R270)&gt;100),"Descrição &gt;100",
IF(AND(Import.TipoArredondamento="TransfereGOV",$L270="F",$C270="S",LEN($R270)&gt;500),"Descrição &gt;500",
IF(AND(Import.TipoArredondamento="TransfereGOV",$L270="F",$C270="S",LEFT(TRIM(UPPER($P270)),6)&lt;&gt;"SINAPI",ISNA(VLOOKUP(TRIM(UPPER($S270)),ListaTgov.Unidades,1,FALSE))),"Unid. Não Disp",
" "))))))))))))))))</f>
        <v xml:space="preserve"> </v>
      </c>
      <c r="AD270" t="str">
        <f ca="1">IF(C270&lt;=CRONO.NivelExibicao,MAX($AD$15:OFFSET(AD270,-1,0))+IF($C270&lt;&gt;1,1,MAX(1,COUNTIF(QCI!$A$13:$A$15,OFFSET($E270,-1,0)))),"")</f>
        <v/>
      </c>
      <c r="AE270" s="7" t="str">
        <f ca="1">IF(AND($C270="S",ORÇAMENTO.CodBarra&lt;&gt;""),IF(ORÇAMENTO.Fonte="",ORÇAMENTO.CodBarra,CONCATENATE(ORÇAMENTO.Fonte," ",ORÇAMENTO.CodBarra)))</f>
        <v>COTAÇÃO COT-029</v>
      </c>
      <c r="AF270" s="12">
        <f ca="1">IF(ISERROR(INDIRECT(ORÇAMENTO.BancoRef)),"(abra o arquivo 'Referência "&amp;Excel_BuiltIn_Database&amp;".xlsm)",IF(OR($C270&lt;&gt;"S",ORÇAMENTO.CodBarra=""),"(Sem Código)",IF(ISERROR(MATCH($AE270,INDIRECT(ORÇAMENTO.BancoRef),0)),"(Código não identificado nas referências)",MATCH($AE270,INDIRECT(ORÇAMENTO.BancoRef),0))))</f>
        <v>97</v>
      </c>
      <c r="AG270" s="428">
        <f ca="1">ROUND(IF(DESONERACAO="sim",REFERENCIA.Desonerado,REFERENCIA.NaoDesonerado),2)</f>
        <v>1349.9</v>
      </c>
      <c r="AH270" s="429">
        <f t="shared" ca="1" si="69"/>
        <v>0.16800000000000001</v>
      </c>
      <c r="AJ270" s="431">
        <v>1</v>
      </c>
      <c r="AL270" s="439"/>
      <c r="AM270" s="336">
        <f t="shared" ca="1" si="0"/>
        <v>1576.68</v>
      </c>
      <c r="AN270" s="470">
        <f t="shared" ca="1" si="70"/>
        <v>1576.68</v>
      </c>
    </row>
    <row r="271" spans="1:40" x14ac:dyDescent="0.2">
      <c r="A271" t="str">
        <f t="shared" si="56"/>
        <v>S</v>
      </c>
      <c r="B271">
        <f t="shared" ca="1" si="57"/>
        <v>4</v>
      </c>
      <c r="C271" t="str">
        <f t="shared" ca="1" si="58"/>
        <v>S</v>
      </c>
      <c r="D271">
        <f t="shared" ca="1" si="59"/>
        <v>0</v>
      </c>
      <c r="E271">
        <f ca="1">IF($C271=1,OFFSET(E271,-1,0)+MAX(1,COUNTIF(QCI!$A$13:$A$15,OFFSET(ORÇAMENTO!E271,-1,0))),OFFSET(E271,-1,0))</f>
        <v>1</v>
      </c>
      <c r="F271">
        <f t="shared" ca="1" si="60"/>
        <v>7</v>
      </c>
      <c r="G271">
        <f t="shared" ca="1" si="61"/>
        <v>2</v>
      </c>
      <c r="H271">
        <f t="shared" ca="1" si="62"/>
        <v>1</v>
      </c>
      <c r="I271">
        <f t="shared" ca="1" si="63"/>
        <v>7</v>
      </c>
      <c r="J271">
        <f t="shared" ca="1" si="54"/>
        <v>0</v>
      </c>
      <c r="K271">
        <f ca="1">IF(OR($C271="S",$C271=0),0,MATCH(OFFSET($D271,0,$C271)+IF($C271&lt;&gt;1,1,COUNTIF(QCI!$A$13:$A$15,ORÇAMENTO!E271)),OFFSET($D271,1,$C271,ROW($C$508)-ROW($C271)),0))</f>
        <v>0</v>
      </c>
      <c r="L271" s="114" t="str">
        <f t="shared" ca="1" si="64"/>
        <v>F</v>
      </c>
      <c r="M271" s="115" t="s">
        <v>705</v>
      </c>
      <c r="N271" s="116" t="str">
        <f t="shared" ca="1" si="65"/>
        <v>Serviço</v>
      </c>
      <c r="O271" s="117" t="str">
        <f t="shared" ca="1" si="66"/>
        <v>1.7.2.1.7.</v>
      </c>
      <c r="P271" s="118" t="s">
        <v>1283</v>
      </c>
      <c r="Q271" s="119" t="s">
        <v>1076</v>
      </c>
      <c r="R271" s="120" t="str">
        <f ca="1">IF($C271="S",REFERENCIA.Descricao,"(digite a descrição aqui)")</f>
        <v>REGISTRO GAVETA FLANGE E CABEÇOTE PN10 DN150MM</v>
      </c>
      <c r="S271" s="121" t="str">
        <f ca="1">REFERENCIA.Unidade</f>
        <v>UN</v>
      </c>
      <c r="T271" s="122">
        <f ca="1">OFFSET(CÁLCULO!H$15,ROW($T271)-ROW(T$15),0)</f>
        <v>1</v>
      </c>
      <c r="U271" s="123">
        <f t="shared" ca="1" si="72"/>
        <v>1641.1</v>
      </c>
      <c r="V271" s="124" t="s">
        <v>697</v>
      </c>
      <c r="W271" s="122">
        <f ca="1">IF($C271="S",ROUND(IF(TIPOORCAMENTO="Proposto",ORÇAMENTO.CustoUnitario*(1+$AH271),ORÇAMENTO.PrecoUnitarioLicitado),15-13*$AF$10),0)</f>
        <v>1916.8</v>
      </c>
      <c r="X271" s="125" cm="1">
        <f t="array" aca="1" ref="X271" ca="1">IF($C271="S",IF(OR(Import.TipoArredondamento&lt;&gt;"TransfereGOV",ACOMPANHAMENTO="BM"),VTOTAL1,SUM(OFFSET(CÁLCULO!$AI$15,ROW($X271)-ROW($X$15),1):OFFSET(CÁLCULO!$BB$15,ROW($X271)-ROW($X$15),-1))),IF($C271=0,0,ROUND(SomaAgrup,15-13*$AF$11)))</f>
        <v>1916.8</v>
      </c>
      <c r="Y271" s="126" t="s">
        <v>751</v>
      </c>
      <c r="Z271" t="str">
        <f t="shared" ca="1" si="67"/>
        <v>RA</v>
      </c>
      <c r="AA271" s="127">
        <f ca="1">IF($C271="S",IF($Z271="CP",$X271,IF($Z271="RA",(($X271)*QCI!$AA$3),0)),SomaAgrup)</f>
        <v>0</v>
      </c>
      <c r="AB271" s="128">
        <f t="shared" ca="1" si="68"/>
        <v>0</v>
      </c>
      <c r="AC271" s="565" t="str" cm="1">
        <f t="array" aca="1" ref="AC271" ca="1">IF($N271=""," ",
IF(AND($C271&lt;&gt;"S",OR($R271="",$R271="(digite a descrição aqui)")),"DESCRIÇÃO",
IF(AND($C271="S",OR($Q271&lt;&gt;"",$T271&gt;0,$U271&gt;0),$P271=""),"FONTE",
IF(AND($C271="S",$P271&lt;&gt;"",OR($T271&gt;0,$U271&gt;0),$Q271=""),"CÓDIGO",
IF(AND($C271="S",$P271&lt;&gt;"",$Q271&lt;&gt;"",$R271="(Código não identificado nas referências)"),"CÓDIGO N/ID",
IF(AND($C271="S",OR($R271="",$R271="(digite a descrição aqui)"),OR($Q271&lt;&gt;"",$T271&gt;0,$U271&gt;0)),"DESCRIÇÃO",
IF(AND($C271="S",$P271&lt;&gt;"",$Q271&lt;&gt;"",$S271=""),"UNIDADE",
IF(AND($C271="S",$P271&lt;&gt;"",$Q271&lt;&gt;"",$U271=0),"SEM CUSTO",
IF(AND(_xlfn.SINGLE(TIPOORCAMENTO)="Licitado",$AL271=0,$AN271&gt;0),"SEM PREÇO",
IF(AND($C271="S",$P271&lt;&gt;"",$Q271&lt;&gt;"",$U271&gt;0,AND($V271&lt;&gt;"BDI 1",$V271&lt;&gt;"BDI 2",$V271&lt;&gt;"BDI 3")),IF(ISNUMBER($V271),"JUSTIFICAR BDI","BDI"),
IF(OR(AND(import.recurso="OGU",TIPOORCAMENTO="Proposto",LEFT($O$8,5)&lt;&gt;"(N/D:",$AG271&lt;&gt;"",ORÇAMENTO.CustoUnitario&gt;$AG271),AND(TIPOORCAMENTO="LICITADO",ORÇAMENTO.PrecoUnitarioLicitado&gt;$AN271)),"ACIMA REF.",
IF(AND($C271="S",$P271&lt;&gt;"",$Q271&lt;&gt;"",$T271=0,$U271&gt;0),"QUANT.",
IF(AND(Import.TipoArredondamento="TransfereGOV",$L271="F",$C271="S",LEN($Q271)&gt;13),"Código &gt;13",
IF(AND(Import.TipoArredondamento="TransfereGOV",$L271="F",$C271&lt;&gt;"S",LEN($R271)&gt;100),"Descrição &gt;100",
IF(AND(Import.TipoArredondamento="TransfereGOV",$L271="F",$C271="S",LEN($R271)&gt;500),"Descrição &gt;500",
IF(AND(Import.TipoArredondamento="TransfereGOV",$L271="F",$C271="S",LEFT(TRIM(UPPER($P271)),6)&lt;&gt;"SINAPI",ISNA(VLOOKUP(TRIM(UPPER($S271)),ListaTgov.Unidades,1,FALSE))),"Unid. Não Disp",
" "))))))))))))))))</f>
        <v xml:space="preserve"> </v>
      </c>
      <c r="AD271" t="str">
        <f ca="1">IF(C271&lt;=CRONO.NivelExibicao,MAX($AD$15:OFFSET(AD271,-1,0))+IF($C271&lt;&gt;1,1,MAX(1,COUNTIF(QCI!$A$13:$A$15,OFFSET($E271,-1,0)))),"")</f>
        <v/>
      </c>
      <c r="AE271" s="7" t="str">
        <f ca="1">IF(AND($C271="S",ORÇAMENTO.CodBarra&lt;&gt;""),IF(ORÇAMENTO.Fonte="",ORÇAMENTO.CodBarra,CONCATENATE(ORÇAMENTO.Fonte," ",ORÇAMENTO.CodBarra)))</f>
        <v>COTAÇÃO COT-030</v>
      </c>
      <c r="AF271" s="12">
        <f ca="1">IF(ISERROR(INDIRECT(ORÇAMENTO.BancoRef)),"(abra o arquivo 'Referência "&amp;Excel_BuiltIn_Database&amp;".xlsm)",IF(OR($C271&lt;&gt;"S",ORÇAMENTO.CodBarra=""),"(Sem Código)",IF(ISERROR(MATCH($AE271,INDIRECT(ORÇAMENTO.BancoRef),0)),"(Código não identificado nas referências)",MATCH($AE271,INDIRECT(ORÇAMENTO.BancoRef),0))))</f>
        <v>98</v>
      </c>
      <c r="AG271" s="428">
        <f ca="1">ROUND(IF(DESONERACAO="sim",REFERENCIA.Desonerado,REFERENCIA.NaoDesonerado),2)</f>
        <v>1641.1</v>
      </c>
      <c r="AH271" s="429">
        <f t="shared" ca="1" si="69"/>
        <v>0.16800000000000001</v>
      </c>
      <c r="AJ271" s="431">
        <v>1</v>
      </c>
      <c r="AL271" s="439"/>
      <c r="AM271" s="336">
        <f t="shared" ca="1" si="0"/>
        <v>1916.8</v>
      </c>
      <c r="AN271" s="470">
        <f t="shared" ca="1" si="70"/>
        <v>1916.8</v>
      </c>
    </row>
    <row r="272" spans="1:40" x14ac:dyDescent="0.2">
      <c r="A272">
        <f t="shared" si="56"/>
        <v>4</v>
      </c>
      <c r="B272">
        <f t="shared" ca="1" si="57"/>
        <v>4</v>
      </c>
      <c r="C272">
        <f t="shared" ca="1" si="58"/>
        <v>4</v>
      </c>
      <c r="D272">
        <f t="shared" ca="1" si="59"/>
        <v>5</v>
      </c>
      <c r="E272">
        <f ca="1">IF($C272=1,OFFSET(E272,-1,0)+MAX(1,COUNTIF(QCI!$A$13:$A$15,OFFSET(ORÇAMENTO!E272,-1,0))),OFFSET(E272,-1,0))</f>
        <v>1</v>
      </c>
      <c r="F272">
        <f t="shared" ca="1" si="60"/>
        <v>7</v>
      </c>
      <c r="G272">
        <f t="shared" ca="1" si="61"/>
        <v>2</v>
      </c>
      <c r="H272">
        <f t="shared" ca="1" si="62"/>
        <v>2</v>
      </c>
      <c r="I272">
        <f t="shared" ca="1" si="63"/>
        <v>0</v>
      </c>
      <c r="J272">
        <f t="shared" ref="J272:J335" ca="1" si="73">IF(OR($C272="S",$C272=0),0,MATCH(0,OFFSET($D272,1,$C272,ROW($C$508)-ROW($C272)),0))</f>
        <v>5</v>
      </c>
      <c r="K272">
        <f ca="1">IF(OR($C272="S",$C272=0),0,MATCH(OFFSET($D272,0,$C272)+IF($C272&lt;&gt;1,1,COUNTIF(QCI!$A$13:$A$15,ORÇAMENTO!E272)),OFFSET($D272,1,$C272,ROW($C$508)-ROW($C272)),0))</f>
        <v>17</v>
      </c>
      <c r="L272" s="114" t="str">
        <f t="shared" ca="1" si="64"/>
        <v>F</v>
      </c>
      <c r="M272" s="115" t="s">
        <v>704</v>
      </c>
      <c r="N272" s="116" t="str">
        <f t="shared" ca="1" si="65"/>
        <v>Nível 4</v>
      </c>
      <c r="O272" s="117" t="str">
        <f t="shared" ca="1" si="66"/>
        <v>1.7.2.2.</v>
      </c>
      <c r="P272" s="118" t="s">
        <v>750</v>
      </c>
      <c r="Q272" s="119"/>
      <c r="R272" s="120" t="s">
        <v>1238</v>
      </c>
      <c r="S272" s="121" t="s">
        <v>688</v>
      </c>
      <c r="T272" s="122">
        <f ca="1">OFFSET(CÁLCULO!H$15,ROW($T272)-ROW(T$15),0)</f>
        <v>0</v>
      </c>
      <c r="U272" s="123">
        <f t="shared" ca="1" si="72"/>
        <v>0</v>
      </c>
      <c r="V272" s="124" t="s">
        <v>663</v>
      </c>
      <c r="W272" s="122">
        <f ca="1">IF($C272="S",ROUND(IF(TIPOORCAMENTO="Proposto",ORÇAMENTO.CustoUnitario*(1+$AH272),ORÇAMENTO.PrecoUnitarioLicitado),15-13*$AF$10),0)</f>
        <v>0</v>
      </c>
      <c r="X272" s="125" cm="1">
        <f t="array" aca="1" ref="X272" ca="1">IF($C272="S",IF(OR(Import.TipoArredondamento&lt;&gt;"TransfereGOV",ACOMPANHAMENTO="BM"),VTOTAL1,SUM(OFFSET(CÁLCULO!$AI$15,ROW($X272)-ROW($X$15),1):OFFSET(CÁLCULO!$BB$15,ROW($X272)-ROW($X$15),-1))),IF($C272=0,0,ROUND(SomaAgrup,15-13*$AF$11)))</f>
        <v>117559.22</v>
      </c>
      <c r="Y272" s="126" t="s">
        <v>751</v>
      </c>
      <c r="Z272" t="str">
        <f t="shared" ca="1" si="67"/>
        <v/>
      </c>
      <c r="AA272" s="127">
        <f ca="1">IF($C272="S",IF($Z272="CP",$X272,IF($Z272="RA",(($X272)*QCI!$AA$3),0)),SomaAgrup)</f>
        <v>0</v>
      </c>
      <c r="AB272" s="128">
        <f t="shared" ca="1" si="68"/>
        <v>0</v>
      </c>
      <c r="AC272" s="565" t="str" cm="1">
        <f t="array" aca="1" ref="AC272" ca="1">IF($N272=""," ",
IF(AND($C272&lt;&gt;"S",OR($R272="",$R272="(digite a descrição aqui)")),"DESCRIÇÃO",
IF(AND($C272="S",OR($Q272&lt;&gt;"",$T272&gt;0,$U272&gt;0),$P272=""),"FONTE",
IF(AND($C272="S",$P272&lt;&gt;"",OR($T272&gt;0,$U272&gt;0),$Q272=""),"CÓDIGO",
IF(AND($C272="S",$P272&lt;&gt;"",$Q272&lt;&gt;"",$R272="(Código não identificado nas referências)"),"CÓDIGO N/ID",
IF(AND($C272="S",OR($R272="",$R272="(digite a descrição aqui)"),OR($Q272&lt;&gt;"",$T272&gt;0,$U272&gt;0)),"DESCRIÇÃO",
IF(AND($C272="S",$P272&lt;&gt;"",$Q272&lt;&gt;"",$S272=""),"UNIDADE",
IF(AND($C272="S",$P272&lt;&gt;"",$Q272&lt;&gt;"",$U272=0),"SEM CUSTO",
IF(AND(_xlfn.SINGLE(TIPOORCAMENTO)="Licitado",$AL272=0,$AN272&gt;0),"SEM PREÇO",
IF(AND($C272="S",$P272&lt;&gt;"",$Q272&lt;&gt;"",$U272&gt;0,AND($V272&lt;&gt;"BDI 1",$V272&lt;&gt;"BDI 2",$V272&lt;&gt;"BDI 3")),IF(ISNUMBER($V272),"JUSTIFICAR BDI","BDI"),
IF(OR(AND(import.recurso="OGU",TIPOORCAMENTO="Proposto",LEFT($O$8,5)&lt;&gt;"(N/D:",$AG272&lt;&gt;"",ORÇAMENTO.CustoUnitario&gt;$AG272),AND(TIPOORCAMENTO="LICITADO",ORÇAMENTO.PrecoUnitarioLicitado&gt;$AN272)),"ACIMA REF.",
IF(AND($C272="S",$P272&lt;&gt;"",$Q272&lt;&gt;"",$T272=0,$U272&gt;0),"QUANT.",
IF(AND(Import.TipoArredondamento="TransfereGOV",$L272="F",$C272="S",LEN($Q272)&gt;13),"Código &gt;13",
IF(AND(Import.TipoArredondamento="TransfereGOV",$L272="F",$C272&lt;&gt;"S",LEN($R272)&gt;100),"Descrição &gt;100",
IF(AND(Import.TipoArredondamento="TransfereGOV",$L272="F",$C272="S",LEN($R272)&gt;500),"Descrição &gt;500",
IF(AND(Import.TipoArredondamento="TransfereGOV",$L272="F",$C272="S",LEFT(TRIM(UPPER($P272)),6)&lt;&gt;"SINAPI",ISNA(VLOOKUP(TRIM(UPPER($S272)),ListaTgov.Unidades,1,FALSE))),"Unid. Não Disp",
" "))))))))))))))))</f>
        <v xml:space="preserve"> </v>
      </c>
      <c r="AD272" t="str">
        <f ca="1">IF(C272&lt;=CRONO.NivelExibicao,MAX($AD$15:OFFSET(AD272,-1,0))+IF($C272&lt;&gt;1,1,MAX(1,COUNTIF(QCI!$A$13:$A$15,OFFSET($E272,-1,0)))),"")</f>
        <v/>
      </c>
      <c r="AE272" s="7" t="b">
        <f ca="1">IF(AND($C272="S",ORÇAMENTO.CodBarra&lt;&gt;""),IF(ORÇAMENTO.Fonte="",ORÇAMENTO.CodBarra,CONCATENATE(ORÇAMENTO.Fonte," ",ORÇAMENTO.CodBarra)))</f>
        <v>0</v>
      </c>
      <c r="AF272" s="12" t="str">
        <f ca="1">IF(ISERROR(INDIRECT(ORÇAMENTO.BancoRef)),"(abra o arquivo 'Referência "&amp;Excel_BuiltIn_Database&amp;".xlsm)",IF(OR($C272&lt;&gt;"S",ORÇAMENTO.CodBarra=""),"(Sem Código)",IF(ISERROR(MATCH($AE272,INDIRECT(ORÇAMENTO.BancoRef),0)),"(Código não identificado nas referências)",MATCH($AE272,INDIRECT(ORÇAMENTO.BancoRef),0))))</f>
        <v>(Sem Código)</v>
      </c>
      <c r="AG272" s="428">
        <f ca="1">ROUND(IF(DESONERACAO="sim",REFERENCIA.Desonerado,REFERENCIA.NaoDesonerado),2)</f>
        <v>0</v>
      </c>
      <c r="AH272" s="429">
        <f t="shared" ca="1" si="69"/>
        <v>0.23499999999999999</v>
      </c>
      <c r="AJ272" s="431"/>
      <c r="AL272" s="439"/>
      <c r="AM272" s="336">
        <f t="shared" ca="1" si="0"/>
        <v>117559.22</v>
      </c>
      <c r="AN272" s="470">
        <f t="shared" ca="1" si="70"/>
        <v>0</v>
      </c>
    </row>
    <row r="273" spans="1:40" ht="25.5" x14ac:dyDescent="0.2">
      <c r="A273" t="str">
        <f t="shared" si="56"/>
        <v>S</v>
      </c>
      <c r="B273">
        <f t="shared" ca="1" si="57"/>
        <v>4</v>
      </c>
      <c r="C273" t="str">
        <f t="shared" ca="1" si="58"/>
        <v>S</v>
      </c>
      <c r="D273">
        <f t="shared" ca="1" si="59"/>
        <v>0</v>
      </c>
      <c r="E273">
        <f ca="1">IF($C273=1,OFFSET(E273,-1,0)+MAX(1,COUNTIF(QCI!$A$13:$A$15,OFFSET(ORÇAMENTO!E273,-1,0))),OFFSET(E273,-1,0))</f>
        <v>1</v>
      </c>
      <c r="F273">
        <f t="shared" ca="1" si="60"/>
        <v>7</v>
      </c>
      <c r="G273">
        <f t="shared" ca="1" si="61"/>
        <v>2</v>
      </c>
      <c r="H273">
        <f t="shared" ca="1" si="62"/>
        <v>2</v>
      </c>
      <c r="I273">
        <f t="shared" ca="1" si="63"/>
        <v>1</v>
      </c>
      <c r="J273">
        <f t="shared" ca="1" si="73"/>
        <v>0</v>
      </c>
      <c r="K273">
        <f ca="1">IF(OR($C273="S",$C273=0),0,MATCH(OFFSET($D273,0,$C273)+IF($C273&lt;&gt;1,1,COUNTIF(QCI!$A$13:$A$15,ORÇAMENTO!E273)),OFFSET($D273,1,$C273,ROW($C$508)-ROW($C273)),0))</f>
        <v>0</v>
      </c>
      <c r="L273" s="114" t="str">
        <f t="shared" ca="1" si="64"/>
        <v>F</v>
      </c>
      <c r="M273" s="115" t="s">
        <v>705</v>
      </c>
      <c r="N273" s="116" t="str">
        <f t="shared" ca="1" si="65"/>
        <v>Serviço</v>
      </c>
      <c r="O273" s="117" t="str">
        <f t="shared" ca="1" si="66"/>
        <v>1.7.2.2.1.</v>
      </c>
      <c r="P273" s="118" t="s">
        <v>1281</v>
      </c>
      <c r="Q273" s="119" t="s">
        <v>1077</v>
      </c>
      <c r="R273" s="120" t="str">
        <f ca="1">IF($C273="S",REFERENCIA.Descricao,"(digite a descrição aqui)")</f>
        <v>MECANISMO PRA REMOÇÃO DE LODO - MONTAGEM - BASEADO EM SETOP (ED-20568)</v>
      </c>
      <c r="S273" s="121" t="str">
        <f ca="1">REFERENCIA.Unidade</f>
        <v>KG</v>
      </c>
      <c r="T273" s="122">
        <f ca="1">OFFSET(CÁLCULO!H$15,ROW($T273)-ROW(T$15),0)</f>
        <v>9000</v>
      </c>
      <c r="U273" s="123">
        <f t="shared" ca="1" si="72"/>
        <v>10.56</v>
      </c>
      <c r="V273" s="124" t="s">
        <v>663</v>
      </c>
      <c r="W273" s="122">
        <f ca="1">IF($C273="S",ROUND(IF(TIPOORCAMENTO="Proposto",ORÇAMENTO.CustoUnitario*(1+$AH273),ORÇAMENTO.PrecoUnitarioLicitado),15-13*$AF$10),0)</f>
        <v>13.04</v>
      </c>
      <c r="X273" s="125" cm="1">
        <f t="array" aca="1" ref="X273" ca="1">IF($C273="S",IF(OR(Import.TipoArredondamento&lt;&gt;"TransfereGOV",ACOMPANHAMENTO="BM"),VTOTAL1,SUM(OFFSET(CÁLCULO!$AI$15,ROW($X273)-ROW($X$15),1):OFFSET(CÁLCULO!$BB$15,ROW($X273)-ROW($X$15),-1))),IF($C273=0,0,ROUND(SomaAgrup,15-13*$AF$11)))</f>
        <v>117360</v>
      </c>
      <c r="Y273" s="126" t="s">
        <v>751</v>
      </c>
      <c r="Z273" t="str">
        <f t="shared" ca="1" si="67"/>
        <v>RA</v>
      </c>
      <c r="AA273" s="127">
        <f ca="1">IF($C273="S",IF($Z273="CP",$X273,IF($Z273="RA",(($X273)*QCI!$AA$3),0)),SomaAgrup)</f>
        <v>0</v>
      </c>
      <c r="AB273" s="128">
        <f t="shared" ca="1" si="68"/>
        <v>0</v>
      </c>
      <c r="AC273" s="565" t="str" cm="1">
        <f t="array" aca="1" ref="AC273" ca="1">IF($N273=""," ",
IF(AND($C273&lt;&gt;"S",OR($R273="",$R273="(digite a descrição aqui)")),"DESCRIÇÃO",
IF(AND($C273="S",OR($Q273&lt;&gt;"",$T273&gt;0,$U273&gt;0),$P273=""),"FONTE",
IF(AND($C273="S",$P273&lt;&gt;"",OR($T273&gt;0,$U273&gt;0),$Q273=""),"CÓDIGO",
IF(AND($C273="S",$P273&lt;&gt;"",$Q273&lt;&gt;"",$R273="(Código não identificado nas referências)"),"CÓDIGO N/ID",
IF(AND($C273="S",OR($R273="",$R273="(digite a descrição aqui)"),OR($Q273&lt;&gt;"",$T273&gt;0,$U273&gt;0)),"DESCRIÇÃO",
IF(AND($C273="S",$P273&lt;&gt;"",$Q273&lt;&gt;"",$S273=""),"UNIDADE",
IF(AND($C273="S",$P273&lt;&gt;"",$Q273&lt;&gt;"",$U273=0),"SEM CUSTO",
IF(AND(_xlfn.SINGLE(TIPOORCAMENTO)="Licitado",$AL273=0,$AN273&gt;0),"SEM PREÇO",
IF(AND($C273="S",$P273&lt;&gt;"",$Q273&lt;&gt;"",$U273&gt;0,AND($V273&lt;&gt;"BDI 1",$V273&lt;&gt;"BDI 2",$V273&lt;&gt;"BDI 3")),IF(ISNUMBER($V273),"JUSTIFICAR BDI","BDI"),
IF(OR(AND(import.recurso="OGU",TIPOORCAMENTO="Proposto",LEFT($O$8,5)&lt;&gt;"(N/D:",$AG273&lt;&gt;"",ORÇAMENTO.CustoUnitario&gt;$AG273),AND(TIPOORCAMENTO="LICITADO",ORÇAMENTO.PrecoUnitarioLicitado&gt;$AN273)),"ACIMA REF.",
IF(AND($C273="S",$P273&lt;&gt;"",$Q273&lt;&gt;"",$T273=0,$U273&gt;0),"QUANT.",
IF(AND(Import.TipoArredondamento="TransfereGOV",$L273="F",$C273="S",LEN($Q273)&gt;13),"Código &gt;13",
IF(AND(Import.TipoArredondamento="TransfereGOV",$L273="F",$C273&lt;&gt;"S",LEN($R273)&gt;100),"Descrição &gt;100",
IF(AND(Import.TipoArredondamento="TransfereGOV",$L273="F",$C273="S",LEN($R273)&gt;500),"Descrição &gt;500",
IF(AND(Import.TipoArredondamento="TransfereGOV",$L273="F",$C273="S",LEFT(TRIM(UPPER($P273)),6)&lt;&gt;"SINAPI",ISNA(VLOOKUP(TRIM(UPPER($S273)),ListaTgov.Unidades,1,FALSE))),"Unid. Não Disp",
" "))))))))))))))))</f>
        <v xml:space="preserve"> </v>
      </c>
      <c r="AD273" t="str">
        <f ca="1">IF(C273&lt;=CRONO.NivelExibicao,MAX($AD$15:OFFSET(AD273,-1,0))+IF($C273&lt;&gt;1,1,MAX(1,COUNTIF(QCI!$A$13:$A$15,OFFSET($E273,-1,0)))),"")</f>
        <v/>
      </c>
      <c r="AE273" s="7" t="str">
        <f ca="1">IF(AND($C273="S",ORÇAMENTO.CodBarra&lt;&gt;""),IF(ORÇAMENTO.Fonte="",ORÇAMENTO.CodBarra,CONCATENATE(ORÇAMENTO.Fonte," ",ORÇAMENTO.CodBarra)))</f>
        <v>COMPOSIÇÃO CPU-020</v>
      </c>
      <c r="AF273" s="12">
        <f ca="1">IF(ISERROR(INDIRECT(ORÇAMENTO.BancoRef)),"(abra o arquivo 'Referência "&amp;Excel_BuiltIn_Database&amp;".xlsm)",IF(OR($C273&lt;&gt;"S",ORÇAMENTO.CodBarra=""),"(Sem Código)",IF(ISERROR(MATCH($AE273,INDIRECT(ORÇAMENTO.BancoRef),0)),"(Código não identificado nas referências)",MATCH($AE273,INDIRECT(ORÇAMENTO.BancoRef),0))))</f>
        <v>22</v>
      </c>
      <c r="AG273" s="428">
        <f ca="1">ROUND(IF(DESONERACAO="sim",REFERENCIA.Desonerado,REFERENCIA.NaoDesonerado),2)</f>
        <v>10.56</v>
      </c>
      <c r="AH273" s="429">
        <f t="shared" ca="1" si="69"/>
        <v>0.23499999999999999</v>
      </c>
      <c r="AJ273" s="431">
        <v>9000</v>
      </c>
      <c r="AL273" s="439"/>
      <c r="AM273" s="336">
        <f t="shared" ca="1" si="0"/>
        <v>117360</v>
      </c>
      <c r="AN273" s="470">
        <f t="shared" ca="1" si="70"/>
        <v>13.04</v>
      </c>
    </row>
    <row r="274" spans="1:40" ht="25.5" x14ac:dyDescent="0.2">
      <c r="A274" t="str">
        <f t="shared" si="56"/>
        <v>S</v>
      </c>
      <c r="B274">
        <f t="shared" ca="1" si="57"/>
        <v>4</v>
      </c>
      <c r="C274" t="str">
        <f t="shared" ca="1" si="58"/>
        <v>S</v>
      </c>
      <c r="D274">
        <f t="shared" ca="1" si="59"/>
        <v>0</v>
      </c>
      <c r="E274">
        <f ca="1">IF($C274=1,OFFSET(E274,-1,0)+MAX(1,COUNTIF(QCI!$A$13:$A$15,OFFSET(ORÇAMENTO!E274,-1,0))),OFFSET(E274,-1,0))</f>
        <v>1</v>
      </c>
      <c r="F274">
        <f t="shared" ca="1" si="60"/>
        <v>7</v>
      </c>
      <c r="G274">
        <f t="shared" ca="1" si="61"/>
        <v>2</v>
      </c>
      <c r="H274">
        <f t="shared" ca="1" si="62"/>
        <v>2</v>
      </c>
      <c r="I274">
        <f t="shared" ca="1" si="63"/>
        <v>2</v>
      </c>
      <c r="J274">
        <f t="shared" ca="1" si="73"/>
        <v>0</v>
      </c>
      <c r="K274">
        <f ca="1">IF(OR($C274="S",$C274=0),0,MATCH(OFFSET($D274,0,$C274)+IF($C274&lt;&gt;1,1,COUNTIF(QCI!$A$13:$A$15,ORÇAMENTO!E274)),OFFSET($D274,1,$C274,ROW($C$508)-ROW($C274)),0))</f>
        <v>0</v>
      </c>
      <c r="L274" s="114" t="str">
        <f t="shared" ca="1" si="64"/>
        <v>F</v>
      </c>
      <c r="M274" s="115" t="s">
        <v>705</v>
      </c>
      <c r="N274" s="116" t="str">
        <f t="shared" ca="1" si="65"/>
        <v>Serviço</v>
      </c>
      <c r="O274" s="117" t="str">
        <f t="shared" ca="1" si="66"/>
        <v>1.7.2.2.2.</v>
      </c>
      <c r="P274" s="118" t="s">
        <v>1281</v>
      </c>
      <c r="Q274" s="119" t="s">
        <v>1078</v>
      </c>
      <c r="R274" s="120" t="str">
        <f ca="1">IF($C274="S",REFERENCIA.Descricao,"(digite a descrição aqui)")</f>
        <v>ASSENTAMENTO DE CONEXÕES EM FERRO FUNDIDO, JUNTA ELÁSTICA, DN = 400 MM - BASEADO EM ORSE (5288)</v>
      </c>
      <c r="S274" s="121" t="str">
        <f ca="1">REFERENCIA.Unidade</f>
        <v>UN</v>
      </c>
      <c r="T274" s="122">
        <f ca="1">OFFSET(CÁLCULO!H$15,ROW($T274)-ROW(T$15),0)</f>
        <v>2</v>
      </c>
      <c r="U274" s="123">
        <f t="shared" ca="1" si="72"/>
        <v>23.58</v>
      </c>
      <c r="V274" s="124" t="s">
        <v>663</v>
      </c>
      <c r="W274" s="122">
        <f ca="1">IF($C274="S",ROUND(IF(TIPOORCAMENTO="Proposto",ORÇAMENTO.CustoUnitario*(1+$AH274),ORÇAMENTO.PrecoUnitarioLicitado),15-13*$AF$10),0)</f>
        <v>29.12</v>
      </c>
      <c r="X274" s="125" cm="1">
        <f t="array" aca="1" ref="X274" ca="1">IF($C274="S",IF(OR(Import.TipoArredondamento&lt;&gt;"TransfereGOV",ACOMPANHAMENTO="BM"),VTOTAL1,SUM(OFFSET(CÁLCULO!$AI$15,ROW($X274)-ROW($X$15),1):OFFSET(CÁLCULO!$BB$15,ROW($X274)-ROW($X$15),-1))),IF($C274=0,0,ROUND(SomaAgrup,15-13*$AF$11)))</f>
        <v>58.24</v>
      </c>
      <c r="Y274" s="126" t="s">
        <v>751</v>
      </c>
      <c r="Z274" t="str">
        <f t="shared" ca="1" si="67"/>
        <v>RA</v>
      </c>
      <c r="AA274" s="127">
        <f ca="1">IF($C274="S",IF($Z274="CP",$X274,IF($Z274="RA",(($X274)*QCI!$AA$3),0)),SomaAgrup)</f>
        <v>0</v>
      </c>
      <c r="AB274" s="128">
        <f t="shared" ca="1" si="68"/>
        <v>0</v>
      </c>
      <c r="AC274" s="565" t="str" cm="1">
        <f t="array" aca="1" ref="AC274" ca="1">IF($N274=""," ",
IF(AND($C274&lt;&gt;"S",OR($R274="",$R274="(digite a descrição aqui)")),"DESCRIÇÃO",
IF(AND($C274="S",OR($Q274&lt;&gt;"",$T274&gt;0,$U274&gt;0),$P274=""),"FONTE",
IF(AND($C274="S",$P274&lt;&gt;"",OR($T274&gt;0,$U274&gt;0),$Q274=""),"CÓDIGO",
IF(AND($C274="S",$P274&lt;&gt;"",$Q274&lt;&gt;"",$R274="(Código não identificado nas referências)"),"CÓDIGO N/ID",
IF(AND($C274="S",OR($R274="",$R274="(digite a descrição aqui)"),OR($Q274&lt;&gt;"",$T274&gt;0,$U274&gt;0)),"DESCRIÇÃO",
IF(AND($C274="S",$P274&lt;&gt;"",$Q274&lt;&gt;"",$S274=""),"UNIDADE",
IF(AND($C274="S",$P274&lt;&gt;"",$Q274&lt;&gt;"",$U274=0),"SEM CUSTO",
IF(AND(_xlfn.SINGLE(TIPOORCAMENTO)="Licitado",$AL274=0,$AN274&gt;0),"SEM PREÇO",
IF(AND($C274="S",$P274&lt;&gt;"",$Q274&lt;&gt;"",$U274&gt;0,AND($V274&lt;&gt;"BDI 1",$V274&lt;&gt;"BDI 2",$V274&lt;&gt;"BDI 3")),IF(ISNUMBER($V274),"JUSTIFICAR BDI","BDI"),
IF(OR(AND(import.recurso="OGU",TIPOORCAMENTO="Proposto",LEFT($O$8,5)&lt;&gt;"(N/D:",$AG274&lt;&gt;"",ORÇAMENTO.CustoUnitario&gt;$AG274),AND(TIPOORCAMENTO="LICITADO",ORÇAMENTO.PrecoUnitarioLicitado&gt;$AN274)),"ACIMA REF.",
IF(AND($C274="S",$P274&lt;&gt;"",$Q274&lt;&gt;"",$T274=0,$U274&gt;0),"QUANT.",
IF(AND(Import.TipoArredondamento="TransfereGOV",$L274="F",$C274="S",LEN($Q274)&gt;13),"Código &gt;13",
IF(AND(Import.TipoArredondamento="TransfereGOV",$L274="F",$C274&lt;&gt;"S",LEN($R274)&gt;100),"Descrição &gt;100",
IF(AND(Import.TipoArredondamento="TransfereGOV",$L274="F",$C274="S",LEN($R274)&gt;500),"Descrição &gt;500",
IF(AND(Import.TipoArredondamento="TransfereGOV",$L274="F",$C274="S",LEFT(TRIM(UPPER($P274)),6)&lt;&gt;"SINAPI",ISNA(VLOOKUP(TRIM(UPPER($S274)),ListaTgov.Unidades,1,FALSE))),"Unid. Não Disp",
" "))))))))))))))))</f>
        <v xml:space="preserve"> </v>
      </c>
      <c r="AD274" t="str">
        <f ca="1">IF(C274&lt;=CRONO.NivelExibicao,MAX($AD$15:OFFSET(AD274,-1,0))+IF($C274&lt;&gt;1,1,MAX(1,COUNTIF(QCI!$A$13:$A$15,OFFSET($E274,-1,0)))),"")</f>
        <v/>
      </c>
      <c r="AE274" s="7" t="str">
        <f ca="1">IF(AND($C274="S",ORÇAMENTO.CodBarra&lt;&gt;""),IF(ORÇAMENTO.Fonte="",ORÇAMENTO.CodBarra,CONCATENATE(ORÇAMENTO.Fonte," ",ORÇAMENTO.CodBarra)))</f>
        <v>COMPOSIÇÃO CPU-014</v>
      </c>
      <c r="AF274" s="12">
        <f ca="1">IF(ISERROR(INDIRECT(ORÇAMENTO.BancoRef)),"(abra o arquivo 'Referência "&amp;Excel_BuiltIn_Database&amp;".xlsm)",IF(OR($C274&lt;&gt;"S",ORÇAMENTO.CodBarra=""),"(Sem Código)",IF(ISERROR(MATCH($AE274,INDIRECT(ORÇAMENTO.BancoRef),0)),"(Código não identificado nas referências)",MATCH($AE274,INDIRECT(ORÇAMENTO.BancoRef),0))))</f>
        <v>16</v>
      </c>
      <c r="AG274" s="428">
        <f ca="1">ROUND(IF(DESONERACAO="sim",REFERENCIA.Desonerado,REFERENCIA.NaoDesonerado),2)</f>
        <v>23.58</v>
      </c>
      <c r="AH274" s="429">
        <f t="shared" ca="1" si="69"/>
        <v>0.23499999999999999</v>
      </c>
      <c r="AJ274" s="431">
        <f>AJ266+AJ267</f>
        <v>2</v>
      </c>
      <c r="AL274" s="439"/>
      <c r="AM274" s="336">
        <f t="shared" ref="AM274:AM335" ca="1" si="74">$X274</f>
        <v>58.24</v>
      </c>
      <c r="AN274" s="470">
        <f t="shared" ca="1" si="70"/>
        <v>29.12</v>
      </c>
    </row>
    <row r="275" spans="1:40" ht="25.5" x14ac:dyDescent="0.2">
      <c r="A275" t="str">
        <f t="shared" si="56"/>
        <v>S</v>
      </c>
      <c r="B275">
        <f t="shared" ca="1" si="57"/>
        <v>4</v>
      </c>
      <c r="C275" t="str">
        <f t="shared" ca="1" si="58"/>
        <v>S</v>
      </c>
      <c r="D275">
        <f t="shared" ca="1" si="59"/>
        <v>0</v>
      </c>
      <c r="E275">
        <f ca="1">IF($C275=1,OFFSET(E275,-1,0)+MAX(1,COUNTIF(QCI!$A$13:$A$15,OFFSET(ORÇAMENTO!E275,-1,0))),OFFSET(E275,-1,0))</f>
        <v>1</v>
      </c>
      <c r="F275">
        <f t="shared" ca="1" si="60"/>
        <v>7</v>
      </c>
      <c r="G275">
        <f t="shared" ca="1" si="61"/>
        <v>2</v>
      </c>
      <c r="H275">
        <f t="shared" ca="1" si="62"/>
        <v>2</v>
      </c>
      <c r="I275">
        <f t="shared" ca="1" si="63"/>
        <v>3</v>
      </c>
      <c r="J275">
        <f t="shared" ca="1" si="73"/>
        <v>0</v>
      </c>
      <c r="K275">
        <f ca="1">IF(OR($C275="S",$C275=0),0,MATCH(OFFSET($D275,0,$C275)+IF($C275&lt;&gt;1,1,COUNTIF(QCI!$A$13:$A$15,ORÇAMENTO!E275)),OFFSET($D275,1,$C275,ROW($C$508)-ROW($C275)),0))</f>
        <v>0</v>
      </c>
      <c r="L275" s="114" t="str">
        <f t="shared" ca="1" si="64"/>
        <v>F</v>
      </c>
      <c r="M275" s="115" t="s">
        <v>705</v>
      </c>
      <c r="N275" s="116" t="str">
        <f t="shared" ca="1" si="65"/>
        <v>Serviço</v>
      </c>
      <c r="O275" s="117" t="str">
        <f t="shared" ca="1" si="66"/>
        <v>1.7.2.2.3.</v>
      </c>
      <c r="P275" s="118" t="s">
        <v>1281</v>
      </c>
      <c r="Q275" s="119" t="s">
        <v>1079</v>
      </c>
      <c r="R275" s="120" t="str">
        <f ca="1">IF($C275="S",REFERENCIA.Descricao,"(digite a descrição aqui)")</f>
        <v>ASSENTAMENTO DE CONEXÕES EM FERRO FUNDIDO, JUNTA ELÁSTICA, DN = 150 MM - BASEADO EM ORSE (5283)</v>
      </c>
      <c r="S275" s="121" t="str">
        <f ca="1">REFERENCIA.Unidade</f>
        <v>UN</v>
      </c>
      <c r="T275" s="122">
        <f ca="1">OFFSET(CÁLCULO!H$15,ROW($T275)-ROW(T$15),0)</f>
        <v>3</v>
      </c>
      <c r="U275" s="123">
        <f t="shared" ca="1" si="72"/>
        <v>17.489999999999998</v>
      </c>
      <c r="V275" s="124" t="s">
        <v>663</v>
      </c>
      <c r="W275" s="122">
        <f ca="1">IF($C275="S",ROUND(IF(TIPOORCAMENTO="Proposto",ORÇAMENTO.CustoUnitario*(1+$AH275),ORÇAMENTO.PrecoUnitarioLicitado),15-13*$AF$10),0)</f>
        <v>21.6</v>
      </c>
      <c r="X275" s="125" cm="1">
        <f t="array" aca="1" ref="X275" ca="1">IF($C275="S",IF(OR(Import.TipoArredondamento&lt;&gt;"TransfereGOV",ACOMPANHAMENTO="BM"),VTOTAL1,SUM(OFFSET(CÁLCULO!$AI$15,ROW($X275)-ROW($X$15),1):OFFSET(CÁLCULO!$BB$15,ROW($X275)-ROW($X$15),-1))),IF($C275=0,0,ROUND(SomaAgrup,15-13*$AF$11)))</f>
        <v>64.8</v>
      </c>
      <c r="Y275" s="126" t="s">
        <v>751</v>
      </c>
      <c r="Z275" t="str">
        <f t="shared" ca="1" si="67"/>
        <v>RA</v>
      </c>
      <c r="AA275" s="127">
        <f ca="1">IF($C275="S",IF($Z275="CP",$X275,IF($Z275="RA",(($X275)*QCI!$AA$3),0)),SomaAgrup)</f>
        <v>0</v>
      </c>
      <c r="AB275" s="128">
        <f t="shared" ca="1" si="68"/>
        <v>0</v>
      </c>
      <c r="AC275" s="565" t="str" cm="1">
        <f t="array" aca="1" ref="AC275" ca="1">IF($N275=""," ",
IF(AND($C275&lt;&gt;"S",OR($R275="",$R275="(digite a descrição aqui)")),"DESCRIÇÃO",
IF(AND($C275="S",OR($Q275&lt;&gt;"",$T275&gt;0,$U275&gt;0),$P275=""),"FONTE",
IF(AND($C275="S",$P275&lt;&gt;"",OR($T275&gt;0,$U275&gt;0),$Q275=""),"CÓDIGO",
IF(AND($C275="S",$P275&lt;&gt;"",$Q275&lt;&gt;"",$R275="(Código não identificado nas referências)"),"CÓDIGO N/ID",
IF(AND($C275="S",OR($R275="",$R275="(digite a descrição aqui)"),OR($Q275&lt;&gt;"",$T275&gt;0,$U275&gt;0)),"DESCRIÇÃO",
IF(AND($C275="S",$P275&lt;&gt;"",$Q275&lt;&gt;"",$S275=""),"UNIDADE",
IF(AND($C275="S",$P275&lt;&gt;"",$Q275&lt;&gt;"",$U275=0),"SEM CUSTO",
IF(AND(_xlfn.SINGLE(TIPOORCAMENTO)="Licitado",$AL275=0,$AN275&gt;0),"SEM PREÇO",
IF(AND($C275="S",$P275&lt;&gt;"",$Q275&lt;&gt;"",$U275&gt;0,AND($V275&lt;&gt;"BDI 1",$V275&lt;&gt;"BDI 2",$V275&lt;&gt;"BDI 3")),IF(ISNUMBER($V275),"JUSTIFICAR BDI","BDI"),
IF(OR(AND(import.recurso="OGU",TIPOORCAMENTO="Proposto",LEFT($O$8,5)&lt;&gt;"(N/D:",$AG275&lt;&gt;"",ORÇAMENTO.CustoUnitario&gt;$AG275),AND(TIPOORCAMENTO="LICITADO",ORÇAMENTO.PrecoUnitarioLicitado&gt;$AN275)),"ACIMA REF.",
IF(AND($C275="S",$P275&lt;&gt;"",$Q275&lt;&gt;"",$T275=0,$U275&gt;0),"QUANT.",
IF(AND(Import.TipoArredondamento="TransfereGOV",$L275="F",$C275="S",LEN($Q275)&gt;13),"Código &gt;13",
IF(AND(Import.TipoArredondamento="TransfereGOV",$L275="F",$C275&lt;&gt;"S",LEN($R275)&gt;100),"Descrição &gt;100",
IF(AND(Import.TipoArredondamento="TransfereGOV",$L275="F",$C275="S",LEN($R275)&gt;500),"Descrição &gt;500",
IF(AND(Import.TipoArredondamento="TransfereGOV",$L275="F",$C275="S",LEFT(TRIM(UPPER($P275)),6)&lt;&gt;"SINAPI",ISNA(VLOOKUP(TRIM(UPPER($S275)),ListaTgov.Unidades,1,FALSE))),"Unid. Não Disp",
" "))))))))))))))))</f>
        <v xml:space="preserve"> </v>
      </c>
      <c r="AD275" t="str">
        <f ca="1">IF(C275&lt;=CRONO.NivelExibicao,MAX($AD$15:OFFSET(AD275,-1,0))+IF($C275&lt;&gt;1,1,MAX(1,COUNTIF(QCI!$A$13:$A$15,OFFSET($E275,-1,0)))),"")</f>
        <v/>
      </c>
      <c r="AE275" s="7" t="str">
        <f ca="1">IF(AND($C275="S",ORÇAMENTO.CodBarra&lt;&gt;""),IF(ORÇAMENTO.Fonte="",ORÇAMENTO.CodBarra,CONCATENATE(ORÇAMENTO.Fonte," ",ORÇAMENTO.CodBarra)))</f>
        <v>COMPOSIÇÃO CPU-015</v>
      </c>
      <c r="AF275" s="12">
        <f ca="1">IF(ISERROR(INDIRECT(ORÇAMENTO.BancoRef)),"(abra o arquivo 'Referência "&amp;Excel_BuiltIn_Database&amp;".xlsm)",IF(OR($C275&lt;&gt;"S",ORÇAMENTO.CodBarra=""),"(Sem Código)",IF(ISERROR(MATCH($AE275,INDIRECT(ORÇAMENTO.BancoRef),0)),"(Código não identificado nas referências)",MATCH($AE275,INDIRECT(ORÇAMENTO.BancoRef),0))))</f>
        <v>17</v>
      </c>
      <c r="AG275" s="428">
        <f ca="1">ROUND(IF(DESONERACAO="sim",REFERENCIA.Desonerado,REFERENCIA.NaoDesonerado),2)</f>
        <v>17.489999999999998</v>
      </c>
      <c r="AH275" s="429">
        <f t="shared" ca="1" si="69"/>
        <v>0.23499999999999999</v>
      </c>
      <c r="AJ275" s="431">
        <f>AJ269+AJ271</f>
        <v>3</v>
      </c>
      <c r="AL275" s="439"/>
      <c r="AM275" s="336">
        <f t="shared" ca="1" si="74"/>
        <v>64.8</v>
      </c>
      <c r="AN275" s="470">
        <f t="shared" ca="1" si="70"/>
        <v>21.6</v>
      </c>
    </row>
    <row r="276" spans="1:40" ht="51" x14ac:dyDescent="0.2">
      <c r="A276" t="str">
        <f t="shared" si="56"/>
        <v>S</v>
      </c>
      <c r="B276">
        <f t="shared" ca="1" si="57"/>
        <v>4</v>
      </c>
      <c r="C276" t="str">
        <f t="shared" ca="1" si="58"/>
        <v>S</v>
      </c>
      <c r="D276">
        <f t="shared" ca="1" si="59"/>
        <v>0</v>
      </c>
      <c r="E276">
        <f ca="1">IF($C276=1,OFFSET(E276,-1,0)+MAX(1,COUNTIF(QCI!$A$13:$A$15,OFFSET(ORÇAMENTO!E276,-1,0))),OFFSET(E276,-1,0))</f>
        <v>1</v>
      </c>
      <c r="F276">
        <f t="shared" ca="1" si="60"/>
        <v>7</v>
      </c>
      <c r="G276">
        <f t="shared" ca="1" si="61"/>
        <v>2</v>
      </c>
      <c r="H276">
        <f t="shared" ca="1" si="62"/>
        <v>2</v>
      </c>
      <c r="I276">
        <f t="shared" ca="1" si="63"/>
        <v>4</v>
      </c>
      <c r="J276">
        <f t="shared" ca="1" si="73"/>
        <v>0</v>
      </c>
      <c r="K276">
        <f ca="1">IF(OR($C276="S",$C276=0),0,MATCH(OFFSET($D276,0,$C276)+IF($C276&lt;&gt;1,1,COUNTIF(QCI!$A$13:$A$15,ORÇAMENTO!E276)),OFFSET($D276,1,$C276,ROW($C$508)-ROW($C276)),0))</f>
        <v>0</v>
      </c>
      <c r="L276" s="114" t="str">
        <f t="shared" ca="1" si="64"/>
        <v>F</v>
      </c>
      <c r="M276" s="115" t="s">
        <v>705</v>
      </c>
      <c r="N276" s="116" t="str">
        <f t="shared" ca="1" si="65"/>
        <v>Serviço</v>
      </c>
      <c r="O276" s="117" t="str">
        <f t="shared" ca="1" si="66"/>
        <v>1.7.2.2.4.</v>
      </c>
      <c r="P276" s="118" t="s">
        <v>750</v>
      </c>
      <c r="Q276" s="119" t="s">
        <v>1080</v>
      </c>
      <c r="R276" s="120" t="str">
        <f ca="1">IF($C276="S",REFERENCIA.Descricao,"(digite a descrição aqui)")</f>
        <v>ASSENTAMENTO DE TUBO DE FERRO FUNDIDO PARA REDE DE ÁGUA, DN 150 MM, JUNTA ELÁSTICA, INSTALADO EM LOCAL COM NÍVEL BAIXO DE INTERFERÊNCIAS (NÃO INCLUI FORNECIMENTO). AF_05/2024</v>
      </c>
      <c r="S276" s="121" t="str">
        <f ca="1">REFERENCIA.Unidade</f>
        <v>M</v>
      </c>
      <c r="T276" s="122">
        <f ca="1">OFFSET(CÁLCULO!H$15,ROW($T276)-ROW(T$15),0)</f>
        <v>10.050000000000001</v>
      </c>
      <c r="U276" s="123">
        <f t="shared" ca="1" si="72"/>
        <v>6.14</v>
      </c>
      <c r="V276" s="124" t="s">
        <v>663</v>
      </c>
      <c r="W276" s="122">
        <f ca="1">IF($C276="S",ROUND(IF(TIPOORCAMENTO="Proposto",ORÇAMENTO.CustoUnitario*(1+$AH276),ORÇAMENTO.PrecoUnitarioLicitado),15-13*$AF$10),0)</f>
        <v>7.58</v>
      </c>
      <c r="X276" s="125" cm="1">
        <f t="array" aca="1" ref="X276" ca="1">IF($C276="S",IF(OR(Import.TipoArredondamento&lt;&gt;"TransfereGOV",ACOMPANHAMENTO="BM"),VTOTAL1,SUM(OFFSET(CÁLCULO!$AI$15,ROW($X276)-ROW($X$15),1):OFFSET(CÁLCULO!$BB$15,ROW($X276)-ROW($X$15),-1))),IF($C276=0,0,ROUND(SomaAgrup,15-13*$AF$11)))</f>
        <v>76.180000000000007</v>
      </c>
      <c r="Y276" s="126" t="s">
        <v>751</v>
      </c>
      <c r="Z276" t="str">
        <f t="shared" ca="1" si="67"/>
        <v>RA</v>
      </c>
      <c r="AA276" s="127">
        <f ca="1">IF($C276="S",IF($Z276="CP",$X276,IF($Z276="RA",(($X276)*QCI!$AA$3),0)),SomaAgrup)</f>
        <v>0</v>
      </c>
      <c r="AB276" s="128">
        <f t="shared" ca="1" si="68"/>
        <v>0</v>
      </c>
      <c r="AC276" s="565" t="str" cm="1">
        <f t="array" aca="1" ref="AC276" ca="1">IF($N276=""," ",
IF(AND($C276&lt;&gt;"S",OR($R276="",$R276="(digite a descrição aqui)")),"DESCRIÇÃO",
IF(AND($C276="S",OR($Q276&lt;&gt;"",$T276&gt;0,$U276&gt;0),$P276=""),"FONTE",
IF(AND($C276="S",$P276&lt;&gt;"",OR($T276&gt;0,$U276&gt;0),$Q276=""),"CÓDIGO",
IF(AND($C276="S",$P276&lt;&gt;"",$Q276&lt;&gt;"",$R276="(Código não identificado nas referências)"),"CÓDIGO N/ID",
IF(AND($C276="S",OR($R276="",$R276="(digite a descrição aqui)"),OR($Q276&lt;&gt;"",$T276&gt;0,$U276&gt;0)),"DESCRIÇÃO",
IF(AND($C276="S",$P276&lt;&gt;"",$Q276&lt;&gt;"",$S276=""),"UNIDADE",
IF(AND($C276="S",$P276&lt;&gt;"",$Q276&lt;&gt;"",$U276=0),"SEM CUSTO",
IF(AND(_xlfn.SINGLE(TIPOORCAMENTO)="Licitado",$AL276=0,$AN276&gt;0),"SEM PREÇO",
IF(AND($C276="S",$P276&lt;&gt;"",$Q276&lt;&gt;"",$U276&gt;0,AND($V276&lt;&gt;"BDI 1",$V276&lt;&gt;"BDI 2",$V276&lt;&gt;"BDI 3")),IF(ISNUMBER($V276),"JUSTIFICAR BDI","BDI"),
IF(OR(AND(import.recurso="OGU",TIPOORCAMENTO="Proposto",LEFT($O$8,5)&lt;&gt;"(N/D:",$AG276&lt;&gt;"",ORÇAMENTO.CustoUnitario&gt;$AG276),AND(TIPOORCAMENTO="LICITADO",ORÇAMENTO.PrecoUnitarioLicitado&gt;$AN276)),"ACIMA REF.",
IF(AND($C276="S",$P276&lt;&gt;"",$Q276&lt;&gt;"",$T276=0,$U276&gt;0),"QUANT.",
IF(AND(Import.TipoArredondamento="TransfereGOV",$L276="F",$C276="S",LEN($Q276)&gt;13),"Código &gt;13",
IF(AND(Import.TipoArredondamento="TransfereGOV",$L276="F",$C276&lt;&gt;"S",LEN($R276)&gt;100),"Descrição &gt;100",
IF(AND(Import.TipoArredondamento="TransfereGOV",$L276="F",$C276="S",LEN($R276)&gt;500),"Descrição &gt;500",
IF(AND(Import.TipoArredondamento="TransfereGOV",$L276="F",$C276="S",LEFT(TRIM(UPPER($P276)),6)&lt;&gt;"SINAPI",ISNA(VLOOKUP(TRIM(UPPER($S276)),ListaTgov.Unidades,1,FALSE))),"Unid. Não Disp",
" "))))))))))))))))</f>
        <v xml:space="preserve"> </v>
      </c>
      <c r="AD276" t="str">
        <f ca="1">IF(C276&lt;=CRONO.NivelExibicao,MAX($AD$15:OFFSET(AD276,-1,0))+IF($C276&lt;&gt;1,1,MAX(1,COUNTIF(QCI!$A$13:$A$15,OFFSET($E276,-1,0)))),"")</f>
        <v/>
      </c>
      <c r="AE276" s="7" t="str">
        <f ca="1">IF(AND($C276="S",ORÇAMENTO.CodBarra&lt;&gt;""),IF(ORÇAMENTO.Fonte="",ORÇAMENTO.CodBarra,CONCATENATE(ORÇAMENTO.Fonte," ",ORÇAMENTO.CodBarra)))</f>
        <v>SINAPI 97159</v>
      </c>
      <c r="AF276" s="12">
        <f ca="1">IF(ISERROR(INDIRECT(ORÇAMENTO.BancoRef)),"(abra o arquivo 'Referência "&amp;Excel_BuiltIn_Database&amp;".xlsm)",IF(OR($C276&lt;&gt;"S",ORÇAMENTO.CodBarra=""),"(Sem Código)",IF(ISERROR(MATCH($AE276,INDIRECT(ORÇAMENTO.BancoRef),0)),"(Código não identificado nas referências)",MATCH($AE276,INDIRECT(ORÇAMENTO.BancoRef),0))))</f>
        <v>6602</v>
      </c>
      <c r="AG276" s="428">
        <f ca="1">ROUND(IF(DESONERACAO="sim",REFERENCIA.Desonerado,REFERENCIA.NaoDesonerado),2)</f>
        <v>6.14</v>
      </c>
      <c r="AH276" s="429">
        <f t="shared" ca="1" si="69"/>
        <v>0.23499999999999999</v>
      </c>
      <c r="AJ276" s="431">
        <f>AJ268+AJ270*0.8</f>
        <v>10.050000000000001</v>
      </c>
      <c r="AL276" s="439"/>
      <c r="AM276" s="336">
        <f t="shared" ca="1" si="74"/>
        <v>76.180000000000007</v>
      </c>
      <c r="AN276" s="470">
        <f t="shared" ca="1" si="70"/>
        <v>7.58</v>
      </c>
    </row>
    <row r="277" spans="1:40" x14ac:dyDescent="0.2">
      <c r="A277">
        <f t="shared" ref="A277:A338" si="75">CHOOSE(1+LOG(1+2*(ORÇAMENTO.Nivel="Meta")+4*(ORÇAMENTO.Nivel="Nível 2")+8*(ORÇAMENTO.Nivel="Nível 3")+16*(ORÇAMENTO.Nivel="Nível 4")+32*(ORÇAMENTO.Nivel="Serviço"),2),0,1,2,3,4,"S")</f>
        <v>3</v>
      </c>
      <c r="B277">
        <f t="shared" ref="B277:B338" ca="1" si="76">IF(OR(C277="s",C277=0),OFFSET(B277,-1,0),C277)</f>
        <v>3</v>
      </c>
      <c r="C277">
        <f t="shared" ref="C277:C338" ca="1" si="77">IF(OFFSET(C277,-1,0)="L",1,IF(OFFSET(C277,-1,0)=1,2,IF(OR(A277="s",A277=0),"S",IF(AND(OFFSET(C277,-1,0)=2,A277=4),3,IF(AND(OR(OFFSET(C277,-1,0)="s",OFFSET(C277,-1,0)=0),A277&lt;&gt;"s",A277&gt;OFFSET(B277,-1,0)),OFFSET(B277,-1,0),A277)))))</f>
        <v>3</v>
      </c>
      <c r="D277">
        <f t="shared" ref="D277:D338" ca="1" si="78">IF(OR(C277="S",C277=0),0,IF(ISERROR(K277),J277,SMALL(J277:K277,1)))</f>
        <v>25</v>
      </c>
      <c r="E277">
        <f ca="1">IF($C277=1,OFFSET(E277,-1,0)+MAX(1,COUNTIF(QCI!$A$13:$A$15,OFFSET(ORÇAMENTO!E277,-1,0))),OFFSET(E277,-1,0))</f>
        <v>1</v>
      </c>
      <c r="F277">
        <f t="shared" ref="F277:F338" ca="1" si="79">IF($C277=1,0,IF($C277=2,OFFSET(F277,-1,0)+1,OFFSET(F277,-1,0)))</f>
        <v>7</v>
      </c>
      <c r="G277">
        <f t="shared" ref="G277:G338" ca="1" si="80">IF(AND($C277&lt;=2,$C277&lt;&gt;0),0,IF($C277=3,OFFSET(G277,-1,0)+1,OFFSET(G277,-1,0)))</f>
        <v>3</v>
      </c>
      <c r="H277">
        <f t="shared" ref="H277:H338" ca="1" si="81">IF(AND($C277&lt;=3,$C277&lt;&gt;0),0,IF($C277=4,OFFSET(H277,-1,0)+1,OFFSET(H277,-1,0)))</f>
        <v>0</v>
      </c>
      <c r="I277">
        <f t="shared" ref="I277:I338" ca="1" si="82">IF(AND($C277&lt;=4,$C277&lt;&gt;0),0,IF(AND($C277="S",$X277&gt;0),OFFSET(I277,-1,0)+1,OFFSET(I277,-1,0)))</f>
        <v>0</v>
      </c>
      <c r="J277">
        <f t="shared" ca="1" si="73"/>
        <v>83</v>
      </c>
      <c r="K277">
        <f ca="1">IF(OR($C277="S",$C277=0),0,MATCH(OFFSET($D277,0,$C277)+IF($C277&lt;&gt;1,1,COUNTIF(QCI!$A$13:$A$15,ORÇAMENTO!E277)),OFFSET($D277,1,$C277,ROW($C$508)-ROW($C277)),0))</f>
        <v>25</v>
      </c>
      <c r="L277" s="114" t="str">
        <f t="shared" ref="L277:L338" ca="1" si="83">IF(OR($X277&gt;0,$C277=1,$C277=2,$C277=3,$C277=4),"F","")</f>
        <v>F</v>
      </c>
      <c r="M277" s="115" t="s">
        <v>703</v>
      </c>
      <c r="N277" s="116" t="str">
        <f t="shared" ref="N277:N338" ca="1" si="84">CHOOSE(1+LOG(1+2*(C277=1)+4*(C277=2)+8*(C277=3)+16*(C277=4)+32*(C277="S"),2),"","Meta","Nível 2","Nível 3","Nível 4","Serviço")</f>
        <v>Nível 3</v>
      </c>
      <c r="O277" s="117" t="str">
        <f t="shared" ref="O277:O338" ca="1" si="85">IF(OR($C277=0,$L277=""),"-",CONCATENATE(E277&amp;".",IF(AND($A$5&gt;=2,$C277&gt;=2),F277&amp;".",""),IF(AND($A$5&gt;=3,$C277&gt;=3),G277&amp;".",""),IF(AND($A$5&gt;=4,$C277&gt;=4),H277&amp;".",""),IF($C277="S",I277&amp;".","")))</f>
        <v>1.7.3.</v>
      </c>
      <c r="P277" s="118" t="s">
        <v>750</v>
      </c>
      <c r="Q277" s="119"/>
      <c r="R277" s="120" t="s">
        <v>1224</v>
      </c>
      <c r="S277" s="121" t="s">
        <v>688</v>
      </c>
      <c r="T277" s="122">
        <f ca="1">OFFSET(CÁLCULO!H$15,ROW($T277)-ROW(T$15),0)</f>
        <v>0</v>
      </c>
      <c r="U277" s="123">
        <f t="shared" ca="1" si="72"/>
        <v>0</v>
      </c>
      <c r="V277" s="124" t="s">
        <v>663</v>
      </c>
      <c r="W277" s="122">
        <f ca="1">IF($C277="S",ROUND(IF(TIPOORCAMENTO="Proposto",ORÇAMENTO.CustoUnitario*(1+$AH277),ORÇAMENTO.PrecoUnitarioLicitado),15-13*$AF$10),0)</f>
        <v>0</v>
      </c>
      <c r="X277" s="125" cm="1">
        <f t="array" aca="1" ref="X277" ca="1">IF($C277="S",IF(OR(Import.TipoArredondamento&lt;&gt;"TransfereGOV",ACOMPANHAMENTO="BM"),VTOTAL1,SUM(OFFSET(CÁLCULO!$AI$15,ROW($X277)-ROW($X$15),1):OFFSET(CÁLCULO!$BB$15,ROW($X277)-ROW($X$15),-1))),IF($C277=0,0,ROUND(SomaAgrup,15-13*$AF$11)))</f>
        <v>145363.71</v>
      </c>
      <c r="Y277" s="126" t="s">
        <v>751</v>
      </c>
      <c r="Z277" t="str">
        <f t="shared" ref="Z277:Z338" ca="1" si="86">IF(AND($C277="S",$X277&gt;0),IF(ISBLANK($Y277),"RA",LEFT($Y277,2)),"")</f>
        <v/>
      </c>
      <c r="AA277" s="127">
        <f ca="1">IF($C277="S",IF($Z277="CP",$X277,IF($Z277="RA",(($X277)*QCI!$AA$3),0)),SomaAgrup)</f>
        <v>0</v>
      </c>
      <c r="AB277" s="128">
        <f t="shared" ref="AB277:AB338" ca="1" si="87">IF($C277="S",IF($Z277="OU",ROUND($X277,2),0),SomaAgrup)</f>
        <v>0</v>
      </c>
      <c r="AC277" s="565" t="str" cm="1">
        <f t="array" aca="1" ref="AC277" ca="1">IF($N277=""," ",
IF(AND($C277&lt;&gt;"S",OR($R277="",$R277="(digite a descrição aqui)")),"DESCRIÇÃO",
IF(AND($C277="S",OR($Q277&lt;&gt;"",$T277&gt;0,$U277&gt;0),$P277=""),"FONTE",
IF(AND($C277="S",$P277&lt;&gt;"",OR($T277&gt;0,$U277&gt;0),$Q277=""),"CÓDIGO",
IF(AND($C277="S",$P277&lt;&gt;"",$Q277&lt;&gt;"",$R277="(Código não identificado nas referências)"),"CÓDIGO N/ID",
IF(AND($C277="S",OR($R277="",$R277="(digite a descrição aqui)"),OR($Q277&lt;&gt;"",$T277&gt;0,$U277&gt;0)),"DESCRIÇÃO",
IF(AND($C277="S",$P277&lt;&gt;"",$Q277&lt;&gt;"",$S277=""),"UNIDADE",
IF(AND($C277="S",$P277&lt;&gt;"",$Q277&lt;&gt;"",$U277=0),"SEM CUSTO",
IF(AND(_xlfn.SINGLE(TIPOORCAMENTO)="Licitado",$AL277=0,$AN277&gt;0),"SEM PREÇO",
IF(AND($C277="S",$P277&lt;&gt;"",$Q277&lt;&gt;"",$U277&gt;0,AND($V277&lt;&gt;"BDI 1",$V277&lt;&gt;"BDI 2",$V277&lt;&gt;"BDI 3")),IF(ISNUMBER($V277),"JUSTIFICAR BDI","BDI"),
IF(OR(AND(import.recurso="OGU",TIPOORCAMENTO="Proposto",LEFT($O$8,5)&lt;&gt;"(N/D:",$AG277&lt;&gt;"",ORÇAMENTO.CustoUnitario&gt;$AG277),AND(TIPOORCAMENTO="LICITADO",ORÇAMENTO.PrecoUnitarioLicitado&gt;$AN277)),"ACIMA REF.",
IF(AND($C277="S",$P277&lt;&gt;"",$Q277&lt;&gt;"",$T277=0,$U277&gt;0),"QUANT.",
IF(AND(Import.TipoArredondamento="TransfereGOV",$L277="F",$C277="S",LEN($Q277)&gt;13),"Código &gt;13",
IF(AND(Import.TipoArredondamento="TransfereGOV",$L277="F",$C277&lt;&gt;"S",LEN($R277)&gt;100),"Descrição &gt;100",
IF(AND(Import.TipoArredondamento="TransfereGOV",$L277="F",$C277="S",LEN($R277)&gt;500),"Descrição &gt;500",
IF(AND(Import.TipoArredondamento="TransfereGOV",$L277="F",$C277="S",LEFT(TRIM(UPPER($P277)),6)&lt;&gt;"SINAPI",ISNA(VLOOKUP(TRIM(UPPER($S277)),ListaTgov.Unidades,1,FALSE))),"Unid. Não Disp",
" "))))))))))))))))</f>
        <v xml:space="preserve"> </v>
      </c>
      <c r="AD277" t="str">
        <f ca="1">IF(C277&lt;=CRONO.NivelExibicao,MAX($AD$15:OFFSET(AD277,-1,0))+IF($C277&lt;&gt;1,1,MAX(1,COUNTIF(QCI!$A$13:$A$15,OFFSET($E277,-1,0)))),"")</f>
        <v/>
      </c>
      <c r="AE277" s="7" t="b">
        <f ca="1">IF(AND($C277="S",ORÇAMENTO.CodBarra&lt;&gt;""),IF(ORÇAMENTO.Fonte="",ORÇAMENTO.CodBarra,CONCATENATE(ORÇAMENTO.Fonte," ",ORÇAMENTO.CodBarra)))</f>
        <v>0</v>
      </c>
      <c r="AF277" s="12" t="str">
        <f ca="1">IF(ISERROR(INDIRECT(ORÇAMENTO.BancoRef)),"(abra o arquivo 'Referência "&amp;Excel_BuiltIn_Database&amp;".xlsm)",IF(OR($C277&lt;&gt;"S",ORÇAMENTO.CodBarra=""),"(Sem Código)",IF(ISERROR(MATCH($AE277,INDIRECT(ORÇAMENTO.BancoRef),0)),"(Código não identificado nas referências)",MATCH($AE277,INDIRECT(ORÇAMENTO.BancoRef),0))))</f>
        <v>(Sem Código)</v>
      </c>
      <c r="AG277" s="428">
        <f ca="1">ROUND(IF(DESONERACAO="sim",REFERENCIA.Desonerado,REFERENCIA.NaoDesonerado),2)</f>
        <v>0</v>
      </c>
      <c r="AH277" s="429">
        <f t="shared" ref="AH277:AH338" ca="1" si="88">ROUND(IF(ISNUMBER(ORÇAMENTO.OpcaoBDI),ORÇAMENTO.OpcaoBDI,IF(LEFT(ORÇAMENTO.OpcaoBDI,3)="BDI",HLOOKUP(ORÇAMENTO.OpcaoBDI,$F$4:$H$5,2,FALSE),0)),15-11*$AF$9)</f>
        <v>0.23499999999999999</v>
      </c>
      <c r="AJ277" s="431"/>
      <c r="AL277" s="439"/>
      <c r="AM277" s="336">
        <f t="shared" ca="1" si="74"/>
        <v>145363.71</v>
      </c>
      <c r="AN277" s="470">
        <f t="shared" ref="AN277:AN338" ca="1" si="89">ROUND(ORÇAMENTO.CustoUnitario*(1+$AH277),2)</f>
        <v>0</v>
      </c>
    </row>
    <row r="278" spans="1:40" x14ac:dyDescent="0.2">
      <c r="A278">
        <f t="shared" si="75"/>
        <v>4</v>
      </c>
      <c r="B278">
        <f t="shared" ca="1" si="76"/>
        <v>4</v>
      </c>
      <c r="C278">
        <f t="shared" ca="1" si="77"/>
        <v>4</v>
      </c>
      <c r="D278">
        <f t="shared" ca="1" si="78"/>
        <v>8</v>
      </c>
      <c r="E278">
        <f ca="1">IF($C278=1,OFFSET(E278,-1,0)+MAX(1,COUNTIF(QCI!$A$13:$A$15,OFFSET(ORÇAMENTO!E278,-1,0))),OFFSET(E278,-1,0))</f>
        <v>1</v>
      </c>
      <c r="F278">
        <f t="shared" ca="1" si="79"/>
        <v>7</v>
      </c>
      <c r="G278">
        <f t="shared" ca="1" si="80"/>
        <v>3</v>
      </c>
      <c r="H278">
        <f t="shared" ca="1" si="81"/>
        <v>1</v>
      </c>
      <c r="I278">
        <f t="shared" ca="1" si="82"/>
        <v>0</v>
      </c>
      <c r="J278">
        <f t="shared" ca="1" si="73"/>
        <v>24</v>
      </c>
      <c r="K278">
        <f ca="1">IF(OR($C278="S",$C278=0),0,MATCH(OFFSET($D278,0,$C278)+IF($C278&lt;&gt;1,1,COUNTIF(QCI!$A$13:$A$15,ORÇAMENTO!E278)),OFFSET($D278,1,$C278,ROW($C$508)-ROW($C278)),0))</f>
        <v>8</v>
      </c>
      <c r="L278" s="114" t="str">
        <f t="shared" ca="1" si="83"/>
        <v>F</v>
      </c>
      <c r="M278" s="115" t="s">
        <v>704</v>
      </c>
      <c r="N278" s="116" t="str">
        <f t="shared" ca="1" si="84"/>
        <v>Nível 4</v>
      </c>
      <c r="O278" s="117" t="str">
        <f t="shared" ca="1" si="85"/>
        <v>1.7.3.1.</v>
      </c>
      <c r="P278" s="118" t="s">
        <v>750</v>
      </c>
      <c r="Q278" s="119"/>
      <c r="R278" s="120" t="s">
        <v>1239</v>
      </c>
      <c r="S278" s="121" t="s">
        <v>688</v>
      </c>
      <c r="T278" s="122">
        <f ca="1">OFFSET(CÁLCULO!H$15,ROW($T278)-ROW(T$15),0)</f>
        <v>0</v>
      </c>
      <c r="U278" s="123">
        <f t="shared" ca="1" si="72"/>
        <v>0</v>
      </c>
      <c r="V278" s="124" t="s">
        <v>663</v>
      </c>
      <c r="W278" s="122">
        <f ca="1">IF($C278="S",ROUND(IF(TIPOORCAMENTO="Proposto",ORÇAMENTO.CustoUnitario*(1+$AH278),ORÇAMENTO.PrecoUnitarioLicitado),15-13*$AF$10),0)</f>
        <v>0</v>
      </c>
      <c r="X278" s="125" cm="1">
        <f t="array" aca="1" ref="X278" ca="1">IF($C278="S",IF(OR(Import.TipoArredondamento&lt;&gt;"TransfereGOV",ACOMPANHAMENTO="BM"),VTOTAL1,SUM(OFFSET(CÁLCULO!$AI$15,ROW($X278)-ROW($X$15),1):OFFSET(CÁLCULO!$BB$15,ROW($X278)-ROW($X$15),-1))),IF($C278=0,0,ROUND(SomaAgrup,15-13*$AF$11)))</f>
        <v>76531.199999999997</v>
      </c>
      <c r="Y278" s="126" t="s">
        <v>751</v>
      </c>
      <c r="Z278" t="str">
        <f t="shared" ca="1" si="86"/>
        <v/>
      </c>
      <c r="AA278" s="127">
        <f ca="1">IF($C278="S",IF($Z278="CP",$X278,IF($Z278="RA",(($X278)*QCI!$AA$3),0)),SomaAgrup)</f>
        <v>0</v>
      </c>
      <c r="AB278" s="128">
        <f t="shared" ca="1" si="87"/>
        <v>0</v>
      </c>
      <c r="AC278" s="565" t="str" cm="1">
        <f t="array" aca="1" ref="AC278" ca="1">IF($N278=""," ",
IF(AND($C278&lt;&gt;"S",OR($R278="",$R278="(digite a descrição aqui)")),"DESCRIÇÃO",
IF(AND($C278="S",OR($Q278&lt;&gt;"",$T278&gt;0,$U278&gt;0),$P278=""),"FONTE",
IF(AND($C278="S",$P278&lt;&gt;"",OR($T278&gt;0,$U278&gt;0),$Q278=""),"CÓDIGO",
IF(AND($C278="S",$P278&lt;&gt;"",$Q278&lt;&gt;"",$R278="(Código não identificado nas referências)"),"CÓDIGO N/ID",
IF(AND($C278="S",OR($R278="",$R278="(digite a descrição aqui)"),OR($Q278&lt;&gt;"",$T278&gt;0,$U278&gt;0)),"DESCRIÇÃO",
IF(AND($C278="S",$P278&lt;&gt;"",$Q278&lt;&gt;"",$S278=""),"UNIDADE",
IF(AND($C278="S",$P278&lt;&gt;"",$Q278&lt;&gt;"",$U278=0),"SEM CUSTO",
IF(AND(_xlfn.SINGLE(TIPOORCAMENTO)="Licitado",$AL278=0,$AN278&gt;0),"SEM PREÇO",
IF(AND($C278="S",$P278&lt;&gt;"",$Q278&lt;&gt;"",$U278&gt;0,AND($V278&lt;&gt;"BDI 1",$V278&lt;&gt;"BDI 2",$V278&lt;&gt;"BDI 3")),IF(ISNUMBER($V278),"JUSTIFICAR BDI","BDI"),
IF(OR(AND(import.recurso="OGU",TIPOORCAMENTO="Proposto",LEFT($O$8,5)&lt;&gt;"(N/D:",$AG278&lt;&gt;"",ORÇAMENTO.CustoUnitario&gt;$AG278),AND(TIPOORCAMENTO="LICITADO",ORÇAMENTO.PrecoUnitarioLicitado&gt;$AN278)),"ACIMA REF.",
IF(AND($C278="S",$P278&lt;&gt;"",$Q278&lt;&gt;"",$T278=0,$U278&gt;0),"QUANT.",
IF(AND(Import.TipoArredondamento="TransfereGOV",$L278="F",$C278="S",LEN($Q278)&gt;13),"Código &gt;13",
IF(AND(Import.TipoArredondamento="TransfereGOV",$L278="F",$C278&lt;&gt;"S",LEN($R278)&gt;100),"Descrição &gt;100",
IF(AND(Import.TipoArredondamento="TransfereGOV",$L278="F",$C278="S",LEN($R278)&gt;500),"Descrição &gt;500",
IF(AND(Import.TipoArredondamento="TransfereGOV",$L278="F",$C278="S",LEFT(TRIM(UPPER($P278)),6)&lt;&gt;"SINAPI",ISNA(VLOOKUP(TRIM(UPPER($S278)),ListaTgov.Unidades,1,FALSE))),"Unid. Não Disp",
" "))))))))))))))))</f>
        <v xml:space="preserve"> </v>
      </c>
      <c r="AD278" t="str">
        <f ca="1">IF(C278&lt;=CRONO.NivelExibicao,MAX($AD$15:OFFSET(AD278,-1,0))+IF($C278&lt;&gt;1,1,MAX(1,COUNTIF(QCI!$A$13:$A$15,OFFSET($E278,-1,0)))),"")</f>
        <v/>
      </c>
      <c r="AE278" s="7" t="b">
        <f ca="1">IF(AND($C278="S",ORÇAMENTO.CodBarra&lt;&gt;""),IF(ORÇAMENTO.Fonte="",ORÇAMENTO.CodBarra,CONCATENATE(ORÇAMENTO.Fonte," ",ORÇAMENTO.CodBarra)))</f>
        <v>0</v>
      </c>
      <c r="AF278" s="12" t="str">
        <f ca="1">IF(ISERROR(INDIRECT(ORÇAMENTO.BancoRef)),"(abra o arquivo 'Referência "&amp;Excel_BuiltIn_Database&amp;".xlsm)",IF(OR($C278&lt;&gt;"S",ORÇAMENTO.CodBarra=""),"(Sem Código)",IF(ISERROR(MATCH($AE278,INDIRECT(ORÇAMENTO.BancoRef),0)),"(Código não identificado nas referências)",MATCH($AE278,INDIRECT(ORÇAMENTO.BancoRef),0))))</f>
        <v>(Sem Código)</v>
      </c>
      <c r="AG278" s="428">
        <f ca="1">ROUND(IF(DESONERACAO="sim",REFERENCIA.Desonerado,REFERENCIA.NaoDesonerado),2)</f>
        <v>0</v>
      </c>
      <c r="AH278" s="429">
        <f t="shared" ca="1" si="88"/>
        <v>0.23499999999999999</v>
      </c>
      <c r="AJ278" s="431"/>
      <c r="AL278" s="439"/>
      <c r="AM278" s="336">
        <f t="shared" ca="1" si="74"/>
        <v>76531.199999999997</v>
      </c>
      <c r="AN278" s="470">
        <f t="shared" ca="1" si="89"/>
        <v>0</v>
      </c>
    </row>
    <row r="279" spans="1:40" x14ac:dyDescent="0.2">
      <c r="A279" t="str">
        <f t="shared" si="75"/>
        <v>S</v>
      </c>
      <c r="B279">
        <f t="shared" ca="1" si="76"/>
        <v>4</v>
      </c>
      <c r="C279" t="str">
        <f t="shared" ca="1" si="77"/>
        <v>S</v>
      </c>
      <c r="D279">
        <f t="shared" ca="1" si="78"/>
        <v>0</v>
      </c>
      <c r="E279">
        <f ca="1">IF($C279=1,OFFSET(E279,-1,0)+MAX(1,COUNTIF(QCI!$A$13:$A$15,OFFSET(ORÇAMENTO!E279,-1,0))),OFFSET(E279,-1,0))</f>
        <v>1</v>
      </c>
      <c r="F279">
        <f t="shared" ca="1" si="79"/>
        <v>7</v>
      </c>
      <c r="G279">
        <f t="shared" ca="1" si="80"/>
        <v>3</v>
      </c>
      <c r="H279">
        <f t="shared" ca="1" si="81"/>
        <v>1</v>
      </c>
      <c r="I279">
        <f t="shared" ca="1" si="82"/>
        <v>1</v>
      </c>
      <c r="J279">
        <f t="shared" ca="1" si="73"/>
        <v>0</v>
      </c>
      <c r="K279">
        <f ca="1">IF(OR($C279="S",$C279=0),0,MATCH(OFFSET($D279,0,$C279)+IF($C279&lt;&gt;1,1,COUNTIF(QCI!$A$13:$A$15,ORÇAMENTO!E279)),OFFSET($D279,1,$C279,ROW($C$508)-ROW($C279)),0))</f>
        <v>0</v>
      </c>
      <c r="L279" s="114" t="str">
        <f t="shared" ca="1" si="83"/>
        <v>F</v>
      </c>
      <c r="M279" s="115" t="s">
        <v>705</v>
      </c>
      <c r="N279" s="116" t="str">
        <f t="shared" ca="1" si="84"/>
        <v>Serviço</v>
      </c>
      <c r="O279" s="117" t="str">
        <f t="shared" ca="1" si="85"/>
        <v>1.7.3.1.1.</v>
      </c>
      <c r="P279" s="118" t="s">
        <v>1283</v>
      </c>
      <c r="Q279" s="119" t="s">
        <v>1081</v>
      </c>
      <c r="R279" s="120" t="str">
        <f ca="1">IF($C279="S",REFERENCIA.Descricao,"(digite a descrição aqui)")</f>
        <v>TÊ COM BOLSAS FoFo - DN 150 MM</v>
      </c>
      <c r="S279" s="121" t="str">
        <f ca="1">REFERENCIA.Unidade</f>
        <v>UN</v>
      </c>
      <c r="T279" s="122">
        <f ca="1">OFFSET(CÁLCULO!H$15,ROW($T279)-ROW(T$15),0)</f>
        <v>10</v>
      </c>
      <c r="U279" s="123">
        <f t="shared" ca="1" si="72"/>
        <v>614.94000000000005</v>
      </c>
      <c r="V279" s="124" t="s">
        <v>697</v>
      </c>
      <c r="W279" s="122">
        <f ca="1">IF($C279="S",ROUND(IF(TIPOORCAMENTO="Proposto",ORÇAMENTO.CustoUnitario*(1+$AH279),ORÇAMENTO.PrecoUnitarioLicitado),15-13*$AF$10),0)</f>
        <v>718.25</v>
      </c>
      <c r="X279" s="125" cm="1">
        <f t="array" aca="1" ref="X279" ca="1">IF($C279="S",IF(OR(Import.TipoArredondamento&lt;&gt;"TransfereGOV",ACOMPANHAMENTO="BM"),VTOTAL1,SUM(OFFSET(CÁLCULO!$AI$15,ROW($X279)-ROW($X$15),1):OFFSET(CÁLCULO!$BB$15,ROW($X279)-ROW($X$15),-1))),IF($C279=0,0,ROUND(SomaAgrup,15-13*$AF$11)))</f>
        <v>7182.5</v>
      </c>
      <c r="Y279" s="126" t="s">
        <v>751</v>
      </c>
      <c r="Z279" t="str">
        <f t="shared" ca="1" si="86"/>
        <v>RA</v>
      </c>
      <c r="AA279" s="127">
        <f ca="1">IF($C279="S",IF($Z279="CP",$X279,IF($Z279="RA",(($X279)*QCI!$AA$3),0)),SomaAgrup)</f>
        <v>0</v>
      </c>
      <c r="AB279" s="128">
        <f t="shared" ca="1" si="87"/>
        <v>0</v>
      </c>
      <c r="AC279" s="565" t="str" cm="1">
        <f t="array" aca="1" ref="AC279" ca="1">IF($N279=""," ",
IF(AND($C279&lt;&gt;"S",OR($R279="",$R279="(digite a descrição aqui)")),"DESCRIÇÃO",
IF(AND($C279="S",OR($Q279&lt;&gt;"",$T279&gt;0,$U279&gt;0),$P279=""),"FONTE",
IF(AND($C279="S",$P279&lt;&gt;"",OR($T279&gt;0,$U279&gt;0),$Q279=""),"CÓDIGO",
IF(AND($C279="S",$P279&lt;&gt;"",$Q279&lt;&gt;"",$R279="(Código não identificado nas referências)"),"CÓDIGO N/ID",
IF(AND($C279="S",OR($R279="",$R279="(digite a descrição aqui)"),OR($Q279&lt;&gt;"",$T279&gt;0,$U279&gt;0)),"DESCRIÇÃO",
IF(AND($C279="S",$P279&lt;&gt;"",$Q279&lt;&gt;"",$S279=""),"UNIDADE",
IF(AND($C279="S",$P279&lt;&gt;"",$Q279&lt;&gt;"",$U279=0),"SEM CUSTO",
IF(AND(_xlfn.SINGLE(TIPOORCAMENTO)="Licitado",$AL279=0,$AN279&gt;0),"SEM PREÇO",
IF(AND($C279="S",$P279&lt;&gt;"",$Q279&lt;&gt;"",$U279&gt;0,AND($V279&lt;&gt;"BDI 1",$V279&lt;&gt;"BDI 2",$V279&lt;&gt;"BDI 3")),IF(ISNUMBER($V279),"JUSTIFICAR BDI","BDI"),
IF(OR(AND(import.recurso="OGU",TIPOORCAMENTO="Proposto",LEFT($O$8,5)&lt;&gt;"(N/D:",$AG279&lt;&gt;"",ORÇAMENTO.CustoUnitario&gt;$AG279),AND(TIPOORCAMENTO="LICITADO",ORÇAMENTO.PrecoUnitarioLicitado&gt;$AN279)),"ACIMA REF.",
IF(AND($C279="S",$P279&lt;&gt;"",$Q279&lt;&gt;"",$T279=0,$U279&gt;0),"QUANT.",
IF(AND(Import.TipoArredondamento="TransfereGOV",$L279="F",$C279="S",LEN($Q279)&gt;13),"Código &gt;13",
IF(AND(Import.TipoArredondamento="TransfereGOV",$L279="F",$C279&lt;&gt;"S",LEN($R279)&gt;100),"Descrição &gt;100",
IF(AND(Import.TipoArredondamento="TransfereGOV",$L279="F",$C279="S",LEN($R279)&gt;500),"Descrição &gt;500",
IF(AND(Import.TipoArredondamento="TransfereGOV",$L279="F",$C279="S",LEFT(TRIM(UPPER($P279)),6)&lt;&gt;"SINAPI",ISNA(VLOOKUP(TRIM(UPPER($S279)),ListaTgov.Unidades,1,FALSE))),"Unid. Não Disp",
" "))))))))))))))))</f>
        <v xml:space="preserve"> </v>
      </c>
      <c r="AD279" t="str">
        <f ca="1">IF(C279&lt;=CRONO.NivelExibicao,MAX($AD$15:OFFSET(AD279,-1,0))+IF($C279&lt;&gt;1,1,MAX(1,COUNTIF(QCI!$A$13:$A$15,OFFSET($E279,-1,0)))),"")</f>
        <v/>
      </c>
      <c r="AE279" s="7" t="str">
        <f ca="1">IF(AND($C279="S",ORÇAMENTO.CodBarra&lt;&gt;""),IF(ORÇAMENTO.Fonte="",ORÇAMENTO.CodBarra,CONCATENATE(ORÇAMENTO.Fonte," ",ORÇAMENTO.CodBarra)))</f>
        <v>COTAÇÃO COT-031</v>
      </c>
      <c r="AF279" s="12">
        <f ca="1">IF(ISERROR(INDIRECT(ORÇAMENTO.BancoRef)),"(abra o arquivo 'Referência "&amp;Excel_BuiltIn_Database&amp;".xlsm)",IF(OR($C279&lt;&gt;"S",ORÇAMENTO.CodBarra=""),"(Sem Código)",IF(ISERROR(MATCH($AE279,INDIRECT(ORÇAMENTO.BancoRef),0)),"(Código não identificado nas referências)",MATCH($AE279,INDIRECT(ORÇAMENTO.BancoRef),0))))</f>
        <v>99</v>
      </c>
      <c r="AG279" s="428">
        <f ca="1">ROUND(IF(DESONERACAO="sim",REFERENCIA.Desonerado,REFERENCIA.NaoDesonerado),2)</f>
        <v>614.94000000000005</v>
      </c>
      <c r="AH279" s="429">
        <f t="shared" ca="1" si="88"/>
        <v>0.16800000000000001</v>
      </c>
      <c r="AJ279" s="431">
        <v>10</v>
      </c>
      <c r="AL279" s="439"/>
      <c r="AM279" s="336">
        <f t="shared" ca="1" si="74"/>
        <v>7182.5</v>
      </c>
      <c r="AN279" s="470">
        <f t="shared" ca="1" si="89"/>
        <v>718.25</v>
      </c>
    </row>
    <row r="280" spans="1:40" x14ac:dyDescent="0.2">
      <c r="A280" t="str">
        <f t="shared" si="75"/>
        <v>S</v>
      </c>
      <c r="B280">
        <f t="shared" ca="1" si="76"/>
        <v>4</v>
      </c>
      <c r="C280" t="str">
        <f t="shared" ca="1" si="77"/>
        <v>S</v>
      </c>
      <c r="D280">
        <f t="shared" ca="1" si="78"/>
        <v>0</v>
      </c>
      <c r="E280">
        <f ca="1">IF($C280=1,OFFSET(E280,-1,0)+MAX(1,COUNTIF(QCI!$A$13:$A$15,OFFSET(ORÇAMENTO!E280,-1,0))),OFFSET(E280,-1,0))</f>
        <v>1</v>
      </c>
      <c r="F280">
        <f t="shared" ca="1" si="79"/>
        <v>7</v>
      </c>
      <c r="G280">
        <f t="shared" ca="1" si="80"/>
        <v>3</v>
      </c>
      <c r="H280">
        <f t="shared" ca="1" si="81"/>
        <v>1</v>
      </c>
      <c r="I280">
        <f t="shared" ca="1" si="82"/>
        <v>2</v>
      </c>
      <c r="J280">
        <f t="shared" ca="1" si="73"/>
        <v>0</v>
      </c>
      <c r="K280">
        <f ca="1">IF(OR($C280="S",$C280=0),0,MATCH(OFFSET($D280,0,$C280)+IF($C280&lt;&gt;1,1,COUNTIF(QCI!$A$13:$A$15,ORÇAMENTO!E280)),OFFSET($D280,1,$C280,ROW($C$508)-ROW($C280)),0))</f>
        <v>0</v>
      </c>
      <c r="L280" s="114" t="str">
        <f t="shared" ca="1" si="83"/>
        <v>F</v>
      </c>
      <c r="M280" s="115" t="s">
        <v>705</v>
      </c>
      <c r="N280" s="116" t="str">
        <f t="shared" ca="1" si="84"/>
        <v>Serviço</v>
      </c>
      <c r="O280" s="117" t="str">
        <f t="shared" ca="1" si="85"/>
        <v>1.7.3.1.2.</v>
      </c>
      <c r="P280" s="118" t="s">
        <v>1283</v>
      </c>
      <c r="Q280" s="119" t="s">
        <v>1082</v>
      </c>
      <c r="R280" s="120" t="str">
        <f ca="1">IF($C280="S",REFERENCIA.Descricao,"(digite a descrição aqui)")</f>
        <v>TUBO PONTA/FLANGE FoFo L = 1,00 M - DN 150 MM - FORNECIMENTO</v>
      </c>
      <c r="S280" s="121" t="str">
        <f ca="1">REFERENCIA.Unidade</f>
        <v>UN</v>
      </c>
      <c r="T280" s="122">
        <f ca="1">OFFSET(CÁLCULO!H$15,ROW($T280)-ROW(T$15),0)</f>
        <v>10</v>
      </c>
      <c r="U280" s="123">
        <f t="shared" ca="1" si="72"/>
        <v>1556.09</v>
      </c>
      <c r="V280" s="124" t="s">
        <v>697</v>
      </c>
      <c r="W280" s="122">
        <f ca="1">IF($C280="S",ROUND(IF(TIPOORCAMENTO="Proposto",ORÇAMENTO.CustoUnitario*(1+$AH280),ORÇAMENTO.PrecoUnitarioLicitado),15-13*$AF$10),0)</f>
        <v>1817.51</v>
      </c>
      <c r="X280" s="125" cm="1">
        <f t="array" aca="1" ref="X280" ca="1">IF($C280="S",IF(OR(Import.TipoArredondamento&lt;&gt;"TransfereGOV",ACOMPANHAMENTO="BM"),VTOTAL1,SUM(OFFSET(CÁLCULO!$AI$15,ROW($X280)-ROW($X$15),1):OFFSET(CÁLCULO!$BB$15,ROW($X280)-ROW($X$15),-1))),IF($C280=0,0,ROUND(SomaAgrup,15-13*$AF$11)))</f>
        <v>18175.099999999999</v>
      </c>
      <c r="Y280" s="126" t="s">
        <v>751</v>
      </c>
      <c r="Z280" t="str">
        <f t="shared" ca="1" si="86"/>
        <v>RA</v>
      </c>
      <c r="AA280" s="127">
        <f ca="1">IF($C280="S",IF($Z280="CP",$X280,IF($Z280="RA",(($X280)*QCI!$AA$3),0)),SomaAgrup)</f>
        <v>0</v>
      </c>
      <c r="AB280" s="128">
        <f t="shared" ca="1" si="87"/>
        <v>0</v>
      </c>
      <c r="AC280" s="565" t="str" cm="1">
        <f t="array" aca="1" ref="AC280" ca="1">IF($N280=""," ",
IF(AND($C280&lt;&gt;"S",OR($R280="",$R280="(digite a descrição aqui)")),"DESCRIÇÃO",
IF(AND($C280="S",OR($Q280&lt;&gt;"",$T280&gt;0,$U280&gt;0),$P280=""),"FONTE",
IF(AND($C280="S",$P280&lt;&gt;"",OR($T280&gt;0,$U280&gt;0),$Q280=""),"CÓDIGO",
IF(AND($C280="S",$P280&lt;&gt;"",$Q280&lt;&gt;"",$R280="(Código não identificado nas referências)"),"CÓDIGO N/ID",
IF(AND($C280="S",OR($R280="",$R280="(digite a descrição aqui)"),OR($Q280&lt;&gt;"",$T280&gt;0,$U280&gt;0)),"DESCRIÇÃO",
IF(AND($C280="S",$P280&lt;&gt;"",$Q280&lt;&gt;"",$S280=""),"UNIDADE",
IF(AND($C280="S",$P280&lt;&gt;"",$Q280&lt;&gt;"",$U280=0),"SEM CUSTO",
IF(AND(_xlfn.SINGLE(TIPOORCAMENTO)="Licitado",$AL280=0,$AN280&gt;0),"SEM PREÇO",
IF(AND($C280="S",$P280&lt;&gt;"",$Q280&lt;&gt;"",$U280&gt;0,AND($V280&lt;&gt;"BDI 1",$V280&lt;&gt;"BDI 2",$V280&lt;&gt;"BDI 3")),IF(ISNUMBER($V280),"JUSTIFICAR BDI","BDI"),
IF(OR(AND(import.recurso="OGU",TIPOORCAMENTO="Proposto",LEFT($O$8,5)&lt;&gt;"(N/D:",$AG280&lt;&gt;"",ORÇAMENTO.CustoUnitario&gt;$AG280),AND(TIPOORCAMENTO="LICITADO",ORÇAMENTO.PrecoUnitarioLicitado&gt;$AN280)),"ACIMA REF.",
IF(AND($C280="S",$P280&lt;&gt;"",$Q280&lt;&gt;"",$T280=0,$U280&gt;0),"QUANT.",
IF(AND(Import.TipoArredondamento="TransfereGOV",$L280="F",$C280="S",LEN($Q280)&gt;13),"Código &gt;13",
IF(AND(Import.TipoArredondamento="TransfereGOV",$L280="F",$C280&lt;&gt;"S",LEN($R280)&gt;100),"Descrição &gt;100",
IF(AND(Import.TipoArredondamento="TransfereGOV",$L280="F",$C280="S",LEN($R280)&gt;500),"Descrição &gt;500",
IF(AND(Import.TipoArredondamento="TransfereGOV",$L280="F",$C280="S",LEFT(TRIM(UPPER($P280)),6)&lt;&gt;"SINAPI",ISNA(VLOOKUP(TRIM(UPPER($S280)),ListaTgov.Unidades,1,FALSE))),"Unid. Não Disp",
" "))))))))))))))))</f>
        <v xml:space="preserve"> </v>
      </c>
      <c r="AD280" t="str">
        <f ca="1">IF(C280&lt;=CRONO.NivelExibicao,MAX($AD$15:OFFSET(AD280,-1,0))+IF($C280&lt;&gt;1,1,MAX(1,COUNTIF(QCI!$A$13:$A$15,OFFSET($E280,-1,0)))),"")</f>
        <v/>
      </c>
      <c r="AE280" s="7" t="str">
        <f ca="1">IF(AND($C280="S",ORÇAMENTO.CodBarra&lt;&gt;""),IF(ORÇAMENTO.Fonte="",ORÇAMENTO.CodBarra,CONCATENATE(ORÇAMENTO.Fonte," ",ORÇAMENTO.CodBarra)))</f>
        <v>COTAÇÃO COT-032</v>
      </c>
      <c r="AF280" s="12">
        <f ca="1">IF(ISERROR(INDIRECT(ORÇAMENTO.BancoRef)),"(abra o arquivo 'Referência "&amp;Excel_BuiltIn_Database&amp;".xlsm)",IF(OR($C280&lt;&gt;"S",ORÇAMENTO.CodBarra=""),"(Sem Código)",IF(ISERROR(MATCH($AE280,INDIRECT(ORÇAMENTO.BancoRef),0)),"(Código não identificado nas referências)",MATCH($AE280,INDIRECT(ORÇAMENTO.BancoRef),0))))</f>
        <v>100</v>
      </c>
      <c r="AG280" s="428">
        <f ca="1">ROUND(IF(DESONERACAO="sim",REFERENCIA.Desonerado,REFERENCIA.NaoDesonerado),2)</f>
        <v>1556.09</v>
      </c>
      <c r="AH280" s="429">
        <f t="shared" ca="1" si="88"/>
        <v>0.16800000000000001</v>
      </c>
      <c r="AJ280" s="431">
        <v>10</v>
      </c>
      <c r="AL280" s="439"/>
      <c r="AM280" s="336">
        <f t="shared" ca="1" si="74"/>
        <v>18175.099999999999</v>
      </c>
      <c r="AN280" s="470">
        <f t="shared" ca="1" si="89"/>
        <v>1817.51</v>
      </c>
    </row>
    <row r="281" spans="1:40" x14ac:dyDescent="0.2">
      <c r="A281" t="str">
        <f t="shared" si="75"/>
        <v>S</v>
      </c>
      <c r="B281">
        <f t="shared" ca="1" si="76"/>
        <v>4</v>
      </c>
      <c r="C281" t="str">
        <f t="shared" ca="1" si="77"/>
        <v>S</v>
      </c>
      <c r="D281">
        <f t="shared" ca="1" si="78"/>
        <v>0</v>
      </c>
      <c r="E281">
        <f ca="1">IF($C281=1,OFFSET(E281,-1,0)+MAX(1,COUNTIF(QCI!$A$13:$A$15,OFFSET(ORÇAMENTO!E281,-1,0))),OFFSET(E281,-1,0))</f>
        <v>1</v>
      </c>
      <c r="F281">
        <f t="shared" ca="1" si="79"/>
        <v>7</v>
      </c>
      <c r="G281">
        <f t="shared" ca="1" si="80"/>
        <v>3</v>
      </c>
      <c r="H281">
        <f t="shared" ca="1" si="81"/>
        <v>1</v>
      </c>
      <c r="I281">
        <f t="shared" ca="1" si="82"/>
        <v>3</v>
      </c>
      <c r="J281">
        <f t="shared" ca="1" si="73"/>
        <v>0</v>
      </c>
      <c r="K281">
        <f ca="1">IF(OR($C281="S",$C281=0),0,MATCH(OFFSET($D281,0,$C281)+IF($C281&lt;&gt;1,1,COUNTIF(QCI!$A$13:$A$15,ORÇAMENTO!E281)),OFFSET($D281,1,$C281,ROW($C$508)-ROW($C281)),0))</f>
        <v>0</v>
      </c>
      <c r="L281" s="114" t="str">
        <f t="shared" ca="1" si="83"/>
        <v>F</v>
      </c>
      <c r="M281" s="115" t="s">
        <v>705</v>
      </c>
      <c r="N281" s="116" t="str">
        <f t="shared" ca="1" si="84"/>
        <v>Serviço</v>
      </c>
      <c r="O281" s="117" t="str">
        <f t="shared" ca="1" si="85"/>
        <v>1.7.3.1.3.</v>
      </c>
      <c r="P281" s="118" t="s">
        <v>1283</v>
      </c>
      <c r="Q281" s="119" t="s">
        <v>1083</v>
      </c>
      <c r="R281" s="120" t="str">
        <f ca="1">IF($C281="S",REFERENCIA.Descricao,"(digite a descrição aqui)")</f>
        <v>CURVA 90 FLANGEADA FoFo - DN 150 MM - FORNECIMENTO</v>
      </c>
      <c r="S281" s="121" t="str">
        <f ca="1">REFERENCIA.Unidade</f>
        <v>UN</v>
      </c>
      <c r="T281" s="122">
        <f ca="1">OFFSET(CÁLCULO!H$15,ROW($T281)-ROW(T$15),0)</f>
        <v>10</v>
      </c>
      <c r="U281" s="123">
        <f t="shared" ca="1" si="72"/>
        <v>638.97</v>
      </c>
      <c r="V281" s="124" t="s">
        <v>697</v>
      </c>
      <c r="W281" s="122">
        <f ca="1">IF($C281="S",ROUND(IF(TIPOORCAMENTO="Proposto",ORÇAMENTO.CustoUnitario*(1+$AH281),ORÇAMENTO.PrecoUnitarioLicitado),15-13*$AF$10),0)</f>
        <v>746.32</v>
      </c>
      <c r="X281" s="125" cm="1">
        <f t="array" aca="1" ref="X281" ca="1">IF($C281="S",IF(OR(Import.TipoArredondamento&lt;&gt;"TransfereGOV",ACOMPANHAMENTO="BM"),VTOTAL1,SUM(OFFSET(CÁLCULO!$AI$15,ROW($X281)-ROW($X$15),1):OFFSET(CÁLCULO!$BB$15,ROW($X281)-ROW($X$15),-1))),IF($C281=0,0,ROUND(SomaAgrup,15-13*$AF$11)))</f>
        <v>7463.2</v>
      </c>
      <c r="Y281" s="126" t="s">
        <v>751</v>
      </c>
      <c r="Z281" t="str">
        <f t="shared" ca="1" si="86"/>
        <v>RA</v>
      </c>
      <c r="AA281" s="127">
        <f ca="1">IF($C281="S",IF($Z281="CP",$X281,IF($Z281="RA",(($X281)*QCI!$AA$3),0)),SomaAgrup)</f>
        <v>0</v>
      </c>
      <c r="AB281" s="128">
        <f t="shared" ca="1" si="87"/>
        <v>0</v>
      </c>
      <c r="AC281" s="565" t="str" cm="1">
        <f t="array" aca="1" ref="AC281" ca="1">IF($N281=""," ",
IF(AND($C281&lt;&gt;"S",OR($R281="",$R281="(digite a descrição aqui)")),"DESCRIÇÃO",
IF(AND($C281="S",OR($Q281&lt;&gt;"",$T281&gt;0,$U281&gt;0),$P281=""),"FONTE",
IF(AND($C281="S",$P281&lt;&gt;"",OR($T281&gt;0,$U281&gt;0),$Q281=""),"CÓDIGO",
IF(AND($C281="S",$P281&lt;&gt;"",$Q281&lt;&gt;"",$R281="(Código não identificado nas referências)"),"CÓDIGO N/ID",
IF(AND($C281="S",OR($R281="",$R281="(digite a descrição aqui)"),OR($Q281&lt;&gt;"",$T281&gt;0,$U281&gt;0)),"DESCRIÇÃO",
IF(AND($C281="S",$P281&lt;&gt;"",$Q281&lt;&gt;"",$S281=""),"UNIDADE",
IF(AND($C281="S",$P281&lt;&gt;"",$Q281&lt;&gt;"",$U281=0),"SEM CUSTO",
IF(AND(_xlfn.SINGLE(TIPOORCAMENTO)="Licitado",$AL281=0,$AN281&gt;0),"SEM PREÇO",
IF(AND($C281="S",$P281&lt;&gt;"",$Q281&lt;&gt;"",$U281&gt;0,AND($V281&lt;&gt;"BDI 1",$V281&lt;&gt;"BDI 2",$V281&lt;&gt;"BDI 3")),IF(ISNUMBER($V281),"JUSTIFICAR BDI","BDI"),
IF(OR(AND(import.recurso="OGU",TIPOORCAMENTO="Proposto",LEFT($O$8,5)&lt;&gt;"(N/D:",$AG281&lt;&gt;"",ORÇAMENTO.CustoUnitario&gt;$AG281),AND(TIPOORCAMENTO="LICITADO",ORÇAMENTO.PrecoUnitarioLicitado&gt;$AN281)),"ACIMA REF.",
IF(AND($C281="S",$P281&lt;&gt;"",$Q281&lt;&gt;"",$T281=0,$U281&gt;0),"QUANT.",
IF(AND(Import.TipoArredondamento="TransfereGOV",$L281="F",$C281="S",LEN($Q281)&gt;13),"Código &gt;13",
IF(AND(Import.TipoArredondamento="TransfereGOV",$L281="F",$C281&lt;&gt;"S",LEN($R281)&gt;100),"Descrição &gt;100",
IF(AND(Import.TipoArredondamento="TransfereGOV",$L281="F",$C281="S",LEN($R281)&gt;500),"Descrição &gt;500",
IF(AND(Import.TipoArredondamento="TransfereGOV",$L281="F",$C281="S",LEFT(TRIM(UPPER($P281)),6)&lt;&gt;"SINAPI",ISNA(VLOOKUP(TRIM(UPPER($S281)),ListaTgov.Unidades,1,FALSE))),"Unid. Não Disp",
" "))))))))))))))))</f>
        <v xml:space="preserve"> </v>
      </c>
      <c r="AD281" t="str">
        <f ca="1">IF(C281&lt;=CRONO.NivelExibicao,MAX($AD$15:OFFSET(AD281,-1,0))+IF($C281&lt;&gt;1,1,MAX(1,COUNTIF(QCI!$A$13:$A$15,OFFSET($E281,-1,0)))),"")</f>
        <v/>
      </c>
      <c r="AE281" s="7" t="str">
        <f ca="1">IF(AND($C281="S",ORÇAMENTO.CodBarra&lt;&gt;""),IF(ORÇAMENTO.Fonte="",ORÇAMENTO.CodBarra,CONCATENATE(ORÇAMENTO.Fonte," ",ORÇAMENTO.CodBarra)))</f>
        <v>COTAÇÃO COT-033</v>
      </c>
      <c r="AF281" s="12">
        <f ca="1">IF(ISERROR(INDIRECT(ORÇAMENTO.BancoRef)),"(abra o arquivo 'Referência "&amp;Excel_BuiltIn_Database&amp;".xlsm)",IF(OR($C281&lt;&gt;"S",ORÇAMENTO.CodBarra=""),"(Sem Código)",IF(ISERROR(MATCH($AE281,INDIRECT(ORÇAMENTO.BancoRef),0)),"(Código não identificado nas referências)",MATCH($AE281,INDIRECT(ORÇAMENTO.BancoRef),0))))</f>
        <v>101</v>
      </c>
      <c r="AG281" s="428">
        <f ca="1">ROUND(IF(DESONERACAO="sim",REFERENCIA.Desonerado,REFERENCIA.NaoDesonerado),2)</f>
        <v>638.97</v>
      </c>
      <c r="AH281" s="429">
        <f t="shared" ca="1" si="88"/>
        <v>0.16800000000000001</v>
      </c>
      <c r="AJ281" s="431">
        <v>10</v>
      </c>
      <c r="AL281" s="439"/>
      <c r="AM281" s="336">
        <f t="shared" ca="1" si="74"/>
        <v>7463.2</v>
      </c>
      <c r="AN281" s="470">
        <f t="shared" ca="1" si="89"/>
        <v>746.32</v>
      </c>
    </row>
    <row r="282" spans="1:40" x14ac:dyDescent="0.2">
      <c r="A282" t="str">
        <f t="shared" si="75"/>
        <v>S</v>
      </c>
      <c r="B282">
        <f t="shared" ca="1" si="76"/>
        <v>4</v>
      </c>
      <c r="C282" t="str">
        <f t="shared" ca="1" si="77"/>
        <v>S</v>
      </c>
      <c r="D282">
        <f t="shared" ca="1" si="78"/>
        <v>0</v>
      </c>
      <c r="E282">
        <f ca="1">IF($C282=1,OFFSET(E282,-1,0)+MAX(1,COUNTIF(QCI!$A$13:$A$15,OFFSET(ORÇAMENTO!E282,-1,0))),OFFSET(E282,-1,0))</f>
        <v>1</v>
      </c>
      <c r="F282">
        <f t="shared" ca="1" si="79"/>
        <v>7</v>
      </c>
      <c r="G282">
        <f t="shared" ca="1" si="80"/>
        <v>3</v>
      </c>
      <c r="H282">
        <f t="shared" ca="1" si="81"/>
        <v>1</v>
      </c>
      <c r="I282">
        <f t="shared" ca="1" si="82"/>
        <v>4</v>
      </c>
      <c r="J282">
        <f t="shared" ca="1" si="73"/>
        <v>0</v>
      </c>
      <c r="K282">
        <f ca="1">IF(OR($C282="S",$C282=0),0,MATCH(OFFSET($D282,0,$C282)+IF($C282&lt;&gt;1,1,COUNTIF(QCI!$A$13:$A$15,ORÇAMENTO!E282)),OFFSET($D282,1,$C282,ROW($C$508)-ROW($C282)),0))</f>
        <v>0</v>
      </c>
      <c r="L282" s="114" t="str">
        <f t="shared" ca="1" si="83"/>
        <v>F</v>
      </c>
      <c r="M282" s="115" t="s">
        <v>705</v>
      </c>
      <c r="N282" s="116" t="str">
        <f t="shared" ca="1" si="84"/>
        <v>Serviço</v>
      </c>
      <c r="O282" s="117" t="str">
        <f t="shared" ca="1" si="85"/>
        <v>1.7.3.1.4.</v>
      </c>
      <c r="P282" s="118" t="s">
        <v>1283</v>
      </c>
      <c r="Q282" s="119" t="s">
        <v>1076</v>
      </c>
      <c r="R282" s="120" t="str">
        <f ca="1">IF($C282="S",REFERENCIA.Descricao,"(digite a descrição aqui)")</f>
        <v>REGISTRO GAVETA FLANGE E CABEÇOTE PN10 DN150MM</v>
      </c>
      <c r="S282" s="121" t="str">
        <f ca="1">REFERENCIA.Unidade</f>
        <v>UN</v>
      </c>
      <c r="T282" s="122">
        <f ca="1">OFFSET(CÁLCULO!H$15,ROW($T282)-ROW(T$15),0)</f>
        <v>10</v>
      </c>
      <c r="U282" s="123">
        <f t="shared" ca="1" si="72"/>
        <v>1641.1</v>
      </c>
      <c r="V282" s="124" t="s">
        <v>697</v>
      </c>
      <c r="W282" s="122">
        <f ca="1">IF($C282="S",ROUND(IF(TIPOORCAMENTO="Proposto",ORÇAMENTO.CustoUnitario*(1+$AH282),ORÇAMENTO.PrecoUnitarioLicitado),15-13*$AF$10),0)</f>
        <v>1916.8</v>
      </c>
      <c r="X282" s="125" cm="1">
        <f t="array" aca="1" ref="X282" ca="1">IF($C282="S",IF(OR(Import.TipoArredondamento&lt;&gt;"TransfereGOV",ACOMPANHAMENTO="BM"),VTOTAL1,SUM(OFFSET(CÁLCULO!$AI$15,ROW($X282)-ROW($X$15),1):OFFSET(CÁLCULO!$BB$15,ROW($X282)-ROW($X$15),-1))),IF($C282=0,0,ROUND(SomaAgrup,15-13*$AF$11)))</f>
        <v>19168</v>
      </c>
      <c r="Y282" s="126" t="s">
        <v>751</v>
      </c>
      <c r="Z282" t="str">
        <f t="shared" ca="1" si="86"/>
        <v>RA</v>
      </c>
      <c r="AA282" s="127">
        <f ca="1">IF($C282="S",IF($Z282="CP",$X282,IF($Z282="RA",(($X282)*QCI!$AA$3),0)),SomaAgrup)</f>
        <v>0</v>
      </c>
      <c r="AB282" s="128">
        <f t="shared" ca="1" si="87"/>
        <v>0</v>
      </c>
      <c r="AC282" s="565" t="str" cm="1">
        <f t="array" aca="1" ref="AC282" ca="1">IF($N282=""," ",
IF(AND($C282&lt;&gt;"S",OR($R282="",$R282="(digite a descrição aqui)")),"DESCRIÇÃO",
IF(AND($C282="S",OR($Q282&lt;&gt;"",$T282&gt;0,$U282&gt;0),$P282=""),"FONTE",
IF(AND($C282="S",$P282&lt;&gt;"",OR($T282&gt;0,$U282&gt;0),$Q282=""),"CÓDIGO",
IF(AND($C282="S",$P282&lt;&gt;"",$Q282&lt;&gt;"",$R282="(Código não identificado nas referências)"),"CÓDIGO N/ID",
IF(AND($C282="S",OR($R282="",$R282="(digite a descrição aqui)"),OR($Q282&lt;&gt;"",$T282&gt;0,$U282&gt;0)),"DESCRIÇÃO",
IF(AND($C282="S",$P282&lt;&gt;"",$Q282&lt;&gt;"",$S282=""),"UNIDADE",
IF(AND($C282="S",$P282&lt;&gt;"",$Q282&lt;&gt;"",$U282=0),"SEM CUSTO",
IF(AND(_xlfn.SINGLE(TIPOORCAMENTO)="Licitado",$AL282=0,$AN282&gt;0),"SEM PREÇO",
IF(AND($C282="S",$P282&lt;&gt;"",$Q282&lt;&gt;"",$U282&gt;0,AND($V282&lt;&gt;"BDI 1",$V282&lt;&gt;"BDI 2",$V282&lt;&gt;"BDI 3")),IF(ISNUMBER($V282),"JUSTIFICAR BDI","BDI"),
IF(OR(AND(import.recurso="OGU",TIPOORCAMENTO="Proposto",LEFT($O$8,5)&lt;&gt;"(N/D:",$AG282&lt;&gt;"",ORÇAMENTO.CustoUnitario&gt;$AG282),AND(TIPOORCAMENTO="LICITADO",ORÇAMENTO.PrecoUnitarioLicitado&gt;$AN282)),"ACIMA REF.",
IF(AND($C282="S",$P282&lt;&gt;"",$Q282&lt;&gt;"",$T282=0,$U282&gt;0),"QUANT.",
IF(AND(Import.TipoArredondamento="TransfereGOV",$L282="F",$C282="S",LEN($Q282)&gt;13),"Código &gt;13",
IF(AND(Import.TipoArredondamento="TransfereGOV",$L282="F",$C282&lt;&gt;"S",LEN($R282)&gt;100),"Descrição &gt;100",
IF(AND(Import.TipoArredondamento="TransfereGOV",$L282="F",$C282="S",LEN($R282)&gt;500),"Descrição &gt;500",
IF(AND(Import.TipoArredondamento="TransfereGOV",$L282="F",$C282="S",LEFT(TRIM(UPPER($P282)),6)&lt;&gt;"SINAPI",ISNA(VLOOKUP(TRIM(UPPER($S282)),ListaTgov.Unidades,1,FALSE))),"Unid. Não Disp",
" "))))))))))))))))</f>
        <v xml:space="preserve"> </v>
      </c>
      <c r="AD282" t="str">
        <f ca="1">IF(C282&lt;=CRONO.NivelExibicao,MAX($AD$15:OFFSET(AD282,-1,0))+IF($C282&lt;&gt;1,1,MAX(1,COUNTIF(QCI!$A$13:$A$15,OFFSET($E282,-1,0)))),"")</f>
        <v/>
      </c>
      <c r="AE282" s="7" t="str">
        <f ca="1">IF(AND($C282="S",ORÇAMENTO.CodBarra&lt;&gt;""),IF(ORÇAMENTO.Fonte="",ORÇAMENTO.CodBarra,CONCATENATE(ORÇAMENTO.Fonte," ",ORÇAMENTO.CodBarra)))</f>
        <v>COTAÇÃO COT-030</v>
      </c>
      <c r="AF282" s="12">
        <f ca="1">IF(ISERROR(INDIRECT(ORÇAMENTO.BancoRef)),"(abra o arquivo 'Referência "&amp;Excel_BuiltIn_Database&amp;".xlsm)",IF(OR($C282&lt;&gt;"S",ORÇAMENTO.CodBarra=""),"(Sem Código)",IF(ISERROR(MATCH($AE282,INDIRECT(ORÇAMENTO.BancoRef),0)),"(Código não identificado nas referências)",MATCH($AE282,INDIRECT(ORÇAMENTO.BancoRef),0))))</f>
        <v>98</v>
      </c>
      <c r="AG282" s="428">
        <f ca="1">ROUND(IF(DESONERACAO="sim",REFERENCIA.Desonerado,REFERENCIA.NaoDesonerado),2)</f>
        <v>1641.1</v>
      </c>
      <c r="AH282" s="429">
        <f t="shared" ca="1" si="88"/>
        <v>0.16800000000000001</v>
      </c>
      <c r="AJ282" s="431">
        <v>10</v>
      </c>
      <c r="AL282" s="439"/>
      <c r="AM282" s="336">
        <f t="shared" ca="1" si="74"/>
        <v>19168</v>
      </c>
      <c r="AN282" s="470">
        <f t="shared" ca="1" si="89"/>
        <v>1916.8</v>
      </c>
    </row>
    <row r="283" spans="1:40" x14ac:dyDescent="0.2">
      <c r="A283" t="str">
        <f t="shared" si="75"/>
        <v>S</v>
      </c>
      <c r="B283">
        <f t="shared" ca="1" si="76"/>
        <v>4</v>
      </c>
      <c r="C283" t="str">
        <f t="shared" ca="1" si="77"/>
        <v>S</v>
      </c>
      <c r="D283">
        <f t="shared" ca="1" si="78"/>
        <v>0</v>
      </c>
      <c r="E283">
        <f ca="1">IF($C283=1,OFFSET(E283,-1,0)+MAX(1,COUNTIF(QCI!$A$13:$A$15,OFFSET(ORÇAMENTO!E283,-1,0))),OFFSET(E283,-1,0))</f>
        <v>1</v>
      </c>
      <c r="F283">
        <f t="shared" ca="1" si="79"/>
        <v>7</v>
      </c>
      <c r="G283">
        <f t="shared" ca="1" si="80"/>
        <v>3</v>
      </c>
      <c r="H283">
        <f t="shared" ca="1" si="81"/>
        <v>1</v>
      </c>
      <c r="I283">
        <f t="shared" ca="1" si="82"/>
        <v>5</v>
      </c>
      <c r="J283">
        <f t="shared" ca="1" si="73"/>
        <v>0</v>
      </c>
      <c r="K283">
        <f ca="1">IF(OR($C283="S",$C283=0),0,MATCH(OFFSET($D283,0,$C283)+IF($C283&lt;&gt;1,1,COUNTIF(QCI!$A$13:$A$15,ORÇAMENTO!E283)),OFFSET($D283,1,$C283,ROW($C$508)-ROW($C283)),0))</f>
        <v>0</v>
      </c>
      <c r="L283" s="114" t="str">
        <f t="shared" ca="1" si="83"/>
        <v>F</v>
      </c>
      <c r="M283" s="115" t="s">
        <v>705</v>
      </c>
      <c r="N283" s="116" t="str">
        <f t="shared" ca="1" si="84"/>
        <v>Serviço</v>
      </c>
      <c r="O283" s="117" t="str">
        <f t="shared" ca="1" si="85"/>
        <v>1.7.3.1.5.</v>
      </c>
      <c r="P283" s="118" t="s">
        <v>1283</v>
      </c>
      <c r="Q283" s="119" t="s">
        <v>1084</v>
      </c>
      <c r="R283" s="120" t="str">
        <f ca="1">IF($C283="S",REFERENCIA.Descricao,"(digite a descrição aqui)")</f>
        <v>TUBO FLANGEADO FoFo L = 0,75 M - DN 150 MM - FORNECIMENTO</v>
      </c>
      <c r="S283" s="121" t="str">
        <f ca="1">REFERENCIA.Unidade</f>
        <v>UN</v>
      </c>
      <c r="T283" s="122">
        <f ca="1">OFFSET(CÁLCULO!H$15,ROW($T283)-ROW(T$15),0)</f>
        <v>10</v>
      </c>
      <c r="U283" s="123">
        <f t="shared" ca="1" si="72"/>
        <v>1349.9</v>
      </c>
      <c r="V283" s="124" t="s">
        <v>697</v>
      </c>
      <c r="W283" s="122">
        <f ca="1">IF($C283="S",ROUND(IF(TIPOORCAMENTO="Proposto",ORÇAMENTO.CustoUnitario*(1+$AH283),ORÇAMENTO.PrecoUnitarioLicitado),15-13*$AF$10),0)</f>
        <v>1576.68</v>
      </c>
      <c r="X283" s="125" cm="1">
        <f t="array" aca="1" ref="X283" ca="1">IF($C283="S",IF(OR(Import.TipoArredondamento&lt;&gt;"TransfereGOV",ACOMPANHAMENTO="BM"),VTOTAL1,SUM(OFFSET(CÁLCULO!$AI$15,ROW($X283)-ROW($X$15),1):OFFSET(CÁLCULO!$BB$15,ROW($X283)-ROW($X$15),-1))),IF($C283=0,0,ROUND(SomaAgrup,15-13*$AF$11)))</f>
        <v>15766.8</v>
      </c>
      <c r="Y283" s="126" t="s">
        <v>751</v>
      </c>
      <c r="Z283" t="str">
        <f t="shared" ca="1" si="86"/>
        <v>RA</v>
      </c>
      <c r="AA283" s="127">
        <f ca="1">IF($C283="S",IF($Z283="CP",$X283,IF($Z283="RA",(($X283)*QCI!$AA$3),0)),SomaAgrup)</f>
        <v>0</v>
      </c>
      <c r="AB283" s="128">
        <f t="shared" ca="1" si="87"/>
        <v>0</v>
      </c>
      <c r="AC283" s="565" t="str" cm="1">
        <f t="array" aca="1" ref="AC283" ca="1">IF($N283=""," ",
IF(AND($C283&lt;&gt;"S",OR($R283="",$R283="(digite a descrição aqui)")),"DESCRIÇÃO",
IF(AND($C283="S",OR($Q283&lt;&gt;"",$T283&gt;0,$U283&gt;0),$P283=""),"FONTE",
IF(AND($C283="S",$P283&lt;&gt;"",OR($T283&gt;0,$U283&gt;0),$Q283=""),"CÓDIGO",
IF(AND($C283="S",$P283&lt;&gt;"",$Q283&lt;&gt;"",$R283="(Código não identificado nas referências)"),"CÓDIGO N/ID",
IF(AND($C283="S",OR($R283="",$R283="(digite a descrição aqui)"),OR($Q283&lt;&gt;"",$T283&gt;0,$U283&gt;0)),"DESCRIÇÃO",
IF(AND($C283="S",$P283&lt;&gt;"",$Q283&lt;&gt;"",$S283=""),"UNIDADE",
IF(AND($C283="S",$P283&lt;&gt;"",$Q283&lt;&gt;"",$U283=0),"SEM CUSTO",
IF(AND(_xlfn.SINGLE(TIPOORCAMENTO)="Licitado",$AL283=0,$AN283&gt;0),"SEM PREÇO",
IF(AND($C283="S",$P283&lt;&gt;"",$Q283&lt;&gt;"",$U283&gt;0,AND($V283&lt;&gt;"BDI 1",$V283&lt;&gt;"BDI 2",$V283&lt;&gt;"BDI 3")),IF(ISNUMBER($V283),"JUSTIFICAR BDI","BDI"),
IF(OR(AND(import.recurso="OGU",TIPOORCAMENTO="Proposto",LEFT($O$8,5)&lt;&gt;"(N/D:",$AG283&lt;&gt;"",ORÇAMENTO.CustoUnitario&gt;$AG283),AND(TIPOORCAMENTO="LICITADO",ORÇAMENTO.PrecoUnitarioLicitado&gt;$AN283)),"ACIMA REF.",
IF(AND($C283="S",$P283&lt;&gt;"",$Q283&lt;&gt;"",$T283=0,$U283&gt;0),"QUANT.",
IF(AND(Import.TipoArredondamento="TransfereGOV",$L283="F",$C283="S",LEN($Q283)&gt;13),"Código &gt;13",
IF(AND(Import.TipoArredondamento="TransfereGOV",$L283="F",$C283&lt;&gt;"S",LEN($R283)&gt;100),"Descrição &gt;100",
IF(AND(Import.TipoArredondamento="TransfereGOV",$L283="F",$C283="S",LEN($R283)&gt;500),"Descrição &gt;500",
IF(AND(Import.TipoArredondamento="TransfereGOV",$L283="F",$C283="S",LEFT(TRIM(UPPER($P283)),6)&lt;&gt;"SINAPI",ISNA(VLOOKUP(TRIM(UPPER($S283)),ListaTgov.Unidades,1,FALSE))),"Unid. Não Disp",
" "))))))))))))))))</f>
        <v xml:space="preserve"> </v>
      </c>
      <c r="AD283" t="str">
        <f ca="1">IF(C283&lt;=CRONO.NivelExibicao,MAX($AD$15:OFFSET(AD283,-1,0))+IF($C283&lt;&gt;1,1,MAX(1,COUNTIF(QCI!$A$13:$A$15,OFFSET($E283,-1,0)))),"")</f>
        <v/>
      </c>
      <c r="AE283" s="7" t="str">
        <f ca="1">IF(AND($C283="S",ORÇAMENTO.CodBarra&lt;&gt;""),IF(ORÇAMENTO.Fonte="",ORÇAMENTO.CodBarra,CONCATENATE(ORÇAMENTO.Fonte," ",ORÇAMENTO.CodBarra)))</f>
        <v>COTAÇÃO COT-034</v>
      </c>
      <c r="AF283" s="12">
        <f ca="1">IF(ISERROR(INDIRECT(ORÇAMENTO.BancoRef)),"(abra o arquivo 'Referência "&amp;Excel_BuiltIn_Database&amp;".xlsm)",IF(OR($C283&lt;&gt;"S",ORÇAMENTO.CodBarra=""),"(Sem Código)",IF(ISERROR(MATCH($AE283,INDIRECT(ORÇAMENTO.BancoRef),0)),"(Código não identificado nas referências)",MATCH($AE283,INDIRECT(ORÇAMENTO.BancoRef),0))))</f>
        <v>102</v>
      </c>
      <c r="AG283" s="428">
        <f ca="1">ROUND(IF(DESONERACAO="sim",REFERENCIA.Desonerado,REFERENCIA.NaoDesonerado),2)</f>
        <v>1349.9</v>
      </c>
      <c r="AH283" s="429">
        <f t="shared" ca="1" si="88"/>
        <v>0.16800000000000001</v>
      </c>
      <c r="AJ283" s="431">
        <v>10</v>
      </c>
      <c r="AL283" s="439"/>
      <c r="AM283" s="336">
        <f t="shared" ca="1" si="74"/>
        <v>15766.8</v>
      </c>
      <c r="AN283" s="470">
        <f t="shared" ca="1" si="89"/>
        <v>1576.68</v>
      </c>
    </row>
    <row r="284" spans="1:40" x14ac:dyDescent="0.2">
      <c r="A284" t="str">
        <f t="shared" si="75"/>
        <v>S</v>
      </c>
      <c r="B284">
        <f t="shared" ca="1" si="76"/>
        <v>4</v>
      </c>
      <c r="C284" t="str">
        <f t="shared" ca="1" si="77"/>
        <v>S</v>
      </c>
      <c r="D284">
        <f t="shared" ca="1" si="78"/>
        <v>0</v>
      </c>
      <c r="E284">
        <f ca="1">IF($C284=1,OFFSET(E284,-1,0)+MAX(1,COUNTIF(QCI!$A$13:$A$15,OFFSET(ORÇAMENTO!E284,-1,0))),OFFSET(E284,-1,0))</f>
        <v>1</v>
      </c>
      <c r="F284">
        <f t="shared" ca="1" si="79"/>
        <v>7</v>
      </c>
      <c r="G284">
        <f t="shared" ca="1" si="80"/>
        <v>3</v>
      </c>
      <c r="H284">
        <f t="shared" ca="1" si="81"/>
        <v>1</v>
      </c>
      <c r="I284">
        <f t="shared" ca="1" si="82"/>
        <v>6</v>
      </c>
      <c r="J284">
        <f t="shared" ca="1" si="73"/>
        <v>0</v>
      </c>
      <c r="K284">
        <f ca="1">IF(OR($C284="S",$C284=0),0,MATCH(OFFSET($D284,0,$C284)+IF($C284&lt;&gt;1,1,COUNTIF(QCI!$A$13:$A$15,ORÇAMENTO!E284)),OFFSET($D284,1,$C284,ROW($C$508)-ROW($C284)),0))</f>
        <v>0</v>
      </c>
      <c r="L284" s="114" t="str">
        <f t="shared" ca="1" si="83"/>
        <v>F</v>
      </c>
      <c r="M284" s="115" t="s">
        <v>705</v>
      </c>
      <c r="N284" s="116" t="str">
        <f t="shared" ca="1" si="84"/>
        <v>Serviço</v>
      </c>
      <c r="O284" s="117" t="str">
        <f t="shared" ca="1" si="85"/>
        <v>1.7.3.1.6.</v>
      </c>
      <c r="P284" s="118" t="s">
        <v>1283</v>
      </c>
      <c r="Q284" s="119" t="s">
        <v>1085</v>
      </c>
      <c r="R284" s="120" t="str">
        <f ca="1">IF($C284="S",REFERENCIA.Descricao,"(digite a descrição aqui)")</f>
        <v>ARRUELA BORRACHA PARA FLANGE - DN 150 MM</v>
      </c>
      <c r="S284" s="121" t="str">
        <f ca="1">REFERENCIA.Unidade</f>
        <v>UN</v>
      </c>
      <c r="T284" s="122">
        <f ca="1">OFFSET(CÁLCULO!H$15,ROW($T284)-ROW(T$15),0)</f>
        <v>40</v>
      </c>
      <c r="U284" s="123">
        <f t="shared" ca="1" si="72"/>
        <v>7.42</v>
      </c>
      <c r="V284" s="124" t="s">
        <v>697</v>
      </c>
      <c r="W284" s="122">
        <f ca="1">IF($C284="S",ROUND(IF(TIPOORCAMENTO="Proposto",ORÇAMENTO.CustoUnitario*(1+$AH284),ORÇAMENTO.PrecoUnitarioLicitado),15-13*$AF$10),0)</f>
        <v>8.67</v>
      </c>
      <c r="X284" s="125" cm="1">
        <f t="array" aca="1" ref="X284" ca="1">IF($C284="S",IF(OR(Import.TipoArredondamento&lt;&gt;"TransfereGOV",ACOMPANHAMENTO="BM"),VTOTAL1,SUM(OFFSET(CÁLCULO!$AI$15,ROW($X284)-ROW($X$15),1):OFFSET(CÁLCULO!$BB$15,ROW($X284)-ROW($X$15),-1))),IF($C284=0,0,ROUND(SomaAgrup,15-13*$AF$11)))</f>
        <v>346.8</v>
      </c>
      <c r="Y284" s="126" t="s">
        <v>751</v>
      </c>
      <c r="Z284" t="str">
        <f t="shared" ca="1" si="86"/>
        <v>RA</v>
      </c>
      <c r="AA284" s="127">
        <f ca="1">IF($C284="S",IF($Z284="CP",$X284,IF($Z284="RA",(($X284)*QCI!$AA$3),0)),SomaAgrup)</f>
        <v>0</v>
      </c>
      <c r="AB284" s="128">
        <f t="shared" ca="1" si="87"/>
        <v>0</v>
      </c>
      <c r="AC284" s="565" t="str" cm="1">
        <f t="array" aca="1" ref="AC284" ca="1">IF($N284=""," ",
IF(AND($C284&lt;&gt;"S",OR($R284="",$R284="(digite a descrição aqui)")),"DESCRIÇÃO",
IF(AND($C284="S",OR($Q284&lt;&gt;"",$T284&gt;0,$U284&gt;0),$P284=""),"FONTE",
IF(AND($C284="S",$P284&lt;&gt;"",OR($T284&gt;0,$U284&gt;0),$Q284=""),"CÓDIGO",
IF(AND($C284="S",$P284&lt;&gt;"",$Q284&lt;&gt;"",$R284="(Código não identificado nas referências)"),"CÓDIGO N/ID",
IF(AND($C284="S",OR($R284="",$R284="(digite a descrição aqui)"),OR($Q284&lt;&gt;"",$T284&gt;0,$U284&gt;0)),"DESCRIÇÃO",
IF(AND($C284="S",$P284&lt;&gt;"",$Q284&lt;&gt;"",$S284=""),"UNIDADE",
IF(AND($C284="S",$P284&lt;&gt;"",$Q284&lt;&gt;"",$U284=0),"SEM CUSTO",
IF(AND(_xlfn.SINGLE(TIPOORCAMENTO)="Licitado",$AL284=0,$AN284&gt;0),"SEM PREÇO",
IF(AND($C284="S",$P284&lt;&gt;"",$Q284&lt;&gt;"",$U284&gt;0,AND($V284&lt;&gt;"BDI 1",$V284&lt;&gt;"BDI 2",$V284&lt;&gt;"BDI 3")),IF(ISNUMBER($V284),"JUSTIFICAR BDI","BDI"),
IF(OR(AND(import.recurso="OGU",TIPOORCAMENTO="Proposto",LEFT($O$8,5)&lt;&gt;"(N/D:",$AG284&lt;&gt;"",ORÇAMENTO.CustoUnitario&gt;$AG284),AND(TIPOORCAMENTO="LICITADO",ORÇAMENTO.PrecoUnitarioLicitado&gt;$AN284)),"ACIMA REF.",
IF(AND($C284="S",$P284&lt;&gt;"",$Q284&lt;&gt;"",$T284=0,$U284&gt;0),"QUANT.",
IF(AND(Import.TipoArredondamento="TransfereGOV",$L284="F",$C284="S",LEN($Q284)&gt;13),"Código &gt;13",
IF(AND(Import.TipoArredondamento="TransfereGOV",$L284="F",$C284&lt;&gt;"S",LEN($R284)&gt;100),"Descrição &gt;100",
IF(AND(Import.TipoArredondamento="TransfereGOV",$L284="F",$C284="S",LEN($R284)&gt;500),"Descrição &gt;500",
IF(AND(Import.TipoArredondamento="TransfereGOV",$L284="F",$C284="S",LEFT(TRIM(UPPER($P284)),6)&lt;&gt;"SINAPI",ISNA(VLOOKUP(TRIM(UPPER($S284)),ListaTgov.Unidades,1,FALSE))),"Unid. Não Disp",
" "))))))))))))))))</f>
        <v xml:space="preserve"> </v>
      </c>
      <c r="AD284" t="str">
        <f ca="1">IF(C284&lt;=CRONO.NivelExibicao,MAX($AD$15:OFFSET(AD284,-1,0))+IF($C284&lt;&gt;1,1,MAX(1,COUNTIF(QCI!$A$13:$A$15,OFFSET($E284,-1,0)))),"")</f>
        <v/>
      </c>
      <c r="AE284" s="7" t="str">
        <f ca="1">IF(AND($C284="S",ORÇAMENTO.CodBarra&lt;&gt;""),IF(ORÇAMENTO.Fonte="",ORÇAMENTO.CodBarra,CONCATENATE(ORÇAMENTO.Fonte," ",ORÇAMENTO.CodBarra)))</f>
        <v>COTAÇÃO COT-035</v>
      </c>
      <c r="AF284" s="12">
        <f ca="1">IF(ISERROR(INDIRECT(ORÇAMENTO.BancoRef)),"(abra o arquivo 'Referência "&amp;Excel_BuiltIn_Database&amp;".xlsm)",IF(OR($C284&lt;&gt;"S",ORÇAMENTO.CodBarra=""),"(Sem Código)",IF(ISERROR(MATCH($AE284,INDIRECT(ORÇAMENTO.BancoRef),0)),"(Código não identificado nas referências)",MATCH($AE284,INDIRECT(ORÇAMENTO.BancoRef),0))))</f>
        <v>103</v>
      </c>
      <c r="AG284" s="428">
        <f ca="1">ROUND(IF(DESONERACAO="sim",REFERENCIA.Desonerado,REFERENCIA.NaoDesonerado),2)</f>
        <v>7.42</v>
      </c>
      <c r="AH284" s="429">
        <f t="shared" ca="1" si="88"/>
        <v>0.16800000000000001</v>
      </c>
      <c r="AJ284" s="431">
        <v>40</v>
      </c>
      <c r="AL284" s="439"/>
      <c r="AM284" s="336">
        <f t="shared" ca="1" si="74"/>
        <v>346.8</v>
      </c>
      <c r="AN284" s="470">
        <f t="shared" ca="1" si="89"/>
        <v>8.67</v>
      </c>
    </row>
    <row r="285" spans="1:40" x14ac:dyDescent="0.2">
      <c r="A285" t="str">
        <f t="shared" si="75"/>
        <v>S</v>
      </c>
      <c r="B285">
        <f t="shared" ca="1" si="76"/>
        <v>4</v>
      </c>
      <c r="C285" t="str">
        <f t="shared" ca="1" si="77"/>
        <v>S</v>
      </c>
      <c r="D285">
        <f t="shared" ca="1" si="78"/>
        <v>0</v>
      </c>
      <c r="E285">
        <f ca="1">IF($C285=1,OFFSET(E285,-1,0)+MAX(1,COUNTIF(QCI!$A$13:$A$15,OFFSET(ORÇAMENTO!E285,-1,0))),OFFSET(E285,-1,0))</f>
        <v>1</v>
      </c>
      <c r="F285">
        <f t="shared" ca="1" si="79"/>
        <v>7</v>
      </c>
      <c r="G285">
        <f t="shared" ca="1" si="80"/>
        <v>3</v>
      </c>
      <c r="H285">
        <f t="shared" ca="1" si="81"/>
        <v>1</v>
      </c>
      <c r="I285">
        <f t="shared" ca="1" si="82"/>
        <v>7</v>
      </c>
      <c r="J285">
        <f t="shared" ca="1" si="73"/>
        <v>0</v>
      </c>
      <c r="K285">
        <f ca="1">IF(OR($C285="S",$C285=0),0,MATCH(OFFSET($D285,0,$C285)+IF($C285&lt;&gt;1,1,COUNTIF(QCI!$A$13:$A$15,ORÇAMENTO!E285)),OFFSET($D285,1,$C285,ROW($C$508)-ROW($C285)),0))</f>
        <v>0</v>
      </c>
      <c r="L285" s="114" t="str">
        <f t="shared" ca="1" si="83"/>
        <v>F</v>
      </c>
      <c r="M285" s="115" t="s">
        <v>705</v>
      </c>
      <c r="N285" s="116" t="str">
        <f t="shared" ca="1" si="84"/>
        <v>Serviço</v>
      </c>
      <c r="O285" s="117" t="str">
        <f t="shared" ca="1" si="85"/>
        <v>1.7.3.1.7.</v>
      </c>
      <c r="P285" s="118" t="s">
        <v>1283</v>
      </c>
      <c r="Q285" s="119" t="s">
        <v>1086</v>
      </c>
      <c r="R285" s="120" t="str">
        <f ca="1">IF($C285="S",REFERENCIA.Descricao,"(digite a descrição aqui)")</f>
        <v>PARAFUSO PARA FLANGE - 16 X 80 MM</v>
      </c>
      <c r="S285" s="121" t="str">
        <f ca="1">REFERENCIA.Unidade</f>
        <v>UN</v>
      </c>
      <c r="T285" s="122">
        <f ca="1">OFFSET(CÁLCULO!H$15,ROW($T285)-ROW(T$15),0)</f>
        <v>320</v>
      </c>
      <c r="U285" s="123">
        <f t="shared" ca="1" si="72"/>
        <v>22.55</v>
      </c>
      <c r="V285" s="124" t="s">
        <v>697</v>
      </c>
      <c r="W285" s="122">
        <f ca="1">IF($C285="S",ROUND(IF(TIPOORCAMENTO="Proposto",ORÇAMENTO.CustoUnitario*(1+$AH285),ORÇAMENTO.PrecoUnitarioLicitado),15-13*$AF$10),0)</f>
        <v>26.34</v>
      </c>
      <c r="X285" s="125" cm="1">
        <f t="array" aca="1" ref="X285" ca="1">IF($C285="S",IF(OR(Import.TipoArredondamento&lt;&gt;"TransfereGOV",ACOMPANHAMENTO="BM"),VTOTAL1,SUM(OFFSET(CÁLCULO!$AI$15,ROW($X285)-ROW($X$15),1):OFFSET(CÁLCULO!$BB$15,ROW($X285)-ROW($X$15),-1))),IF($C285=0,0,ROUND(SomaAgrup,15-13*$AF$11)))</f>
        <v>8428.7999999999993</v>
      </c>
      <c r="Y285" s="126" t="s">
        <v>751</v>
      </c>
      <c r="Z285" t="str">
        <f t="shared" ca="1" si="86"/>
        <v>RA</v>
      </c>
      <c r="AA285" s="127">
        <f ca="1">IF($C285="S",IF($Z285="CP",$X285,IF($Z285="RA",(($X285)*QCI!$AA$3),0)),SomaAgrup)</f>
        <v>0</v>
      </c>
      <c r="AB285" s="128">
        <f t="shared" ca="1" si="87"/>
        <v>0</v>
      </c>
      <c r="AC285" s="565" t="str" cm="1">
        <f t="array" aca="1" ref="AC285" ca="1">IF($N285=""," ",
IF(AND($C285&lt;&gt;"S",OR($R285="",$R285="(digite a descrição aqui)")),"DESCRIÇÃO",
IF(AND($C285="S",OR($Q285&lt;&gt;"",$T285&gt;0,$U285&gt;0),$P285=""),"FONTE",
IF(AND($C285="S",$P285&lt;&gt;"",OR($T285&gt;0,$U285&gt;0),$Q285=""),"CÓDIGO",
IF(AND($C285="S",$P285&lt;&gt;"",$Q285&lt;&gt;"",$R285="(Código não identificado nas referências)"),"CÓDIGO N/ID",
IF(AND($C285="S",OR($R285="",$R285="(digite a descrição aqui)"),OR($Q285&lt;&gt;"",$T285&gt;0,$U285&gt;0)),"DESCRIÇÃO",
IF(AND($C285="S",$P285&lt;&gt;"",$Q285&lt;&gt;"",$S285=""),"UNIDADE",
IF(AND($C285="S",$P285&lt;&gt;"",$Q285&lt;&gt;"",$U285=0),"SEM CUSTO",
IF(AND(_xlfn.SINGLE(TIPOORCAMENTO)="Licitado",$AL285=0,$AN285&gt;0),"SEM PREÇO",
IF(AND($C285="S",$P285&lt;&gt;"",$Q285&lt;&gt;"",$U285&gt;0,AND($V285&lt;&gt;"BDI 1",$V285&lt;&gt;"BDI 2",$V285&lt;&gt;"BDI 3")),IF(ISNUMBER($V285),"JUSTIFICAR BDI","BDI"),
IF(OR(AND(import.recurso="OGU",TIPOORCAMENTO="Proposto",LEFT($O$8,5)&lt;&gt;"(N/D:",$AG285&lt;&gt;"",ORÇAMENTO.CustoUnitario&gt;$AG285),AND(TIPOORCAMENTO="LICITADO",ORÇAMENTO.PrecoUnitarioLicitado&gt;$AN285)),"ACIMA REF.",
IF(AND($C285="S",$P285&lt;&gt;"",$Q285&lt;&gt;"",$T285=0,$U285&gt;0),"QUANT.",
IF(AND(Import.TipoArredondamento="TransfereGOV",$L285="F",$C285="S",LEN($Q285)&gt;13),"Código &gt;13",
IF(AND(Import.TipoArredondamento="TransfereGOV",$L285="F",$C285&lt;&gt;"S",LEN($R285)&gt;100),"Descrição &gt;100",
IF(AND(Import.TipoArredondamento="TransfereGOV",$L285="F",$C285="S",LEN($R285)&gt;500),"Descrição &gt;500",
IF(AND(Import.TipoArredondamento="TransfereGOV",$L285="F",$C285="S",LEFT(TRIM(UPPER($P285)),6)&lt;&gt;"SINAPI",ISNA(VLOOKUP(TRIM(UPPER($S285)),ListaTgov.Unidades,1,FALSE))),"Unid. Não Disp",
" "))))))))))))))))</f>
        <v xml:space="preserve"> </v>
      </c>
      <c r="AD285" t="str">
        <f ca="1">IF(C285&lt;=CRONO.NivelExibicao,MAX($AD$15:OFFSET(AD285,-1,0))+IF($C285&lt;&gt;1,1,MAX(1,COUNTIF(QCI!$A$13:$A$15,OFFSET($E285,-1,0)))),"")</f>
        <v/>
      </c>
      <c r="AE285" s="7" t="str">
        <f ca="1">IF(AND($C285="S",ORÇAMENTO.CodBarra&lt;&gt;""),IF(ORÇAMENTO.Fonte="",ORÇAMENTO.CodBarra,CONCATENATE(ORÇAMENTO.Fonte," ",ORÇAMENTO.CodBarra)))</f>
        <v>COTAÇÃO COT-036</v>
      </c>
      <c r="AF285" s="12">
        <f ca="1">IF(ISERROR(INDIRECT(ORÇAMENTO.BancoRef)),"(abra o arquivo 'Referência "&amp;Excel_BuiltIn_Database&amp;".xlsm)",IF(OR($C285&lt;&gt;"S",ORÇAMENTO.CodBarra=""),"(Sem Código)",IF(ISERROR(MATCH($AE285,INDIRECT(ORÇAMENTO.BancoRef),0)),"(Código não identificado nas referências)",MATCH($AE285,INDIRECT(ORÇAMENTO.BancoRef),0))))</f>
        <v>104</v>
      </c>
      <c r="AG285" s="428">
        <f ca="1">ROUND(IF(DESONERACAO="sim",REFERENCIA.Desonerado,REFERENCIA.NaoDesonerado),2)</f>
        <v>22.55</v>
      </c>
      <c r="AH285" s="429">
        <f t="shared" ca="1" si="88"/>
        <v>0.16800000000000001</v>
      </c>
      <c r="AJ285" s="431">
        <v>320</v>
      </c>
      <c r="AL285" s="439"/>
      <c r="AM285" s="336">
        <f t="shared" ca="1" si="74"/>
        <v>8428.7999999999993</v>
      </c>
      <c r="AN285" s="470">
        <f t="shared" ca="1" si="89"/>
        <v>26.34</v>
      </c>
    </row>
    <row r="286" spans="1:40" x14ac:dyDescent="0.2">
      <c r="A286">
        <f t="shared" si="75"/>
        <v>4</v>
      </c>
      <c r="B286">
        <f t="shared" ca="1" si="76"/>
        <v>4</v>
      </c>
      <c r="C286">
        <f t="shared" ca="1" si="77"/>
        <v>4</v>
      </c>
      <c r="D286">
        <f t="shared" ca="1" si="78"/>
        <v>3</v>
      </c>
      <c r="E286">
        <f ca="1">IF($C286=1,OFFSET(E286,-1,0)+MAX(1,COUNTIF(QCI!$A$13:$A$15,OFFSET(ORÇAMENTO!E286,-1,0))),OFFSET(E286,-1,0))</f>
        <v>1</v>
      </c>
      <c r="F286">
        <f t="shared" ca="1" si="79"/>
        <v>7</v>
      </c>
      <c r="G286">
        <f t="shared" ca="1" si="80"/>
        <v>3</v>
      </c>
      <c r="H286">
        <f t="shared" ca="1" si="81"/>
        <v>2</v>
      </c>
      <c r="I286">
        <f t="shared" ca="1" si="82"/>
        <v>0</v>
      </c>
      <c r="J286">
        <f t="shared" ca="1" si="73"/>
        <v>16</v>
      </c>
      <c r="K286">
        <f ca="1">IF(OR($C286="S",$C286=0),0,MATCH(OFFSET($D286,0,$C286)+IF($C286&lt;&gt;1,1,COUNTIF(QCI!$A$13:$A$15,ORÇAMENTO!E286)),OFFSET($D286,1,$C286,ROW($C$508)-ROW($C286)),0))</f>
        <v>3</v>
      </c>
      <c r="L286" s="114" t="str">
        <f t="shared" ca="1" si="83"/>
        <v>F</v>
      </c>
      <c r="M286" s="115" t="s">
        <v>704</v>
      </c>
      <c r="N286" s="116" t="str">
        <f t="shared" ca="1" si="84"/>
        <v>Nível 4</v>
      </c>
      <c r="O286" s="117" t="str">
        <f t="shared" ca="1" si="85"/>
        <v>1.7.3.2.</v>
      </c>
      <c r="P286" s="118" t="s">
        <v>750</v>
      </c>
      <c r="Q286" s="119"/>
      <c r="R286" s="120" t="s">
        <v>1240</v>
      </c>
      <c r="S286" s="121" t="s">
        <v>688</v>
      </c>
      <c r="T286" s="122">
        <f ca="1">OFFSET(CÁLCULO!H$15,ROW($T286)-ROW(T$15),0)</f>
        <v>0</v>
      </c>
      <c r="U286" s="123">
        <f t="shared" ca="1" si="72"/>
        <v>0</v>
      </c>
      <c r="V286" s="124" t="s">
        <v>663</v>
      </c>
      <c r="W286" s="122">
        <f ca="1">IF($C286="S",ROUND(IF(TIPOORCAMENTO="Proposto",ORÇAMENTO.CustoUnitario*(1+$AH286),ORÇAMENTO.PrecoUnitarioLicitado),15-13*$AF$10),0)</f>
        <v>0</v>
      </c>
      <c r="X286" s="125" cm="1">
        <f t="array" aca="1" ref="X286" ca="1">IF($C286="S",IF(OR(Import.TipoArredondamento&lt;&gt;"TransfereGOV",ACOMPANHAMENTO="BM"),VTOTAL1,SUM(OFFSET(CÁLCULO!$AI$15,ROW($X286)-ROW($X$15),1):OFFSET(CÁLCULO!$BB$15,ROW($X286)-ROW($X$15),-1))),IF($C286=0,0,ROUND(SomaAgrup,15-13*$AF$11)))</f>
        <v>780.65</v>
      </c>
      <c r="Y286" s="126" t="s">
        <v>751</v>
      </c>
      <c r="Z286" t="str">
        <f t="shared" ca="1" si="86"/>
        <v/>
      </c>
      <c r="AA286" s="127">
        <f ca="1">IF($C286="S",IF($Z286="CP",$X286,IF($Z286="RA",(($X286)*QCI!$AA$3),0)),SomaAgrup)</f>
        <v>0</v>
      </c>
      <c r="AB286" s="128">
        <f t="shared" ca="1" si="87"/>
        <v>0</v>
      </c>
      <c r="AC286" s="565" t="str" cm="1">
        <f t="array" aca="1" ref="AC286" ca="1">IF($N286=""," ",
IF(AND($C286&lt;&gt;"S",OR($R286="",$R286="(digite a descrição aqui)")),"DESCRIÇÃO",
IF(AND($C286="S",OR($Q286&lt;&gt;"",$T286&gt;0,$U286&gt;0),$P286=""),"FONTE",
IF(AND($C286="S",$P286&lt;&gt;"",OR($T286&gt;0,$U286&gt;0),$Q286=""),"CÓDIGO",
IF(AND($C286="S",$P286&lt;&gt;"",$Q286&lt;&gt;"",$R286="(Código não identificado nas referências)"),"CÓDIGO N/ID",
IF(AND($C286="S",OR($R286="",$R286="(digite a descrição aqui)"),OR($Q286&lt;&gt;"",$T286&gt;0,$U286&gt;0)),"DESCRIÇÃO",
IF(AND($C286="S",$P286&lt;&gt;"",$Q286&lt;&gt;"",$S286=""),"UNIDADE",
IF(AND($C286="S",$P286&lt;&gt;"",$Q286&lt;&gt;"",$U286=0),"SEM CUSTO",
IF(AND(_xlfn.SINGLE(TIPOORCAMENTO)="Licitado",$AL286=0,$AN286&gt;0),"SEM PREÇO",
IF(AND($C286="S",$P286&lt;&gt;"",$Q286&lt;&gt;"",$U286&gt;0,AND($V286&lt;&gt;"BDI 1",$V286&lt;&gt;"BDI 2",$V286&lt;&gt;"BDI 3")),IF(ISNUMBER($V286),"JUSTIFICAR BDI","BDI"),
IF(OR(AND(import.recurso="OGU",TIPOORCAMENTO="Proposto",LEFT($O$8,5)&lt;&gt;"(N/D:",$AG286&lt;&gt;"",ORÇAMENTO.CustoUnitario&gt;$AG286),AND(TIPOORCAMENTO="LICITADO",ORÇAMENTO.PrecoUnitarioLicitado&gt;$AN286)),"ACIMA REF.",
IF(AND($C286="S",$P286&lt;&gt;"",$Q286&lt;&gt;"",$T286=0,$U286&gt;0),"QUANT.",
IF(AND(Import.TipoArredondamento="TransfereGOV",$L286="F",$C286="S",LEN($Q286)&gt;13),"Código &gt;13",
IF(AND(Import.TipoArredondamento="TransfereGOV",$L286="F",$C286&lt;&gt;"S",LEN($R286)&gt;100),"Descrição &gt;100",
IF(AND(Import.TipoArredondamento="TransfereGOV",$L286="F",$C286="S",LEN($R286)&gt;500),"Descrição &gt;500",
IF(AND(Import.TipoArredondamento="TransfereGOV",$L286="F",$C286="S",LEFT(TRIM(UPPER($P286)),6)&lt;&gt;"SINAPI",ISNA(VLOOKUP(TRIM(UPPER($S286)),ListaTgov.Unidades,1,FALSE))),"Unid. Não Disp",
" "))))))))))))))))</f>
        <v xml:space="preserve"> </v>
      </c>
      <c r="AD286" t="str">
        <f ca="1">IF(C286&lt;=CRONO.NivelExibicao,MAX($AD$15:OFFSET(AD286,-1,0))+IF($C286&lt;&gt;1,1,MAX(1,COUNTIF(QCI!$A$13:$A$15,OFFSET($E286,-1,0)))),"")</f>
        <v/>
      </c>
      <c r="AE286" s="7" t="b">
        <f ca="1">IF(AND($C286="S",ORÇAMENTO.CodBarra&lt;&gt;""),IF(ORÇAMENTO.Fonte="",ORÇAMENTO.CodBarra,CONCATENATE(ORÇAMENTO.Fonte," ",ORÇAMENTO.CodBarra)))</f>
        <v>0</v>
      </c>
      <c r="AF286" s="12" t="str">
        <f ca="1">IF(ISERROR(INDIRECT(ORÇAMENTO.BancoRef)),"(abra o arquivo 'Referência "&amp;Excel_BuiltIn_Database&amp;".xlsm)",IF(OR($C286&lt;&gt;"S",ORÇAMENTO.CodBarra=""),"(Sem Código)",IF(ISERROR(MATCH($AE286,INDIRECT(ORÇAMENTO.BancoRef),0)),"(Código não identificado nas referências)",MATCH($AE286,INDIRECT(ORÇAMENTO.BancoRef),0))))</f>
        <v>(Sem Código)</v>
      </c>
      <c r="AG286" s="428">
        <f ca="1">ROUND(IF(DESONERACAO="sim",REFERENCIA.Desonerado,REFERENCIA.NaoDesonerado),2)</f>
        <v>0</v>
      </c>
      <c r="AH286" s="429">
        <f t="shared" ca="1" si="88"/>
        <v>0.23499999999999999</v>
      </c>
      <c r="AJ286" s="431"/>
      <c r="AL286" s="439"/>
      <c r="AM286" s="336">
        <f t="shared" ca="1" si="74"/>
        <v>780.65</v>
      </c>
      <c r="AN286" s="470">
        <f t="shared" ca="1" si="89"/>
        <v>0</v>
      </c>
    </row>
    <row r="287" spans="1:40" ht="25.5" x14ac:dyDescent="0.2">
      <c r="A287" t="str">
        <f t="shared" si="75"/>
        <v>S</v>
      </c>
      <c r="B287">
        <f t="shared" ca="1" si="76"/>
        <v>4</v>
      </c>
      <c r="C287" t="str">
        <f t="shared" ca="1" si="77"/>
        <v>S</v>
      </c>
      <c r="D287">
        <f t="shared" ca="1" si="78"/>
        <v>0</v>
      </c>
      <c r="E287">
        <f ca="1">IF($C287=1,OFFSET(E287,-1,0)+MAX(1,COUNTIF(QCI!$A$13:$A$15,OFFSET(ORÇAMENTO!E287,-1,0))),OFFSET(E287,-1,0))</f>
        <v>1</v>
      </c>
      <c r="F287">
        <f t="shared" ca="1" si="79"/>
        <v>7</v>
      </c>
      <c r="G287">
        <f t="shared" ca="1" si="80"/>
        <v>3</v>
      </c>
      <c r="H287">
        <f t="shared" ca="1" si="81"/>
        <v>2</v>
      </c>
      <c r="I287">
        <f t="shared" ca="1" si="82"/>
        <v>1</v>
      </c>
      <c r="J287">
        <f t="shared" ca="1" si="73"/>
        <v>0</v>
      </c>
      <c r="K287">
        <f ca="1">IF(OR($C287="S",$C287=0),0,MATCH(OFFSET($D287,0,$C287)+IF($C287&lt;&gt;1,1,COUNTIF(QCI!$A$13:$A$15,ORÇAMENTO!E287)),OFFSET($D287,1,$C287,ROW($C$508)-ROW($C287)),0))</f>
        <v>0</v>
      </c>
      <c r="L287" s="114" t="str">
        <f t="shared" ca="1" si="83"/>
        <v>F</v>
      </c>
      <c r="M287" s="115" t="s">
        <v>705</v>
      </c>
      <c r="N287" s="116" t="str">
        <f t="shared" ca="1" si="84"/>
        <v>Serviço</v>
      </c>
      <c r="O287" s="117" t="str">
        <f t="shared" ca="1" si="85"/>
        <v>1.7.3.2.1.</v>
      </c>
      <c r="P287" s="118" t="s">
        <v>1281</v>
      </c>
      <c r="Q287" s="119" t="s">
        <v>1079</v>
      </c>
      <c r="R287" s="120" t="str">
        <f ca="1">IF($C287="S",REFERENCIA.Descricao,"(digite a descrição aqui)")</f>
        <v>ASSENTAMENTO DE CONEXÕES EM FERRO FUNDIDO, JUNTA ELÁSTICA, DN = 150 MM - BASEADO EM ORSE (5283)</v>
      </c>
      <c r="S287" s="121" t="str">
        <f ca="1">REFERENCIA.Unidade</f>
        <v>UN</v>
      </c>
      <c r="T287" s="122">
        <f ca="1">OFFSET(CÁLCULO!H$15,ROW($T287)-ROW(T$15),0)</f>
        <v>30</v>
      </c>
      <c r="U287" s="123">
        <f t="shared" ca="1" si="72"/>
        <v>17.489999999999998</v>
      </c>
      <c r="V287" s="124" t="s">
        <v>663</v>
      </c>
      <c r="W287" s="122">
        <f ca="1">IF($C287="S",ROUND(IF(TIPOORCAMENTO="Proposto",ORÇAMENTO.CustoUnitario*(1+$AH287),ORÇAMENTO.PrecoUnitarioLicitado),15-13*$AF$10),0)</f>
        <v>21.6</v>
      </c>
      <c r="X287" s="125" cm="1">
        <f t="array" aca="1" ref="X287" ca="1">IF($C287="S",IF(OR(Import.TipoArredondamento&lt;&gt;"TransfereGOV",ACOMPANHAMENTO="BM"),VTOTAL1,SUM(OFFSET(CÁLCULO!$AI$15,ROW($X287)-ROW($X$15),1):OFFSET(CÁLCULO!$BB$15,ROW($X287)-ROW($X$15),-1))),IF($C287=0,0,ROUND(SomaAgrup,15-13*$AF$11)))</f>
        <v>648</v>
      </c>
      <c r="Y287" s="126" t="s">
        <v>751</v>
      </c>
      <c r="Z287" t="str">
        <f t="shared" ca="1" si="86"/>
        <v>RA</v>
      </c>
      <c r="AA287" s="127">
        <f ca="1">IF($C287="S",IF($Z287="CP",$X287,IF($Z287="RA",(($X287)*QCI!$AA$3),0)),SomaAgrup)</f>
        <v>0</v>
      </c>
      <c r="AB287" s="128">
        <f t="shared" ca="1" si="87"/>
        <v>0</v>
      </c>
      <c r="AC287" s="565" t="str" cm="1">
        <f t="array" aca="1" ref="AC287" ca="1">IF($N287=""," ",
IF(AND($C287&lt;&gt;"S",OR($R287="",$R287="(digite a descrição aqui)")),"DESCRIÇÃO",
IF(AND($C287="S",OR($Q287&lt;&gt;"",$T287&gt;0,$U287&gt;0),$P287=""),"FONTE",
IF(AND($C287="S",$P287&lt;&gt;"",OR($T287&gt;0,$U287&gt;0),$Q287=""),"CÓDIGO",
IF(AND($C287="S",$P287&lt;&gt;"",$Q287&lt;&gt;"",$R287="(Código não identificado nas referências)"),"CÓDIGO N/ID",
IF(AND($C287="S",OR($R287="",$R287="(digite a descrição aqui)"),OR($Q287&lt;&gt;"",$T287&gt;0,$U287&gt;0)),"DESCRIÇÃO",
IF(AND($C287="S",$P287&lt;&gt;"",$Q287&lt;&gt;"",$S287=""),"UNIDADE",
IF(AND($C287="S",$P287&lt;&gt;"",$Q287&lt;&gt;"",$U287=0),"SEM CUSTO",
IF(AND(_xlfn.SINGLE(TIPOORCAMENTO)="Licitado",$AL287=0,$AN287&gt;0),"SEM PREÇO",
IF(AND($C287="S",$P287&lt;&gt;"",$Q287&lt;&gt;"",$U287&gt;0,AND($V287&lt;&gt;"BDI 1",$V287&lt;&gt;"BDI 2",$V287&lt;&gt;"BDI 3")),IF(ISNUMBER($V287),"JUSTIFICAR BDI","BDI"),
IF(OR(AND(import.recurso="OGU",TIPOORCAMENTO="Proposto",LEFT($O$8,5)&lt;&gt;"(N/D:",$AG287&lt;&gt;"",ORÇAMENTO.CustoUnitario&gt;$AG287),AND(TIPOORCAMENTO="LICITADO",ORÇAMENTO.PrecoUnitarioLicitado&gt;$AN287)),"ACIMA REF.",
IF(AND($C287="S",$P287&lt;&gt;"",$Q287&lt;&gt;"",$T287=0,$U287&gt;0),"QUANT.",
IF(AND(Import.TipoArredondamento="TransfereGOV",$L287="F",$C287="S",LEN($Q287)&gt;13),"Código &gt;13",
IF(AND(Import.TipoArredondamento="TransfereGOV",$L287="F",$C287&lt;&gt;"S",LEN($R287)&gt;100),"Descrição &gt;100",
IF(AND(Import.TipoArredondamento="TransfereGOV",$L287="F",$C287="S",LEN($R287)&gt;500),"Descrição &gt;500",
IF(AND(Import.TipoArredondamento="TransfereGOV",$L287="F",$C287="S",LEFT(TRIM(UPPER($P287)),6)&lt;&gt;"SINAPI",ISNA(VLOOKUP(TRIM(UPPER($S287)),ListaTgov.Unidades,1,FALSE))),"Unid. Não Disp",
" "))))))))))))))))</f>
        <v xml:space="preserve"> </v>
      </c>
      <c r="AD287" t="str">
        <f ca="1">IF(C287&lt;=CRONO.NivelExibicao,MAX($AD$15:OFFSET(AD287,-1,0))+IF($C287&lt;&gt;1,1,MAX(1,COUNTIF(QCI!$A$13:$A$15,OFFSET($E287,-1,0)))),"")</f>
        <v/>
      </c>
      <c r="AE287" s="7" t="str">
        <f ca="1">IF(AND($C287="S",ORÇAMENTO.CodBarra&lt;&gt;""),IF(ORÇAMENTO.Fonte="",ORÇAMENTO.CodBarra,CONCATENATE(ORÇAMENTO.Fonte," ",ORÇAMENTO.CodBarra)))</f>
        <v>COMPOSIÇÃO CPU-015</v>
      </c>
      <c r="AF287" s="12">
        <f ca="1">IF(ISERROR(INDIRECT(ORÇAMENTO.BancoRef)),"(abra o arquivo 'Referência "&amp;Excel_BuiltIn_Database&amp;".xlsm)",IF(OR($C287&lt;&gt;"S",ORÇAMENTO.CodBarra=""),"(Sem Código)",IF(ISERROR(MATCH($AE287,INDIRECT(ORÇAMENTO.BancoRef),0)),"(Código não identificado nas referências)",MATCH($AE287,INDIRECT(ORÇAMENTO.BancoRef),0))))</f>
        <v>17</v>
      </c>
      <c r="AG287" s="428">
        <f ca="1">ROUND(IF(DESONERACAO="sim",REFERENCIA.Desonerado,REFERENCIA.NaoDesonerado),2)</f>
        <v>17.489999999999998</v>
      </c>
      <c r="AH287" s="429">
        <f t="shared" ca="1" si="88"/>
        <v>0.23499999999999999</v>
      </c>
      <c r="AJ287" s="431">
        <f>AJ279+AJ281+AJ282</f>
        <v>30</v>
      </c>
      <c r="AL287" s="439"/>
      <c r="AM287" s="336">
        <f t="shared" ca="1" si="74"/>
        <v>648</v>
      </c>
      <c r="AN287" s="470">
        <f t="shared" ca="1" si="89"/>
        <v>21.6</v>
      </c>
    </row>
    <row r="288" spans="1:40" ht="51" x14ac:dyDescent="0.2">
      <c r="A288" t="str">
        <f t="shared" si="75"/>
        <v>S</v>
      </c>
      <c r="B288">
        <f t="shared" ca="1" si="76"/>
        <v>4</v>
      </c>
      <c r="C288" t="str">
        <f t="shared" ca="1" si="77"/>
        <v>S</v>
      </c>
      <c r="D288">
        <f t="shared" ca="1" si="78"/>
        <v>0</v>
      </c>
      <c r="E288">
        <f ca="1">IF($C288=1,OFFSET(E288,-1,0)+MAX(1,COUNTIF(QCI!$A$13:$A$15,OFFSET(ORÇAMENTO!E288,-1,0))),OFFSET(E288,-1,0))</f>
        <v>1</v>
      </c>
      <c r="F288">
        <f t="shared" ca="1" si="79"/>
        <v>7</v>
      </c>
      <c r="G288">
        <f t="shared" ca="1" si="80"/>
        <v>3</v>
      </c>
      <c r="H288">
        <f t="shared" ca="1" si="81"/>
        <v>2</v>
      </c>
      <c r="I288">
        <f t="shared" ca="1" si="82"/>
        <v>2</v>
      </c>
      <c r="J288">
        <f t="shared" ca="1" si="73"/>
        <v>0</v>
      </c>
      <c r="K288">
        <f ca="1">IF(OR($C288="S",$C288=0),0,MATCH(OFFSET($D288,0,$C288)+IF($C288&lt;&gt;1,1,COUNTIF(QCI!$A$13:$A$15,ORÇAMENTO!E288)),OFFSET($D288,1,$C288,ROW($C$508)-ROW($C288)),0))</f>
        <v>0</v>
      </c>
      <c r="L288" s="114" t="str">
        <f t="shared" ca="1" si="83"/>
        <v>F</v>
      </c>
      <c r="M288" s="115" t="s">
        <v>705</v>
      </c>
      <c r="N288" s="116" t="str">
        <f t="shared" ca="1" si="84"/>
        <v>Serviço</v>
      </c>
      <c r="O288" s="117" t="str">
        <f t="shared" ca="1" si="85"/>
        <v>1.7.3.2.2.</v>
      </c>
      <c r="P288" s="118" t="s">
        <v>750</v>
      </c>
      <c r="Q288" s="119" t="s">
        <v>1080</v>
      </c>
      <c r="R288" s="120" t="str">
        <f ca="1">IF($C288="S",REFERENCIA.Descricao,"(digite a descrição aqui)")</f>
        <v>ASSENTAMENTO DE TUBO DE FERRO FUNDIDO PARA REDE DE ÁGUA, DN 150 MM, JUNTA ELÁSTICA, INSTALADO EM LOCAL COM NÍVEL BAIXO DE INTERFERÊNCIAS (NÃO INCLUI FORNECIMENTO). AF_05/2024</v>
      </c>
      <c r="S288" s="121" t="str">
        <f ca="1">REFERENCIA.Unidade</f>
        <v>M</v>
      </c>
      <c r="T288" s="122">
        <f ca="1">OFFSET(CÁLCULO!H$15,ROW($T288)-ROW(T$15),0)</f>
        <v>17.5</v>
      </c>
      <c r="U288" s="123">
        <f t="shared" ca="1" si="72"/>
        <v>6.14</v>
      </c>
      <c r="V288" s="124" t="s">
        <v>663</v>
      </c>
      <c r="W288" s="122">
        <f ca="1">IF($C288="S",ROUND(IF(TIPOORCAMENTO="Proposto",ORÇAMENTO.CustoUnitario*(1+$AH288),ORÇAMENTO.PrecoUnitarioLicitado),15-13*$AF$10),0)</f>
        <v>7.58</v>
      </c>
      <c r="X288" s="125" cm="1">
        <f t="array" aca="1" ref="X288" ca="1">IF($C288="S",IF(OR(Import.TipoArredondamento&lt;&gt;"TransfereGOV",ACOMPANHAMENTO="BM"),VTOTAL1,SUM(OFFSET(CÁLCULO!$AI$15,ROW($X288)-ROW($X$15),1):OFFSET(CÁLCULO!$BB$15,ROW($X288)-ROW($X$15),-1))),IF($C288=0,0,ROUND(SomaAgrup,15-13*$AF$11)))</f>
        <v>132.65</v>
      </c>
      <c r="Y288" s="126" t="s">
        <v>751</v>
      </c>
      <c r="Z288" t="str">
        <f t="shared" ca="1" si="86"/>
        <v>RA</v>
      </c>
      <c r="AA288" s="127">
        <f ca="1">IF($C288="S",IF($Z288="CP",$X288,IF($Z288="RA",(($X288)*QCI!$AA$3),0)),SomaAgrup)</f>
        <v>0</v>
      </c>
      <c r="AB288" s="128">
        <f t="shared" ca="1" si="87"/>
        <v>0</v>
      </c>
      <c r="AC288" s="565" t="str" cm="1">
        <f t="array" aca="1" ref="AC288" ca="1">IF($N288=""," ",
IF(AND($C288&lt;&gt;"S",OR($R288="",$R288="(digite a descrição aqui)")),"DESCRIÇÃO",
IF(AND($C288="S",OR($Q288&lt;&gt;"",$T288&gt;0,$U288&gt;0),$P288=""),"FONTE",
IF(AND($C288="S",$P288&lt;&gt;"",OR($T288&gt;0,$U288&gt;0),$Q288=""),"CÓDIGO",
IF(AND($C288="S",$P288&lt;&gt;"",$Q288&lt;&gt;"",$R288="(Código não identificado nas referências)"),"CÓDIGO N/ID",
IF(AND($C288="S",OR($R288="",$R288="(digite a descrição aqui)"),OR($Q288&lt;&gt;"",$T288&gt;0,$U288&gt;0)),"DESCRIÇÃO",
IF(AND($C288="S",$P288&lt;&gt;"",$Q288&lt;&gt;"",$S288=""),"UNIDADE",
IF(AND($C288="S",$P288&lt;&gt;"",$Q288&lt;&gt;"",$U288=0),"SEM CUSTO",
IF(AND(_xlfn.SINGLE(TIPOORCAMENTO)="Licitado",$AL288=0,$AN288&gt;0),"SEM PREÇO",
IF(AND($C288="S",$P288&lt;&gt;"",$Q288&lt;&gt;"",$U288&gt;0,AND($V288&lt;&gt;"BDI 1",$V288&lt;&gt;"BDI 2",$V288&lt;&gt;"BDI 3")),IF(ISNUMBER($V288),"JUSTIFICAR BDI","BDI"),
IF(OR(AND(import.recurso="OGU",TIPOORCAMENTO="Proposto",LEFT($O$8,5)&lt;&gt;"(N/D:",$AG288&lt;&gt;"",ORÇAMENTO.CustoUnitario&gt;$AG288),AND(TIPOORCAMENTO="LICITADO",ORÇAMENTO.PrecoUnitarioLicitado&gt;$AN288)),"ACIMA REF.",
IF(AND($C288="S",$P288&lt;&gt;"",$Q288&lt;&gt;"",$T288=0,$U288&gt;0),"QUANT.",
IF(AND(Import.TipoArredondamento="TransfereGOV",$L288="F",$C288="S",LEN($Q288)&gt;13),"Código &gt;13",
IF(AND(Import.TipoArredondamento="TransfereGOV",$L288="F",$C288&lt;&gt;"S",LEN($R288)&gt;100),"Descrição &gt;100",
IF(AND(Import.TipoArredondamento="TransfereGOV",$L288="F",$C288="S",LEN($R288)&gt;500),"Descrição &gt;500",
IF(AND(Import.TipoArredondamento="TransfereGOV",$L288="F",$C288="S",LEFT(TRIM(UPPER($P288)),6)&lt;&gt;"SINAPI",ISNA(VLOOKUP(TRIM(UPPER($S288)),ListaTgov.Unidades,1,FALSE))),"Unid. Não Disp",
" "))))))))))))))))</f>
        <v xml:space="preserve"> </v>
      </c>
      <c r="AD288" t="str">
        <f ca="1">IF(C288&lt;=CRONO.NivelExibicao,MAX($AD$15:OFFSET(AD288,-1,0))+IF($C288&lt;&gt;1,1,MAX(1,COUNTIF(QCI!$A$13:$A$15,OFFSET($E288,-1,0)))),"")</f>
        <v/>
      </c>
      <c r="AE288" s="7" t="str">
        <f ca="1">IF(AND($C288="S",ORÇAMENTO.CodBarra&lt;&gt;""),IF(ORÇAMENTO.Fonte="",ORÇAMENTO.CodBarra,CONCATENATE(ORÇAMENTO.Fonte," ",ORÇAMENTO.CodBarra)))</f>
        <v>SINAPI 97159</v>
      </c>
      <c r="AF288" s="12">
        <f ca="1">IF(ISERROR(INDIRECT(ORÇAMENTO.BancoRef)),"(abra o arquivo 'Referência "&amp;Excel_BuiltIn_Database&amp;".xlsm)",IF(OR($C288&lt;&gt;"S",ORÇAMENTO.CodBarra=""),"(Sem Código)",IF(ISERROR(MATCH($AE288,INDIRECT(ORÇAMENTO.BancoRef),0)),"(Código não identificado nas referências)",MATCH($AE288,INDIRECT(ORÇAMENTO.BancoRef),0))))</f>
        <v>6602</v>
      </c>
      <c r="AG288" s="428">
        <f ca="1">ROUND(IF(DESONERACAO="sim",REFERENCIA.Desonerado,REFERENCIA.NaoDesonerado),2)</f>
        <v>6.14</v>
      </c>
      <c r="AH288" s="429">
        <f t="shared" ca="1" si="88"/>
        <v>0.23499999999999999</v>
      </c>
      <c r="AJ288" s="431">
        <f>AJ280*1+AJ283*0.75</f>
        <v>17.5</v>
      </c>
      <c r="AL288" s="439"/>
      <c r="AM288" s="336">
        <f t="shared" ca="1" si="74"/>
        <v>132.65</v>
      </c>
      <c r="AN288" s="470">
        <f t="shared" ca="1" si="89"/>
        <v>7.58</v>
      </c>
    </row>
    <row r="289" spans="1:40" x14ac:dyDescent="0.2">
      <c r="A289">
        <f t="shared" si="75"/>
        <v>4</v>
      </c>
      <c r="B289">
        <f t="shared" ca="1" si="76"/>
        <v>4</v>
      </c>
      <c r="C289">
        <f t="shared" ca="1" si="77"/>
        <v>4</v>
      </c>
      <c r="D289">
        <f t="shared" ca="1" si="78"/>
        <v>4</v>
      </c>
      <c r="E289">
        <f ca="1">IF($C289=1,OFFSET(E289,-1,0)+MAX(1,COUNTIF(QCI!$A$13:$A$15,OFFSET(ORÇAMENTO!E289,-1,0))),OFFSET(E289,-1,0))</f>
        <v>1</v>
      </c>
      <c r="F289">
        <f t="shared" ca="1" si="79"/>
        <v>7</v>
      </c>
      <c r="G289">
        <f t="shared" ca="1" si="80"/>
        <v>3</v>
      </c>
      <c r="H289">
        <f t="shared" ca="1" si="81"/>
        <v>3</v>
      </c>
      <c r="I289">
        <f t="shared" ca="1" si="82"/>
        <v>0</v>
      </c>
      <c r="J289">
        <f t="shared" ca="1" si="73"/>
        <v>13</v>
      </c>
      <c r="K289">
        <f ca="1">IF(OR($C289="S",$C289=0),0,MATCH(OFFSET($D289,0,$C289)+IF($C289&lt;&gt;1,1,COUNTIF(QCI!$A$13:$A$15,ORÇAMENTO!E289)),OFFSET($D289,1,$C289,ROW($C$508)-ROW($C289)),0))</f>
        <v>4</v>
      </c>
      <c r="L289" s="114" t="str">
        <f t="shared" ca="1" si="83"/>
        <v>F</v>
      </c>
      <c r="M289" s="115" t="s">
        <v>704</v>
      </c>
      <c r="N289" s="116" t="str">
        <f t="shared" ca="1" si="84"/>
        <v>Nível 4</v>
      </c>
      <c r="O289" s="117" t="str">
        <f t="shared" ca="1" si="85"/>
        <v>1.7.3.3.</v>
      </c>
      <c r="P289" s="118" t="s">
        <v>750</v>
      </c>
      <c r="Q289" s="119"/>
      <c r="R289" s="120" t="s">
        <v>1241</v>
      </c>
      <c r="S289" s="121" t="s">
        <v>688</v>
      </c>
      <c r="T289" s="122">
        <f ca="1">OFFSET(CÁLCULO!H$15,ROW($T289)-ROW(T$15),0)</f>
        <v>0</v>
      </c>
      <c r="U289" s="123">
        <f t="shared" ca="1" si="72"/>
        <v>0</v>
      </c>
      <c r="V289" s="124" t="s">
        <v>663</v>
      </c>
      <c r="W289" s="122">
        <f ca="1">IF($C289="S",ROUND(IF(TIPOORCAMENTO="Proposto",ORÇAMENTO.CustoUnitario*(1+$AH289),ORÇAMENTO.PrecoUnitarioLicitado),15-13*$AF$10),0)</f>
        <v>0</v>
      </c>
      <c r="X289" s="125" cm="1">
        <f t="array" aca="1" ref="X289" ca="1">IF($C289="S",IF(OR(Import.TipoArredondamento&lt;&gt;"TransfereGOV",ACOMPANHAMENTO="BM"),VTOTAL1,SUM(OFFSET(CÁLCULO!$AI$15,ROW($X289)-ROW($X$15),1):OFFSET(CÁLCULO!$BB$15,ROW($X289)-ROW($X$15),-1))),IF($C289=0,0,ROUND(SomaAgrup,15-13*$AF$11)))</f>
        <v>5860.27</v>
      </c>
      <c r="Y289" s="126" t="s">
        <v>751</v>
      </c>
      <c r="Z289" t="str">
        <f t="shared" ca="1" si="86"/>
        <v/>
      </c>
      <c r="AA289" s="127">
        <f ca="1">IF($C289="S",IF($Z289="CP",$X289,IF($Z289="RA",(($X289)*QCI!$AA$3),0)),SomaAgrup)</f>
        <v>0</v>
      </c>
      <c r="AB289" s="128">
        <f t="shared" ca="1" si="87"/>
        <v>0</v>
      </c>
      <c r="AC289" s="565" t="str" cm="1">
        <f t="array" aca="1" ref="AC289" ca="1">IF($N289=""," ",
IF(AND($C289&lt;&gt;"S",OR($R289="",$R289="(digite a descrição aqui)")),"DESCRIÇÃO",
IF(AND($C289="S",OR($Q289&lt;&gt;"",$T289&gt;0,$U289&gt;0),$P289=""),"FONTE",
IF(AND($C289="S",$P289&lt;&gt;"",OR($T289&gt;0,$U289&gt;0),$Q289=""),"CÓDIGO",
IF(AND($C289="S",$P289&lt;&gt;"",$Q289&lt;&gt;"",$R289="(Código não identificado nas referências)"),"CÓDIGO N/ID",
IF(AND($C289="S",OR($R289="",$R289="(digite a descrição aqui)"),OR($Q289&lt;&gt;"",$T289&gt;0,$U289&gt;0)),"DESCRIÇÃO",
IF(AND($C289="S",$P289&lt;&gt;"",$Q289&lt;&gt;"",$S289=""),"UNIDADE",
IF(AND($C289="S",$P289&lt;&gt;"",$Q289&lt;&gt;"",$U289=0),"SEM CUSTO",
IF(AND(_xlfn.SINGLE(TIPOORCAMENTO)="Licitado",$AL289=0,$AN289&gt;0),"SEM PREÇO",
IF(AND($C289="S",$P289&lt;&gt;"",$Q289&lt;&gt;"",$U289&gt;0,AND($V289&lt;&gt;"BDI 1",$V289&lt;&gt;"BDI 2",$V289&lt;&gt;"BDI 3")),IF(ISNUMBER($V289),"JUSTIFICAR BDI","BDI"),
IF(OR(AND(import.recurso="OGU",TIPOORCAMENTO="Proposto",LEFT($O$8,5)&lt;&gt;"(N/D:",$AG289&lt;&gt;"",ORÇAMENTO.CustoUnitario&gt;$AG289),AND(TIPOORCAMENTO="LICITADO",ORÇAMENTO.PrecoUnitarioLicitado&gt;$AN289)),"ACIMA REF.",
IF(AND($C289="S",$P289&lt;&gt;"",$Q289&lt;&gt;"",$T289=0,$U289&gt;0),"QUANT.",
IF(AND(Import.TipoArredondamento="TransfereGOV",$L289="F",$C289="S",LEN($Q289)&gt;13),"Código &gt;13",
IF(AND(Import.TipoArredondamento="TransfereGOV",$L289="F",$C289&lt;&gt;"S",LEN($R289)&gt;100),"Descrição &gt;100",
IF(AND(Import.TipoArredondamento="TransfereGOV",$L289="F",$C289="S",LEN($R289)&gt;500),"Descrição &gt;500",
IF(AND(Import.TipoArredondamento="TransfereGOV",$L289="F",$C289="S",LEFT(TRIM(UPPER($P289)),6)&lt;&gt;"SINAPI",ISNA(VLOOKUP(TRIM(UPPER($S289)),ListaTgov.Unidades,1,FALSE))),"Unid. Não Disp",
" "))))))))))))))))</f>
        <v xml:space="preserve"> </v>
      </c>
      <c r="AD289" t="str">
        <f ca="1">IF(C289&lt;=CRONO.NivelExibicao,MAX($AD$15:OFFSET(AD289,-1,0))+IF($C289&lt;&gt;1,1,MAX(1,COUNTIF(QCI!$A$13:$A$15,OFFSET($E289,-1,0)))),"")</f>
        <v/>
      </c>
      <c r="AE289" s="7" t="b">
        <f ca="1">IF(AND($C289="S",ORÇAMENTO.CodBarra&lt;&gt;""),IF(ORÇAMENTO.Fonte="",ORÇAMENTO.CodBarra,CONCATENATE(ORÇAMENTO.Fonte," ",ORÇAMENTO.CodBarra)))</f>
        <v>0</v>
      </c>
      <c r="AF289" s="12" t="str">
        <f ca="1">IF(ISERROR(INDIRECT(ORÇAMENTO.BancoRef)),"(abra o arquivo 'Referência "&amp;Excel_BuiltIn_Database&amp;".xlsm)",IF(OR($C289&lt;&gt;"S",ORÇAMENTO.CodBarra=""),"(Sem Código)",IF(ISERROR(MATCH($AE289,INDIRECT(ORÇAMENTO.BancoRef),0)),"(Código não identificado nas referências)",MATCH($AE289,INDIRECT(ORÇAMENTO.BancoRef),0))))</f>
        <v>(Sem Código)</v>
      </c>
      <c r="AG289" s="428">
        <f ca="1">ROUND(IF(DESONERACAO="sim",REFERENCIA.Desonerado,REFERENCIA.NaoDesonerado),2)</f>
        <v>0</v>
      </c>
      <c r="AH289" s="429">
        <f t="shared" ca="1" si="88"/>
        <v>0.23499999999999999</v>
      </c>
      <c r="AJ289" s="431"/>
      <c r="AL289" s="439"/>
      <c r="AM289" s="336">
        <f t="shared" ca="1" si="74"/>
        <v>5860.27</v>
      </c>
      <c r="AN289" s="470">
        <f t="shared" ca="1" si="89"/>
        <v>0</v>
      </c>
    </row>
    <row r="290" spans="1:40" ht="38.25" x14ac:dyDescent="0.2">
      <c r="A290" t="str">
        <f t="shared" si="75"/>
        <v>S</v>
      </c>
      <c r="B290">
        <f t="shared" ca="1" si="76"/>
        <v>4</v>
      </c>
      <c r="C290" t="str">
        <f t="shared" ca="1" si="77"/>
        <v>S</v>
      </c>
      <c r="D290">
        <f t="shared" ca="1" si="78"/>
        <v>0</v>
      </c>
      <c r="E290">
        <f ca="1">IF($C290=1,OFFSET(E290,-1,0)+MAX(1,COUNTIF(QCI!$A$13:$A$15,OFFSET(ORÇAMENTO!E290,-1,0))),OFFSET(E290,-1,0))</f>
        <v>1</v>
      </c>
      <c r="F290">
        <f t="shared" ca="1" si="79"/>
        <v>7</v>
      </c>
      <c r="G290">
        <f t="shared" ca="1" si="80"/>
        <v>3</v>
      </c>
      <c r="H290">
        <f t="shared" ca="1" si="81"/>
        <v>3</v>
      </c>
      <c r="I290">
        <f t="shared" ca="1" si="82"/>
        <v>1</v>
      </c>
      <c r="J290">
        <f t="shared" ca="1" si="73"/>
        <v>0</v>
      </c>
      <c r="K290">
        <f ca="1">IF(OR($C290="S",$C290=0),0,MATCH(OFFSET($D290,0,$C290)+IF($C290&lt;&gt;1,1,COUNTIF(QCI!$A$13:$A$15,ORÇAMENTO!E290)),OFFSET($D290,1,$C290,ROW($C$508)-ROW($C290)),0))</f>
        <v>0</v>
      </c>
      <c r="L290" s="114" t="str">
        <f t="shared" ca="1" si="83"/>
        <v>F</v>
      </c>
      <c r="M290" s="115" t="s">
        <v>705</v>
      </c>
      <c r="N290" s="116" t="str">
        <f t="shared" ca="1" si="84"/>
        <v>Serviço</v>
      </c>
      <c r="O290" s="117" t="str">
        <f t="shared" ca="1" si="85"/>
        <v>1.7.3.3.1.</v>
      </c>
      <c r="P290" s="118" t="s">
        <v>750</v>
      </c>
      <c r="Q290" s="119" t="s">
        <v>1087</v>
      </c>
      <c r="R290" s="120" t="str">
        <f ca="1">IF($C290="S",REFERENCIA.Descricao,"(digite a descrição aqui)")</f>
        <v>TUBO DE PVC CORRUGADO DE DUPLA PAREDE PARA REDE COLETORA DE ESGOTO, DN 150 MM, JUNTA ELÁSTICA - FORNECIMENTO E ASSENTAMENTO. AF_01/2021</v>
      </c>
      <c r="S290" s="121" t="str">
        <f ca="1">REFERENCIA.Unidade</f>
        <v>M</v>
      </c>
      <c r="T290" s="122">
        <f ca="1">OFFSET(CÁLCULO!H$15,ROW($T290)-ROW(T$15),0)</f>
        <v>55</v>
      </c>
      <c r="U290" s="123">
        <f t="shared" ca="1" si="72"/>
        <v>64.09</v>
      </c>
      <c r="V290" s="124" t="s">
        <v>663</v>
      </c>
      <c r="W290" s="122">
        <f ca="1">IF($C290="S",ROUND(IF(TIPOORCAMENTO="Proposto",ORÇAMENTO.CustoUnitario*(1+$AH290),ORÇAMENTO.PrecoUnitarioLicitado),15-13*$AF$10),0)</f>
        <v>79.150000000000006</v>
      </c>
      <c r="X290" s="125" cm="1">
        <f t="array" aca="1" ref="X290" ca="1">IF($C290="S",IF(OR(Import.TipoArredondamento&lt;&gt;"TransfereGOV",ACOMPANHAMENTO="BM"),VTOTAL1,SUM(OFFSET(CÁLCULO!$AI$15,ROW($X290)-ROW($X$15),1):OFFSET(CÁLCULO!$BB$15,ROW($X290)-ROW($X$15),-1))),IF($C290=0,0,ROUND(SomaAgrup,15-13*$AF$11)))</f>
        <v>4353.25</v>
      </c>
      <c r="Y290" s="126" t="s">
        <v>751</v>
      </c>
      <c r="Z290" t="str">
        <f t="shared" ca="1" si="86"/>
        <v>RA</v>
      </c>
      <c r="AA290" s="127">
        <f ca="1">IF($C290="S",IF($Z290="CP",$X290,IF($Z290="RA",(($X290)*QCI!$AA$3),0)),SomaAgrup)</f>
        <v>0</v>
      </c>
      <c r="AB290" s="128">
        <f t="shared" ca="1" si="87"/>
        <v>0</v>
      </c>
      <c r="AC290" s="565" t="str" cm="1">
        <f t="array" aca="1" ref="AC290" ca="1">IF($N290=""," ",
IF(AND($C290&lt;&gt;"S",OR($R290="",$R290="(digite a descrição aqui)")),"DESCRIÇÃO",
IF(AND($C290="S",OR($Q290&lt;&gt;"",$T290&gt;0,$U290&gt;0),$P290=""),"FONTE",
IF(AND($C290="S",$P290&lt;&gt;"",OR($T290&gt;0,$U290&gt;0),$Q290=""),"CÓDIGO",
IF(AND($C290="S",$P290&lt;&gt;"",$Q290&lt;&gt;"",$R290="(Código não identificado nas referências)"),"CÓDIGO N/ID",
IF(AND($C290="S",OR($R290="",$R290="(digite a descrição aqui)"),OR($Q290&lt;&gt;"",$T290&gt;0,$U290&gt;0)),"DESCRIÇÃO",
IF(AND($C290="S",$P290&lt;&gt;"",$Q290&lt;&gt;"",$S290=""),"UNIDADE",
IF(AND($C290="S",$P290&lt;&gt;"",$Q290&lt;&gt;"",$U290=0),"SEM CUSTO",
IF(AND(_xlfn.SINGLE(TIPOORCAMENTO)="Licitado",$AL290=0,$AN290&gt;0),"SEM PREÇO",
IF(AND($C290="S",$P290&lt;&gt;"",$Q290&lt;&gt;"",$U290&gt;0,AND($V290&lt;&gt;"BDI 1",$V290&lt;&gt;"BDI 2",$V290&lt;&gt;"BDI 3")),IF(ISNUMBER($V290),"JUSTIFICAR BDI","BDI"),
IF(OR(AND(import.recurso="OGU",TIPOORCAMENTO="Proposto",LEFT($O$8,5)&lt;&gt;"(N/D:",$AG290&lt;&gt;"",ORÇAMENTO.CustoUnitario&gt;$AG290),AND(TIPOORCAMENTO="LICITADO",ORÇAMENTO.PrecoUnitarioLicitado&gt;$AN290)),"ACIMA REF.",
IF(AND($C290="S",$P290&lt;&gt;"",$Q290&lt;&gt;"",$T290=0,$U290&gt;0),"QUANT.",
IF(AND(Import.TipoArredondamento="TransfereGOV",$L290="F",$C290="S",LEN($Q290)&gt;13),"Código &gt;13",
IF(AND(Import.TipoArredondamento="TransfereGOV",$L290="F",$C290&lt;&gt;"S",LEN($R290)&gt;100),"Descrição &gt;100",
IF(AND(Import.TipoArredondamento="TransfereGOV",$L290="F",$C290="S",LEN($R290)&gt;500),"Descrição &gt;500",
IF(AND(Import.TipoArredondamento="TransfereGOV",$L290="F",$C290="S",LEFT(TRIM(UPPER($P290)),6)&lt;&gt;"SINAPI",ISNA(VLOOKUP(TRIM(UPPER($S290)),ListaTgov.Unidades,1,FALSE))),"Unid. Não Disp",
" "))))))))))))))))</f>
        <v xml:space="preserve"> </v>
      </c>
      <c r="AD290" t="str">
        <f ca="1">IF(C290&lt;=CRONO.NivelExibicao,MAX($AD$15:OFFSET(AD290,-1,0))+IF($C290&lt;&gt;1,1,MAX(1,COUNTIF(QCI!$A$13:$A$15,OFFSET($E290,-1,0)))),"")</f>
        <v/>
      </c>
      <c r="AE290" s="7" t="str">
        <f ca="1">IF(AND($C290="S",ORÇAMENTO.CodBarra&lt;&gt;""),IF(ORÇAMENTO.Fonte="",ORÇAMENTO.CodBarra,CONCATENATE(ORÇAMENTO.Fonte," ",ORÇAMENTO.CodBarra)))</f>
        <v>SINAPI 90701</v>
      </c>
      <c r="AF290" s="12">
        <f ca="1">IF(ISERROR(INDIRECT(ORÇAMENTO.BancoRef)),"(abra o arquivo 'Referência "&amp;Excel_BuiltIn_Database&amp;".xlsm)",IF(OR($C290&lt;&gt;"S",ORÇAMENTO.CodBarra=""),"(Sem Código)",IF(ISERROR(MATCH($AE290,INDIRECT(ORÇAMENTO.BancoRef),0)),"(Código não identificado nas referências)",MATCH($AE290,INDIRECT(ORÇAMENTO.BancoRef),0))))</f>
        <v>6448</v>
      </c>
      <c r="AG290" s="428">
        <f ca="1">ROUND(IF(DESONERACAO="sim",REFERENCIA.Desonerado,REFERENCIA.NaoDesonerado),2)</f>
        <v>64.09</v>
      </c>
      <c r="AH290" s="429">
        <f t="shared" ca="1" si="88"/>
        <v>0.23499999999999999</v>
      </c>
      <c r="AJ290" s="431">
        <f>10*5.5</f>
        <v>55</v>
      </c>
      <c r="AL290" s="439"/>
      <c r="AM290" s="336">
        <f t="shared" ca="1" si="74"/>
        <v>4353.25</v>
      </c>
      <c r="AN290" s="470">
        <f t="shared" ca="1" si="89"/>
        <v>79.150000000000006</v>
      </c>
    </row>
    <row r="291" spans="1:40" ht="38.25" x14ac:dyDescent="0.2">
      <c r="A291" t="str">
        <f t="shared" si="75"/>
        <v>S</v>
      </c>
      <c r="B291">
        <f t="shared" ca="1" si="76"/>
        <v>4</v>
      </c>
      <c r="C291" t="str">
        <f t="shared" ca="1" si="77"/>
        <v>S</v>
      </c>
      <c r="D291">
        <f t="shared" ca="1" si="78"/>
        <v>0</v>
      </c>
      <c r="E291">
        <f ca="1">IF($C291=1,OFFSET(E291,-1,0)+MAX(1,COUNTIF(QCI!$A$13:$A$15,OFFSET(ORÇAMENTO!E291,-1,0))),OFFSET(E291,-1,0))</f>
        <v>1</v>
      </c>
      <c r="F291">
        <f t="shared" ca="1" si="79"/>
        <v>7</v>
      </c>
      <c r="G291">
        <f t="shared" ca="1" si="80"/>
        <v>3</v>
      </c>
      <c r="H291">
        <f t="shared" ca="1" si="81"/>
        <v>3</v>
      </c>
      <c r="I291">
        <f t="shared" ca="1" si="82"/>
        <v>2</v>
      </c>
      <c r="J291">
        <f t="shared" ca="1" si="73"/>
        <v>0</v>
      </c>
      <c r="K291">
        <f ca="1">IF(OR($C291="S",$C291=0),0,MATCH(OFFSET($D291,0,$C291)+IF($C291&lt;&gt;1,1,COUNTIF(QCI!$A$13:$A$15,ORÇAMENTO!E291)),OFFSET($D291,1,$C291,ROW($C$508)-ROW($C291)),0))</f>
        <v>0</v>
      </c>
      <c r="L291" s="114" t="str">
        <f t="shared" ca="1" si="83"/>
        <v>F</v>
      </c>
      <c r="M291" s="115" t="s">
        <v>705</v>
      </c>
      <c r="N291" s="116" t="str">
        <f t="shared" ca="1" si="84"/>
        <v>Serviço</v>
      </c>
      <c r="O291" s="117" t="str">
        <f t="shared" ca="1" si="85"/>
        <v>1.7.3.3.2.</v>
      </c>
      <c r="P291" s="118" t="s">
        <v>750</v>
      </c>
      <c r="Q291" s="119" t="s">
        <v>1088</v>
      </c>
      <c r="R291" s="120" t="str">
        <f ca="1">IF($C291="S",REFERENCIA.Descricao,"(digite a descrição aqui)")</f>
        <v>LUVA DE CORRER, PVC, SERIE R, ÁGUA PLUVIAL, DN 150 MM, JUNTA ELÁSTICA, FORNECIDO E INSTALADO EM RAMAL DE ENCAMINHAMENTO. AF_06/2022</v>
      </c>
      <c r="S291" s="121" t="str">
        <f ca="1">REFERENCIA.Unidade</f>
        <v>UN</v>
      </c>
      <c r="T291" s="122">
        <f ca="1">OFFSET(CÁLCULO!H$15,ROW($T291)-ROW(T$15),0)</f>
        <v>10</v>
      </c>
      <c r="U291" s="123">
        <f t="shared" ca="1" si="72"/>
        <v>88.83</v>
      </c>
      <c r="V291" s="124" t="s">
        <v>663</v>
      </c>
      <c r="W291" s="122">
        <f ca="1">IF($C291="S",ROUND(IF(TIPOORCAMENTO="Proposto",ORÇAMENTO.CustoUnitario*(1+$AH291),ORÇAMENTO.PrecoUnitarioLicitado),15-13*$AF$10),0)</f>
        <v>109.71</v>
      </c>
      <c r="X291" s="125" cm="1">
        <f t="array" aca="1" ref="X291" ca="1">IF($C291="S",IF(OR(Import.TipoArredondamento&lt;&gt;"TransfereGOV",ACOMPANHAMENTO="BM"),VTOTAL1,SUM(OFFSET(CÁLCULO!$AI$15,ROW($X291)-ROW($X$15),1):OFFSET(CÁLCULO!$BB$15,ROW($X291)-ROW($X$15),-1))),IF($C291=0,0,ROUND(SomaAgrup,15-13*$AF$11)))</f>
        <v>1097.0999999999999</v>
      </c>
      <c r="Y291" s="126" t="s">
        <v>751</v>
      </c>
      <c r="Z291" t="str">
        <f t="shared" ca="1" si="86"/>
        <v>RA</v>
      </c>
      <c r="AA291" s="127">
        <f ca="1">IF($C291="S",IF($Z291="CP",$X291,IF($Z291="RA",(($X291)*QCI!$AA$3),0)),SomaAgrup)</f>
        <v>0</v>
      </c>
      <c r="AB291" s="128">
        <f t="shared" ca="1" si="87"/>
        <v>0</v>
      </c>
      <c r="AC291" s="565" t="str" cm="1">
        <f t="array" aca="1" ref="AC291" ca="1">IF($N291=""," ",
IF(AND($C291&lt;&gt;"S",OR($R291="",$R291="(digite a descrição aqui)")),"DESCRIÇÃO",
IF(AND($C291="S",OR($Q291&lt;&gt;"",$T291&gt;0,$U291&gt;0),$P291=""),"FONTE",
IF(AND($C291="S",$P291&lt;&gt;"",OR($T291&gt;0,$U291&gt;0),$Q291=""),"CÓDIGO",
IF(AND($C291="S",$P291&lt;&gt;"",$Q291&lt;&gt;"",$R291="(Código não identificado nas referências)"),"CÓDIGO N/ID",
IF(AND($C291="S",OR($R291="",$R291="(digite a descrição aqui)"),OR($Q291&lt;&gt;"",$T291&gt;0,$U291&gt;0)),"DESCRIÇÃO",
IF(AND($C291="S",$P291&lt;&gt;"",$Q291&lt;&gt;"",$S291=""),"UNIDADE",
IF(AND($C291="S",$P291&lt;&gt;"",$Q291&lt;&gt;"",$U291=0),"SEM CUSTO",
IF(AND(_xlfn.SINGLE(TIPOORCAMENTO)="Licitado",$AL291=0,$AN291&gt;0),"SEM PREÇO",
IF(AND($C291="S",$P291&lt;&gt;"",$Q291&lt;&gt;"",$U291&gt;0,AND($V291&lt;&gt;"BDI 1",$V291&lt;&gt;"BDI 2",$V291&lt;&gt;"BDI 3")),IF(ISNUMBER($V291),"JUSTIFICAR BDI","BDI"),
IF(OR(AND(import.recurso="OGU",TIPOORCAMENTO="Proposto",LEFT($O$8,5)&lt;&gt;"(N/D:",$AG291&lt;&gt;"",ORÇAMENTO.CustoUnitario&gt;$AG291),AND(TIPOORCAMENTO="LICITADO",ORÇAMENTO.PrecoUnitarioLicitado&gt;$AN291)),"ACIMA REF.",
IF(AND($C291="S",$P291&lt;&gt;"",$Q291&lt;&gt;"",$T291=0,$U291&gt;0),"QUANT.",
IF(AND(Import.TipoArredondamento="TransfereGOV",$L291="F",$C291="S",LEN($Q291)&gt;13),"Código &gt;13",
IF(AND(Import.TipoArredondamento="TransfereGOV",$L291="F",$C291&lt;&gt;"S",LEN($R291)&gt;100),"Descrição &gt;100",
IF(AND(Import.TipoArredondamento="TransfereGOV",$L291="F",$C291="S",LEN($R291)&gt;500),"Descrição &gt;500",
IF(AND(Import.TipoArredondamento="TransfereGOV",$L291="F",$C291="S",LEFT(TRIM(UPPER($P291)),6)&lt;&gt;"SINAPI",ISNA(VLOOKUP(TRIM(UPPER($S291)),ListaTgov.Unidades,1,FALSE))),"Unid. Não Disp",
" "))))))))))))))))</f>
        <v xml:space="preserve"> </v>
      </c>
      <c r="AD291" t="str">
        <f ca="1">IF(C291&lt;=CRONO.NivelExibicao,MAX($AD$15:OFFSET(AD291,-1,0))+IF($C291&lt;&gt;1,1,MAX(1,COUNTIF(QCI!$A$13:$A$15,OFFSET($E291,-1,0)))),"")</f>
        <v/>
      </c>
      <c r="AE291" s="7" t="str">
        <f ca="1">IF(AND($C291="S",ORÇAMENTO.CodBarra&lt;&gt;""),IF(ORÇAMENTO.Fonte="",ORÇAMENTO.CodBarra,CONCATENATE(ORÇAMENTO.Fonte," ",ORÇAMENTO.CodBarra)))</f>
        <v>SINAPI 104171</v>
      </c>
      <c r="AF291" s="12">
        <f ca="1">IF(ISERROR(INDIRECT(ORÇAMENTO.BancoRef)),"(abra o arquivo 'Referência "&amp;Excel_BuiltIn_Database&amp;".xlsm)",IF(OR($C291&lt;&gt;"S",ORÇAMENTO.CodBarra=""),"(Sem Código)",IF(ISERROR(MATCH($AE291,INDIRECT(ORÇAMENTO.BancoRef),0)),"(Código não identificado nas referências)",MATCH($AE291,INDIRECT(ORÇAMENTO.BancoRef),0))))</f>
        <v>11892</v>
      </c>
      <c r="AG291" s="428">
        <f ca="1">ROUND(IF(DESONERACAO="sim",REFERENCIA.Desonerado,REFERENCIA.NaoDesonerado),2)</f>
        <v>88.83</v>
      </c>
      <c r="AH291" s="429">
        <f t="shared" ca="1" si="88"/>
        <v>0.23499999999999999</v>
      </c>
      <c r="AJ291" s="431">
        <v>10</v>
      </c>
      <c r="AL291" s="439"/>
      <c r="AM291" s="336">
        <f t="shared" ca="1" si="74"/>
        <v>1097.0999999999999</v>
      </c>
      <c r="AN291" s="470">
        <f t="shared" ca="1" si="89"/>
        <v>109.71</v>
      </c>
    </row>
    <row r="292" spans="1:40" ht="38.25" x14ac:dyDescent="0.2">
      <c r="A292" t="str">
        <f t="shared" si="75"/>
        <v>S</v>
      </c>
      <c r="B292">
        <f t="shared" ca="1" si="76"/>
        <v>4</v>
      </c>
      <c r="C292" t="str">
        <f t="shared" ca="1" si="77"/>
        <v>S</v>
      </c>
      <c r="D292">
        <f t="shared" ca="1" si="78"/>
        <v>0</v>
      </c>
      <c r="E292">
        <f ca="1">IF($C292=1,OFFSET(E292,-1,0)+MAX(1,COUNTIF(QCI!$A$13:$A$15,OFFSET(ORÇAMENTO!E292,-1,0))),OFFSET(E292,-1,0))</f>
        <v>1</v>
      </c>
      <c r="F292">
        <f t="shared" ca="1" si="79"/>
        <v>7</v>
      </c>
      <c r="G292">
        <f t="shared" ca="1" si="80"/>
        <v>3</v>
      </c>
      <c r="H292">
        <f t="shared" ca="1" si="81"/>
        <v>3</v>
      </c>
      <c r="I292">
        <f t="shared" ca="1" si="82"/>
        <v>3</v>
      </c>
      <c r="J292">
        <f t="shared" ca="1" si="73"/>
        <v>0</v>
      </c>
      <c r="K292">
        <f ca="1">IF(OR($C292="S",$C292=0),0,MATCH(OFFSET($D292,0,$C292)+IF($C292&lt;&gt;1,1,COUNTIF(QCI!$A$13:$A$15,ORÇAMENTO!E292)),OFFSET($D292,1,$C292,ROW($C$508)-ROW($C292)),0))</f>
        <v>0</v>
      </c>
      <c r="L292" s="114" t="str">
        <f t="shared" ca="1" si="83"/>
        <v>F</v>
      </c>
      <c r="M292" s="115" t="s">
        <v>705</v>
      </c>
      <c r="N292" s="116" t="str">
        <f t="shared" ca="1" si="84"/>
        <v>Serviço</v>
      </c>
      <c r="O292" s="117" t="str">
        <f t="shared" ca="1" si="85"/>
        <v>1.7.3.3.3.</v>
      </c>
      <c r="P292" s="118" t="s">
        <v>750</v>
      </c>
      <c r="Q292" s="119" t="s">
        <v>1089</v>
      </c>
      <c r="R292" s="120" t="str">
        <f ca="1">IF($C292="S",REFERENCIA.Descricao,"(digite a descrição aqui)")</f>
        <v>TUBO PVC, SERIE NORMAL, ESGOTO PREDIAL, DN 150 MM, FORNECIDO E INSTALADO EM SUBCOLETOR AÉREO DE ESGOTO SANITÁRIO. AF_08/2022</v>
      </c>
      <c r="S292" s="121" t="str">
        <f ca="1">REFERENCIA.Unidade</f>
        <v>M</v>
      </c>
      <c r="T292" s="122">
        <f ca="1">OFFSET(CÁLCULO!H$15,ROW($T292)-ROW(T$15),0)</f>
        <v>6</v>
      </c>
      <c r="U292" s="123">
        <f t="shared" ca="1" si="72"/>
        <v>55.32</v>
      </c>
      <c r="V292" s="124" t="s">
        <v>663</v>
      </c>
      <c r="W292" s="122">
        <f ca="1">IF($C292="S",ROUND(IF(TIPOORCAMENTO="Proposto",ORÇAMENTO.CustoUnitario*(1+$AH292),ORÇAMENTO.PrecoUnitarioLicitado),15-13*$AF$10),0)</f>
        <v>68.319999999999993</v>
      </c>
      <c r="X292" s="125" cm="1">
        <f t="array" aca="1" ref="X292" ca="1">IF($C292="S",IF(OR(Import.TipoArredondamento&lt;&gt;"TransfereGOV",ACOMPANHAMENTO="BM"),VTOTAL1,SUM(OFFSET(CÁLCULO!$AI$15,ROW($X292)-ROW($X$15),1):OFFSET(CÁLCULO!$BB$15,ROW($X292)-ROW($X$15),-1))),IF($C292=0,0,ROUND(SomaAgrup,15-13*$AF$11)))</f>
        <v>409.92</v>
      </c>
      <c r="Y292" s="126" t="s">
        <v>751</v>
      </c>
      <c r="Z292" t="str">
        <f t="shared" ca="1" si="86"/>
        <v>RA</v>
      </c>
      <c r="AA292" s="127">
        <f ca="1">IF($C292="S",IF($Z292="CP",$X292,IF($Z292="RA",(($X292)*QCI!$AA$3),0)),SomaAgrup)</f>
        <v>0</v>
      </c>
      <c r="AB292" s="128">
        <f t="shared" ca="1" si="87"/>
        <v>0</v>
      </c>
      <c r="AC292" s="565" t="str" cm="1">
        <f t="array" aca="1" ref="AC292" ca="1">IF($N292=""," ",
IF(AND($C292&lt;&gt;"S",OR($R292="",$R292="(digite a descrição aqui)")),"DESCRIÇÃO",
IF(AND($C292="S",OR($Q292&lt;&gt;"",$T292&gt;0,$U292&gt;0),$P292=""),"FONTE",
IF(AND($C292="S",$P292&lt;&gt;"",OR($T292&gt;0,$U292&gt;0),$Q292=""),"CÓDIGO",
IF(AND($C292="S",$P292&lt;&gt;"",$Q292&lt;&gt;"",$R292="(Código não identificado nas referências)"),"CÓDIGO N/ID",
IF(AND($C292="S",OR($R292="",$R292="(digite a descrição aqui)"),OR($Q292&lt;&gt;"",$T292&gt;0,$U292&gt;0)),"DESCRIÇÃO",
IF(AND($C292="S",$P292&lt;&gt;"",$Q292&lt;&gt;"",$S292=""),"UNIDADE",
IF(AND($C292="S",$P292&lt;&gt;"",$Q292&lt;&gt;"",$U292=0),"SEM CUSTO",
IF(AND(_xlfn.SINGLE(TIPOORCAMENTO)="Licitado",$AL292=0,$AN292&gt;0),"SEM PREÇO",
IF(AND($C292="S",$P292&lt;&gt;"",$Q292&lt;&gt;"",$U292&gt;0,AND($V292&lt;&gt;"BDI 1",$V292&lt;&gt;"BDI 2",$V292&lt;&gt;"BDI 3")),IF(ISNUMBER($V292),"JUSTIFICAR BDI","BDI"),
IF(OR(AND(import.recurso="OGU",TIPOORCAMENTO="Proposto",LEFT($O$8,5)&lt;&gt;"(N/D:",$AG292&lt;&gt;"",ORÇAMENTO.CustoUnitario&gt;$AG292),AND(TIPOORCAMENTO="LICITADO",ORÇAMENTO.PrecoUnitarioLicitado&gt;$AN292)),"ACIMA REF.",
IF(AND($C292="S",$P292&lt;&gt;"",$Q292&lt;&gt;"",$T292=0,$U292&gt;0),"QUANT.",
IF(AND(Import.TipoArredondamento="TransfereGOV",$L292="F",$C292="S",LEN($Q292)&gt;13),"Código &gt;13",
IF(AND(Import.TipoArredondamento="TransfereGOV",$L292="F",$C292&lt;&gt;"S",LEN($R292)&gt;100),"Descrição &gt;100",
IF(AND(Import.TipoArredondamento="TransfereGOV",$L292="F",$C292="S",LEN($R292)&gt;500),"Descrição &gt;500",
IF(AND(Import.TipoArredondamento="TransfereGOV",$L292="F",$C292="S",LEFT(TRIM(UPPER($P292)),6)&lt;&gt;"SINAPI",ISNA(VLOOKUP(TRIM(UPPER($S292)),ListaTgov.Unidades,1,FALSE))),"Unid. Não Disp",
" "))))))))))))))))</f>
        <v xml:space="preserve"> </v>
      </c>
      <c r="AD292" t="str">
        <f ca="1">IF(C292&lt;=CRONO.NivelExibicao,MAX($AD$15:OFFSET(AD292,-1,0))+IF($C292&lt;&gt;1,1,MAX(1,COUNTIF(QCI!$A$13:$A$15,OFFSET($E292,-1,0)))),"")</f>
        <v/>
      </c>
      <c r="AE292" s="7" t="str">
        <f ca="1">IF(AND($C292="S",ORÇAMENTO.CodBarra&lt;&gt;""),IF(ORÇAMENTO.Fonte="",ORÇAMENTO.CodBarra,CONCATENATE(ORÇAMENTO.Fonte," ",ORÇAMENTO.CodBarra)))</f>
        <v>SINAPI 89849</v>
      </c>
      <c r="AF292" s="12">
        <f ca="1">IF(ISERROR(INDIRECT(ORÇAMENTO.BancoRef)),"(abra o arquivo 'Referência "&amp;Excel_BuiltIn_Database&amp;".xlsm)",IF(OR($C292&lt;&gt;"S",ORÇAMENTO.CodBarra=""),"(Sem Código)",IF(ISERROR(MATCH($AE292,INDIRECT(ORÇAMENTO.BancoRef),0)),"(Código não identificado nas referências)",MATCH($AE292,INDIRECT(ORÇAMENTO.BancoRef),0))))</f>
        <v>11469</v>
      </c>
      <c r="AG292" s="428">
        <f ca="1">ROUND(IF(DESONERACAO="sim",REFERENCIA.Desonerado,REFERENCIA.NaoDesonerado),2)</f>
        <v>55.32</v>
      </c>
      <c r="AH292" s="429">
        <f t="shared" ca="1" si="88"/>
        <v>0.23499999999999999</v>
      </c>
      <c r="AJ292" s="431">
        <f>10*0.6</f>
        <v>6</v>
      </c>
      <c r="AL292" s="439"/>
      <c r="AM292" s="336">
        <f t="shared" ca="1" si="74"/>
        <v>409.92</v>
      </c>
      <c r="AN292" s="470">
        <f t="shared" ca="1" si="89"/>
        <v>68.319999999999993</v>
      </c>
    </row>
    <row r="293" spans="1:40" x14ac:dyDescent="0.2">
      <c r="A293">
        <f t="shared" si="75"/>
        <v>4</v>
      </c>
      <c r="B293">
        <f t="shared" ca="1" si="76"/>
        <v>4</v>
      </c>
      <c r="C293">
        <f t="shared" ca="1" si="77"/>
        <v>4</v>
      </c>
      <c r="D293">
        <f t="shared" ca="1" si="78"/>
        <v>6</v>
      </c>
      <c r="E293">
        <f ca="1">IF($C293=1,OFFSET(E293,-1,0)+MAX(1,COUNTIF(QCI!$A$13:$A$15,OFFSET(ORÇAMENTO!E293,-1,0))),OFFSET(E293,-1,0))</f>
        <v>1</v>
      </c>
      <c r="F293">
        <f t="shared" ca="1" si="79"/>
        <v>7</v>
      </c>
      <c r="G293">
        <f t="shared" ca="1" si="80"/>
        <v>3</v>
      </c>
      <c r="H293">
        <f t="shared" ca="1" si="81"/>
        <v>4</v>
      </c>
      <c r="I293">
        <f t="shared" ca="1" si="82"/>
        <v>0</v>
      </c>
      <c r="J293">
        <f t="shared" ca="1" si="73"/>
        <v>9</v>
      </c>
      <c r="K293">
        <f ca="1">IF(OR($C293="S",$C293=0),0,MATCH(OFFSET($D293,0,$C293)+IF($C293&lt;&gt;1,1,COUNTIF(QCI!$A$13:$A$15,ORÇAMENTO!E293)),OFFSET($D293,1,$C293,ROW($C$508)-ROW($C293)),0))</f>
        <v>6</v>
      </c>
      <c r="L293" s="114" t="str">
        <f t="shared" ca="1" si="83"/>
        <v>F</v>
      </c>
      <c r="M293" s="115" t="s">
        <v>704</v>
      </c>
      <c r="N293" s="116" t="str">
        <f t="shared" ca="1" si="84"/>
        <v>Nível 4</v>
      </c>
      <c r="O293" s="117" t="str">
        <f t="shared" ca="1" si="85"/>
        <v>1.7.3.4.</v>
      </c>
      <c r="P293" s="118" t="s">
        <v>750</v>
      </c>
      <c r="Q293" s="119"/>
      <c r="R293" s="120" t="s">
        <v>1242</v>
      </c>
      <c r="S293" s="121" t="s">
        <v>688</v>
      </c>
      <c r="T293" s="122">
        <f ca="1">OFFSET(CÁLCULO!H$15,ROW($T293)-ROW(T$15),0)</f>
        <v>0</v>
      </c>
      <c r="U293" s="123"/>
      <c r="V293" s="124" t="s">
        <v>663</v>
      </c>
      <c r="W293" s="122">
        <f ca="1">IF($C293="S",ROUND(IF(TIPOORCAMENTO="Proposto",ORÇAMENTO.CustoUnitario*(1+$AH293),ORÇAMENTO.PrecoUnitarioLicitado),15-13*$AF$10),0)</f>
        <v>0</v>
      </c>
      <c r="X293" s="125" cm="1">
        <f t="array" aca="1" ref="X293" ca="1">IF($C293="S",IF(OR(Import.TipoArredondamento&lt;&gt;"TransfereGOV",ACOMPANHAMENTO="BM"),VTOTAL1,SUM(OFFSET(CÁLCULO!$AI$15,ROW($X293)-ROW($X$15),1):OFFSET(CÁLCULO!$BB$15,ROW($X293)-ROW($X$15),-1))),IF($C293=0,0,ROUND(SomaAgrup,15-13*$AF$11)))</f>
        <v>57725.04</v>
      </c>
      <c r="Y293" s="126" t="s">
        <v>751</v>
      </c>
      <c r="Z293" t="str">
        <f t="shared" ca="1" si="86"/>
        <v/>
      </c>
      <c r="AA293" s="127">
        <f ca="1">IF($C293="S",IF($Z293="CP",$X293,IF($Z293="RA",(($X293)*QCI!$AA$3),0)),SomaAgrup)</f>
        <v>0</v>
      </c>
      <c r="AB293" s="128">
        <f t="shared" ca="1" si="87"/>
        <v>0</v>
      </c>
      <c r="AC293" s="565" t="str" cm="1">
        <f t="array" aca="1" ref="AC293" ca="1">IF($N293=""," ",
IF(AND($C293&lt;&gt;"S",OR($R293="",$R293="(digite a descrição aqui)")),"DESCRIÇÃO",
IF(AND($C293="S",OR($Q293&lt;&gt;"",$T293&gt;0,$U293&gt;0),$P293=""),"FONTE",
IF(AND($C293="S",$P293&lt;&gt;"",OR($T293&gt;0,$U293&gt;0),$Q293=""),"CÓDIGO",
IF(AND($C293="S",$P293&lt;&gt;"",$Q293&lt;&gt;"",$R293="(Código não identificado nas referências)"),"CÓDIGO N/ID",
IF(AND($C293="S",OR($R293="",$R293="(digite a descrição aqui)"),OR($Q293&lt;&gt;"",$T293&gt;0,$U293&gt;0)),"DESCRIÇÃO",
IF(AND($C293="S",$P293&lt;&gt;"",$Q293&lt;&gt;"",$S293=""),"UNIDADE",
IF(AND($C293="S",$P293&lt;&gt;"",$Q293&lt;&gt;"",$U293=0),"SEM CUSTO",
IF(AND(_xlfn.SINGLE(TIPOORCAMENTO)="Licitado",$AL293=0,$AN293&gt;0),"SEM PREÇO",
IF(AND($C293="S",$P293&lt;&gt;"",$Q293&lt;&gt;"",$U293&gt;0,AND($V293&lt;&gt;"BDI 1",$V293&lt;&gt;"BDI 2",$V293&lt;&gt;"BDI 3")),IF(ISNUMBER($V293),"JUSTIFICAR BDI","BDI"),
IF(OR(AND(import.recurso="OGU",TIPOORCAMENTO="Proposto",LEFT($O$8,5)&lt;&gt;"(N/D:",$AG293&lt;&gt;"",ORÇAMENTO.CustoUnitario&gt;$AG293),AND(TIPOORCAMENTO="LICITADO",ORÇAMENTO.PrecoUnitarioLicitado&gt;$AN293)),"ACIMA REF.",
IF(AND($C293="S",$P293&lt;&gt;"",$Q293&lt;&gt;"",$T293=0,$U293&gt;0),"QUANT.",
IF(AND(Import.TipoArredondamento="TransfereGOV",$L293="F",$C293="S",LEN($Q293)&gt;13),"Código &gt;13",
IF(AND(Import.TipoArredondamento="TransfereGOV",$L293="F",$C293&lt;&gt;"S",LEN($R293)&gt;100),"Descrição &gt;100",
IF(AND(Import.TipoArredondamento="TransfereGOV",$L293="F",$C293="S",LEN($R293)&gt;500),"Descrição &gt;500",
IF(AND(Import.TipoArredondamento="TransfereGOV",$L293="F",$C293="S",LEFT(TRIM(UPPER($P293)),6)&lt;&gt;"SINAPI",ISNA(VLOOKUP(TRIM(UPPER($S293)),ListaTgov.Unidades,1,FALSE))),"Unid. Não Disp",
" "))))))))))))))))</f>
        <v xml:space="preserve"> </v>
      </c>
      <c r="AD293" t="str">
        <f ca="1">IF(C293&lt;=CRONO.NivelExibicao,MAX($AD$15:OFFSET(AD293,-1,0))+IF($C293&lt;&gt;1,1,MAX(1,COUNTIF(QCI!$A$13:$A$15,OFFSET($E293,-1,0)))),"")</f>
        <v/>
      </c>
      <c r="AE293" s="7" t="b">
        <f ca="1">IF(AND($C293="S",ORÇAMENTO.CodBarra&lt;&gt;""),IF(ORÇAMENTO.Fonte="",ORÇAMENTO.CodBarra,CONCATENATE(ORÇAMENTO.Fonte," ",ORÇAMENTO.CodBarra)))</f>
        <v>0</v>
      </c>
      <c r="AF293" s="12" t="str">
        <f ca="1">IF(ISERROR(INDIRECT(ORÇAMENTO.BancoRef)),"(abra o arquivo 'Referência "&amp;Excel_BuiltIn_Database&amp;".xlsm)",IF(OR($C293&lt;&gt;"S",ORÇAMENTO.CodBarra=""),"(Sem Código)",IF(ISERROR(MATCH($AE293,INDIRECT(ORÇAMENTO.BancoRef),0)),"(Código não identificado nas referências)",MATCH($AE293,INDIRECT(ORÇAMENTO.BancoRef),0))))</f>
        <v>(Sem Código)</v>
      </c>
      <c r="AG293" s="428">
        <f ca="1">ROUND(IF(DESONERACAO="sim",REFERENCIA.Desonerado,REFERENCIA.NaoDesonerado),2)</f>
        <v>0</v>
      </c>
      <c r="AH293" s="429">
        <f t="shared" ca="1" si="88"/>
        <v>0.23499999999999999</v>
      </c>
      <c r="AJ293" s="431"/>
      <c r="AL293" s="439"/>
      <c r="AM293" s="336">
        <f t="shared" ca="1" si="74"/>
        <v>57725.04</v>
      </c>
      <c r="AN293" s="470">
        <f t="shared" ca="1" si="89"/>
        <v>0</v>
      </c>
    </row>
    <row r="294" spans="1:40" ht="38.25" x14ac:dyDescent="0.2">
      <c r="A294" t="str">
        <f t="shared" si="75"/>
        <v>S</v>
      </c>
      <c r="B294">
        <f t="shared" ca="1" si="76"/>
        <v>4</v>
      </c>
      <c r="C294" t="str">
        <f t="shared" ca="1" si="77"/>
        <v>S</v>
      </c>
      <c r="D294">
        <f t="shared" ca="1" si="78"/>
        <v>0</v>
      </c>
      <c r="E294">
        <f ca="1">IF($C294=1,OFFSET(E294,-1,0)+MAX(1,COUNTIF(QCI!$A$13:$A$15,OFFSET(ORÇAMENTO!E294,-1,0))),OFFSET(E294,-1,0))</f>
        <v>1</v>
      </c>
      <c r="F294">
        <f t="shared" ca="1" si="79"/>
        <v>7</v>
      </c>
      <c r="G294">
        <f t="shared" ca="1" si="80"/>
        <v>3</v>
      </c>
      <c r="H294">
        <f t="shared" ca="1" si="81"/>
        <v>4</v>
      </c>
      <c r="I294">
        <f t="shared" ca="1" si="82"/>
        <v>1</v>
      </c>
      <c r="J294">
        <f t="shared" ca="1" si="73"/>
        <v>0</v>
      </c>
      <c r="K294">
        <f ca="1">IF(OR($C294="S",$C294=0),0,MATCH(OFFSET($D294,0,$C294)+IF($C294&lt;&gt;1,1,COUNTIF(QCI!$A$13:$A$15,ORÇAMENTO!E294)),OFFSET($D294,1,$C294,ROW($C$508)-ROW($C294)),0))</f>
        <v>0</v>
      </c>
      <c r="L294" s="114" t="str">
        <f t="shared" ca="1" si="83"/>
        <v>F</v>
      </c>
      <c r="M294" s="115" t="s">
        <v>705</v>
      </c>
      <c r="N294" s="116" t="str">
        <f t="shared" ca="1" si="84"/>
        <v>Serviço</v>
      </c>
      <c r="O294" s="117" t="str">
        <f t="shared" ca="1" si="85"/>
        <v>1.7.3.4.1.</v>
      </c>
      <c r="P294" s="118" t="s">
        <v>750</v>
      </c>
      <c r="Q294" s="119" t="s">
        <v>1090</v>
      </c>
      <c r="R294" s="120" t="str">
        <f ca="1">IF($C294="S",REFERENCIA.Descricao,"(digite a descrição aqui)")</f>
        <v>ALVENARIA DE VEDAÇÃO DE BLOCOS CERÂMICOS MACIÇOS DE 5X10X20CM (ESPESSURA 10CM) E ARGAMASSA DE ASSENTAMENTO COM PREPARO EM BETONEIRA. AF_05/2020</v>
      </c>
      <c r="S294" s="121" t="str">
        <f ca="1">REFERENCIA.Unidade</f>
        <v>M2</v>
      </c>
      <c r="T294" s="122">
        <f ca="1">OFFSET(CÁLCULO!H$15,ROW($T294)-ROW(T$15),0)</f>
        <v>210</v>
      </c>
      <c r="U294" s="123">
        <f t="shared" ca="1" si="72"/>
        <v>140.16</v>
      </c>
      <c r="V294" s="124" t="s">
        <v>663</v>
      </c>
      <c r="W294" s="122">
        <f ca="1">IF($C294="S",ROUND(IF(TIPOORCAMENTO="Proposto",ORÇAMENTO.CustoUnitario*(1+$AH294),ORÇAMENTO.PrecoUnitarioLicitado),15-13*$AF$10),0)</f>
        <v>173.1</v>
      </c>
      <c r="X294" s="125" cm="1">
        <f t="array" aca="1" ref="X294" ca="1">IF($C294="S",IF(OR(Import.TipoArredondamento&lt;&gt;"TransfereGOV",ACOMPANHAMENTO="BM"),VTOTAL1,SUM(OFFSET(CÁLCULO!$AI$15,ROW($X294)-ROW($X$15),1):OFFSET(CÁLCULO!$BB$15,ROW($X294)-ROW($X$15),-1))),IF($C294=0,0,ROUND(SomaAgrup,15-13*$AF$11)))</f>
        <v>36351</v>
      </c>
      <c r="Y294" s="126" t="s">
        <v>751</v>
      </c>
      <c r="Z294" t="str">
        <f t="shared" ca="1" si="86"/>
        <v>RA</v>
      </c>
      <c r="AA294" s="127">
        <f ca="1">IF($C294="S",IF($Z294="CP",$X294,IF($Z294="RA",(($X294)*QCI!$AA$3),0)),SomaAgrup)</f>
        <v>0</v>
      </c>
      <c r="AB294" s="128">
        <f t="shared" ca="1" si="87"/>
        <v>0</v>
      </c>
      <c r="AC294" s="565" t="str" cm="1">
        <f t="array" aca="1" ref="AC294" ca="1">IF($N294=""," ",
IF(AND($C294&lt;&gt;"S",OR($R294="",$R294="(digite a descrição aqui)")),"DESCRIÇÃO",
IF(AND($C294="S",OR($Q294&lt;&gt;"",$T294&gt;0,$U294&gt;0),$P294=""),"FONTE",
IF(AND($C294="S",$P294&lt;&gt;"",OR($T294&gt;0,$U294&gt;0),$Q294=""),"CÓDIGO",
IF(AND($C294="S",$P294&lt;&gt;"",$Q294&lt;&gt;"",$R294="(Código não identificado nas referências)"),"CÓDIGO N/ID",
IF(AND($C294="S",OR($R294="",$R294="(digite a descrição aqui)"),OR($Q294&lt;&gt;"",$T294&gt;0,$U294&gt;0)),"DESCRIÇÃO",
IF(AND($C294="S",$P294&lt;&gt;"",$Q294&lt;&gt;"",$S294=""),"UNIDADE",
IF(AND($C294="S",$P294&lt;&gt;"",$Q294&lt;&gt;"",$U294=0),"SEM CUSTO",
IF(AND(_xlfn.SINGLE(TIPOORCAMENTO)="Licitado",$AL294=0,$AN294&gt;0),"SEM PREÇO",
IF(AND($C294="S",$P294&lt;&gt;"",$Q294&lt;&gt;"",$U294&gt;0,AND($V294&lt;&gt;"BDI 1",$V294&lt;&gt;"BDI 2",$V294&lt;&gt;"BDI 3")),IF(ISNUMBER($V294),"JUSTIFICAR BDI","BDI"),
IF(OR(AND(import.recurso="OGU",TIPOORCAMENTO="Proposto",LEFT($O$8,5)&lt;&gt;"(N/D:",$AG294&lt;&gt;"",ORÇAMENTO.CustoUnitario&gt;$AG294),AND(TIPOORCAMENTO="LICITADO",ORÇAMENTO.PrecoUnitarioLicitado&gt;$AN294)),"ACIMA REF.",
IF(AND($C294="S",$P294&lt;&gt;"",$Q294&lt;&gt;"",$T294=0,$U294&gt;0),"QUANT.",
IF(AND(Import.TipoArredondamento="TransfereGOV",$L294="F",$C294="S",LEN($Q294)&gt;13),"Código &gt;13",
IF(AND(Import.TipoArredondamento="TransfereGOV",$L294="F",$C294&lt;&gt;"S",LEN($R294)&gt;100),"Descrição &gt;100",
IF(AND(Import.TipoArredondamento="TransfereGOV",$L294="F",$C294="S",LEN($R294)&gt;500),"Descrição &gt;500",
IF(AND(Import.TipoArredondamento="TransfereGOV",$L294="F",$C294="S",LEFT(TRIM(UPPER($P294)),6)&lt;&gt;"SINAPI",ISNA(VLOOKUP(TRIM(UPPER($S294)),ListaTgov.Unidades,1,FALSE))),"Unid. Não Disp",
" "))))))))))))))))</f>
        <v xml:space="preserve"> </v>
      </c>
      <c r="AD294" t="str">
        <f ca="1">IF(C294&lt;=CRONO.NivelExibicao,MAX($AD$15:OFFSET(AD294,-1,0))+IF($C294&lt;&gt;1,1,MAX(1,COUNTIF(QCI!$A$13:$A$15,OFFSET($E294,-1,0)))),"")</f>
        <v/>
      </c>
      <c r="AE294" s="7" t="str">
        <f ca="1">IF(AND($C294="S",ORÇAMENTO.CodBarra&lt;&gt;""),IF(ORÇAMENTO.Fonte="",ORÇAMENTO.CodBarra,CONCATENATE(ORÇAMENTO.Fonte," ",ORÇAMENTO.CodBarra)))</f>
        <v>SINAPI 101159</v>
      </c>
      <c r="AF294" s="12">
        <f ca="1">IF(ISERROR(INDIRECT(ORÇAMENTO.BancoRef)),"(abra o arquivo 'Referência "&amp;Excel_BuiltIn_Database&amp;".xlsm)",IF(OR($C294&lt;&gt;"S",ORÇAMENTO.CodBarra=""),"(Sem Código)",IF(ISERROR(MATCH($AE294,INDIRECT(ORÇAMENTO.BancoRef),0)),"(Código não identificado nas referências)",MATCH($AE294,INDIRECT(ORÇAMENTO.BancoRef),0))))</f>
        <v>6151</v>
      </c>
      <c r="AG294" s="428">
        <f ca="1">ROUND(IF(DESONERACAO="sim",REFERENCIA.Desonerado,REFERENCIA.NaoDesonerado),2)</f>
        <v>140.16</v>
      </c>
      <c r="AH294" s="429">
        <f t="shared" ca="1" si="88"/>
        <v>0.23499999999999999</v>
      </c>
      <c r="AJ294" s="431">
        <v>210</v>
      </c>
      <c r="AL294" s="439"/>
      <c r="AM294" s="336">
        <f t="shared" ca="1" si="74"/>
        <v>36351</v>
      </c>
      <c r="AN294" s="470">
        <f t="shared" ca="1" si="89"/>
        <v>173.1</v>
      </c>
    </row>
    <row r="295" spans="1:40" x14ac:dyDescent="0.2">
      <c r="A295" t="str">
        <f t="shared" si="75"/>
        <v>S</v>
      </c>
      <c r="B295">
        <f t="shared" ca="1" si="76"/>
        <v>4</v>
      </c>
      <c r="C295" t="str">
        <f t="shared" ca="1" si="77"/>
        <v>S</v>
      </c>
      <c r="D295">
        <f t="shared" ca="1" si="78"/>
        <v>0</v>
      </c>
      <c r="E295">
        <f ca="1">IF($C295=1,OFFSET(E295,-1,0)+MAX(1,COUNTIF(QCI!$A$13:$A$15,OFFSET(ORÇAMENTO!E295,-1,0))),OFFSET(E295,-1,0))</f>
        <v>1</v>
      </c>
      <c r="F295">
        <f t="shared" ca="1" si="79"/>
        <v>7</v>
      </c>
      <c r="G295">
        <f t="shared" ca="1" si="80"/>
        <v>3</v>
      </c>
      <c r="H295">
        <f t="shared" ca="1" si="81"/>
        <v>4</v>
      </c>
      <c r="I295">
        <f t="shared" ca="1" si="82"/>
        <v>2</v>
      </c>
      <c r="J295">
        <f t="shared" ca="1" si="73"/>
        <v>0</v>
      </c>
      <c r="K295">
        <f ca="1">IF(OR($C295="S",$C295=0),0,MATCH(OFFSET($D295,0,$C295)+IF($C295&lt;&gt;1,1,COUNTIF(QCI!$A$13:$A$15,ORÇAMENTO!E295)),OFFSET($D295,1,$C295,ROW($C$508)-ROW($C295)),0))</f>
        <v>0</v>
      </c>
      <c r="L295" s="114" t="str">
        <f t="shared" ca="1" si="83"/>
        <v>F</v>
      </c>
      <c r="M295" s="115" t="s">
        <v>705</v>
      </c>
      <c r="N295" s="116" t="str">
        <f t="shared" ca="1" si="84"/>
        <v>Serviço</v>
      </c>
      <c r="O295" s="117" t="str">
        <f t="shared" ca="1" si="85"/>
        <v>1.7.3.4.2.</v>
      </c>
      <c r="P295" s="118" t="s">
        <v>1282</v>
      </c>
      <c r="Q295" s="119" t="s">
        <v>1091</v>
      </c>
      <c r="R295" s="120" t="str">
        <f ca="1">IF($C295="S",REFERENCIA.Descricao,"(digite a descrição aqui)")</f>
        <v>FORNECIMENTO E LANÇAMENTO DE AREIA EM DRENO E PÁTIO</v>
      </c>
      <c r="S295" s="121" t="str">
        <f ca="1">REFERENCIA.Unidade</f>
        <v>M3</v>
      </c>
      <c r="T295" s="122">
        <f ca="1">OFFSET(CÁLCULO!H$15,ROW($T295)-ROW(T$15),0)</f>
        <v>19.95</v>
      </c>
      <c r="U295" s="123">
        <f t="shared" ca="1" si="72"/>
        <v>263.26</v>
      </c>
      <c r="V295" s="124" t="s">
        <v>663</v>
      </c>
      <c r="W295" s="122">
        <f ca="1">IF($C295="S",ROUND(IF(TIPOORCAMENTO="Proposto",ORÇAMENTO.CustoUnitario*(1+$AH295),ORÇAMENTO.PrecoUnitarioLicitado),15-13*$AF$10),0)</f>
        <v>325.13</v>
      </c>
      <c r="X295" s="125" cm="1">
        <f t="array" aca="1" ref="X295" ca="1">IF($C295="S",IF(OR(Import.TipoArredondamento&lt;&gt;"TransfereGOV",ACOMPANHAMENTO="BM"),VTOTAL1,SUM(OFFSET(CÁLCULO!$AI$15,ROW($X295)-ROW($X$15),1):OFFSET(CÁLCULO!$BB$15,ROW($X295)-ROW($X$15),-1))),IF($C295=0,0,ROUND(SomaAgrup,15-13*$AF$11)))</f>
        <v>6486.34</v>
      </c>
      <c r="Y295" s="126" t="s">
        <v>751</v>
      </c>
      <c r="Z295" t="str">
        <f t="shared" ca="1" si="86"/>
        <v>RA</v>
      </c>
      <c r="AA295" s="127">
        <f ca="1">IF($C295="S",IF($Z295="CP",$X295,IF($Z295="RA",(($X295)*QCI!$AA$3),0)),SomaAgrup)</f>
        <v>0</v>
      </c>
      <c r="AB295" s="128">
        <f t="shared" ca="1" si="87"/>
        <v>0</v>
      </c>
      <c r="AC295" s="565" t="str" cm="1">
        <f t="array" aca="1" ref="AC295" ca="1">IF($N295=""," ",
IF(AND($C295&lt;&gt;"S",OR($R295="",$R295="(digite a descrição aqui)")),"DESCRIÇÃO",
IF(AND($C295="S",OR($Q295&lt;&gt;"",$T295&gt;0,$U295&gt;0),$P295=""),"FONTE",
IF(AND($C295="S",$P295&lt;&gt;"",OR($T295&gt;0,$U295&gt;0),$Q295=""),"CÓDIGO",
IF(AND($C295="S",$P295&lt;&gt;"",$Q295&lt;&gt;"",$R295="(Código não identificado nas referências)"),"CÓDIGO N/ID",
IF(AND($C295="S",OR($R295="",$R295="(digite a descrição aqui)"),OR($Q295&lt;&gt;"",$T295&gt;0,$U295&gt;0)),"DESCRIÇÃO",
IF(AND($C295="S",$P295&lt;&gt;"",$Q295&lt;&gt;"",$S295=""),"UNIDADE",
IF(AND($C295="S",$P295&lt;&gt;"",$Q295&lt;&gt;"",$U295=0),"SEM CUSTO",
IF(AND(_xlfn.SINGLE(TIPOORCAMENTO)="Licitado",$AL295=0,$AN295&gt;0),"SEM PREÇO",
IF(AND($C295="S",$P295&lt;&gt;"",$Q295&lt;&gt;"",$U295&gt;0,AND($V295&lt;&gt;"BDI 1",$V295&lt;&gt;"BDI 2",$V295&lt;&gt;"BDI 3")),IF(ISNUMBER($V295),"JUSTIFICAR BDI","BDI"),
IF(OR(AND(import.recurso="OGU",TIPOORCAMENTO="Proposto",LEFT($O$8,5)&lt;&gt;"(N/D:",$AG295&lt;&gt;"",ORÇAMENTO.CustoUnitario&gt;$AG295),AND(TIPOORCAMENTO="LICITADO",ORÇAMENTO.PrecoUnitarioLicitado&gt;$AN295)),"ACIMA REF.",
IF(AND($C295="S",$P295&lt;&gt;"",$Q295&lt;&gt;"",$T295=0,$U295&gt;0),"QUANT.",
IF(AND(Import.TipoArredondamento="TransfereGOV",$L295="F",$C295="S",LEN($Q295)&gt;13),"Código &gt;13",
IF(AND(Import.TipoArredondamento="TransfereGOV",$L295="F",$C295&lt;&gt;"S",LEN($R295)&gt;100),"Descrição &gt;100",
IF(AND(Import.TipoArredondamento="TransfereGOV",$L295="F",$C295="S",LEN($R295)&gt;500),"Descrição &gt;500",
IF(AND(Import.TipoArredondamento="TransfereGOV",$L295="F",$C295="S",LEFT(TRIM(UPPER($P295)),6)&lt;&gt;"SINAPI",ISNA(VLOOKUP(TRIM(UPPER($S295)),ListaTgov.Unidades,1,FALSE))),"Unid. Não Disp",
" "))))))))))))))))</f>
        <v xml:space="preserve"> </v>
      </c>
      <c r="AD295" t="str">
        <f ca="1">IF(C295&lt;=CRONO.NivelExibicao,MAX($AD$15:OFFSET(AD295,-1,0))+IF($C295&lt;&gt;1,1,MAX(1,COUNTIF(QCI!$A$13:$A$15,OFFSET($E295,-1,0)))),"")</f>
        <v/>
      </c>
      <c r="AE295" s="7" t="str">
        <f ca="1">IF(AND($C295="S",ORÇAMENTO.CodBarra&lt;&gt;""),IF(ORÇAMENTO.Fonte="",ORÇAMENTO.CodBarra,CONCATENATE(ORÇAMENTO.Fonte," ",ORÇAMENTO.CodBarra)))</f>
        <v>SUDECAP 19.91.02</v>
      </c>
      <c r="AF295" s="12">
        <f ca="1">IF(ISERROR(INDIRECT(ORÇAMENTO.BancoRef)),"(abra o arquivo 'Referência "&amp;Excel_BuiltIn_Database&amp;".xlsm)",IF(OR($C295&lt;&gt;"S",ORÇAMENTO.CodBarra=""),"(Sem Código)",IF(ISERROR(MATCH($AE295,INDIRECT(ORÇAMENTO.BancoRef),0)),"(Código não identificado nas referências)",MATCH($AE295,INDIRECT(ORÇAMENTO.BancoRef),0))))</f>
        <v>25790</v>
      </c>
      <c r="AG295" s="428">
        <f ca="1">ROUND(IF(DESONERACAO="sim",REFERENCIA.Desonerado,REFERENCIA.NaoDesonerado),2)</f>
        <v>263.26</v>
      </c>
      <c r="AH295" s="429">
        <f t="shared" ca="1" si="88"/>
        <v>0.23499999999999999</v>
      </c>
      <c r="AJ295" s="431">
        <v>19.95</v>
      </c>
      <c r="AL295" s="439"/>
      <c r="AM295" s="336">
        <f t="shared" ca="1" si="74"/>
        <v>6486.34</v>
      </c>
      <c r="AN295" s="470">
        <f t="shared" ca="1" si="89"/>
        <v>325.13</v>
      </c>
    </row>
    <row r="296" spans="1:40" ht="25.5" x14ac:dyDescent="0.2">
      <c r="A296" t="str">
        <f t="shared" si="75"/>
        <v>S</v>
      </c>
      <c r="B296">
        <f t="shared" ca="1" si="76"/>
        <v>4</v>
      </c>
      <c r="C296" t="str">
        <f t="shared" ca="1" si="77"/>
        <v>S</v>
      </c>
      <c r="D296">
        <f t="shared" ca="1" si="78"/>
        <v>0</v>
      </c>
      <c r="E296">
        <f ca="1">IF($C296=1,OFFSET(E296,-1,0)+MAX(1,COUNTIF(QCI!$A$13:$A$15,OFFSET(ORÇAMENTO!E296,-1,0))),OFFSET(E296,-1,0))</f>
        <v>1</v>
      </c>
      <c r="F296">
        <f t="shared" ca="1" si="79"/>
        <v>7</v>
      </c>
      <c r="G296">
        <f t="shared" ca="1" si="80"/>
        <v>3</v>
      </c>
      <c r="H296">
        <f t="shared" ca="1" si="81"/>
        <v>4</v>
      </c>
      <c r="I296">
        <f t="shared" ca="1" si="82"/>
        <v>3</v>
      </c>
      <c r="J296">
        <f t="shared" ca="1" si="73"/>
        <v>0</v>
      </c>
      <c r="K296">
        <f ca="1">IF(OR($C296="S",$C296=0),0,MATCH(OFFSET($D296,0,$C296)+IF($C296&lt;&gt;1,1,COUNTIF(QCI!$A$13:$A$15,ORÇAMENTO!E296)),OFFSET($D296,1,$C296,ROW($C$508)-ROW($C296)),0))</f>
        <v>0</v>
      </c>
      <c r="L296" s="114" t="str">
        <f t="shared" ca="1" si="83"/>
        <v>F</v>
      </c>
      <c r="M296" s="115" t="s">
        <v>705</v>
      </c>
      <c r="N296" s="116" t="str">
        <f t="shared" ca="1" si="84"/>
        <v>Serviço</v>
      </c>
      <c r="O296" s="117" t="str">
        <f t="shared" ca="1" si="85"/>
        <v>1.7.3.4.3.</v>
      </c>
      <c r="P296" s="118" t="s">
        <v>1281</v>
      </c>
      <c r="Q296" s="119" t="s">
        <v>1092</v>
      </c>
      <c r="R296" s="120" t="str">
        <f ca="1">IF($C296="S",REFERENCIA.Descricao,"(digite a descrição aqui)")</f>
        <v>ENCHIMENTO DE BRITA Nº 0 PARA DRENO, LANÇAMENTO MECANIZADO - BASEADO EM SINAPI (102717)</v>
      </c>
      <c r="S296" s="121" t="str">
        <f ca="1">REFERENCIA.Unidade</f>
        <v>M3</v>
      </c>
      <c r="T296" s="122">
        <f ca="1">OFFSET(CÁLCULO!H$15,ROW($T296)-ROW(T$15),0)</f>
        <v>15.75</v>
      </c>
      <c r="U296" s="123">
        <f t="shared" ca="1" si="72"/>
        <v>194.8</v>
      </c>
      <c r="V296" s="124" t="s">
        <v>663</v>
      </c>
      <c r="W296" s="122">
        <f ca="1">IF($C296="S",ROUND(IF(TIPOORCAMENTO="Proposto",ORÇAMENTO.CustoUnitario*(1+$AH296),ORÇAMENTO.PrecoUnitarioLicitado),15-13*$AF$10),0)</f>
        <v>240.58</v>
      </c>
      <c r="X296" s="125" cm="1">
        <f t="array" aca="1" ref="X296" ca="1">IF($C296="S",IF(OR(Import.TipoArredondamento&lt;&gt;"TransfereGOV",ACOMPANHAMENTO="BM"),VTOTAL1,SUM(OFFSET(CÁLCULO!$AI$15,ROW($X296)-ROW($X$15),1):OFFSET(CÁLCULO!$BB$15,ROW($X296)-ROW($X$15),-1))),IF($C296=0,0,ROUND(SomaAgrup,15-13*$AF$11)))</f>
        <v>3789.14</v>
      </c>
      <c r="Y296" s="126" t="s">
        <v>751</v>
      </c>
      <c r="Z296" t="str">
        <f t="shared" ca="1" si="86"/>
        <v>RA</v>
      </c>
      <c r="AA296" s="127">
        <f ca="1">IF($C296="S",IF($Z296="CP",$X296,IF($Z296="RA",(($X296)*QCI!$AA$3),0)),SomaAgrup)</f>
        <v>0</v>
      </c>
      <c r="AB296" s="128">
        <f t="shared" ca="1" si="87"/>
        <v>0</v>
      </c>
      <c r="AC296" s="565" t="str" cm="1">
        <f t="array" aca="1" ref="AC296" ca="1">IF($N296=""," ",
IF(AND($C296&lt;&gt;"S",OR($R296="",$R296="(digite a descrição aqui)")),"DESCRIÇÃO",
IF(AND($C296="S",OR($Q296&lt;&gt;"",$T296&gt;0,$U296&gt;0),$P296=""),"FONTE",
IF(AND($C296="S",$P296&lt;&gt;"",OR($T296&gt;0,$U296&gt;0),$Q296=""),"CÓDIGO",
IF(AND($C296="S",$P296&lt;&gt;"",$Q296&lt;&gt;"",$R296="(Código não identificado nas referências)"),"CÓDIGO N/ID",
IF(AND($C296="S",OR($R296="",$R296="(digite a descrição aqui)"),OR($Q296&lt;&gt;"",$T296&gt;0,$U296&gt;0)),"DESCRIÇÃO",
IF(AND($C296="S",$P296&lt;&gt;"",$Q296&lt;&gt;"",$S296=""),"UNIDADE",
IF(AND($C296="S",$P296&lt;&gt;"",$Q296&lt;&gt;"",$U296=0),"SEM CUSTO",
IF(AND(_xlfn.SINGLE(TIPOORCAMENTO)="Licitado",$AL296=0,$AN296&gt;0),"SEM PREÇO",
IF(AND($C296="S",$P296&lt;&gt;"",$Q296&lt;&gt;"",$U296&gt;0,AND($V296&lt;&gt;"BDI 1",$V296&lt;&gt;"BDI 2",$V296&lt;&gt;"BDI 3")),IF(ISNUMBER($V296),"JUSTIFICAR BDI","BDI"),
IF(OR(AND(import.recurso="OGU",TIPOORCAMENTO="Proposto",LEFT($O$8,5)&lt;&gt;"(N/D:",$AG296&lt;&gt;"",ORÇAMENTO.CustoUnitario&gt;$AG296),AND(TIPOORCAMENTO="LICITADO",ORÇAMENTO.PrecoUnitarioLicitado&gt;$AN296)),"ACIMA REF.",
IF(AND($C296="S",$P296&lt;&gt;"",$Q296&lt;&gt;"",$T296=0,$U296&gt;0),"QUANT.",
IF(AND(Import.TipoArredondamento="TransfereGOV",$L296="F",$C296="S",LEN($Q296)&gt;13),"Código &gt;13",
IF(AND(Import.TipoArredondamento="TransfereGOV",$L296="F",$C296&lt;&gt;"S",LEN($R296)&gt;100),"Descrição &gt;100",
IF(AND(Import.TipoArredondamento="TransfereGOV",$L296="F",$C296="S",LEN($R296)&gt;500),"Descrição &gt;500",
IF(AND(Import.TipoArredondamento="TransfereGOV",$L296="F",$C296="S",LEFT(TRIM(UPPER($P296)),6)&lt;&gt;"SINAPI",ISNA(VLOOKUP(TRIM(UPPER($S296)),ListaTgov.Unidades,1,FALSE))),"Unid. Não Disp",
" "))))))))))))))))</f>
        <v xml:space="preserve"> </v>
      </c>
      <c r="AD296" t="str">
        <f ca="1">IF(C296&lt;=CRONO.NivelExibicao,MAX($AD$15:OFFSET(AD296,-1,0))+IF($C296&lt;&gt;1,1,MAX(1,COUNTIF(QCI!$A$13:$A$15,OFFSET($E296,-1,0)))),"")</f>
        <v/>
      </c>
      <c r="AE296" s="7" t="str">
        <f ca="1">IF(AND($C296="S",ORÇAMENTO.CodBarra&lt;&gt;""),IF(ORÇAMENTO.Fonte="",ORÇAMENTO.CodBarra,CONCATENATE(ORÇAMENTO.Fonte," ",ORÇAMENTO.CodBarra)))</f>
        <v>COMPOSIÇÃO CPU-016</v>
      </c>
      <c r="AF296" s="12">
        <f ca="1">IF(ISERROR(INDIRECT(ORÇAMENTO.BancoRef)),"(abra o arquivo 'Referência "&amp;Excel_BuiltIn_Database&amp;".xlsm)",IF(OR($C296&lt;&gt;"S",ORÇAMENTO.CodBarra=""),"(Sem Código)",IF(ISERROR(MATCH($AE296,INDIRECT(ORÇAMENTO.BancoRef),0)),"(Código não identificado nas referências)",MATCH($AE296,INDIRECT(ORÇAMENTO.BancoRef),0))))</f>
        <v>18</v>
      </c>
      <c r="AG296" s="428">
        <f ca="1">ROUND(IF(DESONERACAO="sim",REFERENCIA.Desonerado,REFERENCIA.NaoDesonerado),2)</f>
        <v>194.8</v>
      </c>
      <c r="AH296" s="429">
        <f t="shared" ca="1" si="88"/>
        <v>0.23499999999999999</v>
      </c>
      <c r="AJ296" s="431">
        <v>15.75</v>
      </c>
      <c r="AL296" s="439"/>
      <c r="AM296" s="336">
        <f t="shared" ca="1" si="74"/>
        <v>3789.14</v>
      </c>
      <c r="AN296" s="470">
        <f t="shared" ca="1" si="89"/>
        <v>240.58</v>
      </c>
    </row>
    <row r="297" spans="1:40" ht="25.5" x14ac:dyDescent="0.2">
      <c r="A297" t="str">
        <f t="shared" si="75"/>
        <v>S</v>
      </c>
      <c r="B297">
        <f t="shared" ca="1" si="76"/>
        <v>4</v>
      </c>
      <c r="C297" t="str">
        <f t="shared" ca="1" si="77"/>
        <v>S</v>
      </c>
      <c r="D297">
        <f t="shared" ca="1" si="78"/>
        <v>0</v>
      </c>
      <c r="E297">
        <f ca="1">IF($C297=1,OFFSET(E297,-1,0)+MAX(1,COUNTIF(QCI!$A$13:$A$15,OFFSET(ORÇAMENTO!E297,-1,0))),OFFSET(E297,-1,0))</f>
        <v>1</v>
      </c>
      <c r="F297">
        <f t="shared" ca="1" si="79"/>
        <v>7</v>
      </c>
      <c r="G297">
        <f t="shared" ca="1" si="80"/>
        <v>3</v>
      </c>
      <c r="H297">
        <f t="shared" ca="1" si="81"/>
        <v>4</v>
      </c>
      <c r="I297">
        <f t="shared" ca="1" si="82"/>
        <v>4</v>
      </c>
      <c r="J297">
        <f t="shared" ca="1" si="73"/>
        <v>0</v>
      </c>
      <c r="K297">
        <f ca="1">IF(OR($C297="S",$C297=0),0,MATCH(OFFSET($D297,0,$C297)+IF($C297&lt;&gt;1,1,COUNTIF(QCI!$A$13:$A$15,ORÇAMENTO!E297)),OFFSET($D297,1,$C297,ROW($C$508)-ROW($C297)),0))</f>
        <v>0</v>
      </c>
      <c r="L297" s="114" t="str">
        <f t="shared" ca="1" si="83"/>
        <v>F</v>
      </c>
      <c r="M297" s="115" t="s">
        <v>705</v>
      </c>
      <c r="N297" s="116" t="str">
        <f t="shared" ca="1" si="84"/>
        <v>Serviço</v>
      </c>
      <c r="O297" s="117" t="str">
        <f t="shared" ca="1" si="85"/>
        <v>1.7.3.4.4.</v>
      </c>
      <c r="P297" s="118" t="s">
        <v>1281</v>
      </c>
      <c r="Q297" s="119" t="s">
        <v>1093</v>
      </c>
      <c r="R297" s="120" t="str">
        <f ca="1">IF($C297="S",REFERENCIA.Descricao,"(digite a descrição aqui)")</f>
        <v>ENCHIMENTO DE BRITA Nº 1 PARA DRENO, LANÇAMENTO MECANIZADO - BASEADO EM SINAPI (102717)</v>
      </c>
      <c r="S297" s="121" t="str">
        <f ca="1">REFERENCIA.Unidade</f>
        <v>M3</v>
      </c>
      <c r="T297" s="122">
        <f ca="1">OFFSET(CÁLCULO!H$15,ROW($T297)-ROW(T$15),0)</f>
        <v>10.5</v>
      </c>
      <c r="U297" s="123">
        <f t="shared" ca="1" si="72"/>
        <v>172.44</v>
      </c>
      <c r="V297" s="124" t="s">
        <v>663</v>
      </c>
      <c r="W297" s="122">
        <f ca="1">IF($C297="S",ROUND(IF(TIPOORCAMENTO="Proposto",ORÇAMENTO.CustoUnitario*(1+$AH297),ORÇAMENTO.PrecoUnitarioLicitado),15-13*$AF$10),0)</f>
        <v>212.96</v>
      </c>
      <c r="X297" s="125" cm="1">
        <f t="array" aca="1" ref="X297" ca="1">IF($C297="S",IF(OR(Import.TipoArredondamento&lt;&gt;"TransfereGOV",ACOMPANHAMENTO="BM"),VTOTAL1,SUM(OFFSET(CÁLCULO!$AI$15,ROW($X297)-ROW($X$15),1):OFFSET(CÁLCULO!$BB$15,ROW($X297)-ROW($X$15),-1))),IF($C297=0,0,ROUND(SomaAgrup,15-13*$AF$11)))</f>
        <v>2236.08</v>
      </c>
      <c r="Y297" s="126" t="s">
        <v>751</v>
      </c>
      <c r="Z297" t="str">
        <f t="shared" ca="1" si="86"/>
        <v>RA</v>
      </c>
      <c r="AA297" s="127">
        <f ca="1">IF($C297="S",IF($Z297="CP",$X297,IF($Z297="RA",(($X297)*QCI!$AA$3),0)),SomaAgrup)</f>
        <v>0</v>
      </c>
      <c r="AB297" s="128">
        <f t="shared" ca="1" si="87"/>
        <v>0</v>
      </c>
      <c r="AC297" s="565" t="str" cm="1">
        <f t="array" aca="1" ref="AC297" ca="1">IF($N297=""," ",
IF(AND($C297&lt;&gt;"S",OR($R297="",$R297="(digite a descrição aqui)")),"DESCRIÇÃO",
IF(AND($C297="S",OR($Q297&lt;&gt;"",$T297&gt;0,$U297&gt;0),$P297=""),"FONTE",
IF(AND($C297="S",$P297&lt;&gt;"",OR($T297&gt;0,$U297&gt;0),$Q297=""),"CÓDIGO",
IF(AND($C297="S",$P297&lt;&gt;"",$Q297&lt;&gt;"",$R297="(Código não identificado nas referências)"),"CÓDIGO N/ID",
IF(AND($C297="S",OR($R297="",$R297="(digite a descrição aqui)"),OR($Q297&lt;&gt;"",$T297&gt;0,$U297&gt;0)),"DESCRIÇÃO",
IF(AND($C297="S",$P297&lt;&gt;"",$Q297&lt;&gt;"",$S297=""),"UNIDADE",
IF(AND($C297="S",$P297&lt;&gt;"",$Q297&lt;&gt;"",$U297=0),"SEM CUSTO",
IF(AND(_xlfn.SINGLE(TIPOORCAMENTO)="Licitado",$AL297=0,$AN297&gt;0),"SEM PREÇO",
IF(AND($C297="S",$P297&lt;&gt;"",$Q297&lt;&gt;"",$U297&gt;0,AND($V297&lt;&gt;"BDI 1",$V297&lt;&gt;"BDI 2",$V297&lt;&gt;"BDI 3")),IF(ISNUMBER($V297),"JUSTIFICAR BDI","BDI"),
IF(OR(AND(import.recurso="OGU",TIPOORCAMENTO="Proposto",LEFT($O$8,5)&lt;&gt;"(N/D:",$AG297&lt;&gt;"",ORÇAMENTO.CustoUnitario&gt;$AG297),AND(TIPOORCAMENTO="LICITADO",ORÇAMENTO.PrecoUnitarioLicitado&gt;$AN297)),"ACIMA REF.",
IF(AND($C297="S",$P297&lt;&gt;"",$Q297&lt;&gt;"",$T297=0,$U297&gt;0),"QUANT.",
IF(AND(Import.TipoArredondamento="TransfereGOV",$L297="F",$C297="S",LEN($Q297)&gt;13),"Código &gt;13",
IF(AND(Import.TipoArredondamento="TransfereGOV",$L297="F",$C297&lt;&gt;"S",LEN($R297)&gt;100),"Descrição &gt;100",
IF(AND(Import.TipoArredondamento="TransfereGOV",$L297="F",$C297="S",LEN($R297)&gt;500),"Descrição &gt;500",
IF(AND(Import.TipoArredondamento="TransfereGOV",$L297="F",$C297="S",LEFT(TRIM(UPPER($P297)),6)&lt;&gt;"SINAPI",ISNA(VLOOKUP(TRIM(UPPER($S297)),ListaTgov.Unidades,1,FALSE))),"Unid. Não Disp",
" "))))))))))))))))</f>
        <v xml:space="preserve"> </v>
      </c>
      <c r="AD297" t="str">
        <f ca="1">IF(C297&lt;=CRONO.NivelExibicao,MAX($AD$15:OFFSET(AD297,-1,0))+IF($C297&lt;&gt;1,1,MAX(1,COUNTIF(QCI!$A$13:$A$15,OFFSET($E297,-1,0)))),"")</f>
        <v/>
      </c>
      <c r="AE297" s="7" t="str">
        <f ca="1">IF(AND($C297="S",ORÇAMENTO.CodBarra&lt;&gt;""),IF(ORÇAMENTO.Fonte="",ORÇAMENTO.CodBarra,CONCATENATE(ORÇAMENTO.Fonte," ",ORÇAMENTO.CodBarra)))</f>
        <v>COMPOSIÇÃO CPU-017</v>
      </c>
      <c r="AF297" s="12">
        <f ca="1">IF(ISERROR(INDIRECT(ORÇAMENTO.BancoRef)),"(abra o arquivo 'Referência "&amp;Excel_BuiltIn_Database&amp;".xlsm)",IF(OR($C297&lt;&gt;"S",ORÇAMENTO.CodBarra=""),"(Sem Código)",IF(ISERROR(MATCH($AE297,INDIRECT(ORÇAMENTO.BancoRef),0)),"(Código não identificado nas referências)",MATCH($AE297,INDIRECT(ORÇAMENTO.BancoRef),0))))</f>
        <v>19</v>
      </c>
      <c r="AG297" s="428">
        <f ca="1">ROUND(IF(DESONERACAO="sim",REFERENCIA.Desonerado,REFERENCIA.NaoDesonerado),2)</f>
        <v>172.44</v>
      </c>
      <c r="AH297" s="429">
        <f t="shared" ca="1" si="88"/>
        <v>0.23499999999999999</v>
      </c>
      <c r="AJ297" s="431">
        <v>10.5</v>
      </c>
      <c r="AL297" s="439"/>
      <c r="AM297" s="336">
        <f t="shared" ca="1" si="74"/>
        <v>2236.08</v>
      </c>
      <c r="AN297" s="470">
        <f t="shared" ca="1" si="89"/>
        <v>212.96</v>
      </c>
    </row>
    <row r="298" spans="1:40" ht="25.5" x14ac:dyDescent="0.2">
      <c r="A298" t="str">
        <f t="shared" si="75"/>
        <v>S</v>
      </c>
      <c r="B298">
        <f t="shared" ca="1" si="76"/>
        <v>4</v>
      </c>
      <c r="C298" t="str">
        <f t="shared" ca="1" si="77"/>
        <v>S</v>
      </c>
      <c r="D298">
        <f t="shared" ca="1" si="78"/>
        <v>0</v>
      </c>
      <c r="E298">
        <f ca="1">IF($C298=1,OFFSET(E298,-1,0)+MAX(1,COUNTIF(QCI!$A$13:$A$15,OFFSET(ORÇAMENTO!E298,-1,0))),OFFSET(E298,-1,0))</f>
        <v>1</v>
      </c>
      <c r="F298">
        <f t="shared" ca="1" si="79"/>
        <v>7</v>
      </c>
      <c r="G298">
        <f t="shared" ca="1" si="80"/>
        <v>3</v>
      </c>
      <c r="H298">
        <f t="shared" ca="1" si="81"/>
        <v>4</v>
      </c>
      <c r="I298">
        <f t="shared" ca="1" si="82"/>
        <v>5</v>
      </c>
      <c r="J298">
        <f t="shared" ca="1" si="73"/>
        <v>0</v>
      </c>
      <c r="K298">
        <f ca="1">IF(OR($C298="S",$C298=0),0,MATCH(OFFSET($D298,0,$C298)+IF($C298&lt;&gt;1,1,COUNTIF(QCI!$A$13:$A$15,ORÇAMENTO!E298)),OFFSET($D298,1,$C298,ROW($C$508)-ROW($C298)),0))</f>
        <v>0</v>
      </c>
      <c r="L298" s="114" t="str">
        <f t="shared" ca="1" si="83"/>
        <v>F</v>
      </c>
      <c r="M298" s="115" t="s">
        <v>705</v>
      </c>
      <c r="N298" s="116" t="str">
        <f t="shared" ca="1" si="84"/>
        <v>Serviço</v>
      </c>
      <c r="O298" s="117" t="str">
        <f t="shared" ca="1" si="85"/>
        <v>1.7.3.4.5.</v>
      </c>
      <c r="P298" s="118" t="s">
        <v>1281</v>
      </c>
      <c r="Q298" s="119" t="s">
        <v>1094</v>
      </c>
      <c r="R298" s="120" t="str">
        <f ca="1">IF($C298="S",REFERENCIA.Descricao,"(digite a descrição aqui)")</f>
        <v>ENCHIMENTO DE BRITA Nº 2 E 3 PARA DRENO, LANÇAMENTO MECANIZADO - BASEADO EM SINAPI (102717)</v>
      </c>
      <c r="S298" s="121" t="str">
        <f ca="1">REFERENCIA.Unidade</f>
        <v>M3</v>
      </c>
      <c r="T298" s="122">
        <f ca="1">OFFSET(CÁLCULO!H$15,ROW($T298)-ROW(T$15),0)</f>
        <v>42.51</v>
      </c>
      <c r="U298" s="123">
        <f t="shared" ca="1" si="72"/>
        <v>168.81</v>
      </c>
      <c r="V298" s="124" t="s">
        <v>663</v>
      </c>
      <c r="W298" s="122">
        <f ca="1">IF($C298="S",ROUND(IF(TIPOORCAMENTO="Proposto",ORÇAMENTO.CustoUnitario*(1+$AH298),ORÇAMENTO.PrecoUnitarioLicitado),15-13*$AF$10),0)</f>
        <v>208.48</v>
      </c>
      <c r="X298" s="125" cm="1">
        <f t="array" aca="1" ref="X298" ca="1">IF($C298="S",IF(OR(Import.TipoArredondamento&lt;&gt;"TransfereGOV",ACOMPANHAMENTO="BM"),VTOTAL1,SUM(OFFSET(CÁLCULO!$AI$15,ROW($X298)-ROW($X$15),1):OFFSET(CÁLCULO!$BB$15,ROW($X298)-ROW($X$15),-1))),IF($C298=0,0,ROUND(SomaAgrup,15-13*$AF$11)))</f>
        <v>8862.48</v>
      </c>
      <c r="Y298" s="126" t="s">
        <v>751</v>
      </c>
      <c r="Z298" t="str">
        <f t="shared" ca="1" si="86"/>
        <v>RA</v>
      </c>
      <c r="AA298" s="127">
        <f ca="1">IF($C298="S",IF($Z298="CP",$X298,IF($Z298="RA",(($X298)*QCI!$AA$3),0)),SomaAgrup)</f>
        <v>0</v>
      </c>
      <c r="AB298" s="128">
        <f t="shared" ca="1" si="87"/>
        <v>0</v>
      </c>
      <c r="AC298" s="565" t="str" cm="1">
        <f t="array" aca="1" ref="AC298" ca="1">IF($N298=""," ",
IF(AND($C298&lt;&gt;"S",OR($R298="",$R298="(digite a descrição aqui)")),"DESCRIÇÃO",
IF(AND($C298="S",OR($Q298&lt;&gt;"",$T298&gt;0,$U298&gt;0),$P298=""),"FONTE",
IF(AND($C298="S",$P298&lt;&gt;"",OR($T298&gt;0,$U298&gt;0),$Q298=""),"CÓDIGO",
IF(AND($C298="S",$P298&lt;&gt;"",$Q298&lt;&gt;"",$R298="(Código não identificado nas referências)"),"CÓDIGO N/ID",
IF(AND($C298="S",OR($R298="",$R298="(digite a descrição aqui)"),OR($Q298&lt;&gt;"",$T298&gt;0,$U298&gt;0)),"DESCRIÇÃO",
IF(AND($C298="S",$P298&lt;&gt;"",$Q298&lt;&gt;"",$S298=""),"UNIDADE",
IF(AND($C298="S",$P298&lt;&gt;"",$Q298&lt;&gt;"",$U298=0),"SEM CUSTO",
IF(AND(_xlfn.SINGLE(TIPOORCAMENTO)="Licitado",$AL298=0,$AN298&gt;0),"SEM PREÇO",
IF(AND($C298="S",$P298&lt;&gt;"",$Q298&lt;&gt;"",$U298&gt;0,AND($V298&lt;&gt;"BDI 1",$V298&lt;&gt;"BDI 2",$V298&lt;&gt;"BDI 3")),IF(ISNUMBER($V298),"JUSTIFICAR BDI","BDI"),
IF(OR(AND(import.recurso="OGU",TIPOORCAMENTO="Proposto",LEFT($O$8,5)&lt;&gt;"(N/D:",$AG298&lt;&gt;"",ORÇAMENTO.CustoUnitario&gt;$AG298),AND(TIPOORCAMENTO="LICITADO",ORÇAMENTO.PrecoUnitarioLicitado&gt;$AN298)),"ACIMA REF.",
IF(AND($C298="S",$P298&lt;&gt;"",$Q298&lt;&gt;"",$T298=0,$U298&gt;0),"QUANT.",
IF(AND(Import.TipoArredondamento="TransfereGOV",$L298="F",$C298="S",LEN($Q298)&gt;13),"Código &gt;13",
IF(AND(Import.TipoArredondamento="TransfereGOV",$L298="F",$C298&lt;&gt;"S",LEN($R298)&gt;100),"Descrição &gt;100",
IF(AND(Import.TipoArredondamento="TransfereGOV",$L298="F",$C298="S",LEN($R298)&gt;500),"Descrição &gt;500",
IF(AND(Import.TipoArredondamento="TransfereGOV",$L298="F",$C298="S",LEFT(TRIM(UPPER($P298)),6)&lt;&gt;"SINAPI",ISNA(VLOOKUP(TRIM(UPPER($S298)),ListaTgov.Unidades,1,FALSE))),"Unid. Não Disp",
" "))))))))))))))))</f>
        <v xml:space="preserve"> </v>
      </c>
      <c r="AD298" t="str">
        <f ca="1">IF(C298&lt;=CRONO.NivelExibicao,MAX($AD$15:OFFSET(AD298,-1,0))+IF($C298&lt;&gt;1,1,MAX(1,COUNTIF(QCI!$A$13:$A$15,OFFSET($E298,-1,0)))),"")</f>
        <v/>
      </c>
      <c r="AE298" s="7" t="str">
        <f ca="1">IF(AND($C298="S",ORÇAMENTO.CodBarra&lt;&gt;""),IF(ORÇAMENTO.Fonte="",ORÇAMENTO.CodBarra,CONCATENATE(ORÇAMENTO.Fonte," ",ORÇAMENTO.CodBarra)))</f>
        <v>COMPOSIÇÃO CPU-018</v>
      </c>
      <c r="AF298" s="12">
        <f ca="1">IF(ISERROR(INDIRECT(ORÇAMENTO.BancoRef)),"(abra o arquivo 'Referência "&amp;Excel_BuiltIn_Database&amp;".xlsm)",IF(OR($C298&lt;&gt;"S",ORÇAMENTO.CodBarra=""),"(Sem Código)",IF(ISERROR(MATCH($AE298,INDIRECT(ORÇAMENTO.BancoRef),0)),"(Código não identificado nas referências)",MATCH($AE298,INDIRECT(ORÇAMENTO.BancoRef),0))))</f>
        <v>20</v>
      </c>
      <c r="AG298" s="428">
        <f ca="1">ROUND(IF(DESONERACAO="sim",REFERENCIA.Desonerado,REFERENCIA.NaoDesonerado),2)</f>
        <v>168.81</v>
      </c>
      <c r="AH298" s="429">
        <f t="shared" ca="1" si="88"/>
        <v>0.23499999999999999</v>
      </c>
      <c r="AJ298" s="431">
        <v>42.51</v>
      </c>
      <c r="AL298" s="439"/>
      <c r="AM298" s="336">
        <f t="shared" ca="1" si="74"/>
        <v>8862.48</v>
      </c>
      <c r="AN298" s="470">
        <f t="shared" ca="1" si="89"/>
        <v>208.48</v>
      </c>
    </row>
    <row r="299" spans="1:40" x14ac:dyDescent="0.2">
      <c r="A299">
        <f t="shared" si="75"/>
        <v>4</v>
      </c>
      <c r="B299">
        <f t="shared" ca="1" si="76"/>
        <v>4</v>
      </c>
      <c r="C299">
        <f t="shared" ca="1" si="77"/>
        <v>4</v>
      </c>
      <c r="D299">
        <f t="shared" ca="1" si="78"/>
        <v>3</v>
      </c>
      <c r="E299">
        <f ca="1">IF($C299=1,OFFSET(E299,-1,0)+MAX(1,COUNTIF(QCI!$A$13:$A$15,OFFSET(ORÇAMENTO!E299,-1,0))),OFFSET(E299,-1,0))</f>
        <v>1</v>
      </c>
      <c r="F299">
        <f t="shared" ca="1" si="79"/>
        <v>7</v>
      </c>
      <c r="G299">
        <f t="shared" ca="1" si="80"/>
        <v>3</v>
      </c>
      <c r="H299">
        <f t="shared" ca="1" si="81"/>
        <v>5</v>
      </c>
      <c r="I299">
        <f t="shared" ca="1" si="82"/>
        <v>0</v>
      </c>
      <c r="J299">
        <f t="shared" ca="1" si="73"/>
        <v>3</v>
      </c>
      <c r="K299" t="e">
        <f ca="1">IF(OR($C299="S",$C299=0),0,MATCH(OFFSET($D299,0,$C299)+IF($C299&lt;&gt;1,1,COUNTIF(QCI!$A$13:$A$15,ORÇAMENTO!E299)),OFFSET($D299,1,$C299,ROW($C$508)-ROW($C299)),0))</f>
        <v>#N/A</v>
      </c>
      <c r="L299" s="114" t="str">
        <f t="shared" ca="1" si="83"/>
        <v>F</v>
      </c>
      <c r="M299" s="115" t="s">
        <v>704</v>
      </c>
      <c r="N299" s="116" t="str">
        <f t="shared" ca="1" si="84"/>
        <v>Nível 4</v>
      </c>
      <c r="O299" s="117" t="str">
        <f t="shared" ca="1" si="85"/>
        <v>1.7.3.5.</v>
      </c>
      <c r="P299" s="118" t="s">
        <v>750</v>
      </c>
      <c r="Q299" s="119"/>
      <c r="R299" s="120" t="s">
        <v>1243</v>
      </c>
      <c r="S299" s="121" t="s">
        <v>688</v>
      </c>
      <c r="T299" s="122">
        <f ca="1">OFFSET(CÁLCULO!H$15,ROW($T299)-ROW(T$15),0)</f>
        <v>0</v>
      </c>
      <c r="U299" s="123">
        <f t="shared" ca="1" si="72"/>
        <v>0</v>
      </c>
      <c r="V299" s="124" t="s">
        <v>663</v>
      </c>
      <c r="W299" s="122">
        <f ca="1">IF($C299="S",ROUND(IF(TIPOORCAMENTO="Proposto",ORÇAMENTO.CustoUnitario*(1+$AH299),ORÇAMENTO.PrecoUnitarioLicitado),15-13*$AF$10),0)</f>
        <v>0</v>
      </c>
      <c r="X299" s="125" cm="1">
        <f t="array" aca="1" ref="X299" ca="1">IF($C299="S",IF(OR(Import.TipoArredondamento&lt;&gt;"TransfereGOV",ACOMPANHAMENTO="BM"),VTOTAL1,SUM(OFFSET(CÁLCULO!$AI$15,ROW($X299)-ROW($X$15),1):OFFSET(CÁLCULO!$BB$15,ROW($X299)-ROW($X$15),-1))),IF($C299=0,0,ROUND(SomaAgrup,15-13*$AF$11)))</f>
        <v>4466.55</v>
      </c>
      <c r="Y299" s="126" t="s">
        <v>751</v>
      </c>
      <c r="Z299" t="str">
        <f t="shared" ca="1" si="86"/>
        <v/>
      </c>
      <c r="AA299" s="127">
        <f ca="1">IF($C299="S",IF($Z299="CP",$X299,IF($Z299="RA",(($X299)*QCI!$AA$3),0)),SomaAgrup)</f>
        <v>0</v>
      </c>
      <c r="AB299" s="128">
        <f t="shared" ca="1" si="87"/>
        <v>0</v>
      </c>
      <c r="AC299" s="565" t="str" cm="1">
        <f t="array" aca="1" ref="AC299" ca="1">IF($N299=""," ",
IF(AND($C299&lt;&gt;"S",OR($R299="",$R299="(digite a descrição aqui)")),"DESCRIÇÃO",
IF(AND($C299="S",OR($Q299&lt;&gt;"",$T299&gt;0,$U299&gt;0),$P299=""),"FONTE",
IF(AND($C299="S",$P299&lt;&gt;"",OR($T299&gt;0,$U299&gt;0),$Q299=""),"CÓDIGO",
IF(AND($C299="S",$P299&lt;&gt;"",$Q299&lt;&gt;"",$R299="(Código não identificado nas referências)"),"CÓDIGO N/ID",
IF(AND($C299="S",OR($R299="",$R299="(digite a descrição aqui)"),OR($Q299&lt;&gt;"",$T299&gt;0,$U299&gt;0)),"DESCRIÇÃO",
IF(AND($C299="S",$P299&lt;&gt;"",$Q299&lt;&gt;"",$S299=""),"UNIDADE",
IF(AND($C299="S",$P299&lt;&gt;"",$Q299&lt;&gt;"",$U299=0),"SEM CUSTO",
IF(AND(_xlfn.SINGLE(TIPOORCAMENTO)="Licitado",$AL299=0,$AN299&gt;0),"SEM PREÇO",
IF(AND($C299="S",$P299&lt;&gt;"",$Q299&lt;&gt;"",$U299&gt;0,AND($V299&lt;&gt;"BDI 1",$V299&lt;&gt;"BDI 2",$V299&lt;&gt;"BDI 3")),IF(ISNUMBER($V299),"JUSTIFICAR BDI","BDI"),
IF(OR(AND(import.recurso="OGU",TIPOORCAMENTO="Proposto",LEFT($O$8,5)&lt;&gt;"(N/D:",$AG299&lt;&gt;"",ORÇAMENTO.CustoUnitario&gt;$AG299),AND(TIPOORCAMENTO="LICITADO",ORÇAMENTO.PrecoUnitarioLicitado&gt;$AN299)),"ACIMA REF.",
IF(AND($C299="S",$P299&lt;&gt;"",$Q299&lt;&gt;"",$T299=0,$U299&gt;0),"QUANT.",
IF(AND(Import.TipoArredondamento="TransfereGOV",$L299="F",$C299="S",LEN($Q299)&gt;13),"Código &gt;13",
IF(AND(Import.TipoArredondamento="TransfereGOV",$L299="F",$C299&lt;&gt;"S",LEN($R299)&gt;100),"Descrição &gt;100",
IF(AND(Import.TipoArredondamento="TransfereGOV",$L299="F",$C299="S",LEN($R299)&gt;500),"Descrição &gt;500",
IF(AND(Import.TipoArredondamento="TransfereGOV",$L299="F",$C299="S",LEFT(TRIM(UPPER($P299)),6)&lt;&gt;"SINAPI",ISNA(VLOOKUP(TRIM(UPPER($S299)),ListaTgov.Unidades,1,FALSE))),"Unid. Não Disp",
" "))))))))))))))))</f>
        <v xml:space="preserve"> </v>
      </c>
      <c r="AD299" t="str">
        <f ca="1">IF(C299&lt;=CRONO.NivelExibicao,MAX($AD$15:OFFSET(AD299,-1,0))+IF($C299&lt;&gt;1,1,MAX(1,COUNTIF(QCI!$A$13:$A$15,OFFSET($E299,-1,0)))),"")</f>
        <v/>
      </c>
      <c r="AE299" s="7" t="b">
        <f ca="1">IF(AND($C299="S",ORÇAMENTO.CodBarra&lt;&gt;""),IF(ORÇAMENTO.Fonte="",ORÇAMENTO.CodBarra,CONCATENATE(ORÇAMENTO.Fonte," ",ORÇAMENTO.CodBarra)))</f>
        <v>0</v>
      </c>
      <c r="AF299" s="12" t="str">
        <f ca="1">IF(ISERROR(INDIRECT(ORÇAMENTO.BancoRef)),"(abra o arquivo 'Referência "&amp;Excel_BuiltIn_Database&amp;".xlsm)",IF(OR($C299&lt;&gt;"S",ORÇAMENTO.CodBarra=""),"(Sem Código)",IF(ISERROR(MATCH($AE299,INDIRECT(ORÇAMENTO.BancoRef),0)),"(Código não identificado nas referências)",MATCH($AE299,INDIRECT(ORÇAMENTO.BancoRef),0))))</f>
        <v>(Sem Código)</v>
      </c>
      <c r="AG299" s="428">
        <f ca="1">ROUND(IF(DESONERACAO="sim",REFERENCIA.Desonerado,REFERENCIA.NaoDesonerado),2)</f>
        <v>0</v>
      </c>
      <c r="AH299" s="429">
        <f t="shared" ca="1" si="88"/>
        <v>0.23499999999999999</v>
      </c>
      <c r="AJ299" s="431"/>
      <c r="AL299" s="439"/>
      <c r="AM299" s="336">
        <f t="shared" ca="1" si="74"/>
        <v>4466.55</v>
      </c>
      <c r="AN299" s="470">
        <f t="shared" ca="1" si="89"/>
        <v>0</v>
      </c>
    </row>
    <row r="300" spans="1:40" ht="51" x14ac:dyDescent="0.2">
      <c r="A300" t="str">
        <f t="shared" si="75"/>
        <v>S</v>
      </c>
      <c r="B300">
        <f t="shared" ca="1" si="76"/>
        <v>4</v>
      </c>
      <c r="C300" t="str">
        <f t="shared" ca="1" si="77"/>
        <v>S</v>
      </c>
      <c r="D300">
        <f t="shared" ca="1" si="78"/>
        <v>0</v>
      </c>
      <c r="E300">
        <f ca="1">IF($C300=1,OFFSET(E300,-1,0)+MAX(1,COUNTIF(QCI!$A$13:$A$15,OFFSET(ORÇAMENTO!E300,-1,0))),OFFSET(E300,-1,0))</f>
        <v>1</v>
      </c>
      <c r="F300">
        <f t="shared" ca="1" si="79"/>
        <v>7</v>
      </c>
      <c r="G300">
        <f t="shared" ca="1" si="80"/>
        <v>3</v>
      </c>
      <c r="H300">
        <f t="shared" ca="1" si="81"/>
        <v>5</v>
      </c>
      <c r="I300">
        <f t="shared" ca="1" si="82"/>
        <v>1</v>
      </c>
      <c r="J300">
        <f t="shared" ca="1" si="73"/>
        <v>0</v>
      </c>
      <c r="K300">
        <f ca="1">IF(OR($C300="S",$C300=0),0,MATCH(OFFSET($D300,0,$C300)+IF($C300&lt;&gt;1,1,COUNTIF(QCI!$A$13:$A$15,ORÇAMENTO!E300)),OFFSET($D300,1,$C300,ROW($C$508)-ROW($C300)),0))</f>
        <v>0</v>
      </c>
      <c r="L300" s="114" t="str">
        <f t="shared" ca="1" si="83"/>
        <v>F</v>
      </c>
      <c r="M300" s="115" t="s">
        <v>705</v>
      </c>
      <c r="N300" s="116" t="str">
        <f t="shared" ca="1" si="84"/>
        <v>Serviço</v>
      </c>
      <c r="O300" s="117" t="str">
        <f t="shared" ca="1" si="85"/>
        <v>1.7.3.5.1.</v>
      </c>
      <c r="P300" s="118" t="s">
        <v>750</v>
      </c>
      <c r="Q300" s="119" t="s">
        <v>1020</v>
      </c>
      <c r="R300" s="120" t="str">
        <f ca="1">IF($C300="S",REFERENCIA.Descricao,"(digite a descrição aqui)")</f>
        <v>CARGA, MANOBRA E DESCARGA DE SOLOS E MATERIAIS GRANULARES EM CAMINHÃO BASCULANTE 18 M³ - CARGA COM ESCAVADEIRA HIDRÁULICA (CAÇAMBA DE 1,20 M³ / 155 HP) E DESCARGA LIVRE (UNIDADE: M3). AF_07/2020</v>
      </c>
      <c r="S300" s="121" t="str">
        <f ca="1">REFERENCIA.Unidade</f>
        <v>M3</v>
      </c>
      <c r="T300" s="122">
        <f ca="1">OFFSET(CÁLCULO!H$15,ROW($T300)-ROW(T$15),0)</f>
        <v>88.71</v>
      </c>
      <c r="U300" s="123">
        <f t="shared" ca="1" si="72"/>
        <v>6.52</v>
      </c>
      <c r="V300" s="124" t="s">
        <v>663</v>
      </c>
      <c r="W300" s="122">
        <f ca="1">IF($C300="S",ROUND(IF(TIPOORCAMENTO="Proposto",ORÇAMENTO.CustoUnitario*(1+$AH300),ORÇAMENTO.PrecoUnitarioLicitado),15-13*$AF$10),0)</f>
        <v>8.0500000000000007</v>
      </c>
      <c r="X300" s="125" cm="1">
        <f t="array" aca="1" ref="X300" ca="1">IF($C300="S",IF(OR(Import.TipoArredondamento&lt;&gt;"TransfereGOV",ACOMPANHAMENTO="BM"),VTOTAL1,SUM(OFFSET(CÁLCULO!$AI$15,ROW($X300)-ROW($X$15),1):OFFSET(CÁLCULO!$BB$15,ROW($X300)-ROW($X$15),-1))),IF($C300=0,0,ROUND(SomaAgrup,15-13*$AF$11)))</f>
        <v>714.12</v>
      </c>
      <c r="Y300" s="126" t="s">
        <v>751</v>
      </c>
      <c r="Z300" t="str">
        <f t="shared" ca="1" si="86"/>
        <v>RA</v>
      </c>
      <c r="AA300" s="127">
        <f ca="1">IF($C300="S",IF($Z300="CP",$X300,IF($Z300="RA",(($X300)*QCI!$AA$3),0)),SomaAgrup)</f>
        <v>0</v>
      </c>
      <c r="AB300" s="128">
        <f t="shared" ca="1" si="87"/>
        <v>0</v>
      </c>
      <c r="AC300" s="565" t="str" cm="1">
        <f t="array" aca="1" ref="AC300" ca="1">IF($N300=""," ",
IF(AND($C300&lt;&gt;"S",OR($R300="",$R300="(digite a descrição aqui)")),"DESCRIÇÃO",
IF(AND($C300="S",OR($Q300&lt;&gt;"",$T300&gt;0,$U300&gt;0),$P300=""),"FONTE",
IF(AND($C300="S",$P300&lt;&gt;"",OR($T300&gt;0,$U300&gt;0),$Q300=""),"CÓDIGO",
IF(AND($C300="S",$P300&lt;&gt;"",$Q300&lt;&gt;"",$R300="(Código não identificado nas referências)"),"CÓDIGO N/ID",
IF(AND($C300="S",OR($R300="",$R300="(digite a descrição aqui)"),OR($Q300&lt;&gt;"",$T300&gt;0,$U300&gt;0)),"DESCRIÇÃO",
IF(AND($C300="S",$P300&lt;&gt;"",$Q300&lt;&gt;"",$S300=""),"UNIDADE",
IF(AND($C300="S",$P300&lt;&gt;"",$Q300&lt;&gt;"",$U300=0),"SEM CUSTO",
IF(AND(_xlfn.SINGLE(TIPOORCAMENTO)="Licitado",$AL300=0,$AN300&gt;0),"SEM PREÇO",
IF(AND($C300="S",$P300&lt;&gt;"",$Q300&lt;&gt;"",$U300&gt;0,AND($V300&lt;&gt;"BDI 1",$V300&lt;&gt;"BDI 2",$V300&lt;&gt;"BDI 3")),IF(ISNUMBER($V300),"JUSTIFICAR BDI","BDI"),
IF(OR(AND(import.recurso="OGU",TIPOORCAMENTO="Proposto",LEFT($O$8,5)&lt;&gt;"(N/D:",$AG300&lt;&gt;"",ORÇAMENTO.CustoUnitario&gt;$AG300),AND(TIPOORCAMENTO="LICITADO",ORÇAMENTO.PrecoUnitarioLicitado&gt;$AN300)),"ACIMA REF.",
IF(AND($C300="S",$P300&lt;&gt;"",$Q300&lt;&gt;"",$T300=0,$U300&gt;0),"QUANT.",
IF(AND(Import.TipoArredondamento="TransfereGOV",$L300="F",$C300="S",LEN($Q300)&gt;13),"Código &gt;13",
IF(AND(Import.TipoArredondamento="TransfereGOV",$L300="F",$C300&lt;&gt;"S",LEN($R300)&gt;100),"Descrição &gt;100",
IF(AND(Import.TipoArredondamento="TransfereGOV",$L300="F",$C300="S",LEN($R300)&gt;500),"Descrição &gt;500",
IF(AND(Import.TipoArredondamento="TransfereGOV",$L300="F",$C300="S",LEFT(TRIM(UPPER($P300)),6)&lt;&gt;"SINAPI",ISNA(VLOOKUP(TRIM(UPPER($S300)),ListaTgov.Unidades,1,FALSE))),"Unid. Não Disp",
" "))))))))))))))))</f>
        <v xml:space="preserve"> </v>
      </c>
      <c r="AD300" t="str">
        <f ca="1">IF(C300&lt;=CRONO.NivelExibicao,MAX($AD$15:OFFSET(AD300,-1,0))+IF($C300&lt;&gt;1,1,MAX(1,COUNTIF(QCI!$A$13:$A$15,OFFSET($E300,-1,0)))),"")</f>
        <v/>
      </c>
      <c r="AE300" s="7" t="str">
        <f ca="1">IF(AND($C300="S",ORÇAMENTO.CodBarra&lt;&gt;""),IF(ORÇAMENTO.Fonte="",ORÇAMENTO.CodBarra,CONCATENATE(ORÇAMENTO.Fonte," ",ORÇAMENTO.CodBarra)))</f>
        <v>SINAPI 100980</v>
      </c>
      <c r="AF300" s="12">
        <f ca="1">IF(ISERROR(INDIRECT(ORÇAMENTO.BancoRef)),"(abra o arquivo 'Referência "&amp;Excel_BuiltIn_Database&amp;".xlsm)",IF(OR($C300&lt;&gt;"S",ORÇAMENTO.CodBarra=""),"(Sem Código)",IF(ISERROR(MATCH($AE300,INDIRECT(ORÇAMENTO.BancoRef),0)),"(Código não identificado nas referências)",MATCH($AE300,INDIRECT(ORÇAMENTO.BancoRef),0))))</f>
        <v>15290</v>
      </c>
      <c r="AG300" s="428">
        <f ca="1">ROUND(IF(DESONERACAO="sim",REFERENCIA.Desonerado,REFERENCIA.NaoDesonerado),2)</f>
        <v>6.52</v>
      </c>
      <c r="AH300" s="429">
        <f t="shared" ca="1" si="88"/>
        <v>0.23499999999999999</v>
      </c>
      <c r="AJ300" s="431">
        <f>SUM(AJ295:AJ298)</f>
        <v>88.710000000000008</v>
      </c>
      <c r="AL300" s="439"/>
      <c r="AM300" s="336">
        <f t="shared" ca="1" si="74"/>
        <v>714.12</v>
      </c>
      <c r="AN300" s="470">
        <f t="shared" ca="1" si="89"/>
        <v>8.0500000000000007</v>
      </c>
    </row>
    <row r="301" spans="1:40" ht="38.25" x14ac:dyDescent="0.2">
      <c r="A301" t="str">
        <f t="shared" si="75"/>
        <v>S</v>
      </c>
      <c r="B301">
        <f t="shared" ca="1" si="76"/>
        <v>4</v>
      </c>
      <c r="C301" t="str">
        <f t="shared" ca="1" si="77"/>
        <v>S</v>
      </c>
      <c r="D301">
        <f t="shared" ca="1" si="78"/>
        <v>0</v>
      </c>
      <c r="E301">
        <f ca="1">IF($C301=1,OFFSET(E301,-1,0)+MAX(1,COUNTIF(QCI!$A$13:$A$15,OFFSET(ORÇAMENTO!E301,-1,0))),OFFSET(E301,-1,0))</f>
        <v>1</v>
      </c>
      <c r="F301">
        <f t="shared" ca="1" si="79"/>
        <v>7</v>
      </c>
      <c r="G301">
        <f t="shared" ca="1" si="80"/>
        <v>3</v>
      </c>
      <c r="H301">
        <f t="shared" ca="1" si="81"/>
        <v>5</v>
      </c>
      <c r="I301">
        <f t="shared" ca="1" si="82"/>
        <v>2</v>
      </c>
      <c r="J301">
        <f t="shared" ca="1" si="73"/>
        <v>0</v>
      </c>
      <c r="K301">
        <f ca="1">IF(OR($C301="S",$C301=0),0,MATCH(OFFSET($D301,0,$C301)+IF($C301&lt;&gt;1,1,COUNTIF(QCI!$A$13:$A$15,ORÇAMENTO!E301)),OFFSET($D301,1,$C301,ROW($C$508)-ROW($C301)),0))</f>
        <v>0</v>
      </c>
      <c r="L301" s="114" t="str">
        <f t="shared" ca="1" si="83"/>
        <v>F</v>
      </c>
      <c r="M301" s="115" t="s">
        <v>705</v>
      </c>
      <c r="N301" s="116" t="str">
        <f t="shared" ca="1" si="84"/>
        <v>Serviço</v>
      </c>
      <c r="O301" s="117" t="str">
        <f t="shared" ca="1" si="85"/>
        <v>1.7.3.5.2.</v>
      </c>
      <c r="P301" s="118" t="s">
        <v>750</v>
      </c>
      <c r="Q301" s="119" t="s">
        <v>1021</v>
      </c>
      <c r="R301" s="120" t="str">
        <f ca="1">IF($C301="S",REFERENCIA.Descricao,"(digite a descrição aqui)")</f>
        <v>TRANSPORTE COM CAMINHÃO BASCULANTE DE 18 M³, EM VIA URBANA PAVIMENTADA, DMT ATÉ 30 KM (UNIDADE: M3XKM). AF_07/2020</v>
      </c>
      <c r="S301" s="121" t="str">
        <f ca="1">REFERENCIA.Unidade</f>
        <v>M3XKM</v>
      </c>
      <c r="T301" s="122">
        <f ca="1">OFFSET(CÁLCULO!H$15,ROW($T301)-ROW(T$15),0)</f>
        <v>1596.78</v>
      </c>
      <c r="U301" s="123">
        <f t="shared" ca="1" si="72"/>
        <v>1.9</v>
      </c>
      <c r="V301" s="124" t="s">
        <v>663</v>
      </c>
      <c r="W301" s="122">
        <f ca="1">IF($C301="S",ROUND(IF(TIPOORCAMENTO="Proposto",ORÇAMENTO.CustoUnitario*(1+$AH301),ORÇAMENTO.PrecoUnitarioLicitado),15-13*$AF$10),0)</f>
        <v>2.35</v>
      </c>
      <c r="X301" s="125" cm="1">
        <f t="array" aca="1" ref="X301" ca="1">IF($C301="S",IF(OR(Import.TipoArredondamento&lt;&gt;"TransfereGOV",ACOMPANHAMENTO="BM"),VTOTAL1,SUM(OFFSET(CÁLCULO!$AI$15,ROW($X301)-ROW($X$15),1):OFFSET(CÁLCULO!$BB$15,ROW($X301)-ROW($X$15),-1))),IF($C301=0,0,ROUND(SomaAgrup,15-13*$AF$11)))</f>
        <v>3752.43</v>
      </c>
      <c r="Y301" s="126" t="s">
        <v>751</v>
      </c>
      <c r="Z301" t="str">
        <f t="shared" ca="1" si="86"/>
        <v>RA</v>
      </c>
      <c r="AA301" s="127">
        <f ca="1">IF($C301="S",IF($Z301="CP",$X301,IF($Z301="RA",(($X301)*QCI!$AA$3),0)),SomaAgrup)</f>
        <v>0</v>
      </c>
      <c r="AB301" s="128">
        <f t="shared" ca="1" si="87"/>
        <v>0</v>
      </c>
      <c r="AC301" s="565" t="str" cm="1">
        <f t="array" aca="1" ref="AC301" ca="1">IF($N301=""," ",
IF(AND($C301&lt;&gt;"S",OR($R301="",$R301="(digite a descrição aqui)")),"DESCRIÇÃO",
IF(AND($C301="S",OR($Q301&lt;&gt;"",$T301&gt;0,$U301&gt;0),$P301=""),"FONTE",
IF(AND($C301="S",$P301&lt;&gt;"",OR($T301&gt;0,$U301&gt;0),$Q301=""),"CÓDIGO",
IF(AND($C301="S",$P301&lt;&gt;"",$Q301&lt;&gt;"",$R301="(Código não identificado nas referências)"),"CÓDIGO N/ID",
IF(AND($C301="S",OR($R301="",$R301="(digite a descrição aqui)"),OR($Q301&lt;&gt;"",$T301&gt;0,$U301&gt;0)),"DESCRIÇÃO",
IF(AND($C301="S",$P301&lt;&gt;"",$Q301&lt;&gt;"",$S301=""),"UNIDADE",
IF(AND($C301="S",$P301&lt;&gt;"",$Q301&lt;&gt;"",$U301=0),"SEM CUSTO",
IF(AND(_xlfn.SINGLE(TIPOORCAMENTO)="Licitado",$AL301=0,$AN301&gt;0),"SEM PREÇO",
IF(AND($C301="S",$P301&lt;&gt;"",$Q301&lt;&gt;"",$U301&gt;0,AND($V301&lt;&gt;"BDI 1",$V301&lt;&gt;"BDI 2",$V301&lt;&gt;"BDI 3")),IF(ISNUMBER($V301),"JUSTIFICAR BDI","BDI"),
IF(OR(AND(import.recurso="OGU",TIPOORCAMENTO="Proposto",LEFT($O$8,5)&lt;&gt;"(N/D:",$AG301&lt;&gt;"",ORÇAMENTO.CustoUnitario&gt;$AG301),AND(TIPOORCAMENTO="LICITADO",ORÇAMENTO.PrecoUnitarioLicitado&gt;$AN301)),"ACIMA REF.",
IF(AND($C301="S",$P301&lt;&gt;"",$Q301&lt;&gt;"",$T301=0,$U301&gt;0),"QUANT.",
IF(AND(Import.TipoArredondamento="TransfereGOV",$L301="F",$C301="S",LEN($Q301)&gt;13),"Código &gt;13",
IF(AND(Import.TipoArredondamento="TransfereGOV",$L301="F",$C301&lt;&gt;"S",LEN($R301)&gt;100),"Descrição &gt;100",
IF(AND(Import.TipoArredondamento="TransfereGOV",$L301="F",$C301="S",LEN($R301)&gt;500),"Descrição &gt;500",
IF(AND(Import.TipoArredondamento="TransfereGOV",$L301="F",$C301="S",LEFT(TRIM(UPPER($P301)),6)&lt;&gt;"SINAPI",ISNA(VLOOKUP(TRIM(UPPER($S301)),ListaTgov.Unidades,1,FALSE))),"Unid. Não Disp",
" "))))))))))))))))</f>
        <v xml:space="preserve"> </v>
      </c>
      <c r="AD301" t="str">
        <f ca="1">IF(C301&lt;=CRONO.NivelExibicao,MAX($AD$15:OFFSET(AD301,-1,0))+IF($C301&lt;&gt;1,1,MAX(1,COUNTIF(QCI!$A$13:$A$15,OFFSET($E301,-1,0)))),"")</f>
        <v/>
      </c>
      <c r="AE301" s="7" t="str">
        <f ca="1">IF(AND($C301="S",ORÇAMENTO.CodBarra&lt;&gt;""),IF(ORÇAMENTO.Fonte="",ORÇAMENTO.CodBarra,CONCATENATE(ORÇAMENTO.Fonte," ",ORÇAMENTO.CodBarra)))</f>
        <v>SINAPI 95877</v>
      </c>
      <c r="AF301" s="12">
        <f ca="1">IF(ISERROR(INDIRECT(ORÇAMENTO.BancoRef)),"(abra o arquivo 'Referência "&amp;Excel_BuiltIn_Database&amp;".xlsm)",IF(OR($C301&lt;&gt;"S",ORÇAMENTO.CodBarra=""),"(Sem Código)",IF(ISERROR(MATCH($AE301,INDIRECT(ORÇAMENTO.BancoRef),0)),"(Código não identificado nas referências)",MATCH($AE301,INDIRECT(ORÇAMENTO.BancoRef),0))))</f>
        <v>15362</v>
      </c>
      <c r="AG301" s="428">
        <f ca="1">ROUND(IF(DESONERACAO="sim",REFERENCIA.Desonerado,REFERENCIA.NaoDesonerado),2)</f>
        <v>1.9</v>
      </c>
      <c r="AH301" s="429">
        <f t="shared" ca="1" si="88"/>
        <v>0.23499999999999999</v>
      </c>
      <c r="AJ301" s="431">
        <f>AJ300*18</f>
        <v>1596.7800000000002</v>
      </c>
      <c r="AL301" s="439"/>
      <c r="AM301" s="336">
        <f t="shared" ca="1" si="74"/>
        <v>3752.43</v>
      </c>
      <c r="AN301" s="470">
        <f t="shared" ca="1" si="89"/>
        <v>2.35</v>
      </c>
    </row>
    <row r="302" spans="1:40" x14ac:dyDescent="0.2">
      <c r="A302">
        <f t="shared" si="75"/>
        <v>3</v>
      </c>
      <c r="B302">
        <f t="shared" ca="1" si="76"/>
        <v>3</v>
      </c>
      <c r="C302">
        <f t="shared" ca="1" si="77"/>
        <v>3</v>
      </c>
      <c r="D302">
        <f t="shared" ca="1" si="78"/>
        <v>24</v>
      </c>
      <c r="E302">
        <f ca="1">IF($C302=1,OFFSET(E302,-1,0)+MAX(1,COUNTIF(QCI!$A$13:$A$15,OFFSET(ORÇAMENTO!E302,-1,0))),OFFSET(E302,-1,0))</f>
        <v>1</v>
      </c>
      <c r="F302">
        <f t="shared" ca="1" si="79"/>
        <v>7</v>
      </c>
      <c r="G302">
        <f t="shared" ca="1" si="80"/>
        <v>4</v>
      </c>
      <c r="H302">
        <f t="shared" ca="1" si="81"/>
        <v>0</v>
      </c>
      <c r="I302">
        <f t="shared" ca="1" si="82"/>
        <v>0</v>
      </c>
      <c r="J302">
        <f t="shared" ca="1" si="73"/>
        <v>58</v>
      </c>
      <c r="K302">
        <f ca="1">IF(OR($C302="S",$C302=0),0,MATCH(OFFSET($D302,0,$C302)+IF($C302&lt;&gt;1,1,COUNTIF(QCI!$A$13:$A$15,ORÇAMENTO!E302)),OFFSET($D302,1,$C302,ROW($C$508)-ROW($C302)),0))</f>
        <v>24</v>
      </c>
      <c r="L302" s="114" t="str">
        <f t="shared" ca="1" si="83"/>
        <v>F</v>
      </c>
      <c r="M302" s="115" t="s">
        <v>703</v>
      </c>
      <c r="N302" s="116" t="str">
        <f t="shared" ca="1" si="84"/>
        <v>Nível 3</v>
      </c>
      <c r="O302" s="117" t="str">
        <f t="shared" ca="1" si="85"/>
        <v>1.7.4.</v>
      </c>
      <c r="P302" s="118" t="s">
        <v>750</v>
      </c>
      <c r="Q302" s="119"/>
      <c r="R302" s="120" t="s">
        <v>1225</v>
      </c>
      <c r="S302" s="121" t="s">
        <v>688</v>
      </c>
      <c r="T302" s="122">
        <f ca="1">OFFSET(CÁLCULO!H$15,ROW($T302)-ROW(T$15),0)</f>
        <v>0</v>
      </c>
      <c r="U302" s="123">
        <f t="shared" ca="1" si="72"/>
        <v>0</v>
      </c>
      <c r="V302" s="124" t="s">
        <v>663</v>
      </c>
      <c r="W302" s="122">
        <f ca="1">IF($C302="S",ROUND(IF(TIPOORCAMENTO="Proposto",ORÇAMENTO.CustoUnitario*(1+$AH302),ORÇAMENTO.PrecoUnitarioLicitado),15-13*$AF$10),0)</f>
        <v>0</v>
      </c>
      <c r="X302" s="125" cm="1">
        <f t="array" aca="1" ref="X302" ca="1">IF($C302="S",IF(OR(Import.TipoArredondamento&lt;&gt;"TransfereGOV",ACOMPANHAMENTO="BM"),VTOTAL1,SUM(OFFSET(CÁLCULO!$AI$15,ROW($X302)-ROW($X$15),1):OFFSET(CÁLCULO!$BB$15,ROW($X302)-ROW($X$15),-1))),IF($C302=0,0,ROUND(SomaAgrup,15-13*$AF$11)))</f>
        <v>170544.01</v>
      </c>
      <c r="Y302" s="126" t="s">
        <v>751</v>
      </c>
      <c r="Z302" t="str">
        <f t="shared" ca="1" si="86"/>
        <v/>
      </c>
      <c r="AA302" s="127">
        <f ca="1">IF($C302="S",IF($Z302="CP",$X302,IF($Z302="RA",(($X302)*QCI!$AA$3),0)),SomaAgrup)</f>
        <v>0</v>
      </c>
      <c r="AB302" s="128">
        <f t="shared" ca="1" si="87"/>
        <v>0</v>
      </c>
      <c r="AC302" s="565" t="str" cm="1">
        <f t="array" aca="1" ref="AC302" ca="1">IF($N302=""," ",
IF(AND($C302&lt;&gt;"S",OR($R302="",$R302="(digite a descrição aqui)")),"DESCRIÇÃO",
IF(AND($C302="S",OR($Q302&lt;&gt;"",$T302&gt;0,$U302&gt;0),$P302=""),"FONTE",
IF(AND($C302="S",$P302&lt;&gt;"",OR($T302&gt;0,$U302&gt;0),$Q302=""),"CÓDIGO",
IF(AND($C302="S",$P302&lt;&gt;"",$Q302&lt;&gt;"",$R302="(Código não identificado nas referências)"),"CÓDIGO N/ID",
IF(AND($C302="S",OR($R302="",$R302="(digite a descrição aqui)"),OR($Q302&lt;&gt;"",$T302&gt;0,$U302&gt;0)),"DESCRIÇÃO",
IF(AND($C302="S",$P302&lt;&gt;"",$Q302&lt;&gt;"",$S302=""),"UNIDADE",
IF(AND($C302="S",$P302&lt;&gt;"",$Q302&lt;&gt;"",$U302=0),"SEM CUSTO",
IF(AND(_xlfn.SINGLE(TIPOORCAMENTO)="Licitado",$AL302=0,$AN302&gt;0),"SEM PREÇO",
IF(AND($C302="S",$P302&lt;&gt;"",$Q302&lt;&gt;"",$U302&gt;0,AND($V302&lt;&gt;"BDI 1",$V302&lt;&gt;"BDI 2",$V302&lt;&gt;"BDI 3")),IF(ISNUMBER($V302),"JUSTIFICAR BDI","BDI"),
IF(OR(AND(import.recurso="OGU",TIPOORCAMENTO="Proposto",LEFT($O$8,5)&lt;&gt;"(N/D:",$AG302&lt;&gt;"",ORÇAMENTO.CustoUnitario&gt;$AG302),AND(TIPOORCAMENTO="LICITADO",ORÇAMENTO.PrecoUnitarioLicitado&gt;$AN302)),"ACIMA REF.",
IF(AND($C302="S",$P302&lt;&gt;"",$Q302&lt;&gt;"",$T302=0,$U302&gt;0),"QUANT.",
IF(AND(Import.TipoArredondamento="TransfereGOV",$L302="F",$C302="S",LEN($Q302)&gt;13),"Código &gt;13",
IF(AND(Import.TipoArredondamento="TransfereGOV",$L302="F",$C302&lt;&gt;"S",LEN($R302)&gt;100),"Descrição &gt;100",
IF(AND(Import.TipoArredondamento="TransfereGOV",$L302="F",$C302="S",LEN($R302)&gt;500),"Descrição &gt;500",
IF(AND(Import.TipoArredondamento="TransfereGOV",$L302="F",$C302="S",LEFT(TRIM(UPPER($P302)),6)&lt;&gt;"SINAPI",ISNA(VLOOKUP(TRIM(UPPER($S302)),ListaTgov.Unidades,1,FALSE))),"Unid. Não Disp",
" "))))))))))))))))</f>
        <v xml:space="preserve"> </v>
      </c>
      <c r="AD302" t="str">
        <f ca="1">IF(C302&lt;=CRONO.NivelExibicao,MAX($AD$15:OFFSET(AD302,-1,0))+IF($C302&lt;&gt;1,1,MAX(1,COUNTIF(QCI!$A$13:$A$15,OFFSET($E302,-1,0)))),"")</f>
        <v/>
      </c>
      <c r="AE302" s="7" t="b">
        <f ca="1">IF(AND($C302="S",ORÇAMENTO.CodBarra&lt;&gt;""),IF(ORÇAMENTO.Fonte="",ORÇAMENTO.CodBarra,CONCATENATE(ORÇAMENTO.Fonte," ",ORÇAMENTO.CodBarra)))</f>
        <v>0</v>
      </c>
      <c r="AF302" s="12" t="str">
        <f ca="1">IF(ISERROR(INDIRECT(ORÇAMENTO.BancoRef)),"(abra o arquivo 'Referência "&amp;Excel_BuiltIn_Database&amp;".xlsm)",IF(OR($C302&lt;&gt;"S",ORÇAMENTO.CodBarra=""),"(Sem Código)",IF(ISERROR(MATCH($AE302,INDIRECT(ORÇAMENTO.BancoRef),0)),"(Código não identificado nas referências)",MATCH($AE302,INDIRECT(ORÇAMENTO.BancoRef),0))))</f>
        <v>(Sem Código)</v>
      </c>
      <c r="AG302" s="428">
        <f ca="1">ROUND(IF(DESONERACAO="sim",REFERENCIA.Desonerado,REFERENCIA.NaoDesonerado),2)</f>
        <v>0</v>
      </c>
      <c r="AH302" s="429">
        <f t="shared" ca="1" si="88"/>
        <v>0.23499999999999999</v>
      </c>
      <c r="AJ302" s="431"/>
      <c r="AL302" s="439"/>
      <c r="AM302" s="336">
        <f t="shared" ca="1" si="74"/>
        <v>170544.01</v>
      </c>
      <c r="AN302" s="470">
        <f t="shared" ca="1" si="89"/>
        <v>0</v>
      </c>
    </row>
    <row r="303" spans="1:40" x14ac:dyDescent="0.2">
      <c r="A303">
        <f t="shared" si="75"/>
        <v>4</v>
      </c>
      <c r="B303">
        <f t="shared" ca="1" si="76"/>
        <v>4</v>
      </c>
      <c r="C303">
        <f t="shared" ca="1" si="77"/>
        <v>4</v>
      </c>
      <c r="D303">
        <f t="shared" ca="1" si="78"/>
        <v>9</v>
      </c>
      <c r="E303">
        <f ca="1">IF($C303=1,OFFSET(E303,-1,0)+MAX(1,COUNTIF(QCI!$A$13:$A$15,OFFSET(ORÇAMENTO!E303,-1,0))),OFFSET(E303,-1,0))</f>
        <v>1</v>
      </c>
      <c r="F303">
        <f t="shared" ca="1" si="79"/>
        <v>7</v>
      </c>
      <c r="G303">
        <f t="shared" ca="1" si="80"/>
        <v>4</v>
      </c>
      <c r="H303">
        <f t="shared" ca="1" si="81"/>
        <v>1</v>
      </c>
      <c r="I303">
        <f t="shared" ca="1" si="82"/>
        <v>0</v>
      </c>
      <c r="J303">
        <f t="shared" ca="1" si="73"/>
        <v>23</v>
      </c>
      <c r="K303">
        <f ca="1">IF(OR($C303="S",$C303=0),0,MATCH(OFFSET($D303,0,$C303)+IF($C303&lt;&gt;1,1,COUNTIF(QCI!$A$13:$A$15,ORÇAMENTO!E303)),OFFSET($D303,1,$C303,ROW($C$508)-ROW($C303)),0))</f>
        <v>9</v>
      </c>
      <c r="L303" s="114" t="str">
        <f t="shared" ca="1" si="83"/>
        <v>F</v>
      </c>
      <c r="M303" s="115" t="s">
        <v>704</v>
      </c>
      <c r="N303" s="116" t="str">
        <f t="shared" ca="1" si="84"/>
        <v>Nível 4</v>
      </c>
      <c r="O303" s="117" t="str">
        <f t="shared" ca="1" si="85"/>
        <v>1.7.4.1.</v>
      </c>
      <c r="P303" s="118" t="s">
        <v>750</v>
      </c>
      <c r="Q303" s="119"/>
      <c r="R303" s="120" t="s">
        <v>1239</v>
      </c>
      <c r="S303" s="121" t="s">
        <v>688</v>
      </c>
      <c r="T303" s="122">
        <f ca="1">OFFSET(CÁLCULO!H$15,ROW($T303)-ROW(T$15),0)</f>
        <v>0</v>
      </c>
      <c r="U303" s="123">
        <f t="shared" ca="1" si="72"/>
        <v>0</v>
      </c>
      <c r="V303" s="124" t="s">
        <v>663</v>
      </c>
      <c r="W303" s="122">
        <f ca="1">IF($C303="S",ROUND(IF(TIPOORCAMENTO="Proposto",ORÇAMENTO.CustoUnitario*(1+$AH303),ORÇAMENTO.PrecoUnitarioLicitado),15-13*$AF$10),0)</f>
        <v>0</v>
      </c>
      <c r="X303" s="125" cm="1">
        <f t="array" aca="1" ref="X303" ca="1">IF($C303="S",IF(OR(Import.TipoArredondamento&lt;&gt;"TransfereGOV",ACOMPANHAMENTO="BM"),VTOTAL1,SUM(OFFSET(CÁLCULO!$AI$15,ROW($X303)-ROW($X$15),1):OFFSET(CÁLCULO!$BB$15,ROW($X303)-ROW($X$15),-1))),IF($C303=0,0,ROUND(SomaAgrup,15-13*$AF$11)))</f>
        <v>44818.51</v>
      </c>
      <c r="Y303" s="126" t="s">
        <v>751</v>
      </c>
      <c r="Z303" t="str">
        <f t="shared" ca="1" si="86"/>
        <v/>
      </c>
      <c r="AA303" s="127">
        <f ca="1">IF($C303="S",IF($Z303="CP",$X303,IF($Z303="RA",(($X303)*QCI!$AA$3),0)),SomaAgrup)</f>
        <v>0</v>
      </c>
      <c r="AB303" s="128">
        <f t="shared" ca="1" si="87"/>
        <v>0</v>
      </c>
      <c r="AC303" s="565" t="str" cm="1">
        <f t="array" aca="1" ref="AC303" ca="1">IF($N303=""," ",
IF(AND($C303&lt;&gt;"S",OR($R303="",$R303="(digite a descrição aqui)")),"DESCRIÇÃO",
IF(AND($C303="S",OR($Q303&lt;&gt;"",$T303&gt;0,$U303&gt;0),$P303=""),"FONTE",
IF(AND($C303="S",$P303&lt;&gt;"",OR($T303&gt;0,$U303&gt;0),$Q303=""),"CÓDIGO",
IF(AND($C303="S",$P303&lt;&gt;"",$Q303&lt;&gt;"",$R303="(Código não identificado nas referências)"),"CÓDIGO N/ID",
IF(AND($C303="S",OR($R303="",$R303="(digite a descrição aqui)"),OR($Q303&lt;&gt;"",$T303&gt;0,$U303&gt;0)),"DESCRIÇÃO",
IF(AND($C303="S",$P303&lt;&gt;"",$Q303&lt;&gt;"",$S303=""),"UNIDADE",
IF(AND($C303="S",$P303&lt;&gt;"",$Q303&lt;&gt;"",$U303=0),"SEM CUSTO",
IF(AND(_xlfn.SINGLE(TIPOORCAMENTO)="Licitado",$AL303=0,$AN303&gt;0),"SEM PREÇO",
IF(AND($C303="S",$P303&lt;&gt;"",$Q303&lt;&gt;"",$U303&gt;0,AND($V303&lt;&gt;"BDI 1",$V303&lt;&gt;"BDI 2",$V303&lt;&gt;"BDI 3")),IF(ISNUMBER($V303),"JUSTIFICAR BDI","BDI"),
IF(OR(AND(import.recurso="OGU",TIPOORCAMENTO="Proposto",LEFT($O$8,5)&lt;&gt;"(N/D:",$AG303&lt;&gt;"",ORÇAMENTO.CustoUnitario&gt;$AG303),AND(TIPOORCAMENTO="LICITADO",ORÇAMENTO.PrecoUnitarioLicitado&gt;$AN303)),"ACIMA REF.",
IF(AND($C303="S",$P303&lt;&gt;"",$Q303&lt;&gt;"",$T303=0,$U303&gt;0),"QUANT.",
IF(AND(Import.TipoArredondamento="TransfereGOV",$L303="F",$C303="S",LEN($Q303)&gt;13),"Código &gt;13",
IF(AND(Import.TipoArredondamento="TransfereGOV",$L303="F",$C303&lt;&gt;"S",LEN($R303)&gt;100),"Descrição &gt;100",
IF(AND(Import.TipoArredondamento="TransfereGOV",$L303="F",$C303="S",LEN($R303)&gt;500),"Descrição &gt;500",
IF(AND(Import.TipoArredondamento="TransfereGOV",$L303="F",$C303="S",LEFT(TRIM(UPPER($P303)),6)&lt;&gt;"SINAPI",ISNA(VLOOKUP(TRIM(UPPER($S303)),ListaTgov.Unidades,1,FALSE))),"Unid. Não Disp",
" "))))))))))))))))</f>
        <v xml:space="preserve"> </v>
      </c>
      <c r="AD303" t="str">
        <f ca="1">IF(C303&lt;=CRONO.NivelExibicao,MAX($AD$15:OFFSET(AD303,-1,0))+IF($C303&lt;&gt;1,1,MAX(1,COUNTIF(QCI!$A$13:$A$15,OFFSET($E303,-1,0)))),"")</f>
        <v/>
      </c>
      <c r="AE303" s="7" t="b">
        <f ca="1">IF(AND($C303="S",ORÇAMENTO.CodBarra&lt;&gt;""),IF(ORÇAMENTO.Fonte="",ORÇAMENTO.CodBarra,CONCATENATE(ORÇAMENTO.Fonte," ",ORÇAMENTO.CodBarra)))</f>
        <v>0</v>
      </c>
      <c r="AF303" s="12" t="str">
        <f ca="1">IF(ISERROR(INDIRECT(ORÇAMENTO.BancoRef)),"(abra o arquivo 'Referência "&amp;Excel_BuiltIn_Database&amp;".xlsm)",IF(OR($C303&lt;&gt;"S",ORÇAMENTO.CodBarra=""),"(Sem Código)",IF(ISERROR(MATCH($AE303,INDIRECT(ORÇAMENTO.BancoRef),0)),"(Código não identificado nas referências)",MATCH($AE303,INDIRECT(ORÇAMENTO.BancoRef),0))))</f>
        <v>(Sem Código)</v>
      </c>
      <c r="AG303" s="428">
        <f ca="1">ROUND(IF(DESONERACAO="sim",REFERENCIA.Desonerado,REFERENCIA.NaoDesonerado),2)</f>
        <v>0</v>
      </c>
      <c r="AH303" s="429">
        <f t="shared" ca="1" si="88"/>
        <v>0.23499999999999999</v>
      </c>
      <c r="AJ303" s="431"/>
      <c r="AL303" s="439"/>
      <c r="AM303" s="336">
        <f t="shared" ca="1" si="74"/>
        <v>44818.51</v>
      </c>
      <c r="AN303" s="470">
        <f t="shared" ca="1" si="89"/>
        <v>0</v>
      </c>
    </row>
    <row r="304" spans="1:40" x14ac:dyDescent="0.2">
      <c r="A304" t="str">
        <f t="shared" si="75"/>
        <v>S</v>
      </c>
      <c r="B304">
        <f t="shared" ca="1" si="76"/>
        <v>4</v>
      </c>
      <c r="C304" t="str">
        <f t="shared" ca="1" si="77"/>
        <v>S</v>
      </c>
      <c r="D304">
        <f t="shared" ca="1" si="78"/>
        <v>0</v>
      </c>
      <c r="E304">
        <f ca="1">IF($C304=1,OFFSET(E304,-1,0)+MAX(1,COUNTIF(QCI!$A$13:$A$15,OFFSET(ORÇAMENTO!E304,-1,0))),OFFSET(E304,-1,0))</f>
        <v>1</v>
      </c>
      <c r="F304">
        <f t="shared" ca="1" si="79"/>
        <v>7</v>
      </c>
      <c r="G304">
        <f t="shared" ca="1" si="80"/>
        <v>4</v>
      </c>
      <c r="H304">
        <f t="shared" ca="1" si="81"/>
        <v>1</v>
      </c>
      <c r="I304">
        <f t="shared" ca="1" si="82"/>
        <v>1</v>
      </c>
      <c r="J304">
        <f t="shared" ca="1" si="73"/>
        <v>0</v>
      </c>
      <c r="K304">
        <f ca="1">IF(OR($C304="S",$C304=0),0,MATCH(OFFSET($D304,0,$C304)+IF($C304&lt;&gt;1,1,COUNTIF(QCI!$A$13:$A$15,ORÇAMENTO!E304)),OFFSET($D304,1,$C304,ROW($C$508)-ROW($C304)),0))</f>
        <v>0</v>
      </c>
      <c r="L304" s="114" t="str">
        <f t="shared" ca="1" si="83"/>
        <v>F</v>
      </c>
      <c r="M304" s="115" t="s">
        <v>705</v>
      </c>
      <c r="N304" s="116" t="str">
        <f t="shared" ca="1" si="84"/>
        <v>Serviço</v>
      </c>
      <c r="O304" s="117" t="str">
        <f t="shared" ca="1" si="85"/>
        <v>1.7.4.1.1.</v>
      </c>
      <c r="P304" s="118" t="s">
        <v>1283</v>
      </c>
      <c r="Q304" s="119" t="s">
        <v>1095</v>
      </c>
      <c r="R304" s="120" t="str">
        <f ca="1">IF($C304="S",REFERENCIA.Descricao,"(digite a descrição aqui)")</f>
        <v>CURVA 90 BOLSAS FoFo - DN 150 MM</v>
      </c>
      <c r="S304" s="121" t="str">
        <f ca="1">REFERENCIA.Unidade</f>
        <v>UN</v>
      </c>
      <c r="T304" s="122">
        <f ca="1">OFFSET(CÁLCULO!H$15,ROW($T304)-ROW(T$15),0)</f>
        <v>7</v>
      </c>
      <c r="U304" s="123">
        <f t="shared" ca="1" si="72"/>
        <v>513.91</v>
      </c>
      <c r="V304" s="124" t="s">
        <v>697</v>
      </c>
      <c r="W304" s="122">
        <f ca="1">IF($C304="S",ROUND(IF(TIPOORCAMENTO="Proposto",ORÇAMENTO.CustoUnitario*(1+$AH304),ORÇAMENTO.PrecoUnitarioLicitado),15-13*$AF$10),0)</f>
        <v>600.25</v>
      </c>
      <c r="X304" s="125" cm="1">
        <f t="array" aca="1" ref="X304" ca="1">IF($C304="S",IF(OR(Import.TipoArredondamento&lt;&gt;"TransfereGOV",ACOMPANHAMENTO="BM"),VTOTAL1,SUM(OFFSET(CÁLCULO!$AI$15,ROW($X304)-ROW($X$15),1):OFFSET(CÁLCULO!$BB$15,ROW($X304)-ROW($X$15),-1))),IF($C304=0,0,ROUND(SomaAgrup,15-13*$AF$11)))</f>
        <v>4201.75</v>
      </c>
      <c r="Y304" s="126" t="s">
        <v>751</v>
      </c>
      <c r="Z304" t="str">
        <f t="shared" ca="1" si="86"/>
        <v>RA</v>
      </c>
      <c r="AA304" s="127">
        <f ca="1">IF($C304="S",IF($Z304="CP",$X304,IF($Z304="RA",(($X304)*QCI!$AA$3),0)),SomaAgrup)</f>
        <v>0</v>
      </c>
      <c r="AB304" s="128">
        <f t="shared" ca="1" si="87"/>
        <v>0</v>
      </c>
      <c r="AC304" s="565" t="str" cm="1">
        <f t="array" aca="1" ref="AC304" ca="1">IF($N304=""," ",
IF(AND($C304&lt;&gt;"S",OR($R304="",$R304="(digite a descrição aqui)")),"DESCRIÇÃO",
IF(AND($C304="S",OR($Q304&lt;&gt;"",$T304&gt;0,$U304&gt;0),$P304=""),"FONTE",
IF(AND($C304="S",$P304&lt;&gt;"",OR($T304&gt;0,$U304&gt;0),$Q304=""),"CÓDIGO",
IF(AND($C304="S",$P304&lt;&gt;"",$Q304&lt;&gt;"",$R304="(Código não identificado nas referências)"),"CÓDIGO N/ID",
IF(AND($C304="S",OR($R304="",$R304="(digite a descrição aqui)"),OR($Q304&lt;&gt;"",$T304&gt;0,$U304&gt;0)),"DESCRIÇÃO",
IF(AND($C304="S",$P304&lt;&gt;"",$Q304&lt;&gt;"",$S304=""),"UNIDADE",
IF(AND($C304="S",$P304&lt;&gt;"",$Q304&lt;&gt;"",$U304=0),"SEM CUSTO",
IF(AND(_xlfn.SINGLE(TIPOORCAMENTO)="Licitado",$AL304=0,$AN304&gt;0),"SEM PREÇO",
IF(AND($C304="S",$P304&lt;&gt;"",$Q304&lt;&gt;"",$U304&gt;0,AND($V304&lt;&gt;"BDI 1",$V304&lt;&gt;"BDI 2",$V304&lt;&gt;"BDI 3")),IF(ISNUMBER($V304),"JUSTIFICAR BDI","BDI"),
IF(OR(AND(import.recurso="OGU",TIPOORCAMENTO="Proposto",LEFT($O$8,5)&lt;&gt;"(N/D:",$AG304&lt;&gt;"",ORÇAMENTO.CustoUnitario&gt;$AG304),AND(TIPOORCAMENTO="LICITADO",ORÇAMENTO.PrecoUnitarioLicitado&gt;$AN304)),"ACIMA REF.",
IF(AND($C304="S",$P304&lt;&gt;"",$Q304&lt;&gt;"",$T304=0,$U304&gt;0),"QUANT.",
IF(AND(Import.TipoArredondamento="TransfereGOV",$L304="F",$C304="S",LEN($Q304)&gt;13),"Código &gt;13",
IF(AND(Import.TipoArredondamento="TransfereGOV",$L304="F",$C304&lt;&gt;"S",LEN($R304)&gt;100),"Descrição &gt;100",
IF(AND(Import.TipoArredondamento="TransfereGOV",$L304="F",$C304="S",LEN($R304)&gt;500),"Descrição &gt;500",
IF(AND(Import.TipoArredondamento="TransfereGOV",$L304="F",$C304="S",LEFT(TRIM(UPPER($P304)),6)&lt;&gt;"SINAPI",ISNA(VLOOKUP(TRIM(UPPER($S304)),ListaTgov.Unidades,1,FALSE))),"Unid. Não Disp",
" "))))))))))))))))</f>
        <v xml:space="preserve"> </v>
      </c>
      <c r="AD304" t="str">
        <f ca="1">IF(C304&lt;=CRONO.NivelExibicao,MAX($AD$15:OFFSET(AD304,-1,0))+IF($C304&lt;&gt;1,1,MAX(1,COUNTIF(QCI!$A$13:$A$15,OFFSET($E304,-1,0)))),"")</f>
        <v/>
      </c>
      <c r="AE304" s="7" t="str">
        <f ca="1">IF(AND($C304="S",ORÇAMENTO.CodBarra&lt;&gt;""),IF(ORÇAMENTO.Fonte="",ORÇAMENTO.CodBarra,CONCATENATE(ORÇAMENTO.Fonte," ",ORÇAMENTO.CodBarra)))</f>
        <v>COTAÇÃO COT-037</v>
      </c>
      <c r="AF304" s="12">
        <f ca="1">IF(ISERROR(INDIRECT(ORÇAMENTO.BancoRef)),"(abra o arquivo 'Referência "&amp;Excel_BuiltIn_Database&amp;".xlsm)",IF(OR($C304&lt;&gt;"S",ORÇAMENTO.CodBarra=""),"(Sem Código)",IF(ISERROR(MATCH($AE304,INDIRECT(ORÇAMENTO.BancoRef),0)),"(Código não identificado nas referências)",MATCH($AE304,INDIRECT(ORÇAMENTO.BancoRef),0))))</f>
        <v>105</v>
      </c>
      <c r="AG304" s="428">
        <f ca="1">ROUND(IF(DESONERACAO="sim",REFERENCIA.Desonerado,REFERENCIA.NaoDesonerado),2)</f>
        <v>513.91</v>
      </c>
      <c r="AH304" s="429">
        <f t="shared" ca="1" si="88"/>
        <v>0.16800000000000001</v>
      </c>
      <c r="AJ304" s="431">
        <v>7</v>
      </c>
      <c r="AL304" s="439"/>
      <c r="AM304" s="336">
        <f t="shared" ca="1" si="74"/>
        <v>4201.75</v>
      </c>
      <c r="AN304" s="470">
        <f t="shared" ca="1" si="89"/>
        <v>600.25</v>
      </c>
    </row>
    <row r="305" spans="1:40" x14ac:dyDescent="0.2">
      <c r="A305" t="str">
        <f t="shared" si="75"/>
        <v>S</v>
      </c>
      <c r="B305">
        <f t="shared" ca="1" si="76"/>
        <v>4</v>
      </c>
      <c r="C305" t="str">
        <f t="shared" ca="1" si="77"/>
        <v>S</v>
      </c>
      <c r="D305">
        <f t="shared" ca="1" si="78"/>
        <v>0</v>
      </c>
      <c r="E305">
        <f ca="1">IF($C305=1,OFFSET(E305,-1,0)+MAX(1,COUNTIF(QCI!$A$13:$A$15,OFFSET(ORÇAMENTO!E305,-1,0))),OFFSET(E305,-1,0))</f>
        <v>1</v>
      </c>
      <c r="F305">
        <f t="shared" ca="1" si="79"/>
        <v>7</v>
      </c>
      <c r="G305">
        <f t="shared" ca="1" si="80"/>
        <v>4</v>
      </c>
      <c r="H305">
        <f t="shared" ca="1" si="81"/>
        <v>1</v>
      </c>
      <c r="I305">
        <f t="shared" ca="1" si="82"/>
        <v>2</v>
      </c>
      <c r="J305">
        <f t="shared" ca="1" si="73"/>
        <v>0</v>
      </c>
      <c r="K305">
        <f ca="1">IF(OR($C305="S",$C305=0),0,MATCH(OFFSET($D305,0,$C305)+IF($C305&lt;&gt;1,1,COUNTIF(QCI!$A$13:$A$15,ORÇAMENTO!E305)),OFFSET($D305,1,$C305,ROW($C$508)-ROW($C305)),0))</f>
        <v>0</v>
      </c>
      <c r="L305" s="114" t="str">
        <f t="shared" ca="1" si="83"/>
        <v>F</v>
      </c>
      <c r="M305" s="115" t="s">
        <v>705</v>
      </c>
      <c r="N305" s="116" t="str">
        <f t="shared" ca="1" si="84"/>
        <v>Serviço</v>
      </c>
      <c r="O305" s="117" t="str">
        <f t="shared" ca="1" si="85"/>
        <v>1.7.4.1.2.</v>
      </c>
      <c r="P305" s="118" t="s">
        <v>1283</v>
      </c>
      <c r="Q305" s="119" t="s">
        <v>1096</v>
      </c>
      <c r="R305" s="120" t="str">
        <f ca="1">IF($C305="S",REFERENCIA.Descricao,"(digite a descrição aqui)")</f>
        <v>TUBO PONTA/FLANGE FoFo L = 0,90 M - DN 150 MM</v>
      </c>
      <c r="S305" s="121" t="str">
        <f ca="1">REFERENCIA.Unidade</f>
        <v>UN</v>
      </c>
      <c r="T305" s="122">
        <f ca="1">OFFSET(CÁLCULO!H$15,ROW($T305)-ROW(T$15),0)</f>
        <v>6</v>
      </c>
      <c r="U305" s="123">
        <f t="shared" ca="1" si="72"/>
        <v>1154.47</v>
      </c>
      <c r="V305" s="124" t="s">
        <v>697</v>
      </c>
      <c r="W305" s="122">
        <f ca="1">IF($C305="S",ROUND(IF(TIPOORCAMENTO="Proposto",ORÇAMENTO.CustoUnitario*(1+$AH305),ORÇAMENTO.PrecoUnitarioLicitado),15-13*$AF$10),0)</f>
        <v>1348.42</v>
      </c>
      <c r="X305" s="125" cm="1">
        <f t="array" aca="1" ref="X305" ca="1">IF($C305="S",IF(OR(Import.TipoArredondamento&lt;&gt;"TransfereGOV",ACOMPANHAMENTO="BM"),VTOTAL1,SUM(OFFSET(CÁLCULO!$AI$15,ROW($X305)-ROW($X$15),1):OFFSET(CÁLCULO!$BB$15,ROW($X305)-ROW($X$15),-1))),IF($C305=0,0,ROUND(SomaAgrup,15-13*$AF$11)))</f>
        <v>8090.52</v>
      </c>
      <c r="Y305" s="126" t="s">
        <v>751</v>
      </c>
      <c r="Z305" t="str">
        <f t="shared" ca="1" si="86"/>
        <v>RA</v>
      </c>
      <c r="AA305" s="127">
        <f ca="1">IF($C305="S",IF($Z305="CP",$X305,IF($Z305="RA",(($X305)*QCI!$AA$3),0)),SomaAgrup)</f>
        <v>0</v>
      </c>
      <c r="AB305" s="128">
        <f t="shared" ca="1" si="87"/>
        <v>0</v>
      </c>
      <c r="AC305" s="565" t="str" cm="1">
        <f t="array" aca="1" ref="AC305" ca="1">IF($N305=""," ",
IF(AND($C305&lt;&gt;"S",OR($R305="",$R305="(digite a descrição aqui)")),"DESCRIÇÃO",
IF(AND($C305="S",OR($Q305&lt;&gt;"",$T305&gt;0,$U305&gt;0),$P305=""),"FONTE",
IF(AND($C305="S",$P305&lt;&gt;"",OR($T305&gt;0,$U305&gt;0),$Q305=""),"CÓDIGO",
IF(AND($C305="S",$P305&lt;&gt;"",$Q305&lt;&gt;"",$R305="(Código não identificado nas referências)"),"CÓDIGO N/ID",
IF(AND($C305="S",OR($R305="",$R305="(digite a descrição aqui)"),OR($Q305&lt;&gt;"",$T305&gt;0,$U305&gt;0)),"DESCRIÇÃO",
IF(AND($C305="S",$P305&lt;&gt;"",$Q305&lt;&gt;"",$S305=""),"UNIDADE",
IF(AND($C305="S",$P305&lt;&gt;"",$Q305&lt;&gt;"",$U305=0),"SEM CUSTO",
IF(AND(_xlfn.SINGLE(TIPOORCAMENTO)="Licitado",$AL305=0,$AN305&gt;0),"SEM PREÇO",
IF(AND($C305="S",$P305&lt;&gt;"",$Q305&lt;&gt;"",$U305&gt;0,AND($V305&lt;&gt;"BDI 1",$V305&lt;&gt;"BDI 2",$V305&lt;&gt;"BDI 3")),IF(ISNUMBER($V305),"JUSTIFICAR BDI","BDI"),
IF(OR(AND(import.recurso="OGU",TIPOORCAMENTO="Proposto",LEFT($O$8,5)&lt;&gt;"(N/D:",$AG305&lt;&gt;"",ORÇAMENTO.CustoUnitario&gt;$AG305),AND(TIPOORCAMENTO="LICITADO",ORÇAMENTO.PrecoUnitarioLicitado&gt;$AN305)),"ACIMA REF.",
IF(AND($C305="S",$P305&lt;&gt;"",$Q305&lt;&gt;"",$T305=0,$U305&gt;0),"QUANT.",
IF(AND(Import.TipoArredondamento="TransfereGOV",$L305="F",$C305="S",LEN($Q305)&gt;13),"Código &gt;13",
IF(AND(Import.TipoArredondamento="TransfereGOV",$L305="F",$C305&lt;&gt;"S",LEN($R305)&gt;100),"Descrição &gt;100",
IF(AND(Import.TipoArredondamento="TransfereGOV",$L305="F",$C305="S",LEN($R305)&gt;500),"Descrição &gt;500",
IF(AND(Import.TipoArredondamento="TransfereGOV",$L305="F",$C305="S",LEFT(TRIM(UPPER($P305)),6)&lt;&gt;"SINAPI",ISNA(VLOOKUP(TRIM(UPPER($S305)),ListaTgov.Unidades,1,FALSE))),"Unid. Não Disp",
" "))))))))))))))))</f>
        <v xml:space="preserve"> </v>
      </c>
      <c r="AD305" t="str">
        <f ca="1">IF(C305&lt;=CRONO.NivelExibicao,MAX($AD$15:OFFSET(AD305,-1,0))+IF($C305&lt;&gt;1,1,MAX(1,COUNTIF(QCI!$A$13:$A$15,OFFSET($E305,-1,0)))),"")</f>
        <v/>
      </c>
      <c r="AE305" s="7" t="str">
        <f ca="1">IF(AND($C305="S",ORÇAMENTO.CodBarra&lt;&gt;""),IF(ORÇAMENTO.Fonte="",ORÇAMENTO.CodBarra,CONCATENATE(ORÇAMENTO.Fonte," ",ORÇAMENTO.CodBarra)))</f>
        <v>COTAÇÃO COT-038</v>
      </c>
      <c r="AF305" s="12">
        <f ca="1">IF(ISERROR(INDIRECT(ORÇAMENTO.BancoRef)),"(abra o arquivo 'Referência "&amp;Excel_BuiltIn_Database&amp;".xlsm)",IF(OR($C305&lt;&gt;"S",ORÇAMENTO.CodBarra=""),"(Sem Código)",IF(ISERROR(MATCH($AE305,INDIRECT(ORÇAMENTO.BancoRef),0)),"(Código não identificado nas referências)",MATCH($AE305,INDIRECT(ORÇAMENTO.BancoRef),0))))</f>
        <v>106</v>
      </c>
      <c r="AG305" s="428">
        <f ca="1">ROUND(IF(DESONERACAO="sim",REFERENCIA.Desonerado,REFERENCIA.NaoDesonerado),2)</f>
        <v>1154.47</v>
      </c>
      <c r="AH305" s="429">
        <f t="shared" ca="1" si="88"/>
        <v>0.16800000000000001</v>
      </c>
      <c r="AJ305" s="431">
        <v>6</v>
      </c>
      <c r="AL305" s="439"/>
      <c r="AM305" s="336">
        <f t="shared" ca="1" si="74"/>
        <v>8090.52</v>
      </c>
      <c r="AN305" s="470">
        <f t="shared" ca="1" si="89"/>
        <v>1348.42</v>
      </c>
    </row>
    <row r="306" spans="1:40" x14ac:dyDescent="0.2">
      <c r="A306" t="str">
        <f t="shared" si="75"/>
        <v>S</v>
      </c>
      <c r="B306">
        <f t="shared" ca="1" si="76"/>
        <v>4</v>
      </c>
      <c r="C306" t="str">
        <f t="shared" ca="1" si="77"/>
        <v>S</v>
      </c>
      <c r="D306">
        <f t="shared" ca="1" si="78"/>
        <v>0</v>
      </c>
      <c r="E306">
        <f ca="1">IF($C306=1,OFFSET(E306,-1,0)+MAX(1,COUNTIF(QCI!$A$13:$A$15,OFFSET(ORÇAMENTO!E306,-1,0))),OFFSET(E306,-1,0))</f>
        <v>1</v>
      </c>
      <c r="F306">
        <f t="shared" ca="1" si="79"/>
        <v>7</v>
      </c>
      <c r="G306">
        <f t="shared" ca="1" si="80"/>
        <v>4</v>
      </c>
      <c r="H306">
        <f t="shared" ca="1" si="81"/>
        <v>1</v>
      </c>
      <c r="I306">
        <f t="shared" ca="1" si="82"/>
        <v>3</v>
      </c>
      <c r="J306">
        <f t="shared" ca="1" si="73"/>
        <v>0</v>
      </c>
      <c r="K306">
        <f ca="1">IF(OR($C306="S",$C306=0),0,MATCH(OFFSET($D306,0,$C306)+IF($C306&lt;&gt;1,1,COUNTIF(QCI!$A$13:$A$15,ORÇAMENTO!E306)),OFFSET($D306,1,$C306,ROW($C$508)-ROW($C306)),0))</f>
        <v>0</v>
      </c>
      <c r="L306" s="114" t="str">
        <f t="shared" ca="1" si="83"/>
        <v>F</v>
      </c>
      <c r="M306" s="115" t="s">
        <v>705</v>
      </c>
      <c r="N306" s="116" t="str">
        <f t="shared" ca="1" si="84"/>
        <v>Serviço</v>
      </c>
      <c r="O306" s="117" t="str">
        <f t="shared" ca="1" si="85"/>
        <v>1.7.4.1.3.</v>
      </c>
      <c r="P306" s="118" t="s">
        <v>1283</v>
      </c>
      <c r="Q306" s="119" t="s">
        <v>1083</v>
      </c>
      <c r="R306" s="120" t="str">
        <f ca="1">IF($C306="S",REFERENCIA.Descricao,"(digite a descrição aqui)")</f>
        <v>CURVA 90 FLANGEADA FoFo - DN 150 MM - FORNECIMENTO</v>
      </c>
      <c r="S306" s="121" t="str">
        <f ca="1">REFERENCIA.Unidade</f>
        <v>UN</v>
      </c>
      <c r="T306" s="122">
        <f ca="1">OFFSET(CÁLCULO!H$15,ROW($T306)-ROW(T$15),0)</f>
        <v>12</v>
      </c>
      <c r="U306" s="123">
        <f t="shared" ca="1" si="72"/>
        <v>638.97</v>
      </c>
      <c r="V306" s="124" t="s">
        <v>697</v>
      </c>
      <c r="W306" s="122">
        <f ca="1">IF($C306="S",ROUND(IF(TIPOORCAMENTO="Proposto",ORÇAMENTO.CustoUnitario*(1+$AH306),ORÇAMENTO.PrecoUnitarioLicitado),15-13*$AF$10),0)</f>
        <v>746.32</v>
      </c>
      <c r="X306" s="125" cm="1">
        <f t="array" aca="1" ref="X306" ca="1">IF($C306="S",IF(OR(Import.TipoArredondamento&lt;&gt;"TransfereGOV",ACOMPANHAMENTO="BM"),VTOTAL1,SUM(OFFSET(CÁLCULO!$AI$15,ROW($X306)-ROW($X$15),1):OFFSET(CÁLCULO!$BB$15,ROW($X306)-ROW($X$15),-1))),IF($C306=0,0,ROUND(SomaAgrup,15-13*$AF$11)))</f>
        <v>8955.84</v>
      </c>
      <c r="Y306" s="126" t="s">
        <v>751</v>
      </c>
      <c r="Z306" t="str">
        <f t="shared" ca="1" si="86"/>
        <v>RA</v>
      </c>
      <c r="AA306" s="127">
        <f ca="1">IF($C306="S",IF($Z306="CP",$X306,IF($Z306="RA",(($X306)*QCI!$AA$3),0)),SomaAgrup)</f>
        <v>0</v>
      </c>
      <c r="AB306" s="128">
        <f t="shared" ca="1" si="87"/>
        <v>0</v>
      </c>
      <c r="AC306" s="565" t="str" cm="1">
        <f t="array" aca="1" ref="AC306" ca="1">IF($N306=""," ",
IF(AND($C306&lt;&gt;"S",OR($R306="",$R306="(digite a descrição aqui)")),"DESCRIÇÃO",
IF(AND($C306="S",OR($Q306&lt;&gt;"",$T306&gt;0,$U306&gt;0),$P306=""),"FONTE",
IF(AND($C306="S",$P306&lt;&gt;"",OR($T306&gt;0,$U306&gt;0),$Q306=""),"CÓDIGO",
IF(AND($C306="S",$P306&lt;&gt;"",$Q306&lt;&gt;"",$R306="(Código não identificado nas referências)"),"CÓDIGO N/ID",
IF(AND($C306="S",OR($R306="",$R306="(digite a descrição aqui)"),OR($Q306&lt;&gt;"",$T306&gt;0,$U306&gt;0)),"DESCRIÇÃO",
IF(AND($C306="S",$P306&lt;&gt;"",$Q306&lt;&gt;"",$S306=""),"UNIDADE",
IF(AND($C306="S",$P306&lt;&gt;"",$Q306&lt;&gt;"",$U306=0),"SEM CUSTO",
IF(AND(_xlfn.SINGLE(TIPOORCAMENTO)="Licitado",$AL306=0,$AN306&gt;0),"SEM PREÇO",
IF(AND($C306="S",$P306&lt;&gt;"",$Q306&lt;&gt;"",$U306&gt;0,AND($V306&lt;&gt;"BDI 1",$V306&lt;&gt;"BDI 2",$V306&lt;&gt;"BDI 3")),IF(ISNUMBER($V306),"JUSTIFICAR BDI","BDI"),
IF(OR(AND(import.recurso="OGU",TIPOORCAMENTO="Proposto",LEFT($O$8,5)&lt;&gt;"(N/D:",$AG306&lt;&gt;"",ORÇAMENTO.CustoUnitario&gt;$AG306),AND(TIPOORCAMENTO="LICITADO",ORÇAMENTO.PrecoUnitarioLicitado&gt;$AN306)),"ACIMA REF.",
IF(AND($C306="S",$P306&lt;&gt;"",$Q306&lt;&gt;"",$T306=0,$U306&gt;0),"QUANT.",
IF(AND(Import.TipoArredondamento="TransfereGOV",$L306="F",$C306="S",LEN($Q306)&gt;13),"Código &gt;13",
IF(AND(Import.TipoArredondamento="TransfereGOV",$L306="F",$C306&lt;&gt;"S",LEN($R306)&gt;100),"Descrição &gt;100",
IF(AND(Import.TipoArredondamento="TransfereGOV",$L306="F",$C306="S",LEN($R306)&gt;500),"Descrição &gt;500",
IF(AND(Import.TipoArredondamento="TransfereGOV",$L306="F",$C306="S",LEFT(TRIM(UPPER($P306)),6)&lt;&gt;"SINAPI",ISNA(VLOOKUP(TRIM(UPPER($S306)),ListaTgov.Unidades,1,FALSE))),"Unid. Não Disp",
" "))))))))))))))))</f>
        <v xml:space="preserve"> </v>
      </c>
      <c r="AD306" t="str">
        <f ca="1">IF(C306&lt;=CRONO.NivelExibicao,MAX($AD$15:OFFSET(AD306,-1,0))+IF($C306&lt;&gt;1,1,MAX(1,COUNTIF(QCI!$A$13:$A$15,OFFSET($E306,-1,0)))),"")</f>
        <v/>
      </c>
      <c r="AE306" s="7" t="str">
        <f ca="1">IF(AND($C306="S",ORÇAMENTO.CodBarra&lt;&gt;""),IF(ORÇAMENTO.Fonte="",ORÇAMENTO.CodBarra,CONCATENATE(ORÇAMENTO.Fonte," ",ORÇAMENTO.CodBarra)))</f>
        <v>COTAÇÃO COT-033</v>
      </c>
      <c r="AF306" s="12">
        <f ca="1">IF(ISERROR(INDIRECT(ORÇAMENTO.BancoRef)),"(abra o arquivo 'Referência "&amp;Excel_BuiltIn_Database&amp;".xlsm)",IF(OR($C306&lt;&gt;"S",ORÇAMENTO.CodBarra=""),"(Sem Código)",IF(ISERROR(MATCH($AE306,INDIRECT(ORÇAMENTO.BancoRef),0)),"(Código não identificado nas referências)",MATCH($AE306,INDIRECT(ORÇAMENTO.BancoRef),0))))</f>
        <v>101</v>
      </c>
      <c r="AG306" s="428">
        <f ca="1">ROUND(IF(DESONERACAO="sim",REFERENCIA.Desonerado,REFERENCIA.NaoDesonerado),2)</f>
        <v>638.97</v>
      </c>
      <c r="AH306" s="429">
        <f t="shared" ca="1" si="88"/>
        <v>0.16800000000000001</v>
      </c>
      <c r="AJ306" s="431">
        <v>12</v>
      </c>
      <c r="AL306" s="439"/>
      <c r="AM306" s="336">
        <f t="shared" ca="1" si="74"/>
        <v>8955.84</v>
      </c>
      <c r="AN306" s="470">
        <f t="shared" ca="1" si="89"/>
        <v>746.32</v>
      </c>
    </row>
    <row r="307" spans="1:40" x14ac:dyDescent="0.2">
      <c r="A307" t="str">
        <f t="shared" si="75"/>
        <v>S</v>
      </c>
      <c r="B307">
        <f t="shared" ca="1" si="76"/>
        <v>4</v>
      </c>
      <c r="C307" t="str">
        <f t="shared" ca="1" si="77"/>
        <v>S</v>
      </c>
      <c r="D307">
        <f t="shared" ca="1" si="78"/>
        <v>0</v>
      </c>
      <c r="E307">
        <f ca="1">IF($C307=1,OFFSET(E307,-1,0)+MAX(1,COUNTIF(QCI!$A$13:$A$15,OFFSET(ORÇAMENTO!E307,-1,0))),OFFSET(E307,-1,0))</f>
        <v>1</v>
      </c>
      <c r="F307">
        <f t="shared" ca="1" si="79"/>
        <v>7</v>
      </c>
      <c r="G307">
        <f t="shared" ca="1" si="80"/>
        <v>4</v>
      </c>
      <c r="H307">
        <f t="shared" ca="1" si="81"/>
        <v>1</v>
      </c>
      <c r="I307">
        <f t="shared" ca="1" si="82"/>
        <v>4</v>
      </c>
      <c r="J307">
        <f t="shared" ca="1" si="73"/>
        <v>0</v>
      </c>
      <c r="K307">
        <f ca="1">IF(OR($C307="S",$C307=0),0,MATCH(OFFSET($D307,0,$C307)+IF($C307&lt;&gt;1,1,COUNTIF(QCI!$A$13:$A$15,ORÇAMENTO!E307)),OFFSET($D307,1,$C307,ROW($C$508)-ROW($C307)),0))</f>
        <v>0</v>
      </c>
      <c r="L307" s="114" t="str">
        <f t="shared" ca="1" si="83"/>
        <v>F</v>
      </c>
      <c r="M307" s="115" t="s">
        <v>705</v>
      </c>
      <c r="N307" s="116" t="str">
        <f t="shared" ca="1" si="84"/>
        <v>Serviço</v>
      </c>
      <c r="O307" s="117" t="str">
        <f t="shared" ca="1" si="85"/>
        <v>1.7.4.1.4.</v>
      </c>
      <c r="P307" s="118" t="s">
        <v>1283</v>
      </c>
      <c r="Q307" s="119" t="s">
        <v>1076</v>
      </c>
      <c r="R307" s="120" t="str">
        <f ca="1">IF($C307="S",REFERENCIA.Descricao,"(digite a descrição aqui)")</f>
        <v>REGISTRO GAVETA FLANGE E CABEÇOTE PN10 DN150MM</v>
      </c>
      <c r="S307" s="121" t="str">
        <f ca="1">REFERENCIA.Unidade</f>
        <v>UN</v>
      </c>
      <c r="T307" s="122">
        <f ca="1">OFFSET(CÁLCULO!H$15,ROW($T307)-ROW(T$15),0)</f>
        <v>6</v>
      </c>
      <c r="U307" s="123">
        <f t="shared" ca="1" si="72"/>
        <v>1641.1</v>
      </c>
      <c r="V307" s="124" t="s">
        <v>697</v>
      </c>
      <c r="W307" s="122">
        <f ca="1">IF($C307="S",ROUND(IF(TIPOORCAMENTO="Proposto",ORÇAMENTO.CustoUnitario*(1+$AH307),ORÇAMENTO.PrecoUnitarioLicitado),15-13*$AF$10),0)</f>
        <v>1916.8</v>
      </c>
      <c r="X307" s="125" cm="1">
        <f t="array" aca="1" ref="X307" ca="1">IF($C307="S",IF(OR(Import.TipoArredondamento&lt;&gt;"TransfereGOV",ACOMPANHAMENTO="BM"),VTOTAL1,SUM(OFFSET(CÁLCULO!$AI$15,ROW($X307)-ROW($X$15),1):OFFSET(CÁLCULO!$BB$15,ROW($X307)-ROW($X$15),-1))),IF($C307=0,0,ROUND(SomaAgrup,15-13*$AF$11)))</f>
        <v>11500.8</v>
      </c>
      <c r="Y307" s="126" t="s">
        <v>751</v>
      </c>
      <c r="Z307" t="str">
        <f t="shared" ca="1" si="86"/>
        <v>RA</v>
      </c>
      <c r="AA307" s="127">
        <f ca="1">IF($C307="S",IF($Z307="CP",$X307,IF($Z307="RA",(($X307)*QCI!$AA$3),0)),SomaAgrup)</f>
        <v>0</v>
      </c>
      <c r="AB307" s="128">
        <f t="shared" ca="1" si="87"/>
        <v>0</v>
      </c>
      <c r="AC307" s="565" t="str" cm="1">
        <f t="array" aca="1" ref="AC307" ca="1">IF($N307=""," ",
IF(AND($C307&lt;&gt;"S",OR($R307="",$R307="(digite a descrição aqui)")),"DESCRIÇÃO",
IF(AND($C307="S",OR($Q307&lt;&gt;"",$T307&gt;0,$U307&gt;0),$P307=""),"FONTE",
IF(AND($C307="S",$P307&lt;&gt;"",OR($T307&gt;0,$U307&gt;0),$Q307=""),"CÓDIGO",
IF(AND($C307="S",$P307&lt;&gt;"",$Q307&lt;&gt;"",$R307="(Código não identificado nas referências)"),"CÓDIGO N/ID",
IF(AND($C307="S",OR($R307="",$R307="(digite a descrição aqui)"),OR($Q307&lt;&gt;"",$T307&gt;0,$U307&gt;0)),"DESCRIÇÃO",
IF(AND($C307="S",$P307&lt;&gt;"",$Q307&lt;&gt;"",$S307=""),"UNIDADE",
IF(AND($C307="S",$P307&lt;&gt;"",$Q307&lt;&gt;"",$U307=0),"SEM CUSTO",
IF(AND(_xlfn.SINGLE(TIPOORCAMENTO)="Licitado",$AL307=0,$AN307&gt;0),"SEM PREÇO",
IF(AND($C307="S",$P307&lt;&gt;"",$Q307&lt;&gt;"",$U307&gt;0,AND($V307&lt;&gt;"BDI 1",$V307&lt;&gt;"BDI 2",$V307&lt;&gt;"BDI 3")),IF(ISNUMBER($V307),"JUSTIFICAR BDI","BDI"),
IF(OR(AND(import.recurso="OGU",TIPOORCAMENTO="Proposto",LEFT($O$8,5)&lt;&gt;"(N/D:",$AG307&lt;&gt;"",ORÇAMENTO.CustoUnitario&gt;$AG307),AND(TIPOORCAMENTO="LICITADO",ORÇAMENTO.PrecoUnitarioLicitado&gt;$AN307)),"ACIMA REF.",
IF(AND($C307="S",$P307&lt;&gt;"",$Q307&lt;&gt;"",$T307=0,$U307&gt;0),"QUANT.",
IF(AND(Import.TipoArredondamento="TransfereGOV",$L307="F",$C307="S",LEN($Q307)&gt;13),"Código &gt;13",
IF(AND(Import.TipoArredondamento="TransfereGOV",$L307="F",$C307&lt;&gt;"S",LEN($R307)&gt;100),"Descrição &gt;100",
IF(AND(Import.TipoArredondamento="TransfereGOV",$L307="F",$C307="S",LEN($R307)&gt;500),"Descrição &gt;500",
IF(AND(Import.TipoArredondamento="TransfereGOV",$L307="F",$C307="S",LEFT(TRIM(UPPER($P307)),6)&lt;&gt;"SINAPI",ISNA(VLOOKUP(TRIM(UPPER($S307)),ListaTgov.Unidades,1,FALSE))),"Unid. Não Disp",
" "))))))))))))))))</f>
        <v xml:space="preserve"> </v>
      </c>
      <c r="AD307" t="str">
        <f ca="1">IF(C307&lt;=CRONO.NivelExibicao,MAX($AD$15:OFFSET(AD307,-1,0))+IF($C307&lt;&gt;1,1,MAX(1,COUNTIF(QCI!$A$13:$A$15,OFFSET($E307,-1,0)))),"")</f>
        <v/>
      </c>
      <c r="AE307" s="7" t="str">
        <f ca="1">IF(AND($C307="S",ORÇAMENTO.CodBarra&lt;&gt;""),IF(ORÇAMENTO.Fonte="",ORÇAMENTO.CodBarra,CONCATENATE(ORÇAMENTO.Fonte," ",ORÇAMENTO.CodBarra)))</f>
        <v>COTAÇÃO COT-030</v>
      </c>
      <c r="AF307" s="12">
        <f ca="1">IF(ISERROR(INDIRECT(ORÇAMENTO.BancoRef)),"(abra o arquivo 'Referência "&amp;Excel_BuiltIn_Database&amp;".xlsm)",IF(OR($C307&lt;&gt;"S",ORÇAMENTO.CodBarra=""),"(Sem Código)",IF(ISERROR(MATCH($AE307,INDIRECT(ORÇAMENTO.BancoRef),0)),"(Código não identificado nas referências)",MATCH($AE307,INDIRECT(ORÇAMENTO.BancoRef),0))))</f>
        <v>98</v>
      </c>
      <c r="AG307" s="428">
        <f ca="1">ROUND(IF(DESONERACAO="sim",REFERENCIA.Desonerado,REFERENCIA.NaoDesonerado),2)</f>
        <v>1641.1</v>
      </c>
      <c r="AH307" s="429">
        <f t="shared" ca="1" si="88"/>
        <v>0.16800000000000001</v>
      </c>
      <c r="AJ307" s="431">
        <v>6</v>
      </c>
      <c r="AL307" s="439"/>
      <c r="AM307" s="336">
        <f t="shared" ca="1" si="74"/>
        <v>11500.8</v>
      </c>
      <c r="AN307" s="470">
        <f t="shared" ca="1" si="89"/>
        <v>1916.8</v>
      </c>
    </row>
    <row r="308" spans="1:40" x14ac:dyDescent="0.2">
      <c r="A308" t="str">
        <f t="shared" si="75"/>
        <v>S</v>
      </c>
      <c r="B308">
        <f t="shared" ca="1" si="76"/>
        <v>4</v>
      </c>
      <c r="C308" t="str">
        <f t="shared" ca="1" si="77"/>
        <v>S</v>
      </c>
      <c r="D308">
        <f t="shared" ca="1" si="78"/>
        <v>0</v>
      </c>
      <c r="E308">
        <f ca="1">IF($C308=1,OFFSET(E308,-1,0)+MAX(1,COUNTIF(QCI!$A$13:$A$15,OFFSET(ORÇAMENTO!E308,-1,0))),OFFSET(E308,-1,0))</f>
        <v>1</v>
      </c>
      <c r="F308">
        <f t="shared" ca="1" si="79"/>
        <v>7</v>
      </c>
      <c r="G308">
        <f t="shared" ca="1" si="80"/>
        <v>4</v>
      </c>
      <c r="H308">
        <f t="shared" ca="1" si="81"/>
        <v>1</v>
      </c>
      <c r="I308">
        <f t="shared" ca="1" si="82"/>
        <v>5</v>
      </c>
      <c r="J308">
        <f t="shared" ca="1" si="73"/>
        <v>0</v>
      </c>
      <c r="K308">
        <f ca="1">IF(OR($C308="S",$C308=0),0,MATCH(OFFSET($D308,0,$C308)+IF($C308&lt;&gt;1,1,COUNTIF(QCI!$A$13:$A$15,ORÇAMENTO!E308)),OFFSET($D308,1,$C308,ROW($C$508)-ROW($C308)),0))</f>
        <v>0</v>
      </c>
      <c r="L308" s="114" t="str">
        <f t="shared" ca="1" si="83"/>
        <v>F</v>
      </c>
      <c r="M308" s="115" t="s">
        <v>705</v>
      </c>
      <c r="N308" s="116" t="str">
        <f t="shared" ca="1" si="84"/>
        <v>Serviço</v>
      </c>
      <c r="O308" s="117" t="str">
        <f t="shared" ca="1" si="85"/>
        <v>1.7.4.1.5.</v>
      </c>
      <c r="P308" s="118" t="s">
        <v>1283</v>
      </c>
      <c r="Q308" s="119" t="s">
        <v>1097</v>
      </c>
      <c r="R308" s="120" t="str">
        <f ca="1">IF($C308="S",REFERENCIA.Descricao,"(digite a descrição aqui)")</f>
        <v>TOCO FoFo L = 0,50 M - DN 150 MM</v>
      </c>
      <c r="S308" s="121" t="str">
        <f ca="1">REFERENCIA.Unidade</f>
        <v>UN</v>
      </c>
      <c r="T308" s="122">
        <f ca="1">OFFSET(CÁLCULO!H$15,ROW($T308)-ROW(T$15),0)</f>
        <v>6</v>
      </c>
      <c r="U308" s="123">
        <f t="shared" ca="1" si="72"/>
        <v>874.35</v>
      </c>
      <c r="V308" s="124" t="s">
        <v>697</v>
      </c>
      <c r="W308" s="122">
        <f ca="1">IF($C308="S",ROUND(IF(TIPOORCAMENTO="Proposto",ORÇAMENTO.CustoUnitario*(1+$AH308),ORÇAMENTO.PrecoUnitarioLicitado),15-13*$AF$10),0)</f>
        <v>1021.24</v>
      </c>
      <c r="X308" s="125" cm="1">
        <f t="array" aca="1" ref="X308" ca="1">IF($C308="S",IF(OR(Import.TipoArredondamento&lt;&gt;"TransfereGOV",ACOMPANHAMENTO="BM"),VTOTAL1,SUM(OFFSET(CÁLCULO!$AI$15,ROW($X308)-ROW($X$15),1):OFFSET(CÁLCULO!$BB$15,ROW($X308)-ROW($X$15),-1))),IF($C308=0,0,ROUND(SomaAgrup,15-13*$AF$11)))</f>
        <v>6127.44</v>
      </c>
      <c r="Y308" s="126" t="s">
        <v>751</v>
      </c>
      <c r="Z308" t="str">
        <f t="shared" ca="1" si="86"/>
        <v>RA</v>
      </c>
      <c r="AA308" s="127">
        <f ca="1">IF($C308="S",IF($Z308="CP",$X308,IF($Z308="RA",(($X308)*QCI!$AA$3),0)),SomaAgrup)</f>
        <v>0</v>
      </c>
      <c r="AB308" s="128">
        <f t="shared" ca="1" si="87"/>
        <v>0</v>
      </c>
      <c r="AC308" s="565" t="str" cm="1">
        <f t="array" aca="1" ref="AC308" ca="1">IF($N308=""," ",
IF(AND($C308&lt;&gt;"S",OR($R308="",$R308="(digite a descrição aqui)")),"DESCRIÇÃO",
IF(AND($C308="S",OR($Q308&lt;&gt;"",$T308&gt;0,$U308&gt;0),$P308=""),"FONTE",
IF(AND($C308="S",$P308&lt;&gt;"",OR($T308&gt;0,$U308&gt;0),$Q308=""),"CÓDIGO",
IF(AND($C308="S",$P308&lt;&gt;"",$Q308&lt;&gt;"",$R308="(Código não identificado nas referências)"),"CÓDIGO N/ID",
IF(AND($C308="S",OR($R308="",$R308="(digite a descrição aqui)"),OR($Q308&lt;&gt;"",$T308&gt;0,$U308&gt;0)),"DESCRIÇÃO",
IF(AND($C308="S",$P308&lt;&gt;"",$Q308&lt;&gt;"",$S308=""),"UNIDADE",
IF(AND($C308="S",$P308&lt;&gt;"",$Q308&lt;&gt;"",$U308=0),"SEM CUSTO",
IF(AND(_xlfn.SINGLE(TIPOORCAMENTO)="Licitado",$AL308=0,$AN308&gt;0),"SEM PREÇO",
IF(AND($C308="S",$P308&lt;&gt;"",$Q308&lt;&gt;"",$U308&gt;0,AND($V308&lt;&gt;"BDI 1",$V308&lt;&gt;"BDI 2",$V308&lt;&gt;"BDI 3")),IF(ISNUMBER($V308),"JUSTIFICAR BDI","BDI"),
IF(OR(AND(import.recurso="OGU",TIPOORCAMENTO="Proposto",LEFT($O$8,5)&lt;&gt;"(N/D:",$AG308&lt;&gt;"",ORÇAMENTO.CustoUnitario&gt;$AG308),AND(TIPOORCAMENTO="LICITADO",ORÇAMENTO.PrecoUnitarioLicitado&gt;$AN308)),"ACIMA REF.",
IF(AND($C308="S",$P308&lt;&gt;"",$Q308&lt;&gt;"",$T308=0,$U308&gt;0),"QUANT.",
IF(AND(Import.TipoArredondamento="TransfereGOV",$L308="F",$C308="S",LEN($Q308)&gt;13),"Código &gt;13",
IF(AND(Import.TipoArredondamento="TransfereGOV",$L308="F",$C308&lt;&gt;"S",LEN($R308)&gt;100),"Descrição &gt;100",
IF(AND(Import.TipoArredondamento="TransfereGOV",$L308="F",$C308="S",LEN($R308)&gt;500),"Descrição &gt;500",
IF(AND(Import.TipoArredondamento="TransfereGOV",$L308="F",$C308="S",LEFT(TRIM(UPPER($P308)),6)&lt;&gt;"SINAPI",ISNA(VLOOKUP(TRIM(UPPER($S308)),ListaTgov.Unidades,1,FALSE))),"Unid. Não Disp",
" "))))))))))))))))</f>
        <v xml:space="preserve"> </v>
      </c>
      <c r="AD308" t="str">
        <f ca="1">IF(C308&lt;=CRONO.NivelExibicao,MAX($AD$15:OFFSET(AD308,-1,0))+IF($C308&lt;&gt;1,1,MAX(1,COUNTIF(QCI!$A$13:$A$15,OFFSET($E308,-1,0)))),"")</f>
        <v/>
      </c>
      <c r="AE308" s="7" t="str">
        <f ca="1">IF(AND($C308="S",ORÇAMENTO.CodBarra&lt;&gt;""),IF(ORÇAMENTO.Fonte="",ORÇAMENTO.CodBarra,CONCATENATE(ORÇAMENTO.Fonte," ",ORÇAMENTO.CodBarra)))</f>
        <v>COTAÇÃO COT-039</v>
      </c>
      <c r="AF308" s="12">
        <f ca="1">IF(ISERROR(INDIRECT(ORÇAMENTO.BancoRef)),"(abra o arquivo 'Referência "&amp;Excel_BuiltIn_Database&amp;".xlsm)",IF(OR($C308&lt;&gt;"S",ORÇAMENTO.CodBarra=""),"(Sem Código)",IF(ISERROR(MATCH($AE308,INDIRECT(ORÇAMENTO.BancoRef),0)),"(Código não identificado nas referências)",MATCH($AE308,INDIRECT(ORÇAMENTO.BancoRef),0))))</f>
        <v>107</v>
      </c>
      <c r="AG308" s="428">
        <f ca="1">ROUND(IF(DESONERACAO="sim",REFERENCIA.Desonerado,REFERENCIA.NaoDesonerado),2)</f>
        <v>874.35</v>
      </c>
      <c r="AH308" s="429">
        <f t="shared" ca="1" si="88"/>
        <v>0.16800000000000001</v>
      </c>
      <c r="AJ308" s="431">
        <v>6</v>
      </c>
      <c r="AL308" s="439"/>
      <c r="AM308" s="336">
        <f t="shared" ca="1" si="74"/>
        <v>6127.44</v>
      </c>
      <c r="AN308" s="470">
        <f t="shared" ca="1" si="89"/>
        <v>1021.24</v>
      </c>
    </row>
    <row r="309" spans="1:40" x14ac:dyDescent="0.2">
      <c r="A309" t="str">
        <f t="shared" si="75"/>
        <v>S</v>
      </c>
      <c r="B309">
        <f t="shared" ca="1" si="76"/>
        <v>4</v>
      </c>
      <c r="C309" t="str">
        <f t="shared" ca="1" si="77"/>
        <v>S</v>
      </c>
      <c r="D309">
        <f t="shared" ca="1" si="78"/>
        <v>0</v>
      </c>
      <c r="E309">
        <f ca="1">IF($C309=1,OFFSET(E309,-1,0)+MAX(1,COUNTIF(QCI!$A$13:$A$15,OFFSET(ORÇAMENTO!E309,-1,0))),OFFSET(E309,-1,0))</f>
        <v>1</v>
      </c>
      <c r="F309">
        <f t="shared" ca="1" si="79"/>
        <v>7</v>
      </c>
      <c r="G309">
        <f t="shared" ca="1" si="80"/>
        <v>4</v>
      </c>
      <c r="H309">
        <f t="shared" ca="1" si="81"/>
        <v>1</v>
      </c>
      <c r="I309">
        <f t="shared" ca="1" si="82"/>
        <v>6</v>
      </c>
      <c r="J309">
        <f t="shared" ca="1" si="73"/>
        <v>0</v>
      </c>
      <c r="K309">
        <f ca="1">IF(OR($C309="S",$C309=0),0,MATCH(OFFSET($D309,0,$C309)+IF($C309&lt;&gt;1,1,COUNTIF(QCI!$A$13:$A$15,ORÇAMENTO!E309)),OFFSET($D309,1,$C309,ROW($C$508)-ROW($C309)),0))</f>
        <v>0</v>
      </c>
      <c r="L309" s="114" t="str">
        <f t="shared" ca="1" si="83"/>
        <v>F</v>
      </c>
      <c r="M309" s="115" t="s">
        <v>705</v>
      </c>
      <c r="N309" s="116" t="str">
        <f t="shared" ca="1" si="84"/>
        <v>Serviço</v>
      </c>
      <c r="O309" s="117" t="str">
        <f t="shared" ca="1" si="85"/>
        <v>1.7.4.1.6.</v>
      </c>
      <c r="P309" s="118" t="s">
        <v>1283</v>
      </c>
      <c r="Q309" s="119" t="s">
        <v>1081</v>
      </c>
      <c r="R309" s="120" t="str">
        <f ca="1">IF($C309="S",REFERENCIA.Descricao,"(digite a descrição aqui)")</f>
        <v>TÊ COM BOLSAS FoFo - DN 150 MM</v>
      </c>
      <c r="S309" s="121" t="str">
        <f ca="1">REFERENCIA.Unidade</f>
        <v>UN</v>
      </c>
      <c r="T309" s="122">
        <f ca="1">OFFSET(CÁLCULO!H$15,ROW($T309)-ROW(T$15),0)</f>
        <v>6</v>
      </c>
      <c r="U309" s="123">
        <f t="shared" ca="1" si="72"/>
        <v>614.94000000000005</v>
      </c>
      <c r="V309" s="124" t="s">
        <v>697</v>
      </c>
      <c r="W309" s="122">
        <f ca="1">IF($C309="S",ROUND(IF(TIPOORCAMENTO="Proposto",ORÇAMENTO.CustoUnitario*(1+$AH309),ORÇAMENTO.PrecoUnitarioLicitado),15-13*$AF$10),0)</f>
        <v>718.25</v>
      </c>
      <c r="X309" s="125" cm="1">
        <f t="array" aca="1" ref="X309" ca="1">IF($C309="S",IF(OR(Import.TipoArredondamento&lt;&gt;"TransfereGOV",ACOMPANHAMENTO="BM"),VTOTAL1,SUM(OFFSET(CÁLCULO!$AI$15,ROW($X309)-ROW($X$15),1):OFFSET(CÁLCULO!$BB$15,ROW($X309)-ROW($X$15),-1))),IF($C309=0,0,ROUND(SomaAgrup,15-13*$AF$11)))</f>
        <v>4309.5</v>
      </c>
      <c r="Y309" s="126" t="s">
        <v>751</v>
      </c>
      <c r="Z309" t="str">
        <f t="shared" ca="1" si="86"/>
        <v>RA</v>
      </c>
      <c r="AA309" s="127">
        <f ca="1">IF($C309="S",IF($Z309="CP",$X309,IF($Z309="RA",(($X309)*QCI!$AA$3),0)),SomaAgrup)</f>
        <v>0</v>
      </c>
      <c r="AB309" s="128">
        <f t="shared" ca="1" si="87"/>
        <v>0</v>
      </c>
      <c r="AC309" s="565" t="str" cm="1">
        <f t="array" aca="1" ref="AC309" ca="1">IF($N309=""," ",
IF(AND($C309&lt;&gt;"S",OR($R309="",$R309="(digite a descrição aqui)")),"DESCRIÇÃO",
IF(AND($C309="S",OR($Q309&lt;&gt;"",$T309&gt;0,$U309&gt;0),$P309=""),"FONTE",
IF(AND($C309="S",$P309&lt;&gt;"",OR($T309&gt;0,$U309&gt;0),$Q309=""),"CÓDIGO",
IF(AND($C309="S",$P309&lt;&gt;"",$Q309&lt;&gt;"",$R309="(Código não identificado nas referências)"),"CÓDIGO N/ID",
IF(AND($C309="S",OR($R309="",$R309="(digite a descrição aqui)"),OR($Q309&lt;&gt;"",$T309&gt;0,$U309&gt;0)),"DESCRIÇÃO",
IF(AND($C309="S",$P309&lt;&gt;"",$Q309&lt;&gt;"",$S309=""),"UNIDADE",
IF(AND($C309="S",$P309&lt;&gt;"",$Q309&lt;&gt;"",$U309=0),"SEM CUSTO",
IF(AND(_xlfn.SINGLE(TIPOORCAMENTO)="Licitado",$AL309=0,$AN309&gt;0),"SEM PREÇO",
IF(AND($C309="S",$P309&lt;&gt;"",$Q309&lt;&gt;"",$U309&gt;0,AND($V309&lt;&gt;"BDI 1",$V309&lt;&gt;"BDI 2",$V309&lt;&gt;"BDI 3")),IF(ISNUMBER($V309),"JUSTIFICAR BDI","BDI"),
IF(OR(AND(import.recurso="OGU",TIPOORCAMENTO="Proposto",LEFT($O$8,5)&lt;&gt;"(N/D:",$AG309&lt;&gt;"",ORÇAMENTO.CustoUnitario&gt;$AG309),AND(TIPOORCAMENTO="LICITADO",ORÇAMENTO.PrecoUnitarioLicitado&gt;$AN309)),"ACIMA REF.",
IF(AND($C309="S",$P309&lt;&gt;"",$Q309&lt;&gt;"",$T309=0,$U309&gt;0),"QUANT.",
IF(AND(Import.TipoArredondamento="TransfereGOV",$L309="F",$C309="S",LEN($Q309)&gt;13),"Código &gt;13",
IF(AND(Import.TipoArredondamento="TransfereGOV",$L309="F",$C309&lt;&gt;"S",LEN($R309)&gt;100),"Descrição &gt;100",
IF(AND(Import.TipoArredondamento="TransfereGOV",$L309="F",$C309="S",LEN($R309)&gt;500),"Descrição &gt;500",
IF(AND(Import.TipoArredondamento="TransfereGOV",$L309="F",$C309="S",LEFT(TRIM(UPPER($P309)),6)&lt;&gt;"SINAPI",ISNA(VLOOKUP(TRIM(UPPER($S309)),ListaTgov.Unidades,1,FALSE))),"Unid. Não Disp",
" "))))))))))))))))</f>
        <v xml:space="preserve"> </v>
      </c>
      <c r="AD309" t="str">
        <f ca="1">IF(C309&lt;=CRONO.NivelExibicao,MAX($AD$15:OFFSET(AD309,-1,0))+IF($C309&lt;&gt;1,1,MAX(1,COUNTIF(QCI!$A$13:$A$15,OFFSET($E309,-1,0)))),"")</f>
        <v/>
      </c>
      <c r="AE309" s="7" t="str">
        <f ca="1">IF(AND($C309="S",ORÇAMENTO.CodBarra&lt;&gt;""),IF(ORÇAMENTO.Fonte="",ORÇAMENTO.CodBarra,CONCATENATE(ORÇAMENTO.Fonte," ",ORÇAMENTO.CodBarra)))</f>
        <v>COTAÇÃO COT-031</v>
      </c>
      <c r="AF309" s="12">
        <f ca="1">IF(ISERROR(INDIRECT(ORÇAMENTO.BancoRef)),"(abra o arquivo 'Referência "&amp;Excel_BuiltIn_Database&amp;".xlsm)",IF(OR($C309&lt;&gt;"S",ORÇAMENTO.CodBarra=""),"(Sem Código)",IF(ISERROR(MATCH($AE309,INDIRECT(ORÇAMENTO.BancoRef),0)),"(Código não identificado nas referências)",MATCH($AE309,INDIRECT(ORÇAMENTO.BancoRef),0))))</f>
        <v>99</v>
      </c>
      <c r="AG309" s="428">
        <f ca="1">ROUND(IF(DESONERACAO="sim",REFERENCIA.Desonerado,REFERENCIA.NaoDesonerado),2)</f>
        <v>614.94000000000005</v>
      </c>
      <c r="AH309" s="429">
        <f t="shared" ca="1" si="88"/>
        <v>0.16800000000000001</v>
      </c>
      <c r="AJ309" s="431">
        <v>6</v>
      </c>
      <c r="AL309" s="439"/>
      <c r="AM309" s="336">
        <f t="shared" ca="1" si="74"/>
        <v>4309.5</v>
      </c>
      <c r="AN309" s="470">
        <f t="shared" ca="1" si="89"/>
        <v>718.25</v>
      </c>
    </row>
    <row r="310" spans="1:40" x14ac:dyDescent="0.2">
      <c r="A310" t="str">
        <f t="shared" si="75"/>
        <v>S</v>
      </c>
      <c r="B310">
        <f t="shared" ca="1" si="76"/>
        <v>4</v>
      </c>
      <c r="C310" t="str">
        <f t="shared" ca="1" si="77"/>
        <v>S</v>
      </c>
      <c r="D310">
        <f t="shared" ca="1" si="78"/>
        <v>0</v>
      </c>
      <c r="E310">
        <f ca="1">IF($C310=1,OFFSET(E310,-1,0)+MAX(1,COUNTIF(QCI!$A$13:$A$15,OFFSET(ORÇAMENTO!E310,-1,0))),OFFSET(E310,-1,0))</f>
        <v>1</v>
      </c>
      <c r="F310">
        <f t="shared" ca="1" si="79"/>
        <v>7</v>
      </c>
      <c r="G310">
        <f t="shared" ca="1" si="80"/>
        <v>4</v>
      </c>
      <c r="H310">
        <f t="shared" ca="1" si="81"/>
        <v>1</v>
      </c>
      <c r="I310">
        <f t="shared" ca="1" si="82"/>
        <v>7</v>
      </c>
      <c r="J310">
        <f t="shared" ca="1" si="73"/>
        <v>0</v>
      </c>
      <c r="K310">
        <f ca="1">IF(OR($C310="S",$C310=0),0,MATCH(OFFSET($D310,0,$C310)+IF($C310&lt;&gt;1,1,COUNTIF(QCI!$A$13:$A$15,ORÇAMENTO!E310)),OFFSET($D310,1,$C310,ROW($C$508)-ROW($C310)),0))</f>
        <v>0</v>
      </c>
      <c r="L310" s="114" t="str">
        <f t="shared" ca="1" si="83"/>
        <v>F</v>
      </c>
      <c r="M310" s="115" t="s">
        <v>705</v>
      </c>
      <c r="N310" s="116" t="str">
        <f t="shared" ca="1" si="84"/>
        <v>Serviço</v>
      </c>
      <c r="O310" s="117" t="str">
        <f t="shared" ca="1" si="85"/>
        <v>1.7.4.1.7.</v>
      </c>
      <c r="P310" s="118" t="s">
        <v>1283</v>
      </c>
      <c r="Q310" s="119" t="s">
        <v>1085</v>
      </c>
      <c r="R310" s="120" t="str">
        <f ca="1">IF($C310="S",REFERENCIA.Descricao,"(digite a descrição aqui)")</f>
        <v>ARRUELA BORRACHA PARA FLANGE - DN 150 MM</v>
      </c>
      <c r="S310" s="121" t="str">
        <f ca="1">REFERENCIA.Unidade</f>
        <v>UN</v>
      </c>
      <c r="T310" s="122">
        <f ca="1">OFFSET(CÁLCULO!H$15,ROW($T310)-ROW(T$15),0)</f>
        <v>6</v>
      </c>
      <c r="U310" s="123">
        <f t="shared" ca="1" si="72"/>
        <v>7.42</v>
      </c>
      <c r="V310" s="124" t="s">
        <v>697</v>
      </c>
      <c r="W310" s="122">
        <f ca="1">IF($C310="S",ROUND(IF(TIPOORCAMENTO="Proposto",ORÇAMENTO.CustoUnitario*(1+$AH310),ORÇAMENTO.PrecoUnitarioLicitado),15-13*$AF$10),0)</f>
        <v>8.67</v>
      </c>
      <c r="X310" s="125" cm="1">
        <f t="array" aca="1" ref="X310" ca="1">IF($C310="S",IF(OR(Import.TipoArredondamento&lt;&gt;"TransfereGOV",ACOMPANHAMENTO="BM"),VTOTAL1,SUM(OFFSET(CÁLCULO!$AI$15,ROW($X310)-ROW($X$15),1):OFFSET(CÁLCULO!$BB$15,ROW($X310)-ROW($X$15),-1))),IF($C310=0,0,ROUND(SomaAgrup,15-13*$AF$11)))</f>
        <v>52.02</v>
      </c>
      <c r="Y310" s="126" t="s">
        <v>751</v>
      </c>
      <c r="Z310" t="str">
        <f t="shared" ca="1" si="86"/>
        <v>RA</v>
      </c>
      <c r="AA310" s="127">
        <f ca="1">IF($C310="S",IF($Z310="CP",$X310,IF($Z310="RA",(($X310)*QCI!$AA$3),0)),SomaAgrup)</f>
        <v>0</v>
      </c>
      <c r="AB310" s="128">
        <f t="shared" ca="1" si="87"/>
        <v>0</v>
      </c>
      <c r="AC310" s="565" t="str" cm="1">
        <f t="array" aca="1" ref="AC310" ca="1">IF($N310=""," ",
IF(AND($C310&lt;&gt;"S",OR($R310="",$R310="(digite a descrição aqui)")),"DESCRIÇÃO",
IF(AND($C310="S",OR($Q310&lt;&gt;"",$T310&gt;0,$U310&gt;0),$P310=""),"FONTE",
IF(AND($C310="S",$P310&lt;&gt;"",OR($T310&gt;0,$U310&gt;0),$Q310=""),"CÓDIGO",
IF(AND($C310="S",$P310&lt;&gt;"",$Q310&lt;&gt;"",$R310="(Código não identificado nas referências)"),"CÓDIGO N/ID",
IF(AND($C310="S",OR($R310="",$R310="(digite a descrição aqui)"),OR($Q310&lt;&gt;"",$T310&gt;0,$U310&gt;0)),"DESCRIÇÃO",
IF(AND($C310="S",$P310&lt;&gt;"",$Q310&lt;&gt;"",$S310=""),"UNIDADE",
IF(AND($C310="S",$P310&lt;&gt;"",$Q310&lt;&gt;"",$U310=0),"SEM CUSTO",
IF(AND(_xlfn.SINGLE(TIPOORCAMENTO)="Licitado",$AL310=0,$AN310&gt;0),"SEM PREÇO",
IF(AND($C310="S",$P310&lt;&gt;"",$Q310&lt;&gt;"",$U310&gt;0,AND($V310&lt;&gt;"BDI 1",$V310&lt;&gt;"BDI 2",$V310&lt;&gt;"BDI 3")),IF(ISNUMBER($V310),"JUSTIFICAR BDI","BDI"),
IF(OR(AND(import.recurso="OGU",TIPOORCAMENTO="Proposto",LEFT($O$8,5)&lt;&gt;"(N/D:",$AG310&lt;&gt;"",ORÇAMENTO.CustoUnitario&gt;$AG310),AND(TIPOORCAMENTO="LICITADO",ORÇAMENTO.PrecoUnitarioLicitado&gt;$AN310)),"ACIMA REF.",
IF(AND($C310="S",$P310&lt;&gt;"",$Q310&lt;&gt;"",$T310=0,$U310&gt;0),"QUANT.",
IF(AND(Import.TipoArredondamento="TransfereGOV",$L310="F",$C310="S",LEN($Q310)&gt;13),"Código &gt;13",
IF(AND(Import.TipoArredondamento="TransfereGOV",$L310="F",$C310&lt;&gt;"S",LEN($R310)&gt;100),"Descrição &gt;100",
IF(AND(Import.TipoArredondamento="TransfereGOV",$L310="F",$C310="S",LEN($R310)&gt;500),"Descrição &gt;500",
IF(AND(Import.TipoArredondamento="TransfereGOV",$L310="F",$C310="S",LEFT(TRIM(UPPER($P310)),6)&lt;&gt;"SINAPI",ISNA(VLOOKUP(TRIM(UPPER($S310)),ListaTgov.Unidades,1,FALSE))),"Unid. Não Disp",
" "))))))))))))))))</f>
        <v xml:space="preserve"> </v>
      </c>
      <c r="AD310" t="str">
        <f ca="1">IF(C310&lt;=CRONO.NivelExibicao,MAX($AD$15:OFFSET(AD310,-1,0))+IF($C310&lt;&gt;1,1,MAX(1,COUNTIF(QCI!$A$13:$A$15,OFFSET($E310,-1,0)))),"")</f>
        <v/>
      </c>
      <c r="AE310" s="7" t="str">
        <f ca="1">IF(AND($C310="S",ORÇAMENTO.CodBarra&lt;&gt;""),IF(ORÇAMENTO.Fonte="",ORÇAMENTO.CodBarra,CONCATENATE(ORÇAMENTO.Fonte," ",ORÇAMENTO.CodBarra)))</f>
        <v>COTAÇÃO COT-035</v>
      </c>
      <c r="AF310" s="12">
        <f ca="1">IF(ISERROR(INDIRECT(ORÇAMENTO.BancoRef)),"(abra o arquivo 'Referência "&amp;Excel_BuiltIn_Database&amp;".xlsm)",IF(OR($C310&lt;&gt;"S",ORÇAMENTO.CodBarra=""),"(Sem Código)",IF(ISERROR(MATCH($AE310,INDIRECT(ORÇAMENTO.BancoRef),0)),"(Código não identificado nas referências)",MATCH($AE310,INDIRECT(ORÇAMENTO.BancoRef),0))))</f>
        <v>103</v>
      </c>
      <c r="AG310" s="428">
        <f ca="1">ROUND(IF(DESONERACAO="sim",REFERENCIA.Desonerado,REFERENCIA.NaoDesonerado),2)</f>
        <v>7.42</v>
      </c>
      <c r="AH310" s="429">
        <f t="shared" ca="1" si="88"/>
        <v>0.16800000000000001</v>
      </c>
      <c r="AJ310" s="431">
        <v>6</v>
      </c>
      <c r="AL310" s="439"/>
      <c r="AM310" s="336">
        <f t="shared" ca="1" si="74"/>
        <v>52.02</v>
      </c>
      <c r="AN310" s="470">
        <f t="shared" ca="1" si="89"/>
        <v>8.67</v>
      </c>
    </row>
    <row r="311" spans="1:40" x14ac:dyDescent="0.2">
      <c r="A311" t="str">
        <f t="shared" si="75"/>
        <v>S</v>
      </c>
      <c r="B311">
        <f t="shared" ca="1" si="76"/>
        <v>4</v>
      </c>
      <c r="C311" t="str">
        <f t="shared" ca="1" si="77"/>
        <v>S</v>
      </c>
      <c r="D311">
        <f t="shared" ca="1" si="78"/>
        <v>0</v>
      </c>
      <c r="E311">
        <f ca="1">IF($C311=1,OFFSET(E311,-1,0)+MAX(1,COUNTIF(QCI!$A$13:$A$15,OFFSET(ORÇAMENTO!E311,-1,0))),OFFSET(E311,-1,0))</f>
        <v>1</v>
      </c>
      <c r="F311">
        <f t="shared" ca="1" si="79"/>
        <v>7</v>
      </c>
      <c r="G311">
        <f t="shared" ca="1" si="80"/>
        <v>4</v>
      </c>
      <c r="H311">
        <f t="shared" ca="1" si="81"/>
        <v>1</v>
      </c>
      <c r="I311">
        <f t="shared" ca="1" si="82"/>
        <v>8</v>
      </c>
      <c r="J311">
        <f t="shared" ca="1" si="73"/>
        <v>0</v>
      </c>
      <c r="K311">
        <f ca="1">IF(OR($C311="S",$C311=0),0,MATCH(OFFSET($D311,0,$C311)+IF($C311&lt;&gt;1,1,COUNTIF(QCI!$A$13:$A$15,ORÇAMENTO!E311)),OFFSET($D311,1,$C311,ROW($C$508)-ROW($C311)),0))</f>
        <v>0</v>
      </c>
      <c r="L311" s="114" t="str">
        <f t="shared" ca="1" si="83"/>
        <v>F</v>
      </c>
      <c r="M311" s="115" t="s">
        <v>705</v>
      </c>
      <c r="N311" s="116" t="str">
        <f t="shared" ca="1" si="84"/>
        <v>Serviço</v>
      </c>
      <c r="O311" s="117" t="str">
        <f t="shared" ca="1" si="85"/>
        <v>1.7.4.1.8.</v>
      </c>
      <c r="P311" s="118" t="s">
        <v>1283</v>
      </c>
      <c r="Q311" s="119" t="s">
        <v>1066</v>
      </c>
      <c r="R311" s="120" t="str">
        <f ca="1">IF($C311="S",REFERENCIA.Descricao,"(digite a descrição aqui)")</f>
        <v>PARAFUSO PARA FLANGE - 20 X 90 MM</v>
      </c>
      <c r="S311" s="121" t="str">
        <f ca="1">REFERENCIA.Unidade</f>
        <v>UN</v>
      </c>
      <c r="T311" s="122">
        <f ca="1">OFFSET(CÁLCULO!H$15,ROW($T311)-ROW(T$15),0)</f>
        <v>48</v>
      </c>
      <c r="U311" s="123">
        <f t="shared" ca="1" si="72"/>
        <v>28.19</v>
      </c>
      <c r="V311" s="124" t="s">
        <v>697</v>
      </c>
      <c r="W311" s="122">
        <f ca="1">IF($C311="S",ROUND(IF(TIPOORCAMENTO="Proposto",ORÇAMENTO.CustoUnitario*(1+$AH311),ORÇAMENTO.PrecoUnitarioLicitado),15-13*$AF$10),0)</f>
        <v>32.93</v>
      </c>
      <c r="X311" s="125" cm="1">
        <f t="array" aca="1" ref="X311" ca="1">IF($C311="S",IF(OR(Import.TipoArredondamento&lt;&gt;"TransfereGOV",ACOMPANHAMENTO="BM"),VTOTAL1,SUM(OFFSET(CÁLCULO!$AI$15,ROW($X311)-ROW($X$15),1):OFFSET(CÁLCULO!$BB$15,ROW($X311)-ROW($X$15),-1))),IF($C311=0,0,ROUND(SomaAgrup,15-13*$AF$11)))</f>
        <v>1580.64</v>
      </c>
      <c r="Y311" s="126" t="s">
        <v>751</v>
      </c>
      <c r="Z311" t="str">
        <f t="shared" ca="1" si="86"/>
        <v>RA</v>
      </c>
      <c r="AA311" s="127">
        <f ca="1">IF($C311="S",IF($Z311="CP",$X311,IF($Z311="RA",(($X311)*QCI!$AA$3),0)),SomaAgrup)</f>
        <v>0</v>
      </c>
      <c r="AB311" s="128">
        <f t="shared" ca="1" si="87"/>
        <v>0</v>
      </c>
      <c r="AC311" s="565" t="str" cm="1">
        <f t="array" aca="1" ref="AC311" ca="1">IF($N311=""," ",
IF(AND($C311&lt;&gt;"S",OR($R311="",$R311="(digite a descrição aqui)")),"DESCRIÇÃO",
IF(AND($C311="S",OR($Q311&lt;&gt;"",$T311&gt;0,$U311&gt;0),$P311=""),"FONTE",
IF(AND($C311="S",$P311&lt;&gt;"",OR($T311&gt;0,$U311&gt;0),$Q311=""),"CÓDIGO",
IF(AND($C311="S",$P311&lt;&gt;"",$Q311&lt;&gt;"",$R311="(Código não identificado nas referências)"),"CÓDIGO N/ID",
IF(AND($C311="S",OR($R311="",$R311="(digite a descrição aqui)"),OR($Q311&lt;&gt;"",$T311&gt;0,$U311&gt;0)),"DESCRIÇÃO",
IF(AND($C311="S",$P311&lt;&gt;"",$Q311&lt;&gt;"",$S311=""),"UNIDADE",
IF(AND($C311="S",$P311&lt;&gt;"",$Q311&lt;&gt;"",$U311=0),"SEM CUSTO",
IF(AND(_xlfn.SINGLE(TIPOORCAMENTO)="Licitado",$AL311=0,$AN311&gt;0),"SEM PREÇO",
IF(AND($C311="S",$P311&lt;&gt;"",$Q311&lt;&gt;"",$U311&gt;0,AND($V311&lt;&gt;"BDI 1",$V311&lt;&gt;"BDI 2",$V311&lt;&gt;"BDI 3")),IF(ISNUMBER($V311),"JUSTIFICAR BDI","BDI"),
IF(OR(AND(import.recurso="OGU",TIPOORCAMENTO="Proposto",LEFT($O$8,5)&lt;&gt;"(N/D:",$AG311&lt;&gt;"",ORÇAMENTO.CustoUnitario&gt;$AG311),AND(TIPOORCAMENTO="LICITADO",ORÇAMENTO.PrecoUnitarioLicitado&gt;$AN311)),"ACIMA REF.",
IF(AND($C311="S",$P311&lt;&gt;"",$Q311&lt;&gt;"",$T311=0,$U311&gt;0),"QUANT.",
IF(AND(Import.TipoArredondamento="TransfereGOV",$L311="F",$C311="S",LEN($Q311)&gt;13),"Código &gt;13",
IF(AND(Import.TipoArredondamento="TransfereGOV",$L311="F",$C311&lt;&gt;"S",LEN($R311)&gt;100),"Descrição &gt;100",
IF(AND(Import.TipoArredondamento="TransfereGOV",$L311="F",$C311="S",LEN($R311)&gt;500),"Descrição &gt;500",
IF(AND(Import.TipoArredondamento="TransfereGOV",$L311="F",$C311="S",LEFT(TRIM(UPPER($P311)),6)&lt;&gt;"SINAPI",ISNA(VLOOKUP(TRIM(UPPER($S311)),ListaTgov.Unidades,1,FALSE))),"Unid. Não Disp",
" "))))))))))))))))</f>
        <v xml:space="preserve"> </v>
      </c>
      <c r="AD311" t="str">
        <f ca="1">IF(C311&lt;=CRONO.NivelExibicao,MAX($AD$15:OFFSET(AD311,-1,0))+IF($C311&lt;&gt;1,1,MAX(1,COUNTIF(QCI!$A$13:$A$15,OFFSET($E311,-1,0)))),"")</f>
        <v/>
      </c>
      <c r="AE311" s="7" t="str">
        <f ca="1">IF(AND($C311="S",ORÇAMENTO.CodBarra&lt;&gt;""),IF(ORÇAMENTO.Fonte="",ORÇAMENTO.CodBarra,CONCATENATE(ORÇAMENTO.Fonte," ",ORÇAMENTO.CodBarra)))</f>
        <v>COTAÇÃO COT-022</v>
      </c>
      <c r="AF311" s="12">
        <f ca="1">IF(ISERROR(INDIRECT(ORÇAMENTO.BancoRef)),"(abra o arquivo 'Referência "&amp;Excel_BuiltIn_Database&amp;".xlsm)",IF(OR($C311&lt;&gt;"S",ORÇAMENTO.CodBarra=""),"(Sem Código)",IF(ISERROR(MATCH($AE311,INDIRECT(ORÇAMENTO.BancoRef),0)),"(Código não identificado nas referências)",MATCH($AE311,INDIRECT(ORÇAMENTO.BancoRef),0))))</f>
        <v>90</v>
      </c>
      <c r="AG311" s="428">
        <f ca="1">ROUND(IF(DESONERACAO="sim",REFERENCIA.Desonerado,REFERENCIA.NaoDesonerado),2)</f>
        <v>28.19</v>
      </c>
      <c r="AH311" s="429">
        <f t="shared" ca="1" si="88"/>
        <v>0.16800000000000001</v>
      </c>
      <c r="AJ311" s="431">
        <v>48</v>
      </c>
      <c r="AL311" s="439"/>
      <c r="AM311" s="336">
        <f t="shared" ca="1" si="74"/>
        <v>1580.64</v>
      </c>
      <c r="AN311" s="470">
        <f t="shared" ca="1" si="89"/>
        <v>32.93</v>
      </c>
    </row>
    <row r="312" spans="1:40" x14ac:dyDescent="0.2">
      <c r="A312">
        <f t="shared" si="75"/>
        <v>4</v>
      </c>
      <c r="B312">
        <f t="shared" ca="1" si="76"/>
        <v>4</v>
      </c>
      <c r="C312">
        <f t="shared" ca="1" si="77"/>
        <v>4</v>
      </c>
      <c r="D312">
        <f t="shared" ca="1" si="78"/>
        <v>2</v>
      </c>
      <c r="E312">
        <f ca="1">IF($C312=1,OFFSET(E312,-1,0)+MAX(1,COUNTIF(QCI!$A$13:$A$15,OFFSET(ORÇAMENTO!E312,-1,0))),OFFSET(E312,-1,0))</f>
        <v>1</v>
      </c>
      <c r="F312">
        <f t="shared" ca="1" si="79"/>
        <v>7</v>
      </c>
      <c r="G312">
        <f t="shared" ca="1" si="80"/>
        <v>4</v>
      </c>
      <c r="H312">
        <f t="shared" ca="1" si="81"/>
        <v>2</v>
      </c>
      <c r="I312">
        <f t="shared" ca="1" si="82"/>
        <v>0</v>
      </c>
      <c r="J312">
        <f t="shared" ca="1" si="73"/>
        <v>14</v>
      </c>
      <c r="K312">
        <f ca="1">IF(OR($C312="S",$C312=0),0,MATCH(OFFSET($D312,0,$C312)+IF($C312&lt;&gt;1,1,COUNTIF(QCI!$A$13:$A$15,ORÇAMENTO!E312)),OFFSET($D312,1,$C312,ROW($C$508)-ROW($C312)),0))</f>
        <v>2</v>
      </c>
      <c r="L312" s="114" t="str">
        <f t="shared" ca="1" si="83"/>
        <v>F</v>
      </c>
      <c r="M312" s="115" t="s">
        <v>704</v>
      </c>
      <c r="N312" s="116" t="str">
        <f t="shared" ca="1" si="84"/>
        <v>Nível 4</v>
      </c>
      <c r="O312" s="117" t="str">
        <f t="shared" ca="1" si="85"/>
        <v>1.7.4.2.</v>
      </c>
      <c r="P312" s="118" t="s">
        <v>750</v>
      </c>
      <c r="Q312" s="119"/>
      <c r="R312" s="120" t="s">
        <v>1241</v>
      </c>
      <c r="S312" s="121" t="s">
        <v>688</v>
      </c>
      <c r="T312" s="122">
        <f ca="1">OFFSET(CÁLCULO!H$15,ROW($T312)-ROW(T$15),0)</f>
        <v>0</v>
      </c>
      <c r="U312" s="123">
        <f t="shared" ca="1" si="72"/>
        <v>0</v>
      </c>
      <c r="V312" s="124" t="s">
        <v>663</v>
      </c>
      <c r="W312" s="122">
        <f ca="1">IF($C312="S",ROUND(IF(TIPOORCAMENTO="Proposto",ORÇAMENTO.CustoUnitario*(1+$AH312),ORÇAMENTO.PrecoUnitarioLicitado),15-13*$AF$10),0)</f>
        <v>0</v>
      </c>
      <c r="X312" s="125" cm="1">
        <f t="array" aca="1" ref="X312" ca="1">IF($C312="S",IF(OR(Import.TipoArredondamento&lt;&gt;"TransfereGOV",ACOMPANHAMENTO="BM"),VTOTAL1,SUM(OFFSET(CÁLCULO!$AI$15,ROW($X312)-ROW($X$15),1):OFFSET(CÁLCULO!$BB$15,ROW($X312)-ROW($X$15),-1))),IF($C312=0,0,ROUND(SomaAgrup,15-13*$AF$11)))</f>
        <v>12454.5</v>
      </c>
      <c r="Y312" s="126" t="s">
        <v>751</v>
      </c>
      <c r="Z312" t="str">
        <f t="shared" ca="1" si="86"/>
        <v/>
      </c>
      <c r="AA312" s="127">
        <f ca="1">IF($C312="S",IF($Z312="CP",$X312,IF($Z312="RA",(($X312)*QCI!$AA$3),0)),SomaAgrup)</f>
        <v>0</v>
      </c>
      <c r="AB312" s="128">
        <f t="shared" ca="1" si="87"/>
        <v>0</v>
      </c>
      <c r="AC312" s="565" t="str" cm="1">
        <f t="array" aca="1" ref="AC312" ca="1">IF($N312=""," ",
IF(AND($C312&lt;&gt;"S",OR($R312="",$R312="(digite a descrição aqui)")),"DESCRIÇÃO",
IF(AND($C312="S",OR($Q312&lt;&gt;"",$T312&gt;0,$U312&gt;0),$P312=""),"FONTE",
IF(AND($C312="S",$P312&lt;&gt;"",OR($T312&gt;0,$U312&gt;0),$Q312=""),"CÓDIGO",
IF(AND($C312="S",$P312&lt;&gt;"",$Q312&lt;&gt;"",$R312="(Código não identificado nas referências)"),"CÓDIGO N/ID",
IF(AND($C312="S",OR($R312="",$R312="(digite a descrição aqui)"),OR($Q312&lt;&gt;"",$T312&gt;0,$U312&gt;0)),"DESCRIÇÃO",
IF(AND($C312="S",$P312&lt;&gt;"",$Q312&lt;&gt;"",$S312=""),"UNIDADE",
IF(AND($C312="S",$P312&lt;&gt;"",$Q312&lt;&gt;"",$U312=0),"SEM CUSTO",
IF(AND(_xlfn.SINGLE(TIPOORCAMENTO)="Licitado",$AL312=0,$AN312&gt;0),"SEM PREÇO",
IF(AND($C312="S",$P312&lt;&gt;"",$Q312&lt;&gt;"",$U312&gt;0,AND($V312&lt;&gt;"BDI 1",$V312&lt;&gt;"BDI 2",$V312&lt;&gt;"BDI 3")),IF(ISNUMBER($V312),"JUSTIFICAR BDI","BDI"),
IF(OR(AND(import.recurso="OGU",TIPOORCAMENTO="Proposto",LEFT($O$8,5)&lt;&gt;"(N/D:",$AG312&lt;&gt;"",ORÇAMENTO.CustoUnitario&gt;$AG312),AND(TIPOORCAMENTO="LICITADO",ORÇAMENTO.PrecoUnitarioLicitado&gt;$AN312)),"ACIMA REF.",
IF(AND($C312="S",$P312&lt;&gt;"",$Q312&lt;&gt;"",$T312=0,$U312&gt;0),"QUANT.",
IF(AND(Import.TipoArredondamento="TransfereGOV",$L312="F",$C312="S",LEN($Q312)&gt;13),"Código &gt;13",
IF(AND(Import.TipoArredondamento="TransfereGOV",$L312="F",$C312&lt;&gt;"S",LEN($R312)&gt;100),"Descrição &gt;100",
IF(AND(Import.TipoArredondamento="TransfereGOV",$L312="F",$C312="S",LEN($R312)&gt;500),"Descrição &gt;500",
IF(AND(Import.TipoArredondamento="TransfereGOV",$L312="F",$C312="S",LEFT(TRIM(UPPER($P312)),6)&lt;&gt;"SINAPI",ISNA(VLOOKUP(TRIM(UPPER($S312)),ListaTgov.Unidades,1,FALSE))),"Unid. Não Disp",
" "))))))))))))))))</f>
        <v xml:space="preserve"> </v>
      </c>
      <c r="AD312" t="str">
        <f ca="1">IF(C312&lt;=CRONO.NivelExibicao,MAX($AD$15:OFFSET(AD312,-1,0))+IF($C312&lt;&gt;1,1,MAX(1,COUNTIF(QCI!$A$13:$A$15,OFFSET($E312,-1,0)))),"")</f>
        <v/>
      </c>
      <c r="AE312" s="7" t="b">
        <f ca="1">IF(AND($C312="S",ORÇAMENTO.CodBarra&lt;&gt;""),IF(ORÇAMENTO.Fonte="",ORÇAMENTO.CodBarra,CONCATENATE(ORÇAMENTO.Fonte," ",ORÇAMENTO.CodBarra)))</f>
        <v>0</v>
      </c>
      <c r="AF312" s="12" t="str">
        <f ca="1">IF(ISERROR(INDIRECT(ORÇAMENTO.BancoRef)),"(abra o arquivo 'Referência "&amp;Excel_BuiltIn_Database&amp;".xlsm)",IF(OR($C312&lt;&gt;"S",ORÇAMENTO.CodBarra=""),"(Sem Código)",IF(ISERROR(MATCH($AE312,INDIRECT(ORÇAMENTO.BancoRef),0)),"(Código não identificado nas referências)",MATCH($AE312,INDIRECT(ORÇAMENTO.BancoRef),0))))</f>
        <v>(Sem Código)</v>
      </c>
      <c r="AG312" s="428">
        <f ca="1">ROUND(IF(DESONERACAO="sim",REFERENCIA.Desonerado,REFERENCIA.NaoDesonerado),2)</f>
        <v>0</v>
      </c>
      <c r="AH312" s="429">
        <f t="shared" ca="1" si="88"/>
        <v>0.23499999999999999</v>
      </c>
      <c r="AJ312" s="431"/>
      <c r="AL312" s="439"/>
      <c r="AM312" s="336">
        <f t="shared" ca="1" si="74"/>
        <v>12454.5</v>
      </c>
      <c r="AN312" s="470">
        <f t="shared" ca="1" si="89"/>
        <v>0</v>
      </c>
    </row>
    <row r="313" spans="1:40" ht="25.5" x14ac:dyDescent="0.2">
      <c r="A313" t="str">
        <f t="shared" si="75"/>
        <v>S</v>
      </c>
      <c r="B313">
        <f t="shared" ca="1" si="76"/>
        <v>4</v>
      </c>
      <c r="C313" t="str">
        <f t="shared" ca="1" si="77"/>
        <v>S</v>
      </c>
      <c r="D313">
        <f t="shared" ca="1" si="78"/>
        <v>0</v>
      </c>
      <c r="E313">
        <f ca="1">IF($C313=1,OFFSET(E313,-1,0)+MAX(1,COUNTIF(QCI!$A$13:$A$15,OFFSET(ORÇAMENTO!E313,-1,0))),OFFSET(E313,-1,0))</f>
        <v>1</v>
      </c>
      <c r="F313">
        <f t="shared" ca="1" si="79"/>
        <v>7</v>
      </c>
      <c r="G313">
        <f t="shared" ca="1" si="80"/>
        <v>4</v>
      </c>
      <c r="H313">
        <f t="shared" ca="1" si="81"/>
        <v>2</v>
      </c>
      <c r="I313">
        <f t="shared" ca="1" si="82"/>
        <v>1</v>
      </c>
      <c r="J313">
        <f t="shared" ca="1" si="73"/>
        <v>0</v>
      </c>
      <c r="K313">
        <f ca="1">IF(OR($C313="S",$C313=0),0,MATCH(OFFSET($D313,0,$C313)+IF($C313&lt;&gt;1,1,COUNTIF(QCI!$A$13:$A$15,ORÇAMENTO!E313)),OFFSET($D313,1,$C313,ROW($C$508)-ROW($C313)),0))</f>
        <v>0</v>
      </c>
      <c r="L313" s="114" t="str">
        <f t="shared" ca="1" si="83"/>
        <v>F</v>
      </c>
      <c r="M313" s="115" t="s">
        <v>705</v>
      </c>
      <c r="N313" s="116" t="str">
        <f t="shared" ca="1" si="84"/>
        <v>Serviço</v>
      </c>
      <c r="O313" s="117" t="str">
        <f t="shared" ca="1" si="85"/>
        <v>1.7.4.2.1.</v>
      </c>
      <c r="P313" s="118" t="s">
        <v>750</v>
      </c>
      <c r="Q313" s="119" t="s">
        <v>1098</v>
      </c>
      <c r="R313" s="120" t="str">
        <f ca="1">IF($C313="S",REFERENCIA.Descricao,"(digite a descrição aqui)")</f>
        <v>TUBO, PPR, DN 110, CLASSE PN 12, INSTALADO EM PRUMADA DE ÁGUA FORNECIMENTO E INSTALAÇÃO. AF_08/2022</v>
      </c>
      <c r="S313" s="121" t="str">
        <f ca="1">REFERENCIA.Unidade</f>
        <v>M</v>
      </c>
      <c r="T313" s="122">
        <f ca="1">OFFSET(CÁLCULO!H$15,ROW($T313)-ROW(T$15),0)</f>
        <v>69</v>
      </c>
      <c r="U313" s="123">
        <f t="shared" ca="1" si="72"/>
        <v>146.15</v>
      </c>
      <c r="V313" s="124" t="s">
        <v>663</v>
      </c>
      <c r="W313" s="122">
        <f ca="1">IF($C313="S",ROUND(IF(TIPOORCAMENTO="Proposto",ORÇAMENTO.CustoUnitario*(1+$AH313),ORÇAMENTO.PrecoUnitarioLicitado),15-13*$AF$10),0)</f>
        <v>180.5</v>
      </c>
      <c r="X313" s="125" cm="1">
        <f t="array" aca="1" ref="X313" ca="1">IF($C313="S",IF(OR(Import.TipoArredondamento&lt;&gt;"TransfereGOV",ACOMPANHAMENTO="BM"),VTOTAL1,SUM(OFFSET(CÁLCULO!$AI$15,ROW($X313)-ROW($X$15),1):OFFSET(CÁLCULO!$BB$15,ROW($X313)-ROW($X$15),-1))),IF($C313=0,0,ROUND(SomaAgrup,15-13*$AF$11)))</f>
        <v>12454.5</v>
      </c>
      <c r="Y313" s="126" t="s">
        <v>751</v>
      </c>
      <c r="Z313" t="str">
        <f t="shared" ca="1" si="86"/>
        <v>RA</v>
      </c>
      <c r="AA313" s="127">
        <f ca="1">IF($C313="S",IF($Z313="CP",$X313,IF($Z313="RA",(($X313)*QCI!$AA$3),0)),SomaAgrup)</f>
        <v>0</v>
      </c>
      <c r="AB313" s="128">
        <f t="shared" ca="1" si="87"/>
        <v>0</v>
      </c>
      <c r="AC313" s="565" t="str" cm="1">
        <f t="array" aca="1" ref="AC313" ca="1">IF($N313=""," ",
IF(AND($C313&lt;&gt;"S",OR($R313="",$R313="(digite a descrição aqui)")),"DESCRIÇÃO",
IF(AND($C313="S",OR($Q313&lt;&gt;"",$T313&gt;0,$U313&gt;0),$P313=""),"FONTE",
IF(AND($C313="S",$P313&lt;&gt;"",OR($T313&gt;0,$U313&gt;0),$Q313=""),"CÓDIGO",
IF(AND($C313="S",$P313&lt;&gt;"",$Q313&lt;&gt;"",$R313="(Código não identificado nas referências)"),"CÓDIGO N/ID",
IF(AND($C313="S",OR($R313="",$R313="(digite a descrição aqui)"),OR($Q313&lt;&gt;"",$T313&gt;0,$U313&gt;0)),"DESCRIÇÃO",
IF(AND($C313="S",$P313&lt;&gt;"",$Q313&lt;&gt;"",$S313=""),"UNIDADE",
IF(AND($C313="S",$P313&lt;&gt;"",$Q313&lt;&gt;"",$U313=0),"SEM CUSTO",
IF(AND(_xlfn.SINGLE(TIPOORCAMENTO)="Licitado",$AL313=0,$AN313&gt;0),"SEM PREÇO",
IF(AND($C313="S",$P313&lt;&gt;"",$Q313&lt;&gt;"",$U313&gt;0,AND($V313&lt;&gt;"BDI 1",$V313&lt;&gt;"BDI 2",$V313&lt;&gt;"BDI 3")),IF(ISNUMBER($V313),"JUSTIFICAR BDI","BDI"),
IF(OR(AND(import.recurso="OGU",TIPOORCAMENTO="Proposto",LEFT($O$8,5)&lt;&gt;"(N/D:",$AG313&lt;&gt;"",ORÇAMENTO.CustoUnitario&gt;$AG313),AND(TIPOORCAMENTO="LICITADO",ORÇAMENTO.PrecoUnitarioLicitado&gt;$AN313)),"ACIMA REF.",
IF(AND($C313="S",$P313&lt;&gt;"",$Q313&lt;&gt;"",$T313=0,$U313&gt;0),"QUANT.",
IF(AND(Import.TipoArredondamento="TransfereGOV",$L313="F",$C313="S",LEN($Q313)&gt;13),"Código &gt;13",
IF(AND(Import.TipoArredondamento="TransfereGOV",$L313="F",$C313&lt;&gt;"S",LEN($R313)&gt;100),"Descrição &gt;100",
IF(AND(Import.TipoArredondamento="TransfereGOV",$L313="F",$C313="S",LEN($R313)&gt;500),"Descrição &gt;500",
IF(AND(Import.TipoArredondamento="TransfereGOV",$L313="F",$C313="S",LEFT(TRIM(UPPER($P313)),6)&lt;&gt;"SINAPI",ISNA(VLOOKUP(TRIM(UPPER($S313)),ListaTgov.Unidades,1,FALSE))),"Unid. Não Disp",
" "))))))))))))))))</f>
        <v xml:space="preserve"> </v>
      </c>
      <c r="AD313" t="str">
        <f ca="1">IF(C313&lt;=CRONO.NivelExibicao,MAX($AD$15:OFFSET(AD313,-1,0))+IF($C313&lt;&gt;1,1,MAX(1,COUNTIF(QCI!$A$13:$A$15,OFFSET($E313,-1,0)))),"")</f>
        <v/>
      </c>
      <c r="AE313" s="7" t="str">
        <f ca="1">IF(AND($C313="S",ORÇAMENTO.CodBarra&lt;&gt;""),IF(ORÇAMENTO.Fonte="",ORÇAMENTO.CodBarra,CONCATENATE(ORÇAMENTO.Fonte," ",ORÇAMENTO.CodBarra)))</f>
        <v>SINAPI 96675</v>
      </c>
      <c r="AF313" s="12">
        <f ca="1">IF(ISERROR(INDIRECT(ORÇAMENTO.BancoRef)),"(abra o arquivo 'Referência "&amp;Excel_BuiltIn_Database&amp;".xlsm)",IF(OR($C313&lt;&gt;"S",ORÇAMENTO.CodBarra=""),"(Sem Código)",IF(ISERROR(MATCH($AE313,INDIRECT(ORÇAMENTO.BancoRef),0)),"(Código não identificado nas referências)",MATCH($AE313,INDIRECT(ORÇAMENTO.BancoRef),0))))</f>
        <v>11334</v>
      </c>
      <c r="AG313" s="428">
        <f ca="1">ROUND(IF(DESONERACAO="sim",REFERENCIA.Desonerado,REFERENCIA.NaoDesonerado),2)</f>
        <v>146.15</v>
      </c>
      <c r="AH313" s="429">
        <f t="shared" ca="1" si="88"/>
        <v>0.23499999999999999</v>
      </c>
      <c r="AJ313" s="431">
        <f>11.5*6</f>
        <v>69</v>
      </c>
      <c r="AL313" s="439"/>
      <c r="AM313" s="336">
        <f t="shared" ca="1" si="74"/>
        <v>12454.5</v>
      </c>
      <c r="AN313" s="470">
        <f t="shared" ca="1" si="89"/>
        <v>180.5</v>
      </c>
    </row>
    <row r="314" spans="1:40" x14ac:dyDescent="0.2">
      <c r="A314">
        <f t="shared" si="75"/>
        <v>4</v>
      </c>
      <c r="B314">
        <f t="shared" ca="1" si="76"/>
        <v>4</v>
      </c>
      <c r="C314">
        <f t="shared" ca="1" si="77"/>
        <v>4</v>
      </c>
      <c r="D314">
        <f t="shared" ca="1" si="78"/>
        <v>3</v>
      </c>
      <c r="E314">
        <f ca="1">IF($C314=1,OFFSET(E314,-1,0)+MAX(1,COUNTIF(QCI!$A$13:$A$15,OFFSET(ORÇAMENTO!E314,-1,0))),OFFSET(E314,-1,0))</f>
        <v>1</v>
      </c>
      <c r="F314">
        <f t="shared" ca="1" si="79"/>
        <v>7</v>
      </c>
      <c r="G314">
        <f t="shared" ca="1" si="80"/>
        <v>4</v>
      </c>
      <c r="H314">
        <f t="shared" ca="1" si="81"/>
        <v>3</v>
      </c>
      <c r="I314">
        <f t="shared" ca="1" si="82"/>
        <v>0</v>
      </c>
      <c r="J314">
        <f t="shared" ca="1" si="73"/>
        <v>12</v>
      </c>
      <c r="K314">
        <f ca="1">IF(OR($C314="S",$C314=0),0,MATCH(OFFSET($D314,0,$C314)+IF($C314&lt;&gt;1,1,COUNTIF(QCI!$A$13:$A$15,ORÇAMENTO!E314)),OFFSET($D314,1,$C314,ROW($C$508)-ROW($C314)),0))</f>
        <v>3</v>
      </c>
      <c r="L314" s="114" t="str">
        <f t="shared" ca="1" si="83"/>
        <v>F</v>
      </c>
      <c r="M314" s="115" t="s">
        <v>704</v>
      </c>
      <c r="N314" s="116" t="str">
        <f t="shared" ca="1" si="84"/>
        <v>Nível 4</v>
      </c>
      <c r="O314" s="117" t="str">
        <f t="shared" ca="1" si="85"/>
        <v>1.7.4.3.</v>
      </c>
      <c r="P314" s="118" t="s">
        <v>750</v>
      </c>
      <c r="Q314" s="119"/>
      <c r="R314" s="120" t="s">
        <v>1240</v>
      </c>
      <c r="S314" s="121" t="s">
        <v>688</v>
      </c>
      <c r="T314" s="122">
        <f ca="1">OFFSET(CÁLCULO!H$15,ROW($T314)-ROW(T$15),0)</f>
        <v>0</v>
      </c>
      <c r="U314" s="123">
        <f t="shared" ca="1" si="72"/>
        <v>0</v>
      </c>
      <c r="V314" s="124" t="s">
        <v>663</v>
      </c>
      <c r="W314" s="122">
        <f ca="1">IF($C314="S",ROUND(IF(TIPOORCAMENTO="Proposto",ORÇAMENTO.CustoUnitario*(1+$AH314),ORÇAMENTO.PrecoUnitarioLicitado),15-13*$AF$10),0)</f>
        <v>0</v>
      </c>
      <c r="X314" s="125" cm="1">
        <f t="array" aca="1" ref="X314" ca="1">IF($C314="S",IF(OR(Import.TipoArredondamento&lt;&gt;"TransfereGOV",ACOMPANHAMENTO="BM"),VTOTAL1,SUM(OFFSET(CÁLCULO!$AI$15,ROW($X314)-ROW($X$15),1):OFFSET(CÁLCULO!$BB$15,ROW($X314)-ROW($X$15),-1))),IF($C314=0,0,ROUND(SomaAgrup,15-13*$AF$11)))</f>
        <v>733.27</v>
      </c>
      <c r="Y314" s="126" t="s">
        <v>751</v>
      </c>
      <c r="Z314" t="str">
        <f t="shared" ca="1" si="86"/>
        <v/>
      </c>
      <c r="AA314" s="127">
        <f ca="1">IF($C314="S",IF($Z314="CP",$X314,IF($Z314="RA",(($X314)*QCI!$AA$3),0)),SomaAgrup)</f>
        <v>0</v>
      </c>
      <c r="AB314" s="128">
        <f t="shared" ca="1" si="87"/>
        <v>0</v>
      </c>
      <c r="AC314" s="565" t="str" cm="1">
        <f t="array" aca="1" ref="AC314" ca="1">IF($N314=""," ",
IF(AND($C314&lt;&gt;"S",OR($R314="",$R314="(digite a descrição aqui)")),"DESCRIÇÃO",
IF(AND($C314="S",OR($Q314&lt;&gt;"",$T314&gt;0,$U314&gt;0),$P314=""),"FONTE",
IF(AND($C314="S",$P314&lt;&gt;"",OR($T314&gt;0,$U314&gt;0),$Q314=""),"CÓDIGO",
IF(AND($C314="S",$P314&lt;&gt;"",$Q314&lt;&gt;"",$R314="(Código não identificado nas referências)"),"CÓDIGO N/ID",
IF(AND($C314="S",OR($R314="",$R314="(digite a descrição aqui)"),OR($Q314&lt;&gt;"",$T314&gt;0,$U314&gt;0)),"DESCRIÇÃO",
IF(AND($C314="S",$P314&lt;&gt;"",$Q314&lt;&gt;"",$S314=""),"UNIDADE",
IF(AND($C314="S",$P314&lt;&gt;"",$Q314&lt;&gt;"",$U314=0),"SEM CUSTO",
IF(AND(_xlfn.SINGLE(TIPOORCAMENTO)="Licitado",$AL314=0,$AN314&gt;0),"SEM PREÇO",
IF(AND($C314="S",$P314&lt;&gt;"",$Q314&lt;&gt;"",$U314&gt;0,AND($V314&lt;&gt;"BDI 1",$V314&lt;&gt;"BDI 2",$V314&lt;&gt;"BDI 3")),IF(ISNUMBER($V314),"JUSTIFICAR BDI","BDI"),
IF(OR(AND(import.recurso="OGU",TIPOORCAMENTO="Proposto",LEFT($O$8,5)&lt;&gt;"(N/D:",$AG314&lt;&gt;"",ORÇAMENTO.CustoUnitario&gt;$AG314),AND(TIPOORCAMENTO="LICITADO",ORÇAMENTO.PrecoUnitarioLicitado&gt;$AN314)),"ACIMA REF.",
IF(AND($C314="S",$P314&lt;&gt;"",$Q314&lt;&gt;"",$T314=0,$U314&gt;0),"QUANT.",
IF(AND(Import.TipoArredondamento="TransfereGOV",$L314="F",$C314="S",LEN($Q314)&gt;13),"Código &gt;13",
IF(AND(Import.TipoArredondamento="TransfereGOV",$L314="F",$C314&lt;&gt;"S",LEN($R314)&gt;100),"Descrição &gt;100",
IF(AND(Import.TipoArredondamento="TransfereGOV",$L314="F",$C314="S",LEN($R314)&gt;500),"Descrição &gt;500",
IF(AND(Import.TipoArredondamento="TransfereGOV",$L314="F",$C314="S",LEFT(TRIM(UPPER($P314)),6)&lt;&gt;"SINAPI",ISNA(VLOOKUP(TRIM(UPPER($S314)),ListaTgov.Unidades,1,FALSE))),"Unid. Não Disp",
" "))))))))))))))))</f>
        <v xml:space="preserve"> </v>
      </c>
      <c r="AD314" t="str">
        <f ca="1">IF(C314&lt;=CRONO.NivelExibicao,MAX($AD$15:OFFSET(AD314,-1,0))+IF($C314&lt;&gt;1,1,MAX(1,COUNTIF(QCI!$A$13:$A$15,OFFSET($E314,-1,0)))),"")</f>
        <v/>
      </c>
      <c r="AE314" s="7" t="b">
        <f ca="1">IF(AND($C314="S",ORÇAMENTO.CodBarra&lt;&gt;""),IF(ORÇAMENTO.Fonte="",ORÇAMENTO.CodBarra,CONCATENATE(ORÇAMENTO.Fonte," ",ORÇAMENTO.CodBarra)))</f>
        <v>0</v>
      </c>
      <c r="AF314" s="12" t="str">
        <f ca="1">IF(ISERROR(INDIRECT(ORÇAMENTO.BancoRef)),"(abra o arquivo 'Referência "&amp;Excel_BuiltIn_Database&amp;".xlsm)",IF(OR($C314&lt;&gt;"S",ORÇAMENTO.CodBarra=""),"(Sem Código)",IF(ISERROR(MATCH($AE314,INDIRECT(ORÇAMENTO.BancoRef),0)),"(Código não identificado nas referências)",MATCH($AE314,INDIRECT(ORÇAMENTO.BancoRef),0))))</f>
        <v>(Sem Código)</v>
      </c>
      <c r="AG314" s="428">
        <f ca="1">ROUND(IF(DESONERACAO="sim",REFERENCIA.Desonerado,REFERENCIA.NaoDesonerado),2)</f>
        <v>0</v>
      </c>
      <c r="AH314" s="429">
        <f t="shared" ca="1" si="88"/>
        <v>0.23499999999999999</v>
      </c>
      <c r="AJ314" s="431"/>
      <c r="AL314" s="439"/>
      <c r="AM314" s="336">
        <f t="shared" ca="1" si="74"/>
        <v>733.27</v>
      </c>
      <c r="AN314" s="470">
        <f t="shared" ca="1" si="89"/>
        <v>0</v>
      </c>
    </row>
    <row r="315" spans="1:40" ht="25.5" x14ac:dyDescent="0.2">
      <c r="A315" t="str">
        <f t="shared" si="75"/>
        <v>S</v>
      </c>
      <c r="B315">
        <f t="shared" ca="1" si="76"/>
        <v>4</v>
      </c>
      <c r="C315" t="str">
        <f t="shared" ca="1" si="77"/>
        <v>S</v>
      </c>
      <c r="D315">
        <f t="shared" ca="1" si="78"/>
        <v>0</v>
      </c>
      <c r="E315">
        <f ca="1">IF($C315=1,OFFSET(E315,-1,0)+MAX(1,COUNTIF(QCI!$A$13:$A$15,OFFSET(ORÇAMENTO!E315,-1,0))),OFFSET(E315,-1,0))</f>
        <v>1</v>
      </c>
      <c r="F315">
        <f t="shared" ca="1" si="79"/>
        <v>7</v>
      </c>
      <c r="G315">
        <f t="shared" ca="1" si="80"/>
        <v>4</v>
      </c>
      <c r="H315">
        <f t="shared" ca="1" si="81"/>
        <v>3</v>
      </c>
      <c r="I315">
        <f t="shared" ca="1" si="82"/>
        <v>1</v>
      </c>
      <c r="J315">
        <f t="shared" ca="1" si="73"/>
        <v>0</v>
      </c>
      <c r="K315">
        <f ca="1">IF(OR($C315="S",$C315=0),0,MATCH(OFFSET($D315,0,$C315)+IF($C315&lt;&gt;1,1,COUNTIF(QCI!$A$13:$A$15,ORÇAMENTO!E315)),OFFSET($D315,1,$C315,ROW($C$508)-ROW($C315)),0))</f>
        <v>0</v>
      </c>
      <c r="L315" s="114" t="str">
        <f t="shared" ca="1" si="83"/>
        <v>F</v>
      </c>
      <c r="M315" s="115" t="s">
        <v>705</v>
      </c>
      <c r="N315" s="116" t="str">
        <f t="shared" ca="1" si="84"/>
        <v>Serviço</v>
      </c>
      <c r="O315" s="117" t="str">
        <f t="shared" ca="1" si="85"/>
        <v>1.7.4.3.1.</v>
      </c>
      <c r="P315" s="118" t="s">
        <v>1281</v>
      </c>
      <c r="Q315" s="119" t="s">
        <v>1079</v>
      </c>
      <c r="R315" s="120" t="str">
        <f ca="1">IF($C315="S",REFERENCIA.Descricao,"(digite a descrição aqui)")</f>
        <v>ASSENTAMENTO DE CONEXÕES EM FERRO FUNDIDO, JUNTA ELÁSTICA, DN = 150 MM - BASEADO EM ORSE (5283)</v>
      </c>
      <c r="S315" s="121" t="str">
        <f ca="1">REFERENCIA.Unidade</f>
        <v>UN</v>
      </c>
      <c r="T315" s="122">
        <f ca="1">OFFSET(CÁLCULO!H$15,ROW($T315)-ROW(T$15),0)</f>
        <v>31</v>
      </c>
      <c r="U315" s="123">
        <f t="shared" ca="1" si="72"/>
        <v>17.489999999999998</v>
      </c>
      <c r="V315" s="124" t="s">
        <v>663</v>
      </c>
      <c r="W315" s="122">
        <f ca="1">IF($C315="S",ROUND(IF(TIPOORCAMENTO="Proposto",ORÇAMENTO.CustoUnitario*(1+$AH315),ORÇAMENTO.PrecoUnitarioLicitado),15-13*$AF$10),0)</f>
        <v>21.6</v>
      </c>
      <c r="X315" s="125" cm="1">
        <f t="array" aca="1" ref="X315" ca="1">IF($C315="S",IF(OR(Import.TipoArredondamento&lt;&gt;"TransfereGOV",ACOMPANHAMENTO="BM"),VTOTAL1,SUM(OFFSET(CÁLCULO!$AI$15,ROW($X315)-ROW($X$15),1):OFFSET(CÁLCULO!$BB$15,ROW($X315)-ROW($X$15),-1))),IF($C315=0,0,ROUND(SomaAgrup,15-13*$AF$11)))</f>
        <v>669.6</v>
      </c>
      <c r="Y315" s="126" t="s">
        <v>751</v>
      </c>
      <c r="Z315" t="str">
        <f t="shared" ca="1" si="86"/>
        <v>RA</v>
      </c>
      <c r="AA315" s="127">
        <f ca="1">IF($C315="S",IF($Z315="CP",$X315,IF($Z315="RA",(($X315)*QCI!$AA$3),0)),SomaAgrup)</f>
        <v>0</v>
      </c>
      <c r="AB315" s="128">
        <f t="shared" ca="1" si="87"/>
        <v>0</v>
      </c>
      <c r="AC315" s="565" t="str" cm="1">
        <f t="array" aca="1" ref="AC315" ca="1">IF($N315=""," ",
IF(AND($C315&lt;&gt;"S",OR($R315="",$R315="(digite a descrição aqui)")),"DESCRIÇÃO",
IF(AND($C315="S",OR($Q315&lt;&gt;"",$T315&gt;0,$U315&gt;0),$P315=""),"FONTE",
IF(AND($C315="S",$P315&lt;&gt;"",OR($T315&gt;0,$U315&gt;0),$Q315=""),"CÓDIGO",
IF(AND($C315="S",$P315&lt;&gt;"",$Q315&lt;&gt;"",$R315="(Código não identificado nas referências)"),"CÓDIGO N/ID",
IF(AND($C315="S",OR($R315="",$R315="(digite a descrição aqui)"),OR($Q315&lt;&gt;"",$T315&gt;0,$U315&gt;0)),"DESCRIÇÃO",
IF(AND($C315="S",$P315&lt;&gt;"",$Q315&lt;&gt;"",$S315=""),"UNIDADE",
IF(AND($C315="S",$P315&lt;&gt;"",$Q315&lt;&gt;"",$U315=0),"SEM CUSTO",
IF(AND(_xlfn.SINGLE(TIPOORCAMENTO)="Licitado",$AL315=0,$AN315&gt;0),"SEM PREÇO",
IF(AND($C315="S",$P315&lt;&gt;"",$Q315&lt;&gt;"",$U315&gt;0,AND($V315&lt;&gt;"BDI 1",$V315&lt;&gt;"BDI 2",$V315&lt;&gt;"BDI 3")),IF(ISNUMBER($V315),"JUSTIFICAR BDI","BDI"),
IF(OR(AND(import.recurso="OGU",TIPOORCAMENTO="Proposto",LEFT($O$8,5)&lt;&gt;"(N/D:",$AG315&lt;&gt;"",ORÇAMENTO.CustoUnitario&gt;$AG315),AND(TIPOORCAMENTO="LICITADO",ORÇAMENTO.PrecoUnitarioLicitado&gt;$AN315)),"ACIMA REF.",
IF(AND($C315="S",$P315&lt;&gt;"",$Q315&lt;&gt;"",$T315=0,$U315&gt;0),"QUANT.",
IF(AND(Import.TipoArredondamento="TransfereGOV",$L315="F",$C315="S",LEN($Q315)&gt;13),"Código &gt;13",
IF(AND(Import.TipoArredondamento="TransfereGOV",$L315="F",$C315&lt;&gt;"S",LEN($R315)&gt;100),"Descrição &gt;100",
IF(AND(Import.TipoArredondamento="TransfereGOV",$L315="F",$C315="S",LEN($R315)&gt;500),"Descrição &gt;500",
IF(AND(Import.TipoArredondamento="TransfereGOV",$L315="F",$C315="S",LEFT(TRIM(UPPER($P315)),6)&lt;&gt;"SINAPI",ISNA(VLOOKUP(TRIM(UPPER($S315)),ListaTgov.Unidades,1,FALSE))),"Unid. Não Disp",
" "))))))))))))))))</f>
        <v xml:space="preserve"> </v>
      </c>
      <c r="AD315" t="str">
        <f ca="1">IF(C315&lt;=CRONO.NivelExibicao,MAX($AD$15:OFFSET(AD315,-1,0))+IF($C315&lt;&gt;1,1,MAX(1,COUNTIF(QCI!$A$13:$A$15,OFFSET($E315,-1,0)))),"")</f>
        <v/>
      </c>
      <c r="AE315" s="7" t="str">
        <f ca="1">IF(AND($C315="S",ORÇAMENTO.CodBarra&lt;&gt;""),IF(ORÇAMENTO.Fonte="",ORÇAMENTO.CodBarra,CONCATENATE(ORÇAMENTO.Fonte," ",ORÇAMENTO.CodBarra)))</f>
        <v>COMPOSIÇÃO CPU-015</v>
      </c>
      <c r="AF315" s="12">
        <f ca="1">IF(ISERROR(INDIRECT(ORÇAMENTO.BancoRef)),"(abra o arquivo 'Referência "&amp;Excel_BuiltIn_Database&amp;".xlsm)",IF(OR($C315&lt;&gt;"S",ORÇAMENTO.CodBarra=""),"(Sem Código)",IF(ISERROR(MATCH($AE315,INDIRECT(ORÇAMENTO.BancoRef),0)),"(Código não identificado nas referências)",MATCH($AE315,INDIRECT(ORÇAMENTO.BancoRef),0))))</f>
        <v>17</v>
      </c>
      <c r="AG315" s="428">
        <f ca="1">ROUND(IF(DESONERACAO="sim",REFERENCIA.Desonerado,REFERENCIA.NaoDesonerado),2)</f>
        <v>17.489999999999998</v>
      </c>
      <c r="AH315" s="429">
        <f t="shared" ca="1" si="88"/>
        <v>0.23499999999999999</v>
      </c>
      <c r="AJ315" s="431">
        <f>AJ304+AJ306+AJ307+AJ309</f>
        <v>31</v>
      </c>
      <c r="AL315" s="439"/>
      <c r="AM315" s="336">
        <f t="shared" ca="1" si="74"/>
        <v>669.6</v>
      </c>
      <c r="AN315" s="470">
        <f t="shared" ca="1" si="89"/>
        <v>21.6</v>
      </c>
    </row>
    <row r="316" spans="1:40" ht="51" x14ac:dyDescent="0.2">
      <c r="A316" t="str">
        <f t="shared" si="75"/>
        <v>S</v>
      </c>
      <c r="B316">
        <f t="shared" ca="1" si="76"/>
        <v>4</v>
      </c>
      <c r="C316" t="str">
        <f t="shared" ca="1" si="77"/>
        <v>S</v>
      </c>
      <c r="D316">
        <f t="shared" ca="1" si="78"/>
        <v>0</v>
      </c>
      <c r="E316">
        <f ca="1">IF($C316=1,OFFSET(E316,-1,0)+MAX(1,COUNTIF(QCI!$A$13:$A$15,OFFSET(ORÇAMENTO!E316,-1,0))),OFFSET(E316,-1,0))</f>
        <v>1</v>
      </c>
      <c r="F316">
        <f t="shared" ca="1" si="79"/>
        <v>7</v>
      </c>
      <c r="G316">
        <f t="shared" ca="1" si="80"/>
        <v>4</v>
      </c>
      <c r="H316">
        <f t="shared" ca="1" si="81"/>
        <v>3</v>
      </c>
      <c r="I316">
        <f t="shared" ca="1" si="82"/>
        <v>2</v>
      </c>
      <c r="J316">
        <f t="shared" ca="1" si="73"/>
        <v>0</v>
      </c>
      <c r="K316">
        <f ca="1">IF(OR($C316="S",$C316=0),0,MATCH(OFFSET($D316,0,$C316)+IF($C316&lt;&gt;1,1,COUNTIF(QCI!$A$13:$A$15,ORÇAMENTO!E316)),OFFSET($D316,1,$C316,ROW($C$508)-ROW($C316)),0))</f>
        <v>0</v>
      </c>
      <c r="L316" s="114" t="str">
        <f t="shared" ca="1" si="83"/>
        <v>F</v>
      </c>
      <c r="M316" s="115" t="s">
        <v>705</v>
      </c>
      <c r="N316" s="116" t="str">
        <f t="shared" ca="1" si="84"/>
        <v>Serviço</v>
      </c>
      <c r="O316" s="117" t="str">
        <f t="shared" ca="1" si="85"/>
        <v>1.7.4.3.2.</v>
      </c>
      <c r="P316" s="118" t="s">
        <v>750</v>
      </c>
      <c r="Q316" s="119" t="s">
        <v>1080</v>
      </c>
      <c r="R316" s="120" t="str">
        <f ca="1">IF($C316="S",REFERENCIA.Descricao,"(digite a descrição aqui)")</f>
        <v>ASSENTAMENTO DE TUBO DE FERRO FUNDIDO PARA REDE DE ÁGUA, DN 150 MM, JUNTA ELÁSTICA, INSTALADO EM LOCAL COM NÍVEL BAIXO DE INTERFERÊNCIAS (NÃO INCLUI FORNECIMENTO). AF_05/2024</v>
      </c>
      <c r="S316" s="121" t="str">
        <f ca="1">REFERENCIA.Unidade</f>
        <v>M</v>
      </c>
      <c r="T316" s="122">
        <f ca="1">OFFSET(CÁLCULO!H$15,ROW($T316)-ROW(T$15),0)</f>
        <v>8.4</v>
      </c>
      <c r="U316" s="123">
        <f t="shared" ca="1" si="72"/>
        <v>6.14</v>
      </c>
      <c r="V316" s="124" t="s">
        <v>663</v>
      </c>
      <c r="W316" s="122">
        <f ca="1">IF($C316="S",ROUND(IF(TIPOORCAMENTO="Proposto",ORÇAMENTO.CustoUnitario*(1+$AH316),ORÇAMENTO.PrecoUnitarioLicitado),15-13*$AF$10),0)</f>
        <v>7.58</v>
      </c>
      <c r="X316" s="125" cm="1">
        <f t="array" aca="1" ref="X316" ca="1">IF($C316="S",IF(OR(Import.TipoArredondamento&lt;&gt;"TransfereGOV",ACOMPANHAMENTO="BM"),VTOTAL1,SUM(OFFSET(CÁLCULO!$AI$15,ROW($X316)-ROW($X$15),1):OFFSET(CÁLCULO!$BB$15,ROW($X316)-ROW($X$15),-1))),IF($C316=0,0,ROUND(SomaAgrup,15-13*$AF$11)))</f>
        <v>63.67</v>
      </c>
      <c r="Y316" s="126" t="s">
        <v>751</v>
      </c>
      <c r="Z316" t="str">
        <f t="shared" ca="1" si="86"/>
        <v>RA</v>
      </c>
      <c r="AA316" s="127">
        <f ca="1">IF($C316="S",IF($Z316="CP",$X316,IF($Z316="RA",(($X316)*QCI!$AA$3),0)),SomaAgrup)</f>
        <v>0</v>
      </c>
      <c r="AB316" s="128">
        <f t="shared" ca="1" si="87"/>
        <v>0</v>
      </c>
      <c r="AC316" s="565" t="str" cm="1">
        <f t="array" aca="1" ref="AC316" ca="1">IF($N316=""," ",
IF(AND($C316&lt;&gt;"S",OR($R316="",$R316="(digite a descrição aqui)")),"DESCRIÇÃO",
IF(AND($C316="S",OR($Q316&lt;&gt;"",$T316&gt;0,$U316&gt;0),$P316=""),"FONTE",
IF(AND($C316="S",$P316&lt;&gt;"",OR($T316&gt;0,$U316&gt;0),$Q316=""),"CÓDIGO",
IF(AND($C316="S",$P316&lt;&gt;"",$Q316&lt;&gt;"",$R316="(Código não identificado nas referências)"),"CÓDIGO N/ID",
IF(AND($C316="S",OR($R316="",$R316="(digite a descrição aqui)"),OR($Q316&lt;&gt;"",$T316&gt;0,$U316&gt;0)),"DESCRIÇÃO",
IF(AND($C316="S",$P316&lt;&gt;"",$Q316&lt;&gt;"",$S316=""),"UNIDADE",
IF(AND($C316="S",$P316&lt;&gt;"",$Q316&lt;&gt;"",$U316=0),"SEM CUSTO",
IF(AND(_xlfn.SINGLE(TIPOORCAMENTO)="Licitado",$AL316=0,$AN316&gt;0),"SEM PREÇO",
IF(AND($C316="S",$P316&lt;&gt;"",$Q316&lt;&gt;"",$U316&gt;0,AND($V316&lt;&gt;"BDI 1",$V316&lt;&gt;"BDI 2",$V316&lt;&gt;"BDI 3")),IF(ISNUMBER($V316),"JUSTIFICAR BDI","BDI"),
IF(OR(AND(import.recurso="OGU",TIPOORCAMENTO="Proposto",LEFT($O$8,5)&lt;&gt;"(N/D:",$AG316&lt;&gt;"",ORÇAMENTO.CustoUnitario&gt;$AG316),AND(TIPOORCAMENTO="LICITADO",ORÇAMENTO.PrecoUnitarioLicitado&gt;$AN316)),"ACIMA REF.",
IF(AND($C316="S",$P316&lt;&gt;"",$Q316&lt;&gt;"",$T316=0,$U316&gt;0),"QUANT.",
IF(AND(Import.TipoArredondamento="TransfereGOV",$L316="F",$C316="S",LEN($Q316)&gt;13),"Código &gt;13",
IF(AND(Import.TipoArredondamento="TransfereGOV",$L316="F",$C316&lt;&gt;"S",LEN($R316)&gt;100),"Descrição &gt;100",
IF(AND(Import.TipoArredondamento="TransfereGOV",$L316="F",$C316="S",LEN($R316)&gt;500),"Descrição &gt;500",
IF(AND(Import.TipoArredondamento="TransfereGOV",$L316="F",$C316="S",LEFT(TRIM(UPPER($P316)),6)&lt;&gt;"SINAPI",ISNA(VLOOKUP(TRIM(UPPER($S316)),ListaTgov.Unidades,1,FALSE))),"Unid. Não Disp",
" "))))))))))))))))</f>
        <v xml:space="preserve"> </v>
      </c>
      <c r="AD316" t="str">
        <f ca="1">IF(C316&lt;=CRONO.NivelExibicao,MAX($AD$15:OFFSET(AD316,-1,0))+IF($C316&lt;&gt;1,1,MAX(1,COUNTIF(QCI!$A$13:$A$15,OFFSET($E316,-1,0)))),"")</f>
        <v/>
      </c>
      <c r="AE316" s="7" t="str">
        <f ca="1">IF(AND($C316="S",ORÇAMENTO.CodBarra&lt;&gt;""),IF(ORÇAMENTO.Fonte="",ORÇAMENTO.CodBarra,CONCATENATE(ORÇAMENTO.Fonte," ",ORÇAMENTO.CodBarra)))</f>
        <v>SINAPI 97159</v>
      </c>
      <c r="AF316" s="12">
        <f ca="1">IF(ISERROR(INDIRECT(ORÇAMENTO.BancoRef)),"(abra o arquivo 'Referência "&amp;Excel_BuiltIn_Database&amp;".xlsm)",IF(OR($C316&lt;&gt;"S",ORÇAMENTO.CodBarra=""),"(Sem Código)",IF(ISERROR(MATCH($AE316,INDIRECT(ORÇAMENTO.BancoRef),0)),"(Código não identificado nas referências)",MATCH($AE316,INDIRECT(ORÇAMENTO.BancoRef),0))))</f>
        <v>6602</v>
      </c>
      <c r="AG316" s="428">
        <f ca="1">ROUND(IF(DESONERACAO="sim",REFERENCIA.Desonerado,REFERENCIA.NaoDesonerado),2)</f>
        <v>6.14</v>
      </c>
      <c r="AH316" s="429">
        <f t="shared" ca="1" si="88"/>
        <v>0.23499999999999999</v>
      </c>
      <c r="AJ316" s="431">
        <f>AJ305*0.9+AJ308*0.5</f>
        <v>8.4</v>
      </c>
      <c r="AL316" s="439"/>
      <c r="AM316" s="336">
        <f t="shared" ca="1" si="74"/>
        <v>63.67</v>
      </c>
      <c r="AN316" s="470">
        <f t="shared" ca="1" si="89"/>
        <v>7.58</v>
      </c>
    </row>
    <row r="317" spans="1:40" x14ac:dyDescent="0.2">
      <c r="A317">
        <f t="shared" si="75"/>
        <v>4</v>
      </c>
      <c r="B317">
        <f t="shared" ca="1" si="76"/>
        <v>4</v>
      </c>
      <c r="C317">
        <f t="shared" ca="1" si="77"/>
        <v>4</v>
      </c>
      <c r="D317">
        <f t="shared" ca="1" si="78"/>
        <v>6</v>
      </c>
      <c r="E317">
        <f ca="1">IF($C317=1,OFFSET(E317,-1,0)+MAX(1,COUNTIF(QCI!$A$13:$A$15,OFFSET(ORÇAMENTO!E317,-1,0))),OFFSET(E317,-1,0))</f>
        <v>1</v>
      </c>
      <c r="F317">
        <f t="shared" ca="1" si="79"/>
        <v>7</v>
      </c>
      <c r="G317">
        <f t="shared" ca="1" si="80"/>
        <v>4</v>
      </c>
      <c r="H317">
        <f t="shared" ca="1" si="81"/>
        <v>4</v>
      </c>
      <c r="I317">
        <f t="shared" ca="1" si="82"/>
        <v>0</v>
      </c>
      <c r="J317">
        <f t="shared" ca="1" si="73"/>
        <v>9</v>
      </c>
      <c r="K317">
        <f ca="1">IF(OR($C317="S",$C317=0),0,MATCH(OFFSET($D317,0,$C317)+IF($C317&lt;&gt;1,1,COUNTIF(QCI!$A$13:$A$15,ORÇAMENTO!E317)),OFFSET($D317,1,$C317,ROW($C$508)-ROW($C317)),0))</f>
        <v>6</v>
      </c>
      <c r="L317" s="114" t="str">
        <f t="shared" ca="1" si="83"/>
        <v>F</v>
      </c>
      <c r="M317" s="115" t="s">
        <v>704</v>
      </c>
      <c r="N317" s="116" t="str">
        <f t="shared" ca="1" si="84"/>
        <v>Nível 4</v>
      </c>
      <c r="O317" s="117" t="str">
        <f t="shared" ca="1" si="85"/>
        <v>1.7.4.4.</v>
      </c>
      <c r="P317" s="118" t="s">
        <v>750</v>
      </c>
      <c r="Q317" s="119"/>
      <c r="R317" s="120" t="s">
        <v>1242</v>
      </c>
      <c r="S317" s="121" t="s">
        <v>688</v>
      </c>
      <c r="T317" s="122">
        <f ca="1">OFFSET(CÁLCULO!H$15,ROW($T317)-ROW(T$15),0)</f>
        <v>0</v>
      </c>
      <c r="U317" s="123">
        <f t="shared" ca="1" si="72"/>
        <v>0</v>
      </c>
      <c r="V317" s="124" t="s">
        <v>663</v>
      </c>
      <c r="W317" s="122">
        <f ca="1">IF($C317="S",ROUND(IF(TIPOORCAMENTO="Proposto",ORÇAMENTO.CustoUnitario*(1+$AH317),ORÇAMENTO.PrecoUnitarioLicitado),15-13*$AF$10),0)</f>
        <v>0</v>
      </c>
      <c r="X317" s="125" cm="1">
        <f t="array" aca="1" ref="X317" ca="1">IF($C317="S",IF(OR(Import.TipoArredondamento&lt;&gt;"TransfereGOV",ACOMPANHAMENTO="BM"),VTOTAL1,SUM(OFFSET(CÁLCULO!$AI$15,ROW($X317)-ROW($X$15),1):OFFSET(CÁLCULO!$BB$15,ROW($X317)-ROW($X$15),-1))),IF($C317=0,0,ROUND(SomaAgrup,15-13*$AF$11)))</f>
        <v>103801.5</v>
      </c>
      <c r="Y317" s="126" t="s">
        <v>751</v>
      </c>
      <c r="Z317" t="str">
        <f t="shared" ca="1" si="86"/>
        <v/>
      </c>
      <c r="AA317" s="127">
        <f ca="1">IF($C317="S",IF($Z317="CP",$X317,IF($Z317="RA",(($X317)*QCI!$AA$3),0)),SomaAgrup)</f>
        <v>0</v>
      </c>
      <c r="AB317" s="128">
        <f t="shared" ca="1" si="87"/>
        <v>0</v>
      </c>
      <c r="AC317" s="565" t="str" cm="1">
        <f t="array" aca="1" ref="AC317" ca="1">IF($N317=""," ",
IF(AND($C317&lt;&gt;"S",OR($R317="",$R317="(digite a descrição aqui)")),"DESCRIÇÃO",
IF(AND($C317="S",OR($Q317&lt;&gt;"",$T317&gt;0,$U317&gt;0),$P317=""),"FONTE",
IF(AND($C317="S",$P317&lt;&gt;"",OR($T317&gt;0,$U317&gt;0),$Q317=""),"CÓDIGO",
IF(AND($C317="S",$P317&lt;&gt;"",$Q317&lt;&gt;"",$R317="(Código não identificado nas referências)"),"CÓDIGO N/ID",
IF(AND($C317="S",OR($R317="",$R317="(digite a descrição aqui)"),OR($Q317&lt;&gt;"",$T317&gt;0,$U317&gt;0)),"DESCRIÇÃO",
IF(AND($C317="S",$P317&lt;&gt;"",$Q317&lt;&gt;"",$S317=""),"UNIDADE",
IF(AND($C317="S",$P317&lt;&gt;"",$Q317&lt;&gt;"",$U317=0),"SEM CUSTO",
IF(AND(_xlfn.SINGLE(TIPOORCAMENTO)="Licitado",$AL317=0,$AN317&gt;0),"SEM PREÇO",
IF(AND($C317="S",$P317&lt;&gt;"",$Q317&lt;&gt;"",$U317&gt;0,AND($V317&lt;&gt;"BDI 1",$V317&lt;&gt;"BDI 2",$V317&lt;&gt;"BDI 3")),IF(ISNUMBER($V317),"JUSTIFICAR BDI","BDI"),
IF(OR(AND(import.recurso="OGU",TIPOORCAMENTO="Proposto",LEFT($O$8,5)&lt;&gt;"(N/D:",$AG317&lt;&gt;"",ORÇAMENTO.CustoUnitario&gt;$AG317),AND(TIPOORCAMENTO="LICITADO",ORÇAMENTO.PrecoUnitarioLicitado&gt;$AN317)),"ACIMA REF.",
IF(AND($C317="S",$P317&lt;&gt;"",$Q317&lt;&gt;"",$T317=0,$U317&gt;0),"QUANT.",
IF(AND(Import.TipoArredondamento="TransfereGOV",$L317="F",$C317="S",LEN($Q317)&gt;13),"Código &gt;13",
IF(AND(Import.TipoArredondamento="TransfereGOV",$L317="F",$C317&lt;&gt;"S",LEN($R317)&gt;100),"Descrição &gt;100",
IF(AND(Import.TipoArredondamento="TransfereGOV",$L317="F",$C317="S",LEN($R317)&gt;500),"Descrição &gt;500",
IF(AND(Import.TipoArredondamento="TransfereGOV",$L317="F",$C317="S",LEFT(TRIM(UPPER($P317)),6)&lt;&gt;"SINAPI",ISNA(VLOOKUP(TRIM(UPPER($S317)),ListaTgov.Unidades,1,FALSE))),"Unid. Não Disp",
" "))))))))))))))))</f>
        <v xml:space="preserve"> </v>
      </c>
      <c r="AD317" t="str">
        <f ca="1">IF(C317&lt;=CRONO.NivelExibicao,MAX($AD$15:OFFSET(AD317,-1,0))+IF($C317&lt;&gt;1,1,MAX(1,COUNTIF(QCI!$A$13:$A$15,OFFSET($E317,-1,0)))),"")</f>
        <v/>
      </c>
      <c r="AE317" s="7" t="b">
        <f ca="1">IF(AND($C317="S",ORÇAMENTO.CodBarra&lt;&gt;""),IF(ORÇAMENTO.Fonte="",ORÇAMENTO.CodBarra,CONCATENATE(ORÇAMENTO.Fonte," ",ORÇAMENTO.CodBarra)))</f>
        <v>0</v>
      </c>
      <c r="AF317" s="12" t="str">
        <f ca="1">IF(ISERROR(INDIRECT(ORÇAMENTO.BancoRef)),"(abra o arquivo 'Referência "&amp;Excel_BuiltIn_Database&amp;".xlsm)",IF(OR($C317&lt;&gt;"S",ORÇAMENTO.CodBarra=""),"(Sem Código)",IF(ISERROR(MATCH($AE317,INDIRECT(ORÇAMENTO.BancoRef),0)),"(Código não identificado nas referências)",MATCH($AE317,INDIRECT(ORÇAMENTO.BancoRef),0))))</f>
        <v>(Sem Código)</v>
      </c>
      <c r="AG317" s="428">
        <f ca="1">ROUND(IF(DESONERACAO="sim",REFERENCIA.Desonerado,REFERENCIA.NaoDesonerado),2)</f>
        <v>0</v>
      </c>
      <c r="AH317" s="429">
        <f t="shared" ca="1" si="88"/>
        <v>0.23499999999999999</v>
      </c>
      <c r="AJ317" s="431"/>
      <c r="AL317" s="439"/>
      <c r="AM317" s="336">
        <f t="shared" ca="1" si="74"/>
        <v>103801.5</v>
      </c>
      <c r="AN317" s="470">
        <f t="shared" ca="1" si="89"/>
        <v>0</v>
      </c>
    </row>
    <row r="318" spans="1:40" ht="38.25" x14ac:dyDescent="0.2">
      <c r="A318" t="str">
        <f t="shared" si="75"/>
        <v>S</v>
      </c>
      <c r="B318">
        <f t="shared" ca="1" si="76"/>
        <v>4</v>
      </c>
      <c r="C318" t="str">
        <f t="shared" ca="1" si="77"/>
        <v>S</v>
      </c>
      <c r="D318">
        <f t="shared" ca="1" si="78"/>
        <v>0</v>
      </c>
      <c r="E318">
        <f ca="1">IF($C318=1,OFFSET(E318,-1,0)+MAX(1,COUNTIF(QCI!$A$13:$A$15,OFFSET(ORÇAMENTO!E318,-1,0))),OFFSET(E318,-1,0))</f>
        <v>1</v>
      </c>
      <c r="F318">
        <f t="shared" ca="1" si="79"/>
        <v>7</v>
      </c>
      <c r="G318">
        <f t="shared" ca="1" si="80"/>
        <v>4</v>
      </c>
      <c r="H318">
        <f t="shared" ca="1" si="81"/>
        <v>4</v>
      </c>
      <c r="I318">
        <f t="shared" ca="1" si="82"/>
        <v>1</v>
      </c>
      <c r="J318">
        <f t="shared" ca="1" si="73"/>
        <v>0</v>
      </c>
      <c r="K318">
        <f ca="1">IF(OR($C318="S",$C318=0),0,MATCH(OFFSET($D318,0,$C318)+IF($C318&lt;&gt;1,1,COUNTIF(QCI!$A$13:$A$15,ORÇAMENTO!E318)),OFFSET($D318,1,$C318,ROW($C$508)-ROW($C318)),0))</f>
        <v>0</v>
      </c>
      <c r="L318" s="114" t="str">
        <f t="shared" ca="1" si="83"/>
        <v>F</v>
      </c>
      <c r="M318" s="115" t="s">
        <v>705</v>
      </c>
      <c r="N318" s="116" t="str">
        <f t="shared" ca="1" si="84"/>
        <v>Serviço</v>
      </c>
      <c r="O318" s="117" t="str">
        <f t="shared" ca="1" si="85"/>
        <v>1.7.4.4.1.</v>
      </c>
      <c r="P318" s="118" t="s">
        <v>750</v>
      </c>
      <c r="Q318" s="119" t="s">
        <v>1090</v>
      </c>
      <c r="R318" s="120" t="str">
        <f ca="1">IF($C318="S",REFERENCIA.Descricao,"(digite a descrição aqui)")</f>
        <v>ALVENARIA DE VEDAÇÃO DE BLOCOS CERÂMICOS MACIÇOS DE 5X10X20CM (ESPESSURA 10CM) E ARGAMASSA DE ASSENTAMENTO COM PREPARO EM BETONEIRA. AF_05/2020</v>
      </c>
      <c r="S318" s="121" t="str">
        <f ca="1">REFERENCIA.Unidade</f>
        <v>M2</v>
      </c>
      <c r="T318" s="122">
        <f ca="1">OFFSET(CÁLCULO!H$15,ROW($T318)-ROW(T$15),0)</f>
        <v>363</v>
      </c>
      <c r="U318" s="123">
        <f t="shared" ca="1" si="72"/>
        <v>140.16</v>
      </c>
      <c r="V318" s="124" t="s">
        <v>663</v>
      </c>
      <c r="W318" s="122">
        <f ca="1">IF($C318="S",ROUND(IF(TIPOORCAMENTO="Proposto",ORÇAMENTO.CustoUnitario*(1+$AH318),ORÇAMENTO.PrecoUnitarioLicitado),15-13*$AF$10),0)</f>
        <v>173.1</v>
      </c>
      <c r="X318" s="125" cm="1">
        <f t="array" aca="1" ref="X318" ca="1">IF($C318="S",IF(OR(Import.TipoArredondamento&lt;&gt;"TransfereGOV",ACOMPANHAMENTO="BM"),VTOTAL1,SUM(OFFSET(CÁLCULO!$AI$15,ROW($X318)-ROW($X$15),1):OFFSET(CÁLCULO!$BB$15,ROW($X318)-ROW($X$15),-1))),IF($C318=0,0,ROUND(SomaAgrup,15-13*$AF$11)))</f>
        <v>62835.3</v>
      </c>
      <c r="Y318" s="126" t="s">
        <v>751</v>
      </c>
      <c r="Z318" t="str">
        <f t="shared" ca="1" si="86"/>
        <v>RA</v>
      </c>
      <c r="AA318" s="127">
        <f ca="1">IF($C318="S",IF($Z318="CP",$X318,IF($Z318="RA",(($X318)*QCI!$AA$3),0)),SomaAgrup)</f>
        <v>0</v>
      </c>
      <c r="AB318" s="128">
        <f t="shared" ca="1" si="87"/>
        <v>0</v>
      </c>
      <c r="AC318" s="565" t="str" cm="1">
        <f t="array" aca="1" ref="AC318" ca="1">IF($N318=""," ",
IF(AND($C318&lt;&gt;"S",OR($R318="",$R318="(digite a descrição aqui)")),"DESCRIÇÃO",
IF(AND($C318="S",OR($Q318&lt;&gt;"",$T318&gt;0,$U318&gt;0),$P318=""),"FONTE",
IF(AND($C318="S",$P318&lt;&gt;"",OR($T318&gt;0,$U318&gt;0),$Q318=""),"CÓDIGO",
IF(AND($C318="S",$P318&lt;&gt;"",$Q318&lt;&gt;"",$R318="(Código não identificado nas referências)"),"CÓDIGO N/ID",
IF(AND($C318="S",OR($R318="",$R318="(digite a descrição aqui)"),OR($Q318&lt;&gt;"",$T318&gt;0,$U318&gt;0)),"DESCRIÇÃO",
IF(AND($C318="S",$P318&lt;&gt;"",$Q318&lt;&gt;"",$S318=""),"UNIDADE",
IF(AND($C318="S",$P318&lt;&gt;"",$Q318&lt;&gt;"",$U318=0),"SEM CUSTO",
IF(AND(_xlfn.SINGLE(TIPOORCAMENTO)="Licitado",$AL318=0,$AN318&gt;0),"SEM PREÇO",
IF(AND($C318="S",$P318&lt;&gt;"",$Q318&lt;&gt;"",$U318&gt;0,AND($V318&lt;&gt;"BDI 1",$V318&lt;&gt;"BDI 2",$V318&lt;&gt;"BDI 3")),IF(ISNUMBER($V318),"JUSTIFICAR BDI","BDI"),
IF(OR(AND(import.recurso="OGU",TIPOORCAMENTO="Proposto",LEFT($O$8,5)&lt;&gt;"(N/D:",$AG318&lt;&gt;"",ORÇAMENTO.CustoUnitario&gt;$AG318),AND(TIPOORCAMENTO="LICITADO",ORÇAMENTO.PrecoUnitarioLicitado&gt;$AN318)),"ACIMA REF.",
IF(AND($C318="S",$P318&lt;&gt;"",$Q318&lt;&gt;"",$T318=0,$U318&gt;0),"QUANT.",
IF(AND(Import.TipoArredondamento="TransfereGOV",$L318="F",$C318="S",LEN($Q318)&gt;13),"Código &gt;13",
IF(AND(Import.TipoArredondamento="TransfereGOV",$L318="F",$C318&lt;&gt;"S",LEN($R318)&gt;100),"Descrição &gt;100",
IF(AND(Import.TipoArredondamento="TransfereGOV",$L318="F",$C318="S",LEN($R318)&gt;500),"Descrição &gt;500",
IF(AND(Import.TipoArredondamento="TransfereGOV",$L318="F",$C318="S",LEFT(TRIM(UPPER($P318)),6)&lt;&gt;"SINAPI",ISNA(VLOOKUP(TRIM(UPPER($S318)),ListaTgov.Unidades,1,FALSE))),"Unid. Não Disp",
" "))))))))))))))))</f>
        <v xml:space="preserve"> </v>
      </c>
      <c r="AD318" t="str">
        <f ca="1">IF(C318&lt;=CRONO.NivelExibicao,MAX($AD$15:OFFSET(AD318,-1,0))+IF($C318&lt;&gt;1,1,MAX(1,COUNTIF(QCI!$A$13:$A$15,OFFSET($E318,-1,0)))),"")</f>
        <v/>
      </c>
      <c r="AE318" s="7" t="str">
        <f ca="1">IF(AND($C318="S",ORÇAMENTO.CodBarra&lt;&gt;""),IF(ORÇAMENTO.Fonte="",ORÇAMENTO.CodBarra,CONCATENATE(ORÇAMENTO.Fonte," ",ORÇAMENTO.CodBarra)))</f>
        <v>SINAPI 101159</v>
      </c>
      <c r="AF318" s="12">
        <f ca="1">IF(ISERROR(INDIRECT(ORÇAMENTO.BancoRef)),"(abra o arquivo 'Referência "&amp;Excel_BuiltIn_Database&amp;".xlsm)",IF(OR($C318&lt;&gt;"S",ORÇAMENTO.CodBarra=""),"(Sem Código)",IF(ISERROR(MATCH($AE318,INDIRECT(ORÇAMENTO.BancoRef),0)),"(Código não identificado nas referências)",MATCH($AE318,INDIRECT(ORÇAMENTO.BancoRef),0))))</f>
        <v>6151</v>
      </c>
      <c r="AG318" s="428">
        <f ca="1">ROUND(IF(DESONERACAO="sim",REFERENCIA.Desonerado,REFERENCIA.NaoDesonerado),2)</f>
        <v>140.16</v>
      </c>
      <c r="AH318" s="429">
        <f t="shared" ca="1" si="88"/>
        <v>0.23499999999999999</v>
      </c>
      <c r="AJ318" s="431">
        <v>363</v>
      </c>
      <c r="AL318" s="439"/>
      <c r="AM318" s="336">
        <f t="shared" ca="1" si="74"/>
        <v>62835.3</v>
      </c>
      <c r="AN318" s="470">
        <f t="shared" ca="1" si="89"/>
        <v>173.1</v>
      </c>
    </row>
    <row r="319" spans="1:40" x14ac:dyDescent="0.2">
      <c r="A319" t="str">
        <f t="shared" si="75"/>
        <v>S</v>
      </c>
      <c r="B319">
        <f t="shared" ca="1" si="76"/>
        <v>4</v>
      </c>
      <c r="C319" t="str">
        <f t="shared" ca="1" si="77"/>
        <v>S</v>
      </c>
      <c r="D319">
        <f t="shared" ca="1" si="78"/>
        <v>0</v>
      </c>
      <c r="E319">
        <f ca="1">IF($C319=1,OFFSET(E319,-1,0)+MAX(1,COUNTIF(QCI!$A$13:$A$15,OFFSET(ORÇAMENTO!E319,-1,0))),OFFSET(E319,-1,0))</f>
        <v>1</v>
      </c>
      <c r="F319">
        <f t="shared" ca="1" si="79"/>
        <v>7</v>
      </c>
      <c r="G319">
        <f t="shared" ca="1" si="80"/>
        <v>4</v>
      </c>
      <c r="H319">
        <f t="shared" ca="1" si="81"/>
        <v>4</v>
      </c>
      <c r="I319">
        <f t="shared" ca="1" si="82"/>
        <v>2</v>
      </c>
      <c r="J319">
        <f t="shared" ca="1" si="73"/>
        <v>0</v>
      </c>
      <c r="K319">
        <f ca="1">IF(OR($C319="S",$C319=0),0,MATCH(OFFSET($D319,0,$C319)+IF($C319&lt;&gt;1,1,COUNTIF(QCI!$A$13:$A$15,ORÇAMENTO!E319)),OFFSET($D319,1,$C319,ROW($C$508)-ROW($C319)),0))</f>
        <v>0</v>
      </c>
      <c r="L319" s="114" t="str">
        <f t="shared" ca="1" si="83"/>
        <v>F</v>
      </c>
      <c r="M319" s="115" t="s">
        <v>705</v>
      </c>
      <c r="N319" s="116" t="str">
        <f t="shared" ca="1" si="84"/>
        <v>Serviço</v>
      </c>
      <c r="O319" s="117" t="str">
        <f t="shared" ca="1" si="85"/>
        <v>1.7.4.4.2.</v>
      </c>
      <c r="P319" s="118" t="s">
        <v>1282</v>
      </c>
      <c r="Q319" s="119" t="s">
        <v>1091</v>
      </c>
      <c r="R319" s="120" t="str">
        <f ca="1">IF($C319="S",REFERENCIA.Descricao,"(digite a descrição aqui)")</f>
        <v>FORNECIMENTO E LANÇAMENTO DE AREIA EM DRENO E PÁTIO</v>
      </c>
      <c r="S319" s="121" t="str">
        <f ca="1">REFERENCIA.Unidade</f>
        <v>M3</v>
      </c>
      <c r="T319" s="122">
        <f ca="1">OFFSET(CÁLCULO!H$15,ROW($T319)-ROW(T$15),0)</f>
        <v>28.31</v>
      </c>
      <c r="U319" s="123">
        <f t="shared" ca="1" si="72"/>
        <v>263.26</v>
      </c>
      <c r="V319" s="124" t="s">
        <v>663</v>
      </c>
      <c r="W319" s="122">
        <f ca="1">IF($C319="S",ROUND(IF(TIPOORCAMENTO="Proposto",ORÇAMENTO.CustoUnitario*(1+$AH319),ORÇAMENTO.PrecoUnitarioLicitado),15-13*$AF$10),0)</f>
        <v>325.13</v>
      </c>
      <c r="X319" s="125" cm="1">
        <f t="array" aca="1" ref="X319" ca="1">IF($C319="S",IF(OR(Import.TipoArredondamento&lt;&gt;"TransfereGOV",ACOMPANHAMENTO="BM"),VTOTAL1,SUM(OFFSET(CÁLCULO!$AI$15,ROW($X319)-ROW($X$15),1):OFFSET(CÁLCULO!$BB$15,ROW($X319)-ROW($X$15),-1))),IF($C319=0,0,ROUND(SomaAgrup,15-13*$AF$11)))</f>
        <v>9204.43</v>
      </c>
      <c r="Y319" s="126" t="s">
        <v>751</v>
      </c>
      <c r="Z319" t="str">
        <f t="shared" ca="1" si="86"/>
        <v>RA</v>
      </c>
      <c r="AA319" s="127">
        <f ca="1">IF($C319="S",IF($Z319="CP",$X319,IF($Z319="RA",(($X319)*QCI!$AA$3),0)),SomaAgrup)</f>
        <v>0</v>
      </c>
      <c r="AB319" s="128">
        <f t="shared" ca="1" si="87"/>
        <v>0</v>
      </c>
      <c r="AC319" s="565" t="str" cm="1">
        <f t="array" aca="1" ref="AC319" ca="1">IF($N319=""," ",
IF(AND($C319&lt;&gt;"S",OR($R319="",$R319="(digite a descrição aqui)")),"DESCRIÇÃO",
IF(AND($C319="S",OR($Q319&lt;&gt;"",$T319&gt;0,$U319&gt;0),$P319=""),"FONTE",
IF(AND($C319="S",$P319&lt;&gt;"",OR($T319&gt;0,$U319&gt;0),$Q319=""),"CÓDIGO",
IF(AND($C319="S",$P319&lt;&gt;"",$Q319&lt;&gt;"",$R319="(Código não identificado nas referências)"),"CÓDIGO N/ID",
IF(AND($C319="S",OR($R319="",$R319="(digite a descrição aqui)"),OR($Q319&lt;&gt;"",$T319&gt;0,$U319&gt;0)),"DESCRIÇÃO",
IF(AND($C319="S",$P319&lt;&gt;"",$Q319&lt;&gt;"",$S319=""),"UNIDADE",
IF(AND($C319="S",$P319&lt;&gt;"",$Q319&lt;&gt;"",$U319=0),"SEM CUSTO",
IF(AND(_xlfn.SINGLE(TIPOORCAMENTO)="Licitado",$AL319=0,$AN319&gt;0),"SEM PREÇO",
IF(AND($C319="S",$P319&lt;&gt;"",$Q319&lt;&gt;"",$U319&gt;0,AND($V319&lt;&gt;"BDI 1",$V319&lt;&gt;"BDI 2",$V319&lt;&gt;"BDI 3")),IF(ISNUMBER($V319),"JUSTIFICAR BDI","BDI"),
IF(OR(AND(import.recurso="OGU",TIPOORCAMENTO="Proposto",LEFT($O$8,5)&lt;&gt;"(N/D:",$AG319&lt;&gt;"",ORÇAMENTO.CustoUnitario&gt;$AG319),AND(TIPOORCAMENTO="LICITADO",ORÇAMENTO.PrecoUnitarioLicitado&gt;$AN319)),"ACIMA REF.",
IF(AND($C319="S",$P319&lt;&gt;"",$Q319&lt;&gt;"",$T319=0,$U319&gt;0),"QUANT.",
IF(AND(Import.TipoArredondamento="TransfereGOV",$L319="F",$C319="S",LEN($Q319)&gt;13),"Código &gt;13",
IF(AND(Import.TipoArredondamento="TransfereGOV",$L319="F",$C319&lt;&gt;"S",LEN($R319)&gt;100),"Descrição &gt;100",
IF(AND(Import.TipoArredondamento="TransfereGOV",$L319="F",$C319="S",LEN($R319)&gt;500),"Descrição &gt;500",
IF(AND(Import.TipoArredondamento="TransfereGOV",$L319="F",$C319="S",LEFT(TRIM(UPPER($P319)),6)&lt;&gt;"SINAPI",ISNA(VLOOKUP(TRIM(UPPER($S319)),ListaTgov.Unidades,1,FALSE))),"Unid. Não Disp",
" "))))))))))))))))</f>
        <v xml:space="preserve"> </v>
      </c>
      <c r="AD319" t="str">
        <f ca="1">IF(C319&lt;=CRONO.NivelExibicao,MAX($AD$15:OFFSET(AD319,-1,0))+IF($C319&lt;&gt;1,1,MAX(1,COUNTIF(QCI!$A$13:$A$15,OFFSET($E319,-1,0)))),"")</f>
        <v/>
      </c>
      <c r="AE319" s="7" t="str">
        <f ca="1">IF(AND($C319="S",ORÇAMENTO.CodBarra&lt;&gt;""),IF(ORÇAMENTO.Fonte="",ORÇAMENTO.CodBarra,CONCATENATE(ORÇAMENTO.Fonte," ",ORÇAMENTO.CodBarra)))</f>
        <v>SUDECAP 19.91.02</v>
      </c>
      <c r="AF319" s="12">
        <f ca="1">IF(ISERROR(INDIRECT(ORÇAMENTO.BancoRef)),"(abra o arquivo 'Referência "&amp;Excel_BuiltIn_Database&amp;".xlsm)",IF(OR($C319&lt;&gt;"S",ORÇAMENTO.CodBarra=""),"(Sem Código)",IF(ISERROR(MATCH($AE319,INDIRECT(ORÇAMENTO.BancoRef),0)),"(Código não identificado nas referências)",MATCH($AE319,INDIRECT(ORÇAMENTO.BancoRef),0))))</f>
        <v>25790</v>
      </c>
      <c r="AG319" s="428">
        <f ca="1">ROUND(IF(DESONERACAO="sim",REFERENCIA.Desonerado,REFERENCIA.NaoDesonerado),2)</f>
        <v>263.26</v>
      </c>
      <c r="AH319" s="429">
        <f t="shared" ca="1" si="88"/>
        <v>0.23499999999999999</v>
      </c>
      <c r="AJ319" s="431">
        <v>28.31</v>
      </c>
      <c r="AL319" s="439"/>
      <c r="AM319" s="336">
        <f t="shared" ca="1" si="74"/>
        <v>9204.43</v>
      </c>
      <c r="AN319" s="470">
        <f t="shared" ca="1" si="89"/>
        <v>325.13</v>
      </c>
    </row>
    <row r="320" spans="1:40" ht="25.5" x14ac:dyDescent="0.2">
      <c r="A320" t="str">
        <f t="shared" si="75"/>
        <v>S</v>
      </c>
      <c r="B320">
        <f t="shared" ca="1" si="76"/>
        <v>4</v>
      </c>
      <c r="C320" t="str">
        <f t="shared" ca="1" si="77"/>
        <v>S</v>
      </c>
      <c r="D320">
        <f t="shared" ca="1" si="78"/>
        <v>0</v>
      </c>
      <c r="E320">
        <f ca="1">IF($C320=1,OFFSET(E320,-1,0)+MAX(1,COUNTIF(QCI!$A$13:$A$15,OFFSET(ORÇAMENTO!E320,-1,0))),OFFSET(E320,-1,0))</f>
        <v>1</v>
      </c>
      <c r="F320">
        <f t="shared" ca="1" si="79"/>
        <v>7</v>
      </c>
      <c r="G320">
        <f t="shared" ca="1" si="80"/>
        <v>4</v>
      </c>
      <c r="H320">
        <f t="shared" ca="1" si="81"/>
        <v>4</v>
      </c>
      <c r="I320">
        <f t="shared" ca="1" si="82"/>
        <v>3</v>
      </c>
      <c r="J320">
        <f t="shared" ca="1" si="73"/>
        <v>0</v>
      </c>
      <c r="K320">
        <f ca="1">IF(OR($C320="S",$C320=0),0,MATCH(OFFSET($D320,0,$C320)+IF($C320&lt;&gt;1,1,COUNTIF(QCI!$A$13:$A$15,ORÇAMENTO!E320)),OFFSET($D320,1,$C320,ROW($C$508)-ROW($C320)),0))</f>
        <v>0</v>
      </c>
      <c r="L320" s="114" t="str">
        <f t="shared" ca="1" si="83"/>
        <v>F</v>
      </c>
      <c r="M320" s="115" t="s">
        <v>705</v>
      </c>
      <c r="N320" s="116" t="str">
        <f t="shared" ca="1" si="84"/>
        <v>Serviço</v>
      </c>
      <c r="O320" s="117" t="str">
        <f t="shared" ca="1" si="85"/>
        <v>1.7.4.4.3.</v>
      </c>
      <c r="P320" s="118" t="s">
        <v>1281</v>
      </c>
      <c r="Q320" s="119" t="s">
        <v>1092</v>
      </c>
      <c r="R320" s="120" t="str">
        <f ca="1">IF($C320="S",REFERENCIA.Descricao,"(digite a descrição aqui)")</f>
        <v>ENCHIMENTO DE BRITA Nº 0 PARA DRENO, LANÇAMENTO MECANIZADO - BASEADO EM SINAPI (102717)</v>
      </c>
      <c r="S320" s="121" t="str">
        <f ca="1">REFERENCIA.Unidade</f>
        <v>M3</v>
      </c>
      <c r="T320" s="122">
        <f ca="1">OFFSET(CÁLCULO!H$15,ROW($T320)-ROW(T$15),0)</f>
        <v>36.299999999999997</v>
      </c>
      <c r="U320" s="123">
        <f t="shared" ca="1" si="72"/>
        <v>194.8</v>
      </c>
      <c r="V320" s="124" t="s">
        <v>663</v>
      </c>
      <c r="W320" s="122">
        <f ca="1">IF($C320="S",ROUND(IF(TIPOORCAMENTO="Proposto",ORÇAMENTO.CustoUnitario*(1+$AH320),ORÇAMENTO.PrecoUnitarioLicitado),15-13*$AF$10),0)</f>
        <v>240.58</v>
      </c>
      <c r="X320" s="125" cm="1">
        <f t="array" aca="1" ref="X320" ca="1">IF($C320="S",IF(OR(Import.TipoArredondamento&lt;&gt;"TransfereGOV",ACOMPANHAMENTO="BM"),VTOTAL1,SUM(OFFSET(CÁLCULO!$AI$15,ROW($X320)-ROW($X$15),1):OFFSET(CÁLCULO!$BB$15,ROW($X320)-ROW($X$15),-1))),IF($C320=0,0,ROUND(SomaAgrup,15-13*$AF$11)))</f>
        <v>8733.0499999999993</v>
      </c>
      <c r="Y320" s="126" t="s">
        <v>751</v>
      </c>
      <c r="Z320" t="str">
        <f t="shared" ca="1" si="86"/>
        <v>RA</v>
      </c>
      <c r="AA320" s="127">
        <f ca="1">IF($C320="S",IF($Z320="CP",$X320,IF($Z320="RA",(($X320)*QCI!$AA$3),0)),SomaAgrup)</f>
        <v>0</v>
      </c>
      <c r="AB320" s="128">
        <f t="shared" ca="1" si="87"/>
        <v>0</v>
      </c>
      <c r="AC320" s="565" t="str" cm="1">
        <f t="array" aca="1" ref="AC320" ca="1">IF($N320=""," ",
IF(AND($C320&lt;&gt;"S",OR($R320="",$R320="(digite a descrição aqui)")),"DESCRIÇÃO",
IF(AND($C320="S",OR($Q320&lt;&gt;"",$T320&gt;0,$U320&gt;0),$P320=""),"FONTE",
IF(AND($C320="S",$P320&lt;&gt;"",OR($T320&gt;0,$U320&gt;0),$Q320=""),"CÓDIGO",
IF(AND($C320="S",$P320&lt;&gt;"",$Q320&lt;&gt;"",$R320="(Código não identificado nas referências)"),"CÓDIGO N/ID",
IF(AND($C320="S",OR($R320="",$R320="(digite a descrição aqui)"),OR($Q320&lt;&gt;"",$T320&gt;0,$U320&gt;0)),"DESCRIÇÃO",
IF(AND($C320="S",$P320&lt;&gt;"",$Q320&lt;&gt;"",$S320=""),"UNIDADE",
IF(AND($C320="S",$P320&lt;&gt;"",$Q320&lt;&gt;"",$U320=0),"SEM CUSTO",
IF(AND(_xlfn.SINGLE(TIPOORCAMENTO)="Licitado",$AL320=0,$AN320&gt;0),"SEM PREÇO",
IF(AND($C320="S",$P320&lt;&gt;"",$Q320&lt;&gt;"",$U320&gt;0,AND($V320&lt;&gt;"BDI 1",$V320&lt;&gt;"BDI 2",$V320&lt;&gt;"BDI 3")),IF(ISNUMBER($V320),"JUSTIFICAR BDI","BDI"),
IF(OR(AND(import.recurso="OGU",TIPOORCAMENTO="Proposto",LEFT($O$8,5)&lt;&gt;"(N/D:",$AG320&lt;&gt;"",ORÇAMENTO.CustoUnitario&gt;$AG320),AND(TIPOORCAMENTO="LICITADO",ORÇAMENTO.PrecoUnitarioLicitado&gt;$AN320)),"ACIMA REF.",
IF(AND($C320="S",$P320&lt;&gt;"",$Q320&lt;&gt;"",$T320=0,$U320&gt;0),"QUANT.",
IF(AND(Import.TipoArredondamento="TransfereGOV",$L320="F",$C320="S",LEN($Q320)&gt;13),"Código &gt;13",
IF(AND(Import.TipoArredondamento="TransfereGOV",$L320="F",$C320&lt;&gt;"S",LEN($R320)&gt;100),"Descrição &gt;100",
IF(AND(Import.TipoArredondamento="TransfereGOV",$L320="F",$C320="S",LEN($R320)&gt;500),"Descrição &gt;500",
IF(AND(Import.TipoArredondamento="TransfereGOV",$L320="F",$C320="S",LEFT(TRIM(UPPER($P320)),6)&lt;&gt;"SINAPI",ISNA(VLOOKUP(TRIM(UPPER($S320)),ListaTgov.Unidades,1,FALSE))),"Unid. Não Disp",
" "))))))))))))))))</f>
        <v xml:space="preserve"> </v>
      </c>
      <c r="AD320" t="str">
        <f ca="1">IF(C320&lt;=CRONO.NivelExibicao,MAX($AD$15:OFFSET(AD320,-1,0))+IF($C320&lt;&gt;1,1,MAX(1,COUNTIF(QCI!$A$13:$A$15,OFFSET($E320,-1,0)))),"")</f>
        <v/>
      </c>
      <c r="AE320" s="7" t="str">
        <f ca="1">IF(AND($C320="S",ORÇAMENTO.CodBarra&lt;&gt;""),IF(ORÇAMENTO.Fonte="",ORÇAMENTO.CodBarra,CONCATENATE(ORÇAMENTO.Fonte," ",ORÇAMENTO.CodBarra)))</f>
        <v>COMPOSIÇÃO CPU-016</v>
      </c>
      <c r="AF320" s="12">
        <f ca="1">IF(ISERROR(INDIRECT(ORÇAMENTO.BancoRef)),"(abra o arquivo 'Referência "&amp;Excel_BuiltIn_Database&amp;".xlsm)",IF(OR($C320&lt;&gt;"S",ORÇAMENTO.CodBarra=""),"(Sem Código)",IF(ISERROR(MATCH($AE320,INDIRECT(ORÇAMENTO.BancoRef),0)),"(Código não identificado nas referências)",MATCH($AE320,INDIRECT(ORÇAMENTO.BancoRef),0))))</f>
        <v>18</v>
      </c>
      <c r="AG320" s="428">
        <f ca="1">ROUND(IF(DESONERACAO="sim",REFERENCIA.Desonerado,REFERENCIA.NaoDesonerado),2)</f>
        <v>194.8</v>
      </c>
      <c r="AH320" s="429">
        <f t="shared" ca="1" si="88"/>
        <v>0.23499999999999999</v>
      </c>
      <c r="AJ320" s="431">
        <v>36.299999999999997</v>
      </c>
      <c r="AL320" s="439"/>
      <c r="AM320" s="336">
        <f t="shared" ca="1" si="74"/>
        <v>8733.0499999999993</v>
      </c>
      <c r="AN320" s="470">
        <f t="shared" ca="1" si="89"/>
        <v>240.58</v>
      </c>
    </row>
    <row r="321" spans="1:40" ht="25.5" x14ac:dyDescent="0.2">
      <c r="A321" t="str">
        <f t="shared" si="75"/>
        <v>S</v>
      </c>
      <c r="B321">
        <f t="shared" ca="1" si="76"/>
        <v>4</v>
      </c>
      <c r="C321" t="str">
        <f t="shared" ca="1" si="77"/>
        <v>S</v>
      </c>
      <c r="D321">
        <f t="shared" ca="1" si="78"/>
        <v>0</v>
      </c>
      <c r="E321">
        <f ca="1">IF($C321=1,OFFSET(E321,-1,0)+MAX(1,COUNTIF(QCI!$A$13:$A$15,OFFSET(ORÇAMENTO!E321,-1,0))),OFFSET(E321,-1,0))</f>
        <v>1</v>
      </c>
      <c r="F321">
        <f t="shared" ca="1" si="79"/>
        <v>7</v>
      </c>
      <c r="G321">
        <f t="shared" ca="1" si="80"/>
        <v>4</v>
      </c>
      <c r="H321">
        <f t="shared" ca="1" si="81"/>
        <v>4</v>
      </c>
      <c r="I321">
        <f t="shared" ca="1" si="82"/>
        <v>4</v>
      </c>
      <c r="J321">
        <f t="shared" ca="1" si="73"/>
        <v>0</v>
      </c>
      <c r="K321">
        <f ca="1">IF(OR($C321="S",$C321=0),0,MATCH(OFFSET($D321,0,$C321)+IF($C321&lt;&gt;1,1,COUNTIF(QCI!$A$13:$A$15,ORÇAMENTO!E321)),OFFSET($D321,1,$C321,ROW($C$508)-ROW($C321)),0))</f>
        <v>0</v>
      </c>
      <c r="L321" s="114" t="str">
        <f t="shared" ca="1" si="83"/>
        <v>F</v>
      </c>
      <c r="M321" s="115" t="s">
        <v>705</v>
      </c>
      <c r="N321" s="116" t="str">
        <f t="shared" ca="1" si="84"/>
        <v>Serviço</v>
      </c>
      <c r="O321" s="117" t="str">
        <f t="shared" ca="1" si="85"/>
        <v>1.7.4.4.4.</v>
      </c>
      <c r="P321" s="118" t="s">
        <v>1281</v>
      </c>
      <c r="Q321" s="119" t="s">
        <v>1093</v>
      </c>
      <c r="R321" s="120" t="str">
        <f ca="1">IF($C321="S",REFERENCIA.Descricao,"(digite a descrição aqui)")</f>
        <v>ENCHIMENTO DE BRITA Nº 1 PARA DRENO, LANÇAMENTO MECANIZADO - BASEADO EM SINAPI (102717)</v>
      </c>
      <c r="S321" s="121" t="str">
        <f ca="1">REFERENCIA.Unidade</f>
        <v>M3</v>
      </c>
      <c r="T321" s="122">
        <f ca="1">OFFSET(CÁLCULO!H$15,ROW($T321)-ROW(T$15),0)</f>
        <v>72.599999999999994</v>
      </c>
      <c r="U321" s="123">
        <f t="shared" ref="U321:U340" ca="1" si="90">AG321</f>
        <v>172.44</v>
      </c>
      <c r="V321" s="124" t="s">
        <v>663</v>
      </c>
      <c r="W321" s="122">
        <f ca="1">IF($C321="S",ROUND(IF(TIPOORCAMENTO="Proposto",ORÇAMENTO.CustoUnitario*(1+$AH321),ORÇAMENTO.PrecoUnitarioLicitado),15-13*$AF$10),0)</f>
        <v>212.96</v>
      </c>
      <c r="X321" s="125" cm="1">
        <f t="array" aca="1" ref="X321" ca="1">IF($C321="S",IF(OR(Import.TipoArredondamento&lt;&gt;"TransfereGOV",ACOMPANHAMENTO="BM"),VTOTAL1,SUM(OFFSET(CÁLCULO!$AI$15,ROW($X321)-ROW($X$15),1):OFFSET(CÁLCULO!$BB$15,ROW($X321)-ROW($X$15),-1))),IF($C321=0,0,ROUND(SomaAgrup,15-13*$AF$11)))</f>
        <v>15460.9</v>
      </c>
      <c r="Y321" s="126" t="s">
        <v>751</v>
      </c>
      <c r="Z321" t="str">
        <f t="shared" ca="1" si="86"/>
        <v>RA</v>
      </c>
      <c r="AA321" s="127">
        <f ca="1">IF($C321="S",IF($Z321="CP",$X321,IF($Z321="RA",(($X321)*QCI!$AA$3),0)),SomaAgrup)</f>
        <v>0</v>
      </c>
      <c r="AB321" s="128">
        <f t="shared" ca="1" si="87"/>
        <v>0</v>
      </c>
      <c r="AC321" s="565" t="str" cm="1">
        <f t="array" aca="1" ref="AC321" ca="1">IF($N321=""," ",
IF(AND($C321&lt;&gt;"S",OR($R321="",$R321="(digite a descrição aqui)")),"DESCRIÇÃO",
IF(AND($C321="S",OR($Q321&lt;&gt;"",$T321&gt;0,$U321&gt;0),$P321=""),"FONTE",
IF(AND($C321="S",$P321&lt;&gt;"",OR($T321&gt;0,$U321&gt;0),$Q321=""),"CÓDIGO",
IF(AND($C321="S",$P321&lt;&gt;"",$Q321&lt;&gt;"",$R321="(Código não identificado nas referências)"),"CÓDIGO N/ID",
IF(AND($C321="S",OR($R321="",$R321="(digite a descrição aqui)"),OR($Q321&lt;&gt;"",$T321&gt;0,$U321&gt;0)),"DESCRIÇÃO",
IF(AND($C321="S",$P321&lt;&gt;"",$Q321&lt;&gt;"",$S321=""),"UNIDADE",
IF(AND($C321="S",$P321&lt;&gt;"",$Q321&lt;&gt;"",$U321=0),"SEM CUSTO",
IF(AND(_xlfn.SINGLE(TIPOORCAMENTO)="Licitado",$AL321=0,$AN321&gt;0),"SEM PREÇO",
IF(AND($C321="S",$P321&lt;&gt;"",$Q321&lt;&gt;"",$U321&gt;0,AND($V321&lt;&gt;"BDI 1",$V321&lt;&gt;"BDI 2",$V321&lt;&gt;"BDI 3")),IF(ISNUMBER($V321),"JUSTIFICAR BDI","BDI"),
IF(OR(AND(import.recurso="OGU",TIPOORCAMENTO="Proposto",LEFT($O$8,5)&lt;&gt;"(N/D:",$AG321&lt;&gt;"",ORÇAMENTO.CustoUnitario&gt;$AG321),AND(TIPOORCAMENTO="LICITADO",ORÇAMENTO.PrecoUnitarioLicitado&gt;$AN321)),"ACIMA REF.",
IF(AND($C321="S",$P321&lt;&gt;"",$Q321&lt;&gt;"",$T321=0,$U321&gt;0),"QUANT.",
IF(AND(Import.TipoArredondamento="TransfereGOV",$L321="F",$C321="S",LEN($Q321)&gt;13),"Código &gt;13",
IF(AND(Import.TipoArredondamento="TransfereGOV",$L321="F",$C321&lt;&gt;"S",LEN($R321)&gt;100),"Descrição &gt;100",
IF(AND(Import.TipoArredondamento="TransfereGOV",$L321="F",$C321="S",LEN($R321)&gt;500),"Descrição &gt;500",
IF(AND(Import.TipoArredondamento="TransfereGOV",$L321="F",$C321="S",LEFT(TRIM(UPPER($P321)),6)&lt;&gt;"SINAPI",ISNA(VLOOKUP(TRIM(UPPER($S321)),ListaTgov.Unidades,1,FALSE))),"Unid. Não Disp",
" "))))))))))))))))</f>
        <v xml:space="preserve"> </v>
      </c>
      <c r="AD321" t="str">
        <f ca="1">IF(C321&lt;=CRONO.NivelExibicao,MAX($AD$15:OFFSET(AD321,-1,0))+IF($C321&lt;&gt;1,1,MAX(1,COUNTIF(QCI!$A$13:$A$15,OFFSET($E321,-1,0)))),"")</f>
        <v/>
      </c>
      <c r="AE321" s="7" t="str">
        <f ca="1">IF(AND($C321="S",ORÇAMENTO.CodBarra&lt;&gt;""),IF(ORÇAMENTO.Fonte="",ORÇAMENTO.CodBarra,CONCATENATE(ORÇAMENTO.Fonte," ",ORÇAMENTO.CodBarra)))</f>
        <v>COMPOSIÇÃO CPU-017</v>
      </c>
      <c r="AF321" s="12">
        <f ca="1">IF(ISERROR(INDIRECT(ORÇAMENTO.BancoRef)),"(abra o arquivo 'Referência "&amp;Excel_BuiltIn_Database&amp;".xlsm)",IF(OR($C321&lt;&gt;"S",ORÇAMENTO.CodBarra=""),"(Sem Código)",IF(ISERROR(MATCH($AE321,INDIRECT(ORÇAMENTO.BancoRef),0)),"(Código não identificado nas referências)",MATCH($AE321,INDIRECT(ORÇAMENTO.BancoRef),0))))</f>
        <v>19</v>
      </c>
      <c r="AG321" s="428">
        <f ca="1">ROUND(IF(DESONERACAO="sim",REFERENCIA.Desonerado,REFERENCIA.NaoDesonerado),2)</f>
        <v>172.44</v>
      </c>
      <c r="AH321" s="429">
        <f t="shared" ca="1" si="88"/>
        <v>0.23499999999999999</v>
      </c>
      <c r="AJ321" s="431">
        <f>AJ320*2</f>
        <v>72.599999999999994</v>
      </c>
      <c r="AL321" s="439"/>
      <c r="AM321" s="336">
        <f t="shared" ca="1" si="74"/>
        <v>15460.9</v>
      </c>
      <c r="AN321" s="470">
        <f t="shared" ca="1" si="89"/>
        <v>212.96</v>
      </c>
    </row>
    <row r="322" spans="1:40" ht="25.5" x14ac:dyDescent="0.2">
      <c r="A322" t="str">
        <f t="shared" si="75"/>
        <v>S</v>
      </c>
      <c r="B322">
        <f t="shared" ca="1" si="76"/>
        <v>4</v>
      </c>
      <c r="C322" t="str">
        <f t="shared" ca="1" si="77"/>
        <v>S</v>
      </c>
      <c r="D322">
        <f t="shared" ca="1" si="78"/>
        <v>0</v>
      </c>
      <c r="E322">
        <f ca="1">IF($C322=1,OFFSET(E322,-1,0)+MAX(1,COUNTIF(QCI!$A$13:$A$15,OFFSET(ORÇAMENTO!E322,-1,0))),OFFSET(E322,-1,0))</f>
        <v>1</v>
      </c>
      <c r="F322">
        <f t="shared" ca="1" si="79"/>
        <v>7</v>
      </c>
      <c r="G322">
        <f t="shared" ca="1" si="80"/>
        <v>4</v>
      </c>
      <c r="H322">
        <f t="shared" ca="1" si="81"/>
        <v>4</v>
      </c>
      <c r="I322">
        <f t="shared" ca="1" si="82"/>
        <v>5</v>
      </c>
      <c r="J322">
        <f t="shared" ca="1" si="73"/>
        <v>0</v>
      </c>
      <c r="K322">
        <f ca="1">IF(OR($C322="S",$C322=0),0,MATCH(OFFSET($D322,0,$C322)+IF($C322&lt;&gt;1,1,COUNTIF(QCI!$A$13:$A$15,ORÇAMENTO!E322)),OFFSET($D322,1,$C322,ROW($C$508)-ROW($C322)),0))</f>
        <v>0</v>
      </c>
      <c r="L322" s="114" t="str">
        <f t="shared" ca="1" si="83"/>
        <v>F</v>
      </c>
      <c r="M322" s="115" t="s">
        <v>705</v>
      </c>
      <c r="N322" s="116" t="str">
        <f t="shared" ca="1" si="84"/>
        <v>Serviço</v>
      </c>
      <c r="O322" s="117" t="str">
        <f t="shared" ca="1" si="85"/>
        <v>1.7.4.4.5.</v>
      </c>
      <c r="P322" s="118" t="s">
        <v>1281</v>
      </c>
      <c r="Q322" s="119" t="s">
        <v>1094</v>
      </c>
      <c r="R322" s="120" t="str">
        <f ca="1">IF($C322="S",REFERENCIA.Descricao,"(digite a descrição aqui)")</f>
        <v>ENCHIMENTO DE BRITA Nº 2 E 3 PARA DRENO, LANÇAMENTO MECANIZADO - BASEADO EM SINAPI (102717)</v>
      </c>
      <c r="S322" s="121" t="str">
        <f ca="1">REFERENCIA.Unidade</f>
        <v>M3</v>
      </c>
      <c r="T322" s="122">
        <f ca="1">OFFSET(CÁLCULO!H$15,ROW($T322)-ROW(T$15),0)</f>
        <v>36.299999999999997</v>
      </c>
      <c r="U322" s="123">
        <f t="shared" ca="1" si="90"/>
        <v>168.81</v>
      </c>
      <c r="V322" s="124" t="s">
        <v>663</v>
      </c>
      <c r="W322" s="122">
        <f ca="1">IF($C322="S",ROUND(IF(TIPOORCAMENTO="Proposto",ORÇAMENTO.CustoUnitario*(1+$AH322),ORÇAMENTO.PrecoUnitarioLicitado),15-13*$AF$10),0)</f>
        <v>208.48</v>
      </c>
      <c r="X322" s="125" cm="1">
        <f t="array" aca="1" ref="X322" ca="1">IF($C322="S",IF(OR(Import.TipoArredondamento&lt;&gt;"TransfereGOV",ACOMPANHAMENTO="BM"),VTOTAL1,SUM(OFFSET(CÁLCULO!$AI$15,ROW($X322)-ROW($X$15),1):OFFSET(CÁLCULO!$BB$15,ROW($X322)-ROW($X$15),-1))),IF($C322=0,0,ROUND(SomaAgrup,15-13*$AF$11)))</f>
        <v>7567.82</v>
      </c>
      <c r="Y322" s="126" t="s">
        <v>751</v>
      </c>
      <c r="Z322" t="str">
        <f t="shared" ca="1" si="86"/>
        <v>RA</v>
      </c>
      <c r="AA322" s="127">
        <f ca="1">IF($C322="S",IF($Z322="CP",$X322,IF($Z322="RA",(($X322)*QCI!$AA$3),0)),SomaAgrup)</f>
        <v>0</v>
      </c>
      <c r="AB322" s="128">
        <f t="shared" ca="1" si="87"/>
        <v>0</v>
      </c>
      <c r="AC322" s="565" t="str" cm="1">
        <f t="array" aca="1" ref="AC322" ca="1">IF($N322=""," ",
IF(AND($C322&lt;&gt;"S",OR($R322="",$R322="(digite a descrição aqui)")),"DESCRIÇÃO",
IF(AND($C322="S",OR($Q322&lt;&gt;"",$T322&gt;0,$U322&gt;0),$P322=""),"FONTE",
IF(AND($C322="S",$P322&lt;&gt;"",OR($T322&gt;0,$U322&gt;0),$Q322=""),"CÓDIGO",
IF(AND($C322="S",$P322&lt;&gt;"",$Q322&lt;&gt;"",$R322="(Código não identificado nas referências)"),"CÓDIGO N/ID",
IF(AND($C322="S",OR($R322="",$R322="(digite a descrição aqui)"),OR($Q322&lt;&gt;"",$T322&gt;0,$U322&gt;0)),"DESCRIÇÃO",
IF(AND($C322="S",$P322&lt;&gt;"",$Q322&lt;&gt;"",$S322=""),"UNIDADE",
IF(AND($C322="S",$P322&lt;&gt;"",$Q322&lt;&gt;"",$U322=0),"SEM CUSTO",
IF(AND(_xlfn.SINGLE(TIPOORCAMENTO)="Licitado",$AL322=0,$AN322&gt;0),"SEM PREÇO",
IF(AND($C322="S",$P322&lt;&gt;"",$Q322&lt;&gt;"",$U322&gt;0,AND($V322&lt;&gt;"BDI 1",$V322&lt;&gt;"BDI 2",$V322&lt;&gt;"BDI 3")),IF(ISNUMBER($V322),"JUSTIFICAR BDI","BDI"),
IF(OR(AND(import.recurso="OGU",TIPOORCAMENTO="Proposto",LEFT($O$8,5)&lt;&gt;"(N/D:",$AG322&lt;&gt;"",ORÇAMENTO.CustoUnitario&gt;$AG322),AND(TIPOORCAMENTO="LICITADO",ORÇAMENTO.PrecoUnitarioLicitado&gt;$AN322)),"ACIMA REF.",
IF(AND($C322="S",$P322&lt;&gt;"",$Q322&lt;&gt;"",$T322=0,$U322&gt;0),"QUANT.",
IF(AND(Import.TipoArredondamento="TransfereGOV",$L322="F",$C322="S",LEN($Q322)&gt;13),"Código &gt;13",
IF(AND(Import.TipoArredondamento="TransfereGOV",$L322="F",$C322&lt;&gt;"S",LEN($R322)&gt;100),"Descrição &gt;100",
IF(AND(Import.TipoArredondamento="TransfereGOV",$L322="F",$C322="S",LEN($R322)&gt;500),"Descrição &gt;500",
IF(AND(Import.TipoArredondamento="TransfereGOV",$L322="F",$C322="S",LEFT(TRIM(UPPER($P322)),6)&lt;&gt;"SINAPI",ISNA(VLOOKUP(TRIM(UPPER($S322)),ListaTgov.Unidades,1,FALSE))),"Unid. Não Disp",
" "))))))))))))))))</f>
        <v xml:space="preserve"> </v>
      </c>
      <c r="AD322" t="str">
        <f ca="1">IF(C322&lt;=CRONO.NivelExibicao,MAX($AD$15:OFFSET(AD322,-1,0))+IF($C322&lt;&gt;1,1,MAX(1,COUNTIF(QCI!$A$13:$A$15,OFFSET($E322,-1,0)))),"")</f>
        <v/>
      </c>
      <c r="AE322" s="7" t="str">
        <f ca="1">IF(AND($C322="S",ORÇAMENTO.CodBarra&lt;&gt;""),IF(ORÇAMENTO.Fonte="",ORÇAMENTO.CodBarra,CONCATENATE(ORÇAMENTO.Fonte," ",ORÇAMENTO.CodBarra)))</f>
        <v>COMPOSIÇÃO CPU-018</v>
      </c>
      <c r="AF322" s="12">
        <f ca="1">IF(ISERROR(INDIRECT(ORÇAMENTO.BancoRef)),"(abra o arquivo 'Referência "&amp;Excel_BuiltIn_Database&amp;".xlsm)",IF(OR($C322&lt;&gt;"S",ORÇAMENTO.CodBarra=""),"(Sem Código)",IF(ISERROR(MATCH($AE322,INDIRECT(ORÇAMENTO.BancoRef),0)),"(Código não identificado nas referências)",MATCH($AE322,INDIRECT(ORÇAMENTO.BancoRef),0))))</f>
        <v>20</v>
      </c>
      <c r="AG322" s="428">
        <f ca="1">ROUND(IF(DESONERACAO="sim",REFERENCIA.Desonerado,REFERENCIA.NaoDesonerado),2)</f>
        <v>168.81</v>
      </c>
      <c r="AH322" s="429">
        <f t="shared" ca="1" si="88"/>
        <v>0.23499999999999999</v>
      </c>
      <c r="AJ322" s="431">
        <f>AJ320</f>
        <v>36.299999999999997</v>
      </c>
      <c r="AL322" s="439"/>
      <c r="AM322" s="336">
        <f t="shared" ca="1" si="74"/>
        <v>7567.82</v>
      </c>
      <c r="AN322" s="470">
        <f t="shared" ca="1" si="89"/>
        <v>208.48</v>
      </c>
    </row>
    <row r="323" spans="1:40" x14ac:dyDescent="0.2">
      <c r="A323">
        <f t="shared" si="75"/>
        <v>4</v>
      </c>
      <c r="B323">
        <f t="shared" ca="1" si="76"/>
        <v>4</v>
      </c>
      <c r="C323">
        <f t="shared" ca="1" si="77"/>
        <v>4</v>
      </c>
      <c r="D323">
        <f t="shared" ca="1" si="78"/>
        <v>3</v>
      </c>
      <c r="E323">
        <f ca="1">IF($C323=1,OFFSET(E323,-1,0)+MAX(1,COUNTIF(QCI!$A$13:$A$15,OFFSET(ORÇAMENTO!E323,-1,0))),OFFSET(E323,-1,0))</f>
        <v>1</v>
      </c>
      <c r="F323">
        <f t="shared" ca="1" si="79"/>
        <v>7</v>
      </c>
      <c r="G323">
        <f t="shared" ca="1" si="80"/>
        <v>4</v>
      </c>
      <c r="H323">
        <f t="shared" ca="1" si="81"/>
        <v>5</v>
      </c>
      <c r="I323">
        <f t="shared" ca="1" si="82"/>
        <v>0</v>
      </c>
      <c r="J323">
        <f t="shared" ca="1" si="73"/>
        <v>3</v>
      </c>
      <c r="K323" t="e">
        <f ca="1">IF(OR($C323="S",$C323=0),0,MATCH(OFFSET($D323,0,$C323)+IF($C323&lt;&gt;1,1,COUNTIF(QCI!$A$13:$A$15,ORÇAMENTO!E323)),OFFSET($D323,1,$C323,ROW($C$508)-ROW($C323)),0))</f>
        <v>#N/A</v>
      </c>
      <c r="L323" s="114" t="str">
        <f t="shared" ca="1" si="83"/>
        <v>F</v>
      </c>
      <c r="M323" s="115" t="s">
        <v>704</v>
      </c>
      <c r="N323" s="116" t="str">
        <f t="shared" ca="1" si="84"/>
        <v>Nível 4</v>
      </c>
      <c r="O323" s="117" t="str">
        <f t="shared" ca="1" si="85"/>
        <v>1.7.4.5.</v>
      </c>
      <c r="P323" s="118" t="s">
        <v>750</v>
      </c>
      <c r="Q323" s="119"/>
      <c r="R323" s="120" t="s">
        <v>1243</v>
      </c>
      <c r="S323" s="121" t="s">
        <v>688</v>
      </c>
      <c r="T323" s="122">
        <f ca="1">OFFSET(CÁLCULO!H$15,ROW($T323)-ROW(T$15),0)</f>
        <v>0</v>
      </c>
      <c r="U323" s="123">
        <f t="shared" ca="1" si="90"/>
        <v>0</v>
      </c>
      <c r="V323" s="124" t="s">
        <v>663</v>
      </c>
      <c r="W323" s="122">
        <f ca="1">IF($C323="S",ROUND(IF(TIPOORCAMENTO="Proposto",ORÇAMENTO.CustoUnitario*(1+$AH323),ORÇAMENTO.PrecoUnitarioLicitado),15-13*$AF$10),0)</f>
        <v>0</v>
      </c>
      <c r="X323" s="125" cm="1">
        <f t="array" aca="1" ref="X323" ca="1">IF($C323="S",IF(OR(Import.TipoArredondamento&lt;&gt;"TransfereGOV",ACOMPANHAMENTO="BM"),VTOTAL1,SUM(OFFSET(CÁLCULO!$AI$15,ROW($X323)-ROW($X$15),1):OFFSET(CÁLCULO!$BB$15,ROW($X323)-ROW($X$15),-1))),IF($C323=0,0,ROUND(SomaAgrup,15-13*$AF$11)))</f>
        <v>8736.23</v>
      </c>
      <c r="Y323" s="126" t="s">
        <v>751</v>
      </c>
      <c r="Z323" t="str">
        <f t="shared" ca="1" si="86"/>
        <v/>
      </c>
      <c r="AA323" s="127">
        <f ca="1">IF($C323="S",IF($Z323="CP",$X323,IF($Z323="RA",(($X323)*QCI!$AA$3),0)),SomaAgrup)</f>
        <v>0</v>
      </c>
      <c r="AB323" s="128">
        <f t="shared" ca="1" si="87"/>
        <v>0</v>
      </c>
      <c r="AC323" s="565" t="str" cm="1">
        <f t="array" aca="1" ref="AC323" ca="1">IF($N323=""," ",
IF(AND($C323&lt;&gt;"S",OR($R323="",$R323="(digite a descrição aqui)")),"DESCRIÇÃO",
IF(AND($C323="S",OR($Q323&lt;&gt;"",$T323&gt;0,$U323&gt;0),$P323=""),"FONTE",
IF(AND($C323="S",$P323&lt;&gt;"",OR($T323&gt;0,$U323&gt;0),$Q323=""),"CÓDIGO",
IF(AND($C323="S",$P323&lt;&gt;"",$Q323&lt;&gt;"",$R323="(Código não identificado nas referências)"),"CÓDIGO N/ID",
IF(AND($C323="S",OR($R323="",$R323="(digite a descrição aqui)"),OR($Q323&lt;&gt;"",$T323&gt;0,$U323&gt;0)),"DESCRIÇÃO",
IF(AND($C323="S",$P323&lt;&gt;"",$Q323&lt;&gt;"",$S323=""),"UNIDADE",
IF(AND($C323="S",$P323&lt;&gt;"",$Q323&lt;&gt;"",$U323=0),"SEM CUSTO",
IF(AND(_xlfn.SINGLE(TIPOORCAMENTO)="Licitado",$AL323=0,$AN323&gt;0),"SEM PREÇO",
IF(AND($C323="S",$P323&lt;&gt;"",$Q323&lt;&gt;"",$U323&gt;0,AND($V323&lt;&gt;"BDI 1",$V323&lt;&gt;"BDI 2",$V323&lt;&gt;"BDI 3")),IF(ISNUMBER($V323),"JUSTIFICAR BDI","BDI"),
IF(OR(AND(import.recurso="OGU",TIPOORCAMENTO="Proposto",LEFT($O$8,5)&lt;&gt;"(N/D:",$AG323&lt;&gt;"",ORÇAMENTO.CustoUnitario&gt;$AG323),AND(TIPOORCAMENTO="LICITADO",ORÇAMENTO.PrecoUnitarioLicitado&gt;$AN323)),"ACIMA REF.",
IF(AND($C323="S",$P323&lt;&gt;"",$Q323&lt;&gt;"",$T323=0,$U323&gt;0),"QUANT.",
IF(AND(Import.TipoArredondamento="TransfereGOV",$L323="F",$C323="S",LEN($Q323)&gt;13),"Código &gt;13",
IF(AND(Import.TipoArredondamento="TransfereGOV",$L323="F",$C323&lt;&gt;"S",LEN($R323)&gt;100),"Descrição &gt;100",
IF(AND(Import.TipoArredondamento="TransfereGOV",$L323="F",$C323="S",LEN($R323)&gt;500),"Descrição &gt;500",
IF(AND(Import.TipoArredondamento="TransfereGOV",$L323="F",$C323="S",LEFT(TRIM(UPPER($P323)),6)&lt;&gt;"SINAPI",ISNA(VLOOKUP(TRIM(UPPER($S323)),ListaTgov.Unidades,1,FALSE))),"Unid. Não Disp",
" "))))))))))))))))</f>
        <v xml:space="preserve"> </v>
      </c>
      <c r="AD323" t="str">
        <f ca="1">IF(C323&lt;=CRONO.NivelExibicao,MAX($AD$15:OFFSET(AD323,-1,0))+IF($C323&lt;&gt;1,1,MAX(1,COUNTIF(QCI!$A$13:$A$15,OFFSET($E323,-1,0)))),"")</f>
        <v/>
      </c>
      <c r="AE323" s="7" t="b">
        <f ca="1">IF(AND($C323="S",ORÇAMENTO.CodBarra&lt;&gt;""),IF(ORÇAMENTO.Fonte="",ORÇAMENTO.CodBarra,CONCATENATE(ORÇAMENTO.Fonte," ",ORÇAMENTO.CodBarra)))</f>
        <v>0</v>
      </c>
      <c r="AF323" s="12" t="str">
        <f ca="1">IF(ISERROR(INDIRECT(ORÇAMENTO.BancoRef)),"(abra o arquivo 'Referência "&amp;Excel_BuiltIn_Database&amp;".xlsm)",IF(OR($C323&lt;&gt;"S",ORÇAMENTO.CodBarra=""),"(Sem Código)",IF(ISERROR(MATCH($AE323,INDIRECT(ORÇAMENTO.BancoRef),0)),"(Código não identificado nas referências)",MATCH($AE323,INDIRECT(ORÇAMENTO.BancoRef),0))))</f>
        <v>(Sem Código)</v>
      </c>
      <c r="AG323" s="428">
        <f ca="1">ROUND(IF(DESONERACAO="sim",REFERENCIA.Desonerado,REFERENCIA.NaoDesonerado),2)</f>
        <v>0</v>
      </c>
      <c r="AH323" s="429">
        <f t="shared" ca="1" si="88"/>
        <v>0.23499999999999999</v>
      </c>
      <c r="AJ323" s="431"/>
      <c r="AL323" s="439"/>
      <c r="AM323" s="336">
        <f t="shared" ca="1" si="74"/>
        <v>8736.23</v>
      </c>
      <c r="AN323" s="470">
        <f t="shared" ca="1" si="89"/>
        <v>0</v>
      </c>
    </row>
    <row r="324" spans="1:40" ht="51" x14ac:dyDescent="0.2">
      <c r="A324" t="str">
        <f t="shared" si="75"/>
        <v>S</v>
      </c>
      <c r="B324">
        <f t="shared" ca="1" si="76"/>
        <v>4</v>
      </c>
      <c r="C324" t="str">
        <f t="shared" ca="1" si="77"/>
        <v>S</v>
      </c>
      <c r="D324">
        <f t="shared" ca="1" si="78"/>
        <v>0</v>
      </c>
      <c r="E324">
        <f ca="1">IF($C324=1,OFFSET(E324,-1,0)+MAX(1,COUNTIF(QCI!$A$13:$A$15,OFFSET(ORÇAMENTO!E324,-1,0))),OFFSET(E324,-1,0))</f>
        <v>1</v>
      </c>
      <c r="F324">
        <f t="shared" ca="1" si="79"/>
        <v>7</v>
      </c>
      <c r="G324">
        <f t="shared" ca="1" si="80"/>
        <v>4</v>
      </c>
      <c r="H324">
        <f t="shared" ca="1" si="81"/>
        <v>5</v>
      </c>
      <c r="I324">
        <f t="shared" ca="1" si="82"/>
        <v>1</v>
      </c>
      <c r="J324">
        <f t="shared" ca="1" si="73"/>
        <v>0</v>
      </c>
      <c r="K324">
        <f ca="1">IF(OR($C324="S",$C324=0),0,MATCH(OFFSET($D324,0,$C324)+IF($C324&lt;&gt;1,1,COUNTIF(QCI!$A$13:$A$15,ORÇAMENTO!E324)),OFFSET($D324,1,$C324,ROW($C$508)-ROW($C324)),0))</f>
        <v>0</v>
      </c>
      <c r="L324" s="114" t="str">
        <f t="shared" ca="1" si="83"/>
        <v>F</v>
      </c>
      <c r="M324" s="115" t="s">
        <v>705</v>
      </c>
      <c r="N324" s="116" t="str">
        <f t="shared" ca="1" si="84"/>
        <v>Serviço</v>
      </c>
      <c r="O324" s="117" t="str">
        <f t="shared" ca="1" si="85"/>
        <v>1.7.4.5.1.</v>
      </c>
      <c r="P324" s="118" t="s">
        <v>750</v>
      </c>
      <c r="Q324" s="119" t="s">
        <v>1020</v>
      </c>
      <c r="R324" s="120" t="str">
        <f ca="1">IF($C324="S",REFERENCIA.Descricao,"(digite a descrição aqui)")</f>
        <v>CARGA, MANOBRA E DESCARGA DE SOLOS E MATERIAIS GRANULARES EM CAMINHÃO BASCULANTE 18 M³ - CARGA COM ESCAVADEIRA HIDRÁULICA (CAÇAMBA DE 1,20 M³ / 155 HP) E DESCARGA LIVRE (UNIDADE: M3). AF_07/2020</v>
      </c>
      <c r="S324" s="121" t="str">
        <f ca="1">REFERENCIA.Unidade</f>
        <v>M3</v>
      </c>
      <c r="T324" s="122">
        <f ca="1">OFFSET(CÁLCULO!H$15,ROW($T324)-ROW(T$15),0)</f>
        <v>173.51</v>
      </c>
      <c r="U324" s="123">
        <f t="shared" ca="1" si="90"/>
        <v>6.52</v>
      </c>
      <c r="V324" s="124" t="s">
        <v>663</v>
      </c>
      <c r="W324" s="122">
        <f ca="1">IF($C324="S",ROUND(IF(TIPOORCAMENTO="Proposto",ORÇAMENTO.CustoUnitario*(1+$AH324),ORÇAMENTO.PrecoUnitarioLicitado),15-13*$AF$10),0)</f>
        <v>8.0500000000000007</v>
      </c>
      <c r="X324" s="125" cm="1">
        <f t="array" aca="1" ref="X324" ca="1">IF($C324="S",IF(OR(Import.TipoArredondamento&lt;&gt;"TransfereGOV",ACOMPANHAMENTO="BM"),VTOTAL1,SUM(OFFSET(CÁLCULO!$AI$15,ROW($X324)-ROW($X$15),1):OFFSET(CÁLCULO!$BB$15,ROW($X324)-ROW($X$15),-1))),IF($C324=0,0,ROUND(SomaAgrup,15-13*$AF$11)))</f>
        <v>1396.76</v>
      </c>
      <c r="Y324" s="126" t="s">
        <v>751</v>
      </c>
      <c r="Z324" t="str">
        <f t="shared" ca="1" si="86"/>
        <v>RA</v>
      </c>
      <c r="AA324" s="127">
        <f ca="1">IF($C324="S",IF($Z324="CP",$X324,IF($Z324="RA",(($X324)*QCI!$AA$3),0)),SomaAgrup)</f>
        <v>0</v>
      </c>
      <c r="AB324" s="128">
        <f t="shared" ca="1" si="87"/>
        <v>0</v>
      </c>
      <c r="AC324" s="565" t="str" cm="1">
        <f t="array" aca="1" ref="AC324" ca="1">IF($N324=""," ",
IF(AND($C324&lt;&gt;"S",OR($R324="",$R324="(digite a descrição aqui)")),"DESCRIÇÃO",
IF(AND($C324="S",OR($Q324&lt;&gt;"",$T324&gt;0,$U324&gt;0),$P324=""),"FONTE",
IF(AND($C324="S",$P324&lt;&gt;"",OR($T324&gt;0,$U324&gt;0),$Q324=""),"CÓDIGO",
IF(AND($C324="S",$P324&lt;&gt;"",$Q324&lt;&gt;"",$R324="(Código não identificado nas referências)"),"CÓDIGO N/ID",
IF(AND($C324="S",OR($R324="",$R324="(digite a descrição aqui)"),OR($Q324&lt;&gt;"",$T324&gt;0,$U324&gt;0)),"DESCRIÇÃO",
IF(AND($C324="S",$P324&lt;&gt;"",$Q324&lt;&gt;"",$S324=""),"UNIDADE",
IF(AND($C324="S",$P324&lt;&gt;"",$Q324&lt;&gt;"",$U324=0),"SEM CUSTO",
IF(AND(_xlfn.SINGLE(TIPOORCAMENTO)="Licitado",$AL324=0,$AN324&gt;0),"SEM PREÇO",
IF(AND($C324="S",$P324&lt;&gt;"",$Q324&lt;&gt;"",$U324&gt;0,AND($V324&lt;&gt;"BDI 1",$V324&lt;&gt;"BDI 2",$V324&lt;&gt;"BDI 3")),IF(ISNUMBER($V324),"JUSTIFICAR BDI","BDI"),
IF(OR(AND(import.recurso="OGU",TIPOORCAMENTO="Proposto",LEFT($O$8,5)&lt;&gt;"(N/D:",$AG324&lt;&gt;"",ORÇAMENTO.CustoUnitario&gt;$AG324),AND(TIPOORCAMENTO="LICITADO",ORÇAMENTO.PrecoUnitarioLicitado&gt;$AN324)),"ACIMA REF.",
IF(AND($C324="S",$P324&lt;&gt;"",$Q324&lt;&gt;"",$T324=0,$U324&gt;0),"QUANT.",
IF(AND(Import.TipoArredondamento="TransfereGOV",$L324="F",$C324="S",LEN($Q324)&gt;13),"Código &gt;13",
IF(AND(Import.TipoArredondamento="TransfereGOV",$L324="F",$C324&lt;&gt;"S",LEN($R324)&gt;100),"Descrição &gt;100",
IF(AND(Import.TipoArredondamento="TransfereGOV",$L324="F",$C324="S",LEN($R324)&gt;500),"Descrição &gt;500",
IF(AND(Import.TipoArredondamento="TransfereGOV",$L324="F",$C324="S",LEFT(TRIM(UPPER($P324)),6)&lt;&gt;"SINAPI",ISNA(VLOOKUP(TRIM(UPPER($S324)),ListaTgov.Unidades,1,FALSE))),"Unid. Não Disp",
" "))))))))))))))))</f>
        <v xml:space="preserve"> </v>
      </c>
      <c r="AD324" t="str">
        <f ca="1">IF(C324&lt;=CRONO.NivelExibicao,MAX($AD$15:OFFSET(AD324,-1,0))+IF($C324&lt;&gt;1,1,MAX(1,COUNTIF(QCI!$A$13:$A$15,OFFSET($E324,-1,0)))),"")</f>
        <v/>
      </c>
      <c r="AE324" s="7" t="str">
        <f ca="1">IF(AND($C324="S",ORÇAMENTO.CodBarra&lt;&gt;""),IF(ORÇAMENTO.Fonte="",ORÇAMENTO.CodBarra,CONCATENATE(ORÇAMENTO.Fonte," ",ORÇAMENTO.CodBarra)))</f>
        <v>SINAPI 100980</v>
      </c>
      <c r="AF324" s="12">
        <f ca="1">IF(ISERROR(INDIRECT(ORÇAMENTO.BancoRef)),"(abra o arquivo 'Referência "&amp;Excel_BuiltIn_Database&amp;".xlsm)",IF(OR($C324&lt;&gt;"S",ORÇAMENTO.CodBarra=""),"(Sem Código)",IF(ISERROR(MATCH($AE324,INDIRECT(ORÇAMENTO.BancoRef),0)),"(Código não identificado nas referências)",MATCH($AE324,INDIRECT(ORÇAMENTO.BancoRef),0))))</f>
        <v>15290</v>
      </c>
      <c r="AG324" s="428">
        <f ca="1">ROUND(IF(DESONERACAO="sim",REFERENCIA.Desonerado,REFERENCIA.NaoDesonerado),2)</f>
        <v>6.52</v>
      </c>
      <c r="AH324" s="429">
        <f t="shared" ca="1" si="88"/>
        <v>0.23499999999999999</v>
      </c>
      <c r="AJ324" s="431">
        <f>SUM(AJ319:AJ322)</f>
        <v>173.51</v>
      </c>
      <c r="AL324" s="439"/>
      <c r="AM324" s="336">
        <f t="shared" ca="1" si="74"/>
        <v>1396.76</v>
      </c>
      <c r="AN324" s="470">
        <f t="shared" ca="1" si="89"/>
        <v>8.0500000000000007</v>
      </c>
    </row>
    <row r="325" spans="1:40" ht="38.25" x14ac:dyDescent="0.2">
      <c r="A325" t="str">
        <f t="shared" si="75"/>
        <v>S</v>
      </c>
      <c r="B325">
        <f t="shared" ca="1" si="76"/>
        <v>4</v>
      </c>
      <c r="C325" t="str">
        <f t="shared" ca="1" si="77"/>
        <v>S</v>
      </c>
      <c r="D325">
        <f t="shared" ca="1" si="78"/>
        <v>0</v>
      </c>
      <c r="E325">
        <f ca="1">IF($C325=1,OFFSET(E325,-1,0)+MAX(1,COUNTIF(QCI!$A$13:$A$15,OFFSET(ORÇAMENTO!E325,-1,0))),OFFSET(E325,-1,0))</f>
        <v>1</v>
      </c>
      <c r="F325">
        <f t="shared" ca="1" si="79"/>
        <v>7</v>
      </c>
      <c r="G325">
        <f t="shared" ca="1" si="80"/>
        <v>4</v>
      </c>
      <c r="H325">
        <f t="shared" ca="1" si="81"/>
        <v>5</v>
      </c>
      <c r="I325">
        <f t="shared" ca="1" si="82"/>
        <v>2</v>
      </c>
      <c r="J325">
        <f t="shared" ca="1" si="73"/>
        <v>0</v>
      </c>
      <c r="K325">
        <f ca="1">IF(OR($C325="S",$C325=0),0,MATCH(OFFSET($D325,0,$C325)+IF($C325&lt;&gt;1,1,COUNTIF(QCI!$A$13:$A$15,ORÇAMENTO!E325)),OFFSET($D325,1,$C325,ROW($C$508)-ROW($C325)),0))</f>
        <v>0</v>
      </c>
      <c r="L325" s="114" t="str">
        <f t="shared" ca="1" si="83"/>
        <v>F</v>
      </c>
      <c r="M325" s="115" t="s">
        <v>705</v>
      </c>
      <c r="N325" s="116" t="str">
        <f t="shared" ca="1" si="84"/>
        <v>Serviço</v>
      </c>
      <c r="O325" s="117" t="str">
        <f t="shared" ca="1" si="85"/>
        <v>1.7.4.5.2.</v>
      </c>
      <c r="P325" s="118" t="s">
        <v>750</v>
      </c>
      <c r="Q325" s="119" t="s">
        <v>1021</v>
      </c>
      <c r="R325" s="120" t="str">
        <f ca="1">IF($C325="S",REFERENCIA.Descricao,"(digite a descrição aqui)")</f>
        <v>TRANSPORTE COM CAMINHÃO BASCULANTE DE 18 M³, EM VIA URBANA PAVIMENTADA, DMT ATÉ 30 KM (UNIDADE: M3XKM). AF_07/2020</v>
      </c>
      <c r="S325" s="121" t="str">
        <f ca="1">REFERENCIA.Unidade</f>
        <v>M3XKM</v>
      </c>
      <c r="T325" s="122">
        <f ca="1">OFFSET(CÁLCULO!H$15,ROW($T325)-ROW(T$15),0)</f>
        <v>3123.18</v>
      </c>
      <c r="U325" s="123">
        <f t="shared" ca="1" si="90"/>
        <v>1.9</v>
      </c>
      <c r="V325" s="124" t="s">
        <v>663</v>
      </c>
      <c r="W325" s="122">
        <f ca="1">IF($C325="S",ROUND(IF(TIPOORCAMENTO="Proposto",ORÇAMENTO.CustoUnitario*(1+$AH325),ORÇAMENTO.PrecoUnitarioLicitado),15-13*$AF$10),0)</f>
        <v>2.35</v>
      </c>
      <c r="X325" s="125" cm="1">
        <f t="array" aca="1" ref="X325" ca="1">IF($C325="S",IF(OR(Import.TipoArredondamento&lt;&gt;"TransfereGOV",ACOMPANHAMENTO="BM"),VTOTAL1,SUM(OFFSET(CÁLCULO!$AI$15,ROW($X325)-ROW($X$15),1):OFFSET(CÁLCULO!$BB$15,ROW($X325)-ROW($X$15),-1))),IF($C325=0,0,ROUND(SomaAgrup,15-13*$AF$11)))</f>
        <v>7339.47</v>
      </c>
      <c r="Y325" s="126" t="s">
        <v>751</v>
      </c>
      <c r="Z325" t="str">
        <f t="shared" ca="1" si="86"/>
        <v>RA</v>
      </c>
      <c r="AA325" s="127">
        <f ca="1">IF($C325="S",IF($Z325="CP",$X325,IF($Z325="RA",(($X325)*QCI!$AA$3),0)),SomaAgrup)</f>
        <v>0</v>
      </c>
      <c r="AB325" s="128">
        <f t="shared" ca="1" si="87"/>
        <v>0</v>
      </c>
      <c r="AC325" s="565" t="str" cm="1">
        <f t="array" aca="1" ref="AC325" ca="1">IF($N325=""," ",
IF(AND($C325&lt;&gt;"S",OR($R325="",$R325="(digite a descrição aqui)")),"DESCRIÇÃO",
IF(AND($C325="S",OR($Q325&lt;&gt;"",$T325&gt;0,$U325&gt;0),$P325=""),"FONTE",
IF(AND($C325="S",$P325&lt;&gt;"",OR($T325&gt;0,$U325&gt;0),$Q325=""),"CÓDIGO",
IF(AND($C325="S",$P325&lt;&gt;"",$Q325&lt;&gt;"",$R325="(Código não identificado nas referências)"),"CÓDIGO N/ID",
IF(AND($C325="S",OR($R325="",$R325="(digite a descrição aqui)"),OR($Q325&lt;&gt;"",$T325&gt;0,$U325&gt;0)),"DESCRIÇÃO",
IF(AND($C325="S",$P325&lt;&gt;"",$Q325&lt;&gt;"",$S325=""),"UNIDADE",
IF(AND($C325="S",$P325&lt;&gt;"",$Q325&lt;&gt;"",$U325=0),"SEM CUSTO",
IF(AND(_xlfn.SINGLE(TIPOORCAMENTO)="Licitado",$AL325=0,$AN325&gt;0),"SEM PREÇO",
IF(AND($C325="S",$P325&lt;&gt;"",$Q325&lt;&gt;"",$U325&gt;0,AND($V325&lt;&gt;"BDI 1",$V325&lt;&gt;"BDI 2",$V325&lt;&gt;"BDI 3")),IF(ISNUMBER($V325),"JUSTIFICAR BDI","BDI"),
IF(OR(AND(import.recurso="OGU",TIPOORCAMENTO="Proposto",LEFT($O$8,5)&lt;&gt;"(N/D:",$AG325&lt;&gt;"",ORÇAMENTO.CustoUnitario&gt;$AG325),AND(TIPOORCAMENTO="LICITADO",ORÇAMENTO.PrecoUnitarioLicitado&gt;$AN325)),"ACIMA REF.",
IF(AND($C325="S",$P325&lt;&gt;"",$Q325&lt;&gt;"",$T325=0,$U325&gt;0),"QUANT.",
IF(AND(Import.TipoArredondamento="TransfereGOV",$L325="F",$C325="S",LEN($Q325)&gt;13),"Código &gt;13",
IF(AND(Import.TipoArredondamento="TransfereGOV",$L325="F",$C325&lt;&gt;"S",LEN($R325)&gt;100),"Descrição &gt;100",
IF(AND(Import.TipoArredondamento="TransfereGOV",$L325="F",$C325="S",LEN($R325)&gt;500),"Descrição &gt;500",
IF(AND(Import.TipoArredondamento="TransfereGOV",$L325="F",$C325="S",LEFT(TRIM(UPPER($P325)),6)&lt;&gt;"SINAPI",ISNA(VLOOKUP(TRIM(UPPER($S325)),ListaTgov.Unidades,1,FALSE))),"Unid. Não Disp",
" "))))))))))))))))</f>
        <v xml:space="preserve"> </v>
      </c>
      <c r="AD325" t="str">
        <f ca="1">IF(C325&lt;=CRONO.NivelExibicao,MAX($AD$15:OFFSET(AD325,-1,0))+IF($C325&lt;&gt;1,1,MAX(1,COUNTIF(QCI!$A$13:$A$15,OFFSET($E325,-1,0)))),"")</f>
        <v/>
      </c>
      <c r="AE325" s="7" t="str">
        <f ca="1">IF(AND($C325="S",ORÇAMENTO.CodBarra&lt;&gt;""),IF(ORÇAMENTO.Fonte="",ORÇAMENTO.CodBarra,CONCATENATE(ORÇAMENTO.Fonte," ",ORÇAMENTO.CodBarra)))</f>
        <v>SINAPI 95877</v>
      </c>
      <c r="AF325" s="12">
        <f ca="1">IF(ISERROR(INDIRECT(ORÇAMENTO.BancoRef)),"(abra o arquivo 'Referência "&amp;Excel_BuiltIn_Database&amp;".xlsm)",IF(OR($C325&lt;&gt;"S",ORÇAMENTO.CodBarra=""),"(Sem Código)",IF(ISERROR(MATCH($AE325,INDIRECT(ORÇAMENTO.BancoRef),0)),"(Código não identificado nas referências)",MATCH($AE325,INDIRECT(ORÇAMENTO.BancoRef),0))))</f>
        <v>15362</v>
      </c>
      <c r="AG325" s="428">
        <f ca="1">ROUND(IF(DESONERACAO="sim",REFERENCIA.Desonerado,REFERENCIA.NaoDesonerado),2)</f>
        <v>1.9</v>
      </c>
      <c r="AH325" s="429">
        <f t="shared" ca="1" si="88"/>
        <v>0.23499999999999999</v>
      </c>
      <c r="AJ325" s="431">
        <f>AJ324*18</f>
        <v>3123.18</v>
      </c>
      <c r="AL325" s="439"/>
      <c r="AM325" s="336">
        <f t="shared" ca="1" si="74"/>
        <v>7339.47</v>
      </c>
      <c r="AN325" s="470">
        <f t="shared" ca="1" si="89"/>
        <v>2.35</v>
      </c>
    </row>
    <row r="326" spans="1:40" x14ac:dyDescent="0.2">
      <c r="A326">
        <f t="shared" si="75"/>
        <v>3</v>
      </c>
      <c r="B326">
        <f t="shared" ca="1" si="76"/>
        <v>3</v>
      </c>
      <c r="C326">
        <f t="shared" ca="1" si="77"/>
        <v>3</v>
      </c>
      <c r="D326">
        <f t="shared" ca="1" si="78"/>
        <v>14</v>
      </c>
      <c r="E326">
        <f ca="1">IF($C326=1,OFFSET(E326,-1,0)+MAX(1,COUNTIF(QCI!$A$13:$A$15,OFFSET(ORÇAMENTO!E326,-1,0))),OFFSET(E326,-1,0))</f>
        <v>1</v>
      </c>
      <c r="F326">
        <f t="shared" ca="1" si="79"/>
        <v>7</v>
      </c>
      <c r="G326">
        <f t="shared" ca="1" si="80"/>
        <v>5</v>
      </c>
      <c r="H326">
        <f t="shared" ca="1" si="81"/>
        <v>0</v>
      </c>
      <c r="I326">
        <f t="shared" ca="1" si="82"/>
        <v>0</v>
      </c>
      <c r="J326">
        <f t="shared" ca="1" si="73"/>
        <v>34</v>
      </c>
      <c r="K326">
        <f ca="1">IF(OR($C326="S",$C326=0),0,MATCH(OFFSET($D326,0,$C326)+IF($C326&lt;&gt;1,1,COUNTIF(QCI!$A$13:$A$15,ORÇAMENTO!E326)),OFFSET($D326,1,$C326,ROW($C$508)-ROW($C326)),0))</f>
        <v>14</v>
      </c>
      <c r="L326" s="114" t="str">
        <f t="shared" ca="1" si="83"/>
        <v>F</v>
      </c>
      <c r="M326" s="115" t="s">
        <v>703</v>
      </c>
      <c r="N326" s="116" t="str">
        <f t="shared" ca="1" si="84"/>
        <v>Nível 3</v>
      </c>
      <c r="O326" s="117" t="str">
        <f t="shared" ca="1" si="85"/>
        <v>1.7.5.</v>
      </c>
      <c r="P326" s="118" t="s">
        <v>750</v>
      </c>
      <c r="Q326" s="119"/>
      <c r="R326" s="120" t="s">
        <v>1226</v>
      </c>
      <c r="S326" s="121" t="s">
        <v>688</v>
      </c>
      <c r="T326" s="122">
        <f ca="1">OFFSET(CÁLCULO!H$15,ROW($T326)-ROW(T$15),0)</f>
        <v>0</v>
      </c>
      <c r="U326" s="123">
        <f t="shared" ca="1" si="90"/>
        <v>0</v>
      </c>
      <c r="V326" s="124" t="s">
        <v>663</v>
      </c>
      <c r="W326" s="122">
        <f ca="1">IF($C326="S",ROUND(IF(TIPOORCAMENTO="Proposto",ORÇAMENTO.CustoUnitario*(1+$AH326),ORÇAMENTO.PrecoUnitarioLicitado),15-13*$AF$10),0)</f>
        <v>0</v>
      </c>
      <c r="X326" s="125" cm="1">
        <f t="array" aca="1" ref="X326" ca="1">IF($C326="S",IF(OR(Import.TipoArredondamento&lt;&gt;"TransfereGOV",ACOMPANHAMENTO="BM"),VTOTAL1,SUM(OFFSET(CÁLCULO!$AI$15,ROW($X326)-ROW($X$15),1):OFFSET(CÁLCULO!$BB$15,ROW($X326)-ROW($X$15),-1))),IF($C326=0,0,ROUND(SomaAgrup,15-13*$AF$11)))</f>
        <v>1748053.83</v>
      </c>
      <c r="Y326" s="126" t="s">
        <v>751</v>
      </c>
      <c r="Z326" t="str">
        <f t="shared" ca="1" si="86"/>
        <v/>
      </c>
      <c r="AA326" s="127">
        <f ca="1">IF($C326="S",IF($Z326="CP",$X326,IF($Z326="RA",(($X326)*QCI!$AA$3),0)),SomaAgrup)</f>
        <v>0</v>
      </c>
      <c r="AB326" s="128">
        <f t="shared" ca="1" si="87"/>
        <v>0</v>
      </c>
      <c r="AC326" s="565" t="str" cm="1">
        <f t="array" aca="1" ref="AC326" ca="1">IF($N326=""," ",
IF(AND($C326&lt;&gt;"S",OR($R326="",$R326="(digite a descrição aqui)")),"DESCRIÇÃO",
IF(AND($C326="S",OR($Q326&lt;&gt;"",$T326&gt;0,$U326&gt;0),$P326=""),"FONTE",
IF(AND($C326="S",$P326&lt;&gt;"",OR($T326&gt;0,$U326&gt;0),$Q326=""),"CÓDIGO",
IF(AND($C326="S",$P326&lt;&gt;"",$Q326&lt;&gt;"",$R326="(Código não identificado nas referências)"),"CÓDIGO N/ID",
IF(AND($C326="S",OR($R326="",$R326="(digite a descrição aqui)"),OR($Q326&lt;&gt;"",$T326&gt;0,$U326&gt;0)),"DESCRIÇÃO",
IF(AND($C326="S",$P326&lt;&gt;"",$Q326&lt;&gt;"",$S326=""),"UNIDADE",
IF(AND($C326="S",$P326&lt;&gt;"",$Q326&lt;&gt;"",$U326=0),"SEM CUSTO",
IF(AND(_xlfn.SINGLE(TIPOORCAMENTO)="Licitado",$AL326=0,$AN326&gt;0),"SEM PREÇO",
IF(AND($C326="S",$P326&lt;&gt;"",$Q326&lt;&gt;"",$U326&gt;0,AND($V326&lt;&gt;"BDI 1",$V326&lt;&gt;"BDI 2",$V326&lt;&gt;"BDI 3")),IF(ISNUMBER($V326),"JUSTIFICAR BDI","BDI"),
IF(OR(AND(import.recurso="OGU",TIPOORCAMENTO="Proposto",LEFT($O$8,5)&lt;&gt;"(N/D:",$AG326&lt;&gt;"",ORÇAMENTO.CustoUnitario&gt;$AG326),AND(TIPOORCAMENTO="LICITADO",ORÇAMENTO.PrecoUnitarioLicitado&gt;$AN326)),"ACIMA REF.",
IF(AND($C326="S",$P326&lt;&gt;"",$Q326&lt;&gt;"",$T326=0,$U326&gt;0),"QUANT.",
IF(AND(Import.TipoArredondamento="TransfereGOV",$L326="F",$C326="S",LEN($Q326)&gt;13),"Código &gt;13",
IF(AND(Import.TipoArredondamento="TransfereGOV",$L326="F",$C326&lt;&gt;"S",LEN($R326)&gt;100),"Descrição &gt;100",
IF(AND(Import.TipoArredondamento="TransfereGOV",$L326="F",$C326="S",LEN($R326)&gt;500),"Descrição &gt;500",
IF(AND(Import.TipoArredondamento="TransfereGOV",$L326="F",$C326="S",LEFT(TRIM(UPPER($P326)),6)&lt;&gt;"SINAPI",ISNA(VLOOKUP(TRIM(UPPER($S326)),ListaTgov.Unidades,1,FALSE))),"Unid. Não Disp",
" "))))))))))))))))</f>
        <v xml:space="preserve"> </v>
      </c>
      <c r="AD326" t="str">
        <f ca="1">IF(C326&lt;=CRONO.NivelExibicao,MAX($AD$15:OFFSET(AD326,-1,0))+IF($C326&lt;&gt;1,1,MAX(1,COUNTIF(QCI!$A$13:$A$15,OFFSET($E326,-1,0)))),"")</f>
        <v/>
      </c>
      <c r="AE326" s="7" t="b">
        <f ca="1">IF(AND($C326="S",ORÇAMENTO.CodBarra&lt;&gt;""),IF(ORÇAMENTO.Fonte="",ORÇAMENTO.CodBarra,CONCATENATE(ORÇAMENTO.Fonte," ",ORÇAMENTO.CodBarra)))</f>
        <v>0</v>
      </c>
      <c r="AF326" s="12" t="str">
        <f ca="1">IF(ISERROR(INDIRECT(ORÇAMENTO.BancoRef)),"(abra o arquivo 'Referência "&amp;Excel_BuiltIn_Database&amp;".xlsm)",IF(OR($C326&lt;&gt;"S",ORÇAMENTO.CodBarra=""),"(Sem Código)",IF(ISERROR(MATCH($AE326,INDIRECT(ORÇAMENTO.BancoRef),0)),"(Código não identificado nas referências)",MATCH($AE326,INDIRECT(ORÇAMENTO.BancoRef),0))))</f>
        <v>(Sem Código)</v>
      </c>
      <c r="AG326" s="428">
        <f ca="1">ROUND(IF(DESONERACAO="sim",REFERENCIA.Desonerado,REFERENCIA.NaoDesonerado),2)</f>
        <v>0</v>
      </c>
      <c r="AH326" s="429">
        <f t="shared" ca="1" si="88"/>
        <v>0.23499999999999999</v>
      </c>
      <c r="AJ326" s="431"/>
      <c r="AL326" s="439"/>
      <c r="AM326" s="336">
        <f t="shared" ca="1" si="74"/>
        <v>1748053.83</v>
      </c>
      <c r="AN326" s="470">
        <f t="shared" ca="1" si="89"/>
        <v>0</v>
      </c>
    </row>
    <row r="327" spans="1:40" x14ac:dyDescent="0.2">
      <c r="A327">
        <f t="shared" si="75"/>
        <v>4</v>
      </c>
      <c r="B327">
        <f t="shared" ca="1" si="76"/>
        <v>4</v>
      </c>
      <c r="C327">
        <f t="shared" ca="1" si="77"/>
        <v>4</v>
      </c>
      <c r="D327">
        <f t="shared" ca="1" si="78"/>
        <v>10</v>
      </c>
      <c r="E327">
        <f ca="1">IF($C327=1,OFFSET(E327,-1,0)+MAX(1,COUNTIF(QCI!$A$13:$A$15,OFFSET(ORÇAMENTO!E327,-1,0))),OFFSET(E327,-1,0))</f>
        <v>1</v>
      </c>
      <c r="F327">
        <f t="shared" ca="1" si="79"/>
        <v>7</v>
      </c>
      <c r="G327">
        <f t="shared" ca="1" si="80"/>
        <v>5</v>
      </c>
      <c r="H327">
        <f t="shared" ca="1" si="81"/>
        <v>1</v>
      </c>
      <c r="I327">
        <f t="shared" ca="1" si="82"/>
        <v>0</v>
      </c>
      <c r="J327">
        <f t="shared" ca="1" si="73"/>
        <v>13</v>
      </c>
      <c r="K327">
        <f ca="1">IF(OR($C327="S",$C327=0),0,MATCH(OFFSET($D327,0,$C327)+IF($C327&lt;&gt;1,1,COUNTIF(QCI!$A$13:$A$15,ORÇAMENTO!E327)),OFFSET($D327,1,$C327,ROW($C$508)-ROW($C327)),0))</f>
        <v>10</v>
      </c>
      <c r="L327" s="114" t="str">
        <f t="shared" ca="1" si="83"/>
        <v>F</v>
      </c>
      <c r="M327" s="115" t="s">
        <v>704</v>
      </c>
      <c r="N327" s="116" t="str">
        <f t="shared" ca="1" si="84"/>
        <v>Nível 4</v>
      </c>
      <c r="O327" s="117" t="str">
        <f t="shared" ca="1" si="85"/>
        <v>1.7.5.1.</v>
      </c>
      <c r="P327" s="118" t="s">
        <v>750</v>
      </c>
      <c r="Q327" s="119"/>
      <c r="R327" s="120" t="s">
        <v>1237</v>
      </c>
      <c r="S327" s="121" t="s">
        <v>688</v>
      </c>
      <c r="T327" s="122">
        <f ca="1">OFFSET(CÁLCULO!H$15,ROW($T327)-ROW(T$15),0)</f>
        <v>0</v>
      </c>
      <c r="U327" s="123"/>
      <c r="V327" s="124" t="s">
        <v>663</v>
      </c>
      <c r="W327" s="122">
        <f ca="1">IF($C327="S",ROUND(IF(TIPOORCAMENTO="Proposto",ORÇAMENTO.CustoUnitario*(1+$AH327),ORÇAMENTO.PrecoUnitarioLicitado),15-13*$AF$10),0)</f>
        <v>0</v>
      </c>
      <c r="X327" s="125" cm="1">
        <f t="array" aca="1" ref="X327" ca="1">IF($C327="S",IF(OR(Import.TipoArredondamento&lt;&gt;"TransfereGOV",ACOMPANHAMENTO="BM"),VTOTAL1,SUM(OFFSET(CÁLCULO!$AI$15,ROW($X327)-ROW($X$15),1):OFFSET(CÁLCULO!$BB$15,ROW($X327)-ROW($X$15),-1))),IF($C327=0,0,ROUND(SomaAgrup,15-13*$AF$11)))</f>
        <v>1747298.72</v>
      </c>
      <c r="Y327" s="126" t="s">
        <v>751</v>
      </c>
      <c r="Z327" t="str">
        <f t="shared" ca="1" si="86"/>
        <v/>
      </c>
      <c r="AA327" s="127">
        <f ca="1">IF($C327="S",IF($Z327="CP",$X327,IF($Z327="RA",(($X327)*QCI!$AA$3),0)),SomaAgrup)</f>
        <v>0</v>
      </c>
      <c r="AB327" s="128">
        <f t="shared" ca="1" si="87"/>
        <v>0</v>
      </c>
      <c r="AC327" s="565" t="str" cm="1">
        <f t="array" aca="1" ref="AC327" ca="1">IF($N327=""," ",
IF(AND($C327&lt;&gt;"S",OR($R327="",$R327="(digite a descrição aqui)")),"DESCRIÇÃO",
IF(AND($C327="S",OR($Q327&lt;&gt;"",$T327&gt;0,$U327&gt;0),$P327=""),"FONTE",
IF(AND($C327="S",$P327&lt;&gt;"",OR($T327&gt;0,$U327&gt;0),$Q327=""),"CÓDIGO",
IF(AND($C327="S",$P327&lt;&gt;"",$Q327&lt;&gt;"",$R327="(Código não identificado nas referências)"),"CÓDIGO N/ID",
IF(AND($C327="S",OR($R327="",$R327="(digite a descrição aqui)"),OR($Q327&lt;&gt;"",$T327&gt;0,$U327&gt;0)),"DESCRIÇÃO",
IF(AND($C327="S",$P327&lt;&gt;"",$Q327&lt;&gt;"",$S327=""),"UNIDADE",
IF(AND($C327="S",$P327&lt;&gt;"",$Q327&lt;&gt;"",$U327=0),"SEM CUSTO",
IF(AND(_xlfn.SINGLE(TIPOORCAMENTO)="Licitado",$AL327=0,$AN327&gt;0),"SEM PREÇO",
IF(AND($C327="S",$P327&lt;&gt;"",$Q327&lt;&gt;"",$U327&gt;0,AND($V327&lt;&gt;"BDI 1",$V327&lt;&gt;"BDI 2",$V327&lt;&gt;"BDI 3")),IF(ISNUMBER($V327),"JUSTIFICAR BDI","BDI"),
IF(OR(AND(import.recurso="OGU",TIPOORCAMENTO="Proposto",LEFT($O$8,5)&lt;&gt;"(N/D:",$AG327&lt;&gt;"",ORÇAMENTO.CustoUnitario&gt;$AG327),AND(TIPOORCAMENTO="LICITADO",ORÇAMENTO.PrecoUnitarioLicitado&gt;$AN327)),"ACIMA REF.",
IF(AND($C327="S",$P327&lt;&gt;"",$Q327&lt;&gt;"",$T327=0,$U327&gt;0),"QUANT.",
IF(AND(Import.TipoArredondamento="TransfereGOV",$L327="F",$C327="S",LEN($Q327)&gt;13),"Código &gt;13",
IF(AND(Import.TipoArredondamento="TransfereGOV",$L327="F",$C327&lt;&gt;"S",LEN($R327)&gt;100),"Descrição &gt;100",
IF(AND(Import.TipoArredondamento="TransfereGOV",$L327="F",$C327="S",LEN($R327)&gt;500),"Descrição &gt;500",
IF(AND(Import.TipoArredondamento="TransfereGOV",$L327="F",$C327="S",LEFT(TRIM(UPPER($P327)),6)&lt;&gt;"SINAPI",ISNA(VLOOKUP(TRIM(UPPER($S327)),ListaTgov.Unidades,1,FALSE))),"Unid. Não Disp",
" "))))))))))))))))</f>
        <v xml:space="preserve"> </v>
      </c>
      <c r="AD327" t="str">
        <f ca="1">IF(C327&lt;=CRONO.NivelExibicao,MAX($AD$15:OFFSET(AD327,-1,0))+IF($C327&lt;&gt;1,1,MAX(1,COUNTIF(QCI!$A$13:$A$15,OFFSET($E327,-1,0)))),"")</f>
        <v/>
      </c>
      <c r="AE327" s="7" t="b">
        <f ca="1">IF(AND($C327="S",ORÇAMENTO.CodBarra&lt;&gt;""),IF(ORÇAMENTO.Fonte="",ORÇAMENTO.CodBarra,CONCATENATE(ORÇAMENTO.Fonte," ",ORÇAMENTO.CodBarra)))</f>
        <v>0</v>
      </c>
      <c r="AF327" s="12" t="str">
        <f ca="1">IF(ISERROR(INDIRECT(ORÇAMENTO.BancoRef)),"(abra o arquivo 'Referência "&amp;Excel_BuiltIn_Database&amp;".xlsm)",IF(OR($C327&lt;&gt;"S",ORÇAMENTO.CodBarra=""),"(Sem Código)",IF(ISERROR(MATCH($AE327,INDIRECT(ORÇAMENTO.BancoRef),0)),"(Código não identificado nas referências)",MATCH($AE327,INDIRECT(ORÇAMENTO.BancoRef),0))))</f>
        <v>(Sem Código)</v>
      </c>
      <c r="AG327" s="428">
        <f ca="1">ROUND(IF(DESONERACAO="sim",REFERENCIA.Desonerado,REFERENCIA.NaoDesonerado),2)</f>
        <v>0</v>
      </c>
      <c r="AH327" s="429">
        <f t="shared" ca="1" si="88"/>
        <v>0.23499999999999999</v>
      </c>
      <c r="AJ327" s="431"/>
      <c r="AL327" s="439"/>
      <c r="AM327" s="336">
        <f t="shared" ca="1" si="74"/>
        <v>1747298.72</v>
      </c>
      <c r="AN327" s="470">
        <f t="shared" ca="1" si="89"/>
        <v>0</v>
      </c>
    </row>
    <row r="328" spans="1:40" ht="51" x14ac:dyDescent="0.2">
      <c r="A328" t="str">
        <f t="shared" si="75"/>
        <v>S</v>
      </c>
      <c r="B328">
        <f t="shared" ca="1" si="76"/>
        <v>4</v>
      </c>
      <c r="C328" t="str">
        <f t="shared" ca="1" si="77"/>
        <v>S</v>
      </c>
      <c r="D328">
        <f t="shared" ca="1" si="78"/>
        <v>0</v>
      </c>
      <c r="E328">
        <f ca="1">IF($C328=1,OFFSET(E328,-1,0)+MAX(1,COUNTIF(QCI!$A$13:$A$15,OFFSET(ORÇAMENTO!E328,-1,0))),OFFSET(E328,-1,0))</f>
        <v>1</v>
      </c>
      <c r="F328">
        <f t="shared" ca="1" si="79"/>
        <v>7</v>
      </c>
      <c r="G328">
        <f t="shared" ca="1" si="80"/>
        <v>5</v>
      </c>
      <c r="H328">
        <f t="shared" ca="1" si="81"/>
        <v>1</v>
      </c>
      <c r="I328">
        <f t="shared" ca="1" si="82"/>
        <v>1</v>
      </c>
      <c r="J328">
        <f t="shared" ca="1" si="73"/>
        <v>0</v>
      </c>
      <c r="K328">
        <f ca="1">IF(OR($C328="S",$C328=0),0,MATCH(OFFSET($D328,0,$C328)+IF($C328&lt;&gt;1,1,COUNTIF(QCI!$A$13:$A$15,ORÇAMENTO!E328)),OFFSET($D328,1,$C328,ROW($C$508)-ROW($C328)),0))</f>
        <v>0</v>
      </c>
      <c r="L328" s="114" t="str">
        <f t="shared" ca="1" si="83"/>
        <v>F</v>
      </c>
      <c r="M328" s="115" t="s">
        <v>705</v>
      </c>
      <c r="N328" s="116" t="str">
        <f t="shared" ca="1" si="84"/>
        <v>Serviço</v>
      </c>
      <c r="O328" s="117" t="str">
        <f t="shared" ca="1" si="85"/>
        <v>1.7.5.1.1.</v>
      </c>
      <c r="P328" s="118" t="s">
        <v>1283</v>
      </c>
      <c r="Q328" s="119" t="s">
        <v>1099</v>
      </c>
      <c r="R328" s="120" t="str">
        <f ca="1">IF($C328="S",REFERENCIA.Descricao,"(digite a descrição aqui)")</f>
        <v>SISTEMA DE DESINFECÇÃO POR RADIAÇÃO UV (INCLUSO 02 MÓDULOS DE BAIXA PRESSÃO E ALTA INTENSIDADE, DISPOSITIVO DE LIMPEZA, TEMPORIZADO, COMPORTA EM AÇO INOX E MEDIDOR PARA CONTROLE DE NÍVEL  - FORNECIMENTO E INSTALAÇÃO</v>
      </c>
      <c r="S328" s="121" t="str">
        <f ca="1">REFERENCIA.Unidade</f>
        <v>CJ</v>
      </c>
      <c r="T328" s="122">
        <f ca="1">OFFSET(CÁLCULO!H$15,ROW($T328)-ROW(T$15),0)</f>
        <v>1</v>
      </c>
      <c r="U328" s="123">
        <f t="shared" ca="1" si="90"/>
        <v>1391594.13</v>
      </c>
      <c r="V328" s="124" t="s">
        <v>697</v>
      </c>
      <c r="W328" s="122">
        <f ca="1">IF($C328="S",ROUND(IF(TIPOORCAMENTO="Proposto",ORÇAMENTO.CustoUnitario*(1+$AH328),ORÇAMENTO.PrecoUnitarioLicitado),15-13*$AF$10),0)</f>
        <v>1625381.94</v>
      </c>
      <c r="X328" s="125" cm="1">
        <f t="array" aca="1" ref="X328" ca="1">IF($C328="S",IF(OR(Import.TipoArredondamento&lt;&gt;"TransfereGOV",ACOMPANHAMENTO="BM"),VTOTAL1,SUM(OFFSET(CÁLCULO!$AI$15,ROW($X328)-ROW($X$15),1):OFFSET(CÁLCULO!$BB$15,ROW($X328)-ROW($X$15),-1))),IF($C328=0,0,ROUND(SomaAgrup,15-13*$AF$11)))</f>
        <v>1625381.94</v>
      </c>
      <c r="Y328" s="126" t="s">
        <v>751</v>
      </c>
      <c r="Z328" t="str">
        <f t="shared" ca="1" si="86"/>
        <v>RA</v>
      </c>
      <c r="AA328" s="127">
        <f ca="1">IF($C328="S",IF($Z328="CP",$X328,IF($Z328="RA",(($X328)*QCI!$AA$3),0)),SomaAgrup)</f>
        <v>0</v>
      </c>
      <c r="AB328" s="128">
        <f t="shared" ca="1" si="87"/>
        <v>0</v>
      </c>
      <c r="AC328" s="565" t="str" cm="1">
        <f t="array" aca="1" ref="AC328" ca="1">IF($N328=""," ",
IF(AND($C328&lt;&gt;"S",OR($R328="",$R328="(digite a descrição aqui)")),"DESCRIÇÃO",
IF(AND($C328="S",OR($Q328&lt;&gt;"",$T328&gt;0,$U328&gt;0),$P328=""),"FONTE",
IF(AND($C328="S",$P328&lt;&gt;"",OR($T328&gt;0,$U328&gt;0),$Q328=""),"CÓDIGO",
IF(AND($C328="S",$P328&lt;&gt;"",$Q328&lt;&gt;"",$R328="(Código não identificado nas referências)"),"CÓDIGO N/ID",
IF(AND($C328="S",OR($R328="",$R328="(digite a descrição aqui)"),OR($Q328&lt;&gt;"",$T328&gt;0,$U328&gt;0)),"DESCRIÇÃO",
IF(AND($C328="S",$P328&lt;&gt;"",$Q328&lt;&gt;"",$S328=""),"UNIDADE",
IF(AND($C328="S",$P328&lt;&gt;"",$Q328&lt;&gt;"",$U328=0),"SEM CUSTO",
IF(AND(_xlfn.SINGLE(TIPOORCAMENTO)="Licitado",$AL328=0,$AN328&gt;0),"SEM PREÇO",
IF(AND($C328="S",$P328&lt;&gt;"",$Q328&lt;&gt;"",$U328&gt;0,AND($V328&lt;&gt;"BDI 1",$V328&lt;&gt;"BDI 2",$V328&lt;&gt;"BDI 3")),IF(ISNUMBER($V328),"JUSTIFICAR BDI","BDI"),
IF(OR(AND(import.recurso="OGU",TIPOORCAMENTO="Proposto",LEFT($O$8,5)&lt;&gt;"(N/D:",$AG328&lt;&gt;"",ORÇAMENTO.CustoUnitario&gt;$AG328),AND(TIPOORCAMENTO="LICITADO",ORÇAMENTO.PrecoUnitarioLicitado&gt;$AN328)),"ACIMA REF.",
IF(AND($C328="S",$P328&lt;&gt;"",$Q328&lt;&gt;"",$T328=0,$U328&gt;0),"QUANT.",
IF(AND(Import.TipoArredondamento="TransfereGOV",$L328="F",$C328="S",LEN($Q328)&gt;13),"Código &gt;13",
IF(AND(Import.TipoArredondamento="TransfereGOV",$L328="F",$C328&lt;&gt;"S",LEN($R328)&gt;100),"Descrição &gt;100",
IF(AND(Import.TipoArredondamento="TransfereGOV",$L328="F",$C328="S",LEN($R328)&gt;500),"Descrição &gt;500",
IF(AND(Import.TipoArredondamento="TransfereGOV",$L328="F",$C328="S",LEFT(TRIM(UPPER($P328)),6)&lt;&gt;"SINAPI",ISNA(VLOOKUP(TRIM(UPPER($S328)),ListaTgov.Unidades,1,FALSE))),"Unid. Não Disp",
" "))))))))))))))))</f>
        <v xml:space="preserve"> </v>
      </c>
      <c r="AD328" t="str">
        <f ca="1">IF(C328&lt;=CRONO.NivelExibicao,MAX($AD$15:OFFSET(AD328,-1,0))+IF($C328&lt;&gt;1,1,MAX(1,COUNTIF(QCI!$A$13:$A$15,OFFSET($E328,-1,0)))),"")</f>
        <v/>
      </c>
      <c r="AE328" s="7" t="str">
        <f ca="1">IF(AND($C328="S",ORÇAMENTO.CodBarra&lt;&gt;""),IF(ORÇAMENTO.Fonte="",ORÇAMENTO.CodBarra,CONCATENATE(ORÇAMENTO.Fonte," ",ORÇAMENTO.CodBarra)))</f>
        <v>COTAÇÃO COT-046</v>
      </c>
      <c r="AF328" s="12">
        <f ca="1">IF(ISERROR(INDIRECT(ORÇAMENTO.BancoRef)),"(abra o arquivo 'Referência "&amp;Excel_BuiltIn_Database&amp;".xlsm)",IF(OR($C328&lt;&gt;"S",ORÇAMENTO.CodBarra=""),"(Sem Código)",IF(ISERROR(MATCH($AE328,INDIRECT(ORÇAMENTO.BancoRef),0)),"(Código não identificado nas referências)",MATCH($AE328,INDIRECT(ORÇAMENTO.BancoRef),0))))</f>
        <v>112</v>
      </c>
      <c r="AG328" s="428">
        <f ca="1">ROUND(IF(DESONERACAO="sim",REFERENCIA.Desonerado,REFERENCIA.NaoDesonerado),2)</f>
        <v>1391594.13</v>
      </c>
      <c r="AH328" s="429">
        <f t="shared" ca="1" si="88"/>
        <v>0.16800000000000001</v>
      </c>
      <c r="AJ328" s="431">
        <v>1</v>
      </c>
      <c r="AL328" s="439"/>
      <c r="AM328" s="336">
        <f t="shared" ca="1" si="74"/>
        <v>1625381.94</v>
      </c>
      <c r="AN328" s="470">
        <f t="shared" ca="1" si="89"/>
        <v>1625381.94</v>
      </c>
    </row>
    <row r="329" spans="1:40" x14ac:dyDescent="0.2">
      <c r="A329" t="str">
        <f t="shared" si="75"/>
        <v>S</v>
      </c>
      <c r="B329">
        <f t="shared" ca="1" si="76"/>
        <v>4</v>
      </c>
      <c r="C329" t="str">
        <f t="shared" ca="1" si="77"/>
        <v>S</v>
      </c>
      <c r="D329">
        <f t="shared" ca="1" si="78"/>
        <v>0</v>
      </c>
      <c r="E329">
        <f ca="1">IF($C329=1,OFFSET(E329,-1,0)+MAX(1,COUNTIF(QCI!$A$13:$A$15,OFFSET(ORÇAMENTO!E329,-1,0))),OFFSET(E329,-1,0))</f>
        <v>1</v>
      </c>
      <c r="F329">
        <f t="shared" ca="1" si="79"/>
        <v>7</v>
      </c>
      <c r="G329">
        <f t="shared" ca="1" si="80"/>
        <v>5</v>
      </c>
      <c r="H329">
        <f t="shared" ca="1" si="81"/>
        <v>1</v>
      </c>
      <c r="I329">
        <f t="shared" ca="1" si="82"/>
        <v>2</v>
      </c>
      <c r="J329">
        <f t="shared" ca="1" si="73"/>
        <v>0</v>
      </c>
      <c r="K329">
        <f ca="1">IF(OR($C329="S",$C329=0),0,MATCH(OFFSET($D329,0,$C329)+IF($C329&lt;&gt;1,1,COUNTIF(QCI!$A$13:$A$15,ORÇAMENTO!E329)),OFFSET($D329,1,$C329,ROW($C$508)-ROW($C329)),0))</f>
        <v>0</v>
      </c>
      <c r="L329" s="114" t="str">
        <f t="shared" ca="1" si="83"/>
        <v>F</v>
      </c>
      <c r="M329" s="115" t="s">
        <v>705</v>
      </c>
      <c r="N329" s="116" t="str">
        <f t="shared" ca="1" si="84"/>
        <v>Serviço</v>
      </c>
      <c r="O329" s="117" t="str">
        <f t="shared" ca="1" si="85"/>
        <v>1.7.5.1.2.</v>
      </c>
      <c r="P329" s="118" t="s">
        <v>1283</v>
      </c>
      <c r="Q329" s="119" t="s">
        <v>1100</v>
      </c>
      <c r="R329" s="120" t="str">
        <f ca="1">IF($C329="S",REFERENCIA.Descricao,"(digite a descrição aqui)")</f>
        <v>EXTREMIDADE PONTA/FLANGE FoFo - DN 600 MM</v>
      </c>
      <c r="S329" s="121" t="str">
        <f ca="1">REFERENCIA.Unidade</f>
        <v>UN</v>
      </c>
      <c r="T329" s="122">
        <f ca="1">OFFSET(CÁLCULO!H$15,ROW($T329)-ROW(T$15),0)</f>
        <v>2</v>
      </c>
      <c r="U329" s="123">
        <f t="shared" ca="1" si="90"/>
        <v>13271.55</v>
      </c>
      <c r="V329" s="124" t="s">
        <v>697</v>
      </c>
      <c r="W329" s="122">
        <f ca="1">IF($C329="S",ROUND(IF(TIPOORCAMENTO="Proposto",ORÇAMENTO.CustoUnitario*(1+$AH329),ORÇAMENTO.PrecoUnitarioLicitado),15-13*$AF$10),0)</f>
        <v>15501.17</v>
      </c>
      <c r="X329" s="125" cm="1">
        <f t="array" aca="1" ref="X329" ca="1">IF($C329="S",IF(OR(Import.TipoArredondamento&lt;&gt;"TransfereGOV",ACOMPANHAMENTO="BM"),VTOTAL1,SUM(OFFSET(CÁLCULO!$AI$15,ROW($X329)-ROW($X$15),1):OFFSET(CÁLCULO!$BB$15,ROW($X329)-ROW($X$15),-1))),IF($C329=0,0,ROUND(SomaAgrup,15-13*$AF$11)))</f>
        <v>31002.34</v>
      </c>
      <c r="Y329" s="126" t="s">
        <v>751</v>
      </c>
      <c r="Z329" t="str">
        <f t="shared" ca="1" si="86"/>
        <v>RA</v>
      </c>
      <c r="AA329" s="127">
        <f ca="1">IF($C329="S",IF($Z329="CP",$X329,IF($Z329="RA",(($X329)*QCI!$AA$3),0)),SomaAgrup)</f>
        <v>0</v>
      </c>
      <c r="AB329" s="128">
        <f t="shared" ca="1" si="87"/>
        <v>0</v>
      </c>
      <c r="AC329" s="565" t="str" cm="1">
        <f t="array" aca="1" ref="AC329" ca="1">IF($N329=""," ",
IF(AND($C329&lt;&gt;"S",OR($R329="",$R329="(digite a descrição aqui)")),"DESCRIÇÃO",
IF(AND($C329="S",OR($Q329&lt;&gt;"",$T329&gt;0,$U329&gt;0),$P329=""),"FONTE",
IF(AND($C329="S",$P329&lt;&gt;"",OR($T329&gt;0,$U329&gt;0),$Q329=""),"CÓDIGO",
IF(AND($C329="S",$P329&lt;&gt;"",$Q329&lt;&gt;"",$R329="(Código não identificado nas referências)"),"CÓDIGO N/ID",
IF(AND($C329="S",OR($R329="",$R329="(digite a descrição aqui)"),OR($Q329&lt;&gt;"",$T329&gt;0,$U329&gt;0)),"DESCRIÇÃO",
IF(AND($C329="S",$P329&lt;&gt;"",$Q329&lt;&gt;"",$S329=""),"UNIDADE",
IF(AND($C329="S",$P329&lt;&gt;"",$Q329&lt;&gt;"",$U329=0),"SEM CUSTO",
IF(AND(_xlfn.SINGLE(TIPOORCAMENTO)="Licitado",$AL329=0,$AN329&gt;0),"SEM PREÇO",
IF(AND($C329="S",$P329&lt;&gt;"",$Q329&lt;&gt;"",$U329&gt;0,AND($V329&lt;&gt;"BDI 1",$V329&lt;&gt;"BDI 2",$V329&lt;&gt;"BDI 3")),IF(ISNUMBER($V329),"JUSTIFICAR BDI","BDI"),
IF(OR(AND(import.recurso="OGU",TIPOORCAMENTO="Proposto",LEFT($O$8,5)&lt;&gt;"(N/D:",$AG329&lt;&gt;"",ORÇAMENTO.CustoUnitario&gt;$AG329),AND(TIPOORCAMENTO="LICITADO",ORÇAMENTO.PrecoUnitarioLicitado&gt;$AN329)),"ACIMA REF.",
IF(AND($C329="S",$P329&lt;&gt;"",$Q329&lt;&gt;"",$T329=0,$U329&gt;0),"QUANT.",
IF(AND(Import.TipoArredondamento="TransfereGOV",$L329="F",$C329="S",LEN($Q329)&gt;13),"Código &gt;13",
IF(AND(Import.TipoArredondamento="TransfereGOV",$L329="F",$C329&lt;&gt;"S",LEN($R329)&gt;100),"Descrição &gt;100",
IF(AND(Import.TipoArredondamento="TransfereGOV",$L329="F",$C329="S",LEN($R329)&gt;500),"Descrição &gt;500",
IF(AND(Import.TipoArredondamento="TransfereGOV",$L329="F",$C329="S",LEFT(TRIM(UPPER($P329)),6)&lt;&gt;"SINAPI",ISNA(VLOOKUP(TRIM(UPPER($S329)),ListaTgov.Unidades,1,FALSE))),"Unid. Não Disp",
" "))))))))))))))))</f>
        <v xml:space="preserve"> </v>
      </c>
      <c r="AD329" t="str">
        <f ca="1">IF(C329&lt;=CRONO.NivelExibicao,MAX($AD$15:OFFSET(AD329,-1,0))+IF($C329&lt;&gt;1,1,MAX(1,COUNTIF(QCI!$A$13:$A$15,OFFSET($E329,-1,0)))),"")</f>
        <v/>
      </c>
      <c r="AE329" s="7" t="str">
        <f ca="1">IF(AND($C329="S",ORÇAMENTO.CodBarra&lt;&gt;""),IF(ORÇAMENTO.Fonte="",ORÇAMENTO.CodBarra,CONCATENATE(ORÇAMENTO.Fonte," ",ORÇAMENTO.CodBarra)))</f>
        <v>COTAÇÃO COT-047</v>
      </c>
      <c r="AF329" s="12">
        <f ca="1">IF(ISERROR(INDIRECT(ORÇAMENTO.BancoRef)),"(abra o arquivo 'Referência "&amp;Excel_BuiltIn_Database&amp;".xlsm)",IF(OR($C329&lt;&gt;"S",ORÇAMENTO.CodBarra=""),"(Sem Código)",IF(ISERROR(MATCH($AE329,INDIRECT(ORÇAMENTO.BancoRef),0)),"(Código não identificado nas referências)",MATCH($AE329,INDIRECT(ORÇAMENTO.BancoRef),0))))</f>
        <v>113</v>
      </c>
      <c r="AG329" s="428">
        <f ca="1">ROUND(IF(DESONERACAO="sim",REFERENCIA.Desonerado,REFERENCIA.NaoDesonerado),2)</f>
        <v>13271.55</v>
      </c>
      <c r="AH329" s="429">
        <f t="shared" ca="1" si="88"/>
        <v>0.16800000000000001</v>
      </c>
      <c r="AJ329" s="431">
        <v>2</v>
      </c>
      <c r="AL329" s="439"/>
      <c r="AM329" s="336">
        <f t="shared" ca="1" si="74"/>
        <v>31002.34</v>
      </c>
      <c r="AN329" s="470">
        <f t="shared" ca="1" si="89"/>
        <v>15501.17</v>
      </c>
    </row>
    <row r="330" spans="1:40" x14ac:dyDescent="0.2">
      <c r="A330" t="str">
        <f t="shared" si="75"/>
        <v>S</v>
      </c>
      <c r="B330">
        <f t="shared" ca="1" si="76"/>
        <v>4</v>
      </c>
      <c r="C330" t="str">
        <f t="shared" ca="1" si="77"/>
        <v>S</v>
      </c>
      <c r="D330">
        <f t="shared" ca="1" si="78"/>
        <v>0</v>
      </c>
      <c r="E330">
        <f ca="1">IF($C330=1,OFFSET(E330,-1,0)+MAX(1,COUNTIF(QCI!$A$13:$A$15,OFFSET(ORÇAMENTO!E330,-1,0))),OFFSET(E330,-1,0))</f>
        <v>1</v>
      </c>
      <c r="F330">
        <f t="shared" ca="1" si="79"/>
        <v>7</v>
      </c>
      <c r="G330">
        <f t="shared" ca="1" si="80"/>
        <v>5</v>
      </c>
      <c r="H330">
        <f t="shared" ca="1" si="81"/>
        <v>1</v>
      </c>
      <c r="I330">
        <f t="shared" ca="1" si="82"/>
        <v>3</v>
      </c>
      <c r="J330">
        <f t="shared" ca="1" si="73"/>
        <v>0</v>
      </c>
      <c r="K330">
        <f ca="1">IF(OR($C330="S",$C330=0),0,MATCH(OFFSET($D330,0,$C330)+IF($C330&lt;&gt;1,1,COUNTIF(QCI!$A$13:$A$15,ORÇAMENTO!E330)),OFFSET($D330,1,$C330,ROW($C$508)-ROW($C330)),0))</f>
        <v>0</v>
      </c>
      <c r="L330" s="114" t="str">
        <f t="shared" ca="1" si="83"/>
        <v>F</v>
      </c>
      <c r="M330" s="115" t="s">
        <v>705</v>
      </c>
      <c r="N330" s="116" t="str">
        <f t="shared" ca="1" si="84"/>
        <v>Serviço</v>
      </c>
      <c r="O330" s="117" t="str">
        <f t="shared" ca="1" si="85"/>
        <v>1.7.5.1.3.</v>
      </c>
      <c r="P330" s="118" t="s">
        <v>1283</v>
      </c>
      <c r="Q330" s="119" t="s">
        <v>1101</v>
      </c>
      <c r="R330" s="120" t="str">
        <f ca="1">IF($C330="S",REFERENCIA.Descricao,"(digite a descrição aqui)")</f>
        <v>LUVA COM BOLSAS FoFo - DN 600 MM</v>
      </c>
      <c r="S330" s="121" t="str">
        <f ca="1">REFERENCIA.Unidade</f>
        <v>UN</v>
      </c>
      <c r="T330" s="122">
        <f ca="1">OFFSET(CÁLCULO!H$15,ROW($T330)-ROW(T$15),0)</f>
        <v>1</v>
      </c>
      <c r="U330" s="123">
        <f t="shared" ca="1" si="90"/>
        <v>7044.63</v>
      </c>
      <c r="V330" s="124" t="s">
        <v>697</v>
      </c>
      <c r="W330" s="122">
        <f ca="1">IF($C330="S",ROUND(IF(TIPOORCAMENTO="Proposto",ORÇAMENTO.CustoUnitario*(1+$AH330),ORÇAMENTO.PrecoUnitarioLicitado),15-13*$AF$10),0)</f>
        <v>8228.1299999999992</v>
      </c>
      <c r="X330" s="125" cm="1">
        <f t="array" aca="1" ref="X330" ca="1">IF($C330="S",IF(OR(Import.TipoArredondamento&lt;&gt;"TransfereGOV",ACOMPANHAMENTO="BM"),VTOTAL1,SUM(OFFSET(CÁLCULO!$AI$15,ROW($X330)-ROW($X$15),1):OFFSET(CÁLCULO!$BB$15,ROW($X330)-ROW($X$15),-1))),IF($C330=0,0,ROUND(SomaAgrup,15-13*$AF$11)))</f>
        <v>8228.1299999999992</v>
      </c>
      <c r="Y330" s="126" t="s">
        <v>751</v>
      </c>
      <c r="Z330" t="str">
        <f t="shared" ca="1" si="86"/>
        <v>RA</v>
      </c>
      <c r="AA330" s="127">
        <f ca="1">IF($C330="S",IF($Z330="CP",$X330,IF($Z330="RA",(($X330)*QCI!$AA$3),0)),SomaAgrup)</f>
        <v>0</v>
      </c>
      <c r="AB330" s="128">
        <f t="shared" ca="1" si="87"/>
        <v>0</v>
      </c>
      <c r="AC330" s="565" t="str" cm="1">
        <f t="array" aca="1" ref="AC330" ca="1">IF($N330=""," ",
IF(AND($C330&lt;&gt;"S",OR($R330="",$R330="(digite a descrição aqui)")),"DESCRIÇÃO",
IF(AND($C330="S",OR($Q330&lt;&gt;"",$T330&gt;0,$U330&gt;0),$P330=""),"FONTE",
IF(AND($C330="S",$P330&lt;&gt;"",OR($T330&gt;0,$U330&gt;0),$Q330=""),"CÓDIGO",
IF(AND($C330="S",$P330&lt;&gt;"",$Q330&lt;&gt;"",$R330="(Código não identificado nas referências)"),"CÓDIGO N/ID",
IF(AND($C330="S",OR($R330="",$R330="(digite a descrição aqui)"),OR($Q330&lt;&gt;"",$T330&gt;0,$U330&gt;0)),"DESCRIÇÃO",
IF(AND($C330="S",$P330&lt;&gt;"",$Q330&lt;&gt;"",$S330=""),"UNIDADE",
IF(AND($C330="S",$P330&lt;&gt;"",$Q330&lt;&gt;"",$U330=0),"SEM CUSTO",
IF(AND(_xlfn.SINGLE(TIPOORCAMENTO)="Licitado",$AL330=0,$AN330&gt;0),"SEM PREÇO",
IF(AND($C330="S",$P330&lt;&gt;"",$Q330&lt;&gt;"",$U330&gt;0,AND($V330&lt;&gt;"BDI 1",$V330&lt;&gt;"BDI 2",$V330&lt;&gt;"BDI 3")),IF(ISNUMBER($V330),"JUSTIFICAR BDI","BDI"),
IF(OR(AND(import.recurso="OGU",TIPOORCAMENTO="Proposto",LEFT($O$8,5)&lt;&gt;"(N/D:",$AG330&lt;&gt;"",ORÇAMENTO.CustoUnitario&gt;$AG330),AND(TIPOORCAMENTO="LICITADO",ORÇAMENTO.PrecoUnitarioLicitado&gt;$AN330)),"ACIMA REF.",
IF(AND($C330="S",$P330&lt;&gt;"",$Q330&lt;&gt;"",$T330=0,$U330&gt;0),"QUANT.",
IF(AND(Import.TipoArredondamento="TransfereGOV",$L330="F",$C330="S",LEN($Q330)&gt;13),"Código &gt;13",
IF(AND(Import.TipoArredondamento="TransfereGOV",$L330="F",$C330&lt;&gt;"S",LEN($R330)&gt;100),"Descrição &gt;100",
IF(AND(Import.TipoArredondamento="TransfereGOV",$L330="F",$C330="S",LEN($R330)&gt;500),"Descrição &gt;500",
IF(AND(Import.TipoArredondamento="TransfereGOV",$L330="F",$C330="S",LEFT(TRIM(UPPER($P330)),6)&lt;&gt;"SINAPI",ISNA(VLOOKUP(TRIM(UPPER($S330)),ListaTgov.Unidades,1,FALSE))),"Unid. Não Disp",
" "))))))))))))))))</f>
        <v xml:space="preserve"> </v>
      </c>
      <c r="AD330" t="str">
        <f ca="1">IF(C330&lt;=CRONO.NivelExibicao,MAX($AD$15:OFFSET(AD330,-1,0))+IF($C330&lt;&gt;1,1,MAX(1,COUNTIF(QCI!$A$13:$A$15,OFFSET($E330,-1,0)))),"")</f>
        <v/>
      </c>
      <c r="AE330" s="7" t="str">
        <f ca="1">IF(AND($C330="S",ORÇAMENTO.CodBarra&lt;&gt;""),IF(ORÇAMENTO.Fonte="",ORÇAMENTO.CodBarra,CONCATENATE(ORÇAMENTO.Fonte," ",ORÇAMENTO.CodBarra)))</f>
        <v>COTAÇÃO COT-048</v>
      </c>
      <c r="AF330" s="12">
        <f ca="1">IF(ISERROR(INDIRECT(ORÇAMENTO.BancoRef)),"(abra o arquivo 'Referência "&amp;Excel_BuiltIn_Database&amp;".xlsm)",IF(OR($C330&lt;&gt;"S",ORÇAMENTO.CodBarra=""),"(Sem Código)",IF(ISERROR(MATCH($AE330,INDIRECT(ORÇAMENTO.BancoRef),0)),"(Código não identificado nas referências)",MATCH($AE330,INDIRECT(ORÇAMENTO.BancoRef),0))))</f>
        <v>114</v>
      </c>
      <c r="AG330" s="428">
        <f ca="1">ROUND(IF(DESONERACAO="sim",REFERENCIA.Desonerado,REFERENCIA.NaoDesonerado),2)</f>
        <v>7044.63</v>
      </c>
      <c r="AH330" s="429">
        <f t="shared" ca="1" si="88"/>
        <v>0.16800000000000001</v>
      </c>
      <c r="AJ330" s="431">
        <v>1</v>
      </c>
      <c r="AL330" s="439"/>
      <c r="AM330" s="336">
        <f t="shared" ca="1" si="74"/>
        <v>8228.1299999999992</v>
      </c>
      <c r="AN330" s="470">
        <f t="shared" ca="1" si="89"/>
        <v>8228.1299999999992</v>
      </c>
    </row>
    <row r="331" spans="1:40" x14ac:dyDescent="0.2">
      <c r="A331" t="str">
        <f t="shared" si="75"/>
        <v>S</v>
      </c>
      <c r="B331">
        <f t="shared" ca="1" si="76"/>
        <v>4</v>
      </c>
      <c r="C331" t="str">
        <f t="shared" ca="1" si="77"/>
        <v>S</v>
      </c>
      <c r="D331">
        <f t="shared" ca="1" si="78"/>
        <v>0</v>
      </c>
      <c r="E331">
        <f ca="1">IF($C331=1,OFFSET(E331,-1,0)+MAX(1,COUNTIF(QCI!$A$13:$A$15,OFFSET(ORÇAMENTO!E331,-1,0))),OFFSET(E331,-1,0))</f>
        <v>1</v>
      </c>
      <c r="F331">
        <f t="shared" ca="1" si="79"/>
        <v>7</v>
      </c>
      <c r="G331">
        <f t="shared" ca="1" si="80"/>
        <v>5</v>
      </c>
      <c r="H331">
        <f t="shared" ca="1" si="81"/>
        <v>1</v>
      </c>
      <c r="I331">
        <f t="shared" ca="1" si="82"/>
        <v>4</v>
      </c>
      <c r="J331">
        <f t="shared" ca="1" si="73"/>
        <v>0</v>
      </c>
      <c r="K331">
        <f ca="1">IF(OR($C331="S",$C331=0),0,MATCH(OFFSET($D331,0,$C331)+IF($C331&lt;&gt;1,1,COUNTIF(QCI!$A$13:$A$15,ORÇAMENTO!E331)),OFFSET($D331,1,$C331,ROW($C$508)-ROW($C331)),0))</f>
        <v>0</v>
      </c>
      <c r="L331" s="114" t="str">
        <f t="shared" ca="1" si="83"/>
        <v>F</v>
      </c>
      <c r="M331" s="115" t="s">
        <v>705</v>
      </c>
      <c r="N331" s="116" t="str">
        <f t="shared" ca="1" si="84"/>
        <v>Serviço</v>
      </c>
      <c r="O331" s="117" t="str">
        <f t="shared" ca="1" si="85"/>
        <v>1.7.5.1.4.</v>
      </c>
      <c r="P331" s="118" t="s">
        <v>1283</v>
      </c>
      <c r="Q331" s="119" t="s">
        <v>1102</v>
      </c>
      <c r="R331" s="120" t="str">
        <f ca="1">IF($C331="S",REFERENCIA.Descricao,"(digite a descrição aqui)")</f>
        <v>TUBO CILÍNDRICO FoFo L=1,20 M - DN 600 MM</v>
      </c>
      <c r="S331" s="121" t="str">
        <f ca="1">REFERENCIA.Unidade</f>
        <v>UN</v>
      </c>
      <c r="T331" s="122">
        <f ca="1">OFFSET(CÁLCULO!H$15,ROW($T331)-ROW(T$15),0)</f>
        <v>2</v>
      </c>
      <c r="U331" s="123">
        <f t="shared" ca="1" si="90"/>
        <v>2718.35</v>
      </c>
      <c r="V331" s="124" t="s">
        <v>697</v>
      </c>
      <c r="W331" s="122">
        <f ca="1">IF($C331="S",ROUND(IF(TIPOORCAMENTO="Proposto",ORÇAMENTO.CustoUnitario*(1+$AH331),ORÇAMENTO.PrecoUnitarioLicitado),15-13*$AF$10),0)</f>
        <v>3175.03</v>
      </c>
      <c r="X331" s="125" cm="1">
        <f t="array" aca="1" ref="X331" ca="1">IF($C331="S",IF(OR(Import.TipoArredondamento&lt;&gt;"TransfereGOV",ACOMPANHAMENTO="BM"),VTOTAL1,SUM(OFFSET(CÁLCULO!$AI$15,ROW($X331)-ROW($X$15),1):OFFSET(CÁLCULO!$BB$15,ROW($X331)-ROW($X$15),-1))),IF($C331=0,0,ROUND(SomaAgrup,15-13*$AF$11)))</f>
        <v>6350.06</v>
      </c>
      <c r="Y331" s="126" t="s">
        <v>751</v>
      </c>
      <c r="Z331" t="str">
        <f t="shared" ca="1" si="86"/>
        <v>RA</v>
      </c>
      <c r="AA331" s="127">
        <f ca="1">IF($C331="S",IF($Z331="CP",$X331,IF($Z331="RA",(($X331)*QCI!$AA$3),0)),SomaAgrup)</f>
        <v>0</v>
      </c>
      <c r="AB331" s="128">
        <f t="shared" ca="1" si="87"/>
        <v>0</v>
      </c>
      <c r="AC331" s="565" t="str" cm="1">
        <f t="array" aca="1" ref="AC331" ca="1">IF($N331=""," ",
IF(AND($C331&lt;&gt;"S",OR($R331="",$R331="(digite a descrição aqui)")),"DESCRIÇÃO",
IF(AND($C331="S",OR($Q331&lt;&gt;"",$T331&gt;0,$U331&gt;0),$P331=""),"FONTE",
IF(AND($C331="S",$P331&lt;&gt;"",OR($T331&gt;0,$U331&gt;0),$Q331=""),"CÓDIGO",
IF(AND($C331="S",$P331&lt;&gt;"",$Q331&lt;&gt;"",$R331="(Código não identificado nas referências)"),"CÓDIGO N/ID",
IF(AND($C331="S",OR($R331="",$R331="(digite a descrição aqui)"),OR($Q331&lt;&gt;"",$T331&gt;0,$U331&gt;0)),"DESCRIÇÃO",
IF(AND($C331="S",$P331&lt;&gt;"",$Q331&lt;&gt;"",$S331=""),"UNIDADE",
IF(AND($C331="S",$P331&lt;&gt;"",$Q331&lt;&gt;"",$U331=0),"SEM CUSTO",
IF(AND(_xlfn.SINGLE(TIPOORCAMENTO)="Licitado",$AL331=0,$AN331&gt;0),"SEM PREÇO",
IF(AND($C331="S",$P331&lt;&gt;"",$Q331&lt;&gt;"",$U331&gt;0,AND($V331&lt;&gt;"BDI 1",$V331&lt;&gt;"BDI 2",$V331&lt;&gt;"BDI 3")),IF(ISNUMBER($V331),"JUSTIFICAR BDI","BDI"),
IF(OR(AND(import.recurso="OGU",TIPOORCAMENTO="Proposto",LEFT($O$8,5)&lt;&gt;"(N/D:",$AG331&lt;&gt;"",ORÇAMENTO.CustoUnitario&gt;$AG331),AND(TIPOORCAMENTO="LICITADO",ORÇAMENTO.PrecoUnitarioLicitado&gt;$AN331)),"ACIMA REF.",
IF(AND($C331="S",$P331&lt;&gt;"",$Q331&lt;&gt;"",$T331=0,$U331&gt;0),"QUANT.",
IF(AND(Import.TipoArredondamento="TransfereGOV",$L331="F",$C331="S",LEN($Q331)&gt;13),"Código &gt;13",
IF(AND(Import.TipoArredondamento="TransfereGOV",$L331="F",$C331&lt;&gt;"S",LEN($R331)&gt;100),"Descrição &gt;100",
IF(AND(Import.TipoArredondamento="TransfereGOV",$L331="F",$C331="S",LEN($R331)&gt;500),"Descrição &gt;500",
IF(AND(Import.TipoArredondamento="TransfereGOV",$L331="F",$C331="S",LEFT(TRIM(UPPER($P331)),6)&lt;&gt;"SINAPI",ISNA(VLOOKUP(TRIM(UPPER($S331)),ListaTgov.Unidades,1,FALSE))),"Unid. Não Disp",
" "))))))))))))))))</f>
        <v xml:space="preserve"> </v>
      </c>
      <c r="AD331" t="str">
        <f ca="1">IF(C331&lt;=CRONO.NivelExibicao,MAX($AD$15:OFFSET(AD331,-1,0))+IF($C331&lt;&gt;1,1,MAX(1,COUNTIF(QCI!$A$13:$A$15,OFFSET($E331,-1,0)))),"")</f>
        <v/>
      </c>
      <c r="AE331" s="7" t="str">
        <f ca="1">IF(AND($C331="S",ORÇAMENTO.CodBarra&lt;&gt;""),IF(ORÇAMENTO.Fonte="",ORÇAMENTO.CodBarra,CONCATENATE(ORÇAMENTO.Fonte," ",ORÇAMENTO.CodBarra)))</f>
        <v>COTAÇÃO COT-049</v>
      </c>
      <c r="AF331" s="12">
        <f ca="1">IF(ISERROR(INDIRECT(ORÇAMENTO.BancoRef)),"(abra o arquivo 'Referência "&amp;Excel_BuiltIn_Database&amp;".xlsm)",IF(OR($C331&lt;&gt;"S",ORÇAMENTO.CodBarra=""),"(Sem Código)",IF(ISERROR(MATCH($AE331,INDIRECT(ORÇAMENTO.BancoRef),0)),"(Código não identificado nas referências)",MATCH($AE331,INDIRECT(ORÇAMENTO.BancoRef),0))))</f>
        <v>115</v>
      </c>
      <c r="AG331" s="428">
        <f ca="1">ROUND(IF(DESONERACAO="sim",REFERENCIA.Desonerado,REFERENCIA.NaoDesonerado),2)</f>
        <v>2718.35</v>
      </c>
      <c r="AH331" s="429">
        <f t="shared" ca="1" si="88"/>
        <v>0.16800000000000001</v>
      </c>
      <c r="AJ331" s="431">
        <v>2</v>
      </c>
      <c r="AL331" s="439"/>
      <c r="AM331" s="336">
        <f t="shared" ca="1" si="74"/>
        <v>6350.06</v>
      </c>
      <c r="AN331" s="470">
        <f t="shared" ca="1" si="89"/>
        <v>3175.03</v>
      </c>
    </row>
    <row r="332" spans="1:40" x14ac:dyDescent="0.2">
      <c r="A332" t="str">
        <f t="shared" si="75"/>
        <v>S</v>
      </c>
      <c r="B332">
        <f t="shared" ca="1" si="76"/>
        <v>4</v>
      </c>
      <c r="C332" t="str">
        <f t="shared" ca="1" si="77"/>
        <v>S</v>
      </c>
      <c r="D332">
        <f t="shared" ca="1" si="78"/>
        <v>0</v>
      </c>
      <c r="E332">
        <f ca="1">IF($C332=1,OFFSET(E332,-1,0)+MAX(1,COUNTIF(QCI!$A$13:$A$15,OFFSET(ORÇAMENTO!E332,-1,0))),OFFSET(E332,-1,0))</f>
        <v>1</v>
      </c>
      <c r="F332">
        <f t="shared" ca="1" si="79"/>
        <v>7</v>
      </c>
      <c r="G332">
        <f t="shared" ca="1" si="80"/>
        <v>5</v>
      </c>
      <c r="H332">
        <f t="shared" ca="1" si="81"/>
        <v>1</v>
      </c>
      <c r="I332">
        <f t="shared" ca="1" si="82"/>
        <v>5</v>
      </c>
      <c r="J332">
        <f t="shared" ca="1" si="73"/>
        <v>0</v>
      </c>
      <c r="K332">
        <f ca="1">IF(OR($C332="S",$C332=0),0,MATCH(OFFSET($D332,0,$C332)+IF($C332&lt;&gt;1,1,COUNTIF(QCI!$A$13:$A$15,ORÇAMENTO!E332)),OFFSET($D332,1,$C332,ROW($C$508)-ROW($C332)),0))</f>
        <v>0</v>
      </c>
      <c r="L332" s="114" t="str">
        <f t="shared" ca="1" si="83"/>
        <v>F</v>
      </c>
      <c r="M332" s="115" t="s">
        <v>705</v>
      </c>
      <c r="N332" s="116" t="str">
        <f t="shared" ca="1" si="84"/>
        <v>Serviço</v>
      </c>
      <c r="O332" s="117" t="str">
        <f t="shared" ca="1" si="85"/>
        <v>1.7.5.1.5.</v>
      </c>
      <c r="P332" s="118" t="s">
        <v>1283</v>
      </c>
      <c r="Q332" s="119" t="s">
        <v>1103</v>
      </c>
      <c r="R332" s="120" t="str">
        <f ca="1">IF($C332="S",REFERENCIA.Descricao,"(digite a descrição aqui)")</f>
        <v>CURVA 90 BOLSAS FoFo - DN 600 MM</v>
      </c>
      <c r="S332" s="121" t="str">
        <f ca="1">REFERENCIA.Unidade</f>
        <v>UN</v>
      </c>
      <c r="T332" s="122">
        <f ca="1">OFFSET(CÁLCULO!H$15,ROW($T332)-ROW(T$15),0)</f>
        <v>2</v>
      </c>
      <c r="U332" s="123">
        <f t="shared" ca="1" si="90"/>
        <v>15651.31</v>
      </c>
      <c r="V332" s="124" t="s">
        <v>697</v>
      </c>
      <c r="W332" s="122">
        <f ca="1">IF($C332="S",ROUND(IF(TIPOORCAMENTO="Proposto",ORÇAMENTO.CustoUnitario*(1+$AH332),ORÇAMENTO.PrecoUnitarioLicitado),15-13*$AF$10),0)</f>
        <v>18280.73</v>
      </c>
      <c r="X332" s="125" cm="1">
        <f t="array" aca="1" ref="X332" ca="1">IF($C332="S",IF(OR(Import.TipoArredondamento&lt;&gt;"TransfereGOV",ACOMPANHAMENTO="BM"),VTOTAL1,SUM(OFFSET(CÁLCULO!$AI$15,ROW($X332)-ROW($X$15),1):OFFSET(CÁLCULO!$BB$15,ROW($X332)-ROW($X$15),-1))),IF($C332=0,0,ROUND(SomaAgrup,15-13*$AF$11)))</f>
        <v>36561.46</v>
      </c>
      <c r="Y332" s="126" t="s">
        <v>751</v>
      </c>
      <c r="Z332" t="str">
        <f t="shared" ca="1" si="86"/>
        <v>RA</v>
      </c>
      <c r="AA332" s="127">
        <f ca="1">IF($C332="S",IF($Z332="CP",$X332,IF($Z332="RA",(($X332)*QCI!$AA$3),0)),SomaAgrup)</f>
        <v>0</v>
      </c>
      <c r="AB332" s="128">
        <f t="shared" ca="1" si="87"/>
        <v>0</v>
      </c>
      <c r="AC332" s="565" t="str" cm="1">
        <f t="array" aca="1" ref="AC332" ca="1">IF($N332=""," ",
IF(AND($C332&lt;&gt;"S",OR($R332="",$R332="(digite a descrição aqui)")),"DESCRIÇÃO",
IF(AND($C332="S",OR($Q332&lt;&gt;"",$T332&gt;0,$U332&gt;0),$P332=""),"FONTE",
IF(AND($C332="S",$P332&lt;&gt;"",OR($T332&gt;0,$U332&gt;0),$Q332=""),"CÓDIGO",
IF(AND($C332="S",$P332&lt;&gt;"",$Q332&lt;&gt;"",$R332="(Código não identificado nas referências)"),"CÓDIGO N/ID",
IF(AND($C332="S",OR($R332="",$R332="(digite a descrição aqui)"),OR($Q332&lt;&gt;"",$T332&gt;0,$U332&gt;0)),"DESCRIÇÃO",
IF(AND($C332="S",$P332&lt;&gt;"",$Q332&lt;&gt;"",$S332=""),"UNIDADE",
IF(AND($C332="S",$P332&lt;&gt;"",$Q332&lt;&gt;"",$U332=0),"SEM CUSTO",
IF(AND(_xlfn.SINGLE(TIPOORCAMENTO)="Licitado",$AL332=0,$AN332&gt;0),"SEM PREÇO",
IF(AND($C332="S",$P332&lt;&gt;"",$Q332&lt;&gt;"",$U332&gt;0,AND($V332&lt;&gt;"BDI 1",$V332&lt;&gt;"BDI 2",$V332&lt;&gt;"BDI 3")),IF(ISNUMBER($V332),"JUSTIFICAR BDI","BDI"),
IF(OR(AND(import.recurso="OGU",TIPOORCAMENTO="Proposto",LEFT($O$8,5)&lt;&gt;"(N/D:",$AG332&lt;&gt;"",ORÇAMENTO.CustoUnitario&gt;$AG332),AND(TIPOORCAMENTO="LICITADO",ORÇAMENTO.PrecoUnitarioLicitado&gt;$AN332)),"ACIMA REF.",
IF(AND($C332="S",$P332&lt;&gt;"",$Q332&lt;&gt;"",$T332=0,$U332&gt;0),"QUANT.",
IF(AND(Import.TipoArredondamento="TransfereGOV",$L332="F",$C332="S",LEN($Q332)&gt;13),"Código &gt;13",
IF(AND(Import.TipoArredondamento="TransfereGOV",$L332="F",$C332&lt;&gt;"S",LEN($R332)&gt;100),"Descrição &gt;100",
IF(AND(Import.TipoArredondamento="TransfereGOV",$L332="F",$C332="S",LEN($R332)&gt;500),"Descrição &gt;500",
IF(AND(Import.TipoArredondamento="TransfereGOV",$L332="F",$C332="S",LEFT(TRIM(UPPER($P332)),6)&lt;&gt;"SINAPI",ISNA(VLOOKUP(TRIM(UPPER($S332)),ListaTgov.Unidades,1,FALSE))),"Unid. Não Disp",
" "))))))))))))))))</f>
        <v xml:space="preserve"> </v>
      </c>
      <c r="AD332" t="str">
        <f ca="1">IF(C332&lt;=CRONO.NivelExibicao,MAX($AD$15:OFFSET(AD332,-1,0))+IF($C332&lt;&gt;1,1,MAX(1,COUNTIF(QCI!$A$13:$A$15,OFFSET($E332,-1,0)))),"")</f>
        <v/>
      </c>
      <c r="AE332" s="7" t="str">
        <f ca="1">IF(AND($C332="S",ORÇAMENTO.CodBarra&lt;&gt;""),IF(ORÇAMENTO.Fonte="",ORÇAMENTO.CodBarra,CONCATENATE(ORÇAMENTO.Fonte," ",ORÇAMENTO.CodBarra)))</f>
        <v>COTAÇÃO COT-050</v>
      </c>
      <c r="AF332" s="12">
        <f ca="1">IF(ISERROR(INDIRECT(ORÇAMENTO.BancoRef)),"(abra o arquivo 'Referência "&amp;Excel_BuiltIn_Database&amp;".xlsm)",IF(OR($C332&lt;&gt;"S",ORÇAMENTO.CodBarra=""),"(Sem Código)",IF(ISERROR(MATCH($AE332,INDIRECT(ORÇAMENTO.BancoRef),0)),"(Código não identificado nas referências)",MATCH($AE332,INDIRECT(ORÇAMENTO.BancoRef),0))))</f>
        <v>116</v>
      </c>
      <c r="AG332" s="428">
        <f ca="1">ROUND(IF(DESONERACAO="sim",REFERENCIA.Desonerado,REFERENCIA.NaoDesonerado),2)</f>
        <v>15651.31</v>
      </c>
      <c r="AH332" s="429">
        <f t="shared" ca="1" si="88"/>
        <v>0.16800000000000001</v>
      </c>
      <c r="AJ332" s="431">
        <v>2</v>
      </c>
      <c r="AL332" s="439"/>
      <c r="AM332" s="336">
        <f t="shared" ca="1" si="74"/>
        <v>36561.46</v>
      </c>
      <c r="AN332" s="470">
        <f t="shared" ca="1" si="89"/>
        <v>18280.73</v>
      </c>
    </row>
    <row r="333" spans="1:40" x14ac:dyDescent="0.2">
      <c r="A333" t="str">
        <f t="shared" si="75"/>
        <v>S</v>
      </c>
      <c r="B333">
        <f t="shared" ca="1" si="76"/>
        <v>4</v>
      </c>
      <c r="C333" t="str">
        <f t="shared" ca="1" si="77"/>
        <v>S</v>
      </c>
      <c r="D333">
        <f t="shared" ca="1" si="78"/>
        <v>0</v>
      </c>
      <c r="E333">
        <f ca="1">IF($C333=1,OFFSET(E333,-1,0)+MAX(1,COUNTIF(QCI!$A$13:$A$15,OFFSET(ORÇAMENTO!E333,-1,0))),OFFSET(E333,-1,0))</f>
        <v>1</v>
      </c>
      <c r="F333">
        <f t="shared" ca="1" si="79"/>
        <v>7</v>
      </c>
      <c r="G333">
        <f t="shared" ca="1" si="80"/>
        <v>5</v>
      </c>
      <c r="H333">
        <f t="shared" ca="1" si="81"/>
        <v>1</v>
      </c>
      <c r="I333">
        <f t="shared" ca="1" si="82"/>
        <v>6</v>
      </c>
      <c r="J333">
        <f t="shared" ca="1" si="73"/>
        <v>0</v>
      </c>
      <c r="K333">
        <f ca="1">IF(OR($C333="S",$C333=0),0,MATCH(OFFSET($D333,0,$C333)+IF($C333&lt;&gt;1,1,COUNTIF(QCI!$A$13:$A$15,ORÇAMENTO!E333)),OFFSET($D333,1,$C333,ROW($C$508)-ROW($C333)),0))</f>
        <v>0</v>
      </c>
      <c r="L333" s="114" t="str">
        <f t="shared" ca="1" si="83"/>
        <v>F</v>
      </c>
      <c r="M333" s="115" t="s">
        <v>705</v>
      </c>
      <c r="N333" s="116" t="str">
        <f t="shared" ca="1" si="84"/>
        <v>Serviço</v>
      </c>
      <c r="O333" s="117" t="str">
        <f t="shared" ca="1" si="85"/>
        <v>1.7.5.1.6.</v>
      </c>
      <c r="P333" s="118" t="s">
        <v>1283</v>
      </c>
      <c r="Q333" s="119" t="s">
        <v>1104</v>
      </c>
      <c r="R333" s="120" t="str">
        <f ca="1">IF($C333="S",REFERENCIA.Descricao,"(digite a descrição aqui)")</f>
        <v>TUBO CILÍNDRICO FoFo L=0,40 M - DN 600 MM</v>
      </c>
      <c r="S333" s="121" t="str">
        <f ca="1">REFERENCIA.Unidade</f>
        <v>UN</v>
      </c>
      <c r="T333" s="122">
        <f ca="1">OFFSET(CÁLCULO!H$15,ROW($T333)-ROW(T$15),0)</f>
        <v>1</v>
      </c>
      <c r="U333" s="123">
        <f t="shared" ca="1" si="90"/>
        <v>1368.28</v>
      </c>
      <c r="V333" s="124" t="s">
        <v>697</v>
      </c>
      <c r="W333" s="122">
        <f ca="1">IF($C333="S",ROUND(IF(TIPOORCAMENTO="Proposto",ORÇAMENTO.CustoUnitario*(1+$AH333),ORÇAMENTO.PrecoUnitarioLicitado),15-13*$AF$10),0)</f>
        <v>1598.15</v>
      </c>
      <c r="X333" s="125" cm="1">
        <f t="array" aca="1" ref="X333" ca="1">IF($C333="S",IF(OR(Import.TipoArredondamento&lt;&gt;"TransfereGOV",ACOMPANHAMENTO="BM"),VTOTAL1,SUM(OFFSET(CÁLCULO!$AI$15,ROW($X333)-ROW($X$15),1):OFFSET(CÁLCULO!$BB$15,ROW($X333)-ROW($X$15),-1))),IF($C333=0,0,ROUND(SomaAgrup,15-13*$AF$11)))</f>
        <v>1598.15</v>
      </c>
      <c r="Y333" s="126" t="s">
        <v>751</v>
      </c>
      <c r="Z333" t="str">
        <f t="shared" ca="1" si="86"/>
        <v>RA</v>
      </c>
      <c r="AA333" s="127">
        <f ca="1">IF($C333="S",IF($Z333="CP",$X333,IF($Z333="RA",(($X333)*QCI!$AA$3),0)),SomaAgrup)</f>
        <v>0</v>
      </c>
      <c r="AB333" s="128">
        <f t="shared" ca="1" si="87"/>
        <v>0</v>
      </c>
      <c r="AC333" s="565" t="str" cm="1">
        <f t="array" aca="1" ref="AC333" ca="1">IF($N333=""," ",
IF(AND($C333&lt;&gt;"S",OR($R333="",$R333="(digite a descrição aqui)")),"DESCRIÇÃO",
IF(AND($C333="S",OR($Q333&lt;&gt;"",$T333&gt;0,$U333&gt;0),$P333=""),"FONTE",
IF(AND($C333="S",$P333&lt;&gt;"",OR($T333&gt;0,$U333&gt;0),$Q333=""),"CÓDIGO",
IF(AND($C333="S",$P333&lt;&gt;"",$Q333&lt;&gt;"",$R333="(Código não identificado nas referências)"),"CÓDIGO N/ID",
IF(AND($C333="S",OR($R333="",$R333="(digite a descrição aqui)"),OR($Q333&lt;&gt;"",$T333&gt;0,$U333&gt;0)),"DESCRIÇÃO",
IF(AND($C333="S",$P333&lt;&gt;"",$Q333&lt;&gt;"",$S333=""),"UNIDADE",
IF(AND($C333="S",$P333&lt;&gt;"",$Q333&lt;&gt;"",$U333=0),"SEM CUSTO",
IF(AND(_xlfn.SINGLE(TIPOORCAMENTO)="Licitado",$AL333=0,$AN333&gt;0),"SEM PREÇO",
IF(AND($C333="S",$P333&lt;&gt;"",$Q333&lt;&gt;"",$U333&gt;0,AND($V333&lt;&gt;"BDI 1",$V333&lt;&gt;"BDI 2",$V333&lt;&gt;"BDI 3")),IF(ISNUMBER($V333),"JUSTIFICAR BDI","BDI"),
IF(OR(AND(import.recurso="OGU",TIPOORCAMENTO="Proposto",LEFT($O$8,5)&lt;&gt;"(N/D:",$AG333&lt;&gt;"",ORÇAMENTO.CustoUnitario&gt;$AG333),AND(TIPOORCAMENTO="LICITADO",ORÇAMENTO.PrecoUnitarioLicitado&gt;$AN333)),"ACIMA REF.",
IF(AND($C333="S",$P333&lt;&gt;"",$Q333&lt;&gt;"",$T333=0,$U333&gt;0),"QUANT.",
IF(AND(Import.TipoArredondamento="TransfereGOV",$L333="F",$C333="S",LEN($Q333)&gt;13),"Código &gt;13",
IF(AND(Import.TipoArredondamento="TransfereGOV",$L333="F",$C333&lt;&gt;"S",LEN($R333)&gt;100),"Descrição &gt;100",
IF(AND(Import.TipoArredondamento="TransfereGOV",$L333="F",$C333="S",LEN($R333)&gt;500),"Descrição &gt;500",
IF(AND(Import.TipoArredondamento="TransfereGOV",$L333="F",$C333="S",LEFT(TRIM(UPPER($P333)),6)&lt;&gt;"SINAPI",ISNA(VLOOKUP(TRIM(UPPER($S333)),ListaTgov.Unidades,1,FALSE))),"Unid. Não Disp",
" "))))))))))))))))</f>
        <v xml:space="preserve"> </v>
      </c>
      <c r="AD333" t="str">
        <f ca="1">IF(C333&lt;=CRONO.NivelExibicao,MAX($AD$15:OFFSET(AD333,-1,0))+IF($C333&lt;&gt;1,1,MAX(1,COUNTIF(QCI!$A$13:$A$15,OFFSET($E333,-1,0)))),"")</f>
        <v/>
      </c>
      <c r="AE333" s="7" t="str">
        <f ca="1">IF(AND($C333="S",ORÇAMENTO.CodBarra&lt;&gt;""),IF(ORÇAMENTO.Fonte="",ORÇAMENTO.CodBarra,CONCATENATE(ORÇAMENTO.Fonte," ",ORÇAMENTO.CodBarra)))</f>
        <v>COTAÇÃO COT-051</v>
      </c>
      <c r="AF333" s="12">
        <f ca="1">IF(ISERROR(INDIRECT(ORÇAMENTO.BancoRef)),"(abra o arquivo 'Referência "&amp;Excel_BuiltIn_Database&amp;".xlsm)",IF(OR($C333&lt;&gt;"S",ORÇAMENTO.CodBarra=""),"(Sem Código)",IF(ISERROR(MATCH($AE333,INDIRECT(ORÇAMENTO.BancoRef),0)),"(Código não identificado nas referências)",MATCH($AE333,INDIRECT(ORÇAMENTO.BancoRef),0))))</f>
        <v>117</v>
      </c>
      <c r="AG333" s="428">
        <f ca="1">ROUND(IF(DESONERACAO="sim",REFERENCIA.Desonerado,REFERENCIA.NaoDesonerado),2)</f>
        <v>1368.28</v>
      </c>
      <c r="AH333" s="429">
        <f t="shared" ca="1" si="88"/>
        <v>0.16800000000000001</v>
      </c>
      <c r="AJ333" s="431">
        <v>1</v>
      </c>
      <c r="AL333" s="439"/>
      <c r="AM333" s="336">
        <f t="shared" ca="1" si="74"/>
        <v>1598.15</v>
      </c>
      <c r="AN333" s="470">
        <f t="shared" ca="1" si="89"/>
        <v>1598.15</v>
      </c>
    </row>
    <row r="334" spans="1:40" x14ac:dyDescent="0.2">
      <c r="A334" t="str">
        <f t="shared" si="75"/>
        <v>S</v>
      </c>
      <c r="B334">
        <f t="shared" ca="1" si="76"/>
        <v>4</v>
      </c>
      <c r="C334" t="str">
        <f t="shared" ca="1" si="77"/>
        <v>S</v>
      </c>
      <c r="D334">
        <f t="shared" ca="1" si="78"/>
        <v>0</v>
      </c>
      <c r="E334">
        <f ca="1">IF($C334=1,OFFSET(E334,-1,0)+MAX(1,COUNTIF(QCI!$A$13:$A$15,OFFSET(ORÇAMENTO!E334,-1,0))),OFFSET(E334,-1,0))</f>
        <v>1</v>
      </c>
      <c r="F334">
        <f t="shared" ca="1" si="79"/>
        <v>7</v>
      </c>
      <c r="G334">
        <f t="shared" ca="1" si="80"/>
        <v>5</v>
      </c>
      <c r="H334">
        <f t="shared" ca="1" si="81"/>
        <v>1</v>
      </c>
      <c r="I334">
        <f t="shared" ca="1" si="82"/>
        <v>7</v>
      </c>
      <c r="J334">
        <f t="shared" ca="1" si="73"/>
        <v>0</v>
      </c>
      <c r="K334">
        <f ca="1">IF(OR($C334="S",$C334=0),0,MATCH(OFFSET($D334,0,$C334)+IF($C334&lt;&gt;1,1,COUNTIF(QCI!$A$13:$A$15,ORÇAMENTO!E334)),OFFSET($D334,1,$C334,ROW($C$508)-ROW($C334)),0))</f>
        <v>0</v>
      </c>
      <c r="L334" s="114" t="str">
        <f t="shared" ca="1" si="83"/>
        <v>F</v>
      </c>
      <c r="M334" s="115" t="s">
        <v>705</v>
      </c>
      <c r="N334" s="116" t="str">
        <f t="shared" ca="1" si="84"/>
        <v>Serviço</v>
      </c>
      <c r="O334" s="117" t="str">
        <f t="shared" ca="1" si="85"/>
        <v>1.7.5.1.7.</v>
      </c>
      <c r="P334" s="118" t="s">
        <v>1283</v>
      </c>
      <c r="Q334" s="119" t="s">
        <v>1105</v>
      </c>
      <c r="R334" s="120" t="str">
        <f ca="1">IF($C334="S",REFERENCIA.Descricao,"(digite a descrição aqui)")</f>
        <v>TUBO PONTA/BOLSA FoFo L=6,00 M - DN 600 MM</v>
      </c>
      <c r="S334" s="121" t="str">
        <f ca="1">REFERENCIA.Unidade</f>
        <v>UN</v>
      </c>
      <c r="T334" s="122">
        <f ca="1">OFFSET(CÁLCULO!H$15,ROW($T334)-ROW(T$15),0)</f>
        <v>2</v>
      </c>
      <c r="U334" s="123">
        <f t="shared" ca="1" si="90"/>
        <v>13692.44</v>
      </c>
      <c r="V334" s="124" t="s">
        <v>697</v>
      </c>
      <c r="W334" s="122">
        <f ca="1">IF($C334="S",ROUND(IF(TIPOORCAMENTO="Proposto",ORÇAMENTO.CustoUnitario*(1+$AH334),ORÇAMENTO.PrecoUnitarioLicitado),15-13*$AF$10),0)</f>
        <v>15992.77</v>
      </c>
      <c r="X334" s="125" cm="1">
        <f t="array" aca="1" ref="X334" ca="1">IF($C334="S",IF(OR(Import.TipoArredondamento&lt;&gt;"TransfereGOV",ACOMPANHAMENTO="BM"),VTOTAL1,SUM(OFFSET(CÁLCULO!$AI$15,ROW($X334)-ROW($X$15),1):OFFSET(CÁLCULO!$BB$15,ROW($X334)-ROW($X$15),-1))),IF($C334=0,0,ROUND(SomaAgrup,15-13*$AF$11)))</f>
        <v>31985.54</v>
      </c>
      <c r="Y334" s="126" t="s">
        <v>751</v>
      </c>
      <c r="Z334" t="str">
        <f t="shared" ca="1" si="86"/>
        <v>RA</v>
      </c>
      <c r="AA334" s="127">
        <f ca="1">IF($C334="S",IF($Z334="CP",$X334,IF($Z334="RA",(($X334)*QCI!$AA$3),0)),SomaAgrup)</f>
        <v>0</v>
      </c>
      <c r="AB334" s="128">
        <f t="shared" ca="1" si="87"/>
        <v>0</v>
      </c>
      <c r="AC334" s="565" t="str" cm="1">
        <f t="array" aca="1" ref="AC334" ca="1">IF($N334=""," ",
IF(AND($C334&lt;&gt;"S",OR($R334="",$R334="(digite a descrição aqui)")),"DESCRIÇÃO",
IF(AND($C334="S",OR($Q334&lt;&gt;"",$T334&gt;0,$U334&gt;0),$P334=""),"FONTE",
IF(AND($C334="S",$P334&lt;&gt;"",OR($T334&gt;0,$U334&gt;0),$Q334=""),"CÓDIGO",
IF(AND($C334="S",$P334&lt;&gt;"",$Q334&lt;&gt;"",$R334="(Código não identificado nas referências)"),"CÓDIGO N/ID",
IF(AND($C334="S",OR($R334="",$R334="(digite a descrição aqui)"),OR($Q334&lt;&gt;"",$T334&gt;0,$U334&gt;0)),"DESCRIÇÃO",
IF(AND($C334="S",$P334&lt;&gt;"",$Q334&lt;&gt;"",$S334=""),"UNIDADE",
IF(AND($C334="S",$P334&lt;&gt;"",$Q334&lt;&gt;"",$U334=0),"SEM CUSTO",
IF(AND(_xlfn.SINGLE(TIPOORCAMENTO)="Licitado",$AL334=0,$AN334&gt;0),"SEM PREÇO",
IF(AND($C334="S",$P334&lt;&gt;"",$Q334&lt;&gt;"",$U334&gt;0,AND($V334&lt;&gt;"BDI 1",$V334&lt;&gt;"BDI 2",$V334&lt;&gt;"BDI 3")),IF(ISNUMBER($V334),"JUSTIFICAR BDI","BDI"),
IF(OR(AND(import.recurso="OGU",TIPOORCAMENTO="Proposto",LEFT($O$8,5)&lt;&gt;"(N/D:",$AG334&lt;&gt;"",ORÇAMENTO.CustoUnitario&gt;$AG334),AND(TIPOORCAMENTO="LICITADO",ORÇAMENTO.PrecoUnitarioLicitado&gt;$AN334)),"ACIMA REF.",
IF(AND($C334="S",$P334&lt;&gt;"",$Q334&lt;&gt;"",$T334=0,$U334&gt;0),"QUANT.",
IF(AND(Import.TipoArredondamento="TransfereGOV",$L334="F",$C334="S",LEN($Q334)&gt;13),"Código &gt;13",
IF(AND(Import.TipoArredondamento="TransfereGOV",$L334="F",$C334&lt;&gt;"S",LEN($R334)&gt;100),"Descrição &gt;100",
IF(AND(Import.TipoArredondamento="TransfereGOV",$L334="F",$C334="S",LEN($R334)&gt;500),"Descrição &gt;500",
IF(AND(Import.TipoArredondamento="TransfereGOV",$L334="F",$C334="S",LEFT(TRIM(UPPER($P334)),6)&lt;&gt;"SINAPI",ISNA(VLOOKUP(TRIM(UPPER($S334)),ListaTgov.Unidades,1,FALSE))),"Unid. Não Disp",
" "))))))))))))))))</f>
        <v xml:space="preserve"> </v>
      </c>
      <c r="AD334" t="str">
        <f ca="1">IF(C334&lt;=CRONO.NivelExibicao,MAX($AD$15:OFFSET(AD334,-1,0))+IF($C334&lt;&gt;1,1,MAX(1,COUNTIF(QCI!$A$13:$A$15,OFFSET($E334,-1,0)))),"")</f>
        <v/>
      </c>
      <c r="AE334" s="7" t="str">
        <f ca="1">IF(AND($C334="S",ORÇAMENTO.CodBarra&lt;&gt;""),IF(ORÇAMENTO.Fonte="",ORÇAMENTO.CodBarra,CONCATENATE(ORÇAMENTO.Fonte," ",ORÇAMENTO.CodBarra)))</f>
        <v>COTAÇÃO COT-052</v>
      </c>
      <c r="AF334" s="12">
        <f ca="1">IF(ISERROR(INDIRECT(ORÇAMENTO.BancoRef)),"(abra o arquivo 'Referência "&amp;Excel_BuiltIn_Database&amp;".xlsm)",IF(OR($C334&lt;&gt;"S",ORÇAMENTO.CodBarra=""),"(Sem Código)",IF(ISERROR(MATCH($AE334,INDIRECT(ORÇAMENTO.BancoRef),0)),"(Código não identificado nas referências)",MATCH($AE334,INDIRECT(ORÇAMENTO.BancoRef),0))))</f>
        <v>118</v>
      </c>
      <c r="AG334" s="428">
        <f ca="1">ROUND(IF(DESONERACAO="sim",REFERENCIA.Desonerado,REFERENCIA.NaoDesonerado),2)</f>
        <v>13692.44</v>
      </c>
      <c r="AH334" s="429">
        <f t="shared" ca="1" si="88"/>
        <v>0.16800000000000001</v>
      </c>
      <c r="AJ334" s="431">
        <v>2</v>
      </c>
      <c r="AL334" s="439"/>
      <c r="AM334" s="336">
        <f t="shared" ca="1" si="74"/>
        <v>31985.54</v>
      </c>
      <c r="AN334" s="470">
        <f t="shared" ca="1" si="89"/>
        <v>15992.77</v>
      </c>
    </row>
    <row r="335" spans="1:40" ht="25.5" x14ac:dyDescent="0.2">
      <c r="A335" t="str">
        <f t="shared" si="75"/>
        <v>S</v>
      </c>
      <c r="B335">
        <f t="shared" ca="1" si="76"/>
        <v>4</v>
      </c>
      <c r="C335" t="str">
        <f t="shared" ca="1" si="77"/>
        <v>S</v>
      </c>
      <c r="D335">
        <f t="shared" ca="1" si="78"/>
        <v>0</v>
      </c>
      <c r="E335">
        <f ca="1">IF($C335=1,OFFSET(E335,-1,0)+MAX(1,COUNTIF(QCI!$A$13:$A$15,OFFSET(ORÇAMENTO!E335,-1,0))),OFFSET(E335,-1,0))</f>
        <v>1</v>
      </c>
      <c r="F335">
        <f t="shared" ca="1" si="79"/>
        <v>7</v>
      </c>
      <c r="G335">
        <f t="shared" ca="1" si="80"/>
        <v>5</v>
      </c>
      <c r="H335">
        <f t="shared" ca="1" si="81"/>
        <v>1</v>
      </c>
      <c r="I335">
        <f t="shared" ca="1" si="82"/>
        <v>8</v>
      </c>
      <c r="J335">
        <f t="shared" ca="1" si="73"/>
        <v>0</v>
      </c>
      <c r="K335">
        <f ca="1">IF(OR($C335="S",$C335=0),0,MATCH(OFFSET($D335,0,$C335)+IF($C335&lt;&gt;1,1,COUNTIF(QCI!$A$13:$A$15,ORÇAMENTO!E335)),OFFSET($D335,1,$C335,ROW($C$508)-ROW($C335)),0))</f>
        <v>0</v>
      </c>
      <c r="L335" s="114" t="str">
        <f t="shared" ca="1" si="83"/>
        <v>F</v>
      </c>
      <c r="M335" s="115" t="s">
        <v>705</v>
      </c>
      <c r="N335" s="116" t="str">
        <f t="shared" ca="1" si="84"/>
        <v>Serviço</v>
      </c>
      <c r="O335" s="117" t="str">
        <f t="shared" ca="1" si="85"/>
        <v>1.7.5.1.8.</v>
      </c>
      <c r="P335" s="118" t="s">
        <v>956</v>
      </c>
      <c r="Q335" s="119" t="s">
        <v>1106</v>
      </c>
      <c r="R335" s="120" t="str">
        <f ca="1">IF($C335="S",REFERENCIA.Descricao,"(digite a descrição aqui)")</f>
        <v>TUBO DE CONCRETO PA2 COMERCIAL PARA DRENAGEM - D = 0,80 M - FORNECIMENTO E INSTALAÇÃO</v>
      </c>
      <c r="S335" s="121" t="str">
        <f ca="1">REFERENCIA.Unidade</f>
        <v>M</v>
      </c>
      <c r="T335" s="122">
        <f ca="1">OFFSET(CÁLCULO!H$15,ROW($T335)-ROW(T$15),0)</f>
        <v>1.2</v>
      </c>
      <c r="U335" s="123">
        <f t="shared" ca="1" si="90"/>
        <v>487.84</v>
      </c>
      <c r="V335" s="124" t="s">
        <v>663</v>
      </c>
      <c r="W335" s="122">
        <f ca="1">IF($C335="S",ROUND(IF(TIPOORCAMENTO="Proposto",ORÇAMENTO.CustoUnitario*(1+$AH335),ORÇAMENTO.PrecoUnitarioLicitado),15-13*$AF$10),0)</f>
        <v>602.48</v>
      </c>
      <c r="X335" s="125" cm="1">
        <f t="array" aca="1" ref="X335" ca="1">IF($C335="S",IF(OR(Import.TipoArredondamento&lt;&gt;"TransfereGOV",ACOMPANHAMENTO="BM"),VTOTAL1,SUM(OFFSET(CÁLCULO!$AI$15,ROW($X335)-ROW($X$15),1):OFFSET(CÁLCULO!$BB$15,ROW($X335)-ROW($X$15),-1))),IF($C335=0,0,ROUND(SomaAgrup,15-13*$AF$11)))</f>
        <v>722.98</v>
      </c>
      <c r="Y335" s="126" t="s">
        <v>751</v>
      </c>
      <c r="Z335" t="str">
        <f t="shared" ca="1" si="86"/>
        <v>RA</v>
      </c>
      <c r="AA335" s="127">
        <f ca="1">IF($C335="S",IF($Z335="CP",$X335,IF($Z335="RA",(($X335)*QCI!$AA$3),0)),SomaAgrup)</f>
        <v>0</v>
      </c>
      <c r="AB335" s="128">
        <f t="shared" ca="1" si="87"/>
        <v>0</v>
      </c>
      <c r="AC335" s="565" t="str" cm="1">
        <f t="array" aca="1" ref="AC335" ca="1">IF($N335=""," ",
IF(AND($C335&lt;&gt;"S",OR($R335="",$R335="(digite a descrição aqui)")),"DESCRIÇÃO",
IF(AND($C335="S",OR($Q335&lt;&gt;"",$T335&gt;0,$U335&gt;0),$P335=""),"FONTE",
IF(AND($C335="S",$P335&lt;&gt;"",OR($T335&gt;0,$U335&gt;0),$Q335=""),"CÓDIGO",
IF(AND($C335="S",$P335&lt;&gt;"",$Q335&lt;&gt;"",$R335="(Código não identificado nas referências)"),"CÓDIGO N/ID",
IF(AND($C335="S",OR($R335="",$R335="(digite a descrição aqui)"),OR($Q335&lt;&gt;"",$T335&gt;0,$U335&gt;0)),"DESCRIÇÃO",
IF(AND($C335="S",$P335&lt;&gt;"",$Q335&lt;&gt;"",$S335=""),"UNIDADE",
IF(AND($C335="S",$P335&lt;&gt;"",$Q335&lt;&gt;"",$U335=0),"SEM CUSTO",
IF(AND(_xlfn.SINGLE(TIPOORCAMENTO)="Licitado",$AL335=0,$AN335&gt;0),"SEM PREÇO",
IF(AND($C335="S",$P335&lt;&gt;"",$Q335&lt;&gt;"",$U335&gt;0,AND($V335&lt;&gt;"BDI 1",$V335&lt;&gt;"BDI 2",$V335&lt;&gt;"BDI 3")),IF(ISNUMBER($V335),"JUSTIFICAR BDI","BDI"),
IF(OR(AND(import.recurso="OGU",TIPOORCAMENTO="Proposto",LEFT($O$8,5)&lt;&gt;"(N/D:",$AG335&lt;&gt;"",ORÇAMENTO.CustoUnitario&gt;$AG335),AND(TIPOORCAMENTO="LICITADO",ORÇAMENTO.PrecoUnitarioLicitado&gt;$AN335)),"ACIMA REF.",
IF(AND($C335="S",$P335&lt;&gt;"",$Q335&lt;&gt;"",$T335=0,$U335&gt;0),"QUANT.",
IF(AND(Import.TipoArredondamento="TransfereGOV",$L335="F",$C335="S",LEN($Q335)&gt;13),"Código &gt;13",
IF(AND(Import.TipoArredondamento="TransfereGOV",$L335="F",$C335&lt;&gt;"S",LEN($R335)&gt;100),"Descrição &gt;100",
IF(AND(Import.TipoArredondamento="TransfereGOV",$L335="F",$C335="S",LEN($R335)&gt;500),"Descrição &gt;500",
IF(AND(Import.TipoArredondamento="TransfereGOV",$L335="F",$C335="S",LEFT(TRIM(UPPER($P335)),6)&lt;&gt;"SINAPI",ISNA(VLOOKUP(TRIM(UPPER($S335)),ListaTgov.Unidades,1,FALSE))),"Unid. Não Disp",
" "))))))))))))))))</f>
        <v xml:space="preserve"> </v>
      </c>
      <c r="AD335" t="str">
        <f ca="1">IF(C335&lt;=CRONO.NivelExibicao,MAX($AD$15:OFFSET(AD335,-1,0))+IF($C335&lt;&gt;1,1,MAX(1,COUNTIF(QCI!$A$13:$A$15,OFFSET($E335,-1,0)))),"")</f>
        <v/>
      </c>
      <c r="AE335" s="7" t="str">
        <f ca="1">IF(AND($C335="S",ORÇAMENTO.CodBarra&lt;&gt;""),IF(ORÇAMENTO.Fonte="",ORÇAMENTO.CodBarra,CONCATENATE(ORÇAMENTO.Fonte," ",ORÇAMENTO.CodBarra)))</f>
        <v>SICRO 2003827</v>
      </c>
      <c r="AF335" s="12">
        <f ca="1">IF(ISERROR(INDIRECT(ORÇAMENTO.BancoRef)),"(abra o arquivo 'Referência "&amp;Excel_BuiltIn_Database&amp;".xlsm)",IF(OR($C335&lt;&gt;"S",ORÇAMENTO.CodBarra=""),"(Sem Código)",IF(ISERROR(MATCH($AE335,INDIRECT(ORÇAMENTO.BancoRef),0)),"(Código não identificado nas referências)",MATCH($AE335,INDIRECT(ORÇAMENTO.BancoRef),0))))</f>
        <v>19133</v>
      </c>
      <c r="AG335" s="428">
        <f ca="1">ROUND(IF(DESONERACAO="sim",REFERENCIA.Desonerado,REFERENCIA.NaoDesonerado),2)</f>
        <v>487.84</v>
      </c>
      <c r="AH335" s="429">
        <f t="shared" ca="1" si="88"/>
        <v>0.23499999999999999</v>
      </c>
      <c r="AJ335" s="431">
        <v>1.2</v>
      </c>
      <c r="AL335" s="439"/>
      <c r="AM335" s="336">
        <f t="shared" ca="1" si="74"/>
        <v>722.98</v>
      </c>
      <c r="AN335" s="470">
        <f t="shared" ca="1" si="89"/>
        <v>602.48</v>
      </c>
    </row>
    <row r="336" spans="1:40" x14ac:dyDescent="0.2">
      <c r="A336" t="str">
        <f t="shared" si="75"/>
        <v>S</v>
      </c>
      <c r="B336">
        <f t="shared" ca="1" si="76"/>
        <v>4</v>
      </c>
      <c r="C336" t="str">
        <f t="shared" ca="1" si="77"/>
        <v>S</v>
      </c>
      <c r="D336">
        <f t="shared" ca="1" si="78"/>
        <v>0</v>
      </c>
      <c r="E336">
        <f ca="1">IF($C336=1,OFFSET(E336,-1,0)+MAX(1,COUNTIF(QCI!$A$13:$A$15,OFFSET(ORÇAMENTO!E336,-1,0))),OFFSET(E336,-1,0))</f>
        <v>1</v>
      </c>
      <c r="F336">
        <f t="shared" ca="1" si="79"/>
        <v>7</v>
      </c>
      <c r="G336">
        <f t="shared" ca="1" si="80"/>
        <v>5</v>
      </c>
      <c r="H336">
        <f t="shared" ca="1" si="81"/>
        <v>1</v>
      </c>
      <c r="I336">
        <f t="shared" ca="1" si="82"/>
        <v>9</v>
      </c>
      <c r="J336">
        <f t="shared" ref="J336:J399" ca="1" si="91">IF(OR($C336="S",$C336=0),0,MATCH(0,OFFSET($D336,1,$C336,ROW($C$508)-ROW($C336)),0))</f>
        <v>0</v>
      </c>
      <c r="K336">
        <f ca="1">IF(OR($C336="S",$C336=0),0,MATCH(OFFSET($D336,0,$C336)+IF($C336&lt;&gt;1,1,COUNTIF(QCI!$A$13:$A$15,ORÇAMENTO!E336)),OFFSET($D336,1,$C336,ROW($C$508)-ROW($C336)),0))</f>
        <v>0</v>
      </c>
      <c r="L336" s="114" t="str">
        <f t="shared" ca="1" si="83"/>
        <v>F</v>
      </c>
      <c r="M336" s="115" t="s">
        <v>705</v>
      </c>
      <c r="N336" s="116" t="str">
        <f t="shared" ca="1" si="84"/>
        <v>Serviço</v>
      </c>
      <c r="O336" s="117" t="str">
        <f t="shared" ca="1" si="85"/>
        <v>1.7.5.1.9.</v>
      </c>
      <c r="P336" s="118" t="s">
        <v>1283</v>
      </c>
      <c r="Q336" s="119" t="s">
        <v>1107</v>
      </c>
      <c r="R336" s="120" t="str">
        <f ca="1">IF($C336="S",REFERENCIA.Descricao,"(digite a descrição aqui)")</f>
        <v>TUBO PONTA/BOLSA FoFo L=2,00 M - DN 600 MM</v>
      </c>
      <c r="S336" s="121" t="str">
        <f ca="1">REFERENCIA.Unidade</f>
        <v>UN</v>
      </c>
      <c r="T336" s="122">
        <f ca="1">OFFSET(CÁLCULO!H$15,ROW($T336)-ROW(T$15),0)</f>
        <v>1</v>
      </c>
      <c r="U336" s="123">
        <f t="shared" ca="1" si="90"/>
        <v>4681.6099999999997</v>
      </c>
      <c r="V336" s="124" t="s">
        <v>697</v>
      </c>
      <c r="W336" s="122">
        <f ca="1">IF($C336="S",ROUND(IF(TIPOORCAMENTO="Proposto",ORÇAMENTO.CustoUnitario*(1+$AH336),ORÇAMENTO.PrecoUnitarioLicitado),15-13*$AF$10),0)</f>
        <v>5468.12</v>
      </c>
      <c r="X336" s="125" cm="1">
        <f t="array" aca="1" ref="X336" ca="1">IF($C336="S",IF(OR(Import.TipoArredondamento&lt;&gt;"TransfereGOV",ACOMPANHAMENTO="BM"),VTOTAL1,SUM(OFFSET(CÁLCULO!$AI$15,ROW($X336)-ROW($X$15),1):OFFSET(CÁLCULO!$BB$15,ROW($X336)-ROW($X$15),-1))),IF($C336=0,0,ROUND(SomaAgrup,15-13*$AF$11)))</f>
        <v>5468.12</v>
      </c>
      <c r="Y336" s="126" t="s">
        <v>751</v>
      </c>
      <c r="Z336" t="str">
        <f t="shared" ca="1" si="86"/>
        <v>RA</v>
      </c>
      <c r="AA336" s="127">
        <f ca="1">IF($C336="S",IF($Z336="CP",$X336,IF($Z336="RA",(($X336)*QCI!$AA$3),0)),SomaAgrup)</f>
        <v>0</v>
      </c>
      <c r="AB336" s="128">
        <f t="shared" ca="1" si="87"/>
        <v>0</v>
      </c>
      <c r="AC336" s="565" t="str" cm="1">
        <f t="array" aca="1" ref="AC336" ca="1">IF($N336=""," ",
IF(AND($C336&lt;&gt;"S",OR($R336="",$R336="(digite a descrição aqui)")),"DESCRIÇÃO",
IF(AND($C336="S",OR($Q336&lt;&gt;"",$T336&gt;0,$U336&gt;0),$P336=""),"FONTE",
IF(AND($C336="S",$P336&lt;&gt;"",OR($T336&gt;0,$U336&gt;0),$Q336=""),"CÓDIGO",
IF(AND($C336="S",$P336&lt;&gt;"",$Q336&lt;&gt;"",$R336="(Código não identificado nas referências)"),"CÓDIGO N/ID",
IF(AND($C336="S",OR($R336="",$R336="(digite a descrição aqui)"),OR($Q336&lt;&gt;"",$T336&gt;0,$U336&gt;0)),"DESCRIÇÃO",
IF(AND($C336="S",$P336&lt;&gt;"",$Q336&lt;&gt;"",$S336=""),"UNIDADE",
IF(AND($C336="S",$P336&lt;&gt;"",$Q336&lt;&gt;"",$U336=0),"SEM CUSTO",
IF(AND(_xlfn.SINGLE(TIPOORCAMENTO)="Licitado",$AL336=0,$AN336&gt;0),"SEM PREÇO",
IF(AND($C336="S",$P336&lt;&gt;"",$Q336&lt;&gt;"",$U336&gt;0,AND($V336&lt;&gt;"BDI 1",$V336&lt;&gt;"BDI 2",$V336&lt;&gt;"BDI 3")),IF(ISNUMBER($V336),"JUSTIFICAR BDI","BDI"),
IF(OR(AND(import.recurso="OGU",TIPOORCAMENTO="Proposto",LEFT($O$8,5)&lt;&gt;"(N/D:",$AG336&lt;&gt;"",ORÇAMENTO.CustoUnitario&gt;$AG336),AND(TIPOORCAMENTO="LICITADO",ORÇAMENTO.PrecoUnitarioLicitado&gt;$AN336)),"ACIMA REF.",
IF(AND($C336="S",$P336&lt;&gt;"",$Q336&lt;&gt;"",$T336=0,$U336&gt;0),"QUANT.",
IF(AND(Import.TipoArredondamento="TransfereGOV",$L336="F",$C336="S",LEN($Q336)&gt;13),"Código &gt;13",
IF(AND(Import.TipoArredondamento="TransfereGOV",$L336="F",$C336&lt;&gt;"S",LEN($R336)&gt;100),"Descrição &gt;100",
IF(AND(Import.TipoArredondamento="TransfereGOV",$L336="F",$C336="S",LEN($R336)&gt;500),"Descrição &gt;500",
IF(AND(Import.TipoArredondamento="TransfereGOV",$L336="F",$C336="S",LEFT(TRIM(UPPER($P336)),6)&lt;&gt;"SINAPI",ISNA(VLOOKUP(TRIM(UPPER($S336)),ListaTgov.Unidades,1,FALSE))),"Unid. Não Disp",
" "))))))))))))))))</f>
        <v xml:space="preserve"> </v>
      </c>
      <c r="AD336" t="str">
        <f ca="1">IF(C336&lt;=CRONO.NivelExibicao,MAX($AD$15:OFFSET(AD336,-1,0))+IF($C336&lt;&gt;1,1,MAX(1,COUNTIF(QCI!$A$13:$A$15,OFFSET($E336,-1,0)))),"")</f>
        <v/>
      </c>
      <c r="AE336" s="7" t="str">
        <f ca="1">IF(AND($C336="S",ORÇAMENTO.CodBarra&lt;&gt;""),IF(ORÇAMENTO.Fonte="",ORÇAMENTO.CodBarra,CONCATENATE(ORÇAMENTO.Fonte," ",ORÇAMENTO.CodBarra)))</f>
        <v>COTAÇÃO COT-053</v>
      </c>
      <c r="AF336" s="12">
        <f ca="1">IF(ISERROR(INDIRECT(ORÇAMENTO.BancoRef)),"(abra o arquivo 'Referência "&amp;Excel_BuiltIn_Database&amp;".xlsm)",IF(OR($C336&lt;&gt;"S",ORÇAMENTO.CodBarra=""),"(Sem Código)",IF(ISERROR(MATCH($AE336,INDIRECT(ORÇAMENTO.BancoRef),0)),"(Código não identificado nas referências)",MATCH($AE336,INDIRECT(ORÇAMENTO.BancoRef),0))))</f>
        <v>119</v>
      </c>
      <c r="AG336" s="428">
        <f ca="1">ROUND(IF(DESONERACAO="sim",REFERENCIA.Desonerado,REFERENCIA.NaoDesonerado),2)</f>
        <v>4681.6099999999997</v>
      </c>
      <c r="AH336" s="429">
        <f t="shared" ca="1" si="88"/>
        <v>0.16800000000000001</v>
      </c>
      <c r="AJ336" s="431">
        <v>1</v>
      </c>
      <c r="AL336" s="439"/>
      <c r="AM336" s="336">
        <f t="shared" ref="AM336:AM398" ca="1" si="92">$X336</f>
        <v>5468.12</v>
      </c>
      <c r="AN336" s="470">
        <f t="shared" ca="1" si="89"/>
        <v>5468.12</v>
      </c>
    </row>
    <row r="337" spans="1:40" x14ac:dyDescent="0.2">
      <c r="A337">
        <f t="shared" si="75"/>
        <v>4</v>
      </c>
      <c r="B337">
        <f t="shared" ca="1" si="76"/>
        <v>4</v>
      </c>
      <c r="C337">
        <f t="shared" ca="1" si="77"/>
        <v>4</v>
      </c>
      <c r="D337">
        <f t="shared" ca="1" si="78"/>
        <v>3</v>
      </c>
      <c r="E337">
        <f ca="1">IF($C337=1,OFFSET(E337,-1,0)+MAX(1,COUNTIF(QCI!$A$13:$A$15,OFFSET(ORÇAMENTO!E337,-1,0))),OFFSET(E337,-1,0))</f>
        <v>1</v>
      </c>
      <c r="F337">
        <f t="shared" ca="1" si="79"/>
        <v>7</v>
      </c>
      <c r="G337">
        <f t="shared" ca="1" si="80"/>
        <v>5</v>
      </c>
      <c r="H337">
        <f t="shared" ca="1" si="81"/>
        <v>2</v>
      </c>
      <c r="I337">
        <f t="shared" ca="1" si="82"/>
        <v>0</v>
      </c>
      <c r="J337">
        <f t="shared" ca="1" si="91"/>
        <v>3</v>
      </c>
      <c r="K337">
        <f ca="1">IF(OR($C337="S",$C337=0),0,MATCH(OFFSET($D337,0,$C337)+IF($C337&lt;&gt;1,1,COUNTIF(QCI!$A$13:$A$15,ORÇAMENTO!E337)),OFFSET($D337,1,$C337,ROW($C$508)-ROW($C337)),0))</f>
        <v>20</v>
      </c>
      <c r="L337" s="114" t="str">
        <f t="shared" ca="1" si="83"/>
        <v>F</v>
      </c>
      <c r="M337" s="115" t="s">
        <v>704</v>
      </c>
      <c r="N337" s="116" t="str">
        <f t="shared" ca="1" si="84"/>
        <v>Nível 4</v>
      </c>
      <c r="O337" s="117" t="str">
        <f t="shared" ca="1" si="85"/>
        <v>1.7.5.2.</v>
      </c>
      <c r="P337" s="118" t="s">
        <v>750</v>
      </c>
      <c r="Q337" s="119"/>
      <c r="R337" s="120" t="s">
        <v>1240</v>
      </c>
      <c r="S337" s="121" t="s">
        <v>688</v>
      </c>
      <c r="T337" s="122">
        <f ca="1">OFFSET(CÁLCULO!H$15,ROW($T337)-ROW(T$15),0)</f>
        <v>0</v>
      </c>
      <c r="U337" s="123">
        <f t="shared" ca="1" si="90"/>
        <v>0</v>
      </c>
      <c r="V337" s="124" t="s">
        <v>663</v>
      </c>
      <c r="W337" s="122">
        <f ca="1">IF($C337="S",ROUND(IF(TIPOORCAMENTO="Proposto",ORÇAMENTO.CustoUnitario*(1+$AH337),ORÇAMENTO.PrecoUnitarioLicitado),15-13*$AF$10),0)</f>
        <v>0</v>
      </c>
      <c r="X337" s="125" cm="1">
        <f t="array" aca="1" ref="X337" ca="1">IF($C337="S",IF(OR(Import.TipoArredondamento&lt;&gt;"TransfereGOV",ACOMPANHAMENTO="BM"),VTOTAL1,SUM(OFFSET(CÁLCULO!$AI$15,ROW($X337)-ROW($X$15),1):OFFSET(CÁLCULO!$BB$15,ROW($X337)-ROW($X$15),-1))),IF($C337=0,0,ROUND(SomaAgrup,15-13*$AF$11)))</f>
        <v>755.11</v>
      </c>
      <c r="Y337" s="126" t="s">
        <v>751</v>
      </c>
      <c r="Z337" t="str">
        <f t="shared" ca="1" si="86"/>
        <v/>
      </c>
      <c r="AA337" s="127">
        <f ca="1">IF($C337="S",IF($Z337="CP",$X337,IF($Z337="RA",(($X337)*QCI!$AA$3),0)),SomaAgrup)</f>
        <v>0</v>
      </c>
      <c r="AB337" s="128">
        <f t="shared" ca="1" si="87"/>
        <v>0</v>
      </c>
      <c r="AC337" s="565" t="str" cm="1">
        <f t="array" aca="1" ref="AC337" ca="1">IF($N337=""," ",
IF(AND($C337&lt;&gt;"S",OR($R337="",$R337="(digite a descrição aqui)")),"DESCRIÇÃO",
IF(AND($C337="S",OR($Q337&lt;&gt;"",$T337&gt;0,$U337&gt;0),$P337=""),"FONTE",
IF(AND($C337="S",$P337&lt;&gt;"",OR($T337&gt;0,$U337&gt;0),$Q337=""),"CÓDIGO",
IF(AND($C337="S",$P337&lt;&gt;"",$Q337&lt;&gt;"",$R337="(Código não identificado nas referências)"),"CÓDIGO N/ID",
IF(AND($C337="S",OR($R337="",$R337="(digite a descrição aqui)"),OR($Q337&lt;&gt;"",$T337&gt;0,$U337&gt;0)),"DESCRIÇÃO",
IF(AND($C337="S",$P337&lt;&gt;"",$Q337&lt;&gt;"",$S337=""),"UNIDADE",
IF(AND($C337="S",$P337&lt;&gt;"",$Q337&lt;&gt;"",$U337=0),"SEM CUSTO",
IF(AND(_xlfn.SINGLE(TIPOORCAMENTO)="Licitado",$AL337=0,$AN337&gt;0),"SEM PREÇO",
IF(AND($C337="S",$P337&lt;&gt;"",$Q337&lt;&gt;"",$U337&gt;0,AND($V337&lt;&gt;"BDI 1",$V337&lt;&gt;"BDI 2",$V337&lt;&gt;"BDI 3")),IF(ISNUMBER($V337),"JUSTIFICAR BDI","BDI"),
IF(OR(AND(import.recurso="OGU",TIPOORCAMENTO="Proposto",LEFT($O$8,5)&lt;&gt;"(N/D:",$AG337&lt;&gt;"",ORÇAMENTO.CustoUnitario&gt;$AG337),AND(TIPOORCAMENTO="LICITADO",ORÇAMENTO.PrecoUnitarioLicitado&gt;$AN337)),"ACIMA REF.",
IF(AND($C337="S",$P337&lt;&gt;"",$Q337&lt;&gt;"",$T337=0,$U337&gt;0),"QUANT.",
IF(AND(Import.TipoArredondamento="TransfereGOV",$L337="F",$C337="S",LEN($Q337)&gt;13),"Código &gt;13",
IF(AND(Import.TipoArredondamento="TransfereGOV",$L337="F",$C337&lt;&gt;"S",LEN($R337)&gt;100),"Descrição &gt;100",
IF(AND(Import.TipoArredondamento="TransfereGOV",$L337="F",$C337="S",LEN($R337)&gt;500),"Descrição &gt;500",
IF(AND(Import.TipoArredondamento="TransfereGOV",$L337="F",$C337="S",LEFT(TRIM(UPPER($P337)),6)&lt;&gt;"SINAPI",ISNA(VLOOKUP(TRIM(UPPER($S337)),ListaTgov.Unidades,1,FALSE))),"Unid. Não Disp",
" "))))))))))))))))</f>
        <v xml:space="preserve"> </v>
      </c>
      <c r="AD337" t="str">
        <f ca="1">IF(C337&lt;=CRONO.NivelExibicao,MAX($AD$15:OFFSET(AD337,-1,0))+IF($C337&lt;&gt;1,1,MAX(1,COUNTIF(QCI!$A$13:$A$15,OFFSET($E337,-1,0)))),"")</f>
        <v/>
      </c>
      <c r="AE337" s="7" t="b">
        <f ca="1">IF(AND($C337="S",ORÇAMENTO.CodBarra&lt;&gt;""),IF(ORÇAMENTO.Fonte="",ORÇAMENTO.CodBarra,CONCATENATE(ORÇAMENTO.Fonte," ",ORÇAMENTO.CodBarra)))</f>
        <v>0</v>
      </c>
      <c r="AF337" s="12" t="str">
        <f ca="1">IF(ISERROR(INDIRECT(ORÇAMENTO.BancoRef)),"(abra o arquivo 'Referência "&amp;Excel_BuiltIn_Database&amp;".xlsm)",IF(OR($C337&lt;&gt;"S",ORÇAMENTO.CodBarra=""),"(Sem Código)",IF(ISERROR(MATCH($AE337,INDIRECT(ORÇAMENTO.BancoRef),0)),"(Código não identificado nas referências)",MATCH($AE337,INDIRECT(ORÇAMENTO.BancoRef),0))))</f>
        <v>(Sem Código)</v>
      </c>
      <c r="AG337" s="428">
        <f ca="1">ROUND(IF(DESONERACAO="sim",REFERENCIA.Desonerado,REFERENCIA.NaoDesonerado),2)</f>
        <v>0</v>
      </c>
      <c r="AH337" s="429">
        <f t="shared" ca="1" si="88"/>
        <v>0.23499999999999999</v>
      </c>
      <c r="AJ337" s="431"/>
      <c r="AL337" s="439"/>
      <c r="AM337" s="336">
        <f t="shared" ca="1" si="92"/>
        <v>755.11</v>
      </c>
      <c r="AN337" s="470">
        <f t="shared" ca="1" si="89"/>
        <v>0</v>
      </c>
    </row>
    <row r="338" spans="1:40" ht="25.5" x14ac:dyDescent="0.2">
      <c r="A338" t="str">
        <f t="shared" si="75"/>
        <v>S</v>
      </c>
      <c r="B338">
        <f t="shared" ca="1" si="76"/>
        <v>4</v>
      </c>
      <c r="C338" t="str">
        <f t="shared" ca="1" si="77"/>
        <v>S</v>
      </c>
      <c r="D338">
        <f t="shared" ca="1" si="78"/>
        <v>0</v>
      </c>
      <c r="E338">
        <f ca="1">IF($C338=1,OFFSET(E338,-1,0)+MAX(1,COUNTIF(QCI!$A$13:$A$15,OFFSET(ORÇAMENTO!E338,-1,0))),OFFSET(E338,-1,0))</f>
        <v>1</v>
      </c>
      <c r="F338">
        <f t="shared" ca="1" si="79"/>
        <v>7</v>
      </c>
      <c r="G338">
        <f t="shared" ca="1" si="80"/>
        <v>5</v>
      </c>
      <c r="H338">
        <f t="shared" ca="1" si="81"/>
        <v>2</v>
      </c>
      <c r="I338">
        <f t="shared" ca="1" si="82"/>
        <v>1</v>
      </c>
      <c r="J338">
        <f t="shared" ca="1" si="91"/>
        <v>0</v>
      </c>
      <c r="K338">
        <f ca="1">IF(OR($C338="S",$C338=0),0,MATCH(OFFSET($D338,0,$C338)+IF($C338&lt;&gt;1,1,COUNTIF(QCI!$A$13:$A$15,ORÇAMENTO!E338)),OFFSET($D338,1,$C338,ROW($C$508)-ROW($C338)),0))</f>
        <v>0</v>
      </c>
      <c r="L338" s="114" t="str">
        <f t="shared" ca="1" si="83"/>
        <v>F</v>
      </c>
      <c r="M338" s="115" t="s">
        <v>705</v>
      </c>
      <c r="N338" s="116" t="str">
        <f t="shared" ca="1" si="84"/>
        <v>Serviço</v>
      </c>
      <c r="O338" s="117" t="str">
        <f t="shared" ca="1" si="85"/>
        <v>1.7.5.2.1.</v>
      </c>
      <c r="P338" s="118" t="s">
        <v>1281</v>
      </c>
      <c r="Q338" s="119" t="s">
        <v>1108</v>
      </c>
      <c r="R338" s="120" t="str">
        <f ca="1">IF($C338="S",REFERENCIA.Descricao,"(digite a descrição aqui)")</f>
        <v>ASSENTAMENTO DE CONEXÕES EM FERRO FUNDIDO, JUNTA ELÁSTICA, DN = 600 MM - BASEADO EM ORSE (5291)</v>
      </c>
      <c r="S338" s="121" t="str">
        <f ca="1">REFERENCIA.Unidade</f>
        <v>UN</v>
      </c>
      <c r="T338" s="122">
        <f ca="1">OFFSET(CÁLCULO!H$15,ROW($T338)-ROW(T$15),0)</f>
        <v>5</v>
      </c>
      <c r="U338" s="123">
        <f t="shared" ca="1" si="90"/>
        <v>45.48</v>
      </c>
      <c r="V338" s="124" t="s">
        <v>663</v>
      </c>
      <c r="W338" s="122">
        <f ca="1">IF($C338="S",ROUND(IF(TIPOORCAMENTO="Proposto",ORÇAMENTO.CustoUnitario*(1+$AH338),ORÇAMENTO.PrecoUnitarioLicitado),15-13*$AF$10),0)</f>
        <v>56.17</v>
      </c>
      <c r="X338" s="125" cm="1">
        <f t="array" aca="1" ref="X338" ca="1">IF($C338="S",IF(OR(Import.TipoArredondamento&lt;&gt;"TransfereGOV",ACOMPANHAMENTO="BM"),VTOTAL1,SUM(OFFSET(CÁLCULO!$AI$15,ROW($X338)-ROW($X$15),1):OFFSET(CÁLCULO!$BB$15,ROW($X338)-ROW($X$15),-1))),IF($C338=0,0,ROUND(SomaAgrup,15-13*$AF$11)))</f>
        <v>280.85000000000002</v>
      </c>
      <c r="Y338" s="126" t="s">
        <v>751</v>
      </c>
      <c r="Z338" t="str">
        <f t="shared" ca="1" si="86"/>
        <v>RA</v>
      </c>
      <c r="AA338" s="127">
        <f ca="1">IF($C338="S",IF($Z338="CP",$X338,IF($Z338="RA",(($X338)*QCI!$AA$3),0)),SomaAgrup)</f>
        <v>0</v>
      </c>
      <c r="AB338" s="128">
        <f t="shared" ca="1" si="87"/>
        <v>0</v>
      </c>
      <c r="AC338" s="565" t="str" cm="1">
        <f t="array" aca="1" ref="AC338" ca="1">IF($N338=""," ",
IF(AND($C338&lt;&gt;"S",OR($R338="",$R338="(digite a descrição aqui)")),"DESCRIÇÃO",
IF(AND($C338="S",OR($Q338&lt;&gt;"",$T338&gt;0,$U338&gt;0),$P338=""),"FONTE",
IF(AND($C338="S",$P338&lt;&gt;"",OR($T338&gt;0,$U338&gt;0),$Q338=""),"CÓDIGO",
IF(AND($C338="S",$P338&lt;&gt;"",$Q338&lt;&gt;"",$R338="(Código não identificado nas referências)"),"CÓDIGO N/ID",
IF(AND($C338="S",OR($R338="",$R338="(digite a descrição aqui)"),OR($Q338&lt;&gt;"",$T338&gt;0,$U338&gt;0)),"DESCRIÇÃO",
IF(AND($C338="S",$P338&lt;&gt;"",$Q338&lt;&gt;"",$S338=""),"UNIDADE",
IF(AND($C338="S",$P338&lt;&gt;"",$Q338&lt;&gt;"",$U338=0),"SEM CUSTO",
IF(AND(_xlfn.SINGLE(TIPOORCAMENTO)="Licitado",$AL338=0,$AN338&gt;0),"SEM PREÇO",
IF(AND($C338="S",$P338&lt;&gt;"",$Q338&lt;&gt;"",$U338&gt;0,AND($V338&lt;&gt;"BDI 1",$V338&lt;&gt;"BDI 2",$V338&lt;&gt;"BDI 3")),IF(ISNUMBER($V338),"JUSTIFICAR BDI","BDI"),
IF(OR(AND(import.recurso="OGU",TIPOORCAMENTO="Proposto",LEFT($O$8,5)&lt;&gt;"(N/D:",$AG338&lt;&gt;"",ORÇAMENTO.CustoUnitario&gt;$AG338),AND(TIPOORCAMENTO="LICITADO",ORÇAMENTO.PrecoUnitarioLicitado&gt;$AN338)),"ACIMA REF.",
IF(AND($C338="S",$P338&lt;&gt;"",$Q338&lt;&gt;"",$T338=0,$U338&gt;0),"QUANT.",
IF(AND(Import.TipoArredondamento="TransfereGOV",$L338="F",$C338="S",LEN($Q338)&gt;13),"Código &gt;13",
IF(AND(Import.TipoArredondamento="TransfereGOV",$L338="F",$C338&lt;&gt;"S",LEN($R338)&gt;100),"Descrição &gt;100",
IF(AND(Import.TipoArredondamento="TransfereGOV",$L338="F",$C338="S",LEN($R338)&gt;500),"Descrição &gt;500",
IF(AND(Import.TipoArredondamento="TransfereGOV",$L338="F",$C338="S",LEFT(TRIM(UPPER($P338)),6)&lt;&gt;"SINAPI",ISNA(VLOOKUP(TRIM(UPPER($S338)),ListaTgov.Unidades,1,FALSE))),"Unid. Não Disp",
" "))))))))))))))))</f>
        <v xml:space="preserve"> </v>
      </c>
      <c r="AD338" t="str">
        <f ca="1">IF(C338&lt;=CRONO.NivelExibicao,MAX($AD$15:OFFSET(AD338,-1,0))+IF($C338&lt;&gt;1,1,MAX(1,COUNTIF(QCI!$A$13:$A$15,OFFSET($E338,-1,0)))),"")</f>
        <v/>
      </c>
      <c r="AE338" s="7" t="str">
        <f ca="1">IF(AND($C338="S",ORÇAMENTO.CodBarra&lt;&gt;""),IF(ORÇAMENTO.Fonte="",ORÇAMENTO.CodBarra,CONCATENATE(ORÇAMENTO.Fonte," ",ORÇAMENTO.CodBarra)))</f>
        <v>COMPOSIÇÃO CPU-022</v>
      </c>
      <c r="AF338" s="12">
        <f ca="1">IF(ISERROR(INDIRECT(ORÇAMENTO.BancoRef)),"(abra o arquivo 'Referência "&amp;Excel_BuiltIn_Database&amp;".xlsm)",IF(OR($C338&lt;&gt;"S",ORÇAMENTO.CodBarra=""),"(Sem Código)",IF(ISERROR(MATCH($AE338,INDIRECT(ORÇAMENTO.BancoRef),0)),"(Código não identificado nas referências)",MATCH($AE338,INDIRECT(ORÇAMENTO.BancoRef),0))))</f>
        <v>24</v>
      </c>
      <c r="AG338" s="428">
        <f ca="1">ROUND(IF(DESONERACAO="sim",REFERENCIA.Desonerado,REFERENCIA.NaoDesonerado),2)</f>
        <v>45.48</v>
      </c>
      <c r="AH338" s="429">
        <f t="shared" ca="1" si="88"/>
        <v>0.23499999999999999</v>
      </c>
      <c r="AJ338" s="431">
        <f>AJ329+AJ330+AJ332</f>
        <v>5</v>
      </c>
      <c r="AL338" s="439"/>
      <c r="AM338" s="336">
        <f t="shared" ca="1" si="92"/>
        <v>280.85000000000002</v>
      </c>
      <c r="AN338" s="470">
        <f t="shared" ca="1" si="89"/>
        <v>56.17</v>
      </c>
    </row>
    <row r="339" spans="1:40" ht="51" x14ac:dyDescent="0.2">
      <c r="A339" t="str">
        <f t="shared" ref="A339:A401" si="93">CHOOSE(1+LOG(1+2*(ORÇAMENTO.Nivel="Meta")+4*(ORÇAMENTO.Nivel="Nível 2")+8*(ORÇAMENTO.Nivel="Nível 3")+16*(ORÇAMENTO.Nivel="Nível 4")+32*(ORÇAMENTO.Nivel="Serviço"),2),0,1,2,3,4,"S")</f>
        <v>S</v>
      </c>
      <c r="B339">
        <f t="shared" ref="B339:B401" ca="1" si="94">IF(OR(C339="s",C339=0),OFFSET(B339,-1,0),C339)</f>
        <v>4</v>
      </c>
      <c r="C339" t="str">
        <f t="shared" ref="C339:C401" ca="1" si="95">IF(OFFSET(C339,-1,0)="L",1,IF(OFFSET(C339,-1,0)=1,2,IF(OR(A339="s",A339=0),"S",IF(AND(OFFSET(C339,-1,0)=2,A339=4),3,IF(AND(OR(OFFSET(C339,-1,0)="s",OFFSET(C339,-1,0)=0),A339&lt;&gt;"s",A339&gt;OFFSET(B339,-1,0)),OFFSET(B339,-1,0),A339)))))</f>
        <v>S</v>
      </c>
      <c r="D339">
        <f t="shared" ref="D339:D401" ca="1" si="96">IF(OR(C339="S",C339=0),0,IF(ISERROR(K339),J339,SMALL(J339:K339,1)))</f>
        <v>0</v>
      </c>
      <c r="E339">
        <f ca="1">IF($C339=1,OFFSET(E339,-1,0)+MAX(1,COUNTIF(QCI!$A$13:$A$15,OFFSET(ORÇAMENTO!E339,-1,0))),OFFSET(E339,-1,0))</f>
        <v>1</v>
      </c>
      <c r="F339">
        <f t="shared" ref="F339:F401" ca="1" si="97">IF($C339=1,0,IF($C339=2,OFFSET(F339,-1,0)+1,OFFSET(F339,-1,0)))</f>
        <v>7</v>
      </c>
      <c r="G339">
        <f t="shared" ref="G339:G401" ca="1" si="98">IF(AND($C339&lt;=2,$C339&lt;&gt;0),0,IF($C339=3,OFFSET(G339,-1,0)+1,OFFSET(G339,-1,0)))</f>
        <v>5</v>
      </c>
      <c r="H339">
        <f t="shared" ref="H339:H401" ca="1" si="99">IF(AND($C339&lt;=3,$C339&lt;&gt;0),0,IF($C339=4,OFFSET(H339,-1,0)+1,OFFSET(H339,-1,0)))</f>
        <v>2</v>
      </c>
      <c r="I339">
        <f t="shared" ref="I339:I401" ca="1" si="100">IF(AND($C339&lt;=4,$C339&lt;&gt;0),0,IF(AND($C339="S",$X339&gt;0),OFFSET(I339,-1,0)+1,OFFSET(I339,-1,0)))</f>
        <v>2</v>
      </c>
      <c r="J339">
        <f t="shared" ca="1" si="91"/>
        <v>0</v>
      </c>
      <c r="K339">
        <f ca="1">IF(OR($C339="S",$C339=0),0,MATCH(OFFSET($D339,0,$C339)+IF($C339&lt;&gt;1,1,COUNTIF(QCI!$A$13:$A$15,ORÇAMENTO!E339)),OFFSET($D339,1,$C339,ROW($C$508)-ROW($C339)),0))</f>
        <v>0</v>
      </c>
      <c r="L339" s="114" t="str">
        <f t="shared" ref="L339:L401" ca="1" si="101">IF(OR($X339&gt;0,$C339=1,$C339=2,$C339=3,$C339=4),"F","")</f>
        <v>F</v>
      </c>
      <c r="M339" s="115" t="s">
        <v>705</v>
      </c>
      <c r="N339" s="116" t="str">
        <f t="shared" ref="N339:N401" ca="1" si="102">CHOOSE(1+LOG(1+2*(C339=1)+4*(C339=2)+8*(C339=3)+16*(C339=4)+32*(C339="S"),2),"","Meta","Nível 2","Nível 3","Nível 4","Serviço")</f>
        <v>Serviço</v>
      </c>
      <c r="O339" s="117" t="str">
        <f t="shared" ref="O339:O401" ca="1" si="103">IF(OR($C339=0,$L339=""),"-",CONCATENATE(E339&amp;".",IF(AND($A$5&gt;=2,$C339&gt;=2),F339&amp;".",""),IF(AND($A$5&gt;=3,$C339&gt;=3),G339&amp;".",""),IF(AND($A$5&gt;=4,$C339&gt;=4),H339&amp;".",""),IF($C339="S",I339&amp;".","")))</f>
        <v>1.7.5.2.2.</v>
      </c>
      <c r="P339" s="118" t="s">
        <v>750</v>
      </c>
      <c r="Q339" s="119" t="s">
        <v>1109</v>
      </c>
      <c r="R339" s="120" t="str">
        <f ca="1">IF($C339="S",REFERENCIA.Descricao,"(digite a descrição aqui)")</f>
        <v>ASSENTAMENTO DE TUBO DE FERRO FUNDIDO PARA REDE DE ÁGUA, DN 600 MM, JUNTA ELÁSTICA, INSTALADO EM LOCAL COM NÍVEL BAIXO DE INTERFERÊNCIAS (NÃO INCLUI FORNECIMENTO). AF_05/2024</v>
      </c>
      <c r="S339" s="121" t="str">
        <f ca="1">REFERENCIA.Unidade</f>
        <v>M</v>
      </c>
      <c r="T339" s="122">
        <f ca="1">OFFSET(CÁLCULO!H$15,ROW($T339)-ROW(T$15),0)</f>
        <v>16.8</v>
      </c>
      <c r="U339" s="123">
        <f t="shared" ca="1" si="90"/>
        <v>22.86</v>
      </c>
      <c r="V339" s="124" t="s">
        <v>663</v>
      </c>
      <c r="W339" s="122">
        <f ca="1">IF($C339="S",ROUND(IF(TIPOORCAMENTO="Proposto",ORÇAMENTO.CustoUnitario*(1+$AH339),ORÇAMENTO.PrecoUnitarioLicitado),15-13*$AF$10),0)</f>
        <v>28.23</v>
      </c>
      <c r="X339" s="125" cm="1">
        <f t="array" aca="1" ref="X339" ca="1">IF($C339="S",IF(OR(Import.TipoArredondamento&lt;&gt;"TransfereGOV",ACOMPANHAMENTO="BM"),VTOTAL1,SUM(OFFSET(CÁLCULO!$AI$15,ROW($X339)-ROW($X$15),1):OFFSET(CÁLCULO!$BB$15,ROW($X339)-ROW($X$15),-1))),IF($C339=0,0,ROUND(SomaAgrup,15-13*$AF$11)))</f>
        <v>474.26</v>
      </c>
      <c r="Y339" s="126" t="s">
        <v>751</v>
      </c>
      <c r="Z339" t="str">
        <f t="shared" ref="Z339:Z401" ca="1" si="104">IF(AND($C339="S",$X339&gt;0),IF(ISBLANK($Y339),"RA",LEFT($Y339,2)),"")</f>
        <v>RA</v>
      </c>
      <c r="AA339" s="127">
        <f ca="1">IF($C339="S",IF($Z339="CP",$X339,IF($Z339="RA",(($X339)*QCI!$AA$3),0)),SomaAgrup)</f>
        <v>0</v>
      </c>
      <c r="AB339" s="128">
        <f t="shared" ref="AB339:AB401" ca="1" si="105">IF($C339="S",IF($Z339="OU",ROUND($X339,2),0),SomaAgrup)</f>
        <v>0</v>
      </c>
      <c r="AC339" s="565" t="str" cm="1">
        <f t="array" aca="1" ref="AC339" ca="1">IF($N339=""," ",
IF(AND($C339&lt;&gt;"S",OR($R339="",$R339="(digite a descrição aqui)")),"DESCRIÇÃO",
IF(AND($C339="S",OR($Q339&lt;&gt;"",$T339&gt;0,$U339&gt;0),$P339=""),"FONTE",
IF(AND($C339="S",$P339&lt;&gt;"",OR($T339&gt;0,$U339&gt;0),$Q339=""),"CÓDIGO",
IF(AND($C339="S",$P339&lt;&gt;"",$Q339&lt;&gt;"",$R339="(Código não identificado nas referências)"),"CÓDIGO N/ID",
IF(AND($C339="S",OR($R339="",$R339="(digite a descrição aqui)"),OR($Q339&lt;&gt;"",$T339&gt;0,$U339&gt;0)),"DESCRIÇÃO",
IF(AND($C339="S",$P339&lt;&gt;"",$Q339&lt;&gt;"",$S339=""),"UNIDADE",
IF(AND($C339="S",$P339&lt;&gt;"",$Q339&lt;&gt;"",$U339=0),"SEM CUSTO",
IF(AND(_xlfn.SINGLE(TIPOORCAMENTO)="Licitado",$AL339=0,$AN339&gt;0),"SEM PREÇO",
IF(AND($C339="S",$P339&lt;&gt;"",$Q339&lt;&gt;"",$U339&gt;0,AND($V339&lt;&gt;"BDI 1",$V339&lt;&gt;"BDI 2",$V339&lt;&gt;"BDI 3")),IF(ISNUMBER($V339),"JUSTIFICAR BDI","BDI"),
IF(OR(AND(import.recurso="OGU",TIPOORCAMENTO="Proposto",LEFT($O$8,5)&lt;&gt;"(N/D:",$AG339&lt;&gt;"",ORÇAMENTO.CustoUnitario&gt;$AG339),AND(TIPOORCAMENTO="LICITADO",ORÇAMENTO.PrecoUnitarioLicitado&gt;$AN339)),"ACIMA REF.",
IF(AND($C339="S",$P339&lt;&gt;"",$Q339&lt;&gt;"",$T339=0,$U339&gt;0),"QUANT.",
IF(AND(Import.TipoArredondamento="TransfereGOV",$L339="F",$C339="S",LEN($Q339)&gt;13),"Código &gt;13",
IF(AND(Import.TipoArredondamento="TransfereGOV",$L339="F",$C339&lt;&gt;"S",LEN($R339)&gt;100),"Descrição &gt;100",
IF(AND(Import.TipoArredondamento="TransfereGOV",$L339="F",$C339="S",LEN($R339)&gt;500),"Descrição &gt;500",
IF(AND(Import.TipoArredondamento="TransfereGOV",$L339="F",$C339="S",LEFT(TRIM(UPPER($P339)),6)&lt;&gt;"SINAPI",ISNA(VLOOKUP(TRIM(UPPER($S339)),ListaTgov.Unidades,1,FALSE))),"Unid. Não Disp",
" "))))))))))))))))</f>
        <v xml:space="preserve"> </v>
      </c>
      <c r="AD339" t="str">
        <f ca="1">IF(C339&lt;=CRONO.NivelExibicao,MAX($AD$15:OFFSET(AD339,-1,0))+IF($C339&lt;&gt;1,1,MAX(1,COUNTIF(QCI!$A$13:$A$15,OFFSET($E339,-1,0)))),"")</f>
        <v/>
      </c>
      <c r="AE339" s="7" t="str">
        <f ca="1">IF(AND($C339="S",ORÇAMENTO.CodBarra&lt;&gt;""),IF(ORÇAMENTO.Fonte="",ORÇAMENTO.CodBarra,CONCATENATE(ORÇAMENTO.Fonte," ",ORÇAMENTO.CodBarra)))</f>
        <v>SINAPI 97167</v>
      </c>
      <c r="AF339" s="12">
        <f ca="1">IF(ISERROR(INDIRECT(ORÇAMENTO.BancoRef)),"(abra o arquivo 'Referência "&amp;Excel_BuiltIn_Database&amp;".xlsm)",IF(OR($C339&lt;&gt;"S",ORÇAMENTO.CodBarra=""),"(Sem Código)",IF(ISERROR(MATCH($AE339,INDIRECT(ORÇAMENTO.BancoRef),0)),"(Código não identificado nas referências)",MATCH($AE339,INDIRECT(ORÇAMENTO.BancoRef),0))))</f>
        <v>6618</v>
      </c>
      <c r="AG339" s="428">
        <f ca="1">ROUND(IF(DESONERACAO="sim",REFERENCIA.Desonerado,REFERENCIA.NaoDesonerado),2)</f>
        <v>22.86</v>
      </c>
      <c r="AH339" s="429">
        <f t="shared" ref="AH339:AH401" ca="1" si="106">ROUND(IF(ISNUMBER(ORÇAMENTO.OpcaoBDI),ORÇAMENTO.OpcaoBDI,IF(LEFT(ORÇAMENTO.OpcaoBDI,3)="BDI",HLOOKUP(ORÇAMENTO.OpcaoBDI,$F$4:$H$5,2,FALSE),0)),15-11*$AF$9)</f>
        <v>0.23499999999999999</v>
      </c>
      <c r="AJ339" s="431">
        <f>AJ331*1.2+AJ333*0.4+AJ334*6+AJ336*2</f>
        <v>16.8</v>
      </c>
      <c r="AL339" s="439"/>
      <c r="AM339" s="336">
        <f t="shared" ca="1" si="92"/>
        <v>474.26</v>
      </c>
      <c r="AN339" s="470">
        <f t="shared" ref="AN339:AN401" ca="1" si="107">ROUND(ORÇAMENTO.CustoUnitario*(1+$AH339),2)</f>
        <v>28.23</v>
      </c>
    </row>
    <row r="340" spans="1:40" x14ac:dyDescent="0.2">
      <c r="A340">
        <f t="shared" si="93"/>
        <v>3</v>
      </c>
      <c r="B340">
        <f t="shared" ca="1" si="94"/>
        <v>3</v>
      </c>
      <c r="C340">
        <f t="shared" ca="1" si="95"/>
        <v>3</v>
      </c>
      <c r="D340">
        <f t="shared" ca="1" si="96"/>
        <v>20</v>
      </c>
      <c r="E340">
        <f ca="1">IF($C340=1,OFFSET(E340,-1,0)+MAX(1,COUNTIF(QCI!$A$13:$A$15,OFFSET(ORÇAMENTO!E340,-1,0))),OFFSET(E340,-1,0))</f>
        <v>1</v>
      </c>
      <c r="F340">
        <f t="shared" ca="1" si="97"/>
        <v>7</v>
      </c>
      <c r="G340">
        <f t="shared" ca="1" si="98"/>
        <v>6</v>
      </c>
      <c r="H340">
        <f t="shared" ca="1" si="99"/>
        <v>0</v>
      </c>
      <c r="I340">
        <f t="shared" ca="1" si="100"/>
        <v>0</v>
      </c>
      <c r="J340">
        <f t="shared" ca="1" si="91"/>
        <v>20</v>
      </c>
      <c r="K340">
        <f ca="1">IF(OR($C340="S",$C340=0),0,MATCH(OFFSET($D340,0,$C340)+IF($C340&lt;&gt;1,1,COUNTIF(QCI!$A$13:$A$15,ORÇAMENTO!E340)),OFFSET($D340,1,$C340,ROW($C$508)-ROW($C340)),0))</f>
        <v>160</v>
      </c>
      <c r="L340" s="114" t="str">
        <f t="shared" ca="1" si="101"/>
        <v>F</v>
      </c>
      <c r="M340" s="115" t="s">
        <v>703</v>
      </c>
      <c r="N340" s="116" t="str">
        <f t="shared" ca="1" si="102"/>
        <v>Nível 3</v>
      </c>
      <c r="O340" s="117" t="str">
        <f t="shared" ca="1" si="103"/>
        <v>1.7.6.</v>
      </c>
      <c r="P340" s="118" t="s">
        <v>750</v>
      </c>
      <c r="Q340" s="119"/>
      <c r="R340" s="120" t="s">
        <v>1244</v>
      </c>
      <c r="S340" s="121" t="s">
        <v>688</v>
      </c>
      <c r="T340" s="122">
        <f ca="1">OFFSET(CÁLCULO!H$15,ROW($T340)-ROW(T$15),0)</f>
        <v>0</v>
      </c>
      <c r="U340" s="123">
        <f t="shared" ca="1" si="90"/>
        <v>0</v>
      </c>
      <c r="V340" s="124" t="s">
        <v>663</v>
      </c>
      <c r="W340" s="122">
        <f ca="1">IF($C340="S",ROUND(IF(TIPOORCAMENTO="Proposto",ORÇAMENTO.CustoUnitario*(1+$AH340),ORÇAMENTO.PrecoUnitarioLicitado),15-13*$AF$10),0)</f>
        <v>0</v>
      </c>
      <c r="X340" s="125" cm="1">
        <f t="array" aca="1" ref="X340" ca="1">IF($C340="S",IF(OR(Import.TipoArredondamento&lt;&gt;"TransfereGOV",ACOMPANHAMENTO="BM"),VTOTAL1,SUM(OFFSET(CÁLCULO!$AI$15,ROW($X340)-ROW($X$15),1):OFFSET(CÁLCULO!$BB$15,ROW($X340)-ROW($X$15),-1))),IF($C340=0,0,ROUND(SomaAgrup,15-13*$AF$11)))</f>
        <v>282836.40999999997</v>
      </c>
      <c r="Y340" s="126" t="s">
        <v>751</v>
      </c>
      <c r="Z340" t="str">
        <f t="shared" ca="1" si="104"/>
        <v/>
      </c>
      <c r="AA340" s="127">
        <f ca="1">IF($C340="S",IF($Z340="CP",$X340,IF($Z340="RA",(($X340)*QCI!$AA$3),0)),SomaAgrup)</f>
        <v>0</v>
      </c>
      <c r="AB340" s="128">
        <f t="shared" ca="1" si="105"/>
        <v>0</v>
      </c>
      <c r="AC340" s="565" t="str" cm="1">
        <f t="array" aca="1" ref="AC340" ca="1">IF($N340=""," ",
IF(AND($C340&lt;&gt;"S",OR($R340="",$R340="(digite a descrição aqui)")),"DESCRIÇÃO",
IF(AND($C340="S",OR($Q340&lt;&gt;"",$T340&gt;0,$U340&gt;0),$P340=""),"FONTE",
IF(AND($C340="S",$P340&lt;&gt;"",OR($T340&gt;0,$U340&gt;0),$Q340=""),"CÓDIGO",
IF(AND($C340="S",$P340&lt;&gt;"",$Q340&lt;&gt;"",$R340="(Código não identificado nas referências)"),"CÓDIGO N/ID",
IF(AND($C340="S",OR($R340="",$R340="(digite a descrição aqui)"),OR($Q340&lt;&gt;"",$T340&gt;0,$U340&gt;0)),"DESCRIÇÃO",
IF(AND($C340="S",$P340&lt;&gt;"",$Q340&lt;&gt;"",$S340=""),"UNIDADE",
IF(AND($C340="S",$P340&lt;&gt;"",$Q340&lt;&gt;"",$U340=0),"SEM CUSTO",
IF(AND(_xlfn.SINGLE(TIPOORCAMENTO)="Licitado",$AL340=0,$AN340&gt;0),"SEM PREÇO",
IF(AND($C340="S",$P340&lt;&gt;"",$Q340&lt;&gt;"",$U340&gt;0,AND($V340&lt;&gt;"BDI 1",$V340&lt;&gt;"BDI 2",$V340&lt;&gt;"BDI 3")),IF(ISNUMBER($V340),"JUSTIFICAR BDI","BDI"),
IF(OR(AND(import.recurso="OGU",TIPOORCAMENTO="Proposto",LEFT($O$8,5)&lt;&gt;"(N/D:",$AG340&lt;&gt;"",ORÇAMENTO.CustoUnitario&gt;$AG340),AND(TIPOORCAMENTO="LICITADO",ORÇAMENTO.PrecoUnitarioLicitado&gt;$AN340)),"ACIMA REF.",
IF(AND($C340="S",$P340&lt;&gt;"",$Q340&lt;&gt;"",$T340=0,$U340&gt;0),"QUANT.",
IF(AND(Import.TipoArredondamento="TransfereGOV",$L340="F",$C340="S",LEN($Q340)&gt;13),"Código &gt;13",
IF(AND(Import.TipoArredondamento="TransfereGOV",$L340="F",$C340&lt;&gt;"S",LEN($R340)&gt;100),"Descrição &gt;100",
IF(AND(Import.TipoArredondamento="TransfereGOV",$L340="F",$C340="S",LEN($R340)&gt;500),"Descrição &gt;500",
IF(AND(Import.TipoArredondamento="TransfereGOV",$L340="F",$C340="S",LEFT(TRIM(UPPER($P340)),6)&lt;&gt;"SINAPI",ISNA(VLOOKUP(TRIM(UPPER($S340)),ListaTgov.Unidades,1,FALSE))),"Unid. Não Disp",
" "))))))))))))))))</f>
        <v xml:space="preserve"> </v>
      </c>
      <c r="AD340" t="str">
        <f ca="1">IF(C340&lt;=CRONO.NivelExibicao,MAX($AD$15:OFFSET(AD340,-1,0))+IF($C340&lt;&gt;1,1,MAX(1,COUNTIF(QCI!$A$13:$A$15,OFFSET($E340,-1,0)))),"")</f>
        <v/>
      </c>
      <c r="AE340" s="7" t="b">
        <f ca="1">IF(AND($C340="S",ORÇAMENTO.CodBarra&lt;&gt;""),IF(ORÇAMENTO.Fonte="",ORÇAMENTO.CodBarra,CONCATENATE(ORÇAMENTO.Fonte," ",ORÇAMENTO.CodBarra)))</f>
        <v>0</v>
      </c>
      <c r="AF340" s="12" t="str">
        <f ca="1">IF(ISERROR(INDIRECT(ORÇAMENTO.BancoRef)),"(abra o arquivo 'Referência "&amp;Excel_BuiltIn_Database&amp;".xlsm)",IF(OR($C340&lt;&gt;"S",ORÇAMENTO.CodBarra=""),"(Sem Código)",IF(ISERROR(MATCH($AE340,INDIRECT(ORÇAMENTO.BancoRef),0)),"(Código não identificado nas referências)",MATCH($AE340,INDIRECT(ORÇAMENTO.BancoRef),0))))</f>
        <v>(Sem Código)</v>
      </c>
      <c r="AG340" s="428">
        <f ca="1">ROUND(IF(DESONERACAO="sim",REFERENCIA.Desonerado,REFERENCIA.NaoDesonerado),2)</f>
        <v>0</v>
      </c>
      <c r="AH340" s="429">
        <f t="shared" ca="1" si="106"/>
        <v>0.23499999999999999</v>
      </c>
      <c r="AJ340" s="431"/>
      <c r="AL340" s="439"/>
      <c r="AM340" s="336">
        <f t="shared" ca="1" si="92"/>
        <v>282836.40999999997</v>
      </c>
      <c r="AN340" s="470">
        <f t="shared" ca="1" si="107"/>
        <v>0</v>
      </c>
    </row>
    <row r="341" spans="1:40" x14ac:dyDescent="0.2">
      <c r="A341">
        <f t="shared" si="93"/>
        <v>4</v>
      </c>
      <c r="B341">
        <f t="shared" ca="1" si="94"/>
        <v>4</v>
      </c>
      <c r="C341">
        <f t="shared" ca="1" si="95"/>
        <v>4</v>
      </c>
      <c r="D341">
        <f t="shared" ca="1" si="96"/>
        <v>13</v>
      </c>
      <c r="E341">
        <f ca="1">IF($C341=1,OFFSET(E341,-1,0)+MAX(1,COUNTIF(QCI!$A$13:$A$15,OFFSET(ORÇAMENTO!E341,-1,0))),OFFSET(E341,-1,0))</f>
        <v>1</v>
      </c>
      <c r="F341">
        <f t="shared" ca="1" si="97"/>
        <v>7</v>
      </c>
      <c r="G341">
        <f t="shared" ca="1" si="98"/>
        <v>6</v>
      </c>
      <c r="H341">
        <f t="shared" ca="1" si="99"/>
        <v>1</v>
      </c>
      <c r="I341">
        <f t="shared" ca="1" si="100"/>
        <v>0</v>
      </c>
      <c r="J341">
        <f t="shared" ca="1" si="91"/>
        <v>19</v>
      </c>
      <c r="K341">
        <f ca="1">IF(OR($C341="S",$C341=0),0,MATCH(OFFSET($D341,0,$C341)+IF($C341&lt;&gt;1,1,COUNTIF(QCI!$A$13:$A$15,ORÇAMENTO!E341)),OFFSET($D341,1,$C341,ROW($C$508)-ROW($C341)),0))</f>
        <v>13</v>
      </c>
      <c r="L341" s="114" t="str">
        <f t="shared" ca="1" si="101"/>
        <v>F</v>
      </c>
      <c r="M341" s="115" t="s">
        <v>704</v>
      </c>
      <c r="N341" s="116" t="str">
        <f t="shared" ca="1" si="102"/>
        <v>Nível 4</v>
      </c>
      <c r="O341" s="117" t="str">
        <f t="shared" ca="1" si="103"/>
        <v>1.7.6.1.</v>
      </c>
      <c r="P341" s="118" t="s">
        <v>750</v>
      </c>
      <c r="Q341" s="119"/>
      <c r="R341" s="120" t="s">
        <v>1239</v>
      </c>
      <c r="S341" s="121" t="s">
        <v>688</v>
      </c>
      <c r="T341" s="122">
        <f ca="1">OFFSET(CÁLCULO!H$15,ROW($T341)-ROW(T$15),0)</f>
        <v>0</v>
      </c>
      <c r="U341" s="123"/>
      <c r="V341" s="124" t="s">
        <v>663</v>
      </c>
      <c r="W341" s="122">
        <f ca="1">IF($C341="S",ROUND(IF(TIPOORCAMENTO="Proposto",ORÇAMENTO.CustoUnitario*(1+$AH341),ORÇAMENTO.PrecoUnitarioLicitado),15-13*$AF$10),0)</f>
        <v>0</v>
      </c>
      <c r="X341" s="125" cm="1">
        <f t="array" aca="1" ref="X341" ca="1">IF($C341="S",IF(OR(Import.TipoArredondamento&lt;&gt;"TransfereGOV",ACOMPANHAMENTO="BM"),VTOTAL1,SUM(OFFSET(CÁLCULO!$AI$15,ROW($X341)-ROW($X$15),1):OFFSET(CÁLCULO!$BB$15,ROW($X341)-ROW($X$15),-1))),IF($C341=0,0,ROUND(SomaAgrup,15-13*$AF$11)))</f>
        <v>231464.13</v>
      </c>
      <c r="Y341" s="126" t="s">
        <v>751</v>
      </c>
      <c r="Z341" t="str">
        <f t="shared" ca="1" si="104"/>
        <v/>
      </c>
      <c r="AA341" s="127">
        <f ca="1">IF($C341="S",IF($Z341="CP",$X341,IF($Z341="RA",(($X341)*QCI!$AA$3),0)),SomaAgrup)</f>
        <v>0</v>
      </c>
      <c r="AB341" s="128">
        <f t="shared" ca="1" si="105"/>
        <v>0</v>
      </c>
      <c r="AC341" s="565" t="str" cm="1">
        <f t="array" aca="1" ref="AC341" ca="1">IF($N341=""," ",
IF(AND($C341&lt;&gt;"S",OR($R341="",$R341="(digite a descrição aqui)")),"DESCRIÇÃO",
IF(AND($C341="S",OR($Q341&lt;&gt;"",$T341&gt;0,$U341&gt;0),$P341=""),"FONTE",
IF(AND($C341="S",$P341&lt;&gt;"",OR($T341&gt;0,$U341&gt;0),$Q341=""),"CÓDIGO",
IF(AND($C341="S",$P341&lt;&gt;"",$Q341&lt;&gt;"",$R341="(Código não identificado nas referências)"),"CÓDIGO N/ID",
IF(AND($C341="S",OR($R341="",$R341="(digite a descrição aqui)"),OR($Q341&lt;&gt;"",$T341&gt;0,$U341&gt;0)),"DESCRIÇÃO",
IF(AND($C341="S",$P341&lt;&gt;"",$Q341&lt;&gt;"",$S341=""),"UNIDADE",
IF(AND($C341="S",$P341&lt;&gt;"",$Q341&lt;&gt;"",$U341=0),"SEM CUSTO",
IF(AND(_xlfn.SINGLE(TIPOORCAMENTO)="Licitado",$AL341=0,$AN341&gt;0),"SEM PREÇO",
IF(AND($C341="S",$P341&lt;&gt;"",$Q341&lt;&gt;"",$U341&gt;0,AND($V341&lt;&gt;"BDI 1",$V341&lt;&gt;"BDI 2",$V341&lt;&gt;"BDI 3")),IF(ISNUMBER($V341),"JUSTIFICAR BDI","BDI"),
IF(OR(AND(import.recurso="OGU",TIPOORCAMENTO="Proposto",LEFT($O$8,5)&lt;&gt;"(N/D:",$AG341&lt;&gt;"",ORÇAMENTO.CustoUnitario&gt;$AG341),AND(TIPOORCAMENTO="LICITADO",ORÇAMENTO.PrecoUnitarioLicitado&gt;$AN341)),"ACIMA REF.",
IF(AND($C341="S",$P341&lt;&gt;"",$Q341&lt;&gt;"",$T341=0,$U341&gt;0),"QUANT.",
IF(AND(Import.TipoArredondamento="TransfereGOV",$L341="F",$C341="S",LEN($Q341)&gt;13),"Código &gt;13",
IF(AND(Import.TipoArredondamento="TransfereGOV",$L341="F",$C341&lt;&gt;"S",LEN($R341)&gt;100),"Descrição &gt;100",
IF(AND(Import.TipoArredondamento="TransfereGOV",$L341="F",$C341="S",LEN($R341)&gt;500),"Descrição &gt;500",
IF(AND(Import.TipoArredondamento="TransfereGOV",$L341="F",$C341="S",LEFT(TRIM(UPPER($P341)),6)&lt;&gt;"SINAPI",ISNA(VLOOKUP(TRIM(UPPER($S341)),ListaTgov.Unidades,1,FALSE))),"Unid. Não Disp",
" "))))))))))))))))</f>
        <v xml:space="preserve"> </v>
      </c>
      <c r="AD341" t="str">
        <f ca="1">IF(C341&lt;=CRONO.NivelExibicao,MAX($AD$15:OFFSET(AD341,-1,0))+IF($C341&lt;&gt;1,1,MAX(1,COUNTIF(QCI!$A$13:$A$15,OFFSET($E341,-1,0)))),"")</f>
        <v/>
      </c>
      <c r="AE341" s="7" t="b">
        <f ca="1">IF(AND($C341="S",ORÇAMENTO.CodBarra&lt;&gt;""),IF(ORÇAMENTO.Fonte="",ORÇAMENTO.CodBarra,CONCATENATE(ORÇAMENTO.Fonte," ",ORÇAMENTO.CodBarra)))</f>
        <v>0</v>
      </c>
      <c r="AF341" s="12" t="str">
        <f ca="1">IF(ISERROR(INDIRECT(ORÇAMENTO.BancoRef)),"(abra o arquivo 'Referência "&amp;Excel_BuiltIn_Database&amp;".xlsm)",IF(OR($C341&lt;&gt;"S",ORÇAMENTO.CodBarra=""),"(Sem Código)",IF(ISERROR(MATCH($AE341,INDIRECT(ORÇAMENTO.BancoRef),0)),"(Código não identificado nas referências)",MATCH($AE341,INDIRECT(ORÇAMENTO.BancoRef),0))))</f>
        <v>(Sem Código)</v>
      </c>
      <c r="AG341" s="428">
        <f ca="1">ROUND(IF(DESONERACAO="sim",REFERENCIA.Desonerado,REFERENCIA.NaoDesonerado),2)</f>
        <v>0</v>
      </c>
      <c r="AH341" s="429">
        <f t="shared" ca="1" si="106"/>
        <v>0.23499999999999999</v>
      </c>
      <c r="AJ341" s="431"/>
      <c r="AL341" s="439"/>
      <c r="AM341" s="336">
        <f t="shared" ca="1" si="92"/>
        <v>231464.13</v>
      </c>
      <c r="AN341" s="470">
        <f t="shared" ca="1" si="107"/>
        <v>0</v>
      </c>
    </row>
    <row r="342" spans="1:40" ht="25.5" x14ac:dyDescent="0.2">
      <c r="A342" t="str">
        <f t="shared" si="93"/>
        <v>S</v>
      </c>
      <c r="B342">
        <f t="shared" ca="1" si="94"/>
        <v>4</v>
      </c>
      <c r="C342" t="str">
        <f t="shared" ca="1" si="95"/>
        <v>S</v>
      </c>
      <c r="D342">
        <f t="shared" ca="1" si="96"/>
        <v>0</v>
      </c>
      <c r="E342">
        <f ca="1">IF($C342=1,OFFSET(E342,-1,0)+MAX(1,COUNTIF(QCI!$A$13:$A$15,OFFSET(ORÇAMENTO!E342,-1,0))),OFFSET(E342,-1,0))</f>
        <v>1</v>
      </c>
      <c r="F342">
        <f t="shared" ca="1" si="97"/>
        <v>7</v>
      </c>
      <c r="G342">
        <f t="shared" ca="1" si="98"/>
        <v>6</v>
      </c>
      <c r="H342">
        <f t="shared" ca="1" si="99"/>
        <v>1</v>
      </c>
      <c r="I342">
        <f t="shared" ca="1" si="100"/>
        <v>1</v>
      </c>
      <c r="J342">
        <f t="shared" ca="1" si="91"/>
        <v>0</v>
      </c>
      <c r="K342">
        <f ca="1">IF(OR($C342="S",$C342=0),0,MATCH(OFFSET($D342,0,$C342)+IF($C342&lt;&gt;1,1,COUNTIF(QCI!$A$13:$A$15,ORÇAMENTO!E342)),OFFSET($D342,1,$C342,ROW($C$508)-ROW($C342)),0))</f>
        <v>0</v>
      </c>
      <c r="L342" s="114" t="str">
        <f t="shared" ca="1" si="101"/>
        <v>F</v>
      </c>
      <c r="M342" s="115" t="s">
        <v>705</v>
      </c>
      <c r="N342" s="116" t="str">
        <f t="shared" ca="1" si="102"/>
        <v>Serviço</v>
      </c>
      <c r="O342" s="117" t="str">
        <f t="shared" ca="1" si="103"/>
        <v>1.7.6.1.1.</v>
      </c>
      <c r="P342" s="118" t="s">
        <v>1281</v>
      </c>
      <c r="Q342" s="119" t="s">
        <v>1110</v>
      </c>
      <c r="R342" s="120" t="str">
        <f ca="1">IF($C342="S",REFERENCIA.Descricao,"(digite a descrição aqui)")</f>
        <v>FORNECIMENTO E ASSENTAMENTO DE TUBO DE PVC DEFOFO, DN 150 MM, JUNTA ELÁSTICA INTEGRADA - BASEADO EM SINAPI (97134)</v>
      </c>
      <c r="S342" s="121" t="str">
        <f ca="1">REFERENCIA.Unidade</f>
        <v>M</v>
      </c>
      <c r="T342" s="122">
        <f ca="1">OFFSET(CÁLCULO!H$15,ROW($T342)-ROW(T$15),0)</f>
        <v>498.13</v>
      </c>
      <c r="U342" s="123">
        <f ca="1">AG342</f>
        <v>164.47</v>
      </c>
      <c r="V342" s="124" t="s">
        <v>663</v>
      </c>
      <c r="W342" s="122">
        <f ca="1">IF($C342="S",ROUND(IF(TIPOORCAMENTO="Proposto",ORÇAMENTO.CustoUnitario*(1+$AH342),ORÇAMENTO.PrecoUnitarioLicitado),15-13*$AF$10),0)</f>
        <v>203.12</v>
      </c>
      <c r="X342" s="125" cm="1">
        <f t="array" aca="1" ref="X342" ca="1">IF($C342="S",IF(OR(Import.TipoArredondamento&lt;&gt;"TransfereGOV",ACOMPANHAMENTO="BM"),VTOTAL1,SUM(OFFSET(CÁLCULO!$AI$15,ROW($X342)-ROW($X$15),1):OFFSET(CÁLCULO!$BB$15,ROW($X342)-ROW($X$15),-1))),IF($C342=0,0,ROUND(SomaAgrup,15-13*$AF$11)))</f>
        <v>101180.17</v>
      </c>
      <c r="Y342" s="126" t="s">
        <v>751</v>
      </c>
      <c r="Z342" t="str">
        <f t="shared" ca="1" si="104"/>
        <v>RA</v>
      </c>
      <c r="AA342" s="127">
        <f ca="1">IF($C342="S",IF($Z342="CP",$X342,IF($Z342="RA",(($X342)*QCI!$AA$3),0)),SomaAgrup)</f>
        <v>0</v>
      </c>
      <c r="AB342" s="128">
        <f t="shared" ca="1" si="105"/>
        <v>0</v>
      </c>
      <c r="AC342" s="565" t="str" cm="1">
        <f t="array" aca="1" ref="AC342" ca="1">IF($N342=""," ",
IF(AND($C342&lt;&gt;"S",OR($R342="",$R342="(digite a descrição aqui)")),"DESCRIÇÃO",
IF(AND($C342="S",OR($Q342&lt;&gt;"",$T342&gt;0,$U342&gt;0),$P342=""),"FONTE",
IF(AND($C342="S",$P342&lt;&gt;"",OR($T342&gt;0,$U342&gt;0),$Q342=""),"CÓDIGO",
IF(AND($C342="S",$P342&lt;&gt;"",$Q342&lt;&gt;"",$R342="(Código não identificado nas referências)"),"CÓDIGO N/ID",
IF(AND($C342="S",OR($R342="",$R342="(digite a descrição aqui)"),OR($Q342&lt;&gt;"",$T342&gt;0,$U342&gt;0)),"DESCRIÇÃO",
IF(AND($C342="S",$P342&lt;&gt;"",$Q342&lt;&gt;"",$S342=""),"UNIDADE",
IF(AND($C342="S",$P342&lt;&gt;"",$Q342&lt;&gt;"",$U342=0),"SEM CUSTO",
IF(AND(_xlfn.SINGLE(TIPOORCAMENTO)="Licitado",$AL342=0,$AN342&gt;0),"SEM PREÇO",
IF(AND($C342="S",$P342&lt;&gt;"",$Q342&lt;&gt;"",$U342&gt;0,AND($V342&lt;&gt;"BDI 1",$V342&lt;&gt;"BDI 2",$V342&lt;&gt;"BDI 3")),IF(ISNUMBER($V342),"JUSTIFICAR BDI","BDI"),
IF(OR(AND(import.recurso="OGU",TIPOORCAMENTO="Proposto",LEFT($O$8,5)&lt;&gt;"(N/D:",$AG342&lt;&gt;"",ORÇAMENTO.CustoUnitario&gt;$AG342),AND(TIPOORCAMENTO="LICITADO",ORÇAMENTO.PrecoUnitarioLicitado&gt;$AN342)),"ACIMA REF.",
IF(AND($C342="S",$P342&lt;&gt;"",$Q342&lt;&gt;"",$T342=0,$U342&gt;0),"QUANT.",
IF(AND(Import.TipoArredondamento="TransfereGOV",$L342="F",$C342="S",LEN($Q342)&gt;13),"Código &gt;13",
IF(AND(Import.TipoArredondamento="TransfereGOV",$L342="F",$C342&lt;&gt;"S",LEN($R342)&gt;100),"Descrição &gt;100",
IF(AND(Import.TipoArredondamento="TransfereGOV",$L342="F",$C342="S",LEN($R342)&gt;500),"Descrição &gt;500",
IF(AND(Import.TipoArredondamento="TransfereGOV",$L342="F",$C342="S",LEFT(TRIM(UPPER($P342)),6)&lt;&gt;"SINAPI",ISNA(VLOOKUP(TRIM(UPPER($S342)),ListaTgov.Unidades,1,FALSE))),"Unid. Não Disp",
" "))))))))))))))))</f>
        <v xml:space="preserve"> </v>
      </c>
      <c r="AD342" t="str">
        <f ca="1">IF(C342&lt;=CRONO.NivelExibicao,MAX($AD$15:OFFSET(AD342,-1,0))+IF($C342&lt;&gt;1,1,MAX(1,COUNTIF(QCI!$A$13:$A$15,OFFSET($E342,-1,0)))),"")</f>
        <v/>
      </c>
      <c r="AE342" s="7" t="str">
        <f ca="1">IF(AND($C342="S",ORÇAMENTO.CodBarra&lt;&gt;""),IF(ORÇAMENTO.Fonte="",ORÇAMENTO.CodBarra,CONCATENATE(ORÇAMENTO.Fonte," ",ORÇAMENTO.CodBarra)))</f>
        <v>COMPOSIÇÃO CPU-002</v>
      </c>
      <c r="AF342" s="12">
        <f ca="1">IF(ISERROR(INDIRECT(ORÇAMENTO.BancoRef)),"(abra o arquivo 'Referência "&amp;Excel_BuiltIn_Database&amp;".xlsm)",IF(OR($C342&lt;&gt;"S",ORÇAMENTO.CodBarra=""),"(Sem Código)",IF(ISERROR(MATCH($AE342,INDIRECT(ORÇAMENTO.BancoRef),0)),"(Código não identificado nas referências)",MATCH($AE342,INDIRECT(ORÇAMENTO.BancoRef),0))))</f>
        <v>5</v>
      </c>
      <c r="AG342" s="428">
        <f ca="1">ROUND(IF(DESONERACAO="sim",REFERENCIA.Desonerado,REFERENCIA.NaoDesonerado),2)</f>
        <v>164.47</v>
      </c>
      <c r="AH342" s="429">
        <f t="shared" ca="1" si="106"/>
        <v>0.23499999999999999</v>
      </c>
      <c r="AJ342" s="431">
        <f>ROUND(253.131+240+4*0.5+1*3,2)</f>
        <v>498.13</v>
      </c>
      <c r="AL342" s="439"/>
      <c r="AM342" s="336">
        <f t="shared" ca="1" si="92"/>
        <v>101180.17</v>
      </c>
      <c r="AN342" s="470">
        <f t="shared" ca="1" si="107"/>
        <v>203.12</v>
      </c>
    </row>
    <row r="343" spans="1:40" x14ac:dyDescent="0.2">
      <c r="A343" t="str">
        <f t="shared" si="93"/>
        <v>S</v>
      </c>
      <c r="B343">
        <f t="shared" ca="1" si="94"/>
        <v>4</v>
      </c>
      <c r="C343" t="str">
        <f t="shared" ca="1" si="95"/>
        <v>S</v>
      </c>
      <c r="D343">
        <f t="shared" ca="1" si="96"/>
        <v>0</v>
      </c>
      <c r="E343">
        <f ca="1">IF($C343=1,OFFSET(E343,-1,0)+MAX(1,COUNTIF(QCI!$A$13:$A$15,OFFSET(ORÇAMENTO!E343,-1,0))),OFFSET(E343,-1,0))</f>
        <v>1</v>
      </c>
      <c r="F343">
        <f t="shared" ca="1" si="97"/>
        <v>7</v>
      </c>
      <c r="G343">
        <f t="shared" ca="1" si="98"/>
        <v>6</v>
      </c>
      <c r="H343">
        <f t="shared" ca="1" si="99"/>
        <v>1</v>
      </c>
      <c r="I343">
        <f t="shared" ca="1" si="100"/>
        <v>2</v>
      </c>
      <c r="J343">
        <f t="shared" ca="1" si="91"/>
        <v>0</v>
      </c>
      <c r="K343">
        <f ca="1">IF(OR($C343="S",$C343=0),0,MATCH(OFFSET($D343,0,$C343)+IF($C343&lt;&gt;1,1,COUNTIF(QCI!$A$13:$A$15,ORÇAMENTO!E343)),OFFSET($D343,1,$C343,ROW($C$508)-ROW($C343)),0))</f>
        <v>0</v>
      </c>
      <c r="L343" s="114" t="str">
        <f t="shared" ca="1" si="101"/>
        <v>F</v>
      </c>
      <c r="M343" s="115" t="s">
        <v>705</v>
      </c>
      <c r="N343" s="116" t="str">
        <f t="shared" ca="1" si="102"/>
        <v>Serviço</v>
      </c>
      <c r="O343" s="117" t="str">
        <f t="shared" ca="1" si="103"/>
        <v>1.7.6.1.2.</v>
      </c>
      <c r="P343" s="118" t="s">
        <v>1283</v>
      </c>
      <c r="Q343" s="119" t="s">
        <v>1095</v>
      </c>
      <c r="R343" s="120" t="str">
        <f ca="1">IF($C343="S",REFERENCIA.Descricao,"(digite a descrição aqui)")</f>
        <v>CURVA 90 BOLSAS FoFo - DN 150 MM</v>
      </c>
      <c r="S343" s="121" t="str">
        <f ca="1">REFERENCIA.Unidade</f>
        <v>UN</v>
      </c>
      <c r="T343" s="122">
        <f ca="1">OFFSET(CÁLCULO!H$15,ROW($T343)-ROW(T$15),0)</f>
        <v>8</v>
      </c>
      <c r="U343" s="123">
        <f t="shared" ref="U343:U506" ca="1" si="108">AG343</f>
        <v>513.91</v>
      </c>
      <c r="V343" s="124" t="s">
        <v>697</v>
      </c>
      <c r="W343" s="122">
        <f ca="1">IF($C343="S",ROUND(IF(TIPOORCAMENTO="Proposto",ORÇAMENTO.CustoUnitario*(1+$AH343),ORÇAMENTO.PrecoUnitarioLicitado),15-13*$AF$10),0)</f>
        <v>600.25</v>
      </c>
      <c r="X343" s="125" cm="1">
        <f t="array" aca="1" ref="X343" ca="1">IF($C343="S",IF(OR(Import.TipoArredondamento&lt;&gt;"TransfereGOV",ACOMPANHAMENTO="BM"),VTOTAL1,SUM(OFFSET(CÁLCULO!$AI$15,ROW($X343)-ROW($X$15),1):OFFSET(CÁLCULO!$BB$15,ROW($X343)-ROW($X$15),-1))),IF($C343=0,0,ROUND(SomaAgrup,15-13*$AF$11)))</f>
        <v>4802</v>
      </c>
      <c r="Y343" s="126" t="s">
        <v>751</v>
      </c>
      <c r="Z343" t="str">
        <f t="shared" ca="1" si="104"/>
        <v>RA</v>
      </c>
      <c r="AA343" s="127">
        <f ca="1">IF($C343="S",IF($Z343="CP",$X343,IF($Z343="RA",(($X343)*QCI!$AA$3),0)),SomaAgrup)</f>
        <v>0</v>
      </c>
      <c r="AB343" s="128">
        <f t="shared" ca="1" si="105"/>
        <v>0</v>
      </c>
      <c r="AC343" s="565" t="str" cm="1">
        <f t="array" aca="1" ref="AC343" ca="1">IF($N343=""," ",
IF(AND($C343&lt;&gt;"S",OR($R343="",$R343="(digite a descrição aqui)")),"DESCRIÇÃO",
IF(AND($C343="S",OR($Q343&lt;&gt;"",$T343&gt;0,$U343&gt;0),$P343=""),"FONTE",
IF(AND($C343="S",$P343&lt;&gt;"",OR($T343&gt;0,$U343&gt;0),$Q343=""),"CÓDIGO",
IF(AND($C343="S",$P343&lt;&gt;"",$Q343&lt;&gt;"",$R343="(Código não identificado nas referências)"),"CÓDIGO N/ID",
IF(AND($C343="S",OR($R343="",$R343="(digite a descrição aqui)"),OR($Q343&lt;&gt;"",$T343&gt;0,$U343&gt;0)),"DESCRIÇÃO",
IF(AND($C343="S",$P343&lt;&gt;"",$Q343&lt;&gt;"",$S343=""),"UNIDADE",
IF(AND($C343="S",$P343&lt;&gt;"",$Q343&lt;&gt;"",$U343=0),"SEM CUSTO",
IF(AND(_xlfn.SINGLE(TIPOORCAMENTO)="Licitado",$AL343=0,$AN343&gt;0),"SEM PREÇO",
IF(AND($C343="S",$P343&lt;&gt;"",$Q343&lt;&gt;"",$U343&gt;0,AND($V343&lt;&gt;"BDI 1",$V343&lt;&gt;"BDI 2",$V343&lt;&gt;"BDI 3")),IF(ISNUMBER($V343),"JUSTIFICAR BDI","BDI"),
IF(OR(AND(import.recurso="OGU",TIPOORCAMENTO="Proposto",LEFT($O$8,5)&lt;&gt;"(N/D:",$AG343&lt;&gt;"",ORÇAMENTO.CustoUnitario&gt;$AG343),AND(TIPOORCAMENTO="LICITADO",ORÇAMENTO.PrecoUnitarioLicitado&gt;$AN343)),"ACIMA REF.",
IF(AND($C343="S",$P343&lt;&gt;"",$Q343&lt;&gt;"",$T343=0,$U343&gt;0),"QUANT.",
IF(AND(Import.TipoArredondamento="TransfereGOV",$L343="F",$C343="S",LEN($Q343)&gt;13),"Código &gt;13",
IF(AND(Import.TipoArredondamento="TransfereGOV",$L343="F",$C343&lt;&gt;"S",LEN($R343)&gt;100),"Descrição &gt;100",
IF(AND(Import.TipoArredondamento="TransfereGOV",$L343="F",$C343="S",LEN($R343)&gt;500),"Descrição &gt;500",
IF(AND(Import.TipoArredondamento="TransfereGOV",$L343="F",$C343="S",LEFT(TRIM(UPPER($P343)),6)&lt;&gt;"SINAPI",ISNA(VLOOKUP(TRIM(UPPER($S343)),ListaTgov.Unidades,1,FALSE))),"Unid. Não Disp",
" "))))))))))))))))</f>
        <v xml:space="preserve"> </v>
      </c>
      <c r="AD343" t="str">
        <f ca="1">IF(C343&lt;=CRONO.NivelExibicao,MAX($AD$15:OFFSET(AD343,-1,0))+IF($C343&lt;&gt;1,1,MAX(1,COUNTIF(QCI!$A$13:$A$15,OFFSET($E343,-1,0)))),"")</f>
        <v/>
      </c>
      <c r="AE343" s="7" t="str">
        <f ca="1">IF(AND($C343="S",ORÇAMENTO.CodBarra&lt;&gt;""),IF(ORÇAMENTO.Fonte="",ORÇAMENTO.CodBarra,CONCATENATE(ORÇAMENTO.Fonte," ",ORÇAMENTO.CodBarra)))</f>
        <v>COTAÇÃO COT-037</v>
      </c>
      <c r="AF343" s="12">
        <f ca="1">IF(ISERROR(INDIRECT(ORÇAMENTO.BancoRef)),"(abra o arquivo 'Referência "&amp;Excel_BuiltIn_Database&amp;".xlsm)",IF(OR($C343&lt;&gt;"S",ORÇAMENTO.CodBarra=""),"(Sem Código)",IF(ISERROR(MATCH($AE343,INDIRECT(ORÇAMENTO.BancoRef),0)),"(Código não identificado nas referências)",MATCH($AE343,INDIRECT(ORÇAMENTO.BancoRef),0))))</f>
        <v>105</v>
      </c>
      <c r="AG343" s="428">
        <f ca="1">ROUND(IF(DESONERACAO="sim",REFERENCIA.Desonerado,REFERENCIA.NaoDesonerado),2)</f>
        <v>513.91</v>
      </c>
      <c r="AH343" s="429">
        <f t="shared" ca="1" si="106"/>
        <v>0.16800000000000001</v>
      </c>
      <c r="AJ343" s="431">
        <f>3+4+1</f>
        <v>8</v>
      </c>
      <c r="AL343" s="439"/>
      <c r="AM343" s="336">
        <f t="shared" ca="1" si="92"/>
        <v>4802</v>
      </c>
      <c r="AN343" s="470">
        <f t="shared" ca="1" si="107"/>
        <v>600.25</v>
      </c>
    </row>
    <row r="344" spans="1:40" x14ac:dyDescent="0.2">
      <c r="A344" t="str">
        <f t="shared" si="93"/>
        <v>S</v>
      </c>
      <c r="B344">
        <f t="shared" ca="1" si="94"/>
        <v>4</v>
      </c>
      <c r="C344" t="str">
        <f t="shared" ca="1" si="95"/>
        <v>S</v>
      </c>
      <c r="D344">
        <f t="shared" ca="1" si="96"/>
        <v>0</v>
      </c>
      <c r="E344">
        <f ca="1">IF($C344=1,OFFSET(E344,-1,0)+MAX(1,COUNTIF(QCI!$A$13:$A$15,OFFSET(ORÇAMENTO!E344,-1,0))),OFFSET(E344,-1,0))</f>
        <v>1</v>
      </c>
      <c r="F344">
        <f t="shared" ca="1" si="97"/>
        <v>7</v>
      </c>
      <c r="G344">
        <f t="shared" ca="1" si="98"/>
        <v>6</v>
      </c>
      <c r="H344">
        <f t="shared" ca="1" si="99"/>
        <v>1</v>
      </c>
      <c r="I344">
        <f t="shared" ca="1" si="100"/>
        <v>3</v>
      </c>
      <c r="J344">
        <f t="shared" ca="1" si="91"/>
        <v>0</v>
      </c>
      <c r="K344">
        <f ca="1">IF(OR($C344="S",$C344=0),0,MATCH(OFFSET($D344,0,$C344)+IF($C344&lt;&gt;1,1,COUNTIF(QCI!$A$13:$A$15,ORÇAMENTO!E344)),OFFSET($D344,1,$C344,ROW($C$508)-ROW($C344)),0))</f>
        <v>0</v>
      </c>
      <c r="L344" s="114" t="str">
        <f t="shared" ca="1" si="101"/>
        <v>F</v>
      </c>
      <c r="M344" s="115" t="s">
        <v>705</v>
      </c>
      <c r="N344" s="116" t="str">
        <f t="shared" ca="1" si="102"/>
        <v>Serviço</v>
      </c>
      <c r="O344" s="117" t="str">
        <f t="shared" ca="1" si="103"/>
        <v>1.7.6.1.3.</v>
      </c>
      <c r="P344" s="118" t="s">
        <v>1283</v>
      </c>
      <c r="Q344" s="119" t="s">
        <v>1081</v>
      </c>
      <c r="R344" s="120" t="str">
        <f ca="1">IF($C344="S",REFERENCIA.Descricao,"(digite a descrição aqui)")</f>
        <v>TÊ COM BOLSAS FoFo - DN 150 MM</v>
      </c>
      <c r="S344" s="121" t="str">
        <f ca="1">REFERENCIA.Unidade</f>
        <v>UN</v>
      </c>
      <c r="T344" s="122">
        <f ca="1">OFFSET(CÁLCULO!H$15,ROW($T344)-ROW(T$15),0)</f>
        <v>18</v>
      </c>
      <c r="U344" s="123">
        <f t="shared" ca="1" si="108"/>
        <v>614.94000000000005</v>
      </c>
      <c r="V344" s="124" t="s">
        <v>697</v>
      </c>
      <c r="W344" s="122">
        <f ca="1">IF($C344="S",ROUND(IF(TIPOORCAMENTO="Proposto",ORÇAMENTO.CustoUnitario*(1+$AH344),ORÇAMENTO.PrecoUnitarioLicitado),15-13*$AF$10),0)</f>
        <v>718.25</v>
      </c>
      <c r="X344" s="125" cm="1">
        <f t="array" aca="1" ref="X344" ca="1">IF($C344="S",IF(OR(Import.TipoArredondamento&lt;&gt;"TransfereGOV",ACOMPANHAMENTO="BM"),VTOTAL1,SUM(OFFSET(CÁLCULO!$AI$15,ROW($X344)-ROW($X$15),1):OFFSET(CÁLCULO!$BB$15,ROW($X344)-ROW($X$15),-1))),IF($C344=0,0,ROUND(SomaAgrup,15-13*$AF$11)))</f>
        <v>12928.5</v>
      </c>
      <c r="Y344" s="126" t="s">
        <v>751</v>
      </c>
      <c r="Z344" t="str">
        <f t="shared" ca="1" si="104"/>
        <v>RA</v>
      </c>
      <c r="AA344" s="127">
        <f ca="1">IF($C344="S",IF($Z344="CP",$X344,IF($Z344="RA",(($X344)*QCI!$AA$3),0)),SomaAgrup)</f>
        <v>0</v>
      </c>
      <c r="AB344" s="128">
        <f t="shared" ca="1" si="105"/>
        <v>0</v>
      </c>
      <c r="AC344" s="565" t="str" cm="1">
        <f t="array" aca="1" ref="AC344" ca="1">IF($N344=""," ",
IF(AND($C344&lt;&gt;"S",OR($R344="",$R344="(digite a descrição aqui)")),"DESCRIÇÃO",
IF(AND($C344="S",OR($Q344&lt;&gt;"",$T344&gt;0,$U344&gt;0),$P344=""),"FONTE",
IF(AND($C344="S",$P344&lt;&gt;"",OR($T344&gt;0,$U344&gt;0),$Q344=""),"CÓDIGO",
IF(AND($C344="S",$P344&lt;&gt;"",$Q344&lt;&gt;"",$R344="(Código não identificado nas referências)"),"CÓDIGO N/ID",
IF(AND($C344="S",OR($R344="",$R344="(digite a descrição aqui)"),OR($Q344&lt;&gt;"",$T344&gt;0,$U344&gt;0)),"DESCRIÇÃO",
IF(AND($C344="S",$P344&lt;&gt;"",$Q344&lt;&gt;"",$S344=""),"UNIDADE",
IF(AND($C344="S",$P344&lt;&gt;"",$Q344&lt;&gt;"",$U344=0),"SEM CUSTO",
IF(AND(_xlfn.SINGLE(TIPOORCAMENTO)="Licitado",$AL344=0,$AN344&gt;0),"SEM PREÇO",
IF(AND($C344="S",$P344&lt;&gt;"",$Q344&lt;&gt;"",$U344&gt;0,AND($V344&lt;&gt;"BDI 1",$V344&lt;&gt;"BDI 2",$V344&lt;&gt;"BDI 3")),IF(ISNUMBER($V344),"JUSTIFICAR BDI","BDI"),
IF(OR(AND(import.recurso="OGU",TIPOORCAMENTO="Proposto",LEFT($O$8,5)&lt;&gt;"(N/D:",$AG344&lt;&gt;"",ORÇAMENTO.CustoUnitario&gt;$AG344),AND(TIPOORCAMENTO="LICITADO",ORÇAMENTO.PrecoUnitarioLicitado&gt;$AN344)),"ACIMA REF.",
IF(AND($C344="S",$P344&lt;&gt;"",$Q344&lt;&gt;"",$T344=0,$U344&gt;0),"QUANT.",
IF(AND(Import.TipoArredondamento="TransfereGOV",$L344="F",$C344="S",LEN($Q344)&gt;13),"Código &gt;13",
IF(AND(Import.TipoArredondamento="TransfereGOV",$L344="F",$C344&lt;&gt;"S",LEN($R344)&gt;100),"Descrição &gt;100",
IF(AND(Import.TipoArredondamento="TransfereGOV",$L344="F",$C344="S",LEN($R344)&gt;500),"Descrição &gt;500",
IF(AND(Import.TipoArredondamento="TransfereGOV",$L344="F",$C344="S",LEFT(TRIM(UPPER($P344)),6)&lt;&gt;"SINAPI",ISNA(VLOOKUP(TRIM(UPPER($S344)),ListaTgov.Unidades,1,FALSE))),"Unid. Não Disp",
" "))))))))))))))))</f>
        <v xml:space="preserve"> </v>
      </c>
      <c r="AD344" t="str">
        <f ca="1">IF(C344&lt;=CRONO.NivelExibicao,MAX($AD$15:OFFSET(AD344,-1,0))+IF($C344&lt;&gt;1,1,MAX(1,COUNTIF(QCI!$A$13:$A$15,OFFSET($E344,-1,0)))),"")</f>
        <v/>
      </c>
      <c r="AE344" s="7" t="str">
        <f ca="1">IF(AND($C344="S",ORÇAMENTO.CodBarra&lt;&gt;""),IF(ORÇAMENTO.Fonte="",ORÇAMENTO.CodBarra,CONCATENATE(ORÇAMENTO.Fonte," ",ORÇAMENTO.CodBarra)))</f>
        <v>COTAÇÃO COT-031</v>
      </c>
      <c r="AF344" s="12">
        <f ca="1">IF(ISERROR(INDIRECT(ORÇAMENTO.BancoRef)),"(abra o arquivo 'Referência "&amp;Excel_BuiltIn_Database&amp;".xlsm)",IF(OR($C344&lt;&gt;"S",ORÇAMENTO.CodBarra=""),"(Sem Código)",IF(ISERROR(MATCH($AE344,INDIRECT(ORÇAMENTO.BancoRef),0)),"(Código não identificado nas referências)",MATCH($AE344,INDIRECT(ORÇAMENTO.BancoRef),0))))</f>
        <v>99</v>
      </c>
      <c r="AG344" s="428">
        <f ca="1">ROUND(IF(DESONERACAO="sim",REFERENCIA.Desonerado,REFERENCIA.NaoDesonerado),2)</f>
        <v>614.94000000000005</v>
      </c>
      <c r="AH344" s="429">
        <f t="shared" ca="1" si="106"/>
        <v>0.16800000000000001</v>
      </c>
      <c r="AJ344" s="431">
        <f>10+8</f>
        <v>18</v>
      </c>
      <c r="AL344" s="439"/>
      <c r="AM344" s="336">
        <f t="shared" ca="1" si="92"/>
        <v>12928.5</v>
      </c>
      <c r="AN344" s="470">
        <f t="shared" ca="1" si="107"/>
        <v>718.25</v>
      </c>
    </row>
    <row r="345" spans="1:40" x14ac:dyDescent="0.2">
      <c r="A345" t="str">
        <f t="shared" si="93"/>
        <v>S</v>
      </c>
      <c r="B345">
        <f t="shared" ca="1" si="94"/>
        <v>4</v>
      </c>
      <c r="C345" t="str">
        <f t="shared" ca="1" si="95"/>
        <v>S</v>
      </c>
      <c r="D345">
        <f t="shared" ca="1" si="96"/>
        <v>0</v>
      </c>
      <c r="E345">
        <f ca="1">IF($C345=1,OFFSET(E345,-1,0)+MAX(1,COUNTIF(QCI!$A$13:$A$15,OFFSET(ORÇAMENTO!E345,-1,0))),OFFSET(E345,-1,0))</f>
        <v>1</v>
      </c>
      <c r="F345">
        <f t="shared" ca="1" si="97"/>
        <v>7</v>
      </c>
      <c r="G345">
        <f t="shared" ca="1" si="98"/>
        <v>6</v>
      </c>
      <c r="H345">
        <f t="shared" ca="1" si="99"/>
        <v>1</v>
      </c>
      <c r="I345">
        <f t="shared" ca="1" si="100"/>
        <v>4</v>
      </c>
      <c r="J345">
        <f t="shared" ca="1" si="91"/>
        <v>0</v>
      </c>
      <c r="K345">
        <f ca="1">IF(OR($C345="S",$C345=0),0,MATCH(OFFSET($D345,0,$C345)+IF($C345&lt;&gt;1,1,COUNTIF(QCI!$A$13:$A$15,ORÇAMENTO!E345)),OFFSET($D345,1,$C345,ROW($C$508)-ROW($C345)),0))</f>
        <v>0</v>
      </c>
      <c r="L345" s="114" t="str">
        <f t="shared" ca="1" si="101"/>
        <v>F</v>
      </c>
      <c r="M345" s="115" t="s">
        <v>705</v>
      </c>
      <c r="N345" s="116" t="str">
        <f t="shared" ca="1" si="102"/>
        <v>Serviço</v>
      </c>
      <c r="O345" s="117" t="str">
        <f t="shared" ca="1" si="103"/>
        <v>1.7.6.1.4.</v>
      </c>
      <c r="P345" s="118" t="s">
        <v>1283</v>
      </c>
      <c r="Q345" s="119" t="s">
        <v>1111</v>
      </c>
      <c r="R345" s="120" t="str">
        <f ca="1">IF($C345="S",REFERENCIA.Descricao,"(digite a descrição aqui)")</f>
        <v>CRUZETA FoFo - DN 150 MM</v>
      </c>
      <c r="S345" s="121" t="str">
        <f ca="1">REFERENCIA.Unidade</f>
        <v>UN</v>
      </c>
      <c r="T345" s="122">
        <f ca="1">OFFSET(CÁLCULO!H$15,ROW($T345)-ROW(T$15),0)</f>
        <v>7</v>
      </c>
      <c r="U345" s="123">
        <f t="shared" ca="1" si="108"/>
        <v>1297.82</v>
      </c>
      <c r="V345" s="124" t="s">
        <v>697</v>
      </c>
      <c r="W345" s="122">
        <f ca="1">IF($C345="S",ROUND(IF(TIPOORCAMENTO="Proposto",ORÇAMENTO.CustoUnitario*(1+$AH345),ORÇAMENTO.PrecoUnitarioLicitado),15-13*$AF$10),0)</f>
        <v>1515.85</v>
      </c>
      <c r="X345" s="125" cm="1">
        <f t="array" aca="1" ref="X345" ca="1">IF($C345="S",IF(OR(Import.TipoArredondamento&lt;&gt;"TransfereGOV",ACOMPANHAMENTO="BM"),VTOTAL1,SUM(OFFSET(CÁLCULO!$AI$15,ROW($X345)-ROW($X$15),1):OFFSET(CÁLCULO!$BB$15,ROW($X345)-ROW($X$15),-1))),IF($C345=0,0,ROUND(SomaAgrup,15-13*$AF$11)))</f>
        <v>10610.95</v>
      </c>
      <c r="Y345" s="126" t="s">
        <v>751</v>
      </c>
      <c r="Z345" t="str">
        <f t="shared" ca="1" si="104"/>
        <v>RA</v>
      </c>
      <c r="AA345" s="127">
        <f ca="1">IF($C345="S",IF($Z345="CP",$X345,IF($Z345="RA",(($X345)*QCI!$AA$3),0)),SomaAgrup)</f>
        <v>0</v>
      </c>
      <c r="AB345" s="128">
        <f t="shared" ca="1" si="105"/>
        <v>0</v>
      </c>
      <c r="AC345" s="565" t="str" cm="1">
        <f t="array" aca="1" ref="AC345" ca="1">IF($N345=""," ",
IF(AND($C345&lt;&gt;"S",OR($R345="",$R345="(digite a descrição aqui)")),"DESCRIÇÃO",
IF(AND($C345="S",OR($Q345&lt;&gt;"",$T345&gt;0,$U345&gt;0),$P345=""),"FONTE",
IF(AND($C345="S",$P345&lt;&gt;"",OR($T345&gt;0,$U345&gt;0),$Q345=""),"CÓDIGO",
IF(AND($C345="S",$P345&lt;&gt;"",$Q345&lt;&gt;"",$R345="(Código não identificado nas referências)"),"CÓDIGO N/ID",
IF(AND($C345="S",OR($R345="",$R345="(digite a descrição aqui)"),OR($Q345&lt;&gt;"",$T345&gt;0,$U345&gt;0)),"DESCRIÇÃO",
IF(AND($C345="S",$P345&lt;&gt;"",$Q345&lt;&gt;"",$S345=""),"UNIDADE",
IF(AND($C345="S",$P345&lt;&gt;"",$Q345&lt;&gt;"",$U345=0),"SEM CUSTO",
IF(AND(_xlfn.SINGLE(TIPOORCAMENTO)="Licitado",$AL345=0,$AN345&gt;0),"SEM PREÇO",
IF(AND($C345="S",$P345&lt;&gt;"",$Q345&lt;&gt;"",$U345&gt;0,AND($V345&lt;&gt;"BDI 1",$V345&lt;&gt;"BDI 2",$V345&lt;&gt;"BDI 3")),IF(ISNUMBER($V345),"JUSTIFICAR BDI","BDI"),
IF(OR(AND(import.recurso="OGU",TIPOORCAMENTO="Proposto",LEFT($O$8,5)&lt;&gt;"(N/D:",$AG345&lt;&gt;"",ORÇAMENTO.CustoUnitario&gt;$AG345),AND(TIPOORCAMENTO="LICITADO",ORÇAMENTO.PrecoUnitarioLicitado&gt;$AN345)),"ACIMA REF.",
IF(AND($C345="S",$P345&lt;&gt;"",$Q345&lt;&gt;"",$T345=0,$U345&gt;0),"QUANT.",
IF(AND(Import.TipoArredondamento="TransfereGOV",$L345="F",$C345="S",LEN($Q345)&gt;13),"Código &gt;13",
IF(AND(Import.TipoArredondamento="TransfereGOV",$L345="F",$C345&lt;&gt;"S",LEN($R345)&gt;100),"Descrição &gt;100",
IF(AND(Import.TipoArredondamento="TransfereGOV",$L345="F",$C345="S",LEN($R345)&gt;500),"Descrição &gt;500",
IF(AND(Import.TipoArredondamento="TransfereGOV",$L345="F",$C345="S",LEFT(TRIM(UPPER($P345)),6)&lt;&gt;"SINAPI",ISNA(VLOOKUP(TRIM(UPPER($S345)),ListaTgov.Unidades,1,FALSE))),"Unid. Não Disp",
" "))))))))))))))))</f>
        <v xml:space="preserve"> </v>
      </c>
      <c r="AD345" t="str">
        <f ca="1">IF(C345&lt;=CRONO.NivelExibicao,MAX($AD$15:OFFSET(AD345,-1,0))+IF($C345&lt;&gt;1,1,MAX(1,COUNTIF(QCI!$A$13:$A$15,OFFSET($E345,-1,0)))),"")</f>
        <v/>
      </c>
      <c r="AE345" s="7" t="str">
        <f ca="1">IF(AND($C345="S",ORÇAMENTO.CodBarra&lt;&gt;""),IF(ORÇAMENTO.Fonte="",ORÇAMENTO.CodBarra,CONCATENATE(ORÇAMENTO.Fonte," ",ORÇAMENTO.CodBarra)))</f>
        <v>COTAÇÃO COT-040</v>
      </c>
      <c r="AF345" s="12">
        <f ca="1">IF(ISERROR(INDIRECT(ORÇAMENTO.BancoRef)),"(abra o arquivo 'Referência "&amp;Excel_BuiltIn_Database&amp;".xlsm)",IF(OR($C345&lt;&gt;"S",ORÇAMENTO.CodBarra=""),"(Sem Código)",IF(ISERROR(MATCH($AE345,INDIRECT(ORÇAMENTO.BancoRef),0)),"(Código não identificado nas referências)",MATCH($AE345,INDIRECT(ORÇAMENTO.BancoRef),0))))</f>
        <v>108</v>
      </c>
      <c r="AG345" s="428">
        <f ca="1">ROUND(IF(DESONERACAO="sim",REFERENCIA.Desonerado,REFERENCIA.NaoDesonerado),2)</f>
        <v>1297.82</v>
      </c>
      <c r="AH345" s="429">
        <f t="shared" ca="1" si="106"/>
        <v>0.16800000000000001</v>
      </c>
      <c r="AJ345" s="431">
        <f>3+4</f>
        <v>7</v>
      </c>
      <c r="AL345" s="439"/>
      <c r="AM345" s="336">
        <f t="shared" ca="1" si="92"/>
        <v>10610.95</v>
      </c>
      <c r="AN345" s="470">
        <f t="shared" ca="1" si="107"/>
        <v>1515.85</v>
      </c>
    </row>
    <row r="346" spans="1:40" x14ac:dyDescent="0.2">
      <c r="A346" t="str">
        <f t="shared" si="93"/>
        <v>S</v>
      </c>
      <c r="B346">
        <f t="shared" ca="1" si="94"/>
        <v>4</v>
      </c>
      <c r="C346" t="str">
        <f t="shared" ca="1" si="95"/>
        <v>S</v>
      </c>
      <c r="D346">
        <f t="shared" ca="1" si="96"/>
        <v>0</v>
      </c>
      <c r="E346">
        <f ca="1">IF($C346=1,OFFSET(E346,-1,0)+MAX(1,COUNTIF(QCI!$A$13:$A$15,OFFSET(ORÇAMENTO!E346,-1,0))),OFFSET(E346,-1,0))</f>
        <v>1</v>
      </c>
      <c r="F346">
        <f t="shared" ca="1" si="97"/>
        <v>7</v>
      </c>
      <c r="G346">
        <f t="shared" ca="1" si="98"/>
        <v>6</v>
      </c>
      <c r="H346">
        <f t="shared" ca="1" si="99"/>
        <v>1</v>
      </c>
      <c r="I346">
        <f t="shared" ca="1" si="100"/>
        <v>5</v>
      </c>
      <c r="J346">
        <f t="shared" ca="1" si="91"/>
        <v>0</v>
      </c>
      <c r="K346">
        <f ca="1">IF(OR($C346="S",$C346=0),0,MATCH(OFFSET($D346,0,$C346)+IF($C346&lt;&gt;1,1,COUNTIF(QCI!$A$13:$A$15,ORÇAMENTO!E346)),OFFSET($D346,1,$C346,ROW($C$508)-ROW($C346)),0))</f>
        <v>0</v>
      </c>
      <c r="L346" s="114" t="str">
        <f t="shared" ca="1" si="101"/>
        <v>F</v>
      </c>
      <c r="M346" s="115" t="s">
        <v>705</v>
      </c>
      <c r="N346" s="116" t="str">
        <f t="shared" ca="1" si="102"/>
        <v>Serviço</v>
      </c>
      <c r="O346" s="117" t="str">
        <f t="shared" ca="1" si="103"/>
        <v>1.7.6.1.5.</v>
      </c>
      <c r="P346" s="118" t="s">
        <v>1283</v>
      </c>
      <c r="Q346" s="119" t="s">
        <v>1112</v>
      </c>
      <c r="R346" s="120" t="str">
        <f ca="1">IF($C346="S",REFERENCIA.Descricao,"(digite a descrição aqui)")</f>
        <v>LUVA COM BOLSAS FoFo - DN 150 MM</v>
      </c>
      <c r="S346" s="121" t="str">
        <f ca="1">REFERENCIA.Unidade</f>
        <v>UN</v>
      </c>
      <c r="T346" s="122">
        <f ca="1">OFFSET(CÁLCULO!H$15,ROW($T346)-ROW(T$15),0)</f>
        <v>4</v>
      </c>
      <c r="U346" s="123">
        <f t="shared" ca="1" si="108"/>
        <v>475.18</v>
      </c>
      <c r="V346" s="124" t="s">
        <v>697</v>
      </c>
      <c r="W346" s="122">
        <f ca="1">IF($C346="S",ROUND(IF(TIPOORCAMENTO="Proposto",ORÇAMENTO.CustoUnitario*(1+$AH346),ORÇAMENTO.PrecoUnitarioLicitado),15-13*$AF$10),0)</f>
        <v>555.01</v>
      </c>
      <c r="X346" s="125" cm="1">
        <f t="array" aca="1" ref="X346" ca="1">IF($C346="S",IF(OR(Import.TipoArredondamento&lt;&gt;"TransfereGOV",ACOMPANHAMENTO="BM"),VTOTAL1,SUM(OFFSET(CÁLCULO!$AI$15,ROW($X346)-ROW($X$15),1):OFFSET(CÁLCULO!$BB$15,ROW($X346)-ROW($X$15),-1))),IF($C346=0,0,ROUND(SomaAgrup,15-13*$AF$11)))</f>
        <v>2220.04</v>
      </c>
      <c r="Y346" s="126" t="s">
        <v>751</v>
      </c>
      <c r="Z346" t="str">
        <f t="shared" ca="1" si="104"/>
        <v>RA</v>
      </c>
      <c r="AA346" s="127">
        <f ca="1">IF($C346="S",IF($Z346="CP",$X346,IF($Z346="RA",(($X346)*QCI!$AA$3),0)),SomaAgrup)</f>
        <v>0</v>
      </c>
      <c r="AB346" s="128">
        <f t="shared" ca="1" si="105"/>
        <v>0</v>
      </c>
      <c r="AC346" s="565" t="str" cm="1">
        <f t="array" aca="1" ref="AC346" ca="1">IF($N346=""," ",
IF(AND($C346&lt;&gt;"S",OR($R346="",$R346="(digite a descrição aqui)")),"DESCRIÇÃO",
IF(AND($C346="S",OR($Q346&lt;&gt;"",$T346&gt;0,$U346&gt;0),$P346=""),"FONTE",
IF(AND($C346="S",$P346&lt;&gt;"",OR($T346&gt;0,$U346&gt;0),$Q346=""),"CÓDIGO",
IF(AND($C346="S",$P346&lt;&gt;"",$Q346&lt;&gt;"",$R346="(Código não identificado nas referências)"),"CÓDIGO N/ID",
IF(AND($C346="S",OR($R346="",$R346="(digite a descrição aqui)"),OR($Q346&lt;&gt;"",$T346&gt;0,$U346&gt;0)),"DESCRIÇÃO",
IF(AND($C346="S",$P346&lt;&gt;"",$Q346&lt;&gt;"",$S346=""),"UNIDADE",
IF(AND($C346="S",$P346&lt;&gt;"",$Q346&lt;&gt;"",$U346=0),"SEM CUSTO",
IF(AND(_xlfn.SINGLE(TIPOORCAMENTO)="Licitado",$AL346=0,$AN346&gt;0),"SEM PREÇO",
IF(AND($C346="S",$P346&lt;&gt;"",$Q346&lt;&gt;"",$U346&gt;0,AND($V346&lt;&gt;"BDI 1",$V346&lt;&gt;"BDI 2",$V346&lt;&gt;"BDI 3")),IF(ISNUMBER($V346),"JUSTIFICAR BDI","BDI"),
IF(OR(AND(import.recurso="OGU",TIPOORCAMENTO="Proposto",LEFT($O$8,5)&lt;&gt;"(N/D:",$AG346&lt;&gt;"",ORÇAMENTO.CustoUnitario&gt;$AG346),AND(TIPOORCAMENTO="LICITADO",ORÇAMENTO.PrecoUnitarioLicitado&gt;$AN346)),"ACIMA REF.",
IF(AND($C346="S",$P346&lt;&gt;"",$Q346&lt;&gt;"",$T346=0,$U346&gt;0),"QUANT.",
IF(AND(Import.TipoArredondamento="TransfereGOV",$L346="F",$C346="S",LEN($Q346)&gt;13),"Código &gt;13",
IF(AND(Import.TipoArredondamento="TransfereGOV",$L346="F",$C346&lt;&gt;"S",LEN($R346)&gt;100),"Descrição &gt;100",
IF(AND(Import.TipoArredondamento="TransfereGOV",$L346="F",$C346="S",LEN($R346)&gt;500),"Descrição &gt;500",
IF(AND(Import.TipoArredondamento="TransfereGOV",$L346="F",$C346="S",LEFT(TRIM(UPPER($P346)),6)&lt;&gt;"SINAPI",ISNA(VLOOKUP(TRIM(UPPER($S346)),ListaTgov.Unidades,1,FALSE))),"Unid. Não Disp",
" "))))))))))))))))</f>
        <v xml:space="preserve"> </v>
      </c>
      <c r="AD346" t="str">
        <f ca="1">IF(C346&lt;=CRONO.NivelExibicao,MAX($AD$15:OFFSET(AD346,-1,0))+IF($C346&lt;&gt;1,1,MAX(1,COUNTIF(QCI!$A$13:$A$15,OFFSET($E346,-1,0)))),"")</f>
        <v/>
      </c>
      <c r="AE346" s="7" t="str">
        <f ca="1">IF(AND($C346="S",ORÇAMENTO.CodBarra&lt;&gt;""),IF(ORÇAMENTO.Fonte="",ORÇAMENTO.CodBarra,CONCATENATE(ORÇAMENTO.Fonte," ",ORÇAMENTO.CodBarra)))</f>
        <v>COTAÇÃO COT-041</v>
      </c>
      <c r="AF346" s="12">
        <f ca="1">IF(ISERROR(INDIRECT(ORÇAMENTO.BancoRef)),"(abra o arquivo 'Referência "&amp;Excel_BuiltIn_Database&amp;".xlsm)",IF(OR($C346&lt;&gt;"S",ORÇAMENTO.CodBarra=""),"(Sem Código)",IF(ISERROR(MATCH($AE346,INDIRECT(ORÇAMENTO.BancoRef),0)),"(Código não identificado nas referências)",MATCH($AE346,INDIRECT(ORÇAMENTO.BancoRef),0))))</f>
        <v>109</v>
      </c>
      <c r="AG346" s="428">
        <f ca="1">ROUND(IF(DESONERACAO="sim",REFERENCIA.Desonerado,REFERENCIA.NaoDesonerado),2)</f>
        <v>475.18</v>
      </c>
      <c r="AH346" s="429">
        <f t="shared" ca="1" si="106"/>
        <v>0.16800000000000001</v>
      </c>
      <c r="AJ346" s="431">
        <f>4</f>
        <v>4</v>
      </c>
      <c r="AL346" s="439"/>
      <c r="AM346" s="336">
        <f t="shared" ca="1" si="92"/>
        <v>2220.04</v>
      </c>
      <c r="AN346" s="470">
        <f t="shared" ca="1" si="107"/>
        <v>555.01</v>
      </c>
    </row>
    <row r="347" spans="1:40" x14ac:dyDescent="0.2">
      <c r="A347" t="str">
        <f t="shared" si="93"/>
        <v>S</v>
      </c>
      <c r="B347">
        <f t="shared" ca="1" si="94"/>
        <v>4</v>
      </c>
      <c r="C347" t="str">
        <f t="shared" ca="1" si="95"/>
        <v>S</v>
      </c>
      <c r="D347">
        <f t="shared" ca="1" si="96"/>
        <v>0</v>
      </c>
      <c r="E347">
        <f ca="1">IF($C347=1,OFFSET(E347,-1,0)+MAX(1,COUNTIF(QCI!$A$13:$A$15,OFFSET(ORÇAMENTO!E347,-1,0))),OFFSET(E347,-1,0))</f>
        <v>1</v>
      </c>
      <c r="F347">
        <f t="shared" ca="1" si="97"/>
        <v>7</v>
      </c>
      <c r="G347">
        <f t="shared" ca="1" si="98"/>
        <v>6</v>
      </c>
      <c r="H347">
        <f t="shared" ca="1" si="99"/>
        <v>1</v>
      </c>
      <c r="I347">
        <f t="shared" ca="1" si="100"/>
        <v>6</v>
      </c>
      <c r="J347">
        <f t="shared" ca="1" si="91"/>
        <v>0</v>
      </c>
      <c r="K347">
        <f ca="1">IF(OR($C347="S",$C347=0),0,MATCH(OFFSET($D347,0,$C347)+IF($C347&lt;&gt;1,1,COUNTIF(QCI!$A$13:$A$15,ORÇAMENTO!E347)),OFFSET($D347,1,$C347,ROW($C$508)-ROW($C347)),0))</f>
        <v>0</v>
      </c>
      <c r="L347" s="114" t="str">
        <f t="shared" ca="1" si="101"/>
        <v>F</v>
      </c>
      <c r="M347" s="115" t="s">
        <v>705</v>
      </c>
      <c r="N347" s="116" t="str">
        <f t="shared" ca="1" si="102"/>
        <v>Serviço</v>
      </c>
      <c r="O347" s="117" t="str">
        <f t="shared" ca="1" si="103"/>
        <v>1.7.6.1.6.</v>
      </c>
      <c r="P347" s="118" t="s">
        <v>1283</v>
      </c>
      <c r="Q347" s="119" t="s">
        <v>1113</v>
      </c>
      <c r="R347" s="120" t="str">
        <f ca="1">IF($C347="S",REFERENCIA.Descricao,"(digite a descrição aqui)")</f>
        <v>EXTREMIDADE PONTA/FLANGE FoFo - DN 150 MM</v>
      </c>
      <c r="S347" s="121" t="str">
        <f ca="1">REFERENCIA.Unidade</f>
        <v>UN</v>
      </c>
      <c r="T347" s="122">
        <f ca="1">OFFSET(CÁLCULO!H$15,ROW($T347)-ROW(T$15),0)</f>
        <v>4</v>
      </c>
      <c r="U347" s="123">
        <f t="shared" ca="1" si="108"/>
        <v>1019.74</v>
      </c>
      <c r="V347" s="124" t="s">
        <v>697</v>
      </c>
      <c r="W347" s="122">
        <f ca="1">IF($C347="S",ROUND(IF(TIPOORCAMENTO="Proposto",ORÇAMENTO.CustoUnitario*(1+$AH347),ORÇAMENTO.PrecoUnitarioLicitado),15-13*$AF$10),0)</f>
        <v>1191.06</v>
      </c>
      <c r="X347" s="125" cm="1">
        <f t="array" aca="1" ref="X347" ca="1">IF($C347="S",IF(OR(Import.TipoArredondamento&lt;&gt;"TransfereGOV",ACOMPANHAMENTO="BM"),VTOTAL1,SUM(OFFSET(CÁLCULO!$AI$15,ROW($X347)-ROW($X$15),1):OFFSET(CÁLCULO!$BB$15,ROW($X347)-ROW($X$15),-1))),IF($C347=0,0,ROUND(SomaAgrup,15-13*$AF$11)))</f>
        <v>4764.24</v>
      </c>
      <c r="Y347" s="126" t="s">
        <v>751</v>
      </c>
      <c r="Z347" t="str">
        <f t="shared" ca="1" si="104"/>
        <v>RA</v>
      </c>
      <c r="AA347" s="127">
        <f ca="1">IF($C347="S",IF($Z347="CP",$X347,IF($Z347="RA",(($X347)*QCI!$AA$3),0)),SomaAgrup)</f>
        <v>0</v>
      </c>
      <c r="AB347" s="128">
        <f t="shared" ca="1" si="105"/>
        <v>0</v>
      </c>
      <c r="AC347" s="565" t="str" cm="1">
        <f t="array" aca="1" ref="AC347" ca="1">IF($N347=""," ",
IF(AND($C347&lt;&gt;"S",OR($R347="",$R347="(digite a descrição aqui)")),"DESCRIÇÃO",
IF(AND($C347="S",OR($Q347&lt;&gt;"",$T347&gt;0,$U347&gt;0),$P347=""),"FONTE",
IF(AND($C347="S",$P347&lt;&gt;"",OR($T347&gt;0,$U347&gt;0),$Q347=""),"CÓDIGO",
IF(AND($C347="S",$P347&lt;&gt;"",$Q347&lt;&gt;"",$R347="(Código não identificado nas referências)"),"CÓDIGO N/ID",
IF(AND($C347="S",OR($R347="",$R347="(digite a descrição aqui)"),OR($Q347&lt;&gt;"",$T347&gt;0,$U347&gt;0)),"DESCRIÇÃO",
IF(AND($C347="S",$P347&lt;&gt;"",$Q347&lt;&gt;"",$S347=""),"UNIDADE",
IF(AND($C347="S",$P347&lt;&gt;"",$Q347&lt;&gt;"",$U347=0),"SEM CUSTO",
IF(AND(_xlfn.SINGLE(TIPOORCAMENTO)="Licitado",$AL347=0,$AN347&gt;0),"SEM PREÇO",
IF(AND($C347="S",$P347&lt;&gt;"",$Q347&lt;&gt;"",$U347&gt;0,AND($V347&lt;&gt;"BDI 1",$V347&lt;&gt;"BDI 2",$V347&lt;&gt;"BDI 3")),IF(ISNUMBER($V347),"JUSTIFICAR BDI","BDI"),
IF(OR(AND(import.recurso="OGU",TIPOORCAMENTO="Proposto",LEFT($O$8,5)&lt;&gt;"(N/D:",$AG347&lt;&gt;"",ORÇAMENTO.CustoUnitario&gt;$AG347),AND(TIPOORCAMENTO="LICITADO",ORÇAMENTO.PrecoUnitarioLicitado&gt;$AN347)),"ACIMA REF.",
IF(AND($C347="S",$P347&lt;&gt;"",$Q347&lt;&gt;"",$T347=0,$U347&gt;0),"QUANT.",
IF(AND(Import.TipoArredondamento="TransfereGOV",$L347="F",$C347="S",LEN($Q347)&gt;13),"Código &gt;13",
IF(AND(Import.TipoArredondamento="TransfereGOV",$L347="F",$C347&lt;&gt;"S",LEN($R347)&gt;100),"Descrição &gt;100",
IF(AND(Import.TipoArredondamento="TransfereGOV",$L347="F",$C347="S",LEN($R347)&gt;500),"Descrição &gt;500",
IF(AND(Import.TipoArredondamento="TransfereGOV",$L347="F",$C347="S",LEFT(TRIM(UPPER($P347)),6)&lt;&gt;"SINAPI",ISNA(VLOOKUP(TRIM(UPPER($S347)),ListaTgov.Unidades,1,FALSE))),"Unid. Não Disp",
" "))))))))))))))))</f>
        <v xml:space="preserve"> </v>
      </c>
      <c r="AD347" t="str">
        <f ca="1">IF(C347&lt;=CRONO.NivelExibicao,MAX($AD$15:OFFSET(AD347,-1,0))+IF($C347&lt;&gt;1,1,MAX(1,COUNTIF(QCI!$A$13:$A$15,OFFSET($E347,-1,0)))),"")</f>
        <v/>
      </c>
      <c r="AE347" s="7" t="str">
        <f ca="1">IF(AND($C347="S",ORÇAMENTO.CodBarra&lt;&gt;""),IF(ORÇAMENTO.Fonte="",ORÇAMENTO.CodBarra,CONCATENATE(ORÇAMENTO.Fonte," ",ORÇAMENTO.CodBarra)))</f>
        <v>COTAÇÃO COT-042</v>
      </c>
      <c r="AF347" s="12">
        <f ca="1">IF(ISERROR(INDIRECT(ORÇAMENTO.BancoRef)),"(abra o arquivo 'Referência "&amp;Excel_BuiltIn_Database&amp;".xlsm)",IF(OR($C347&lt;&gt;"S",ORÇAMENTO.CodBarra=""),"(Sem Código)",IF(ISERROR(MATCH($AE347,INDIRECT(ORÇAMENTO.BancoRef),0)),"(Código não identificado nas referências)",MATCH($AE347,INDIRECT(ORÇAMENTO.BancoRef),0))))</f>
        <v>110</v>
      </c>
      <c r="AG347" s="428">
        <f ca="1">ROUND(IF(DESONERACAO="sim",REFERENCIA.Desonerado,REFERENCIA.NaoDesonerado),2)</f>
        <v>1019.74</v>
      </c>
      <c r="AH347" s="429">
        <f t="shared" ca="1" si="106"/>
        <v>0.16800000000000001</v>
      </c>
      <c r="AJ347" s="431">
        <f>4</f>
        <v>4</v>
      </c>
      <c r="AL347" s="439"/>
      <c r="AM347" s="336">
        <f t="shared" ca="1" si="92"/>
        <v>4764.24</v>
      </c>
      <c r="AN347" s="470">
        <f t="shared" ca="1" si="107"/>
        <v>1191.06</v>
      </c>
    </row>
    <row r="348" spans="1:40" x14ac:dyDescent="0.2">
      <c r="A348" t="str">
        <f t="shared" si="93"/>
        <v>S</v>
      </c>
      <c r="B348">
        <f t="shared" ca="1" si="94"/>
        <v>4</v>
      </c>
      <c r="C348" t="str">
        <f t="shared" ca="1" si="95"/>
        <v>S</v>
      </c>
      <c r="D348">
        <f t="shared" ca="1" si="96"/>
        <v>0</v>
      </c>
      <c r="E348">
        <f ca="1">IF($C348=1,OFFSET(E348,-1,0)+MAX(1,COUNTIF(QCI!$A$13:$A$15,OFFSET(ORÇAMENTO!E348,-1,0))),OFFSET(E348,-1,0))</f>
        <v>1</v>
      </c>
      <c r="F348">
        <f t="shared" ca="1" si="97"/>
        <v>7</v>
      </c>
      <c r="G348">
        <f t="shared" ca="1" si="98"/>
        <v>6</v>
      </c>
      <c r="H348">
        <f t="shared" ca="1" si="99"/>
        <v>1</v>
      </c>
      <c r="I348">
        <f t="shared" ca="1" si="100"/>
        <v>7</v>
      </c>
      <c r="J348">
        <f t="shared" ca="1" si="91"/>
        <v>0</v>
      </c>
      <c r="K348">
        <f ca="1">IF(OR($C348="S",$C348=0),0,MATCH(OFFSET($D348,0,$C348)+IF($C348&lt;&gt;1,1,COUNTIF(QCI!$A$13:$A$15,ORÇAMENTO!E348)),OFFSET($D348,1,$C348,ROW($C$508)-ROW($C348)),0))</f>
        <v>0</v>
      </c>
      <c r="L348" s="114" t="str">
        <f t="shared" ca="1" si="101"/>
        <v>F</v>
      </c>
      <c r="M348" s="115" t="s">
        <v>705</v>
      </c>
      <c r="N348" s="116" t="str">
        <f t="shared" ca="1" si="102"/>
        <v>Serviço</v>
      </c>
      <c r="O348" s="117" t="str">
        <f t="shared" ca="1" si="103"/>
        <v>1.7.6.1.7.</v>
      </c>
      <c r="P348" s="118" t="s">
        <v>1283</v>
      </c>
      <c r="Q348" s="119" t="s">
        <v>1076</v>
      </c>
      <c r="R348" s="120" t="str">
        <f ca="1">IF($C348="S",REFERENCIA.Descricao,"(digite a descrição aqui)")</f>
        <v>REGISTRO GAVETA FLANGE E CABEÇOTE PN10 DN150MM</v>
      </c>
      <c r="S348" s="121" t="str">
        <f ca="1">REFERENCIA.Unidade</f>
        <v>UN</v>
      </c>
      <c r="T348" s="122">
        <f ca="1">OFFSET(CÁLCULO!H$15,ROW($T348)-ROW(T$15),0)</f>
        <v>2</v>
      </c>
      <c r="U348" s="123">
        <f t="shared" ca="1" si="108"/>
        <v>1641.1</v>
      </c>
      <c r="V348" s="124" t="s">
        <v>697</v>
      </c>
      <c r="W348" s="122">
        <f ca="1">IF($C348="S",ROUND(IF(TIPOORCAMENTO="Proposto",ORÇAMENTO.CustoUnitario*(1+$AH348),ORÇAMENTO.PrecoUnitarioLicitado),15-13*$AF$10),0)</f>
        <v>1916.8</v>
      </c>
      <c r="X348" s="125" cm="1">
        <f t="array" aca="1" ref="X348" ca="1">IF($C348="S",IF(OR(Import.TipoArredondamento&lt;&gt;"TransfereGOV",ACOMPANHAMENTO="BM"),VTOTAL1,SUM(OFFSET(CÁLCULO!$AI$15,ROW($X348)-ROW($X$15),1):OFFSET(CÁLCULO!$BB$15,ROW($X348)-ROW($X$15),-1))),IF($C348=0,0,ROUND(SomaAgrup,15-13*$AF$11)))</f>
        <v>3833.6</v>
      </c>
      <c r="Y348" s="126" t="s">
        <v>751</v>
      </c>
      <c r="Z348" t="str">
        <f t="shared" ca="1" si="104"/>
        <v>RA</v>
      </c>
      <c r="AA348" s="127">
        <f ca="1">IF($C348="S",IF($Z348="CP",$X348,IF($Z348="RA",(($X348)*QCI!$AA$3),0)),SomaAgrup)</f>
        <v>0</v>
      </c>
      <c r="AB348" s="128">
        <f t="shared" ca="1" si="105"/>
        <v>0</v>
      </c>
      <c r="AC348" s="565" t="str" cm="1">
        <f t="array" aca="1" ref="AC348" ca="1">IF($N348=""," ",
IF(AND($C348&lt;&gt;"S",OR($R348="",$R348="(digite a descrição aqui)")),"DESCRIÇÃO",
IF(AND($C348="S",OR($Q348&lt;&gt;"",$T348&gt;0,$U348&gt;0),$P348=""),"FONTE",
IF(AND($C348="S",$P348&lt;&gt;"",OR($T348&gt;0,$U348&gt;0),$Q348=""),"CÓDIGO",
IF(AND($C348="S",$P348&lt;&gt;"",$Q348&lt;&gt;"",$R348="(Código não identificado nas referências)"),"CÓDIGO N/ID",
IF(AND($C348="S",OR($R348="",$R348="(digite a descrição aqui)"),OR($Q348&lt;&gt;"",$T348&gt;0,$U348&gt;0)),"DESCRIÇÃO",
IF(AND($C348="S",$P348&lt;&gt;"",$Q348&lt;&gt;"",$S348=""),"UNIDADE",
IF(AND($C348="S",$P348&lt;&gt;"",$Q348&lt;&gt;"",$U348=0),"SEM CUSTO",
IF(AND(_xlfn.SINGLE(TIPOORCAMENTO)="Licitado",$AL348=0,$AN348&gt;0),"SEM PREÇO",
IF(AND($C348="S",$P348&lt;&gt;"",$Q348&lt;&gt;"",$U348&gt;0,AND($V348&lt;&gt;"BDI 1",$V348&lt;&gt;"BDI 2",$V348&lt;&gt;"BDI 3")),IF(ISNUMBER($V348),"JUSTIFICAR BDI","BDI"),
IF(OR(AND(import.recurso="OGU",TIPOORCAMENTO="Proposto",LEFT($O$8,5)&lt;&gt;"(N/D:",$AG348&lt;&gt;"",ORÇAMENTO.CustoUnitario&gt;$AG348),AND(TIPOORCAMENTO="LICITADO",ORÇAMENTO.PrecoUnitarioLicitado&gt;$AN348)),"ACIMA REF.",
IF(AND($C348="S",$P348&lt;&gt;"",$Q348&lt;&gt;"",$T348=0,$U348&gt;0),"QUANT.",
IF(AND(Import.TipoArredondamento="TransfereGOV",$L348="F",$C348="S",LEN($Q348)&gt;13),"Código &gt;13",
IF(AND(Import.TipoArredondamento="TransfereGOV",$L348="F",$C348&lt;&gt;"S",LEN($R348)&gt;100),"Descrição &gt;100",
IF(AND(Import.TipoArredondamento="TransfereGOV",$L348="F",$C348="S",LEN($R348)&gt;500),"Descrição &gt;500",
IF(AND(Import.TipoArredondamento="TransfereGOV",$L348="F",$C348="S",LEFT(TRIM(UPPER($P348)),6)&lt;&gt;"SINAPI",ISNA(VLOOKUP(TRIM(UPPER($S348)),ListaTgov.Unidades,1,FALSE))),"Unid. Não Disp",
" "))))))))))))))))</f>
        <v xml:space="preserve"> </v>
      </c>
      <c r="AD348" t="str">
        <f ca="1">IF(C348&lt;=CRONO.NivelExibicao,MAX($AD$15:OFFSET(AD348,-1,0))+IF($C348&lt;&gt;1,1,MAX(1,COUNTIF(QCI!$A$13:$A$15,OFFSET($E348,-1,0)))),"")</f>
        <v/>
      </c>
      <c r="AE348" s="7" t="str">
        <f ca="1">IF(AND($C348="S",ORÇAMENTO.CodBarra&lt;&gt;""),IF(ORÇAMENTO.Fonte="",ORÇAMENTO.CodBarra,CONCATENATE(ORÇAMENTO.Fonte," ",ORÇAMENTO.CodBarra)))</f>
        <v>COTAÇÃO COT-030</v>
      </c>
      <c r="AF348" s="12">
        <f ca="1">IF(ISERROR(INDIRECT(ORÇAMENTO.BancoRef)),"(abra o arquivo 'Referência "&amp;Excel_BuiltIn_Database&amp;".xlsm)",IF(OR($C348&lt;&gt;"S",ORÇAMENTO.CodBarra=""),"(Sem Código)",IF(ISERROR(MATCH($AE348,INDIRECT(ORÇAMENTO.BancoRef),0)),"(Código não identificado nas referências)",MATCH($AE348,INDIRECT(ORÇAMENTO.BancoRef),0))))</f>
        <v>98</v>
      </c>
      <c r="AG348" s="428">
        <f ca="1">ROUND(IF(DESONERACAO="sim",REFERENCIA.Desonerado,REFERENCIA.NaoDesonerado),2)</f>
        <v>1641.1</v>
      </c>
      <c r="AH348" s="429">
        <f t="shared" ca="1" si="106"/>
        <v>0.16800000000000001</v>
      </c>
      <c r="AJ348" s="431">
        <f>2</f>
        <v>2</v>
      </c>
      <c r="AL348" s="439"/>
      <c r="AM348" s="336">
        <f t="shared" ca="1" si="92"/>
        <v>3833.6</v>
      </c>
      <c r="AN348" s="470">
        <f t="shared" ca="1" si="107"/>
        <v>1916.8</v>
      </c>
    </row>
    <row r="349" spans="1:40" x14ac:dyDescent="0.2">
      <c r="A349" t="str">
        <f t="shared" si="93"/>
        <v>S</v>
      </c>
      <c r="B349">
        <f t="shared" ca="1" si="94"/>
        <v>4</v>
      </c>
      <c r="C349" t="str">
        <f t="shared" ca="1" si="95"/>
        <v>S</v>
      </c>
      <c r="D349">
        <f t="shared" ca="1" si="96"/>
        <v>0</v>
      </c>
      <c r="E349">
        <f ca="1">IF($C349=1,OFFSET(E349,-1,0)+MAX(1,COUNTIF(QCI!$A$13:$A$15,OFFSET(ORÇAMENTO!E349,-1,0))),OFFSET(E349,-1,0))</f>
        <v>1</v>
      </c>
      <c r="F349">
        <f t="shared" ca="1" si="97"/>
        <v>7</v>
      </c>
      <c r="G349">
        <f t="shared" ca="1" si="98"/>
        <v>6</v>
      </c>
      <c r="H349">
        <f t="shared" ca="1" si="99"/>
        <v>1</v>
      </c>
      <c r="I349">
        <f t="shared" ca="1" si="100"/>
        <v>8</v>
      </c>
      <c r="J349">
        <f t="shared" ca="1" si="91"/>
        <v>0</v>
      </c>
      <c r="K349">
        <f ca="1">IF(OR($C349="S",$C349=0),0,MATCH(OFFSET($D349,0,$C349)+IF($C349&lt;&gt;1,1,COUNTIF(QCI!$A$13:$A$15,ORÇAMENTO!E349)),OFFSET($D349,1,$C349,ROW($C$508)-ROW($C349)),0))</f>
        <v>0</v>
      </c>
      <c r="L349" s="114" t="str">
        <f t="shared" ca="1" si="101"/>
        <v>F</v>
      </c>
      <c r="M349" s="115" t="s">
        <v>705</v>
      </c>
      <c r="N349" s="116" t="str">
        <f t="shared" ca="1" si="102"/>
        <v>Serviço</v>
      </c>
      <c r="O349" s="117" t="str">
        <f t="shared" ca="1" si="103"/>
        <v>1.7.6.1.8.</v>
      </c>
      <c r="P349" s="118" t="s">
        <v>1283</v>
      </c>
      <c r="Q349" s="119" t="s">
        <v>1114</v>
      </c>
      <c r="R349" s="120" t="str">
        <f ca="1">IF($C349="S",REFERENCIA.Descricao,"(digite a descrição aqui)")</f>
        <v>JUNTA DE DESMONTAGEM AXIAL FoFo - DN 150 MM</v>
      </c>
      <c r="S349" s="121" t="str">
        <f ca="1">REFERENCIA.Unidade</f>
        <v>UN</v>
      </c>
      <c r="T349" s="122">
        <f ca="1">OFFSET(CÁLCULO!H$15,ROW($T349)-ROW(T$15),0)</f>
        <v>2</v>
      </c>
      <c r="U349" s="123">
        <f t="shared" ca="1" si="108"/>
        <v>1644.16</v>
      </c>
      <c r="V349" s="124" t="s">
        <v>697</v>
      </c>
      <c r="W349" s="122">
        <f ca="1">IF($C349="S",ROUND(IF(TIPOORCAMENTO="Proposto",ORÇAMENTO.CustoUnitario*(1+$AH349),ORÇAMENTO.PrecoUnitarioLicitado),15-13*$AF$10),0)</f>
        <v>1920.38</v>
      </c>
      <c r="X349" s="125" cm="1">
        <f t="array" aca="1" ref="X349" ca="1">IF($C349="S",IF(OR(Import.TipoArredondamento&lt;&gt;"TransfereGOV",ACOMPANHAMENTO="BM"),VTOTAL1,SUM(OFFSET(CÁLCULO!$AI$15,ROW($X349)-ROW($X$15),1):OFFSET(CÁLCULO!$BB$15,ROW($X349)-ROW($X$15),-1))),IF($C349=0,0,ROUND(SomaAgrup,15-13*$AF$11)))</f>
        <v>3840.76</v>
      </c>
      <c r="Y349" s="126" t="s">
        <v>751</v>
      </c>
      <c r="Z349" t="str">
        <f t="shared" ca="1" si="104"/>
        <v>RA</v>
      </c>
      <c r="AA349" s="127">
        <f ca="1">IF($C349="S",IF($Z349="CP",$X349,IF($Z349="RA",(($X349)*QCI!$AA$3),0)),SomaAgrup)</f>
        <v>0</v>
      </c>
      <c r="AB349" s="128">
        <f t="shared" ca="1" si="105"/>
        <v>0</v>
      </c>
      <c r="AC349" s="565" t="str" cm="1">
        <f t="array" aca="1" ref="AC349" ca="1">IF($N349=""," ",
IF(AND($C349&lt;&gt;"S",OR($R349="",$R349="(digite a descrição aqui)")),"DESCRIÇÃO",
IF(AND($C349="S",OR($Q349&lt;&gt;"",$T349&gt;0,$U349&gt;0),$P349=""),"FONTE",
IF(AND($C349="S",$P349&lt;&gt;"",OR($T349&gt;0,$U349&gt;0),$Q349=""),"CÓDIGO",
IF(AND($C349="S",$P349&lt;&gt;"",$Q349&lt;&gt;"",$R349="(Código não identificado nas referências)"),"CÓDIGO N/ID",
IF(AND($C349="S",OR($R349="",$R349="(digite a descrição aqui)"),OR($Q349&lt;&gt;"",$T349&gt;0,$U349&gt;0)),"DESCRIÇÃO",
IF(AND($C349="S",$P349&lt;&gt;"",$Q349&lt;&gt;"",$S349=""),"UNIDADE",
IF(AND($C349="S",$P349&lt;&gt;"",$Q349&lt;&gt;"",$U349=0),"SEM CUSTO",
IF(AND(_xlfn.SINGLE(TIPOORCAMENTO)="Licitado",$AL349=0,$AN349&gt;0),"SEM PREÇO",
IF(AND($C349="S",$P349&lt;&gt;"",$Q349&lt;&gt;"",$U349&gt;0,AND($V349&lt;&gt;"BDI 1",$V349&lt;&gt;"BDI 2",$V349&lt;&gt;"BDI 3")),IF(ISNUMBER($V349),"JUSTIFICAR BDI","BDI"),
IF(OR(AND(import.recurso="OGU",TIPOORCAMENTO="Proposto",LEFT($O$8,5)&lt;&gt;"(N/D:",$AG349&lt;&gt;"",ORÇAMENTO.CustoUnitario&gt;$AG349),AND(TIPOORCAMENTO="LICITADO",ORÇAMENTO.PrecoUnitarioLicitado&gt;$AN349)),"ACIMA REF.",
IF(AND($C349="S",$P349&lt;&gt;"",$Q349&lt;&gt;"",$T349=0,$U349&gt;0),"QUANT.",
IF(AND(Import.TipoArredondamento="TransfereGOV",$L349="F",$C349="S",LEN($Q349)&gt;13),"Código &gt;13",
IF(AND(Import.TipoArredondamento="TransfereGOV",$L349="F",$C349&lt;&gt;"S",LEN($R349)&gt;100),"Descrição &gt;100",
IF(AND(Import.TipoArredondamento="TransfereGOV",$L349="F",$C349="S",LEN($R349)&gt;500),"Descrição &gt;500",
IF(AND(Import.TipoArredondamento="TransfereGOV",$L349="F",$C349="S",LEFT(TRIM(UPPER($P349)),6)&lt;&gt;"SINAPI",ISNA(VLOOKUP(TRIM(UPPER($S349)),ListaTgov.Unidades,1,FALSE))),"Unid. Não Disp",
" "))))))))))))))))</f>
        <v xml:space="preserve"> </v>
      </c>
      <c r="AD349" t="str">
        <f ca="1">IF(C349&lt;=CRONO.NivelExibicao,MAX($AD$15:OFFSET(AD349,-1,0))+IF($C349&lt;&gt;1,1,MAX(1,COUNTIF(QCI!$A$13:$A$15,OFFSET($E349,-1,0)))),"")</f>
        <v/>
      </c>
      <c r="AE349" s="7" t="str">
        <f ca="1">IF(AND($C349="S",ORÇAMENTO.CodBarra&lt;&gt;""),IF(ORÇAMENTO.Fonte="",ORÇAMENTO.CodBarra,CONCATENATE(ORÇAMENTO.Fonte," ",ORÇAMENTO.CodBarra)))</f>
        <v>COTAÇÃO COT-043</v>
      </c>
      <c r="AF349" s="12">
        <f ca="1">IF(ISERROR(INDIRECT(ORÇAMENTO.BancoRef)),"(abra o arquivo 'Referência "&amp;Excel_BuiltIn_Database&amp;".xlsm)",IF(OR($C349&lt;&gt;"S",ORÇAMENTO.CodBarra=""),"(Sem Código)",IF(ISERROR(MATCH($AE349,INDIRECT(ORÇAMENTO.BancoRef),0)),"(Código não identificado nas referências)",MATCH($AE349,INDIRECT(ORÇAMENTO.BancoRef),0))))</f>
        <v>111</v>
      </c>
      <c r="AG349" s="428">
        <f ca="1">ROUND(IF(DESONERACAO="sim",REFERENCIA.Desonerado,REFERENCIA.NaoDesonerado),2)</f>
        <v>1644.16</v>
      </c>
      <c r="AH349" s="429">
        <f t="shared" ca="1" si="106"/>
        <v>0.16800000000000001</v>
      </c>
      <c r="AJ349" s="431">
        <f>2</f>
        <v>2</v>
      </c>
      <c r="AL349" s="439"/>
      <c r="AM349" s="336">
        <f t="shared" ca="1" si="92"/>
        <v>3840.76</v>
      </c>
      <c r="AN349" s="470">
        <f t="shared" ca="1" si="107"/>
        <v>1920.38</v>
      </c>
    </row>
    <row r="350" spans="1:40" x14ac:dyDescent="0.2">
      <c r="A350" t="str">
        <f t="shared" si="93"/>
        <v>S</v>
      </c>
      <c r="B350">
        <f t="shared" ca="1" si="94"/>
        <v>4</v>
      </c>
      <c r="C350" t="str">
        <f t="shared" ca="1" si="95"/>
        <v>S</v>
      </c>
      <c r="D350">
        <f t="shared" ca="1" si="96"/>
        <v>0</v>
      </c>
      <c r="E350">
        <f ca="1">IF($C350=1,OFFSET(E350,-1,0)+MAX(1,COUNTIF(QCI!$A$13:$A$15,OFFSET(ORÇAMENTO!E350,-1,0))),OFFSET(E350,-1,0))</f>
        <v>1</v>
      </c>
      <c r="F350">
        <f t="shared" ca="1" si="97"/>
        <v>7</v>
      </c>
      <c r="G350">
        <f t="shared" ca="1" si="98"/>
        <v>6</v>
      </c>
      <c r="H350">
        <f t="shared" ca="1" si="99"/>
        <v>1</v>
      </c>
      <c r="I350">
        <f t="shared" ca="1" si="100"/>
        <v>9</v>
      </c>
      <c r="J350">
        <f t="shared" ca="1" si="91"/>
        <v>0</v>
      </c>
      <c r="K350">
        <f ca="1">IF(OR($C350="S",$C350=0),0,MATCH(OFFSET($D350,0,$C350)+IF($C350&lt;&gt;1,1,COUNTIF(QCI!$A$13:$A$15,ORÇAMENTO!E350)),OFFSET($D350,1,$C350,ROW($C$508)-ROW($C350)),0))</f>
        <v>0</v>
      </c>
      <c r="L350" s="114" t="str">
        <f t="shared" ca="1" si="101"/>
        <v>F</v>
      </c>
      <c r="M350" s="115" t="s">
        <v>705</v>
      </c>
      <c r="N350" s="116" t="str">
        <f t="shared" ca="1" si="102"/>
        <v>Serviço</v>
      </c>
      <c r="O350" s="117" t="str">
        <f t="shared" ca="1" si="103"/>
        <v>1.7.6.1.9.</v>
      </c>
      <c r="P350" s="118" t="s">
        <v>1283</v>
      </c>
      <c r="Q350" s="119" t="s">
        <v>1058</v>
      </c>
      <c r="R350" s="120" t="str">
        <f ca="1">IF($C350="S",REFERENCIA.Descricao,"(digite a descrição aqui)")</f>
        <v>CURVA 90 BOLSAS FoFo - DN 350 MM</v>
      </c>
      <c r="S350" s="121" t="str">
        <f ca="1">REFERENCIA.Unidade</f>
        <v>UN</v>
      </c>
      <c r="T350" s="122">
        <f ca="1">OFFSET(CÁLCULO!H$15,ROW($T350)-ROW(T$15),0)</f>
        <v>2</v>
      </c>
      <c r="U350" s="123">
        <f t="shared" ca="1" si="108"/>
        <v>6404.48</v>
      </c>
      <c r="V350" s="124" t="s">
        <v>697</v>
      </c>
      <c r="W350" s="122">
        <f ca="1">IF($C350="S",ROUND(IF(TIPOORCAMENTO="Proposto",ORÇAMENTO.CustoUnitario*(1+$AH350),ORÇAMENTO.PrecoUnitarioLicitado),15-13*$AF$10),0)</f>
        <v>7480.43</v>
      </c>
      <c r="X350" s="125" cm="1">
        <f t="array" aca="1" ref="X350" ca="1">IF($C350="S",IF(OR(Import.TipoArredondamento&lt;&gt;"TransfereGOV",ACOMPANHAMENTO="BM"),VTOTAL1,SUM(OFFSET(CÁLCULO!$AI$15,ROW($X350)-ROW($X$15),1):OFFSET(CÁLCULO!$BB$15,ROW($X350)-ROW($X$15),-1))),IF($C350=0,0,ROUND(SomaAgrup,15-13*$AF$11)))</f>
        <v>14960.86</v>
      </c>
      <c r="Y350" s="126" t="s">
        <v>751</v>
      </c>
      <c r="Z350" t="str">
        <f t="shared" ca="1" si="104"/>
        <v>RA</v>
      </c>
      <c r="AA350" s="127">
        <f ca="1">IF($C350="S",IF($Z350="CP",$X350,IF($Z350="RA",(($X350)*QCI!$AA$3),0)),SomaAgrup)</f>
        <v>0</v>
      </c>
      <c r="AB350" s="128">
        <f t="shared" ca="1" si="105"/>
        <v>0</v>
      </c>
      <c r="AC350" s="565" t="str" cm="1">
        <f t="array" aca="1" ref="AC350" ca="1">IF($N350=""," ",
IF(AND($C350&lt;&gt;"S",OR($R350="",$R350="(digite a descrição aqui)")),"DESCRIÇÃO",
IF(AND($C350="S",OR($Q350&lt;&gt;"",$T350&gt;0,$U350&gt;0),$P350=""),"FONTE",
IF(AND($C350="S",$P350&lt;&gt;"",OR($T350&gt;0,$U350&gt;0),$Q350=""),"CÓDIGO",
IF(AND($C350="S",$P350&lt;&gt;"",$Q350&lt;&gt;"",$R350="(Código não identificado nas referências)"),"CÓDIGO N/ID",
IF(AND($C350="S",OR($R350="",$R350="(digite a descrição aqui)"),OR($Q350&lt;&gt;"",$T350&gt;0,$U350&gt;0)),"DESCRIÇÃO",
IF(AND($C350="S",$P350&lt;&gt;"",$Q350&lt;&gt;"",$S350=""),"UNIDADE",
IF(AND($C350="S",$P350&lt;&gt;"",$Q350&lt;&gt;"",$U350=0),"SEM CUSTO",
IF(AND(_xlfn.SINGLE(TIPOORCAMENTO)="Licitado",$AL350=0,$AN350&gt;0),"SEM PREÇO",
IF(AND($C350="S",$P350&lt;&gt;"",$Q350&lt;&gt;"",$U350&gt;0,AND($V350&lt;&gt;"BDI 1",$V350&lt;&gt;"BDI 2",$V350&lt;&gt;"BDI 3")),IF(ISNUMBER($V350),"JUSTIFICAR BDI","BDI"),
IF(OR(AND(import.recurso="OGU",TIPOORCAMENTO="Proposto",LEFT($O$8,5)&lt;&gt;"(N/D:",$AG350&lt;&gt;"",ORÇAMENTO.CustoUnitario&gt;$AG350),AND(TIPOORCAMENTO="LICITADO",ORÇAMENTO.PrecoUnitarioLicitado&gt;$AN350)),"ACIMA REF.",
IF(AND($C350="S",$P350&lt;&gt;"",$Q350&lt;&gt;"",$T350=0,$U350&gt;0),"QUANT.",
IF(AND(Import.TipoArredondamento="TransfereGOV",$L350="F",$C350="S",LEN($Q350)&gt;13),"Código &gt;13",
IF(AND(Import.TipoArredondamento="TransfereGOV",$L350="F",$C350&lt;&gt;"S",LEN($R350)&gt;100),"Descrição &gt;100",
IF(AND(Import.TipoArredondamento="TransfereGOV",$L350="F",$C350="S",LEN($R350)&gt;500),"Descrição &gt;500",
IF(AND(Import.TipoArredondamento="TransfereGOV",$L350="F",$C350="S",LEFT(TRIM(UPPER($P350)),6)&lt;&gt;"SINAPI",ISNA(VLOOKUP(TRIM(UPPER($S350)),ListaTgov.Unidades,1,FALSE))),"Unid. Não Disp",
" "))))))))))))))))</f>
        <v xml:space="preserve"> </v>
      </c>
      <c r="AD350" t="str">
        <f ca="1">IF(C350&lt;=CRONO.NivelExibicao,MAX($AD$15:OFFSET(AD350,-1,0))+IF($C350&lt;&gt;1,1,MAX(1,COUNTIF(QCI!$A$13:$A$15,OFFSET($E350,-1,0)))),"")</f>
        <v/>
      </c>
      <c r="AE350" s="7" t="str">
        <f ca="1">IF(AND($C350="S",ORÇAMENTO.CodBarra&lt;&gt;""),IF(ORÇAMENTO.Fonte="",ORÇAMENTO.CodBarra,CONCATENATE(ORÇAMENTO.Fonte," ",ORÇAMENTO.CodBarra)))</f>
        <v>COTAÇÃO COT-015</v>
      </c>
      <c r="AF350" s="12">
        <f ca="1">IF(ISERROR(INDIRECT(ORÇAMENTO.BancoRef)),"(abra o arquivo 'Referência "&amp;Excel_BuiltIn_Database&amp;".xlsm)",IF(OR($C350&lt;&gt;"S",ORÇAMENTO.CodBarra=""),"(Sem Código)",IF(ISERROR(MATCH($AE350,INDIRECT(ORÇAMENTO.BancoRef),0)),"(Código não identificado nas referências)",MATCH($AE350,INDIRECT(ORÇAMENTO.BancoRef),0))))</f>
        <v>83</v>
      </c>
      <c r="AG350" s="428">
        <f ca="1">ROUND(IF(DESONERACAO="sim",REFERENCIA.Desonerado,REFERENCIA.NaoDesonerado),2)</f>
        <v>6404.48</v>
      </c>
      <c r="AH350" s="429">
        <f t="shared" ca="1" si="106"/>
        <v>0.16800000000000001</v>
      </c>
      <c r="AJ350" s="431">
        <v>2</v>
      </c>
      <c r="AL350" s="439"/>
      <c r="AM350" s="336">
        <f t="shared" ca="1" si="92"/>
        <v>14960.86</v>
      </c>
      <c r="AN350" s="470">
        <f t="shared" ca="1" si="107"/>
        <v>7480.43</v>
      </c>
    </row>
    <row r="351" spans="1:40" ht="25.5" x14ac:dyDescent="0.2">
      <c r="A351" t="str">
        <f t="shared" si="93"/>
        <v>S</v>
      </c>
      <c r="B351">
        <f t="shared" ca="1" si="94"/>
        <v>4</v>
      </c>
      <c r="C351" t="str">
        <f t="shared" ca="1" si="95"/>
        <v>S</v>
      </c>
      <c r="D351">
        <f t="shared" ca="1" si="96"/>
        <v>0</v>
      </c>
      <c r="E351">
        <f ca="1">IF($C351=1,OFFSET(E351,-1,0)+MAX(1,COUNTIF(QCI!$A$13:$A$15,OFFSET(ORÇAMENTO!E351,-1,0))),OFFSET(E351,-1,0))</f>
        <v>1</v>
      </c>
      <c r="F351">
        <f t="shared" ca="1" si="97"/>
        <v>7</v>
      </c>
      <c r="G351">
        <f t="shared" ca="1" si="98"/>
        <v>6</v>
      </c>
      <c r="H351">
        <f t="shared" ca="1" si="99"/>
        <v>1</v>
      </c>
      <c r="I351">
        <f t="shared" ca="1" si="100"/>
        <v>10</v>
      </c>
      <c r="J351">
        <f t="shared" ca="1" si="91"/>
        <v>0</v>
      </c>
      <c r="K351">
        <f ca="1">IF(OR($C351="S",$C351=0),0,MATCH(OFFSET($D351,0,$C351)+IF($C351&lt;&gt;1,1,COUNTIF(QCI!$A$13:$A$15,ORÇAMENTO!E351)),OFFSET($D351,1,$C351,ROW($C$508)-ROW($C351)),0))</f>
        <v>0</v>
      </c>
      <c r="L351" s="114" t="str">
        <f t="shared" ca="1" si="101"/>
        <v>F</v>
      </c>
      <c r="M351" s="115" t="s">
        <v>705</v>
      </c>
      <c r="N351" s="116" t="str">
        <f t="shared" ca="1" si="102"/>
        <v>Serviço</v>
      </c>
      <c r="O351" s="117" t="str">
        <f t="shared" ca="1" si="103"/>
        <v>1.7.6.1.10.</v>
      </c>
      <c r="P351" s="118" t="s">
        <v>1281</v>
      </c>
      <c r="Q351" s="119" t="s">
        <v>1453</v>
      </c>
      <c r="R351" s="120" t="str">
        <f ca="1">IF($C351="S",REFERENCIA.Descricao,"(digite a descrição aqui)")</f>
        <v>FORNECIMENTO E ASSENTAMENTO DE TUBO DE PVC DEFOFO, DN 350 MM, JUNTA ELÁSTICA INTEGRADA - BASEADO EM SINAPI (97138)</v>
      </c>
      <c r="S351" s="121" t="str">
        <f ca="1">REFERENCIA.Unidade</f>
        <v>M</v>
      </c>
      <c r="T351" s="122">
        <f ca="1">OFFSET(CÁLCULO!H$15,ROW($T351)-ROW(T$15),0)</f>
        <v>92.5</v>
      </c>
      <c r="U351" s="123">
        <f t="shared" ca="1" si="108"/>
        <v>618.79999999999995</v>
      </c>
      <c r="V351" s="124" t="s">
        <v>663</v>
      </c>
      <c r="W351" s="122">
        <f ca="1">IF($C351="S",ROUND(IF(TIPOORCAMENTO="Proposto",ORÇAMENTO.CustoUnitario*(1+$AH351),ORÇAMENTO.PrecoUnitarioLicitado),15-13*$AF$10),0)</f>
        <v>764.22</v>
      </c>
      <c r="X351" s="125" cm="1">
        <f t="array" aca="1" ref="X351" ca="1">IF($C351="S",IF(OR(Import.TipoArredondamento&lt;&gt;"TransfereGOV",ACOMPANHAMENTO="BM"),VTOTAL1,SUM(OFFSET(CÁLCULO!$AI$15,ROW($X351)-ROW($X$15),1):OFFSET(CÁLCULO!$BB$15,ROW($X351)-ROW($X$15),-1))),IF($C351=0,0,ROUND(SomaAgrup,15-13*$AF$11)))</f>
        <v>70690.350000000006</v>
      </c>
      <c r="Y351" s="126" t="s">
        <v>751</v>
      </c>
      <c r="Z351" t="str">
        <f t="shared" ca="1" si="104"/>
        <v>RA</v>
      </c>
      <c r="AA351" s="127">
        <f ca="1">IF($C351="S",IF($Z351="CP",$X351,IF($Z351="RA",(($X351)*QCI!$AA$3),0)),SomaAgrup)</f>
        <v>0</v>
      </c>
      <c r="AB351" s="128">
        <f t="shared" ca="1" si="105"/>
        <v>0</v>
      </c>
      <c r="AC351" s="565" t="str" cm="1">
        <f t="array" aca="1" ref="AC351" ca="1">IF($N351=""," ",
IF(AND($C351&lt;&gt;"S",OR($R351="",$R351="(digite a descrição aqui)")),"DESCRIÇÃO",
IF(AND($C351="S",OR($Q351&lt;&gt;"",$T351&gt;0,$U351&gt;0),$P351=""),"FONTE",
IF(AND($C351="S",$P351&lt;&gt;"",OR($T351&gt;0,$U351&gt;0),$Q351=""),"CÓDIGO",
IF(AND($C351="S",$P351&lt;&gt;"",$Q351&lt;&gt;"",$R351="(Código não identificado nas referências)"),"CÓDIGO N/ID",
IF(AND($C351="S",OR($R351="",$R351="(digite a descrição aqui)"),OR($Q351&lt;&gt;"",$T351&gt;0,$U351&gt;0)),"DESCRIÇÃO",
IF(AND($C351="S",$P351&lt;&gt;"",$Q351&lt;&gt;"",$S351=""),"UNIDADE",
IF(AND($C351="S",$P351&lt;&gt;"",$Q351&lt;&gt;"",$U351=0),"SEM CUSTO",
IF(AND(_xlfn.SINGLE(TIPOORCAMENTO)="Licitado",$AL351=0,$AN351&gt;0),"SEM PREÇO",
IF(AND($C351="S",$P351&lt;&gt;"",$Q351&lt;&gt;"",$U351&gt;0,AND($V351&lt;&gt;"BDI 1",$V351&lt;&gt;"BDI 2",$V351&lt;&gt;"BDI 3")),IF(ISNUMBER($V351),"JUSTIFICAR BDI","BDI"),
IF(OR(AND(import.recurso="OGU",TIPOORCAMENTO="Proposto",LEFT($O$8,5)&lt;&gt;"(N/D:",$AG351&lt;&gt;"",ORÇAMENTO.CustoUnitario&gt;$AG351),AND(TIPOORCAMENTO="LICITADO",ORÇAMENTO.PrecoUnitarioLicitado&gt;$AN351)),"ACIMA REF.",
IF(AND($C351="S",$P351&lt;&gt;"",$Q351&lt;&gt;"",$T351=0,$U351&gt;0),"QUANT.",
IF(AND(Import.TipoArredondamento="TransfereGOV",$L351="F",$C351="S",LEN($Q351)&gt;13),"Código &gt;13",
IF(AND(Import.TipoArredondamento="TransfereGOV",$L351="F",$C351&lt;&gt;"S",LEN($R351)&gt;100),"Descrição &gt;100",
IF(AND(Import.TipoArredondamento="TransfereGOV",$L351="F",$C351="S",LEN($R351)&gt;500),"Descrição &gt;500",
IF(AND(Import.TipoArredondamento="TransfereGOV",$L351="F",$C351="S",LEFT(TRIM(UPPER($P351)),6)&lt;&gt;"SINAPI",ISNA(VLOOKUP(TRIM(UPPER($S351)),ListaTgov.Unidades,1,FALSE))),"Unid. Não Disp",
" "))))))))))))))))</f>
        <v xml:space="preserve"> </v>
      </c>
      <c r="AD351" t="str">
        <f ca="1">IF(C351&lt;=CRONO.NivelExibicao,MAX($AD$15:OFFSET(AD351,-1,0))+IF($C351&lt;&gt;1,1,MAX(1,COUNTIF(QCI!$A$13:$A$15,OFFSET($E351,-1,0)))),"")</f>
        <v/>
      </c>
      <c r="AE351" s="7" t="str">
        <f ca="1">IF(AND($C351="S",ORÇAMENTO.CodBarra&lt;&gt;""),IF(ORÇAMENTO.Fonte="",ORÇAMENTO.CodBarra,CONCATENATE(ORÇAMENTO.Fonte," ",ORÇAMENTO.CodBarra)))</f>
        <v>COMPOSIÇÃO CPU-071</v>
      </c>
      <c r="AF351" s="12">
        <f ca="1">IF(ISERROR(INDIRECT(ORÇAMENTO.BancoRef)),"(abra o arquivo 'Referência "&amp;Excel_BuiltIn_Database&amp;".xlsm)",IF(OR($C351&lt;&gt;"S",ORÇAMENTO.CodBarra=""),"(Sem Código)",IF(ISERROR(MATCH($AE351,INDIRECT(ORÇAMENTO.BancoRef),0)),"(Código não identificado nas referências)",MATCH($AE351,INDIRECT(ORÇAMENTO.BancoRef),0))))</f>
        <v>32324</v>
      </c>
      <c r="AG351" s="428">
        <f ca="1">ROUND(IF(DESONERACAO="sim",REFERENCIA.Desonerado,REFERENCIA.NaoDesonerado),2)</f>
        <v>618.79999999999995</v>
      </c>
      <c r="AH351" s="429">
        <f t="shared" ca="1" si="106"/>
        <v>0.23499999999999999</v>
      </c>
      <c r="AJ351" s="431">
        <v>92.5</v>
      </c>
      <c r="AL351" s="439"/>
      <c r="AM351" s="336">
        <f t="shared" ca="1" si="92"/>
        <v>70690.350000000006</v>
      </c>
      <c r="AN351" s="470">
        <f t="shared" ca="1" si="107"/>
        <v>764.22</v>
      </c>
    </row>
    <row r="352" spans="1:40" x14ac:dyDescent="0.2">
      <c r="A352" t="str">
        <f t="shared" si="93"/>
        <v>S</v>
      </c>
      <c r="B352">
        <f t="shared" ca="1" si="94"/>
        <v>4</v>
      </c>
      <c r="C352" t="str">
        <f t="shared" ca="1" si="95"/>
        <v>S</v>
      </c>
      <c r="D352">
        <f t="shared" ca="1" si="96"/>
        <v>0</v>
      </c>
      <c r="E352">
        <f ca="1">IF($C352=1,OFFSET(E352,-1,0)+MAX(1,COUNTIF(QCI!$A$13:$A$15,OFFSET(ORÇAMENTO!E352,-1,0))),OFFSET(E352,-1,0))</f>
        <v>1</v>
      </c>
      <c r="F352">
        <f t="shared" ca="1" si="97"/>
        <v>7</v>
      </c>
      <c r="G352">
        <f t="shared" ca="1" si="98"/>
        <v>6</v>
      </c>
      <c r="H352">
        <f t="shared" ca="1" si="99"/>
        <v>1</v>
      </c>
      <c r="I352">
        <f t="shared" ca="1" si="100"/>
        <v>11</v>
      </c>
      <c r="J352">
        <f t="shared" ca="1" si="91"/>
        <v>0</v>
      </c>
      <c r="K352">
        <f ca="1">IF(OR($C352="S",$C352=0),0,MATCH(OFFSET($D352,0,$C352)+IF($C352&lt;&gt;1,1,COUNTIF(QCI!$A$13:$A$15,ORÇAMENTO!E352)),OFFSET($D352,1,$C352,ROW($C$508)-ROW($C352)),0))</f>
        <v>0</v>
      </c>
      <c r="L352" s="114" t="str">
        <f t="shared" ca="1" si="101"/>
        <v>F</v>
      </c>
      <c r="M352" s="115" t="s">
        <v>705</v>
      </c>
      <c r="N352" s="116" t="str">
        <f t="shared" ca="1" si="102"/>
        <v>Serviço</v>
      </c>
      <c r="O352" s="117" t="str">
        <f t="shared" ca="1" si="103"/>
        <v>1.7.6.1.11.</v>
      </c>
      <c r="P352" s="118" t="s">
        <v>1283</v>
      </c>
      <c r="Q352" s="119" t="s">
        <v>1085</v>
      </c>
      <c r="R352" s="120" t="str">
        <f ca="1">IF($C352="S",REFERENCIA.Descricao,"(digite a descrição aqui)")</f>
        <v>ARRUELA BORRACHA PARA FLANGE - DN 150 MM</v>
      </c>
      <c r="S352" s="121" t="str">
        <f ca="1">REFERENCIA.Unidade</f>
        <v>UN</v>
      </c>
      <c r="T352" s="122">
        <f ca="1">OFFSET(CÁLCULO!H$15,ROW($T352)-ROW(T$15),0)</f>
        <v>6</v>
      </c>
      <c r="U352" s="123">
        <f t="shared" ca="1" si="108"/>
        <v>7.42</v>
      </c>
      <c r="V352" s="124" t="s">
        <v>697</v>
      </c>
      <c r="W352" s="122">
        <f ca="1">IF($C352="S",ROUND(IF(TIPOORCAMENTO="Proposto",ORÇAMENTO.CustoUnitario*(1+$AH352),ORÇAMENTO.PrecoUnitarioLicitado),15-13*$AF$10),0)</f>
        <v>8.67</v>
      </c>
      <c r="X352" s="125" cm="1">
        <f t="array" aca="1" ref="X352" ca="1">IF($C352="S",IF(OR(Import.TipoArredondamento&lt;&gt;"TransfereGOV",ACOMPANHAMENTO="BM"),VTOTAL1,SUM(OFFSET(CÁLCULO!$AI$15,ROW($X352)-ROW($X$15),1):OFFSET(CÁLCULO!$BB$15,ROW($X352)-ROW($X$15),-1))),IF($C352=0,0,ROUND(SomaAgrup,15-13*$AF$11)))</f>
        <v>52.02</v>
      </c>
      <c r="Y352" s="126" t="s">
        <v>751</v>
      </c>
      <c r="Z352" t="str">
        <f t="shared" ca="1" si="104"/>
        <v>RA</v>
      </c>
      <c r="AA352" s="127">
        <f ca="1">IF($C352="S",IF($Z352="CP",$X352,IF($Z352="RA",(($X352)*QCI!$AA$3),0)),SomaAgrup)</f>
        <v>0</v>
      </c>
      <c r="AB352" s="128">
        <f t="shared" ca="1" si="105"/>
        <v>0</v>
      </c>
      <c r="AC352" s="565" t="str" cm="1">
        <f t="array" aca="1" ref="AC352" ca="1">IF($N352=""," ",
IF(AND($C352&lt;&gt;"S",OR($R352="",$R352="(digite a descrição aqui)")),"DESCRIÇÃO",
IF(AND($C352="S",OR($Q352&lt;&gt;"",$T352&gt;0,$U352&gt;0),$P352=""),"FONTE",
IF(AND($C352="S",$P352&lt;&gt;"",OR($T352&gt;0,$U352&gt;0),$Q352=""),"CÓDIGO",
IF(AND($C352="S",$P352&lt;&gt;"",$Q352&lt;&gt;"",$R352="(Código não identificado nas referências)"),"CÓDIGO N/ID",
IF(AND($C352="S",OR($R352="",$R352="(digite a descrição aqui)"),OR($Q352&lt;&gt;"",$T352&gt;0,$U352&gt;0)),"DESCRIÇÃO",
IF(AND($C352="S",$P352&lt;&gt;"",$Q352&lt;&gt;"",$S352=""),"UNIDADE",
IF(AND($C352="S",$P352&lt;&gt;"",$Q352&lt;&gt;"",$U352=0),"SEM CUSTO",
IF(AND(_xlfn.SINGLE(TIPOORCAMENTO)="Licitado",$AL352=0,$AN352&gt;0),"SEM PREÇO",
IF(AND($C352="S",$P352&lt;&gt;"",$Q352&lt;&gt;"",$U352&gt;0,AND($V352&lt;&gt;"BDI 1",$V352&lt;&gt;"BDI 2",$V352&lt;&gt;"BDI 3")),IF(ISNUMBER($V352),"JUSTIFICAR BDI","BDI"),
IF(OR(AND(import.recurso="OGU",TIPOORCAMENTO="Proposto",LEFT($O$8,5)&lt;&gt;"(N/D:",$AG352&lt;&gt;"",ORÇAMENTO.CustoUnitario&gt;$AG352),AND(TIPOORCAMENTO="LICITADO",ORÇAMENTO.PrecoUnitarioLicitado&gt;$AN352)),"ACIMA REF.",
IF(AND($C352="S",$P352&lt;&gt;"",$Q352&lt;&gt;"",$T352=0,$U352&gt;0),"QUANT.",
IF(AND(Import.TipoArredondamento="TransfereGOV",$L352="F",$C352="S",LEN($Q352)&gt;13),"Código &gt;13",
IF(AND(Import.TipoArredondamento="TransfereGOV",$L352="F",$C352&lt;&gt;"S",LEN($R352)&gt;100),"Descrição &gt;100",
IF(AND(Import.TipoArredondamento="TransfereGOV",$L352="F",$C352="S",LEN($R352)&gt;500),"Descrição &gt;500",
IF(AND(Import.TipoArredondamento="TransfereGOV",$L352="F",$C352="S",LEFT(TRIM(UPPER($P352)),6)&lt;&gt;"SINAPI",ISNA(VLOOKUP(TRIM(UPPER($S352)),ListaTgov.Unidades,1,FALSE))),"Unid. Não Disp",
" "))))))))))))))))</f>
        <v xml:space="preserve"> </v>
      </c>
      <c r="AD352" t="str">
        <f ca="1">IF(C352&lt;=CRONO.NivelExibicao,MAX($AD$15:OFFSET(AD352,-1,0))+IF($C352&lt;&gt;1,1,MAX(1,COUNTIF(QCI!$A$13:$A$15,OFFSET($E352,-1,0)))),"")</f>
        <v/>
      </c>
      <c r="AE352" s="7" t="str">
        <f ca="1">IF(AND($C352="S",ORÇAMENTO.CodBarra&lt;&gt;""),IF(ORÇAMENTO.Fonte="",ORÇAMENTO.CodBarra,CONCATENATE(ORÇAMENTO.Fonte," ",ORÇAMENTO.CodBarra)))</f>
        <v>COTAÇÃO COT-035</v>
      </c>
      <c r="AF352" s="12">
        <f ca="1">IF(ISERROR(INDIRECT(ORÇAMENTO.BancoRef)),"(abra o arquivo 'Referência "&amp;Excel_BuiltIn_Database&amp;".xlsm)",IF(OR($C352&lt;&gt;"S",ORÇAMENTO.CodBarra=""),"(Sem Código)",IF(ISERROR(MATCH($AE352,INDIRECT(ORÇAMENTO.BancoRef),0)),"(Código não identificado nas referências)",MATCH($AE352,INDIRECT(ORÇAMENTO.BancoRef),0))))</f>
        <v>103</v>
      </c>
      <c r="AG352" s="428">
        <f ca="1">ROUND(IF(DESONERACAO="sim",REFERENCIA.Desonerado,REFERENCIA.NaoDesonerado),2)</f>
        <v>7.42</v>
      </c>
      <c r="AH352" s="429">
        <f t="shared" ca="1" si="106"/>
        <v>0.16800000000000001</v>
      </c>
      <c r="AJ352" s="431">
        <v>6</v>
      </c>
      <c r="AL352" s="439"/>
      <c r="AM352" s="336">
        <f t="shared" ca="1" si="92"/>
        <v>52.02</v>
      </c>
      <c r="AN352" s="470">
        <f t="shared" ca="1" si="107"/>
        <v>8.67</v>
      </c>
    </row>
    <row r="353" spans="1:40" x14ac:dyDescent="0.2">
      <c r="A353" t="str">
        <f t="shared" si="93"/>
        <v>S</v>
      </c>
      <c r="B353">
        <f t="shared" ca="1" si="94"/>
        <v>4</v>
      </c>
      <c r="C353" t="str">
        <f t="shared" ca="1" si="95"/>
        <v>S</v>
      </c>
      <c r="D353">
        <f t="shared" ca="1" si="96"/>
        <v>0</v>
      </c>
      <c r="E353">
        <f ca="1">IF($C353=1,OFFSET(E353,-1,0)+MAX(1,COUNTIF(QCI!$A$13:$A$15,OFFSET(ORÇAMENTO!E353,-1,0))),OFFSET(E353,-1,0))</f>
        <v>1</v>
      </c>
      <c r="F353">
        <f t="shared" ca="1" si="97"/>
        <v>7</v>
      </c>
      <c r="G353">
        <f t="shared" ca="1" si="98"/>
        <v>6</v>
      </c>
      <c r="H353">
        <f t="shared" ca="1" si="99"/>
        <v>1</v>
      </c>
      <c r="I353">
        <f t="shared" ca="1" si="100"/>
        <v>12</v>
      </c>
      <c r="J353">
        <f t="shared" ca="1" si="91"/>
        <v>0</v>
      </c>
      <c r="K353">
        <f ca="1">IF(OR($C353="S",$C353=0),0,MATCH(OFFSET($D353,0,$C353)+IF($C353&lt;&gt;1,1,COUNTIF(QCI!$A$13:$A$15,ORÇAMENTO!E353)),OFFSET($D353,1,$C353,ROW($C$508)-ROW($C353)),0))</f>
        <v>0</v>
      </c>
      <c r="L353" s="114" t="str">
        <f t="shared" ca="1" si="101"/>
        <v>F</v>
      </c>
      <c r="M353" s="115" t="s">
        <v>705</v>
      </c>
      <c r="N353" s="116" t="str">
        <f t="shared" ca="1" si="102"/>
        <v>Serviço</v>
      </c>
      <c r="O353" s="117" t="str">
        <f t="shared" ca="1" si="103"/>
        <v>1.7.6.1.12.</v>
      </c>
      <c r="P353" s="118" t="s">
        <v>1283</v>
      </c>
      <c r="Q353" s="119" t="s">
        <v>1066</v>
      </c>
      <c r="R353" s="120" t="str">
        <f ca="1">IF($C353="S",REFERENCIA.Descricao,"(digite a descrição aqui)")</f>
        <v>PARAFUSO PARA FLANGE - 20 X 90 MM</v>
      </c>
      <c r="S353" s="121" t="str">
        <f ca="1">REFERENCIA.Unidade</f>
        <v>UN</v>
      </c>
      <c r="T353" s="122">
        <f ca="1">OFFSET(CÁLCULO!H$15,ROW($T353)-ROW(T$15),0)</f>
        <v>48</v>
      </c>
      <c r="U353" s="123">
        <f t="shared" ca="1" si="108"/>
        <v>28.19</v>
      </c>
      <c r="V353" s="124" t="s">
        <v>697</v>
      </c>
      <c r="W353" s="122">
        <f ca="1">IF($C353="S",ROUND(IF(TIPOORCAMENTO="Proposto",ORÇAMENTO.CustoUnitario*(1+$AH353),ORÇAMENTO.PrecoUnitarioLicitado),15-13*$AF$10),0)</f>
        <v>32.93</v>
      </c>
      <c r="X353" s="125" cm="1">
        <f t="array" aca="1" ref="X353" ca="1">IF($C353="S",IF(OR(Import.TipoArredondamento&lt;&gt;"TransfereGOV",ACOMPANHAMENTO="BM"),VTOTAL1,SUM(OFFSET(CÁLCULO!$AI$15,ROW($X353)-ROW($X$15),1):OFFSET(CÁLCULO!$BB$15,ROW($X353)-ROW($X$15),-1))),IF($C353=0,0,ROUND(SomaAgrup,15-13*$AF$11)))</f>
        <v>1580.64</v>
      </c>
      <c r="Y353" s="126" t="s">
        <v>751</v>
      </c>
      <c r="Z353" t="str">
        <f t="shared" ca="1" si="104"/>
        <v>RA</v>
      </c>
      <c r="AA353" s="127">
        <f ca="1">IF($C353="S",IF($Z353="CP",$X353,IF($Z353="RA",(($X353)*QCI!$AA$3),0)),SomaAgrup)</f>
        <v>0</v>
      </c>
      <c r="AB353" s="128">
        <f t="shared" ca="1" si="105"/>
        <v>0</v>
      </c>
      <c r="AC353" s="565" t="str" cm="1">
        <f t="array" aca="1" ref="AC353" ca="1">IF($N353=""," ",
IF(AND($C353&lt;&gt;"S",OR($R353="",$R353="(digite a descrição aqui)")),"DESCRIÇÃO",
IF(AND($C353="S",OR($Q353&lt;&gt;"",$T353&gt;0,$U353&gt;0),$P353=""),"FONTE",
IF(AND($C353="S",$P353&lt;&gt;"",OR($T353&gt;0,$U353&gt;0),$Q353=""),"CÓDIGO",
IF(AND($C353="S",$P353&lt;&gt;"",$Q353&lt;&gt;"",$R353="(Código não identificado nas referências)"),"CÓDIGO N/ID",
IF(AND($C353="S",OR($R353="",$R353="(digite a descrição aqui)"),OR($Q353&lt;&gt;"",$T353&gt;0,$U353&gt;0)),"DESCRIÇÃO",
IF(AND($C353="S",$P353&lt;&gt;"",$Q353&lt;&gt;"",$S353=""),"UNIDADE",
IF(AND($C353="S",$P353&lt;&gt;"",$Q353&lt;&gt;"",$U353=0),"SEM CUSTO",
IF(AND(_xlfn.SINGLE(TIPOORCAMENTO)="Licitado",$AL353=0,$AN353&gt;0),"SEM PREÇO",
IF(AND($C353="S",$P353&lt;&gt;"",$Q353&lt;&gt;"",$U353&gt;0,AND($V353&lt;&gt;"BDI 1",$V353&lt;&gt;"BDI 2",$V353&lt;&gt;"BDI 3")),IF(ISNUMBER($V353),"JUSTIFICAR BDI","BDI"),
IF(OR(AND(import.recurso="OGU",TIPOORCAMENTO="Proposto",LEFT($O$8,5)&lt;&gt;"(N/D:",$AG353&lt;&gt;"",ORÇAMENTO.CustoUnitario&gt;$AG353),AND(TIPOORCAMENTO="LICITADO",ORÇAMENTO.PrecoUnitarioLicitado&gt;$AN353)),"ACIMA REF.",
IF(AND($C353="S",$P353&lt;&gt;"",$Q353&lt;&gt;"",$T353=0,$U353&gt;0),"QUANT.",
IF(AND(Import.TipoArredondamento="TransfereGOV",$L353="F",$C353="S",LEN($Q353)&gt;13),"Código &gt;13",
IF(AND(Import.TipoArredondamento="TransfereGOV",$L353="F",$C353&lt;&gt;"S",LEN($R353)&gt;100),"Descrição &gt;100",
IF(AND(Import.TipoArredondamento="TransfereGOV",$L353="F",$C353="S",LEN($R353)&gt;500),"Descrição &gt;500",
IF(AND(Import.TipoArredondamento="TransfereGOV",$L353="F",$C353="S",LEFT(TRIM(UPPER($P353)),6)&lt;&gt;"SINAPI",ISNA(VLOOKUP(TRIM(UPPER($S353)),ListaTgov.Unidades,1,FALSE))),"Unid. Não Disp",
" "))))))))))))))))</f>
        <v xml:space="preserve"> </v>
      </c>
      <c r="AD353" t="str">
        <f ca="1">IF(C353&lt;=CRONO.NivelExibicao,MAX($AD$15:OFFSET(AD353,-1,0))+IF($C353&lt;&gt;1,1,MAX(1,COUNTIF(QCI!$A$13:$A$15,OFFSET($E353,-1,0)))),"")</f>
        <v/>
      </c>
      <c r="AE353" s="7" t="str">
        <f ca="1">IF(AND($C353="S",ORÇAMENTO.CodBarra&lt;&gt;""),IF(ORÇAMENTO.Fonte="",ORÇAMENTO.CodBarra,CONCATENATE(ORÇAMENTO.Fonte," ",ORÇAMENTO.CodBarra)))</f>
        <v>COTAÇÃO COT-022</v>
      </c>
      <c r="AF353" s="12">
        <f ca="1">IF(ISERROR(INDIRECT(ORÇAMENTO.BancoRef)),"(abra o arquivo 'Referência "&amp;Excel_BuiltIn_Database&amp;".xlsm)",IF(OR($C353&lt;&gt;"S",ORÇAMENTO.CodBarra=""),"(Sem Código)",IF(ISERROR(MATCH($AE353,INDIRECT(ORÇAMENTO.BancoRef),0)),"(Código não identificado nas referências)",MATCH($AE353,INDIRECT(ORÇAMENTO.BancoRef),0))))</f>
        <v>90</v>
      </c>
      <c r="AG353" s="428">
        <f ca="1">ROUND(IF(DESONERACAO="sim",REFERENCIA.Desonerado,REFERENCIA.NaoDesonerado),2)</f>
        <v>28.19</v>
      </c>
      <c r="AH353" s="429">
        <f t="shared" ca="1" si="106"/>
        <v>0.16800000000000001</v>
      </c>
      <c r="AJ353" s="431">
        <v>48</v>
      </c>
      <c r="AL353" s="439"/>
      <c r="AM353" s="336">
        <f t="shared" ca="1" si="92"/>
        <v>1580.64</v>
      </c>
      <c r="AN353" s="470">
        <f t="shared" ca="1" si="107"/>
        <v>32.93</v>
      </c>
    </row>
    <row r="354" spans="1:40" x14ac:dyDescent="0.2">
      <c r="A354">
        <f t="shared" si="93"/>
        <v>4</v>
      </c>
      <c r="B354">
        <f t="shared" ca="1" si="94"/>
        <v>4</v>
      </c>
      <c r="C354">
        <f t="shared" ca="1" si="95"/>
        <v>4</v>
      </c>
      <c r="D354">
        <f t="shared" ca="1" si="96"/>
        <v>3</v>
      </c>
      <c r="E354">
        <f ca="1">IF($C354=1,OFFSET(E354,-1,0)+MAX(1,COUNTIF(QCI!$A$13:$A$15,OFFSET(ORÇAMENTO!E354,-1,0))),OFFSET(E354,-1,0))</f>
        <v>1</v>
      </c>
      <c r="F354">
        <f t="shared" ca="1" si="97"/>
        <v>7</v>
      </c>
      <c r="G354">
        <f t="shared" ca="1" si="98"/>
        <v>6</v>
      </c>
      <c r="H354">
        <f t="shared" ca="1" si="99"/>
        <v>2</v>
      </c>
      <c r="I354">
        <f t="shared" ca="1" si="100"/>
        <v>0</v>
      </c>
      <c r="J354">
        <f t="shared" ca="1" si="91"/>
        <v>6</v>
      </c>
      <c r="K354">
        <f ca="1">IF(OR($C354="S",$C354=0),0,MATCH(OFFSET($D354,0,$C354)+IF($C354&lt;&gt;1,1,COUNTIF(QCI!$A$13:$A$15,ORÇAMENTO!E354)),OFFSET($D354,1,$C354,ROW($C$508)-ROW($C354)),0))</f>
        <v>3</v>
      </c>
      <c r="L354" s="114" t="str">
        <f t="shared" ca="1" si="101"/>
        <v>F</v>
      </c>
      <c r="M354" s="115" t="s">
        <v>704</v>
      </c>
      <c r="N354" s="116" t="str">
        <f t="shared" ca="1" si="102"/>
        <v>Nível 4</v>
      </c>
      <c r="O354" s="117" t="str">
        <f t="shared" ca="1" si="103"/>
        <v>1.7.6.2.</v>
      </c>
      <c r="P354" s="118" t="s">
        <v>750</v>
      </c>
      <c r="Q354" s="119"/>
      <c r="R354" s="120" t="s">
        <v>1240</v>
      </c>
      <c r="S354" s="121" t="s">
        <v>688</v>
      </c>
      <c r="T354" s="122">
        <f ca="1">OFFSET(CÁLCULO!H$15,ROW($T354)-ROW(T$15),0)</f>
        <v>0</v>
      </c>
      <c r="U354" s="123">
        <f t="shared" ca="1" si="108"/>
        <v>0</v>
      </c>
      <c r="V354" s="124" t="s">
        <v>663</v>
      </c>
      <c r="W354" s="122">
        <f ca="1">IF($C354="S",ROUND(IF(TIPOORCAMENTO="Proposto",ORÇAMENTO.CustoUnitario*(1+$AH354),ORÇAMENTO.PrecoUnitarioLicitado),15-13*$AF$10),0)</f>
        <v>0</v>
      </c>
      <c r="X354" s="125" cm="1">
        <f t="array" aca="1" ref="X354" ca="1">IF($C354="S",IF(OR(Import.TipoArredondamento&lt;&gt;"TransfereGOV",ACOMPANHAMENTO="BM"),VTOTAL1,SUM(OFFSET(CÁLCULO!$AI$15,ROW($X354)-ROW($X$15),1):OFFSET(CÁLCULO!$BB$15,ROW($X354)-ROW($X$15),-1))),IF($C354=0,0,ROUND(SomaAgrup,15-13*$AF$11)))</f>
        <v>1025.6199999999999</v>
      </c>
      <c r="Y354" s="126" t="s">
        <v>751</v>
      </c>
      <c r="Z354" t="str">
        <f t="shared" ca="1" si="104"/>
        <v/>
      </c>
      <c r="AA354" s="127">
        <f ca="1">IF($C354="S",IF($Z354="CP",$X354,IF($Z354="RA",(($X354)*QCI!$AA$3),0)),SomaAgrup)</f>
        <v>0</v>
      </c>
      <c r="AB354" s="128">
        <f t="shared" ca="1" si="105"/>
        <v>0</v>
      </c>
      <c r="AC354" s="565" t="str" cm="1">
        <f t="array" aca="1" ref="AC354" ca="1">IF($N354=""," ",
IF(AND($C354&lt;&gt;"S",OR($R354="",$R354="(digite a descrição aqui)")),"DESCRIÇÃO",
IF(AND($C354="S",OR($Q354&lt;&gt;"",$T354&gt;0,$U354&gt;0),$P354=""),"FONTE",
IF(AND($C354="S",$P354&lt;&gt;"",OR($T354&gt;0,$U354&gt;0),$Q354=""),"CÓDIGO",
IF(AND($C354="S",$P354&lt;&gt;"",$Q354&lt;&gt;"",$R354="(Código não identificado nas referências)"),"CÓDIGO N/ID",
IF(AND($C354="S",OR($R354="",$R354="(digite a descrição aqui)"),OR($Q354&lt;&gt;"",$T354&gt;0,$U354&gt;0)),"DESCRIÇÃO",
IF(AND($C354="S",$P354&lt;&gt;"",$Q354&lt;&gt;"",$S354=""),"UNIDADE",
IF(AND($C354="S",$P354&lt;&gt;"",$Q354&lt;&gt;"",$U354=0),"SEM CUSTO",
IF(AND(_xlfn.SINGLE(TIPOORCAMENTO)="Licitado",$AL354=0,$AN354&gt;0),"SEM PREÇO",
IF(AND($C354="S",$P354&lt;&gt;"",$Q354&lt;&gt;"",$U354&gt;0,AND($V354&lt;&gt;"BDI 1",$V354&lt;&gt;"BDI 2",$V354&lt;&gt;"BDI 3")),IF(ISNUMBER($V354),"JUSTIFICAR BDI","BDI"),
IF(OR(AND(import.recurso="OGU",TIPOORCAMENTO="Proposto",LEFT($O$8,5)&lt;&gt;"(N/D:",$AG354&lt;&gt;"",ORÇAMENTO.CustoUnitario&gt;$AG354),AND(TIPOORCAMENTO="LICITADO",ORÇAMENTO.PrecoUnitarioLicitado&gt;$AN354)),"ACIMA REF.",
IF(AND($C354="S",$P354&lt;&gt;"",$Q354&lt;&gt;"",$T354=0,$U354&gt;0),"QUANT.",
IF(AND(Import.TipoArredondamento="TransfereGOV",$L354="F",$C354="S",LEN($Q354)&gt;13),"Código &gt;13",
IF(AND(Import.TipoArredondamento="TransfereGOV",$L354="F",$C354&lt;&gt;"S",LEN($R354)&gt;100),"Descrição &gt;100",
IF(AND(Import.TipoArredondamento="TransfereGOV",$L354="F",$C354="S",LEN($R354)&gt;500),"Descrição &gt;500",
IF(AND(Import.TipoArredondamento="TransfereGOV",$L354="F",$C354="S",LEFT(TRIM(UPPER($P354)),6)&lt;&gt;"SINAPI",ISNA(VLOOKUP(TRIM(UPPER($S354)),ListaTgov.Unidades,1,FALSE))),"Unid. Não Disp",
" "))))))))))))))))</f>
        <v xml:space="preserve"> </v>
      </c>
      <c r="AD354" t="str">
        <f ca="1">IF(C354&lt;=CRONO.NivelExibicao,MAX($AD$15:OFFSET(AD354,-1,0))+IF($C354&lt;&gt;1,1,MAX(1,COUNTIF(QCI!$A$13:$A$15,OFFSET($E354,-1,0)))),"")</f>
        <v/>
      </c>
      <c r="AE354" s="7" t="b">
        <f ca="1">IF(AND($C354="S",ORÇAMENTO.CodBarra&lt;&gt;""),IF(ORÇAMENTO.Fonte="",ORÇAMENTO.CodBarra,CONCATENATE(ORÇAMENTO.Fonte," ",ORÇAMENTO.CodBarra)))</f>
        <v>0</v>
      </c>
      <c r="AF354" s="12" t="str">
        <f ca="1">IF(ISERROR(INDIRECT(ORÇAMENTO.BancoRef)),"(abra o arquivo 'Referência "&amp;Excel_BuiltIn_Database&amp;".xlsm)",IF(OR($C354&lt;&gt;"S",ORÇAMENTO.CodBarra=""),"(Sem Código)",IF(ISERROR(MATCH($AE354,INDIRECT(ORÇAMENTO.BancoRef),0)),"(Código não identificado nas referências)",MATCH($AE354,INDIRECT(ORÇAMENTO.BancoRef),0))))</f>
        <v>(Sem Código)</v>
      </c>
      <c r="AG354" s="428">
        <f ca="1">ROUND(IF(DESONERACAO="sim",REFERENCIA.Desonerado,REFERENCIA.NaoDesonerado),2)</f>
        <v>0</v>
      </c>
      <c r="AH354" s="429">
        <f t="shared" ca="1" si="106"/>
        <v>0.23499999999999999</v>
      </c>
      <c r="AJ354" s="431"/>
      <c r="AL354" s="439"/>
      <c r="AM354" s="336">
        <f t="shared" ca="1" si="92"/>
        <v>1025.6199999999999</v>
      </c>
      <c r="AN354" s="470">
        <f t="shared" ca="1" si="107"/>
        <v>0</v>
      </c>
    </row>
    <row r="355" spans="1:40" ht="25.5" x14ac:dyDescent="0.2">
      <c r="A355" t="str">
        <f t="shared" si="93"/>
        <v>S</v>
      </c>
      <c r="B355">
        <f t="shared" ca="1" si="94"/>
        <v>4</v>
      </c>
      <c r="C355" t="str">
        <f t="shared" ca="1" si="95"/>
        <v>S</v>
      </c>
      <c r="D355">
        <f t="shared" ca="1" si="96"/>
        <v>0</v>
      </c>
      <c r="E355">
        <f ca="1">IF($C355=1,OFFSET(E355,-1,0)+MAX(1,COUNTIF(QCI!$A$13:$A$15,OFFSET(ORÇAMENTO!E355,-1,0))),OFFSET(E355,-1,0))</f>
        <v>1</v>
      </c>
      <c r="F355">
        <f t="shared" ca="1" si="97"/>
        <v>7</v>
      </c>
      <c r="G355">
        <f t="shared" ca="1" si="98"/>
        <v>6</v>
      </c>
      <c r="H355">
        <f t="shared" ca="1" si="99"/>
        <v>2</v>
      </c>
      <c r="I355">
        <f t="shared" ca="1" si="100"/>
        <v>1</v>
      </c>
      <c r="J355">
        <f t="shared" ca="1" si="91"/>
        <v>0</v>
      </c>
      <c r="K355">
        <f ca="1">IF(OR($C355="S",$C355=0),0,MATCH(OFFSET($D355,0,$C355)+IF($C355&lt;&gt;1,1,COUNTIF(QCI!$A$13:$A$15,ORÇAMENTO!E355)),OFFSET($D355,1,$C355,ROW($C$508)-ROW($C355)),0))</f>
        <v>0</v>
      </c>
      <c r="L355" s="114" t="str">
        <f t="shared" ca="1" si="101"/>
        <v>F</v>
      </c>
      <c r="M355" s="115" t="s">
        <v>705</v>
      </c>
      <c r="N355" s="116" t="str">
        <f t="shared" ca="1" si="102"/>
        <v>Serviço</v>
      </c>
      <c r="O355" s="117" t="str">
        <f t="shared" ca="1" si="103"/>
        <v>1.7.6.2.1.</v>
      </c>
      <c r="P355" s="118" t="s">
        <v>1281</v>
      </c>
      <c r="Q355" s="119" t="s">
        <v>1079</v>
      </c>
      <c r="R355" s="120" t="str">
        <f ca="1">IF($C355="S",REFERENCIA.Descricao,"(digite a descrição aqui)")</f>
        <v>ASSENTAMENTO DE CONEXÕES EM FERRO FUNDIDO, JUNTA ELÁSTICA, DN = 150 MM - BASEADO EM ORSE (5283)</v>
      </c>
      <c r="S355" s="121" t="str">
        <f ca="1">REFERENCIA.Unidade</f>
        <v>UN</v>
      </c>
      <c r="T355" s="122">
        <f ca="1">OFFSET(CÁLCULO!H$15,ROW($T355)-ROW(T$15),0)</f>
        <v>45</v>
      </c>
      <c r="U355" s="123">
        <f t="shared" ca="1" si="108"/>
        <v>17.489999999999998</v>
      </c>
      <c r="V355" s="124" t="s">
        <v>663</v>
      </c>
      <c r="W355" s="122">
        <f ca="1">IF($C355="S",ROUND(IF(TIPOORCAMENTO="Proposto",ORÇAMENTO.CustoUnitario*(1+$AH355),ORÇAMENTO.PrecoUnitarioLicitado),15-13*$AF$10),0)</f>
        <v>21.6</v>
      </c>
      <c r="X355" s="125" cm="1">
        <f t="array" aca="1" ref="X355" ca="1">IF($C355="S",IF(OR(Import.TipoArredondamento&lt;&gt;"TransfereGOV",ACOMPANHAMENTO="BM"),VTOTAL1,SUM(OFFSET(CÁLCULO!$AI$15,ROW($X355)-ROW($X$15),1):OFFSET(CÁLCULO!$BB$15,ROW($X355)-ROW($X$15),-1))),IF($C355=0,0,ROUND(SomaAgrup,15-13*$AF$11)))</f>
        <v>972</v>
      </c>
      <c r="Y355" s="126" t="s">
        <v>751</v>
      </c>
      <c r="Z355" t="str">
        <f t="shared" ca="1" si="104"/>
        <v>RA</v>
      </c>
      <c r="AA355" s="127">
        <f ca="1">IF($C355="S",IF($Z355="CP",$X355,IF($Z355="RA",(($X355)*QCI!$AA$3),0)),SomaAgrup)</f>
        <v>0</v>
      </c>
      <c r="AB355" s="128">
        <f t="shared" ca="1" si="105"/>
        <v>0</v>
      </c>
      <c r="AC355" s="565" t="str" cm="1">
        <f t="array" aca="1" ref="AC355" ca="1">IF($N355=""," ",
IF(AND($C355&lt;&gt;"S",OR($R355="",$R355="(digite a descrição aqui)")),"DESCRIÇÃO",
IF(AND($C355="S",OR($Q355&lt;&gt;"",$T355&gt;0,$U355&gt;0),$P355=""),"FONTE",
IF(AND($C355="S",$P355&lt;&gt;"",OR($T355&gt;0,$U355&gt;0),$Q355=""),"CÓDIGO",
IF(AND($C355="S",$P355&lt;&gt;"",$Q355&lt;&gt;"",$R355="(Código não identificado nas referências)"),"CÓDIGO N/ID",
IF(AND($C355="S",OR($R355="",$R355="(digite a descrição aqui)"),OR($Q355&lt;&gt;"",$T355&gt;0,$U355&gt;0)),"DESCRIÇÃO",
IF(AND($C355="S",$P355&lt;&gt;"",$Q355&lt;&gt;"",$S355=""),"UNIDADE",
IF(AND($C355="S",$P355&lt;&gt;"",$Q355&lt;&gt;"",$U355=0),"SEM CUSTO",
IF(AND(_xlfn.SINGLE(TIPOORCAMENTO)="Licitado",$AL355=0,$AN355&gt;0),"SEM PREÇO",
IF(AND($C355="S",$P355&lt;&gt;"",$Q355&lt;&gt;"",$U355&gt;0,AND($V355&lt;&gt;"BDI 1",$V355&lt;&gt;"BDI 2",$V355&lt;&gt;"BDI 3")),IF(ISNUMBER($V355),"JUSTIFICAR BDI","BDI"),
IF(OR(AND(import.recurso="OGU",TIPOORCAMENTO="Proposto",LEFT($O$8,5)&lt;&gt;"(N/D:",$AG355&lt;&gt;"",ORÇAMENTO.CustoUnitario&gt;$AG355),AND(TIPOORCAMENTO="LICITADO",ORÇAMENTO.PrecoUnitarioLicitado&gt;$AN355)),"ACIMA REF.",
IF(AND($C355="S",$P355&lt;&gt;"",$Q355&lt;&gt;"",$T355=0,$U355&gt;0),"QUANT.",
IF(AND(Import.TipoArredondamento="TransfereGOV",$L355="F",$C355="S",LEN($Q355)&gt;13),"Código &gt;13",
IF(AND(Import.TipoArredondamento="TransfereGOV",$L355="F",$C355&lt;&gt;"S",LEN($R355)&gt;100),"Descrição &gt;100",
IF(AND(Import.TipoArredondamento="TransfereGOV",$L355="F",$C355="S",LEN($R355)&gt;500),"Descrição &gt;500",
IF(AND(Import.TipoArredondamento="TransfereGOV",$L355="F",$C355="S",LEFT(TRIM(UPPER($P355)),6)&lt;&gt;"SINAPI",ISNA(VLOOKUP(TRIM(UPPER($S355)),ListaTgov.Unidades,1,FALSE))),"Unid. Não Disp",
" "))))))))))))))))</f>
        <v xml:space="preserve"> </v>
      </c>
      <c r="AD355" t="str">
        <f ca="1">IF(C355&lt;=CRONO.NivelExibicao,MAX($AD$15:OFFSET(AD355,-1,0))+IF($C355&lt;&gt;1,1,MAX(1,COUNTIF(QCI!$A$13:$A$15,OFFSET($E355,-1,0)))),"")</f>
        <v/>
      </c>
      <c r="AE355" s="7" t="str">
        <f ca="1">IF(AND($C355="S",ORÇAMENTO.CodBarra&lt;&gt;""),IF(ORÇAMENTO.Fonte="",ORÇAMENTO.CodBarra,CONCATENATE(ORÇAMENTO.Fonte," ",ORÇAMENTO.CodBarra)))</f>
        <v>COMPOSIÇÃO CPU-015</v>
      </c>
      <c r="AF355" s="12">
        <f ca="1">IF(ISERROR(INDIRECT(ORÇAMENTO.BancoRef)),"(abra o arquivo 'Referência "&amp;Excel_BuiltIn_Database&amp;".xlsm)",IF(OR($C355&lt;&gt;"S",ORÇAMENTO.CodBarra=""),"(Sem Código)",IF(ISERROR(MATCH($AE355,INDIRECT(ORÇAMENTO.BancoRef),0)),"(Código não identificado nas referências)",MATCH($AE355,INDIRECT(ORÇAMENTO.BancoRef),0))))</f>
        <v>17</v>
      </c>
      <c r="AG355" s="428">
        <f ca="1">ROUND(IF(DESONERACAO="sim",REFERENCIA.Desonerado,REFERENCIA.NaoDesonerado),2)</f>
        <v>17.489999999999998</v>
      </c>
      <c r="AH355" s="429">
        <f t="shared" ca="1" si="106"/>
        <v>0.23499999999999999</v>
      </c>
      <c r="AJ355" s="431">
        <f>SUM(AJ343:AJ349)</f>
        <v>45</v>
      </c>
      <c r="AL355" s="439"/>
      <c r="AM355" s="336">
        <f t="shared" ca="1" si="92"/>
        <v>972</v>
      </c>
      <c r="AN355" s="470">
        <f t="shared" ca="1" si="107"/>
        <v>21.6</v>
      </c>
    </row>
    <row r="356" spans="1:40" ht="25.5" x14ac:dyDescent="0.2">
      <c r="A356" t="str">
        <f t="shared" si="93"/>
        <v>S</v>
      </c>
      <c r="B356">
        <f t="shared" ca="1" si="94"/>
        <v>4</v>
      </c>
      <c r="C356" t="str">
        <f t="shared" ca="1" si="95"/>
        <v>S</v>
      </c>
      <c r="D356">
        <f t="shared" ca="1" si="96"/>
        <v>0</v>
      </c>
      <c r="E356">
        <f ca="1">IF($C356=1,OFFSET(E356,-1,0)+MAX(1,COUNTIF(QCI!$A$13:$A$15,OFFSET(ORÇAMENTO!E356,-1,0))),OFFSET(E356,-1,0))</f>
        <v>1</v>
      </c>
      <c r="F356">
        <f t="shared" ca="1" si="97"/>
        <v>7</v>
      </c>
      <c r="G356">
        <f t="shared" ca="1" si="98"/>
        <v>6</v>
      </c>
      <c r="H356">
        <f t="shared" ca="1" si="99"/>
        <v>2</v>
      </c>
      <c r="I356">
        <f t="shared" ca="1" si="100"/>
        <v>2</v>
      </c>
      <c r="J356">
        <f t="shared" ca="1" si="91"/>
        <v>0</v>
      </c>
      <c r="K356">
        <f ca="1">IF(OR($C356="S",$C356=0),0,MATCH(OFFSET($D356,0,$C356)+IF($C356&lt;&gt;1,1,COUNTIF(QCI!$A$13:$A$15,ORÇAMENTO!E356)),OFFSET($D356,1,$C356,ROW($C$508)-ROW($C356)),0))</f>
        <v>0</v>
      </c>
      <c r="L356" s="114" t="str">
        <f t="shared" ca="1" si="101"/>
        <v>F</v>
      </c>
      <c r="M356" s="115" t="s">
        <v>705</v>
      </c>
      <c r="N356" s="116" t="str">
        <f t="shared" ca="1" si="102"/>
        <v>Serviço</v>
      </c>
      <c r="O356" s="117" t="str">
        <f t="shared" ca="1" si="103"/>
        <v>1.7.6.2.2.</v>
      </c>
      <c r="P356" s="118" t="s">
        <v>1281</v>
      </c>
      <c r="Q356" s="119" t="s">
        <v>1067</v>
      </c>
      <c r="R356" s="120" t="str">
        <f ca="1">IF($C356="S",REFERENCIA.Descricao,"(digite a descrição aqui)")</f>
        <v>ASSENTAMENTO DE CONEXÕES EM FERRO FUNDIDO, JUNTA ELÁSTICA, DN = 350 MM - BASEADO EM ORSE (5287)</v>
      </c>
      <c r="S356" s="121" t="str">
        <f ca="1">REFERENCIA.Unidade</f>
        <v>UN</v>
      </c>
      <c r="T356" s="122">
        <f ca="1">OFFSET(CÁLCULO!H$15,ROW($T356)-ROW(T$15),0)</f>
        <v>2</v>
      </c>
      <c r="U356" s="123">
        <f t="shared" ca="1" si="108"/>
        <v>21.71</v>
      </c>
      <c r="V356" s="124" t="s">
        <v>663</v>
      </c>
      <c r="W356" s="122">
        <f ca="1">IF($C356="S",ROUND(IF(TIPOORCAMENTO="Proposto",ORÇAMENTO.CustoUnitario*(1+$AH356),ORÇAMENTO.PrecoUnitarioLicitado),15-13*$AF$10),0)</f>
        <v>26.81</v>
      </c>
      <c r="X356" s="125" cm="1">
        <f t="array" aca="1" ref="X356" ca="1">IF($C356="S",IF(OR(Import.TipoArredondamento&lt;&gt;"TransfereGOV",ACOMPANHAMENTO="BM"),VTOTAL1,SUM(OFFSET(CÁLCULO!$AI$15,ROW($X356)-ROW($X$15),1):OFFSET(CÁLCULO!$BB$15,ROW($X356)-ROW($X$15),-1))),IF($C356=0,0,ROUND(SomaAgrup,15-13*$AF$11)))</f>
        <v>53.62</v>
      </c>
      <c r="Y356" s="126" t="s">
        <v>751</v>
      </c>
      <c r="Z356" t="str">
        <f t="shared" ca="1" si="104"/>
        <v>RA</v>
      </c>
      <c r="AA356" s="127">
        <f ca="1">IF($C356="S",IF($Z356="CP",$X356,IF($Z356="RA",(($X356)*QCI!$AA$3),0)),SomaAgrup)</f>
        <v>0</v>
      </c>
      <c r="AB356" s="128">
        <f t="shared" ca="1" si="105"/>
        <v>0</v>
      </c>
      <c r="AC356" s="565" t="str" cm="1">
        <f t="array" aca="1" ref="AC356" ca="1">IF($N356=""," ",
IF(AND($C356&lt;&gt;"S",OR($R356="",$R356="(digite a descrição aqui)")),"DESCRIÇÃO",
IF(AND($C356="S",OR($Q356&lt;&gt;"",$T356&gt;0,$U356&gt;0),$P356=""),"FONTE",
IF(AND($C356="S",$P356&lt;&gt;"",OR($T356&gt;0,$U356&gt;0),$Q356=""),"CÓDIGO",
IF(AND($C356="S",$P356&lt;&gt;"",$Q356&lt;&gt;"",$R356="(Código não identificado nas referências)"),"CÓDIGO N/ID",
IF(AND($C356="S",OR($R356="",$R356="(digite a descrição aqui)"),OR($Q356&lt;&gt;"",$T356&gt;0,$U356&gt;0)),"DESCRIÇÃO",
IF(AND($C356="S",$P356&lt;&gt;"",$Q356&lt;&gt;"",$S356=""),"UNIDADE",
IF(AND($C356="S",$P356&lt;&gt;"",$Q356&lt;&gt;"",$U356=0),"SEM CUSTO",
IF(AND(_xlfn.SINGLE(TIPOORCAMENTO)="Licitado",$AL356=0,$AN356&gt;0),"SEM PREÇO",
IF(AND($C356="S",$P356&lt;&gt;"",$Q356&lt;&gt;"",$U356&gt;0,AND($V356&lt;&gt;"BDI 1",$V356&lt;&gt;"BDI 2",$V356&lt;&gt;"BDI 3")),IF(ISNUMBER($V356),"JUSTIFICAR BDI","BDI"),
IF(OR(AND(import.recurso="OGU",TIPOORCAMENTO="Proposto",LEFT($O$8,5)&lt;&gt;"(N/D:",$AG356&lt;&gt;"",ORÇAMENTO.CustoUnitario&gt;$AG356),AND(TIPOORCAMENTO="LICITADO",ORÇAMENTO.PrecoUnitarioLicitado&gt;$AN356)),"ACIMA REF.",
IF(AND($C356="S",$P356&lt;&gt;"",$Q356&lt;&gt;"",$T356=0,$U356&gt;0),"QUANT.",
IF(AND(Import.TipoArredondamento="TransfereGOV",$L356="F",$C356="S",LEN($Q356)&gt;13),"Código &gt;13",
IF(AND(Import.TipoArredondamento="TransfereGOV",$L356="F",$C356&lt;&gt;"S",LEN($R356)&gt;100),"Descrição &gt;100",
IF(AND(Import.TipoArredondamento="TransfereGOV",$L356="F",$C356="S",LEN($R356)&gt;500),"Descrição &gt;500",
IF(AND(Import.TipoArredondamento="TransfereGOV",$L356="F",$C356="S",LEFT(TRIM(UPPER($P356)),6)&lt;&gt;"SINAPI",ISNA(VLOOKUP(TRIM(UPPER($S356)),ListaTgov.Unidades,1,FALSE))),"Unid. Não Disp",
" "))))))))))))))))</f>
        <v xml:space="preserve"> </v>
      </c>
      <c r="AD356" t="str">
        <f ca="1">IF(C356&lt;=CRONO.NivelExibicao,MAX($AD$15:OFFSET(AD356,-1,0))+IF($C356&lt;&gt;1,1,MAX(1,COUNTIF(QCI!$A$13:$A$15,OFFSET($E356,-1,0)))),"")</f>
        <v/>
      </c>
      <c r="AE356" s="7" t="str">
        <f ca="1">IF(AND($C356="S",ORÇAMENTO.CodBarra&lt;&gt;""),IF(ORÇAMENTO.Fonte="",ORÇAMENTO.CodBarra,CONCATENATE(ORÇAMENTO.Fonte," ",ORÇAMENTO.CodBarra)))</f>
        <v>COMPOSIÇÃO CPU-013</v>
      </c>
      <c r="AF356" s="12">
        <f ca="1">IF(ISERROR(INDIRECT(ORÇAMENTO.BancoRef)),"(abra o arquivo 'Referência "&amp;Excel_BuiltIn_Database&amp;".xlsm)",IF(OR($C356&lt;&gt;"S",ORÇAMENTO.CodBarra=""),"(Sem Código)",IF(ISERROR(MATCH($AE356,INDIRECT(ORÇAMENTO.BancoRef),0)),"(Código não identificado nas referências)",MATCH($AE356,INDIRECT(ORÇAMENTO.BancoRef),0))))</f>
        <v>15</v>
      </c>
      <c r="AG356" s="428">
        <f ca="1">ROUND(IF(DESONERACAO="sim",REFERENCIA.Desonerado,REFERENCIA.NaoDesonerado),2)</f>
        <v>21.71</v>
      </c>
      <c r="AH356" s="429">
        <f t="shared" ca="1" si="106"/>
        <v>0.23499999999999999</v>
      </c>
      <c r="AJ356" s="431">
        <f>AJ350</f>
        <v>2</v>
      </c>
      <c r="AL356" s="439"/>
      <c r="AM356" s="336">
        <f t="shared" ca="1" si="92"/>
        <v>53.62</v>
      </c>
      <c r="AN356" s="470">
        <f t="shared" ca="1" si="107"/>
        <v>26.81</v>
      </c>
    </row>
    <row r="357" spans="1:40" x14ac:dyDescent="0.2">
      <c r="A357">
        <f t="shared" si="93"/>
        <v>4</v>
      </c>
      <c r="B357">
        <f t="shared" ca="1" si="94"/>
        <v>4</v>
      </c>
      <c r="C357">
        <f t="shared" ca="1" si="95"/>
        <v>4</v>
      </c>
      <c r="D357">
        <f t="shared" ca="1" si="96"/>
        <v>3</v>
      </c>
      <c r="E357">
        <f ca="1">IF($C357=1,OFFSET(E357,-1,0)+MAX(1,COUNTIF(QCI!$A$13:$A$15,OFFSET(ORÇAMENTO!E357,-1,0))),OFFSET(E357,-1,0))</f>
        <v>1</v>
      </c>
      <c r="F357">
        <f t="shared" ca="1" si="97"/>
        <v>7</v>
      </c>
      <c r="G357">
        <f t="shared" ca="1" si="98"/>
        <v>6</v>
      </c>
      <c r="H357">
        <f t="shared" ca="1" si="99"/>
        <v>3</v>
      </c>
      <c r="I357">
        <f t="shared" ca="1" si="100"/>
        <v>0</v>
      </c>
      <c r="J357">
        <f t="shared" ca="1" si="91"/>
        <v>3</v>
      </c>
      <c r="K357">
        <f ca="1">IF(OR($C357="S",$C357=0),0,MATCH(OFFSET($D357,0,$C357)+IF($C357&lt;&gt;1,1,COUNTIF(QCI!$A$13:$A$15,ORÇAMENTO!E357)),OFFSET($D357,1,$C357,ROW($C$508)-ROW($C357)),0))</f>
        <v>20</v>
      </c>
      <c r="L357" s="114" t="str">
        <f t="shared" ca="1" si="101"/>
        <v>F</v>
      </c>
      <c r="M357" s="115" t="s">
        <v>704</v>
      </c>
      <c r="N357" s="116" t="str">
        <f t="shared" ca="1" si="102"/>
        <v>Nível 4</v>
      </c>
      <c r="O357" s="117" t="str">
        <f t="shared" ca="1" si="103"/>
        <v>1.7.6.3.</v>
      </c>
      <c r="P357" s="118" t="s">
        <v>750</v>
      </c>
      <c r="Q357" s="119"/>
      <c r="R357" s="120" t="s">
        <v>1245</v>
      </c>
      <c r="S357" s="121" t="s">
        <v>688</v>
      </c>
      <c r="T357" s="122">
        <f ca="1">OFFSET(CÁLCULO!H$15,ROW($T357)-ROW(T$15),0)</f>
        <v>0</v>
      </c>
      <c r="U357" s="123">
        <f t="shared" ca="1" si="108"/>
        <v>0</v>
      </c>
      <c r="V357" s="124" t="s">
        <v>663</v>
      </c>
      <c r="W357" s="122">
        <f ca="1">IF($C357="S",ROUND(IF(TIPOORCAMENTO="Proposto",ORÇAMENTO.CustoUnitario*(1+$AH357),ORÇAMENTO.PrecoUnitarioLicitado),15-13*$AF$10),0)</f>
        <v>0</v>
      </c>
      <c r="X357" s="125" cm="1">
        <f t="array" aca="1" ref="X357" ca="1">IF($C357="S",IF(OR(Import.TipoArredondamento&lt;&gt;"TransfereGOV",ACOMPANHAMENTO="BM"),VTOTAL1,SUM(OFFSET(CÁLCULO!$AI$15,ROW($X357)-ROW($X$15),1):OFFSET(CÁLCULO!$BB$15,ROW($X357)-ROW($X$15),-1))),IF($C357=0,0,ROUND(SomaAgrup,15-13*$AF$11)))</f>
        <v>50346.66</v>
      </c>
      <c r="Y357" s="126" t="s">
        <v>751</v>
      </c>
      <c r="Z357" t="str">
        <f t="shared" ca="1" si="104"/>
        <v/>
      </c>
      <c r="AA357" s="127">
        <f ca="1">IF($C357="S",IF($Z357="CP",$X357,IF($Z357="RA",(($X357)*QCI!$AA$3),0)),SomaAgrup)</f>
        <v>0</v>
      </c>
      <c r="AB357" s="128">
        <f t="shared" ca="1" si="105"/>
        <v>0</v>
      </c>
      <c r="AC357" s="565" t="str" cm="1">
        <f t="array" aca="1" ref="AC357" ca="1">IF($N357=""," ",
IF(AND($C357&lt;&gt;"S",OR($R357="",$R357="(digite a descrição aqui)")),"DESCRIÇÃO",
IF(AND($C357="S",OR($Q357&lt;&gt;"",$T357&gt;0,$U357&gt;0),$P357=""),"FONTE",
IF(AND($C357="S",$P357&lt;&gt;"",OR($T357&gt;0,$U357&gt;0),$Q357=""),"CÓDIGO",
IF(AND($C357="S",$P357&lt;&gt;"",$Q357&lt;&gt;"",$R357="(Código não identificado nas referências)"),"CÓDIGO N/ID",
IF(AND($C357="S",OR($R357="",$R357="(digite a descrição aqui)"),OR($Q357&lt;&gt;"",$T357&gt;0,$U357&gt;0)),"DESCRIÇÃO",
IF(AND($C357="S",$P357&lt;&gt;"",$Q357&lt;&gt;"",$S357=""),"UNIDADE",
IF(AND($C357="S",$P357&lt;&gt;"",$Q357&lt;&gt;"",$U357=0),"SEM CUSTO",
IF(AND(_xlfn.SINGLE(TIPOORCAMENTO)="Licitado",$AL357=0,$AN357&gt;0),"SEM PREÇO",
IF(AND($C357="S",$P357&lt;&gt;"",$Q357&lt;&gt;"",$U357&gt;0,AND($V357&lt;&gt;"BDI 1",$V357&lt;&gt;"BDI 2",$V357&lt;&gt;"BDI 3")),IF(ISNUMBER($V357),"JUSTIFICAR BDI","BDI"),
IF(OR(AND(import.recurso="OGU",TIPOORCAMENTO="Proposto",LEFT($O$8,5)&lt;&gt;"(N/D:",$AG357&lt;&gt;"",ORÇAMENTO.CustoUnitario&gt;$AG357),AND(TIPOORCAMENTO="LICITADO",ORÇAMENTO.PrecoUnitarioLicitado&gt;$AN357)),"ACIMA REF.",
IF(AND($C357="S",$P357&lt;&gt;"",$Q357&lt;&gt;"",$T357=0,$U357&gt;0),"QUANT.",
IF(AND(Import.TipoArredondamento="TransfereGOV",$L357="F",$C357="S",LEN($Q357)&gt;13),"Código &gt;13",
IF(AND(Import.TipoArredondamento="TransfereGOV",$L357="F",$C357&lt;&gt;"S",LEN($R357)&gt;100),"Descrição &gt;100",
IF(AND(Import.TipoArredondamento="TransfereGOV",$L357="F",$C357="S",LEN($R357)&gt;500),"Descrição &gt;500",
IF(AND(Import.TipoArredondamento="TransfereGOV",$L357="F",$C357="S",LEFT(TRIM(UPPER($P357)),6)&lt;&gt;"SINAPI",ISNA(VLOOKUP(TRIM(UPPER($S357)),ListaTgov.Unidades,1,FALSE))),"Unid. Não Disp",
" "))))))))))))))))</f>
        <v xml:space="preserve"> </v>
      </c>
      <c r="AD357" t="str">
        <f ca="1">IF(C357&lt;=CRONO.NivelExibicao,MAX($AD$15:OFFSET(AD357,-1,0))+IF($C357&lt;&gt;1,1,MAX(1,COUNTIF(QCI!$A$13:$A$15,OFFSET($E357,-1,0)))),"")</f>
        <v/>
      </c>
      <c r="AE357" s="7" t="b">
        <f ca="1">IF(AND($C357="S",ORÇAMENTO.CodBarra&lt;&gt;""),IF(ORÇAMENTO.Fonte="",ORÇAMENTO.CodBarra,CONCATENATE(ORÇAMENTO.Fonte," ",ORÇAMENTO.CodBarra)))</f>
        <v>0</v>
      </c>
      <c r="AF357" s="12" t="str">
        <f ca="1">IF(ISERROR(INDIRECT(ORÇAMENTO.BancoRef)),"(abra o arquivo 'Referência "&amp;Excel_BuiltIn_Database&amp;".xlsm)",IF(OR($C357&lt;&gt;"S",ORÇAMENTO.CodBarra=""),"(Sem Código)",IF(ISERROR(MATCH($AE357,INDIRECT(ORÇAMENTO.BancoRef),0)),"(Código não identificado nas referências)",MATCH($AE357,INDIRECT(ORÇAMENTO.BancoRef),0))))</f>
        <v>(Sem Código)</v>
      </c>
      <c r="AG357" s="428">
        <f ca="1">ROUND(IF(DESONERACAO="sim",REFERENCIA.Desonerado,REFERENCIA.NaoDesonerado),2)</f>
        <v>0</v>
      </c>
      <c r="AH357" s="429">
        <f t="shared" ca="1" si="106"/>
        <v>0.23499999999999999</v>
      </c>
      <c r="AJ357" s="431"/>
      <c r="AL357" s="439"/>
      <c r="AM357" s="336">
        <f t="shared" ca="1" si="92"/>
        <v>50346.66</v>
      </c>
      <c r="AN357" s="470">
        <f t="shared" ca="1" si="107"/>
        <v>0</v>
      </c>
    </row>
    <row r="358" spans="1:40" ht="25.5" x14ac:dyDescent="0.2">
      <c r="A358" t="str">
        <f t="shared" si="93"/>
        <v>S</v>
      </c>
      <c r="B358">
        <f t="shared" ca="1" si="94"/>
        <v>4</v>
      </c>
      <c r="C358" t="str">
        <f t="shared" ca="1" si="95"/>
        <v>S</v>
      </c>
      <c r="D358">
        <f t="shared" ca="1" si="96"/>
        <v>0</v>
      </c>
      <c r="E358">
        <f ca="1">IF($C358=1,OFFSET(E358,-1,0)+MAX(1,COUNTIF(QCI!$A$13:$A$15,OFFSET(ORÇAMENTO!E358,-1,0))),OFFSET(E358,-1,0))</f>
        <v>1</v>
      </c>
      <c r="F358">
        <f t="shared" ca="1" si="97"/>
        <v>7</v>
      </c>
      <c r="G358">
        <f t="shared" ca="1" si="98"/>
        <v>6</v>
      </c>
      <c r="H358">
        <f t="shared" ca="1" si="99"/>
        <v>3</v>
      </c>
      <c r="I358">
        <f t="shared" ca="1" si="100"/>
        <v>1</v>
      </c>
      <c r="J358">
        <f t="shared" ca="1" si="91"/>
        <v>0</v>
      </c>
      <c r="K358">
        <f ca="1">IF(OR($C358="S",$C358=0),0,MATCH(OFFSET($D358,0,$C358)+IF($C358&lt;&gt;1,1,COUNTIF(QCI!$A$13:$A$15,ORÇAMENTO!E358)),OFFSET($D358,1,$C358,ROW($C$508)-ROW($C358)),0))</f>
        <v>0</v>
      </c>
      <c r="L358" s="114" t="str">
        <f t="shared" ca="1" si="101"/>
        <v>F</v>
      </c>
      <c r="M358" s="115" t="s">
        <v>705</v>
      </c>
      <c r="N358" s="116" t="str">
        <f t="shared" ca="1" si="102"/>
        <v>Serviço</v>
      </c>
      <c r="O358" s="117" t="str">
        <f t="shared" ca="1" si="103"/>
        <v>1.7.6.3.1.</v>
      </c>
      <c r="P358" s="118" t="s">
        <v>1282</v>
      </c>
      <c r="Q358" s="119" t="s">
        <v>1115</v>
      </c>
      <c r="R358" s="120" t="str">
        <f ca="1">IF($C358="S",REFERENCIA.Descricao,"(digite a descrição aqui)")</f>
        <v>POÇO DE VISITA H= 1,0M, (BALÃO 0,60) COPASA 062/1 NA 104 EM ANÉIS</v>
      </c>
      <c r="S358" s="121" t="str">
        <f ca="1">REFERENCIA.Unidade</f>
        <v>UN</v>
      </c>
      <c r="T358" s="122">
        <f ca="1">OFFSET(CÁLCULO!H$15,ROW($T358)-ROW(T$15),0)</f>
        <v>21</v>
      </c>
      <c r="U358" s="123">
        <f t="shared" ca="1" si="108"/>
        <v>1355.71</v>
      </c>
      <c r="V358" s="124" t="s">
        <v>663</v>
      </c>
      <c r="W358" s="122">
        <f ca="1">IF($C358="S",ROUND(IF(TIPOORCAMENTO="Proposto",ORÇAMENTO.CustoUnitario*(1+$AH358),ORÇAMENTO.PrecoUnitarioLicitado),15-13*$AF$10),0)</f>
        <v>1674.3</v>
      </c>
      <c r="X358" s="125" cm="1">
        <f t="array" aca="1" ref="X358" ca="1">IF($C358="S",IF(OR(Import.TipoArredondamento&lt;&gt;"TransfereGOV",ACOMPANHAMENTO="BM"),VTOTAL1,SUM(OFFSET(CÁLCULO!$AI$15,ROW($X358)-ROW($X$15),1):OFFSET(CÁLCULO!$BB$15,ROW($X358)-ROW($X$15),-1))),IF($C358=0,0,ROUND(SomaAgrup,15-13*$AF$11)))</f>
        <v>35160.300000000003</v>
      </c>
      <c r="Y358" s="126" t="s">
        <v>751</v>
      </c>
      <c r="Z358" t="str">
        <f t="shared" ca="1" si="104"/>
        <v>RA</v>
      </c>
      <c r="AA358" s="127">
        <f ca="1">IF($C358="S",IF($Z358="CP",$X358,IF($Z358="RA",(($X358)*QCI!$AA$3),0)),SomaAgrup)</f>
        <v>0</v>
      </c>
      <c r="AB358" s="128">
        <f t="shared" ca="1" si="105"/>
        <v>0</v>
      </c>
      <c r="AC358" s="565" t="str" cm="1">
        <f t="array" aca="1" ref="AC358" ca="1">IF($N358=""," ",
IF(AND($C358&lt;&gt;"S",OR($R358="",$R358="(digite a descrição aqui)")),"DESCRIÇÃO",
IF(AND($C358="S",OR($Q358&lt;&gt;"",$T358&gt;0,$U358&gt;0),$P358=""),"FONTE",
IF(AND($C358="S",$P358&lt;&gt;"",OR($T358&gt;0,$U358&gt;0),$Q358=""),"CÓDIGO",
IF(AND($C358="S",$P358&lt;&gt;"",$Q358&lt;&gt;"",$R358="(Código não identificado nas referências)"),"CÓDIGO N/ID",
IF(AND($C358="S",OR($R358="",$R358="(digite a descrição aqui)"),OR($Q358&lt;&gt;"",$T358&gt;0,$U358&gt;0)),"DESCRIÇÃO",
IF(AND($C358="S",$P358&lt;&gt;"",$Q358&lt;&gt;"",$S358=""),"UNIDADE",
IF(AND($C358="S",$P358&lt;&gt;"",$Q358&lt;&gt;"",$U358=0),"SEM CUSTO",
IF(AND(_xlfn.SINGLE(TIPOORCAMENTO)="Licitado",$AL358=0,$AN358&gt;0),"SEM PREÇO",
IF(AND($C358="S",$P358&lt;&gt;"",$Q358&lt;&gt;"",$U358&gt;0,AND($V358&lt;&gt;"BDI 1",$V358&lt;&gt;"BDI 2",$V358&lt;&gt;"BDI 3")),IF(ISNUMBER($V358),"JUSTIFICAR BDI","BDI"),
IF(OR(AND(import.recurso="OGU",TIPOORCAMENTO="Proposto",LEFT($O$8,5)&lt;&gt;"(N/D:",$AG358&lt;&gt;"",ORÇAMENTO.CustoUnitario&gt;$AG358),AND(TIPOORCAMENTO="LICITADO",ORÇAMENTO.PrecoUnitarioLicitado&gt;$AN358)),"ACIMA REF.",
IF(AND($C358="S",$P358&lt;&gt;"",$Q358&lt;&gt;"",$T358=0,$U358&gt;0),"QUANT.",
IF(AND(Import.TipoArredondamento="TransfereGOV",$L358="F",$C358="S",LEN($Q358)&gt;13),"Código &gt;13",
IF(AND(Import.TipoArredondamento="TransfereGOV",$L358="F",$C358&lt;&gt;"S",LEN($R358)&gt;100),"Descrição &gt;100",
IF(AND(Import.TipoArredondamento="TransfereGOV",$L358="F",$C358="S",LEN($R358)&gt;500),"Descrição &gt;500",
IF(AND(Import.TipoArredondamento="TransfereGOV",$L358="F",$C358="S",LEFT(TRIM(UPPER($P358)),6)&lt;&gt;"SINAPI",ISNA(VLOOKUP(TRIM(UPPER($S358)),ListaTgov.Unidades,1,FALSE))),"Unid. Não Disp",
" "))))))))))))))))</f>
        <v xml:space="preserve"> </v>
      </c>
      <c r="AD358" t="str">
        <f ca="1">IF(C358&lt;=CRONO.NivelExibicao,MAX($AD$15:OFFSET(AD358,-1,0))+IF($C358&lt;&gt;1,1,MAX(1,COUNTIF(QCI!$A$13:$A$15,OFFSET($E358,-1,0)))),"")</f>
        <v/>
      </c>
      <c r="AE358" s="7" t="str">
        <f ca="1">IF(AND($C358="S",ORÇAMENTO.CodBarra&lt;&gt;""),IF(ORÇAMENTO.Fonte="",ORÇAMENTO.CodBarra,CONCATENATE(ORÇAMENTO.Fonte," ",ORÇAMENTO.CodBarra)))</f>
        <v>SUDECAP 19.52.03</v>
      </c>
      <c r="AF358" s="12">
        <f ca="1">IF(ISERROR(INDIRECT(ORÇAMENTO.BancoRef)),"(abra o arquivo 'Referência "&amp;Excel_BuiltIn_Database&amp;".xlsm)",IF(OR($C358&lt;&gt;"S",ORÇAMENTO.CodBarra=""),"(Sem Código)",IF(ISERROR(MATCH($AE358,INDIRECT(ORÇAMENTO.BancoRef),0)),"(Código não identificado nas referências)",MATCH($AE358,INDIRECT(ORÇAMENTO.BancoRef),0))))</f>
        <v>25767</v>
      </c>
      <c r="AG358" s="428">
        <f ca="1">ROUND(IF(DESONERACAO="sim",REFERENCIA.Desonerado,REFERENCIA.NaoDesonerado),2)</f>
        <v>1355.71</v>
      </c>
      <c r="AH358" s="429">
        <f t="shared" ca="1" si="106"/>
        <v>0.23499999999999999</v>
      </c>
      <c r="AJ358" s="431">
        <v>21</v>
      </c>
      <c r="AL358" s="439"/>
      <c r="AM358" s="336">
        <f t="shared" ca="1" si="92"/>
        <v>35160.300000000003</v>
      </c>
      <c r="AN358" s="470">
        <f t="shared" ca="1" si="107"/>
        <v>1674.3</v>
      </c>
    </row>
    <row r="359" spans="1:40" ht="25.5" x14ac:dyDescent="0.2">
      <c r="A359" t="str">
        <f t="shared" si="93"/>
        <v>S</v>
      </c>
      <c r="B359">
        <f t="shared" ca="1" si="94"/>
        <v>4</v>
      </c>
      <c r="C359" t="str">
        <f t="shared" ca="1" si="95"/>
        <v>S</v>
      </c>
      <c r="D359">
        <f t="shared" ca="1" si="96"/>
        <v>0</v>
      </c>
      <c r="E359">
        <f ca="1">IF($C359=1,OFFSET(E359,-1,0)+MAX(1,COUNTIF(QCI!$A$13:$A$15,OFFSET(ORÇAMENTO!E359,-1,0))),OFFSET(E359,-1,0))</f>
        <v>1</v>
      </c>
      <c r="F359">
        <f t="shared" ca="1" si="97"/>
        <v>7</v>
      </c>
      <c r="G359">
        <f t="shared" ca="1" si="98"/>
        <v>6</v>
      </c>
      <c r="H359">
        <f t="shared" ca="1" si="99"/>
        <v>3</v>
      </c>
      <c r="I359">
        <f t="shared" ca="1" si="100"/>
        <v>2</v>
      </c>
      <c r="J359">
        <f t="shared" ca="1" si="91"/>
        <v>0</v>
      </c>
      <c r="K359">
        <f ca="1">IF(OR($C359="S",$C359=0),0,MATCH(OFFSET($D359,0,$C359)+IF($C359&lt;&gt;1,1,COUNTIF(QCI!$A$13:$A$15,ORÇAMENTO!E359)),OFFSET($D359,1,$C359,ROW($C$508)-ROW($C359)),0))</f>
        <v>0</v>
      </c>
      <c r="L359" s="114" t="str">
        <f t="shared" ca="1" si="101"/>
        <v>F</v>
      </c>
      <c r="M359" s="115" t="s">
        <v>705</v>
      </c>
      <c r="N359" s="116" t="str">
        <f t="shared" ca="1" si="102"/>
        <v>Serviço</v>
      </c>
      <c r="O359" s="117" t="str">
        <f t="shared" ca="1" si="103"/>
        <v>1.7.6.3.2.</v>
      </c>
      <c r="P359" s="118" t="s">
        <v>750</v>
      </c>
      <c r="Q359" s="119" t="s">
        <v>1116</v>
      </c>
      <c r="R359" s="120" t="str">
        <f ca="1">IF($C359="S",REFERENCIA.Descricao,"(digite a descrição aqui)")</f>
        <v>TUBO, PVC OCRE, JUNTA ELÁSTICA, DN 150 MM, PARA COLETOR PREDIAL DE ESGOTO. AF_06/2022</v>
      </c>
      <c r="S359" s="121" t="str">
        <f ca="1">REFERENCIA.Unidade</f>
        <v>M</v>
      </c>
      <c r="T359" s="122">
        <f ca="1">OFFSET(CÁLCULO!H$15,ROW($T359)-ROW(T$15),0)</f>
        <v>137.16</v>
      </c>
      <c r="U359" s="123">
        <f t="shared" ca="1" si="108"/>
        <v>89.65</v>
      </c>
      <c r="V359" s="124" t="s">
        <v>663</v>
      </c>
      <c r="W359" s="122">
        <f ca="1">IF($C359="S",ROUND(IF(TIPOORCAMENTO="Proposto",ORÇAMENTO.CustoUnitario*(1+$AH359),ORÇAMENTO.PrecoUnitarioLicitado),15-13*$AF$10),0)</f>
        <v>110.72</v>
      </c>
      <c r="X359" s="125" cm="1">
        <f t="array" aca="1" ref="X359" ca="1">IF($C359="S",IF(OR(Import.TipoArredondamento&lt;&gt;"TransfereGOV",ACOMPANHAMENTO="BM"),VTOTAL1,SUM(OFFSET(CÁLCULO!$AI$15,ROW($X359)-ROW($X$15),1):OFFSET(CÁLCULO!$BB$15,ROW($X359)-ROW($X$15),-1))),IF($C359=0,0,ROUND(SomaAgrup,15-13*$AF$11)))</f>
        <v>15186.36</v>
      </c>
      <c r="Y359" s="126" t="s">
        <v>751</v>
      </c>
      <c r="Z359" t="str">
        <f t="shared" ca="1" si="104"/>
        <v>RA</v>
      </c>
      <c r="AA359" s="127">
        <f ca="1">IF($C359="S",IF($Z359="CP",$X359,IF($Z359="RA",(($X359)*QCI!$AA$3),0)),SomaAgrup)</f>
        <v>0</v>
      </c>
      <c r="AB359" s="128">
        <f t="shared" ca="1" si="105"/>
        <v>0</v>
      </c>
      <c r="AC359" s="565" t="str" cm="1">
        <f t="array" aca="1" ref="AC359" ca="1">IF($N359=""," ",
IF(AND($C359&lt;&gt;"S",OR($R359="",$R359="(digite a descrição aqui)")),"DESCRIÇÃO",
IF(AND($C359="S",OR($Q359&lt;&gt;"",$T359&gt;0,$U359&gt;0),$P359=""),"FONTE",
IF(AND($C359="S",$P359&lt;&gt;"",OR($T359&gt;0,$U359&gt;0),$Q359=""),"CÓDIGO",
IF(AND($C359="S",$P359&lt;&gt;"",$Q359&lt;&gt;"",$R359="(Código não identificado nas referências)"),"CÓDIGO N/ID",
IF(AND($C359="S",OR($R359="",$R359="(digite a descrição aqui)"),OR($Q359&lt;&gt;"",$T359&gt;0,$U359&gt;0)),"DESCRIÇÃO",
IF(AND($C359="S",$P359&lt;&gt;"",$Q359&lt;&gt;"",$S359=""),"UNIDADE",
IF(AND($C359="S",$P359&lt;&gt;"",$Q359&lt;&gt;"",$U359=0),"SEM CUSTO",
IF(AND(_xlfn.SINGLE(TIPOORCAMENTO)="Licitado",$AL359=0,$AN359&gt;0),"SEM PREÇO",
IF(AND($C359="S",$P359&lt;&gt;"",$Q359&lt;&gt;"",$U359&gt;0,AND($V359&lt;&gt;"BDI 1",$V359&lt;&gt;"BDI 2",$V359&lt;&gt;"BDI 3")),IF(ISNUMBER($V359),"JUSTIFICAR BDI","BDI"),
IF(OR(AND(import.recurso="OGU",TIPOORCAMENTO="Proposto",LEFT($O$8,5)&lt;&gt;"(N/D:",$AG359&lt;&gt;"",ORÇAMENTO.CustoUnitario&gt;$AG359),AND(TIPOORCAMENTO="LICITADO",ORÇAMENTO.PrecoUnitarioLicitado&gt;$AN359)),"ACIMA REF.",
IF(AND($C359="S",$P359&lt;&gt;"",$Q359&lt;&gt;"",$T359=0,$U359&gt;0),"QUANT.",
IF(AND(Import.TipoArredondamento="TransfereGOV",$L359="F",$C359="S",LEN($Q359)&gt;13),"Código &gt;13",
IF(AND(Import.TipoArredondamento="TransfereGOV",$L359="F",$C359&lt;&gt;"S",LEN($R359)&gt;100),"Descrição &gt;100",
IF(AND(Import.TipoArredondamento="TransfereGOV",$L359="F",$C359="S",LEN($R359)&gt;500),"Descrição &gt;500",
IF(AND(Import.TipoArredondamento="TransfereGOV",$L359="F",$C359="S",LEFT(TRIM(UPPER($P359)),6)&lt;&gt;"SINAPI",ISNA(VLOOKUP(TRIM(UPPER($S359)),ListaTgov.Unidades,1,FALSE))),"Unid. Não Disp",
" "))))))))))))))))</f>
        <v xml:space="preserve"> </v>
      </c>
      <c r="AD359" t="str">
        <f ca="1">IF(C359&lt;=CRONO.NivelExibicao,MAX($AD$15:OFFSET(AD359,-1,0))+IF($C359&lt;&gt;1,1,MAX(1,COUNTIF(QCI!$A$13:$A$15,OFFSET($E359,-1,0)))),"")</f>
        <v/>
      </c>
      <c r="AE359" s="7" t="str">
        <f ca="1">IF(AND($C359="S",ORÇAMENTO.CodBarra&lt;&gt;""),IF(ORÇAMENTO.Fonte="",ORÇAMENTO.CodBarra,CONCATENATE(ORÇAMENTO.Fonte," ",ORÇAMENTO.CodBarra)))</f>
        <v>SINAPI 104086</v>
      </c>
      <c r="AF359" s="12">
        <f ca="1">IF(ISERROR(INDIRECT(ORÇAMENTO.BancoRef)),"(abra o arquivo 'Referência "&amp;Excel_BuiltIn_Database&amp;".xlsm)",IF(OR($C359&lt;&gt;"S",ORÇAMENTO.CodBarra=""),"(Sem Código)",IF(ISERROR(MATCH($AE359,INDIRECT(ORÇAMENTO.BancoRef),0)),"(Código não identificado nas referências)",MATCH($AE359,INDIRECT(ORÇAMENTO.BancoRef),0))))</f>
        <v>12742</v>
      </c>
      <c r="AG359" s="428">
        <f ca="1">ROUND(IF(DESONERACAO="sim",REFERENCIA.Desonerado,REFERENCIA.NaoDesonerado),2)</f>
        <v>89.65</v>
      </c>
      <c r="AH359" s="429">
        <f t="shared" ca="1" si="106"/>
        <v>0.23499999999999999</v>
      </c>
      <c r="AJ359" s="431">
        <v>137.16</v>
      </c>
      <c r="AL359" s="439"/>
      <c r="AM359" s="336">
        <f t="shared" ca="1" si="92"/>
        <v>15186.36</v>
      </c>
      <c r="AN359" s="470">
        <f t="shared" ca="1" si="107"/>
        <v>110.72</v>
      </c>
    </row>
    <row r="360" spans="1:40" x14ac:dyDescent="0.2">
      <c r="A360">
        <f t="shared" si="93"/>
        <v>2</v>
      </c>
      <c r="B360">
        <f t="shared" ca="1" si="94"/>
        <v>2</v>
      </c>
      <c r="C360">
        <f t="shared" ca="1" si="95"/>
        <v>2</v>
      </c>
      <c r="D360">
        <f t="shared" ca="1" si="96"/>
        <v>81</v>
      </c>
      <c r="E360">
        <f ca="1">IF($C360=1,OFFSET(E360,-1,0)+MAX(1,COUNTIF(QCI!$A$13:$A$15,OFFSET(ORÇAMENTO!E360,-1,0))),OFFSET(E360,-1,0))</f>
        <v>1</v>
      </c>
      <c r="F360">
        <f t="shared" ca="1" si="97"/>
        <v>8</v>
      </c>
      <c r="G360">
        <f t="shared" ca="1" si="98"/>
        <v>0</v>
      </c>
      <c r="H360">
        <f t="shared" ca="1" si="99"/>
        <v>0</v>
      </c>
      <c r="I360">
        <f t="shared" ca="1" si="100"/>
        <v>0</v>
      </c>
      <c r="J360">
        <f t="shared" ca="1" si="91"/>
        <v>148</v>
      </c>
      <c r="K360">
        <f ca="1">IF(OR($C360="S",$C360=0),0,MATCH(OFFSET($D360,0,$C360)+IF($C360&lt;&gt;1,1,COUNTIF(QCI!$A$13:$A$15,ORÇAMENTO!E360)),OFFSET($D360,1,$C360,ROW($C$508)-ROW($C360)),0))</f>
        <v>81</v>
      </c>
      <c r="L360" s="114" t="str">
        <f t="shared" ca="1" si="101"/>
        <v>F</v>
      </c>
      <c r="M360" s="115" t="s">
        <v>702</v>
      </c>
      <c r="N360" s="116" t="str">
        <f t="shared" ca="1" si="102"/>
        <v>Nível 2</v>
      </c>
      <c r="O360" s="117" t="str">
        <f t="shared" ca="1" si="103"/>
        <v>1.8.</v>
      </c>
      <c r="P360" s="118" t="s">
        <v>750</v>
      </c>
      <c r="Q360" s="119"/>
      <c r="R360" s="120" t="s">
        <v>1246</v>
      </c>
      <c r="S360" s="121" t="s">
        <v>688</v>
      </c>
      <c r="T360" s="122">
        <f ca="1">OFFSET(CÁLCULO!H$15,ROW($T360)-ROW(T$15),0)</f>
        <v>0</v>
      </c>
      <c r="U360" s="123">
        <f t="shared" ca="1" si="108"/>
        <v>0</v>
      </c>
      <c r="V360" s="124" t="s">
        <v>663</v>
      </c>
      <c r="W360" s="122">
        <f ca="1">IF($C360="S",ROUND(IF(TIPOORCAMENTO="Proposto",ORÇAMENTO.CustoUnitario*(1+$AH360),ORÇAMENTO.PrecoUnitarioLicitado),15-13*$AF$10),0)</f>
        <v>0</v>
      </c>
      <c r="X360" s="125" cm="1">
        <f t="array" aca="1" ref="X360" ca="1">IF($C360="S",IF(OR(Import.TipoArredondamento&lt;&gt;"TransfereGOV",ACOMPANHAMENTO="BM"),VTOTAL1,SUM(OFFSET(CÁLCULO!$AI$15,ROW($X360)-ROW($X$15),1):OFFSET(CÁLCULO!$BB$15,ROW($X360)-ROW($X$15),-1))),IF($C360=0,0,ROUND(SomaAgrup,15-13*$AF$11)))</f>
        <v>656759.93000000005</v>
      </c>
      <c r="Y360" s="126" t="s">
        <v>751</v>
      </c>
      <c r="Z360" t="str">
        <f t="shared" ca="1" si="104"/>
        <v/>
      </c>
      <c r="AA360" s="127">
        <f ca="1">IF($C360="S",IF($Z360="CP",$X360,IF($Z360="RA",(($X360)*QCI!$AA$3),0)),SomaAgrup)</f>
        <v>0</v>
      </c>
      <c r="AB360" s="128">
        <f t="shared" ca="1" si="105"/>
        <v>0</v>
      </c>
      <c r="AC360" s="565" t="str" cm="1">
        <f t="array" aca="1" ref="AC360" ca="1">IF($N360=""," ",
IF(AND($C360&lt;&gt;"S",OR($R360="",$R360="(digite a descrição aqui)")),"DESCRIÇÃO",
IF(AND($C360="S",OR($Q360&lt;&gt;"",$T360&gt;0,$U360&gt;0),$P360=""),"FONTE",
IF(AND($C360="S",$P360&lt;&gt;"",OR($T360&gt;0,$U360&gt;0),$Q360=""),"CÓDIGO",
IF(AND($C360="S",$P360&lt;&gt;"",$Q360&lt;&gt;"",$R360="(Código não identificado nas referências)"),"CÓDIGO N/ID",
IF(AND($C360="S",OR($R360="",$R360="(digite a descrição aqui)"),OR($Q360&lt;&gt;"",$T360&gt;0,$U360&gt;0)),"DESCRIÇÃO",
IF(AND($C360="S",$P360&lt;&gt;"",$Q360&lt;&gt;"",$S360=""),"UNIDADE",
IF(AND($C360="S",$P360&lt;&gt;"",$Q360&lt;&gt;"",$U360=0),"SEM CUSTO",
IF(AND(_xlfn.SINGLE(TIPOORCAMENTO)="Licitado",$AL360=0,$AN360&gt;0),"SEM PREÇO",
IF(AND($C360="S",$P360&lt;&gt;"",$Q360&lt;&gt;"",$U360&gt;0,AND($V360&lt;&gt;"BDI 1",$V360&lt;&gt;"BDI 2",$V360&lt;&gt;"BDI 3")),IF(ISNUMBER($V360),"JUSTIFICAR BDI","BDI"),
IF(OR(AND(import.recurso="OGU",TIPOORCAMENTO="Proposto",LEFT($O$8,5)&lt;&gt;"(N/D:",$AG360&lt;&gt;"",ORÇAMENTO.CustoUnitario&gt;$AG360),AND(TIPOORCAMENTO="LICITADO",ORÇAMENTO.PrecoUnitarioLicitado&gt;$AN360)),"ACIMA REF.",
IF(AND($C360="S",$P360&lt;&gt;"",$Q360&lt;&gt;"",$T360=0,$U360&gt;0),"QUANT.",
IF(AND(Import.TipoArredondamento="TransfereGOV",$L360="F",$C360="S",LEN($Q360)&gt;13),"Código &gt;13",
IF(AND(Import.TipoArredondamento="TransfereGOV",$L360="F",$C360&lt;&gt;"S",LEN($R360)&gt;100),"Descrição &gt;100",
IF(AND(Import.TipoArredondamento="TransfereGOV",$L360="F",$C360="S",LEN($R360)&gt;500),"Descrição &gt;500",
IF(AND(Import.TipoArredondamento="TransfereGOV",$L360="F",$C360="S",LEFT(TRIM(UPPER($P360)),6)&lt;&gt;"SINAPI",ISNA(VLOOKUP(TRIM(UPPER($S360)),ListaTgov.Unidades,1,FALSE))),"Unid. Não Disp",
" "))))))))))))))))</f>
        <v xml:space="preserve"> </v>
      </c>
      <c r="AD360">
        <f ca="1">IF(C360&lt;=CRONO.NivelExibicao,MAX($AD$15:OFFSET(AD360,-1,0))+IF($C360&lt;&gt;1,1,MAX(1,COUNTIF(QCI!$A$13:$A$15,OFFSET($E360,-1,0)))),"")</f>
        <v>9</v>
      </c>
      <c r="AE360" s="7" t="b">
        <f ca="1">IF(AND($C360="S",ORÇAMENTO.CodBarra&lt;&gt;""),IF(ORÇAMENTO.Fonte="",ORÇAMENTO.CodBarra,CONCATENATE(ORÇAMENTO.Fonte," ",ORÇAMENTO.CodBarra)))</f>
        <v>0</v>
      </c>
      <c r="AF360" s="12" t="str">
        <f ca="1">IF(ISERROR(INDIRECT(ORÇAMENTO.BancoRef)),"(abra o arquivo 'Referência "&amp;Excel_BuiltIn_Database&amp;".xlsm)",IF(OR($C360&lt;&gt;"S",ORÇAMENTO.CodBarra=""),"(Sem Código)",IF(ISERROR(MATCH($AE360,INDIRECT(ORÇAMENTO.BancoRef),0)),"(Código não identificado nas referências)",MATCH($AE360,INDIRECT(ORÇAMENTO.BancoRef),0))))</f>
        <v>(Sem Código)</v>
      </c>
      <c r="AG360" s="428">
        <f ca="1">ROUND(IF(DESONERACAO="sim",REFERENCIA.Desonerado,REFERENCIA.NaoDesonerado),2)</f>
        <v>0</v>
      </c>
      <c r="AH360" s="429">
        <f t="shared" ca="1" si="106"/>
        <v>0.23499999999999999</v>
      </c>
      <c r="AJ360" s="431"/>
      <c r="AL360" s="439"/>
      <c r="AM360" s="336">
        <f t="shared" ca="1" si="92"/>
        <v>656759.93000000005</v>
      </c>
      <c r="AN360" s="470">
        <f t="shared" ca="1" si="107"/>
        <v>0</v>
      </c>
    </row>
    <row r="361" spans="1:40" x14ac:dyDescent="0.2">
      <c r="A361">
        <f t="shared" si="93"/>
        <v>3</v>
      </c>
      <c r="B361">
        <f t="shared" ca="1" si="94"/>
        <v>3</v>
      </c>
      <c r="C361">
        <f t="shared" ca="1" si="95"/>
        <v>3</v>
      </c>
      <c r="D361">
        <f t="shared" ca="1" si="96"/>
        <v>23</v>
      </c>
      <c r="E361">
        <f ca="1">IF($C361=1,OFFSET(E361,-1,0)+MAX(1,COUNTIF(QCI!$A$13:$A$15,OFFSET(ORÇAMENTO!E361,-1,0))),OFFSET(E361,-1,0))</f>
        <v>1</v>
      </c>
      <c r="F361">
        <f t="shared" ca="1" si="97"/>
        <v>8</v>
      </c>
      <c r="G361">
        <f t="shared" ca="1" si="98"/>
        <v>1</v>
      </c>
      <c r="H361">
        <f t="shared" ca="1" si="99"/>
        <v>0</v>
      </c>
      <c r="I361">
        <f t="shared" ca="1" si="100"/>
        <v>0</v>
      </c>
      <c r="J361">
        <f t="shared" ca="1" si="91"/>
        <v>80</v>
      </c>
      <c r="K361">
        <f ca="1">IF(OR($C361="S",$C361=0),0,MATCH(OFFSET($D361,0,$C361)+IF($C361&lt;&gt;1,1,COUNTIF(QCI!$A$13:$A$15,ORÇAMENTO!E361)),OFFSET($D361,1,$C361,ROW($C$508)-ROW($C361)),0))</f>
        <v>23</v>
      </c>
      <c r="L361" s="114" t="str">
        <f t="shared" ca="1" si="101"/>
        <v>F</v>
      </c>
      <c r="M361" s="115" t="s">
        <v>703</v>
      </c>
      <c r="N361" s="116" t="str">
        <f t="shared" ca="1" si="102"/>
        <v>Nível 3</v>
      </c>
      <c r="O361" s="117" t="str">
        <f t="shared" ca="1" si="103"/>
        <v>1.8.1.</v>
      </c>
      <c r="P361" s="118" t="s">
        <v>750</v>
      </c>
      <c r="Q361" s="119"/>
      <c r="R361" s="120" t="s">
        <v>1247</v>
      </c>
      <c r="S361" s="121" t="s">
        <v>688</v>
      </c>
      <c r="T361" s="122">
        <f ca="1">OFFSET(CÁLCULO!H$15,ROW($T361)-ROW(T$15),0)</f>
        <v>0</v>
      </c>
      <c r="U361" s="123"/>
      <c r="V361" s="124" t="s">
        <v>663</v>
      </c>
      <c r="W361" s="122">
        <f ca="1">IF($C361="S",ROUND(IF(TIPOORCAMENTO="Proposto",ORÇAMENTO.CustoUnitario*(1+$AH361),ORÇAMENTO.PrecoUnitarioLicitado),15-13*$AF$10),0)</f>
        <v>0</v>
      </c>
      <c r="X361" s="125" cm="1">
        <f t="array" aca="1" ref="X361" ca="1">IF($C361="S",IF(OR(Import.TipoArredondamento&lt;&gt;"TransfereGOV",ACOMPANHAMENTO="BM"),VTOTAL1,SUM(OFFSET(CÁLCULO!$AI$15,ROW($X361)-ROW($X$15),1):OFFSET(CÁLCULO!$BB$15,ROW($X361)-ROW($X$15),-1))),IF($C361=0,0,ROUND(SomaAgrup,15-13*$AF$11)))</f>
        <v>25210.639999999999</v>
      </c>
      <c r="Y361" s="126" t="s">
        <v>751</v>
      </c>
      <c r="Z361" t="str">
        <f t="shared" ca="1" si="104"/>
        <v/>
      </c>
      <c r="AA361" s="127">
        <f ca="1">IF($C361="S",IF($Z361="CP",$X361,IF($Z361="RA",(($X361)*QCI!$AA$3),0)),SomaAgrup)</f>
        <v>0</v>
      </c>
      <c r="AB361" s="128">
        <f t="shared" ca="1" si="105"/>
        <v>0</v>
      </c>
      <c r="AC361" s="565" t="str" cm="1">
        <f t="array" aca="1" ref="AC361" ca="1">IF($N361=""," ",
IF(AND($C361&lt;&gt;"S",OR($R361="",$R361="(digite a descrição aqui)")),"DESCRIÇÃO",
IF(AND($C361="S",OR($Q361&lt;&gt;"",$T361&gt;0,$U361&gt;0),$P361=""),"FONTE",
IF(AND($C361="S",$P361&lt;&gt;"",OR($T361&gt;0,$U361&gt;0),$Q361=""),"CÓDIGO",
IF(AND($C361="S",$P361&lt;&gt;"",$Q361&lt;&gt;"",$R361="(Código não identificado nas referências)"),"CÓDIGO N/ID",
IF(AND($C361="S",OR($R361="",$R361="(digite a descrição aqui)"),OR($Q361&lt;&gt;"",$T361&gt;0,$U361&gt;0)),"DESCRIÇÃO",
IF(AND($C361="S",$P361&lt;&gt;"",$Q361&lt;&gt;"",$S361=""),"UNIDADE",
IF(AND($C361="S",$P361&lt;&gt;"",$Q361&lt;&gt;"",$U361=0),"SEM CUSTO",
IF(AND(_xlfn.SINGLE(TIPOORCAMENTO)="Licitado",$AL361=0,$AN361&gt;0),"SEM PREÇO",
IF(AND($C361="S",$P361&lt;&gt;"",$Q361&lt;&gt;"",$U361&gt;0,AND($V361&lt;&gt;"BDI 1",$V361&lt;&gt;"BDI 2",$V361&lt;&gt;"BDI 3")),IF(ISNUMBER($V361),"JUSTIFICAR BDI","BDI"),
IF(OR(AND(import.recurso="OGU",TIPOORCAMENTO="Proposto",LEFT($O$8,5)&lt;&gt;"(N/D:",$AG361&lt;&gt;"",ORÇAMENTO.CustoUnitario&gt;$AG361),AND(TIPOORCAMENTO="LICITADO",ORÇAMENTO.PrecoUnitarioLicitado&gt;$AN361)),"ACIMA REF.",
IF(AND($C361="S",$P361&lt;&gt;"",$Q361&lt;&gt;"",$T361=0,$U361&gt;0),"QUANT.",
IF(AND(Import.TipoArredondamento="TransfereGOV",$L361="F",$C361="S",LEN($Q361)&gt;13),"Código &gt;13",
IF(AND(Import.TipoArredondamento="TransfereGOV",$L361="F",$C361&lt;&gt;"S",LEN($R361)&gt;100),"Descrição &gt;100",
IF(AND(Import.TipoArredondamento="TransfereGOV",$L361="F",$C361="S",LEN($R361)&gt;500),"Descrição &gt;500",
IF(AND(Import.TipoArredondamento="TransfereGOV",$L361="F",$C361="S",LEFT(TRIM(UPPER($P361)),6)&lt;&gt;"SINAPI",ISNA(VLOOKUP(TRIM(UPPER($S361)),ListaTgov.Unidades,1,FALSE))),"Unid. Não Disp",
" "))))))))))))))))</f>
        <v xml:space="preserve"> </v>
      </c>
      <c r="AD361" t="str">
        <f ca="1">IF(C361&lt;=CRONO.NivelExibicao,MAX($AD$15:OFFSET(AD361,-1,0))+IF($C361&lt;&gt;1,1,MAX(1,COUNTIF(QCI!$A$13:$A$15,OFFSET($E361,-1,0)))),"")</f>
        <v/>
      </c>
      <c r="AE361" s="7" t="b">
        <f ca="1">IF(AND($C361="S",ORÇAMENTO.CodBarra&lt;&gt;""),IF(ORÇAMENTO.Fonte="",ORÇAMENTO.CodBarra,CONCATENATE(ORÇAMENTO.Fonte," ",ORÇAMENTO.CodBarra)))</f>
        <v>0</v>
      </c>
      <c r="AF361" s="12" t="str">
        <f ca="1">IF(ISERROR(INDIRECT(ORÇAMENTO.BancoRef)),"(abra o arquivo 'Referência "&amp;Excel_BuiltIn_Database&amp;".xlsm)",IF(OR($C361&lt;&gt;"S",ORÇAMENTO.CodBarra=""),"(Sem Código)",IF(ISERROR(MATCH($AE361,INDIRECT(ORÇAMENTO.BancoRef),0)),"(Código não identificado nas referências)",MATCH($AE361,INDIRECT(ORÇAMENTO.BancoRef),0))))</f>
        <v>(Sem Código)</v>
      </c>
      <c r="AG361" s="428">
        <f ca="1">ROUND(IF(DESONERACAO="sim",REFERENCIA.Desonerado,REFERENCIA.NaoDesonerado),2)</f>
        <v>0</v>
      </c>
      <c r="AH361" s="429">
        <f t="shared" ca="1" si="106"/>
        <v>0.23499999999999999</v>
      </c>
      <c r="AJ361" s="431"/>
      <c r="AL361" s="439"/>
      <c r="AM361" s="336">
        <f t="shared" ca="1" si="92"/>
        <v>25210.639999999999</v>
      </c>
      <c r="AN361" s="470">
        <f t="shared" ca="1" si="107"/>
        <v>0</v>
      </c>
    </row>
    <row r="362" spans="1:40" x14ac:dyDescent="0.2">
      <c r="A362">
        <f t="shared" si="93"/>
        <v>4</v>
      </c>
      <c r="B362">
        <f t="shared" ca="1" si="94"/>
        <v>4</v>
      </c>
      <c r="C362">
        <f t="shared" ca="1" si="95"/>
        <v>4</v>
      </c>
      <c r="D362">
        <f t="shared" ca="1" si="96"/>
        <v>4</v>
      </c>
      <c r="E362">
        <f ca="1">IF($C362=1,OFFSET(E362,-1,0)+MAX(1,COUNTIF(QCI!$A$13:$A$15,OFFSET(ORÇAMENTO!E362,-1,0))),OFFSET(E362,-1,0))</f>
        <v>1</v>
      </c>
      <c r="F362">
        <f t="shared" ca="1" si="97"/>
        <v>8</v>
      </c>
      <c r="G362">
        <f t="shared" ca="1" si="98"/>
        <v>1</v>
      </c>
      <c r="H362">
        <f t="shared" ca="1" si="99"/>
        <v>1</v>
      </c>
      <c r="I362">
        <f t="shared" ca="1" si="100"/>
        <v>0</v>
      </c>
      <c r="J362">
        <f t="shared" ca="1" si="91"/>
        <v>22</v>
      </c>
      <c r="K362">
        <f ca="1">IF(OR($C362="S",$C362=0),0,MATCH(OFFSET($D362,0,$C362)+IF($C362&lt;&gt;1,1,COUNTIF(QCI!$A$13:$A$15,ORÇAMENTO!E362)),OFFSET($D362,1,$C362,ROW($C$508)-ROW($C362)),0))</f>
        <v>4</v>
      </c>
      <c r="L362" s="114" t="str">
        <f t="shared" ca="1" si="101"/>
        <v>F</v>
      </c>
      <c r="M362" s="115" t="s">
        <v>704</v>
      </c>
      <c r="N362" s="116" t="str">
        <f t="shared" ca="1" si="102"/>
        <v>Nível 4</v>
      </c>
      <c r="O362" s="117" t="str">
        <f t="shared" ca="1" si="103"/>
        <v>1.8.1.1.</v>
      </c>
      <c r="P362" s="118" t="s">
        <v>750</v>
      </c>
      <c r="Q362" s="119"/>
      <c r="R362" s="120" t="s">
        <v>1248</v>
      </c>
      <c r="S362" s="121" t="s">
        <v>688</v>
      </c>
      <c r="T362" s="122">
        <f ca="1">OFFSET(CÁLCULO!H$15,ROW($T362)-ROW(T$15),0)</f>
        <v>0</v>
      </c>
      <c r="U362" s="123">
        <f t="shared" ca="1" si="108"/>
        <v>0</v>
      </c>
      <c r="V362" s="124" t="s">
        <v>663</v>
      </c>
      <c r="W362" s="122">
        <f ca="1">IF($C362="S",ROUND(IF(TIPOORCAMENTO="Proposto",ORÇAMENTO.CustoUnitario*(1+$AH362),ORÇAMENTO.PrecoUnitarioLicitado),15-13*$AF$10),0)</f>
        <v>0</v>
      </c>
      <c r="X362" s="125" cm="1">
        <f t="array" aca="1" ref="X362" ca="1">IF($C362="S",IF(OR(Import.TipoArredondamento&lt;&gt;"TransfereGOV",ACOMPANHAMENTO="BM"),VTOTAL1,SUM(OFFSET(CÁLCULO!$AI$15,ROW($X362)-ROW($X$15),1):OFFSET(CÁLCULO!$BB$15,ROW($X362)-ROW($X$15),-1))),IF($C362=0,0,ROUND(SomaAgrup,15-13*$AF$11)))</f>
        <v>1535.41</v>
      </c>
      <c r="Y362" s="126" t="s">
        <v>751</v>
      </c>
      <c r="Z362" t="str">
        <f t="shared" ca="1" si="104"/>
        <v/>
      </c>
      <c r="AA362" s="127">
        <f ca="1">IF($C362="S",IF($Z362="CP",$X362,IF($Z362="RA",(($X362)*QCI!$AA$3),0)),SomaAgrup)</f>
        <v>0</v>
      </c>
      <c r="AB362" s="128">
        <f t="shared" ca="1" si="105"/>
        <v>0</v>
      </c>
      <c r="AC362" s="565" t="str" cm="1">
        <f t="array" aca="1" ref="AC362" ca="1">IF($N362=""," ",
IF(AND($C362&lt;&gt;"S",OR($R362="",$R362="(digite a descrição aqui)")),"DESCRIÇÃO",
IF(AND($C362="S",OR($Q362&lt;&gt;"",$T362&gt;0,$U362&gt;0),$P362=""),"FONTE",
IF(AND($C362="S",$P362&lt;&gt;"",OR($T362&gt;0,$U362&gt;0),$Q362=""),"CÓDIGO",
IF(AND($C362="S",$P362&lt;&gt;"",$Q362&lt;&gt;"",$R362="(Código não identificado nas referências)"),"CÓDIGO N/ID",
IF(AND($C362="S",OR($R362="",$R362="(digite a descrição aqui)"),OR($Q362&lt;&gt;"",$T362&gt;0,$U362&gt;0)),"DESCRIÇÃO",
IF(AND($C362="S",$P362&lt;&gt;"",$Q362&lt;&gt;"",$S362=""),"UNIDADE",
IF(AND($C362="S",$P362&lt;&gt;"",$Q362&lt;&gt;"",$U362=0),"SEM CUSTO",
IF(AND(_xlfn.SINGLE(TIPOORCAMENTO)="Licitado",$AL362=0,$AN362&gt;0),"SEM PREÇO",
IF(AND($C362="S",$P362&lt;&gt;"",$Q362&lt;&gt;"",$U362&gt;0,AND($V362&lt;&gt;"BDI 1",$V362&lt;&gt;"BDI 2",$V362&lt;&gt;"BDI 3")),IF(ISNUMBER($V362),"JUSTIFICAR BDI","BDI"),
IF(OR(AND(import.recurso="OGU",TIPOORCAMENTO="Proposto",LEFT($O$8,5)&lt;&gt;"(N/D:",$AG362&lt;&gt;"",ORÇAMENTO.CustoUnitario&gt;$AG362),AND(TIPOORCAMENTO="LICITADO",ORÇAMENTO.PrecoUnitarioLicitado&gt;$AN362)),"ACIMA REF.",
IF(AND($C362="S",$P362&lt;&gt;"",$Q362&lt;&gt;"",$T362=0,$U362&gt;0),"QUANT.",
IF(AND(Import.TipoArredondamento="TransfereGOV",$L362="F",$C362="S",LEN($Q362)&gt;13),"Código &gt;13",
IF(AND(Import.TipoArredondamento="TransfereGOV",$L362="F",$C362&lt;&gt;"S",LEN($R362)&gt;100),"Descrição &gt;100",
IF(AND(Import.TipoArredondamento="TransfereGOV",$L362="F",$C362="S",LEN($R362)&gt;500),"Descrição &gt;500",
IF(AND(Import.TipoArredondamento="TransfereGOV",$L362="F",$C362="S",LEFT(TRIM(UPPER($P362)),6)&lt;&gt;"SINAPI",ISNA(VLOOKUP(TRIM(UPPER($S362)),ListaTgov.Unidades,1,FALSE))),"Unid. Não Disp",
" "))))))))))))))))</f>
        <v xml:space="preserve"> </v>
      </c>
      <c r="AD362" t="str">
        <f ca="1">IF(C362&lt;=CRONO.NivelExibicao,MAX($AD$15:OFFSET(AD362,-1,0))+IF($C362&lt;&gt;1,1,MAX(1,COUNTIF(QCI!$A$13:$A$15,OFFSET($E362,-1,0)))),"")</f>
        <v/>
      </c>
      <c r="AE362" s="7" t="b">
        <f ca="1">IF(AND($C362="S",ORÇAMENTO.CodBarra&lt;&gt;""),IF(ORÇAMENTO.Fonte="",ORÇAMENTO.CodBarra,CONCATENATE(ORÇAMENTO.Fonte," ",ORÇAMENTO.CodBarra)))</f>
        <v>0</v>
      </c>
      <c r="AF362" s="12" t="str">
        <f ca="1">IF(ISERROR(INDIRECT(ORÇAMENTO.BancoRef)),"(abra o arquivo 'Referência "&amp;Excel_BuiltIn_Database&amp;".xlsm)",IF(OR($C362&lt;&gt;"S",ORÇAMENTO.CodBarra=""),"(Sem Código)",IF(ISERROR(MATCH($AE362,INDIRECT(ORÇAMENTO.BancoRef),0)),"(Código não identificado nas referências)",MATCH($AE362,INDIRECT(ORÇAMENTO.BancoRef),0))))</f>
        <v>(Sem Código)</v>
      </c>
      <c r="AG362" s="428">
        <f ca="1">ROUND(IF(DESONERACAO="sim",REFERENCIA.Desonerado,REFERENCIA.NaoDesonerado),2)</f>
        <v>0</v>
      </c>
      <c r="AH362" s="429">
        <f t="shared" ca="1" si="106"/>
        <v>0.23499999999999999</v>
      </c>
      <c r="AJ362" s="431"/>
      <c r="AL362" s="439"/>
      <c r="AM362" s="336">
        <f t="shared" ca="1" si="92"/>
        <v>1535.41</v>
      </c>
      <c r="AN362" s="470">
        <f t="shared" ca="1" si="107"/>
        <v>0</v>
      </c>
    </row>
    <row r="363" spans="1:40" ht="38.25" x14ac:dyDescent="0.2">
      <c r="A363" t="str">
        <f t="shared" si="93"/>
        <v>S</v>
      </c>
      <c r="B363">
        <f t="shared" ca="1" si="94"/>
        <v>4</v>
      </c>
      <c r="C363" t="str">
        <f t="shared" ca="1" si="95"/>
        <v>S</v>
      </c>
      <c r="D363">
        <f t="shared" ca="1" si="96"/>
        <v>0</v>
      </c>
      <c r="E363">
        <f ca="1">IF($C363=1,OFFSET(E363,-1,0)+MAX(1,COUNTIF(QCI!$A$13:$A$15,OFFSET(ORÇAMENTO!E363,-1,0))),OFFSET(E363,-1,0))</f>
        <v>1</v>
      </c>
      <c r="F363">
        <f t="shared" ca="1" si="97"/>
        <v>8</v>
      </c>
      <c r="G363">
        <f t="shared" ca="1" si="98"/>
        <v>1</v>
      </c>
      <c r="H363">
        <f t="shared" ca="1" si="99"/>
        <v>1</v>
      </c>
      <c r="I363">
        <f t="shared" ca="1" si="100"/>
        <v>1</v>
      </c>
      <c r="J363">
        <f t="shared" ca="1" si="91"/>
        <v>0</v>
      </c>
      <c r="K363">
        <f ca="1">IF(OR($C363="S",$C363=0),0,MATCH(OFFSET($D363,0,$C363)+IF($C363&lt;&gt;1,1,COUNTIF(QCI!$A$13:$A$15,ORÇAMENTO!E363)),OFFSET($D363,1,$C363,ROW($C$508)-ROW($C363)),0))</f>
        <v>0</v>
      </c>
      <c r="L363" s="114" t="str">
        <f t="shared" ca="1" si="101"/>
        <v>F</v>
      </c>
      <c r="M363" s="115" t="s">
        <v>705</v>
      </c>
      <c r="N363" s="116" t="str">
        <f t="shared" ca="1" si="102"/>
        <v>Serviço</v>
      </c>
      <c r="O363" s="117" t="str">
        <f t="shared" ca="1" si="103"/>
        <v>1.8.1.1.1.</v>
      </c>
      <c r="P363" s="118" t="s">
        <v>1280</v>
      </c>
      <c r="Q363" s="119" t="s">
        <v>1117</v>
      </c>
      <c r="R363" s="120" t="str">
        <f ca="1">IF($C363="S",REFERENCIA.Descricao,"(digite a descrição aqui)")</f>
        <v>QUADRO DE DISTRIBUIÇÃO DE SOBREPOR EM CHAPA, PARA 44 DISJUNTORES DIN, INCLUSIVE BARRAMENTOS NEUTRO/TERRA E BARRAMENTO TRIFÁSICO DE 100A</v>
      </c>
      <c r="S363" s="121" t="str">
        <f ca="1">REFERENCIA.Unidade</f>
        <v>UN</v>
      </c>
      <c r="T363" s="122">
        <f ca="1">OFFSET(CÁLCULO!H$15,ROW($T363)-ROW(T$15),0)</f>
        <v>1</v>
      </c>
      <c r="U363" s="123">
        <f t="shared" ca="1" si="108"/>
        <v>848.72</v>
      </c>
      <c r="V363" s="124" t="s">
        <v>663</v>
      </c>
      <c r="W363" s="122">
        <f ca="1">IF($C363="S",ROUND(IF(TIPOORCAMENTO="Proposto",ORÇAMENTO.CustoUnitario*(1+$AH363),ORÇAMENTO.PrecoUnitarioLicitado),15-13*$AF$10),0)</f>
        <v>1048.17</v>
      </c>
      <c r="X363" s="125" cm="1">
        <f t="array" aca="1" ref="X363" ca="1">IF($C363="S",IF(OR(Import.TipoArredondamento&lt;&gt;"TransfereGOV",ACOMPANHAMENTO="BM"),VTOTAL1,SUM(OFFSET(CÁLCULO!$AI$15,ROW($X363)-ROW($X$15),1):OFFSET(CÁLCULO!$BB$15,ROW($X363)-ROW($X$15),-1))),IF($C363=0,0,ROUND(SomaAgrup,15-13*$AF$11)))</f>
        <v>1048.17</v>
      </c>
      <c r="Y363" s="126" t="s">
        <v>751</v>
      </c>
      <c r="Z363" t="str">
        <f t="shared" ca="1" si="104"/>
        <v>RA</v>
      </c>
      <c r="AA363" s="127">
        <f ca="1">IF($C363="S",IF($Z363="CP",$X363,IF($Z363="RA",(($X363)*QCI!$AA$3),0)),SomaAgrup)</f>
        <v>0</v>
      </c>
      <c r="AB363" s="128">
        <f t="shared" ca="1" si="105"/>
        <v>0</v>
      </c>
      <c r="AC363" s="565" t="str" cm="1">
        <f t="array" aca="1" ref="AC363" ca="1">IF($N363=""," ",
IF(AND($C363&lt;&gt;"S",OR($R363="",$R363="(digite a descrição aqui)")),"DESCRIÇÃO",
IF(AND($C363="S",OR($Q363&lt;&gt;"",$T363&gt;0,$U363&gt;0),$P363=""),"FONTE",
IF(AND($C363="S",$P363&lt;&gt;"",OR($T363&gt;0,$U363&gt;0),$Q363=""),"CÓDIGO",
IF(AND($C363="S",$P363&lt;&gt;"",$Q363&lt;&gt;"",$R363="(Código não identificado nas referências)"),"CÓDIGO N/ID",
IF(AND($C363="S",OR($R363="",$R363="(digite a descrição aqui)"),OR($Q363&lt;&gt;"",$T363&gt;0,$U363&gt;0)),"DESCRIÇÃO",
IF(AND($C363="S",$P363&lt;&gt;"",$Q363&lt;&gt;"",$S363=""),"UNIDADE",
IF(AND($C363="S",$P363&lt;&gt;"",$Q363&lt;&gt;"",$U363=0),"SEM CUSTO",
IF(AND(_xlfn.SINGLE(TIPOORCAMENTO)="Licitado",$AL363=0,$AN363&gt;0),"SEM PREÇO",
IF(AND($C363="S",$P363&lt;&gt;"",$Q363&lt;&gt;"",$U363&gt;0,AND($V363&lt;&gt;"BDI 1",$V363&lt;&gt;"BDI 2",$V363&lt;&gt;"BDI 3")),IF(ISNUMBER($V363),"JUSTIFICAR BDI","BDI"),
IF(OR(AND(import.recurso="OGU",TIPOORCAMENTO="Proposto",LEFT($O$8,5)&lt;&gt;"(N/D:",$AG363&lt;&gt;"",ORÇAMENTO.CustoUnitario&gt;$AG363),AND(TIPOORCAMENTO="LICITADO",ORÇAMENTO.PrecoUnitarioLicitado&gt;$AN363)),"ACIMA REF.",
IF(AND($C363="S",$P363&lt;&gt;"",$Q363&lt;&gt;"",$T363=0,$U363&gt;0),"QUANT.",
IF(AND(Import.TipoArredondamento="TransfereGOV",$L363="F",$C363="S",LEN($Q363)&gt;13),"Código &gt;13",
IF(AND(Import.TipoArredondamento="TransfereGOV",$L363="F",$C363&lt;&gt;"S",LEN($R363)&gt;100),"Descrição &gt;100",
IF(AND(Import.TipoArredondamento="TransfereGOV",$L363="F",$C363="S",LEN($R363)&gt;500),"Descrição &gt;500",
IF(AND(Import.TipoArredondamento="TransfereGOV",$L363="F",$C363="S",LEFT(TRIM(UPPER($P363)),6)&lt;&gt;"SINAPI",ISNA(VLOOKUP(TRIM(UPPER($S363)),ListaTgov.Unidades,1,FALSE))),"Unid. Não Disp",
" "))))))))))))))))</f>
        <v xml:space="preserve"> </v>
      </c>
      <c r="AD363" t="str">
        <f ca="1">IF(C363&lt;=CRONO.NivelExibicao,MAX($AD$15:OFFSET(AD363,-1,0))+IF($C363&lt;&gt;1,1,MAX(1,COUNTIF(QCI!$A$13:$A$15,OFFSET($E363,-1,0)))),"")</f>
        <v/>
      </c>
      <c r="AE363" s="7" t="str">
        <f ca="1">IF(AND($C363="S",ORÇAMENTO.CodBarra&lt;&gt;""),IF(ORÇAMENTO.Fonte="",ORÇAMENTO.CodBarra,CONCATENATE(ORÇAMENTO.Fonte," ",ORÇAMENTO.CodBarra)))</f>
        <v>SETOP ED-14198</v>
      </c>
      <c r="AF363" s="12">
        <f ca="1">IF(ISERROR(INDIRECT(ORÇAMENTO.BancoRef)),"(abra o arquivo 'Referência "&amp;Excel_BuiltIn_Database&amp;".xlsm)",IF(OR($C363&lt;&gt;"S",ORÇAMENTO.CodBarra=""),"(Sem Código)",IF(ISERROR(MATCH($AE363,INDIRECT(ORÇAMENTO.BancoRef),0)),"(Código não identificado nas referências)",MATCH($AE363,INDIRECT(ORÇAMENTO.BancoRef),0))))</f>
        <v>29339</v>
      </c>
      <c r="AG363" s="428">
        <f ca="1">ROUND(IF(DESONERACAO="sim",REFERENCIA.Desonerado,REFERENCIA.NaoDesonerado),2)</f>
        <v>848.72</v>
      </c>
      <c r="AH363" s="429">
        <f t="shared" ca="1" si="106"/>
        <v>0.23499999999999999</v>
      </c>
      <c r="AJ363" s="431">
        <v>1</v>
      </c>
      <c r="AL363" s="439"/>
      <c r="AM363" s="336">
        <f t="shared" ca="1" si="92"/>
        <v>1048.17</v>
      </c>
      <c r="AN363" s="470">
        <f t="shared" ca="1" si="107"/>
        <v>1048.17</v>
      </c>
    </row>
    <row r="364" spans="1:40" ht="25.5" x14ac:dyDescent="0.2">
      <c r="A364" t="str">
        <f t="shared" si="93"/>
        <v>S</v>
      </c>
      <c r="B364">
        <f t="shared" ca="1" si="94"/>
        <v>4</v>
      </c>
      <c r="C364" t="str">
        <f t="shared" ca="1" si="95"/>
        <v>S</v>
      </c>
      <c r="D364">
        <f t="shared" ca="1" si="96"/>
        <v>0</v>
      </c>
      <c r="E364">
        <f ca="1">IF($C364=1,OFFSET(E364,-1,0)+MAX(1,COUNTIF(QCI!$A$13:$A$15,OFFSET(ORÇAMENTO!E364,-1,0))),OFFSET(E364,-1,0))</f>
        <v>1</v>
      </c>
      <c r="F364">
        <f t="shared" ca="1" si="97"/>
        <v>8</v>
      </c>
      <c r="G364">
        <f t="shared" ca="1" si="98"/>
        <v>1</v>
      </c>
      <c r="H364">
        <f t="shared" ca="1" si="99"/>
        <v>1</v>
      </c>
      <c r="I364">
        <f t="shared" ca="1" si="100"/>
        <v>2</v>
      </c>
      <c r="J364">
        <f t="shared" ca="1" si="91"/>
        <v>0</v>
      </c>
      <c r="K364">
        <f ca="1">IF(OR($C364="S",$C364=0),0,MATCH(OFFSET($D364,0,$C364)+IF($C364&lt;&gt;1,1,COUNTIF(QCI!$A$13:$A$15,ORÇAMENTO!E364)),OFFSET($D364,1,$C364,ROW($C$508)-ROW($C364)),0))</f>
        <v>0</v>
      </c>
      <c r="L364" s="114" t="str">
        <f t="shared" ca="1" si="101"/>
        <v>F</v>
      </c>
      <c r="M364" s="115" t="s">
        <v>705</v>
      </c>
      <c r="N364" s="116" t="str">
        <f t="shared" ca="1" si="102"/>
        <v>Serviço</v>
      </c>
      <c r="O364" s="117" t="str">
        <f t="shared" ca="1" si="103"/>
        <v>1.8.1.1.2.</v>
      </c>
      <c r="P364" s="118" t="s">
        <v>750</v>
      </c>
      <c r="Q364" s="119">
        <v>93661</v>
      </c>
      <c r="R364" s="120" t="str">
        <f ca="1">IF($C364="S",REFERENCIA.Descricao,"(digite a descrição aqui)")</f>
        <v>DISJUNTOR BIPOLAR TIPO DIN, CORRENTE NOMINAL DE 16A - FORNECIMENTO E INSTALAÇÃO. AF_10/2020</v>
      </c>
      <c r="S364" s="121" t="str">
        <f ca="1">REFERENCIA.Unidade</f>
        <v>UN</v>
      </c>
      <c r="T364" s="122">
        <f ca="1">OFFSET(CÁLCULO!H$15,ROW($T364)-ROW(T$15),0)</f>
        <v>4</v>
      </c>
      <c r="U364" s="123">
        <f t="shared" ca="1" si="108"/>
        <v>72.430000000000007</v>
      </c>
      <c r="V364" s="124" t="s">
        <v>663</v>
      </c>
      <c r="W364" s="122">
        <f ca="1">IF($C364="S",ROUND(IF(TIPOORCAMENTO="Proposto",ORÇAMENTO.CustoUnitario*(1+$AH364),ORÇAMENTO.PrecoUnitarioLicitado),15-13*$AF$10),0)</f>
        <v>89.45</v>
      </c>
      <c r="X364" s="125" cm="1">
        <f t="array" aca="1" ref="X364" ca="1">IF($C364="S",IF(OR(Import.TipoArredondamento&lt;&gt;"TransfereGOV",ACOMPANHAMENTO="BM"),VTOTAL1,SUM(OFFSET(CÁLCULO!$AI$15,ROW($X364)-ROW($X$15),1):OFFSET(CÁLCULO!$BB$15,ROW($X364)-ROW($X$15),-1))),IF($C364=0,0,ROUND(SomaAgrup,15-13*$AF$11)))</f>
        <v>357.8</v>
      </c>
      <c r="Y364" s="126" t="s">
        <v>751</v>
      </c>
      <c r="Z364" t="str">
        <f t="shared" ca="1" si="104"/>
        <v>RA</v>
      </c>
      <c r="AA364" s="127">
        <f ca="1">IF($C364="S",IF($Z364="CP",$X364,IF($Z364="RA",(($X364)*QCI!$AA$3),0)),SomaAgrup)</f>
        <v>0</v>
      </c>
      <c r="AB364" s="128">
        <f t="shared" ca="1" si="105"/>
        <v>0</v>
      </c>
      <c r="AC364" s="565" t="str" cm="1">
        <f t="array" aca="1" ref="AC364" ca="1">IF($N364=""," ",
IF(AND($C364&lt;&gt;"S",OR($R364="",$R364="(digite a descrição aqui)")),"DESCRIÇÃO",
IF(AND($C364="S",OR($Q364&lt;&gt;"",$T364&gt;0,$U364&gt;0),$P364=""),"FONTE",
IF(AND($C364="S",$P364&lt;&gt;"",OR($T364&gt;0,$U364&gt;0),$Q364=""),"CÓDIGO",
IF(AND($C364="S",$P364&lt;&gt;"",$Q364&lt;&gt;"",$R364="(Código não identificado nas referências)"),"CÓDIGO N/ID",
IF(AND($C364="S",OR($R364="",$R364="(digite a descrição aqui)"),OR($Q364&lt;&gt;"",$T364&gt;0,$U364&gt;0)),"DESCRIÇÃO",
IF(AND($C364="S",$P364&lt;&gt;"",$Q364&lt;&gt;"",$S364=""),"UNIDADE",
IF(AND($C364="S",$P364&lt;&gt;"",$Q364&lt;&gt;"",$U364=0),"SEM CUSTO",
IF(AND(_xlfn.SINGLE(TIPOORCAMENTO)="Licitado",$AL364=0,$AN364&gt;0),"SEM PREÇO",
IF(AND($C364="S",$P364&lt;&gt;"",$Q364&lt;&gt;"",$U364&gt;0,AND($V364&lt;&gt;"BDI 1",$V364&lt;&gt;"BDI 2",$V364&lt;&gt;"BDI 3")),IF(ISNUMBER($V364),"JUSTIFICAR BDI","BDI"),
IF(OR(AND(import.recurso="OGU",TIPOORCAMENTO="Proposto",LEFT($O$8,5)&lt;&gt;"(N/D:",$AG364&lt;&gt;"",ORÇAMENTO.CustoUnitario&gt;$AG364),AND(TIPOORCAMENTO="LICITADO",ORÇAMENTO.PrecoUnitarioLicitado&gt;$AN364)),"ACIMA REF.",
IF(AND($C364="S",$P364&lt;&gt;"",$Q364&lt;&gt;"",$T364=0,$U364&gt;0),"QUANT.",
IF(AND(Import.TipoArredondamento="TransfereGOV",$L364="F",$C364="S",LEN($Q364)&gt;13),"Código &gt;13",
IF(AND(Import.TipoArredondamento="TransfereGOV",$L364="F",$C364&lt;&gt;"S",LEN($R364)&gt;100),"Descrição &gt;100",
IF(AND(Import.TipoArredondamento="TransfereGOV",$L364="F",$C364="S",LEN($R364)&gt;500),"Descrição &gt;500",
IF(AND(Import.TipoArredondamento="TransfereGOV",$L364="F",$C364="S",LEFT(TRIM(UPPER($P364)),6)&lt;&gt;"SINAPI",ISNA(VLOOKUP(TRIM(UPPER($S364)),ListaTgov.Unidades,1,FALSE))),"Unid. Não Disp",
" "))))))))))))))))</f>
        <v xml:space="preserve"> </v>
      </c>
      <c r="AD364" t="str">
        <f ca="1">IF(C364&lt;=CRONO.NivelExibicao,MAX($AD$15:OFFSET(AD364,-1,0))+IF($C364&lt;&gt;1,1,MAX(1,COUNTIF(QCI!$A$13:$A$15,OFFSET($E364,-1,0)))),"")</f>
        <v/>
      </c>
      <c r="AE364" s="7" t="str">
        <f ca="1">IF(AND($C364="S",ORÇAMENTO.CodBarra&lt;&gt;""),IF(ORÇAMENTO.Fonte="",ORÇAMENTO.CodBarra,CONCATENATE(ORÇAMENTO.Fonte," ",ORÇAMENTO.CodBarra)))</f>
        <v>SINAPI 93661</v>
      </c>
      <c r="AF364" s="12">
        <f ca="1">IF(ISERROR(INDIRECT(ORÇAMENTO.BancoRef)),"(abra o arquivo 'Referência "&amp;Excel_BuiltIn_Database&amp;".xlsm)",IF(OR($C364&lt;&gt;"S",ORÇAMENTO.CodBarra=""),"(Sem Código)",IF(ISERROR(MATCH($AE364,INDIRECT(ORÇAMENTO.BancoRef),0)),"(Código não identificado nas referências)",MATCH($AE364,INDIRECT(ORÇAMENTO.BancoRef),0))))</f>
        <v>10698</v>
      </c>
      <c r="AG364" s="428">
        <f ca="1">ROUND(IF(DESONERACAO="sim",REFERENCIA.Desonerado,REFERENCIA.NaoDesonerado),2)</f>
        <v>72.430000000000007</v>
      </c>
      <c r="AH364" s="429">
        <f t="shared" ca="1" si="106"/>
        <v>0.23499999999999999</v>
      </c>
      <c r="AJ364" s="431">
        <v>4</v>
      </c>
      <c r="AL364" s="439"/>
      <c r="AM364" s="336">
        <f t="shared" ca="1" si="92"/>
        <v>357.8</v>
      </c>
      <c r="AN364" s="470">
        <f t="shared" ca="1" si="107"/>
        <v>89.45</v>
      </c>
    </row>
    <row r="365" spans="1:40" ht="25.5" x14ac:dyDescent="0.2">
      <c r="A365" t="str">
        <f t="shared" si="93"/>
        <v>S</v>
      </c>
      <c r="B365">
        <f t="shared" ca="1" si="94"/>
        <v>4</v>
      </c>
      <c r="C365" t="str">
        <f t="shared" ca="1" si="95"/>
        <v>S</v>
      </c>
      <c r="D365">
        <f t="shared" ca="1" si="96"/>
        <v>0</v>
      </c>
      <c r="E365">
        <f ca="1">IF($C365=1,OFFSET(E365,-1,0)+MAX(1,COUNTIF(QCI!$A$13:$A$15,OFFSET(ORÇAMENTO!E365,-1,0))),OFFSET(E365,-1,0))</f>
        <v>1</v>
      </c>
      <c r="F365">
        <f t="shared" ca="1" si="97"/>
        <v>8</v>
      </c>
      <c r="G365">
        <f t="shared" ca="1" si="98"/>
        <v>1</v>
      </c>
      <c r="H365">
        <f t="shared" ca="1" si="99"/>
        <v>1</v>
      </c>
      <c r="I365">
        <f t="shared" ca="1" si="100"/>
        <v>3</v>
      </c>
      <c r="J365">
        <f t="shared" ca="1" si="91"/>
        <v>0</v>
      </c>
      <c r="K365">
        <f ca="1">IF(OR($C365="S",$C365=0),0,MATCH(OFFSET($D365,0,$C365)+IF($C365&lt;&gt;1,1,COUNTIF(QCI!$A$13:$A$15,ORÇAMENTO!E365)),OFFSET($D365,1,$C365,ROW($C$508)-ROW($C365)),0))</f>
        <v>0</v>
      </c>
      <c r="L365" s="114" t="str">
        <f t="shared" ca="1" si="101"/>
        <v>F</v>
      </c>
      <c r="M365" s="115" t="s">
        <v>705</v>
      </c>
      <c r="N365" s="116" t="str">
        <f t="shared" ca="1" si="102"/>
        <v>Serviço</v>
      </c>
      <c r="O365" s="117" t="str">
        <f t="shared" ca="1" si="103"/>
        <v>1.8.1.1.3.</v>
      </c>
      <c r="P365" s="118" t="s">
        <v>1280</v>
      </c>
      <c r="Q365" s="119" t="s">
        <v>1118</v>
      </c>
      <c r="R365" s="120" t="str">
        <f ca="1">IF($C365="S",REFERENCIA.Descricao,"(digite a descrição aqui)")</f>
        <v>DISJUNTOR TRIPOLAR TIPO DIN, CORRENTE NOMINAL DE 70A, FORNECIMENTO E INSTALAÇÃO, INCLUSIVE TERMINAL ILHÓS</v>
      </c>
      <c r="S365" s="121" t="str">
        <f ca="1">REFERENCIA.Unidade</f>
        <v>UN</v>
      </c>
      <c r="T365" s="122">
        <f ca="1">OFFSET(CÁLCULO!H$15,ROW($T365)-ROW(T$15),0)</f>
        <v>1</v>
      </c>
      <c r="U365" s="123">
        <f t="shared" ca="1" si="108"/>
        <v>104.81</v>
      </c>
      <c r="V365" s="124" t="s">
        <v>663</v>
      </c>
      <c r="W365" s="122">
        <f ca="1">IF($C365="S",ROUND(IF(TIPOORCAMENTO="Proposto",ORÇAMENTO.CustoUnitario*(1+$AH365),ORÇAMENTO.PrecoUnitarioLicitado),15-13*$AF$10),0)</f>
        <v>129.44</v>
      </c>
      <c r="X365" s="125" cm="1">
        <f t="array" aca="1" ref="X365" ca="1">IF($C365="S",IF(OR(Import.TipoArredondamento&lt;&gt;"TransfereGOV",ACOMPANHAMENTO="BM"),VTOTAL1,SUM(OFFSET(CÁLCULO!$AI$15,ROW($X365)-ROW($X$15),1):OFFSET(CÁLCULO!$BB$15,ROW($X365)-ROW($X$15),-1))),IF($C365=0,0,ROUND(SomaAgrup,15-13*$AF$11)))</f>
        <v>129.44</v>
      </c>
      <c r="Y365" s="126" t="s">
        <v>751</v>
      </c>
      <c r="Z365" t="str">
        <f t="shared" ca="1" si="104"/>
        <v>RA</v>
      </c>
      <c r="AA365" s="127">
        <f ca="1">IF($C365="S",IF($Z365="CP",$X365,IF($Z365="RA",(($X365)*QCI!$AA$3),0)),SomaAgrup)</f>
        <v>0</v>
      </c>
      <c r="AB365" s="128">
        <f t="shared" ca="1" si="105"/>
        <v>0</v>
      </c>
      <c r="AC365" s="565" t="str" cm="1">
        <f t="array" aca="1" ref="AC365" ca="1">IF($N365=""," ",
IF(AND($C365&lt;&gt;"S",OR($R365="",$R365="(digite a descrição aqui)")),"DESCRIÇÃO",
IF(AND($C365="S",OR($Q365&lt;&gt;"",$T365&gt;0,$U365&gt;0),$P365=""),"FONTE",
IF(AND($C365="S",$P365&lt;&gt;"",OR($T365&gt;0,$U365&gt;0),$Q365=""),"CÓDIGO",
IF(AND($C365="S",$P365&lt;&gt;"",$Q365&lt;&gt;"",$R365="(Código não identificado nas referências)"),"CÓDIGO N/ID",
IF(AND($C365="S",OR($R365="",$R365="(digite a descrição aqui)"),OR($Q365&lt;&gt;"",$T365&gt;0,$U365&gt;0)),"DESCRIÇÃO",
IF(AND($C365="S",$P365&lt;&gt;"",$Q365&lt;&gt;"",$S365=""),"UNIDADE",
IF(AND($C365="S",$P365&lt;&gt;"",$Q365&lt;&gt;"",$U365=0),"SEM CUSTO",
IF(AND(_xlfn.SINGLE(TIPOORCAMENTO)="Licitado",$AL365=0,$AN365&gt;0),"SEM PREÇO",
IF(AND($C365="S",$P365&lt;&gt;"",$Q365&lt;&gt;"",$U365&gt;0,AND($V365&lt;&gt;"BDI 1",$V365&lt;&gt;"BDI 2",$V365&lt;&gt;"BDI 3")),IF(ISNUMBER($V365),"JUSTIFICAR BDI","BDI"),
IF(OR(AND(import.recurso="OGU",TIPOORCAMENTO="Proposto",LEFT($O$8,5)&lt;&gt;"(N/D:",$AG365&lt;&gt;"",ORÇAMENTO.CustoUnitario&gt;$AG365),AND(TIPOORCAMENTO="LICITADO",ORÇAMENTO.PrecoUnitarioLicitado&gt;$AN365)),"ACIMA REF.",
IF(AND($C365="S",$P365&lt;&gt;"",$Q365&lt;&gt;"",$T365=0,$U365&gt;0),"QUANT.",
IF(AND(Import.TipoArredondamento="TransfereGOV",$L365="F",$C365="S",LEN($Q365)&gt;13),"Código &gt;13",
IF(AND(Import.TipoArredondamento="TransfereGOV",$L365="F",$C365&lt;&gt;"S",LEN($R365)&gt;100),"Descrição &gt;100",
IF(AND(Import.TipoArredondamento="TransfereGOV",$L365="F",$C365="S",LEN($R365)&gt;500),"Descrição &gt;500",
IF(AND(Import.TipoArredondamento="TransfereGOV",$L365="F",$C365="S",LEFT(TRIM(UPPER($P365)),6)&lt;&gt;"SINAPI",ISNA(VLOOKUP(TRIM(UPPER($S365)),ListaTgov.Unidades,1,FALSE))),"Unid. Não Disp",
" "))))))))))))))))</f>
        <v xml:space="preserve"> </v>
      </c>
      <c r="AD365" t="str">
        <f ca="1">IF(C365&lt;=CRONO.NivelExibicao,MAX($AD$15:OFFSET(AD365,-1,0))+IF($C365&lt;&gt;1,1,MAX(1,COUNTIF(QCI!$A$13:$A$15,OFFSET($E365,-1,0)))),"")</f>
        <v/>
      </c>
      <c r="AE365" s="7" t="str">
        <f ca="1">IF(AND($C365="S",ORÇAMENTO.CodBarra&lt;&gt;""),IF(ORÇAMENTO.Fonte="",ORÇAMENTO.CodBarra,CONCATENATE(ORÇAMENTO.Fonte," ",ORÇAMENTO.CodBarra)))</f>
        <v>SETOP ED-34494</v>
      </c>
      <c r="AF365" s="12">
        <f ca="1">IF(ISERROR(INDIRECT(ORÇAMENTO.BancoRef)),"(abra o arquivo 'Referência "&amp;Excel_BuiltIn_Database&amp;".xlsm)",IF(OR($C365&lt;&gt;"S",ORÇAMENTO.CodBarra=""),"(Sem Código)",IF(ISERROR(MATCH($AE365,INDIRECT(ORÇAMENTO.BancoRef),0)),"(Código não identificado nas referências)",MATCH($AE365,INDIRECT(ORÇAMENTO.BancoRef),0))))</f>
        <v>29405</v>
      </c>
      <c r="AG365" s="428">
        <f ca="1">ROUND(IF(DESONERACAO="sim",REFERENCIA.Desonerado,REFERENCIA.NaoDesonerado),2)</f>
        <v>104.81</v>
      </c>
      <c r="AH365" s="429">
        <f t="shared" ca="1" si="106"/>
        <v>0.23499999999999999</v>
      </c>
      <c r="AJ365" s="431">
        <v>1</v>
      </c>
      <c r="AL365" s="439"/>
      <c r="AM365" s="336">
        <f t="shared" ca="1" si="92"/>
        <v>129.44</v>
      </c>
      <c r="AN365" s="470">
        <f t="shared" ca="1" si="107"/>
        <v>129.44</v>
      </c>
    </row>
    <row r="366" spans="1:40" x14ac:dyDescent="0.2">
      <c r="A366">
        <f t="shared" si="93"/>
        <v>4</v>
      </c>
      <c r="B366">
        <f t="shared" ca="1" si="94"/>
        <v>4</v>
      </c>
      <c r="C366">
        <f t="shared" ca="1" si="95"/>
        <v>4</v>
      </c>
      <c r="D366">
        <f t="shared" ca="1" si="96"/>
        <v>4</v>
      </c>
      <c r="E366">
        <f ca="1">IF($C366=1,OFFSET(E366,-1,0)+MAX(1,COUNTIF(QCI!$A$13:$A$15,OFFSET(ORÇAMENTO!E366,-1,0))),OFFSET(E366,-1,0))</f>
        <v>1</v>
      </c>
      <c r="F366">
        <f t="shared" ca="1" si="97"/>
        <v>8</v>
      </c>
      <c r="G366">
        <f t="shared" ca="1" si="98"/>
        <v>1</v>
      </c>
      <c r="H366">
        <f t="shared" ca="1" si="99"/>
        <v>2</v>
      </c>
      <c r="I366">
        <f t="shared" ca="1" si="100"/>
        <v>0</v>
      </c>
      <c r="J366">
        <f t="shared" ca="1" si="91"/>
        <v>18</v>
      </c>
      <c r="K366">
        <f ca="1">IF(OR($C366="S",$C366=0),0,MATCH(OFFSET($D366,0,$C366)+IF($C366&lt;&gt;1,1,COUNTIF(QCI!$A$13:$A$15,ORÇAMENTO!E366)),OFFSET($D366,1,$C366,ROW($C$508)-ROW($C366)),0))</f>
        <v>4</v>
      </c>
      <c r="L366" s="114" t="str">
        <f t="shared" ca="1" si="101"/>
        <v>F</v>
      </c>
      <c r="M366" s="115" t="s">
        <v>704</v>
      </c>
      <c r="N366" s="116" t="str">
        <f t="shared" ca="1" si="102"/>
        <v>Nível 4</v>
      </c>
      <c r="O366" s="117" t="str">
        <f t="shared" ca="1" si="103"/>
        <v>1.8.1.2.</v>
      </c>
      <c r="P366" s="118"/>
      <c r="Q366" s="119"/>
      <c r="R366" s="120" t="s">
        <v>1249</v>
      </c>
      <c r="S366" s="121" t="s">
        <v>688</v>
      </c>
      <c r="T366" s="122">
        <f ca="1">OFFSET(CÁLCULO!H$15,ROW($T366)-ROW(T$15),0)</f>
        <v>0</v>
      </c>
      <c r="U366" s="123">
        <f t="shared" ca="1" si="108"/>
        <v>0</v>
      </c>
      <c r="V366" s="124" t="s">
        <v>663</v>
      </c>
      <c r="W366" s="122">
        <f ca="1">IF($C366="S",ROUND(IF(TIPOORCAMENTO="Proposto",ORÇAMENTO.CustoUnitario*(1+$AH366),ORÇAMENTO.PrecoUnitarioLicitado),15-13*$AF$10),0)</f>
        <v>0</v>
      </c>
      <c r="X366" s="125" cm="1">
        <f t="array" aca="1" ref="X366" ca="1">IF($C366="S",IF(OR(Import.TipoArredondamento&lt;&gt;"TransfereGOV",ACOMPANHAMENTO="BM"),VTOTAL1,SUM(OFFSET(CÁLCULO!$AI$15,ROW($X366)-ROW($X$15),1):OFFSET(CÁLCULO!$BB$15,ROW($X366)-ROW($X$15),-1))),IF($C366=0,0,ROUND(SomaAgrup,15-13*$AF$11)))</f>
        <v>16444.09</v>
      </c>
      <c r="Y366" s="126" t="s">
        <v>751</v>
      </c>
      <c r="Z366" t="str">
        <f t="shared" ca="1" si="104"/>
        <v/>
      </c>
      <c r="AA366" s="127">
        <f ca="1">IF($C366="S",IF($Z366="CP",$X366,IF($Z366="RA",(($X366)*QCI!$AA$3),0)),SomaAgrup)</f>
        <v>0</v>
      </c>
      <c r="AB366" s="128">
        <f t="shared" ca="1" si="105"/>
        <v>0</v>
      </c>
      <c r="AC366" s="565" t="str" cm="1">
        <f t="array" aca="1" ref="AC366" ca="1">IF($N366=""," ",
IF(AND($C366&lt;&gt;"S",OR($R366="",$R366="(digite a descrição aqui)")),"DESCRIÇÃO",
IF(AND($C366="S",OR($Q366&lt;&gt;"",$T366&gt;0,$U366&gt;0),$P366=""),"FONTE",
IF(AND($C366="S",$P366&lt;&gt;"",OR($T366&gt;0,$U366&gt;0),$Q366=""),"CÓDIGO",
IF(AND($C366="S",$P366&lt;&gt;"",$Q366&lt;&gt;"",$R366="(Código não identificado nas referências)"),"CÓDIGO N/ID",
IF(AND($C366="S",OR($R366="",$R366="(digite a descrição aqui)"),OR($Q366&lt;&gt;"",$T366&gt;0,$U366&gt;0)),"DESCRIÇÃO",
IF(AND($C366="S",$P366&lt;&gt;"",$Q366&lt;&gt;"",$S366=""),"UNIDADE",
IF(AND($C366="S",$P366&lt;&gt;"",$Q366&lt;&gt;"",$U366=0),"SEM CUSTO",
IF(AND(_xlfn.SINGLE(TIPOORCAMENTO)="Licitado",$AL366=0,$AN366&gt;0),"SEM PREÇO",
IF(AND($C366="S",$P366&lt;&gt;"",$Q366&lt;&gt;"",$U366&gt;0,AND($V366&lt;&gt;"BDI 1",$V366&lt;&gt;"BDI 2",$V366&lt;&gt;"BDI 3")),IF(ISNUMBER($V366),"JUSTIFICAR BDI","BDI"),
IF(OR(AND(import.recurso="OGU",TIPOORCAMENTO="Proposto",LEFT($O$8,5)&lt;&gt;"(N/D:",$AG366&lt;&gt;"",ORÇAMENTO.CustoUnitario&gt;$AG366),AND(TIPOORCAMENTO="LICITADO",ORÇAMENTO.PrecoUnitarioLicitado&gt;$AN366)),"ACIMA REF.",
IF(AND($C366="S",$P366&lt;&gt;"",$Q366&lt;&gt;"",$T366=0,$U366&gt;0),"QUANT.",
IF(AND(Import.TipoArredondamento="TransfereGOV",$L366="F",$C366="S",LEN($Q366)&gt;13),"Código &gt;13",
IF(AND(Import.TipoArredondamento="TransfereGOV",$L366="F",$C366&lt;&gt;"S",LEN($R366)&gt;100),"Descrição &gt;100",
IF(AND(Import.TipoArredondamento="TransfereGOV",$L366="F",$C366="S",LEN($R366)&gt;500),"Descrição &gt;500",
IF(AND(Import.TipoArredondamento="TransfereGOV",$L366="F",$C366="S",LEFT(TRIM(UPPER($P366)),6)&lt;&gt;"SINAPI",ISNA(VLOOKUP(TRIM(UPPER($S366)),ListaTgov.Unidades,1,FALSE))),"Unid. Não Disp",
" "))))))))))))))))</f>
        <v xml:space="preserve"> </v>
      </c>
      <c r="AD366" t="str">
        <f ca="1">IF(C366&lt;=CRONO.NivelExibicao,MAX($AD$15:OFFSET(AD366,-1,0))+IF($C366&lt;&gt;1,1,MAX(1,COUNTIF(QCI!$A$13:$A$15,OFFSET($E366,-1,0)))),"")</f>
        <v/>
      </c>
      <c r="AE366" s="7" t="b">
        <f ca="1">IF(AND($C366="S",ORÇAMENTO.CodBarra&lt;&gt;""),IF(ORÇAMENTO.Fonte="",ORÇAMENTO.CodBarra,CONCATENATE(ORÇAMENTO.Fonte," ",ORÇAMENTO.CodBarra)))</f>
        <v>0</v>
      </c>
      <c r="AF366" s="12" t="str">
        <f ca="1">IF(ISERROR(INDIRECT(ORÇAMENTO.BancoRef)),"(abra o arquivo 'Referência "&amp;Excel_BuiltIn_Database&amp;".xlsm)",IF(OR($C366&lt;&gt;"S",ORÇAMENTO.CodBarra=""),"(Sem Código)",IF(ISERROR(MATCH($AE366,INDIRECT(ORÇAMENTO.BancoRef),0)),"(Código não identificado nas referências)",MATCH($AE366,INDIRECT(ORÇAMENTO.BancoRef),0))))</f>
        <v>(Sem Código)</v>
      </c>
      <c r="AG366" s="428">
        <f ca="1">ROUND(IF(DESONERACAO="sim",REFERENCIA.Desonerado,REFERENCIA.NaoDesonerado),2)</f>
        <v>0</v>
      </c>
      <c r="AH366" s="429">
        <f t="shared" ca="1" si="106"/>
        <v>0.23499999999999999</v>
      </c>
      <c r="AJ366" s="431"/>
      <c r="AL366" s="439"/>
      <c r="AM366" s="336">
        <f t="shared" ca="1" si="92"/>
        <v>16444.09</v>
      </c>
      <c r="AN366" s="470">
        <f t="shared" ca="1" si="107"/>
        <v>0</v>
      </c>
    </row>
    <row r="367" spans="1:40" ht="38.25" x14ac:dyDescent="0.2">
      <c r="A367" t="str">
        <f t="shared" si="93"/>
        <v>S</v>
      </c>
      <c r="B367">
        <f t="shared" ca="1" si="94"/>
        <v>4</v>
      </c>
      <c r="C367" t="str">
        <f t="shared" ca="1" si="95"/>
        <v>S</v>
      </c>
      <c r="D367">
        <f t="shared" ca="1" si="96"/>
        <v>0</v>
      </c>
      <c r="E367">
        <f ca="1">IF($C367=1,OFFSET(E367,-1,0)+MAX(1,COUNTIF(QCI!$A$13:$A$15,OFFSET(ORÇAMENTO!E367,-1,0))),OFFSET(E367,-1,0))</f>
        <v>1</v>
      </c>
      <c r="F367">
        <f t="shared" ca="1" si="97"/>
        <v>8</v>
      </c>
      <c r="G367">
        <f t="shared" ca="1" si="98"/>
        <v>1</v>
      </c>
      <c r="H367">
        <f t="shared" ca="1" si="99"/>
        <v>2</v>
      </c>
      <c r="I367">
        <f t="shared" ca="1" si="100"/>
        <v>1</v>
      </c>
      <c r="J367">
        <f t="shared" ca="1" si="91"/>
        <v>0</v>
      </c>
      <c r="K367">
        <f ca="1">IF(OR($C367="S",$C367=0),0,MATCH(OFFSET($D367,0,$C367)+IF($C367&lt;&gt;1,1,COUNTIF(QCI!$A$13:$A$15,ORÇAMENTO!E367)),OFFSET($D367,1,$C367,ROW($C$508)-ROW($C367)),0))</f>
        <v>0</v>
      </c>
      <c r="L367" s="114" t="str">
        <f t="shared" ca="1" si="101"/>
        <v>F</v>
      </c>
      <c r="M367" s="115" t="s">
        <v>705</v>
      </c>
      <c r="N367" s="116" t="str">
        <f t="shared" ca="1" si="102"/>
        <v>Serviço</v>
      </c>
      <c r="O367" s="117" t="str">
        <f t="shared" ca="1" si="103"/>
        <v>1.8.1.2.1.</v>
      </c>
      <c r="P367" s="118" t="s">
        <v>1280</v>
      </c>
      <c r="Q367" s="119" t="s">
        <v>1119</v>
      </c>
      <c r="R367" s="120" t="str">
        <f ca="1">IF($C367="S",REFERENCIA.Descricao,"(digite a descrição aqui)")</f>
        <v>QUADRO DE DISTRIBUIÇÃO DE SOBREPOR EM CHAPA, PARA 24 DISJUNTORES DIN, INCLUSIVE BARRAMENTOS NEUTRO/TERRA E BARRAMENTO TRIFÁSICO DE 100A</v>
      </c>
      <c r="S367" s="121" t="str">
        <f ca="1">REFERENCIA.Unidade</f>
        <v>UN</v>
      </c>
      <c r="T367" s="122">
        <f ca="1">OFFSET(CÁLCULO!H$15,ROW($T367)-ROW(T$15),0)</f>
        <v>1</v>
      </c>
      <c r="U367" s="123">
        <f t="shared" ca="1" si="108"/>
        <v>522.24</v>
      </c>
      <c r="V367" s="124" t="s">
        <v>663</v>
      </c>
      <c r="W367" s="122">
        <f ca="1">IF($C367="S",ROUND(IF(TIPOORCAMENTO="Proposto",ORÇAMENTO.CustoUnitario*(1+$AH367),ORÇAMENTO.PrecoUnitarioLicitado),15-13*$AF$10),0)</f>
        <v>644.97</v>
      </c>
      <c r="X367" s="125" cm="1">
        <f t="array" aca="1" ref="X367" ca="1">IF($C367="S",IF(OR(Import.TipoArredondamento&lt;&gt;"TransfereGOV",ACOMPANHAMENTO="BM"),VTOTAL1,SUM(OFFSET(CÁLCULO!$AI$15,ROW($X367)-ROW($X$15),1):OFFSET(CÁLCULO!$BB$15,ROW($X367)-ROW($X$15),-1))),IF($C367=0,0,ROUND(SomaAgrup,15-13*$AF$11)))</f>
        <v>644.97</v>
      </c>
      <c r="Y367" s="126" t="s">
        <v>751</v>
      </c>
      <c r="Z367" t="str">
        <f t="shared" ca="1" si="104"/>
        <v>RA</v>
      </c>
      <c r="AA367" s="127">
        <f ca="1">IF($C367="S",IF($Z367="CP",$X367,IF($Z367="RA",(($X367)*QCI!$AA$3),0)),SomaAgrup)</f>
        <v>0</v>
      </c>
      <c r="AB367" s="128">
        <f t="shared" ca="1" si="105"/>
        <v>0</v>
      </c>
      <c r="AC367" s="565" t="str" cm="1">
        <f t="array" aca="1" ref="AC367" ca="1">IF($N367=""," ",
IF(AND($C367&lt;&gt;"S",OR($R367="",$R367="(digite a descrição aqui)")),"DESCRIÇÃO",
IF(AND($C367="S",OR($Q367&lt;&gt;"",$T367&gt;0,$U367&gt;0),$P367=""),"FONTE",
IF(AND($C367="S",$P367&lt;&gt;"",OR($T367&gt;0,$U367&gt;0),$Q367=""),"CÓDIGO",
IF(AND($C367="S",$P367&lt;&gt;"",$Q367&lt;&gt;"",$R367="(Código não identificado nas referências)"),"CÓDIGO N/ID",
IF(AND($C367="S",OR($R367="",$R367="(digite a descrição aqui)"),OR($Q367&lt;&gt;"",$T367&gt;0,$U367&gt;0)),"DESCRIÇÃO",
IF(AND($C367="S",$P367&lt;&gt;"",$Q367&lt;&gt;"",$S367=""),"UNIDADE",
IF(AND($C367="S",$P367&lt;&gt;"",$Q367&lt;&gt;"",$U367=0),"SEM CUSTO",
IF(AND(_xlfn.SINGLE(TIPOORCAMENTO)="Licitado",$AL367=0,$AN367&gt;0),"SEM PREÇO",
IF(AND($C367="S",$P367&lt;&gt;"",$Q367&lt;&gt;"",$U367&gt;0,AND($V367&lt;&gt;"BDI 1",$V367&lt;&gt;"BDI 2",$V367&lt;&gt;"BDI 3")),IF(ISNUMBER($V367),"JUSTIFICAR BDI","BDI"),
IF(OR(AND(import.recurso="OGU",TIPOORCAMENTO="Proposto",LEFT($O$8,5)&lt;&gt;"(N/D:",$AG367&lt;&gt;"",ORÇAMENTO.CustoUnitario&gt;$AG367),AND(TIPOORCAMENTO="LICITADO",ORÇAMENTO.PrecoUnitarioLicitado&gt;$AN367)),"ACIMA REF.",
IF(AND($C367="S",$P367&lt;&gt;"",$Q367&lt;&gt;"",$T367=0,$U367&gt;0),"QUANT.",
IF(AND(Import.TipoArredondamento="TransfereGOV",$L367="F",$C367="S",LEN($Q367)&gt;13),"Código &gt;13",
IF(AND(Import.TipoArredondamento="TransfereGOV",$L367="F",$C367&lt;&gt;"S",LEN($R367)&gt;100),"Descrição &gt;100",
IF(AND(Import.TipoArredondamento="TransfereGOV",$L367="F",$C367="S",LEN($R367)&gt;500),"Descrição &gt;500",
IF(AND(Import.TipoArredondamento="TransfereGOV",$L367="F",$C367="S",LEFT(TRIM(UPPER($P367)),6)&lt;&gt;"SINAPI",ISNA(VLOOKUP(TRIM(UPPER($S367)),ListaTgov.Unidades,1,FALSE))),"Unid. Não Disp",
" "))))))))))))))))</f>
        <v xml:space="preserve"> </v>
      </c>
      <c r="AD367" t="str">
        <f ca="1">IF(C367&lt;=CRONO.NivelExibicao,MAX($AD$15:OFFSET(AD367,-1,0))+IF($C367&lt;&gt;1,1,MAX(1,COUNTIF(QCI!$A$13:$A$15,OFFSET($E367,-1,0)))),"")</f>
        <v/>
      </c>
      <c r="AE367" s="7" t="str">
        <f ca="1">IF(AND($C367="S",ORÇAMENTO.CodBarra&lt;&gt;""),IF(ORÇAMENTO.Fonte="",ORÇAMENTO.CodBarra,CONCATENATE(ORÇAMENTO.Fonte," ",ORÇAMENTO.CodBarra)))</f>
        <v>SETOP ED-14188</v>
      </c>
      <c r="AF367" s="12">
        <f ca="1">IF(ISERROR(INDIRECT(ORÇAMENTO.BancoRef)),"(abra o arquivo 'Referência "&amp;Excel_BuiltIn_Database&amp;".xlsm)",IF(OR($C367&lt;&gt;"S",ORÇAMENTO.CodBarra=""),"(Sem Código)",IF(ISERROR(MATCH($AE367,INDIRECT(ORÇAMENTO.BancoRef),0)),"(Código não identificado nas referências)",MATCH($AE367,INDIRECT(ORÇAMENTO.BancoRef),0))))</f>
        <v>29335</v>
      </c>
      <c r="AG367" s="428">
        <f ca="1">ROUND(IF(DESONERACAO="sim",REFERENCIA.Desonerado,REFERENCIA.NaoDesonerado),2)</f>
        <v>522.24</v>
      </c>
      <c r="AH367" s="429">
        <f t="shared" ca="1" si="106"/>
        <v>0.23499999999999999</v>
      </c>
      <c r="AJ367" s="431">
        <v>1</v>
      </c>
      <c r="AL367" s="439"/>
      <c r="AM367" s="336">
        <f t="shared" ca="1" si="92"/>
        <v>644.97</v>
      </c>
      <c r="AN367" s="470">
        <f t="shared" ca="1" si="107"/>
        <v>644.97</v>
      </c>
    </row>
    <row r="368" spans="1:40" ht="25.5" x14ac:dyDescent="0.2">
      <c r="A368" t="str">
        <f t="shared" si="93"/>
        <v>S</v>
      </c>
      <c r="B368">
        <f t="shared" ca="1" si="94"/>
        <v>4</v>
      </c>
      <c r="C368" t="str">
        <f t="shared" ca="1" si="95"/>
        <v>S</v>
      </c>
      <c r="D368">
        <f t="shared" ca="1" si="96"/>
        <v>0</v>
      </c>
      <c r="E368">
        <f ca="1">IF($C368=1,OFFSET(E368,-1,0)+MAX(1,COUNTIF(QCI!$A$13:$A$15,OFFSET(ORÇAMENTO!E368,-1,0))),OFFSET(E368,-1,0))</f>
        <v>1</v>
      </c>
      <c r="F368">
        <f t="shared" ca="1" si="97"/>
        <v>8</v>
      </c>
      <c r="G368">
        <f t="shared" ca="1" si="98"/>
        <v>1</v>
      </c>
      <c r="H368">
        <f t="shared" ca="1" si="99"/>
        <v>2</v>
      </c>
      <c r="I368">
        <f t="shared" ca="1" si="100"/>
        <v>2</v>
      </c>
      <c r="J368">
        <f t="shared" ca="1" si="91"/>
        <v>0</v>
      </c>
      <c r="K368">
        <f ca="1">IF(OR($C368="S",$C368=0),0,MATCH(OFFSET($D368,0,$C368)+IF($C368&lt;&gt;1,1,COUNTIF(QCI!$A$13:$A$15,ORÇAMENTO!E368)),OFFSET($D368,1,$C368,ROW($C$508)-ROW($C368)),0))</f>
        <v>0</v>
      </c>
      <c r="L368" s="114" t="str">
        <f t="shared" ca="1" si="101"/>
        <v>F</v>
      </c>
      <c r="M368" s="115" t="s">
        <v>705</v>
      </c>
      <c r="N368" s="116" t="str">
        <f t="shared" ca="1" si="102"/>
        <v>Serviço</v>
      </c>
      <c r="O368" s="117" t="str">
        <f t="shared" ca="1" si="103"/>
        <v>1.8.1.2.2.</v>
      </c>
      <c r="P368" s="118" t="s">
        <v>1280</v>
      </c>
      <c r="Q368" s="119" t="s">
        <v>1118</v>
      </c>
      <c r="R368" s="120" t="str">
        <f ca="1">IF($C368="S",REFERENCIA.Descricao,"(digite a descrição aqui)")</f>
        <v>DISJUNTOR TRIPOLAR TIPO DIN, CORRENTE NOMINAL DE 70A, FORNECIMENTO E INSTALAÇÃO, INCLUSIVE TERMINAL ILHÓS</v>
      </c>
      <c r="S368" s="121" t="str">
        <f ca="1">REFERENCIA.Unidade</f>
        <v>UN</v>
      </c>
      <c r="T368" s="122">
        <f ca="1">OFFSET(CÁLCULO!H$15,ROW($T368)-ROW(T$15),0)</f>
        <v>1</v>
      </c>
      <c r="U368" s="123">
        <f t="shared" ca="1" si="108"/>
        <v>104.81</v>
      </c>
      <c r="V368" s="124" t="s">
        <v>663</v>
      </c>
      <c r="W368" s="122">
        <f ca="1">IF($C368="S",ROUND(IF(TIPOORCAMENTO="Proposto",ORÇAMENTO.CustoUnitario*(1+$AH368),ORÇAMENTO.PrecoUnitarioLicitado),15-13*$AF$10),0)</f>
        <v>129.44</v>
      </c>
      <c r="X368" s="125" cm="1">
        <f t="array" aca="1" ref="X368" ca="1">IF($C368="S",IF(OR(Import.TipoArredondamento&lt;&gt;"TransfereGOV",ACOMPANHAMENTO="BM"),VTOTAL1,SUM(OFFSET(CÁLCULO!$AI$15,ROW($X368)-ROW($X$15),1):OFFSET(CÁLCULO!$BB$15,ROW($X368)-ROW($X$15),-1))),IF($C368=0,0,ROUND(SomaAgrup,15-13*$AF$11)))</f>
        <v>129.44</v>
      </c>
      <c r="Y368" s="126" t="s">
        <v>751</v>
      </c>
      <c r="Z368" t="str">
        <f t="shared" ca="1" si="104"/>
        <v>RA</v>
      </c>
      <c r="AA368" s="127">
        <f ca="1">IF($C368="S",IF($Z368="CP",$X368,IF($Z368="RA",(($X368)*QCI!$AA$3),0)),SomaAgrup)</f>
        <v>0</v>
      </c>
      <c r="AB368" s="128">
        <f t="shared" ca="1" si="105"/>
        <v>0</v>
      </c>
      <c r="AC368" s="565" t="str" cm="1">
        <f t="array" aca="1" ref="AC368" ca="1">IF($N368=""," ",
IF(AND($C368&lt;&gt;"S",OR($R368="",$R368="(digite a descrição aqui)")),"DESCRIÇÃO",
IF(AND($C368="S",OR($Q368&lt;&gt;"",$T368&gt;0,$U368&gt;0),$P368=""),"FONTE",
IF(AND($C368="S",$P368&lt;&gt;"",OR($T368&gt;0,$U368&gt;0),$Q368=""),"CÓDIGO",
IF(AND($C368="S",$P368&lt;&gt;"",$Q368&lt;&gt;"",$R368="(Código não identificado nas referências)"),"CÓDIGO N/ID",
IF(AND($C368="S",OR($R368="",$R368="(digite a descrição aqui)"),OR($Q368&lt;&gt;"",$T368&gt;0,$U368&gt;0)),"DESCRIÇÃO",
IF(AND($C368="S",$P368&lt;&gt;"",$Q368&lt;&gt;"",$S368=""),"UNIDADE",
IF(AND($C368="S",$P368&lt;&gt;"",$Q368&lt;&gt;"",$U368=0),"SEM CUSTO",
IF(AND(_xlfn.SINGLE(TIPOORCAMENTO)="Licitado",$AL368=0,$AN368&gt;0),"SEM PREÇO",
IF(AND($C368="S",$P368&lt;&gt;"",$Q368&lt;&gt;"",$U368&gt;0,AND($V368&lt;&gt;"BDI 1",$V368&lt;&gt;"BDI 2",$V368&lt;&gt;"BDI 3")),IF(ISNUMBER($V368),"JUSTIFICAR BDI","BDI"),
IF(OR(AND(import.recurso="OGU",TIPOORCAMENTO="Proposto",LEFT($O$8,5)&lt;&gt;"(N/D:",$AG368&lt;&gt;"",ORÇAMENTO.CustoUnitario&gt;$AG368),AND(TIPOORCAMENTO="LICITADO",ORÇAMENTO.PrecoUnitarioLicitado&gt;$AN368)),"ACIMA REF.",
IF(AND($C368="S",$P368&lt;&gt;"",$Q368&lt;&gt;"",$T368=0,$U368&gt;0),"QUANT.",
IF(AND(Import.TipoArredondamento="TransfereGOV",$L368="F",$C368="S",LEN($Q368)&gt;13),"Código &gt;13",
IF(AND(Import.TipoArredondamento="TransfereGOV",$L368="F",$C368&lt;&gt;"S",LEN($R368)&gt;100),"Descrição &gt;100",
IF(AND(Import.TipoArredondamento="TransfereGOV",$L368="F",$C368="S",LEN($R368)&gt;500),"Descrição &gt;500",
IF(AND(Import.TipoArredondamento="TransfereGOV",$L368="F",$C368="S",LEFT(TRIM(UPPER($P368)),6)&lt;&gt;"SINAPI",ISNA(VLOOKUP(TRIM(UPPER($S368)),ListaTgov.Unidades,1,FALSE))),"Unid. Não Disp",
" "))))))))))))))))</f>
        <v xml:space="preserve"> </v>
      </c>
      <c r="AD368" t="str">
        <f ca="1">IF(C368&lt;=CRONO.NivelExibicao,MAX($AD$15:OFFSET(AD368,-1,0))+IF($C368&lt;&gt;1,1,MAX(1,COUNTIF(QCI!$A$13:$A$15,OFFSET($E368,-1,0)))),"")</f>
        <v/>
      </c>
      <c r="AE368" s="7" t="str">
        <f ca="1">IF(AND($C368="S",ORÇAMENTO.CodBarra&lt;&gt;""),IF(ORÇAMENTO.Fonte="",ORÇAMENTO.CodBarra,CONCATENATE(ORÇAMENTO.Fonte," ",ORÇAMENTO.CodBarra)))</f>
        <v>SETOP ED-34494</v>
      </c>
      <c r="AF368" s="12">
        <f ca="1">IF(ISERROR(INDIRECT(ORÇAMENTO.BancoRef)),"(abra o arquivo 'Referência "&amp;Excel_BuiltIn_Database&amp;".xlsm)",IF(OR($C368&lt;&gt;"S",ORÇAMENTO.CodBarra=""),"(Sem Código)",IF(ISERROR(MATCH($AE368,INDIRECT(ORÇAMENTO.BancoRef),0)),"(Código não identificado nas referências)",MATCH($AE368,INDIRECT(ORÇAMENTO.BancoRef),0))))</f>
        <v>29405</v>
      </c>
      <c r="AG368" s="428">
        <f ca="1">ROUND(IF(DESONERACAO="sim",REFERENCIA.Desonerado,REFERENCIA.NaoDesonerado),2)</f>
        <v>104.81</v>
      </c>
      <c r="AH368" s="429">
        <f t="shared" ca="1" si="106"/>
        <v>0.23499999999999999</v>
      </c>
      <c r="AJ368" s="431">
        <v>1</v>
      </c>
      <c r="AL368" s="439"/>
      <c r="AM368" s="336">
        <f t="shared" ca="1" si="92"/>
        <v>129.44</v>
      </c>
      <c r="AN368" s="470">
        <f t="shared" ca="1" si="107"/>
        <v>129.44</v>
      </c>
    </row>
    <row r="369" spans="1:40" ht="25.5" x14ac:dyDescent="0.2">
      <c r="A369" t="str">
        <f t="shared" si="93"/>
        <v>S</v>
      </c>
      <c r="B369">
        <f t="shared" ca="1" si="94"/>
        <v>4</v>
      </c>
      <c r="C369" t="str">
        <f t="shared" ca="1" si="95"/>
        <v>S</v>
      </c>
      <c r="D369">
        <f t="shared" ca="1" si="96"/>
        <v>0</v>
      </c>
      <c r="E369">
        <f ca="1">IF($C369=1,OFFSET(E369,-1,0)+MAX(1,COUNTIF(QCI!$A$13:$A$15,OFFSET(ORÇAMENTO!E369,-1,0))),OFFSET(E369,-1,0))</f>
        <v>1</v>
      </c>
      <c r="F369">
        <f t="shared" ca="1" si="97"/>
        <v>8</v>
      </c>
      <c r="G369">
        <f t="shared" ca="1" si="98"/>
        <v>1</v>
      </c>
      <c r="H369">
        <f t="shared" ca="1" si="99"/>
        <v>2</v>
      </c>
      <c r="I369">
        <f t="shared" ca="1" si="100"/>
        <v>3</v>
      </c>
      <c r="J369">
        <f t="shared" ca="1" si="91"/>
        <v>0</v>
      </c>
      <c r="K369">
        <f ca="1">IF(OR($C369="S",$C369=0),0,MATCH(OFFSET($D369,0,$C369)+IF($C369&lt;&gt;1,1,COUNTIF(QCI!$A$13:$A$15,ORÇAMENTO!E369)),OFFSET($D369,1,$C369,ROW($C$508)-ROW($C369)),0))</f>
        <v>0</v>
      </c>
      <c r="L369" s="114" t="str">
        <f t="shared" ca="1" si="101"/>
        <v>F</v>
      </c>
      <c r="M369" s="115" t="s">
        <v>705</v>
      </c>
      <c r="N369" s="116" t="str">
        <f t="shared" ca="1" si="102"/>
        <v>Serviço</v>
      </c>
      <c r="O369" s="117" t="str">
        <f t="shared" ca="1" si="103"/>
        <v>1.8.1.2.3.</v>
      </c>
      <c r="P369" s="118" t="s">
        <v>1281</v>
      </c>
      <c r="Q369" s="119" t="s">
        <v>1120</v>
      </c>
      <c r="R369" s="120" t="str">
        <f ca="1">IF($C369="S",REFERENCIA.Descricao,"(digite a descrição aqui)")</f>
        <v>AUTOTRANSFORMADOR TRIFÁSICO 100kVA 220v / 380v TRIFÁSICO À SECO - REVERSÍVEL - BASEADO EM SBC (065163)</v>
      </c>
      <c r="S369" s="121" t="str">
        <f ca="1">REFERENCIA.Unidade</f>
        <v>UN</v>
      </c>
      <c r="T369" s="122">
        <f ca="1">OFFSET(CÁLCULO!H$15,ROW($T369)-ROW(T$15),0)</f>
        <v>1</v>
      </c>
      <c r="U369" s="123">
        <f t="shared" ca="1" si="108"/>
        <v>12688</v>
      </c>
      <c r="V369" s="124" t="s">
        <v>663</v>
      </c>
      <c r="W369" s="122">
        <f ca="1">IF($C369="S",ROUND(IF(TIPOORCAMENTO="Proposto",ORÇAMENTO.CustoUnitario*(1+$AH369),ORÇAMENTO.PrecoUnitarioLicitado),15-13*$AF$10),0)</f>
        <v>15669.68</v>
      </c>
      <c r="X369" s="125" cm="1">
        <f t="array" aca="1" ref="X369" ca="1">IF($C369="S",IF(OR(Import.TipoArredondamento&lt;&gt;"TransfereGOV",ACOMPANHAMENTO="BM"),VTOTAL1,SUM(OFFSET(CÁLCULO!$AI$15,ROW($X369)-ROW($X$15),1):OFFSET(CÁLCULO!$BB$15,ROW($X369)-ROW($X$15),-1))),IF($C369=0,0,ROUND(SomaAgrup,15-13*$AF$11)))</f>
        <v>15669.68</v>
      </c>
      <c r="Y369" s="126" t="s">
        <v>751</v>
      </c>
      <c r="Z369" t="str">
        <f t="shared" ca="1" si="104"/>
        <v>RA</v>
      </c>
      <c r="AA369" s="127">
        <f ca="1">IF($C369="S",IF($Z369="CP",$X369,IF($Z369="RA",(($X369)*QCI!$AA$3),0)),SomaAgrup)</f>
        <v>0</v>
      </c>
      <c r="AB369" s="128">
        <f t="shared" ca="1" si="105"/>
        <v>0</v>
      </c>
      <c r="AC369" s="565" t="str" cm="1">
        <f t="array" aca="1" ref="AC369" ca="1">IF($N369=""," ",
IF(AND($C369&lt;&gt;"S",OR($R369="",$R369="(digite a descrição aqui)")),"DESCRIÇÃO",
IF(AND($C369="S",OR($Q369&lt;&gt;"",$T369&gt;0,$U369&gt;0),$P369=""),"FONTE",
IF(AND($C369="S",$P369&lt;&gt;"",OR($T369&gt;0,$U369&gt;0),$Q369=""),"CÓDIGO",
IF(AND($C369="S",$P369&lt;&gt;"",$Q369&lt;&gt;"",$R369="(Código não identificado nas referências)"),"CÓDIGO N/ID",
IF(AND($C369="S",OR($R369="",$R369="(digite a descrição aqui)"),OR($Q369&lt;&gt;"",$T369&gt;0,$U369&gt;0)),"DESCRIÇÃO",
IF(AND($C369="S",$P369&lt;&gt;"",$Q369&lt;&gt;"",$S369=""),"UNIDADE",
IF(AND($C369="S",$P369&lt;&gt;"",$Q369&lt;&gt;"",$U369=0),"SEM CUSTO",
IF(AND(_xlfn.SINGLE(TIPOORCAMENTO)="Licitado",$AL369=0,$AN369&gt;0),"SEM PREÇO",
IF(AND($C369="S",$P369&lt;&gt;"",$Q369&lt;&gt;"",$U369&gt;0,AND($V369&lt;&gt;"BDI 1",$V369&lt;&gt;"BDI 2",$V369&lt;&gt;"BDI 3")),IF(ISNUMBER($V369),"JUSTIFICAR BDI","BDI"),
IF(OR(AND(import.recurso="OGU",TIPOORCAMENTO="Proposto",LEFT($O$8,5)&lt;&gt;"(N/D:",$AG369&lt;&gt;"",ORÇAMENTO.CustoUnitario&gt;$AG369),AND(TIPOORCAMENTO="LICITADO",ORÇAMENTO.PrecoUnitarioLicitado&gt;$AN369)),"ACIMA REF.",
IF(AND($C369="S",$P369&lt;&gt;"",$Q369&lt;&gt;"",$T369=0,$U369&gt;0),"QUANT.",
IF(AND(Import.TipoArredondamento="TransfereGOV",$L369="F",$C369="S",LEN($Q369)&gt;13),"Código &gt;13",
IF(AND(Import.TipoArredondamento="TransfereGOV",$L369="F",$C369&lt;&gt;"S",LEN($R369)&gt;100),"Descrição &gt;100",
IF(AND(Import.TipoArredondamento="TransfereGOV",$L369="F",$C369="S",LEN($R369)&gt;500),"Descrição &gt;500",
IF(AND(Import.TipoArredondamento="TransfereGOV",$L369="F",$C369="S",LEFT(TRIM(UPPER($P369)),6)&lt;&gt;"SINAPI",ISNA(VLOOKUP(TRIM(UPPER($S369)),ListaTgov.Unidades,1,FALSE))),"Unid. Não Disp",
" "))))))))))))))))</f>
        <v xml:space="preserve"> </v>
      </c>
      <c r="AD369" t="str">
        <f ca="1">IF(C369&lt;=CRONO.NivelExibicao,MAX($AD$15:OFFSET(AD369,-1,0))+IF($C369&lt;&gt;1,1,MAX(1,COUNTIF(QCI!$A$13:$A$15,OFFSET($E369,-1,0)))),"")</f>
        <v/>
      </c>
      <c r="AE369" s="7" t="str">
        <f ca="1">IF(AND($C369="S",ORÇAMENTO.CodBarra&lt;&gt;""),IF(ORÇAMENTO.Fonte="",ORÇAMENTO.CodBarra,CONCATENATE(ORÇAMENTO.Fonte," ",ORÇAMENTO.CodBarra)))</f>
        <v>COMPOSIÇÃO CPU-028</v>
      </c>
      <c r="AF369" s="12">
        <f ca="1">IF(ISERROR(INDIRECT(ORÇAMENTO.BancoRef)),"(abra o arquivo 'Referência "&amp;Excel_BuiltIn_Database&amp;".xlsm)",IF(OR($C369&lt;&gt;"S",ORÇAMENTO.CodBarra=""),"(Sem Código)",IF(ISERROR(MATCH($AE369,INDIRECT(ORÇAMENTO.BancoRef),0)),"(Código não identificado nas referências)",MATCH($AE369,INDIRECT(ORÇAMENTO.BancoRef),0))))</f>
        <v>30</v>
      </c>
      <c r="AG369" s="428">
        <f ca="1">ROUND(IF(DESONERACAO="sim",REFERENCIA.Desonerado,REFERENCIA.NaoDesonerado),2)</f>
        <v>12688</v>
      </c>
      <c r="AH369" s="429">
        <f t="shared" ca="1" si="106"/>
        <v>0.23499999999999999</v>
      </c>
      <c r="AJ369" s="431">
        <v>1</v>
      </c>
      <c r="AL369" s="439"/>
      <c r="AM369" s="336">
        <f t="shared" ca="1" si="92"/>
        <v>15669.68</v>
      </c>
      <c r="AN369" s="470">
        <f t="shared" ca="1" si="107"/>
        <v>15669.68</v>
      </c>
    </row>
    <row r="370" spans="1:40" x14ac:dyDescent="0.2">
      <c r="A370">
        <f t="shared" si="93"/>
        <v>4</v>
      </c>
      <c r="B370">
        <f t="shared" ca="1" si="94"/>
        <v>4</v>
      </c>
      <c r="C370">
        <f t="shared" ca="1" si="95"/>
        <v>4</v>
      </c>
      <c r="D370">
        <f t="shared" ca="1" si="96"/>
        <v>7</v>
      </c>
      <c r="E370">
        <f ca="1">IF($C370=1,OFFSET(E370,-1,0)+MAX(1,COUNTIF(QCI!$A$13:$A$15,OFFSET(ORÇAMENTO!E370,-1,0))),OFFSET(E370,-1,0))</f>
        <v>1</v>
      </c>
      <c r="F370">
        <f t="shared" ca="1" si="97"/>
        <v>8</v>
      </c>
      <c r="G370">
        <f t="shared" ca="1" si="98"/>
        <v>1</v>
      </c>
      <c r="H370">
        <f t="shared" ca="1" si="99"/>
        <v>3</v>
      </c>
      <c r="I370">
        <f t="shared" ca="1" si="100"/>
        <v>0</v>
      </c>
      <c r="J370">
        <f t="shared" ca="1" si="91"/>
        <v>14</v>
      </c>
      <c r="K370">
        <f ca="1">IF(OR($C370="S",$C370=0),0,MATCH(OFFSET($D370,0,$C370)+IF($C370&lt;&gt;1,1,COUNTIF(QCI!$A$13:$A$15,ORÇAMENTO!E370)),OFFSET($D370,1,$C370,ROW($C$508)-ROW($C370)),0))</f>
        <v>7</v>
      </c>
      <c r="L370" s="114" t="str">
        <f t="shared" ca="1" si="101"/>
        <v>F</v>
      </c>
      <c r="M370" s="115" t="s">
        <v>704</v>
      </c>
      <c r="N370" s="116" t="str">
        <f t="shared" ca="1" si="102"/>
        <v>Nível 4</v>
      </c>
      <c r="O370" s="117" t="str">
        <f t="shared" ca="1" si="103"/>
        <v>1.8.1.3.</v>
      </c>
      <c r="P370" s="118" t="s">
        <v>750</v>
      </c>
      <c r="Q370" s="119"/>
      <c r="R370" s="120" t="s">
        <v>1250</v>
      </c>
      <c r="S370" s="121" t="s">
        <v>688</v>
      </c>
      <c r="T370" s="122">
        <f ca="1">OFFSET(CÁLCULO!H$15,ROW($T370)-ROW(T$15),0)</f>
        <v>0</v>
      </c>
      <c r="U370" s="123">
        <f t="shared" ca="1" si="108"/>
        <v>0</v>
      </c>
      <c r="V370" s="124" t="s">
        <v>663</v>
      </c>
      <c r="W370" s="122">
        <f ca="1">IF($C370="S",ROUND(IF(TIPOORCAMENTO="Proposto",ORÇAMENTO.CustoUnitario*(1+$AH370),ORÇAMENTO.PrecoUnitarioLicitado),15-13*$AF$10),0)</f>
        <v>0</v>
      </c>
      <c r="X370" s="125" cm="1">
        <f t="array" aca="1" ref="X370" ca="1">IF($C370="S",IF(OR(Import.TipoArredondamento&lt;&gt;"TransfereGOV",ACOMPANHAMENTO="BM"),VTOTAL1,SUM(OFFSET(CÁLCULO!$AI$15,ROW($X370)-ROW($X$15),1):OFFSET(CÁLCULO!$BB$15,ROW($X370)-ROW($X$15),-1))),IF($C370=0,0,ROUND(SomaAgrup,15-13*$AF$11)))</f>
        <v>3615.57</v>
      </c>
      <c r="Y370" s="126" t="s">
        <v>751</v>
      </c>
      <c r="Z370" t="str">
        <f t="shared" ca="1" si="104"/>
        <v/>
      </c>
      <c r="AA370" s="127">
        <f ca="1">IF($C370="S",IF($Z370="CP",$X370,IF($Z370="RA",(($X370)*QCI!$AA$3),0)),SomaAgrup)</f>
        <v>0</v>
      </c>
      <c r="AB370" s="128">
        <f t="shared" ca="1" si="105"/>
        <v>0</v>
      </c>
      <c r="AC370" s="565" t="str" cm="1">
        <f t="array" aca="1" ref="AC370" ca="1">IF($N370=""," ",
IF(AND($C370&lt;&gt;"S",OR($R370="",$R370="(digite a descrição aqui)")),"DESCRIÇÃO",
IF(AND($C370="S",OR($Q370&lt;&gt;"",$T370&gt;0,$U370&gt;0),$P370=""),"FONTE",
IF(AND($C370="S",$P370&lt;&gt;"",OR($T370&gt;0,$U370&gt;0),$Q370=""),"CÓDIGO",
IF(AND($C370="S",$P370&lt;&gt;"",$Q370&lt;&gt;"",$R370="(Código não identificado nas referências)"),"CÓDIGO N/ID",
IF(AND($C370="S",OR($R370="",$R370="(digite a descrição aqui)"),OR($Q370&lt;&gt;"",$T370&gt;0,$U370&gt;0)),"DESCRIÇÃO",
IF(AND($C370="S",$P370&lt;&gt;"",$Q370&lt;&gt;"",$S370=""),"UNIDADE",
IF(AND($C370="S",$P370&lt;&gt;"",$Q370&lt;&gt;"",$U370=0),"SEM CUSTO",
IF(AND(_xlfn.SINGLE(TIPOORCAMENTO)="Licitado",$AL370=0,$AN370&gt;0),"SEM PREÇO",
IF(AND($C370="S",$P370&lt;&gt;"",$Q370&lt;&gt;"",$U370&gt;0,AND($V370&lt;&gt;"BDI 1",$V370&lt;&gt;"BDI 2",$V370&lt;&gt;"BDI 3")),IF(ISNUMBER($V370),"JUSTIFICAR BDI","BDI"),
IF(OR(AND(import.recurso="OGU",TIPOORCAMENTO="Proposto",LEFT($O$8,5)&lt;&gt;"(N/D:",$AG370&lt;&gt;"",ORÇAMENTO.CustoUnitario&gt;$AG370),AND(TIPOORCAMENTO="LICITADO",ORÇAMENTO.PrecoUnitarioLicitado&gt;$AN370)),"ACIMA REF.",
IF(AND($C370="S",$P370&lt;&gt;"",$Q370&lt;&gt;"",$T370=0,$U370&gt;0),"QUANT.",
IF(AND(Import.TipoArredondamento="TransfereGOV",$L370="F",$C370="S",LEN($Q370)&gt;13),"Código &gt;13",
IF(AND(Import.TipoArredondamento="TransfereGOV",$L370="F",$C370&lt;&gt;"S",LEN($R370)&gt;100),"Descrição &gt;100",
IF(AND(Import.TipoArredondamento="TransfereGOV",$L370="F",$C370="S",LEN($R370)&gt;500),"Descrição &gt;500",
IF(AND(Import.TipoArredondamento="TransfereGOV",$L370="F",$C370="S",LEFT(TRIM(UPPER($P370)),6)&lt;&gt;"SINAPI",ISNA(VLOOKUP(TRIM(UPPER($S370)),ListaTgov.Unidades,1,FALSE))),"Unid. Não Disp",
" "))))))))))))))))</f>
        <v xml:space="preserve"> </v>
      </c>
      <c r="AD370" t="str">
        <f ca="1">IF(C370&lt;=CRONO.NivelExibicao,MAX($AD$15:OFFSET(AD370,-1,0))+IF($C370&lt;&gt;1,1,MAX(1,COUNTIF(QCI!$A$13:$A$15,OFFSET($E370,-1,0)))),"")</f>
        <v/>
      </c>
      <c r="AE370" s="7" t="b">
        <f ca="1">IF(AND($C370="S",ORÇAMENTO.CodBarra&lt;&gt;""),IF(ORÇAMENTO.Fonte="",ORÇAMENTO.CodBarra,CONCATENATE(ORÇAMENTO.Fonte," ",ORÇAMENTO.CodBarra)))</f>
        <v>0</v>
      </c>
      <c r="AF370" s="12" t="str">
        <f ca="1">IF(ISERROR(INDIRECT(ORÇAMENTO.BancoRef)),"(abra o arquivo 'Referência "&amp;Excel_BuiltIn_Database&amp;".xlsm)",IF(OR($C370&lt;&gt;"S",ORÇAMENTO.CodBarra=""),"(Sem Código)",IF(ISERROR(MATCH($AE370,INDIRECT(ORÇAMENTO.BancoRef),0)),"(Código não identificado nas referências)",MATCH($AE370,INDIRECT(ORÇAMENTO.BancoRef),0))))</f>
        <v>(Sem Código)</v>
      </c>
      <c r="AG370" s="428">
        <f ca="1">ROUND(IF(DESONERACAO="sim",REFERENCIA.Desonerado,REFERENCIA.NaoDesonerado),2)</f>
        <v>0</v>
      </c>
      <c r="AH370" s="429">
        <f t="shared" ca="1" si="106"/>
        <v>0.23499999999999999</v>
      </c>
      <c r="AJ370" s="431"/>
      <c r="AL370" s="439"/>
      <c r="AM370" s="336">
        <f t="shared" ca="1" si="92"/>
        <v>3615.57</v>
      </c>
      <c r="AN370" s="470">
        <f t="shared" ca="1" si="107"/>
        <v>0</v>
      </c>
    </row>
    <row r="371" spans="1:40" ht="38.25" x14ac:dyDescent="0.2">
      <c r="A371" t="str">
        <f t="shared" si="93"/>
        <v>S</v>
      </c>
      <c r="B371">
        <f t="shared" ca="1" si="94"/>
        <v>4</v>
      </c>
      <c r="C371" t="str">
        <f t="shared" ca="1" si="95"/>
        <v>S</v>
      </c>
      <c r="D371">
        <f t="shared" ca="1" si="96"/>
        <v>0</v>
      </c>
      <c r="E371">
        <f ca="1">IF($C371=1,OFFSET(E371,-1,0)+MAX(1,COUNTIF(QCI!$A$13:$A$15,OFFSET(ORÇAMENTO!E371,-1,0))),OFFSET(E371,-1,0))</f>
        <v>1</v>
      </c>
      <c r="F371">
        <f t="shared" ca="1" si="97"/>
        <v>8</v>
      </c>
      <c r="G371">
        <f t="shared" ca="1" si="98"/>
        <v>1</v>
      </c>
      <c r="H371">
        <f t="shared" ca="1" si="99"/>
        <v>3</v>
      </c>
      <c r="I371">
        <f t="shared" ca="1" si="100"/>
        <v>1</v>
      </c>
      <c r="J371">
        <f t="shared" ca="1" si="91"/>
        <v>0</v>
      </c>
      <c r="K371">
        <f ca="1">IF(OR($C371="S",$C371=0),0,MATCH(OFFSET($D371,0,$C371)+IF($C371&lt;&gt;1,1,COUNTIF(QCI!$A$13:$A$15,ORÇAMENTO!E371)),OFFSET($D371,1,$C371,ROW($C$508)-ROW($C371)),0))</f>
        <v>0</v>
      </c>
      <c r="L371" s="114" t="str">
        <f t="shared" ca="1" si="101"/>
        <v>F</v>
      </c>
      <c r="M371" s="115" t="s">
        <v>705</v>
      </c>
      <c r="N371" s="116" t="str">
        <f t="shared" ca="1" si="102"/>
        <v>Serviço</v>
      </c>
      <c r="O371" s="117" t="str">
        <f t="shared" ca="1" si="103"/>
        <v>1.8.1.3.1.</v>
      </c>
      <c r="P371" s="118" t="s">
        <v>1280</v>
      </c>
      <c r="Q371" s="119" t="s">
        <v>1119</v>
      </c>
      <c r="R371" s="120" t="str">
        <f ca="1">IF($C371="S",REFERENCIA.Descricao,"(digite a descrição aqui)")</f>
        <v>QUADRO DE DISTRIBUIÇÃO DE SOBREPOR EM CHAPA, PARA 24 DISJUNTORES DIN, INCLUSIVE BARRAMENTOS NEUTRO/TERRA E BARRAMENTO TRIFÁSICO DE 100A</v>
      </c>
      <c r="S371" s="121" t="str">
        <f ca="1">REFERENCIA.Unidade</f>
        <v>UN</v>
      </c>
      <c r="T371" s="122">
        <f ca="1">OFFSET(CÁLCULO!H$15,ROW($T371)-ROW(T$15),0)</f>
        <v>1</v>
      </c>
      <c r="U371" s="123">
        <f t="shared" ca="1" si="108"/>
        <v>522.24</v>
      </c>
      <c r="V371" s="124" t="s">
        <v>663</v>
      </c>
      <c r="W371" s="122">
        <f ca="1">IF($C371="S",ROUND(IF(TIPOORCAMENTO="Proposto",ORÇAMENTO.CustoUnitario*(1+$AH371),ORÇAMENTO.PrecoUnitarioLicitado),15-13*$AF$10),0)</f>
        <v>644.97</v>
      </c>
      <c r="X371" s="125" cm="1">
        <f t="array" aca="1" ref="X371" ca="1">IF($C371="S",IF(OR(Import.TipoArredondamento&lt;&gt;"TransfereGOV",ACOMPANHAMENTO="BM"),VTOTAL1,SUM(OFFSET(CÁLCULO!$AI$15,ROW($X371)-ROW($X$15),1):OFFSET(CÁLCULO!$BB$15,ROW($X371)-ROW($X$15),-1))),IF($C371=0,0,ROUND(SomaAgrup,15-13*$AF$11)))</f>
        <v>644.97</v>
      </c>
      <c r="Y371" s="126" t="s">
        <v>751</v>
      </c>
      <c r="Z371" t="str">
        <f t="shared" ca="1" si="104"/>
        <v>RA</v>
      </c>
      <c r="AA371" s="127">
        <f ca="1">IF($C371="S",IF($Z371="CP",$X371,IF($Z371="RA",(($X371)*QCI!$AA$3),0)),SomaAgrup)</f>
        <v>0</v>
      </c>
      <c r="AB371" s="128">
        <f t="shared" ca="1" si="105"/>
        <v>0</v>
      </c>
      <c r="AC371" s="565" t="str" cm="1">
        <f t="array" aca="1" ref="AC371" ca="1">IF($N371=""," ",
IF(AND($C371&lt;&gt;"S",OR($R371="",$R371="(digite a descrição aqui)")),"DESCRIÇÃO",
IF(AND($C371="S",OR($Q371&lt;&gt;"",$T371&gt;0,$U371&gt;0),$P371=""),"FONTE",
IF(AND($C371="S",$P371&lt;&gt;"",OR($T371&gt;0,$U371&gt;0),$Q371=""),"CÓDIGO",
IF(AND($C371="S",$P371&lt;&gt;"",$Q371&lt;&gt;"",$R371="(Código não identificado nas referências)"),"CÓDIGO N/ID",
IF(AND($C371="S",OR($R371="",$R371="(digite a descrição aqui)"),OR($Q371&lt;&gt;"",$T371&gt;0,$U371&gt;0)),"DESCRIÇÃO",
IF(AND($C371="S",$P371&lt;&gt;"",$Q371&lt;&gt;"",$S371=""),"UNIDADE",
IF(AND($C371="S",$P371&lt;&gt;"",$Q371&lt;&gt;"",$U371=0),"SEM CUSTO",
IF(AND(_xlfn.SINGLE(TIPOORCAMENTO)="Licitado",$AL371=0,$AN371&gt;0),"SEM PREÇO",
IF(AND($C371="S",$P371&lt;&gt;"",$Q371&lt;&gt;"",$U371&gt;0,AND($V371&lt;&gt;"BDI 1",$V371&lt;&gt;"BDI 2",$V371&lt;&gt;"BDI 3")),IF(ISNUMBER($V371),"JUSTIFICAR BDI","BDI"),
IF(OR(AND(import.recurso="OGU",TIPOORCAMENTO="Proposto",LEFT($O$8,5)&lt;&gt;"(N/D:",$AG371&lt;&gt;"",ORÇAMENTO.CustoUnitario&gt;$AG371),AND(TIPOORCAMENTO="LICITADO",ORÇAMENTO.PrecoUnitarioLicitado&gt;$AN371)),"ACIMA REF.",
IF(AND($C371="S",$P371&lt;&gt;"",$Q371&lt;&gt;"",$T371=0,$U371&gt;0),"QUANT.",
IF(AND(Import.TipoArredondamento="TransfereGOV",$L371="F",$C371="S",LEN($Q371)&gt;13),"Código &gt;13",
IF(AND(Import.TipoArredondamento="TransfereGOV",$L371="F",$C371&lt;&gt;"S",LEN($R371)&gt;100),"Descrição &gt;100",
IF(AND(Import.TipoArredondamento="TransfereGOV",$L371="F",$C371="S",LEN($R371)&gt;500),"Descrição &gt;500",
IF(AND(Import.TipoArredondamento="TransfereGOV",$L371="F",$C371="S",LEFT(TRIM(UPPER($P371)),6)&lt;&gt;"SINAPI",ISNA(VLOOKUP(TRIM(UPPER($S371)),ListaTgov.Unidades,1,FALSE))),"Unid. Não Disp",
" "))))))))))))))))</f>
        <v xml:space="preserve"> </v>
      </c>
      <c r="AD371" t="str">
        <f ca="1">IF(C371&lt;=CRONO.NivelExibicao,MAX($AD$15:OFFSET(AD371,-1,0))+IF($C371&lt;&gt;1,1,MAX(1,COUNTIF(QCI!$A$13:$A$15,OFFSET($E371,-1,0)))),"")</f>
        <v/>
      </c>
      <c r="AE371" s="7" t="str">
        <f ca="1">IF(AND($C371="S",ORÇAMENTO.CodBarra&lt;&gt;""),IF(ORÇAMENTO.Fonte="",ORÇAMENTO.CodBarra,CONCATENATE(ORÇAMENTO.Fonte," ",ORÇAMENTO.CodBarra)))</f>
        <v>SETOP ED-14188</v>
      </c>
      <c r="AF371" s="12">
        <f ca="1">IF(ISERROR(INDIRECT(ORÇAMENTO.BancoRef)),"(abra o arquivo 'Referência "&amp;Excel_BuiltIn_Database&amp;".xlsm)",IF(OR($C371&lt;&gt;"S",ORÇAMENTO.CodBarra=""),"(Sem Código)",IF(ISERROR(MATCH($AE371,INDIRECT(ORÇAMENTO.BancoRef),0)),"(Código não identificado nas referências)",MATCH($AE371,INDIRECT(ORÇAMENTO.BancoRef),0))))</f>
        <v>29335</v>
      </c>
      <c r="AG371" s="428">
        <f ca="1">ROUND(IF(DESONERACAO="sim",REFERENCIA.Desonerado,REFERENCIA.NaoDesonerado),2)</f>
        <v>522.24</v>
      </c>
      <c r="AH371" s="429">
        <f t="shared" ca="1" si="106"/>
        <v>0.23499999999999999</v>
      </c>
      <c r="AJ371" s="431">
        <v>1</v>
      </c>
      <c r="AL371" s="439"/>
      <c r="AM371" s="336">
        <f t="shared" ca="1" si="92"/>
        <v>644.97</v>
      </c>
      <c r="AN371" s="470">
        <f t="shared" ca="1" si="107"/>
        <v>644.97</v>
      </c>
    </row>
    <row r="372" spans="1:40" ht="25.5" x14ac:dyDescent="0.2">
      <c r="A372" t="str">
        <f t="shared" si="93"/>
        <v>S</v>
      </c>
      <c r="B372">
        <f t="shared" ca="1" si="94"/>
        <v>4</v>
      </c>
      <c r="C372" t="str">
        <f t="shared" ca="1" si="95"/>
        <v>S</v>
      </c>
      <c r="D372">
        <f t="shared" ca="1" si="96"/>
        <v>0</v>
      </c>
      <c r="E372">
        <f ca="1">IF($C372=1,OFFSET(E372,-1,0)+MAX(1,COUNTIF(QCI!$A$13:$A$15,OFFSET(ORÇAMENTO!E372,-1,0))),OFFSET(E372,-1,0))</f>
        <v>1</v>
      </c>
      <c r="F372">
        <f t="shared" ca="1" si="97"/>
        <v>8</v>
      </c>
      <c r="G372">
        <f t="shared" ca="1" si="98"/>
        <v>1</v>
      </c>
      <c r="H372">
        <f t="shared" ca="1" si="99"/>
        <v>3</v>
      </c>
      <c r="I372">
        <f t="shared" ca="1" si="100"/>
        <v>2</v>
      </c>
      <c r="J372">
        <f t="shared" ca="1" si="91"/>
        <v>0</v>
      </c>
      <c r="K372">
        <f ca="1">IF(OR($C372="S",$C372=0),0,MATCH(OFFSET($D372,0,$C372)+IF($C372&lt;&gt;1,1,COUNTIF(QCI!$A$13:$A$15,ORÇAMENTO!E372)),OFFSET($D372,1,$C372,ROW($C$508)-ROW($C372)),0))</f>
        <v>0</v>
      </c>
      <c r="L372" s="114" t="str">
        <f t="shared" ca="1" si="101"/>
        <v>F</v>
      </c>
      <c r="M372" s="115" t="s">
        <v>705</v>
      </c>
      <c r="N372" s="116" t="str">
        <f t="shared" ca="1" si="102"/>
        <v>Serviço</v>
      </c>
      <c r="O372" s="117" t="str">
        <f t="shared" ca="1" si="103"/>
        <v>1.8.1.3.2.</v>
      </c>
      <c r="P372" s="118" t="s">
        <v>1281</v>
      </c>
      <c r="Q372" s="119" t="s">
        <v>1121</v>
      </c>
      <c r="R372" s="120" t="str">
        <f ca="1">IF($C372="S",REFERENCIA.Descricao,"(digite a descrição aqui)")</f>
        <v xml:space="preserve">DISPOSITIVO SUPRESSOR DE SURTO - CLASSE I e II -  BASEADO EM SETOP (ED-49527) </v>
      </c>
      <c r="S372" s="121" t="str">
        <f ca="1">REFERENCIA.Unidade</f>
        <v>UN</v>
      </c>
      <c r="T372" s="122">
        <f ca="1">OFFSET(CÁLCULO!H$15,ROW($T372)-ROW(T$15),0)</f>
        <v>3</v>
      </c>
      <c r="U372" s="123">
        <f t="shared" ca="1" si="108"/>
        <v>380.51</v>
      </c>
      <c r="V372" s="124" t="s">
        <v>663</v>
      </c>
      <c r="W372" s="122">
        <f ca="1">IF($C372="S",ROUND(IF(TIPOORCAMENTO="Proposto",ORÇAMENTO.CustoUnitario*(1+$AH372),ORÇAMENTO.PrecoUnitarioLicitado),15-13*$AF$10),0)</f>
        <v>469.93</v>
      </c>
      <c r="X372" s="125" cm="1">
        <f t="array" aca="1" ref="X372" ca="1">IF($C372="S",IF(OR(Import.TipoArredondamento&lt;&gt;"TransfereGOV",ACOMPANHAMENTO="BM"),VTOTAL1,SUM(OFFSET(CÁLCULO!$AI$15,ROW($X372)-ROW($X$15),1):OFFSET(CÁLCULO!$BB$15,ROW($X372)-ROW($X$15),-1))),IF($C372=0,0,ROUND(SomaAgrup,15-13*$AF$11)))</f>
        <v>1409.79</v>
      </c>
      <c r="Y372" s="126" t="s">
        <v>751</v>
      </c>
      <c r="Z372" t="str">
        <f t="shared" ca="1" si="104"/>
        <v>RA</v>
      </c>
      <c r="AA372" s="127">
        <f ca="1">IF($C372="S",IF($Z372="CP",$X372,IF($Z372="RA",(($X372)*QCI!$AA$3),0)),SomaAgrup)</f>
        <v>0</v>
      </c>
      <c r="AB372" s="128">
        <f t="shared" ca="1" si="105"/>
        <v>0</v>
      </c>
      <c r="AC372" s="565" t="str" cm="1">
        <f t="array" aca="1" ref="AC372" ca="1">IF($N372=""," ",
IF(AND($C372&lt;&gt;"S",OR($R372="",$R372="(digite a descrição aqui)")),"DESCRIÇÃO",
IF(AND($C372="S",OR($Q372&lt;&gt;"",$T372&gt;0,$U372&gt;0),$P372=""),"FONTE",
IF(AND($C372="S",$P372&lt;&gt;"",OR($T372&gt;0,$U372&gt;0),$Q372=""),"CÓDIGO",
IF(AND($C372="S",$P372&lt;&gt;"",$Q372&lt;&gt;"",$R372="(Código não identificado nas referências)"),"CÓDIGO N/ID",
IF(AND($C372="S",OR($R372="",$R372="(digite a descrição aqui)"),OR($Q372&lt;&gt;"",$T372&gt;0,$U372&gt;0)),"DESCRIÇÃO",
IF(AND($C372="S",$P372&lt;&gt;"",$Q372&lt;&gt;"",$S372=""),"UNIDADE",
IF(AND($C372="S",$P372&lt;&gt;"",$Q372&lt;&gt;"",$U372=0),"SEM CUSTO",
IF(AND(_xlfn.SINGLE(TIPOORCAMENTO)="Licitado",$AL372=0,$AN372&gt;0),"SEM PREÇO",
IF(AND($C372="S",$P372&lt;&gt;"",$Q372&lt;&gt;"",$U372&gt;0,AND($V372&lt;&gt;"BDI 1",$V372&lt;&gt;"BDI 2",$V372&lt;&gt;"BDI 3")),IF(ISNUMBER($V372),"JUSTIFICAR BDI","BDI"),
IF(OR(AND(import.recurso="OGU",TIPOORCAMENTO="Proposto",LEFT($O$8,5)&lt;&gt;"(N/D:",$AG372&lt;&gt;"",ORÇAMENTO.CustoUnitario&gt;$AG372),AND(TIPOORCAMENTO="LICITADO",ORÇAMENTO.PrecoUnitarioLicitado&gt;$AN372)),"ACIMA REF.",
IF(AND($C372="S",$P372&lt;&gt;"",$Q372&lt;&gt;"",$T372=0,$U372&gt;0),"QUANT.",
IF(AND(Import.TipoArredondamento="TransfereGOV",$L372="F",$C372="S",LEN($Q372)&gt;13),"Código &gt;13",
IF(AND(Import.TipoArredondamento="TransfereGOV",$L372="F",$C372&lt;&gt;"S",LEN($R372)&gt;100),"Descrição &gt;100",
IF(AND(Import.TipoArredondamento="TransfereGOV",$L372="F",$C372="S",LEN($R372)&gt;500),"Descrição &gt;500",
IF(AND(Import.TipoArredondamento="TransfereGOV",$L372="F",$C372="S",LEFT(TRIM(UPPER($P372)),6)&lt;&gt;"SINAPI",ISNA(VLOOKUP(TRIM(UPPER($S372)),ListaTgov.Unidades,1,FALSE))),"Unid. Não Disp",
" "))))))))))))))))</f>
        <v xml:space="preserve"> </v>
      </c>
      <c r="AD372" t="str">
        <f ca="1">IF(C372&lt;=CRONO.NivelExibicao,MAX($AD$15:OFFSET(AD372,-1,0))+IF($C372&lt;&gt;1,1,MAX(1,COUNTIF(QCI!$A$13:$A$15,OFFSET($E372,-1,0)))),"")</f>
        <v/>
      </c>
      <c r="AE372" s="7" t="str">
        <f ca="1">IF(AND($C372="S",ORÇAMENTO.CodBarra&lt;&gt;""),IF(ORÇAMENTO.Fonte="",ORÇAMENTO.CodBarra,CONCATENATE(ORÇAMENTO.Fonte," ",ORÇAMENTO.CodBarra)))</f>
        <v>COMPOSIÇÃO CPU-023</v>
      </c>
      <c r="AF372" s="12">
        <f ca="1">IF(ISERROR(INDIRECT(ORÇAMENTO.BancoRef)),"(abra o arquivo 'Referência "&amp;Excel_BuiltIn_Database&amp;".xlsm)",IF(OR($C372&lt;&gt;"S",ORÇAMENTO.CodBarra=""),"(Sem Código)",IF(ISERROR(MATCH($AE372,INDIRECT(ORÇAMENTO.BancoRef),0)),"(Código não identificado nas referências)",MATCH($AE372,INDIRECT(ORÇAMENTO.BancoRef),0))))</f>
        <v>25</v>
      </c>
      <c r="AG372" s="428">
        <f ca="1">ROUND(IF(DESONERACAO="sim",REFERENCIA.Desonerado,REFERENCIA.NaoDesonerado),2)</f>
        <v>380.51</v>
      </c>
      <c r="AH372" s="429">
        <f t="shared" ca="1" si="106"/>
        <v>0.23499999999999999</v>
      </c>
      <c r="AJ372" s="431">
        <v>3</v>
      </c>
      <c r="AL372" s="439"/>
      <c r="AM372" s="336">
        <f t="shared" ca="1" si="92"/>
        <v>1409.79</v>
      </c>
      <c r="AN372" s="470">
        <f t="shared" ca="1" si="107"/>
        <v>469.93</v>
      </c>
    </row>
    <row r="373" spans="1:40" ht="25.5" x14ac:dyDescent="0.2">
      <c r="A373" t="str">
        <f t="shared" si="93"/>
        <v>S</v>
      </c>
      <c r="B373">
        <f t="shared" ca="1" si="94"/>
        <v>4</v>
      </c>
      <c r="C373" t="str">
        <f t="shared" ca="1" si="95"/>
        <v>S</v>
      </c>
      <c r="D373">
        <f t="shared" ca="1" si="96"/>
        <v>0</v>
      </c>
      <c r="E373">
        <f ca="1">IF($C373=1,OFFSET(E373,-1,0)+MAX(1,COUNTIF(QCI!$A$13:$A$15,OFFSET(ORÇAMENTO!E373,-1,0))),OFFSET(E373,-1,0))</f>
        <v>1</v>
      </c>
      <c r="F373">
        <f t="shared" ca="1" si="97"/>
        <v>8</v>
      </c>
      <c r="G373">
        <f t="shared" ca="1" si="98"/>
        <v>1</v>
      </c>
      <c r="H373">
        <f t="shared" ca="1" si="99"/>
        <v>3</v>
      </c>
      <c r="I373">
        <f t="shared" ca="1" si="100"/>
        <v>3</v>
      </c>
      <c r="J373">
        <f t="shared" ca="1" si="91"/>
        <v>0</v>
      </c>
      <c r="K373">
        <f ca="1">IF(OR($C373="S",$C373=0),0,MATCH(OFFSET($D373,0,$C373)+IF($C373&lt;&gt;1,1,COUNTIF(QCI!$A$13:$A$15,ORÇAMENTO!E373)),OFFSET($D373,1,$C373,ROW($C$508)-ROW($C373)),0))</f>
        <v>0</v>
      </c>
      <c r="L373" s="114" t="str">
        <f t="shared" ca="1" si="101"/>
        <v>F</v>
      </c>
      <c r="M373" s="115" t="s">
        <v>705</v>
      </c>
      <c r="N373" s="116" t="str">
        <f t="shared" ca="1" si="102"/>
        <v>Serviço</v>
      </c>
      <c r="O373" s="117" t="str">
        <f t="shared" ca="1" si="103"/>
        <v>1.8.1.3.3.</v>
      </c>
      <c r="P373" s="118" t="s">
        <v>1281</v>
      </c>
      <c r="Q373" s="119" t="s">
        <v>1122</v>
      </c>
      <c r="R373" s="120" t="str">
        <f ca="1">IF($C373="S",REFERENCIA.Descricao,"(digite a descrição aqui)")</f>
        <v>DISJUNTOR DIN BIPOLAR 4A - 5KA -  CURVA C - BASEADO EM SINAPI (93660)</v>
      </c>
      <c r="S373" s="121" t="str">
        <f ca="1">REFERENCIA.Unidade</f>
        <v>UN</v>
      </c>
      <c r="T373" s="122">
        <f ca="1">OFFSET(CÁLCULO!H$15,ROW($T373)-ROW(T$15),0)</f>
        <v>3</v>
      </c>
      <c r="U373" s="123">
        <f t="shared" ca="1" si="108"/>
        <v>95.23</v>
      </c>
      <c r="V373" s="124" t="s">
        <v>663</v>
      </c>
      <c r="W373" s="122">
        <f ca="1">IF($C373="S",ROUND(IF(TIPOORCAMENTO="Proposto",ORÇAMENTO.CustoUnitario*(1+$AH373),ORÇAMENTO.PrecoUnitarioLicitado),15-13*$AF$10),0)</f>
        <v>117.61</v>
      </c>
      <c r="X373" s="125" cm="1">
        <f t="array" aca="1" ref="X373" ca="1">IF($C373="S",IF(OR(Import.TipoArredondamento&lt;&gt;"TransfereGOV",ACOMPANHAMENTO="BM"),VTOTAL1,SUM(OFFSET(CÁLCULO!$AI$15,ROW($X373)-ROW($X$15),1):OFFSET(CÁLCULO!$BB$15,ROW($X373)-ROW($X$15),-1))),IF($C373=0,0,ROUND(SomaAgrup,15-13*$AF$11)))</f>
        <v>352.83</v>
      </c>
      <c r="Y373" s="126" t="s">
        <v>751</v>
      </c>
      <c r="Z373" t="str">
        <f t="shared" ca="1" si="104"/>
        <v>RA</v>
      </c>
      <c r="AA373" s="127">
        <f ca="1">IF($C373="S",IF($Z373="CP",$X373,IF($Z373="RA",(($X373)*QCI!$AA$3),0)),SomaAgrup)</f>
        <v>0</v>
      </c>
      <c r="AB373" s="128">
        <f t="shared" ca="1" si="105"/>
        <v>0</v>
      </c>
      <c r="AC373" s="565" t="str" cm="1">
        <f t="array" aca="1" ref="AC373" ca="1">IF($N373=""," ",
IF(AND($C373&lt;&gt;"S",OR($R373="",$R373="(digite a descrição aqui)")),"DESCRIÇÃO",
IF(AND($C373="S",OR($Q373&lt;&gt;"",$T373&gt;0,$U373&gt;0),$P373=""),"FONTE",
IF(AND($C373="S",$P373&lt;&gt;"",OR($T373&gt;0,$U373&gt;0),$Q373=""),"CÓDIGO",
IF(AND($C373="S",$P373&lt;&gt;"",$Q373&lt;&gt;"",$R373="(Código não identificado nas referências)"),"CÓDIGO N/ID",
IF(AND($C373="S",OR($R373="",$R373="(digite a descrição aqui)"),OR($Q373&lt;&gt;"",$T373&gt;0,$U373&gt;0)),"DESCRIÇÃO",
IF(AND($C373="S",$P373&lt;&gt;"",$Q373&lt;&gt;"",$S373=""),"UNIDADE",
IF(AND($C373="S",$P373&lt;&gt;"",$Q373&lt;&gt;"",$U373=0),"SEM CUSTO",
IF(AND(_xlfn.SINGLE(TIPOORCAMENTO)="Licitado",$AL373=0,$AN373&gt;0),"SEM PREÇO",
IF(AND($C373="S",$P373&lt;&gt;"",$Q373&lt;&gt;"",$U373&gt;0,AND($V373&lt;&gt;"BDI 1",$V373&lt;&gt;"BDI 2",$V373&lt;&gt;"BDI 3")),IF(ISNUMBER($V373),"JUSTIFICAR BDI","BDI"),
IF(OR(AND(import.recurso="OGU",TIPOORCAMENTO="Proposto",LEFT($O$8,5)&lt;&gt;"(N/D:",$AG373&lt;&gt;"",ORÇAMENTO.CustoUnitario&gt;$AG373),AND(TIPOORCAMENTO="LICITADO",ORÇAMENTO.PrecoUnitarioLicitado&gt;$AN373)),"ACIMA REF.",
IF(AND($C373="S",$P373&lt;&gt;"",$Q373&lt;&gt;"",$T373=0,$U373&gt;0),"QUANT.",
IF(AND(Import.TipoArredondamento="TransfereGOV",$L373="F",$C373="S",LEN($Q373)&gt;13),"Código &gt;13",
IF(AND(Import.TipoArredondamento="TransfereGOV",$L373="F",$C373&lt;&gt;"S",LEN($R373)&gt;100),"Descrição &gt;100",
IF(AND(Import.TipoArredondamento="TransfereGOV",$L373="F",$C373="S",LEN($R373)&gt;500),"Descrição &gt;500",
IF(AND(Import.TipoArredondamento="TransfereGOV",$L373="F",$C373="S",LEFT(TRIM(UPPER($P373)),6)&lt;&gt;"SINAPI",ISNA(VLOOKUP(TRIM(UPPER($S373)),ListaTgov.Unidades,1,FALSE))),"Unid. Não Disp",
" "))))))))))))))))</f>
        <v xml:space="preserve"> </v>
      </c>
      <c r="AD373" t="str">
        <f ca="1">IF(C373&lt;=CRONO.NivelExibicao,MAX($AD$15:OFFSET(AD373,-1,0))+IF($C373&lt;&gt;1,1,MAX(1,COUNTIF(QCI!$A$13:$A$15,OFFSET($E373,-1,0)))),"")</f>
        <v/>
      </c>
      <c r="AE373" s="7" t="str">
        <f ca="1">IF(AND($C373="S",ORÇAMENTO.CodBarra&lt;&gt;""),IF(ORÇAMENTO.Fonte="",ORÇAMENTO.CodBarra,CONCATENATE(ORÇAMENTO.Fonte," ",ORÇAMENTO.CodBarra)))</f>
        <v>COMPOSIÇÃO CPU-026</v>
      </c>
      <c r="AF373" s="12">
        <f ca="1">IF(ISERROR(INDIRECT(ORÇAMENTO.BancoRef)),"(abra o arquivo 'Referência "&amp;Excel_BuiltIn_Database&amp;".xlsm)",IF(OR($C373&lt;&gt;"S",ORÇAMENTO.CodBarra=""),"(Sem Código)",IF(ISERROR(MATCH($AE373,INDIRECT(ORÇAMENTO.BancoRef),0)),"(Código não identificado nas referências)",MATCH($AE373,INDIRECT(ORÇAMENTO.BancoRef),0))))</f>
        <v>28</v>
      </c>
      <c r="AG373" s="428">
        <f ca="1">ROUND(IF(DESONERACAO="sim",REFERENCIA.Desonerado,REFERENCIA.NaoDesonerado),2)</f>
        <v>95.23</v>
      </c>
      <c r="AH373" s="429">
        <f t="shared" ca="1" si="106"/>
        <v>0.23499999999999999</v>
      </c>
      <c r="AJ373" s="431">
        <v>3</v>
      </c>
      <c r="AL373" s="439"/>
      <c r="AM373" s="336">
        <f t="shared" ca="1" si="92"/>
        <v>352.83</v>
      </c>
      <c r="AN373" s="470">
        <f t="shared" ca="1" si="107"/>
        <v>117.61</v>
      </c>
    </row>
    <row r="374" spans="1:40" ht="25.5" x14ac:dyDescent="0.2">
      <c r="A374" t="str">
        <f t="shared" si="93"/>
        <v>S</v>
      </c>
      <c r="B374">
        <f t="shared" ca="1" si="94"/>
        <v>4</v>
      </c>
      <c r="C374" t="str">
        <f t="shared" ca="1" si="95"/>
        <v>S</v>
      </c>
      <c r="D374">
        <f t="shared" ca="1" si="96"/>
        <v>0</v>
      </c>
      <c r="E374">
        <f ca="1">IF($C374=1,OFFSET(E374,-1,0)+MAX(1,COUNTIF(QCI!$A$13:$A$15,OFFSET(ORÇAMENTO!E374,-1,0))),OFFSET(E374,-1,0))</f>
        <v>1</v>
      </c>
      <c r="F374">
        <f t="shared" ca="1" si="97"/>
        <v>8</v>
      </c>
      <c r="G374">
        <f t="shared" ca="1" si="98"/>
        <v>1</v>
      </c>
      <c r="H374">
        <f t="shared" ca="1" si="99"/>
        <v>3</v>
      </c>
      <c r="I374">
        <f t="shared" ca="1" si="100"/>
        <v>4</v>
      </c>
      <c r="J374">
        <f t="shared" ca="1" si="91"/>
        <v>0</v>
      </c>
      <c r="K374">
        <f ca="1">IF(OR($C374="S",$C374=0),0,MATCH(OFFSET($D374,0,$C374)+IF($C374&lt;&gt;1,1,COUNTIF(QCI!$A$13:$A$15,ORÇAMENTO!E374)),OFFSET($D374,1,$C374,ROW($C$508)-ROW($C374)),0))</f>
        <v>0</v>
      </c>
      <c r="L374" s="114" t="str">
        <f t="shared" ca="1" si="101"/>
        <v>F</v>
      </c>
      <c r="M374" s="115" t="s">
        <v>705</v>
      </c>
      <c r="N374" s="116" t="str">
        <f t="shared" ca="1" si="102"/>
        <v>Serviço</v>
      </c>
      <c r="O374" s="117" t="str">
        <f t="shared" ca="1" si="103"/>
        <v>1.8.1.3.4.</v>
      </c>
      <c r="P374" s="118" t="s">
        <v>1281</v>
      </c>
      <c r="Q374" s="119" t="s">
        <v>1123</v>
      </c>
      <c r="R374" s="120" t="str">
        <f ca="1">IF($C374="S",REFERENCIA.Descricao,"(digite a descrição aqui)")</f>
        <v xml:space="preserve">DISJUNTOR MOTOR, FAIXA DE AJUSTE: 4-6,3A, ICU: 50KA EM 380/400V - BASEADO EM </v>
      </c>
      <c r="S374" s="121" t="str">
        <f ca="1">REFERENCIA.Unidade</f>
        <v>UN</v>
      </c>
      <c r="T374" s="122">
        <f ca="1">OFFSET(CÁLCULO!H$15,ROW($T374)-ROW(T$15),0)</f>
        <v>1</v>
      </c>
      <c r="U374" s="123">
        <f t="shared" ca="1" si="108"/>
        <v>281.77999999999997</v>
      </c>
      <c r="V374" s="124" t="s">
        <v>663</v>
      </c>
      <c r="W374" s="122">
        <f ca="1">IF($C374="S",ROUND(IF(TIPOORCAMENTO="Proposto",ORÇAMENTO.CustoUnitario*(1+$AH374),ORÇAMENTO.PrecoUnitarioLicitado),15-13*$AF$10),0)</f>
        <v>348</v>
      </c>
      <c r="X374" s="125" cm="1">
        <f t="array" aca="1" ref="X374" ca="1">IF($C374="S",IF(OR(Import.TipoArredondamento&lt;&gt;"TransfereGOV",ACOMPANHAMENTO="BM"),VTOTAL1,SUM(OFFSET(CÁLCULO!$AI$15,ROW($X374)-ROW($X$15),1):OFFSET(CÁLCULO!$BB$15,ROW($X374)-ROW($X$15),-1))),IF($C374=0,0,ROUND(SomaAgrup,15-13*$AF$11)))</f>
        <v>348</v>
      </c>
      <c r="Y374" s="126" t="s">
        <v>751</v>
      </c>
      <c r="Z374" t="str">
        <f t="shared" ca="1" si="104"/>
        <v>RA</v>
      </c>
      <c r="AA374" s="127">
        <f ca="1">IF($C374="S",IF($Z374="CP",$X374,IF($Z374="RA",(($X374)*QCI!$AA$3),0)),SomaAgrup)</f>
        <v>0</v>
      </c>
      <c r="AB374" s="128">
        <f t="shared" ca="1" si="105"/>
        <v>0</v>
      </c>
      <c r="AC374" s="565" t="str" cm="1">
        <f t="array" aca="1" ref="AC374" ca="1">IF($N374=""," ",
IF(AND($C374&lt;&gt;"S",OR($R374="",$R374="(digite a descrição aqui)")),"DESCRIÇÃO",
IF(AND($C374="S",OR($Q374&lt;&gt;"",$T374&gt;0,$U374&gt;0),$P374=""),"FONTE",
IF(AND($C374="S",$P374&lt;&gt;"",OR($T374&gt;0,$U374&gt;0),$Q374=""),"CÓDIGO",
IF(AND($C374="S",$P374&lt;&gt;"",$Q374&lt;&gt;"",$R374="(Código não identificado nas referências)"),"CÓDIGO N/ID",
IF(AND($C374="S",OR($R374="",$R374="(digite a descrição aqui)"),OR($Q374&lt;&gt;"",$T374&gt;0,$U374&gt;0)),"DESCRIÇÃO",
IF(AND($C374="S",$P374&lt;&gt;"",$Q374&lt;&gt;"",$S374=""),"UNIDADE",
IF(AND($C374="S",$P374&lt;&gt;"",$Q374&lt;&gt;"",$U374=0),"SEM CUSTO",
IF(AND(_xlfn.SINGLE(TIPOORCAMENTO)="Licitado",$AL374=0,$AN374&gt;0),"SEM PREÇO",
IF(AND($C374="S",$P374&lt;&gt;"",$Q374&lt;&gt;"",$U374&gt;0,AND($V374&lt;&gt;"BDI 1",$V374&lt;&gt;"BDI 2",$V374&lt;&gt;"BDI 3")),IF(ISNUMBER($V374),"JUSTIFICAR BDI","BDI"),
IF(OR(AND(import.recurso="OGU",TIPOORCAMENTO="Proposto",LEFT($O$8,5)&lt;&gt;"(N/D:",$AG374&lt;&gt;"",ORÇAMENTO.CustoUnitario&gt;$AG374),AND(TIPOORCAMENTO="LICITADO",ORÇAMENTO.PrecoUnitarioLicitado&gt;$AN374)),"ACIMA REF.",
IF(AND($C374="S",$P374&lt;&gt;"",$Q374&lt;&gt;"",$T374=0,$U374&gt;0),"QUANT.",
IF(AND(Import.TipoArredondamento="TransfereGOV",$L374="F",$C374="S",LEN($Q374)&gt;13),"Código &gt;13",
IF(AND(Import.TipoArredondamento="TransfereGOV",$L374="F",$C374&lt;&gt;"S",LEN($R374)&gt;100),"Descrição &gt;100",
IF(AND(Import.TipoArredondamento="TransfereGOV",$L374="F",$C374="S",LEN($R374)&gt;500),"Descrição &gt;500",
IF(AND(Import.TipoArredondamento="TransfereGOV",$L374="F",$C374="S",LEFT(TRIM(UPPER($P374)),6)&lt;&gt;"SINAPI",ISNA(VLOOKUP(TRIM(UPPER($S374)),ListaTgov.Unidades,1,FALSE))),"Unid. Não Disp",
" "))))))))))))))))</f>
        <v xml:space="preserve"> </v>
      </c>
      <c r="AD374" t="str">
        <f ca="1">IF(C374&lt;=CRONO.NivelExibicao,MAX($AD$15:OFFSET(AD374,-1,0))+IF($C374&lt;&gt;1,1,MAX(1,COUNTIF(QCI!$A$13:$A$15,OFFSET($E374,-1,0)))),"")</f>
        <v/>
      </c>
      <c r="AE374" s="7" t="str">
        <f ca="1">IF(AND($C374="S",ORÇAMENTO.CodBarra&lt;&gt;""),IF(ORÇAMENTO.Fonte="",ORÇAMENTO.CodBarra,CONCATENATE(ORÇAMENTO.Fonte," ",ORÇAMENTO.CodBarra)))</f>
        <v>COMPOSIÇÃO CPU-025</v>
      </c>
      <c r="AF374" s="12">
        <f ca="1">IF(ISERROR(INDIRECT(ORÇAMENTO.BancoRef)),"(abra o arquivo 'Referência "&amp;Excel_BuiltIn_Database&amp;".xlsm)",IF(OR($C374&lt;&gt;"S",ORÇAMENTO.CodBarra=""),"(Sem Código)",IF(ISERROR(MATCH($AE374,INDIRECT(ORÇAMENTO.BancoRef),0)),"(Código não identificado nas referências)",MATCH($AE374,INDIRECT(ORÇAMENTO.BancoRef),0))))</f>
        <v>27</v>
      </c>
      <c r="AG374" s="428">
        <f ca="1">ROUND(IF(DESONERACAO="sim",REFERENCIA.Desonerado,REFERENCIA.NaoDesonerado),2)</f>
        <v>281.77999999999997</v>
      </c>
      <c r="AH374" s="429">
        <f t="shared" ca="1" si="106"/>
        <v>0.23499999999999999</v>
      </c>
      <c r="AJ374" s="431">
        <v>1</v>
      </c>
      <c r="AL374" s="439"/>
      <c r="AM374" s="336">
        <f t="shared" ca="1" si="92"/>
        <v>348</v>
      </c>
      <c r="AN374" s="470">
        <f t="shared" ca="1" si="107"/>
        <v>348</v>
      </c>
    </row>
    <row r="375" spans="1:40" ht="25.5" x14ac:dyDescent="0.2">
      <c r="A375" t="str">
        <f t="shared" si="93"/>
        <v>S</v>
      </c>
      <c r="B375">
        <f t="shared" ca="1" si="94"/>
        <v>4</v>
      </c>
      <c r="C375" t="str">
        <f t="shared" ca="1" si="95"/>
        <v>S</v>
      </c>
      <c r="D375">
        <f t="shared" ca="1" si="96"/>
        <v>0</v>
      </c>
      <c r="E375">
        <f ca="1">IF($C375=1,OFFSET(E375,-1,0)+MAX(1,COUNTIF(QCI!$A$13:$A$15,OFFSET(ORÇAMENTO!E375,-1,0))),OFFSET(E375,-1,0))</f>
        <v>1</v>
      </c>
      <c r="F375">
        <f t="shared" ca="1" si="97"/>
        <v>8</v>
      </c>
      <c r="G375">
        <f t="shared" ca="1" si="98"/>
        <v>1</v>
      </c>
      <c r="H375">
        <f t="shared" ca="1" si="99"/>
        <v>3</v>
      </c>
      <c r="I375">
        <f t="shared" ca="1" si="100"/>
        <v>5</v>
      </c>
      <c r="J375">
        <f t="shared" ca="1" si="91"/>
        <v>0</v>
      </c>
      <c r="K375">
        <f ca="1">IF(OR($C375="S",$C375=0),0,MATCH(OFFSET($D375,0,$C375)+IF($C375&lt;&gt;1,1,COUNTIF(QCI!$A$13:$A$15,ORÇAMENTO!E375)),OFFSET($D375,1,$C375,ROW($C$508)-ROW($C375)),0))</f>
        <v>0</v>
      </c>
      <c r="L375" s="114" t="str">
        <f t="shared" ca="1" si="101"/>
        <v>F</v>
      </c>
      <c r="M375" s="115" t="s">
        <v>705</v>
      </c>
      <c r="N375" s="116" t="str">
        <f t="shared" ca="1" si="102"/>
        <v>Serviço</v>
      </c>
      <c r="O375" s="117" t="str">
        <f t="shared" ca="1" si="103"/>
        <v>1.8.1.3.5.</v>
      </c>
      <c r="P375" s="118" t="s">
        <v>750</v>
      </c>
      <c r="Q375" s="119">
        <v>93667</v>
      </c>
      <c r="R375" s="120" t="str">
        <f ca="1">IF($C375="S",REFERENCIA.Descricao,"(digite a descrição aqui)")</f>
        <v>DISJUNTOR TRIPOLAR TIPO DIN, CORRENTE NOMINAL DE 10A - FORNECIMENTO E INSTALAÇÃO. AF_10/2020</v>
      </c>
      <c r="S375" s="121" t="str">
        <f ca="1">REFERENCIA.Unidade</f>
        <v>UN</v>
      </c>
      <c r="T375" s="122">
        <f ca="1">OFFSET(CÁLCULO!H$15,ROW($T375)-ROW(T$15),0)</f>
        <v>1</v>
      </c>
      <c r="U375" s="123">
        <f t="shared" ca="1" si="108"/>
        <v>88.87</v>
      </c>
      <c r="V375" s="124" t="s">
        <v>663</v>
      </c>
      <c r="W375" s="122">
        <f ca="1">IF($C375="S",ROUND(IF(TIPOORCAMENTO="Proposto",ORÇAMENTO.CustoUnitario*(1+$AH375),ORÇAMENTO.PrecoUnitarioLicitado),15-13*$AF$10),0)</f>
        <v>109.75</v>
      </c>
      <c r="X375" s="125" cm="1">
        <f t="array" aca="1" ref="X375" ca="1">IF($C375="S",IF(OR(Import.TipoArredondamento&lt;&gt;"TransfereGOV",ACOMPANHAMENTO="BM"),VTOTAL1,SUM(OFFSET(CÁLCULO!$AI$15,ROW($X375)-ROW($X$15),1):OFFSET(CÁLCULO!$BB$15,ROW($X375)-ROW($X$15),-1))),IF($C375=0,0,ROUND(SomaAgrup,15-13*$AF$11)))</f>
        <v>109.75</v>
      </c>
      <c r="Y375" s="126" t="s">
        <v>751</v>
      </c>
      <c r="Z375" t="str">
        <f t="shared" ca="1" si="104"/>
        <v>RA</v>
      </c>
      <c r="AA375" s="127">
        <f ca="1">IF($C375="S",IF($Z375="CP",$X375,IF($Z375="RA",(($X375)*QCI!$AA$3),0)),SomaAgrup)</f>
        <v>0</v>
      </c>
      <c r="AB375" s="128">
        <f t="shared" ca="1" si="105"/>
        <v>0</v>
      </c>
      <c r="AC375" s="565" t="str" cm="1">
        <f t="array" aca="1" ref="AC375" ca="1">IF($N375=""," ",
IF(AND($C375&lt;&gt;"S",OR($R375="",$R375="(digite a descrição aqui)")),"DESCRIÇÃO",
IF(AND($C375="S",OR($Q375&lt;&gt;"",$T375&gt;0,$U375&gt;0),$P375=""),"FONTE",
IF(AND($C375="S",$P375&lt;&gt;"",OR($T375&gt;0,$U375&gt;0),$Q375=""),"CÓDIGO",
IF(AND($C375="S",$P375&lt;&gt;"",$Q375&lt;&gt;"",$R375="(Código não identificado nas referências)"),"CÓDIGO N/ID",
IF(AND($C375="S",OR($R375="",$R375="(digite a descrição aqui)"),OR($Q375&lt;&gt;"",$T375&gt;0,$U375&gt;0)),"DESCRIÇÃO",
IF(AND($C375="S",$P375&lt;&gt;"",$Q375&lt;&gt;"",$S375=""),"UNIDADE",
IF(AND($C375="S",$P375&lt;&gt;"",$Q375&lt;&gt;"",$U375=0),"SEM CUSTO",
IF(AND(_xlfn.SINGLE(TIPOORCAMENTO)="Licitado",$AL375=0,$AN375&gt;0),"SEM PREÇO",
IF(AND($C375="S",$P375&lt;&gt;"",$Q375&lt;&gt;"",$U375&gt;0,AND($V375&lt;&gt;"BDI 1",$V375&lt;&gt;"BDI 2",$V375&lt;&gt;"BDI 3")),IF(ISNUMBER($V375),"JUSTIFICAR BDI","BDI"),
IF(OR(AND(import.recurso="OGU",TIPOORCAMENTO="Proposto",LEFT($O$8,5)&lt;&gt;"(N/D:",$AG375&lt;&gt;"",ORÇAMENTO.CustoUnitario&gt;$AG375),AND(TIPOORCAMENTO="LICITADO",ORÇAMENTO.PrecoUnitarioLicitado&gt;$AN375)),"ACIMA REF.",
IF(AND($C375="S",$P375&lt;&gt;"",$Q375&lt;&gt;"",$T375=0,$U375&gt;0),"QUANT.",
IF(AND(Import.TipoArredondamento="TransfereGOV",$L375="F",$C375="S",LEN($Q375)&gt;13),"Código &gt;13",
IF(AND(Import.TipoArredondamento="TransfereGOV",$L375="F",$C375&lt;&gt;"S",LEN($R375)&gt;100),"Descrição &gt;100",
IF(AND(Import.TipoArredondamento="TransfereGOV",$L375="F",$C375="S",LEN($R375)&gt;500),"Descrição &gt;500",
IF(AND(Import.TipoArredondamento="TransfereGOV",$L375="F",$C375="S",LEFT(TRIM(UPPER($P375)),6)&lt;&gt;"SINAPI",ISNA(VLOOKUP(TRIM(UPPER($S375)),ListaTgov.Unidades,1,FALSE))),"Unid. Não Disp",
" "))))))))))))))))</f>
        <v xml:space="preserve"> </v>
      </c>
      <c r="AD375" t="str">
        <f ca="1">IF(C375&lt;=CRONO.NivelExibicao,MAX($AD$15:OFFSET(AD375,-1,0))+IF($C375&lt;&gt;1,1,MAX(1,COUNTIF(QCI!$A$13:$A$15,OFFSET($E375,-1,0)))),"")</f>
        <v/>
      </c>
      <c r="AE375" s="7" t="str">
        <f ca="1">IF(AND($C375="S",ORÇAMENTO.CodBarra&lt;&gt;""),IF(ORÇAMENTO.Fonte="",ORÇAMENTO.CodBarra,CONCATENATE(ORÇAMENTO.Fonte," ",ORÇAMENTO.CodBarra)))</f>
        <v>SINAPI 93667</v>
      </c>
      <c r="AF375" s="12">
        <f ca="1">IF(ISERROR(INDIRECT(ORÇAMENTO.BancoRef)),"(abra o arquivo 'Referência "&amp;Excel_BuiltIn_Database&amp;".xlsm)",IF(OR($C375&lt;&gt;"S",ORÇAMENTO.CodBarra=""),"(Sem Código)",IF(ISERROR(MATCH($AE375,INDIRECT(ORÇAMENTO.BancoRef),0)),"(Código não identificado nas referências)",MATCH($AE375,INDIRECT(ORÇAMENTO.BancoRef),0))))</f>
        <v>10723</v>
      </c>
      <c r="AG375" s="428">
        <f ca="1">ROUND(IF(DESONERACAO="sim",REFERENCIA.Desonerado,REFERENCIA.NaoDesonerado),2)</f>
        <v>88.87</v>
      </c>
      <c r="AH375" s="429">
        <f t="shared" ca="1" si="106"/>
        <v>0.23499999999999999</v>
      </c>
      <c r="AJ375" s="431">
        <v>1</v>
      </c>
      <c r="AL375" s="439"/>
      <c r="AM375" s="336">
        <f t="shared" ca="1" si="92"/>
        <v>109.75</v>
      </c>
      <c r="AN375" s="470">
        <f t="shared" ca="1" si="107"/>
        <v>109.75</v>
      </c>
    </row>
    <row r="376" spans="1:40" ht="25.5" x14ac:dyDescent="0.2">
      <c r="A376" t="str">
        <f t="shared" si="93"/>
        <v>S</v>
      </c>
      <c r="B376">
        <f t="shared" ca="1" si="94"/>
        <v>4</v>
      </c>
      <c r="C376" t="str">
        <f t="shared" ca="1" si="95"/>
        <v>S</v>
      </c>
      <c r="D376">
        <f t="shared" ca="1" si="96"/>
        <v>0</v>
      </c>
      <c r="E376">
        <f ca="1">IF($C376=1,OFFSET(E376,-1,0)+MAX(1,COUNTIF(QCI!$A$13:$A$15,OFFSET(ORÇAMENTO!E376,-1,0))),OFFSET(E376,-1,0))</f>
        <v>1</v>
      </c>
      <c r="F376">
        <f t="shared" ca="1" si="97"/>
        <v>8</v>
      </c>
      <c r="G376">
        <f t="shared" ca="1" si="98"/>
        <v>1</v>
      </c>
      <c r="H376">
        <f t="shared" ca="1" si="99"/>
        <v>3</v>
      </c>
      <c r="I376">
        <f t="shared" ca="1" si="100"/>
        <v>6</v>
      </c>
      <c r="J376">
        <f t="shared" ca="1" si="91"/>
        <v>0</v>
      </c>
      <c r="K376">
        <f ca="1">IF(OR($C376="S",$C376=0),0,MATCH(OFFSET($D376,0,$C376)+IF($C376&lt;&gt;1,1,COUNTIF(QCI!$A$13:$A$15,ORÇAMENTO!E376)),OFFSET($D376,1,$C376,ROW($C$508)-ROW($C376)),0))</f>
        <v>0</v>
      </c>
      <c r="L376" s="114" t="str">
        <f t="shared" ca="1" si="101"/>
        <v>F</v>
      </c>
      <c r="M376" s="115" t="s">
        <v>705</v>
      </c>
      <c r="N376" s="116" t="str">
        <f t="shared" ca="1" si="102"/>
        <v>Serviço</v>
      </c>
      <c r="O376" s="117" t="str">
        <f t="shared" ca="1" si="103"/>
        <v>1.8.1.3.6.</v>
      </c>
      <c r="P376" s="118" t="s">
        <v>1281</v>
      </c>
      <c r="Q376" s="119" t="s">
        <v>1124</v>
      </c>
      <c r="R376" s="120" t="str">
        <f ca="1">IF($C376="S",REFERENCIA.Descricao,"(digite a descrição aqui)")</f>
        <v>AUTOTRANSFORMADOR TRIFÁSICO 1.01kVA E/S 220/440V 60Hz IP00, FORNECIMENTO E INSTALAÇÃO - BASEADO EM SIURB (9014034)</v>
      </c>
      <c r="S376" s="121" t="str">
        <f ca="1">REFERENCIA.Unidade</f>
        <v>UN</v>
      </c>
      <c r="T376" s="122">
        <f ca="1">OFFSET(CÁLCULO!H$15,ROW($T376)-ROW(T$15),0)</f>
        <v>1</v>
      </c>
      <c r="U376" s="123">
        <f t="shared" ca="1" si="108"/>
        <v>607.47</v>
      </c>
      <c r="V376" s="124" t="s">
        <v>663</v>
      </c>
      <c r="W376" s="122">
        <f ca="1">IF($C376="S",ROUND(IF(TIPOORCAMENTO="Proposto",ORÇAMENTO.CustoUnitario*(1+$AH376),ORÇAMENTO.PrecoUnitarioLicitado),15-13*$AF$10),0)</f>
        <v>750.23</v>
      </c>
      <c r="X376" s="125" cm="1">
        <f t="array" aca="1" ref="X376" ca="1">IF($C376="S",IF(OR(Import.TipoArredondamento&lt;&gt;"TransfereGOV",ACOMPANHAMENTO="BM"),VTOTAL1,SUM(OFFSET(CÁLCULO!$AI$15,ROW($X376)-ROW($X$15),1):OFFSET(CÁLCULO!$BB$15,ROW($X376)-ROW($X$15),-1))),IF($C376=0,0,ROUND(SomaAgrup,15-13*$AF$11)))</f>
        <v>750.23</v>
      </c>
      <c r="Y376" s="126" t="s">
        <v>751</v>
      </c>
      <c r="Z376" t="str">
        <f t="shared" ca="1" si="104"/>
        <v>RA</v>
      </c>
      <c r="AA376" s="127">
        <f ca="1">IF($C376="S",IF($Z376="CP",$X376,IF($Z376="RA",(($X376)*QCI!$AA$3),0)),SomaAgrup)</f>
        <v>0</v>
      </c>
      <c r="AB376" s="128">
        <f t="shared" ca="1" si="105"/>
        <v>0</v>
      </c>
      <c r="AC376" s="565" t="str" cm="1">
        <f t="array" aca="1" ref="AC376" ca="1">IF($N376=""," ",
IF(AND($C376&lt;&gt;"S",OR($R376="",$R376="(digite a descrição aqui)")),"DESCRIÇÃO",
IF(AND($C376="S",OR($Q376&lt;&gt;"",$T376&gt;0,$U376&gt;0),$P376=""),"FONTE",
IF(AND($C376="S",$P376&lt;&gt;"",OR($T376&gt;0,$U376&gt;0),$Q376=""),"CÓDIGO",
IF(AND($C376="S",$P376&lt;&gt;"",$Q376&lt;&gt;"",$R376="(Código não identificado nas referências)"),"CÓDIGO N/ID",
IF(AND($C376="S",OR($R376="",$R376="(digite a descrição aqui)"),OR($Q376&lt;&gt;"",$T376&gt;0,$U376&gt;0)),"DESCRIÇÃO",
IF(AND($C376="S",$P376&lt;&gt;"",$Q376&lt;&gt;"",$S376=""),"UNIDADE",
IF(AND($C376="S",$P376&lt;&gt;"",$Q376&lt;&gt;"",$U376=0),"SEM CUSTO",
IF(AND(_xlfn.SINGLE(TIPOORCAMENTO)="Licitado",$AL376=0,$AN376&gt;0),"SEM PREÇO",
IF(AND($C376="S",$P376&lt;&gt;"",$Q376&lt;&gt;"",$U376&gt;0,AND($V376&lt;&gt;"BDI 1",$V376&lt;&gt;"BDI 2",$V376&lt;&gt;"BDI 3")),IF(ISNUMBER($V376),"JUSTIFICAR BDI","BDI"),
IF(OR(AND(import.recurso="OGU",TIPOORCAMENTO="Proposto",LEFT($O$8,5)&lt;&gt;"(N/D:",$AG376&lt;&gt;"",ORÇAMENTO.CustoUnitario&gt;$AG376),AND(TIPOORCAMENTO="LICITADO",ORÇAMENTO.PrecoUnitarioLicitado&gt;$AN376)),"ACIMA REF.",
IF(AND($C376="S",$P376&lt;&gt;"",$Q376&lt;&gt;"",$T376=0,$U376&gt;0),"QUANT.",
IF(AND(Import.TipoArredondamento="TransfereGOV",$L376="F",$C376="S",LEN($Q376)&gt;13),"Código &gt;13",
IF(AND(Import.TipoArredondamento="TransfereGOV",$L376="F",$C376&lt;&gt;"S",LEN($R376)&gt;100),"Descrição &gt;100",
IF(AND(Import.TipoArredondamento="TransfereGOV",$L376="F",$C376="S",LEN($R376)&gt;500),"Descrição &gt;500",
IF(AND(Import.TipoArredondamento="TransfereGOV",$L376="F",$C376="S",LEFT(TRIM(UPPER($P376)),6)&lt;&gt;"SINAPI",ISNA(VLOOKUP(TRIM(UPPER($S376)),ListaTgov.Unidades,1,FALSE))),"Unid. Não Disp",
" "))))))))))))))))</f>
        <v xml:space="preserve"> </v>
      </c>
      <c r="AD376" t="str">
        <f ca="1">IF(C376&lt;=CRONO.NivelExibicao,MAX($AD$15:OFFSET(AD376,-1,0))+IF($C376&lt;&gt;1,1,MAX(1,COUNTIF(QCI!$A$13:$A$15,OFFSET($E376,-1,0)))),"")</f>
        <v/>
      </c>
      <c r="AE376" s="7" t="str">
        <f ca="1">IF(AND($C376="S",ORÇAMENTO.CodBarra&lt;&gt;""),IF(ORÇAMENTO.Fonte="",ORÇAMENTO.CodBarra,CONCATENATE(ORÇAMENTO.Fonte," ",ORÇAMENTO.CodBarra)))</f>
        <v>COMPOSIÇÃO CPU-027</v>
      </c>
      <c r="AF376" s="12">
        <f ca="1">IF(ISERROR(INDIRECT(ORÇAMENTO.BancoRef)),"(abra o arquivo 'Referência "&amp;Excel_BuiltIn_Database&amp;".xlsm)",IF(OR($C376&lt;&gt;"S",ORÇAMENTO.CodBarra=""),"(Sem Código)",IF(ISERROR(MATCH($AE376,INDIRECT(ORÇAMENTO.BancoRef),0)),"(Código não identificado nas referências)",MATCH($AE376,INDIRECT(ORÇAMENTO.BancoRef),0))))</f>
        <v>29</v>
      </c>
      <c r="AG376" s="428">
        <f ca="1">ROUND(IF(DESONERACAO="sim",REFERENCIA.Desonerado,REFERENCIA.NaoDesonerado),2)</f>
        <v>607.47</v>
      </c>
      <c r="AH376" s="429">
        <f t="shared" ca="1" si="106"/>
        <v>0.23499999999999999</v>
      </c>
      <c r="AJ376" s="431">
        <v>1</v>
      </c>
      <c r="AL376" s="439"/>
      <c r="AM376" s="336">
        <f t="shared" ca="1" si="92"/>
        <v>750.23</v>
      </c>
      <c r="AN376" s="470">
        <f t="shared" ca="1" si="107"/>
        <v>750.23</v>
      </c>
    </row>
    <row r="377" spans="1:40" x14ac:dyDescent="0.2">
      <c r="A377">
        <f t="shared" si="93"/>
        <v>4</v>
      </c>
      <c r="B377">
        <f t="shared" ca="1" si="94"/>
        <v>4</v>
      </c>
      <c r="C377">
        <f t="shared" ca="1" si="95"/>
        <v>4</v>
      </c>
      <c r="D377">
        <f t="shared" ca="1" si="96"/>
        <v>7</v>
      </c>
      <c r="E377">
        <f ca="1">IF($C377=1,OFFSET(E377,-1,0)+MAX(1,COUNTIF(QCI!$A$13:$A$15,OFFSET(ORÇAMENTO!E377,-1,0))),OFFSET(E377,-1,0))</f>
        <v>1</v>
      </c>
      <c r="F377">
        <f t="shared" ca="1" si="97"/>
        <v>8</v>
      </c>
      <c r="G377">
        <f t="shared" ca="1" si="98"/>
        <v>1</v>
      </c>
      <c r="H377">
        <f t="shared" ca="1" si="99"/>
        <v>4</v>
      </c>
      <c r="I377">
        <f t="shared" ca="1" si="100"/>
        <v>0</v>
      </c>
      <c r="J377">
        <f t="shared" ca="1" si="91"/>
        <v>7</v>
      </c>
      <c r="K377">
        <f ca="1">IF(OR($C377="S",$C377=0),0,MATCH(OFFSET($D377,0,$C377)+IF($C377&lt;&gt;1,1,COUNTIF(QCI!$A$13:$A$15,ORÇAMENTO!E377)),OFFSET($D377,1,$C377,ROW($C$508)-ROW($C377)),0))</f>
        <v>57</v>
      </c>
      <c r="L377" s="114" t="str">
        <f t="shared" ca="1" si="101"/>
        <v>F</v>
      </c>
      <c r="M377" s="115" t="s">
        <v>704</v>
      </c>
      <c r="N377" s="116" t="str">
        <f t="shared" ca="1" si="102"/>
        <v>Nível 4</v>
      </c>
      <c r="O377" s="117" t="str">
        <f t="shared" ca="1" si="103"/>
        <v>1.8.1.4.</v>
      </c>
      <c r="P377" s="118" t="s">
        <v>750</v>
      </c>
      <c r="Q377" s="119"/>
      <c r="R377" s="120" t="s">
        <v>1251</v>
      </c>
      <c r="S377" s="121" t="s">
        <v>688</v>
      </c>
      <c r="T377" s="122">
        <f ca="1">OFFSET(CÁLCULO!H$15,ROW($T377)-ROW(T$15),0)</f>
        <v>0</v>
      </c>
      <c r="U377" s="123">
        <f t="shared" ca="1" si="108"/>
        <v>0</v>
      </c>
      <c r="V377" s="124" t="s">
        <v>663</v>
      </c>
      <c r="W377" s="122">
        <f ca="1">IF($C377="S",ROUND(IF(TIPOORCAMENTO="Proposto",ORÇAMENTO.CustoUnitario*(1+$AH377),ORÇAMENTO.PrecoUnitarioLicitado),15-13*$AF$10),0)</f>
        <v>0</v>
      </c>
      <c r="X377" s="125" cm="1">
        <f t="array" aca="1" ref="X377" ca="1">IF($C377="S",IF(OR(Import.TipoArredondamento&lt;&gt;"TransfereGOV",ACOMPANHAMENTO="BM"),VTOTAL1,SUM(OFFSET(CÁLCULO!$AI$15,ROW($X377)-ROW($X$15),1):OFFSET(CÁLCULO!$BB$15,ROW($X377)-ROW($X$15),-1))),IF($C377=0,0,ROUND(SomaAgrup,15-13*$AF$11)))</f>
        <v>3615.57</v>
      </c>
      <c r="Y377" s="126" t="s">
        <v>751</v>
      </c>
      <c r="Z377" t="str">
        <f t="shared" ca="1" si="104"/>
        <v/>
      </c>
      <c r="AA377" s="127">
        <f ca="1">IF($C377="S",IF($Z377="CP",$X377,IF($Z377="RA",(($X377)*QCI!$AA$3),0)),SomaAgrup)</f>
        <v>0</v>
      </c>
      <c r="AB377" s="128">
        <f t="shared" ca="1" si="105"/>
        <v>0</v>
      </c>
      <c r="AC377" s="565" t="str" cm="1">
        <f t="array" aca="1" ref="AC377" ca="1">IF($N377=""," ",
IF(AND($C377&lt;&gt;"S",OR($R377="",$R377="(digite a descrição aqui)")),"DESCRIÇÃO",
IF(AND($C377="S",OR($Q377&lt;&gt;"",$T377&gt;0,$U377&gt;0),$P377=""),"FONTE",
IF(AND($C377="S",$P377&lt;&gt;"",OR($T377&gt;0,$U377&gt;0),$Q377=""),"CÓDIGO",
IF(AND($C377="S",$P377&lt;&gt;"",$Q377&lt;&gt;"",$R377="(Código não identificado nas referências)"),"CÓDIGO N/ID",
IF(AND($C377="S",OR($R377="",$R377="(digite a descrição aqui)"),OR($Q377&lt;&gt;"",$T377&gt;0,$U377&gt;0)),"DESCRIÇÃO",
IF(AND($C377="S",$P377&lt;&gt;"",$Q377&lt;&gt;"",$S377=""),"UNIDADE",
IF(AND($C377="S",$P377&lt;&gt;"",$Q377&lt;&gt;"",$U377=0),"SEM CUSTO",
IF(AND(_xlfn.SINGLE(TIPOORCAMENTO)="Licitado",$AL377=0,$AN377&gt;0),"SEM PREÇO",
IF(AND($C377="S",$P377&lt;&gt;"",$Q377&lt;&gt;"",$U377&gt;0,AND($V377&lt;&gt;"BDI 1",$V377&lt;&gt;"BDI 2",$V377&lt;&gt;"BDI 3")),IF(ISNUMBER($V377),"JUSTIFICAR BDI","BDI"),
IF(OR(AND(import.recurso="OGU",TIPOORCAMENTO="Proposto",LEFT($O$8,5)&lt;&gt;"(N/D:",$AG377&lt;&gt;"",ORÇAMENTO.CustoUnitario&gt;$AG377),AND(TIPOORCAMENTO="LICITADO",ORÇAMENTO.PrecoUnitarioLicitado&gt;$AN377)),"ACIMA REF.",
IF(AND($C377="S",$P377&lt;&gt;"",$Q377&lt;&gt;"",$T377=0,$U377&gt;0),"QUANT.",
IF(AND(Import.TipoArredondamento="TransfereGOV",$L377="F",$C377="S",LEN($Q377)&gt;13),"Código &gt;13",
IF(AND(Import.TipoArredondamento="TransfereGOV",$L377="F",$C377&lt;&gt;"S",LEN($R377)&gt;100),"Descrição &gt;100",
IF(AND(Import.TipoArredondamento="TransfereGOV",$L377="F",$C377="S",LEN($R377)&gt;500),"Descrição &gt;500",
IF(AND(Import.TipoArredondamento="TransfereGOV",$L377="F",$C377="S",LEFT(TRIM(UPPER($P377)),6)&lt;&gt;"SINAPI",ISNA(VLOOKUP(TRIM(UPPER($S377)),ListaTgov.Unidades,1,FALSE))),"Unid. Não Disp",
" "))))))))))))))))</f>
        <v xml:space="preserve"> </v>
      </c>
      <c r="AD377" t="str">
        <f ca="1">IF(C377&lt;=CRONO.NivelExibicao,MAX($AD$15:OFFSET(AD377,-1,0))+IF($C377&lt;&gt;1,1,MAX(1,COUNTIF(QCI!$A$13:$A$15,OFFSET($E377,-1,0)))),"")</f>
        <v/>
      </c>
      <c r="AE377" s="7" t="b">
        <f ca="1">IF(AND($C377="S",ORÇAMENTO.CodBarra&lt;&gt;""),IF(ORÇAMENTO.Fonte="",ORÇAMENTO.CodBarra,CONCATENATE(ORÇAMENTO.Fonte," ",ORÇAMENTO.CodBarra)))</f>
        <v>0</v>
      </c>
      <c r="AF377" s="12" t="str">
        <f ca="1">IF(ISERROR(INDIRECT(ORÇAMENTO.BancoRef)),"(abra o arquivo 'Referência "&amp;Excel_BuiltIn_Database&amp;".xlsm)",IF(OR($C377&lt;&gt;"S",ORÇAMENTO.CodBarra=""),"(Sem Código)",IF(ISERROR(MATCH($AE377,INDIRECT(ORÇAMENTO.BancoRef),0)),"(Código não identificado nas referências)",MATCH($AE377,INDIRECT(ORÇAMENTO.BancoRef),0))))</f>
        <v>(Sem Código)</v>
      </c>
      <c r="AG377" s="428">
        <f ca="1">ROUND(IF(DESONERACAO="sim",REFERENCIA.Desonerado,REFERENCIA.NaoDesonerado),2)</f>
        <v>0</v>
      </c>
      <c r="AH377" s="429">
        <f t="shared" ca="1" si="106"/>
        <v>0.23499999999999999</v>
      </c>
      <c r="AJ377" s="431"/>
      <c r="AL377" s="439"/>
      <c r="AM377" s="336">
        <f t="shared" ca="1" si="92"/>
        <v>3615.57</v>
      </c>
      <c r="AN377" s="470">
        <f t="shared" ca="1" si="107"/>
        <v>0</v>
      </c>
    </row>
    <row r="378" spans="1:40" ht="38.25" x14ac:dyDescent="0.2">
      <c r="A378" t="str">
        <f t="shared" si="93"/>
        <v>S</v>
      </c>
      <c r="B378">
        <f t="shared" ca="1" si="94"/>
        <v>4</v>
      </c>
      <c r="C378" t="str">
        <f t="shared" ca="1" si="95"/>
        <v>S</v>
      </c>
      <c r="D378">
        <f t="shared" ca="1" si="96"/>
        <v>0</v>
      </c>
      <c r="E378">
        <f ca="1">IF($C378=1,OFFSET(E378,-1,0)+MAX(1,COUNTIF(QCI!$A$13:$A$15,OFFSET(ORÇAMENTO!E378,-1,0))),OFFSET(E378,-1,0))</f>
        <v>1</v>
      </c>
      <c r="F378">
        <f t="shared" ca="1" si="97"/>
        <v>8</v>
      </c>
      <c r="G378">
        <f t="shared" ca="1" si="98"/>
        <v>1</v>
      </c>
      <c r="H378">
        <f t="shared" ca="1" si="99"/>
        <v>4</v>
      </c>
      <c r="I378">
        <f t="shared" ca="1" si="100"/>
        <v>1</v>
      </c>
      <c r="J378">
        <f t="shared" ca="1" si="91"/>
        <v>0</v>
      </c>
      <c r="K378">
        <f ca="1">IF(OR($C378="S",$C378=0),0,MATCH(OFFSET($D378,0,$C378)+IF($C378&lt;&gt;1,1,COUNTIF(QCI!$A$13:$A$15,ORÇAMENTO!E378)),OFFSET($D378,1,$C378,ROW($C$508)-ROW($C378)),0))</f>
        <v>0</v>
      </c>
      <c r="L378" s="114" t="str">
        <f t="shared" ca="1" si="101"/>
        <v>F</v>
      </c>
      <c r="M378" s="115" t="s">
        <v>705</v>
      </c>
      <c r="N378" s="116" t="str">
        <f t="shared" ca="1" si="102"/>
        <v>Serviço</v>
      </c>
      <c r="O378" s="117" t="str">
        <f t="shared" ca="1" si="103"/>
        <v>1.8.1.4.1.</v>
      </c>
      <c r="P378" s="118" t="s">
        <v>1280</v>
      </c>
      <c r="Q378" s="119" t="s">
        <v>1119</v>
      </c>
      <c r="R378" s="120" t="str">
        <f ca="1">IF($C378="S",REFERENCIA.Descricao,"(digite a descrição aqui)")</f>
        <v>QUADRO DE DISTRIBUIÇÃO DE SOBREPOR EM CHAPA, PARA 24 DISJUNTORES DIN, INCLUSIVE BARRAMENTOS NEUTRO/TERRA E BARRAMENTO TRIFÁSICO DE 100A</v>
      </c>
      <c r="S378" s="121" t="str">
        <f ca="1">REFERENCIA.Unidade</f>
        <v>UN</v>
      </c>
      <c r="T378" s="122">
        <f ca="1">OFFSET(CÁLCULO!H$15,ROW($T378)-ROW(T$15),0)</f>
        <v>1</v>
      </c>
      <c r="U378" s="123">
        <f t="shared" ca="1" si="108"/>
        <v>522.24</v>
      </c>
      <c r="V378" s="124" t="s">
        <v>663</v>
      </c>
      <c r="W378" s="122">
        <f ca="1">IF($C378="S",ROUND(IF(TIPOORCAMENTO="Proposto",ORÇAMENTO.CustoUnitario*(1+$AH378),ORÇAMENTO.PrecoUnitarioLicitado),15-13*$AF$10),0)</f>
        <v>644.97</v>
      </c>
      <c r="X378" s="125" cm="1">
        <f t="array" aca="1" ref="X378" ca="1">IF($C378="S",IF(OR(Import.TipoArredondamento&lt;&gt;"TransfereGOV",ACOMPANHAMENTO="BM"),VTOTAL1,SUM(OFFSET(CÁLCULO!$AI$15,ROW($X378)-ROW($X$15),1):OFFSET(CÁLCULO!$BB$15,ROW($X378)-ROW($X$15),-1))),IF($C378=0,0,ROUND(SomaAgrup,15-13*$AF$11)))</f>
        <v>644.97</v>
      </c>
      <c r="Y378" s="126" t="s">
        <v>751</v>
      </c>
      <c r="Z378" t="str">
        <f t="shared" ca="1" si="104"/>
        <v>RA</v>
      </c>
      <c r="AA378" s="127">
        <f ca="1">IF($C378="S",IF($Z378="CP",$X378,IF($Z378="RA",(($X378)*QCI!$AA$3),0)),SomaAgrup)</f>
        <v>0</v>
      </c>
      <c r="AB378" s="128">
        <f t="shared" ca="1" si="105"/>
        <v>0</v>
      </c>
      <c r="AC378" s="565" t="str" cm="1">
        <f t="array" aca="1" ref="AC378" ca="1">IF($N378=""," ",
IF(AND($C378&lt;&gt;"S",OR($R378="",$R378="(digite a descrição aqui)")),"DESCRIÇÃO",
IF(AND($C378="S",OR($Q378&lt;&gt;"",$T378&gt;0,$U378&gt;0),$P378=""),"FONTE",
IF(AND($C378="S",$P378&lt;&gt;"",OR($T378&gt;0,$U378&gt;0),$Q378=""),"CÓDIGO",
IF(AND($C378="S",$P378&lt;&gt;"",$Q378&lt;&gt;"",$R378="(Código não identificado nas referências)"),"CÓDIGO N/ID",
IF(AND($C378="S",OR($R378="",$R378="(digite a descrição aqui)"),OR($Q378&lt;&gt;"",$T378&gt;0,$U378&gt;0)),"DESCRIÇÃO",
IF(AND($C378="S",$P378&lt;&gt;"",$Q378&lt;&gt;"",$S378=""),"UNIDADE",
IF(AND($C378="S",$P378&lt;&gt;"",$Q378&lt;&gt;"",$U378=0),"SEM CUSTO",
IF(AND(_xlfn.SINGLE(TIPOORCAMENTO)="Licitado",$AL378=0,$AN378&gt;0),"SEM PREÇO",
IF(AND($C378="S",$P378&lt;&gt;"",$Q378&lt;&gt;"",$U378&gt;0,AND($V378&lt;&gt;"BDI 1",$V378&lt;&gt;"BDI 2",$V378&lt;&gt;"BDI 3")),IF(ISNUMBER($V378),"JUSTIFICAR BDI","BDI"),
IF(OR(AND(import.recurso="OGU",TIPOORCAMENTO="Proposto",LEFT($O$8,5)&lt;&gt;"(N/D:",$AG378&lt;&gt;"",ORÇAMENTO.CustoUnitario&gt;$AG378),AND(TIPOORCAMENTO="LICITADO",ORÇAMENTO.PrecoUnitarioLicitado&gt;$AN378)),"ACIMA REF.",
IF(AND($C378="S",$P378&lt;&gt;"",$Q378&lt;&gt;"",$T378=0,$U378&gt;0),"QUANT.",
IF(AND(Import.TipoArredondamento="TransfereGOV",$L378="F",$C378="S",LEN($Q378)&gt;13),"Código &gt;13",
IF(AND(Import.TipoArredondamento="TransfereGOV",$L378="F",$C378&lt;&gt;"S",LEN($R378)&gt;100),"Descrição &gt;100",
IF(AND(Import.TipoArredondamento="TransfereGOV",$L378="F",$C378="S",LEN($R378)&gt;500),"Descrição &gt;500",
IF(AND(Import.TipoArredondamento="TransfereGOV",$L378="F",$C378="S",LEFT(TRIM(UPPER($P378)),6)&lt;&gt;"SINAPI",ISNA(VLOOKUP(TRIM(UPPER($S378)),ListaTgov.Unidades,1,FALSE))),"Unid. Não Disp",
" "))))))))))))))))</f>
        <v xml:space="preserve"> </v>
      </c>
      <c r="AD378" t="str">
        <f ca="1">IF(C378&lt;=CRONO.NivelExibicao,MAX($AD$15:OFFSET(AD378,-1,0))+IF($C378&lt;&gt;1,1,MAX(1,COUNTIF(QCI!$A$13:$A$15,OFFSET($E378,-1,0)))),"")</f>
        <v/>
      </c>
      <c r="AE378" s="7" t="str">
        <f ca="1">IF(AND($C378="S",ORÇAMENTO.CodBarra&lt;&gt;""),IF(ORÇAMENTO.Fonte="",ORÇAMENTO.CodBarra,CONCATENATE(ORÇAMENTO.Fonte," ",ORÇAMENTO.CodBarra)))</f>
        <v>SETOP ED-14188</v>
      </c>
      <c r="AF378" s="12">
        <f ca="1">IF(ISERROR(INDIRECT(ORÇAMENTO.BancoRef)),"(abra o arquivo 'Referência "&amp;Excel_BuiltIn_Database&amp;".xlsm)",IF(OR($C378&lt;&gt;"S",ORÇAMENTO.CodBarra=""),"(Sem Código)",IF(ISERROR(MATCH($AE378,INDIRECT(ORÇAMENTO.BancoRef),0)),"(Código não identificado nas referências)",MATCH($AE378,INDIRECT(ORÇAMENTO.BancoRef),0))))</f>
        <v>29335</v>
      </c>
      <c r="AG378" s="428">
        <f ca="1">ROUND(IF(DESONERACAO="sim",REFERENCIA.Desonerado,REFERENCIA.NaoDesonerado),2)</f>
        <v>522.24</v>
      </c>
      <c r="AH378" s="429">
        <f t="shared" ca="1" si="106"/>
        <v>0.23499999999999999</v>
      </c>
      <c r="AJ378" s="431">
        <v>1</v>
      </c>
      <c r="AL378" s="439"/>
      <c r="AM378" s="336">
        <f t="shared" ca="1" si="92"/>
        <v>644.97</v>
      </c>
      <c r="AN378" s="470">
        <f t="shared" ca="1" si="107"/>
        <v>644.97</v>
      </c>
    </row>
    <row r="379" spans="1:40" ht="25.5" x14ac:dyDescent="0.2">
      <c r="A379" t="str">
        <f t="shared" si="93"/>
        <v>S</v>
      </c>
      <c r="B379">
        <f t="shared" ca="1" si="94"/>
        <v>4</v>
      </c>
      <c r="C379" t="str">
        <f t="shared" ca="1" si="95"/>
        <v>S</v>
      </c>
      <c r="D379">
        <f t="shared" ca="1" si="96"/>
        <v>0</v>
      </c>
      <c r="E379">
        <f ca="1">IF($C379=1,OFFSET(E379,-1,0)+MAX(1,COUNTIF(QCI!$A$13:$A$15,OFFSET(ORÇAMENTO!E379,-1,0))),OFFSET(E379,-1,0))</f>
        <v>1</v>
      </c>
      <c r="F379">
        <f t="shared" ca="1" si="97"/>
        <v>8</v>
      </c>
      <c r="G379">
        <f t="shared" ca="1" si="98"/>
        <v>1</v>
      </c>
      <c r="H379">
        <f t="shared" ca="1" si="99"/>
        <v>4</v>
      </c>
      <c r="I379">
        <f t="shared" ca="1" si="100"/>
        <v>2</v>
      </c>
      <c r="J379">
        <f t="shared" ca="1" si="91"/>
        <v>0</v>
      </c>
      <c r="K379">
        <f ca="1">IF(OR($C379="S",$C379=0),0,MATCH(OFFSET($D379,0,$C379)+IF($C379&lt;&gt;1,1,COUNTIF(QCI!$A$13:$A$15,ORÇAMENTO!E379)),OFFSET($D379,1,$C379,ROW($C$508)-ROW($C379)),0))</f>
        <v>0</v>
      </c>
      <c r="L379" s="114" t="str">
        <f t="shared" ca="1" si="101"/>
        <v>F</v>
      </c>
      <c r="M379" s="115" t="s">
        <v>705</v>
      </c>
      <c r="N379" s="116" t="str">
        <f t="shared" ca="1" si="102"/>
        <v>Serviço</v>
      </c>
      <c r="O379" s="117" t="str">
        <f t="shared" ca="1" si="103"/>
        <v>1.8.1.4.2.</v>
      </c>
      <c r="P379" s="118" t="s">
        <v>1281</v>
      </c>
      <c r="Q379" s="119" t="s">
        <v>1121</v>
      </c>
      <c r="R379" s="120" t="str">
        <f ca="1">IF($C379="S",REFERENCIA.Descricao,"(digite a descrição aqui)")</f>
        <v xml:space="preserve">DISPOSITIVO SUPRESSOR DE SURTO - CLASSE I e II -  BASEADO EM SETOP (ED-49527) </v>
      </c>
      <c r="S379" s="121" t="str">
        <f ca="1">REFERENCIA.Unidade</f>
        <v>UN</v>
      </c>
      <c r="T379" s="122">
        <f ca="1">OFFSET(CÁLCULO!H$15,ROW($T379)-ROW(T$15),0)</f>
        <v>3</v>
      </c>
      <c r="U379" s="123">
        <f t="shared" ca="1" si="108"/>
        <v>380.51</v>
      </c>
      <c r="V379" s="124" t="s">
        <v>663</v>
      </c>
      <c r="W379" s="122">
        <f ca="1">IF($C379="S",ROUND(IF(TIPOORCAMENTO="Proposto",ORÇAMENTO.CustoUnitario*(1+$AH379),ORÇAMENTO.PrecoUnitarioLicitado),15-13*$AF$10),0)</f>
        <v>469.93</v>
      </c>
      <c r="X379" s="125" cm="1">
        <f t="array" aca="1" ref="X379" ca="1">IF($C379="S",IF(OR(Import.TipoArredondamento&lt;&gt;"TransfereGOV",ACOMPANHAMENTO="BM"),VTOTAL1,SUM(OFFSET(CÁLCULO!$AI$15,ROW($X379)-ROW($X$15),1):OFFSET(CÁLCULO!$BB$15,ROW($X379)-ROW($X$15),-1))),IF($C379=0,0,ROUND(SomaAgrup,15-13*$AF$11)))</f>
        <v>1409.79</v>
      </c>
      <c r="Y379" s="126" t="s">
        <v>751</v>
      </c>
      <c r="Z379" t="str">
        <f t="shared" ca="1" si="104"/>
        <v>RA</v>
      </c>
      <c r="AA379" s="127">
        <f ca="1">IF($C379="S",IF($Z379="CP",$X379,IF($Z379="RA",(($X379)*QCI!$AA$3),0)),SomaAgrup)</f>
        <v>0</v>
      </c>
      <c r="AB379" s="128">
        <f t="shared" ca="1" si="105"/>
        <v>0</v>
      </c>
      <c r="AC379" s="565" t="str" cm="1">
        <f t="array" aca="1" ref="AC379" ca="1">IF($N379=""," ",
IF(AND($C379&lt;&gt;"S",OR($R379="",$R379="(digite a descrição aqui)")),"DESCRIÇÃO",
IF(AND($C379="S",OR($Q379&lt;&gt;"",$T379&gt;0,$U379&gt;0),$P379=""),"FONTE",
IF(AND($C379="S",$P379&lt;&gt;"",OR($T379&gt;0,$U379&gt;0),$Q379=""),"CÓDIGO",
IF(AND($C379="S",$P379&lt;&gt;"",$Q379&lt;&gt;"",$R379="(Código não identificado nas referências)"),"CÓDIGO N/ID",
IF(AND($C379="S",OR($R379="",$R379="(digite a descrição aqui)"),OR($Q379&lt;&gt;"",$T379&gt;0,$U379&gt;0)),"DESCRIÇÃO",
IF(AND($C379="S",$P379&lt;&gt;"",$Q379&lt;&gt;"",$S379=""),"UNIDADE",
IF(AND($C379="S",$P379&lt;&gt;"",$Q379&lt;&gt;"",$U379=0),"SEM CUSTO",
IF(AND(_xlfn.SINGLE(TIPOORCAMENTO)="Licitado",$AL379=0,$AN379&gt;0),"SEM PREÇO",
IF(AND($C379="S",$P379&lt;&gt;"",$Q379&lt;&gt;"",$U379&gt;0,AND($V379&lt;&gt;"BDI 1",$V379&lt;&gt;"BDI 2",$V379&lt;&gt;"BDI 3")),IF(ISNUMBER($V379),"JUSTIFICAR BDI","BDI"),
IF(OR(AND(import.recurso="OGU",TIPOORCAMENTO="Proposto",LEFT($O$8,5)&lt;&gt;"(N/D:",$AG379&lt;&gt;"",ORÇAMENTO.CustoUnitario&gt;$AG379),AND(TIPOORCAMENTO="LICITADO",ORÇAMENTO.PrecoUnitarioLicitado&gt;$AN379)),"ACIMA REF.",
IF(AND($C379="S",$P379&lt;&gt;"",$Q379&lt;&gt;"",$T379=0,$U379&gt;0),"QUANT.",
IF(AND(Import.TipoArredondamento="TransfereGOV",$L379="F",$C379="S",LEN($Q379)&gt;13),"Código &gt;13",
IF(AND(Import.TipoArredondamento="TransfereGOV",$L379="F",$C379&lt;&gt;"S",LEN($R379)&gt;100),"Descrição &gt;100",
IF(AND(Import.TipoArredondamento="TransfereGOV",$L379="F",$C379="S",LEN($R379)&gt;500),"Descrição &gt;500",
IF(AND(Import.TipoArredondamento="TransfereGOV",$L379="F",$C379="S",LEFT(TRIM(UPPER($P379)),6)&lt;&gt;"SINAPI",ISNA(VLOOKUP(TRIM(UPPER($S379)),ListaTgov.Unidades,1,FALSE))),"Unid. Não Disp",
" "))))))))))))))))</f>
        <v xml:space="preserve"> </v>
      </c>
      <c r="AD379" t="str">
        <f ca="1">IF(C379&lt;=CRONO.NivelExibicao,MAX($AD$15:OFFSET(AD379,-1,0))+IF($C379&lt;&gt;1,1,MAX(1,COUNTIF(QCI!$A$13:$A$15,OFFSET($E379,-1,0)))),"")</f>
        <v/>
      </c>
      <c r="AE379" s="7" t="str">
        <f ca="1">IF(AND($C379="S",ORÇAMENTO.CodBarra&lt;&gt;""),IF(ORÇAMENTO.Fonte="",ORÇAMENTO.CodBarra,CONCATENATE(ORÇAMENTO.Fonte," ",ORÇAMENTO.CodBarra)))</f>
        <v>COMPOSIÇÃO CPU-023</v>
      </c>
      <c r="AF379" s="12">
        <f ca="1">IF(ISERROR(INDIRECT(ORÇAMENTO.BancoRef)),"(abra o arquivo 'Referência "&amp;Excel_BuiltIn_Database&amp;".xlsm)",IF(OR($C379&lt;&gt;"S",ORÇAMENTO.CodBarra=""),"(Sem Código)",IF(ISERROR(MATCH($AE379,INDIRECT(ORÇAMENTO.BancoRef),0)),"(Código não identificado nas referências)",MATCH($AE379,INDIRECT(ORÇAMENTO.BancoRef),0))))</f>
        <v>25</v>
      </c>
      <c r="AG379" s="428">
        <f ca="1">ROUND(IF(DESONERACAO="sim",REFERENCIA.Desonerado,REFERENCIA.NaoDesonerado),2)</f>
        <v>380.51</v>
      </c>
      <c r="AH379" s="429">
        <f t="shared" ca="1" si="106"/>
        <v>0.23499999999999999</v>
      </c>
      <c r="AJ379" s="431">
        <v>3</v>
      </c>
      <c r="AL379" s="439"/>
      <c r="AM379" s="336">
        <f t="shared" ca="1" si="92"/>
        <v>1409.79</v>
      </c>
      <c r="AN379" s="470">
        <f t="shared" ca="1" si="107"/>
        <v>469.93</v>
      </c>
    </row>
    <row r="380" spans="1:40" ht="25.5" x14ac:dyDescent="0.2">
      <c r="A380" t="str">
        <f t="shared" si="93"/>
        <v>S</v>
      </c>
      <c r="B380">
        <f t="shared" ca="1" si="94"/>
        <v>4</v>
      </c>
      <c r="C380" t="str">
        <f t="shared" ca="1" si="95"/>
        <v>S</v>
      </c>
      <c r="D380">
        <f t="shared" ca="1" si="96"/>
        <v>0</v>
      </c>
      <c r="E380">
        <f ca="1">IF($C380=1,OFFSET(E380,-1,0)+MAX(1,COUNTIF(QCI!$A$13:$A$15,OFFSET(ORÇAMENTO!E380,-1,0))),OFFSET(E380,-1,0))</f>
        <v>1</v>
      </c>
      <c r="F380">
        <f t="shared" ca="1" si="97"/>
        <v>8</v>
      </c>
      <c r="G380">
        <f t="shared" ca="1" si="98"/>
        <v>1</v>
      </c>
      <c r="H380">
        <f t="shared" ca="1" si="99"/>
        <v>4</v>
      </c>
      <c r="I380">
        <f t="shared" ca="1" si="100"/>
        <v>3</v>
      </c>
      <c r="J380">
        <f t="shared" ca="1" si="91"/>
        <v>0</v>
      </c>
      <c r="K380">
        <f ca="1">IF(OR($C380="S",$C380=0),0,MATCH(OFFSET($D380,0,$C380)+IF($C380&lt;&gt;1,1,COUNTIF(QCI!$A$13:$A$15,ORÇAMENTO!E380)),OFFSET($D380,1,$C380,ROW($C$508)-ROW($C380)),0))</f>
        <v>0</v>
      </c>
      <c r="L380" s="114" t="str">
        <f t="shared" ca="1" si="101"/>
        <v>F</v>
      </c>
      <c r="M380" s="115" t="s">
        <v>705</v>
      </c>
      <c r="N380" s="116" t="str">
        <f t="shared" ca="1" si="102"/>
        <v>Serviço</v>
      </c>
      <c r="O380" s="117" t="str">
        <f t="shared" ca="1" si="103"/>
        <v>1.8.1.4.3.</v>
      </c>
      <c r="P380" s="118" t="s">
        <v>1281</v>
      </c>
      <c r="Q380" s="119" t="s">
        <v>1122</v>
      </c>
      <c r="R380" s="120" t="str">
        <f ca="1">IF($C380="S",REFERENCIA.Descricao,"(digite a descrição aqui)")</f>
        <v>DISJUNTOR DIN BIPOLAR 4A - 5KA -  CURVA C - BASEADO EM SINAPI (93660)</v>
      </c>
      <c r="S380" s="121" t="str">
        <f ca="1">REFERENCIA.Unidade</f>
        <v>UN</v>
      </c>
      <c r="T380" s="122">
        <f ca="1">OFFSET(CÁLCULO!H$15,ROW($T380)-ROW(T$15),0)</f>
        <v>3</v>
      </c>
      <c r="U380" s="123">
        <f t="shared" ca="1" si="108"/>
        <v>95.23</v>
      </c>
      <c r="V380" s="124" t="s">
        <v>663</v>
      </c>
      <c r="W380" s="122">
        <f ca="1">IF($C380="S",ROUND(IF(TIPOORCAMENTO="Proposto",ORÇAMENTO.CustoUnitario*(1+$AH380),ORÇAMENTO.PrecoUnitarioLicitado),15-13*$AF$10),0)</f>
        <v>117.61</v>
      </c>
      <c r="X380" s="125" cm="1">
        <f t="array" aca="1" ref="X380" ca="1">IF($C380="S",IF(OR(Import.TipoArredondamento&lt;&gt;"TransfereGOV",ACOMPANHAMENTO="BM"),VTOTAL1,SUM(OFFSET(CÁLCULO!$AI$15,ROW($X380)-ROW($X$15),1):OFFSET(CÁLCULO!$BB$15,ROW($X380)-ROW($X$15),-1))),IF($C380=0,0,ROUND(SomaAgrup,15-13*$AF$11)))</f>
        <v>352.83</v>
      </c>
      <c r="Y380" s="126" t="s">
        <v>751</v>
      </c>
      <c r="Z380" t="str">
        <f t="shared" ca="1" si="104"/>
        <v>RA</v>
      </c>
      <c r="AA380" s="127">
        <f ca="1">IF($C380="S",IF($Z380="CP",$X380,IF($Z380="RA",(($X380)*QCI!$AA$3),0)),SomaAgrup)</f>
        <v>0</v>
      </c>
      <c r="AB380" s="128">
        <f t="shared" ca="1" si="105"/>
        <v>0</v>
      </c>
      <c r="AC380" s="565" t="str" cm="1">
        <f t="array" aca="1" ref="AC380" ca="1">IF($N380=""," ",
IF(AND($C380&lt;&gt;"S",OR($R380="",$R380="(digite a descrição aqui)")),"DESCRIÇÃO",
IF(AND($C380="S",OR($Q380&lt;&gt;"",$T380&gt;0,$U380&gt;0),$P380=""),"FONTE",
IF(AND($C380="S",$P380&lt;&gt;"",OR($T380&gt;0,$U380&gt;0),$Q380=""),"CÓDIGO",
IF(AND($C380="S",$P380&lt;&gt;"",$Q380&lt;&gt;"",$R380="(Código não identificado nas referências)"),"CÓDIGO N/ID",
IF(AND($C380="S",OR($R380="",$R380="(digite a descrição aqui)"),OR($Q380&lt;&gt;"",$T380&gt;0,$U380&gt;0)),"DESCRIÇÃO",
IF(AND($C380="S",$P380&lt;&gt;"",$Q380&lt;&gt;"",$S380=""),"UNIDADE",
IF(AND($C380="S",$P380&lt;&gt;"",$Q380&lt;&gt;"",$U380=0),"SEM CUSTO",
IF(AND(_xlfn.SINGLE(TIPOORCAMENTO)="Licitado",$AL380=0,$AN380&gt;0),"SEM PREÇO",
IF(AND($C380="S",$P380&lt;&gt;"",$Q380&lt;&gt;"",$U380&gt;0,AND($V380&lt;&gt;"BDI 1",$V380&lt;&gt;"BDI 2",$V380&lt;&gt;"BDI 3")),IF(ISNUMBER($V380),"JUSTIFICAR BDI","BDI"),
IF(OR(AND(import.recurso="OGU",TIPOORCAMENTO="Proposto",LEFT($O$8,5)&lt;&gt;"(N/D:",$AG380&lt;&gt;"",ORÇAMENTO.CustoUnitario&gt;$AG380),AND(TIPOORCAMENTO="LICITADO",ORÇAMENTO.PrecoUnitarioLicitado&gt;$AN380)),"ACIMA REF.",
IF(AND($C380="S",$P380&lt;&gt;"",$Q380&lt;&gt;"",$T380=0,$U380&gt;0),"QUANT.",
IF(AND(Import.TipoArredondamento="TransfereGOV",$L380="F",$C380="S",LEN($Q380)&gt;13),"Código &gt;13",
IF(AND(Import.TipoArredondamento="TransfereGOV",$L380="F",$C380&lt;&gt;"S",LEN($R380)&gt;100),"Descrição &gt;100",
IF(AND(Import.TipoArredondamento="TransfereGOV",$L380="F",$C380="S",LEN($R380)&gt;500),"Descrição &gt;500",
IF(AND(Import.TipoArredondamento="TransfereGOV",$L380="F",$C380="S",LEFT(TRIM(UPPER($P380)),6)&lt;&gt;"SINAPI",ISNA(VLOOKUP(TRIM(UPPER($S380)),ListaTgov.Unidades,1,FALSE))),"Unid. Não Disp",
" "))))))))))))))))</f>
        <v xml:space="preserve"> </v>
      </c>
      <c r="AD380" t="str">
        <f ca="1">IF(C380&lt;=CRONO.NivelExibicao,MAX($AD$15:OFFSET(AD380,-1,0))+IF($C380&lt;&gt;1,1,MAX(1,COUNTIF(QCI!$A$13:$A$15,OFFSET($E380,-1,0)))),"")</f>
        <v/>
      </c>
      <c r="AE380" s="7" t="str">
        <f ca="1">IF(AND($C380="S",ORÇAMENTO.CodBarra&lt;&gt;""),IF(ORÇAMENTO.Fonte="",ORÇAMENTO.CodBarra,CONCATENATE(ORÇAMENTO.Fonte," ",ORÇAMENTO.CodBarra)))</f>
        <v>COMPOSIÇÃO CPU-026</v>
      </c>
      <c r="AF380" s="12">
        <f ca="1">IF(ISERROR(INDIRECT(ORÇAMENTO.BancoRef)),"(abra o arquivo 'Referência "&amp;Excel_BuiltIn_Database&amp;".xlsm)",IF(OR($C380&lt;&gt;"S",ORÇAMENTO.CodBarra=""),"(Sem Código)",IF(ISERROR(MATCH($AE380,INDIRECT(ORÇAMENTO.BancoRef),0)),"(Código não identificado nas referências)",MATCH($AE380,INDIRECT(ORÇAMENTO.BancoRef),0))))</f>
        <v>28</v>
      </c>
      <c r="AG380" s="428">
        <f ca="1">ROUND(IF(DESONERACAO="sim",REFERENCIA.Desonerado,REFERENCIA.NaoDesonerado),2)</f>
        <v>95.23</v>
      </c>
      <c r="AH380" s="429">
        <f t="shared" ca="1" si="106"/>
        <v>0.23499999999999999</v>
      </c>
      <c r="AJ380" s="431">
        <v>3</v>
      </c>
      <c r="AL380" s="439"/>
      <c r="AM380" s="336">
        <f t="shared" ca="1" si="92"/>
        <v>352.83</v>
      </c>
      <c r="AN380" s="470">
        <f t="shared" ca="1" si="107"/>
        <v>117.61</v>
      </c>
    </row>
    <row r="381" spans="1:40" ht="25.5" x14ac:dyDescent="0.2">
      <c r="A381" t="str">
        <f t="shared" si="93"/>
        <v>S</v>
      </c>
      <c r="B381">
        <f t="shared" ca="1" si="94"/>
        <v>4</v>
      </c>
      <c r="C381" t="str">
        <f t="shared" ca="1" si="95"/>
        <v>S</v>
      </c>
      <c r="D381">
        <f t="shared" ca="1" si="96"/>
        <v>0</v>
      </c>
      <c r="E381">
        <f ca="1">IF($C381=1,OFFSET(E381,-1,0)+MAX(1,COUNTIF(QCI!$A$13:$A$15,OFFSET(ORÇAMENTO!E381,-1,0))),OFFSET(E381,-1,0))</f>
        <v>1</v>
      </c>
      <c r="F381">
        <f t="shared" ca="1" si="97"/>
        <v>8</v>
      </c>
      <c r="G381">
        <f t="shared" ca="1" si="98"/>
        <v>1</v>
      </c>
      <c r="H381">
        <f t="shared" ca="1" si="99"/>
        <v>4</v>
      </c>
      <c r="I381">
        <f t="shared" ca="1" si="100"/>
        <v>4</v>
      </c>
      <c r="J381">
        <f t="shared" ca="1" si="91"/>
        <v>0</v>
      </c>
      <c r="K381">
        <f ca="1">IF(OR($C381="S",$C381=0),0,MATCH(OFFSET($D381,0,$C381)+IF($C381&lt;&gt;1,1,COUNTIF(QCI!$A$13:$A$15,ORÇAMENTO!E381)),OFFSET($D381,1,$C381,ROW($C$508)-ROW($C381)),0))</f>
        <v>0</v>
      </c>
      <c r="L381" s="114" t="str">
        <f t="shared" ca="1" si="101"/>
        <v>F</v>
      </c>
      <c r="M381" s="115" t="s">
        <v>705</v>
      </c>
      <c r="N381" s="116" t="str">
        <f t="shared" ca="1" si="102"/>
        <v>Serviço</v>
      </c>
      <c r="O381" s="117" t="str">
        <f t="shared" ca="1" si="103"/>
        <v>1.8.1.4.4.</v>
      </c>
      <c r="P381" s="118" t="s">
        <v>1281</v>
      </c>
      <c r="Q381" s="119" t="s">
        <v>1123</v>
      </c>
      <c r="R381" s="120" t="str">
        <f ca="1">IF($C381="S",REFERENCIA.Descricao,"(digite a descrição aqui)")</f>
        <v xml:space="preserve">DISJUNTOR MOTOR, FAIXA DE AJUSTE: 4-6,3A, ICU: 50KA EM 380/400V - BASEADO EM </v>
      </c>
      <c r="S381" s="121" t="str">
        <f ca="1">REFERENCIA.Unidade</f>
        <v>UN</v>
      </c>
      <c r="T381" s="122">
        <f ca="1">OFFSET(CÁLCULO!H$15,ROW($T381)-ROW(T$15),0)</f>
        <v>1</v>
      </c>
      <c r="U381" s="123">
        <f t="shared" ca="1" si="108"/>
        <v>281.77999999999997</v>
      </c>
      <c r="V381" s="124" t="s">
        <v>663</v>
      </c>
      <c r="W381" s="122">
        <f ca="1">IF($C381="S",ROUND(IF(TIPOORCAMENTO="Proposto",ORÇAMENTO.CustoUnitario*(1+$AH381),ORÇAMENTO.PrecoUnitarioLicitado),15-13*$AF$10),0)</f>
        <v>348</v>
      </c>
      <c r="X381" s="125" cm="1">
        <f t="array" aca="1" ref="X381" ca="1">IF($C381="S",IF(OR(Import.TipoArredondamento&lt;&gt;"TransfereGOV",ACOMPANHAMENTO="BM"),VTOTAL1,SUM(OFFSET(CÁLCULO!$AI$15,ROW($X381)-ROW($X$15),1):OFFSET(CÁLCULO!$BB$15,ROW($X381)-ROW($X$15),-1))),IF($C381=0,0,ROUND(SomaAgrup,15-13*$AF$11)))</f>
        <v>348</v>
      </c>
      <c r="Y381" s="126" t="s">
        <v>751</v>
      </c>
      <c r="Z381" t="str">
        <f t="shared" ca="1" si="104"/>
        <v>RA</v>
      </c>
      <c r="AA381" s="127">
        <f ca="1">IF($C381="S",IF($Z381="CP",$X381,IF($Z381="RA",(($X381)*QCI!$AA$3),0)),SomaAgrup)</f>
        <v>0</v>
      </c>
      <c r="AB381" s="128">
        <f t="shared" ca="1" si="105"/>
        <v>0</v>
      </c>
      <c r="AC381" s="565" t="str" cm="1">
        <f t="array" aca="1" ref="AC381" ca="1">IF($N381=""," ",
IF(AND($C381&lt;&gt;"S",OR($R381="",$R381="(digite a descrição aqui)")),"DESCRIÇÃO",
IF(AND($C381="S",OR($Q381&lt;&gt;"",$T381&gt;0,$U381&gt;0),$P381=""),"FONTE",
IF(AND($C381="S",$P381&lt;&gt;"",OR($T381&gt;0,$U381&gt;0),$Q381=""),"CÓDIGO",
IF(AND($C381="S",$P381&lt;&gt;"",$Q381&lt;&gt;"",$R381="(Código não identificado nas referências)"),"CÓDIGO N/ID",
IF(AND($C381="S",OR($R381="",$R381="(digite a descrição aqui)"),OR($Q381&lt;&gt;"",$T381&gt;0,$U381&gt;0)),"DESCRIÇÃO",
IF(AND($C381="S",$P381&lt;&gt;"",$Q381&lt;&gt;"",$S381=""),"UNIDADE",
IF(AND($C381="S",$P381&lt;&gt;"",$Q381&lt;&gt;"",$U381=0),"SEM CUSTO",
IF(AND(_xlfn.SINGLE(TIPOORCAMENTO)="Licitado",$AL381=0,$AN381&gt;0),"SEM PREÇO",
IF(AND($C381="S",$P381&lt;&gt;"",$Q381&lt;&gt;"",$U381&gt;0,AND($V381&lt;&gt;"BDI 1",$V381&lt;&gt;"BDI 2",$V381&lt;&gt;"BDI 3")),IF(ISNUMBER($V381),"JUSTIFICAR BDI","BDI"),
IF(OR(AND(import.recurso="OGU",TIPOORCAMENTO="Proposto",LEFT($O$8,5)&lt;&gt;"(N/D:",$AG381&lt;&gt;"",ORÇAMENTO.CustoUnitario&gt;$AG381),AND(TIPOORCAMENTO="LICITADO",ORÇAMENTO.PrecoUnitarioLicitado&gt;$AN381)),"ACIMA REF.",
IF(AND($C381="S",$P381&lt;&gt;"",$Q381&lt;&gt;"",$T381=0,$U381&gt;0),"QUANT.",
IF(AND(Import.TipoArredondamento="TransfereGOV",$L381="F",$C381="S",LEN($Q381)&gt;13),"Código &gt;13",
IF(AND(Import.TipoArredondamento="TransfereGOV",$L381="F",$C381&lt;&gt;"S",LEN($R381)&gt;100),"Descrição &gt;100",
IF(AND(Import.TipoArredondamento="TransfereGOV",$L381="F",$C381="S",LEN($R381)&gt;500),"Descrição &gt;500",
IF(AND(Import.TipoArredondamento="TransfereGOV",$L381="F",$C381="S",LEFT(TRIM(UPPER($P381)),6)&lt;&gt;"SINAPI",ISNA(VLOOKUP(TRIM(UPPER($S381)),ListaTgov.Unidades,1,FALSE))),"Unid. Não Disp",
" "))))))))))))))))</f>
        <v xml:space="preserve"> </v>
      </c>
      <c r="AD381" t="str">
        <f ca="1">IF(C381&lt;=CRONO.NivelExibicao,MAX($AD$15:OFFSET(AD381,-1,0))+IF($C381&lt;&gt;1,1,MAX(1,COUNTIF(QCI!$A$13:$A$15,OFFSET($E381,-1,0)))),"")</f>
        <v/>
      </c>
      <c r="AE381" s="7" t="str">
        <f ca="1">IF(AND($C381="S",ORÇAMENTO.CodBarra&lt;&gt;""),IF(ORÇAMENTO.Fonte="",ORÇAMENTO.CodBarra,CONCATENATE(ORÇAMENTO.Fonte," ",ORÇAMENTO.CodBarra)))</f>
        <v>COMPOSIÇÃO CPU-025</v>
      </c>
      <c r="AF381" s="12">
        <f ca="1">IF(ISERROR(INDIRECT(ORÇAMENTO.BancoRef)),"(abra o arquivo 'Referência "&amp;Excel_BuiltIn_Database&amp;".xlsm)",IF(OR($C381&lt;&gt;"S",ORÇAMENTO.CodBarra=""),"(Sem Código)",IF(ISERROR(MATCH($AE381,INDIRECT(ORÇAMENTO.BancoRef),0)),"(Código não identificado nas referências)",MATCH($AE381,INDIRECT(ORÇAMENTO.BancoRef),0))))</f>
        <v>27</v>
      </c>
      <c r="AG381" s="428">
        <f ca="1">ROUND(IF(DESONERACAO="sim",REFERENCIA.Desonerado,REFERENCIA.NaoDesonerado),2)</f>
        <v>281.77999999999997</v>
      </c>
      <c r="AH381" s="429">
        <f t="shared" ca="1" si="106"/>
        <v>0.23499999999999999</v>
      </c>
      <c r="AJ381" s="431">
        <v>1</v>
      </c>
      <c r="AL381" s="439"/>
      <c r="AM381" s="336">
        <f t="shared" ca="1" si="92"/>
        <v>348</v>
      </c>
      <c r="AN381" s="470">
        <f t="shared" ca="1" si="107"/>
        <v>348</v>
      </c>
    </row>
    <row r="382" spans="1:40" ht="25.5" x14ac:dyDescent="0.2">
      <c r="A382" t="str">
        <f t="shared" si="93"/>
        <v>S</v>
      </c>
      <c r="B382">
        <f t="shared" ca="1" si="94"/>
        <v>4</v>
      </c>
      <c r="C382" t="str">
        <f t="shared" ca="1" si="95"/>
        <v>S</v>
      </c>
      <c r="D382">
        <f t="shared" ca="1" si="96"/>
        <v>0</v>
      </c>
      <c r="E382">
        <f ca="1">IF($C382=1,OFFSET(E382,-1,0)+MAX(1,COUNTIF(QCI!$A$13:$A$15,OFFSET(ORÇAMENTO!E382,-1,0))),OFFSET(E382,-1,0))</f>
        <v>1</v>
      </c>
      <c r="F382">
        <f t="shared" ca="1" si="97"/>
        <v>8</v>
      </c>
      <c r="G382">
        <f t="shared" ca="1" si="98"/>
        <v>1</v>
      </c>
      <c r="H382">
        <f t="shared" ca="1" si="99"/>
        <v>4</v>
      </c>
      <c r="I382">
        <f t="shared" ca="1" si="100"/>
        <v>5</v>
      </c>
      <c r="J382">
        <f t="shared" ca="1" si="91"/>
        <v>0</v>
      </c>
      <c r="K382">
        <f ca="1">IF(OR($C382="S",$C382=0),0,MATCH(OFFSET($D382,0,$C382)+IF($C382&lt;&gt;1,1,COUNTIF(QCI!$A$13:$A$15,ORÇAMENTO!E382)),OFFSET($D382,1,$C382,ROW($C$508)-ROW($C382)),0))</f>
        <v>0</v>
      </c>
      <c r="L382" s="114" t="str">
        <f t="shared" ca="1" si="101"/>
        <v>F</v>
      </c>
      <c r="M382" s="115" t="s">
        <v>705</v>
      </c>
      <c r="N382" s="116" t="str">
        <f t="shared" ca="1" si="102"/>
        <v>Serviço</v>
      </c>
      <c r="O382" s="117" t="str">
        <f t="shared" ca="1" si="103"/>
        <v>1.8.1.4.5.</v>
      </c>
      <c r="P382" s="118" t="s">
        <v>750</v>
      </c>
      <c r="Q382" s="119">
        <v>93667</v>
      </c>
      <c r="R382" s="120" t="str">
        <f ca="1">IF($C382="S",REFERENCIA.Descricao,"(digite a descrição aqui)")</f>
        <v>DISJUNTOR TRIPOLAR TIPO DIN, CORRENTE NOMINAL DE 10A - FORNECIMENTO E INSTALAÇÃO. AF_10/2020</v>
      </c>
      <c r="S382" s="121" t="str">
        <f ca="1">REFERENCIA.Unidade</f>
        <v>UN</v>
      </c>
      <c r="T382" s="122">
        <f ca="1">OFFSET(CÁLCULO!H$15,ROW($T382)-ROW(T$15),0)</f>
        <v>1</v>
      </c>
      <c r="U382" s="123">
        <f t="shared" ca="1" si="108"/>
        <v>88.87</v>
      </c>
      <c r="V382" s="124" t="s">
        <v>663</v>
      </c>
      <c r="W382" s="122">
        <f ca="1">IF($C382="S",ROUND(IF(TIPOORCAMENTO="Proposto",ORÇAMENTO.CustoUnitario*(1+$AH382),ORÇAMENTO.PrecoUnitarioLicitado),15-13*$AF$10),0)</f>
        <v>109.75</v>
      </c>
      <c r="X382" s="125" cm="1">
        <f t="array" aca="1" ref="X382" ca="1">IF($C382="S",IF(OR(Import.TipoArredondamento&lt;&gt;"TransfereGOV",ACOMPANHAMENTO="BM"),VTOTAL1,SUM(OFFSET(CÁLCULO!$AI$15,ROW($X382)-ROW($X$15),1):OFFSET(CÁLCULO!$BB$15,ROW($X382)-ROW($X$15),-1))),IF($C382=0,0,ROUND(SomaAgrup,15-13*$AF$11)))</f>
        <v>109.75</v>
      </c>
      <c r="Y382" s="126" t="s">
        <v>751</v>
      </c>
      <c r="Z382" t="str">
        <f t="shared" ca="1" si="104"/>
        <v>RA</v>
      </c>
      <c r="AA382" s="127">
        <f ca="1">IF($C382="S",IF($Z382="CP",$X382,IF($Z382="RA",(($X382)*QCI!$AA$3),0)),SomaAgrup)</f>
        <v>0</v>
      </c>
      <c r="AB382" s="128">
        <f t="shared" ca="1" si="105"/>
        <v>0</v>
      </c>
      <c r="AC382" s="565" t="str" cm="1">
        <f t="array" aca="1" ref="AC382" ca="1">IF($N382=""," ",
IF(AND($C382&lt;&gt;"S",OR($R382="",$R382="(digite a descrição aqui)")),"DESCRIÇÃO",
IF(AND($C382="S",OR($Q382&lt;&gt;"",$T382&gt;0,$U382&gt;0),$P382=""),"FONTE",
IF(AND($C382="S",$P382&lt;&gt;"",OR($T382&gt;0,$U382&gt;0),$Q382=""),"CÓDIGO",
IF(AND($C382="S",$P382&lt;&gt;"",$Q382&lt;&gt;"",$R382="(Código não identificado nas referências)"),"CÓDIGO N/ID",
IF(AND($C382="S",OR($R382="",$R382="(digite a descrição aqui)"),OR($Q382&lt;&gt;"",$T382&gt;0,$U382&gt;0)),"DESCRIÇÃO",
IF(AND($C382="S",$P382&lt;&gt;"",$Q382&lt;&gt;"",$S382=""),"UNIDADE",
IF(AND($C382="S",$P382&lt;&gt;"",$Q382&lt;&gt;"",$U382=0),"SEM CUSTO",
IF(AND(_xlfn.SINGLE(TIPOORCAMENTO)="Licitado",$AL382=0,$AN382&gt;0),"SEM PREÇO",
IF(AND($C382="S",$P382&lt;&gt;"",$Q382&lt;&gt;"",$U382&gt;0,AND($V382&lt;&gt;"BDI 1",$V382&lt;&gt;"BDI 2",$V382&lt;&gt;"BDI 3")),IF(ISNUMBER($V382),"JUSTIFICAR BDI","BDI"),
IF(OR(AND(import.recurso="OGU",TIPOORCAMENTO="Proposto",LEFT($O$8,5)&lt;&gt;"(N/D:",$AG382&lt;&gt;"",ORÇAMENTO.CustoUnitario&gt;$AG382),AND(TIPOORCAMENTO="LICITADO",ORÇAMENTO.PrecoUnitarioLicitado&gt;$AN382)),"ACIMA REF.",
IF(AND($C382="S",$P382&lt;&gt;"",$Q382&lt;&gt;"",$T382=0,$U382&gt;0),"QUANT.",
IF(AND(Import.TipoArredondamento="TransfereGOV",$L382="F",$C382="S",LEN($Q382)&gt;13),"Código &gt;13",
IF(AND(Import.TipoArredondamento="TransfereGOV",$L382="F",$C382&lt;&gt;"S",LEN($R382)&gt;100),"Descrição &gt;100",
IF(AND(Import.TipoArredondamento="TransfereGOV",$L382="F",$C382="S",LEN($R382)&gt;500),"Descrição &gt;500",
IF(AND(Import.TipoArredondamento="TransfereGOV",$L382="F",$C382="S",LEFT(TRIM(UPPER($P382)),6)&lt;&gt;"SINAPI",ISNA(VLOOKUP(TRIM(UPPER($S382)),ListaTgov.Unidades,1,FALSE))),"Unid. Não Disp",
" "))))))))))))))))</f>
        <v xml:space="preserve"> </v>
      </c>
      <c r="AD382" t="str">
        <f ca="1">IF(C382&lt;=CRONO.NivelExibicao,MAX($AD$15:OFFSET(AD382,-1,0))+IF($C382&lt;&gt;1,1,MAX(1,COUNTIF(QCI!$A$13:$A$15,OFFSET($E382,-1,0)))),"")</f>
        <v/>
      </c>
      <c r="AE382" s="7" t="str">
        <f ca="1">IF(AND($C382="S",ORÇAMENTO.CodBarra&lt;&gt;""),IF(ORÇAMENTO.Fonte="",ORÇAMENTO.CodBarra,CONCATENATE(ORÇAMENTO.Fonte," ",ORÇAMENTO.CodBarra)))</f>
        <v>SINAPI 93667</v>
      </c>
      <c r="AF382" s="12">
        <f ca="1">IF(ISERROR(INDIRECT(ORÇAMENTO.BancoRef)),"(abra o arquivo 'Referência "&amp;Excel_BuiltIn_Database&amp;".xlsm)",IF(OR($C382&lt;&gt;"S",ORÇAMENTO.CodBarra=""),"(Sem Código)",IF(ISERROR(MATCH($AE382,INDIRECT(ORÇAMENTO.BancoRef),0)),"(Código não identificado nas referências)",MATCH($AE382,INDIRECT(ORÇAMENTO.BancoRef),0))))</f>
        <v>10723</v>
      </c>
      <c r="AG382" s="428">
        <f ca="1">ROUND(IF(DESONERACAO="sim",REFERENCIA.Desonerado,REFERENCIA.NaoDesonerado),2)</f>
        <v>88.87</v>
      </c>
      <c r="AH382" s="429">
        <f t="shared" ca="1" si="106"/>
        <v>0.23499999999999999</v>
      </c>
      <c r="AJ382" s="431">
        <v>1</v>
      </c>
      <c r="AL382" s="439"/>
      <c r="AM382" s="336">
        <f t="shared" ca="1" si="92"/>
        <v>109.75</v>
      </c>
      <c r="AN382" s="470">
        <f t="shared" ca="1" si="107"/>
        <v>109.75</v>
      </c>
    </row>
    <row r="383" spans="1:40" ht="25.5" x14ac:dyDescent="0.2">
      <c r="A383" t="str">
        <f t="shared" si="93"/>
        <v>S</v>
      </c>
      <c r="B383">
        <f t="shared" ca="1" si="94"/>
        <v>4</v>
      </c>
      <c r="C383" t="str">
        <f t="shared" ca="1" si="95"/>
        <v>S</v>
      </c>
      <c r="D383">
        <f t="shared" ca="1" si="96"/>
        <v>0</v>
      </c>
      <c r="E383">
        <f ca="1">IF($C383=1,OFFSET(E383,-1,0)+MAX(1,COUNTIF(QCI!$A$13:$A$15,OFFSET(ORÇAMENTO!E383,-1,0))),OFFSET(E383,-1,0))</f>
        <v>1</v>
      </c>
      <c r="F383">
        <f t="shared" ca="1" si="97"/>
        <v>8</v>
      </c>
      <c r="G383">
        <f t="shared" ca="1" si="98"/>
        <v>1</v>
      </c>
      <c r="H383">
        <f t="shared" ca="1" si="99"/>
        <v>4</v>
      </c>
      <c r="I383">
        <f t="shared" ca="1" si="100"/>
        <v>6</v>
      </c>
      <c r="J383">
        <f t="shared" ca="1" si="91"/>
        <v>0</v>
      </c>
      <c r="K383">
        <f ca="1">IF(OR($C383="S",$C383=0),0,MATCH(OFFSET($D383,0,$C383)+IF($C383&lt;&gt;1,1,COUNTIF(QCI!$A$13:$A$15,ORÇAMENTO!E383)),OFFSET($D383,1,$C383,ROW($C$508)-ROW($C383)),0))</f>
        <v>0</v>
      </c>
      <c r="L383" s="114" t="str">
        <f t="shared" ca="1" si="101"/>
        <v>F</v>
      </c>
      <c r="M383" s="115" t="s">
        <v>705</v>
      </c>
      <c r="N383" s="116" t="str">
        <f t="shared" ca="1" si="102"/>
        <v>Serviço</v>
      </c>
      <c r="O383" s="117" t="str">
        <f t="shared" ca="1" si="103"/>
        <v>1.8.1.4.6.</v>
      </c>
      <c r="P383" s="118" t="s">
        <v>1281</v>
      </c>
      <c r="Q383" s="119" t="s">
        <v>1124</v>
      </c>
      <c r="R383" s="120" t="str">
        <f ca="1">IF($C383="S",REFERENCIA.Descricao,"(digite a descrição aqui)")</f>
        <v>AUTOTRANSFORMADOR TRIFÁSICO 1.01kVA E/S 220/440V 60Hz IP00, FORNECIMENTO E INSTALAÇÃO - BASEADO EM SIURB (9014034)</v>
      </c>
      <c r="S383" s="121" t="str">
        <f ca="1">REFERENCIA.Unidade</f>
        <v>UN</v>
      </c>
      <c r="T383" s="122">
        <f ca="1">OFFSET(CÁLCULO!H$15,ROW($T383)-ROW(T$15),0)</f>
        <v>1</v>
      </c>
      <c r="U383" s="123">
        <f t="shared" ca="1" si="108"/>
        <v>607.47</v>
      </c>
      <c r="V383" s="124" t="s">
        <v>663</v>
      </c>
      <c r="W383" s="122">
        <f ca="1">IF($C383="S",ROUND(IF(TIPOORCAMENTO="Proposto",ORÇAMENTO.CustoUnitario*(1+$AH383),ORÇAMENTO.PrecoUnitarioLicitado),15-13*$AF$10),0)</f>
        <v>750.23</v>
      </c>
      <c r="X383" s="125" cm="1">
        <f t="array" aca="1" ref="X383" ca="1">IF($C383="S",IF(OR(Import.TipoArredondamento&lt;&gt;"TransfereGOV",ACOMPANHAMENTO="BM"),VTOTAL1,SUM(OFFSET(CÁLCULO!$AI$15,ROW($X383)-ROW($X$15),1):OFFSET(CÁLCULO!$BB$15,ROW($X383)-ROW($X$15),-1))),IF($C383=0,0,ROUND(SomaAgrup,15-13*$AF$11)))</f>
        <v>750.23</v>
      </c>
      <c r="Y383" s="126" t="s">
        <v>751</v>
      </c>
      <c r="Z383" t="str">
        <f t="shared" ca="1" si="104"/>
        <v>RA</v>
      </c>
      <c r="AA383" s="127">
        <f ca="1">IF($C383="S",IF($Z383="CP",$X383,IF($Z383="RA",(($X383)*QCI!$AA$3),0)),SomaAgrup)</f>
        <v>0</v>
      </c>
      <c r="AB383" s="128">
        <f t="shared" ca="1" si="105"/>
        <v>0</v>
      </c>
      <c r="AC383" s="565" t="str" cm="1">
        <f t="array" aca="1" ref="AC383" ca="1">IF($N383=""," ",
IF(AND($C383&lt;&gt;"S",OR($R383="",$R383="(digite a descrição aqui)")),"DESCRIÇÃO",
IF(AND($C383="S",OR($Q383&lt;&gt;"",$T383&gt;0,$U383&gt;0),$P383=""),"FONTE",
IF(AND($C383="S",$P383&lt;&gt;"",OR($T383&gt;0,$U383&gt;0),$Q383=""),"CÓDIGO",
IF(AND($C383="S",$P383&lt;&gt;"",$Q383&lt;&gt;"",$R383="(Código não identificado nas referências)"),"CÓDIGO N/ID",
IF(AND($C383="S",OR($R383="",$R383="(digite a descrição aqui)"),OR($Q383&lt;&gt;"",$T383&gt;0,$U383&gt;0)),"DESCRIÇÃO",
IF(AND($C383="S",$P383&lt;&gt;"",$Q383&lt;&gt;"",$S383=""),"UNIDADE",
IF(AND($C383="S",$P383&lt;&gt;"",$Q383&lt;&gt;"",$U383=0),"SEM CUSTO",
IF(AND(_xlfn.SINGLE(TIPOORCAMENTO)="Licitado",$AL383=0,$AN383&gt;0),"SEM PREÇO",
IF(AND($C383="S",$P383&lt;&gt;"",$Q383&lt;&gt;"",$U383&gt;0,AND($V383&lt;&gt;"BDI 1",$V383&lt;&gt;"BDI 2",$V383&lt;&gt;"BDI 3")),IF(ISNUMBER($V383),"JUSTIFICAR BDI","BDI"),
IF(OR(AND(import.recurso="OGU",TIPOORCAMENTO="Proposto",LEFT($O$8,5)&lt;&gt;"(N/D:",$AG383&lt;&gt;"",ORÇAMENTO.CustoUnitario&gt;$AG383),AND(TIPOORCAMENTO="LICITADO",ORÇAMENTO.PrecoUnitarioLicitado&gt;$AN383)),"ACIMA REF.",
IF(AND($C383="S",$P383&lt;&gt;"",$Q383&lt;&gt;"",$T383=0,$U383&gt;0),"QUANT.",
IF(AND(Import.TipoArredondamento="TransfereGOV",$L383="F",$C383="S",LEN($Q383)&gt;13),"Código &gt;13",
IF(AND(Import.TipoArredondamento="TransfereGOV",$L383="F",$C383&lt;&gt;"S",LEN($R383)&gt;100),"Descrição &gt;100",
IF(AND(Import.TipoArredondamento="TransfereGOV",$L383="F",$C383="S",LEN($R383)&gt;500),"Descrição &gt;500",
IF(AND(Import.TipoArredondamento="TransfereGOV",$L383="F",$C383="S",LEFT(TRIM(UPPER($P383)),6)&lt;&gt;"SINAPI",ISNA(VLOOKUP(TRIM(UPPER($S383)),ListaTgov.Unidades,1,FALSE))),"Unid. Não Disp",
" "))))))))))))))))</f>
        <v xml:space="preserve"> </v>
      </c>
      <c r="AD383" t="str">
        <f ca="1">IF(C383&lt;=CRONO.NivelExibicao,MAX($AD$15:OFFSET(AD383,-1,0))+IF($C383&lt;&gt;1,1,MAX(1,COUNTIF(QCI!$A$13:$A$15,OFFSET($E383,-1,0)))),"")</f>
        <v/>
      </c>
      <c r="AE383" s="7" t="str">
        <f ca="1">IF(AND($C383="S",ORÇAMENTO.CodBarra&lt;&gt;""),IF(ORÇAMENTO.Fonte="",ORÇAMENTO.CodBarra,CONCATENATE(ORÇAMENTO.Fonte," ",ORÇAMENTO.CodBarra)))</f>
        <v>COMPOSIÇÃO CPU-027</v>
      </c>
      <c r="AF383" s="12">
        <f ca="1">IF(ISERROR(INDIRECT(ORÇAMENTO.BancoRef)),"(abra o arquivo 'Referência "&amp;Excel_BuiltIn_Database&amp;".xlsm)",IF(OR($C383&lt;&gt;"S",ORÇAMENTO.CodBarra=""),"(Sem Código)",IF(ISERROR(MATCH($AE383,INDIRECT(ORÇAMENTO.BancoRef),0)),"(Código não identificado nas referências)",MATCH($AE383,INDIRECT(ORÇAMENTO.BancoRef),0))))</f>
        <v>29</v>
      </c>
      <c r="AG383" s="428">
        <f ca="1">ROUND(IF(DESONERACAO="sim",REFERENCIA.Desonerado,REFERENCIA.NaoDesonerado),2)</f>
        <v>607.47</v>
      </c>
      <c r="AH383" s="429">
        <f t="shared" ca="1" si="106"/>
        <v>0.23499999999999999</v>
      </c>
      <c r="AJ383" s="431">
        <v>1</v>
      </c>
      <c r="AL383" s="439"/>
      <c r="AM383" s="336">
        <f t="shared" ca="1" si="92"/>
        <v>750.23</v>
      </c>
      <c r="AN383" s="470">
        <f t="shared" ca="1" si="107"/>
        <v>750.23</v>
      </c>
    </row>
    <row r="384" spans="1:40" x14ac:dyDescent="0.2">
      <c r="A384">
        <f t="shared" si="93"/>
        <v>3</v>
      </c>
      <c r="B384">
        <f t="shared" ca="1" si="94"/>
        <v>3</v>
      </c>
      <c r="C384">
        <f t="shared" ca="1" si="95"/>
        <v>3</v>
      </c>
      <c r="D384">
        <f t="shared" ca="1" si="96"/>
        <v>57</v>
      </c>
      <c r="E384">
        <f ca="1">IF($C384=1,OFFSET(E384,-1,0)+MAX(1,COUNTIF(QCI!$A$13:$A$15,OFFSET(ORÇAMENTO!E384,-1,0))),OFFSET(E384,-1,0))</f>
        <v>1</v>
      </c>
      <c r="F384">
        <f t="shared" ca="1" si="97"/>
        <v>8</v>
      </c>
      <c r="G384">
        <f t="shared" ca="1" si="98"/>
        <v>2</v>
      </c>
      <c r="H384">
        <f t="shared" ca="1" si="99"/>
        <v>0</v>
      </c>
      <c r="I384">
        <f t="shared" ca="1" si="100"/>
        <v>0</v>
      </c>
      <c r="J384">
        <f t="shared" ca="1" si="91"/>
        <v>57</v>
      </c>
      <c r="K384">
        <f ca="1">IF(OR($C384="S",$C384=0),0,MATCH(OFFSET($D384,0,$C384)+IF($C384&lt;&gt;1,1,COUNTIF(QCI!$A$13:$A$15,ORÇAMENTO!E384)),OFFSET($D384,1,$C384,ROW($C$508)-ROW($C384)),0))</f>
        <v>73</v>
      </c>
      <c r="L384" s="114" t="str">
        <f t="shared" ca="1" si="101"/>
        <v>F</v>
      </c>
      <c r="M384" s="115" t="s">
        <v>703</v>
      </c>
      <c r="N384" s="116" t="str">
        <f t="shared" ca="1" si="102"/>
        <v>Nível 3</v>
      </c>
      <c r="O384" s="117" t="str">
        <f t="shared" ca="1" si="103"/>
        <v>1.8.2.</v>
      </c>
      <c r="P384" s="118" t="s">
        <v>750</v>
      </c>
      <c r="Q384" s="119"/>
      <c r="R384" s="120" t="s">
        <v>1252</v>
      </c>
      <c r="S384" s="121" t="s">
        <v>688</v>
      </c>
      <c r="T384" s="122">
        <f ca="1">OFFSET(CÁLCULO!H$15,ROW($T384)-ROW(T$15),0)</f>
        <v>0</v>
      </c>
      <c r="U384" s="123">
        <f t="shared" ca="1" si="108"/>
        <v>0</v>
      </c>
      <c r="V384" s="124" t="s">
        <v>663</v>
      </c>
      <c r="W384" s="122">
        <f ca="1">IF($C384="S",ROUND(IF(TIPOORCAMENTO="Proposto",ORÇAMENTO.CustoUnitario*(1+$AH384),ORÇAMENTO.PrecoUnitarioLicitado),15-13*$AF$10),0)</f>
        <v>0</v>
      </c>
      <c r="X384" s="125" cm="1">
        <f t="array" aca="1" ref="X384" ca="1">IF($C384="S",IF(OR(Import.TipoArredondamento&lt;&gt;"TransfereGOV",ACOMPANHAMENTO="BM"),VTOTAL1,SUM(OFFSET(CÁLCULO!$AI$15,ROW($X384)-ROW($X$15),1):OFFSET(CÁLCULO!$BB$15,ROW($X384)-ROW($X$15),-1))),IF($C384=0,0,ROUND(SomaAgrup,15-13*$AF$11)))</f>
        <v>631549.29</v>
      </c>
      <c r="Y384" s="126" t="s">
        <v>751</v>
      </c>
      <c r="Z384" t="str">
        <f t="shared" ca="1" si="104"/>
        <v/>
      </c>
      <c r="AA384" s="127">
        <f ca="1">IF($C384="S",IF($Z384="CP",$X384,IF($Z384="RA",(($X384)*QCI!$AA$3),0)),SomaAgrup)</f>
        <v>0</v>
      </c>
      <c r="AB384" s="128">
        <f t="shared" ca="1" si="105"/>
        <v>0</v>
      </c>
      <c r="AC384" s="565" t="str" cm="1">
        <f t="array" aca="1" ref="AC384" ca="1">IF($N384=""," ",
IF(AND($C384&lt;&gt;"S",OR($R384="",$R384="(digite a descrição aqui)")),"DESCRIÇÃO",
IF(AND($C384="S",OR($Q384&lt;&gt;"",$T384&gt;0,$U384&gt;0),$P384=""),"FONTE",
IF(AND($C384="S",$P384&lt;&gt;"",OR($T384&gt;0,$U384&gt;0),$Q384=""),"CÓDIGO",
IF(AND($C384="S",$P384&lt;&gt;"",$Q384&lt;&gt;"",$R384="(Código não identificado nas referências)"),"CÓDIGO N/ID",
IF(AND($C384="S",OR($R384="",$R384="(digite a descrição aqui)"),OR($Q384&lt;&gt;"",$T384&gt;0,$U384&gt;0)),"DESCRIÇÃO",
IF(AND($C384="S",$P384&lt;&gt;"",$Q384&lt;&gt;"",$S384=""),"UNIDADE",
IF(AND($C384="S",$P384&lt;&gt;"",$Q384&lt;&gt;"",$U384=0),"SEM CUSTO",
IF(AND(_xlfn.SINGLE(TIPOORCAMENTO)="Licitado",$AL384=0,$AN384&gt;0),"SEM PREÇO",
IF(AND($C384="S",$P384&lt;&gt;"",$Q384&lt;&gt;"",$U384&gt;0,AND($V384&lt;&gt;"BDI 1",$V384&lt;&gt;"BDI 2",$V384&lt;&gt;"BDI 3")),IF(ISNUMBER($V384),"JUSTIFICAR BDI","BDI"),
IF(OR(AND(import.recurso="OGU",TIPOORCAMENTO="Proposto",LEFT($O$8,5)&lt;&gt;"(N/D:",$AG384&lt;&gt;"",ORÇAMENTO.CustoUnitario&gt;$AG384),AND(TIPOORCAMENTO="LICITADO",ORÇAMENTO.PrecoUnitarioLicitado&gt;$AN384)),"ACIMA REF.",
IF(AND($C384="S",$P384&lt;&gt;"",$Q384&lt;&gt;"",$T384=0,$U384&gt;0),"QUANT.",
IF(AND(Import.TipoArredondamento="TransfereGOV",$L384="F",$C384="S",LEN($Q384)&gt;13),"Código &gt;13",
IF(AND(Import.TipoArredondamento="TransfereGOV",$L384="F",$C384&lt;&gt;"S",LEN($R384)&gt;100),"Descrição &gt;100",
IF(AND(Import.TipoArredondamento="TransfereGOV",$L384="F",$C384="S",LEN($R384)&gt;500),"Descrição &gt;500",
IF(AND(Import.TipoArredondamento="TransfereGOV",$L384="F",$C384="S",LEFT(TRIM(UPPER($P384)),6)&lt;&gt;"SINAPI",ISNA(VLOOKUP(TRIM(UPPER($S384)),ListaTgov.Unidades,1,FALSE))),"Unid. Não Disp",
" "))))))))))))))))</f>
        <v xml:space="preserve"> </v>
      </c>
      <c r="AD384" t="str">
        <f ca="1">IF(C384&lt;=CRONO.NivelExibicao,MAX($AD$15:OFFSET(AD384,-1,0))+IF($C384&lt;&gt;1,1,MAX(1,COUNTIF(QCI!$A$13:$A$15,OFFSET($E384,-1,0)))),"")</f>
        <v/>
      </c>
      <c r="AE384" s="7" t="b">
        <f ca="1">IF(AND($C384="S",ORÇAMENTO.CodBarra&lt;&gt;""),IF(ORÇAMENTO.Fonte="",ORÇAMENTO.CodBarra,CONCATENATE(ORÇAMENTO.Fonte," ",ORÇAMENTO.CodBarra)))</f>
        <v>0</v>
      </c>
      <c r="AF384" s="12" t="str">
        <f ca="1">IF(ISERROR(INDIRECT(ORÇAMENTO.BancoRef)),"(abra o arquivo 'Referência "&amp;Excel_BuiltIn_Database&amp;".xlsm)",IF(OR($C384&lt;&gt;"S",ORÇAMENTO.CodBarra=""),"(Sem Código)",IF(ISERROR(MATCH($AE384,INDIRECT(ORÇAMENTO.BancoRef),0)),"(Código não identificado nas referências)",MATCH($AE384,INDIRECT(ORÇAMENTO.BancoRef),0))))</f>
        <v>(Sem Código)</v>
      </c>
      <c r="AG384" s="428">
        <f ca="1">ROUND(IF(DESONERACAO="sim",REFERENCIA.Desonerado,REFERENCIA.NaoDesonerado),2)</f>
        <v>0</v>
      </c>
      <c r="AH384" s="429">
        <f t="shared" ca="1" si="106"/>
        <v>0.23499999999999999</v>
      </c>
      <c r="AJ384" s="431"/>
      <c r="AL384" s="439"/>
      <c r="AM384" s="336">
        <f t="shared" ca="1" si="92"/>
        <v>631549.29</v>
      </c>
      <c r="AN384" s="470">
        <f t="shared" ca="1" si="107"/>
        <v>0</v>
      </c>
    </row>
    <row r="385" spans="1:40" x14ac:dyDescent="0.2">
      <c r="A385">
        <f t="shared" si="93"/>
        <v>4</v>
      </c>
      <c r="B385">
        <f t="shared" ca="1" si="94"/>
        <v>4</v>
      </c>
      <c r="C385">
        <f t="shared" ca="1" si="95"/>
        <v>4</v>
      </c>
      <c r="D385">
        <f t="shared" ca="1" si="96"/>
        <v>10</v>
      </c>
      <c r="E385">
        <f ca="1">IF($C385=1,OFFSET(E385,-1,0)+MAX(1,COUNTIF(QCI!$A$13:$A$15,OFFSET(ORÇAMENTO!E385,-1,0))),OFFSET(E385,-1,0))</f>
        <v>1</v>
      </c>
      <c r="F385">
        <f t="shared" ca="1" si="97"/>
        <v>8</v>
      </c>
      <c r="G385">
        <f t="shared" ca="1" si="98"/>
        <v>2</v>
      </c>
      <c r="H385">
        <f t="shared" ca="1" si="99"/>
        <v>1</v>
      </c>
      <c r="I385">
        <f t="shared" ca="1" si="100"/>
        <v>0</v>
      </c>
      <c r="J385">
        <f t="shared" ca="1" si="91"/>
        <v>56</v>
      </c>
      <c r="K385">
        <f ca="1">IF(OR($C385="S",$C385=0),0,MATCH(OFFSET($D385,0,$C385)+IF($C385&lt;&gt;1,1,COUNTIF(QCI!$A$13:$A$15,ORÇAMENTO!E385)),OFFSET($D385,1,$C385,ROW($C$508)-ROW($C385)),0))</f>
        <v>10</v>
      </c>
      <c r="L385" s="114" t="str">
        <f t="shared" ca="1" si="101"/>
        <v>F</v>
      </c>
      <c r="M385" s="115" t="s">
        <v>704</v>
      </c>
      <c r="N385" s="116" t="str">
        <f t="shared" ca="1" si="102"/>
        <v>Nível 4</v>
      </c>
      <c r="O385" s="117" t="str">
        <f t="shared" ca="1" si="103"/>
        <v>1.8.2.1.</v>
      </c>
      <c r="P385" s="118" t="s">
        <v>750</v>
      </c>
      <c r="Q385" s="119"/>
      <c r="R385" s="120" t="s">
        <v>1253</v>
      </c>
      <c r="S385" s="121" t="s">
        <v>688</v>
      </c>
      <c r="T385" s="122">
        <f ca="1">OFFSET(CÁLCULO!H$15,ROW($T385)-ROW(T$15),0)</f>
        <v>0</v>
      </c>
      <c r="U385" s="123">
        <f t="shared" ca="1" si="108"/>
        <v>0</v>
      </c>
      <c r="V385" s="124" t="s">
        <v>663</v>
      </c>
      <c r="W385" s="122">
        <f ca="1">IF($C385="S",ROUND(IF(TIPOORCAMENTO="Proposto",ORÇAMENTO.CustoUnitario*(1+$AH385),ORÇAMENTO.PrecoUnitarioLicitado),15-13*$AF$10),0)</f>
        <v>0</v>
      </c>
      <c r="X385" s="125" cm="1">
        <f t="array" aca="1" ref="X385" ca="1">IF($C385="S",IF(OR(Import.TipoArredondamento&lt;&gt;"TransfereGOV",ACOMPANHAMENTO="BM"),VTOTAL1,SUM(OFFSET(CÁLCULO!$AI$15,ROW($X385)-ROW($X$15),1):OFFSET(CÁLCULO!$BB$15,ROW($X385)-ROW($X$15),-1))),IF($C385=0,0,ROUND(SomaAgrup,15-13*$AF$11)))</f>
        <v>20895.900000000001</v>
      </c>
      <c r="Y385" s="126" t="s">
        <v>751</v>
      </c>
      <c r="Z385" t="str">
        <f t="shared" ca="1" si="104"/>
        <v/>
      </c>
      <c r="AA385" s="127">
        <f ca="1">IF($C385="S",IF($Z385="CP",$X385,IF($Z385="RA",(($X385)*QCI!$AA$3),0)),SomaAgrup)</f>
        <v>0</v>
      </c>
      <c r="AB385" s="128">
        <f t="shared" ca="1" si="105"/>
        <v>0</v>
      </c>
      <c r="AC385" s="565" t="str" cm="1">
        <f t="array" aca="1" ref="AC385" ca="1">IF($N385=""," ",
IF(AND($C385&lt;&gt;"S",OR($R385="",$R385="(digite a descrição aqui)")),"DESCRIÇÃO",
IF(AND($C385="S",OR($Q385&lt;&gt;"",$T385&gt;0,$U385&gt;0),$P385=""),"FONTE",
IF(AND($C385="S",$P385&lt;&gt;"",OR($T385&gt;0,$U385&gt;0),$Q385=""),"CÓDIGO",
IF(AND($C385="S",$P385&lt;&gt;"",$Q385&lt;&gt;"",$R385="(Código não identificado nas referências)"),"CÓDIGO N/ID",
IF(AND($C385="S",OR($R385="",$R385="(digite a descrição aqui)"),OR($Q385&lt;&gt;"",$T385&gt;0,$U385&gt;0)),"DESCRIÇÃO",
IF(AND($C385="S",$P385&lt;&gt;"",$Q385&lt;&gt;"",$S385=""),"UNIDADE",
IF(AND($C385="S",$P385&lt;&gt;"",$Q385&lt;&gt;"",$U385=0),"SEM CUSTO",
IF(AND(_xlfn.SINGLE(TIPOORCAMENTO)="Licitado",$AL385=0,$AN385&gt;0),"SEM PREÇO",
IF(AND($C385="S",$P385&lt;&gt;"",$Q385&lt;&gt;"",$U385&gt;0,AND($V385&lt;&gt;"BDI 1",$V385&lt;&gt;"BDI 2",$V385&lt;&gt;"BDI 3")),IF(ISNUMBER($V385),"JUSTIFICAR BDI","BDI"),
IF(OR(AND(import.recurso="OGU",TIPOORCAMENTO="Proposto",LEFT($O$8,5)&lt;&gt;"(N/D:",$AG385&lt;&gt;"",ORÇAMENTO.CustoUnitario&gt;$AG385),AND(TIPOORCAMENTO="LICITADO",ORÇAMENTO.PrecoUnitarioLicitado&gt;$AN385)),"ACIMA REF.",
IF(AND($C385="S",$P385&lt;&gt;"",$Q385&lt;&gt;"",$T385=0,$U385&gt;0),"QUANT.",
IF(AND(Import.TipoArredondamento="TransfereGOV",$L385="F",$C385="S",LEN($Q385)&gt;13),"Código &gt;13",
IF(AND(Import.TipoArredondamento="TransfereGOV",$L385="F",$C385&lt;&gt;"S",LEN($R385)&gt;100),"Descrição &gt;100",
IF(AND(Import.TipoArredondamento="TransfereGOV",$L385="F",$C385="S",LEN($R385)&gt;500),"Descrição &gt;500",
IF(AND(Import.TipoArredondamento="TransfereGOV",$L385="F",$C385="S",LEFT(TRIM(UPPER($P385)),6)&lt;&gt;"SINAPI",ISNA(VLOOKUP(TRIM(UPPER($S385)),ListaTgov.Unidades,1,FALSE))),"Unid. Não Disp",
" "))))))))))))))))</f>
        <v xml:space="preserve"> </v>
      </c>
      <c r="AD385" t="str">
        <f ca="1">IF(C385&lt;=CRONO.NivelExibicao,MAX($AD$15:OFFSET(AD385,-1,0))+IF($C385&lt;&gt;1,1,MAX(1,COUNTIF(QCI!$A$13:$A$15,OFFSET($E385,-1,0)))),"")</f>
        <v/>
      </c>
      <c r="AE385" s="7" t="b">
        <f ca="1">IF(AND($C385="S",ORÇAMENTO.CodBarra&lt;&gt;""),IF(ORÇAMENTO.Fonte="",ORÇAMENTO.CodBarra,CONCATENATE(ORÇAMENTO.Fonte," ",ORÇAMENTO.CodBarra)))</f>
        <v>0</v>
      </c>
      <c r="AF385" s="12" t="str">
        <f ca="1">IF(ISERROR(INDIRECT(ORÇAMENTO.BancoRef)),"(abra o arquivo 'Referência "&amp;Excel_BuiltIn_Database&amp;".xlsm)",IF(OR($C385&lt;&gt;"S",ORÇAMENTO.CodBarra=""),"(Sem Código)",IF(ISERROR(MATCH($AE385,INDIRECT(ORÇAMENTO.BancoRef),0)),"(Código não identificado nas referências)",MATCH($AE385,INDIRECT(ORÇAMENTO.BancoRef),0))))</f>
        <v>(Sem Código)</v>
      </c>
      <c r="AG385" s="428">
        <f ca="1">ROUND(IF(DESONERACAO="sim",REFERENCIA.Desonerado,REFERENCIA.NaoDesonerado),2)</f>
        <v>0</v>
      </c>
      <c r="AH385" s="429">
        <f t="shared" ca="1" si="106"/>
        <v>0.23499999999999999</v>
      </c>
      <c r="AJ385" s="431"/>
      <c r="AL385" s="439"/>
      <c r="AM385" s="336">
        <f t="shared" ca="1" si="92"/>
        <v>20895.900000000001</v>
      </c>
      <c r="AN385" s="470">
        <f t="shared" ca="1" si="107"/>
        <v>0</v>
      </c>
    </row>
    <row r="386" spans="1:40" ht="63.75" x14ac:dyDescent="0.2">
      <c r="A386" t="str">
        <f t="shared" si="93"/>
        <v>S</v>
      </c>
      <c r="B386">
        <f t="shared" ca="1" si="94"/>
        <v>4</v>
      </c>
      <c r="C386" t="str">
        <f t="shared" ca="1" si="95"/>
        <v>S</v>
      </c>
      <c r="D386">
        <f t="shared" ca="1" si="96"/>
        <v>0</v>
      </c>
      <c r="E386">
        <f ca="1">IF($C386=1,OFFSET(E386,-1,0)+MAX(1,COUNTIF(QCI!$A$13:$A$15,OFFSET(ORÇAMENTO!E386,-1,0))),OFFSET(E386,-1,0))</f>
        <v>1</v>
      </c>
      <c r="F386">
        <f t="shared" ca="1" si="97"/>
        <v>8</v>
      </c>
      <c r="G386">
        <f t="shared" ca="1" si="98"/>
        <v>2</v>
      </c>
      <c r="H386">
        <f t="shared" ca="1" si="99"/>
        <v>1</v>
      </c>
      <c r="I386">
        <f t="shared" ca="1" si="100"/>
        <v>1</v>
      </c>
      <c r="J386">
        <f t="shared" ca="1" si="91"/>
        <v>0</v>
      </c>
      <c r="K386">
        <f ca="1">IF(OR($C386="S",$C386=0),0,MATCH(OFFSET($D386,0,$C386)+IF($C386&lt;&gt;1,1,COUNTIF(QCI!$A$13:$A$15,ORÇAMENTO!E386)),OFFSET($D386,1,$C386,ROW($C$508)-ROW($C386)),0))</f>
        <v>0</v>
      </c>
      <c r="L386" s="114" t="str">
        <f t="shared" ca="1" si="101"/>
        <v>F</v>
      </c>
      <c r="M386" s="115" t="s">
        <v>705</v>
      </c>
      <c r="N386" s="116" t="str">
        <f t="shared" ca="1" si="102"/>
        <v>Serviço</v>
      </c>
      <c r="O386" s="117" t="str">
        <f t="shared" ca="1" si="103"/>
        <v>1.8.2.1.1.</v>
      </c>
      <c r="P386" s="118" t="s">
        <v>1280</v>
      </c>
      <c r="Q386" s="119" t="s">
        <v>1125</v>
      </c>
      <c r="R386" s="120" t="str">
        <f ca="1">IF($C386="S",REFERENCIA.Descricao,"(digite a descrição aqui)")</f>
        <v>CAIXA DE ESGOTO DE INSPEÇÃO/PASSAGEM EM ALVENARIA (30X30X30CM), REVESTIMENTO EM ARGAMASSA COM ADITIVO IMPERMEABILIZANTE, COM TAMPA DE CONCRETO, INCLUSIVE ESCAVAÇÃO, REATERRO E TRANSPORTE COM RETIRADA DO MATERIAL ESCAVADO (EM CAÇAMBA)</v>
      </c>
      <c r="S386" s="121" t="str">
        <f ca="1">REFERENCIA.Unidade</f>
        <v>UN</v>
      </c>
      <c r="T386" s="122">
        <f ca="1">OFFSET(CÁLCULO!H$15,ROW($T386)-ROW(T$15),0)</f>
        <v>18</v>
      </c>
      <c r="U386" s="123">
        <f ca="1">AG386</f>
        <v>179.08</v>
      </c>
      <c r="V386" s="124" t="s">
        <v>663</v>
      </c>
      <c r="W386" s="122">
        <f ca="1">IF($C386="S",ROUND(IF(TIPOORCAMENTO="Proposto",ORÇAMENTO.CustoUnitario*(1+$AH386),ORÇAMENTO.PrecoUnitarioLicitado),15-13*$AF$10),0)</f>
        <v>221.16</v>
      </c>
      <c r="X386" s="125" cm="1">
        <f t="array" aca="1" ref="X386" ca="1">IF($C386="S",IF(OR(Import.TipoArredondamento&lt;&gt;"TransfereGOV",ACOMPANHAMENTO="BM"),VTOTAL1,SUM(OFFSET(CÁLCULO!$AI$15,ROW($X386)-ROW($X$15),1):OFFSET(CÁLCULO!$BB$15,ROW($X386)-ROW($X$15),-1))),IF($C386=0,0,ROUND(SomaAgrup,15-13*$AF$11)))</f>
        <v>3980.88</v>
      </c>
      <c r="Y386" s="126" t="s">
        <v>751</v>
      </c>
      <c r="Z386" t="str">
        <f t="shared" ca="1" si="104"/>
        <v>RA</v>
      </c>
      <c r="AA386" s="127">
        <f ca="1">IF($C386="S",IF($Z386="CP",$X386,IF($Z386="RA",(($X386)*QCI!$AA$3),0)),SomaAgrup)</f>
        <v>0</v>
      </c>
      <c r="AB386" s="128">
        <f t="shared" ca="1" si="105"/>
        <v>0</v>
      </c>
      <c r="AC386" s="565" t="str" cm="1">
        <f t="array" aca="1" ref="AC386" ca="1">IF($N386=""," ",
IF(AND($C386&lt;&gt;"S",OR($R386="",$R386="(digite a descrição aqui)")),"DESCRIÇÃO",
IF(AND($C386="S",OR($Q386&lt;&gt;"",$T386&gt;0,$U386&gt;0),$P386=""),"FONTE",
IF(AND($C386="S",$P386&lt;&gt;"",OR($T386&gt;0,$U386&gt;0),$Q386=""),"CÓDIGO",
IF(AND($C386="S",$P386&lt;&gt;"",$Q386&lt;&gt;"",$R386="(Código não identificado nas referências)"),"CÓDIGO N/ID",
IF(AND($C386="S",OR($R386="",$R386="(digite a descrição aqui)"),OR($Q386&lt;&gt;"",$T386&gt;0,$U386&gt;0)),"DESCRIÇÃO",
IF(AND($C386="S",$P386&lt;&gt;"",$Q386&lt;&gt;"",$S386=""),"UNIDADE",
IF(AND($C386="S",$P386&lt;&gt;"",$Q386&lt;&gt;"",$U386=0),"SEM CUSTO",
IF(AND(_xlfn.SINGLE(TIPOORCAMENTO)="Licitado",$AL386=0,$AN386&gt;0),"SEM PREÇO",
IF(AND($C386="S",$P386&lt;&gt;"",$Q386&lt;&gt;"",$U386&gt;0,AND($V386&lt;&gt;"BDI 1",$V386&lt;&gt;"BDI 2",$V386&lt;&gt;"BDI 3")),IF(ISNUMBER($V386),"JUSTIFICAR BDI","BDI"),
IF(OR(AND(import.recurso="OGU",TIPOORCAMENTO="Proposto",LEFT($O$8,5)&lt;&gt;"(N/D:",$AG386&lt;&gt;"",ORÇAMENTO.CustoUnitario&gt;$AG386),AND(TIPOORCAMENTO="LICITADO",ORÇAMENTO.PrecoUnitarioLicitado&gt;$AN386)),"ACIMA REF.",
IF(AND($C386="S",$P386&lt;&gt;"",$Q386&lt;&gt;"",$T386=0,$U386&gt;0),"QUANT.",
IF(AND(Import.TipoArredondamento="TransfereGOV",$L386="F",$C386="S",LEN($Q386)&gt;13),"Código &gt;13",
IF(AND(Import.TipoArredondamento="TransfereGOV",$L386="F",$C386&lt;&gt;"S",LEN($R386)&gt;100),"Descrição &gt;100",
IF(AND(Import.TipoArredondamento="TransfereGOV",$L386="F",$C386="S",LEN($R386)&gt;500),"Descrição &gt;500",
IF(AND(Import.TipoArredondamento="TransfereGOV",$L386="F",$C386="S",LEFT(TRIM(UPPER($P386)),6)&lt;&gt;"SINAPI",ISNA(VLOOKUP(TRIM(UPPER($S386)),ListaTgov.Unidades,1,FALSE))),"Unid. Não Disp",
" "))))))))))))))))</f>
        <v xml:space="preserve"> </v>
      </c>
      <c r="AD386" t="str">
        <f ca="1">IF(C386&lt;=CRONO.NivelExibicao,MAX($AD$15:OFFSET(AD386,-1,0))+IF($C386&lt;&gt;1,1,MAX(1,COUNTIF(QCI!$A$13:$A$15,OFFSET($E386,-1,0)))),"")</f>
        <v/>
      </c>
      <c r="AE386" s="7" t="str">
        <f ca="1">IF(AND($C386="S",ORÇAMENTO.CodBarra&lt;&gt;""),IF(ORÇAMENTO.Fonte="",ORÇAMENTO.CodBarra,CONCATENATE(ORÇAMENTO.Fonte," ",ORÇAMENTO.CodBarra)))</f>
        <v>SETOP ED-49870</v>
      </c>
      <c r="AF386" s="12">
        <f ca="1">IF(ISERROR(INDIRECT(ORÇAMENTO.BancoRef)),"(abra o arquivo 'Referência "&amp;Excel_BuiltIn_Database&amp;".xlsm)",IF(OR($C386&lt;&gt;"S",ORÇAMENTO.CodBarra=""),"(Sem Código)",IF(ISERROR(MATCH($AE386,INDIRECT(ORÇAMENTO.BancoRef),0)),"(Código não identificado nas referências)",MATCH($AE386,INDIRECT(ORÇAMENTO.BancoRef),0))))</f>
        <v>29722</v>
      </c>
      <c r="AG386" s="428">
        <f ca="1">ROUND(IF(DESONERACAO="sim",REFERENCIA.Desonerado,REFERENCIA.NaoDesonerado),2)</f>
        <v>179.08</v>
      </c>
      <c r="AH386" s="429">
        <f t="shared" ca="1" si="106"/>
        <v>0.23499999999999999</v>
      </c>
      <c r="AJ386" s="431">
        <v>18</v>
      </c>
      <c r="AL386" s="439"/>
      <c r="AM386" s="336">
        <f t="shared" ca="1" si="92"/>
        <v>3980.88</v>
      </c>
      <c r="AN386" s="470">
        <f t="shared" ca="1" si="107"/>
        <v>221.16</v>
      </c>
    </row>
    <row r="387" spans="1:40" ht="63.75" x14ac:dyDescent="0.2">
      <c r="A387" t="str">
        <f t="shared" si="93"/>
        <v>S</v>
      </c>
      <c r="B387">
        <f t="shared" ca="1" si="94"/>
        <v>4</v>
      </c>
      <c r="C387" t="str">
        <f t="shared" ca="1" si="95"/>
        <v>S</v>
      </c>
      <c r="D387">
        <f t="shared" ca="1" si="96"/>
        <v>0</v>
      </c>
      <c r="E387">
        <f ca="1">IF($C387=1,OFFSET(E387,-1,0)+MAX(1,COUNTIF(QCI!$A$13:$A$15,OFFSET(ORÇAMENTO!E387,-1,0))),OFFSET(E387,-1,0))</f>
        <v>1</v>
      </c>
      <c r="F387">
        <f t="shared" ca="1" si="97"/>
        <v>8</v>
      </c>
      <c r="G387">
        <f t="shared" ca="1" si="98"/>
        <v>2</v>
      </c>
      <c r="H387">
        <f t="shared" ca="1" si="99"/>
        <v>1</v>
      </c>
      <c r="I387">
        <f t="shared" ca="1" si="100"/>
        <v>2</v>
      </c>
      <c r="J387">
        <f t="shared" ca="1" si="91"/>
        <v>0</v>
      </c>
      <c r="K387">
        <f ca="1">IF(OR($C387="S",$C387=0),0,MATCH(OFFSET($D387,0,$C387)+IF($C387&lt;&gt;1,1,COUNTIF(QCI!$A$13:$A$15,ORÇAMENTO!E387)),OFFSET($D387,1,$C387,ROW($C$508)-ROW($C387)),0))</f>
        <v>0</v>
      </c>
      <c r="L387" s="114" t="str">
        <f t="shared" ca="1" si="101"/>
        <v>F</v>
      </c>
      <c r="M387" s="115" t="s">
        <v>705</v>
      </c>
      <c r="N387" s="116" t="str">
        <f t="shared" ca="1" si="102"/>
        <v>Serviço</v>
      </c>
      <c r="O387" s="117" t="str">
        <f t="shared" ca="1" si="103"/>
        <v>1.8.2.1.2.</v>
      </c>
      <c r="P387" s="118" t="s">
        <v>1280</v>
      </c>
      <c r="Q387" s="119" t="s">
        <v>1126</v>
      </c>
      <c r="R387" s="120" t="str">
        <f ca="1">IF($C387="S",REFERENCIA.Descricao,"(digite a descrição aqui)")</f>
        <v>CAIXA DE DRENAGEM DE INSPEÇÃO/PASSAGEM EM ALVENARIA (30X30X30CM), REVESTIMENTO EM ARGAMASSA COM ADITIVO IMPERMEABILIZANTE, COM TAMPA EM GRELHA, INCLUSIVE ESCAVAÇÃO, REATERRO E TRANSPORTE COM RETIRADA DO MATERIAL ESCAVADO (EM CAÇAMBA)</v>
      </c>
      <c r="S387" s="121" t="str">
        <f ca="1">REFERENCIA.Unidade</f>
        <v>UN</v>
      </c>
      <c r="T387" s="122">
        <f ca="1">OFFSET(CÁLCULO!H$15,ROW($T387)-ROW(T$15),0)</f>
        <v>4</v>
      </c>
      <c r="U387" s="123">
        <f t="shared" ca="1" si="108"/>
        <v>257.37</v>
      </c>
      <c r="V387" s="124" t="s">
        <v>663</v>
      </c>
      <c r="W387" s="122">
        <f ca="1">IF($C387="S",ROUND(IF(TIPOORCAMENTO="Proposto",ORÇAMENTO.CustoUnitario*(1+$AH387),ORÇAMENTO.PrecoUnitarioLicitado),15-13*$AF$10),0)</f>
        <v>317.85000000000002</v>
      </c>
      <c r="X387" s="125" cm="1">
        <f t="array" aca="1" ref="X387" ca="1">IF($C387="S",IF(OR(Import.TipoArredondamento&lt;&gt;"TransfereGOV",ACOMPANHAMENTO="BM"),VTOTAL1,SUM(OFFSET(CÁLCULO!$AI$15,ROW($X387)-ROW($X$15),1):OFFSET(CÁLCULO!$BB$15,ROW($X387)-ROW($X$15),-1))),IF($C387=0,0,ROUND(SomaAgrup,15-13*$AF$11)))</f>
        <v>1271.4000000000001</v>
      </c>
      <c r="Y387" s="126" t="s">
        <v>751</v>
      </c>
      <c r="Z387" t="str">
        <f t="shared" ca="1" si="104"/>
        <v>RA</v>
      </c>
      <c r="AA387" s="127">
        <f ca="1">IF($C387="S",IF($Z387="CP",$X387,IF($Z387="RA",(($X387)*QCI!$AA$3),0)),SomaAgrup)</f>
        <v>0</v>
      </c>
      <c r="AB387" s="128">
        <f t="shared" ca="1" si="105"/>
        <v>0</v>
      </c>
      <c r="AC387" s="565" t="str" cm="1">
        <f t="array" aca="1" ref="AC387" ca="1">IF($N387=""," ",
IF(AND($C387&lt;&gt;"S",OR($R387="",$R387="(digite a descrição aqui)")),"DESCRIÇÃO",
IF(AND($C387="S",OR($Q387&lt;&gt;"",$T387&gt;0,$U387&gt;0),$P387=""),"FONTE",
IF(AND($C387="S",$P387&lt;&gt;"",OR($T387&gt;0,$U387&gt;0),$Q387=""),"CÓDIGO",
IF(AND($C387="S",$P387&lt;&gt;"",$Q387&lt;&gt;"",$R387="(Código não identificado nas referências)"),"CÓDIGO N/ID",
IF(AND($C387="S",OR($R387="",$R387="(digite a descrição aqui)"),OR($Q387&lt;&gt;"",$T387&gt;0,$U387&gt;0)),"DESCRIÇÃO",
IF(AND($C387="S",$P387&lt;&gt;"",$Q387&lt;&gt;"",$S387=""),"UNIDADE",
IF(AND($C387="S",$P387&lt;&gt;"",$Q387&lt;&gt;"",$U387=0),"SEM CUSTO",
IF(AND(_xlfn.SINGLE(TIPOORCAMENTO)="Licitado",$AL387=0,$AN387&gt;0),"SEM PREÇO",
IF(AND($C387="S",$P387&lt;&gt;"",$Q387&lt;&gt;"",$U387&gt;0,AND($V387&lt;&gt;"BDI 1",$V387&lt;&gt;"BDI 2",$V387&lt;&gt;"BDI 3")),IF(ISNUMBER($V387),"JUSTIFICAR BDI","BDI"),
IF(OR(AND(import.recurso="OGU",TIPOORCAMENTO="Proposto",LEFT($O$8,5)&lt;&gt;"(N/D:",$AG387&lt;&gt;"",ORÇAMENTO.CustoUnitario&gt;$AG387),AND(TIPOORCAMENTO="LICITADO",ORÇAMENTO.PrecoUnitarioLicitado&gt;$AN387)),"ACIMA REF.",
IF(AND($C387="S",$P387&lt;&gt;"",$Q387&lt;&gt;"",$T387=0,$U387&gt;0),"QUANT.",
IF(AND(Import.TipoArredondamento="TransfereGOV",$L387="F",$C387="S",LEN($Q387)&gt;13),"Código &gt;13",
IF(AND(Import.TipoArredondamento="TransfereGOV",$L387="F",$C387&lt;&gt;"S",LEN($R387)&gt;100),"Descrição &gt;100",
IF(AND(Import.TipoArredondamento="TransfereGOV",$L387="F",$C387="S",LEN($R387)&gt;500),"Descrição &gt;500",
IF(AND(Import.TipoArredondamento="TransfereGOV",$L387="F",$C387="S",LEFT(TRIM(UPPER($P387)),6)&lt;&gt;"SINAPI",ISNA(VLOOKUP(TRIM(UPPER($S387)),ListaTgov.Unidades,1,FALSE))),"Unid. Não Disp",
" "))))))))))))))))</f>
        <v xml:space="preserve"> </v>
      </c>
      <c r="AD387" t="str">
        <f ca="1">IF(C387&lt;=CRONO.NivelExibicao,MAX($AD$15:OFFSET(AD387,-1,0))+IF($C387&lt;&gt;1,1,MAX(1,COUNTIF(QCI!$A$13:$A$15,OFFSET($E387,-1,0)))),"")</f>
        <v/>
      </c>
      <c r="AE387" s="7" t="str">
        <f ca="1">IF(AND($C387="S",ORÇAMENTO.CodBarra&lt;&gt;""),IF(ORÇAMENTO.Fonte="",ORÇAMENTO.CodBarra,CONCATENATE(ORÇAMENTO.Fonte," ",ORÇAMENTO.CodBarra)))</f>
        <v>SETOP ED-49905</v>
      </c>
      <c r="AF387" s="12">
        <f ca="1">IF(ISERROR(INDIRECT(ORÇAMENTO.BancoRef)),"(abra o arquivo 'Referência "&amp;Excel_BuiltIn_Database&amp;".xlsm)",IF(OR($C387&lt;&gt;"S",ORÇAMENTO.CodBarra=""),"(Sem Código)",IF(ISERROR(MATCH($AE387,INDIRECT(ORÇAMENTO.BancoRef),0)),"(Código não identificado nas referências)",MATCH($AE387,INDIRECT(ORÇAMENTO.BancoRef),0))))</f>
        <v>29757</v>
      </c>
      <c r="AG387" s="428">
        <f ca="1">ROUND(IF(DESONERACAO="sim",REFERENCIA.Desonerado,REFERENCIA.NaoDesonerado),2)</f>
        <v>257.37</v>
      </c>
      <c r="AH387" s="429">
        <f t="shared" ca="1" si="106"/>
        <v>0.23499999999999999</v>
      </c>
      <c r="AJ387" s="431">
        <v>4</v>
      </c>
      <c r="AL387" s="439"/>
      <c r="AM387" s="336">
        <f t="shared" ca="1" si="92"/>
        <v>1271.4000000000001</v>
      </c>
      <c r="AN387" s="470">
        <f t="shared" ca="1" si="107"/>
        <v>317.85000000000002</v>
      </c>
    </row>
    <row r="388" spans="1:40" ht="25.5" x14ac:dyDescent="0.2">
      <c r="A388" t="str">
        <f t="shared" si="93"/>
        <v>S</v>
      </c>
      <c r="B388">
        <f t="shared" ca="1" si="94"/>
        <v>4</v>
      </c>
      <c r="C388" t="str">
        <f t="shared" ca="1" si="95"/>
        <v>S</v>
      </c>
      <c r="D388">
        <f t="shared" ca="1" si="96"/>
        <v>0</v>
      </c>
      <c r="E388">
        <f ca="1">IF($C388=1,OFFSET(E388,-1,0)+MAX(1,COUNTIF(QCI!$A$13:$A$15,OFFSET(ORÇAMENTO!E388,-1,0))),OFFSET(E388,-1,0))</f>
        <v>1</v>
      </c>
      <c r="F388">
        <f t="shared" ca="1" si="97"/>
        <v>8</v>
      </c>
      <c r="G388">
        <f t="shared" ca="1" si="98"/>
        <v>2</v>
      </c>
      <c r="H388">
        <f t="shared" ca="1" si="99"/>
        <v>1</v>
      </c>
      <c r="I388">
        <f t="shared" ca="1" si="100"/>
        <v>3</v>
      </c>
      <c r="J388">
        <f t="shared" ca="1" si="91"/>
        <v>0</v>
      </c>
      <c r="K388">
        <f ca="1">IF(OR($C388="S",$C388=0),0,MATCH(OFFSET($D388,0,$C388)+IF($C388&lt;&gt;1,1,COUNTIF(QCI!$A$13:$A$15,ORÇAMENTO!E388)),OFFSET($D388,1,$C388,ROW($C$508)-ROW($C388)),0))</f>
        <v>0</v>
      </c>
      <c r="L388" s="114" t="str">
        <f t="shared" ca="1" si="101"/>
        <v>F</v>
      </c>
      <c r="M388" s="115" t="s">
        <v>705</v>
      </c>
      <c r="N388" s="116" t="str">
        <f t="shared" ca="1" si="102"/>
        <v>Serviço</v>
      </c>
      <c r="O388" s="117" t="str">
        <f t="shared" ca="1" si="103"/>
        <v>1.8.2.1.3.</v>
      </c>
      <c r="P388" s="118" t="s">
        <v>1280</v>
      </c>
      <c r="Q388" s="119" t="s">
        <v>1127</v>
      </c>
      <c r="R388" s="120" t="str">
        <f ca="1">IF($C388="S",REFERENCIA.Descricao,"(digite a descrição aqui)")</f>
        <v>CAIXA PRÉ MOLDADA PARA ATERRAMENTO COM TAMPA DE CONCRETO 25 X 25 X 50 CM, INCLUSIVE ESCAVAÇÃO E BOTA FORA</v>
      </c>
      <c r="S388" s="121" t="str">
        <f ca="1">REFERENCIA.Unidade</f>
        <v>UN</v>
      </c>
      <c r="T388" s="122">
        <f ca="1">OFFSET(CÁLCULO!H$15,ROW($T388)-ROW(T$15),0)</f>
        <v>7</v>
      </c>
      <c r="U388" s="123">
        <f t="shared" ca="1" si="108"/>
        <v>138.49</v>
      </c>
      <c r="V388" s="124" t="s">
        <v>663</v>
      </c>
      <c r="W388" s="122">
        <f ca="1">IF($C388="S",ROUND(IF(TIPOORCAMENTO="Proposto",ORÇAMENTO.CustoUnitario*(1+$AH388),ORÇAMENTO.PrecoUnitarioLicitado),15-13*$AF$10),0)</f>
        <v>171.04</v>
      </c>
      <c r="X388" s="125" cm="1">
        <f t="array" aca="1" ref="X388" ca="1">IF($C388="S",IF(OR(Import.TipoArredondamento&lt;&gt;"TransfereGOV",ACOMPANHAMENTO="BM"),VTOTAL1,SUM(OFFSET(CÁLCULO!$AI$15,ROW($X388)-ROW($X$15),1):OFFSET(CÁLCULO!$BB$15,ROW($X388)-ROW($X$15),-1))),IF($C388=0,0,ROUND(SomaAgrup,15-13*$AF$11)))</f>
        <v>1197.28</v>
      </c>
      <c r="Y388" s="126" t="s">
        <v>751</v>
      </c>
      <c r="Z388" t="str">
        <f t="shared" ca="1" si="104"/>
        <v>RA</v>
      </c>
      <c r="AA388" s="127">
        <f ca="1">IF($C388="S",IF($Z388="CP",$X388,IF($Z388="RA",(($X388)*QCI!$AA$3),0)),SomaAgrup)</f>
        <v>0</v>
      </c>
      <c r="AB388" s="128">
        <f t="shared" ca="1" si="105"/>
        <v>0</v>
      </c>
      <c r="AC388" s="565" t="str" cm="1">
        <f t="array" aca="1" ref="AC388" ca="1">IF($N388=""," ",
IF(AND($C388&lt;&gt;"S",OR($R388="",$R388="(digite a descrição aqui)")),"DESCRIÇÃO",
IF(AND($C388="S",OR($Q388&lt;&gt;"",$T388&gt;0,$U388&gt;0),$P388=""),"FONTE",
IF(AND($C388="S",$P388&lt;&gt;"",OR($T388&gt;0,$U388&gt;0),$Q388=""),"CÓDIGO",
IF(AND($C388="S",$P388&lt;&gt;"",$Q388&lt;&gt;"",$R388="(Código não identificado nas referências)"),"CÓDIGO N/ID",
IF(AND($C388="S",OR($R388="",$R388="(digite a descrição aqui)"),OR($Q388&lt;&gt;"",$T388&gt;0,$U388&gt;0)),"DESCRIÇÃO",
IF(AND($C388="S",$P388&lt;&gt;"",$Q388&lt;&gt;"",$S388=""),"UNIDADE",
IF(AND($C388="S",$P388&lt;&gt;"",$Q388&lt;&gt;"",$U388=0),"SEM CUSTO",
IF(AND(_xlfn.SINGLE(TIPOORCAMENTO)="Licitado",$AL388=0,$AN388&gt;0),"SEM PREÇO",
IF(AND($C388="S",$P388&lt;&gt;"",$Q388&lt;&gt;"",$U388&gt;0,AND($V388&lt;&gt;"BDI 1",$V388&lt;&gt;"BDI 2",$V388&lt;&gt;"BDI 3")),IF(ISNUMBER($V388),"JUSTIFICAR BDI","BDI"),
IF(OR(AND(import.recurso="OGU",TIPOORCAMENTO="Proposto",LEFT($O$8,5)&lt;&gt;"(N/D:",$AG388&lt;&gt;"",ORÇAMENTO.CustoUnitario&gt;$AG388),AND(TIPOORCAMENTO="LICITADO",ORÇAMENTO.PrecoUnitarioLicitado&gt;$AN388)),"ACIMA REF.",
IF(AND($C388="S",$P388&lt;&gt;"",$Q388&lt;&gt;"",$T388=0,$U388&gt;0),"QUANT.",
IF(AND(Import.TipoArredondamento="TransfereGOV",$L388="F",$C388="S",LEN($Q388)&gt;13),"Código &gt;13",
IF(AND(Import.TipoArredondamento="TransfereGOV",$L388="F",$C388&lt;&gt;"S",LEN($R388)&gt;100),"Descrição &gt;100",
IF(AND(Import.TipoArredondamento="TransfereGOV",$L388="F",$C388="S",LEN($R388)&gt;500),"Descrição &gt;500",
IF(AND(Import.TipoArredondamento="TransfereGOV",$L388="F",$C388="S",LEFT(TRIM(UPPER($P388)),6)&lt;&gt;"SINAPI",ISNA(VLOOKUP(TRIM(UPPER($S388)),ListaTgov.Unidades,1,FALSE))),"Unid. Não Disp",
" "))))))))))))))))</f>
        <v xml:space="preserve"> </v>
      </c>
      <c r="AD388" t="str">
        <f ca="1">IF(C388&lt;=CRONO.NivelExibicao,MAX($AD$15:OFFSET(AD388,-1,0))+IF($C388&lt;&gt;1,1,MAX(1,COUNTIF(QCI!$A$13:$A$15,OFFSET($E388,-1,0)))),"")</f>
        <v/>
      </c>
      <c r="AE388" s="7" t="str">
        <f ca="1">IF(AND($C388="S",ORÇAMENTO.CodBarra&lt;&gt;""),IF(ORÇAMENTO.Fonte="",ORÇAMENTO.CodBarra,CONCATENATE(ORÇAMENTO.Fonte," ",ORÇAMENTO.CodBarra)))</f>
        <v>SETOP ED-48702</v>
      </c>
      <c r="AF388" s="12">
        <f ca="1">IF(ISERROR(INDIRECT(ORÇAMENTO.BancoRef)),"(abra o arquivo 'Referência "&amp;Excel_BuiltIn_Database&amp;".xlsm)",IF(OR($C388&lt;&gt;"S",ORÇAMENTO.CodBarra=""),"(Sem Código)",IF(ISERROR(MATCH($AE388,INDIRECT(ORÇAMENTO.BancoRef),0)),"(Código não identificado nas referências)",MATCH($AE388,INDIRECT(ORÇAMENTO.BancoRef),0))))</f>
        <v>29480</v>
      </c>
      <c r="AG388" s="428">
        <f ca="1">ROUND(IF(DESONERACAO="sim",REFERENCIA.Desonerado,REFERENCIA.NaoDesonerado),2)</f>
        <v>138.49</v>
      </c>
      <c r="AH388" s="429">
        <f t="shared" ca="1" si="106"/>
        <v>0.23499999999999999</v>
      </c>
      <c r="AJ388" s="431">
        <v>7</v>
      </c>
      <c r="AL388" s="439"/>
      <c r="AM388" s="336">
        <f t="shared" ca="1" si="92"/>
        <v>1197.28</v>
      </c>
      <c r="AN388" s="470">
        <f t="shared" ca="1" si="107"/>
        <v>171.04</v>
      </c>
    </row>
    <row r="389" spans="1:40" ht="38.25" x14ac:dyDescent="0.2">
      <c r="A389" t="str">
        <f t="shared" si="93"/>
        <v>S</v>
      </c>
      <c r="B389">
        <f t="shared" ca="1" si="94"/>
        <v>4</v>
      </c>
      <c r="C389" t="str">
        <f t="shared" ca="1" si="95"/>
        <v>S</v>
      </c>
      <c r="D389">
        <f t="shared" ca="1" si="96"/>
        <v>0</v>
      </c>
      <c r="E389">
        <f ca="1">IF($C389=1,OFFSET(E389,-1,0)+MAX(1,COUNTIF(QCI!$A$13:$A$15,OFFSET(ORÇAMENTO!E389,-1,0))),OFFSET(E389,-1,0))</f>
        <v>1</v>
      </c>
      <c r="F389">
        <f t="shared" ca="1" si="97"/>
        <v>8</v>
      </c>
      <c r="G389">
        <f t="shared" ca="1" si="98"/>
        <v>2</v>
      </c>
      <c r="H389">
        <f t="shared" ca="1" si="99"/>
        <v>1</v>
      </c>
      <c r="I389">
        <f t="shared" ca="1" si="100"/>
        <v>4</v>
      </c>
      <c r="J389">
        <f t="shared" ca="1" si="91"/>
        <v>0</v>
      </c>
      <c r="K389">
        <f ca="1">IF(OR($C389="S",$C389=0),0,MATCH(OFFSET($D389,0,$C389)+IF($C389&lt;&gt;1,1,COUNTIF(QCI!$A$13:$A$15,ORÇAMENTO!E389)),OFFSET($D389,1,$C389,ROW($C$508)-ROW($C389)),0))</f>
        <v>0</v>
      </c>
      <c r="L389" s="114" t="str">
        <f t="shared" ca="1" si="101"/>
        <v>F</v>
      </c>
      <c r="M389" s="115" t="s">
        <v>705</v>
      </c>
      <c r="N389" s="116" t="str">
        <f t="shared" ca="1" si="102"/>
        <v>Serviço</v>
      </c>
      <c r="O389" s="117" t="str">
        <f t="shared" ca="1" si="103"/>
        <v>1.8.2.1.4.</v>
      </c>
      <c r="P389" s="118" t="s">
        <v>750</v>
      </c>
      <c r="Q389" s="119" t="s">
        <v>1128</v>
      </c>
      <c r="R389" s="120" t="str">
        <f ca="1">IF($C389="S",REFERENCIA.Descricao,"(digite a descrição aqui)")</f>
        <v>CONDULETE DE ALUMÍNIO, TIPO X, PARA ELETRODUTO DE AÇO GALVANIZADO DN 25 MM (1''), APARENTE - FORNECIMENTO E INSTALAÇÃO. AF_10/2022</v>
      </c>
      <c r="S389" s="121" t="str">
        <f ca="1">REFERENCIA.Unidade</f>
        <v>UN</v>
      </c>
      <c r="T389" s="122">
        <f ca="1">OFFSET(CÁLCULO!H$15,ROW($T389)-ROW(T$15),0)</f>
        <v>3</v>
      </c>
      <c r="U389" s="123">
        <f t="shared" ca="1" si="108"/>
        <v>59.34</v>
      </c>
      <c r="V389" s="124" t="s">
        <v>663</v>
      </c>
      <c r="W389" s="122">
        <f ca="1">IF($C389="S",ROUND(IF(TIPOORCAMENTO="Proposto",ORÇAMENTO.CustoUnitario*(1+$AH389),ORÇAMENTO.PrecoUnitarioLicitado),15-13*$AF$10),0)</f>
        <v>73.28</v>
      </c>
      <c r="X389" s="125" cm="1">
        <f t="array" aca="1" ref="X389" ca="1">IF($C389="S",IF(OR(Import.TipoArredondamento&lt;&gt;"TransfereGOV",ACOMPANHAMENTO="BM"),VTOTAL1,SUM(OFFSET(CÁLCULO!$AI$15,ROW($X389)-ROW($X$15),1):OFFSET(CÁLCULO!$BB$15,ROW($X389)-ROW($X$15),-1))),IF($C389=0,0,ROUND(SomaAgrup,15-13*$AF$11)))</f>
        <v>219.84</v>
      </c>
      <c r="Y389" s="126" t="s">
        <v>751</v>
      </c>
      <c r="Z389" t="str">
        <f t="shared" ca="1" si="104"/>
        <v>RA</v>
      </c>
      <c r="AA389" s="127">
        <f ca="1">IF($C389="S",IF($Z389="CP",$X389,IF($Z389="RA",(($X389)*QCI!$AA$3),0)),SomaAgrup)</f>
        <v>0</v>
      </c>
      <c r="AB389" s="128">
        <f t="shared" ca="1" si="105"/>
        <v>0</v>
      </c>
      <c r="AC389" s="565" t="str" cm="1">
        <f t="array" aca="1" ref="AC389" ca="1">IF($N389=""," ",
IF(AND($C389&lt;&gt;"S",OR($R389="",$R389="(digite a descrição aqui)")),"DESCRIÇÃO",
IF(AND($C389="S",OR($Q389&lt;&gt;"",$T389&gt;0,$U389&gt;0),$P389=""),"FONTE",
IF(AND($C389="S",$P389&lt;&gt;"",OR($T389&gt;0,$U389&gt;0),$Q389=""),"CÓDIGO",
IF(AND($C389="S",$P389&lt;&gt;"",$Q389&lt;&gt;"",$R389="(Código não identificado nas referências)"),"CÓDIGO N/ID",
IF(AND($C389="S",OR($R389="",$R389="(digite a descrição aqui)"),OR($Q389&lt;&gt;"",$T389&gt;0,$U389&gt;0)),"DESCRIÇÃO",
IF(AND($C389="S",$P389&lt;&gt;"",$Q389&lt;&gt;"",$S389=""),"UNIDADE",
IF(AND($C389="S",$P389&lt;&gt;"",$Q389&lt;&gt;"",$U389=0),"SEM CUSTO",
IF(AND(_xlfn.SINGLE(TIPOORCAMENTO)="Licitado",$AL389=0,$AN389&gt;0),"SEM PREÇO",
IF(AND($C389="S",$P389&lt;&gt;"",$Q389&lt;&gt;"",$U389&gt;0,AND($V389&lt;&gt;"BDI 1",$V389&lt;&gt;"BDI 2",$V389&lt;&gt;"BDI 3")),IF(ISNUMBER($V389),"JUSTIFICAR BDI","BDI"),
IF(OR(AND(import.recurso="OGU",TIPOORCAMENTO="Proposto",LEFT($O$8,5)&lt;&gt;"(N/D:",$AG389&lt;&gt;"",ORÇAMENTO.CustoUnitario&gt;$AG389),AND(TIPOORCAMENTO="LICITADO",ORÇAMENTO.PrecoUnitarioLicitado&gt;$AN389)),"ACIMA REF.",
IF(AND($C389="S",$P389&lt;&gt;"",$Q389&lt;&gt;"",$T389=0,$U389&gt;0),"QUANT.",
IF(AND(Import.TipoArredondamento="TransfereGOV",$L389="F",$C389="S",LEN($Q389)&gt;13),"Código &gt;13",
IF(AND(Import.TipoArredondamento="TransfereGOV",$L389="F",$C389&lt;&gt;"S",LEN($R389)&gt;100),"Descrição &gt;100",
IF(AND(Import.TipoArredondamento="TransfereGOV",$L389="F",$C389="S",LEN($R389)&gt;500),"Descrição &gt;500",
IF(AND(Import.TipoArredondamento="TransfereGOV",$L389="F",$C389="S",LEFT(TRIM(UPPER($P389)),6)&lt;&gt;"SINAPI",ISNA(VLOOKUP(TRIM(UPPER($S389)),ListaTgov.Unidades,1,FALSE))),"Unid. Não Disp",
" "))))))))))))))))</f>
        <v xml:space="preserve"> </v>
      </c>
      <c r="AD389" t="str">
        <f ca="1">IF(C389&lt;=CRONO.NivelExibicao,MAX($AD$15:OFFSET(AD389,-1,0))+IF($C389&lt;&gt;1,1,MAX(1,COUNTIF(QCI!$A$13:$A$15,OFFSET($E389,-1,0)))),"")</f>
        <v/>
      </c>
      <c r="AE389" s="7" t="str">
        <f ca="1">IF(AND($C389="S",ORÇAMENTO.CodBarra&lt;&gt;""),IF(ORÇAMENTO.Fonte="",ORÇAMENTO.CodBarra,CONCATENATE(ORÇAMENTO.Fonte," ",ORÇAMENTO.CodBarra)))</f>
        <v>SINAPI 95802</v>
      </c>
      <c r="AF389" s="12">
        <f ca="1">IF(ISERROR(INDIRECT(ORÇAMENTO.BancoRef)),"(abra o arquivo 'Referência "&amp;Excel_BuiltIn_Database&amp;".xlsm)",IF(OR($C389&lt;&gt;"S",ORÇAMENTO.CodBarra=""),"(Sem Código)",IF(ISERROR(MATCH($AE389,INDIRECT(ORÇAMENTO.BancoRef),0)),"(Código não identificado nas referências)",MATCH($AE389,INDIRECT(ORÇAMENTO.BancoRef),0))))</f>
        <v>10600</v>
      </c>
      <c r="AG389" s="428">
        <f ca="1">ROUND(IF(DESONERACAO="sim",REFERENCIA.Desonerado,REFERENCIA.NaoDesonerado),2)</f>
        <v>59.34</v>
      </c>
      <c r="AH389" s="429">
        <f t="shared" ca="1" si="106"/>
        <v>0.23499999999999999</v>
      </c>
      <c r="AJ389" s="431">
        <v>3</v>
      </c>
      <c r="AL389" s="439"/>
      <c r="AM389" s="336">
        <f t="shared" ca="1" si="92"/>
        <v>219.84</v>
      </c>
      <c r="AN389" s="470">
        <f t="shared" ca="1" si="107"/>
        <v>73.28</v>
      </c>
    </row>
    <row r="390" spans="1:40" ht="38.25" x14ac:dyDescent="0.2">
      <c r="A390" t="str">
        <f t="shared" si="93"/>
        <v>S</v>
      </c>
      <c r="B390">
        <f t="shared" ca="1" si="94"/>
        <v>4</v>
      </c>
      <c r="C390" t="str">
        <f t="shared" ca="1" si="95"/>
        <v>S</v>
      </c>
      <c r="D390">
        <f t="shared" ca="1" si="96"/>
        <v>0</v>
      </c>
      <c r="E390">
        <f ca="1">IF($C390=1,OFFSET(E390,-1,0)+MAX(1,COUNTIF(QCI!$A$13:$A$15,OFFSET(ORÇAMENTO!E390,-1,0))),OFFSET(E390,-1,0))</f>
        <v>1</v>
      </c>
      <c r="F390">
        <f t="shared" ca="1" si="97"/>
        <v>8</v>
      </c>
      <c r="G390">
        <f t="shared" ca="1" si="98"/>
        <v>2</v>
      </c>
      <c r="H390">
        <f t="shared" ca="1" si="99"/>
        <v>1</v>
      </c>
      <c r="I390">
        <f t="shared" ca="1" si="100"/>
        <v>5</v>
      </c>
      <c r="J390">
        <f t="shared" ca="1" si="91"/>
        <v>0</v>
      </c>
      <c r="K390">
        <f ca="1">IF(OR($C390="S",$C390=0),0,MATCH(OFFSET($D390,0,$C390)+IF($C390&lt;&gt;1,1,COUNTIF(QCI!$A$13:$A$15,ORÇAMENTO!E390)),OFFSET($D390,1,$C390,ROW($C$508)-ROW($C390)),0))</f>
        <v>0</v>
      </c>
      <c r="L390" s="114" t="str">
        <f t="shared" ca="1" si="101"/>
        <v>F</v>
      </c>
      <c r="M390" s="115" t="s">
        <v>705</v>
      </c>
      <c r="N390" s="116" t="str">
        <f t="shared" ca="1" si="102"/>
        <v>Serviço</v>
      </c>
      <c r="O390" s="117" t="str">
        <f t="shared" ca="1" si="103"/>
        <v>1.8.2.1.5.</v>
      </c>
      <c r="P390" s="118" t="s">
        <v>750</v>
      </c>
      <c r="Q390" s="119" t="s">
        <v>1129</v>
      </c>
      <c r="R390" s="120" t="str">
        <f ca="1">IF($C390="S",REFERENCIA.Descricao,"(digite a descrição aqui)")</f>
        <v>CONDULETE DE ALUMÍNIO, TIPO T, PARA ELETRODUTO DE AÇO GALVANIZADO DN 25 MM (1''), APARENTE - FORNECIMENTO E INSTALAÇÃO. AF_10/2022</v>
      </c>
      <c r="S390" s="121" t="str">
        <f ca="1">REFERENCIA.Unidade</f>
        <v>UN</v>
      </c>
      <c r="T390" s="122">
        <f ca="1">OFFSET(CÁLCULO!H$15,ROW($T390)-ROW(T$15),0)</f>
        <v>1</v>
      </c>
      <c r="U390" s="123">
        <f t="shared" ca="1" si="108"/>
        <v>56.78</v>
      </c>
      <c r="V390" s="124" t="s">
        <v>663</v>
      </c>
      <c r="W390" s="122">
        <f ca="1">IF($C390="S",ROUND(IF(TIPOORCAMENTO="Proposto",ORÇAMENTO.CustoUnitario*(1+$AH390),ORÇAMENTO.PrecoUnitarioLicitado),15-13*$AF$10),0)</f>
        <v>70.12</v>
      </c>
      <c r="X390" s="125" cm="1">
        <f t="array" aca="1" ref="X390" ca="1">IF($C390="S",IF(OR(Import.TipoArredondamento&lt;&gt;"TransfereGOV",ACOMPANHAMENTO="BM"),VTOTAL1,SUM(OFFSET(CÁLCULO!$AI$15,ROW($X390)-ROW($X$15),1):OFFSET(CÁLCULO!$BB$15,ROW($X390)-ROW($X$15),-1))),IF($C390=0,0,ROUND(SomaAgrup,15-13*$AF$11)))</f>
        <v>70.12</v>
      </c>
      <c r="Y390" s="126" t="s">
        <v>751</v>
      </c>
      <c r="Z390" t="str">
        <f t="shared" ca="1" si="104"/>
        <v>RA</v>
      </c>
      <c r="AA390" s="127">
        <f ca="1">IF($C390="S",IF($Z390="CP",$X390,IF($Z390="RA",(($X390)*QCI!$AA$3),0)),SomaAgrup)</f>
        <v>0</v>
      </c>
      <c r="AB390" s="128">
        <f t="shared" ca="1" si="105"/>
        <v>0</v>
      </c>
      <c r="AC390" s="565" t="str" cm="1">
        <f t="array" aca="1" ref="AC390" ca="1">IF($N390=""," ",
IF(AND($C390&lt;&gt;"S",OR($R390="",$R390="(digite a descrição aqui)")),"DESCRIÇÃO",
IF(AND($C390="S",OR($Q390&lt;&gt;"",$T390&gt;0,$U390&gt;0),$P390=""),"FONTE",
IF(AND($C390="S",$P390&lt;&gt;"",OR($T390&gt;0,$U390&gt;0),$Q390=""),"CÓDIGO",
IF(AND($C390="S",$P390&lt;&gt;"",$Q390&lt;&gt;"",$R390="(Código não identificado nas referências)"),"CÓDIGO N/ID",
IF(AND($C390="S",OR($R390="",$R390="(digite a descrição aqui)"),OR($Q390&lt;&gt;"",$T390&gt;0,$U390&gt;0)),"DESCRIÇÃO",
IF(AND($C390="S",$P390&lt;&gt;"",$Q390&lt;&gt;"",$S390=""),"UNIDADE",
IF(AND($C390="S",$P390&lt;&gt;"",$Q390&lt;&gt;"",$U390=0),"SEM CUSTO",
IF(AND(_xlfn.SINGLE(TIPOORCAMENTO)="Licitado",$AL390=0,$AN390&gt;0),"SEM PREÇO",
IF(AND($C390="S",$P390&lt;&gt;"",$Q390&lt;&gt;"",$U390&gt;0,AND($V390&lt;&gt;"BDI 1",$V390&lt;&gt;"BDI 2",$V390&lt;&gt;"BDI 3")),IF(ISNUMBER($V390),"JUSTIFICAR BDI","BDI"),
IF(OR(AND(import.recurso="OGU",TIPOORCAMENTO="Proposto",LEFT($O$8,5)&lt;&gt;"(N/D:",$AG390&lt;&gt;"",ORÇAMENTO.CustoUnitario&gt;$AG390),AND(TIPOORCAMENTO="LICITADO",ORÇAMENTO.PrecoUnitarioLicitado&gt;$AN390)),"ACIMA REF.",
IF(AND($C390="S",$P390&lt;&gt;"",$Q390&lt;&gt;"",$T390=0,$U390&gt;0),"QUANT.",
IF(AND(Import.TipoArredondamento="TransfereGOV",$L390="F",$C390="S",LEN($Q390)&gt;13),"Código &gt;13",
IF(AND(Import.TipoArredondamento="TransfereGOV",$L390="F",$C390&lt;&gt;"S",LEN($R390)&gt;100),"Descrição &gt;100",
IF(AND(Import.TipoArredondamento="TransfereGOV",$L390="F",$C390="S",LEN($R390)&gt;500),"Descrição &gt;500",
IF(AND(Import.TipoArredondamento="TransfereGOV",$L390="F",$C390="S",LEFT(TRIM(UPPER($P390)),6)&lt;&gt;"SINAPI",ISNA(VLOOKUP(TRIM(UPPER($S390)),ListaTgov.Unidades,1,FALSE))),"Unid. Não Disp",
" "))))))))))))))))</f>
        <v xml:space="preserve"> </v>
      </c>
      <c r="AD390" t="str">
        <f ca="1">IF(C390&lt;=CRONO.NivelExibicao,MAX($AD$15:OFFSET(AD390,-1,0))+IF($C390&lt;&gt;1,1,MAX(1,COUNTIF(QCI!$A$13:$A$15,OFFSET($E390,-1,0)))),"")</f>
        <v/>
      </c>
      <c r="AE390" s="7" t="str">
        <f ca="1">IF(AND($C390="S",ORÇAMENTO.CodBarra&lt;&gt;""),IF(ORÇAMENTO.Fonte="",ORÇAMENTO.CodBarra,CONCATENATE(ORÇAMENTO.Fonte," ",ORÇAMENTO.CodBarra)))</f>
        <v>SINAPI 95796</v>
      </c>
      <c r="AF390" s="12">
        <f ca="1">IF(ISERROR(INDIRECT(ORÇAMENTO.BancoRef)),"(abra o arquivo 'Referência "&amp;Excel_BuiltIn_Database&amp;".xlsm)",IF(OR($C390&lt;&gt;"S",ORÇAMENTO.CodBarra=""),"(Sem Código)",IF(ISERROR(MATCH($AE390,INDIRECT(ORÇAMENTO.BancoRef),0)),"(Código não identificado nas referências)",MATCH($AE390,INDIRECT(ORÇAMENTO.BancoRef),0))))</f>
        <v>10594</v>
      </c>
      <c r="AG390" s="428">
        <f ca="1">ROUND(IF(DESONERACAO="sim",REFERENCIA.Desonerado,REFERENCIA.NaoDesonerado),2)</f>
        <v>56.78</v>
      </c>
      <c r="AH390" s="429">
        <f t="shared" ca="1" si="106"/>
        <v>0.23499999999999999</v>
      </c>
      <c r="AJ390" s="431">
        <v>1</v>
      </c>
      <c r="AL390" s="439"/>
      <c r="AM390" s="336">
        <f t="shared" ca="1" si="92"/>
        <v>70.12</v>
      </c>
      <c r="AN390" s="470">
        <f t="shared" ca="1" si="107"/>
        <v>70.12</v>
      </c>
    </row>
    <row r="391" spans="1:40" ht="25.5" x14ac:dyDescent="0.2">
      <c r="A391" t="str">
        <f t="shared" si="93"/>
        <v>S</v>
      </c>
      <c r="B391">
        <f t="shared" ca="1" si="94"/>
        <v>4</v>
      </c>
      <c r="C391" t="str">
        <f t="shared" ca="1" si="95"/>
        <v>S</v>
      </c>
      <c r="D391">
        <f t="shared" ca="1" si="96"/>
        <v>0</v>
      </c>
      <c r="E391">
        <f ca="1">IF($C391=1,OFFSET(E391,-1,0)+MAX(1,COUNTIF(QCI!$A$13:$A$15,OFFSET(ORÇAMENTO!E391,-1,0))),OFFSET(E391,-1,0))</f>
        <v>1</v>
      </c>
      <c r="F391">
        <f t="shared" ca="1" si="97"/>
        <v>8</v>
      </c>
      <c r="G391">
        <f t="shared" ca="1" si="98"/>
        <v>2</v>
      </c>
      <c r="H391">
        <f t="shared" ca="1" si="99"/>
        <v>1</v>
      </c>
      <c r="I391">
        <f t="shared" ca="1" si="100"/>
        <v>6</v>
      </c>
      <c r="J391">
        <f t="shared" ca="1" si="91"/>
        <v>0</v>
      </c>
      <c r="K391">
        <f ca="1">IF(OR($C391="S",$C391=0),0,MATCH(OFFSET($D391,0,$C391)+IF($C391&lt;&gt;1,1,COUNTIF(QCI!$A$13:$A$15,ORÇAMENTO!E391)),OFFSET($D391,1,$C391,ROW($C$508)-ROW($C391)),0))</f>
        <v>0</v>
      </c>
      <c r="L391" s="114" t="str">
        <f t="shared" ca="1" si="101"/>
        <v>F</v>
      </c>
      <c r="M391" s="115" t="s">
        <v>705</v>
      </c>
      <c r="N391" s="116" t="str">
        <f t="shared" ca="1" si="102"/>
        <v>Serviço</v>
      </c>
      <c r="O391" s="117" t="str">
        <f t="shared" ca="1" si="103"/>
        <v>1.8.2.1.6.</v>
      </c>
      <c r="P391" s="118" t="s">
        <v>1280</v>
      </c>
      <c r="Q391" s="119" t="s">
        <v>1130</v>
      </c>
      <c r="R391" s="120" t="str">
        <f ca="1">IF($C391="S",REFERENCIA.Descricao,"(digite a descrição aqui)")</f>
        <v>DUTO CORRUGADO EM PEAD (POLIETILENO DE ALTA DENSIDADE), PARA PROTEÇÃO DE CABOS SUBTERRÂNEOS DN 30 MM (1.1/4")</v>
      </c>
      <c r="S391" s="121" t="str">
        <f ca="1">REFERENCIA.Unidade</f>
        <v>M</v>
      </c>
      <c r="T391" s="122">
        <f ca="1">OFFSET(CÁLCULO!H$15,ROW($T391)-ROW(T$15),0)</f>
        <v>130</v>
      </c>
      <c r="U391" s="123">
        <f t="shared" ca="1" si="108"/>
        <v>29.93</v>
      </c>
      <c r="V391" s="124" t="s">
        <v>663</v>
      </c>
      <c r="W391" s="122">
        <f ca="1">IF($C391="S",ROUND(IF(TIPOORCAMENTO="Proposto",ORÇAMENTO.CustoUnitario*(1+$AH391),ORÇAMENTO.PrecoUnitarioLicitado),15-13*$AF$10),0)</f>
        <v>36.96</v>
      </c>
      <c r="X391" s="125" cm="1">
        <f t="array" aca="1" ref="X391" ca="1">IF($C391="S",IF(OR(Import.TipoArredondamento&lt;&gt;"TransfereGOV",ACOMPANHAMENTO="BM"),VTOTAL1,SUM(OFFSET(CÁLCULO!$AI$15,ROW($X391)-ROW($X$15),1):OFFSET(CÁLCULO!$BB$15,ROW($X391)-ROW($X$15),-1))),IF($C391=0,0,ROUND(SomaAgrup,15-13*$AF$11)))</f>
        <v>4804.8</v>
      </c>
      <c r="Y391" s="126" t="s">
        <v>751</v>
      </c>
      <c r="Z391" t="str">
        <f t="shared" ca="1" si="104"/>
        <v>RA</v>
      </c>
      <c r="AA391" s="127">
        <f ca="1">IF($C391="S",IF($Z391="CP",$X391,IF($Z391="RA",(($X391)*QCI!$AA$3),0)),SomaAgrup)</f>
        <v>0</v>
      </c>
      <c r="AB391" s="128">
        <f t="shared" ca="1" si="105"/>
        <v>0</v>
      </c>
      <c r="AC391" s="565" t="str" cm="1">
        <f t="array" aca="1" ref="AC391" ca="1">IF($N391=""," ",
IF(AND($C391&lt;&gt;"S",OR($R391="",$R391="(digite a descrição aqui)")),"DESCRIÇÃO",
IF(AND($C391="S",OR($Q391&lt;&gt;"",$T391&gt;0,$U391&gt;0),$P391=""),"FONTE",
IF(AND($C391="S",$P391&lt;&gt;"",OR($T391&gt;0,$U391&gt;0),$Q391=""),"CÓDIGO",
IF(AND($C391="S",$P391&lt;&gt;"",$Q391&lt;&gt;"",$R391="(Código não identificado nas referências)"),"CÓDIGO N/ID",
IF(AND($C391="S",OR($R391="",$R391="(digite a descrição aqui)"),OR($Q391&lt;&gt;"",$T391&gt;0,$U391&gt;0)),"DESCRIÇÃO",
IF(AND($C391="S",$P391&lt;&gt;"",$Q391&lt;&gt;"",$S391=""),"UNIDADE",
IF(AND($C391="S",$P391&lt;&gt;"",$Q391&lt;&gt;"",$U391=0),"SEM CUSTO",
IF(AND(_xlfn.SINGLE(TIPOORCAMENTO)="Licitado",$AL391=0,$AN391&gt;0),"SEM PREÇO",
IF(AND($C391="S",$P391&lt;&gt;"",$Q391&lt;&gt;"",$U391&gt;0,AND($V391&lt;&gt;"BDI 1",$V391&lt;&gt;"BDI 2",$V391&lt;&gt;"BDI 3")),IF(ISNUMBER($V391),"JUSTIFICAR BDI","BDI"),
IF(OR(AND(import.recurso="OGU",TIPOORCAMENTO="Proposto",LEFT($O$8,5)&lt;&gt;"(N/D:",$AG391&lt;&gt;"",ORÇAMENTO.CustoUnitario&gt;$AG391),AND(TIPOORCAMENTO="LICITADO",ORÇAMENTO.PrecoUnitarioLicitado&gt;$AN391)),"ACIMA REF.",
IF(AND($C391="S",$P391&lt;&gt;"",$Q391&lt;&gt;"",$T391=0,$U391&gt;0),"QUANT.",
IF(AND(Import.TipoArredondamento="TransfereGOV",$L391="F",$C391="S",LEN($Q391)&gt;13),"Código &gt;13",
IF(AND(Import.TipoArredondamento="TransfereGOV",$L391="F",$C391&lt;&gt;"S",LEN($R391)&gt;100),"Descrição &gt;100",
IF(AND(Import.TipoArredondamento="TransfereGOV",$L391="F",$C391="S",LEN($R391)&gt;500),"Descrição &gt;500",
IF(AND(Import.TipoArredondamento="TransfereGOV",$L391="F",$C391="S",LEFT(TRIM(UPPER($P391)),6)&lt;&gt;"SINAPI",ISNA(VLOOKUP(TRIM(UPPER($S391)),ListaTgov.Unidades,1,FALSE))),"Unid. Não Disp",
" "))))))))))))))))</f>
        <v xml:space="preserve"> </v>
      </c>
      <c r="AD391" t="str">
        <f ca="1">IF(C391&lt;=CRONO.NivelExibicao,MAX($AD$15:OFFSET(AD391,-1,0))+IF($C391&lt;&gt;1,1,MAX(1,COUNTIF(QCI!$A$13:$A$15,OFFSET($E391,-1,0)))),"")</f>
        <v/>
      </c>
      <c r="AE391" s="7" t="str">
        <f ca="1">IF(AND($C391="S",ORÇAMENTO.CodBarra&lt;&gt;""),IF(ORÇAMENTO.Fonte="",ORÇAMENTO.CodBarra,CONCATENATE(ORÇAMENTO.Fonte," ",ORÇAMENTO.CodBarra)))</f>
        <v>SETOP ED-4155</v>
      </c>
      <c r="AF391" s="12">
        <f ca="1">IF(ISERROR(INDIRECT(ORÇAMENTO.BancoRef)),"(abra o arquivo 'Referência "&amp;Excel_BuiltIn_Database&amp;".xlsm)",IF(OR($C391&lt;&gt;"S",ORÇAMENTO.CodBarra=""),"(Sem Código)",IF(ISERROR(MATCH($AE391,INDIRECT(ORÇAMENTO.BancoRef),0)),"(Código não identificado nas referências)",MATCH($AE391,INDIRECT(ORÇAMENTO.BancoRef),0))))</f>
        <v>29280</v>
      </c>
      <c r="AG391" s="428">
        <f ca="1">ROUND(IF(DESONERACAO="sim",REFERENCIA.Desonerado,REFERENCIA.NaoDesonerado),2)</f>
        <v>29.93</v>
      </c>
      <c r="AH391" s="429">
        <f t="shared" ca="1" si="106"/>
        <v>0.23499999999999999</v>
      </c>
      <c r="AJ391" s="431">
        <v>130</v>
      </c>
      <c r="AL391" s="439"/>
      <c r="AM391" s="336">
        <f t="shared" ca="1" si="92"/>
        <v>4804.8</v>
      </c>
      <c r="AN391" s="470">
        <f t="shared" ca="1" si="107"/>
        <v>36.96</v>
      </c>
    </row>
    <row r="392" spans="1:40" ht="25.5" x14ac:dyDescent="0.2">
      <c r="A392" t="str">
        <f t="shared" si="93"/>
        <v>S</v>
      </c>
      <c r="B392">
        <f t="shared" ca="1" si="94"/>
        <v>4</v>
      </c>
      <c r="C392" t="str">
        <f t="shared" ca="1" si="95"/>
        <v>S</v>
      </c>
      <c r="D392">
        <f t="shared" ca="1" si="96"/>
        <v>0</v>
      </c>
      <c r="E392">
        <f ca="1">IF($C392=1,OFFSET(E392,-1,0)+MAX(1,COUNTIF(QCI!$A$13:$A$15,OFFSET(ORÇAMENTO!E392,-1,0))),OFFSET(E392,-1,0))</f>
        <v>1</v>
      </c>
      <c r="F392">
        <f t="shared" ca="1" si="97"/>
        <v>8</v>
      </c>
      <c r="G392">
        <f t="shared" ca="1" si="98"/>
        <v>2</v>
      </c>
      <c r="H392">
        <f t="shared" ca="1" si="99"/>
        <v>1</v>
      </c>
      <c r="I392">
        <f t="shared" ca="1" si="100"/>
        <v>7</v>
      </c>
      <c r="J392">
        <f t="shared" ca="1" si="91"/>
        <v>0</v>
      </c>
      <c r="K392">
        <f ca="1">IF(OR($C392="S",$C392=0),0,MATCH(OFFSET($D392,0,$C392)+IF($C392&lt;&gt;1,1,COUNTIF(QCI!$A$13:$A$15,ORÇAMENTO!E392)),OFFSET($D392,1,$C392,ROW($C$508)-ROW($C392)),0))</f>
        <v>0</v>
      </c>
      <c r="L392" s="114" t="str">
        <f t="shared" ca="1" si="101"/>
        <v>F</v>
      </c>
      <c r="M392" s="115" t="s">
        <v>705</v>
      </c>
      <c r="N392" s="116" t="str">
        <f t="shared" ca="1" si="102"/>
        <v>Serviço</v>
      </c>
      <c r="O392" s="117" t="str">
        <f t="shared" ca="1" si="103"/>
        <v>1.8.2.1.7.</v>
      </c>
      <c r="P392" s="118" t="s">
        <v>1280</v>
      </c>
      <c r="Q392" s="119" t="s">
        <v>1131</v>
      </c>
      <c r="R392" s="120" t="str">
        <f ca="1">IF($C392="S",REFERENCIA.Descricao,"(digite a descrição aqui)")</f>
        <v>DUTO CORRUGADO EM PEAD (POLIETILENO DE ALTA DENSIDADE), PARA PROTEÇÃO DE CABOS SUBTERRÂNEOS DN 40 MM (1.1/2")</v>
      </c>
      <c r="S392" s="121" t="str">
        <f ca="1">REFERENCIA.Unidade</f>
        <v>M</v>
      </c>
      <c r="T392" s="122">
        <f ca="1">OFFSET(CÁLCULO!H$15,ROW($T392)-ROW(T$15),0)</f>
        <v>30</v>
      </c>
      <c r="U392" s="123">
        <f t="shared" ca="1" si="108"/>
        <v>31</v>
      </c>
      <c r="V392" s="124" t="s">
        <v>663</v>
      </c>
      <c r="W392" s="122">
        <f ca="1">IF($C392="S",ROUND(IF(TIPOORCAMENTO="Proposto",ORÇAMENTO.CustoUnitario*(1+$AH392),ORÇAMENTO.PrecoUnitarioLicitado),15-13*$AF$10),0)</f>
        <v>38.29</v>
      </c>
      <c r="X392" s="125" cm="1">
        <f t="array" aca="1" ref="X392" ca="1">IF($C392="S",IF(OR(Import.TipoArredondamento&lt;&gt;"TransfereGOV",ACOMPANHAMENTO="BM"),VTOTAL1,SUM(OFFSET(CÁLCULO!$AI$15,ROW($X392)-ROW($X$15),1):OFFSET(CÁLCULO!$BB$15,ROW($X392)-ROW($X$15),-1))),IF($C392=0,0,ROUND(SomaAgrup,15-13*$AF$11)))</f>
        <v>1148.7</v>
      </c>
      <c r="Y392" s="126" t="s">
        <v>751</v>
      </c>
      <c r="Z392" t="str">
        <f t="shared" ca="1" si="104"/>
        <v>RA</v>
      </c>
      <c r="AA392" s="127">
        <f ca="1">IF($C392="S",IF($Z392="CP",$X392,IF($Z392="RA",(($X392)*QCI!$AA$3),0)),SomaAgrup)</f>
        <v>0</v>
      </c>
      <c r="AB392" s="128">
        <f t="shared" ca="1" si="105"/>
        <v>0</v>
      </c>
      <c r="AC392" s="565" t="str" cm="1">
        <f t="array" aca="1" ref="AC392" ca="1">IF($N392=""," ",
IF(AND($C392&lt;&gt;"S",OR($R392="",$R392="(digite a descrição aqui)")),"DESCRIÇÃO",
IF(AND($C392="S",OR($Q392&lt;&gt;"",$T392&gt;0,$U392&gt;0),$P392=""),"FONTE",
IF(AND($C392="S",$P392&lt;&gt;"",OR($T392&gt;0,$U392&gt;0),$Q392=""),"CÓDIGO",
IF(AND($C392="S",$P392&lt;&gt;"",$Q392&lt;&gt;"",$R392="(Código não identificado nas referências)"),"CÓDIGO N/ID",
IF(AND($C392="S",OR($R392="",$R392="(digite a descrição aqui)"),OR($Q392&lt;&gt;"",$T392&gt;0,$U392&gt;0)),"DESCRIÇÃO",
IF(AND($C392="S",$P392&lt;&gt;"",$Q392&lt;&gt;"",$S392=""),"UNIDADE",
IF(AND($C392="S",$P392&lt;&gt;"",$Q392&lt;&gt;"",$U392=0),"SEM CUSTO",
IF(AND(_xlfn.SINGLE(TIPOORCAMENTO)="Licitado",$AL392=0,$AN392&gt;0),"SEM PREÇO",
IF(AND($C392="S",$P392&lt;&gt;"",$Q392&lt;&gt;"",$U392&gt;0,AND($V392&lt;&gt;"BDI 1",$V392&lt;&gt;"BDI 2",$V392&lt;&gt;"BDI 3")),IF(ISNUMBER($V392),"JUSTIFICAR BDI","BDI"),
IF(OR(AND(import.recurso="OGU",TIPOORCAMENTO="Proposto",LEFT($O$8,5)&lt;&gt;"(N/D:",$AG392&lt;&gt;"",ORÇAMENTO.CustoUnitario&gt;$AG392),AND(TIPOORCAMENTO="LICITADO",ORÇAMENTO.PrecoUnitarioLicitado&gt;$AN392)),"ACIMA REF.",
IF(AND($C392="S",$P392&lt;&gt;"",$Q392&lt;&gt;"",$T392=0,$U392&gt;0),"QUANT.",
IF(AND(Import.TipoArredondamento="TransfereGOV",$L392="F",$C392="S",LEN($Q392)&gt;13),"Código &gt;13",
IF(AND(Import.TipoArredondamento="TransfereGOV",$L392="F",$C392&lt;&gt;"S",LEN($R392)&gt;100),"Descrição &gt;100",
IF(AND(Import.TipoArredondamento="TransfereGOV",$L392="F",$C392="S",LEN($R392)&gt;500),"Descrição &gt;500",
IF(AND(Import.TipoArredondamento="TransfereGOV",$L392="F",$C392="S",LEFT(TRIM(UPPER($P392)),6)&lt;&gt;"SINAPI",ISNA(VLOOKUP(TRIM(UPPER($S392)),ListaTgov.Unidades,1,FALSE))),"Unid. Não Disp",
" "))))))))))))))))</f>
        <v xml:space="preserve"> </v>
      </c>
      <c r="AD392" t="str">
        <f ca="1">IF(C392&lt;=CRONO.NivelExibicao,MAX($AD$15:OFFSET(AD392,-1,0))+IF($C392&lt;&gt;1,1,MAX(1,COUNTIF(QCI!$A$13:$A$15,OFFSET($E392,-1,0)))),"")</f>
        <v/>
      </c>
      <c r="AE392" s="7" t="str">
        <f ca="1">IF(AND($C392="S",ORÇAMENTO.CodBarra&lt;&gt;""),IF(ORÇAMENTO.Fonte="",ORÇAMENTO.CodBarra,CONCATENATE(ORÇAMENTO.Fonte," ",ORÇAMENTO.CodBarra)))</f>
        <v>SETOP ED-49295</v>
      </c>
      <c r="AF392" s="12">
        <f ca="1">IF(ISERROR(INDIRECT(ORÇAMENTO.BancoRef)),"(abra o arquivo 'Referência "&amp;Excel_BuiltIn_Database&amp;".xlsm)",IF(OR($C392&lt;&gt;"S",ORÇAMENTO.CodBarra=""),"(Sem Código)",IF(ISERROR(MATCH($AE392,INDIRECT(ORÇAMENTO.BancoRef),0)),"(Código não identificado nas referências)",MATCH($AE392,INDIRECT(ORÇAMENTO.BancoRef),0))))</f>
        <v>29281</v>
      </c>
      <c r="AG392" s="428">
        <f ca="1">ROUND(IF(DESONERACAO="sim",REFERENCIA.Desonerado,REFERENCIA.NaoDesonerado),2)</f>
        <v>31</v>
      </c>
      <c r="AH392" s="429">
        <f t="shared" ca="1" si="106"/>
        <v>0.23499999999999999</v>
      </c>
      <c r="AJ392" s="431">
        <v>30</v>
      </c>
      <c r="AL392" s="439"/>
      <c r="AM392" s="336">
        <f t="shared" ca="1" si="92"/>
        <v>1148.7</v>
      </c>
      <c r="AN392" s="470">
        <f t="shared" ca="1" si="107"/>
        <v>38.29</v>
      </c>
    </row>
    <row r="393" spans="1:40" ht="25.5" x14ac:dyDescent="0.2">
      <c r="A393" t="str">
        <f t="shared" si="93"/>
        <v>S</v>
      </c>
      <c r="B393">
        <f t="shared" ca="1" si="94"/>
        <v>4</v>
      </c>
      <c r="C393" t="str">
        <f t="shared" ca="1" si="95"/>
        <v>S</v>
      </c>
      <c r="D393">
        <f t="shared" ca="1" si="96"/>
        <v>0</v>
      </c>
      <c r="E393">
        <f ca="1">IF($C393=1,OFFSET(E393,-1,0)+MAX(1,COUNTIF(QCI!$A$13:$A$15,OFFSET(ORÇAMENTO!E393,-1,0))),OFFSET(E393,-1,0))</f>
        <v>1</v>
      </c>
      <c r="F393">
        <f t="shared" ca="1" si="97"/>
        <v>8</v>
      </c>
      <c r="G393">
        <f t="shared" ca="1" si="98"/>
        <v>2</v>
      </c>
      <c r="H393">
        <f t="shared" ca="1" si="99"/>
        <v>1</v>
      </c>
      <c r="I393">
        <f t="shared" ca="1" si="100"/>
        <v>8</v>
      </c>
      <c r="J393">
        <f t="shared" ca="1" si="91"/>
        <v>0</v>
      </c>
      <c r="K393">
        <f ca="1">IF(OR($C393="S",$C393=0),0,MATCH(OFFSET($D393,0,$C393)+IF($C393&lt;&gt;1,1,COUNTIF(QCI!$A$13:$A$15,ORÇAMENTO!E393)),OFFSET($D393,1,$C393,ROW($C$508)-ROW($C393)),0))</f>
        <v>0</v>
      </c>
      <c r="L393" s="114" t="str">
        <f t="shared" ca="1" si="101"/>
        <v>F</v>
      </c>
      <c r="M393" s="115" t="s">
        <v>705</v>
      </c>
      <c r="N393" s="116" t="str">
        <f t="shared" ca="1" si="102"/>
        <v>Serviço</v>
      </c>
      <c r="O393" s="117" t="str">
        <f t="shared" ca="1" si="103"/>
        <v>1.8.2.1.8.</v>
      </c>
      <c r="P393" s="118" t="s">
        <v>1280</v>
      </c>
      <c r="Q393" s="119" t="s">
        <v>1132</v>
      </c>
      <c r="R393" s="120" t="str">
        <f ca="1">IF($C393="S",REFERENCIA.Descricao,"(digite a descrição aqui)")</f>
        <v>DUTO CORRUGADO EM PEAD (POLIETILENO DE ALTA DENSIDADE), PARA PROTEÇÃO DE CABOS SUBTERRÂNEOS DN 75 MM (3")</v>
      </c>
      <c r="S393" s="121" t="str">
        <f ca="1">REFERENCIA.Unidade</f>
        <v>M</v>
      </c>
      <c r="T393" s="122">
        <f ca="1">OFFSET(CÁLCULO!H$15,ROW($T393)-ROW(T$15),0)</f>
        <v>116</v>
      </c>
      <c r="U393" s="123">
        <f t="shared" ca="1" si="108"/>
        <v>50.93</v>
      </c>
      <c r="V393" s="124" t="s">
        <v>663</v>
      </c>
      <c r="W393" s="122">
        <f ca="1">IF($C393="S",ROUND(IF(TIPOORCAMENTO="Proposto",ORÇAMENTO.CustoUnitario*(1+$AH393),ORÇAMENTO.PrecoUnitarioLicitado),15-13*$AF$10),0)</f>
        <v>62.9</v>
      </c>
      <c r="X393" s="125" cm="1">
        <f t="array" aca="1" ref="X393" ca="1">IF($C393="S",IF(OR(Import.TipoArredondamento&lt;&gt;"TransfereGOV",ACOMPANHAMENTO="BM"),VTOTAL1,SUM(OFFSET(CÁLCULO!$AI$15,ROW($X393)-ROW($X$15),1):OFFSET(CÁLCULO!$BB$15,ROW($X393)-ROW($X$15),-1))),IF($C393=0,0,ROUND(SomaAgrup,15-13*$AF$11)))</f>
        <v>7296.4</v>
      </c>
      <c r="Y393" s="126" t="s">
        <v>751</v>
      </c>
      <c r="Z393" t="str">
        <f t="shared" ca="1" si="104"/>
        <v>RA</v>
      </c>
      <c r="AA393" s="127">
        <f ca="1">IF($C393="S",IF($Z393="CP",$X393,IF($Z393="RA",(($X393)*QCI!$AA$3),0)),SomaAgrup)</f>
        <v>0</v>
      </c>
      <c r="AB393" s="128">
        <f t="shared" ca="1" si="105"/>
        <v>0</v>
      </c>
      <c r="AC393" s="565" t="str" cm="1">
        <f t="array" aca="1" ref="AC393" ca="1">IF($N393=""," ",
IF(AND($C393&lt;&gt;"S",OR($R393="",$R393="(digite a descrição aqui)")),"DESCRIÇÃO",
IF(AND($C393="S",OR($Q393&lt;&gt;"",$T393&gt;0,$U393&gt;0),$P393=""),"FONTE",
IF(AND($C393="S",$P393&lt;&gt;"",OR($T393&gt;0,$U393&gt;0),$Q393=""),"CÓDIGO",
IF(AND($C393="S",$P393&lt;&gt;"",$Q393&lt;&gt;"",$R393="(Código não identificado nas referências)"),"CÓDIGO N/ID",
IF(AND($C393="S",OR($R393="",$R393="(digite a descrição aqui)"),OR($Q393&lt;&gt;"",$T393&gt;0,$U393&gt;0)),"DESCRIÇÃO",
IF(AND($C393="S",$P393&lt;&gt;"",$Q393&lt;&gt;"",$S393=""),"UNIDADE",
IF(AND($C393="S",$P393&lt;&gt;"",$Q393&lt;&gt;"",$U393=0),"SEM CUSTO",
IF(AND(_xlfn.SINGLE(TIPOORCAMENTO)="Licitado",$AL393=0,$AN393&gt;0),"SEM PREÇO",
IF(AND($C393="S",$P393&lt;&gt;"",$Q393&lt;&gt;"",$U393&gt;0,AND($V393&lt;&gt;"BDI 1",$V393&lt;&gt;"BDI 2",$V393&lt;&gt;"BDI 3")),IF(ISNUMBER($V393),"JUSTIFICAR BDI","BDI"),
IF(OR(AND(import.recurso="OGU",TIPOORCAMENTO="Proposto",LEFT($O$8,5)&lt;&gt;"(N/D:",$AG393&lt;&gt;"",ORÇAMENTO.CustoUnitario&gt;$AG393),AND(TIPOORCAMENTO="LICITADO",ORÇAMENTO.PrecoUnitarioLicitado&gt;$AN393)),"ACIMA REF.",
IF(AND($C393="S",$P393&lt;&gt;"",$Q393&lt;&gt;"",$T393=0,$U393&gt;0),"QUANT.",
IF(AND(Import.TipoArredondamento="TransfereGOV",$L393="F",$C393="S",LEN($Q393)&gt;13),"Código &gt;13",
IF(AND(Import.TipoArredondamento="TransfereGOV",$L393="F",$C393&lt;&gt;"S",LEN($R393)&gt;100),"Descrição &gt;100",
IF(AND(Import.TipoArredondamento="TransfereGOV",$L393="F",$C393="S",LEN($R393)&gt;500),"Descrição &gt;500",
IF(AND(Import.TipoArredondamento="TransfereGOV",$L393="F",$C393="S",LEFT(TRIM(UPPER($P393)),6)&lt;&gt;"SINAPI",ISNA(VLOOKUP(TRIM(UPPER($S393)),ListaTgov.Unidades,1,FALSE))),"Unid. Não Disp",
" "))))))))))))))))</f>
        <v xml:space="preserve"> </v>
      </c>
      <c r="AD393" t="str">
        <f ca="1">IF(C393&lt;=CRONO.NivelExibicao,MAX($AD$15:OFFSET(AD393,-1,0))+IF($C393&lt;&gt;1,1,MAX(1,COUNTIF(QCI!$A$13:$A$15,OFFSET($E393,-1,0)))),"")</f>
        <v/>
      </c>
      <c r="AE393" s="7" t="str">
        <f ca="1">IF(AND($C393="S",ORÇAMENTO.CodBarra&lt;&gt;""),IF(ORÇAMENTO.Fonte="",ORÇAMENTO.CodBarra,CONCATENATE(ORÇAMENTO.Fonte," ",ORÇAMENTO.CodBarra)))</f>
        <v>SETOP ED-49297</v>
      </c>
      <c r="AF393" s="12">
        <f ca="1">IF(ISERROR(INDIRECT(ORÇAMENTO.BancoRef)),"(abra o arquivo 'Referência "&amp;Excel_BuiltIn_Database&amp;".xlsm)",IF(OR($C393&lt;&gt;"S",ORÇAMENTO.CodBarra=""),"(Sem Código)",IF(ISERROR(MATCH($AE393,INDIRECT(ORÇAMENTO.BancoRef),0)),"(Código não identificado nas referências)",MATCH($AE393,INDIRECT(ORÇAMENTO.BancoRef),0))))</f>
        <v>29283</v>
      </c>
      <c r="AG393" s="428">
        <f ca="1">ROUND(IF(DESONERACAO="sim",REFERENCIA.Desonerado,REFERENCIA.NaoDesonerado),2)</f>
        <v>50.93</v>
      </c>
      <c r="AH393" s="429">
        <f t="shared" ca="1" si="106"/>
        <v>0.23499999999999999</v>
      </c>
      <c r="AJ393" s="431">
        <v>116</v>
      </c>
      <c r="AL393" s="439"/>
      <c r="AM393" s="336">
        <f t="shared" ca="1" si="92"/>
        <v>7296.4</v>
      </c>
      <c r="AN393" s="470">
        <f t="shared" ca="1" si="107"/>
        <v>62.9</v>
      </c>
    </row>
    <row r="394" spans="1:40" ht="25.5" x14ac:dyDescent="0.2">
      <c r="A394" t="str">
        <f t="shared" si="93"/>
        <v>S</v>
      </c>
      <c r="B394">
        <f t="shared" ca="1" si="94"/>
        <v>4</v>
      </c>
      <c r="C394" t="str">
        <f t="shared" ca="1" si="95"/>
        <v>S</v>
      </c>
      <c r="D394">
        <f t="shared" ca="1" si="96"/>
        <v>0</v>
      </c>
      <c r="E394">
        <f ca="1">IF($C394=1,OFFSET(E394,-1,0)+MAX(1,COUNTIF(QCI!$A$13:$A$15,OFFSET(ORÇAMENTO!E394,-1,0))),OFFSET(E394,-1,0))</f>
        <v>1</v>
      </c>
      <c r="F394">
        <f t="shared" ca="1" si="97"/>
        <v>8</v>
      </c>
      <c r="G394">
        <f t="shared" ca="1" si="98"/>
        <v>2</v>
      </c>
      <c r="H394">
        <f t="shared" ca="1" si="99"/>
        <v>1</v>
      </c>
      <c r="I394">
        <f t="shared" ca="1" si="100"/>
        <v>9</v>
      </c>
      <c r="J394">
        <f t="shared" ca="1" si="91"/>
        <v>0</v>
      </c>
      <c r="K394">
        <f ca="1">IF(OR($C394="S",$C394=0),0,MATCH(OFFSET($D394,0,$C394)+IF($C394&lt;&gt;1,1,COUNTIF(QCI!$A$13:$A$15,ORÇAMENTO!E394)),OFFSET($D394,1,$C394,ROW($C$508)-ROW($C394)),0))</f>
        <v>0</v>
      </c>
      <c r="L394" s="114" t="str">
        <f t="shared" ca="1" si="101"/>
        <v>F</v>
      </c>
      <c r="M394" s="115" t="s">
        <v>705</v>
      </c>
      <c r="N394" s="116" t="str">
        <f t="shared" ca="1" si="102"/>
        <v>Serviço</v>
      </c>
      <c r="O394" s="117" t="str">
        <f t="shared" ca="1" si="103"/>
        <v>1.8.2.1.9.</v>
      </c>
      <c r="P394" s="118" t="s">
        <v>1280</v>
      </c>
      <c r="Q394" s="119" t="s">
        <v>1133</v>
      </c>
      <c r="R394" s="120" t="str">
        <f ca="1">IF($C394="S",REFERENCIA.Descricao,"(digite a descrição aqui)")</f>
        <v>ELETRODUTO DE AÇO GALVANIZADO LEVE, INCLUSIVE CONEXÕES, SUPORTES E FIXAÇÃO DN 25 (1")</v>
      </c>
      <c r="S394" s="121" t="str">
        <f ca="1">REFERENCIA.Unidade</f>
        <v>M</v>
      </c>
      <c r="T394" s="122">
        <f ca="1">OFFSET(CÁLCULO!H$15,ROW($T394)-ROW(T$15),0)</f>
        <v>24</v>
      </c>
      <c r="U394" s="123">
        <f t="shared" ca="1" si="108"/>
        <v>30.58</v>
      </c>
      <c r="V394" s="124" t="s">
        <v>663</v>
      </c>
      <c r="W394" s="122">
        <f ca="1">IF($C394="S",ROUND(IF(TIPOORCAMENTO="Proposto",ORÇAMENTO.CustoUnitario*(1+$AH394),ORÇAMENTO.PrecoUnitarioLicitado),15-13*$AF$10),0)</f>
        <v>37.770000000000003</v>
      </c>
      <c r="X394" s="125" cm="1">
        <f t="array" aca="1" ref="X394" ca="1">IF($C394="S",IF(OR(Import.TipoArredondamento&lt;&gt;"TransfereGOV",ACOMPANHAMENTO="BM"),VTOTAL1,SUM(OFFSET(CÁLCULO!$AI$15,ROW($X394)-ROW($X$15),1):OFFSET(CÁLCULO!$BB$15,ROW($X394)-ROW($X$15),-1))),IF($C394=0,0,ROUND(SomaAgrup,15-13*$AF$11)))</f>
        <v>906.48</v>
      </c>
      <c r="Y394" s="126" t="s">
        <v>751</v>
      </c>
      <c r="Z394" t="str">
        <f t="shared" ca="1" si="104"/>
        <v>RA</v>
      </c>
      <c r="AA394" s="127">
        <f ca="1">IF($C394="S",IF($Z394="CP",$X394,IF($Z394="RA",(($X394)*QCI!$AA$3),0)),SomaAgrup)</f>
        <v>0</v>
      </c>
      <c r="AB394" s="128">
        <f t="shared" ca="1" si="105"/>
        <v>0</v>
      </c>
      <c r="AC394" s="565" t="str" cm="1">
        <f t="array" aca="1" ref="AC394" ca="1">IF($N394=""," ",
IF(AND($C394&lt;&gt;"S",OR($R394="",$R394="(digite a descrição aqui)")),"DESCRIÇÃO",
IF(AND($C394="S",OR($Q394&lt;&gt;"",$T394&gt;0,$U394&gt;0),$P394=""),"FONTE",
IF(AND($C394="S",$P394&lt;&gt;"",OR($T394&gt;0,$U394&gt;0),$Q394=""),"CÓDIGO",
IF(AND($C394="S",$P394&lt;&gt;"",$Q394&lt;&gt;"",$R394="(Código não identificado nas referências)"),"CÓDIGO N/ID",
IF(AND($C394="S",OR($R394="",$R394="(digite a descrição aqui)"),OR($Q394&lt;&gt;"",$T394&gt;0,$U394&gt;0)),"DESCRIÇÃO",
IF(AND($C394="S",$P394&lt;&gt;"",$Q394&lt;&gt;"",$S394=""),"UNIDADE",
IF(AND($C394="S",$P394&lt;&gt;"",$Q394&lt;&gt;"",$U394=0),"SEM CUSTO",
IF(AND(_xlfn.SINGLE(TIPOORCAMENTO)="Licitado",$AL394=0,$AN394&gt;0),"SEM PREÇO",
IF(AND($C394="S",$P394&lt;&gt;"",$Q394&lt;&gt;"",$U394&gt;0,AND($V394&lt;&gt;"BDI 1",$V394&lt;&gt;"BDI 2",$V394&lt;&gt;"BDI 3")),IF(ISNUMBER($V394),"JUSTIFICAR BDI","BDI"),
IF(OR(AND(import.recurso="OGU",TIPOORCAMENTO="Proposto",LEFT($O$8,5)&lt;&gt;"(N/D:",$AG394&lt;&gt;"",ORÇAMENTO.CustoUnitario&gt;$AG394),AND(TIPOORCAMENTO="LICITADO",ORÇAMENTO.PrecoUnitarioLicitado&gt;$AN394)),"ACIMA REF.",
IF(AND($C394="S",$P394&lt;&gt;"",$Q394&lt;&gt;"",$T394=0,$U394&gt;0),"QUANT.",
IF(AND(Import.TipoArredondamento="TransfereGOV",$L394="F",$C394="S",LEN($Q394)&gt;13),"Código &gt;13",
IF(AND(Import.TipoArredondamento="TransfereGOV",$L394="F",$C394&lt;&gt;"S",LEN($R394)&gt;100),"Descrição &gt;100",
IF(AND(Import.TipoArredondamento="TransfereGOV",$L394="F",$C394="S",LEN($R394)&gt;500),"Descrição &gt;500",
IF(AND(Import.TipoArredondamento="TransfereGOV",$L394="F",$C394="S",LEFT(TRIM(UPPER($P394)),6)&lt;&gt;"SINAPI",ISNA(VLOOKUP(TRIM(UPPER($S394)),ListaTgov.Unidades,1,FALSE))),"Unid. Não Disp",
" "))))))))))))))))</f>
        <v xml:space="preserve"> </v>
      </c>
      <c r="AD394" t="str">
        <f ca="1">IF(C394&lt;=CRONO.NivelExibicao,MAX($AD$15:OFFSET(AD394,-1,0))+IF($C394&lt;&gt;1,1,MAX(1,COUNTIF(QCI!$A$13:$A$15,OFFSET($E394,-1,0)))),"")</f>
        <v/>
      </c>
      <c r="AE394" s="7" t="str">
        <f ca="1">IF(AND($C394="S",ORÇAMENTO.CodBarra&lt;&gt;""),IF(ORÇAMENTO.Fonte="",ORÇAMENTO.CodBarra,CONCATENATE(ORÇAMENTO.Fonte," ",ORÇAMENTO.CodBarra)))</f>
        <v>SETOP ED-49318</v>
      </c>
      <c r="AF394" s="12">
        <f ca="1">IF(ISERROR(INDIRECT(ORÇAMENTO.BancoRef)),"(abra o arquivo 'Referência "&amp;Excel_BuiltIn_Database&amp;".xlsm)",IF(OR($C394&lt;&gt;"S",ORÇAMENTO.CodBarra=""),"(Sem Código)",IF(ISERROR(MATCH($AE394,INDIRECT(ORÇAMENTO.BancoRef),0)),"(Código não identificado nas referências)",MATCH($AE394,INDIRECT(ORÇAMENTO.BancoRef),0))))</f>
        <v>29129</v>
      </c>
      <c r="AG394" s="428">
        <f ca="1">ROUND(IF(DESONERACAO="sim",REFERENCIA.Desonerado,REFERENCIA.NaoDesonerado),2)</f>
        <v>30.58</v>
      </c>
      <c r="AH394" s="429">
        <f t="shared" ca="1" si="106"/>
        <v>0.23499999999999999</v>
      </c>
      <c r="AJ394" s="431">
        <v>24</v>
      </c>
      <c r="AL394" s="439"/>
      <c r="AM394" s="336">
        <f t="shared" ca="1" si="92"/>
        <v>906.48</v>
      </c>
      <c r="AN394" s="470">
        <f t="shared" ca="1" si="107"/>
        <v>37.770000000000003</v>
      </c>
    </row>
    <row r="395" spans="1:40" x14ac:dyDescent="0.2">
      <c r="A395">
        <f t="shared" si="93"/>
        <v>4</v>
      </c>
      <c r="B395">
        <f t="shared" ca="1" si="94"/>
        <v>4</v>
      </c>
      <c r="C395">
        <f t="shared" ca="1" si="95"/>
        <v>4</v>
      </c>
      <c r="D395">
        <f t="shared" ca="1" si="96"/>
        <v>5</v>
      </c>
      <c r="E395">
        <f ca="1">IF($C395=1,OFFSET(E395,-1,0)+MAX(1,COUNTIF(QCI!$A$13:$A$15,OFFSET(ORÇAMENTO!E395,-1,0))),OFFSET(E395,-1,0))</f>
        <v>1</v>
      </c>
      <c r="F395">
        <f t="shared" ca="1" si="97"/>
        <v>8</v>
      </c>
      <c r="G395">
        <f t="shared" ca="1" si="98"/>
        <v>2</v>
      </c>
      <c r="H395">
        <f t="shared" ca="1" si="99"/>
        <v>2</v>
      </c>
      <c r="I395">
        <f t="shared" ca="1" si="100"/>
        <v>0</v>
      </c>
      <c r="J395">
        <f t="shared" ca="1" si="91"/>
        <v>46</v>
      </c>
      <c r="K395">
        <f ca="1">IF(OR($C395="S",$C395=0),0,MATCH(OFFSET($D395,0,$C395)+IF($C395&lt;&gt;1,1,COUNTIF(QCI!$A$13:$A$15,ORÇAMENTO!E395)),OFFSET($D395,1,$C395,ROW($C$508)-ROW($C395)),0))</f>
        <v>5</v>
      </c>
      <c r="L395" s="114" t="str">
        <f t="shared" ca="1" si="101"/>
        <v>F</v>
      </c>
      <c r="M395" s="115" t="s">
        <v>704</v>
      </c>
      <c r="N395" s="116" t="str">
        <f t="shared" ca="1" si="102"/>
        <v>Nível 4</v>
      </c>
      <c r="O395" s="117" t="str">
        <f t="shared" ca="1" si="103"/>
        <v>1.8.2.2.</v>
      </c>
      <c r="P395" s="118" t="s">
        <v>750</v>
      </c>
      <c r="Q395" s="119"/>
      <c r="R395" s="120" t="s">
        <v>1254</v>
      </c>
      <c r="S395" s="121" t="s">
        <v>688</v>
      </c>
      <c r="T395" s="122">
        <f ca="1">OFFSET(CÁLCULO!H$15,ROW($T395)-ROW(T$15),0)</f>
        <v>0</v>
      </c>
      <c r="U395" s="123">
        <f t="shared" ca="1" si="108"/>
        <v>0</v>
      </c>
      <c r="V395" s="124" t="s">
        <v>663</v>
      </c>
      <c r="W395" s="122">
        <f ca="1">IF($C395="S",ROUND(IF(TIPOORCAMENTO="Proposto",ORÇAMENTO.CustoUnitario*(1+$AH395),ORÇAMENTO.PrecoUnitarioLicitado),15-13*$AF$10),0)</f>
        <v>0</v>
      </c>
      <c r="X395" s="125" cm="1">
        <f t="array" aca="1" ref="X395" ca="1">IF($C395="S",IF(OR(Import.TipoArredondamento&lt;&gt;"TransfereGOV",ACOMPANHAMENTO="BM"),VTOTAL1,SUM(OFFSET(CÁLCULO!$AI$15,ROW($X395)-ROW($X$15),1):OFFSET(CÁLCULO!$BB$15,ROW($X395)-ROW($X$15),-1))),IF($C395=0,0,ROUND(SomaAgrup,15-13*$AF$11)))</f>
        <v>434.84</v>
      </c>
      <c r="Y395" s="126" t="s">
        <v>751</v>
      </c>
      <c r="Z395" t="str">
        <f t="shared" ca="1" si="104"/>
        <v/>
      </c>
      <c r="AA395" s="127">
        <f ca="1">IF($C395="S",IF($Z395="CP",$X395,IF($Z395="RA",(($X395)*QCI!$AA$3),0)),SomaAgrup)</f>
        <v>0</v>
      </c>
      <c r="AB395" s="128">
        <f t="shared" ca="1" si="105"/>
        <v>0</v>
      </c>
      <c r="AC395" s="565" t="str" cm="1">
        <f t="array" aca="1" ref="AC395" ca="1">IF($N395=""," ",
IF(AND($C395&lt;&gt;"S",OR($R395="",$R395="(digite a descrição aqui)")),"DESCRIÇÃO",
IF(AND($C395="S",OR($Q395&lt;&gt;"",$T395&gt;0,$U395&gt;0),$P395=""),"FONTE",
IF(AND($C395="S",$P395&lt;&gt;"",OR($T395&gt;0,$U395&gt;0),$Q395=""),"CÓDIGO",
IF(AND($C395="S",$P395&lt;&gt;"",$Q395&lt;&gt;"",$R395="(Código não identificado nas referências)"),"CÓDIGO N/ID",
IF(AND($C395="S",OR($R395="",$R395="(digite a descrição aqui)"),OR($Q395&lt;&gt;"",$T395&gt;0,$U395&gt;0)),"DESCRIÇÃO",
IF(AND($C395="S",$P395&lt;&gt;"",$Q395&lt;&gt;"",$S395=""),"UNIDADE",
IF(AND($C395="S",$P395&lt;&gt;"",$Q395&lt;&gt;"",$U395=0),"SEM CUSTO",
IF(AND(_xlfn.SINGLE(TIPOORCAMENTO)="Licitado",$AL395=0,$AN395&gt;0),"SEM PREÇO",
IF(AND($C395="S",$P395&lt;&gt;"",$Q395&lt;&gt;"",$U395&gt;0,AND($V395&lt;&gt;"BDI 1",$V395&lt;&gt;"BDI 2",$V395&lt;&gt;"BDI 3")),IF(ISNUMBER($V395),"JUSTIFICAR BDI","BDI"),
IF(OR(AND(import.recurso="OGU",TIPOORCAMENTO="Proposto",LEFT($O$8,5)&lt;&gt;"(N/D:",$AG395&lt;&gt;"",ORÇAMENTO.CustoUnitario&gt;$AG395),AND(TIPOORCAMENTO="LICITADO",ORÇAMENTO.PrecoUnitarioLicitado&gt;$AN395)),"ACIMA REF.",
IF(AND($C395="S",$P395&lt;&gt;"",$Q395&lt;&gt;"",$T395=0,$U395&gt;0),"QUANT.",
IF(AND(Import.TipoArredondamento="TransfereGOV",$L395="F",$C395="S",LEN($Q395)&gt;13),"Código &gt;13",
IF(AND(Import.TipoArredondamento="TransfereGOV",$L395="F",$C395&lt;&gt;"S",LEN($R395)&gt;100),"Descrição &gt;100",
IF(AND(Import.TipoArredondamento="TransfereGOV",$L395="F",$C395="S",LEN($R395)&gt;500),"Descrição &gt;500",
IF(AND(Import.TipoArredondamento="TransfereGOV",$L395="F",$C395="S",LEFT(TRIM(UPPER($P395)),6)&lt;&gt;"SINAPI",ISNA(VLOOKUP(TRIM(UPPER($S395)),ListaTgov.Unidades,1,FALSE))),"Unid. Não Disp",
" "))))))))))))))))</f>
        <v xml:space="preserve"> </v>
      </c>
      <c r="AD395" t="str">
        <f ca="1">IF(C395&lt;=CRONO.NivelExibicao,MAX($AD$15:OFFSET(AD395,-1,0))+IF($C395&lt;&gt;1,1,MAX(1,COUNTIF(QCI!$A$13:$A$15,OFFSET($E395,-1,0)))),"")</f>
        <v/>
      </c>
      <c r="AE395" s="7" t="b">
        <f ca="1">IF(AND($C395="S",ORÇAMENTO.CodBarra&lt;&gt;""),IF(ORÇAMENTO.Fonte="",ORÇAMENTO.CodBarra,CONCATENATE(ORÇAMENTO.Fonte," ",ORÇAMENTO.CodBarra)))</f>
        <v>0</v>
      </c>
      <c r="AF395" s="12" t="str">
        <f ca="1">IF(ISERROR(INDIRECT(ORÇAMENTO.BancoRef)),"(abra o arquivo 'Referência "&amp;Excel_BuiltIn_Database&amp;".xlsm)",IF(OR($C395&lt;&gt;"S",ORÇAMENTO.CodBarra=""),"(Sem Código)",IF(ISERROR(MATCH($AE395,INDIRECT(ORÇAMENTO.BancoRef),0)),"(Código não identificado nas referências)",MATCH($AE395,INDIRECT(ORÇAMENTO.BancoRef),0))))</f>
        <v>(Sem Código)</v>
      </c>
      <c r="AG395" s="428">
        <f ca="1">ROUND(IF(DESONERACAO="sim",REFERENCIA.Desonerado,REFERENCIA.NaoDesonerado),2)</f>
        <v>0</v>
      </c>
      <c r="AH395" s="429">
        <f t="shared" ca="1" si="106"/>
        <v>0.23499999999999999</v>
      </c>
      <c r="AJ395" s="431"/>
      <c r="AL395" s="439"/>
      <c r="AM395" s="336">
        <f t="shared" ca="1" si="92"/>
        <v>434.84</v>
      </c>
      <c r="AN395" s="470">
        <f t="shared" ca="1" si="107"/>
        <v>0</v>
      </c>
    </row>
    <row r="396" spans="1:40" ht="38.25" x14ac:dyDescent="0.2">
      <c r="A396" t="str">
        <f t="shared" si="93"/>
        <v>S</v>
      </c>
      <c r="B396">
        <f t="shared" ca="1" si="94"/>
        <v>4</v>
      </c>
      <c r="C396" t="str">
        <f t="shared" ca="1" si="95"/>
        <v>S</v>
      </c>
      <c r="D396">
        <f t="shared" ca="1" si="96"/>
        <v>0</v>
      </c>
      <c r="E396">
        <f ca="1">IF($C396=1,OFFSET(E396,-1,0)+MAX(1,COUNTIF(QCI!$A$13:$A$15,OFFSET(ORÇAMENTO!E396,-1,0))),OFFSET(E396,-1,0))</f>
        <v>1</v>
      </c>
      <c r="F396">
        <f t="shared" ca="1" si="97"/>
        <v>8</v>
      </c>
      <c r="G396">
        <f t="shared" ca="1" si="98"/>
        <v>2</v>
      </c>
      <c r="H396">
        <f t="shared" ca="1" si="99"/>
        <v>2</v>
      </c>
      <c r="I396">
        <f t="shared" ca="1" si="100"/>
        <v>1</v>
      </c>
      <c r="J396">
        <f t="shared" ca="1" si="91"/>
        <v>0</v>
      </c>
      <c r="K396">
        <f ca="1">IF(OR($C396="S",$C396=0),0,MATCH(OFFSET($D396,0,$C396)+IF($C396&lt;&gt;1,1,COUNTIF(QCI!$A$13:$A$15,ORÇAMENTO!E396)),OFFSET($D396,1,$C396,ROW($C$508)-ROW($C396)),0))</f>
        <v>0</v>
      </c>
      <c r="L396" s="114" t="str">
        <f t="shared" ca="1" si="101"/>
        <v>F</v>
      </c>
      <c r="M396" s="115" t="s">
        <v>705</v>
      </c>
      <c r="N396" s="116" t="str">
        <f t="shared" ca="1" si="102"/>
        <v>Serviço</v>
      </c>
      <c r="O396" s="117" t="str">
        <f t="shared" ca="1" si="103"/>
        <v>1.8.2.2.1.</v>
      </c>
      <c r="P396" s="118" t="s">
        <v>750</v>
      </c>
      <c r="Q396" s="119" t="s">
        <v>1134</v>
      </c>
      <c r="R396" s="120" t="str">
        <f ca="1">IF($C396="S",REFERENCIA.Descricao,"(digite a descrição aqui)")</f>
        <v>INTERRUPTOR SIMPLES (1 MÓDULO) COM 1 TOMADA DE EMBUTIR 2P+T 10 A, INCLUINDO SUPORTE E PLACA - FORNECIMENTO E INSTALAÇÃO. AF_03/2023</v>
      </c>
      <c r="S396" s="121" t="str">
        <f ca="1">REFERENCIA.Unidade</f>
        <v>UN</v>
      </c>
      <c r="T396" s="122">
        <f ca="1">OFFSET(CÁLCULO!H$15,ROW($T396)-ROW(T$15),0)</f>
        <v>1</v>
      </c>
      <c r="U396" s="123">
        <f t="shared" ca="1" si="108"/>
        <v>53.15</v>
      </c>
      <c r="V396" s="124" t="s">
        <v>663</v>
      </c>
      <c r="W396" s="122">
        <f ca="1">IF($C396="S",ROUND(IF(TIPOORCAMENTO="Proposto",ORÇAMENTO.CustoUnitario*(1+$AH396),ORÇAMENTO.PrecoUnitarioLicitado),15-13*$AF$10),0)</f>
        <v>65.64</v>
      </c>
      <c r="X396" s="125" cm="1">
        <f t="array" aca="1" ref="X396" ca="1">IF($C396="S",IF(OR(Import.TipoArredondamento&lt;&gt;"TransfereGOV",ACOMPANHAMENTO="BM"),VTOTAL1,SUM(OFFSET(CÁLCULO!$AI$15,ROW($X396)-ROW($X$15),1):OFFSET(CÁLCULO!$BB$15,ROW($X396)-ROW($X$15),-1))),IF($C396=0,0,ROUND(SomaAgrup,15-13*$AF$11)))</f>
        <v>65.64</v>
      </c>
      <c r="Y396" s="126" t="s">
        <v>751</v>
      </c>
      <c r="Z396" t="str">
        <f t="shared" ca="1" si="104"/>
        <v>RA</v>
      </c>
      <c r="AA396" s="127">
        <f ca="1">IF($C396="S",IF($Z396="CP",$X396,IF($Z396="RA",(($X396)*QCI!$AA$3),0)),SomaAgrup)</f>
        <v>0</v>
      </c>
      <c r="AB396" s="128">
        <f t="shared" ca="1" si="105"/>
        <v>0</v>
      </c>
      <c r="AC396" s="565" t="str" cm="1">
        <f t="array" aca="1" ref="AC396" ca="1">IF($N396=""," ",
IF(AND($C396&lt;&gt;"S",OR($R396="",$R396="(digite a descrição aqui)")),"DESCRIÇÃO",
IF(AND($C396="S",OR($Q396&lt;&gt;"",$T396&gt;0,$U396&gt;0),$P396=""),"FONTE",
IF(AND($C396="S",$P396&lt;&gt;"",OR($T396&gt;0,$U396&gt;0),$Q396=""),"CÓDIGO",
IF(AND($C396="S",$P396&lt;&gt;"",$Q396&lt;&gt;"",$R396="(Código não identificado nas referências)"),"CÓDIGO N/ID",
IF(AND($C396="S",OR($R396="",$R396="(digite a descrição aqui)"),OR($Q396&lt;&gt;"",$T396&gt;0,$U396&gt;0)),"DESCRIÇÃO",
IF(AND($C396="S",$P396&lt;&gt;"",$Q396&lt;&gt;"",$S396=""),"UNIDADE",
IF(AND($C396="S",$P396&lt;&gt;"",$Q396&lt;&gt;"",$U396=0),"SEM CUSTO",
IF(AND(_xlfn.SINGLE(TIPOORCAMENTO)="Licitado",$AL396=0,$AN396&gt;0),"SEM PREÇO",
IF(AND($C396="S",$P396&lt;&gt;"",$Q396&lt;&gt;"",$U396&gt;0,AND($V396&lt;&gt;"BDI 1",$V396&lt;&gt;"BDI 2",$V396&lt;&gt;"BDI 3")),IF(ISNUMBER($V396),"JUSTIFICAR BDI","BDI"),
IF(OR(AND(import.recurso="OGU",TIPOORCAMENTO="Proposto",LEFT($O$8,5)&lt;&gt;"(N/D:",$AG396&lt;&gt;"",ORÇAMENTO.CustoUnitario&gt;$AG396),AND(TIPOORCAMENTO="LICITADO",ORÇAMENTO.PrecoUnitarioLicitado&gt;$AN396)),"ACIMA REF.",
IF(AND($C396="S",$P396&lt;&gt;"",$Q396&lt;&gt;"",$T396=0,$U396&gt;0),"QUANT.",
IF(AND(Import.TipoArredondamento="TransfereGOV",$L396="F",$C396="S",LEN($Q396)&gt;13),"Código &gt;13",
IF(AND(Import.TipoArredondamento="TransfereGOV",$L396="F",$C396&lt;&gt;"S",LEN($R396)&gt;100),"Descrição &gt;100",
IF(AND(Import.TipoArredondamento="TransfereGOV",$L396="F",$C396="S",LEN($R396)&gt;500),"Descrição &gt;500",
IF(AND(Import.TipoArredondamento="TransfereGOV",$L396="F",$C396="S",LEFT(TRIM(UPPER($P396)),6)&lt;&gt;"SINAPI",ISNA(VLOOKUP(TRIM(UPPER($S396)),ListaTgov.Unidades,1,FALSE))),"Unid. Não Disp",
" "))))))))))))))))</f>
        <v xml:space="preserve"> </v>
      </c>
      <c r="AD396" t="str">
        <f ca="1">IF(C396&lt;=CRONO.NivelExibicao,MAX($AD$15:OFFSET(AD396,-1,0))+IF($C396&lt;&gt;1,1,MAX(1,COUNTIF(QCI!$A$13:$A$15,OFFSET($E396,-1,0)))),"")</f>
        <v/>
      </c>
      <c r="AE396" s="7" t="str">
        <f ca="1">IF(AND($C396="S",ORÇAMENTO.CodBarra&lt;&gt;""),IF(ORÇAMENTO.Fonte="",ORÇAMENTO.CodBarra,CONCATENATE(ORÇAMENTO.Fonte," ",ORÇAMENTO.CodBarra)))</f>
        <v>SINAPI 92023</v>
      </c>
      <c r="AF396" s="12">
        <f ca="1">IF(ISERROR(INDIRECT(ORÇAMENTO.BancoRef)),"(abra o arquivo 'Referência "&amp;Excel_BuiltIn_Database&amp;".xlsm)",IF(OR($C396&lt;&gt;"S",ORÇAMENTO.CodBarra=""),"(Sem Código)",IF(ISERROR(MATCH($AE396,INDIRECT(ORÇAMENTO.BancoRef),0)),"(Código não identificado nas referências)",MATCH($AE396,INDIRECT(ORÇAMENTO.BancoRef),0))))</f>
        <v>10497</v>
      </c>
      <c r="AG396" s="428">
        <f ca="1">ROUND(IF(DESONERACAO="sim",REFERENCIA.Desonerado,REFERENCIA.NaoDesonerado),2)</f>
        <v>53.15</v>
      </c>
      <c r="AH396" s="429">
        <f t="shared" ca="1" si="106"/>
        <v>0.23499999999999999</v>
      </c>
      <c r="AJ396" s="431">
        <v>1</v>
      </c>
      <c r="AL396" s="439"/>
      <c r="AM396" s="336">
        <f t="shared" ca="1" si="92"/>
        <v>65.64</v>
      </c>
      <c r="AN396" s="470">
        <f t="shared" ca="1" si="107"/>
        <v>65.64</v>
      </c>
    </row>
    <row r="397" spans="1:40" ht="51" x14ac:dyDescent="0.2">
      <c r="A397" t="str">
        <f t="shared" si="93"/>
        <v>S</v>
      </c>
      <c r="B397">
        <f t="shared" ca="1" si="94"/>
        <v>4</v>
      </c>
      <c r="C397" t="str">
        <f t="shared" ca="1" si="95"/>
        <v>S</v>
      </c>
      <c r="D397">
        <f t="shared" ca="1" si="96"/>
        <v>0</v>
      </c>
      <c r="E397">
        <f ca="1">IF($C397=1,OFFSET(E397,-1,0)+MAX(1,COUNTIF(QCI!$A$13:$A$15,OFFSET(ORÇAMENTO!E397,-1,0))),OFFSET(E397,-1,0))</f>
        <v>1</v>
      </c>
      <c r="F397">
        <f t="shared" ca="1" si="97"/>
        <v>8</v>
      </c>
      <c r="G397">
        <f t="shared" ca="1" si="98"/>
        <v>2</v>
      </c>
      <c r="H397">
        <f t="shared" ca="1" si="99"/>
        <v>2</v>
      </c>
      <c r="I397">
        <f t="shared" ca="1" si="100"/>
        <v>2</v>
      </c>
      <c r="J397">
        <f t="shared" ca="1" si="91"/>
        <v>0</v>
      </c>
      <c r="K397">
        <f ca="1">IF(OR($C397="S",$C397=0),0,MATCH(OFFSET($D397,0,$C397)+IF($C397&lt;&gt;1,1,COUNTIF(QCI!$A$13:$A$15,ORÇAMENTO!E397)),OFFSET($D397,1,$C397,ROW($C$508)-ROW($C397)),0))</f>
        <v>0</v>
      </c>
      <c r="L397" s="114" t="str">
        <f t="shared" ca="1" si="101"/>
        <v>F</v>
      </c>
      <c r="M397" s="115" t="s">
        <v>705</v>
      </c>
      <c r="N397" s="116" t="str">
        <f t="shared" ca="1" si="102"/>
        <v>Serviço</v>
      </c>
      <c r="O397" s="117" t="str">
        <f t="shared" ca="1" si="103"/>
        <v>1.8.2.2.2.</v>
      </c>
      <c r="P397" s="118" t="s">
        <v>1280</v>
      </c>
      <c r="Q397" s="119" t="s">
        <v>1135</v>
      </c>
      <c r="R397" s="120" t="str">
        <f ca="1">IF($C397="S",REFERENCIA.Descricao,"(digite a descrição aqui)")</f>
        <v>CONJUNTO DE UMA (1) TOMADA PADRÃO, TRÊS (3) POLOS, CORRENTE 10A, TENSÃO 250V, (2P+T/10A-250V), COM PLACA 4"X2" DE UM (1) POSTO, INCLUSIVE FORNECIMENTO, INSTALAÇÃO, SUPORTE, MÓDULO E PLACA</v>
      </c>
      <c r="S397" s="121" t="str">
        <f ca="1">REFERENCIA.Unidade</f>
        <v>UN</v>
      </c>
      <c r="T397" s="122">
        <f ca="1">OFFSET(CÁLCULO!H$15,ROW($T397)-ROW(T$15),0)</f>
        <v>2</v>
      </c>
      <c r="U397" s="123">
        <f t="shared" ca="1" si="108"/>
        <v>28.74</v>
      </c>
      <c r="V397" s="124" t="s">
        <v>663</v>
      </c>
      <c r="W397" s="122">
        <f ca="1">IF($C397="S",ROUND(IF(TIPOORCAMENTO="Proposto",ORÇAMENTO.CustoUnitario*(1+$AH397),ORÇAMENTO.PrecoUnitarioLicitado),15-13*$AF$10),0)</f>
        <v>35.49</v>
      </c>
      <c r="X397" s="125" cm="1">
        <f t="array" aca="1" ref="X397" ca="1">IF($C397="S",IF(OR(Import.TipoArredondamento&lt;&gt;"TransfereGOV",ACOMPANHAMENTO="BM"),VTOTAL1,SUM(OFFSET(CÁLCULO!$AI$15,ROW($X397)-ROW($X$15),1):OFFSET(CÁLCULO!$BB$15,ROW($X397)-ROW($X$15),-1))),IF($C397=0,0,ROUND(SomaAgrup,15-13*$AF$11)))</f>
        <v>70.98</v>
      </c>
      <c r="Y397" s="126" t="s">
        <v>751</v>
      </c>
      <c r="Z397" t="str">
        <f t="shared" ca="1" si="104"/>
        <v>RA</v>
      </c>
      <c r="AA397" s="127">
        <f ca="1">IF($C397="S",IF($Z397="CP",$X397,IF($Z397="RA",(($X397)*QCI!$AA$3),0)),SomaAgrup)</f>
        <v>0</v>
      </c>
      <c r="AB397" s="128">
        <f t="shared" ca="1" si="105"/>
        <v>0</v>
      </c>
      <c r="AC397" s="565" t="str" cm="1">
        <f t="array" aca="1" ref="AC397" ca="1">IF($N397=""," ",
IF(AND($C397&lt;&gt;"S",OR($R397="",$R397="(digite a descrição aqui)")),"DESCRIÇÃO",
IF(AND($C397="S",OR($Q397&lt;&gt;"",$T397&gt;0,$U397&gt;0),$P397=""),"FONTE",
IF(AND($C397="S",$P397&lt;&gt;"",OR($T397&gt;0,$U397&gt;0),$Q397=""),"CÓDIGO",
IF(AND($C397="S",$P397&lt;&gt;"",$Q397&lt;&gt;"",$R397="(Código não identificado nas referências)"),"CÓDIGO N/ID",
IF(AND($C397="S",OR($R397="",$R397="(digite a descrição aqui)"),OR($Q397&lt;&gt;"",$T397&gt;0,$U397&gt;0)),"DESCRIÇÃO",
IF(AND($C397="S",$P397&lt;&gt;"",$Q397&lt;&gt;"",$S397=""),"UNIDADE",
IF(AND($C397="S",$P397&lt;&gt;"",$Q397&lt;&gt;"",$U397=0),"SEM CUSTO",
IF(AND(_xlfn.SINGLE(TIPOORCAMENTO)="Licitado",$AL397=0,$AN397&gt;0),"SEM PREÇO",
IF(AND($C397="S",$P397&lt;&gt;"",$Q397&lt;&gt;"",$U397&gt;0,AND($V397&lt;&gt;"BDI 1",$V397&lt;&gt;"BDI 2",$V397&lt;&gt;"BDI 3")),IF(ISNUMBER($V397),"JUSTIFICAR BDI","BDI"),
IF(OR(AND(import.recurso="OGU",TIPOORCAMENTO="Proposto",LEFT($O$8,5)&lt;&gt;"(N/D:",$AG397&lt;&gt;"",ORÇAMENTO.CustoUnitario&gt;$AG397),AND(TIPOORCAMENTO="LICITADO",ORÇAMENTO.PrecoUnitarioLicitado&gt;$AN397)),"ACIMA REF.",
IF(AND($C397="S",$P397&lt;&gt;"",$Q397&lt;&gt;"",$T397=0,$U397&gt;0),"QUANT.",
IF(AND(Import.TipoArredondamento="TransfereGOV",$L397="F",$C397="S",LEN($Q397)&gt;13),"Código &gt;13",
IF(AND(Import.TipoArredondamento="TransfereGOV",$L397="F",$C397&lt;&gt;"S",LEN($R397)&gt;100),"Descrição &gt;100",
IF(AND(Import.TipoArredondamento="TransfereGOV",$L397="F",$C397="S",LEN($R397)&gt;500),"Descrição &gt;500",
IF(AND(Import.TipoArredondamento="TransfereGOV",$L397="F",$C397="S",LEFT(TRIM(UPPER($P397)),6)&lt;&gt;"SINAPI",ISNA(VLOOKUP(TRIM(UPPER($S397)),ListaTgov.Unidades,1,FALSE))),"Unid. Não Disp",
" "))))))))))))))))</f>
        <v xml:space="preserve"> </v>
      </c>
      <c r="AD397" t="str">
        <f ca="1">IF(C397&lt;=CRONO.NivelExibicao,MAX($AD$15:OFFSET(AD397,-1,0))+IF($C397&lt;&gt;1,1,MAX(1,COUNTIF(QCI!$A$13:$A$15,OFFSET($E397,-1,0)))),"")</f>
        <v/>
      </c>
      <c r="AE397" s="7" t="str">
        <f ca="1">IF(AND($C397="S",ORÇAMENTO.CodBarra&lt;&gt;""),IF(ORÇAMENTO.Fonte="",ORÇAMENTO.CodBarra,CONCATENATE(ORÇAMENTO.Fonte," ",ORÇAMENTO.CodBarra)))</f>
        <v>SETOP ED-15748</v>
      </c>
      <c r="AF397" s="12">
        <f ca="1">IF(ISERROR(INDIRECT(ORÇAMENTO.BancoRef)),"(abra o arquivo 'Referência "&amp;Excel_BuiltIn_Database&amp;".xlsm)",IF(OR($C397&lt;&gt;"S",ORÇAMENTO.CodBarra=""),"(Sem Código)",IF(ISERROR(MATCH($AE397,INDIRECT(ORÇAMENTO.BancoRef),0)),"(Código não identificado nas referências)",MATCH($AE397,INDIRECT(ORÇAMENTO.BancoRef),0))))</f>
        <v>29014</v>
      </c>
      <c r="AG397" s="428">
        <f ca="1">ROUND(IF(DESONERACAO="sim",REFERENCIA.Desonerado,REFERENCIA.NaoDesonerado),2)</f>
        <v>28.74</v>
      </c>
      <c r="AH397" s="429">
        <f t="shared" ca="1" si="106"/>
        <v>0.23499999999999999</v>
      </c>
      <c r="AJ397" s="431">
        <v>2</v>
      </c>
      <c r="AL397" s="439"/>
      <c r="AM397" s="336">
        <f t="shared" ca="1" si="92"/>
        <v>70.98</v>
      </c>
      <c r="AN397" s="470">
        <f t="shared" ca="1" si="107"/>
        <v>35.49</v>
      </c>
    </row>
    <row r="398" spans="1:40" ht="25.5" x14ac:dyDescent="0.2">
      <c r="A398" t="str">
        <f t="shared" si="93"/>
        <v>S</v>
      </c>
      <c r="B398">
        <f t="shared" ca="1" si="94"/>
        <v>4</v>
      </c>
      <c r="C398" t="str">
        <f t="shared" ca="1" si="95"/>
        <v>S</v>
      </c>
      <c r="D398">
        <f t="shared" ca="1" si="96"/>
        <v>0</v>
      </c>
      <c r="E398">
        <f ca="1">IF($C398=1,OFFSET(E398,-1,0)+MAX(1,COUNTIF(QCI!$A$13:$A$15,OFFSET(ORÇAMENTO!E398,-1,0))),OFFSET(E398,-1,0))</f>
        <v>1</v>
      </c>
      <c r="F398">
        <f t="shared" ca="1" si="97"/>
        <v>8</v>
      </c>
      <c r="G398">
        <f t="shared" ca="1" si="98"/>
        <v>2</v>
      </c>
      <c r="H398">
        <f t="shared" ca="1" si="99"/>
        <v>2</v>
      </c>
      <c r="I398">
        <f t="shared" ca="1" si="100"/>
        <v>3</v>
      </c>
      <c r="J398">
        <f t="shared" ca="1" si="91"/>
        <v>0</v>
      </c>
      <c r="K398">
        <f ca="1">IF(OR($C398="S",$C398=0),0,MATCH(OFFSET($D398,0,$C398)+IF($C398&lt;&gt;1,1,COUNTIF(QCI!$A$13:$A$15,ORÇAMENTO!E398)),OFFSET($D398,1,$C398,ROW($C$508)-ROW($C398)),0))</f>
        <v>0</v>
      </c>
      <c r="L398" s="114" t="str">
        <f t="shared" ca="1" si="101"/>
        <v>F</v>
      </c>
      <c r="M398" s="115" t="s">
        <v>705</v>
      </c>
      <c r="N398" s="116" t="str">
        <f t="shared" ca="1" si="102"/>
        <v>Serviço</v>
      </c>
      <c r="O398" s="117" t="str">
        <f t="shared" ca="1" si="103"/>
        <v>1.8.2.2.3.</v>
      </c>
      <c r="P398" s="118" t="s">
        <v>750</v>
      </c>
      <c r="Q398" s="119" t="s">
        <v>1136</v>
      </c>
      <c r="R398" s="120" t="str">
        <f ca="1">IF($C398="S",REFERENCIA.Descricao,"(digite a descrição aqui)")</f>
        <v>TOMADA MÉDIA DE EMBUTIR (2 MÓDULOS), 2P+T 10 A, INCLUINDO SUPORTE E PLACA - FORNECIMENTO E INSTALAÇÃO. AF_03/2023</v>
      </c>
      <c r="S398" s="121" t="str">
        <f ca="1">REFERENCIA.Unidade</f>
        <v>UN</v>
      </c>
      <c r="T398" s="122">
        <f ca="1">OFFSET(CÁLCULO!H$15,ROW($T398)-ROW(T$15),0)</f>
        <v>1</v>
      </c>
      <c r="U398" s="123">
        <f t="shared" ca="1" si="108"/>
        <v>58.96</v>
      </c>
      <c r="V398" s="124" t="s">
        <v>663</v>
      </c>
      <c r="W398" s="122">
        <f ca="1">IF($C398="S",ROUND(IF(TIPOORCAMENTO="Proposto",ORÇAMENTO.CustoUnitario*(1+$AH398),ORÇAMENTO.PrecoUnitarioLicitado),15-13*$AF$10),0)</f>
        <v>72.819999999999993</v>
      </c>
      <c r="X398" s="125" cm="1">
        <f t="array" aca="1" ref="X398" ca="1">IF($C398="S",IF(OR(Import.TipoArredondamento&lt;&gt;"TransfereGOV",ACOMPANHAMENTO="BM"),VTOTAL1,SUM(OFFSET(CÁLCULO!$AI$15,ROW($X398)-ROW($X$15),1):OFFSET(CÁLCULO!$BB$15,ROW($X398)-ROW($X$15),-1))),IF($C398=0,0,ROUND(SomaAgrup,15-13*$AF$11)))</f>
        <v>72.819999999999993</v>
      </c>
      <c r="Y398" s="126" t="s">
        <v>751</v>
      </c>
      <c r="Z398" t="str">
        <f t="shared" ca="1" si="104"/>
        <v>RA</v>
      </c>
      <c r="AA398" s="127">
        <f ca="1">IF($C398="S",IF($Z398="CP",$X398,IF($Z398="RA",(($X398)*QCI!$AA$3),0)),SomaAgrup)</f>
        <v>0</v>
      </c>
      <c r="AB398" s="128">
        <f t="shared" ca="1" si="105"/>
        <v>0</v>
      </c>
      <c r="AC398" s="565" t="str" cm="1">
        <f t="array" aca="1" ref="AC398" ca="1">IF($N398=""," ",
IF(AND($C398&lt;&gt;"S",OR($R398="",$R398="(digite a descrição aqui)")),"DESCRIÇÃO",
IF(AND($C398="S",OR($Q398&lt;&gt;"",$T398&gt;0,$U398&gt;0),$P398=""),"FONTE",
IF(AND($C398="S",$P398&lt;&gt;"",OR($T398&gt;0,$U398&gt;0),$Q398=""),"CÓDIGO",
IF(AND($C398="S",$P398&lt;&gt;"",$Q398&lt;&gt;"",$R398="(Código não identificado nas referências)"),"CÓDIGO N/ID",
IF(AND($C398="S",OR($R398="",$R398="(digite a descrição aqui)"),OR($Q398&lt;&gt;"",$T398&gt;0,$U398&gt;0)),"DESCRIÇÃO",
IF(AND($C398="S",$P398&lt;&gt;"",$Q398&lt;&gt;"",$S398=""),"UNIDADE",
IF(AND($C398="S",$P398&lt;&gt;"",$Q398&lt;&gt;"",$U398=0),"SEM CUSTO",
IF(AND(_xlfn.SINGLE(TIPOORCAMENTO)="Licitado",$AL398=0,$AN398&gt;0),"SEM PREÇO",
IF(AND($C398="S",$P398&lt;&gt;"",$Q398&lt;&gt;"",$U398&gt;0,AND($V398&lt;&gt;"BDI 1",$V398&lt;&gt;"BDI 2",$V398&lt;&gt;"BDI 3")),IF(ISNUMBER($V398),"JUSTIFICAR BDI","BDI"),
IF(OR(AND(import.recurso="OGU",TIPOORCAMENTO="Proposto",LEFT($O$8,5)&lt;&gt;"(N/D:",$AG398&lt;&gt;"",ORÇAMENTO.CustoUnitario&gt;$AG398),AND(TIPOORCAMENTO="LICITADO",ORÇAMENTO.PrecoUnitarioLicitado&gt;$AN398)),"ACIMA REF.",
IF(AND($C398="S",$P398&lt;&gt;"",$Q398&lt;&gt;"",$T398=0,$U398&gt;0),"QUANT.",
IF(AND(Import.TipoArredondamento="TransfereGOV",$L398="F",$C398="S",LEN($Q398)&gt;13),"Código &gt;13",
IF(AND(Import.TipoArredondamento="TransfereGOV",$L398="F",$C398&lt;&gt;"S",LEN($R398)&gt;100),"Descrição &gt;100",
IF(AND(Import.TipoArredondamento="TransfereGOV",$L398="F",$C398="S",LEN($R398)&gt;500),"Descrição &gt;500",
IF(AND(Import.TipoArredondamento="TransfereGOV",$L398="F",$C398="S",LEFT(TRIM(UPPER($P398)),6)&lt;&gt;"SINAPI",ISNA(VLOOKUP(TRIM(UPPER($S398)),ListaTgov.Unidades,1,FALSE))),"Unid. Não Disp",
" "))))))))))))))))</f>
        <v xml:space="preserve"> </v>
      </c>
      <c r="AD398" t="str">
        <f ca="1">IF(C398&lt;=CRONO.NivelExibicao,MAX($AD$15:OFFSET(AD398,-1,0))+IF($C398&lt;&gt;1,1,MAX(1,COUNTIF(QCI!$A$13:$A$15,OFFSET($E398,-1,0)))),"")</f>
        <v/>
      </c>
      <c r="AE398" s="7" t="str">
        <f ca="1">IF(AND($C398="S",ORÇAMENTO.CodBarra&lt;&gt;""),IF(ORÇAMENTO.Fonte="",ORÇAMENTO.CodBarra,CONCATENATE(ORÇAMENTO.Fonte," ",ORÇAMENTO.CodBarra)))</f>
        <v>SINAPI 92004</v>
      </c>
      <c r="AF398" s="12">
        <f ca="1">IF(ISERROR(INDIRECT(ORÇAMENTO.BancoRef)),"(abra o arquivo 'Referência "&amp;Excel_BuiltIn_Database&amp;".xlsm)",IF(OR($C398&lt;&gt;"S",ORÇAMENTO.CodBarra=""),"(Sem Código)",IF(ISERROR(MATCH($AE398,INDIRECT(ORÇAMENTO.BancoRef),0)),"(Código não identificado nas referências)",MATCH($AE398,INDIRECT(ORÇAMENTO.BancoRef),0))))</f>
        <v>10567</v>
      </c>
      <c r="AG398" s="428">
        <f ca="1">ROUND(IF(DESONERACAO="sim",REFERENCIA.Desonerado,REFERENCIA.NaoDesonerado),2)</f>
        <v>58.96</v>
      </c>
      <c r="AH398" s="429">
        <f t="shared" ca="1" si="106"/>
        <v>0.23499999999999999</v>
      </c>
      <c r="AJ398" s="431">
        <v>1</v>
      </c>
      <c r="AL398" s="439"/>
      <c r="AM398" s="336">
        <f t="shared" ca="1" si="92"/>
        <v>72.819999999999993</v>
      </c>
      <c r="AN398" s="470">
        <f t="shared" ca="1" si="107"/>
        <v>72.819999999999993</v>
      </c>
    </row>
    <row r="399" spans="1:40" ht="51" x14ac:dyDescent="0.2">
      <c r="A399" t="str">
        <f t="shared" si="93"/>
        <v>S</v>
      </c>
      <c r="B399">
        <f t="shared" ca="1" si="94"/>
        <v>4</v>
      </c>
      <c r="C399" t="str">
        <f t="shared" ca="1" si="95"/>
        <v>S</v>
      </c>
      <c r="D399">
        <f t="shared" ca="1" si="96"/>
        <v>0</v>
      </c>
      <c r="E399">
        <f ca="1">IF($C399=1,OFFSET(E399,-1,0)+MAX(1,COUNTIF(QCI!$A$13:$A$15,OFFSET(ORÇAMENTO!E399,-1,0))),OFFSET(E399,-1,0))</f>
        <v>1</v>
      </c>
      <c r="F399">
        <f t="shared" ca="1" si="97"/>
        <v>8</v>
      </c>
      <c r="G399">
        <f t="shared" ca="1" si="98"/>
        <v>2</v>
      </c>
      <c r="H399">
        <f t="shared" ca="1" si="99"/>
        <v>2</v>
      </c>
      <c r="I399">
        <f t="shared" ca="1" si="100"/>
        <v>4</v>
      </c>
      <c r="J399">
        <f t="shared" ca="1" si="91"/>
        <v>0</v>
      </c>
      <c r="K399">
        <f ca="1">IF(OR($C399="S",$C399=0),0,MATCH(OFFSET($D399,0,$C399)+IF($C399&lt;&gt;1,1,COUNTIF(QCI!$A$13:$A$15,ORÇAMENTO!E399)),OFFSET($D399,1,$C399,ROW($C$508)-ROW($C399)),0))</f>
        <v>0</v>
      </c>
      <c r="L399" s="114" t="str">
        <f t="shared" ca="1" si="101"/>
        <v>F</v>
      </c>
      <c r="M399" s="115" t="s">
        <v>705</v>
      </c>
      <c r="N399" s="116" t="str">
        <f t="shared" ca="1" si="102"/>
        <v>Serviço</v>
      </c>
      <c r="O399" s="117" t="str">
        <f t="shared" ca="1" si="103"/>
        <v>1.8.2.2.4.</v>
      </c>
      <c r="P399" s="118" t="s">
        <v>1280</v>
      </c>
      <c r="Q399" s="119" t="s">
        <v>1137</v>
      </c>
      <c r="R399" s="120" t="str">
        <f ca="1">IF($C399="S",REFERENCIA.Descricao,"(digite a descrição aqui)")</f>
        <v>LUMINÁRIA COMERCIAL CHANFRADA DE SOBREPOR COMPLETA, PARA DUAS (2) LÂMPADAS TUBULARES LED 2X18W-ØT8, TEMPERATURA DA COR 6500K, FORNECIMENTO E INSTALAÇÃO, INCLUSIVE BASE E LÂMPADAS</v>
      </c>
      <c r="S399" s="121" t="str">
        <f ca="1">REFERENCIA.Unidade</f>
        <v>UN</v>
      </c>
      <c r="T399" s="122">
        <f ca="1">OFFSET(CÁLCULO!H$15,ROW($T399)-ROW(T$15),0)</f>
        <v>1</v>
      </c>
      <c r="U399" s="123">
        <f ca="1">AG399</f>
        <v>182.51</v>
      </c>
      <c r="V399" s="124" t="s">
        <v>663</v>
      </c>
      <c r="W399" s="122">
        <f ca="1">IF($C399="S",ROUND(IF(TIPOORCAMENTO="Proposto",ORÇAMENTO.CustoUnitario*(1+$AH399),ORÇAMENTO.PrecoUnitarioLicitado),15-13*$AF$10),0)</f>
        <v>225.4</v>
      </c>
      <c r="X399" s="125" cm="1">
        <f t="array" aca="1" ref="X399" ca="1">IF($C399="S",IF(OR(Import.TipoArredondamento&lt;&gt;"TransfereGOV",ACOMPANHAMENTO="BM"),VTOTAL1,SUM(OFFSET(CÁLCULO!$AI$15,ROW($X399)-ROW($X$15),1):OFFSET(CÁLCULO!$BB$15,ROW($X399)-ROW($X$15),-1))),IF($C399=0,0,ROUND(SomaAgrup,15-13*$AF$11)))</f>
        <v>225.4</v>
      </c>
      <c r="Y399" s="126" t="s">
        <v>751</v>
      </c>
      <c r="Z399" t="str">
        <f t="shared" ca="1" si="104"/>
        <v>RA</v>
      </c>
      <c r="AA399" s="127">
        <f ca="1">IF($C399="S",IF($Z399="CP",$X399,IF($Z399="RA",(($X399)*QCI!$AA$3),0)),SomaAgrup)</f>
        <v>0</v>
      </c>
      <c r="AB399" s="128">
        <f t="shared" ca="1" si="105"/>
        <v>0</v>
      </c>
      <c r="AC399" s="565" t="str" cm="1">
        <f t="array" aca="1" ref="AC399" ca="1">IF($N399=""," ",
IF(AND($C399&lt;&gt;"S",OR($R399="",$R399="(digite a descrição aqui)")),"DESCRIÇÃO",
IF(AND($C399="S",OR($Q399&lt;&gt;"",$T399&gt;0,$U399&gt;0),$P399=""),"FONTE",
IF(AND($C399="S",$P399&lt;&gt;"",OR($T399&gt;0,$U399&gt;0),$Q399=""),"CÓDIGO",
IF(AND($C399="S",$P399&lt;&gt;"",$Q399&lt;&gt;"",$R399="(Código não identificado nas referências)"),"CÓDIGO N/ID",
IF(AND($C399="S",OR($R399="",$R399="(digite a descrição aqui)"),OR($Q399&lt;&gt;"",$T399&gt;0,$U399&gt;0)),"DESCRIÇÃO",
IF(AND($C399="S",$P399&lt;&gt;"",$Q399&lt;&gt;"",$S399=""),"UNIDADE",
IF(AND($C399="S",$P399&lt;&gt;"",$Q399&lt;&gt;"",$U399=0),"SEM CUSTO",
IF(AND(_xlfn.SINGLE(TIPOORCAMENTO)="Licitado",$AL399=0,$AN399&gt;0),"SEM PREÇO",
IF(AND($C399="S",$P399&lt;&gt;"",$Q399&lt;&gt;"",$U399&gt;0,AND($V399&lt;&gt;"BDI 1",$V399&lt;&gt;"BDI 2",$V399&lt;&gt;"BDI 3")),IF(ISNUMBER($V399),"JUSTIFICAR BDI","BDI"),
IF(OR(AND(import.recurso="OGU",TIPOORCAMENTO="Proposto",LEFT($O$8,5)&lt;&gt;"(N/D:",$AG399&lt;&gt;"",ORÇAMENTO.CustoUnitario&gt;$AG399),AND(TIPOORCAMENTO="LICITADO",ORÇAMENTO.PrecoUnitarioLicitado&gt;$AN399)),"ACIMA REF.",
IF(AND($C399="S",$P399&lt;&gt;"",$Q399&lt;&gt;"",$T399=0,$U399&gt;0),"QUANT.",
IF(AND(Import.TipoArredondamento="TransfereGOV",$L399="F",$C399="S",LEN($Q399)&gt;13),"Código &gt;13",
IF(AND(Import.TipoArredondamento="TransfereGOV",$L399="F",$C399&lt;&gt;"S",LEN($R399)&gt;100),"Descrição &gt;100",
IF(AND(Import.TipoArredondamento="TransfereGOV",$L399="F",$C399="S",LEN($R399)&gt;500),"Descrição &gt;500",
IF(AND(Import.TipoArredondamento="TransfereGOV",$L399="F",$C399="S",LEFT(TRIM(UPPER($P399)),6)&lt;&gt;"SINAPI",ISNA(VLOOKUP(TRIM(UPPER($S399)),ListaTgov.Unidades,1,FALSE))),"Unid. Não Disp",
" "))))))))))))))))</f>
        <v xml:space="preserve"> </v>
      </c>
      <c r="AD399" t="str">
        <f ca="1">IF(C399&lt;=CRONO.NivelExibicao,MAX($AD$15:OFFSET(AD399,-1,0))+IF($C399&lt;&gt;1,1,MAX(1,COUNTIF(QCI!$A$13:$A$15,OFFSET($E399,-1,0)))),"")</f>
        <v/>
      </c>
      <c r="AE399" s="7" t="str">
        <f ca="1">IF(AND($C399="S",ORÇAMENTO.CodBarra&lt;&gt;""),IF(ORÇAMENTO.Fonte="",ORÇAMENTO.CodBarra,CONCATENATE(ORÇAMENTO.Fonte," ",ORÇAMENTO.CodBarra)))</f>
        <v>SETOP ED-13338</v>
      </c>
      <c r="AF399" s="12">
        <f ca="1">IF(ISERROR(INDIRECT(ORÇAMENTO.BancoRef)),"(abra o arquivo 'Referência "&amp;Excel_BuiltIn_Database&amp;".xlsm)",IF(OR($C399&lt;&gt;"S",ORÇAMENTO.CodBarra=""),"(Sem Código)",IF(ISERROR(MATCH($AE399,INDIRECT(ORÇAMENTO.BancoRef),0)),"(Código não identificado nas referências)",MATCH($AE399,INDIRECT(ORÇAMENTO.BancoRef),0))))</f>
        <v>29190</v>
      </c>
      <c r="AG399" s="428">
        <f ca="1">ROUND(IF(DESONERACAO="sim",REFERENCIA.Desonerado,REFERENCIA.NaoDesonerado),2)</f>
        <v>182.51</v>
      </c>
      <c r="AH399" s="429">
        <f t="shared" ca="1" si="106"/>
        <v>0.23499999999999999</v>
      </c>
      <c r="AJ399" s="431">
        <v>1</v>
      </c>
      <c r="AL399" s="439"/>
      <c r="AM399" s="336">
        <f t="shared" ref="AM399:AM465" ca="1" si="109">$X399</f>
        <v>225.4</v>
      </c>
      <c r="AN399" s="470">
        <f t="shared" ca="1" si="107"/>
        <v>225.4</v>
      </c>
    </row>
    <row r="400" spans="1:40" x14ac:dyDescent="0.2">
      <c r="A400">
        <f t="shared" si="93"/>
        <v>4</v>
      </c>
      <c r="B400">
        <f t="shared" ca="1" si="94"/>
        <v>4</v>
      </c>
      <c r="C400">
        <f t="shared" ca="1" si="95"/>
        <v>4</v>
      </c>
      <c r="D400">
        <f t="shared" ca="1" si="96"/>
        <v>10</v>
      </c>
      <c r="E400">
        <f ca="1">IF($C400=1,OFFSET(E400,-1,0)+MAX(1,COUNTIF(QCI!$A$13:$A$15,OFFSET(ORÇAMENTO!E400,-1,0))),OFFSET(E400,-1,0))</f>
        <v>1</v>
      </c>
      <c r="F400">
        <f t="shared" ca="1" si="97"/>
        <v>8</v>
      </c>
      <c r="G400">
        <f t="shared" ca="1" si="98"/>
        <v>2</v>
      </c>
      <c r="H400">
        <f t="shared" ca="1" si="99"/>
        <v>3</v>
      </c>
      <c r="I400">
        <f t="shared" ca="1" si="100"/>
        <v>0</v>
      </c>
      <c r="J400">
        <f t="shared" ref="J400:J468" ca="1" si="110">IF(OR($C400="S",$C400=0),0,MATCH(0,OFFSET($D400,1,$C400,ROW($C$508)-ROW($C400)),0))</f>
        <v>41</v>
      </c>
      <c r="K400">
        <f ca="1">IF(OR($C400="S",$C400=0),0,MATCH(OFFSET($D400,0,$C400)+IF($C400&lt;&gt;1,1,COUNTIF(QCI!$A$13:$A$15,ORÇAMENTO!E400)),OFFSET($D400,1,$C400,ROW($C$508)-ROW($C400)),0))</f>
        <v>10</v>
      </c>
      <c r="L400" s="114" t="str">
        <f t="shared" ca="1" si="101"/>
        <v>F</v>
      </c>
      <c r="M400" s="115" t="s">
        <v>704</v>
      </c>
      <c r="N400" s="116" t="str">
        <f t="shared" ca="1" si="102"/>
        <v>Nível 4</v>
      </c>
      <c r="O400" s="117" t="str">
        <f t="shared" ca="1" si="103"/>
        <v>1.8.2.3.</v>
      </c>
      <c r="P400" s="118" t="s">
        <v>750</v>
      </c>
      <c r="Q400" s="119"/>
      <c r="R400" s="120" t="s">
        <v>1255</v>
      </c>
      <c r="S400" s="121" t="s">
        <v>688</v>
      </c>
      <c r="T400" s="122">
        <f ca="1">OFFSET(CÁLCULO!H$15,ROW($T400)-ROW(T$15),0)</f>
        <v>0</v>
      </c>
      <c r="U400" s="123">
        <f t="shared" ref="U400" ca="1" si="111">AG400</f>
        <v>0</v>
      </c>
      <c r="V400" s="124" t="s">
        <v>663</v>
      </c>
      <c r="W400" s="122">
        <f ca="1">IF($C400="S",ROUND(IF(TIPOORCAMENTO="Proposto",ORÇAMENTO.CustoUnitario*(1+$AH400),ORÇAMENTO.PrecoUnitarioLicitado),15-13*$AF$10),0)</f>
        <v>0</v>
      </c>
      <c r="X400" s="125" cm="1">
        <f t="array" aca="1" ref="X400" ca="1">IF($C400="S",IF(OR(Import.TipoArredondamento&lt;&gt;"TransfereGOV",ACOMPANHAMENTO="BM"),VTOTAL1,SUM(OFFSET(CÁLCULO!$AI$15,ROW($X400)-ROW($X$15),1):OFFSET(CÁLCULO!$BB$15,ROW($X400)-ROW($X$15),-1))),IF($C400=0,0,ROUND(SomaAgrup,15-13*$AF$11)))</f>
        <v>82306.720000000001</v>
      </c>
      <c r="Y400" s="126" t="s">
        <v>751</v>
      </c>
      <c r="Z400" t="str">
        <f t="shared" ca="1" si="104"/>
        <v/>
      </c>
      <c r="AA400" s="127">
        <f ca="1">IF($C400="S",IF($Z400="CP",$X400,IF($Z400="RA",(($X400)*QCI!$AA$3),0)),SomaAgrup)</f>
        <v>0</v>
      </c>
      <c r="AB400" s="128">
        <f t="shared" ca="1" si="105"/>
        <v>0</v>
      </c>
      <c r="AC400" s="565" t="str" cm="1">
        <f t="array" aca="1" ref="AC400" ca="1">IF($N400=""," ",
IF(AND($C400&lt;&gt;"S",OR($R400="",$R400="(digite a descrição aqui)")),"DESCRIÇÃO",
IF(AND($C400="S",OR($Q400&lt;&gt;"",$T400&gt;0,$U400&gt;0),$P400=""),"FONTE",
IF(AND($C400="S",$P400&lt;&gt;"",OR($T400&gt;0,$U400&gt;0),$Q400=""),"CÓDIGO",
IF(AND($C400="S",$P400&lt;&gt;"",$Q400&lt;&gt;"",$R400="(Código não identificado nas referências)"),"CÓDIGO N/ID",
IF(AND($C400="S",OR($R400="",$R400="(digite a descrição aqui)"),OR($Q400&lt;&gt;"",$T400&gt;0,$U400&gt;0)),"DESCRIÇÃO",
IF(AND($C400="S",$P400&lt;&gt;"",$Q400&lt;&gt;"",$S400=""),"UNIDADE",
IF(AND($C400="S",$P400&lt;&gt;"",$Q400&lt;&gt;"",$U400=0),"SEM CUSTO",
IF(AND(_xlfn.SINGLE(TIPOORCAMENTO)="Licitado",$AL400=0,$AN400&gt;0),"SEM PREÇO",
IF(AND($C400="S",$P400&lt;&gt;"",$Q400&lt;&gt;"",$U400&gt;0,AND($V400&lt;&gt;"BDI 1",$V400&lt;&gt;"BDI 2",$V400&lt;&gt;"BDI 3")),IF(ISNUMBER($V400),"JUSTIFICAR BDI","BDI"),
IF(OR(AND(import.recurso="OGU",TIPOORCAMENTO="Proposto",LEFT($O$8,5)&lt;&gt;"(N/D:",$AG400&lt;&gt;"",ORÇAMENTO.CustoUnitario&gt;$AG400),AND(TIPOORCAMENTO="LICITADO",ORÇAMENTO.PrecoUnitarioLicitado&gt;$AN400)),"ACIMA REF.",
IF(AND($C400="S",$P400&lt;&gt;"",$Q400&lt;&gt;"",$T400=0,$U400&gt;0),"QUANT.",
IF(AND(Import.TipoArredondamento="TransfereGOV",$L400="F",$C400="S",LEN($Q400)&gt;13),"Código &gt;13",
IF(AND(Import.TipoArredondamento="TransfereGOV",$L400="F",$C400&lt;&gt;"S",LEN($R400)&gt;100),"Descrição &gt;100",
IF(AND(Import.TipoArredondamento="TransfereGOV",$L400="F",$C400="S",LEN($R400)&gt;500),"Descrição &gt;500",
IF(AND(Import.TipoArredondamento="TransfereGOV",$L400="F",$C400="S",LEFT(TRIM(UPPER($P400)),6)&lt;&gt;"SINAPI",ISNA(VLOOKUP(TRIM(UPPER($S400)),ListaTgov.Unidades,1,FALSE))),"Unid. Não Disp",
" "))))))))))))))))</f>
        <v xml:space="preserve"> </v>
      </c>
      <c r="AD400" t="str">
        <f ca="1">IF(C400&lt;=CRONO.NivelExibicao,MAX($AD$15:OFFSET(AD400,-1,0))+IF($C400&lt;&gt;1,1,MAX(1,COUNTIF(QCI!$A$13:$A$15,OFFSET($E400,-1,0)))),"")</f>
        <v/>
      </c>
      <c r="AE400" s="7" t="b">
        <f ca="1">IF(AND($C400="S",ORÇAMENTO.CodBarra&lt;&gt;""),IF(ORÇAMENTO.Fonte="",ORÇAMENTO.CodBarra,CONCATENATE(ORÇAMENTO.Fonte," ",ORÇAMENTO.CodBarra)))</f>
        <v>0</v>
      </c>
      <c r="AF400" s="12" t="str">
        <f ca="1">IF(ISERROR(INDIRECT(ORÇAMENTO.BancoRef)),"(abra o arquivo 'Referência "&amp;Excel_BuiltIn_Database&amp;".xlsm)",IF(OR($C400&lt;&gt;"S",ORÇAMENTO.CodBarra=""),"(Sem Código)",IF(ISERROR(MATCH($AE400,INDIRECT(ORÇAMENTO.BancoRef),0)),"(Código não identificado nas referências)",MATCH($AE400,INDIRECT(ORÇAMENTO.BancoRef),0))))</f>
        <v>(Sem Código)</v>
      </c>
      <c r="AG400" s="428">
        <f ca="1">ROUND(IF(DESONERACAO="sim",REFERENCIA.Desonerado,REFERENCIA.NaoDesonerado),2)</f>
        <v>0</v>
      </c>
      <c r="AH400" s="429">
        <f t="shared" ca="1" si="106"/>
        <v>0.23499999999999999</v>
      </c>
      <c r="AJ400" s="431"/>
      <c r="AL400" s="439"/>
      <c r="AM400" s="336">
        <f t="shared" ca="1" si="109"/>
        <v>82306.720000000001</v>
      </c>
      <c r="AN400" s="470">
        <f t="shared" ca="1" si="107"/>
        <v>0</v>
      </c>
    </row>
    <row r="401" spans="1:40" ht="38.25" x14ac:dyDescent="0.2">
      <c r="A401" t="str">
        <f t="shared" si="93"/>
        <v>S</v>
      </c>
      <c r="B401">
        <f t="shared" ca="1" si="94"/>
        <v>4</v>
      </c>
      <c r="C401" t="str">
        <f t="shared" ca="1" si="95"/>
        <v>S</v>
      </c>
      <c r="D401">
        <f t="shared" ca="1" si="96"/>
        <v>0</v>
      </c>
      <c r="E401">
        <f ca="1">IF($C401=1,OFFSET(E401,-1,0)+MAX(1,COUNTIF(QCI!$A$13:$A$15,OFFSET(ORÇAMENTO!E401,-1,0))),OFFSET(E401,-1,0))</f>
        <v>1</v>
      </c>
      <c r="F401">
        <f t="shared" ca="1" si="97"/>
        <v>8</v>
      </c>
      <c r="G401">
        <f t="shared" ca="1" si="98"/>
        <v>2</v>
      </c>
      <c r="H401">
        <f t="shared" ca="1" si="99"/>
        <v>3</v>
      </c>
      <c r="I401">
        <f t="shared" ca="1" si="100"/>
        <v>1</v>
      </c>
      <c r="J401">
        <f t="shared" ca="1" si="110"/>
        <v>0</v>
      </c>
      <c r="K401">
        <f ca="1">IF(OR($C401="S",$C401=0),0,MATCH(OFFSET($D401,0,$C401)+IF($C401&lt;&gt;1,1,COUNTIF(QCI!$A$13:$A$15,ORÇAMENTO!E401)),OFFSET($D401,1,$C401,ROW($C$508)-ROW($C401)),0))</f>
        <v>0</v>
      </c>
      <c r="L401" s="114" t="str">
        <f t="shared" ca="1" si="101"/>
        <v>F</v>
      </c>
      <c r="M401" s="115" t="s">
        <v>705</v>
      </c>
      <c r="N401" s="116" t="str">
        <f t="shared" ca="1" si="102"/>
        <v>Serviço</v>
      </c>
      <c r="O401" s="117" t="str">
        <f t="shared" ca="1" si="103"/>
        <v>1.8.2.3.1.</v>
      </c>
      <c r="P401" s="118" t="s">
        <v>750</v>
      </c>
      <c r="Q401" s="119">
        <v>91926</v>
      </c>
      <c r="R401" s="120" t="str">
        <f ca="1">IF($C401="S",REFERENCIA.Descricao,"(digite a descrição aqui)")</f>
        <v>CABO DE COBRE FLEXÍVEL ISOLADO, 2,5 MM², ANTI-CHAMA 450/750 V, PARA CIRCUITOS TERMINAIS - FORNECIMENTO E INSTALAÇÃO. AF_03/2023</v>
      </c>
      <c r="S401" s="121" t="str">
        <f ca="1">REFERENCIA.Unidade</f>
        <v>M</v>
      </c>
      <c r="T401" s="122">
        <f ca="1">OFFSET(CÁLCULO!H$15,ROW($T401)-ROW(T$15),0)</f>
        <v>93</v>
      </c>
      <c r="U401" s="123">
        <f t="shared" ca="1" si="108"/>
        <v>4.47</v>
      </c>
      <c r="V401" s="124" t="s">
        <v>663</v>
      </c>
      <c r="W401" s="122">
        <f ca="1">IF($C401="S",ROUND(IF(TIPOORCAMENTO="Proposto",ORÇAMENTO.CustoUnitario*(1+$AH401),ORÇAMENTO.PrecoUnitarioLicitado),15-13*$AF$10),0)</f>
        <v>5.52</v>
      </c>
      <c r="X401" s="125" cm="1">
        <f t="array" aca="1" ref="X401" ca="1">IF($C401="S",IF(OR(Import.TipoArredondamento&lt;&gt;"TransfereGOV",ACOMPANHAMENTO="BM"),VTOTAL1,SUM(OFFSET(CÁLCULO!$AI$15,ROW($X401)-ROW($X$15),1):OFFSET(CÁLCULO!$BB$15,ROW($X401)-ROW($X$15),-1))),IF($C401=0,0,ROUND(SomaAgrup,15-13*$AF$11)))</f>
        <v>513.36</v>
      </c>
      <c r="Y401" s="126" t="s">
        <v>751</v>
      </c>
      <c r="Z401" t="str">
        <f t="shared" ca="1" si="104"/>
        <v>RA</v>
      </c>
      <c r="AA401" s="127">
        <f ca="1">IF($C401="S",IF($Z401="CP",$X401,IF($Z401="RA",(($X401)*QCI!$AA$3),0)),SomaAgrup)</f>
        <v>0</v>
      </c>
      <c r="AB401" s="128">
        <f t="shared" ca="1" si="105"/>
        <v>0</v>
      </c>
      <c r="AC401" s="565" t="str" cm="1">
        <f t="array" aca="1" ref="AC401" ca="1">IF($N401=""," ",
IF(AND($C401&lt;&gt;"S",OR($R401="",$R401="(digite a descrição aqui)")),"DESCRIÇÃO",
IF(AND($C401="S",OR($Q401&lt;&gt;"",$T401&gt;0,$U401&gt;0),$P401=""),"FONTE",
IF(AND($C401="S",$P401&lt;&gt;"",OR($T401&gt;0,$U401&gt;0),$Q401=""),"CÓDIGO",
IF(AND($C401="S",$P401&lt;&gt;"",$Q401&lt;&gt;"",$R401="(Código não identificado nas referências)"),"CÓDIGO N/ID",
IF(AND($C401="S",OR($R401="",$R401="(digite a descrição aqui)"),OR($Q401&lt;&gt;"",$T401&gt;0,$U401&gt;0)),"DESCRIÇÃO",
IF(AND($C401="S",$P401&lt;&gt;"",$Q401&lt;&gt;"",$S401=""),"UNIDADE",
IF(AND($C401="S",$P401&lt;&gt;"",$Q401&lt;&gt;"",$U401=0),"SEM CUSTO",
IF(AND(_xlfn.SINGLE(TIPOORCAMENTO)="Licitado",$AL401=0,$AN401&gt;0),"SEM PREÇO",
IF(AND($C401="S",$P401&lt;&gt;"",$Q401&lt;&gt;"",$U401&gt;0,AND($V401&lt;&gt;"BDI 1",$V401&lt;&gt;"BDI 2",$V401&lt;&gt;"BDI 3")),IF(ISNUMBER($V401),"JUSTIFICAR BDI","BDI"),
IF(OR(AND(import.recurso="OGU",TIPOORCAMENTO="Proposto",LEFT($O$8,5)&lt;&gt;"(N/D:",$AG401&lt;&gt;"",ORÇAMENTO.CustoUnitario&gt;$AG401),AND(TIPOORCAMENTO="LICITADO",ORÇAMENTO.PrecoUnitarioLicitado&gt;$AN401)),"ACIMA REF.",
IF(AND($C401="S",$P401&lt;&gt;"",$Q401&lt;&gt;"",$T401=0,$U401&gt;0),"QUANT.",
IF(AND(Import.TipoArredondamento="TransfereGOV",$L401="F",$C401="S",LEN($Q401)&gt;13),"Código &gt;13",
IF(AND(Import.TipoArredondamento="TransfereGOV",$L401="F",$C401&lt;&gt;"S",LEN($R401)&gt;100),"Descrição &gt;100",
IF(AND(Import.TipoArredondamento="TransfereGOV",$L401="F",$C401="S",LEN($R401)&gt;500),"Descrição &gt;500",
IF(AND(Import.TipoArredondamento="TransfereGOV",$L401="F",$C401="S",LEFT(TRIM(UPPER($P401)),6)&lt;&gt;"SINAPI",ISNA(VLOOKUP(TRIM(UPPER($S401)),ListaTgov.Unidades,1,FALSE))),"Unid. Não Disp",
" "))))))))))))))))</f>
        <v xml:space="preserve"> </v>
      </c>
      <c r="AD401" t="str">
        <f ca="1">IF(C401&lt;=CRONO.NivelExibicao,MAX($AD$15:OFFSET(AD401,-1,0))+IF($C401&lt;&gt;1,1,MAX(1,COUNTIF(QCI!$A$13:$A$15,OFFSET($E401,-1,0)))),"")</f>
        <v/>
      </c>
      <c r="AE401" s="7" t="str">
        <f ca="1">IF(AND($C401="S",ORÇAMENTO.CodBarra&lt;&gt;""),IF(ORÇAMENTO.Fonte="",ORÇAMENTO.CodBarra,CONCATENATE(ORÇAMENTO.Fonte," ",ORÇAMENTO.CodBarra)))</f>
        <v>SINAPI 91926</v>
      </c>
      <c r="AF401" s="12">
        <f ca="1">IF(ISERROR(INDIRECT(ORÇAMENTO.BancoRef)),"(abra o arquivo 'Referência "&amp;Excel_BuiltIn_Database&amp;".xlsm)",IF(OR($C401&lt;&gt;"S",ORÇAMENTO.CodBarra=""),"(Sem Código)",IF(ISERROR(MATCH($AE401,INDIRECT(ORÇAMENTO.BancoRef),0)),"(Código não identificado nas referências)",MATCH($AE401,INDIRECT(ORÇAMENTO.BancoRef),0))))</f>
        <v>10380</v>
      </c>
      <c r="AG401" s="428">
        <f ca="1">ROUND(IF(DESONERACAO="sim",REFERENCIA.Desonerado,REFERENCIA.NaoDesonerado),2)</f>
        <v>4.47</v>
      </c>
      <c r="AH401" s="429">
        <f t="shared" ca="1" si="106"/>
        <v>0.23499999999999999</v>
      </c>
      <c r="AJ401" s="431">
        <v>93</v>
      </c>
      <c r="AL401" s="439"/>
      <c r="AM401" s="336">
        <f t="shared" ca="1" si="109"/>
        <v>513.36</v>
      </c>
      <c r="AN401" s="470">
        <f t="shared" ca="1" si="107"/>
        <v>5.52</v>
      </c>
    </row>
    <row r="402" spans="1:40" ht="38.25" x14ac:dyDescent="0.2">
      <c r="A402" t="str">
        <f t="shared" ref="A402:A468" si="112">CHOOSE(1+LOG(1+2*(ORÇAMENTO.Nivel="Meta")+4*(ORÇAMENTO.Nivel="Nível 2")+8*(ORÇAMENTO.Nivel="Nível 3")+16*(ORÇAMENTO.Nivel="Nível 4")+32*(ORÇAMENTO.Nivel="Serviço"),2),0,1,2,3,4,"S")</f>
        <v>S</v>
      </c>
      <c r="B402">
        <f t="shared" ref="B402:B468" ca="1" si="113">IF(OR(C402="s",C402=0),OFFSET(B402,-1,0),C402)</f>
        <v>4</v>
      </c>
      <c r="C402" t="str">
        <f t="shared" ref="C402:C468" ca="1" si="114">IF(OFFSET(C402,-1,0)="L",1,IF(OFFSET(C402,-1,0)=1,2,IF(OR(A402="s",A402=0),"S",IF(AND(OFFSET(C402,-1,0)=2,A402=4),3,IF(AND(OR(OFFSET(C402,-1,0)="s",OFFSET(C402,-1,0)=0),A402&lt;&gt;"s",A402&gt;OFFSET(B402,-1,0)),OFFSET(B402,-1,0),A402)))))</f>
        <v>S</v>
      </c>
      <c r="D402">
        <f t="shared" ref="D402:D468" ca="1" si="115">IF(OR(C402="S",C402=0),0,IF(ISERROR(K402),J402,SMALL(J402:K402,1)))</f>
        <v>0</v>
      </c>
      <c r="E402">
        <f ca="1">IF($C402=1,OFFSET(E402,-1,0)+MAX(1,COUNTIF(QCI!$A$13:$A$15,OFFSET(ORÇAMENTO!E402,-1,0))),OFFSET(E402,-1,0))</f>
        <v>1</v>
      </c>
      <c r="F402">
        <f t="shared" ref="F402:F468" ca="1" si="116">IF($C402=1,0,IF($C402=2,OFFSET(F402,-1,0)+1,OFFSET(F402,-1,0)))</f>
        <v>8</v>
      </c>
      <c r="G402">
        <f t="shared" ref="G402:G468" ca="1" si="117">IF(AND($C402&lt;=2,$C402&lt;&gt;0),0,IF($C402=3,OFFSET(G402,-1,0)+1,OFFSET(G402,-1,0)))</f>
        <v>2</v>
      </c>
      <c r="H402">
        <f t="shared" ref="H402:H468" ca="1" si="118">IF(AND($C402&lt;=3,$C402&lt;&gt;0),0,IF($C402=4,OFFSET(H402,-1,0)+1,OFFSET(H402,-1,0)))</f>
        <v>3</v>
      </c>
      <c r="I402">
        <f t="shared" ref="I402:I468" ca="1" si="119">IF(AND($C402&lt;=4,$C402&lt;&gt;0),0,IF(AND($C402="S",$X402&gt;0),OFFSET(I402,-1,0)+1,OFFSET(I402,-1,0)))</f>
        <v>2</v>
      </c>
      <c r="J402">
        <f t="shared" ca="1" si="110"/>
        <v>0</v>
      </c>
      <c r="K402">
        <f ca="1">IF(OR($C402="S",$C402=0),0,MATCH(OFFSET($D402,0,$C402)+IF($C402&lt;&gt;1,1,COUNTIF(QCI!$A$13:$A$15,ORÇAMENTO!E402)),OFFSET($D402,1,$C402,ROW($C$508)-ROW($C402)),0))</f>
        <v>0</v>
      </c>
      <c r="L402" s="114" t="str">
        <f t="shared" ref="L402:L468" ca="1" si="120">IF(OR($X402&gt;0,$C402=1,$C402=2,$C402=3,$C402=4),"F","")</f>
        <v>F</v>
      </c>
      <c r="M402" s="115" t="s">
        <v>705</v>
      </c>
      <c r="N402" s="116" t="str">
        <f t="shared" ref="N402:N468" ca="1" si="121">CHOOSE(1+LOG(1+2*(C402=1)+4*(C402=2)+8*(C402=3)+16*(C402=4)+32*(C402="S"),2),"","Meta","Nível 2","Nível 3","Nível 4","Serviço")</f>
        <v>Serviço</v>
      </c>
      <c r="O402" s="117" t="str">
        <f t="shared" ref="O402:O468" ca="1" si="122">IF(OR($C402=0,$L402=""),"-",CONCATENATE(E402&amp;".",IF(AND($A$5&gt;=2,$C402&gt;=2),F402&amp;".",""),IF(AND($A$5&gt;=3,$C402&gt;=3),G402&amp;".",""),IF(AND($A$5&gt;=4,$C402&gt;=4),H402&amp;".",""),IF($C402="S",I402&amp;".","")))</f>
        <v>1.8.2.3.2.</v>
      </c>
      <c r="P402" s="118" t="s">
        <v>750</v>
      </c>
      <c r="Q402" s="119">
        <v>91928</v>
      </c>
      <c r="R402" s="120" t="str">
        <f ca="1">IF($C402="S",REFERENCIA.Descricao,"(digite a descrição aqui)")</f>
        <v>CABO DE COBRE FLEXÍVEL ISOLADO, 4 MM², ANTI-CHAMA 450/750 V, PARA CIRCUITOS TERMINAIS - FORNECIMENTO E INSTALAÇÃO. AF_03/2023</v>
      </c>
      <c r="S402" s="121" t="str">
        <f ca="1">REFERENCIA.Unidade</f>
        <v>M</v>
      </c>
      <c r="T402" s="122">
        <f ca="1">OFFSET(CÁLCULO!H$15,ROW($T402)-ROW(T$15),0)</f>
        <v>93</v>
      </c>
      <c r="U402" s="123">
        <f t="shared" ca="1" si="108"/>
        <v>6.9</v>
      </c>
      <c r="V402" s="124" t="s">
        <v>663</v>
      </c>
      <c r="W402" s="122">
        <f ca="1">IF($C402="S",ROUND(IF(TIPOORCAMENTO="Proposto",ORÇAMENTO.CustoUnitario*(1+$AH402),ORÇAMENTO.PrecoUnitarioLicitado),15-13*$AF$10),0)</f>
        <v>8.52</v>
      </c>
      <c r="X402" s="125" cm="1">
        <f t="array" aca="1" ref="X402" ca="1">IF($C402="S",IF(OR(Import.TipoArredondamento&lt;&gt;"TransfereGOV",ACOMPANHAMENTO="BM"),VTOTAL1,SUM(OFFSET(CÁLCULO!$AI$15,ROW($X402)-ROW($X$15),1):OFFSET(CÁLCULO!$BB$15,ROW($X402)-ROW($X$15),-1))),IF($C402=0,0,ROUND(SomaAgrup,15-13*$AF$11)))</f>
        <v>792.36</v>
      </c>
      <c r="Y402" s="126" t="s">
        <v>751</v>
      </c>
      <c r="Z402" t="str">
        <f t="shared" ref="Z402:Z468" ca="1" si="123">IF(AND($C402="S",$X402&gt;0),IF(ISBLANK($Y402),"RA",LEFT($Y402,2)),"")</f>
        <v>RA</v>
      </c>
      <c r="AA402" s="127">
        <f ca="1">IF($C402="S",IF($Z402="CP",$X402,IF($Z402="RA",(($X402)*QCI!$AA$3),0)),SomaAgrup)</f>
        <v>0</v>
      </c>
      <c r="AB402" s="128">
        <f t="shared" ref="AB402:AB468" ca="1" si="124">IF($C402="S",IF($Z402="OU",ROUND($X402,2),0),SomaAgrup)</f>
        <v>0</v>
      </c>
      <c r="AC402" s="565" t="str" cm="1">
        <f t="array" aca="1" ref="AC402" ca="1">IF($N402=""," ",
IF(AND($C402&lt;&gt;"S",OR($R402="",$R402="(digite a descrição aqui)")),"DESCRIÇÃO",
IF(AND($C402="S",OR($Q402&lt;&gt;"",$T402&gt;0,$U402&gt;0),$P402=""),"FONTE",
IF(AND($C402="S",$P402&lt;&gt;"",OR($T402&gt;0,$U402&gt;0),$Q402=""),"CÓDIGO",
IF(AND($C402="S",$P402&lt;&gt;"",$Q402&lt;&gt;"",$R402="(Código não identificado nas referências)"),"CÓDIGO N/ID",
IF(AND($C402="S",OR($R402="",$R402="(digite a descrição aqui)"),OR($Q402&lt;&gt;"",$T402&gt;0,$U402&gt;0)),"DESCRIÇÃO",
IF(AND($C402="S",$P402&lt;&gt;"",$Q402&lt;&gt;"",$S402=""),"UNIDADE",
IF(AND($C402="S",$P402&lt;&gt;"",$Q402&lt;&gt;"",$U402=0),"SEM CUSTO",
IF(AND(_xlfn.SINGLE(TIPOORCAMENTO)="Licitado",$AL402=0,$AN402&gt;0),"SEM PREÇO",
IF(AND($C402="S",$P402&lt;&gt;"",$Q402&lt;&gt;"",$U402&gt;0,AND($V402&lt;&gt;"BDI 1",$V402&lt;&gt;"BDI 2",$V402&lt;&gt;"BDI 3")),IF(ISNUMBER($V402),"JUSTIFICAR BDI","BDI"),
IF(OR(AND(import.recurso="OGU",TIPOORCAMENTO="Proposto",LEFT($O$8,5)&lt;&gt;"(N/D:",$AG402&lt;&gt;"",ORÇAMENTO.CustoUnitario&gt;$AG402),AND(TIPOORCAMENTO="LICITADO",ORÇAMENTO.PrecoUnitarioLicitado&gt;$AN402)),"ACIMA REF.",
IF(AND($C402="S",$P402&lt;&gt;"",$Q402&lt;&gt;"",$T402=0,$U402&gt;0),"QUANT.",
IF(AND(Import.TipoArredondamento="TransfereGOV",$L402="F",$C402="S",LEN($Q402)&gt;13),"Código &gt;13",
IF(AND(Import.TipoArredondamento="TransfereGOV",$L402="F",$C402&lt;&gt;"S",LEN($R402)&gt;100),"Descrição &gt;100",
IF(AND(Import.TipoArredondamento="TransfereGOV",$L402="F",$C402="S",LEN($R402)&gt;500),"Descrição &gt;500",
IF(AND(Import.TipoArredondamento="TransfereGOV",$L402="F",$C402="S",LEFT(TRIM(UPPER($P402)),6)&lt;&gt;"SINAPI",ISNA(VLOOKUP(TRIM(UPPER($S402)),ListaTgov.Unidades,1,FALSE))),"Unid. Não Disp",
" "))))))))))))))))</f>
        <v xml:space="preserve"> </v>
      </c>
      <c r="AD402" t="str">
        <f ca="1">IF(C402&lt;=CRONO.NivelExibicao,MAX($AD$15:OFFSET(AD402,-1,0))+IF($C402&lt;&gt;1,1,MAX(1,COUNTIF(QCI!$A$13:$A$15,OFFSET($E402,-1,0)))),"")</f>
        <v/>
      </c>
      <c r="AE402" s="7" t="str">
        <f ca="1">IF(AND($C402="S",ORÇAMENTO.CodBarra&lt;&gt;""),IF(ORÇAMENTO.Fonte="",ORÇAMENTO.CodBarra,CONCATENATE(ORÇAMENTO.Fonte," ",ORÇAMENTO.CodBarra)))</f>
        <v>SINAPI 91928</v>
      </c>
      <c r="AF402" s="12">
        <f ca="1">IF(ISERROR(INDIRECT(ORÇAMENTO.BancoRef)),"(abra o arquivo 'Referência "&amp;Excel_BuiltIn_Database&amp;".xlsm)",IF(OR($C402&lt;&gt;"S",ORÇAMENTO.CodBarra=""),"(Sem Código)",IF(ISERROR(MATCH($AE402,INDIRECT(ORÇAMENTO.BancoRef),0)),"(Código não identificado nas referências)",MATCH($AE402,INDIRECT(ORÇAMENTO.BancoRef),0))))</f>
        <v>10382</v>
      </c>
      <c r="AG402" s="428">
        <f ca="1">ROUND(IF(DESONERACAO="sim",REFERENCIA.Desonerado,REFERENCIA.NaoDesonerado),2)</f>
        <v>6.9</v>
      </c>
      <c r="AH402" s="429">
        <f t="shared" ref="AH402:AH468" ca="1" si="125">ROUND(IF(ISNUMBER(ORÇAMENTO.OpcaoBDI),ORÇAMENTO.OpcaoBDI,IF(LEFT(ORÇAMENTO.OpcaoBDI,3)="BDI",HLOOKUP(ORÇAMENTO.OpcaoBDI,$F$4:$H$5,2,FALSE),0)),15-11*$AF$9)</f>
        <v>0.23499999999999999</v>
      </c>
      <c r="AJ402" s="431">
        <v>93</v>
      </c>
      <c r="AL402" s="439"/>
      <c r="AM402" s="336">
        <f t="shared" ca="1" si="109"/>
        <v>792.36</v>
      </c>
      <c r="AN402" s="470">
        <f t="shared" ref="AN402:AN468" ca="1" si="126">ROUND(ORÇAMENTO.CustoUnitario*(1+$AH402),2)</f>
        <v>8.52</v>
      </c>
    </row>
    <row r="403" spans="1:40" ht="38.25" x14ac:dyDescent="0.2">
      <c r="A403" t="str">
        <f t="shared" si="112"/>
        <v>S</v>
      </c>
      <c r="B403">
        <f t="shared" ca="1" si="113"/>
        <v>4</v>
      </c>
      <c r="C403" t="str">
        <f t="shared" ca="1" si="114"/>
        <v>S</v>
      </c>
      <c r="D403">
        <f t="shared" ca="1" si="115"/>
        <v>0</v>
      </c>
      <c r="E403">
        <f ca="1">IF($C403=1,OFFSET(E403,-1,0)+MAX(1,COUNTIF(QCI!$A$13:$A$15,OFFSET(ORÇAMENTO!E403,-1,0))),OFFSET(E403,-1,0))</f>
        <v>1</v>
      </c>
      <c r="F403">
        <f t="shared" ca="1" si="116"/>
        <v>8</v>
      </c>
      <c r="G403">
        <f t="shared" ca="1" si="117"/>
        <v>2</v>
      </c>
      <c r="H403">
        <f t="shared" ca="1" si="118"/>
        <v>3</v>
      </c>
      <c r="I403">
        <f t="shared" ca="1" si="119"/>
        <v>3</v>
      </c>
      <c r="J403">
        <f t="shared" ca="1" si="110"/>
        <v>0</v>
      </c>
      <c r="K403">
        <f ca="1">IF(OR($C403="S",$C403=0),0,MATCH(OFFSET($D403,0,$C403)+IF($C403&lt;&gt;1,1,COUNTIF(QCI!$A$13:$A$15,ORÇAMENTO!E403)),OFFSET($D403,1,$C403,ROW($C$508)-ROW($C403)),0))</f>
        <v>0</v>
      </c>
      <c r="L403" s="114" t="str">
        <f t="shared" ca="1" si="120"/>
        <v>F</v>
      </c>
      <c r="M403" s="115" t="s">
        <v>705</v>
      </c>
      <c r="N403" s="116" t="str">
        <f t="shared" ca="1" si="121"/>
        <v>Serviço</v>
      </c>
      <c r="O403" s="117" t="str">
        <f t="shared" ca="1" si="122"/>
        <v>1.8.2.3.3.</v>
      </c>
      <c r="P403" s="118" t="s">
        <v>750</v>
      </c>
      <c r="Q403" s="119" t="s">
        <v>1138</v>
      </c>
      <c r="R403" s="120" t="str">
        <f ca="1">IF($C403="S",REFERENCIA.Descricao,"(digite a descrição aqui)")</f>
        <v>CABO DE COBRE FLEXÍVEL ISOLADO, 16 MM², ANTI-CHAMA 450/750 V, PARA CIRCUITOS TERMINAIS - FORNECIMENTO E INSTALAÇÃO. AF_03/2023</v>
      </c>
      <c r="S403" s="121" t="str">
        <f ca="1">REFERENCIA.Unidade</f>
        <v>M</v>
      </c>
      <c r="T403" s="122">
        <f ca="1">OFFSET(CÁLCULO!H$15,ROW($T403)-ROW(T$15),0)</f>
        <v>16</v>
      </c>
      <c r="U403" s="123">
        <f t="shared" ca="1" si="108"/>
        <v>24.78</v>
      </c>
      <c r="V403" s="124" t="s">
        <v>663</v>
      </c>
      <c r="W403" s="122">
        <f ca="1">IF($C403="S",ROUND(IF(TIPOORCAMENTO="Proposto",ORÇAMENTO.CustoUnitario*(1+$AH403),ORÇAMENTO.PrecoUnitarioLicitado),15-13*$AF$10),0)</f>
        <v>30.6</v>
      </c>
      <c r="X403" s="125" cm="1">
        <f t="array" aca="1" ref="X403" ca="1">IF($C403="S",IF(OR(Import.TipoArredondamento&lt;&gt;"TransfereGOV",ACOMPANHAMENTO="BM"),VTOTAL1,SUM(OFFSET(CÁLCULO!$AI$15,ROW($X403)-ROW($X$15),1):OFFSET(CÁLCULO!$BB$15,ROW($X403)-ROW($X$15),-1))),IF($C403=0,0,ROUND(SomaAgrup,15-13*$AF$11)))</f>
        <v>489.6</v>
      </c>
      <c r="Y403" s="126" t="s">
        <v>751</v>
      </c>
      <c r="Z403" t="str">
        <f t="shared" ca="1" si="123"/>
        <v>RA</v>
      </c>
      <c r="AA403" s="127">
        <f ca="1">IF($C403="S",IF($Z403="CP",$X403,IF($Z403="RA",(($X403)*QCI!$AA$3),0)),SomaAgrup)</f>
        <v>0</v>
      </c>
      <c r="AB403" s="128">
        <f t="shared" ca="1" si="124"/>
        <v>0</v>
      </c>
      <c r="AC403" s="565" t="str" cm="1">
        <f t="array" aca="1" ref="AC403" ca="1">IF($N403=""," ",
IF(AND($C403&lt;&gt;"S",OR($R403="",$R403="(digite a descrição aqui)")),"DESCRIÇÃO",
IF(AND($C403="S",OR($Q403&lt;&gt;"",$T403&gt;0,$U403&gt;0),$P403=""),"FONTE",
IF(AND($C403="S",$P403&lt;&gt;"",OR($T403&gt;0,$U403&gt;0),$Q403=""),"CÓDIGO",
IF(AND($C403="S",$P403&lt;&gt;"",$Q403&lt;&gt;"",$R403="(Código não identificado nas referências)"),"CÓDIGO N/ID",
IF(AND($C403="S",OR($R403="",$R403="(digite a descrição aqui)"),OR($Q403&lt;&gt;"",$T403&gt;0,$U403&gt;0)),"DESCRIÇÃO",
IF(AND($C403="S",$P403&lt;&gt;"",$Q403&lt;&gt;"",$S403=""),"UNIDADE",
IF(AND($C403="S",$P403&lt;&gt;"",$Q403&lt;&gt;"",$U403=0),"SEM CUSTO",
IF(AND(_xlfn.SINGLE(TIPOORCAMENTO)="Licitado",$AL403=0,$AN403&gt;0),"SEM PREÇO",
IF(AND($C403="S",$P403&lt;&gt;"",$Q403&lt;&gt;"",$U403&gt;0,AND($V403&lt;&gt;"BDI 1",$V403&lt;&gt;"BDI 2",$V403&lt;&gt;"BDI 3")),IF(ISNUMBER($V403),"JUSTIFICAR BDI","BDI"),
IF(OR(AND(import.recurso="OGU",TIPOORCAMENTO="Proposto",LEFT($O$8,5)&lt;&gt;"(N/D:",$AG403&lt;&gt;"",ORÇAMENTO.CustoUnitario&gt;$AG403),AND(TIPOORCAMENTO="LICITADO",ORÇAMENTO.PrecoUnitarioLicitado&gt;$AN403)),"ACIMA REF.",
IF(AND($C403="S",$P403&lt;&gt;"",$Q403&lt;&gt;"",$T403=0,$U403&gt;0),"QUANT.",
IF(AND(Import.TipoArredondamento="TransfereGOV",$L403="F",$C403="S",LEN($Q403)&gt;13),"Código &gt;13",
IF(AND(Import.TipoArredondamento="TransfereGOV",$L403="F",$C403&lt;&gt;"S",LEN($R403)&gt;100),"Descrição &gt;100",
IF(AND(Import.TipoArredondamento="TransfereGOV",$L403="F",$C403="S",LEN($R403)&gt;500),"Descrição &gt;500",
IF(AND(Import.TipoArredondamento="TransfereGOV",$L403="F",$C403="S",LEFT(TRIM(UPPER($P403)),6)&lt;&gt;"SINAPI",ISNA(VLOOKUP(TRIM(UPPER($S403)),ListaTgov.Unidades,1,FALSE))),"Unid. Não Disp",
" "))))))))))))))))</f>
        <v xml:space="preserve"> </v>
      </c>
      <c r="AD403" t="str">
        <f ca="1">IF(C403&lt;=CRONO.NivelExibicao,MAX($AD$15:OFFSET(AD403,-1,0))+IF($C403&lt;&gt;1,1,MAX(1,COUNTIF(QCI!$A$13:$A$15,OFFSET($E403,-1,0)))),"")</f>
        <v/>
      </c>
      <c r="AE403" s="7" t="str">
        <f ca="1">IF(AND($C403="S",ORÇAMENTO.CodBarra&lt;&gt;""),IF(ORÇAMENTO.Fonte="",ORÇAMENTO.CodBarra,CONCATENATE(ORÇAMENTO.Fonte," ",ORÇAMENTO.CodBarra)))</f>
        <v>SINAPI 91934</v>
      </c>
      <c r="AF403" s="12">
        <f ca="1">IF(ISERROR(INDIRECT(ORÇAMENTO.BancoRef)),"(abra o arquivo 'Referência "&amp;Excel_BuiltIn_Database&amp;".xlsm)",IF(OR($C403&lt;&gt;"S",ORÇAMENTO.CodBarra=""),"(Sem Código)",IF(ISERROR(MATCH($AE403,INDIRECT(ORÇAMENTO.BancoRef),0)),"(Código não identificado nas referências)",MATCH($AE403,INDIRECT(ORÇAMENTO.BancoRef),0))))</f>
        <v>10378</v>
      </c>
      <c r="AG403" s="428">
        <f ca="1">ROUND(IF(DESONERACAO="sim",REFERENCIA.Desonerado,REFERENCIA.NaoDesonerado),2)</f>
        <v>24.78</v>
      </c>
      <c r="AH403" s="429">
        <f t="shared" ca="1" si="125"/>
        <v>0.23499999999999999</v>
      </c>
      <c r="AJ403" s="431">
        <v>16</v>
      </c>
      <c r="AL403" s="439"/>
      <c r="AM403" s="336">
        <f t="shared" ca="1" si="109"/>
        <v>489.6</v>
      </c>
      <c r="AN403" s="470">
        <f t="shared" ca="1" si="126"/>
        <v>30.6</v>
      </c>
    </row>
    <row r="404" spans="1:40" ht="38.25" x14ac:dyDescent="0.2">
      <c r="A404" t="str">
        <f t="shared" si="112"/>
        <v>S</v>
      </c>
      <c r="B404">
        <f t="shared" ca="1" si="113"/>
        <v>4</v>
      </c>
      <c r="C404" t="str">
        <f t="shared" ca="1" si="114"/>
        <v>S</v>
      </c>
      <c r="D404">
        <f t="shared" ca="1" si="115"/>
        <v>0</v>
      </c>
      <c r="E404">
        <f ca="1">IF($C404=1,OFFSET(E404,-1,0)+MAX(1,COUNTIF(QCI!$A$13:$A$15,OFFSET(ORÇAMENTO!E404,-1,0))),OFFSET(E404,-1,0))</f>
        <v>1</v>
      </c>
      <c r="F404">
        <f t="shared" ca="1" si="116"/>
        <v>8</v>
      </c>
      <c r="G404">
        <f t="shared" ca="1" si="117"/>
        <v>2</v>
      </c>
      <c r="H404">
        <f t="shared" ca="1" si="118"/>
        <v>3</v>
      </c>
      <c r="I404">
        <f t="shared" ca="1" si="119"/>
        <v>4</v>
      </c>
      <c r="J404">
        <f t="shared" ca="1" si="110"/>
        <v>0</v>
      </c>
      <c r="K404">
        <f ca="1">IF(OR($C404="S",$C404=0),0,MATCH(OFFSET($D404,0,$C404)+IF($C404&lt;&gt;1,1,COUNTIF(QCI!$A$13:$A$15,ORÇAMENTO!E404)),OFFSET($D404,1,$C404,ROW($C$508)-ROW($C404)),0))</f>
        <v>0</v>
      </c>
      <c r="L404" s="114" t="str">
        <f t="shared" ca="1" si="120"/>
        <v>F</v>
      </c>
      <c r="M404" s="115" t="s">
        <v>705</v>
      </c>
      <c r="N404" s="116" t="str">
        <f t="shared" ca="1" si="121"/>
        <v>Serviço</v>
      </c>
      <c r="O404" s="117" t="str">
        <f t="shared" ca="1" si="122"/>
        <v>1.8.2.3.4.</v>
      </c>
      <c r="P404" s="118" t="s">
        <v>1280</v>
      </c>
      <c r="Q404" s="119" t="s">
        <v>1139</v>
      </c>
      <c r="R404" s="120" t="str">
        <f ca="1">IF($C404="S",REFERENCIA.Descricao,"(digite a descrição aqui)")</f>
        <v>CABO DE COBRE FLEXÍVEL, CLASSE 5, ISOLAMENTO TIPO LSHF/ATOX, NÃO HALOGENADO, ANTICHAMA, TERMOPLÁSTICO, UNIPOLAR, SEÇÃO 16 MM2, 70°C, 450/750V</v>
      </c>
      <c r="S404" s="121" t="str">
        <f ca="1">REFERENCIA.Unidade</f>
        <v>M</v>
      </c>
      <c r="T404" s="122">
        <f ca="1">OFFSET(CÁLCULO!H$15,ROW($T404)-ROW(T$15),0)</f>
        <v>209</v>
      </c>
      <c r="U404" s="123">
        <f t="shared" ca="1" si="108"/>
        <v>18.28</v>
      </c>
      <c r="V404" s="124" t="s">
        <v>663</v>
      </c>
      <c r="W404" s="122">
        <f ca="1">IF($C404="S",ROUND(IF(TIPOORCAMENTO="Proposto",ORÇAMENTO.CustoUnitario*(1+$AH404),ORÇAMENTO.PrecoUnitarioLicitado),15-13*$AF$10),0)</f>
        <v>22.58</v>
      </c>
      <c r="X404" s="125" cm="1">
        <f t="array" aca="1" ref="X404" ca="1">IF($C404="S",IF(OR(Import.TipoArredondamento&lt;&gt;"TransfereGOV",ACOMPANHAMENTO="BM"),VTOTAL1,SUM(OFFSET(CÁLCULO!$AI$15,ROW($X404)-ROW($X$15),1):OFFSET(CÁLCULO!$BB$15,ROW($X404)-ROW($X$15),-1))),IF($C404=0,0,ROUND(SomaAgrup,15-13*$AF$11)))</f>
        <v>4719.22</v>
      </c>
      <c r="Y404" s="126" t="s">
        <v>751</v>
      </c>
      <c r="Z404" t="str">
        <f t="shared" ca="1" si="123"/>
        <v>RA</v>
      </c>
      <c r="AA404" s="127">
        <f ca="1">IF($C404="S",IF($Z404="CP",$X404,IF($Z404="RA",(($X404)*QCI!$AA$3),0)),SomaAgrup)</f>
        <v>0</v>
      </c>
      <c r="AB404" s="128">
        <f t="shared" ca="1" si="124"/>
        <v>0</v>
      </c>
      <c r="AC404" s="565" t="str" cm="1">
        <f t="array" aca="1" ref="AC404" ca="1">IF($N404=""," ",
IF(AND($C404&lt;&gt;"S",OR($R404="",$R404="(digite a descrição aqui)")),"DESCRIÇÃO",
IF(AND($C404="S",OR($Q404&lt;&gt;"",$T404&gt;0,$U404&gt;0),$P404=""),"FONTE",
IF(AND($C404="S",$P404&lt;&gt;"",OR($T404&gt;0,$U404&gt;0),$Q404=""),"CÓDIGO",
IF(AND($C404="S",$P404&lt;&gt;"",$Q404&lt;&gt;"",$R404="(Código não identificado nas referências)"),"CÓDIGO N/ID",
IF(AND($C404="S",OR($R404="",$R404="(digite a descrição aqui)"),OR($Q404&lt;&gt;"",$T404&gt;0,$U404&gt;0)),"DESCRIÇÃO",
IF(AND($C404="S",$P404&lt;&gt;"",$Q404&lt;&gt;"",$S404=""),"UNIDADE",
IF(AND($C404="S",$P404&lt;&gt;"",$Q404&lt;&gt;"",$U404=0),"SEM CUSTO",
IF(AND(_xlfn.SINGLE(TIPOORCAMENTO)="Licitado",$AL404=0,$AN404&gt;0),"SEM PREÇO",
IF(AND($C404="S",$P404&lt;&gt;"",$Q404&lt;&gt;"",$U404&gt;0,AND($V404&lt;&gt;"BDI 1",$V404&lt;&gt;"BDI 2",$V404&lt;&gt;"BDI 3")),IF(ISNUMBER($V404),"JUSTIFICAR BDI","BDI"),
IF(OR(AND(import.recurso="OGU",TIPOORCAMENTO="Proposto",LEFT($O$8,5)&lt;&gt;"(N/D:",$AG404&lt;&gt;"",ORÇAMENTO.CustoUnitario&gt;$AG404),AND(TIPOORCAMENTO="LICITADO",ORÇAMENTO.PrecoUnitarioLicitado&gt;$AN404)),"ACIMA REF.",
IF(AND($C404="S",$P404&lt;&gt;"",$Q404&lt;&gt;"",$T404=0,$U404&gt;0),"QUANT.",
IF(AND(Import.TipoArredondamento="TransfereGOV",$L404="F",$C404="S",LEN($Q404)&gt;13),"Código &gt;13",
IF(AND(Import.TipoArredondamento="TransfereGOV",$L404="F",$C404&lt;&gt;"S",LEN($R404)&gt;100),"Descrição &gt;100",
IF(AND(Import.TipoArredondamento="TransfereGOV",$L404="F",$C404="S",LEN($R404)&gt;500),"Descrição &gt;500",
IF(AND(Import.TipoArredondamento="TransfereGOV",$L404="F",$C404="S",LEFT(TRIM(UPPER($P404)),6)&lt;&gt;"SINAPI",ISNA(VLOOKUP(TRIM(UPPER($S404)),ListaTgov.Unidades,1,FALSE))),"Unid. Não Disp",
" "))))))))))))))))</f>
        <v xml:space="preserve"> </v>
      </c>
      <c r="AD404" t="str">
        <f ca="1">IF(C404&lt;=CRONO.NivelExibicao,MAX($AD$15:OFFSET(AD404,-1,0))+IF($C404&lt;&gt;1,1,MAX(1,COUNTIF(QCI!$A$13:$A$15,OFFSET($E404,-1,0)))),"")</f>
        <v/>
      </c>
      <c r="AE404" s="7" t="str">
        <f ca="1">IF(AND($C404="S",ORÇAMENTO.CodBarra&lt;&gt;""),IF(ORÇAMENTO.Fonte="",ORÇAMENTO.CodBarra,CONCATENATE(ORÇAMENTO.Fonte," ",ORÇAMENTO.CodBarra)))</f>
        <v>SETOP ED-48971</v>
      </c>
      <c r="AF404" s="12">
        <f ca="1">IF(ISERROR(INDIRECT(ORÇAMENTO.BancoRef)),"(abra o arquivo 'Referência "&amp;Excel_BuiltIn_Database&amp;".xlsm)",IF(OR($C404&lt;&gt;"S",ORÇAMENTO.CodBarra=""),"(Sem Código)",IF(ISERROR(MATCH($AE404,INDIRECT(ORÇAMENTO.BancoRef),0)),"(Código não identificado nas referências)",MATCH($AE404,INDIRECT(ORÇAMENTO.BancoRef),0))))</f>
        <v>28886</v>
      </c>
      <c r="AG404" s="428">
        <f ca="1">ROUND(IF(DESONERACAO="sim",REFERENCIA.Desonerado,REFERENCIA.NaoDesonerado),2)</f>
        <v>18.28</v>
      </c>
      <c r="AH404" s="429">
        <f t="shared" ca="1" si="125"/>
        <v>0.23499999999999999</v>
      </c>
      <c r="AJ404" s="431">
        <v>209</v>
      </c>
      <c r="AL404" s="439"/>
      <c r="AM404" s="336">
        <f t="shared" ca="1" si="109"/>
        <v>4719.22</v>
      </c>
      <c r="AN404" s="470">
        <f t="shared" ca="1" si="126"/>
        <v>22.58</v>
      </c>
    </row>
    <row r="405" spans="1:40" ht="38.25" x14ac:dyDescent="0.2">
      <c r="A405" t="str">
        <f t="shared" si="112"/>
        <v>S</v>
      </c>
      <c r="B405">
        <f t="shared" ca="1" si="113"/>
        <v>4</v>
      </c>
      <c r="C405" t="str">
        <f t="shared" ca="1" si="114"/>
        <v>S</v>
      </c>
      <c r="D405">
        <f t="shared" ca="1" si="115"/>
        <v>0</v>
      </c>
      <c r="E405">
        <f ca="1">IF($C405=1,OFFSET(E405,-1,0)+MAX(1,COUNTIF(QCI!$A$13:$A$15,OFFSET(ORÇAMENTO!E405,-1,0))),OFFSET(E405,-1,0))</f>
        <v>1</v>
      </c>
      <c r="F405">
        <f t="shared" ca="1" si="116"/>
        <v>8</v>
      </c>
      <c r="G405">
        <f t="shared" ca="1" si="117"/>
        <v>2</v>
      </c>
      <c r="H405">
        <f t="shared" ca="1" si="118"/>
        <v>3</v>
      </c>
      <c r="I405">
        <f t="shared" ca="1" si="119"/>
        <v>5</v>
      </c>
      <c r="J405">
        <f t="shared" ca="1" si="110"/>
        <v>0</v>
      </c>
      <c r="K405">
        <f ca="1">IF(OR($C405="S",$C405=0),0,MATCH(OFFSET($D405,0,$C405)+IF($C405&lt;&gt;1,1,COUNTIF(QCI!$A$13:$A$15,ORÇAMENTO!E405)),OFFSET($D405,1,$C405,ROW($C$508)-ROW($C405)),0))</f>
        <v>0</v>
      </c>
      <c r="L405" s="114" t="str">
        <f t="shared" ca="1" si="120"/>
        <v>F</v>
      </c>
      <c r="M405" s="115" t="s">
        <v>705</v>
      </c>
      <c r="N405" s="116" t="str">
        <f t="shared" ca="1" si="121"/>
        <v>Serviço</v>
      </c>
      <c r="O405" s="117" t="str">
        <f t="shared" ca="1" si="122"/>
        <v>1.8.2.3.5.</v>
      </c>
      <c r="P405" s="118" t="s">
        <v>1280</v>
      </c>
      <c r="Q405" s="119" t="s">
        <v>1140</v>
      </c>
      <c r="R405" s="120" t="str">
        <f ca="1">IF($C405="S",REFERENCIA.Descricao,"(digite a descrição aqui)")</f>
        <v>CABO DE COBRE FLEXÍVEL, CLASSE 5, ISOLAMENTO TIPO EPR/HEPR, NÃO HALOGENADO, ANTICHAMA, TERMOFIXO, UNIPOLAR, SEÇÃO 25 MM2, 90°C, 0,6/1KV</v>
      </c>
      <c r="S405" s="121" t="str">
        <f ca="1">REFERENCIA.Unidade</f>
        <v>M</v>
      </c>
      <c r="T405" s="122">
        <f ca="1">OFFSET(CÁLCULO!H$15,ROW($T405)-ROW(T$15),0)</f>
        <v>637</v>
      </c>
      <c r="U405" s="123">
        <f t="shared" ca="1" si="108"/>
        <v>29.55</v>
      </c>
      <c r="V405" s="124" t="s">
        <v>663</v>
      </c>
      <c r="W405" s="122">
        <f ca="1">IF($C405="S",ROUND(IF(TIPOORCAMENTO="Proposto",ORÇAMENTO.CustoUnitario*(1+$AH405),ORÇAMENTO.PrecoUnitarioLicitado),15-13*$AF$10),0)</f>
        <v>36.49</v>
      </c>
      <c r="X405" s="125" cm="1">
        <f t="array" aca="1" ref="X405" ca="1">IF($C405="S",IF(OR(Import.TipoArredondamento&lt;&gt;"TransfereGOV",ACOMPANHAMENTO="BM"),VTOTAL1,SUM(OFFSET(CÁLCULO!$AI$15,ROW($X405)-ROW($X$15),1):OFFSET(CÁLCULO!$BB$15,ROW($X405)-ROW($X$15),-1))),IF($C405=0,0,ROUND(SomaAgrup,15-13*$AF$11)))</f>
        <v>23244.13</v>
      </c>
      <c r="Y405" s="126" t="s">
        <v>751</v>
      </c>
      <c r="Z405" t="str">
        <f t="shared" ca="1" si="123"/>
        <v>RA</v>
      </c>
      <c r="AA405" s="127">
        <f ca="1">IF($C405="S",IF($Z405="CP",$X405,IF($Z405="RA",(($X405)*QCI!$AA$3),0)),SomaAgrup)</f>
        <v>0</v>
      </c>
      <c r="AB405" s="128">
        <f t="shared" ca="1" si="124"/>
        <v>0</v>
      </c>
      <c r="AC405" s="565" t="str" cm="1">
        <f t="array" aca="1" ref="AC405" ca="1">IF($N405=""," ",
IF(AND($C405&lt;&gt;"S",OR($R405="",$R405="(digite a descrição aqui)")),"DESCRIÇÃO",
IF(AND($C405="S",OR($Q405&lt;&gt;"",$T405&gt;0,$U405&gt;0),$P405=""),"FONTE",
IF(AND($C405="S",$P405&lt;&gt;"",OR($T405&gt;0,$U405&gt;0),$Q405=""),"CÓDIGO",
IF(AND($C405="S",$P405&lt;&gt;"",$Q405&lt;&gt;"",$R405="(Código não identificado nas referências)"),"CÓDIGO N/ID",
IF(AND($C405="S",OR($R405="",$R405="(digite a descrição aqui)"),OR($Q405&lt;&gt;"",$T405&gt;0,$U405&gt;0)),"DESCRIÇÃO",
IF(AND($C405="S",$P405&lt;&gt;"",$Q405&lt;&gt;"",$S405=""),"UNIDADE",
IF(AND($C405="S",$P405&lt;&gt;"",$Q405&lt;&gt;"",$U405=0),"SEM CUSTO",
IF(AND(_xlfn.SINGLE(TIPOORCAMENTO)="Licitado",$AL405=0,$AN405&gt;0),"SEM PREÇO",
IF(AND($C405="S",$P405&lt;&gt;"",$Q405&lt;&gt;"",$U405&gt;0,AND($V405&lt;&gt;"BDI 1",$V405&lt;&gt;"BDI 2",$V405&lt;&gt;"BDI 3")),IF(ISNUMBER($V405),"JUSTIFICAR BDI","BDI"),
IF(OR(AND(import.recurso="OGU",TIPOORCAMENTO="Proposto",LEFT($O$8,5)&lt;&gt;"(N/D:",$AG405&lt;&gt;"",ORÇAMENTO.CustoUnitario&gt;$AG405),AND(TIPOORCAMENTO="LICITADO",ORÇAMENTO.PrecoUnitarioLicitado&gt;$AN405)),"ACIMA REF.",
IF(AND($C405="S",$P405&lt;&gt;"",$Q405&lt;&gt;"",$T405=0,$U405&gt;0),"QUANT.",
IF(AND(Import.TipoArredondamento="TransfereGOV",$L405="F",$C405="S",LEN($Q405)&gt;13),"Código &gt;13",
IF(AND(Import.TipoArredondamento="TransfereGOV",$L405="F",$C405&lt;&gt;"S",LEN($R405)&gt;100),"Descrição &gt;100",
IF(AND(Import.TipoArredondamento="TransfereGOV",$L405="F",$C405="S",LEN($R405)&gt;500),"Descrição &gt;500",
IF(AND(Import.TipoArredondamento="TransfereGOV",$L405="F",$C405="S",LEFT(TRIM(UPPER($P405)),6)&lt;&gt;"SINAPI",ISNA(VLOOKUP(TRIM(UPPER($S405)),ListaTgov.Unidades,1,FALSE))),"Unid. Não Disp",
" "))))))))))))))))</f>
        <v xml:space="preserve"> </v>
      </c>
      <c r="AD405" t="str">
        <f ca="1">IF(C405&lt;=CRONO.NivelExibicao,MAX($AD$15:OFFSET(AD405,-1,0))+IF($C405&lt;&gt;1,1,MAX(1,COUNTIF(QCI!$A$13:$A$15,OFFSET($E405,-1,0)))),"")</f>
        <v/>
      </c>
      <c r="AE405" s="7" t="str">
        <f ca="1">IF(AND($C405="S",ORÇAMENTO.CodBarra&lt;&gt;""),IF(ORÇAMENTO.Fonte="",ORÇAMENTO.CodBarra,CONCATENATE(ORÇAMENTO.Fonte," ",ORÇAMENTO.CodBarra)))</f>
        <v>SETOP ED-49004</v>
      </c>
      <c r="AF405" s="12">
        <f ca="1">IF(ISERROR(INDIRECT(ORÇAMENTO.BancoRef)),"(abra o arquivo 'Referência "&amp;Excel_BuiltIn_Database&amp;".xlsm)",IF(OR($C405&lt;&gt;"S",ORÇAMENTO.CodBarra=""),"(Sem Código)",IF(ISERROR(MATCH($AE405,INDIRECT(ORÇAMENTO.BancoRef),0)),"(Código não identificado nas referências)",MATCH($AE405,INDIRECT(ORÇAMENTO.BancoRef),0))))</f>
        <v>28900</v>
      </c>
      <c r="AG405" s="428">
        <f ca="1">ROUND(IF(DESONERACAO="sim",REFERENCIA.Desonerado,REFERENCIA.NaoDesonerado),2)</f>
        <v>29.55</v>
      </c>
      <c r="AH405" s="429">
        <f t="shared" ca="1" si="125"/>
        <v>0.23499999999999999</v>
      </c>
      <c r="AJ405" s="431">
        <v>637</v>
      </c>
      <c r="AL405" s="439"/>
      <c r="AM405" s="336">
        <f t="shared" ca="1" si="109"/>
        <v>23244.13</v>
      </c>
      <c r="AN405" s="470">
        <f t="shared" ca="1" si="126"/>
        <v>36.49</v>
      </c>
    </row>
    <row r="406" spans="1:40" ht="38.25" x14ac:dyDescent="0.2">
      <c r="A406" t="str">
        <f t="shared" si="112"/>
        <v>S</v>
      </c>
      <c r="B406">
        <f t="shared" ca="1" si="113"/>
        <v>4</v>
      </c>
      <c r="C406" t="str">
        <f t="shared" ca="1" si="114"/>
        <v>S</v>
      </c>
      <c r="D406">
        <f t="shared" ca="1" si="115"/>
        <v>0</v>
      </c>
      <c r="E406">
        <f ca="1">IF($C406=1,OFFSET(E406,-1,0)+MAX(1,COUNTIF(QCI!$A$13:$A$15,OFFSET(ORÇAMENTO!E406,-1,0))),OFFSET(E406,-1,0))</f>
        <v>1</v>
      </c>
      <c r="F406">
        <f t="shared" ca="1" si="116"/>
        <v>8</v>
      </c>
      <c r="G406">
        <f t="shared" ca="1" si="117"/>
        <v>2</v>
      </c>
      <c r="H406">
        <f t="shared" ca="1" si="118"/>
        <v>3</v>
      </c>
      <c r="I406">
        <f t="shared" ca="1" si="119"/>
        <v>6</v>
      </c>
      <c r="J406">
        <f t="shared" ca="1" si="110"/>
        <v>0</v>
      </c>
      <c r="K406">
        <f ca="1">IF(OR($C406="S",$C406=0),0,MATCH(OFFSET($D406,0,$C406)+IF($C406&lt;&gt;1,1,COUNTIF(QCI!$A$13:$A$15,ORÇAMENTO!E406)),OFFSET($D406,1,$C406,ROW($C$508)-ROW($C406)),0))</f>
        <v>0</v>
      </c>
      <c r="L406" s="114" t="str">
        <f t="shared" ca="1" si="120"/>
        <v>F</v>
      </c>
      <c r="M406" s="115" t="s">
        <v>705</v>
      </c>
      <c r="N406" s="116" t="str">
        <f t="shared" ca="1" si="121"/>
        <v>Serviço</v>
      </c>
      <c r="O406" s="117" t="str">
        <f t="shared" ca="1" si="122"/>
        <v>1.8.2.3.6.</v>
      </c>
      <c r="P406" s="118" t="s">
        <v>1280</v>
      </c>
      <c r="Q406" s="119" t="s">
        <v>1141</v>
      </c>
      <c r="R406" s="120" t="str">
        <f ca="1">IF($C406="S",REFERENCIA.Descricao,"(digite a descrição aqui)")</f>
        <v>CABO DE COBRE FLEXÍVEL, CLASSE 5, ISOLAMENTO TIPO EPR/HEPR, NÃO HALOGENADO, ANTICHAMA, TERMOFIXO, UNIPOLAR, SEÇÃO 50 MM2, 90°C, 0,6/1KV</v>
      </c>
      <c r="S406" s="121" t="str">
        <f ca="1">REFERENCIA.Unidade</f>
        <v>M</v>
      </c>
      <c r="T406" s="122">
        <f ca="1">OFFSET(CÁLCULO!H$15,ROW($T406)-ROW(T$15),0)</f>
        <v>123</v>
      </c>
      <c r="U406" s="123">
        <f t="shared" ca="1" si="108"/>
        <v>46.52</v>
      </c>
      <c r="V406" s="124" t="s">
        <v>663</v>
      </c>
      <c r="W406" s="122">
        <f ca="1">IF($C406="S",ROUND(IF(TIPOORCAMENTO="Proposto",ORÇAMENTO.CustoUnitario*(1+$AH406),ORÇAMENTO.PrecoUnitarioLicitado),15-13*$AF$10),0)</f>
        <v>57.45</v>
      </c>
      <c r="X406" s="125" cm="1">
        <f t="array" aca="1" ref="X406" ca="1">IF($C406="S",IF(OR(Import.TipoArredondamento&lt;&gt;"TransfereGOV",ACOMPANHAMENTO="BM"),VTOTAL1,SUM(OFFSET(CÁLCULO!$AI$15,ROW($X406)-ROW($X$15),1):OFFSET(CÁLCULO!$BB$15,ROW($X406)-ROW($X$15),-1))),IF($C406=0,0,ROUND(SomaAgrup,15-13*$AF$11)))</f>
        <v>7066.35</v>
      </c>
      <c r="Y406" s="126" t="s">
        <v>751</v>
      </c>
      <c r="Z406" t="str">
        <f t="shared" ca="1" si="123"/>
        <v>RA</v>
      </c>
      <c r="AA406" s="127">
        <f ca="1">IF($C406="S",IF($Z406="CP",$X406,IF($Z406="RA",(($X406)*QCI!$AA$3),0)),SomaAgrup)</f>
        <v>0</v>
      </c>
      <c r="AB406" s="128">
        <f t="shared" ca="1" si="124"/>
        <v>0</v>
      </c>
      <c r="AC406" s="565" t="str" cm="1">
        <f t="array" aca="1" ref="AC406" ca="1">IF($N406=""," ",
IF(AND($C406&lt;&gt;"S",OR($R406="",$R406="(digite a descrição aqui)")),"DESCRIÇÃO",
IF(AND($C406="S",OR($Q406&lt;&gt;"",$T406&gt;0,$U406&gt;0),$P406=""),"FONTE",
IF(AND($C406="S",$P406&lt;&gt;"",OR($T406&gt;0,$U406&gt;0),$Q406=""),"CÓDIGO",
IF(AND($C406="S",$P406&lt;&gt;"",$Q406&lt;&gt;"",$R406="(Código não identificado nas referências)"),"CÓDIGO N/ID",
IF(AND($C406="S",OR($R406="",$R406="(digite a descrição aqui)"),OR($Q406&lt;&gt;"",$T406&gt;0,$U406&gt;0)),"DESCRIÇÃO",
IF(AND($C406="S",$P406&lt;&gt;"",$Q406&lt;&gt;"",$S406=""),"UNIDADE",
IF(AND($C406="S",$P406&lt;&gt;"",$Q406&lt;&gt;"",$U406=0),"SEM CUSTO",
IF(AND(_xlfn.SINGLE(TIPOORCAMENTO)="Licitado",$AL406=0,$AN406&gt;0),"SEM PREÇO",
IF(AND($C406="S",$P406&lt;&gt;"",$Q406&lt;&gt;"",$U406&gt;0,AND($V406&lt;&gt;"BDI 1",$V406&lt;&gt;"BDI 2",$V406&lt;&gt;"BDI 3")),IF(ISNUMBER($V406),"JUSTIFICAR BDI","BDI"),
IF(OR(AND(import.recurso="OGU",TIPOORCAMENTO="Proposto",LEFT($O$8,5)&lt;&gt;"(N/D:",$AG406&lt;&gt;"",ORÇAMENTO.CustoUnitario&gt;$AG406),AND(TIPOORCAMENTO="LICITADO",ORÇAMENTO.PrecoUnitarioLicitado&gt;$AN406)),"ACIMA REF.",
IF(AND($C406="S",$P406&lt;&gt;"",$Q406&lt;&gt;"",$T406=0,$U406&gt;0),"QUANT.",
IF(AND(Import.TipoArredondamento="TransfereGOV",$L406="F",$C406="S",LEN($Q406)&gt;13),"Código &gt;13",
IF(AND(Import.TipoArredondamento="TransfereGOV",$L406="F",$C406&lt;&gt;"S",LEN($R406)&gt;100),"Descrição &gt;100",
IF(AND(Import.TipoArredondamento="TransfereGOV",$L406="F",$C406="S",LEN($R406)&gt;500),"Descrição &gt;500",
IF(AND(Import.TipoArredondamento="TransfereGOV",$L406="F",$C406="S",LEFT(TRIM(UPPER($P406)),6)&lt;&gt;"SINAPI",ISNA(VLOOKUP(TRIM(UPPER($S406)),ListaTgov.Unidades,1,FALSE))),"Unid. Não Disp",
" "))))))))))))))))</f>
        <v xml:space="preserve"> </v>
      </c>
      <c r="AD406" t="str">
        <f ca="1">IF(C406&lt;=CRONO.NivelExibicao,MAX($AD$15:OFFSET(AD406,-1,0))+IF($C406&lt;&gt;1,1,MAX(1,COUNTIF(QCI!$A$13:$A$15,OFFSET($E406,-1,0)))),"")</f>
        <v/>
      </c>
      <c r="AE406" s="7" t="str">
        <f ca="1">IF(AND($C406="S",ORÇAMENTO.CodBarra&lt;&gt;""),IF(ORÇAMENTO.Fonte="",ORÇAMENTO.CodBarra,CONCATENATE(ORÇAMENTO.Fonte," ",ORÇAMENTO.CodBarra)))</f>
        <v>SETOP ED-49010</v>
      </c>
      <c r="AF406" s="12">
        <f ca="1">IF(ISERROR(INDIRECT(ORÇAMENTO.BancoRef)),"(abra o arquivo 'Referência "&amp;Excel_BuiltIn_Database&amp;".xlsm)",IF(OR($C406&lt;&gt;"S",ORÇAMENTO.CodBarra=""),"(Sem Código)",IF(ISERROR(MATCH($AE406,INDIRECT(ORÇAMENTO.BancoRef),0)),"(Código não identificado nas referências)",MATCH($AE406,INDIRECT(ORÇAMENTO.BancoRef),0))))</f>
        <v>28904</v>
      </c>
      <c r="AG406" s="428">
        <f ca="1">ROUND(IF(DESONERACAO="sim",REFERENCIA.Desonerado,REFERENCIA.NaoDesonerado),2)</f>
        <v>46.52</v>
      </c>
      <c r="AH406" s="429">
        <f t="shared" ca="1" si="125"/>
        <v>0.23499999999999999</v>
      </c>
      <c r="AJ406" s="431">
        <v>123</v>
      </c>
      <c r="AL406" s="439"/>
      <c r="AM406" s="336">
        <f t="shared" ca="1" si="109"/>
        <v>7066.35</v>
      </c>
      <c r="AN406" s="470">
        <f t="shared" ca="1" si="126"/>
        <v>57.45</v>
      </c>
    </row>
    <row r="407" spans="1:40" ht="38.25" x14ac:dyDescent="0.2">
      <c r="A407" t="str">
        <f t="shared" si="112"/>
        <v>S</v>
      </c>
      <c r="B407">
        <f t="shared" ca="1" si="113"/>
        <v>4</v>
      </c>
      <c r="C407" t="str">
        <f t="shared" ca="1" si="114"/>
        <v>S</v>
      </c>
      <c r="D407">
        <f t="shared" ca="1" si="115"/>
        <v>0</v>
      </c>
      <c r="E407">
        <f ca="1">IF($C407=1,OFFSET(E407,-1,0)+MAX(1,COUNTIF(QCI!$A$13:$A$15,OFFSET(ORÇAMENTO!E407,-1,0))),OFFSET(E407,-1,0))</f>
        <v>1</v>
      </c>
      <c r="F407">
        <f t="shared" ca="1" si="116"/>
        <v>8</v>
      </c>
      <c r="G407">
        <f t="shared" ca="1" si="117"/>
        <v>2</v>
      </c>
      <c r="H407">
        <f t="shared" ca="1" si="118"/>
        <v>3</v>
      </c>
      <c r="I407">
        <f t="shared" ca="1" si="119"/>
        <v>7</v>
      </c>
      <c r="J407">
        <f t="shared" ca="1" si="110"/>
        <v>0</v>
      </c>
      <c r="K407">
        <f ca="1">IF(OR($C407="S",$C407=0),0,MATCH(OFFSET($D407,0,$C407)+IF($C407&lt;&gt;1,1,COUNTIF(QCI!$A$13:$A$15,ORÇAMENTO!E407)),OFFSET($D407,1,$C407,ROW($C$508)-ROW($C407)),0))</f>
        <v>0</v>
      </c>
      <c r="L407" s="114" t="str">
        <f t="shared" ca="1" si="120"/>
        <v>F</v>
      </c>
      <c r="M407" s="115" t="s">
        <v>705</v>
      </c>
      <c r="N407" s="116" t="str">
        <f t="shared" ca="1" si="121"/>
        <v>Serviço</v>
      </c>
      <c r="O407" s="117" t="str">
        <f t="shared" ca="1" si="122"/>
        <v>1.8.2.3.7.</v>
      </c>
      <c r="P407" s="118" t="s">
        <v>1280</v>
      </c>
      <c r="Q407" s="119" t="s">
        <v>1142</v>
      </c>
      <c r="R407" s="120" t="str">
        <f ca="1">IF($C407="S",REFERENCIA.Descricao,"(digite a descrição aqui)")</f>
        <v>CABO DE COBRE FLEXÍVEL, CLASSE 5, ISOLAMENTO TIPO EPR/HEPR, NÃO HALOGENADO, ANTICHAMA, TERMOFIXO, UNIPOLAR, SEÇÃO 95 MM2, 90°C, 0,6/1KV</v>
      </c>
      <c r="S407" s="121" t="str">
        <f ca="1">REFERENCIA.Unidade</f>
        <v>M</v>
      </c>
      <c r="T407" s="122">
        <f ca="1">OFFSET(CÁLCULO!H$15,ROW($T407)-ROW(T$15),0)</f>
        <v>321</v>
      </c>
      <c r="U407" s="123">
        <f t="shared" ca="1" si="108"/>
        <v>98.43</v>
      </c>
      <c r="V407" s="124" t="s">
        <v>663</v>
      </c>
      <c r="W407" s="122">
        <f ca="1">IF($C407="S",ROUND(IF(TIPOORCAMENTO="Proposto",ORÇAMENTO.CustoUnitario*(1+$AH407),ORÇAMENTO.PrecoUnitarioLicitado),15-13*$AF$10),0)</f>
        <v>121.56</v>
      </c>
      <c r="X407" s="125" cm="1">
        <f t="array" aca="1" ref="X407" ca="1">IF($C407="S",IF(OR(Import.TipoArredondamento&lt;&gt;"TransfereGOV",ACOMPANHAMENTO="BM"),VTOTAL1,SUM(OFFSET(CÁLCULO!$AI$15,ROW($X407)-ROW($X$15),1):OFFSET(CÁLCULO!$BB$15,ROW($X407)-ROW($X$15),-1))),IF($C407=0,0,ROUND(SomaAgrup,15-13*$AF$11)))</f>
        <v>39020.76</v>
      </c>
      <c r="Y407" s="126" t="s">
        <v>751</v>
      </c>
      <c r="Z407" t="str">
        <f t="shared" ca="1" si="123"/>
        <v>RA</v>
      </c>
      <c r="AA407" s="127">
        <f ca="1">IF($C407="S",IF($Z407="CP",$X407,IF($Z407="RA",(($X407)*QCI!$AA$3),0)),SomaAgrup)</f>
        <v>0</v>
      </c>
      <c r="AB407" s="128">
        <f t="shared" ca="1" si="124"/>
        <v>0</v>
      </c>
      <c r="AC407" s="565" t="str" cm="1">
        <f t="array" aca="1" ref="AC407" ca="1">IF($N407=""," ",
IF(AND($C407&lt;&gt;"S",OR($R407="",$R407="(digite a descrição aqui)")),"DESCRIÇÃO",
IF(AND($C407="S",OR($Q407&lt;&gt;"",$T407&gt;0,$U407&gt;0),$P407=""),"FONTE",
IF(AND($C407="S",$P407&lt;&gt;"",OR($T407&gt;0,$U407&gt;0),$Q407=""),"CÓDIGO",
IF(AND($C407="S",$P407&lt;&gt;"",$Q407&lt;&gt;"",$R407="(Código não identificado nas referências)"),"CÓDIGO N/ID",
IF(AND($C407="S",OR($R407="",$R407="(digite a descrição aqui)"),OR($Q407&lt;&gt;"",$T407&gt;0,$U407&gt;0)),"DESCRIÇÃO",
IF(AND($C407="S",$P407&lt;&gt;"",$Q407&lt;&gt;"",$S407=""),"UNIDADE",
IF(AND($C407="S",$P407&lt;&gt;"",$Q407&lt;&gt;"",$U407=0),"SEM CUSTO",
IF(AND(_xlfn.SINGLE(TIPOORCAMENTO)="Licitado",$AL407=0,$AN407&gt;0),"SEM PREÇO",
IF(AND($C407="S",$P407&lt;&gt;"",$Q407&lt;&gt;"",$U407&gt;0,AND($V407&lt;&gt;"BDI 1",$V407&lt;&gt;"BDI 2",$V407&lt;&gt;"BDI 3")),IF(ISNUMBER($V407),"JUSTIFICAR BDI","BDI"),
IF(OR(AND(import.recurso="OGU",TIPOORCAMENTO="Proposto",LEFT($O$8,5)&lt;&gt;"(N/D:",$AG407&lt;&gt;"",ORÇAMENTO.CustoUnitario&gt;$AG407),AND(TIPOORCAMENTO="LICITADO",ORÇAMENTO.PrecoUnitarioLicitado&gt;$AN407)),"ACIMA REF.",
IF(AND($C407="S",$P407&lt;&gt;"",$Q407&lt;&gt;"",$T407=0,$U407&gt;0),"QUANT.",
IF(AND(Import.TipoArredondamento="TransfereGOV",$L407="F",$C407="S",LEN($Q407)&gt;13),"Código &gt;13",
IF(AND(Import.TipoArredondamento="TransfereGOV",$L407="F",$C407&lt;&gt;"S",LEN($R407)&gt;100),"Descrição &gt;100",
IF(AND(Import.TipoArredondamento="TransfereGOV",$L407="F",$C407="S",LEN($R407)&gt;500),"Descrição &gt;500",
IF(AND(Import.TipoArredondamento="TransfereGOV",$L407="F",$C407="S",LEFT(TRIM(UPPER($P407)),6)&lt;&gt;"SINAPI",ISNA(VLOOKUP(TRIM(UPPER($S407)),ListaTgov.Unidades,1,FALSE))),"Unid. Não Disp",
" "))))))))))))))))</f>
        <v xml:space="preserve"> </v>
      </c>
      <c r="AD407" t="str">
        <f ca="1">IF(C407&lt;=CRONO.NivelExibicao,MAX($AD$15:OFFSET(AD407,-1,0))+IF($C407&lt;&gt;1,1,MAX(1,COUNTIF(QCI!$A$13:$A$15,OFFSET($E407,-1,0)))),"")</f>
        <v/>
      </c>
      <c r="AE407" s="7" t="str">
        <f ca="1">IF(AND($C407="S",ORÇAMENTO.CodBarra&lt;&gt;""),IF(ORÇAMENTO.Fonte="",ORÇAMENTO.CodBarra,CONCATENATE(ORÇAMENTO.Fonte," ",ORÇAMENTO.CodBarra)))</f>
        <v>SETOP ED-49016</v>
      </c>
      <c r="AF407" s="12">
        <f ca="1">IF(ISERROR(INDIRECT(ORÇAMENTO.BancoRef)),"(abra o arquivo 'Referência "&amp;Excel_BuiltIn_Database&amp;".xlsm)",IF(OR($C407&lt;&gt;"S",ORÇAMENTO.CodBarra=""),"(Sem Código)",IF(ISERROR(MATCH($AE407,INDIRECT(ORÇAMENTO.BancoRef),0)),"(Código não identificado nas referências)",MATCH($AE407,INDIRECT(ORÇAMENTO.BancoRef),0))))</f>
        <v>28907</v>
      </c>
      <c r="AG407" s="428">
        <f ca="1">ROUND(IF(DESONERACAO="sim",REFERENCIA.Desonerado,REFERENCIA.NaoDesonerado),2)</f>
        <v>98.43</v>
      </c>
      <c r="AH407" s="429">
        <f t="shared" ca="1" si="125"/>
        <v>0.23499999999999999</v>
      </c>
      <c r="AJ407" s="431">
        <v>321</v>
      </c>
      <c r="AL407" s="439"/>
      <c r="AM407" s="336">
        <f t="shared" ca="1" si="109"/>
        <v>39020.76</v>
      </c>
      <c r="AN407" s="470">
        <f t="shared" ca="1" si="126"/>
        <v>121.56</v>
      </c>
    </row>
    <row r="408" spans="1:40" ht="38.25" x14ac:dyDescent="0.2">
      <c r="A408" t="str">
        <f t="shared" si="112"/>
        <v>S</v>
      </c>
      <c r="B408">
        <f t="shared" ca="1" si="113"/>
        <v>4</v>
      </c>
      <c r="C408" t="str">
        <f t="shared" ca="1" si="114"/>
        <v>S</v>
      </c>
      <c r="D408">
        <f t="shared" ca="1" si="115"/>
        <v>0</v>
      </c>
      <c r="E408">
        <f ca="1">IF($C408=1,OFFSET(E408,-1,0)+MAX(1,COUNTIF(QCI!$A$13:$A$15,OFFSET(ORÇAMENTO!E408,-1,0))),OFFSET(E408,-1,0))</f>
        <v>1</v>
      </c>
      <c r="F408">
        <f t="shared" ca="1" si="116"/>
        <v>8</v>
      </c>
      <c r="G408">
        <f t="shared" ca="1" si="117"/>
        <v>2</v>
      </c>
      <c r="H408">
        <f t="shared" ca="1" si="118"/>
        <v>3</v>
      </c>
      <c r="I408">
        <f t="shared" ca="1" si="119"/>
        <v>8</v>
      </c>
      <c r="J408">
        <f t="shared" ca="1" si="110"/>
        <v>0</v>
      </c>
      <c r="K408">
        <f ca="1">IF(OR($C408="S",$C408=0),0,MATCH(OFFSET($D408,0,$C408)+IF($C408&lt;&gt;1,1,COUNTIF(QCI!$A$13:$A$15,ORÇAMENTO!E408)),OFFSET($D408,1,$C408,ROW($C$508)-ROW($C408)),0))</f>
        <v>0</v>
      </c>
      <c r="L408" s="114" t="str">
        <f t="shared" ca="1" si="120"/>
        <v>F</v>
      </c>
      <c r="M408" s="115" t="s">
        <v>705</v>
      </c>
      <c r="N408" s="116" t="str">
        <f t="shared" ca="1" si="121"/>
        <v>Serviço</v>
      </c>
      <c r="O408" s="117" t="str">
        <f t="shared" ca="1" si="122"/>
        <v>1.8.2.3.8.</v>
      </c>
      <c r="P408" s="118" t="s">
        <v>1280</v>
      </c>
      <c r="Q408" s="119" t="s">
        <v>1143</v>
      </c>
      <c r="R408" s="120" t="str">
        <f ca="1">IF($C408="S",REFERENCIA.Descricao,"(digite a descrição aqui)")</f>
        <v>CABO DE COBRE FLEXÍVEL, CLASSE 5, ISOLAMENTO TIPO EPR/HEPR, NÃO HALOGENADO, ANTICHAMA, TERMOFIXO, UNIPOLAR, SEÇÃO 1,5 MM2, 90°C, 0,6/1KV</v>
      </c>
      <c r="S408" s="121" t="str">
        <f ca="1">REFERENCIA.Unidade</f>
        <v>M</v>
      </c>
      <c r="T408" s="122">
        <f ca="1">OFFSET(CÁLCULO!H$15,ROW($T408)-ROW(T$15),0)</f>
        <v>40</v>
      </c>
      <c r="U408" s="123">
        <f t="shared" ca="1" si="108"/>
        <v>3.62</v>
      </c>
      <c r="V408" s="124" t="s">
        <v>663</v>
      </c>
      <c r="W408" s="122">
        <f ca="1">IF($C408="S",ROUND(IF(TIPOORCAMENTO="Proposto",ORÇAMENTO.CustoUnitario*(1+$AH408),ORÇAMENTO.PrecoUnitarioLicitado),15-13*$AF$10),0)</f>
        <v>4.47</v>
      </c>
      <c r="X408" s="125" cm="1">
        <f t="array" aca="1" ref="X408" ca="1">IF($C408="S",IF(OR(Import.TipoArredondamento&lt;&gt;"TransfereGOV",ACOMPANHAMENTO="BM"),VTOTAL1,SUM(OFFSET(CÁLCULO!$AI$15,ROW($X408)-ROW($X$15),1):OFFSET(CÁLCULO!$BB$15,ROW($X408)-ROW($X$15),-1))),IF($C408=0,0,ROUND(SomaAgrup,15-13*$AF$11)))</f>
        <v>178.8</v>
      </c>
      <c r="Y408" s="126" t="s">
        <v>751</v>
      </c>
      <c r="Z408" t="str">
        <f t="shared" ca="1" si="123"/>
        <v>RA</v>
      </c>
      <c r="AA408" s="127">
        <f ca="1">IF($C408="S",IF($Z408="CP",$X408,IF($Z408="RA",(($X408)*QCI!$AA$3),0)),SomaAgrup)</f>
        <v>0</v>
      </c>
      <c r="AB408" s="128">
        <f t="shared" ca="1" si="124"/>
        <v>0</v>
      </c>
      <c r="AC408" s="565" t="str" cm="1">
        <f t="array" aca="1" ref="AC408" ca="1">IF($N408=""," ",
IF(AND($C408&lt;&gt;"S",OR($R408="",$R408="(digite a descrição aqui)")),"DESCRIÇÃO",
IF(AND($C408="S",OR($Q408&lt;&gt;"",$T408&gt;0,$U408&gt;0),$P408=""),"FONTE",
IF(AND($C408="S",$P408&lt;&gt;"",OR($T408&gt;0,$U408&gt;0),$Q408=""),"CÓDIGO",
IF(AND($C408="S",$P408&lt;&gt;"",$Q408&lt;&gt;"",$R408="(Código não identificado nas referências)"),"CÓDIGO N/ID",
IF(AND($C408="S",OR($R408="",$R408="(digite a descrição aqui)"),OR($Q408&lt;&gt;"",$T408&gt;0,$U408&gt;0)),"DESCRIÇÃO",
IF(AND($C408="S",$P408&lt;&gt;"",$Q408&lt;&gt;"",$S408=""),"UNIDADE",
IF(AND($C408="S",$P408&lt;&gt;"",$Q408&lt;&gt;"",$U408=0),"SEM CUSTO",
IF(AND(_xlfn.SINGLE(TIPOORCAMENTO)="Licitado",$AL408=0,$AN408&gt;0),"SEM PREÇO",
IF(AND($C408="S",$P408&lt;&gt;"",$Q408&lt;&gt;"",$U408&gt;0,AND($V408&lt;&gt;"BDI 1",$V408&lt;&gt;"BDI 2",$V408&lt;&gt;"BDI 3")),IF(ISNUMBER($V408),"JUSTIFICAR BDI","BDI"),
IF(OR(AND(import.recurso="OGU",TIPOORCAMENTO="Proposto",LEFT($O$8,5)&lt;&gt;"(N/D:",$AG408&lt;&gt;"",ORÇAMENTO.CustoUnitario&gt;$AG408),AND(TIPOORCAMENTO="LICITADO",ORÇAMENTO.PrecoUnitarioLicitado&gt;$AN408)),"ACIMA REF.",
IF(AND($C408="S",$P408&lt;&gt;"",$Q408&lt;&gt;"",$T408=0,$U408&gt;0),"QUANT.",
IF(AND(Import.TipoArredondamento="TransfereGOV",$L408="F",$C408="S",LEN($Q408)&gt;13),"Código &gt;13",
IF(AND(Import.TipoArredondamento="TransfereGOV",$L408="F",$C408&lt;&gt;"S",LEN($R408)&gt;100),"Descrição &gt;100",
IF(AND(Import.TipoArredondamento="TransfereGOV",$L408="F",$C408="S",LEN($R408)&gt;500),"Descrição &gt;500",
IF(AND(Import.TipoArredondamento="TransfereGOV",$L408="F",$C408="S",LEFT(TRIM(UPPER($P408)),6)&lt;&gt;"SINAPI",ISNA(VLOOKUP(TRIM(UPPER($S408)),ListaTgov.Unidades,1,FALSE))),"Unid. Não Disp",
" "))))))))))))))))</f>
        <v xml:space="preserve"> </v>
      </c>
      <c r="AD408" t="str">
        <f ca="1">IF(C408&lt;=CRONO.NivelExibicao,MAX($AD$15:OFFSET(AD408,-1,0))+IF($C408&lt;&gt;1,1,MAX(1,COUNTIF(QCI!$A$13:$A$15,OFFSET($E408,-1,0)))),"")</f>
        <v/>
      </c>
      <c r="AE408" s="7" t="str">
        <f ca="1">IF(AND($C408="S",ORÇAMENTO.CodBarra&lt;&gt;""),IF(ORÇAMENTO.Fonte="",ORÇAMENTO.CodBarra,CONCATENATE(ORÇAMENTO.Fonte," ",ORÇAMENTO.CodBarra)))</f>
        <v>SETOP ED-48986</v>
      </c>
      <c r="AF408" s="12">
        <f ca="1">IF(ISERROR(INDIRECT(ORÇAMENTO.BancoRef)),"(abra o arquivo 'Referência "&amp;Excel_BuiltIn_Database&amp;".xlsm)",IF(OR($C408&lt;&gt;"S",ORÇAMENTO.CodBarra=""),"(Sem Código)",IF(ISERROR(MATCH($AE408,INDIRECT(ORÇAMENTO.BancoRef),0)),"(Código não identificado nas referências)",MATCH($AE408,INDIRECT(ORÇAMENTO.BancoRef),0))))</f>
        <v>28894</v>
      </c>
      <c r="AG408" s="428">
        <f ca="1">ROUND(IF(DESONERACAO="sim",REFERENCIA.Desonerado,REFERENCIA.NaoDesonerado),2)</f>
        <v>3.62</v>
      </c>
      <c r="AH408" s="429">
        <f t="shared" ca="1" si="125"/>
        <v>0.23499999999999999</v>
      </c>
      <c r="AJ408" s="431">
        <v>40</v>
      </c>
      <c r="AL408" s="439"/>
      <c r="AM408" s="336">
        <f t="shared" ca="1" si="109"/>
        <v>178.8</v>
      </c>
      <c r="AN408" s="470">
        <f t="shared" ca="1" si="126"/>
        <v>4.47</v>
      </c>
    </row>
    <row r="409" spans="1:40" ht="38.25" x14ac:dyDescent="0.2">
      <c r="A409" t="str">
        <f t="shared" si="112"/>
        <v>S</v>
      </c>
      <c r="B409">
        <f t="shared" ca="1" si="113"/>
        <v>4</v>
      </c>
      <c r="C409" t="str">
        <f t="shared" ca="1" si="114"/>
        <v>S</v>
      </c>
      <c r="D409">
        <f t="shared" ca="1" si="115"/>
        <v>0</v>
      </c>
      <c r="E409">
        <f ca="1">IF($C409=1,OFFSET(E409,-1,0)+MAX(1,COUNTIF(QCI!$A$13:$A$15,OFFSET(ORÇAMENTO!E409,-1,0))),OFFSET(E409,-1,0))</f>
        <v>1</v>
      </c>
      <c r="F409">
        <f t="shared" ca="1" si="116"/>
        <v>8</v>
      </c>
      <c r="G409">
        <f t="shared" ca="1" si="117"/>
        <v>2</v>
      </c>
      <c r="H409">
        <f t="shared" ca="1" si="118"/>
        <v>3</v>
      </c>
      <c r="I409">
        <f t="shared" ca="1" si="119"/>
        <v>9</v>
      </c>
      <c r="J409">
        <f t="shared" ca="1" si="110"/>
        <v>0</v>
      </c>
      <c r="K409">
        <f ca="1">IF(OR($C409="S",$C409=0),0,MATCH(OFFSET($D409,0,$C409)+IF($C409&lt;&gt;1,1,COUNTIF(QCI!$A$13:$A$15,ORÇAMENTO!E409)),OFFSET($D409,1,$C409,ROW($C$508)-ROW($C409)),0))</f>
        <v>0</v>
      </c>
      <c r="L409" s="114" t="str">
        <f t="shared" ca="1" si="120"/>
        <v>F</v>
      </c>
      <c r="M409" s="115" t="s">
        <v>705</v>
      </c>
      <c r="N409" s="116" t="str">
        <f t="shared" ca="1" si="121"/>
        <v>Serviço</v>
      </c>
      <c r="O409" s="117" t="str">
        <f t="shared" ca="1" si="122"/>
        <v>1.8.2.3.9.</v>
      </c>
      <c r="P409" s="118" t="s">
        <v>1280</v>
      </c>
      <c r="Q409" s="119" t="s">
        <v>1144</v>
      </c>
      <c r="R409" s="120" t="str">
        <f ca="1">IF($C409="S",REFERENCIA.Descricao,"(digite a descrição aqui)")</f>
        <v>CABO DE COBRE FLEXÍVEL, CLASSE 5, ISOLAMENTO TIPO EPR/HEPR, NÃO HALOGENADO, ANTICHAMA, TERMOFIXO, UNIPOLAR, SEÇÃO 2,5 MM2, 90°C, 0,6/1KV</v>
      </c>
      <c r="S409" s="121" t="str">
        <f ca="1">REFERENCIA.Unidade</f>
        <v>M</v>
      </c>
      <c r="T409" s="122">
        <f ca="1">OFFSET(CÁLCULO!H$15,ROW($T409)-ROW(T$15),0)</f>
        <v>950.4</v>
      </c>
      <c r="U409" s="123">
        <f t="shared" ca="1" si="108"/>
        <v>5.35</v>
      </c>
      <c r="V409" s="124" t="s">
        <v>663</v>
      </c>
      <c r="W409" s="122">
        <f ca="1">IF($C409="S",ROUND(IF(TIPOORCAMENTO="Proposto",ORÇAMENTO.CustoUnitario*(1+$AH409),ORÇAMENTO.PrecoUnitarioLicitado),15-13*$AF$10),0)</f>
        <v>6.61</v>
      </c>
      <c r="X409" s="125" cm="1">
        <f t="array" aca="1" ref="X409" ca="1">IF($C409="S",IF(OR(Import.TipoArredondamento&lt;&gt;"TransfereGOV",ACOMPANHAMENTO="BM"),VTOTAL1,SUM(OFFSET(CÁLCULO!$AI$15,ROW($X409)-ROW($X$15),1):OFFSET(CÁLCULO!$BB$15,ROW($X409)-ROW($X$15),-1))),IF($C409=0,0,ROUND(SomaAgrup,15-13*$AF$11)))</f>
        <v>6282.14</v>
      </c>
      <c r="Y409" s="126" t="s">
        <v>751</v>
      </c>
      <c r="Z409" t="str">
        <f t="shared" ca="1" si="123"/>
        <v>RA</v>
      </c>
      <c r="AA409" s="127">
        <f ca="1">IF($C409="S",IF($Z409="CP",$X409,IF($Z409="RA",(($X409)*QCI!$AA$3),0)),SomaAgrup)</f>
        <v>0</v>
      </c>
      <c r="AB409" s="128">
        <f t="shared" ca="1" si="124"/>
        <v>0</v>
      </c>
      <c r="AC409" s="565" t="str" cm="1">
        <f t="array" aca="1" ref="AC409" ca="1">IF($N409=""," ",
IF(AND($C409&lt;&gt;"S",OR($R409="",$R409="(digite a descrição aqui)")),"DESCRIÇÃO",
IF(AND($C409="S",OR($Q409&lt;&gt;"",$T409&gt;0,$U409&gt;0),$P409=""),"FONTE",
IF(AND($C409="S",$P409&lt;&gt;"",OR($T409&gt;0,$U409&gt;0),$Q409=""),"CÓDIGO",
IF(AND($C409="S",$P409&lt;&gt;"",$Q409&lt;&gt;"",$R409="(Código não identificado nas referências)"),"CÓDIGO N/ID",
IF(AND($C409="S",OR($R409="",$R409="(digite a descrição aqui)"),OR($Q409&lt;&gt;"",$T409&gt;0,$U409&gt;0)),"DESCRIÇÃO",
IF(AND($C409="S",$P409&lt;&gt;"",$Q409&lt;&gt;"",$S409=""),"UNIDADE",
IF(AND($C409="S",$P409&lt;&gt;"",$Q409&lt;&gt;"",$U409=0),"SEM CUSTO",
IF(AND(_xlfn.SINGLE(TIPOORCAMENTO)="Licitado",$AL409=0,$AN409&gt;0),"SEM PREÇO",
IF(AND($C409="S",$P409&lt;&gt;"",$Q409&lt;&gt;"",$U409&gt;0,AND($V409&lt;&gt;"BDI 1",$V409&lt;&gt;"BDI 2",$V409&lt;&gt;"BDI 3")),IF(ISNUMBER($V409),"JUSTIFICAR BDI","BDI"),
IF(OR(AND(import.recurso="OGU",TIPOORCAMENTO="Proposto",LEFT($O$8,5)&lt;&gt;"(N/D:",$AG409&lt;&gt;"",ORÇAMENTO.CustoUnitario&gt;$AG409),AND(TIPOORCAMENTO="LICITADO",ORÇAMENTO.PrecoUnitarioLicitado&gt;$AN409)),"ACIMA REF.",
IF(AND($C409="S",$P409&lt;&gt;"",$Q409&lt;&gt;"",$T409=0,$U409&gt;0),"QUANT.",
IF(AND(Import.TipoArredondamento="TransfereGOV",$L409="F",$C409="S",LEN($Q409)&gt;13),"Código &gt;13",
IF(AND(Import.TipoArredondamento="TransfereGOV",$L409="F",$C409&lt;&gt;"S",LEN($R409)&gt;100),"Descrição &gt;100",
IF(AND(Import.TipoArredondamento="TransfereGOV",$L409="F",$C409="S",LEN($R409)&gt;500),"Descrição &gt;500",
IF(AND(Import.TipoArredondamento="TransfereGOV",$L409="F",$C409="S",LEFT(TRIM(UPPER($P409)),6)&lt;&gt;"SINAPI",ISNA(VLOOKUP(TRIM(UPPER($S409)),ListaTgov.Unidades,1,FALSE))),"Unid. Não Disp",
" "))))))))))))))))</f>
        <v xml:space="preserve"> </v>
      </c>
      <c r="AD409" t="str">
        <f ca="1">IF(C409&lt;=CRONO.NivelExibicao,MAX($AD$15:OFFSET(AD409,-1,0))+IF($C409&lt;&gt;1,1,MAX(1,COUNTIF(QCI!$A$13:$A$15,OFFSET($E409,-1,0)))),"")</f>
        <v/>
      </c>
      <c r="AE409" s="7" t="str">
        <f ca="1">IF(AND($C409="S",ORÇAMENTO.CodBarra&lt;&gt;""),IF(ORÇAMENTO.Fonte="",ORÇAMENTO.CodBarra,CONCATENATE(ORÇAMENTO.Fonte," ",ORÇAMENTO.CodBarra)))</f>
        <v>SETOP ED-48989</v>
      </c>
      <c r="AF409" s="12">
        <f ca="1">IF(ISERROR(INDIRECT(ORÇAMENTO.BancoRef)),"(abra o arquivo 'Referência "&amp;Excel_BuiltIn_Database&amp;".xlsm)",IF(OR($C409&lt;&gt;"S",ORÇAMENTO.CodBarra=""),"(Sem Código)",IF(ISERROR(MATCH($AE409,INDIRECT(ORÇAMENTO.BancoRef),0)),"(Código não identificado nas referências)",MATCH($AE409,INDIRECT(ORÇAMENTO.BancoRef),0))))</f>
        <v>28899</v>
      </c>
      <c r="AG409" s="428">
        <f ca="1">ROUND(IF(DESONERACAO="sim",REFERENCIA.Desonerado,REFERENCIA.NaoDesonerado),2)</f>
        <v>5.35</v>
      </c>
      <c r="AH409" s="429">
        <f t="shared" ca="1" si="125"/>
        <v>0.23499999999999999</v>
      </c>
      <c r="AJ409" s="431">
        <f>475.2*2</f>
        <v>950.4</v>
      </c>
      <c r="AL409" s="439"/>
      <c r="AM409" s="336">
        <f t="shared" ca="1" si="109"/>
        <v>6282.14</v>
      </c>
      <c r="AN409" s="470">
        <f t="shared" ca="1" si="126"/>
        <v>6.61</v>
      </c>
    </row>
    <row r="410" spans="1:40" x14ac:dyDescent="0.2">
      <c r="A410">
        <f t="shared" si="112"/>
        <v>4</v>
      </c>
      <c r="B410">
        <f t="shared" ca="1" si="113"/>
        <v>4</v>
      </c>
      <c r="C410">
        <f t="shared" ca="1" si="114"/>
        <v>4</v>
      </c>
      <c r="D410">
        <f t="shared" ca="1" si="115"/>
        <v>24</v>
      </c>
      <c r="E410">
        <f ca="1">IF($C410=1,OFFSET(E410,-1,0)+MAX(1,COUNTIF(QCI!$A$13:$A$15,OFFSET(ORÇAMENTO!E410,-1,0))),OFFSET(E410,-1,0))</f>
        <v>1</v>
      </c>
      <c r="F410">
        <f t="shared" ca="1" si="116"/>
        <v>8</v>
      </c>
      <c r="G410">
        <f t="shared" ca="1" si="117"/>
        <v>2</v>
      </c>
      <c r="H410">
        <f t="shared" ca="1" si="118"/>
        <v>4</v>
      </c>
      <c r="I410">
        <f t="shared" ca="1" si="119"/>
        <v>0</v>
      </c>
      <c r="J410">
        <f t="shared" ca="1" si="110"/>
        <v>31</v>
      </c>
      <c r="K410">
        <f ca="1">IF(OR($C410="S",$C410=0),0,MATCH(OFFSET($D410,0,$C410)+IF($C410&lt;&gt;1,1,COUNTIF(QCI!$A$13:$A$15,ORÇAMENTO!E410)),OFFSET($D410,1,$C410,ROW($C$508)-ROW($C410)),0))</f>
        <v>24</v>
      </c>
      <c r="L410" s="114" t="str">
        <f t="shared" ca="1" si="120"/>
        <v>F</v>
      </c>
      <c r="M410" s="115" t="s">
        <v>704</v>
      </c>
      <c r="N410" s="116" t="str">
        <f t="shared" ca="1" si="121"/>
        <v>Nível 4</v>
      </c>
      <c r="O410" s="117" t="str">
        <f t="shared" ca="1" si="122"/>
        <v>1.8.2.4.</v>
      </c>
      <c r="P410" s="118" t="s">
        <v>750</v>
      </c>
      <c r="Q410" s="119"/>
      <c r="R410" s="120" t="s">
        <v>1256</v>
      </c>
      <c r="S410" s="121" t="s">
        <v>688</v>
      </c>
      <c r="T410" s="122">
        <f ca="1">OFFSET(CÁLCULO!H$15,ROW($T410)-ROW(T$15),0)</f>
        <v>0</v>
      </c>
      <c r="U410" s="123">
        <f t="shared" ca="1" si="108"/>
        <v>0</v>
      </c>
      <c r="V410" s="124" t="s">
        <v>663</v>
      </c>
      <c r="W410" s="122">
        <f ca="1">IF($C410="S",ROUND(IF(TIPOORCAMENTO="Proposto",ORÇAMENTO.CustoUnitario*(1+$AH410),ORÇAMENTO.PrecoUnitarioLicitado),15-13*$AF$10),0)</f>
        <v>0</v>
      </c>
      <c r="X410" s="125" cm="1">
        <f t="array" aca="1" ref="X410" ca="1">IF($C410="S",IF(OR(Import.TipoArredondamento&lt;&gt;"TransfereGOV",ACOMPANHAMENTO="BM"),VTOTAL1,SUM(OFFSET(CÁLCULO!$AI$15,ROW($X410)-ROW($X$15),1):OFFSET(CÁLCULO!$BB$15,ROW($X410)-ROW($X$15),-1))),IF($C410=0,0,ROUND(SomaAgrup,15-13*$AF$11)))</f>
        <v>19418.900000000001</v>
      </c>
      <c r="Y410" s="126" t="s">
        <v>751</v>
      </c>
      <c r="Z410" t="str">
        <f t="shared" ca="1" si="123"/>
        <v/>
      </c>
      <c r="AA410" s="127">
        <f ca="1">IF($C410="S",IF($Z410="CP",$X410,IF($Z410="RA",(($X410)*QCI!$AA$3),0)),SomaAgrup)</f>
        <v>0</v>
      </c>
      <c r="AB410" s="128">
        <f t="shared" ca="1" si="124"/>
        <v>0</v>
      </c>
      <c r="AC410" s="565" t="str" cm="1">
        <f t="array" aca="1" ref="AC410" ca="1">IF($N410=""," ",
IF(AND($C410&lt;&gt;"S",OR($R410="",$R410="(digite a descrição aqui)")),"DESCRIÇÃO",
IF(AND($C410="S",OR($Q410&lt;&gt;"",$T410&gt;0,$U410&gt;0),$P410=""),"FONTE",
IF(AND($C410="S",$P410&lt;&gt;"",OR($T410&gt;0,$U410&gt;0),$Q410=""),"CÓDIGO",
IF(AND($C410="S",$P410&lt;&gt;"",$Q410&lt;&gt;"",$R410="(Código não identificado nas referências)"),"CÓDIGO N/ID",
IF(AND($C410="S",OR($R410="",$R410="(digite a descrição aqui)"),OR($Q410&lt;&gt;"",$T410&gt;0,$U410&gt;0)),"DESCRIÇÃO",
IF(AND($C410="S",$P410&lt;&gt;"",$Q410&lt;&gt;"",$S410=""),"UNIDADE",
IF(AND($C410="S",$P410&lt;&gt;"",$Q410&lt;&gt;"",$U410=0),"SEM CUSTO",
IF(AND(_xlfn.SINGLE(TIPOORCAMENTO)="Licitado",$AL410=0,$AN410&gt;0),"SEM PREÇO",
IF(AND($C410="S",$P410&lt;&gt;"",$Q410&lt;&gt;"",$U410&gt;0,AND($V410&lt;&gt;"BDI 1",$V410&lt;&gt;"BDI 2",$V410&lt;&gt;"BDI 3")),IF(ISNUMBER($V410),"JUSTIFICAR BDI","BDI"),
IF(OR(AND(import.recurso="OGU",TIPOORCAMENTO="Proposto",LEFT($O$8,5)&lt;&gt;"(N/D:",$AG410&lt;&gt;"",ORÇAMENTO.CustoUnitario&gt;$AG410),AND(TIPOORCAMENTO="LICITADO",ORÇAMENTO.PrecoUnitarioLicitado&gt;$AN410)),"ACIMA REF.",
IF(AND($C410="S",$P410&lt;&gt;"",$Q410&lt;&gt;"",$T410=0,$U410&gt;0),"QUANT.",
IF(AND(Import.TipoArredondamento="TransfereGOV",$L410="F",$C410="S",LEN($Q410)&gt;13),"Código &gt;13",
IF(AND(Import.TipoArredondamento="TransfereGOV",$L410="F",$C410&lt;&gt;"S",LEN($R410)&gt;100),"Descrição &gt;100",
IF(AND(Import.TipoArredondamento="TransfereGOV",$L410="F",$C410="S",LEN($R410)&gt;500),"Descrição &gt;500",
IF(AND(Import.TipoArredondamento="TransfereGOV",$L410="F",$C410="S",LEFT(TRIM(UPPER($P410)),6)&lt;&gt;"SINAPI",ISNA(VLOOKUP(TRIM(UPPER($S410)),ListaTgov.Unidades,1,FALSE))),"Unid. Não Disp",
" "))))))))))))))))</f>
        <v xml:space="preserve"> </v>
      </c>
      <c r="AD410" t="str">
        <f ca="1">IF(C410&lt;=CRONO.NivelExibicao,MAX($AD$15:OFFSET(AD410,-1,0))+IF($C410&lt;&gt;1,1,MAX(1,COUNTIF(QCI!$A$13:$A$15,OFFSET($E410,-1,0)))),"")</f>
        <v/>
      </c>
      <c r="AE410" s="7" t="b">
        <f ca="1">IF(AND($C410="S",ORÇAMENTO.CodBarra&lt;&gt;""),IF(ORÇAMENTO.Fonte="",ORÇAMENTO.CodBarra,CONCATENATE(ORÇAMENTO.Fonte," ",ORÇAMENTO.CodBarra)))</f>
        <v>0</v>
      </c>
      <c r="AF410" s="12" t="str">
        <f ca="1">IF(ISERROR(INDIRECT(ORÇAMENTO.BancoRef)),"(abra o arquivo 'Referência "&amp;Excel_BuiltIn_Database&amp;".xlsm)",IF(OR($C410&lt;&gt;"S",ORÇAMENTO.CodBarra=""),"(Sem Código)",IF(ISERROR(MATCH($AE410,INDIRECT(ORÇAMENTO.BancoRef),0)),"(Código não identificado nas referências)",MATCH($AE410,INDIRECT(ORÇAMENTO.BancoRef),0))))</f>
        <v>(Sem Código)</v>
      </c>
      <c r="AG410" s="428">
        <f ca="1">ROUND(IF(DESONERACAO="sim",REFERENCIA.Desonerado,REFERENCIA.NaoDesonerado),2)</f>
        <v>0</v>
      </c>
      <c r="AH410" s="429">
        <f t="shared" ca="1" si="125"/>
        <v>0.23499999999999999</v>
      </c>
      <c r="AJ410" s="431"/>
      <c r="AL410" s="439"/>
      <c r="AM410" s="336">
        <f t="shared" ca="1" si="109"/>
        <v>19418.900000000001</v>
      </c>
      <c r="AN410" s="470">
        <f t="shared" ca="1" si="126"/>
        <v>0</v>
      </c>
    </row>
    <row r="411" spans="1:40" ht="38.25" x14ac:dyDescent="0.2">
      <c r="A411" t="str">
        <f t="shared" si="112"/>
        <v>S</v>
      </c>
      <c r="B411">
        <f t="shared" ca="1" si="113"/>
        <v>4</v>
      </c>
      <c r="C411" t="str">
        <f t="shared" ca="1" si="114"/>
        <v>S</v>
      </c>
      <c r="D411">
        <f t="shared" ca="1" si="115"/>
        <v>0</v>
      </c>
      <c r="E411">
        <f ca="1">IF($C411=1,OFFSET(E411,-1,0)+MAX(1,COUNTIF(QCI!$A$13:$A$15,OFFSET(ORÇAMENTO!E411,-1,0))),OFFSET(E411,-1,0))</f>
        <v>1</v>
      </c>
      <c r="F411">
        <f t="shared" ca="1" si="116"/>
        <v>8</v>
      </c>
      <c r="G411">
        <f t="shared" ca="1" si="117"/>
        <v>2</v>
      </c>
      <c r="H411">
        <f t="shared" ca="1" si="118"/>
        <v>4</v>
      </c>
      <c r="I411">
        <f t="shared" ca="1" si="119"/>
        <v>1</v>
      </c>
      <c r="J411">
        <f t="shared" ca="1" si="110"/>
        <v>0</v>
      </c>
      <c r="K411">
        <f ca="1">IF(OR($C411="S",$C411=0),0,MATCH(OFFSET($D411,0,$C411)+IF($C411&lt;&gt;1,1,COUNTIF(QCI!$A$13:$A$15,ORÇAMENTO!E411)),OFFSET($D411,1,$C411,ROW($C$508)-ROW($C411)),0))</f>
        <v>0</v>
      </c>
      <c r="L411" s="114" t="str">
        <f t="shared" ca="1" si="120"/>
        <v>F</v>
      </c>
      <c r="M411" s="115" t="s">
        <v>705</v>
      </c>
      <c r="N411" s="116" t="str">
        <f t="shared" ca="1" si="121"/>
        <v>Serviço</v>
      </c>
      <c r="O411" s="117" t="str">
        <f t="shared" ca="1" si="122"/>
        <v>1.8.2.4.1.</v>
      </c>
      <c r="P411" s="118" t="s">
        <v>1280</v>
      </c>
      <c r="Q411" s="119" t="s">
        <v>1119</v>
      </c>
      <c r="R411" s="120" t="str">
        <f ca="1">IF($C411="S",REFERENCIA.Descricao,"(digite a descrição aqui)")</f>
        <v>QUADRO DE DISTRIBUIÇÃO DE SOBREPOR EM CHAPA, PARA 24 DISJUNTORES DIN, INCLUSIVE BARRAMENTOS NEUTRO/TERRA E BARRAMENTO TRIFÁSICO DE 100A</v>
      </c>
      <c r="S411" s="121" t="str">
        <f ca="1">REFERENCIA.Unidade</f>
        <v>UN</v>
      </c>
      <c r="T411" s="122">
        <f ca="1">OFFSET(CÁLCULO!H$15,ROW($T411)-ROW(T$15),0)</f>
        <v>1</v>
      </c>
      <c r="U411" s="123">
        <f t="shared" ca="1" si="108"/>
        <v>522.24</v>
      </c>
      <c r="V411" s="124" t="s">
        <v>663</v>
      </c>
      <c r="W411" s="122">
        <f ca="1">IF($C411="S",ROUND(IF(TIPOORCAMENTO="Proposto",ORÇAMENTO.CustoUnitario*(1+$AH411),ORÇAMENTO.PrecoUnitarioLicitado),15-13*$AF$10),0)</f>
        <v>644.97</v>
      </c>
      <c r="X411" s="125" cm="1">
        <f t="array" aca="1" ref="X411" ca="1">IF($C411="S",IF(OR(Import.TipoArredondamento&lt;&gt;"TransfereGOV",ACOMPANHAMENTO="BM"),VTOTAL1,SUM(OFFSET(CÁLCULO!$AI$15,ROW($X411)-ROW($X$15),1):OFFSET(CÁLCULO!$BB$15,ROW($X411)-ROW($X$15),-1))),IF($C411=0,0,ROUND(SomaAgrup,15-13*$AF$11)))</f>
        <v>644.97</v>
      </c>
      <c r="Y411" s="126" t="s">
        <v>751</v>
      </c>
      <c r="Z411" t="str">
        <f t="shared" ca="1" si="123"/>
        <v>RA</v>
      </c>
      <c r="AA411" s="127">
        <f ca="1">IF($C411="S",IF($Z411="CP",$X411,IF($Z411="RA",(($X411)*QCI!$AA$3),0)),SomaAgrup)</f>
        <v>0</v>
      </c>
      <c r="AB411" s="128">
        <f t="shared" ca="1" si="124"/>
        <v>0</v>
      </c>
      <c r="AC411" s="565" t="str" cm="1">
        <f t="array" aca="1" ref="AC411" ca="1">IF($N411=""," ",
IF(AND($C411&lt;&gt;"S",OR($R411="",$R411="(digite a descrição aqui)")),"DESCRIÇÃO",
IF(AND($C411="S",OR($Q411&lt;&gt;"",$T411&gt;0,$U411&gt;0),$P411=""),"FONTE",
IF(AND($C411="S",$P411&lt;&gt;"",OR($T411&gt;0,$U411&gt;0),$Q411=""),"CÓDIGO",
IF(AND($C411="S",$P411&lt;&gt;"",$Q411&lt;&gt;"",$R411="(Código não identificado nas referências)"),"CÓDIGO N/ID",
IF(AND($C411="S",OR($R411="",$R411="(digite a descrição aqui)"),OR($Q411&lt;&gt;"",$T411&gt;0,$U411&gt;0)),"DESCRIÇÃO",
IF(AND($C411="S",$P411&lt;&gt;"",$Q411&lt;&gt;"",$S411=""),"UNIDADE",
IF(AND($C411="S",$P411&lt;&gt;"",$Q411&lt;&gt;"",$U411=0),"SEM CUSTO",
IF(AND(_xlfn.SINGLE(TIPOORCAMENTO)="Licitado",$AL411=0,$AN411&gt;0),"SEM PREÇO",
IF(AND($C411="S",$P411&lt;&gt;"",$Q411&lt;&gt;"",$U411&gt;0,AND($V411&lt;&gt;"BDI 1",$V411&lt;&gt;"BDI 2",$V411&lt;&gt;"BDI 3")),IF(ISNUMBER($V411),"JUSTIFICAR BDI","BDI"),
IF(OR(AND(import.recurso="OGU",TIPOORCAMENTO="Proposto",LEFT($O$8,5)&lt;&gt;"(N/D:",$AG411&lt;&gt;"",ORÇAMENTO.CustoUnitario&gt;$AG411),AND(TIPOORCAMENTO="LICITADO",ORÇAMENTO.PrecoUnitarioLicitado&gt;$AN411)),"ACIMA REF.",
IF(AND($C411="S",$P411&lt;&gt;"",$Q411&lt;&gt;"",$T411=0,$U411&gt;0),"QUANT.",
IF(AND(Import.TipoArredondamento="TransfereGOV",$L411="F",$C411="S",LEN($Q411)&gt;13),"Código &gt;13",
IF(AND(Import.TipoArredondamento="TransfereGOV",$L411="F",$C411&lt;&gt;"S",LEN($R411)&gt;100),"Descrição &gt;100",
IF(AND(Import.TipoArredondamento="TransfereGOV",$L411="F",$C411="S",LEN($R411)&gt;500),"Descrição &gt;500",
IF(AND(Import.TipoArredondamento="TransfereGOV",$L411="F",$C411="S",LEFT(TRIM(UPPER($P411)),6)&lt;&gt;"SINAPI",ISNA(VLOOKUP(TRIM(UPPER($S411)),ListaTgov.Unidades,1,FALSE))),"Unid. Não Disp",
" "))))))))))))))))</f>
        <v xml:space="preserve"> </v>
      </c>
      <c r="AD411" t="str">
        <f ca="1">IF(C411&lt;=CRONO.NivelExibicao,MAX($AD$15:OFFSET(AD411,-1,0))+IF($C411&lt;&gt;1,1,MAX(1,COUNTIF(QCI!$A$13:$A$15,OFFSET($E411,-1,0)))),"")</f>
        <v/>
      </c>
      <c r="AE411" s="7" t="str">
        <f ca="1">IF(AND($C411="S",ORÇAMENTO.CodBarra&lt;&gt;""),IF(ORÇAMENTO.Fonte="",ORÇAMENTO.CodBarra,CONCATENATE(ORÇAMENTO.Fonte," ",ORÇAMENTO.CodBarra)))</f>
        <v>SETOP ED-14188</v>
      </c>
      <c r="AF411" s="12">
        <f ca="1">IF(ISERROR(INDIRECT(ORÇAMENTO.BancoRef)),"(abra o arquivo 'Referência "&amp;Excel_BuiltIn_Database&amp;".xlsm)",IF(OR($C411&lt;&gt;"S",ORÇAMENTO.CodBarra=""),"(Sem Código)",IF(ISERROR(MATCH($AE411,INDIRECT(ORÇAMENTO.BancoRef),0)),"(Código não identificado nas referências)",MATCH($AE411,INDIRECT(ORÇAMENTO.BancoRef),0))))</f>
        <v>29335</v>
      </c>
      <c r="AG411" s="428">
        <f ca="1">ROUND(IF(DESONERACAO="sim",REFERENCIA.Desonerado,REFERENCIA.NaoDesonerado),2)</f>
        <v>522.24</v>
      </c>
      <c r="AH411" s="429">
        <f t="shared" ca="1" si="125"/>
        <v>0.23499999999999999</v>
      </c>
      <c r="AJ411" s="431">
        <v>1</v>
      </c>
      <c r="AL411" s="439"/>
      <c r="AM411" s="336">
        <f t="shared" ca="1" si="109"/>
        <v>644.97</v>
      </c>
      <c r="AN411" s="470">
        <f t="shared" ca="1" si="126"/>
        <v>644.97</v>
      </c>
    </row>
    <row r="412" spans="1:40" ht="25.5" x14ac:dyDescent="0.2">
      <c r="A412" t="str">
        <f t="shared" si="112"/>
        <v>S</v>
      </c>
      <c r="B412">
        <f t="shared" ca="1" si="113"/>
        <v>4</v>
      </c>
      <c r="C412" t="str">
        <f t="shared" ca="1" si="114"/>
        <v>S</v>
      </c>
      <c r="D412">
        <f t="shared" ca="1" si="115"/>
        <v>0</v>
      </c>
      <c r="E412">
        <f ca="1">IF($C412=1,OFFSET(E412,-1,0)+MAX(1,COUNTIF(QCI!$A$13:$A$15,OFFSET(ORÇAMENTO!E412,-1,0))),OFFSET(E412,-1,0))</f>
        <v>1</v>
      </c>
      <c r="F412">
        <f t="shared" ca="1" si="116"/>
        <v>8</v>
      </c>
      <c r="G412">
        <f t="shared" ca="1" si="117"/>
        <v>2</v>
      </c>
      <c r="H412">
        <f t="shared" ca="1" si="118"/>
        <v>4</v>
      </c>
      <c r="I412">
        <f t="shared" ca="1" si="119"/>
        <v>2</v>
      </c>
      <c r="J412">
        <f t="shared" ca="1" si="110"/>
        <v>0</v>
      </c>
      <c r="K412">
        <f ca="1">IF(OR($C412="S",$C412=0),0,MATCH(OFFSET($D412,0,$C412)+IF($C412&lt;&gt;1,1,COUNTIF(QCI!$A$13:$A$15,ORÇAMENTO!E412)),OFFSET($D412,1,$C412,ROW($C$508)-ROW($C412)),0))</f>
        <v>0</v>
      </c>
      <c r="L412" s="114" t="str">
        <f t="shared" ca="1" si="120"/>
        <v>F</v>
      </c>
      <c r="M412" s="115" t="s">
        <v>705</v>
      </c>
      <c r="N412" s="116" t="str">
        <f t="shared" ca="1" si="121"/>
        <v>Serviço</v>
      </c>
      <c r="O412" s="117" t="str">
        <f t="shared" ca="1" si="122"/>
        <v>1.8.2.4.2.</v>
      </c>
      <c r="P412" s="118" t="s">
        <v>1281</v>
      </c>
      <c r="Q412" s="119" t="s">
        <v>1121</v>
      </c>
      <c r="R412" s="120" t="str">
        <f ca="1">IF($C412="S",REFERENCIA.Descricao,"(digite a descrição aqui)")</f>
        <v xml:space="preserve">DISPOSITIVO SUPRESSOR DE SURTO - CLASSE I e II -  BASEADO EM SETOP (ED-49527) </v>
      </c>
      <c r="S412" s="121" t="str">
        <f ca="1">REFERENCIA.Unidade</f>
        <v>UN</v>
      </c>
      <c r="T412" s="122">
        <f ca="1">OFFSET(CÁLCULO!H$15,ROW($T412)-ROW(T$15),0)</f>
        <v>3</v>
      </c>
      <c r="U412" s="123">
        <f t="shared" ca="1" si="108"/>
        <v>380.51</v>
      </c>
      <c r="V412" s="124" t="s">
        <v>663</v>
      </c>
      <c r="W412" s="122">
        <f ca="1">IF($C412="S",ROUND(IF(TIPOORCAMENTO="Proposto",ORÇAMENTO.CustoUnitario*(1+$AH412),ORÇAMENTO.PrecoUnitarioLicitado),15-13*$AF$10),0)</f>
        <v>469.93</v>
      </c>
      <c r="X412" s="125" cm="1">
        <f t="array" aca="1" ref="X412" ca="1">IF($C412="S",IF(OR(Import.TipoArredondamento&lt;&gt;"TransfereGOV",ACOMPANHAMENTO="BM"),VTOTAL1,SUM(OFFSET(CÁLCULO!$AI$15,ROW($X412)-ROW($X$15),1):OFFSET(CÁLCULO!$BB$15,ROW($X412)-ROW($X$15),-1))),IF($C412=0,0,ROUND(SomaAgrup,15-13*$AF$11)))</f>
        <v>1409.79</v>
      </c>
      <c r="Y412" s="126" t="s">
        <v>751</v>
      </c>
      <c r="Z412" t="str">
        <f t="shared" ca="1" si="123"/>
        <v>RA</v>
      </c>
      <c r="AA412" s="127">
        <f ca="1">IF($C412="S",IF($Z412="CP",$X412,IF($Z412="RA",(($X412)*QCI!$AA$3),0)),SomaAgrup)</f>
        <v>0</v>
      </c>
      <c r="AB412" s="128">
        <f t="shared" ca="1" si="124"/>
        <v>0</v>
      </c>
      <c r="AC412" s="565" t="str" cm="1">
        <f t="array" aca="1" ref="AC412" ca="1">IF($N412=""," ",
IF(AND($C412&lt;&gt;"S",OR($R412="",$R412="(digite a descrição aqui)")),"DESCRIÇÃO",
IF(AND($C412="S",OR($Q412&lt;&gt;"",$T412&gt;0,$U412&gt;0),$P412=""),"FONTE",
IF(AND($C412="S",$P412&lt;&gt;"",OR($T412&gt;0,$U412&gt;0),$Q412=""),"CÓDIGO",
IF(AND($C412="S",$P412&lt;&gt;"",$Q412&lt;&gt;"",$R412="(Código não identificado nas referências)"),"CÓDIGO N/ID",
IF(AND($C412="S",OR($R412="",$R412="(digite a descrição aqui)"),OR($Q412&lt;&gt;"",$T412&gt;0,$U412&gt;0)),"DESCRIÇÃO",
IF(AND($C412="S",$P412&lt;&gt;"",$Q412&lt;&gt;"",$S412=""),"UNIDADE",
IF(AND($C412="S",$P412&lt;&gt;"",$Q412&lt;&gt;"",$U412=0),"SEM CUSTO",
IF(AND(_xlfn.SINGLE(TIPOORCAMENTO)="Licitado",$AL412=0,$AN412&gt;0),"SEM PREÇO",
IF(AND($C412="S",$P412&lt;&gt;"",$Q412&lt;&gt;"",$U412&gt;0,AND($V412&lt;&gt;"BDI 1",$V412&lt;&gt;"BDI 2",$V412&lt;&gt;"BDI 3")),IF(ISNUMBER($V412),"JUSTIFICAR BDI","BDI"),
IF(OR(AND(import.recurso="OGU",TIPOORCAMENTO="Proposto",LEFT($O$8,5)&lt;&gt;"(N/D:",$AG412&lt;&gt;"",ORÇAMENTO.CustoUnitario&gt;$AG412),AND(TIPOORCAMENTO="LICITADO",ORÇAMENTO.PrecoUnitarioLicitado&gt;$AN412)),"ACIMA REF.",
IF(AND($C412="S",$P412&lt;&gt;"",$Q412&lt;&gt;"",$T412=0,$U412&gt;0),"QUANT.",
IF(AND(Import.TipoArredondamento="TransfereGOV",$L412="F",$C412="S",LEN($Q412)&gt;13),"Código &gt;13",
IF(AND(Import.TipoArredondamento="TransfereGOV",$L412="F",$C412&lt;&gt;"S",LEN($R412)&gt;100),"Descrição &gt;100",
IF(AND(Import.TipoArredondamento="TransfereGOV",$L412="F",$C412="S",LEN($R412)&gt;500),"Descrição &gt;500",
IF(AND(Import.TipoArredondamento="TransfereGOV",$L412="F",$C412="S",LEFT(TRIM(UPPER($P412)),6)&lt;&gt;"SINAPI",ISNA(VLOOKUP(TRIM(UPPER($S412)),ListaTgov.Unidades,1,FALSE))),"Unid. Não Disp",
" "))))))))))))))))</f>
        <v xml:space="preserve"> </v>
      </c>
      <c r="AD412" t="str">
        <f ca="1">IF(C412&lt;=CRONO.NivelExibicao,MAX($AD$15:OFFSET(AD412,-1,0))+IF($C412&lt;&gt;1,1,MAX(1,COUNTIF(QCI!$A$13:$A$15,OFFSET($E412,-1,0)))),"")</f>
        <v/>
      </c>
      <c r="AE412" s="7" t="str">
        <f ca="1">IF(AND($C412="S",ORÇAMENTO.CodBarra&lt;&gt;""),IF(ORÇAMENTO.Fonte="",ORÇAMENTO.CodBarra,CONCATENATE(ORÇAMENTO.Fonte," ",ORÇAMENTO.CodBarra)))</f>
        <v>COMPOSIÇÃO CPU-023</v>
      </c>
      <c r="AF412" s="12">
        <f ca="1">IF(ISERROR(INDIRECT(ORÇAMENTO.BancoRef)),"(abra o arquivo 'Referência "&amp;Excel_BuiltIn_Database&amp;".xlsm)",IF(OR($C412&lt;&gt;"S",ORÇAMENTO.CodBarra=""),"(Sem Código)",IF(ISERROR(MATCH($AE412,INDIRECT(ORÇAMENTO.BancoRef),0)),"(Código não identificado nas referências)",MATCH($AE412,INDIRECT(ORÇAMENTO.BancoRef),0))))</f>
        <v>25</v>
      </c>
      <c r="AG412" s="428">
        <f ca="1">ROUND(IF(DESONERACAO="sim",REFERENCIA.Desonerado,REFERENCIA.NaoDesonerado),2)</f>
        <v>380.51</v>
      </c>
      <c r="AH412" s="429">
        <f t="shared" ca="1" si="125"/>
        <v>0.23499999999999999</v>
      </c>
      <c r="AJ412" s="431">
        <v>3</v>
      </c>
      <c r="AL412" s="439"/>
      <c r="AM412" s="336">
        <f t="shared" ca="1" si="109"/>
        <v>1409.79</v>
      </c>
      <c r="AN412" s="470">
        <f t="shared" ca="1" si="126"/>
        <v>469.93</v>
      </c>
    </row>
    <row r="413" spans="1:40" ht="25.5" x14ac:dyDescent="0.2">
      <c r="A413" t="str">
        <f t="shared" si="112"/>
        <v>S</v>
      </c>
      <c r="B413">
        <f t="shared" ca="1" si="113"/>
        <v>4</v>
      </c>
      <c r="C413" t="str">
        <f t="shared" ca="1" si="114"/>
        <v>S</v>
      </c>
      <c r="D413">
        <f t="shared" ca="1" si="115"/>
        <v>0</v>
      </c>
      <c r="E413">
        <f ca="1">IF($C413=1,OFFSET(E413,-1,0)+MAX(1,COUNTIF(QCI!$A$13:$A$15,OFFSET(ORÇAMENTO!E413,-1,0))),OFFSET(E413,-1,0))</f>
        <v>1</v>
      </c>
      <c r="F413">
        <f t="shared" ca="1" si="116"/>
        <v>8</v>
      </c>
      <c r="G413">
        <f t="shared" ca="1" si="117"/>
        <v>2</v>
      </c>
      <c r="H413">
        <f t="shared" ca="1" si="118"/>
        <v>4</v>
      </c>
      <c r="I413">
        <f t="shared" ca="1" si="119"/>
        <v>3</v>
      </c>
      <c r="J413">
        <f t="shared" ca="1" si="110"/>
        <v>0</v>
      </c>
      <c r="K413">
        <f ca="1">IF(OR($C413="S",$C413=0),0,MATCH(OFFSET($D413,0,$C413)+IF($C413&lt;&gt;1,1,COUNTIF(QCI!$A$13:$A$15,ORÇAMENTO!E413)),OFFSET($D413,1,$C413,ROW($C$508)-ROW($C413)),0))</f>
        <v>0</v>
      </c>
      <c r="L413" s="114" t="str">
        <f t="shared" ca="1" si="120"/>
        <v>F</v>
      </c>
      <c r="M413" s="115" t="s">
        <v>705</v>
      </c>
      <c r="N413" s="116" t="str">
        <f t="shared" ca="1" si="121"/>
        <v>Serviço</v>
      </c>
      <c r="O413" s="117" t="str">
        <f t="shared" ca="1" si="122"/>
        <v>1.8.2.4.3.</v>
      </c>
      <c r="P413" s="118" t="s">
        <v>1280</v>
      </c>
      <c r="Q413" s="119" t="s">
        <v>1145</v>
      </c>
      <c r="R413" s="120" t="str">
        <f ca="1">IF($C413="S",REFERENCIA.Descricao,"(digite a descrição aqui)")</f>
        <v>DISJUNTOR MONOPOLAR TIPO DIN, CORRENTE NOMINAL DE 10A, FORNECIMENTO E INSTALAÇÃO, INCLUSIVE TERMINAL ILHÓS</v>
      </c>
      <c r="S413" s="121" t="str">
        <f ca="1">REFERENCIA.Unidade</f>
        <v>UN</v>
      </c>
      <c r="T413" s="122">
        <f ca="1">OFFSET(CÁLCULO!H$15,ROW($T413)-ROW(T$15),0)</f>
        <v>4</v>
      </c>
      <c r="U413" s="123">
        <f t="shared" ca="1" si="108"/>
        <v>18.18</v>
      </c>
      <c r="V413" s="124" t="s">
        <v>663</v>
      </c>
      <c r="W413" s="122">
        <f ca="1">IF($C413="S",ROUND(IF(TIPOORCAMENTO="Proposto",ORÇAMENTO.CustoUnitario*(1+$AH413),ORÇAMENTO.PrecoUnitarioLicitado),15-13*$AF$10),0)</f>
        <v>22.45</v>
      </c>
      <c r="X413" s="125" cm="1">
        <f t="array" aca="1" ref="X413" ca="1">IF($C413="S",IF(OR(Import.TipoArredondamento&lt;&gt;"TransfereGOV",ACOMPANHAMENTO="BM"),VTOTAL1,SUM(OFFSET(CÁLCULO!$AI$15,ROW($X413)-ROW($X$15),1):OFFSET(CÁLCULO!$BB$15,ROW($X413)-ROW($X$15),-1))),IF($C413=0,0,ROUND(SomaAgrup,15-13*$AF$11)))</f>
        <v>89.8</v>
      </c>
      <c r="Y413" s="126" t="s">
        <v>751</v>
      </c>
      <c r="Z413" t="str">
        <f t="shared" ca="1" si="123"/>
        <v>RA</v>
      </c>
      <c r="AA413" s="127">
        <f ca="1">IF($C413="S",IF($Z413="CP",$X413,IF($Z413="RA",(($X413)*QCI!$AA$3),0)),SomaAgrup)</f>
        <v>0</v>
      </c>
      <c r="AB413" s="128">
        <f t="shared" ca="1" si="124"/>
        <v>0</v>
      </c>
      <c r="AC413" s="565" t="str" cm="1">
        <f t="array" aca="1" ref="AC413" ca="1">IF($N413=""," ",
IF(AND($C413&lt;&gt;"S",OR($R413="",$R413="(digite a descrição aqui)")),"DESCRIÇÃO",
IF(AND($C413="S",OR($Q413&lt;&gt;"",$T413&gt;0,$U413&gt;0),$P413=""),"FONTE",
IF(AND($C413="S",$P413&lt;&gt;"",OR($T413&gt;0,$U413&gt;0),$Q413=""),"CÓDIGO",
IF(AND($C413="S",$P413&lt;&gt;"",$Q413&lt;&gt;"",$R413="(Código não identificado nas referências)"),"CÓDIGO N/ID",
IF(AND($C413="S",OR($R413="",$R413="(digite a descrição aqui)"),OR($Q413&lt;&gt;"",$T413&gt;0,$U413&gt;0)),"DESCRIÇÃO",
IF(AND($C413="S",$P413&lt;&gt;"",$Q413&lt;&gt;"",$S413=""),"UNIDADE",
IF(AND($C413="S",$P413&lt;&gt;"",$Q413&lt;&gt;"",$U413=0),"SEM CUSTO",
IF(AND(_xlfn.SINGLE(TIPOORCAMENTO)="Licitado",$AL413=0,$AN413&gt;0),"SEM PREÇO",
IF(AND($C413="S",$P413&lt;&gt;"",$Q413&lt;&gt;"",$U413&gt;0,AND($V413&lt;&gt;"BDI 1",$V413&lt;&gt;"BDI 2",$V413&lt;&gt;"BDI 3")),IF(ISNUMBER($V413),"JUSTIFICAR BDI","BDI"),
IF(OR(AND(import.recurso="OGU",TIPOORCAMENTO="Proposto",LEFT($O$8,5)&lt;&gt;"(N/D:",$AG413&lt;&gt;"",ORÇAMENTO.CustoUnitario&gt;$AG413),AND(TIPOORCAMENTO="LICITADO",ORÇAMENTO.PrecoUnitarioLicitado&gt;$AN413)),"ACIMA REF.",
IF(AND($C413="S",$P413&lt;&gt;"",$Q413&lt;&gt;"",$T413=0,$U413&gt;0),"QUANT.",
IF(AND(Import.TipoArredondamento="TransfereGOV",$L413="F",$C413="S",LEN($Q413)&gt;13),"Código &gt;13",
IF(AND(Import.TipoArredondamento="TransfereGOV",$L413="F",$C413&lt;&gt;"S",LEN($R413)&gt;100),"Descrição &gt;100",
IF(AND(Import.TipoArredondamento="TransfereGOV",$L413="F",$C413="S",LEN($R413)&gt;500),"Descrição &gt;500",
IF(AND(Import.TipoArredondamento="TransfereGOV",$L413="F",$C413="S",LEFT(TRIM(UPPER($P413)),6)&lt;&gt;"SINAPI",ISNA(VLOOKUP(TRIM(UPPER($S413)),ListaTgov.Unidades,1,FALSE))),"Unid. Não Disp",
" "))))))))))))))))</f>
        <v xml:space="preserve"> </v>
      </c>
      <c r="AD413" t="str">
        <f ca="1">IF(C413&lt;=CRONO.NivelExibicao,MAX($AD$15:OFFSET(AD413,-1,0))+IF($C413&lt;&gt;1,1,MAX(1,COUNTIF(QCI!$A$13:$A$15,OFFSET($E413,-1,0)))),"")</f>
        <v/>
      </c>
      <c r="AE413" s="7" t="str">
        <f ca="1">IF(AND($C413="S",ORÇAMENTO.CodBarra&lt;&gt;""),IF(ORÇAMENTO.Fonte="",ORÇAMENTO.CodBarra,CONCATENATE(ORÇAMENTO.Fonte," ",ORÇAMENTO.CodBarra)))</f>
        <v>SETOP ED-34460</v>
      </c>
      <c r="AF413" s="12">
        <f ca="1">IF(ISERROR(INDIRECT(ORÇAMENTO.BancoRef)),"(abra o arquivo 'Referência "&amp;Excel_BuiltIn_Database&amp;".xlsm)",IF(OR($C413&lt;&gt;"S",ORÇAMENTO.CodBarra=""),"(Sem Código)",IF(ISERROR(MATCH($AE413,INDIRECT(ORÇAMENTO.BancoRef),0)),"(Código não identificado nas referências)",MATCH($AE413,INDIRECT(ORÇAMENTO.BancoRef),0))))</f>
        <v>29371</v>
      </c>
      <c r="AG413" s="428">
        <f ca="1">ROUND(IF(DESONERACAO="sim",REFERENCIA.Desonerado,REFERENCIA.NaoDesonerado),2)</f>
        <v>18.18</v>
      </c>
      <c r="AH413" s="429">
        <f t="shared" ca="1" si="125"/>
        <v>0.23499999999999999</v>
      </c>
      <c r="AJ413" s="431">
        <v>4</v>
      </c>
      <c r="AL413" s="439"/>
      <c r="AM413" s="336">
        <f t="shared" ca="1" si="109"/>
        <v>89.8</v>
      </c>
      <c r="AN413" s="470">
        <f t="shared" ca="1" si="126"/>
        <v>22.45</v>
      </c>
    </row>
    <row r="414" spans="1:40" ht="25.5" x14ac:dyDescent="0.2">
      <c r="A414" t="str">
        <f t="shared" si="112"/>
        <v>S</v>
      </c>
      <c r="B414">
        <f t="shared" ca="1" si="113"/>
        <v>4</v>
      </c>
      <c r="C414" t="str">
        <f t="shared" ca="1" si="114"/>
        <v>S</v>
      </c>
      <c r="D414">
        <f t="shared" ca="1" si="115"/>
        <v>0</v>
      </c>
      <c r="E414">
        <f ca="1">IF($C414=1,OFFSET(E414,-1,0)+MAX(1,COUNTIF(QCI!$A$13:$A$15,OFFSET(ORÇAMENTO!E414,-1,0))),OFFSET(E414,-1,0))</f>
        <v>1</v>
      </c>
      <c r="F414">
        <f t="shared" ca="1" si="116"/>
        <v>8</v>
      </c>
      <c r="G414">
        <f t="shared" ca="1" si="117"/>
        <v>2</v>
      </c>
      <c r="H414">
        <f t="shared" ca="1" si="118"/>
        <v>4</v>
      </c>
      <c r="I414">
        <f t="shared" ca="1" si="119"/>
        <v>4</v>
      </c>
      <c r="J414">
        <f t="shared" ca="1" si="110"/>
        <v>0</v>
      </c>
      <c r="K414">
        <f ca="1">IF(OR($C414="S",$C414=0),0,MATCH(OFFSET($D414,0,$C414)+IF($C414&lt;&gt;1,1,COUNTIF(QCI!$A$13:$A$15,ORÇAMENTO!E414)),OFFSET($D414,1,$C414,ROW($C$508)-ROW($C414)),0))</f>
        <v>0</v>
      </c>
      <c r="L414" s="114" t="str">
        <f t="shared" ca="1" si="120"/>
        <v>F</v>
      </c>
      <c r="M414" s="115" t="s">
        <v>705</v>
      </c>
      <c r="N414" s="116" t="str">
        <f t="shared" ca="1" si="121"/>
        <v>Serviço</v>
      </c>
      <c r="O414" s="117" t="str">
        <f t="shared" ca="1" si="122"/>
        <v>1.8.2.4.4.</v>
      </c>
      <c r="P414" s="118" t="s">
        <v>1280</v>
      </c>
      <c r="Q414" s="119" t="s">
        <v>1146</v>
      </c>
      <c r="R414" s="120" t="str">
        <f ca="1">IF($C414="S",REFERENCIA.Descricao,"(digite a descrição aqui)")</f>
        <v>DISJUNTOR MONOPOLAR TIPO DIN, CORRENTE NOMINAL DE 20A, FORNECIMENTO E INSTALAÇÃO, INCLUSIVE TERMINAL ILHÓS</v>
      </c>
      <c r="S414" s="121" t="str">
        <f ca="1">REFERENCIA.Unidade</f>
        <v>UN</v>
      </c>
      <c r="T414" s="122">
        <f ca="1">OFFSET(CÁLCULO!H$15,ROW($T414)-ROW(T$15),0)</f>
        <v>1</v>
      </c>
      <c r="U414" s="123">
        <f t="shared" ca="1" si="108"/>
        <v>17.920000000000002</v>
      </c>
      <c r="V414" s="124" t="s">
        <v>663</v>
      </c>
      <c r="W414" s="122">
        <f ca="1">IF($C414="S",ROUND(IF(TIPOORCAMENTO="Proposto",ORÇAMENTO.CustoUnitario*(1+$AH414),ORÇAMENTO.PrecoUnitarioLicitado),15-13*$AF$10),0)</f>
        <v>22.13</v>
      </c>
      <c r="X414" s="125" cm="1">
        <f t="array" aca="1" ref="X414" ca="1">IF($C414="S",IF(OR(Import.TipoArredondamento&lt;&gt;"TransfereGOV",ACOMPANHAMENTO="BM"),VTOTAL1,SUM(OFFSET(CÁLCULO!$AI$15,ROW($X414)-ROW($X$15),1):OFFSET(CÁLCULO!$BB$15,ROW($X414)-ROW($X$15),-1))),IF($C414=0,0,ROUND(SomaAgrup,15-13*$AF$11)))</f>
        <v>22.13</v>
      </c>
      <c r="Y414" s="126" t="s">
        <v>751</v>
      </c>
      <c r="Z414" t="str">
        <f t="shared" ca="1" si="123"/>
        <v>RA</v>
      </c>
      <c r="AA414" s="127">
        <f ca="1">IF($C414="S",IF($Z414="CP",$X414,IF($Z414="RA",(($X414)*QCI!$AA$3),0)),SomaAgrup)</f>
        <v>0</v>
      </c>
      <c r="AB414" s="128">
        <f t="shared" ca="1" si="124"/>
        <v>0</v>
      </c>
      <c r="AC414" s="565" t="str" cm="1">
        <f t="array" aca="1" ref="AC414" ca="1">IF($N414=""," ",
IF(AND($C414&lt;&gt;"S",OR($R414="",$R414="(digite a descrição aqui)")),"DESCRIÇÃO",
IF(AND($C414="S",OR($Q414&lt;&gt;"",$T414&gt;0,$U414&gt;0),$P414=""),"FONTE",
IF(AND($C414="S",$P414&lt;&gt;"",OR($T414&gt;0,$U414&gt;0),$Q414=""),"CÓDIGO",
IF(AND($C414="S",$P414&lt;&gt;"",$Q414&lt;&gt;"",$R414="(Código não identificado nas referências)"),"CÓDIGO N/ID",
IF(AND($C414="S",OR($R414="",$R414="(digite a descrição aqui)"),OR($Q414&lt;&gt;"",$T414&gt;0,$U414&gt;0)),"DESCRIÇÃO",
IF(AND($C414="S",$P414&lt;&gt;"",$Q414&lt;&gt;"",$S414=""),"UNIDADE",
IF(AND($C414="S",$P414&lt;&gt;"",$Q414&lt;&gt;"",$U414=0),"SEM CUSTO",
IF(AND(_xlfn.SINGLE(TIPOORCAMENTO)="Licitado",$AL414=0,$AN414&gt;0),"SEM PREÇO",
IF(AND($C414="S",$P414&lt;&gt;"",$Q414&lt;&gt;"",$U414&gt;0,AND($V414&lt;&gt;"BDI 1",$V414&lt;&gt;"BDI 2",$V414&lt;&gt;"BDI 3")),IF(ISNUMBER($V414),"JUSTIFICAR BDI","BDI"),
IF(OR(AND(import.recurso="OGU",TIPOORCAMENTO="Proposto",LEFT($O$8,5)&lt;&gt;"(N/D:",$AG414&lt;&gt;"",ORÇAMENTO.CustoUnitario&gt;$AG414),AND(TIPOORCAMENTO="LICITADO",ORÇAMENTO.PrecoUnitarioLicitado&gt;$AN414)),"ACIMA REF.",
IF(AND($C414="S",$P414&lt;&gt;"",$Q414&lt;&gt;"",$T414=0,$U414&gt;0),"QUANT.",
IF(AND(Import.TipoArredondamento="TransfereGOV",$L414="F",$C414="S",LEN($Q414)&gt;13),"Código &gt;13",
IF(AND(Import.TipoArredondamento="TransfereGOV",$L414="F",$C414&lt;&gt;"S",LEN($R414)&gt;100),"Descrição &gt;100",
IF(AND(Import.TipoArredondamento="TransfereGOV",$L414="F",$C414="S",LEN($R414)&gt;500),"Descrição &gt;500",
IF(AND(Import.TipoArredondamento="TransfereGOV",$L414="F",$C414="S",LEFT(TRIM(UPPER($P414)),6)&lt;&gt;"SINAPI",ISNA(VLOOKUP(TRIM(UPPER($S414)),ListaTgov.Unidades,1,FALSE))),"Unid. Não Disp",
" "))))))))))))))))</f>
        <v xml:space="preserve"> </v>
      </c>
      <c r="AD414" t="str">
        <f ca="1">IF(C414&lt;=CRONO.NivelExibicao,MAX($AD$15:OFFSET(AD414,-1,0))+IF($C414&lt;&gt;1,1,MAX(1,COUNTIF(QCI!$A$13:$A$15,OFFSET($E414,-1,0)))),"")</f>
        <v/>
      </c>
      <c r="AE414" s="7" t="str">
        <f ca="1">IF(AND($C414="S",ORÇAMENTO.CodBarra&lt;&gt;""),IF(ORÇAMENTO.Fonte="",ORÇAMENTO.CodBarra,CONCATENATE(ORÇAMENTO.Fonte," ",ORÇAMENTO.CodBarra)))</f>
        <v>SETOP ED-34462</v>
      </c>
      <c r="AF414" s="12">
        <f ca="1">IF(ISERROR(INDIRECT(ORÇAMENTO.BancoRef)),"(abra o arquivo 'Referência "&amp;Excel_BuiltIn_Database&amp;".xlsm)",IF(OR($C414&lt;&gt;"S",ORÇAMENTO.CodBarra=""),"(Sem Código)",IF(ISERROR(MATCH($AE414,INDIRECT(ORÇAMENTO.BancoRef),0)),"(Código não identificado nas referências)",MATCH($AE414,INDIRECT(ORÇAMENTO.BancoRef),0))))</f>
        <v>29375</v>
      </c>
      <c r="AG414" s="428">
        <f ca="1">ROUND(IF(DESONERACAO="sim",REFERENCIA.Desonerado,REFERENCIA.NaoDesonerado),2)</f>
        <v>17.920000000000002</v>
      </c>
      <c r="AH414" s="429">
        <f t="shared" ca="1" si="125"/>
        <v>0.23499999999999999</v>
      </c>
      <c r="AJ414" s="431">
        <v>1</v>
      </c>
      <c r="AL414" s="439"/>
      <c r="AM414" s="336">
        <f t="shared" ca="1" si="109"/>
        <v>22.13</v>
      </c>
      <c r="AN414" s="470">
        <f t="shared" ca="1" si="126"/>
        <v>22.13</v>
      </c>
    </row>
    <row r="415" spans="1:40" ht="25.5" x14ac:dyDescent="0.2">
      <c r="A415" t="str">
        <f t="shared" si="112"/>
        <v>S</v>
      </c>
      <c r="B415">
        <f t="shared" ca="1" si="113"/>
        <v>4</v>
      </c>
      <c r="C415" t="str">
        <f t="shared" ca="1" si="114"/>
        <v>S</v>
      </c>
      <c r="D415">
        <f t="shared" ca="1" si="115"/>
        <v>0</v>
      </c>
      <c r="E415">
        <f ca="1">IF($C415=1,OFFSET(E415,-1,0)+MAX(1,COUNTIF(QCI!$A$13:$A$15,OFFSET(ORÇAMENTO!E415,-1,0))),OFFSET(E415,-1,0))</f>
        <v>1</v>
      </c>
      <c r="F415">
        <f t="shared" ca="1" si="116"/>
        <v>8</v>
      </c>
      <c r="G415">
        <f t="shared" ca="1" si="117"/>
        <v>2</v>
      </c>
      <c r="H415">
        <f t="shared" ca="1" si="118"/>
        <v>4</v>
      </c>
      <c r="I415">
        <f t="shared" ca="1" si="119"/>
        <v>5</v>
      </c>
      <c r="J415">
        <f t="shared" ca="1" si="110"/>
        <v>0</v>
      </c>
      <c r="K415">
        <f ca="1">IF(OR($C415="S",$C415=0),0,MATCH(OFFSET($D415,0,$C415)+IF($C415&lt;&gt;1,1,COUNTIF(QCI!$A$13:$A$15,ORÇAMENTO!E415)),OFFSET($D415,1,$C415,ROW($C$508)-ROW($C415)),0))</f>
        <v>0</v>
      </c>
      <c r="L415" s="114" t="str">
        <f t="shared" ca="1" si="120"/>
        <v>F</v>
      </c>
      <c r="M415" s="115" t="s">
        <v>705</v>
      </c>
      <c r="N415" s="116" t="str">
        <f t="shared" ca="1" si="121"/>
        <v>Serviço</v>
      </c>
      <c r="O415" s="117" t="str">
        <f t="shared" ca="1" si="122"/>
        <v>1.8.2.4.5.</v>
      </c>
      <c r="P415" s="118" t="s">
        <v>1281</v>
      </c>
      <c r="Q415" s="119" t="s">
        <v>1123</v>
      </c>
      <c r="R415" s="120" t="str">
        <f ca="1">IF($C415="S",REFERENCIA.Descricao,"(digite a descrição aqui)")</f>
        <v xml:space="preserve">DISJUNTOR MOTOR, FAIXA DE AJUSTE: 4-6,3A, ICU: 50KA EM 380/400V - BASEADO EM </v>
      </c>
      <c r="S415" s="121" t="str">
        <f ca="1">REFERENCIA.Unidade</f>
        <v>UN</v>
      </c>
      <c r="T415" s="122">
        <f ca="1">OFFSET(CÁLCULO!H$15,ROW($T415)-ROW(T$15),0)</f>
        <v>1</v>
      </c>
      <c r="U415" s="123">
        <f t="shared" ca="1" si="108"/>
        <v>281.77999999999997</v>
      </c>
      <c r="V415" s="124" t="s">
        <v>663</v>
      </c>
      <c r="W415" s="122">
        <f ca="1">IF($C415="S",ROUND(IF(TIPOORCAMENTO="Proposto",ORÇAMENTO.CustoUnitario*(1+$AH415),ORÇAMENTO.PrecoUnitarioLicitado),15-13*$AF$10),0)</f>
        <v>348</v>
      </c>
      <c r="X415" s="125" cm="1">
        <f t="array" aca="1" ref="X415" ca="1">IF($C415="S",IF(OR(Import.TipoArredondamento&lt;&gt;"TransfereGOV",ACOMPANHAMENTO="BM"),VTOTAL1,SUM(OFFSET(CÁLCULO!$AI$15,ROW($X415)-ROW($X$15),1):OFFSET(CÁLCULO!$BB$15,ROW($X415)-ROW($X$15),-1))),IF($C415=0,0,ROUND(SomaAgrup,15-13*$AF$11)))</f>
        <v>348</v>
      </c>
      <c r="Y415" s="126" t="s">
        <v>751</v>
      </c>
      <c r="Z415" t="str">
        <f t="shared" ca="1" si="123"/>
        <v>RA</v>
      </c>
      <c r="AA415" s="127">
        <f ca="1">IF($C415="S",IF($Z415="CP",$X415,IF($Z415="RA",(($X415)*QCI!$AA$3),0)),SomaAgrup)</f>
        <v>0</v>
      </c>
      <c r="AB415" s="128">
        <f t="shared" ca="1" si="124"/>
        <v>0</v>
      </c>
      <c r="AC415" s="565" t="str" cm="1">
        <f t="array" aca="1" ref="AC415" ca="1">IF($N415=""," ",
IF(AND($C415&lt;&gt;"S",OR($R415="",$R415="(digite a descrição aqui)")),"DESCRIÇÃO",
IF(AND($C415="S",OR($Q415&lt;&gt;"",$T415&gt;0,$U415&gt;0),$P415=""),"FONTE",
IF(AND($C415="S",$P415&lt;&gt;"",OR($T415&gt;0,$U415&gt;0),$Q415=""),"CÓDIGO",
IF(AND($C415="S",$P415&lt;&gt;"",$Q415&lt;&gt;"",$R415="(Código não identificado nas referências)"),"CÓDIGO N/ID",
IF(AND($C415="S",OR($R415="",$R415="(digite a descrição aqui)"),OR($Q415&lt;&gt;"",$T415&gt;0,$U415&gt;0)),"DESCRIÇÃO",
IF(AND($C415="S",$P415&lt;&gt;"",$Q415&lt;&gt;"",$S415=""),"UNIDADE",
IF(AND($C415="S",$P415&lt;&gt;"",$Q415&lt;&gt;"",$U415=0),"SEM CUSTO",
IF(AND(_xlfn.SINGLE(TIPOORCAMENTO)="Licitado",$AL415=0,$AN415&gt;0),"SEM PREÇO",
IF(AND($C415="S",$P415&lt;&gt;"",$Q415&lt;&gt;"",$U415&gt;0,AND($V415&lt;&gt;"BDI 1",$V415&lt;&gt;"BDI 2",$V415&lt;&gt;"BDI 3")),IF(ISNUMBER($V415),"JUSTIFICAR BDI","BDI"),
IF(OR(AND(import.recurso="OGU",TIPOORCAMENTO="Proposto",LEFT($O$8,5)&lt;&gt;"(N/D:",$AG415&lt;&gt;"",ORÇAMENTO.CustoUnitario&gt;$AG415),AND(TIPOORCAMENTO="LICITADO",ORÇAMENTO.PrecoUnitarioLicitado&gt;$AN415)),"ACIMA REF.",
IF(AND($C415="S",$P415&lt;&gt;"",$Q415&lt;&gt;"",$T415=0,$U415&gt;0),"QUANT.",
IF(AND(Import.TipoArredondamento="TransfereGOV",$L415="F",$C415="S",LEN($Q415)&gt;13),"Código &gt;13",
IF(AND(Import.TipoArredondamento="TransfereGOV",$L415="F",$C415&lt;&gt;"S",LEN($R415)&gt;100),"Descrição &gt;100",
IF(AND(Import.TipoArredondamento="TransfereGOV",$L415="F",$C415="S",LEN($R415)&gt;500),"Descrição &gt;500",
IF(AND(Import.TipoArredondamento="TransfereGOV",$L415="F",$C415="S",LEFT(TRIM(UPPER($P415)),6)&lt;&gt;"SINAPI",ISNA(VLOOKUP(TRIM(UPPER($S415)),ListaTgov.Unidades,1,FALSE))),"Unid. Não Disp",
" "))))))))))))))))</f>
        <v xml:space="preserve"> </v>
      </c>
      <c r="AD415" t="str">
        <f ca="1">IF(C415&lt;=CRONO.NivelExibicao,MAX($AD$15:OFFSET(AD415,-1,0))+IF($C415&lt;&gt;1,1,MAX(1,COUNTIF(QCI!$A$13:$A$15,OFFSET($E415,-1,0)))),"")</f>
        <v/>
      </c>
      <c r="AE415" s="7" t="str">
        <f ca="1">IF(AND($C415="S",ORÇAMENTO.CodBarra&lt;&gt;""),IF(ORÇAMENTO.Fonte="",ORÇAMENTO.CodBarra,CONCATENATE(ORÇAMENTO.Fonte," ",ORÇAMENTO.CodBarra)))</f>
        <v>COMPOSIÇÃO CPU-025</v>
      </c>
      <c r="AF415" s="12">
        <f ca="1">IF(ISERROR(INDIRECT(ORÇAMENTO.BancoRef)),"(abra o arquivo 'Referência "&amp;Excel_BuiltIn_Database&amp;".xlsm)",IF(OR($C415&lt;&gt;"S",ORÇAMENTO.CodBarra=""),"(Sem Código)",IF(ISERROR(MATCH($AE415,INDIRECT(ORÇAMENTO.BancoRef),0)),"(Código não identificado nas referências)",MATCH($AE415,INDIRECT(ORÇAMENTO.BancoRef),0))))</f>
        <v>27</v>
      </c>
      <c r="AG415" s="428">
        <f ca="1">ROUND(IF(DESONERACAO="sim",REFERENCIA.Desonerado,REFERENCIA.NaoDesonerado),2)</f>
        <v>281.77999999999997</v>
      </c>
      <c r="AH415" s="429">
        <f t="shared" ca="1" si="125"/>
        <v>0.23499999999999999</v>
      </c>
      <c r="AJ415" s="431">
        <v>1</v>
      </c>
      <c r="AL415" s="439"/>
      <c r="AM415" s="336">
        <f t="shared" ca="1" si="109"/>
        <v>348</v>
      </c>
      <c r="AN415" s="470">
        <f t="shared" ca="1" si="126"/>
        <v>348</v>
      </c>
    </row>
    <row r="416" spans="1:40" ht="25.5" x14ac:dyDescent="0.2">
      <c r="A416" t="str">
        <f t="shared" si="112"/>
        <v>S</v>
      </c>
      <c r="B416">
        <f t="shared" ca="1" si="113"/>
        <v>4</v>
      </c>
      <c r="C416" t="str">
        <f t="shared" ca="1" si="114"/>
        <v>S</v>
      </c>
      <c r="D416">
        <f t="shared" ca="1" si="115"/>
        <v>0</v>
      </c>
      <c r="E416">
        <f ca="1">IF($C416=1,OFFSET(E416,-1,0)+MAX(1,COUNTIF(QCI!$A$13:$A$15,OFFSET(ORÇAMENTO!E416,-1,0))),OFFSET(E416,-1,0))</f>
        <v>1</v>
      </c>
      <c r="F416">
        <f t="shared" ca="1" si="116"/>
        <v>8</v>
      </c>
      <c r="G416">
        <f t="shared" ca="1" si="117"/>
        <v>2</v>
      </c>
      <c r="H416">
        <f t="shared" ca="1" si="118"/>
        <v>4</v>
      </c>
      <c r="I416">
        <f t="shared" ca="1" si="119"/>
        <v>6</v>
      </c>
      <c r="J416">
        <f t="shared" ca="1" si="110"/>
        <v>0</v>
      </c>
      <c r="K416">
        <f ca="1">IF(OR($C416="S",$C416=0),0,MATCH(OFFSET($D416,0,$C416)+IF($C416&lt;&gt;1,1,COUNTIF(QCI!$A$13:$A$15,ORÇAMENTO!E416)),OFFSET($D416,1,$C416,ROW($C$508)-ROW($C416)),0))</f>
        <v>0</v>
      </c>
      <c r="L416" s="114" t="str">
        <f t="shared" ca="1" si="120"/>
        <v>F</v>
      </c>
      <c r="M416" s="115" t="s">
        <v>705</v>
      </c>
      <c r="N416" s="116" t="str">
        <f t="shared" ca="1" si="121"/>
        <v>Serviço</v>
      </c>
      <c r="O416" s="117" t="str">
        <f t="shared" ca="1" si="122"/>
        <v>1.8.2.4.6.</v>
      </c>
      <c r="P416" s="118" t="s">
        <v>1280</v>
      </c>
      <c r="Q416" s="119" t="s">
        <v>1147</v>
      </c>
      <c r="R416" s="120" t="str">
        <f ca="1">IF($C416="S",REFERENCIA.Descricao,"(digite a descrição aqui)")</f>
        <v>DISJUNTOR TRIPOLAR TIPO DIN, CORRENTE NOMINAL DE 63A, FORNECIMENTO E INSTALAÇÃO, INCLUSIVE TERMINAL ILHÓS</v>
      </c>
      <c r="S416" s="121" t="str">
        <f ca="1">REFERENCIA.Unidade</f>
        <v>UN</v>
      </c>
      <c r="T416" s="122">
        <f ca="1">OFFSET(CÁLCULO!H$15,ROW($T416)-ROW(T$15),0)</f>
        <v>1</v>
      </c>
      <c r="U416" s="123">
        <f t="shared" ca="1" si="108"/>
        <v>84.24</v>
      </c>
      <c r="V416" s="124" t="s">
        <v>663</v>
      </c>
      <c r="W416" s="122">
        <f ca="1">IF($C416="S",ROUND(IF(TIPOORCAMENTO="Proposto",ORÇAMENTO.CustoUnitario*(1+$AH416),ORÇAMENTO.PrecoUnitarioLicitado),15-13*$AF$10),0)</f>
        <v>104.04</v>
      </c>
      <c r="X416" s="125" cm="1">
        <f t="array" aca="1" ref="X416" ca="1">IF($C416="S",IF(OR(Import.TipoArredondamento&lt;&gt;"TransfereGOV",ACOMPANHAMENTO="BM"),VTOTAL1,SUM(OFFSET(CÁLCULO!$AI$15,ROW($X416)-ROW($X$15),1):OFFSET(CÁLCULO!$BB$15,ROW($X416)-ROW($X$15),-1))),IF($C416=0,0,ROUND(SomaAgrup,15-13*$AF$11)))</f>
        <v>104.04</v>
      </c>
      <c r="Y416" s="126" t="s">
        <v>751</v>
      </c>
      <c r="Z416" t="str">
        <f t="shared" ca="1" si="123"/>
        <v>RA</v>
      </c>
      <c r="AA416" s="127">
        <f ca="1">IF($C416="S",IF($Z416="CP",$X416,IF($Z416="RA",(($X416)*QCI!$AA$3),0)),SomaAgrup)</f>
        <v>0</v>
      </c>
      <c r="AB416" s="128">
        <f t="shared" ca="1" si="124"/>
        <v>0</v>
      </c>
      <c r="AC416" s="565" t="str" cm="1">
        <f t="array" aca="1" ref="AC416" ca="1">IF($N416=""," ",
IF(AND($C416&lt;&gt;"S",OR($R416="",$R416="(digite a descrição aqui)")),"DESCRIÇÃO",
IF(AND($C416="S",OR($Q416&lt;&gt;"",$T416&gt;0,$U416&gt;0),$P416=""),"FONTE",
IF(AND($C416="S",$P416&lt;&gt;"",OR($T416&gt;0,$U416&gt;0),$Q416=""),"CÓDIGO",
IF(AND($C416="S",$P416&lt;&gt;"",$Q416&lt;&gt;"",$R416="(Código não identificado nas referências)"),"CÓDIGO N/ID",
IF(AND($C416="S",OR($R416="",$R416="(digite a descrição aqui)"),OR($Q416&lt;&gt;"",$T416&gt;0,$U416&gt;0)),"DESCRIÇÃO",
IF(AND($C416="S",$P416&lt;&gt;"",$Q416&lt;&gt;"",$S416=""),"UNIDADE",
IF(AND($C416="S",$P416&lt;&gt;"",$Q416&lt;&gt;"",$U416=0),"SEM CUSTO",
IF(AND(_xlfn.SINGLE(TIPOORCAMENTO)="Licitado",$AL416=0,$AN416&gt;0),"SEM PREÇO",
IF(AND($C416="S",$P416&lt;&gt;"",$Q416&lt;&gt;"",$U416&gt;0,AND($V416&lt;&gt;"BDI 1",$V416&lt;&gt;"BDI 2",$V416&lt;&gt;"BDI 3")),IF(ISNUMBER($V416),"JUSTIFICAR BDI","BDI"),
IF(OR(AND(import.recurso="OGU",TIPOORCAMENTO="Proposto",LEFT($O$8,5)&lt;&gt;"(N/D:",$AG416&lt;&gt;"",ORÇAMENTO.CustoUnitario&gt;$AG416),AND(TIPOORCAMENTO="LICITADO",ORÇAMENTO.PrecoUnitarioLicitado&gt;$AN416)),"ACIMA REF.",
IF(AND($C416="S",$P416&lt;&gt;"",$Q416&lt;&gt;"",$T416=0,$U416&gt;0),"QUANT.",
IF(AND(Import.TipoArredondamento="TransfereGOV",$L416="F",$C416="S",LEN($Q416)&gt;13),"Código &gt;13",
IF(AND(Import.TipoArredondamento="TransfereGOV",$L416="F",$C416&lt;&gt;"S",LEN($R416)&gt;100),"Descrição &gt;100",
IF(AND(Import.TipoArredondamento="TransfereGOV",$L416="F",$C416="S",LEN($R416)&gt;500),"Descrição &gt;500",
IF(AND(Import.TipoArredondamento="TransfereGOV",$L416="F",$C416="S",LEFT(TRIM(UPPER($P416)),6)&lt;&gt;"SINAPI",ISNA(VLOOKUP(TRIM(UPPER($S416)),ListaTgov.Unidades,1,FALSE))),"Unid. Não Disp",
" "))))))))))))))))</f>
        <v xml:space="preserve"> </v>
      </c>
      <c r="AD416" t="str">
        <f ca="1">IF(C416&lt;=CRONO.NivelExibicao,MAX($AD$15:OFFSET(AD416,-1,0))+IF($C416&lt;&gt;1,1,MAX(1,COUNTIF(QCI!$A$13:$A$15,OFFSET($E416,-1,0)))),"")</f>
        <v/>
      </c>
      <c r="AE416" s="7" t="str">
        <f ca="1">IF(AND($C416="S",ORÇAMENTO.CodBarra&lt;&gt;""),IF(ORÇAMENTO.Fonte="",ORÇAMENTO.CodBarra,CONCATENATE(ORÇAMENTO.Fonte," ",ORÇAMENTO.CodBarra)))</f>
        <v>SETOP ED-34493</v>
      </c>
      <c r="AF416" s="12">
        <f ca="1">IF(ISERROR(INDIRECT(ORÇAMENTO.BancoRef)),"(abra o arquivo 'Referência "&amp;Excel_BuiltIn_Database&amp;".xlsm)",IF(OR($C416&lt;&gt;"S",ORÇAMENTO.CodBarra=""),"(Sem Código)",IF(ISERROR(MATCH($AE416,INDIRECT(ORÇAMENTO.BancoRef),0)),"(Código não identificado nas referências)",MATCH($AE416,INDIRECT(ORÇAMENTO.BancoRef),0))))</f>
        <v>29404</v>
      </c>
      <c r="AG416" s="428">
        <f ca="1">ROUND(IF(DESONERACAO="sim",REFERENCIA.Desonerado,REFERENCIA.NaoDesonerado),2)</f>
        <v>84.24</v>
      </c>
      <c r="AH416" s="429">
        <f t="shared" ca="1" si="125"/>
        <v>0.23499999999999999</v>
      </c>
      <c r="AJ416" s="431">
        <v>1</v>
      </c>
      <c r="AL416" s="439"/>
      <c r="AM416" s="336">
        <f t="shared" ca="1" si="109"/>
        <v>104.04</v>
      </c>
      <c r="AN416" s="470">
        <f t="shared" ca="1" si="126"/>
        <v>104.04</v>
      </c>
    </row>
    <row r="417" spans="1:40" ht="25.5" x14ac:dyDescent="0.2">
      <c r="A417" t="str">
        <f t="shared" si="112"/>
        <v>S</v>
      </c>
      <c r="B417">
        <f t="shared" ca="1" si="113"/>
        <v>4</v>
      </c>
      <c r="C417" t="str">
        <f t="shared" ca="1" si="114"/>
        <v>S</v>
      </c>
      <c r="D417">
        <f t="shared" ca="1" si="115"/>
        <v>0</v>
      </c>
      <c r="E417">
        <f ca="1">IF($C417=1,OFFSET(E417,-1,0)+MAX(1,COUNTIF(QCI!$A$13:$A$15,OFFSET(ORÇAMENTO!E417,-1,0))),OFFSET(E417,-1,0))</f>
        <v>1</v>
      </c>
      <c r="F417">
        <f t="shared" ca="1" si="116"/>
        <v>8</v>
      </c>
      <c r="G417">
        <f t="shared" ca="1" si="117"/>
        <v>2</v>
      </c>
      <c r="H417">
        <f t="shared" ca="1" si="118"/>
        <v>4</v>
      </c>
      <c r="I417">
        <f t="shared" ca="1" si="119"/>
        <v>7</v>
      </c>
      <c r="J417">
        <f t="shared" ca="1" si="110"/>
        <v>0</v>
      </c>
      <c r="K417">
        <f ca="1">IF(OR($C417="S",$C417=0),0,MATCH(OFFSET($D417,0,$C417)+IF($C417&lt;&gt;1,1,COUNTIF(QCI!$A$13:$A$15,ORÇAMENTO!E417)),OFFSET($D417,1,$C417,ROW($C$508)-ROW($C417)),0))</f>
        <v>0</v>
      </c>
      <c r="L417" s="114" t="str">
        <f t="shared" ca="1" si="120"/>
        <v>F</v>
      </c>
      <c r="M417" s="115" t="s">
        <v>705</v>
      </c>
      <c r="N417" s="116" t="str">
        <f t="shared" ca="1" si="121"/>
        <v>Serviço</v>
      </c>
      <c r="O417" s="117" t="str">
        <f t="shared" ca="1" si="122"/>
        <v>1.8.2.4.7.</v>
      </c>
      <c r="P417" s="118" t="s">
        <v>1280</v>
      </c>
      <c r="Q417" s="119" t="s">
        <v>1118</v>
      </c>
      <c r="R417" s="120" t="str">
        <f ca="1">IF($C417="S",REFERENCIA.Descricao,"(digite a descrição aqui)")</f>
        <v>DISJUNTOR TRIPOLAR TIPO DIN, CORRENTE NOMINAL DE 70A, FORNECIMENTO E INSTALAÇÃO, INCLUSIVE TERMINAL ILHÓS</v>
      </c>
      <c r="S417" s="121" t="str">
        <f ca="1">REFERENCIA.Unidade</f>
        <v>UN</v>
      </c>
      <c r="T417" s="122">
        <f ca="1">OFFSET(CÁLCULO!H$15,ROW($T417)-ROW(T$15),0)</f>
        <v>1</v>
      </c>
      <c r="U417" s="123">
        <f t="shared" ca="1" si="108"/>
        <v>104.81</v>
      </c>
      <c r="V417" s="124" t="s">
        <v>663</v>
      </c>
      <c r="W417" s="122">
        <f ca="1">IF($C417="S",ROUND(IF(TIPOORCAMENTO="Proposto",ORÇAMENTO.CustoUnitario*(1+$AH417),ORÇAMENTO.PrecoUnitarioLicitado),15-13*$AF$10),0)</f>
        <v>129.44</v>
      </c>
      <c r="X417" s="125" cm="1">
        <f t="array" aca="1" ref="X417" ca="1">IF($C417="S",IF(OR(Import.TipoArredondamento&lt;&gt;"TransfereGOV",ACOMPANHAMENTO="BM"),VTOTAL1,SUM(OFFSET(CÁLCULO!$AI$15,ROW($X417)-ROW($X$15),1):OFFSET(CÁLCULO!$BB$15,ROW($X417)-ROW($X$15),-1))),IF($C417=0,0,ROUND(SomaAgrup,15-13*$AF$11)))</f>
        <v>129.44</v>
      </c>
      <c r="Y417" s="126" t="s">
        <v>751</v>
      </c>
      <c r="Z417" t="str">
        <f t="shared" ca="1" si="123"/>
        <v>RA</v>
      </c>
      <c r="AA417" s="127">
        <f ca="1">IF($C417="S",IF($Z417="CP",$X417,IF($Z417="RA",(($X417)*QCI!$AA$3),0)),SomaAgrup)</f>
        <v>0</v>
      </c>
      <c r="AB417" s="128">
        <f t="shared" ca="1" si="124"/>
        <v>0</v>
      </c>
      <c r="AC417" s="565" t="str" cm="1">
        <f t="array" aca="1" ref="AC417" ca="1">IF($N417=""," ",
IF(AND($C417&lt;&gt;"S",OR($R417="",$R417="(digite a descrição aqui)")),"DESCRIÇÃO",
IF(AND($C417="S",OR($Q417&lt;&gt;"",$T417&gt;0,$U417&gt;0),$P417=""),"FONTE",
IF(AND($C417="S",$P417&lt;&gt;"",OR($T417&gt;0,$U417&gt;0),$Q417=""),"CÓDIGO",
IF(AND($C417="S",$P417&lt;&gt;"",$Q417&lt;&gt;"",$R417="(Código não identificado nas referências)"),"CÓDIGO N/ID",
IF(AND($C417="S",OR($R417="",$R417="(digite a descrição aqui)"),OR($Q417&lt;&gt;"",$T417&gt;0,$U417&gt;0)),"DESCRIÇÃO",
IF(AND($C417="S",$P417&lt;&gt;"",$Q417&lt;&gt;"",$S417=""),"UNIDADE",
IF(AND($C417="S",$P417&lt;&gt;"",$Q417&lt;&gt;"",$U417=0),"SEM CUSTO",
IF(AND(_xlfn.SINGLE(TIPOORCAMENTO)="Licitado",$AL417=0,$AN417&gt;0),"SEM PREÇO",
IF(AND($C417="S",$P417&lt;&gt;"",$Q417&lt;&gt;"",$U417&gt;0,AND($V417&lt;&gt;"BDI 1",$V417&lt;&gt;"BDI 2",$V417&lt;&gt;"BDI 3")),IF(ISNUMBER($V417),"JUSTIFICAR BDI","BDI"),
IF(OR(AND(import.recurso="OGU",TIPOORCAMENTO="Proposto",LEFT($O$8,5)&lt;&gt;"(N/D:",$AG417&lt;&gt;"",ORÇAMENTO.CustoUnitario&gt;$AG417),AND(TIPOORCAMENTO="LICITADO",ORÇAMENTO.PrecoUnitarioLicitado&gt;$AN417)),"ACIMA REF.",
IF(AND($C417="S",$P417&lt;&gt;"",$Q417&lt;&gt;"",$T417=0,$U417&gt;0),"QUANT.",
IF(AND(Import.TipoArredondamento="TransfereGOV",$L417="F",$C417="S",LEN($Q417)&gt;13),"Código &gt;13",
IF(AND(Import.TipoArredondamento="TransfereGOV",$L417="F",$C417&lt;&gt;"S",LEN($R417)&gt;100),"Descrição &gt;100",
IF(AND(Import.TipoArredondamento="TransfereGOV",$L417="F",$C417="S",LEN($R417)&gt;500),"Descrição &gt;500",
IF(AND(Import.TipoArredondamento="TransfereGOV",$L417="F",$C417="S",LEFT(TRIM(UPPER($P417)),6)&lt;&gt;"SINAPI",ISNA(VLOOKUP(TRIM(UPPER($S417)),ListaTgov.Unidades,1,FALSE))),"Unid. Não Disp",
" "))))))))))))))))</f>
        <v xml:space="preserve"> </v>
      </c>
      <c r="AD417" t="str">
        <f ca="1">IF(C417&lt;=CRONO.NivelExibicao,MAX($AD$15:OFFSET(AD417,-1,0))+IF($C417&lt;&gt;1,1,MAX(1,COUNTIF(QCI!$A$13:$A$15,OFFSET($E417,-1,0)))),"")</f>
        <v/>
      </c>
      <c r="AE417" s="7" t="str">
        <f ca="1">IF(AND($C417="S",ORÇAMENTO.CodBarra&lt;&gt;""),IF(ORÇAMENTO.Fonte="",ORÇAMENTO.CodBarra,CONCATENATE(ORÇAMENTO.Fonte," ",ORÇAMENTO.CodBarra)))</f>
        <v>SETOP ED-34494</v>
      </c>
      <c r="AF417" s="12">
        <f ca="1">IF(ISERROR(INDIRECT(ORÇAMENTO.BancoRef)),"(abra o arquivo 'Referência "&amp;Excel_BuiltIn_Database&amp;".xlsm)",IF(OR($C417&lt;&gt;"S",ORÇAMENTO.CodBarra=""),"(Sem Código)",IF(ISERROR(MATCH($AE417,INDIRECT(ORÇAMENTO.BancoRef),0)),"(Código não identificado nas referências)",MATCH($AE417,INDIRECT(ORÇAMENTO.BancoRef),0))))</f>
        <v>29405</v>
      </c>
      <c r="AG417" s="428">
        <f ca="1">ROUND(IF(DESONERACAO="sim",REFERENCIA.Desonerado,REFERENCIA.NaoDesonerado),2)</f>
        <v>104.81</v>
      </c>
      <c r="AH417" s="429">
        <f t="shared" ca="1" si="125"/>
        <v>0.23499999999999999</v>
      </c>
      <c r="AJ417" s="431">
        <v>1</v>
      </c>
      <c r="AL417" s="439"/>
      <c r="AM417" s="336">
        <f t="shared" ca="1" si="109"/>
        <v>129.44</v>
      </c>
      <c r="AN417" s="470">
        <f t="shared" ca="1" si="126"/>
        <v>129.44</v>
      </c>
    </row>
    <row r="418" spans="1:40" ht="25.5" x14ac:dyDescent="0.2">
      <c r="A418" t="str">
        <f t="shared" si="112"/>
        <v>S</v>
      </c>
      <c r="B418">
        <f t="shared" ca="1" si="113"/>
        <v>4</v>
      </c>
      <c r="C418" t="str">
        <f t="shared" ca="1" si="114"/>
        <v>S</v>
      </c>
      <c r="D418">
        <f t="shared" ca="1" si="115"/>
        <v>0</v>
      </c>
      <c r="E418">
        <f ca="1">IF($C418=1,OFFSET(E418,-1,0)+MAX(1,COUNTIF(QCI!$A$13:$A$15,OFFSET(ORÇAMENTO!E418,-1,0))),OFFSET(E418,-1,0))</f>
        <v>1</v>
      </c>
      <c r="F418">
        <f t="shared" ca="1" si="116"/>
        <v>8</v>
      </c>
      <c r="G418">
        <f t="shared" ca="1" si="117"/>
        <v>2</v>
      </c>
      <c r="H418">
        <f t="shared" ca="1" si="118"/>
        <v>4</v>
      </c>
      <c r="I418">
        <f t="shared" ca="1" si="119"/>
        <v>8</v>
      </c>
      <c r="J418">
        <f t="shared" ca="1" si="110"/>
        <v>0</v>
      </c>
      <c r="K418">
        <f ca="1">IF(OR($C418="S",$C418=0),0,MATCH(OFFSET($D418,0,$C418)+IF($C418&lt;&gt;1,1,COUNTIF(QCI!$A$13:$A$15,ORÇAMENTO!E418)),OFFSET($D418,1,$C418,ROW($C$508)-ROW($C418)),0))</f>
        <v>0</v>
      </c>
      <c r="L418" s="114" t="str">
        <f t="shared" ca="1" si="120"/>
        <v>F</v>
      </c>
      <c r="M418" s="115" t="s">
        <v>705</v>
      </c>
      <c r="N418" s="116" t="str">
        <f t="shared" ca="1" si="121"/>
        <v>Serviço</v>
      </c>
      <c r="O418" s="117" t="str">
        <f t="shared" ca="1" si="122"/>
        <v>1.8.2.4.8.</v>
      </c>
      <c r="P418" s="118" t="s">
        <v>1281</v>
      </c>
      <c r="Q418" s="119" t="s">
        <v>1124</v>
      </c>
      <c r="R418" s="120" t="str">
        <f ca="1">IF($C418="S",REFERENCIA.Descricao,"(digite a descrição aqui)")</f>
        <v>AUTOTRANSFORMADOR TRIFÁSICO 1.01kVA E/S 220/440V 60Hz IP00, FORNECIMENTO E INSTALAÇÃO - BASEADO EM SIURB (9014034)</v>
      </c>
      <c r="S418" s="121" t="str">
        <f ca="1">REFERENCIA.Unidade</f>
        <v>UN</v>
      </c>
      <c r="T418" s="122">
        <f ca="1">OFFSET(CÁLCULO!H$15,ROW($T418)-ROW(T$15),0)</f>
        <v>1</v>
      </c>
      <c r="U418" s="123">
        <f t="shared" ca="1" si="108"/>
        <v>607.47</v>
      </c>
      <c r="V418" s="124" t="s">
        <v>663</v>
      </c>
      <c r="W418" s="122">
        <f ca="1">IF($C418="S",ROUND(IF(TIPOORCAMENTO="Proposto",ORÇAMENTO.CustoUnitario*(1+$AH418),ORÇAMENTO.PrecoUnitarioLicitado),15-13*$AF$10),0)</f>
        <v>750.23</v>
      </c>
      <c r="X418" s="125" cm="1">
        <f t="array" aca="1" ref="X418" ca="1">IF($C418="S",IF(OR(Import.TipoArredondamento&lt;&gt;"TransfereGOV",ACOMPANHAMENTO="BM"),VTOTAL1,SUM(OFFSET(CÁLCULO!$AI$15,ROW($X418)-ROW($X$15),1):OFFSET(CÁLCULO!$BB$15,ROW($X418)-ROW($X$15),-1))),IF($C418=0,0,ROUND(SomaAgrup,15-13*$AF$11)))</f>
        <v>750.23</v>
      </c>
      <c r="Y418" s="126" t="s">
        <v>751</v>
      </c>
      <c r="Z418" t="str">
        <f t="shared" ca="1" si="123"/>
        <v>RA</v>
      </c>
      <c r="AA418" s="127">
        <f ca="1">IF($C418="S",IF($Z418="CP",$X418,IF($Z418="RA",(($X418)*QCI!$AA$3),0)),SomaAgrup)</f>
        <v>0</v>
      </c>
      <c r="AB418" s="128">
        <f t="shared" ca="1" si="124"/>
        <v>0</v>
      </c>
      <c r="AC418" s="565" t="str" cm="1">
        <f t="array" aca="1" ref="AC418" ca="1">IF($N418=""," ",
IF(AND($C418&lt;&gt;"S",OR($R418="",$R418="(digite a descrição aqui)")),"DESCRIÇÃO",
IF(AND($C418="S",OR($Q418&lt;&gt;"",$T418&gt;0,$U418&gt;0),$P418=""),"FONTE",
IF(AND($C418="S",$P418&lt;&gt;"",OR($T418&gt;0,$U418&gt;0),$Q418=""),"CÓDIGO",
IF(AND($C418="S",$P418&lt;&gt;"",$Q418&lt;&gt;"",$R418="(Código não identificado nas referências)"),"CÓDIGO N/ID",
IF(AND($C418="S",OR($R418="",$R418="(digite a descrição aqui)"),OR($Q418&lt;&gt;"",$T418&gt;0,$U418&gt;0)),"DESCRIÇÃO",
IF(AND($C418="S",$P418&lt;&gt;"",$Q418&lt;&gt;"",$S418=""),"UNIDADE",
IF(AND($C418="S",$P418&lt;&gt;"",$Q418&lt;&gt;"",$U418=0),"SEM CUSTO",
IF(AND(_xlfn.SINGLE(TIPOORCAMENTO)="Licitado",$AL418=0,$AN418&gt;0),"SEM PREÇO",
IF(AND($C418="S",$P418&lt;&gt;"",$Q418&lt;&gt;"",$U418&gt;0,AND($V418&lt;&gt;"BDI 1",$V418&lt;&gt;"BDI 2",$V418&lt;&gt;"BDI 3")),IF(ISNUMBER($V418),"JUSTIFICAR BDI","BDI"),
IF(OR(AND(import.recurso="OGU",TIPOORCAMENTO="Proposto",LEFT($O$8,5)&lt;&gt;"(N/D:",$AG418&lt;&gt;"",ORÇAMENTO.CustoUnitario&gt;$AG418),AND(TIPOORCAMENTO="LICITADO",ORÇAMENTO.PrecoUnitarioLicitado&gt;$AN418)),"ACIMA REF.",
IF(AND($C418="S",$P418&lt;&gt;"",$Q418&lt;&gt;"",$T418=0,$U418&gt;0),"QUANT.",
IF(AND(Import.TipoArredondamento="TransfereGOV",$L418="F",$C418="S",LEN($Q418)&gt;13),"Código &gt;13",
IF(AND(Import.TipoArredondamento="TransfereGOV",$L418="F",$C418&lt;&gt;"S",LEN($R418)&gt;100),"Descrição &gt;100",
IF(AND(Import.TipoArredondamento="TransfereGOV",$L418="F",$C418="S",LEN($R418)&gt;500),"Descrição &gt;500",
IF(AND(Import.TipoArredondamento="TransfereGOV",$L418="F",$C418="S",LEFT(TRIM(UPPER($P418)),6)&lt;&gt;"SINAPI",ISNA(VLOOKUP(TRIM(UPPER($S418)),ListaTgov.Unidades,1,FALSE))),"Unid. Não Disp",
" "))))))))))))))))</f>
        <v xml:space="preserve"> </v>
      </c>
      <c r="AD418" t="str">
        <f ca="1">IF(C418&lt;=CRONO.NivelExibicao,MAX($AD$15:OFFSET(AD418,-1,0))+IF($C418&lt;&gt;1,1,MAX(1,COUNTIF(QCI!$A$13:$A$15,OFFSET($E418,-1,0)))),"")</f>
        <v/>
      </c>
      <c r="AE418" s="7" t="str">
        <f ca="1">IF(AND($C418="S",ORÇAMENTO.CodBarra&lt;&gt;""),IF(ORÇAMENTO.Fonte="",ORÇAMENTO.CodBarra,CONCATENATE(ORÇAMENTO.Fonte," ",ORÇAMENTO.CodBarra)))</f>
        <v>COMPOSIÇÃO CPU-027</v>
      </c>
      <c r="AF418" s="12">
        <f ca="1">IF(ISERROR(INDIRECT(ORÇAMENTO.BancoRef)),"(abra o arquivo 'Referência "&amp;Excel_BuiltIn_Database&amp;".xlsm)",IF(OR($C418&lt;&gt;"S",ORÇAMENTO.CodBarra=""),"(Sem Código)",IF(ISERROR(MATCH($AE418,INDIRECT(ORÇAMENTO.BancoRef),0)),"(Código não identificado nas referências)",MATCH($AE418,INDIRECT(ORÇAMENTO.BancoRef),0))))</f>
        <v>29</v>
      </c>
      <c r="AG418" s="428">
        <f ca="1">ROUND(IF(DESONERACAO="sim",REFERENCIA.Desonerado,REFERENCIA.NaoDesonerado),2)</f>
        <v>607.47</v>
      </c>
      <c r="AH418" s="429">
        <f t="shared" ca="1" si="125"/>
        <v>0.23499999999999999</v>
      </c>
      <c r="AJ418" s="431">
        <v>1</v>
      </c>
      <c r="AL418" s="439"/>
      <c r="AM418" s="336">
        <f t="shared" ca="1" si="109"/>
        <v>750.23</v>
      </c>
      <c r="AN418" s="470">
        <f t="shared" ca="1" si="126"/>
        <v>750.23</v>
      </c>
    </row>
    <row r="419" spans="1:40" ht="51" x14ac:dyDescent="0.2">
      <c r="A419" t="str">
        <f t="shared" si="112"/>
        <v>S</v>
      </c>
      <c r="B419">
        <f t="shared" ca="1" si="113"/>
        <v>4</v>
      </c>
      <c r="C419" t="str">
        <f t="shared" ca="1" si="114"/>
        <v>S</v>
      </c>
      <c r="D419">
        <f t="shared" ca="1" si="115"/>
        <v>0</v>
      </c>
      <c r="E419">
        <f ca="1">IF($C419=1,OFFSET(E419,-1,0)+MAX(1,COUNTIF(QCI!$A$13:$A$15,OFFSET(ORÇAMENTO!E419,-1,0))),OFFSET(E419,-1,0))</f>
        <v>1</v>
      </c>
      <c r="F419">
        <f t="shared" ca="1" si="116"/>
        <v>8</v>
      </c>
      <c r="G419">
        <f t="shared" ca="1" si="117"/>
        <v>2</v>
      </c>
      <c r="H419">
        <f t="shared" ca="1" si="118"/>
        <v>4</v>
      </c>
      <c r="I419">
        <f t="shared" ca="1" si="119"/>
        <v>9</v>
      </c>
      <c r="J419">
        <f t="shared" ca="1" si="110"/>
        <v>0</v>
      </c>
      <c r="K419">
        <f ca="1">IF(OR($C419="S",$C419=0),0,MATCH(OFFSET($D419,0,$C419)+IF($C419&lt;&gt;1,1,COUNTIF(QCI!$A$13:$A$15,ORÇAMENTO!E419)),OFFSET($D419,1,$C419,ROW($C$508)-ROW($C419)),0))</f>
        <v>0</v>
      </c>
      <c r="L419" s="114" t="str">
        <f t="shared" ca="1" si="120"/>
        <v>F</v>
      </c>
      <c r="M419" s="115" t="s">
        <v>705</v>
      </c>
      <c r="N419" s="116" t="str">
        <f t="shared" ca="1" si="121"/>
        <v>Serviço</v>
      </c>
      <c r="O419" s="117" t="str">
        <f t="shared" ca="1" si="122"/>
        <v>1.8.2.4.9.</v>
      </c>
      <c r="P419" s="118" t="s">
        <v>1281</v>
      </c>
      <c r="Q419" s="119" t="s">
        <v>1148</v>
      </c>
      <c r="R419" s="120" t="str">
        <f ca="1">IF($C419="S",REFERENCIA.Descricao,"(digite a descrição aqui)")</f>
        <v>QCM-COMPORTA - PAINEL DE COMANDO EM CHAPA DE AÇO SAE 1008, 1200X800X350MM, COMPOSTO POR CAIXA, PLACA DE MONTAGEM E FLANGE. REF.: CEMAR QCS-8060, FORNECIMENTO E INSTALAÇÃO - BASEADO SINAPI (102136)</v>
      </c>
      <c r="S419" s="121" t="str">
        <f ca="1">REFERENCIA.Unidade</f>
        <v>UN</v>
      </c>
      <c r="T419" s="122">
        <f ca="1">OFFSET(CÁLCULO!H$15,ROW($T419)-ROW(T$15),0)</f>
        <v>1</v>
      </c>
      <c r="U419" s="123">
        <f t="shared" ca="1" si="108"/>
        <v>819.82</v>
      </c>
      <c r="V419" s="124" t="s">
        <v>663</v>
      </c>
      <c r="W419" s="122">
        <f ca="1">IF($C419="S",ROUND(IF(TIPOORCAMENTO="Proposto",ORÇAMENTO.CustoUnitario*(1+$AH419),ORÇAMENTO.PrecoUnitarioLicitado),15-13*$AF$10),0)</f>
        <v>1012.48</v>
      </c>
      <c r="X419" s="125" cm="1">
        <f t="array" aca="1" ref="X419" ca="1">IF($C419="S",IF(OR(Import.TipoArredondamento&lt;&gt;"TransfereGOV",ACOMPANHAMENTO="BM"),VTOTAL1,SUM(OFFSET(CÁLCULO!$AI$15,ROW($X419)-ROW($X$15),1):OFFSET(CÁLCULO!$BB$15,ROW($X419)-ROW($X$15),-1))),IF($C419=0,0,ROUND(SomaAgrup,15-13*$AF$11)))</f>
        <v>1012.48</v>
      </c>
      <c r="Y419" s="126" t="s">
        <v>751</v>
      </c>
      <c r="Z419" t="str">
        <f t="shared" ca="1" si="123"/>
        <v>RA</v>
      </c>
      <c r="AA419" s="127">
        <f ca="1">IF($C419="S",IF($Z419="CP",$X419,IF($Z419="RA",(($X419)*QCI!$AA$3),0)),SomaAgrup)</f>
        <v>0</v>
      </c>
      <c r="AB419" s="128">
        <f t="shared" ca="1" si="124"/>
        <v>0</v>
      </c>
      <c r="AC419" s="565" t="str" cm="1">
        <f t="array" aca="1" ref="AC419" ca="1">IF($N419=""," ",
IF(AND($C419&lt;&gt;"S",OR($R419="",$R419="(digite a descrição aqui)")),"DESCRIÇÃO",
IF(AND($C419="S",OR($Q419&lt;&gt;"",$T419&gt;0,$U419&gt;0),$P419=""),"FONTE",
IF(AND($C419="S",$P419&lt;&gt;"",OR($T419&gt;0,$U419&gt;0),$Q419=""),"CÓDIGO",
IF(AND($C419="S",$P419&lt;&gt;"",$Q419&lt;&gt;"",$R419="(Código não identificado nas referências)"),"CÓDIGO N/ID",
IF(AND($C419="S",OR($R419="",$R419="(digite a descrição aqui)"),OR($Q419&lt;&gt;"",$T419&gt;0,$U419&gt;0)),"DESCRIÇÃO",
IF(AND($C419="S",$P419&lt;&gt;"",$Q419&lt;&gt;"",$S419=""),"UNIDADE",
IF(AND($C419="S",$P419&lt;&gt;"",$Q419&lt;&gt;"",$U419=0),"SEM CUSTO",
IF(AND(_xlfn.SINGLE(TIPOORCAMENTO)="Licitado",$AL419=0,$AN419&gt;0),"SEM PREÇO",
IF(AND($C419="S",$P419&lt;&gt;"",$Q419&lt;&gt;"",$U419&gt;0,AND($V419&lt;&gt;"BDI 1",$V419&lt;&gt;"BDI 2",$V419&lt;&gt;"BDI 3")),IF(ISNUMBER($V419),"JUSTIFICAR BDI","BDI"),
IF(OR(AND(import.recurso="OGU",TIPOORCAMENTO="Proposto",LEFT($O$8,5)&lt;&gt;"(N/D:",$AG419&lt;&gt;"",ORÇAMENTO.CustoUnitario&gt;$AG419),AND(TIPOORCAMENTO="LICITADO",ORÇAMENTO.PrecoUnitarioLicitado&gt;$AN419)),"ACIMA REF.",
IF(AND($C419="S",$P419&lt;&gt;"",$Q419&lt;&gt;"",$T419=0,$U419&gt;0),"QUANT.",
IF(AND(Import.TipoArredondamento="TransfereGOV",$L419="F",$C419="S",LEN($Q419)&gt;13),"Código &gt;13",
IF(AND(Import.TipoArredondamento="TransfereGOV",$L419="F",$C419&lt;&gt;"S",LEN($R419)&gt;100),"Descrição &gt;100",
IF(AND(Import.TipoArredondamento="TransfereGOV",$L419="F",$C419="S",LEN($R419)&gt;500),"Descrição &gt;500",
IF(AND(Import.TipoArredondamento="TransfereGOV",$L419="F",$C419="S",LEFT(TRIM(UPPER($P419)),6)&lt;&gt;"SINAPI",ISNA(VLOOKUP(TRIM(UPPER($S419)),ListaTgov.Unidades,1,FALSE))),"Unid. Não Disp",
" "))))))))))))))))</f>
        <v xml:space="preserve"> </v>
      </c>
      <c r="AD419" t="str">
        <f ca="1">IF(C419&lt;=CRONO.NivelExibicao,MAX($AD$15:OFFSET(AD419,-1,0))+IF($C419&lt;&gt;1,1,MAX(1,COUNTIF(QCI!$A$13:$A$15,OFFSET($E419,-1,0)))),"")</f>
        <v/>
      </c>
      <c r="AE419" s="7" t="str">
        <f ca="1">IF(AND($C419="S",ORÇAMENTO.CodBarra&lt;&gt;""),IF(ORÇAMENTO.Fonte="",ORÇAMENTO.CodBarra,CONCATENATE(ORÇAMENTO.Fonte," ",ORÇAMENTO.CodBarra)))</f>
        <v>COMPOSIÇÃO CPU-041</v>
      </c>
      <c r="AF419" s="12">
        <f ca="1">IF(ISERROR(INDIRECT(ORÇAMENTO.BancoRef)),"(abra o arquivo 'Referência "&amp;Excel_BuiltIn_Database&amp;".xlsm)",IF(OR($C419&lt;&gt;"S",ORÇAMENTO.CodBarra=""),"(Sem Código)",IF(ISERROR(MATCH($AE419,INDIRECT(ORÇAMENTO.BancoRef),0)),"(Código não identificado nas referências)",MATCH($AE419,INDIRECT(ORÇAMENTO.BancoRef),0))))</f>
        <v>43</v>
      </c>
      <c r="AG419" s="428">
        <f ca="1">ROUND(IF(DESONERACAO="sim",REFERENCIA.Desonerado,REFERENCIA.NaoDesonerado),2)</f>
        <v>819.82</v>
      </c>
      <c r="AH419" s="429">
        <f t="shared" ca="1" si="125"/>
        <v>0.23499999999999999</v>
      </c>
      <c r="AJ419" s="431">
        <v>1</v>
      </c>
      <c r="AL419" s="439"/>
      <c r="AM419" s="336">
        <f t="shared" ca="1" si="109"/>
        <v>1012.48</v>
      </c>
      <c r="AN419" s="470">
        <f t="shared" ca="1" si="126"/>
        <v>1012.48</v>
      </c>
    </row>
    <row r="420" spans="1:40" ht="25.5" x14ac:dyDescent="0.2">
      <c r="A420" t="str">
        <f t="shared" si="112"/>
        <v>S</v>
      </c>
      <c r="B420">
        <f t="shared" ca="1" si="113"/>
        <v>4</v>
      </c>
      <c r="C420" t="str">
        <f t="shared" ca="1" si="114"/>
        <v>S</v>
      </c>
      <c r="D420">
        <f t="shared" ca="1" si="115"/>
        <v>0</v>
      </c>
      <c r="E420">
        <f ca="1">IF($C420=1,OFFSET(E420,-1,0)+MAX(1,COUNTIF(QCI!$A$13:$A$15,OFFSET(ORÇAMENTO!E420,-1,0))),OFFSET(E420,-1,0))</f>
        <v>1</v>
      </c>
      <c r="F420">
        <f t="shared" ca="1" si="116"/>
        <v>8</v>
      </c>
      <c r="G420">
        <f t="shared" ca="1" si="117"/>
        <v>2</v>
      </c>
      <c r="H420">
        <f t="shared" ca="1" si="118"/>
        <v>4</v>
      </c>
      <c r="I420">
        <f t="shared" ca="1" si="119"/>
        <v>10</v>
      </c>
      <c r="J420">
        <f t="shared" ca="1" si="110"/>
        <v>0</v>
      </c>
      <c r="K420">
        <f ca="1">IF(OR($C420="S",$C420=0),0,MATCH(OFFSET($D420,0,$C420)+IF($C420&lt;&gt;1,1,COUNTIF(QCI!$A$13:$A$15,ORÇAMENTO!E420)),OFFSET($D420,1,$C420,ROW($C$508)-ROW($C420)),0))</f>
        <v>0</v>
      </c>
      <c r="L420" s="114" t="str">
        <f t="shared" ca="1" si="120"/>
        <v>F</v>
      </c>
      <c r="M420" s="115" t="s">
        <v>705</v>
      </c>
      <c r="N420" s="116" t="str">
        <f t="shared" ca="1" si="121"/>
        <v>Serviço</v>
      </c>
      <c r="O420" s="117" t="str">
        <f t="shared" ca="1" si="122"/>
        <v>1.8.2.4.10.</v>
      </c>
      <c r="P420" s="118" t="s">
        <v>750</v>
      </c>
      <c r="Q420" s="119" t="s">
        <v>1149</v>
      </c>
      <c r="R420" s="120" t="str">
        <f ca="1">IF($C420="S",REFERENCIA.Descricao,"(digite a descrição aqui)")</f>
        <v>DISJUNTOR MONOPOLAR TIPO DIN, CORRENTE NOMINAL DE 10A - FORNECIMENTO E INSTALAÇÃO. AF_10/2020</v>
      </c>
      <c r="S420" s="121" t="str">
        <f ca="1">REFERENCIA.Unidade</f>
        <v>UN</v>
      </c>
      <c r="T420" s="122">
        <f ca="1">OFFSET(CÁLCULO!H$15,ROW($T420)-ROW(T$15),0)</f>
        <v>1</v>
      </c>
      <c r="U420" s="123">
        <f t="shared" ca="1" si="108"/>
        <v>14.59</v>
      </c>
      <c r="V420" s="124" t="s">
        <v>663</v>
      </c>
      <c r="W420" s="122">
        <f ca="1">IF($C420="S",ROUND(IF(TIPOORCAMENTO="Proposto",ORÇAMENTO.CustoUnitario*(1+$AH420),ORÇAMENTO.PrecoUnitarioLicitado),15-13*$AF$10),0)</f>
        <v>18.02</v>
      </c>
      <c r="X420" s="125" cm="1">
        <f t="array" aca="1" ref="X420" ca="1">IF($C420="S",IF(OR(Import.TipoArredondamento&lt;&gt;"TransfereGOV",ACOMPANHAMENTO="BM"),VTOTAL1,SUM(OFFSET(CÁLCULO!$AI$15,ROW($X420)-ROW($X$15),1):OFFSET(CÁLCULO!$BB$15,ROW($X420)-ROW($X$15),-1))),IF($C420=0,0,ROUND(SomaAgrup,15-13*$AF$11)))</f>
        <v>18.02</v>
      </c>
      <c r="Y420" s="126" t="s">
        <v>751</v>
      </c>
      <c r="Z420" t="str">
        <f t="shared" ca="1" si="123"/>
        <v>RA</v>
      </c>
      <c r="AA420" s="127">
        <f ca="1">IF($C420="S",IF($Z420="CP",$X420,IF($Z420="RA",(($X420)*QCI!$AA$3),0)),SomaAgrup)</f>
        <v>0</v>
      </c>
      <c r="AB420" s="128">
        <f t="shared" ca="1" si="124"/>
        <v>0</v>
      </c>
      <c r="AC420" s="565" t="str" cm="1">
        <f t="array" aca="1" ref="AC420" ca="1">IF($N420=""," ",
IF(AND($C420&lt;&gt;"S",OR($R420="",$R420="(digite a descrição aqui)")),"DESCRIÇÃO",
IF(AND($C420="S",OR($Q420&lt;&gt;"",$T420&gt;0,$U420&gt;0),$P420=""),"FONTE",
IF(AND($C420="S",$P420&lt;&gt;"",OR($T420&gt;0,$U420&gt;0),$Q420=""),"CÓDIGO",
IF(AND($C420="S",$P420&lt;&gt;"",$Q420&lt;&gt;"",$R420="(Código não identificado nas referências)"),"CÓDIGO N/ID",
IF(AND($C420="S",OR($R420="",$R420="(digite a descrição aqui)"),OR($Q420&lt;&gt;"",$T420&gt;0,$U420&gt;0)),"DESCRIÇÃO",
IF(AND($C420="S",$P420&lt;&gt;"",$Q420&lt;&gt;"",$S420=""),"UNIDADE",
IF(AND($C420="S",$P420&lt;&gt;"",$Q420&lt;&gt;"",$U420=0),"SEM CUSTO",
IF(AND(_xlfn.SINGLE(TIPOORCAMENTO)="Licitado",$AL420=0,$AN420&gt;0),"SEM PREÇO",
IF(AND($C420="S",$P420&lt;&gt;"",$Q420&lt;&gt;"",$U420&gt;0,AND($V420&lt;&gt;"BDI 1",$V420&lt;&gt;"BDI 2",$V420&lt;&gt;"BDI 3")),IF(ISNUMBER($V420),"JUSTIFICAR BDI","BDI"),
IF(OR(AND(import.recurso="OGU",TIPOORCAMENTO="Proposto",LEFT($O$8,5)&lt;&gt;"(N/D:",$AG420&lt;&gt;"",ORÇAMENTO.CustoUnitario&gt;$AG420),AND(TIPOORCAMENTO="LICITADO",ORÇAMENTO.PrecoUnitarioLicitado&gt;$AN420)),"ACIMA REF.",
IF(AND($C420="S",$P420&lt;&gt;"",$Q420&lt;&gt;"",$T420=0,$U420&gt;0),"QUANT.",
IF(AND(Import.TipoArredondamento="TransfereGOV",$L420="F",$C420="S",LEN($Q420)&gt;13),"Código &gt;13",
IF(AND(Import.TipoArredondamento="TransfereGOV",$L420="F",$C420&lt;&gt;"S",LEN($R420)&gt;100),"Descrição &gt;100",
IF(AND(Import.TipoArredondamento="TransfereGOV",$L420="F",$C420="S",LEN($R420)&gt;500),"Descrição &gt;500",
IF(AND(Import.TipoArredondamento="TransfereGOV",$L420="F",$C420="S",LEFT(TRIM(UPPER($P420)),6)&lt;&gt;"SINAPI",ISNA(VLOOKUP(TRIM(UPPER($S420)),ListaTgov.Unidades,1,FALSE))),"Unid. Não Disp",
" "))))))))))))))))</f>
        <v xml:space="preserve"> </v>
      </c>
      <c r="AD420" t="str">
        <f ca="1">IF(C420&lt;=CRONO.NivelExibicao,MAX($AD$15:OFFSET(AD420,-1,0))+IF($C420&lt;&gt;1,1,MAX(1,COUNTIF(QCI!$A$13:$A$15,OFFSET($E420,-1,0)))),"")</f>
        <v/>
      </c>
      <c r="AE420" s="7" t="str">
        <f ca="1">IF(AND($C420="S",ORÇAMENTO.CodBarra&lt;&gt;""),IF(ORÇAMENTO.Fonte="",ORÇAMENTO.CodBarra,CONCATENATE(ORÇAMENTO.Fonte," ",ORÇAMENTO.CodBarra)))</f>
        <v>SINAPI 93653</v>
      </c>
      <c r="AF420" s="12">
        <f ca="1">IF(ISERROR(INDIRECT(ORÇAMENTO.BancoRef)),"(abra o arquivo 'Referência "&amp;Excel_BuiltIn_Database&amp;".xlsm)",IF(OR($C420&lt;&gt;"S",ORÇAMENTO.CodBarra=""),"(Sem Código)",IF(ISERROR(MATCH($AE420,INDIRECT(ORÇAMENTO.BancoRef),0)),"(Código não identificado nas referências)",MATCH($AE420,INDIRECT(ORÇAMENTO.BancoRef),0))))</f>
        <v>10707</v>
      </c>
      <c r="AG420" s="428">
        <f ca="1">ROUND(IF(DESONERACAO="sim",REFERENCIA.Desonerado,REFERENCIA.NaoDesonerado),2)</f>
        <v>14.59</v>
      </c>
      <c r="AH420" s="429">
        <f t="shared" ca="1" si="125"/>
        <v>0.23499999999999999</v>
      </c>
      <c r="AJ420" s="431">
        <v>1</v>
      </c>
      <c r="AL420" s="439"/>
      <c r="AM420" s="336">
        <f t="shared" ca="1" si="109"/>
        <v>18.02</v>
      </c>
      <c r="AN420" s="470">
        <f t="shared" ca="1" si="126"/>
        <v>18.02</v>
      </c>
    </row>
    <row r="421" spans="1:40" ht="25.5" x14ac:dyDescent="0.2">
      <c r="A421" t="str">
        <f t="shared" si="112"/>
        <v>S</v>
      </c>
      <c r="B421">
        <f t="shared" ca="1" si="113"/>
        <v>4</v>
      </c>
      <c r="C421" t="str">
        <f t="shared" ca="1" si="114"/>
        <v>S</v>
      </c>
      <c r="D421">
        <f t="shared" ca="1" si="115"/>
        <v>0</v>
      </c>
      <c r="E421">
        <f ca="1">IF($C421=1,OFFSET(E421,-1,0)+MAX(1,COUNTIF(QCI!$A$13:$A$15,OFFSET(ORÇAMENTO!E421,-1,0))),OFFSET(E421,-1,0))</f>
        <v>1</v>
      </c>
      <c r="F421">
        <f t="shared" ca="1" si="116"/>
        <v>8</v>
      </c>
      <c r="G421">
        <f t="shared" ca="1" si="117"/>
        <v>2</v>
      </c>
      <c r="H421">
        <f t="shared" ca="1" si="118"/>
        <v>4</v>
      </c>
      <c r="I421">
        <f t="shared" ca="1" si="119"/>
        <v>11</v>
      </c>
      <c r="J421">
        <f t="shared" ca="1" si="110"/>
        <v>0</v>
      </c>
      <c r="K421">
        <f ca="1">IF(OR($C421="S",$C421=0),0,MATCH(OFFSET($D421,0,$C421)+IF($C421&lt;&gt;1,1,COUNTIF(QCI!$A$13:$A$15,ORÇAMENTO!E421)),OFFSET($D421,1,$C421,ROW($C$508)-ROW($C421)),0))</f>
        <v>0</v>
      </c>
      <c r="L421" s="114" t="str">
        <f t="shared" ca="1" si="120"/>
        <v>F</v>
      </c>
      <c r="M421" s="115" t="s">
        <v>705</v>
      </c>
      <c r="N421" s="116" t="str">
        <f t="shared" ca="1" si="121"/>
        <v>Serviço</v>
      </c>
      <c r="O421" s="117" t="str">
        <f t="shared" ca="1" si="122"/>
        <v>1.8.2.4.11.</v>
      </c>
      <c r="P421" s="118" t="s">
        <v>750</v>
      </c>
      <c r="Q421" s="119" t="s">
        <v>1150</v>
      </c>
      <c r="R421" s="120" t="str">
        <f ca="1">IF($C421="S",REFERENCIA.Descricao,"(digite a descrição aqui)")</f>
        <v>DISJUNTOR TRIPOLAR TIPO DIN, CORRENTE NOMINAL DE 10A - FORNECIMENTO E INSTALAÇÃO. AF_10/2020</v>
      </c>
      <c r="S421" s="121" t="str">
        <f ca="1">REFERENCIA.Unidade</f>
        <v>UN</v>
      </c>
      <c r="T421" s="122">
        <f ca="1">OFFSET(CÁLCULO!H$15,ROW($T421)-ROW(T$15),0)</f>
        <v>1</v>
      </c>
      <c r="U421" s="123">
        <f t="shared" ca="1" si="108"/>
        <v>88.87</v>
      </c>
      <c r="V421" s="124" t="s">
        <v>663</v>
      </c>
      <c r="W421" s="122">
        <f ca="1">IF($C421="S",ROUND(IF(TIPOORCAMENTO="Proposto",ORÇAMENTO.CustoUnitario*(1+$AH421),ORÇAMENTO.PrecoUnitarioLicitado),15-13*$AF$10),0)</f>
        <v>109.75</v>
      </c>
      <c r="X421" s="125" cm="1">
        <f t="array" aca="1" ref="X421" ca="1">IF($C421="S",IF(OR(Import.TipoArredondamento&lt;&gt;"TransfereGOV",ACOMPANHAMENTO="BM"),VTOTAL1,SUM(OFFSET(CÁLCULO!$AI$15,ROW($X421)-ROW($X$15),1):OFFSET(CÁLCULO!$BB$15,ROW($X421)-ROW($X$15),-1))),IF($C421=0,0,ROUND(SomaAgrup,15-13*$AF$11)))</f>
        <v>109.75</v>
      </c>
      <c r="Y421" s="126" t="s">
        <v>751</v>
      </c>
      <c r="Z421" t="str">
        <f t="shared" ca="1" si="123"/>
        <v>RA</v>
      </c>
      <c r="AA421" s="127">
        <f ca="1">IF($C421="S",IF($Z421="CP",$X421,IF($Z421="RA",(($X421)*QCI!$AA$3),0)),SomaAgrup)</f>
        <v>0</v>
      </c>
      <c r="AB421" s="128">
        <f t="shared" ca="1" si="124"/>
        <v>0</v>
      </c>
      <c r="AC421" s="565" t="str" cm="1">
        <f t="array" aca="1" ref="AC421" ca="1">IF($N421=""," ",
IF(AND($C421&lt;&gt;"S",OR($R421="",$R421="(digite a descrição aqui)")),"DESCRIÇÃO",
IF(AND($C421="S",OR($Q421&lt;&gt;"",$T421&gt;0,$U421&gt;0),$P421=""),"FONTE",
IF(AND($C421="S",$P421&lt;&gt;"",OR($T421&gt;0,$U421&gt;0),$Q421=""),"CÓDIGO",
IF(AND($C421="S",$P421&lt;&gt;"",$Q421&lt;&gt;"",$R421="(Código não identificado nas referências)"),"CÓDIGO N/ID",
IF(AND($C421="S",OR($R421="",$R421="(digite a descrição aqui)"),OR($Q421&lt;&gt;"",$T421&gt;0,$U421&gt;0)),"DESCRIÇÃO",
IF(AND($C421="S",$P421&lt;&gt;"",$Q421&lt;&gt;"",$S421=""),"UNIDADE",
IF(AND($C421="S",$P421&lt;&gt;"",$Q421&lt;&gt;"",$U421=0),"SEM CUSTO",
IF(AND(_xlfn.SINGLE(TIPOORCAMENTO)="Licitado",$AL421=0,$AN421&gt;0),"SEM PREÇO",
IF(AND($C421="S",$P421&lt;&gt;"",$Q421&lt;&gt;"",$U421&gt;0,AND($V421&lt;&gt;"BDI 1",$V421&lt;&gt;"BDI 2",$V421&lt;&gt;"BDI 3")),IF(ISNUMBER($V421),"JUSTIFICAR BDI","BDI"),
IF(OR(AND(import.recurso="OGU",TIPOORCAMENTO="Proposto",LEFT($O$8,5)&lt;&gt;"(N/D:",$AG421&lt;&gt;"",ORÇAMENTO.CustoUnitario&gt;$AG421),AND(TIPOORCAMENTO="LICITADO",ORÇAMENTO.PrecoUnitarioLicitado&gt;$AN421)),"ACIMA REF.",
IF(AND($C421="S",$P421&lt;&gt;"",$Q421&lt;&gt;"",$T421=0,$U421&gt;0),"QUANT.",
IF(AND(Import.TipoArredondamento="TransfereGOV",$L421="F",$C421="S",LEN($Q421)&gt;13),"Código &gt;13",
IF(AND(Import.TipoArredondamento="TransfereGOV",$L421="F",$C421&lt;&gt;"S",LEN($R421)&gt;100),"Descrição &gt;100",
IF(AND(Import.TipoArredondamento="TransfereGOV",$L421="F",$C421="S",LEN($R421)&gt;500),"Descrição &gt;500",
IF(AND(Import.TipoArredondamento="TransfereGOV",$L421="F",$C421="S",LEFT(TRIM(UPPER($P421)),6)&lt;&gt;"SINAPI",ISNA(VLOOKUP(TRIM(UPPER($S421)),ListaTgov.Unidades,1,FALSE))),"Unid. Não Disp",
" "))))))))))))))))</f>
        <v xml:space="preserve"> </v>
      </c>
      <c r="AD421" t="str">
        <f ca="1">IF(C421&lt;=CRONO.NivelExibicao,MAX($AD$15:OFFSET(AD421,-1,0))+IF($C421&lt;&gt;1,1,MAX(1,COUNTIF(QCI!$A$13:$A$15,OFFSET($E421,-1,0)))),"")</f>
        <v/>
      </c>
      <c r="AE421" s="7" t="str">
        <f ca="1">IF(AND($C421="S",ORÇAMENTO.CodBarra&lt;&gt;""),IF(ORÇAMENTO.Fonte="",ORÇAMENTO.CodBarra,CONCATENATE(ORÇAMENTO.Fonte," ",ORÇAMENTO.CodBarra)))</f>
        <v>SINAPI 93667</v>
      </c>
      <c r="AF421" s="12">
        <f ca="1">IF(ISERROR(INDIRECT(ORÇAMENTO.BancoRef)),"(abra o arquivo 'Referência "&amp;Excel_BuiltIn_Database&amp;".xlsm)",IF(OR($C421&lt;&gt;"S",ORÇAMENTO.CodBarra=""),"(Sem Código)",IF(ISERROR(MATCH($AE421,INDIRECT(ORÇAMENTO.BancoRef),0)),"(Código não identificado nas referências)",MATCH($AE421,INDIRECT(ORÇAMENTO.BancoRef),0))))</f>
        <v>10723</v>
      </c>
      <c r="AG421" s="428">
        <f ca="1">ROUND(IF(DESONERACAO="sim",REFERENCIA.Desonerado,REFERENCIA.NaoDesonerado),2)</f>
        <v>88.87</v>
      </c>
      <c r="AH421" s="429">
        <f t="shared" ca="1" si="125"/>
        <v>0.23499999999999999</v>
      </c>
      <c r="AJ421" s="431">
        <v>1</v>
      </c>
      <c r="AL421" s="439"/>
      <c r="AM421" s="336">
        <f t="shared" ca="1" si="109"/>
        <v>109.75</v>
      </c>
      <c r="AN421" s="470">
        <f t="shared" ca="1" si="126"/>
        <v>109.75</v>
      </c>
    </row>
    <row r="422" spans="1:40" ht="38.25" x14ac:dyDescent="0.2">
      <c r="A422" t="str">
        <f t="shared" si="112"/>
        <v>S</v>
      </c>
      <c r="B422">
        <f t="shared" ca="1" si="113"/>
        <v>4</v>
      </c>
      <c r="C422" t="str">
        <f t="shared" ca="1" si="114"/>
        <v>S</v>
      </c>
      <c r="D422">
        <f t="shared" ca="1" si="115"/>
        <v>0</v>
      </c>
      <c r="E422">
        <f ca="1">IF($C422=1,OFFSET(E422,-1,0)+MAX(1,COUNTIF(QCI!$A$13:$A$15,OFFSET(ORÇAMENTO!E422,-1,0))),OFFSET(E422,-1,0))</f>
        <v>1</v>
      </c>
      <c r="F422">
        <f t="shared" ca="1" si="116"/>
        <v>8</v>
      </c>
      <c r="G422">
        <f t="shared" ca="1" si="117"/>
        <v>2</v>
      </c>
      <c r="H422">
        <f t="shared" ca="1" si="118"/>
        <v>4</v>
      </c>
      <c r="I422">
        <f t="shared" ca="1" si="119"/>
        <v>12</v>
      </c>
      <c r="J422">
        <f t="shared" ca="1" si="110"/>
        <v>0</v>
      </c>
      <c r="K422">
        <f ca="1">IF(OR($C422="S",$C422=0),0,MATCH(OFFSET($D422,0,$C422)+IF($C422&lt;&gt;1,1,COUNTIF(QCI!$A$13:$A$15,ORÇAMENTO!E422)),OFFSET($D422,1,$C422,ROW($C$508)-ROW($C422)),0))</f>
        <v>0</v>
      </c>
      <c r="L422" s="114" t="str">
        <f t="shared" ca="1" si="120"/>
        <v>F</v>
      </c>
      <c r="M422" s="115" t="s">
        <v>705</v>
      </c>
      <c r="N422" s="116" t="str">
        <f t="shared" ca="1" si="121"/>
        <v>Serviço</v>
      </c>
      <c r="O422" s="117" t="str">
        <f t="shared" ca="1" si="122"/>
        <v>1.8.2.4.12.</v>
      </c>
      <c r="P422" s="118" t="s">
        <v>1281</v>
      </c>
      <c r="Q422" s="119" t="s">
        <v>1151</v>
      </c>
      <c r="R422" s="120" t="str">
        <f ca="1">IF($C422="S",REFERENCIA.Descricao,"(digite a descrição aqui)")</f>
        <v>DISJUNTOR MOTOR, CORRENTE NOMINAL MÁXIMA 40A, TERMINAL PARAFUSO. REF.: WEG MPW40-3-U040 , FORNECIMENTO E INSTALAÇÃO - BASEADO EM SINAPI (93655)</v>
      </c>
      <c r="S422" s="121" t="str">
        <f ca="1">REFERENCIA.Unidade</f>
        <v>UN</v>
      </c>
      <c r="T422" s="122">
        <f ca="1">OFFSET(CÁLCULO!H$15,ROW($T422)-ROW(T$15),0)</f>
        <v>1</v>
      </c>
      <c r="U422" s="123">
        <f t="shared" ca="1" si="108"/>
        <v>630.6</v>
      </c>
      <c r="V422" s="124" t="s">
        <v>663</v>
      </c>
      <c r="W422" s="122">
        <f ca="1">IF($C422="S",ROUND(IF(TIPOORCAMENTO="Proposto",ORÇAMENTO.CustoUnitario*(1+$AH422),ORÇAMENTO.PrecoUnitarioLicitado),15-13*$AF$10),0)</f>
        <v>778.79</v>
      </c>
      <c r="X422" s="125" cm="1">
        <f t="array" aca="1" ref="X422" ca="1">IF($C422="S",IF(OR(Import.TipoArredondamento&lt;&gt;"TransfereGOV",ACOMPANHAMENTO="BM"),VTOTAL1,SUM(OFFSET(CÁLCULO!$AI$15,ROW($X422)-ROW($X$15),1):OFFSET(CÁLCULO!$BB$15,ROW($X422)-ROW($X$15),-1))),IF($C422=0,0,ROUND(SomaAgrup,15-13*$AF$11)))</f>
        <v>778.79</v>
      </c>
      <c r="Y422" s="126" t="s">
        <v>751</v>
      </c>
      <c r="Z422" t="str">
        <f t="shared" ca="1" si="123"/>
        <v>RA</v>
      </c>
      <c r="AA422" s="127">
        <f ca="1">IF($C422="S",IF($Z422="CP",$X422,IF($Z422="RA",(($X422)*QCI!$AA$3),0)),SomaAgrup)</f>
        <v>0</v>
      </c>
      <c r="AB422" s="128">
        <f t="shared" ca="1" si="124"/>
        <v>0</v>
      </c>
      <c r="AC422" s="565" t="str" cm="1">
        <f t="array" aca="1" ref="AC422" ca="1">IF($N422=""," ",
IF(AND($C422&lt;&gt;"S",OR($R422="",$R422="(digite a descrição aqui)")),"DESCRIÇÃO",
IF(AND($C422="S",OR($Q422&lt;&gt;"",$T422&gt;0,$U422&gt;0),$P422=""),"FONTE",
IF(AND($C422="S",$P422&lt;&gt;"",OR($T422&gt;0,$U422&gt;0),$Q422=""),"CÓDIGO",
IF(AND($C422="S",$P422&lt;&gt;"",$Q422&lt;&gt;"",$R422="(Código não identificado nas referências)"),"CÓDIGO N/ID",
IF(AND($C422="S",OR($R422="",$R422="(digite a descrição aqui)"),OR($Q422&lt;&gt;"",$T422&gt;0,$U422&gt;0)),"DESCRIÇÃO",
IF(AND($C422="S",$P422&lt;&gt;"",$Q422&lt;&gt;"",$S422=""),"UNIDADE",
IF(AND($C422="S",$P422&lt;&gt;"",$Q422&lt;&gt;"",$U422=0),"SEM CUSTO",
IF(AND(_xlfn.SINGLE(TIPOORCAMENTO)="Licitado",$AL422=0,$AN422&gt;0),"SEM PREÇO",
IF(AND($C422="S",$P422&lt;&gt;"",$Q422&lt;&gt;"",$U422&gt;0,AND($V422&lt;&gt;"BDI 1",$V422&lt;&gt;"BDI 2",$V422&lt;&gt;"BDI 3")),IF(ISNUMBER($V422),"JUSTIFICAR BDI","BDI"),
IF(OR(AND(import.recurso="OGU",TIPOORCAMENTO="Proposto",LEFT($O$8,5)&lt;&gt;"(N/D:",$AG422&lt;&gt;"",ORÇAMENTO.CustoUnitario&gt;$AG422),AND(TIPOORCAMENTO="LICITADO",ORÇAMENTO.PrecoUnitarioLicitado&gt;$AN422)),"ACIMA REF.",
IF(AND($C422="S",$P422&lt;&gt;"",$Q422&lt;&gt;"",$T422=0,$U422&gt;0),"QUANT.",
IF(AND(Import.TipoArredondamento="TransfereGOV",$L422="F",$C422="S",LEN($Q422)&gt;13),"Código &gt;13",
IF(AND(Import.TipoArredondamento="TransfereGOV",$L422="F",$C422&lt;&gt;"S",LEN($R422)&gt;100),"Descrição &gt;100",
IF(AND(Import.TipoArredondamento="TransfereGOV",$L422="F",$C422="S",LEN($R422)&gt;500),"Descrição &gt;500",
IF(AND(Import.TipoArredondamento="TransfereGOV",$L422="F",$C422="S",LEFT(TRIM(UPPER($P422)),6)&lt;&gt;"SINAPI",ISNA(VLOOKUP(TRIM(UPPER($S422)),ListaTgov.Unidades,1,FALSE))),"Unid. Não Disp",
" "))))))))))))))))</f>
        <v xml:space="preserve"> </v>
      </c>
      <c r="AD422" t="str">
        <f ca="1">IF(C422&lt;=CRONO.NivelExibicao,MAX($AD$15:OFFSET(AD422,-1,0))+IF($C422&lt;&gt;1,1,MAX(1,COUNTIF(QCI!$A$13:$A$15,OFFSET($E422,-1,0)))),"")</f>
        <v/>
      </c>
      <c r="AE422" s="7" t="str">
        <f ca="1">IF(AND($C422="S",ORÇAMENTO.CodBarra&lt;&gt;""),IF(ORÇAMENTO.Fonte="",ORÇAMENTO.CodBarra,CONCATENATE(ORÇAMENTO.Fonte," ",ORÇAMENTO.CodBarra)))</f>
        <v>COMPOSIÇÃO CPU-030</v>
      </c>
      <c r="AF422" s="12">
        <f ca="1">IF(ISERROR(INDIRECT(ORÇAMENTO.BancoRef)),"(abra o arquivo 'Referência "&amp;Excel_BuiltIn_Database&amp;".xlsm)",IF(OR($C422&lt;&gt;"S",ORÇAMENTO.CodBarra=""),"(Sem Código)",IF(ISERROR(MATCH($AE422,INDIRECT(ORÇAMENTO.BancoRef),0)),"(Código não identificado nas referências)",MATCH($AE422,INDIRECT(ORÇAMENTO.BancoRef),0))))</f>
        <v>32</v>
      </c>
      <c r="AG422" s="428">
        <f ca="1">ROUND(IF(DESONERACAO="sim",REFERENCIA.Desonerado,REFERENCIA.NaoDesonerado),2)</f>
        <v>630.6</v>
      </c>
      <c r="AH422" s="429">
        <f t="shared" ca="1" si="125"/>
        <v>0.23499999999999999</v>
      </c>
      <c r="AJ422" s="431">
        <v>1</v>
      </c>
      <c r="AL422" s="439"/>
      <c r="AM422" s="336">
        <f t="shared" ca="1" si="109"/>
        <v>778.79</v>
      </c>
      <c r="AN422" s="470">
        <f t="shared" ca="1" si="126"/>
        <v>778.79</v>
      </c>
    </row>
    <row r="423" spans="1:40" ht="38.25" x14ac:dyDescent="0.2">
      <c r="A423" t="str">
        <f t="shared" si="112"/>
        <v>S</v>
      </c>
      <c r="B423">
        <f t="shared" ca="1" si="113"/>
        <v>4</v>
      </c>
      <c r="C423" t="str">
        <f t="shared" ca="1" si="114"/>
        <v>S</v>
      </c>
      <c r="D423">
        <f t="shared" ca="1" si="115"/>
        <v>0</v>
      </c>
      <c r="E423">
        <f ca="1">IF($C423=1,OFFSET(E423,-1,0)+MAX(1,COUNTIF(QCI!$A$13:$A$15,OFFSET(ORÇAMENTO!E423,-1,0))),OFFSET(E423,-1,0))</f>
        <v>1</v>
      </c>
      <c r="F423">
        <f t="shared" ca="1" si="116"/>
        <v>8</v>
      </c>
      <c r="G423">
        <f t="shared" ca="1" si="117"/>
        <v>2</v>
      </c>
      <c r="H423">
        <f t="shared" ca="1" si="118"/>
        <v>4</v>
      </c>
      <c r="I423">
        <f t="shared" ca="1" si="119"/>
        <v>13</v>
      </c>
      <c r="J423">
        <f t="shared" ca="1" si="110"/>
        <v>0</v>
      </c>
      <c r="K423">
        <f ca="1">IF(OR($C423="S",$C423=0),0,MATCH(OFFSET($D423,0,$C423)+IF($C423&lt;&gt;1,1,COUNTIF(QCI!$A$13:$A$15,ORÇAMENTO!E423)),OFFSET($D423,1,$C423,ROW($C$508)-ROW($C423)),0))</f>
        <v>0</v>
      </c>
      <c r="L423" s="114" t="str">
        <f t="shared" ca="1" si="120"/>
        <v>F</v>
      </c>
      <c r="M423" s="115" t="s">
        <v>705</v>
      </c>
      <c r="N423" s="116" t="str">
        <f t="shared" ca="1" si="121"/>
        <v>Serviço</v>
      </c>
      <c r="O423" s="117" t="str">
        <f t="shared" ca="1" si="122"/>
        <v>1.8.2.4.13.</v>
      </c>
      <c r="P423" s="118" t="s">
        <v>1281</v>
      </c>
      <c r="Q423" s="119" t="s">
        <v>1152</v>
      </c>
      <c r="R423" s="120" t="str">
        <f ca="1">IF($C423="S",REFERENCIA.Descricao,"(digite a descrição aqui)")</f>
        <v>CONTATOR DE POTÊNCIA 18A 100-250VCC/CA. REF.: WEG, FORNECIMENTO E INSTALAÇÃO- BASEADO EM CPOS/CDHU (40.10.040)</v>
      </c>
      <c r="S423" s="121" t="str">
        <f ca="1">REFERENCIA.Unidade</f>
        <v>UN</v>
      </c>
      <c r="T423" s="122">
        <f ca="1">OFFSET(CÁLCULO!H$15,ROW($T423)-ROW(T$15),0)</f>
        <v>1</v>
      </c>
      <c r="U423" s="123">
        <f t="shared" ca="1" si="108"/>
        <v>105.43</v>
      </c>
      <c r="V423" s="124" t="s">
        <v>663</v>
      </c>
      <c r="W423" s="122">
        <f ca="1">IF($C423="S",ROUND(IF(TIPOORCAMENTO="Proposto",ORÇAMENTO.CustoUnitario*(1+$AH423),ORÇAMENTO.PrecoUnitarioLicitado),15-13*$AF$10),0)</f>
        <v>130.21</v>
      </c>
      <c r="X423" s="125" cm="1">
        <f t="array" aca="1" ref="X423" ca="1">IF($C423="S",IF(OR(Import.TipoArredondamento&lt;&gt;"TransfereGOV",ACOMPANHAMENTO="BM"),VTOTAL1,SUM(OFFSET(CÁLCULO!$AI$15,ROW($X423)-ROW($X$15),1):OFFSET(CÁLCULO!$BB$15,ROW($X423)-ROW($X$15),-1))),IF($C423=0,0,ROUND(SomaAgrup,15-13*$AF$11)))</f>
        <v>130.21</v>
      </c>
      <c r="Y423" s="126" t="s">
        <v>751</v>
      </c>
      <c r="Z423" t="str">
        <f t="shared" ca="1" si="123"/>
        <v>RA</v>
      </c>
      <c r="AA423" s="127">
        <f ca="1">IF($C423="S",IF($Z423="CP",$X423,IF($Z423="RA",(($X423)*QCI!$AA$3),0)),SomaAgrup)</f>
        <v>0</v>
      </c>
      <c r="AB423" s="128">
        <f t="shared" ca="1" si="124"/>
        <v>0</v>
      </c>
      <c r="AC423" s="565" t="str" cm="1">
        <f t="array" aca="1" ref="AC423" ca="1">IF($N423=""," ",
IF(AND($C423&lt;&gt;"S",OR($R423="",$R423="(digite a descrição aqui)")),"DESCRIÇÃO",
IF(AND($C423="S",OR($Q423&lt;&gt;"",$T423&gt;0,$U423&gt;0),$P423=""),"FONTE",
IF(AND($C423="S",$P423&lt;&gt;"",OR($T423&gt;0,$U423&gt;0),$Q423=""),"CÓDIGO",
IF(AND($C423="S",$P423&lt;&gt;"",$Q423&lt;&gt;"",$R423="(Código não identificado nas referências)"),"CÓDIGO N/ID",
IF(AND($C423="S",OR($R423="",$R423="(digite a descrição aqui)"),OR($Q423&lt;&gt;"",$T423&gt;0,$U423&gt;0)),"DESCRIÇÃO",
IF(AND($C423="S",$P423&lt;&gt;"",$Q423&lt;&gt;"",$S423=""),"UNIDADE",
IF(AND($C423="S",$P423&lt;&gt;"",$Q423&lt;&gt;"",$U423=0),"SEM CUSTO",
IF(AND(_xlfn.SINGLE(TIPOORCAMENTO)="Licitado",$AL423=0,$AN423&gt;0),"SEM PREÇO",
IF(AND($C423="S",$P423&lt;&gt;"",$Q423&lt;&gt;"",$U423&gt;0,AND($V423&lt;&gt;"BDI 1",$V423&lt;&gt;"BDI 2",$V423&lt;&gt;"BDI 3")),IF(ISNUMBER($V423),"JUSTIFICAR BDI","BDI"),
IF(OR(AND(import.recurso="OGU",TIPOORCAMENTO="Proposto",LEFT($O$8,5)&lt;&gt;"(N/D:",$AG423&lt;&gt;"",ORÇAMENTO.CustoUnitario&gt;$AG423),AND(TIPOORCAMENTO="LICITADO",ORÇAMENTO.PrecoUnitarioLicitado&gt;$AN423)),"ACIMA REF.",
IF(AND($C423="S",$P423&lt;&gt;"",$Q423&lt;&gt;"",$T423=0,$U423&gt;0),"QUANT.",
IF(AND(Import.TipoArredondamento="TransfereGOV",$L423="F",$C423="S",LEN($Q423)&gt;13),"Código &gt;13",
IF(AND(Import.TipoArredondamento="TransfereGOV",$L423="F",$C423&lt;&gt;"S",LEN($R423)&gt;100),"Descrição &gt;100",
IF(AND(Import.TipoArredondamento="TransfereGOV",$L423="F",$C423="S",LEN($R423)&gt;500),"Descrição &gt;500",
IF(AND(Import.TipoArredondamento="TransfereGOV",$L423="F",$C423="S",LEFT(TRIM(UPPER($P423)),6)&lt;&gt;"SINAPI",ISNA(VLOOKUP(TRIM(UPPER($S423)),ListaTgov.Unidades,1,FALSE))),"Unid. Não Disp",
" "))))))))))))))))</f>
        <v xml:space="preserve"> </v>
      </c>
      <c r="AD423" t="str">
        <f ca="1">IF(C423&lt;=CRONO.NivelExibicao,MAX($AD$15:OFFSET(AD423,-1,0))+IF($C423&lt;&gt;1,1,MAX(1,COUNTIF(QCI!$A$13:$A$15,OFFSET($E423,-1,0)))),"")</f>
        <v/>
      </c>
      <c r="AE423" s="7" t="str">
        <f ca="1">IF(AND($C423="S",ORÇAMENTO.CodBarra&lt;&gt;""),IF(ORÇAMENTO.Fonte="",ORÇAMENTO.CodBarra,CONCATENATE(ORÇAMENTO.Fonte," ",ORÇAMENTO.CodBarra)))</f>
        <v>COMPOSIÇÃO CPU-031</v>
      </c>
      <c r="AF423" s="12">
        <f ca="1">IF(ISERROR(INDIRECT(ORÇAMENTO.BancoRef)),"(abra o arquivo 'Referência "&amp;Excel_BuiltIn_Database&amp;".xlsm)",IF(OR($C423&lt;&gt;"S",ORÇAMENTO.CodBarra=""),"(Sem Código)",IF(ISERROR(MATCH($AE423,INDIRECT(ORÇAMENTO.BancoRef),0)),"(Código não identificado nas referências)",MATCH($AE423,INDIRECT(ORÇAMENTO.BancoRef),0))))</f>
        <v>33</v>
      </c>
      <c r="AG423" s="428">
        <f ca="1">ROUND(IF(DESONERACAO="sim",REFERENCIA.Desonerado,REFERENCIA.NaoDesonerado),2)</f>
        <v>105.43</v>
      </c>
      <c r="AH423" s="429">
        <f t="shared" ca="1" si="125"/>
        <v>0.23499999999999999</v>
      </c>
      <c r="AJ423" s="431">
        <v>1</v>
      </c>
      <c r="AL423" s="439"/>
      <c r="AM423" s="336">
        <f t="shared" ca="1" si="109"/>
        <v>130.21</v>
      </c>
      <c r="AN423" s="470">
        <f t="shared" ca="1" si="126"/>
        <v>130.21</v>
      </c>
    </row>
    <row r="424" spans="1:40" ht="25.5" x14ac:dyDescent="0.2">
      <c r="A424" t="str">
        <f t="shared" si="112"/>
        <v>S</v>
      </c>
      <c r="B424">
        <f t="shared" ca="1" si="113"/>
        <v>4</v>
      </c>
      <c r="C424" t="str">
        <f t="shared" ca="1" si="114"/>
        <v>S</v>
      </c>
      <c r="D424">
        <f t="shared" ca="1" si="115"/>
        <v>0</v>
      </c>
      <c r="E424">
        <f ca="1">IF($C424=1,OFFSET(E424,-1,0)+MAX(1,COUNTIF(QCI!$A$13:$A$15,OFFSET(ORÇAMENTO!E424,-1,0))),OFFSET(E424,-1,0))</f>
        <v>1</v>
      </c>
      <c r="F424">
        <f t="shared" ca="1" si="116"/>
        <v>8</v>
      </c>
      <c r="G424">
        <f t="shared" ca="1" si="117"/>
        <v>2</v>
      </c>
      <c r="H424">
        <f t="shared" ca="1" si="118"/>
        <v>4</v>
      </c>
      <c r="I424">
        <f t="shared" ca="1" si="119"/>
        <v>14</v>
      </c>
      <c r="J424">
        <f t="shared" ca="1" si="110"/>
        <v>0</v>
      </c>
      <c r="K424">
        <f ca="1">IF(OR($C424="S",$C424=0),0,MATCH(OFFSET($D424,0,$C424)+IF($C424&lt;&gt;1,1,COUNTIF(QCI!$A$13:$A$15,ORÇAMENTO!E424)),OFFSET($D424,1,$C424,ROW($C$508)-ROW($C424)),0))</f>
        <v>0</v>
      </c>
      <c r="L424" s="114" t="str">
        <f t="shared" ca="1" si="120"/>
        <v>F</v>
      </c>
      <c r="M424" s="115" t="s">
        <v>705</v>
      </c>
      <c r="N424" s="116" t="str">
        <f t="shared" ca="1" si="121"/>
        <v>Serviço</v>
      </c>
      <c r="O424" s="117" t="str">
        <f t="shared" ca="1" si="122"/>
        <v>1.8.2.4.14.</v>
      </c>
      <c r="P424" s="118" t="s">
        <v>1281</v>
      </c>
      <c r="Q424" s="119" t="s">
        <v>1153</v>
      </c>
      <c r="R424" s="120" t="str">
        <f ca="1">IF($C424="S",REFERENCIA.Descricao,"(digite a descrição aqui)")</f>
        <v xml:space="preserve">INVERSOR DE FREQUÊNCIA 47A 220V. REF.: WEG CFW900C56P0T2, FORNECIMENTO E INSTALAÇÃO - BASEADO EM ORSE (3821) </v>
      </c>
      <c r="S424" s="121" t="str">
        <f ca="1">REFERENCIA.Unidade</f>
        <v>UN</v>
      </c>
      <c r="T424" s="122">
        <f ca="1">OFFSET(CÁLCULO!H$15,ROW($T424)-ROW(T$15),0)</f>
        <v>1</v>
      </c>
      <c r="U424" s="123">
        <f t="shared" ca="1" si="108"/>
        <v>9056.9599999999991</v>
      </c>
      <c r="V424" s="124" t="s">
        <v>663</v>
      </c>
      <c r="W424" s="122">
        <f ca="1">IF($C424="S",ROUND(IF(TIPOORCAMENTO="Proposto",ORÇAMENTO.CustoUnitario*(1+$AH424),ORÇAMENTO.PrecoUnitarioLicitado),15-13*$AF$10),0)</f>
        <v>11185.35</v>
      </c>
      <c r="X424" s="125" cm="1">
        <f t="array" aca="1" ref="X424" ca="1">IF($C424="S",IF(OR(Import.TipoArredondamento&lt;&gt;"TransfereGOV",ACOMPANHAMENTO="BM"),VTOTAL1,SUM(OFFSET(CÁLCULO!$AI$15,ROW($X424)-ROW($X$15),1):OFFSET(CÁLCULO!$BB$15,ROW($X424)-ROW($X$15),-1))),IF($C424=0,0,ROUND(SomaAgrup,15-13*$AF$11)))</f>
        <v>11185.35</v>
      </c>
      <c r="Y424" s="126" t="s">
        <v>751</v>
      </c>
      <c r="Z424" t="str">
        <f t="shared" ca="1" si="123"/>
        <v>RA</v>
      </c>
      <c r="AA424" s="127">
        <f ca="1">IF($C424="S",IF($Z424="CP",$X424,IF($Z424="RA",(($X424)*QCI!$AA$3),0)),SomaAgrup)</f>
        <v>0</v>
      </c>
      <c r="AB424" s="128">
        <f t="shared" ca="1" si="124"/>
        <v>0</v>
      </c>
      <c r="AC424" s="565" t="str" cm="1">
        <f t="array" aca="1" ref="AC424" ca="1">IF($N424=""," ",
IF(AND($C424&lt;&gt;"S",OR($R424="",$R424="(digite a descrição aqui)")),"DESCRIÇÃO",
IF(AND($C424="S",OR($Q424&lt;&gt;"",$T424&gt;0,$U424&gt;0),$P424=""),"FONTE",
IF(AND($C424="S",$P424&lt;&gt;"",OR($T424&gt;0,$U424&gt;0),$Q424=""),"CÓDIGO",
IF(AND($C424="S",$P424&lt;&gt;"",$Q424&lt;&gt;"",$R424="(Código não identificado nas referências)"),"CÓDIGO N/ID",
IF(AND($C424="S",OR($R424="",$R424="(digite a descrição aqui)"),OR($Q424&lt;&gt;"",$T424&gt;0,$U424&gt;0)),"DESCRIÇÃO",
IF(AND($C424="S",$P424&lt;&gt;"",$Q424&lt;&gt;"",$S424=""),"UNIDADE",
IF(AND($C424="S",$P424&lt;&gt;"",$Q424&lt;&gt;"",$U424=0),"SEM CUSTO",
IF(AND(_xlfn.SINGLE(TIPOORCAMENTO)="Licitado",$AL424=0,$AN424&gt;0),"SEM PREÇO",
IF(AND($C424="S",$P424&lt;&gt;"",$Q424&lt;&gt;"",$U424&gt;0,AND($V424&lt;&gt;"BDI 1",$V424&lt;&gt;"BDI 2",$V424&lt;&gt;"BDI 3")),IF(ISNUMBER($V424),"JUSTIFICAR BDI","BDI"),
IF(OR(AND(import.recurso="OGU",TIPOORCAMENTO="Proposto",LEFT($O$8,5)&lt;&gt;"(N/D:",$AG424&lt;&gt;"",ORÇAMENTO.CustoUnitario&gt;$AG424),AND(TIPOORCAMENTO="LICITADO",ORÇAMENTO.PrecoUnitarioLicitado&gt;$AN424)),"ACIMA REF.",
IF(AND($C424="S",$P424&lt;&gt;"",$Q424&lt;&gt;"",$T424=0,$U424&gt;0),"QUANT.",
IF(AND(Import.TipoArredondamento="TransfereGOV",$L424="F",$C424="S",LEN($Q424)&gt;13),"Código &gt;13",
IF(AND(Import.TipoArredondamento="TransfereGOV",$L424="F",$C424&lt;&gt;"S",LEN($R424)&gt;100),"Descrição &gt;100",
IF(AND(Import.TipoArredondamento="TransfereGOV",$L424="F",$C424="S",LEN($R424)&gt;500),"Descrição &gt;500",
IF(AND(Import.TipoArredondamento="TransfereGOV",$L424="F",$C424="S",LEFT(TRIM(UPPER($P424)),6)&lt;&gt;"SINAPI",ISNA(VLOOKUP(TRIM(UPPER($S424)),ListaTgov.Unidades,1,FALSE))),"Unid. Não Disp",
" "))))))))))))))))</f>
        <v xml:space="preserve"> </v>
      </c>
      <c r="AD424" t="str">
        <f ca="1">IF(C424&lt;=CRONO.NivelExibicao,MAX($AD$15:OFFSET(AD424,-1,0))+IF($C424&lt;&gt;1,1,MAX(1,COUNTIF(QCI!$A$13:$A$15,OFFSET($E424,-1,0)))),"")</f>
        <v/>
      </c>
      <c r="AE424" s="7" t="str">
        <f ca="1">IF(AND($C424="S",ORÇAMENTO.CodBarra&lt;&gt;""),IF(ORÇAMENTO.Fonte="",ORÇAMENTO.CodBarra,CONCATENATE(ORÇAMENTO.Fonte," ",ORÇAMENTO.CodBarra)))</f>
        <v>COMPOSIÇÃO CPU-032</v>
      </c>
      <c r="AF424" s="12">
        <f ca="1">IF(ISERROR(INDIRECT(ORÇAMENTO.BancoRef)),"(abra o arquivo 'Referência "&amp;Excel_BuiltIn_Database&amp;".xlsm)",IF(OR($C424&lt;&gt;"S",ORÇAMENTO.CodBarra=""),"(Sem Código)",IF(ISERROR(MATCH($AE424,INDIRECT(ORÇAMENTO.BancoRef),0)),"(Código não identificado nas referências)",MATCH($AE424,INDIRECT(ORÇAMENTO.BancoRef),0))))</f>
        <v>34</v>
      </c>
      <c r="AG424" s="428">
        <f ca="1">ROUND(IF(DESONERACAO="sim",REFERENCIA.Desonerado,REFERENCIA.NaoDesonerado),2)</f>
        <v>9056.9599999999991</v>
      </c>
      <c r="AH424" s="429">
        <f t="shared" ca="1" si="125"/>
        <v>0.23499999999999999</v>
      </c>
      <c r="AJ424" s="431">
        <v>1</v>
      </c>
      <c r="AL424" s="439"/>
      <c r="AM424" s="336">
        <f t="shared" ca="1" si="109"/>
        <v>11185.35</v>
      </c>
      <c r="AN424" s="470">
        <f t="shared" ca="1" si="126"/>
        <v>11185.35</v>
      </c>
    </row>
    <row r="425" spans="1:40" ht="25.5" x14ac:dyDescent="0.2">
      <c r="A425" t="str">
        <f t="shared" si="112"/>
        <v>S</v>
      </c>
      <c r="B425">
        <f t="shared" ca="1" si="113"/>
        <v>4</v>
      </c>
      <c r="C425" t="str">
        <f t="shared" ca="1" si="114"/>
        <v>S</v>
      </c>
      <c r="D425">
        <f t="shared" ca="1" si="115"/>
        <v>0</v>
      </c>
      <c r="E425">
        <f ca="1">IF($C425=1,OFFSET(E425,-1,0)+MAX(1,COUNTIF(QCI!$A$13:$A$15,OFFSET(ORÇAMENTO!E425,-1,0))),OFFSET(E425,-1,0))</f>
        <v>1</v>
      </c>
      <c r="F425">
        <f t="shared" ca="1" si="116"/>
        <v>8</v>
      </c>
      <c r="G425">
        <f t="shared" ca="1" si="117"/>
        <v>2</v>
      </c>
      <c r="H425">
        <f t="shared" ca="1" si="118"/>
        <v>4</v>
      </c>
      <c r="I425">
        <f t="shared" ca="1" si="119"/>
        <v>15</v>
      </c>
      <c r="J425">
        <f t="shared" ca="1" si="110"/>
        <v>0</v>
      </c>
      <c r="K425">
        <f ca="1">IF(OR($C425="S",$C425=0),0,MATCH(OFFSET($D425,0,$C425)+IF($C425&lt;&gt;1,1,COUNTIF(QCI!$A$13:$A$15,ORÇAMENTO!E425)),OFFSET($D425,1,$C425,ROW($C$508)-ROW($C425)),0))</f>
        <v>0</v>
      </c>
      <c r="L425" s="114" t="str">
        <f t="shared" ca="1" si="120"/>
        <v>F</v>
      </c>
      <c r="M425" s="115" t="s">
        <v>705</v>
      </c>
      <c r="N425" s="116" t="str">
        <f t="shared" ca="1" si="121"/>
        <v>Serviço</v>
      </c>
      <c r="O425" s="117" t="str">
        <f t="shared" ca="1" si="122"/>
        <v>1.8.2.4.15.</v>
      </c>
      <c r="P425" s="118" t="s">
        <v>1281</v>
      </c>
      <c r="Q425" s="119" t="s">
        <v>1154</v>
      </c>
      <c r="R425" s="120" t="str">
        <f ca="1">IF($C425="S",REFERENCIA.Descricao,"(digite a descrição aqui)")</f>
        <v>RELÉ PROTETOR DE FALTA DE FASE 24V. REF.: WEG , FORNECIMENTO E INSTALAÇÃO - BASEADO EM SBC (064568)</v>
      </c>
      <c r="S425" s="121" t="str">
        <f ca="1">REFERENCIA.Unidade</f>
        <v>UN</v>
      </c>
      <c r="T425" s="122">
        <f ca="1">OFFSET(CÁLCULO!H$15,ROW($T425)-ROW(T$15),0)</f>
        <v>1</v>
      </c>
      <c r="U425" s="123">
        <f t="shared" ca="1" si="108"/>
        <v>213.19</v>
      </c>
      <c r="V425" s="124" t="s">
        <v>663</v>
      </c>
      <c r="W425" s="122">
        <f ca="1">IF($C425="S",ROUND(IF(TIPOORCAMENTO="Proposto",ORÇAMENTO.CustoUnitario*(1+$AH425),ORÇAMENTO.PrecoUnitarioLicitado),15-13*$AF$10),0)</f>
        <v>263.29000000000002</v>
      </c>
      <c r="X425" s="125" cm="1">
        <f t="array" aca="1" ref="X425" ca="1">IF($C425="S",IF(OR(Import.TipoArredondamento&lt;&gt;"TransfereGOV",ACOMPANHAMENTO="BM"),VTOTAL1,SUM(OFFSET(CÁLCULO!$AI$15,ROW($X425)-ROW($X$15),1):OFFSET(CÁLCULO!$BB$15,ROW($X425)-ROW($X$15),-1))),IF($C425=0,0,ROUND(SomaAgrup,15-13*$AF$11)))</f>
        <v>263.29000000000002</v>
      </c>
      <c r="Y425" s="126" t="s">
        <v>751</v>
      </c>
      <c r="Z425" t="str">
        <f t="shared" ca="1" si="123"/>
        <v>RA</v>
      </c>
      <c r="AA425" s="127">
        <f ca="1">IF($C425="S",IF($Z425="CP",$X425,IF($Z425="RA",(($X425)*QCI!$AA$3),0)),SomaAgrup)</f>
        <v>0</v>
      </c>
      <c r="AB425" s="128">
        <f t="shared" ca="1" si="124"/>
        <v>0</v>
      </c>
      <c r="AC425" s="565" t="str" cm="1">
        <f t="array" aca="1" ref="AC425" ca="1">IF($N425=""," ",
IF(AND($C425&lt;&gt;"S",OR($R425="",$R425="(digite a descrição aqui)")),"DESCRIÇÃO",
IF(AND($C425="S",OR($Q425&lt;&gt;"",$T425&gt;0,$U425&gt;0),$P425=""),"FONTE",
IF(AND($C425="S",$P425&lt;&gt;"",OR($T425&gt;0,$U425&gt;0),$Q425=""),"CÓDIGO",
IF(AND($C425="S",$P425&lt;&gt;"",$Q425&lt;&gt;"",$R425="(Código não identificado nas referências)"),"CÓDIGO N/ID",
IF(AND($C425="S",OR($R425="",$R425="(digite a descrição aqui)"),OR($Q425&lt;&gt;"",$T425&gt;0,$U425&gt;0)),"DESCRIÇÃO",
IF(AND($C425="S",$P425&lt;&gt;"",$Q425&lt;&gt;"",$S425=""),"UNIDADE",
IF(AND($C425="S",$P425&lt;&gt;"",$Q425&lt;&gt;"",$U425=0),"SEM CUSTO",
IF(AND(_xlfn.SINGLE(TIPOORCAMENTO)="Licitado",$AL425=0,$AN425&gt;0),"SEM PREÇO",
IF(AND($C425="S",$P425&lt;&gt;"",$Q425&lt;&gt;"",$U425&gt;0,AND($V425&lt;&gt;"BDI 1",$V425&lt;&gt;"BDI 2",$V425&lt;&gt;"BDI 3")),IF(ISNUMBER($V425),"JUSTIFICAR BDI","BDI"),
IF(OR(AND(import.recurso="OGU",TIPOORCAMENTO="Proposto",LEFT($O$8,5)&lt;&gt;"(N/D:",$AG425&lt;&gt;"",ORÇAMENTO.CustoUnitario&gt;$AG425),AND(TIPOORCAMENTO="LICITADO",ORÇAMENTO.PrecoUnitarioLicitado&gt;$AN425)),"ACIMA REF.",
IF(AND($C425="S",$P425&lt;&gt;"",$Q425&lt;&gt;"",$T425=0,$U425&gt;0),"QUANT.",
IF(AND(Import.TipoArredondamento="TransfereGOV",$L425="F",$C425="S",LEN($Q425)&gt;13),"Código &gt;13",
IF(AND(Import.TipoArredondamento="TransfereGOV",$L425="F",$C425&lt;&gt;"S",LEN($R425)&gt;100),"Descrição &gt;100",
IF(AND(Import.TipoArredondamento="TransfereGOV",$L425="F",$C425="S",LEN($R425)&gt;500),"Descrição &gt;500",
IF(AND(Import.TipoArredondamento="TransfereGOV",$L425="F",$C425="S",LEFT(TRIM(UPPER($P425)),6)&lt;&gt;"SINAPI",ISNA(VLOOKUP(TRIM(UPPER($S425)),ListaTgov.Unidades,1,FALSE))),"Unid. Não Disp",
" "))))))))))))))))</f>
        <v xml:space="preserve"> </v>
      </c>
      <c r="AD425" t="str">
        <f ca="1">IF(C425&lt;=CRONO.NivelExibicao,MAX($AD$15:OFFSET(AD425,-1,0))+IF($C425&lt;&gt;1,1,MAX(1,COUNTIF(QCI!$A$13:$A$15,OFFSET($E425,-1,0)))),"")</f>
        <v/>
      </c>
      <c r="AE425" s="7" t="str">
        <f ca="1">IF(AND($C425="S",ORÇAMENTO.CodBarra&lt;&gt;""),IF(ORÇAMENTO.Fonte="",ORÇAMENTO.CodBarra,CONCATENATE(ORÇAMENTO.Fonte," ",ORÇAMENTO.CodBarra)))</f>
        <v>COMPOSIÇÃO CPU-033</v>
      </c>
      <c r="AF425" s="12">
        <f ca="1">IF(ISERROR(INDIRECT(ORÇAMENTO.BancoRef)),"(abra o arquivo 'Referência "&amp;Excel_BuiltIn_Database&amp;".xlsm)",IF(OR($C425&lt;&gt;"S",ORÇAMENTO.CodBarra=""),"(Sem Código)",IF(ISERROR(MATCH($AE425,INDIRECT(ORÇAMENTO.BancoRef),0)),"(Código não identificado nas referências)",MATCH($AE425,INDIRECT(ORÇAMENTO.BancoRef),0))))</f>
        <v>35</v>
      </c>
      <c r="AG425" s="428">
        <f ca="1">ROUND(IF(DESONERACAO="sim",REFERENCIA.Desonerado,REFERENCIA.NaoDesonerado),2)</f>
        <v>213.19</v>
      </c>
      <c r="AH425" s="429">
        <f t="shared" ca="1" si="125"/>
        <v>0.23499999999999999</v>
      </c>
      <c r="AJ425" s="431">
        <v>1</v>
      </c>
      <c r="AL425" s="439"/>
      <c r="AM425" s="336">
        <f t="shared" ca="1" si="109"/>
        <v>263.29000000000002</v>
      </c>
      <c r="AN425" s="470">
        <f t="shared" ca="1" si="126"/>
        <v>263.29000000000002</v>
      </c>
    </row>
    <row r="426" spans="1:40" ht="25.5" x14ac:dyDescent="0.2">
      <c r="A426" t="str">
        <f t="shared" si="112"/>
        <v>S</v>
      </c>
      <c r="B426">
        <f t="shared" ca="1" si="113"/>
        <v>4</v>
      </c>
      <c r="C426" t="str">
        <f t="shared" ca="1" si="114"/>
        <v>S</v>
      </c>
      <c r="D426">
        <f t="shared" ca="1" si="115"/>
        <v>0</v>
      </c>
      <c r="E426">
        <f ca="1">IF($C426=1,OFFSET(E426,-1,0)+MAX(1,COUNTIF(QCI!$A$13:$A$15,OFFSET(ORÇAMENTO!E426,-1,0))),OFFSET(E426,-1,0))</f>
        <v>1</v>
      </c>
      <c r="F426">
        <f t="shared" ca="1" si="116"/>
        <v>8</v>
      </c>
      <c r="G426">
        <f t="shared" ca="1" si="117"/>
        <v>2</v>
      </c>
      <c r="H426">
        <f t="shared" ca="1" si="118"/>
        <v>4</v>
      </c>
      <c r="I426">
        <f t="shared" ca="1" si="119"/>
        <v>16</v>
      </c>
      <c r="J426">
        <f t="shared" ca="1" si="110"/>
        <v>0</v>
      </c>
      <c r="K426">
        <f ca="1">IF(OR($C426="S",$C426=0),0,MATCH(OFFSET($D426,0,$C426)+IF($C426&lt;&gt;1,1,COUNTIF(QCI!$A$13:$A$15,ORÇAMENTO!E426)),OFFSET($D426,1,$C426,ROW($C$508)-ROW($C426)),0))</f>
        <v>0</v>
      </c>
      <c r="L426" s="114" t="str">
        <f t="shared" ca="1" si="120"/>
        <v>F</v>
      </c>
      <c r="M426" s="115" t="s">
        <v>705</v>
      </c>
      <c r="N426" s="116" t="str">
        <f t="shared" ca="1" si="121"/>
        <v>Serviço</v>
      </c>
      <c r="O426" s="117" t="str">
        <f t="shared" ca="1" si="122"/>
        <v>1.8.2.4.16.</v>
      </c>
      <c r="P426" s="118" t="s">
        <v>1281</v>
      </c>
      <c r="Q426" s="119" t="s">
        <v>1155</v>
      </c>
      <c r="R426" s="120" t="str">
        <f ca="1">IF($C426="S",REFERENCIA.Descricao,"(digite a descrição aqui)")</f>
        <v>BOTÃO PULSADOR, FORNECIMENTO E INSTALAÇÃO - BASEADO EM  ORSE (3803)</v>
      </c>
      <c r="S426" s="121" t="str">
        <f ca="1">REFERENCIA.Unidade</f>
        <v>UN</v>
      </c>
      <c r="T426" s="122">
        <f ca="1">OFFSET(CÁLCULO!H$15,ROW($T426)-ROW(T$15),0)</f>
        <v>4</v>
      </c>
      <c r="U426" s="123">
        <f t="shared" ca="1" si="108"/>
        <v>42.64</v>
      </c>
      <c r="V426" s="124" t="s">
        <v>663</v>
      </c>
      <c r="W426" s="122">
        <f ca="1">IF($C426="S",ROUND(IF(TIPOORCAMENTO="Proposto",ORÇAMENTO.CustoUnitario*(1+$AH426),ORÇAMENTO.PrecoUnitarioLicitado),15-13*$AF$10),0)</f>
        <v>52.66</v>
      </c>
      <c r="X426" s="125" cm="1">
        <f t="array" aca="1" ref="X426" ca="1">IF($C426="S",IF(OR(Import.TipoArredondamento&lt;&gt;"TransfereGOV",ACOMPANHAMENTO="BM"),VTOTAL1,SUM(OFFSET(CÁLCULO!$AI$15,ROW($X426)-ROW($X$15),1):OFFSET(CÁLCULO!$BB$15,ROW($X426)-ROW($X$15),-1))),IF($C426=0,0,ROUND(SomaAgrup,15-13*$AF$11)))</f>
        <v>210.64</v>
      </c>
      <c r="Y426" s="126" t="s">
        <v>751</v>
      </c>
      <c r="Z426" t="str">
        <f t="shared" ca="1" si="123"/>
        <v>RA</v>
      </c>
      <c r="AA426" s="127">
        <f ca="1">IF($C426="S",IF($Z426="CP",$X426,IF($Z426="RA",(($X426)*QCI!$AA$3),0)),SomaAgrup)</f>
        <v>0</v>
      </c>
      <c r="AB426" s="128">
        <f t="shared" ca="1" si="124"/>
        <v>0</v>
      </c>
      <c r="AC426" s="565" t="str" cm="1">
        <f t="array" aca="1" ref="AC426" ca="1">IF($N426=""," ",
IF(AND($C426&lt;&gt;"S",OR($R426="",$R426="(digite a descrição aqui)")),"DESCRIÇÃO",
IF(AND($C426="S",OR($Q426&lt;&gt;"",$T426&gt;0,$U426&gt;0),$P426=""),"FONTE",
IF(AND($C426="S",$P426&lt;&gt;"",OR($T426&gt;0,$U426&gt;0),$Q426=""),"CÓDIGO",
IF(AND($C426="S",$P426&lt;&gt;"",$Q426&lt;&gt;"",$R426="(Código não identificado nas referências)"),"CÓDIGO N/ID",
IF(AND($C426="S",OR($R426="",$R426="(digite a descrição aqui)"),OR($Q426&lt;&gt;"",$T426&gt;0,$U426&gt;0)),"DESCRIÇÃO",
IF(AND($C426="S",$P426&lt;&gt;"",$Q426&lt;&gt;"",$S426=""),"UNIDADE",
IF(AND($C426="S",$P426&lt;&gt;"",$Q426&lt;&gt;"",$U426=0),"SEM CUSTO",
IF(AND(_xlfn.SINGLE(TIPOORCAMENTO)="Licitado",$AL426=0,$AN426&gt;0),"SEM PREÇO",
IF(AND($C426="S",$P426&lt;&gt;"",$Q426&lt;&gt;"",$U426&gt;0,AND($V426&lt;&gt;"BDI 1",$V426&lt;&gt;"BDI 2",$V426&lt;&gt;"BDI 3")),IF(ISNUMBER($V426),"JUSTIFICAR BDI","BDI"),
IF(OR(AND(import.recurso="OGU",TIPOORCAMENTO="Proposto",LEFT($O$8,5)&lt;&gt;"(N/D:",$AG426&lt;&gt;"",ORÇAMENTO.CustoUnitario&gt;$AG426),AND(TIPOORCAMENTO="LICITADO",ORÇAMENTO.PrecoUnitarioLicitado&gt;$AN426)),"ACIMA REF.",
IF(AND($C426="S",$P426&lt;&gt;"",$Q426&lt;&gt;"",$T426=0,$U426&gt;0),"QUANT.",
IF(AND(Import.TipoArredondamento="TransfereGOV",$L426="F",$C426="S",LEN($Q426)&gt;13),"Código &gt;13",
IF(AND(Import.TipoArredondamento="TransfereGOV",$L426="F",$C426&lt;&gt;"S",LEN($R426)&gt;100),"Descrição &gt;100",
IF(AND(Import.TipoArredondamento="TransfereGOV",$L426="F",$C426="S",LEN($R426)&gt;500),"Descrição &gt;500",
IF(AND(Import.TipoArredondamento="TransfereGOV",$L426="F",$C426="S",LEFT(TRIM(UPPER($P426)),6)&lt;&gt;"SINAPI",ISNA(VLOOKUP(TRIM(UPPER($S426)),ListaTgov.Unidades,1,FALSE))),"Unid. Não Disp",
" "))))))))))))))))</f>
        <v xml:space="preserve"> </v>
      </c>
      <c r="AD426" t="str">
        <f ca="1">IF(C426&lt;=CRONO.NivelExibicao,MAX($AD$15:OFFSET(AD426,-1,0))+IF($C426&lt;&gt;1,1,MAX(1,COUNTIF(QCI!$A$13:$A$15,OFFSET($E426,-1,0)))),"")</f>
        <v/>
      </c>
      <c r="AE426" s="7" t="str">
        <f ca="1">IF(AND($C426="S",ORÇAMENTO.CodBarra&lt;&gt;""),IF(ORÇAMENTO.Fonte="",ORÇAMENTO.CodBarra,CONCATENATE(ORÇAMENTO.Fonte," ",ORÇAMENTO.CodBarra)))</f>
        <v>COMPOSIÇÃO CPU-034</v>
      </c>
      <c r="AF426" s="12">
        <f ca="1">IF(ISERROR(INDIRECT(ORÇAMENTO.BancoRef)),"(abra o arquivo 'Referência "&amp;Excel_BuiltIn_Database&amp;".xlsm)",IF(OR($C426&lt;&gt;"S",ORÇAMENTO.CodBarra=""),"(Sem Código)",IF(ISERROR(MATCH($AE426,INDIRECT(ORÇAMENTO.BancoRef),0)),"(Código não identificado nas referências)",MATCH($AE426,INDIRECT(ORÇAMENTO.BancoRef),0))))</f>
        <v>36</v>
      </c>
      <c r="AG426" s="428">
        <f ca="1">ROUND(IF(DESONERACAO="sim",REFERENCIA.Desonerado,REFERENCIA.NaoDesonerado),2)</f>
        <v>42.64</v>
      </c>
      <c r="AH426" s="429">
        <f t="shared" ca="1" si="125"/>
        <v>0.23499999999999999</v>
      </c>
      <c r="AJ426" s="431">
        <v>4</v>
      </c>
      <c r="AL426" s="439"/>
      <c r="AM426" s="336">
        <f t="shared" ca="1" si="109"/>
        <v>210.64</v>
      </c>
      <c r="AN426" s="470">
        <f t="shared" ca="1" si="126"/>
        <v>52.66</v>
      </c>
    </row>
    <row r="427" spans="1:40" ht="25.5" x14ac:dyDescent="0.2">
      <c r="A427" t="str">
        <f t="shared" si="112"/>
        <v>S</v>
      </c>
      <c r="B427">
        <f t="shared" ca="1" si="113"/>
        <v>4</v>
      </c>
      <c r="C427" t="str">
        <f t="shared" ca="1" si="114"/>
        <v>S</v>
      </c>
      <c r="D427">
        <f t="shared" ca="1" si="115"/>
        <v>0</v>
      </c>
      <c r="E427">
        <f ca="1">IF($C427=1,OFFSET(E427,-1,0)+MAX(1,COUNTIF(QCI!$A$13:$A$15,OFFSET(ORÇAMENTO!E427,-1,0))),OFFSET(E427,-1,0))</f>
        <v>1</v>
      </c>
      <c r="F427">
        <f t="shared" ca="1" si="116"/>
        <v>8</v>
      </c>
      <c r="G427">
        <f t="shared" ca="1" si="117"/>
        <v>2</v>
      </c>
      <c r="H427">
        <f t="shared" ca="1" si="118"/>
        <v>4</v>
      </c>
      <c r="I427">
        <f t="shared" ca="1" si="119"/>
        <v>17</v>
      </c>
      <c r="J427">
        <f t="shared" ca="1" si="110"/>
        <v>0</v>
      </c>
      <c r="K427">
        <f ca="1">IF(OR($C427="S",$C427=0),0,MATCH(OFFSET($D427,0,$C427)+IF($C427&lt;&gt;1,1,COUNTIF(QCI!$A$13:$A$15,ORÇAMENTO!E427)),OFFSET($D427,1,$C427,ROW($C$508)-ROW($C427)),0))</f>
        <v>0</v>
      </c>
      <c r="L427" s="114" t="str">
        <f t="shared" ca="1" si="120"/>
        <v>F</v>
      </c>
      <c r="M427" s="115" t="s">
        <v>705</v>
      </c>
      <c r="N427" s="116" t="str">
        <f t="shared" ca="1" si="121"/>
        <v>Serviço</v>
      </c>
      <c r="O427" s="117" t="str">
        <f t="shared" ca="1" si="122"/>
        <v>1.8.2.4.17.</v>
      </c>
      <c r="P427" s="118" t="s">
        <v>1281</v>
      </c>
      <c r="Q427" s="119" t="s">
        <v>1156</v>
      </c>
      <c r="R427" s="120" t="str">
        <f ca="1">IF($C427="S",REFERENCIA.Descricao,"(digite a descrição aqui)")</f>
        <v>VOLTÍMETRO/ AMPERÍMETRO, FORNECIMENTO E INSTALAÇÃO - BASEADO EM SEDOP (171083)</v>
      </c>
      <c r="S427" s="121" t="str">
        <f ca="1">REFERENCIA.Unidade</f>
        <v>UN</v>
      </c>
      <c r="T427" s="122">
        <f ca="1">OFFSET(CÁLCULO!H$15,ROW($T427)-ROW(T$15),0)</f>
        <v>1</v>
      </c>
      <c r="U427" s="123">
        <f t="shared" ca="1" si="108"/>
        <v>169.12</v>
      </c>
      <c r="V427" s="124" t="s">
        <v>663</v>
      </c>
      <c r="W427" s="122">
        <f ca="1">IF($C427="S",ROUND(IF(TIPOORCAMENTO="Proposto",ORÇAMENTO.CustoUnitario*(1+$AH427),ORÇAMENTO.PrecoUnitarioLicitado),15-13*$AF$10),0)</f>
        <v>208.86</v>
      </c>
      <c r="X427" s="125" cm="1">
        <f t="array" aca="1" ref="X427" ca="1">IF($C427="S",IF(OR(Import.TipoArredondamento&lt;&gt;"TransfereGOV",ACOMPANHAMENTO="BM"),VTOTAL1,SUM(OFFSET(CÁLCULO!$AI$15,ROW($X427)-ROW($X$15),1):OFFSET(CÁLCULO!$BB$15,ROW($X427)-ROW($X$15),-1))),IF($C427=0,0,ROUND(SomaAgrup,15-13*$AF$11)))</f>
        <v>208.86</v>
      </c>
      <c r="Y427" s="126" t="s">
        <v>751</v>
      </c>
      <c r="Z427" t="str">
        <f t="shared" ca="1" si="123"/>
        <v>RA</v>
      </c>
      <c r="AA427" s="127">
        <f ca="1">IF($C427="S",IF($Z427="CP",$X427,IF($Z427="RA",(($X427)*QCI!$AA$3),0)),SomaAgrup)</f>
        <v>0</v>
      </c>
      <c r="AB427" s="128">
        <f t="shared" ca="1" si="124"/>
        <v>0</v>
      </c>
      <c r="AC427" s="565" t="str" cm="1">
        <f t="array" aca="1" ref="AC427" ca="1">IF($N427=""," ",
IF(AND($C427&lt;&gt;"S",OR($R427="",$R427="(digite a descrição aqui)")),"DESCRIÇÃO",
IF(AND($C427="S",OR($Q427&lt;&gt;"",$T427&gt;0,$U427&gt;0),$P427=""),"FONTE",
IF(AND($C427="S",$P427&lt;&gt;"",OR($T427&gt;0,$U427&gt;0),$Q427=""),"CÓDIGO",
IF(AND($C427="S",$P427&lt;&gt;"",$Q427&lt;&gt;"",$R427="(Código não identificado nas referências)"),"CÓDIGO N/ID",
IF(AND($C427="S",OR($R427="",$R427="(digite a descrição aqui)"),OR($Q427&lt;&gt;"",$T427&gt;0,$U427&gt;0)),"DESCRIÇÃO",
IF(AND($C427="S",$P427&lt;&gt;"",$Q427&lt;&gt;"",$S427=""),"UNIDADE",
IF(AND($C427="S",$P427&lt;&gt;"",$Q427&lt;&gt;"",$U427=0),"SEM CUSTO",
IF(AND(_xlfn.SINGLE(TIPOORCAMENTO)="Licitado",$AL427=0,$AN427&gt;0),"SEM PREÇO",
IF(AND($C427="S",$P427&lt;&gt;"",$Q427&lt;&gt;"",$U427&gt;0,AND($V427&lt;&gt;"BDI 1",$V427&lt;&gt;"BDI 2",$V427&lt;&gt;"BDI 3")),IF(ISNUMBER($V427),"JUSTIFICAR BDI","BDI"),
IF(OR(AND(import.recurso="OGU",TIPOORCAMENTO="Proposto",LEFT($O$8,5)&lt;&gt;"(N/D:",$AG427&lt;&gt;"",ORÇAMENTO.CustoUnitario&gt;$AG427),AND(TIPOORCAMENTO="LICITADO",ORÇAMENTO.PrecoUnitarioLicitado&gt;$AN427)),"ACIMA REF.",
IF(AND($C427="S",$P427&lt;&gt;"",$Q427&lt;&gt;"",$T427=0,$U427&gt;0),"QUANT.",
IF(AND(Import.TipoArredondamento="TransfereGOV",$L427="F",$C427="S",LEN($Q427)&gt;13),"Código &gt;13",
IF(AND(Import.TipoArredondamento="TransfereGOV",$L427="F",$C427&lt;&gt;"S",LEN($R427)&gt;100),"Descrição &gt;100",
IF(AND(Import.TipoArredondamento="TransfereGOV",$L427="F",$C427="S",LEN($R427)&gt;500),"Descrição &gt;500",
IF(AND(Import.TipoArredondamento="TransfereGOV",$L427="F",$C427="S",LEFT(TRIM(UPPER($P427)),6)&lt;&gt;"SINAPI",ISNA(VLOOKUP(TRIM(UPPER($S427)),ListaTgov.Unidades,1,FALSE))),"Unid. Não Disp",
" "))))))))))))))))</f>
        <v xml:space="preserve"> </v>
      </c>
      <c r="AD427" t="str">
        <f ca="1">IF(C427&lt;=CRONO.NivelExibicao,MAX($AD$15:OFFSET(AD427,-1,0))+IF($C427&lt;&gt;1,1,MAX(1,COUNTIF(QCI!$A$13:$A$15,OFFSET($E427,-1,0)))),"")</f>
        <v/>
      </c>
      <c r="AE427" s="7" t="str">
        <f ca="1">IF(AND($C427="S",ORÇAMENTO.CodBarra&lt;&gt;""),IF(ORÇAMENTO.Fonte="",ORÇAMENTO.CodBarra,CONCATENATE(ORÇAMENTO.Fonte," ",ORÇAMENTO.CodBarra)))</f>
        <v>COMPOSIÇÃO CPU-035</v>
      </c>
      <c r="AF427" s="12">
        <f ca="1">IF(ISERROR(INDIRECT(ORÇAMENTO.BancoRef)),"(abra o arquivo 'Referência "&amp;Excel_BuiltIn_Database&amp;".xlsm)",IF(OR($C427&lt;&gt;"S",ORÇAMENTO.CodBarra=""),"(Sem Código)",IF(ISERROR(MATCH($AE427,INDIRECT(ORÇAMENTO.BancoRef),0)),"(Código não identificado nas referências)",MATCH($AE427,INDIRECT(ORÇAMENTO.BancoRef),0))))</f>
        <v>37</v>
      </c>
      <c r="AG427" s="428">
        <f ca="1">ROUND(IF(DESONERACAO="sim",REFERENCIA.Desonerado,REFERENCIA.NaoDesonerado),2)</f>
        <v>169.12</v>
      </c>
      <c r="AH427" s="429">
        <f t="shared" ca="1" si="125"/>
        <v>0.23499999999999999</v>
      </c>
      <c r="AJ427" s="431">
        <v>1</v>
      </c>
      <c r="AL427" s="439"/>
      <c r="AM427" s="336">
        <f t="shared" ca="1" si="109"/>
        <v>208.86</v>
      </c>
      <c r="AN427" s="470">
        <f t="shared" ca="1" si="126"/>
        <v>208.86</v>
      </c>
    </row>
    <row r="428" spans="1:40" ht="25.5" x14ac:dyDescent="0.2">
      <c r="A428" t="str">
        <f t="shared" si="112"/>
        <v>S</v>
      </c>
      <c r="B428">
        <f t="shared" ca="1" si="113"/>
        <v>4</v>
      </c>
      <c r="C428" t="str">
        <f t="shared" ca="1" si="114"/>
        <v>S</v>
      </c>
      <c r="D428">
        <f t="shared" ca="1" si="115"/>
        <v>0</v>
      </c>
      <c r="E428">
        <f ca="1">IF($C428=1,OFFSET(E428,-1,0)+MAX(1,COUNTIF(QCI!$A$13:$A$15,OFFSET(ORÇAMENTO!E428,-1,0))),OFFSET(E428,-1,0))</f>
        <v>1</v>
      </c>
      <c r="F428">
        <f t="shared" ca="1" si="116"/>
        <v>8</v>
      </c>
      <c r="G428">
        <f t="shared" ca="1" si="117"/>
        <v>2</v>
      </c>
      <c r="H428">
        <f t="shared" ca="1" si="118"/>
        <v>4</v>
      </c>
      <c r="I428">
        <f t="shared" ca="1" si="119"/>
        <v>18</v>
      </c>
      <c r="J428">
        <f t="shared" ca="1" si="110"/>
        <v>0</v>
      </c>
      <c r="K428">
        <f ca="1">IF(OR($C428="S",$C428=0),0,MATCH(OFFSET($D428,0,$C428)+IF($C428&lt;&gt;1,1,COUNTIF(QCI!$A$13:$A$15,ORÇAMENTO!E428)),OFFSET($D428,1,$C428,ROW($C$508)-ROW($C428)),0))</f>
        <v>0</v>
      </c>
      <c r="L428" s="114" t="str">
        <f t="shared" ca="1" si="120"/>
        <v>F</v>
      </c>
      <c r="M428" s="115" t="s">
        <v>705</v>
      </c>
      <c r="N428" s="116" t="str">
        <f t="shared" ca="1" si="121"/>
        <v>Serviço</v>
      </c>
      <c r="O428" s="117" t="str">
        <f t="shared" ca="1" si="122"/>
        <v>1.8.2.4.18.</v>
      </c>
      <c r="P428" s="118" t="s">
        <v>1281</v>
      </c>
      <c r="Q428" s="119" t="s">
        <v>1124</v>
      </c>
      <c r="R428" s="120" t="str">
        <f ca="1">IF($C428="S",REFERENCIA.Descricao,"(digite a descrição aqui)")</f>
        <v>AUTOTRANSFORMADOR TRIFÁSICO 1.01kVA E/S 220/440V 60Hz IP00, FORNECIMENTO E INSTALAÇÃO - BASEADO EM SIURB (9014034)</v>
      </c>
      <c r="S428" s="121" t="str">
        <f ca="1">REFERENCIA.Unidade</f>
        <v>UN</v>
      </c>
      <c r="T428" s="122">
        <f ca="1">OFFSET(CÁLCULO!H$15,ROW($T428)-ROW(T$15),0)</f>
        <v>1</v>
      </c>
      <c r="U428" s="123">
        <f t="shared" ca="1" si="108"/>
        <v>607.47</v>
      </c>
      <c r="V428" s="124" t="s">
        <v>663</v>
      </c>
      <c r="W428" s="122">
        <f ca="1">IF($C428="S",ROUND(IF(TIPOORCAMENTO="Proposto",ORÇAMENTO.CustoUnitario*(1+$AH428),ORÇAMENTO.PrecoUnitarioLicitado),15-13*$AF$10),0)</f>
        <v>750.23</v>
      </c>
      <c r="X428" s="125" cm="1">
        <f t="array" aca="1" ref="X428" ca="1">IF($C428="S",IF(OR(Import.TipoArredondamento&lt;&gt;"TransfereGOV",ACOMPANHAMENTO="BM"),VTOTAL1,SUM(OFFSET(CÁLCULO!$AI$15,ROW($X428)-ROW($X$15),1):OFFSET(CÁLCULO!$BB$15,ROW($X428)-ROW($X$15),-1))),IF($C428=0,0,ROUND(SomaAgrup,15-13*$AF$11)))</f>
        <v>750.23</v>
      </c>
      <c r="Y428" s="126" t="s">
        <v>751</v>
      </c>
      <c r="Z428" t="str">
        <f t="shared" ca="1" si="123"/>
        <v>RA</v>
      </c>
      <c r="AA428" s="127">
        <f ca="1">IF($C428="S",IF($Z428="CP",$X428,IF($Z428="RA",(($X428)*QCI!$AA$3),0)),SomaAgrup)</f>
        <v>0</v>
      </c>
      <c r="AB428" s="128">
        <f t="shared" ca="1" si="124"/>
        <v>0</v>
      </c>
      <c r="AC428" s="565" t="str" cm="1">
        <f t="array" aca="1" ref="AC428" ca="1">IF($N428=""," ",
IF(AND($C428&lt;&gt;"S",OR($R428="",$R428="(digite a descrição aqui)")),"DESCRIÇÃO",
IF(AND($C428="S",OR($Q428&lt;&gt;"",$T428&gt;0,$U428&gt;0),$P428=""),"FONTE",
IF(AND($C428="S",$P428&lt;&gt;"",OR($T428&gt;0,$U428&gt;0),$Q428=""),"CÓDIGO",
IF(AND($C428="S",$P428&lt;&gt;"",$Q428&lt;&gt;"",$R428="(Código não identificado nas referências)"),"CÓDIGO N/ID",
IF(AND($C428="S",OR($R428="",$R428="(digite a descrição aqui)"),OR($Q428&lt;&gt;"",$T428&gt;0,$U428&gt;0)),"DESCRIÇÃO",
IF(AND($C428="S",$P428&lt;&gt;"",$Q428&lt;&gt;"",$S428=""),"UNIDADE",
IF(AND($C428="S",$P428&lt;&gt;"",$Q428&lt;&gt;"",$U428=0),"SEM CUSTO",
IF(AND(_xlfn.SINGLE(TIPOORCAMENTO)="Licitado",$AL428=0,$AN428&gt;0),"SEM PREÇO",
IF(AND($C428="S",$P428&lt;&gt;"",$Q428&lt;&gt;"",$U428&gt;0,AND($V428&lt;&gt;"BDI 1",$V428&lt;&gt;"BDI 2",$V428&lt;&gt;"BDI 3")),IF(ISNUMBER($V428),"JUSTIFICAR BDI","BDI"),
IF(OR(AND(import.recurso="OGU",TIPOORCAMENTO="Proposto",LEFT($O$8,5)&lt;&gt;"(N/D:",$AG428&lt;&gt;"",ORÇAMENTO.CustoUnitario&gt;$AG428),AND(TIPOORCAMENTO="LICITADO",ORÇAMENTO.PrecoUnitarioLicitado&gt;$AN428)),"ACIMA REF.",
IF(AND($C428="S",$P428&lt;&gt;"",$Q428&lt;&gt;"",$T428=0,$U428&gt;0),"QUANT.",
IF(AND(Import.TipoArredondamento="TransfereGOV",$L428="F",$C428="S",LEN($Q428)&gt;13),"Código &gt;13",
IF(AND(Import.TipoArredondamento="TransfereGOV",$L428="F",$C428&lt;&gt;"S",LEN($R428)&gt;100),"Descrição &gt;100",
IF(AND(Import.TipoArredondamento="TransfereGOV",$L428="F",$C428="S",LEN($R428)&gt;500),"Descrição &gt;500",
IF(AND(Import.TipoArredondamento="TransfereGOV",$L428="F",$C428="S",LEFT(TRIM(UPPER($P428)),6)&lt;&gt;"SINAPI",ISNA(VLOOKUP(TRIM(UPPER($S428)),ListaTgov.Unidades,1,FALSE))),"Unid. Não Disp",
" "))))))))))))))))</f>
        <v xml:space="preserve"> </v>
      </c>
      <c r="AD428" t="str">
        <f ca="1">IF(C428&lt;=CRONO.NivelExibicao,MAX($AD$15:OFFSET(AD428,-1,0))+IF($C428&lt;&gt;1,1,MAX(1,COUNTIF(QCI!$A$13:$A$15,OFFSET($E428,-1,0)))),"")</f>
        <v/>
      </c>
      <c r="AE428" s="7" t="str">
        <f ca="1">IF(AND($C428="S",ORÇAMENTO.CodBarra&lt;&gt;""),IF(ORÇAMENTO.Fonte="",ORÇAMENTO.CodBarra,CONCATENATE(ORÇAMENTO.Fonte," ",ORÇAMENTO.CodBarra)))</f>
        <v>COMPOSIÇÃO CPU-027</v>
      </c>
      <c r="AF428" s="12">
        <f ca="1">IF(ISERROR(INDIRECT(ORÇAMENTO.BancoRef)),"(abra o arquivo 'Referência "&amp;Excel_BuiltIn_Database&amp;".xlsm)",IF(OR($C428&lt;&gt;"S",ORÇAMENTO.CodBarra=""),"(Sem Código)",IF(ISERROR(MATCH($AE428,INDIRECT(ORÇAMENTO.BancoRef),0)),"(Código não identificado nas referências)",MATCH($AE428,INDIRECT(ORÇAMENTO.BancoRef),0))))</f>
        <v>29</v>
      </c>
      <c r="AG428" s="428">
        <f ca="1">ROUND(IF(DESONERACAO="sim",REFERENCIA.Desonerado,REFERENCIA.NaoDesonerado),2)</f>
        <v>607.47</v>
      </c>
      <c r="AH428" s="429">
        <f t="shared" ca="1" si="125"/>
        <v>0.23499999999999999</v>
      </c>
      <c r="AJ428" s="431">
        <v>1</v>
      </c>
      <c r="AL428" s="439"/>
      <c r="AM428" s="336">
        <f t="shared" ca="1" si="109"/>
        <v>750.23</v>
      </c>
      <c r="AN428" s="470">
        <f t="shared" ca="1" si="126"/>
        <v>750.23</v>
      </c>
    </row>
    <row r="429" spans="1:40" ht="25.5" x14ac:dyDescent="0.2">
      <c r="A429" t="str">
        <f t="shared" si="112"/>
        <v>S</v>
      </c>
      <c r="B429">
        <f t="shared" ca="1" si="113"/>
        <v>4</v>
      </c>
      <c r="C429" t="str">
        <f t="shared" ca="1" si="114"/>
        <v>S</v>
      </c>
      <c r="D429">
        <f t="shared" ca="1" si="115"/>
        <v>0</v>
      </c>
      <c r="E429">
        <f ca="1">IF($C429=1,OFFSET(E429,-1,0)+MAX(1,COUNTIF(QCI!$A$13:$A$15,OFFSET(ORÇAMENTO!E429,-1,0))),OFFSET(E429,-1,0))</f>
        <v>1</v>
      </c>
      <c r="F429">
        <f t="shared" ca="1" si="116"/>
        <v>8</v>
      </c>
      <c r="G429">
        <f t="shared" ca="1" si="117"/>
        <v>2</v>
      </c>
      <c r="H429">
        <f t="shared" ca="1" si="118"/>
        <v>4</v>
      </c>
      <c r="I429">
        <f t="shared" ca="1" si="119"/>
        <v>19</v>
      </c>
      <c r="J429">
        <f t="shared" ca="1" si="110"/>
        <v>0</v>
      </c>
      <c r="K429">
        <f ca="1">IF(OR($C429="S",$C429=0),0,MATCH(OFFSET($D429,0,$C429)+IF($C429&lt;&gt;1,1,COUNTIF(QCI!$A$13:$A$15,ORÇAMENTO!E429)),OFFSET($D429,1,$C429,ROW($C$508)-ROW($C429)),0))</f>
        <v>0</v>
      </c>
      <c r="L429" s="114" t="str">
        <f t="shared" ca="1" si="120"/>
        <v>F</v>
      </c>
      <c r="M429" s="115" t="s">
        <v>705</v>
      </c>
      <c r="N429" s="116" t="str">
        <f t="shared" ca="1" si="121"/>
        <v>Serviço</v>
      </c>
      <c r="O429" s="117" t="str">
        <f t="shared" ca="1" si="122"/>
        <v>1.8.2.4.19.</v>
      </c>
      <c r="P429" s="118" t="s">
        <v>1281</v>
      </c>
      <c r="Q429" s="119" t="s">
        <v>1157</v>
      </c>
      <c r="R429" s="120" t="str">
        <f ca="1">IF($C429="S",REFERENCIA.Descricao,"(digite a descrição aqui)")</f>
        <v>TRANSFORMADOR DE COMANDO 110/220V PARA 24V-5A 120 VA - BASEADA EM SBC (055692)</v>
      </c>
      <c r="S429" s="121" t="str">
        <f ca="1">REFERENCIA.Unidade</f>
        <v>UN</v>
      </c>
      <c r="T429" s="122">
        <f ca="1">OFFSET(CÁLCULO!H$15,ROW($T429)-ROW(T$15),0)</f>
        <v>1</v>
      </c>
      <c r="U429" s="123">
        <f t="shared" ca="1" si="108"/>
        <v>250.65</v>
      </c>
      <c r="V429" s="124" t="s">
        <v>663</v>
      </c>
      <c r="W429" s="122">
        <f ca="1">IF($C429="S",ROUND(IF(TIPOORCAMENTO="Proposto",ORÇAMENTO.CustoUnitario*(1+$AH429),ORÇAMENTO.PrecoUnitarioLicitado),15-13*$AF$10),0)</f>
        <v>309.55</v>
      </c>
      <c r="X429" s="125" cm="1">
        <f t="array" aca="1" ref="X429" ca="1">IF($C429="S",IF(OR(Import.TipoArredondamento&lt;&gt;"TransfereGOV",ACOMPANHAMENTO="BM"),VTOTAL1,SUM(OFFSET(CÁLCULO!$AI$15,ROW($X429)-ROW($X$15),1):OFFSET(CÁLCULO!$BB$15,ROW($X429)-ROW($X$15),-1))),IF($C429=0,0,ROUND(SomaAgrup,15-13*$AF$11)))</f>
        <v>309.55</v>
      </c>
      <c r="Y429" s="126" t="s">
        <v>751</v>
      </c>
      <c r="Z429" t="str">
        <f t="shared" ca="1" si="123"/>
        <v>RA</v>
      </c>
      <c r="AA429" s="127">
        <f ca="1">IF($C429="S",IF($Z429="CP",$X429,IF($Z429="RA",(($X429)*QCI!$AA$3),0)),SomaAgrup)</f>
        <v>0</v>
      </c>
      <c r="AB429" s="128">
        <f t="shared" ca="1" si="124"/>
        <v>0</v>
      </c>
      <c r="AC429" s="565" t="str" cm="1">
        <f t="array" aca="1" ref="AC429" ca="1">IF($N429=""," ",
IF(AND($C429&lt;&gt;"S",OR($R429="",$R429="(digite a descrição aqui)")),"DESCRIÇÃO",
IF(AND($C429="S",OR($Q429&lt;&gt;"",$T429&gt;0,$U429&gt;0),$P429=""),"FONTE",
IF(AND($C429="S",$P429&lt;&gt;"",OR($T429&gt;0,$U429&gt;0),$Q429=""),"CÓDIGO",
IF(AND($C429="S",$P429&lt;&gt;"",$Q429&lt;&gt;"",$R429="(Código não identificado nas referências)"),"CÓDIGO N/ID",
IF(AND($C429="S",OR($R429="",$R429="(digite a descrição aqui)"),OR($Q429&lt;&gt;"",$T429&gt;0,$U429&gt;0)),"DESCRIÇÃO",
IF(AND($C429="S",$P429&lt;&gt;"",$Q429&lt;&gt;"",$S429=""),"UNIDADE",
IF(AND($C429="S",$P429&lt;&gt;"",$Q429&lt;&gt;"",$U429=0),"SEM CUSTO",
IF(AND(_xlfn.SINGLE(TIPOORCAMENTO)="Licitado",$AL429=0,$AN429&gt;0),"SEM PREÇO",
IF(AND($C429="S",$P429&lt;&gt;"",$Q429&lt;&gt;"",$U429&gt;0,AND($V429&lt;&gt;"BDI 1",$V429&lt;&gt;"BDI 2",$V429&lt;&gt;"BDI 3")),IF(ISNUMBER($V429),"JUSTIFICAR BDI","BDI"),
IF(OR(AND(import.recurso="OGU",TIPOORCAMENTO="Proposto",LEFT($O$8,5)&lt;&gt;"(N/D:",$AG429&lt;&gt;"",ORÇAMENTO.CustoUnitario&gt;$AG429),AND(TIPOORCAMENTO="LICITADO",ORÇAMENTO.PrecoUnitarioLicitado&gt;$AN429)),"ACIMA REF.",
IF(AND($C429="S",$P429&lt;&gt;"",$Q429&lt;&gt;"",$T429=0,$U429&gt;0),"QUANT.",
IF(AND(Import.TipoArredondamento="TransfereGOV",$L429="F",$C429="S",LEN($Q429)&gt;13),"Código &gt;13",
IF(AND(Import.TipoArredondamento="TransfereGOV",$L429="F",$C429&lt;&gt;"S",LEN($R429)&gt;100),"Descrição &gt;100",
IF(AND(Import.TipoArredondamento="TransfereGOV",$L429="F",$C429="S",LEN($R429)&gt;500),"Descrição &gt;500",
IF(AND(Import.TipoArredondamento="TransfereGOV",$L429="F",$C429="S",LEFT(TRIM(UPPER($P429)),6)&lt;&gt;"SINAPI",ISNA(VLOOKUP(TRIM(UPPER($S429)),ListaTgov.Unidades,1,FALSE))),"Unid. Não Disp",
" "))))))))))))))))</f>
        <v xml:space="preserve"> </v>
      </c>
      <c r="AD429" t="str">
        <f ca="1">IF(C429&lt;=CRONO.NivelExibicao,MAX($AD$15:OFFSET(AD429,-1,0))+IF($C429&lt;&gt;1,1,MAX(1,COUNTIF(QCI!$A$13:$A$15,OFFSET($E429,-1,0)))),"")</f>
        <v/>
      </c>
      <c r="AE429" s="7" t="str">
        <f ca="1">IF(AND($C429="S",ORÇAMENTO.CodBarra&lt;&gt;""),IF(ORÇAMENTO.Fonte="",ORÇAMENTO.CodBarra,CONCATENATE(ORÇAMENTO.Fonte," ",ORÇAMENTO.CodBarra)))</f>
        <v>COMPOSIÇÃO CPU-036</v>
      </c>
      <c r="AF429" s="12">
        <f ca="1">IF(ISERROR(INDIRECT(ORÇAMENTO.BancoRef)),"(abra o arquivo 'Referência "&amp;Excel_BuiltIn_Database&amp;".xlsm)",IF(OR($C429&lt;&gt;"S",ORÇAMENTO.CodBarra=""),"(Sem Código)",IF(ISERROR(MATCH($AE429,INDIRECT(ORÇAMENTO.BancoRef),0)),"(Código não identificado nas referências)",MATCH($AE429,INDIRECT(ORÇAMENTO.BancoRef),0))))</f>
        <v>38</v>
      </c>
      <c r="AG429" s="428">
        <f ca="1">ROUND(IF(DESONERACAO="sim",REFERENCIA.Desonerado,REFERENCIA.NaoDesonerado),2)</f>
        <v>250.65</v>
      </c>
      <c r="AH429" s="429">
        <f t="shared" ca="1" si="125"/>
        <v>0.23499999999999999</v>
      </c>
      <c r="AJ429" s="431">
        <v>1</v>
      </c>
      <c r="AL429" s="439"/>
      <c r="AM429" s="336">
        <f t="shared" ca="1" si="109"/>
        <v>309.55</v>
      </c>
      <c r="AN429" s="470">
        <f t="shared" ca="1" si="126"/>
        <v>309.55</v>
      </c>
    </row>
    <row r="430" spans="1:40" ht="25.5" x14ac:dyDescent="0.2">
      <c r="A430" t="str">
        <f t="shared" si="112"/>
        <v>S</v>
      </c>
      <c r="B430">
        <f t="shared" ca="1" si="113"/>
        <v>4</v>
      </c>
      <c r="C430" t="str">
        <f t="shared" ca="1" si="114"/>
        <v>S</v>
      </c>
      <c r="D430">
        <f t="shared" ca="1" si="115"/>
        <v>0</v>
      </c>
      <c r="E430">
        <f ca="1">IF($C430=1,OFFSET(E430,-1,0)+MAX(1,COUNTIF(QCI!$A$13:$A$15,OFFSET(ORÇAMENTO!E430,-1,0))),OFFSET(E430,-1,0))</f>
        <v>1</v>
      </c>
      <c r="F430">
        <f t="shared" ca="1" si="116"/>
        <v>8</v>
      </c>
      <c r="G430">
        <f t="shared" ca="1" si="117"/>
        <v>2</v>
      </c>
      <c r="H430">
        <f t="shared" ca="1" si="118"/>
        <v>4</v>
      </c>
      <c r="I430">
        <f t="shared" ca="1" si="119"/>
        <v>20</v>
      </c>
      <c r="J430">
        <f t="shared" ca="1" si="110"/>
        <v>0</v>
      </c>
      <c r="K430">
        <f ca="1">IF(OR($C430="S",$C430=0),0,MATCH(OFFSET($D430,0,$C430)+IF($C430&lt;&gt;1,1,COUNTIF(QCI!$A$13:$A$15,ORÇAMENTO!E430)),OFFSET($D430,1,$C430,ROW($C$508)-ROW($C430)),0))</f>
        <v>0</v>
      </c>
      <c r="L430" s="114" t="str">
        <f t="shared" ca="1" si="120"/>
        <v>F</v>
      </c>
      <c r="M430" s="115" t="s">
        <v>705</v>
      </c>
      <c r="N430" s="116" t="str">
        <f t="shared" ca="1" si="121"/>
        <v>Serviço</v>
      </c>
      <c r="O430" s="117" t="str">
        <f t="shared" ca="1" si="122"/>
        <v>1.8.2.4.20.</v>
      </c>
      <c r="P430" s="118" t="s">
        <v>1281</v>
      </c>
      <c r="Q430" s="119" t="s">
        <v>1158</v>
      </c>
      <c r="R430" s="120" t="str">
        <f ca="1">IF($C430="S",REFERENCIA.Descricao,"(digite a descrição aqui)")</f>
        <v xml:space="preserve">VENTILADOR COOLER PAINEL ELETRICO BIVOLT 120x120x25mm - BASEADO EM SBC (059468) </v>
      </c>
      <c r="S430" s="121" t="str">
        <f ca="1">REFERENCIA.Unidade</f>
        <v>UN</v>
      </c>
      <c r="T430" s="122">
        <f ca="1">OFFSET(CÁLCULO!H$15,ROW($T430)-ROW(T$15),0)</f>
        <v>1</v>
      </c>
      <c r="U430" s="123">
        <f t="shared" ca="1" si="108"/>
        <v>161.19999999999999</v>
      </c>
      <c r="V430" s="124" t="s">
        <v>663</v>
      </c>
      <c r="W430" s="122">
        <f ca="1">IF($C430="S",ROUND(IF(TIPOORCAMENTO="Proposto",ORÇAMENTO.CustoUnitario*(1+$AH430),ORÇAMENTO.PrecoUnitarioLicitado),15-13*$AF$10),0)</f>
        <v>199.08</v>
      </c>
      <c r="X430" s="125" cm="1">
        <f t="array" aca="1" ref="X430" ca="1">IF($C430="S",IF(OR(Import.TipoArredondamento&lt;&gt;"TransfereGOV",ACOMPANHAMENTO="BM"),VTOTAL1,SUM(OFFSET(CÁLCULO!$AI$15,ROW($X430)-ROW($X$15),1):OFFSET(CÁLCULO!$BB$15,ROW($X430)-ROW($X$15),-1))),IF($C430=0,0,ROUND(SomaAgrup,15-13*$AF$11)))</f>
        <v>199.08</v>
      </c>
      <c r="Y430" s="126" t="s">
        <v>751</v>
      </c>
      <c r="Z430" t="str">
        <f t="shared" ca="1" si="123"/>
        <v>RA</v>
      </c>
      <c r="AA430" s="127">
        <f ca="1">IF($C430="S",IF($Z430="CP",$X430,IF($Z430="RA",(($X430)*QCI!$AA$3),0)),SomaAgrup)</f>
        <v>0</v>
      </c>
      <c r="AB430" s="128">
        <f t="shared" ca="1" si="124"/>
        <v>0</v>
      </c>
      <c r="AC430" s="565" t="str" cm="1">
        <f t="array" aca="1" ref="AC430" ca="1">IF($N430=""," ",
IF(AND($C430&lt;&gt;"S",OR($R430="",$R430="(digite a descrição aqui)")),"DESCRIÇÃO",
IF(AND($C430="S",OR($Q430&lt;&gt;"",$T430&gt;0,$U430&gt;0),$P430=""),"FONTE",
IF(AND($C430="S",$P430&lt;&gt;"",OR($T430&gt;0,$U430&gt;0),$Q430=""),"CÓDIGO",
IF(AND($C430="S",$P430&lt;&gt;"",$Q430&lt;&gt;"",$R430="(Código não identificado nas referências)"),"CÓDIGO N/ID",
IF(AND($C430="S",OR($R430="",$R430="(digite a descrição aqui)"),OR($Q430&lt;&gt;"",$T430&gt;0,$U430&gt;0)),"DESCRIÇÃO",
IF(AND($C430="S",$P430&lt;&gt;"",$Q430&lt;&gt;"",$S430=""),"UNIDADE",
IF(AND($C430="S",$P430&lt;&gt;"",$Q430&lt;&gt;"",$U430=0),"SEM CUSTO",
IF(AND(_xlfn.SINGLE(TIPOORCAMENTO)="Licitado",$AL430=0,$AN430&gt;0),"SEM PREÇO",
IF(AND($C430="S",$P430&lt;&gt;"",$Q430&lt;&gt;"",$U430&gt;0,AND($V430&lt;&gt;"BDI 1",$V430&lt;&gt;"BDI 2",$V430&lt;&gt;"BDI 3")),IF(ISNUMBER($V430),"JUSTIFICAR BDI","BDI"),
IF(OR(AND(import.recurso="OGU",TIPOORCAMENTO="Proposto",LEFT($O$8,5)&lt;&gt;"(N/D:",$AG430&lt;&gt;"",ORÇAMENTO.CustoUnitario&gt;$AG430),AND(TIPOORCAMENTO="LICITADO",ORÇAMENTO.PrecoUnitarioLicitado&gt;$AN430)),"ACIMA REF.",
IF(AND($C430="S",$P430&lt;&gt;"",$Q430&lt;&gt;"",$T430=0,$U430&gt;0),"QUANT.",
IF(AND(Import.TipoArredondamento="TransfereGOV",$L430="F",$C430="S",LEN($Q430)&gt;13),"Código &gt;13",
IF(AND(Import.TipoArredondamento="TransfereGOV",$L430="F",$C430&lt;&gt;"S",LEN($R430)&gt;100),"Descrição &gt;100",
IF(AND(Import.TipoArredondamento="TransfereGOV",$L430="F",$C430="S",LEN($R430)&gt;500),"Descrição &gt;500",
IF(AND(Import.TipoArredondamento="TransfereGOV",$L430="F",$C430="S",LEFT(TRIM(UPPER($P430)),6)&lt;&gt;"SINAPI",ISNA(VLOOKUP(TRIM(UPPER($S430)),ListaTgov.Unidades,1,FALSE))),"Unid. Não Disp",
" "))))))))))))))))</f>
        <v xml:space="preserve"> </v>
      </c>
      <c r="AD430" t="str">
        <f ca="1">IF(C430&lt;=CRONO.NivelExibicao,MAX($AD$15:OFFSET(AD430,-1,0))+IF($C430&lt;&gt;1,1,MAX(1,COUNTIF(QCI!$A$13:$A$15,OFFSET($E430,-1,0)))),"")</f>
        <v/>
      </c>
      <c r="AE430" s="7" t="str">
        <f ca="1">IF(AND($C430="S",ORÇAMENTO.CodBarra&lt;&gt;""),IF(ORÇAMENTO.Fonte="",ORÇAMENTO.CodBarra,CONCATENATE(ORÇAMENTO.Fonte," ",ORÇAMENTO.CodBarra)))</f>
        <v>COMPOSIÇÃO CPU-037</v>
      </c>
      <c r="AF430" s="12">
        <f ca="1">IF(ISERROR(INDIRECT(ORÇAMENTO.BancoRef)),"(abra o arquivo 'Referência "&amp;Excel_BuiltIn_Database&amp;".xlsm)",IF(OR($C430&lt;&gt;"S",ORÇAMENTO.CodBarra=""),"(Sem Código)",IF(ISERROR(MATCH($AE430,INDIRECT(ORÇAMENTO.BancoRef),0)),"(Código não identificado nas referências)",MATCH($AE430,INDIRECT(ORÇAMENTO.BancoRef),0))))</f>
        <v>39</v>
      </c>
      <c r="AG430" s="428">
        <f ca="1">ROUND(IF(DESONERACAO="sim",REFERENCIA.Desonerado,REFERENCIA.NaoDesonerado),2)</f>
        <v>161.19999999999999</v>
      </c>
      <c r="AH430" s="429">
        <f t="shared" ca="1" si="125"/>
        <v>0.23499999999999999</v>
      </c>
      <c r="AJ430" s="431">
        <v>1</v>
      </c>
      <c r="AL430" s="439"/>
      <c r="AM430" s="336">
        <f t="shared" ca="1" si="109"/>
        <v>199.08</v>
      </c>
      <c r="AN430" s="470">
        <f t="shared" ca="1" si="126"/>
        <v>199.08</v>
      </c>
    </row>
    <row r="431" spans="1:40" ht="25.5" x14ac:dyDescent="0.2">
      <c r="A431" t="str">
        <f t="shared" si="112"/>
        <v>S</v>
      </c>
      <c r="B431">
        <f t="shared" ca="1" si="113"/>
        <v>4</v>
      </c>
      <c r="C431" t="str">
        <f t="shared" ca="1" si="114"/>
        <v>S</v>
      </c>
      <c r="D431">
        <f t="shared" ca="1" si="115"/>
        <v>0</v>
      </c>
      <c r="E431">
        <f ca="1">IF($C431=1,OFFSET(E431,-1,0)+MAX(1,COUNTIF(QCI!$A$13:$A$15,OFFSET(ORÇAMENTO!E431,-1,0))),OFFSET(E431,-1,0))</f>
        <v>1</v>
      </c>
      <c r="F431">
        <f t="shared" ca="1" si="116"/>
        <v>8</v>
      </c>
      <c r="G431">
        <f t="shared" ca="1" si="117"/>
        <v>2</v>
      </c>
      <c r="H431">
        <f t="shared" ca="1" si="118"/>
        <v>4</v>
      </c>
      <c r="I431">
        <f t="shared" ca="1" si="119"/>
        <v>21</v>
      </c>
      <c r="J431">
        <f t="shared" ca="1" si="110"/>
        <v>0</v>
      </c>
      <c r="K431">
        <f ca="1">IF(OR($C431="S",$C431=0),0,MATCH(OFFSET($D431,0,$C431)+IF($C431&lt;&gt;1,1,COUNTIF(QCI!$A$13:$A$15,ORÇAMENTO!E431)),OFFSET($D431,1,$C431,ROW($C$508)-ROW($C431)),0))</f>
        <v>0</v>
      </c>
      <c r="L431" s="114" t="str">
        <f t="shared" ca="1" si="120"/>
        <v>F</v>
      </c>
      <c r="M431" s="115" t="s">
        <v>705</v>
      </c>
      <c r="N431" s="116" t="str">
        <f t="shared" ca="1" si="121"/>
        <v>Serviço</v>
      </c>
      <c r="O431" s="117" t="str">
        <f t="shared" ca="1" si="122"/>
        <v>1.8.2.4.21.</v>
      </c>
      <c r="P431" s="118" t="s">
        <v>1281</v>
      </c>
      <c r="Q431" s="119" t="s">
        <v>1159</v>
      </c>
      <c r="R431" s="120" t="str">
        <f ca="1">IF($C431="S",REFERENCIA.Descricao,"(digite a descrição aqui)")</f>
        <v xml:space="preserve">RELE FALTA DE FASE TRIPOLAR 380V COM CONTATO REVERSIVEL - BASEADO EM  SBC (064568) </v>
      </c>
      <c r="S431" s="121" t="str">
        <f ca="1">REFERENCIA.Unidade</f>
        <v>UN</v>
      </c>
      <c r="T431" s="122">
        <f ca="1">OFFSET(CÁLCULO!H$15,ROW($T431)-ROW(T$15),0)</f>
        <v>1</v>
      </c>
      <c r="U431" s="123">
        <f t="shared" ca="1" si="108"/>
        <v>164.48</v>
      </c>
      <c r="V431" s="124" t="s">
        <v>663</v>
      </c>
      <c r="W431" s="122">
        <f ca="1">IF($C431="S",ROUND(IF(TIPOORCAMENTO="Proposto",ORÇAMENTO.CustoUnitario*(1+$AH431),ORÇAMENTO.PrecoUnitarioLicitado),15-13*$AF$10),0)</f>
        <v>203.13</v>
      </c>
      <c r="X431" s="125" cm="1">
        <f t="array" aca="1" ref="X431" ca="1">IF($C431="S",IF(OR(Import.TipoArredondamento&lt;&gt;"TransfereGOV",ACOMPANHAMENTO="BM"),VTOTAL1,SUM(OFFSET(CÁLCULO!$AI$15,ROW($X431)-ROW($X$15),1):OFFSET(CÁLCULO!$BB$15,ROW($X431)-ROW($X$15),-1))),IF($C431=0,0,ROUND(SomaAgrup,15-13*$AF$11)))</f>
        <v>203.13</v>
      </c>
      <c r="Y431" s="126" t="s">
        <v>751</v>
      </c>
      <c r="Z431" t="str">
        <f t="shared" ca="1" si="123"/>
        <v>RA</v>
      </c>
      <c r="AA431" s="127">
        <f ca="1">IF($C431="S",IF($Z431="CP",$X431,IF($Z431="RA",(($X431)*QCI!$AA$3),0)),SomaAgrup)</f>
        <v>0</v>
      </c>
      <c r="AB431" s="128">
        <f t="shared" ca="1" si="124"/>
        <v>0</v>
      </c>
      <c r="AC431" s="565" t="str" cm="1">
        <f t="array" aca="1" ref="AC431" ca="1">IF($N431=""," ",
IF(AND($C431&lt;&gt;"S",OR($R431="",$R431="(digite a descrição aqui)")),"DESCRIÇÃO",
IF(AND($C431="S",OR($Q431&lt;&gt;"",$T431&gt;0,$U431&gt;0),$P431=""),"FONTE",
IF(AND($C431="S",$P431&lt;&gt;"",OR($T431&gt;0,$U431&gt;0),$Q431=""),"CÓDIGO",
IF(AND($C431="S",$P431&lt;&gt;"",$Q431&lt;&gt;"",$R431="(Código não identificado nas referências)"),"CÓDIGO N/ID",
IF(AND($C431="S",OR($R431="",$R431="(digite a descrição aqui)"),OR($Q431&lt;&gt;"",$T431&gt;0,$U431&gt;0)),"DESCRIÇÃO",
IF(AND($C431="S",$P431&lt;&gt;"",$Q431&lt;&gt;"",$S431=""),"UNIDADE",
IF(AND($C431="S",$P431&lt;&gt;"",$Q431&lt;&gt;"",$U431=0),"SEM CUSTO",
IF(AND(_xlfn.SINGLE(TIPOORCAMENTO)="Licitado",$AL431=0,$AN431&gt;0),"SEM PREÇO",
IF(AND($C431="S",$P431&lt;&gt;"",$Q431&lt;&gt;"",$U431&gt;0,AND($V431&lt;&gt;"BDI 1",$V431&lt;&gt;"BDI 2",$V431&lt;&gt;"BDI 3")),IF(ISNUMBER($V431),"JUSTIFICAR BDI","BDI"),
IF(OR(AND(import.recurso="OGU",TIPOORCAMENTO="Proposto",LEFT($O$8,5)&lt;&gt;"(N/D:",$AG431&lt;&gt;"",ORÇAMENTO.CustoUnitario&gt;$AG431),AND(TIPOORCAMENTO="LICITADO",ORÇAMENTO.PrecoUnitarioLicitado&gt;$AN431)),"ACIMA REF.",
IF(AND($C431="S",$P431&lt;&gt;"",$Q431&lt;&gt;"",$T431=0,$U431&gt;0),"QUANT.",
IF(AND(Import.TipoArredondamento="TransfereGOV",$L431="F",$C431="S",LEN($Q431)&gt;13),"Código &gt;13",
IF(AND(Import.TipoArredondamento="TransfereGOV",$L431="F",$C431&lt;&gt;"S",LEN($R431)&gt;100),"Descrição &gt;100",
IF(AND(Import.TipoArredondamento="TransfereGOV",$L431="F",$C431="S",LEN($R431)&gt;500),"Descrição &gt;500",
IF(AND(Import.TipoArredondamento="TransfereGOV",$L431="F",$C431="S",LEFT(TRIM(UPPER($P431)),6)&lt;&gt;"SINAPI",ISNA(VLOOKUP(TRIM(UPPER($S431)),ListaTgov.Unidades,1,FALSE))),"Unid. Não Disp",
" "))))))))))))))))</f>
        <v xml:space="preserve"> </v>
      </c>
      <c r="AD431" t="str">
        <f ca="1">IF(C431&lt;=CRONO.NivelExibicao,MAX($AD$15:OFFSET(AD431,-1,0))+IF($C431&lt;&gt;1,1,MAX(1,COUNTIF(QCI!$A$13:$A$15,OFFSET($E431,-1,0)))),"")</f>
        <v/>
      </c>
      <c r="AE431" s="7" t="str">
        <f ca="1">IF(AND($C431="S",ORÇAMENTO.CodBarra&lt;&gt;""),IF(ORÇAMENTO.Fonte="",ORÇAMENTO.CodBarra,CONCATENATE(ORÇAMENTO.Fonte," ",ORÇAMENTO.CodBarra)))</f>
        <v>COMPOSIÇÃO CPU-038</v>
      </c>
      <c r="AF431" s="12">
        <f ca="1">IF(ISERROR(INDIRECT(ORÇAMENTO.BancoRef)),"(abra o arquivo 'Referência "&amp;Excel_BuiltIn_Database&amp;".xlsm)",IF(OR($C431&lt;&gt;"S",ORÇAMENTO.CodBarra=""),"(Sem Código)",IF(ISERROR(MATCH($AE431,INDIRECT(ORÇAMENTO.BancoRef),0)),"(Código não identificado nas referências)",MATCH($AE431,INDIRECT(ORÇAMENTO.BancoRef),0))))</f>
        <v>40</v>
      </c>
      <c r="AG431" s="428">
        <f ca="1">ROUND(IF(DESONERACAO="sim",REFERENCIA.Desonerado,REFERENCIA.NaoDesonerado),2)</f>
        <v>164.48</v>
      </c>
      <c r="AH431" s="429">
        <f t="shared" ca="1" si="125"/>
        <v>0.23499999999999999</v>
      </c>
      <c r="AJ431" s="431">
        <v>1</v>
      </c>
      <c r="AL431" s="439"/>
      <c r="AM431" s="336">
        <f t="shared" ca="1" si="109"/>
        <v>203.13</v>
      </c>
      <c r="AN431" s="470">
        <f t="shared" ca="1" si="126"/>
        <v>203.13</v>
      </c>
    </row>
    <row r="432" spans="1:40" ht="25.5" x14ac:dyDescent="0.2">
      <c r="A432" t="str">
        <f t="shared" si="112"/>
        <v>S</v>
      </c>
      <c r="B432">
        <f t="shared" ca="1" si="113"/>
        <v>4</v>
      </c>
      <c r="C432" t="str">
        <f t="shared" ca="1" si="114"/>
        <v>S</v>
      </c>
      <c r="D432">
        <f t="shared" ca="1" si="115"/>
        <v>0</v>
      </c>
      <c r="E432">
        <f ca="1">IF($C432=1,OFFSET(E432,-1,0)+MAX(1,COUNTIF(QCI!$A$13:$A$15,OFFSET(ORÇAMENTO!E432,-1,0))),OFFSET(E432,-1,0))</f>
        <v>1</v>
      </c>
      <c r="F432">
        <f t="shared" ca="1" si="116"/>
        <v>8</v>
      </c>
      <c r="G432">
        <f t="shared" ca="1" si="117"/>
        <v>2</v>
      </c>
      <c r="H432">
        <f t="shared" ca="1" si="118"/>
        <v>4</v>
      </c>
      <c r="I432">
        <f t="shared" ca="1" si="119"/>
        <v>22</v>
      </c>
      <c r="J432">
        <f t="shared" ca="1" si="110"/>
        <v>0</v>
      </c>
      <c r="K432">
        <f ca="1">IF(OR($C432="S",$C432=0),0,MATCH(OFFSET($D432,0,$C432)+IF($C432&lt;&gt;1,1,COUNTIF(QCI!$A$13:$A$15,ORÇAMENTO!E432)),OFFSET($D432,1,$C432,ROW($C$508)-ROW($C432)),0))</f>
        <v>0</v>
      </c>
      <c r="L432" s="114" t="str">
        <f t="shared" ca="1" si="120"/>
        <v>F</v>
      </c>
      <c r="M432" s="115" t="s">
        <v>705</v>
      </c>
      <c r="N432" s="116" t="str">
        <f t="shared" ca="1" si="121"/>
        <v>Serviço</v>
      </c>
      <c r="O432" s="117" t="str">
        <f t="shared" ca="1" si="122"/>
        <v>1.8.2.4.22.</v>
      </c>
      <c r="P432" s="118" t="s">
        <v>1281</v>
      </c>
      <c r="Q432" s="119" t="s">
        <v>1160</v>
      </c>
      <c r="R432" s="120" t="str">
        <f ca="1">IF($C432="S",REFERENCIA.Descricao,"(digite a descrição aqui)")</f>
        <v>SINALIZADOR SIRENE MODELO TBY METALTEX - BASEADA DA AGETOP CIVIL (085042)</v>
      </c>
      <c r="S432" s="121" t="str">
        <f ca="1">REFERENCIA.Unidade</f>
        <v>UN</v>
      </c>
      <c r="T432" s="122">
        <f ca="1">OFFSET(CÁLCULO!H$15,ROW($T432)-ROW(T$15),0)</f>
        <v>1</v>
      </c>
      <c r="U432" s="123">
        <f t="shared" ca="1" si="108"/>
        <v>155.85</v>
      </c>
      <c r="V432" s="124" t="s">
        <v>663</v>
      </c>
      <c r="W432" s="122">
        <f ca="1">IF($C432="S",ROUND(IF(TIPOORCAMENTO="Proposto",ORÇAMENTO.CustoUnitario*(1+$AH432),ORÇAMENTO.PrecoUnitarioLicitado),15-13*$AF$10),0)</f>
        <v>192.47</v>
      </c>
      <c r="X432" s="125" cm="1">
        <f t="array" aca="1" ref="X432" ca="1">IF($C432="S",IF(OR(Import.TipoArredondamento&lt;&gt;"TransfereGOV",ACOMPANHAMENTO="BM"),VTOTAL1,SUM(OFFSET(CÁLCULO!$AI$15,ROW($X432)-ROW($X$15),1):OFFSET(CÁLCULO!$BB$15,ROW($X432)-ROW($X$15),-1))),IF($C432=0,0,ROUND(SomaAgrup,15-13*$AF$11)))</f>
        <v>192.47</v>
      </c>
      <c r="Y432" s="126" t="s">
        <v>751</v>
      </c>
      <c r="Z432" t="str">
        <f t="shared" ca="1" si="123"/>
        <v>RA</v>
      </c>
      <c r="AA432" s="127">
        <f ca="1">IF($C432="S",IF($Z432="CP",$X432,IF($Z432="RA",(($X432)*QCI!$AA$3),0)),SomaAgrup)</f>
        <v>0</v>
      </c>
      <c r="AB432" s="128">
        <f t="shared" ca="1" si="124"/>
        <v>0</v>
      </c>
      <c r="AC432" s="565" t="str" cm="1">
        <f t="array" aca="1" ref="AC432" ca="1">IF($N432=""," ",
IF(AND($C432&lt;&gt;"S",OR($R432="",$R432="(digite a descrição aqui)")),"DESCRIÇÃO",
IF(AND($C432="S",OR($Q432&lt;&gt;"",$T432&gt;0,$U432&gt;0),$P432=""),"FONTE",
IF(AND($C432="S",$P432&lt;&gt;"",OR($T432&gt;0,$U432&gt;0),$Q432=""),"CÓDIGO",
IF(AND($C432="S",$P432&lt;&gt;"",$Q432&lt;&gt;"",$R432="(Código não identificado nas referências)"),"CÓDIGO N/ID",
IF(AND($C432="S",OR($R432="",$R432="(digite a descrição aqui)"),OR($Q432&lt;&gt;"",$T432&gt;0,$U432&gt;0)),"DESCRIÇÃO",
IF(AND($C432="S",$P432&lt;&gt;"",$Q432&lt;&gt;"",$S432=""),"UNIDADE",
IF(AND($C432="S",$P432&lt;&gt;"",$Q432&lt;&gt;"",$U432=0),"SEM CUSTO",
IF(AND(_xlfn.SINGLE(TIPOORCAMENTO)="Licitado",$AL432=0,$AN432&gt;0),"SEM PREÇO",
IF(AND($C432="S",$P432&lt;&gt;"",$Q432&lt;&gt;"",$U432&gt;0,AND($V432&lt;&gt;"BDI 1",$V432&lt;&gt;"BDI 2",$V432&lt;&gt;"BDI 3")),IF(ISNUMBER($V432),"JUSTIFICAR BDI","BDI"),
IF(OR(AND(import.recurso="OGU",TIPOORCAMENTO="Proposto",LEFT($O$8,5)&lt;&gt;"(N/D:",$AG432&lt;&gt;"",ORÇAMENTO.CustoUnitario&gt;$AG432),AND(TIPOORCAMENTO="LICITADO",ORÇAMENTO.PrecoUnitarioLicitado&gt;$AN432)),"ACIMA REF.",
IF(AND($C432="S",$P432&lt;&gt;"",$Q432&lt;&gt;"",$T432=0,$U432&gt;0),"QUANT.",
IF(AND(Import.TipoArredondamento="TransfereGOV",$L432="F",$C432="S",LEN($Q432)&gt;13),"Código &gt;13",
IF(AND(Import.TipoArredondamento="TransfereGOV",$L432="F",$C432&lt;&gt;"S",LEN($R432)&gt;100),"Descrição &gt;100",
IF(AND(Import.TipoArredondamento="TransfereGOV",$L432="F",$C432="S",LEN($R432)&gt;500),"Descrição &gt;500",
IF(AND(Import.TipoArredondamento="TransfereGOV",$L432="F",$C432="S",LEFT(TRIM(UPPER($P432)),6)&lt;&gt;"SINAPI",ISNA(VLOOKUP(TRIM(UPPER($S432)),ListaTgov.Unidades,1,FALSE))),"Unid. Não Disp",
" "))))))))))))))))</f>
        <v xml:space="preserve"> </v>
      </c>
      <c r="AD432" t="str">
        <f ca="1">IF(C432&lt;=CRONO.NivelExibicao,MAX($AD$15:OFFSET(AD432,-1,0))+IF($C432&lt;&gt;1,1,MAX(1,COUNTIF(QCI!$A$13:$A$15,OFFSET($E432,-1,0)))),"")</f>
        <v/>
      </c>
      <c r="AE432" s="7" t="str">
        <f ca="1">IF(AND($C432="S",ORÇAMENTO.CodBarra&lt;&gt;""),IF(ORÇAMENTO.Fonte="",ORÇAMENTO.CodBarra,CONCATENATE(ORÇAMENTO.Fonte," ",ORÇAMENTO.CodBarra)))</f>
        <v>COMPOSIÇÃO CPU-039</v>
      </c>
      <c r="AF432" s="12">
        <f ca="1">IF(ISERROR(INDIRECT(ORÇAMENTO.BancoRef)),"(abra o arquivo 'Referência "&amp;Excel_BuiltIn_Database&amp;".xlsm)",IF(OR($C432&lt;&gt;"S",ORÇAMENTO.CodBarra=""),"(Sem Código)",IF(ISERROR(MATCH($AE432,INDIRECT(ORÇAMENTO.BancoRef),0)),"(Código não identificado nas referências)",MATCH($AE432,INDIRECT(ORÇAMENTO.BancoRef),0))))</f>
        <v>41</v>
      </c>
      <c r="AG432" s="428">
        <f ca="1">ROUND(IF(DESONERACAO="sim",REFERENCIA.Desonerado,REFERENCIA.NaoDesonerado),2)</f>
        <v>155.85</v>
      </c>
      <c r="AH432" s="429">
        <f t="shared" ca="1" si="125"/>
        <v>0.23499999999999999</v>
      </c>
      <c r="AJ432" s="431">
        <v>1</v>
      </c>
      <c r="AL432" s="439"/>
      <c r="AM432" s="336">
        <f t="shared" ca="1" si="109"/>
        <v>192.47</v>
      </c>
      <c r="AN432" s="470">
        <f t="shared" ca="1" si="126"/>
        <v>192.47</v>
      </c>
    </row>
    <row r="433" spans="1:40" x14ac:dyDescent="0.2">
      <c r="A433" t="str">
        <f t="shared" si="112"/>
        <v>S</v>
      </c>
      <c r="B433">
        <f t="shared" ca="1" si="113"/>
        <v>4</v>
      </c>
      <c r="C433" t="str">
        <f t="shared" ca="1" si="114"/>
        <v>S</v>
      </c>
      <c r="D433">
        <f t="shared" ca="1" si="115"/>
        <v>0</v>
      </c>
      <c r="E433">
        <f ca="1">IF($C433=1,OFFSET(E433,-1,0)+MAX(1,COUNTIF(QCI!$A$13:$A$15,OFFSET(ORÇAMENTO!E433,-1,0))),OFFSET(E433,-1,0))</f>
        <v>1</v>
      </c>
      <c r="F433">
        <f t="shared" ca="1" si="116"/>
        <v>8</v>
      </c>
      <c r="G433">
        <f t="shared" ca="1" si="117"/>
        <v>2</v>
      </c>
      <c r="H433">
        <f t="shared" ca="1" si="118"/>
        <v>4</v>
      </c>
      <c r="I433">
        <f t="shared" ca="1" si="119"/>
        <v>23</v>
      </c>
      <c r="J433">
        <f t="shared" ca="1" si="110"/>
        <v>0</v>
      </c>
      <c r="K433">
        <f ca="1">IF(OR($C433="S",$C433=0),0,MATCH(OFFSET($D433,0,$C433)+IF($C433&lt;&gt;1,1,COUNTIF(QCI!$A$13:$A$15,ORÇAMENTO!E433)),OFFSET($D433,1,$C433,ROW($C$508)-ROW($C433)),0))</f>
        <v>0</v>
      </c>
      <c r="L433" s="114" t="str">
        <f t="shared" ca="1" si="120"/>
        <v>F</v>
      </c>
      <c r="M433" s="115" t="s">
        <v>705</v>
      </c>
      <c r="N433" s="116" t="str">
        <f t="shared" ca="1" si="121"/>
        <v>Serviço</v>
      </c>
      <c r="O433" s="117" t="str">
        <f t="shared" ca="1" si="122"/>
        <v>1.8.2.4.23.</v>
      </c>
      <c r="P433" s="118" t="s">
        <v>1281</v>
      </c>
      <c r="Q433" s="119" t="s">
        <v>1161</v>
      </c>
      <c r="R433" s="120" t="str">
        <f ca="1">IF($C433="S",REFERENCIA.Descricao,"(digite a descrição aqui)")</f>
        <v xml:space="preserve">SINALEIRO MONOBLOCO LED110/220V - BASEADO EM ORSE (11444) </v>
      </c>
      <c r="S433" s="121" t="str">
        <f ca="1">REFERENCIA.Unidade</f>
        <v>UN</v>
      </c>
      <c r="T433" s="122">
        <f ca="1">OFFSET(CÁLCULO!H$15,ROW($T433)-ROW(T$15),0)</f>
        <v>5</v>
      </c>
      <c r="U433" s="123">
        <f t="shared" ca="1" si="108"/>
        <v>56.46</v>
      </c>
      <c r="V433" s="124" t="s">
        <v>663</v>
      </c>
      <c r="W433" s="122">
        <f ca="1">IF($C433="S",ROUND(IF(TIPOORCAMENTO="Proposto",ORÇAMENTO.CustoUnitario*(1+$AH433),ORÇAMENTO.PrecoUnitarioLicitado),15-13*$AF$10),0)</f>
        <v>69.73</v>
      </c>
      <c r="X433" s="125" cm="1">
        <f t="array" aca="1" ref="X433" ca="1">IF($C433="S",IF(OR(Import.TipoArredondamento&lt;&gt;"TransfereGOV",ACOMPANHAMENTO="BM"),VTOTAL1,SUM(OFFSET(CÁLCULO!$AI$15,ROW($X433)-ROW($X$15),1):OFFSET(CÁLCULO!$BB$15,ROW($X433)-ROW($X$15),-1))),IF($C433=0,0,ROUND(SomaAgrup,15-13*$AF$11)))</f>
        <v>348.65</v>
      </c>
      <c r="Y433" s="126" t="s">
        <v>751</v>
      </c>
      <c r="Z433" t="str">
        <f t="shared" ca="1" si="123"/>
        <v>RA</v>
      </c>
      <c r="AA433" s="127">
        <f ca="1">IF($C433="S",IF($Z433="CP",$X433,IF($Z433="RA",(($X433)*QCI!$AA$3),0)),SomaAgrup)</f>
        <v>0</v>
      </c>
      <c r="AB433" s="128">
        <f t="shared" ca="1" si="124"/>
        <v>0</v>
      </c>
      <c r="AC433" s="565" t="str" cm="1">
        <f t="array" aca="1" ref="AC433" ca="1">IF($N433=""," ",
IF(AND($C433&lt;&gt;"S",OR($R433="",$R433="(digite a descrição aqui)")),"DESCRIÇÃO",
IF(AND($C433="S",OR($Q433&lt;&gt;"",$T433&gt;0,$U433&gt;0),$P433=""),"FONTE",
IF(AND($C433="S",$P433&lt;&gt;"",OR($T433&gt;0,$U433&gt;0),$Q433=""),"CÓDIGO",
IF(AND($C433="S",$P433&lt;&gt;"",$Q433&lt;&gt;"",$R433="(Código não identificado nas referências)"),"CÓDIGO N/ID",
IF(AND($C433="S",OR($R433="",$R433="(digite a descrição aqui)"),OR($Q433&lt;&gt;"",$T433&gt;0,$U433&gt;0)),"DESCRIÇÃO",
IF(AND($C433="S",$P433&lt;&gt;"",$Q433&lt;&gt;"",$S433=""),"UNIDADE",
IF(AND($C433="S",$P433&lt;&gt;"",$Q433&lt;&gt;"",$U433=0),"SEM CUSTO",
IF(AND(_xlfn.SINGLE(TIPOORCAMENTO)="Licitado",$AL433=0,$AN433&gt;0),"SEM PREÇO",
IF(AND($C433="S",$P433&lt;&gt;"",$Q433&lt;&gt;"",$U433&gt;0,AND($V433&lt;&gt;"BDI 1",$V433&lt;&gt;"BDI 2",$V433&lt;&gt;"BDI 3")),IF(ISNUMBER($V433),"JUSTIFICAR BDI","BDI"),
IF(OR(AND(import.recurso="OGU",TIPOORCAMENTO="Proposto",LEFT($O$8,5)&lt;&gt;"(N/D:",$AG433&lt;&gt;"",ORÇAMENTO.CustoUnitario&gt;$AG433),AND(TIPOORCAMENTO="LICITADO",ORÇAMENTO.PrecoUnitarioLicitado&gt;$AN433)),"ACIMA REF.",
IF(AND($C433="S",$P433&lt;&gt;"",$Q433&lt;&gt;"",$T433=0,$U433&gt;0),"QUANT.",
IF(AND(Import.TipoArredondamento="TransfereGOV",$L433="F",$C433="S",LEN($Q433)&gt;13),"Código &gt;13",
IF(AND(Import.TipoArredondamento="TransfereGOV",$L433="F",$C433&lt;&gt;"S",LEN($R433)&gt;100),"Descrição &gt;100",
IF(AND(Import.TipoArredondamento="TransfereGOV",$L433="F",$C433="S",LEN($R433)&gt;500),"Descrição &gt;500",
IF(AND(Import.TipoArredondamento="TransfereGOV",$L433="F",$C433="S",LEFT(TRIM(UPPER($P433)),6)&lt;&gt;"SINAPI",ISNA(VLOOKUP(TRIM(UPPER($S433)),ListaTgov.Unidades,1,FALSE))),"Unid. Não Disp",
" "))))))))))))))))</f>
        <v xml:space="preserve"> </v>
      </c>
      <c r="AD433" t="str">
        <f ca="1">IF(C433&lt;=CRONO.NivelExibicao,MAX($AD$15:OFFSET(AD433,-1,0))+IF($C433&lt;&gt;1,1,MAX(1,COUNTIF(QCI!$A$13:$A$15,OFFSET($E433,-1,0)))),"")</f>
        <v/>
      </c>
      <c r="AE433" s="7" t="str">
        <f ca="1">IF(AND($C433="S",ORÇAMENTO.CodBarra&lt;&gt;""),IF(ORÇAMENTO.Fonte="",ORÇAMENTO.CodBarra,CONCATENATE(ORÇAMENTO.Fonte," ",ORÇAMENTO.CodBarra)))</f>
        <v>COMPOSIÇÃO CPU-040</v>
      </c>
      <c r="AF433" s="12">
        <f ca="1">IF(ISERROR(INDIRECT(ORÇAMENTO.BancoRef)),"(abra o arquivo 'Referência "&amp;Excel_BuiltIn_Database&amp;".xlsm)",IF(OR($C433&lt;&gt;"S",ORÇAMENTO.CodBarra=""),"(Sem Código)",IF(ISERROR(MATCH($AE433,INDIRECT(ORÇAMENTO.BancoRef),0)),"(Código não identificado nas referências)",MATCH($AE433,INDIRECT(ORÇAMENTO.BancoRef),0))))</f>
        <v>42</v>
      </c>
      <c r="AG433" s="428">
        <f ca="1">ROUND(IF(DESONERACAO="sim",REFERENCIA.Desonerado,REFERENCIA.NaoDesonerado),2)</f>
        <v>56.46</v>
      </c>
      <c r="AH433" s="429">
        <f t="shared" ca="1" si="125"/>
        <v>0.23499999999999999</v>
      </c>
      <c r="AJ433" s="431">
        <v>5</v>
      </c>
      <c r="AL433" s="439"/>
      <c r="AM433" s="336">
        <f t="shared" ca="1" si="109"/>
        <v>348.65</v>
      </c>
      <c r="AN433" s="470">
        <f t="shared" ca="1" si="126"/>
        <v>69.73</v>
      </c>
    </row>
    <row r="434" spans="1:40" x14ac:dyDescent="0.2">
      <c r="A434">
        <f t="shared" si="112"/>
        <v>4</v>
      </c>
      <c r="B434">
        <f t="shared" ca="1" si="113"/>
        <v>4</v>
      </c>
      <c r="C434">
        <f t="shared" ca="1" si="114"/>
        <v>4</v>
      </c>
      <c r="D434">
        <f t="shared" ca="1" si="115"/>
        <v>7</v>
      </c>
      <c r="E434">
        <f ca="1">IF($C434=1,OFFSET(E434,-1,0)+MAX(1,COUNTIF(QCI!$A$13:$A$15,OFFSET(ORÇAMENTO!E434,-1,0))),OFFSET(E434,-1,0))</f>
        <v>1</v>
      </c>
      <c r="F434">
        <f t="shared" ca="1" si="116"/>
        <v>8</v>
      </c>
      <c r="G434">
        <f t="shared" ca="1" si="117"/>
        <v>2</v>
      </c>
      <c r="H434">
        <f t="shared" ca="1" si="118"/>
        <v>5</v>
      </c>
      <c r="I434">
        <f t="shared" ca="1" si="119"/>
        <v>0</v>
      </c>
      <c r="J434">
        <f t="shared" ca="1" si="110"/>
        <v>7</v>
      </c>
      <c r="K434" t="e">
        <f ca="1">IF(OR($C434="S",$C434=0),0,MATCH(OFFSET($D434,0,$C434)+IF($C434&lt;&gt;1,1,COUNTIF(QCI!$A$13:$A$15,ORÇAMENTO!E434)),OFFSET($D434,1,$C434,ROW($C$508)-ROW($C434)),0))</f>
        <v>#N/A</v>
      </c>
      <c r="L434" s="114" t="str">
        <f t="shared" ca="1" si="120"/>
        <v>F</v>
      </c>
      <c r="M434" s="115" t="s">
        <v>704</v>
      </c>
      <c r="N434" s="116" t="str">
        <f t="shared" ca="1" si="121"/>
        <v>Nível 4</v>
      </c>
      <c r="O434" s="117" t="str">
        <f t="shared" ca="1" si="122"/>
        <v>1.8.2.5.</v>
      </c>
      <c r="P434" s="118" t="s">
        <v>750</v>
      </c>
      <c r="Q434" s="119"/>
      <c r="R434" s="120" t="s">
        <v>1257</v>
      </c>
      <c r="S434" s="121" t="s">
        <v>688</v>
      </c>
      <c r="T434" s="122">
        <f ca="1">OFFSET(CÁLCULO!H$15,ROW($T434)-ROW(T$15),0)</f>
        <v>0</v>
      </c>
      <c r="U434" s="123">
        <f t="shared" ca="1" si="108"/>
        <v>0</v>
      </c>
      <c r="V434" s="124" t="s">
        <v>663</v>
      </c>
      <c r="W434" s="122">
        <f ca="1">IF($C434="S",ROUND(IF(TIPOORCAMENTO="Proposto",ORÇAMENTO.CustoUnitario*(1+$AH434),ORÇAMENTO.PrecoUnitarioLicitado),15-13*$AF$10),0)</f>
        <v>0</v>
      </c>
      <c r="X434" s="125" cm="1">
        <f t="array" aca="1" ref="X434" ca="1">IF($C434="S",IF(OR(Import.TipoArredondamento&lt;&gt;"TransfereGOV",ACOMPANHAMENTO="BM"),VTOTAL1,SUM(OFFSET(CÁLCULO!$AI$15,ROW($X434)-ROW($X$15),1):OFFSET(CÁLCULO!$BB$15,ROW($X434)-ROW($X$15),-1))),IF($C434=0,0,ROUND(SomaAgrup,15-13*$AF$11)))</f>
        <v>508492.93</v>
      </c>
      <c r="Y434" s="126" t="s">
        <v>751</v>
      </c>
      <c r="Z434" t="str">
        <f t="shared" ca="1" si="123"/>
        <v/>
      </c>
      <c r="AA434" s="127">
        <f ca="1">IF($C434="S",IF($Z434="CP",$X434,IF($Z434="RA",(($X434)*QCI!$AA$3),0)),SomaAgrup)</f>
        <v>0</v>
      </c>
      <c r="AB434" s="128">
        <f t="shared" ca="1" si="124"/>
        <v>0</v>
      </c>
      <c r="AC434" s="565" t="str" cm="1">
        <f t="array" aca="1" ref="AC434" ca="1">IF($N434=""," ",
IF(AND($C434&lt;&gt;"S",OR($R434="",$R434="(digite a descrição aqui)")),"DESCRIÇÃO",
IF(AND($C434="S",OR($Q434&lt;&gt;"",$T434&gt;0,$U434&gt;0),$P434=""),"FONTE",
IF(AND($C434="S",$P434&lt;&gt;"",OR($T434&gt;0,$U434&gt;0),$Q434=""),"CÓDIGO",
IF(AND($C434="S",$P434&lt;&gt;"",$Q434&lt;&gt;"",$R434="(Código não identificado nas referências)"),"CÓDIGO N/ID",
IF(AND($C434="S",OR($R434="",$R434="(digite a descrição aqui)"),OR($Q434&lt;&gt;"",$T434&gt;0,$U434&gt;0)),"DESCRIÇÃO",
IF(AND($C434="S",$P434&lt;&gt;"",$Q434&lt;&gt;"",$S434=""),"UNIDADE",
IF(AND($C434="S",$P434&lt;&gt;"",$Q434&lt;&gt;"",$U434=0),"SEM CUSTO",
IF(AND(_xlfn.SINGLE(TIPOORCAMENTO)="Licitado",$AL434=0,$AN434&gt;0),"SEM PREÇO",
IF(AND($C434="S",$P434&lt;&gt;"",$Q434&lt;&gt;"",$U434&gt;0,AND($V434&lt;&gt;"BDI 1",$V434&lt;&gt;"BDI 2",$V434&lt;&gt;"BDI 3")),IF(ISNUMBER($V434),"JUSTIFICAR BDI","BDI"),
IF(OR(AND(import.recurso="OGU",TIPOORCAMENTO="Proposto",LEFT($O$8,5)&lt;&gt;"(N/D:",$AG434&lt;&gt;"",ORÇAMENTO.CustoUnitario&gt;$AG434),AND(TIPOORCAMENTO="LICITADO",ORÇAMENTO.PrecoUnitarioLicitado&gt;$AN434)),"ACIMA REF.",
IF(AND($C434="S",$P434&lt;&gt;"",$Q434&lt;&gt;"",$T434=0,$U434&gt;0),"QUANT.",
IF(AND(Import.TipoArredondamento="TransfereGOV",$L434="F",$C434="S",LEN($Q434)&gt;13),"Código &gt;13",
IF(AND(Import.TipoArredondamento="TransfereGOV",$L434="F",$C434&lt;&gt;"S",LEN($R434)&gt;100),"Descrição &gt;100",
IF(AND(Import.TipoArredondamento="TransfereGOV",$L434="F",$C434="S",LEN($R434)&gt;500),"Descrição &gt;500",
IF(AND(Import.TipoArredondamento="TransfereGOV",$L434="F",$C434="S",LEFT(TRIM(UPPER($P434)),6)&lt;&gt;"SINAPI",ISNA(VLOOKUP(TRIM(UPPER($S434)),ListaTgov.Unidades,1,FALSE))),"Unid. Não Disp",
" "))))))))))))))))</f>
        <v xml:space="preserve"> </v>
      </c>
      <c r="AD434" t="str">
        <f ca="1">IF(C434&lt;=CRONO.NivelExibicao,MAX($AD$15:OFFSET(AD434,-1,0))+IF($C434&lt;&gt;1,1,MAX(1,COUNTIF(QCI!$A$13:$A$15,OFFSET($E434,-1,0)))),"")</f>
        <v/>
      </c>
      <c r="AE434" s="7" t="b">
        <f ca="1">IF(AND($C434="S",ORÇAMENTO.CodBarra&lt;&gt;""),IF(ORÇAMENTO.Fonte="",ORÇAMENTO.CodBarra,CONCATENATE(ORÇAMENTO.Fonte," ",ORÇAMENTO.CodBarra)))</f>
        <v>0</v>
      </c>
      <c r="AF434" s="12" t="str">
        <f ca="1">IF(ISERROR(INDIRECT(ORÇAMENTO.BancoRef)),"(abra o arquivo 'Referência "&amp;Excel_BuiltIn_Database&amp;".xlsm)",IF(OR($C434&lt;&gt;"S",ORÇAMENTO.CodBarra=""),"(Sem Código)",IF(ISERROR(MATCH($AE434,INDIRECT(ORÇAMENTO.BancoRef),0)),"(Código não identificado nas referências)",MATCH($AE434,INDIRECT(ORÇAMENTO.BancoRef),0))))</f>
        <v>(Sem Código)</v>
      </c>
      <c r="AG434" s="428">
        <f ca="1">ROUND(IF(DESONERACAO="sim",REFERENCIA.Desonerado,REFERENCIA.NaoDesonerado),2)</f>
        <v>0</v>
      </c>
      <c r="AH434" s="429">
        <f t="shared" ca="1" si="125"/>
        <v>0.23499999999999999</v>
      </c>
      <c r="AJ434" s="431"/>
      <c r="AL434" s="439"/>
      <c r="AM434" s="336">
        <f t="shared" ca="1" si="109"/>
        <v>508492.93</v>
      </c>
      <c r="AN434" s="470">
        <f t="shared" ca="1" si="126"/>
        <v>0</v>
      </c>
    </row>
    <row r="435" spans="1:40" ht="25.5" x14ac:dyDescent="0.2">
      <c r="A435" t="str">
        <f t="shared" si="112"/>
        <v>S</v>
      </c>
      <c r="B435">
        <f t="shared" ca="1" si="113"/>
        <v>4</v>
      </c>
      <c r="C435" t="str">
        <f t="shared" ca="1" si="114"/>
        <v>S</v>
      </c>
      <c r="D435">
        <f t="shared" ca="1" si="115"/>
        <v>0</v>
      </c>
      <c r="E435">
        <f ca="1">IF($C435=1,OFFSET(E435,-1,0)+MAX(1,COUNTIF(QCI!$A$13:$A$15,OFFSET(ORÇAMENTO!E435,-1,0))),OFFSET(E435,-1,0))</f>
        <v>1</v>
      </c>
      <c r="F435">
        <f t="shared" ca="1" si="116"/>
        <v>8</v>
      </c>
      <c r="G435">
        <f t="shared" ca="1" si="117"/>
        <v>2</v>
      </c>
      <c r="H435">
        <f t="shared" ca="1" si="118"/>
        <v>5</v>
      </c>
      <c r="I435">
        <f t="shared" ca="1" si="119"/>
        <v>1</v>
      </c>
      <c r="J435">
        <f t="shared" ca="1" si="110"/>
        <v>0</v>
      </c>
      <c r="K435">
        <f ca="1">IF(OR($C435="S",$C435=0),0,MATCH(OFFSET($D435,0,$C435)+IF($C435&lt;&gt;1,1,COUNTIF(QCI!$A$13:$A$15,ORÇAMENTO!E435)),OFFSET($D435,1,$C435,ROW($C$508)-ROW($C435)),0))</f>
        <v>0</v>
      </c>
      <c r="L435" s="114" t="str">
        <f t="shared" ca="1" si="120"/>
        <v>F</v>
      </c>
      <c r="M435" s="115" t="s">
        <v>705</v>
      </c>
      <c r="N435" s="116" t="str">
        <f t="shared" ca="1" si="121"/>
        <v>Serviço</v>
      </c>
      <c r="O435" s="117" t="str">
        <f t="shared" ca="1" si="122"/>
        <v>1.8.2.5.1.</v>
      </c>
      <c r="P435" s="118" t="s">
        <v>1281</v>
      </c>
      <c r="Q435" s="119" t="s">
        <v>1162</v>
      </c>
      <c r="R435" s="120" t="str">
        <f ca="1">IF($C435="S",REFERENCIA.Descricao,"(digite a descrição aqui)")</f>
        <v>INSTALAÇÃO DE GRUPO GERADOR DIESEL 150KVA 220/380/440V - SILENCIADO C/ QTA - BASEADO EM SBC 065023</v>
      </c>
      <c r="S435" s="121" t="str">
        <f ca="1">REFERENCIA.Unidade</f>
        <v>UN</v>
      </c>
      <c r="T435" s="122">
        <f ca="1">OFFSET(CÁLCULO!H$15,ROW($T435)-ROW(T$15),0)</f>
        <v>2</v>
      </c>
      <c r="U435" s="123">
        <f t="shared" ca="1" si="108"/>
        <v>1459.04</v>
      </c>
      <c r="V435" s="124" t="s">
        <v>663</v>
      </c>
      <c r="W435" s="122">
        <f ca="1">IF($C435="S",ROUND(IF(TIPOORCAMENTO="Proposto",ORÇAMENTO.CustoUnitario*(1+$AH435),ORÇAMENTO.PrecoUnitarioLicitado),15-13*$AF$10),0)</f>
        <v>1801.91</v>
      </c>
      <c r="X435" s="125" cm="1">
        <f t="array" aca="1" ref="X435" ca="1">IF($C435="S",IF(OR(Import.TipoArredondamento&lt;&gt;"TransfereGOV",ACOMPANHAMENTO="BM"),VTOTAL1,SUM(OFFSET(CÁLCULO!$AI$15,ROW($X435)-ROW($X$15),1):OFFSET(CÁLCULO!$BB$15,ROW($X435)-ROW($X$15),-1))),IF($C435=0,0,ROUND(SomaAgrup,15-13*$AF$11)))</f>
        <v>3603.82</v>
      </c>
      <c r="Y435" s="126" t="s">
        <v>751</v>
      </c>
      <c r="Z435" t="str">
        <f t="shared" ca="1" si="123"/>
        <v>RA</v>
      </c>
      <c r="AA435" s="127">
        <f ca="1">IF($C435="S",IF($Z435="CP",$X435,IF($Z435="RA",(($X435)*QCI!$AA$3),0)),SomaAgrup)</f>
        <v>0</v>
      </c>
      <c r="AB435" s="128">
        <f t="shared" ca="1" si="124"/>
        <v>0</v>
      </c>
      <c r="AC435" s="565" t="str" cm="1">
        <f t="array" aca="1" ref="AC435" ca="1">IF($N435=""," ",
IF(AND($C435&lt;&gt;"S",OR($R435="",$R435="(digite a descrição aqui)")),"DESCRIÇÃO",
IF(AND($C435="S",OR($Q435&lt;&gt;"",$T435&gt;0,$U435&gt;0),$P435=""),"FONTE",
IF(AND($C435="S",$P435&lt;&gt;"",OR($T435&gt;0,$U435&gt;0),$Q435=""),"CÓDIGO",
IF(AND($C435="S",$P435&lt;&gt;"",$Q435&lt;&gt;"",$R435="(Código não identificado nas referências)"),"CÓDIGO N/ID",
IF(AND($C435="S",OR($R435="",$R435="(digite a descrição aqui)"),OR($Q435&lt;&gt;"",$T435&gt;0,$U435&gt;0)),"DESCRIÇÃO",
IF(AND($C435="S",$P435&lt;&gt;"",$Q435&lt;&gt;"",$S435=""),"UNIDADE",
IF(AND($C435="S",$P435&lt;&gt;"",$Q435&lt;&gt;"",$U435=0),"SEM CUSTO",
IF(AND(_xlfn.SINGLE(TIPOORCAMENTO)="Licitado",$AL435=0,$AN435&gt;0),"SEM PREÇO",
IF(AND($C435="S",$P435&lt;&gt;"",$Q435&lt;&gt;"",$U435&gt;0,AND($V435&lt;&gt;"BDI 1",$V435&lt;&gt;"BDI 2",$V435&lt;&gt;"BDI 3")),IF(ISNUMBER($V435),"JUSTIFICAR BDI","BDI"),
IF(OR(AND(import.recurso="OGU",TIPOORCAMENTO="Proposto",LEFT($O$8,5)&lt;&gt;"(N/D:",$AG435&lt;&gt;"",ORÇAMENTO.CustoUnitario&gt;$AG435),AND(TIPOORCAMENTO="LICITADO",ORÇAMENTO.PrecoUnitarioLicitado&gt;$AN435)),"ACIMA REF.",
IF(AND($C435="S",$P435&lt;&gt;"",$Q435&lt;&gt;"",$T435=0,$U435&gt;0),"QUANT.",
IF(AND(Import.TipoArredondamento="TransfereGOV",$L435="F",$C435="S",LEN($Q435)&gt;13),"Código &gt;13",
IF(AND(Import.TipoArredondamento="TransfereGOV",$L435="F",$C435&lt;&gt;"S",LEN($R435)&gt;100),"Descrição &gt;100",
IF(AND(Import.TipoArredondamento="TransfereGOV",$L435="F",$C435="S",LEN($R435)&gt;500),"Descrição &gt;500",
IF(AND(Import.TipoArredondamento="TransfereGOV",$L435="F",$C435="S",LEFT(TRIM(UPPER($P435)),6)&lt;&gt;"SINAPI",ISNA(VLOOKUP(TRIM(UPPER($S435)),ListaTgov.Unidades,1,FALSE))),"Unid. Não Disp",
" "))))))))))))))))</f>
        <v xml:space="preserve"> </v>
      </c>
      <c r="AD435" t="str">
        <f ca="1">IF(C435&lt;=CRONO.NivelExibicao,MAX($AD$15:OFFSET(AD435,-1,0))+IF($C435&lt;&gt;1,1,MAX(1,COUNTIF(QCI!$A$13:$A$15,OFFSET($E435,-1,0)))),"")</f>
        <v/>
      </c>
      <c r="AE435" s="7" t="str">
        <f ca="1">IF(AND($C435="S",ORÇAMENTO.CodBarra&lt;&gt;""),IF(ORÇAMENTO.Fonte="",ORÇAMENTO.CodBarra,CONCATENATE(ORÇAMENTO.Fonte," ",ORÇAMENTO.CodBarra)))</f>
        <v>COMPOSIÇÃO CPU-042</v>
      </c>
      <c r="AF435" s="12">
        <f ca="1">IF(ISERROR(INDIRECT(ORÇAMENTO.BancoRef)),"(abra o arquivo 'Referência "&amp;Excel_BuiltIn_Database&amp;".xlsm)",IF(OR($C435&lt;&gt;"S",ORÇAMENTO.CodBarra=""),"(Sem Código)",IF(ISERROR(MATCH($AE435,INDIRECT(ORÇAMENTO.BancoRef),0)),"(Código não identificado nas referências)",MATCH($AE435,INDIRECT(ORÇAMENTO.BancoRef),0))))</f>
        <v>44</v>
      </c>
      <c r="AG435" s="428">
        <f ca="1">ROUND(IF(DESONERACAO="sim",REFERENCIA.Desonerado,REFERENCIA.NaoDesonerado),2)</f>
        <v>1459.04</v>
      </c>
      <c r="AH435" s="429">
        <f t="shared" ca="1" si="125"/>
        <v>0.23499999999999999</v>
      </c>
      <c r="AJ435" s="431">
        <v>2</v>
      </c>
      <c r="AL435" s="439"/>
      <c r="AM435" s="336">
        <f t="shared" ca="1" si="109"/>
        <v>3603.82</v>
      </c>
      <c r="AN435" s="470">
        <f t="shared" ca="1" si="126"/>
        <v>1801.91</v>
      </c>
    </row>
    <row r="436" spans="1:40" ht="25.5" x14ac:dyDescent="0.2">
      <c r="A436" t="str">
        <f t="shared" si="112"/>
        <v>S</v>
      </c>
      <c r="B436">
        <f t="shared" ca="1" si="113"/>
        <v>4</v>
      </c>
      <c r="C436" t="str">
        <f t="shared" ca="1" si="114"/>
        <v>S</v>
      </c>
      <c r="D436">
        <f t="shared" ca="1" si="115"/>
        <v>0</v>
      </c>
      <c r="E436">
        <f ca="1">IF($C436=1,OFFSET(E436,-1,0)+MAX(1,COUNTIF(QCI!$A$13:$A$15,OFFSET(ORÇAMENTO!E436,-1,0))),OFFSET(E436,-1,0))</f>
        <v>1</v>
      </c>
      <c r="F436">
        <f t="shared" ca="1" si="116"/>
        <v>8</v>
      </c>
      <c r="G436">
        <f t="shared" ca="1" si="117"/>
        <v>2</v>
      </c>
      <c r="H436">
        <f t="shared" ca="1" si="118"/>
        <v>5</v>
      </c>
      <c r="I436">
        <f t="shared" ca="1" si="119"/>
        <v>2</v>
      </c>
      <c r="J436">
        <f t="shared" ca="1" si="110"/>
        <v>0</v>
      </c>
      <c r="K436">
        <f ca="1">IF(OR($C436="S",$C436=0),0,MATCH(OFFSET($D436,0,$C436)+IF($C436&lt;&gt;1,1,COUNTIF(QCI!$A$13:$A$15,ORÇAMENTO!E436)),OFFSET($D436,1,$C436,ROW($C$508)-ROW($C436)),0))</f>
        <v>0</v>
      </c>
      <c r="L436" s="114" t="str">
        <f t="shared" ca="1" si="120"/>
        <v>F</v>
      </c>
      <c r="M436" s="115" t="s">
        <v>705</v>
      </c>
      <c r="N436" s="116" t="str">
        <f t="shared" ca="1" si="121"/>
        <v>Serviço</v>
      </c>
      <c r="O436" s="117" t="str">
        <f t="shared" ca="1" si="122"/>
        <v>1.8.2.5.2.</v>
      </c>
      <c r="P436" s="118" t="s">
        <v>750</v>
      </c>
      <c r="Q436" s="119" t="s">
        <v>1446</v>
      </c>
      <c r="R436" s="120" t="str">
        <f ca="1">IF($C436="S",REFERENCIA.Descricao,"(digite a descrição aqui)")</f>
        <v>GRUPO GERADOR ESTACIONÁRIO, POTÊNCIA 150 KVA, MOTOR A DIESEL- CHP DIURNO. AF_03/2016</v>
      </c>
      <c r="S436" s="121" t="str">
        <f ca="1">REFERENCIA.Unidade</f>
        <v>CHP</v>
      </c>
      <c r="T436" s="122">
        <f ca="1">OFFSET(CÁLCULO!H$15,ROW($T436)-ROW(T$15),0)</f>
        <v>1760</v>
      </c>
      <c r="U436" s="123">
        <f t="shared" ca="1" si="108"/>
        <v>179.26</v>
      </c>
      <c r="V436" s="124" t="s">
        <v>663</v>
      </c>
      <c r="W436" s="122">
        <f ca="1">IF($C436="S",ROUND(IF(TIPOORCAMENTO="Proposto",ORÇAMENTO.CustoUnitario*(1+$AH436),ORÇAMENTO.PrecoUnitarioLicitado),15-13*$AF$10),0)</f>
        <v>221.39</v>
      </c>
      <c r="X436" s="125" cm="1">
        <f t="array" aca="1" ref="X436" ca="1">IF($C436="S",IF(OR(Import.TipoArredondamento&lt;&gt;"TransfereGOV",ACOMPANHAMENTO="BM"),VTOTAL1,SUM(OFFSET(CÁLCULO!$AI$15,ROW($X436)-ROW($X$15),1):OFFSET(CÁLCULO!$BB$15,ROW($X436)-ROW($X$15),-1))),IF($C436=0,0,ROUND(SomaAgrup,15-13*$AF$11)))</f>
        <v>389646.4</v>
      </c>
      <c r="Y436" s="126" t="s">
        <v>751</v>
      </c>
      <c r="Z436" t="str">
        <f t="shared" ca="1" si="123"/>
        <v>RA</v>
      </c>
      <c r="AA436" s="127">
        <f ca="1">IF($C436="S",IF($Z436="CP",$X436,IF($Z436="RA",(($X436)*QCI!$AA$3),0)),SomaAgrup)</f>
        <v>0</v>
      </c>
      <c r="AB436" s="128">
        <f t="shared" ca="1" si="124"/>
        <v>0</v>
      </c>
      <c r="AC436" s="565" t="str" cm="1">
        <f t="array" aca="1" ref="AC436" ca="1">IF($N436=""," ",
IF(AND($C436&lt;&gt;"S",OR($R436="",$R436="(digite a descrição aqui)")),"DESCRIÇÃO",
IF(AND($C436="S",OR($Q436&lt;&gt;"",$T436&gt;0,$U436&gt;0),$P436=""),"FONTE",
IF(AND($C436="S",$P436&lt;&gt;"",OR($T436&gt;0,$U436&gt;0),$Q436=""),"CÓDIGO",
IF(AND($C436="S",$P436&lt;&gt;"",$Q436&lt;&gt;"",$R436="(Código não identificado nas referências)"),"CÓDIGO N/ID",
IF(AND($C436="S",OR($R436="",$R436="(digite a descrição aqui)"),OR($Q436&lt;&gt;"",$T436&gt;0,$U436&gt;0)),"DESCRIÇÃO",
IF(AND($C436="S",$P436&lt;&gt;"",$Q436&lt;&gt;"",$S436=""),"UNIDADE",
IF(AND($C436="S",$P436&lt;&gt;"",$Q436&lt;&gt;"",$U436=0),"SEM CUSTO",
IF(AND(_xlfn.SINGLE(TIPOORCAMENTO)="Licitado",$AL436=0,$AN436&gt;0),"SEM PREÇO",
IF(AND($C436="S",$P436&lt;&gt;"",$Q436&lt;&gt;"",$U436&gt;0,AND($V436&lt;&gt;"BDI 1",$V436&lt;&gt;"BDI 2",$V436&lt;&gt;"BDI 3")),IF(ISNUMBER($V436),"JUSTIFICAR BDI","BDI"),
IF(OR(AND(import.recurso="OGU",TIPOORCAMENTO="Proposto",LEFT($O$8,5)&lt;&gt;"(N/D:",$AG436&lt;&gt;"",ORÇAMENTO.CustoUnitario&gt;$AG436),AND(TIPOORCAMENTO="LICITADO",ORÇAMENTO.PrecoUnitarioLicitado&gt;$AN436)),"ACIMA REF.",
IF(AND($C436="S",$P436&lt;&gt;"",$Q436&lt;&gt;"",$T436=0,$U436&gt;0),"QUANT.",
IF(AND(Import.TipoArredondamento="TransfereGOV",$L436="F",$C436="S",LEN($Q436)&gt;13),"Código &gt;13",
IF(AND(Import.TipoArredondamento="TransfereGOV",$L436="F",$C436&lt;&gt;"S",LEN($R436)&gt;100),"Descrição &gt;100",
IF(AND(Import.TipoArredondamento="TransfereGOV",$L436="F",$C436="S",LEN($R436)&gt;500),"Descrição &gt;500",
IF(AND(Import.TipoArredondamento="TransfereGOV",$L436="F",$C436="S",LEFT(TRIM(UPPER($P436)),6)&lt;&gt;"SINAPI",ISNA(VLOOKUP(TRIM(UPPER($S436)),ListaTgov.Unidades,1,FALSE))),"Unid. Não Disp",
" "))))))))))))))))</f>
        <v xml:space="preserve"> </v>
      </c>
      <c r="AD436" t="str">
        <f ca="1">IF(C436&lt;=CRONO.NivelExibicao,MAX($AD$15:OFFSET(AD436,-1,0))+IF($C436&lt;&gt;1,1,MAX(1,COUNTIF(QCI!$A$13:$A$15,OFFSET($E436,-1,0)))),"")</f>
        <v/>
      </c>
      <c r="AE436" s="7" t="str">
        <f ca="1">IF(AND($C436="S",ORÇAMENTO.CodBarra&lt;&gt;""),IF(ORÇAMENTO.Fonte="",ORÇAMENTO.CodBarra,CONCATENATE(ORÇAMENTO.Fonte," ",ORÇAMENTO.CodBarra)))</f>
        <v>SINAPI 93427</v>
      </c>
      <c r="AF436" s="12">
        <f ca="1">IF(ISERROR(INDIRECT(ORÇAMENTO.BancoRef)),"(abra o arquivo 'Referência "&amp;Excel_BuiltIn_Database&amp;".xlsm)",IF(OR($C436&lt;&gt;"S",ORÇAMENTO.CodBarra=""),"(Sem Código)",IF(ISERROR(MATCH($AE436,INDIRECT(ORÇAMENTO.BancoRef),0)),"(Código não identificado nas referências)",MATCH($AE436,INDIRECT(ORÇAMENTO.BancoRef),0))))</f>
        <v>7623</v>
      </c>
      <c r="AG436" s="428">
        <f ca="1">ROUND(IF(DESONERACAO="sim",REFERENCIA.Desonerado,REFERENCIA.NaoDesonerado),2)</f>
        <v>179.26</v>
      </c>
      <c r="AH436" s="429">
        <f t="shared" ca="1" si="125"/>
        <v>0.23499999999999999</v>
      </c>
      <c r="AJ436" s="431">
        <f>22*4*10*2</f>
        <v>1760</v>
      </c>
      <c r="AL436" s="439"/>
      <c r="AM436" s="336">
        <f t="shared" ca="1" si="109"/>
        <v>389646.4</v>
      </c>
      <c r="AN436" s="470">
        <f t="shared" ca="1" si="126"/>
        <v>221.39</v>
      </c>
    </row>
    <row r="437" spans="1:40" ht="25.5" x14ac:dyDescent="0.2">
      <c r="A437" t="str">
        <f>CHOOSE(1+LOG(1+2*(ORÇAMENTO.Nivel="Meta")+4*(ORÇAMENTO.Nivel="Nível 2")+8*(ORÇAMENTO.Nivel="Nível 3")+16*(ORÇAMENTO.Nivel="Nível 4")+32*(ORÇAMENTO.Nivel="Serviço"),2),0,1,2,3,4,"S")</f>
        <v>S</v>
      </c>
      <c r="B437">
        <f ca="1">IF(OR(C437="s",C437=0),OFFSET(B437,-1,0),C437)</f>
        <v>4</v>
      </c>
      <c r="C437" t="str">
        <f ca="1">IF(OFFSET(C437,-1,0)="L",1,IF(OFFSET(C437,-1,0)=1,2,IF(OR(A437="s",A437=0),"S",IF(AND(OFFSET(C437,-1,0)=2,A437=4),3,IF(AND(OR(OFFSET(C437,-1,0)="s",OFFSET(C437,-1,0)=0),A437&lt;&gt;"s",A437&gt;OFFSET(B437,-1,0)),OFFSET(B437,-1,0),A437)))))</f>
        <v>S</v>
      </c>
      <c r="D437">
        <f ca="1">IF(OR(C437="S",C437=0),0,IF(ISERROR(K437),J437,SMALL(J437:K437,1)))</f>
        <v>0</v>
      </c>
      <c r="E437">
        <f ca="1">IF($C437=1,OFFSET(E437,-1,0)+MAX(1,COUNTIF(QCI!$A$13:$A$15,OFFSET(ORÇAMENTO!E437,-1,0))),OFFSET(E437,-1,0))</f>
        <v>1</v>
      </c>
      <c r="F437">
        <f ca="1">IF($C437=1,0,IF($C437=2,OFFSET(F437,-1,0)+1,OFFSET(F437,-1,0)))</f>
        <v>8</v>
      </c>
      <c r="G437">
        <f ca="1">IF(AND($C437&lt;=2,$C437&lt;&gt;0),0,IF($C437=3,OFFSET(G437,-1,0)+1,OFFSET(G437,-1,0)))</f>
        <v>2</v>
      </c>
      <c r="H437">
        <f ca="1">IF(AND($C437&lt;=3,$C437&lt;&gt;0),0,IF($C437=4,OFFSET(H437,-1,0)+1,OFFSET(H437,-1,0)))</f>
        <v>5</v>
      </c>
      <c r="I437">
        <f ca="1">IF(AND($C437&lt;=4,$C437&lt;&gt;0),0,IF(AND($C437="S",$X437&gt;0),OFFSET(I437,-1,0)+1,OFFSET(I437,-1,0)))</f>
        <v>3</v>
      </c>
      <c r="J437">
        <f ca="1">IF(OR($C437="S",$C437=0),0,MATCH(0,OFFSET($D437,1,$C437,ROW($C$508)-ROW($C437)),0))</f>
        <v>0</v>
      </c>
      <c r="K437">
        <f ca="1">IF(OR($C437="S",$C437=0),0,MATCH(OFFSET($D437,0,$C437)+IF($C437&lt;&gt;1,1,COUNTIF(QCI!$A$13:$A$15,ORÇAMENTO!E437)),OFFSET($D437,1,$C437,ROW($C$508)-ROW($C437)),0))</f>
        <v>0</v>
      </c>
      <c r="L437" s="114" t="str">
        <f ca="1">IF(OR($X437&gt;0,$C437=1,$C437=2,$C437=3,$C437=4),"F","")</f>
        <v>F</v>
      </c>
      <c r="M437" s="115" t="s">
        <v>705</v>
      </c>
      <c r="N437" s="116" t="str">
        <f ca="1">CHOOSE(1+LOG(1+2*(C437=1)+4*(C437=2)+8*(C437=3)+16*(C437=4)+32*(C437="S"),2),"","Meta","Nível 2","Nível 3","Nível 4","Serviço")</f>
        <v>Serviço</v>
      </c>
      <c r="O437" s="117" t="str">
        <f ca="1">IF(OR($C437=0,$L437=""),"-",CONCATENATE(E437&amp;".",IF(AND($A$5&gt;=2,$C437&gt;=2),F437&amp;".",""),IF(AND($A$5&gt;=3,$C437&gt;=3),G437&amp;".",""),IF(AND($A$5&gt;=4,$C437&gt;=4),H437&amp;".",""),IF($C437="S",I437&amp;".","")))</f>
        <v>1.8.2.5.3.</v>
      </c>
      <c r="P437" s="118" t="s">
        <v>750</v>
      </c>
      <c r="Q437" s="119" t="s">
        <v>1448</v>
      </c>
      <c r="R437" s="120" t="str">
        <f ca="1">IF($C437="S",REFERENCIA.Descricao,"(digite a descrição aqui)")</f>
        <v>GRUPO GERADOR ESTACIONÁRIO, POTÊNCIA 150 KVA, MOTOR A DIESEL- CHI DIURNO. AF_03/2016</v>
      </c>
      <c r="S437" s="121" t="str">
        <f ca="1">REFERENCIA.Unidade</f>
        <v>CHI</v>
      </c>
      <c r="T437" s="122">
        <f ca="1">OFFSET(CÁLCULO!H$15,ROW($T437)-ROW(T$15),0)</f>
        <v>1760</v>
      </c>
      <c r="U437" s="123">
        <f t="shared" ca="1" si="108"/>
        <v>9.2200000000000006</v>
      </c>
      <c r="V437" s="124" t="s">
        <v>663</v>
      </c>
      <c r="W437" s="122">
        <f ca="1">IF($C437="S",ROUND(IF(TIPOORCAMENTO="Proposto",ORÇAMENTO.CustoUnitario*(1+$AH437),ORÇAMENTO.PrecoUnitarioLicitado),15-13*$AF$10),0)</f>
        <v>11.39</v>
      </c>
      <c r="X437" s="125" cm="1">
        <f t="array" aca="1" ref="X437" ca="1">IF($C437="S",IF(OR(Import.TipoArredondamento&lt;&gt;"TransfereGOV",ACOMPANHAMENTO="BM"),VTOTAL1,SUM(OFFSET(CÁLCULO!$AI$15,ROW($X437)-ROW($X$15),1):OFFSET(CÁLCULO!$BB$15,ROW($X437)-ROW($X$15),-1))),IF($C437=0,0,ROUND(SomaAgrup,15-13*$AF$11)))</f>
        <v>20046.400000000001</v>
      </c>
      <c r="Y437" s="126" t="s">
        <v>751</v>
      </c>
      <c r="Z437" t="str">
        <f ca="1">IF(AND($C437="S",$X437&gt;0),IF(ISBLANK($Y437),"RA",LEFT($Y437,2)),"")</f>
        <v>RA</v>
      </c>
      <c r="AA437" s="127">
        <f ca="1">IF($C437="S",IF($Z437="CP",$X437,IF($Z437="RA",(($X437)*QCI!$AA$3),0)),SomaAgrup)</f>
        <v>0</v>
      </c>
      <c r="AB437" s="128">
        <f ca="1">IF($C437="S",IF($Z437="OU",ROUND($X437,2),0),SomaAgrup)</f>
        <v>0</v>
      </c>
      <c r="AC437" s="565" t="str" cm="1">
        <f t="array" aca="1" ref="AC437" ca="1">IF($N437=""," ",
IF(AND($C437&lt;&gt;"S",OR($R437="",$R437="(digite a descrição aqui)")),"DESCRIÇÃO",
IF(AND($C437="S",OR($Q437&lt;&gt;"",$T437&gt;0,$U437&gt;0),$P437=""),"FONTE",
IF(AND($C437="S",$P437&lt;&gt;"",OR($T437&gt;0,$U437&gt;0),$Q437=""),"CÓDIGO",
IF(AND($C437="S",$P437&lt;&gt;"",$Q437&lt;&gt;"",$R437="(Código não identificado nas referências)"),"CÓDIGO N/ID",
IF(AND($C437="S",OR($R437="",$R437="(digite a descrição aqui)"),OR($Q437&lt;&gt;"",$T437&gt;0,$U437&gt;0)),"DESCRIÇÃO",
IF(AND($C437="S",$P437&lt;&gt;"",$Q437&lt;&gt;"",$S437=""),"UNIDADE",
IF(AND($C437="S",$P437&lt;&gt;"",$Q437&lt;&gt;"",$U437=0),"SEM CUSTO",
IF(AND(_xlfn.SINGLE(TIPOORCAMENTO)="Licitado",$AL437=0,$AN437&gt;0),"SEM PREÇO",
IF(AND($C437="S",$P437&lt;&gt;"",$Q437&lt;&gt;"",$U437&gt;0,AND($V437&lt;&gt;"BDI 1",$V437&lt;&gt;"BDI 2",$V437&lt;&gt;"BDI 3")),IF(ISNUMBER($V437),"JUSTIFICAR BDI","BDI"),
IF(OR(AND(import.recurso="OGU",TIPOORCAMENTO="Proposto",LEFT($O$8,5)&lt;&gt;"(N/D:",$AG437&lt;&gt;"",ORÇAMENTO.CustoUnitario&gt;$AG437),AND(TIPOORCAMENTO="LICITADO",ORÇAMENTO.PrecoUnitarioLicitado&gt;$AN437)),"ACIMA REF.",
IF(AND($C437="S",$P437&lt;&gt;"",$Q437&lt;&gt;"",$T437=0,$U437&gt;0),"QUANT.",
IF(AND(Import.TipoArredondamento="TransfereGOV",$L437="F",$C437="S",LEN($Q437)&gt;13),"Código &gt;13",
IF(AND(Import.TipoArredondamento="TransfereGOV",$L437="F",$C437&lt;&gt;"S",LEN($R437)&gt;100),"Descrição &gt;100",
IF(AND(Import.TipoArredondamento="TransfereGOV",$L437="F",$C437="S",LEN($R437)&gt;500),"Descrição &gt;500",
IF(AND(Import.TipoArredondamento="TransfereGOV",$L437="F",$C437="S",LEFT(TRIM(UPPER($P437)),6)&lt;&gt;"SINAPI",ISNA(VLOOKUP(TRIM(UPPER($S437)),ListaTgov.Unidades,1,FALSE))),"Unid. Não Disp",
" "))))))))))))))))</f>
        <v xml:space="preserve"> </v>
      </c>
      <c r="AD437" t="str">
        <f ca="1">IF(C437&lt;=CRONO.NivelExibicao,MAX($AD$15:OFFSET(AD437,-1,0))+IF($C437&lt;&gt;1,1,MAX(1,COUNTIF(QCI!$A$13:$A$15,OFFSET($E437,-1,0)))),"")</f>
        <v/>
      </c>
      <c r="AE437" s="7" t="str">
        <f ca="1">IF(AND($C437="S",ORÇAMENTO.CodBarra&lt;&gt;""),IF(ORÇAMENTO.Fonte="",ORÇAMENTO.CodBarra,CONCATENATE(ORÇAMENTO.Fonte," ",ORÇAMENTO.CodBarra)))</f>
        <v>SINAPI 93428</v>
      </c>
      <c r="AF437" s="12">
        <f ca="1">IF(ISERROR(INDIRECT(ORÇAMENTO.BancoRef)),"(abra o arquivo 'Referência "&amp;Excel_BuiltIn_Database&amp;".xlsm)",IF(OR($C437&lt;&gt;"S",ORÇAMENTO.CodBarra=""),"(Sem Código)",IF(ISERROR(MATCH($AE437,INDIRECT(ORÇAMENTO.BancoRef),0)),"(Código não identificado nas referências)",MATCH($AE437,INDIRECT(ORÇAMENTO.BancoRef),0))))</f>
        <v>7622</v>
      </c>
      <c r="AG437" s="428">
        <f ca="1">ROUND(IF(DESONERACAO="sim",REFERENCIA.Desonerado,REFERENCIA.NaoDesonerado),2)</f>
        <v>9.2200000000000006</v>
      </c>
      <c r="AH437" s="429">
        <f ca="1">ROUND(IF(ISNUMBER(ORÇAMENTO.OpcaoBDI),ORÇAMENTO.OpcaoBDI,IF(LEFT(ORÇAMENTO.OpcaoBDI,3)="BDI",HLOOKUP(ORÇAMENTO.OpcaoBDI,$F$4:$H$5,2,FALSE),0)),15-11*$AF$9)</f>
        <v>0.23499999999999999</v>
      </c>
      <c r="AJ437" s="431">
        <f>22*4*10*2</f>
        <v>1760</v>
      </c>
      <c r="AL437" s="439"/>
      <c r="AM437" s="336">
        <f t="shared" ca="1" si="109"/>
        <v>20046.400000000001</v>
      </c>
      <c r="AN437" s="470">
        <f ca="1">ROUND(ORÇAMENTO.CustoUnitario*(1+$AH437),2)</f>
        <v>11.39</v>
      </c>
    </row>
    <row r="438" spans="1:40" ht="38.25" x14ac:dyDescent="0.2">
      <c r="A438" t="str">
        <f t="shared" si="112"/>
        <v>S</v>
      </c>
      <c r="B438">
        <f t="shared" ca="1" si="113"/>
        <v>4</v>
      </c>
      <c r="C438" t="str">
        <f t="shared" ca="1" si="114"/>
        <v>S</v>
      </c>
      <c r="D438">
        <f t="shared" ca="1" si="115"/>
        <v>0</v>
      </c>
      <c r="E438">
        <f ca="1">IF($C438=1,OFFSET(E438,-1,0)+MAX(1,COUNTIF(QCI!$A$13:$A$15,OFFSET(ORÇAMENTO!E438,-1,0))),OFFSET(E438,-1,0))</f>
        <v>1</v>
      </c>
      <c r="F438">
        <f t="shared" ca="1" si="116"/>
        <v>8</v>
      </c>
      <c r="G438">
        <f t="shared" ca="1" si="117"/>
        <v>2</v>
      </c>
      <c r="H438">
        <f t="shared" ca="1" si="118"/>
        <v>5</v>
      </c>
      <c r="I438">
        <f t="shared" ca="1" si="119"/>
        <v>4</v>
      </c>
      <c r="J438">
        <f t="shared" ca="1" si="110"/>
        <v>0</v>
      </c>
      <c r="K438">
        <f ca="1">IF(OR($C438="S",$C438=0),0,MATCH(OFFSET($D438,0,$C438)+IF($C438&lt;&gt;1,1,COUNTIF(QCI!$A$13:$A$15,ORÇAMENTO!E438)),OFFSET($D438,1,$C438,ROW($C$508)-ROW($C438)),0))</f>
        <v>0</v>
      </c>
      <c r="L438" s="114" t="str">
        <f t="shared" ca="1" si="120"/>
        <v>F</v>
      </c>
      <c r="M438" s="115" t="s">
        <v>705</v>
      </c>
      <c r="N438" s="116" t="str">
        <f t="shared" ca="1" si="121"/>
        <v>Serviço</v>
      </c>
      <c r="O438" s="117" t="str">
        <f t="shared" ca="1" si="122"/>
        <v>1.8.2.5.4.</v>
      </c>
      <c r="P438" s="118" t="s">
        <v>957</v>
      </c>
      <c r="Q438" s="119" t="s">
        <v>1163</v>
      </c>
      <c r="R438" s="120" t="str">
        <f ca="1">IF($C438="S",REFERENCIA.Descricao,"(digite a descrição aqui)")</f>
        <v>INSTALAÇÃO DE GRUPO GERADOR DIESEL 50KVA, CARENADO SILENCIOSO, FREQUÊNCIA 60HZ, INCLUSO QTA - BASEADO EM SBC 065023</v>
      </c>
      <c r="S438" s="121" t="str">
        <f ca="1">REFERENCIA.Unidade</f>
        <v>UN</v>
      </c>
      <c r="T438" s="122">
        <f ca="1">OFFSET(CÁLCULO!H$15,ROW($T438)-ROW(T$15),0)</f>
        <v>1</v>
      </c>
      <c r="U438" s="123">
        <f t="shared" ca="1" si="108"/>
        <v>1459.04</v>
      </c>
      <c r="V438" s="124" t="s">
        <v>663</v>
      </c>
      <c r="W438" s="122">
        <f ca="1">IF($C438="S",ROUND(IF(TIPOORCAMENTO="Proposto",ORÇAMENTO.CustoUnitario*(1+$AH438),ORÇAMENTO.PrecoUnitarioLicitado),15-13*$AF$10),0)</f>
        <v>1801.91</v>
      </c>
      <c r="X438" s="125" cm="1">
        <f t="array" aca="1" ref="X438" ca="1">IF($C438="S",IF(OR(Import.TipoArredondamento&lt;&gt;"TransfereGOV",ACOMPANHAMENTO="BM"),VTOTAL1,SUM(OFFSET(CÁLCULO!$AI$15,ROW($X438)-ROW($X$15),1):OFFSET(CÁLCULO!$BB$15,ROW($X438)-ROW($X$15),-1))),IF($C438=0,0,ROUND(SomaAgrup,15-13*$AF$11)))</f>
        <v>1801.91</v>
      </c>
      <c r="Y438" s="126" t="s">
        <v>751</v>
      </c>
      <c r="Z438" t="str">
        <f t="shared" ca="1" si="123"/>
        <v>RA</v>
      </c>
      <c r="AA438" s="127">
        <f ca="1">IF($C438="S",IF($Z438="CP",$X438,IF($Z438="RA",(($X438)*QCI!$AA$3),0)),SomaAgrup)</f>
        <v>0</v>
      </c>
      <c r="AB438" s="128">
        <f t="shared" ca="1" si="124"/>
        <v>0</v>
      </c>
      <c r="AC438" s="565" t="str" cm="1">
        <f t="array" aca="1" ref="AC438" ca="1">IF($N438=""," ",
IF(AND($C438&lt;&gt;"S",OR($R438="",$R438="(digite a descrição aqui)")),"DESCRIÇÃO",
IF(AND($C438="S",OR($Q438&lt;&gt;"",$T438&gt;0,$U438&gt;0),$P438=""),"FONTE",
IF(AND($C438="S",$P438&lt;&gt;"",OR($T438&gt;0,$U438&gt;0),$Q438=""),"CÓDIGO",
IF(AND($C438="S",$P438&lt;&gt;"",$Q438&lt;&gt;"",$R438="(Código não identificado nas referências)"),"CÓDIGO N/ID",
IF(AND($C438="S",OR($R438="",$R438="(digite a descrição aqui)"),OR($Q438&lt;&gt;"",$T438&gt;0,$U438&gt;0)),"DESCRIÇÃO",
IF(AND($C438="S",$P438&lt;&gt;"",$Q438&lt;&gt;"",$S438=""),"UNIDADE",
IF(AND($C438="S",$P438&lt;&gt;"",$Q438&lt;&gt;"",$U438=0),"SEM CUSTO",
IF(AND(_xlfn.SINGLE(TIPOORCAMENTO)="Licitado",$AL438=0,$AN438&gt;0),"SEM PREÇO",
IF(AND($C438="S",$P438&lt;&gt;"",$Q438&lt;&gt;"",$U438&gt;0,AND($V438&lt;&gt;"BDI 1",$V438&lt;&gt;"BDI 2",$V438&lt;&gt;"BDI 3")),IF(ISNUMBER($V438),"JUSTIFICAR BDI","BDI"),
IF(OR(AND(import.recurso="OGU",TIPOORCAMENTO="Proposto",LEFT($O$8,5)&lt;&gt;"(N/D:",$AG438&lt;&gt;"",ORÇAMENTO.CustoUnitario&gt;$AG438),AND(TIPOORCAMENTO="LICITADO",ORÇAMENTO.PrecoUnitarioLicitado&gt;$AN438)),"ACIMA REF.",
IF(AND($C438="S",$P438&lt;&gt;"",$Q438&lt;&gt;"",$T438=0,$U438&gt;0),"QUANT.",
IF(AND(Import.TipoArredondamento="TransfereGOV",$L438="F",$C438="S",LEN($Q438)&gt;13),"Código &gt;13",
IF(AND(Import.TipoArredondamento="TransfereGOV",$L438="F",$C438&lt;&gt;"S",LEN($R438)&gt;100),"Descrição &gt;100",
IF(AND(Import.TipoArredondamento="TransfereGOV",$L438="F",$C438="S",LEN($R438)&gt;500),"Descrição &gt;500",
IF(AND(Import.TipoArredondamento="TransfereGOV",$L438="F",$C438="S",LEFT(TRIM(UPPER($P438)),6)&lt;&gt;"SINAPI",ISNA(VLOOKUP(TRIM(UPPER($S438)),ListaTgov.Unidades,1,FALSE))),"Unid. Não Disp",
" "))))))))))))))))</f>
        <v xml:space="preserve"> </v>
      </c>
      <c r="AD438" t="str">
        <f ca="1">IF(C438&lt;=CRONO.NivelExibicao,MAX($AD$15:OFFSET(AD438,-1,0))+IF($C438&lt;&gt;1,1,MAX(1,COUNTIF(QCI!$A$13:$A$15,OFFSET($E438,-1,0)))),"")</f>
        <v/>
      </c>
      <c r="AE438" s="7" t="str">
        <f ca="1">IF(AND($C438="S",ORÇAMENTO.CodBarra&lt;&gt;""),IF(ORÇAMENTO.Fonte="",ORÇAMENTO.CodBarra,CONCATENATE(ORÇAMENTO.Fonte," ",ORÇAMENTO.CodBarra)))</f>
        <v>Composição CPU-060</v>
      </c>
      <c r="AF438" s="12">
        <f ca="1">IF(ISERROR(INDIRECT(ORÇAMENTO.BancoRef)),"(abra o arquivo 'Referência "&amp;Excel_BuiltIn_Database&amp;".xlsm)",IF(OR($C438&lt;&gt;"S",ORÇAMENTO.CodBarra=""),"(Sem Código)",IF(ISERROR(MATCH($AE438,INDIRECT(ORÇAMENTO.BancoRef),0)),"(Código não identificado nas referências)",MATCH($AE438,INDIRECT(ORÇAMENTO.BancoRef),0))))</f>
        <v>62</v>
      </c>
      <c r="AG438" s="428">
        <f ca="1">ROUND(IF(DESONERACAO="sim",REFERENCIA.Desonerado,REFERENCIA.NaoDesonerado),2)</f>
        <v>1459.04</v>
      </c>
      <c r="AH438" s="429">
        <f t="shared" ca="1" si="125"/>
        <v>0.23499999999999999</v>
      </c>
      <c r="AJ438" s="431">
        <v>1</v>
      </c>
      <c r="AL438" s="439"/>
      <c r="AM438" s="336">
        <f t="shared" ca="1" si="109"/>
        <v>1801.91</v>
      </c>
      <c r="AN438" s="470">
        <f t="shared" ca="1" si="126"/>
        <v>1801.91</v>
      </c>
    </row>
    <row r="439" spans="1:40" ht="25.5" x14ac:dyDescent="0.2">
      <c r="A439" t="str">
        <f t="shared" si="112"/>
        <v>S</v>
      </c>
      <c r="B439">
        <f t="shared" ca="1" si="113"/>
        <v>4</v>
      </c>
      <c r="C439" t="str">
        <f t="shared" ca="1" si="114"/>
        <v>S</v>
      </c>
      <c r="D439">
        <f t="shared" ca="1" si="115"/>
        <v>0</v>
      </c>
      <c r="E439">
        <f ca="1">IF($C439=1,OFFSET(E439,-1,0)+MAX(1,COUNTIF(QCI!$A$13:$A$15,OFFSET(ORÇAMENTO!E439,-1,0))),OFFSET(E439,-1,0))</f>
        <v>1</v>
      </c>
      <c r="F439">
        <f t="shared" ca="1" si="116"/>
        <v>8</v>
      </c>
      <c r="G439">
        <f t="shared" ca="1" si="117"/>
        <v>2</v>
      </c>
      <c r="H439">
        <f t="shared" ca="1" si="118"/>
        <v>5</v>
      </c>
      <c r="I439">
        <f t="shared" ca="1" si="119"/>
        <v>5</v>
      </c>
      <c r="J439">
        <f t="shared" ca="1" si="110"/>
        <v>0</v>
      </c>
      <c r="K439">
        <f ca="1">IF(OR($C439="S",$C439=0),0,MATCH(OFFSET($D439,0,$C439)+IF($C439&lt;&gt;1,1,COUNTIF(QCI!$A$13:$A$15,ORÇAMENTO!E439)),OFFSET($D439,1,$C439,ROW($C$508)-ROW($C439)),0))</f>
        <v>0</v>
      </c>
      <c r="L439" s="114" t="str">
        <f t="shared" ca="1" si="120"/>
        <v>F</v>
      </c>
      <c r="M439" s="115" t="s">
        <v>705</v>
      </c>
      <c r="N439" s="116" t="str">
        <f t="shared" ca="1" si="121"/>
        <v>Serviço</v>
      </c>
      <c r="O439" s="117" t="str">
        <f t="shared" ca="1" si="122"/>
        <v>1.8.2.5.5.</v>
      </c>
      <c r="P439" s="118" t="s">
        <v>750</v>
      </c>
      <c r="Q439" s="119" t="s">
        <v>1447</v>
      </c>
      <c r="R439" s="120" t="str">
        <f ca="1">IF($C439="S",REFERENCIA.Descricao,"(digite a descrição aqui)")</f>
        <v>GRUPO GERADOR REBOCÁVEL, POTÊNCIA 66 KVA, MOTOR A DIESEL - CHP DIURNO. AF_03/2016</v>
      </c>
      <c r="S439" s="121" t="str">
        <f ca="1">REFERENCIA.Unidade</f>
        <v>CHP</v>
      </c>
      <c r="T439" s="122">
        <f ca="1">OFFSET(CÁLCULO!H$15,ROW($T439)-ROW(T$15),0)</f>
        <v>880</v>
      </c>
      <c r="U439" s="123">
        <f ca="1">AG439</f>
        <v>79.42</v>
      </c>
      <c r="V439" s="124" t="s">
        <v>663</v>
      </c>
      <c r="W439" s="122">
        <f ca="1">IF($C439="S",ROUND(IF(TIPOORCAMENTO="Proposto",ORÇAMENTO.CustoUnitario*(1+$AH439),ORÇAMENTO.PrecoUnitarioLicitado),15-13*$AF$10),0)</f>
        <v>98.08</v>
      </c>
      <c r="X439" s="125" cm="1">
        <f t="array" aca="1" ref="X439" ca="1">IF($C439="S",IF(OR(Import.TipoArredondamento&lt;&gt;"TransfereGOV",ACOMPANHAMENTO="BM"),VTOTAL1,SUM(OFFSET(CÁLCULO!$AI$15,ROW($X439)-ROW($X$15),1):OFFSET(CÁLCULO!$BB$15,ROW($X439)-ROW($X$15),-1))),IF($C439=0,0,ROUND(SomaAgrup,15-13*$AF$11)))</f>
        <v>86310.399999999994</v>
      </c>
      <c r="Y439" s="126" t="s">
        <v>751</v>
      </c>
      <c r="Z439" t="str">
        <f t="shared" ca="1" si="123"/>
        <v>RA</v>
      </c>
      <c r="AA439" s="127">
        <f ca="1">IF($C439="S",IF($Z439="CP",$X439,IF($Z439="RA",(($X439)*QCI!$AA$3),0)),SomaAgrup)</f>
        <v>0</v>
      </c>
      <c r="AB439" s="128">
        <f t="shared" ca="1" si="124"/>
        <v>0</v>
      </c>
      <c r="AC439" s="565" t="str" cm="1">
        <f t="array" aca="1" ref="AC439" ca="1">IF($N439=""," ",
IF(AND($C439&lt;&gt;"S",OR($R439="",$R439="(digite a descrição aqui)")),"DESCRIÇÃO",
IF(AND($C439="S",OR($Q439&lt;&gt;"",$T439&gt;0,$U439&gt;0),$P439=""),"FONTE",
IF(AND($C439="S",$P439&lt;&gt;"",OR($T439&gt;0,$U439&gt;0),$Q439=""),"CÓDIGO",
IF(AND($C439="S",$P439&lt;&gt;"",$Q439&lt;&gt;"",$R439="(Código não identificado nas referências)"),"CÓDIGO N/ID",
IF(AND($C439="S",OR($R439="",$R439="(digite a descrição aqui)"),OR($Q439&lt;&gt;"",$T439&gt;0,$U439&gt;0)),"DESCRIÇÃO",
IF(AND($C439="S",$P439&lt;&gt;"",$Q439&lt;&gt;"",$S439=""),"UNIDADE",
IF(AND($C439="S",$P439&lt;&gt;"",$Q439&lt;&gt;"",$U439=0),"SEM CUSTO",
IF(AND(_xlfn.SINGLE(TIPOORCAMENTO)="Licitado",$AL439=0,$AN439&gt;0),"SEM PREÇO",
IF(AND($C439="S",$P439&lt;&gt;"",$Q439&lt;&gt;"",$U439&gt;0,AND($V439&lt;&gt;"BDI 1",$V439&lt;&gt;"BDI 2",$V439&lt;&gt;"BDI 3")),IF(ISNUMBER($V439),"JUSTIFICAR BDI","BDI"),
IF(OR(AND(import.recurso="OGU",TIPOORCAMENTO="Proposto",LEFT($O$8,5)&lt;&gt;"(N/D:",$AG439&lt;&gt;"",ORÇAMENTO.CustoUnitario&gt;$AG439),AND(TIPOORCAMENTO="LICITADO",ORÇAMENTO.PrecoUnitarioLicitado&gt;$AN439)),"ACIMA REF.",
IF(AND($C439="S",$P439&lt;&gt;"",$Q439&lt;&gt;"",$T439=0,$U439&gt;0),"QUANT.",
IF(AND(Import.TipoArredondamento="TransfereGOV",$L439="F",$C439="S",LEN($Q439)&gt;13),"Código &gt;13",
IF(AND(Import.TipoArredondamento="TransfereGOV",$L439="F",$C439&lt;&gt;"S",LEN($R439)&gt;100),"Descrição &gt;100",
IF(AND(Import.TipoArredondamento="TransfereGOV",$L439="F",$C439="S",LEN($R439)&gt;500),"Descrição &gt;500",
IF(AND(Import.TipoArredondamento="TransfereGOV",$L439="F",$C439="S",LEFT(TRIM(UPPER($P439)),6)&lt;&gt;"SINAPI",ISNA(VLOOKUP(TRIM(UPPER($S439)),ListaTgov.Unidades,1,FALSE))),"Unid. Não Disp",
" "))))))))))))))))</f>
        <v xml:space="preserve"> </v>
      </c>
      <c r="AD439" t="str">
        <f ca="1">IF(C439&lt;=CRONO.NivelExibicao,MAX($AD$15:OFFSET(AD439,-1,0))+IF($C439&lt;&gt;1,1,MAX(1,COUNTIF(QCI!$A$13:$A$15,OFFSET($E439,-1,0)))),"")</f>
        <v/>
      </c>
      <c r="AE439" s="7" t="str">
        <f ca="1">IF(AND($C439="S",ORÇAMENTO.CodBarra&lt;&gt;""),IF(ORÇAMENTO.Fonte="",ORÇAMENTO.CodBarra,CONCATENATE(ORÇAMENTO.Fonte," ",ORÇAMENTO.CodBarra)))</f>
        <v>SINAPI 93421</v>
      </c>
      <c r="AF439" s="12">
        <f ca="1">IF(ISERROR(INDIRECT(ORÇAMENTO.BancoRef)),"(abra o arquivo 'Referência "&amp;Excel_BuiltIn_Database&amp;".xlsm)",IF(OR($C439&lt;&gt;"S",ORÇAMENTO.CodBarra=""),"(Sem Código)",IF(ISERROR(MATCH($AE439,INDIRECT(ORÇAMENTO.BancoRef),0)),"(Código não identificado nas referências)",MATCH($AE439,INDIRECT(ORÇAMENTO.BancoRef),0))))</f>
        <v>7625</v>
      </c>
      <c r="AG439" s="428">
        <f ca="1">ROUND(IF(DESONERACAO="sim",REFERENCIA.Desonerado,REFERENCIA.NaoDesonerado),2)</f>
        <v>79.42</v>
      </c>
      <c r="AH439" s="429">
        <f t="shared" ca="1" si="125"/>
        <v>0.23499999999999999</v>
      </c>
      <c r="AJ439" s="431">
        <f>22*4*10</f>
        <v>880</v>
      </c>
      <c r="AL439" s="439"/>
      <c r="AM439" s="336">
        <f t="shared" ca="1" si="109"/>
        <v>86310.399999999994</v>
      </c>
      <c r="AN439" s="470">
        <f t="shared" ca="1" si="126"/>
        <v>98.08</v>
      </c>
    </row>
    <row r="440" spans="1:40" ht="25.5" x14ac:dyDescent="0.2">
      <c r="A440" t="str">
        <f>CHOOSE(1+LOG(1+2*(ORÇAMENTO.Nivel="Meta")+4*(ORÇAMENTO.Nivel="Nível 2")+8*(ORÇAMENTO.Nivel="Nível 3")+16*(ORÇAMENTO.Nivel="Nível 4")+32*(ORÇAMENTO.Nivel="Serviço"),2),0,1,2,3,4,"S")</f>
        <v>S</v>
      </c>
      <c r="B440">
        <f ca="1">IF(OR(C440="s",C440=0),OFFSET(B440,-1,0),C440)</f>
        <v>4</v>
      </c>
      <c r="C440" t="str">
        <f ca="1">IF(OFFSET(C440,-1,0)="L",1,IF(OFFSET(C440,-1,0)=1,2,IF(OR(A440="s",A440=0),"S",IF(AND(OFFSET(C440,-1,0)=2,A440=4),3,IF(AND(OR(OFFSET(C440,-1,0)="s",OFFSET(C440,-1,0)=0),A440&lt;&gt;"s",A440&gt;OFFSET(B440,-1,0)),OFFSET(B440,-1,0),A440)))))</f>
        <v>S</v>
      </c>
      <c r="D440">
        <f ca="1">IF(OR(C440="S",C440=0),0,IF(ISERROR(K440),J440,SMALL(J440:K440,1)))</f>
        <v>0</v>
      </c>
      <c r="E440">
        <f ca="1">IF($C440=1,OFFSET(E440,-1,0)+MAX(1,COUNTIF(QCI!$A$13:$A$15,OFFSET(ORÇAMENTO!E440,-1,0))),OFFSET(E440,-1,0))</f>
        <v>1</v>
      </c>
      <c r="F440">
        <f ca="1">IF($C440=1,0,IF($C440=2,OFFSET(F440,-1,0)+1,OFFSET(F440,-1,0)))</f>
        <v>8</v>
      </c>
      <c r="G440">
        <f ca="1">IF(AND($C440&lt;=2,$C440&lt;&gt;0),0,IF($C440=3,OFFSET(G440,-1,0)+1,OFFSET(G440,-1,0)))</f>
        <v>2</v>
      </c>
      <c r="H440">
        <f ca="1">IF(AND($C440&lt;=3,$C440&lt;&gt;0),0,IF($C440=4,OFFSET(H440,-1,0)+1,OFFSET(H440,-1,0)))</f>
        <v>5</v>
      </c>
      <c r="I440">
        <f ca="1">IF(AND($C440&lt;=4,$C440&lt;&gt;0),0,IF(AND($C440="S",$X440&gt;0),OFFSET(I440,-1,0)+1,OFFSET(I440,-1,0)))</f>
        <v>6</v>
      </c>
      <c r="J440">
        <f ca="1">IF(OR($C440="S",$C440=0),0,MATCH(0,OFFSET($D440,1,$C440,ROW($C$508)-ROW($C440)),0))</f>
        <v>0</v>
      </c>
      <c r="K440">
        <f ca="1">IF(OR($C440="S",$C440=0),0,MATCH(OFFSET($D440,0,$C440)+IF($C440&lt;&gt;1,1,COUNTIF(QCI!$A$13:$A$15,ORÇAMENTO!E440)),OFFSET($D440,1,$C440,ROW($C$508)-ROW($C440)),0))</f>
        <v>0</v>
      </c>
      <c r="L440" s="114" t="str">
        <f ca="1">IF(OR($X440&gt;0,$C440=1,$C440=2,$C440=3,$C440=4),"F","")</f>
        <v>F</v>
      </c>
      <c r="M440" s="115" t="s">
        <v>705</v>
      </c>
      <c r="N440" s="116" t="str">
        <f ca="1">CHOOSE(1+LOG(1+2*(C440=1)+4*(C440=2)+8*(C440=3)+16*(C440=4)+32*(C440="S"),2),"","Meta","Nível 2","Nível 3","Nível 4","Serviço")</f>
        <v>Serviço</v>
      </c>
      <c r="O440" s="117" t="str">
        <f ca="1">IF(OR($C440=0,$L440=""),"-",CONCATENATE(E440&amp;".",IF(AND($A$5&gt;=2,$C440&gt;=2),F440&amp;".",""),IF(AND($A$5&gt;=3,$C440&gt;=3),G440&amp;".",""),IF(AND($A$5&gt;=4,$C440&gt;=4),H440&amp;".",""),IF($C440="S",I440&amp;".","")))</f>
        <v>1.8.2.5.6.</v>
      </c>
      <c r="P440" s="118" t="s">
        <v>750</v>
      </c>
      <c r="Q440" s="119" t="s">
        <v>1449</v>
      </c>
      <c r="R440" s="120" t="str">
        <f ca="1">IF($C440="S",REFERENCIA.Descricao,"(digite a descrição aqui)")</f>
        <v>GRUPO GERADOR REBOCÁVEL, POTÊNCIA 66 KVA, MOTOR A DIESEL - CHI DIURNO. AF_03/2016</v>
      </c>
      <c r="S440" s="121" t="str">
        <f ca="1">REFERENCIA.Unidade</f>
        <v>CHI</v>
      </c>
      <c r="T440" s="122">
        <f ca="1">OFFSET(CÁLCULO!H$15,ROW($T440)-ROW(T$15),0)</f>
        <v>880</v>
      </c>
      <c r="U440" s="123">
        <f ca="1">AG440</f>
        <v>6.52</v>
      </c>
      <c r="V440" s="124" t="s">
        <v>663</v>
      </c>
      <c r="W440" s="122">
        <f ca="1">IF($C440="S",ROUND(IF(TIPOORCAMENTO="Proposto",ORÇAMENTO.CustoUnitario*(1+$AH440),ORÇAMENTO.PrecoUnitarioLicitado),15-13*$AF$10),0)</f>
        <v>8.0500000000000007</v>
      </c>
      <c r="X440" s="125" cm="1">
        <f t="array" aca="1" ref="X440" ca="1">IF($C440="S",IF(OR(Import.TipoArredondamento&lt;&gt;"TransfereGOV",ACOMPANHAMENTO="BM"),VTOTAL1,SUM(OFFSET(CÁLCULO!$AI$15,ROW($X440)-ROW($X$15),1):OFFSET(CÁLCULO!$BB$15,ROW($X440)-ROW($X$15),-1))),IF($C440=0,0,ROUND(SomaAgrup,15-13*$AF$11)))</f>
        <v>7084</v>
      </c>
      <c r="Y440" s="126" t="s">
        <v>751</v>
      </c>
      <c r="Z440" t="str">
        <f ca="1">IF(AND($C440="S",$X440&gt;0),IF(ISBLANK($Y440),"RA",LEFT($Y440,2)),"")</f>
        <v>RA</v>
      </c>
      <c r="AA440" s="127">
        <f ca="1">IF($C440="S",IF($Z440="CP",$X440,IF($Z440="RA",(($X440)*QCI!$AA$3),0)),SomaAgrup)</f>
        <v>0</v>
      </c>
      <c r="AB440" s="128">
        <f ca="1">IF($C440="S",IF($Z440="OU",ROUND($X440,2),0),SomaAgrup)</f>
        <v>0</v>
      </c>
      <c r="AC440" s="565" t="str" cm="1">
        <f t="array" aca="1" ref="AC440" ca="1">IF($N440=""," ",
IF(AND($C440&lt;&gt;"S",OR($R440="",$R440="(digite a descrição aqui)")),"DESCRIÇÃO",
IF(AND($C440="S",OR($Q440&lt;&gt;"",$T440&gt;0,$U440&gt;0),$P440=""),"FONTE",
IF(AND($C440="S",$P440&lt;&gt;"",OR($T440&gt;0,$U440&gt;0),$Q440=""),"CÓDIGO",
IF(AND($C440="S",$P440&lt;&gt;"",$Q440&lt;&gt;"",$R440="(Código não identificado nas referências)"),"CÓDIGO N/ID",
IF(AND($C440="S",OR($R440="",$R440="(digite a descrição aqui)"),OR($Q440&lt;&gt;"",$T440&gt;0,$U440&gt;0)),"DESCRIÇÃO",
IF(AND($C440="S",$P440&lt;&gt;"",$Q440&lt;&gt;"",$S440=""),"UNIDADE",
IF(AND($C440="S",$P440&lt;&gt;"",$Q440&lt;&gt;"",$U440=0),"SEM CUSTO",
IF(AND(_xlfn.SINGLE(TIPOORCAMENTO)="Licitado",$AL440=0,$AN440&gt;0),"SEM PREÇO",
IF(AND($C440="S",$P440&lt;&gt;"",$Q440&lt;&gt;"",$U440&gt;0,AND($V440&lt;&gt;"BDI 1",$V440&lt;&gt;"BDI 2",$V440&lt;&gt;"BDI 3")),IF(ISNUMBER($V440),"JUSTIFICAR BDI","BDI"),
IF(OR(AND(import.recurso="OGU",TIPOORCAMENTO="Proposto",LEFT($O$8,5)&lt;&gt;"(N/D:",$AG440&lt;&gt;"",ORÇAMENTO.CustoUnitario&gt;$AG440),AND(TIPOORCAMENTO="LICITADO",ORÇAMENTO.PrecoUnitarioLicitado&gt;$AN440)),"ACIMA REF.",
IF(AND($C440="S",$P440&lt;&gt;"",$Q440&lt;&gt;"",$T440=0,$U440&gt;0),"QUANT.",
IF(AND(Import.TipoArredondamento="TransfereGOV",$L440="F",$C440="S",LEN($Q440)&gt;13),"Código &gt;13",
IF(AND(Import.TipoArredondamento="TransfereGOV",$L440="F",$C440&lt;&gt;"S",LEN($R440)&gt;100),"Descrição &gt;100",
IF(AND(Import.TipoArredondamento="TransfereGOV",$L440="F",$C440="S",LEN($R440)&gt;500),"Descrição &gt;500",
IF(AND(Import.TipoArredondamento="TransfereGOV",$L440="F",$C440="S",LEFT(TRIM(UPPER($P440)),6)&lt;&gt;"SINAPI",ISNA(VLOOKUP(TRIM(UPPER($S440)),ListaTgov.Unidades,1,FALSE))),"Unid. Não Disp",
" "))))))))))))))))</f>
        <v xml:space="preserve"> </v>
      </c>
      <c r="AD440" t="str">
        <f ca="1">IF(C440&lt;=CRONO.NivelExibicao,MAX($AD$15:OFFSET(AD440,-1,0))+IF($C440&lt;&gt;1,1,MAX(1,COUNTIF(QCI!$A$13:$A$15,OFFSET($E440,-1,0)))),"")</f>
        <v/>
      </c>
      <c r="AE440" s="7" t="str">
        <f ca="1">IF(AND($C440="S",ORÇAMENTO.CodBarra&lt;&gt;""),IF(ORÇAMENTO.Fonte="",ORÇAMENTO.CodBarra,CONCATENATE(ORÇAMENTO.Fonte," ",ORÇAMENTO.CodBarra)))</f>
        <v>SINAPI 93422</v>
      </c>
      <c r="AF440" s="12">
        <f ca="1">IF(ISERROR(INDIRECT(ORÇAMENTO.BancoRef)),"(abra o arquivo 'Referência "&amp;Excel_BuiltIn_Database&amp;".xlsm)",IF(OR($C440&lt;&gt;"S",ORÇAMENTO.CodBarra=""),"(Sem Código)",IF(ISERROR(MATCH($AE440,INDIRECT(ORÇAMENTO.BancoRef),0)),"(Código não identificado nas referências)",MATCH($AE440,INDIRECT(ORÇAMENTO.BancoRef),0))))</f>
        <v>7624</v>
      </c>
      <c r="AG440" s="428">
        <f ca="1">ROUND(IF(DESONERACAO="sim",REFERENCIA.Desonerado,REFERENCIA.NaoDesonerado),2)</f>
        <v>6.52</v>
      </c>
      <c r="AH440" s="429">
        <f ca="1">ROUND(IF(ISNUMBER(ORÇAMENTO.OpcaoBDI),ORÇAMENTO.OpcaoBDI,IF(LEFT(ORÇAMENTO.OpcaoBDI,3)="BDI",HLOOKUP(ORÇAMENTO.OpcaoBDI,$F$4:$H$5,2,FALSE),0)),15-11*$AF$9)</f>
        <v>0.23499999999999999</v>
      </c>
      <c r="AJ440" s="431">
        <f>22*4*10</f>
        <v>880</v>
      </c>
      <c r="AL440" s="439"/>
      <c r="AM440" s="336">
        <f t="shared" ca="1" si="109"/>
        <v>7084</v>
      </c>
      <c r="AN440" s="470">
        <f ca="1">ROUND(ORÇAMENTO.CustoUnitario*(1+$AH440),2)</f>
        <v>8.0500000000000007</v>
      </c>
    </row>
    <row r="441" spans="1:40" x14ac:dyDescent="0.2">
      <c r="A441">
        <f t="shared" si="112"/>
        <v>2</v>
      </c>
      <c r="B441">
        <f t="shared" ca="1" si="113"/>
        <v>2</v>
      </c>
      <c r="C441">
        <f t="shared" ca="1" si="114"/>
        <v>2</v>
      </c>
      <c r="D441">
        <f t="shared" ca="1" si="115"/>
        <v>38</v>
      </c>
      <c r="E441">
        <f ca="1">IF($C441=1,OFFSET(E441,-1,0)+MAX(1,COUNTIF(QCI!$A$13:$A$15,OFFSET(ORÇAMENTO!E441,-1,0))),OFFSET(E441,-1,0))</f>
        <v>1</v>
      </c>
      <c r="F441">
        <f t="shared" ca="1" si="116"/>
        <v>9</v>
      </c>
      <c r="G441">
        <f t="shared" ca="1" si="117"/>
        <v>0</v>
      </c>
      <c r="H441">
        <f t="shared" ca="1" si="118"/>
        <v>0</v>
      </c>
      <c r="I441">
        <f t="shared" ca="1" si="119"/>
        <v>0</v>
      </c>
      <c r="J441">
        <f t="shared" ca="1" si="110"/>
        <v>67</v>
      </c>
      <c r="K441">
        <f ca="1">IF(OR($C441="S",$C441=0),0,MATCH(OFFSET($D441,0,$C441)+IF($C441&lt;&gt;1,1,COUNTIF(QCI!$A$13:$A$15,ORÇAMENTO!E441)),OFFSET($D441,1,$C441,ROW($C$508)-ROW($C441)),0))</f>
        <v>38</v>
      </c>
      <c r="L441" s="114" t="str">
        <f t="shared" ca="1" si="120"/>
        <v>F</v>
      </c>
      <c r="M441" s="115" t="s">
        <v>702</v>
      </c>
      <c r="N441" s="116" t="str">
        <f t="shared" ca="1" si="121"/>
        <v>Nível 2</v>
      </c>
      <c r="O441" s="117" t="str">
        <f t="shared" ca="1" si="122"/>
        <v>1.9.</v>
      </c>
      <c r="P441" s="118" t="s">
        <v>750</v>
      </c>
      <c r="Q441" s="119"/>
      <c r="R441" s="120" t="s">
        <v>1258</v>
      </c>
      <c r="S441" s="121" t="s">
        <v>688</v>
      </c>
      <c r="T441" s="122">
        <f ca="1">OFFSET(CÁLCULO!H$15,ROW($T441)-ROW(T$15),0)</f>
        <v>0</v>
      </c>
      <c r="U441" s="123"/>
      <c r="V441" s="124" t="s">
        <v>663</v>
      </c>
      <c r="W441" s="122">
        <f ca="1">IF($C441="S",ROUND(IF(TIPOORCAMENTO="Proposto",ORÇAMENTO.CustoUnitario*(1+$AH441),ORÇAMENTO.PrecoUnitarioLicitado),15-13*$AF$10),0)</f>
        <v>0</v>
      </c>
      <c r="X441" s="125" cm="1">
        <f t="array" aca="1" ref="X441" ca="1">IF($C441="S",IF(OR(Import.TipoArredondamento&lt;&gt;"TransfereGOV",ACOMPANHAMENTO="BM"),VTOTAL1,SUM(OFFSET(CÁLCULO!$AI$15,ROW($X441)-ROW($X$15),1):OFFSET(CÁLCULO!$BB$15,ROW($X441)-ROW($X$15),-1))),IF($C441=0,0,ROUND(SomaAgrup,15-13*$AF$11)))</f>
        <v>205008.59</v>
      </c>
      <c r="Y441" s="126" t="s">
        <v>751</v>
      </c>
      <c r="Z441" t="str">
        <f t="shared" ca="1" si="123"/>
        <v/>
      </c>
      <c r="AA441" s="127">
        <f ca="1">IF($C441="S",IF($Z441="CP",$X441,IF($Z441="RA",(($X441)*QCI!$AA$3),0)),SomaAgrup)</f>
        <v>0</v>
      </c>
      <c r="AB441" s="128">
        <f t="shared" ca="1" si="124"/>
        <v>0</v>
      </c>
      <c r="AC441" s="565" t="str" cm="1">
        <f t="array" aca="1" ref="AC441" ca="1">IF($N441=""," ",
IF(AND($C441&lt;&gt;"S",OR($R441="",$R441="(digite a descrição aqui)")),"DESCRIÇÃO",
IF(AND($C441="S",OR($Q441&lt;&gt;"",$T441&gt;0,$U441&gt;0),$P441=""),"FONTE",
IF(AND($C441="S",$P441&lt;&gt;"",OR($T441&gt;0,$U441&gt;0),$Q441=""),"CÓDIGO",
IF(AND($C441="S",$P441&lt;&gt;"",$Q441&lt;&gt;"",$R441="(Código não identificado nas referências)"),"CÓDIGO N/ID",
IF(AND($C441="S",OR($R441="",$R441="(digite a descrição aqui)"),OR($Q441&lt;&gt;"",$T441&gt;0,$U441&gt;0)),"DESCRIÇÃO",
IF(AND($C441="S",$P441&lt;&gt;"",$Q441&lt;&gt;"",$S441=""),"UNIDADE",
IF(AND($C441="S",$P441&lt;&gt;"",$Q441&lt;&gt;"",$U441=0),"SEM CUSTO",
IF(AND(_xlfn.SINGLE(TIPOORCAMENTO)="Licitado",$AL441=0,$AN441&gt;0),"SEM PREÇO",
IF(AND($C441="S",$P441&lt;&gt;"",$Q441&lt;&gt;"",$U441&gt;0,AND($V441&lt;&gt;"BDI 1",$V441&lt;&gt;"BDI 2",$V441&lt;&gt;"BDI 3")),IF(ISNUMBER($V441),"JUSTIFICAR BDI","BDI"),
IF(OR(AND(import.recurso="OGU",TIPOORCAMENTO="Proposto",LEFT($O$8,5)&lt;&gt;"(N/D:",$AG441&lt;&gt;"",ORÇAMENTO.CustoUnitario&gt;$AG441),AND(TIPOORCAMENTO="LICITADO",ORÇAMENTO.PrecoUnitarioLicitado&gt;$AN441)),"ACIMA REF.",
IF(AND($C441="S",$P441&lt;&gt;"",$Q441&lt;&gt;"",$T441=0,$U441&gt;0),"QUANT.",
IF(AND(Import.TipoArredondamento="TransfereGOV",$L441="F",$C441="S",LEN($Q441)&gt;13),"Código &gt;13",
IF(AND(Import.TipoArredondamento="TransfereGOV",$L441="F",$C441&lt;&gt;"S",LEN($R441)&gt;100),"Descrição &gt;100",
IF(AND(Import.TipoArredondamento="TransfereGOV",$L441="F",$C441="S",LEN($R441)&gt;500),"Descrição &gt;500",
IF(AND(Import.TipoArredondamento="TransfereGOV",$L441="F",$C441="S",LEFT(TRIM(UPPER($P441)),6)&lt;&gt;"SINAPI",ISNA(VLOOKUP(TRIM(UPPER($S441)),ListaTgov.Unidades,1,FALSE))),"Unid. Não Disp",
" "))))))))))))))))</f>
        <v xml:space="preserve"> </v>
      </c>
      <c r="AD441">
        <f ca="1">IF(C441&lt;=CRONO.NivelExibicao,MAX($AD$15:OFFSET(AD441,-1,0))+IF($C441&lt;&gt;1,1,MAX(1,COUNTIF(QCI!$A$13:$A$15,OFFSET($E441,-1,0)))),"")</f>
        <v>10</v>
      </c>
      <c r="AE441" s="7" t="b">
        <f ca="1">IF(AND($C441="S",ORÇAMENTO.CodBarra&lt;&gt;""),IF(ORÇAMENTO.Fonte="",ORÇAMENTO.CodBarra,CONCATENATE(ORÇAMENTO.Fonte," ",ORÇAMENTO.CodBarra)))</f>
        <v>0</v>
      </c>
      <c r="AF441" s="12" t="str">
        <f ca="1">IF(ISERROR(INDIRECT(ORÇAMENTO.BancoRef)),"(abra o arquivo 'Referência "&amp;Excel_BuiltIn_Database&amp;".xlsm)",IF(OR($C441&lt;&gt;"S",ORÇAMENTO.CodBarra=""),"(Sem Código)",IF(ISERROR(MATCH($AE441,INDIRECT(ORÇAMENTO.BancoRef),0)),"(Código não identificado nas referências)",MATCH($AE441,INDIRECT(ORÇAMENTO.BancoRef),0))))</f>
        <v>(Sem Código)</v>
      </c>
      <c r="AG441" s="428">
        <f ca="1">ROUND(IF(DESONERACAO="sim",REFERENCIA.Desonerado,REFERENCIA.NaoDesonerado),2)</f>
        <v>0</v>
      </c>
      <c r="AH441" s="429">
        <f t="shared" ca="1" si="125"/>
        <v>0.23499999999999999</v>
      </c>
      <c r="AJ441" s="431"/>
      <c r="AL441" s="439"/>
      <c r="AM441" s="336">
        <f t="shared" ca="1" si="109"/>
        <v>205008.59</v>
      </c>
      <c r="AN441" s="470">
        <f t="shared" ca="1" si="126"/>
        <v>0</v>
      </c>
    </row>
    <row r="442" spans="1:40" x14ac:dyDescent="0.2">
      <c r="A442">
        <f t="shared" si="112"/>
        <v>3</v>
      </c>
      <c r="B442">
        <f t="shared" ca="1" si="113"/>
        <v>3</v>
      </c>
      <c r="C442">
        <f t="shared" ca="1" si="114"/>
        <v>3</v>
      </c>
      <c r="D442">
        <f t="shared" ca="1" si="115"/>
        <v>11</v>
      </c>
      <c r="E442">
        <f ca="1">IF($C442=1,OFFSET(E442,-1,0)+MAX(1,COUNTIF(QCI!$A$13:$A$15,OFFSET(ORÇAMENTO!E442,-1,0))),OFFSET(E442,-1,0))</f>
        <v>1</v>
      </c>
      <c r="F442">
        <f t="shared" ca="1" si="116"/>
        <v>9</v>
      </c>
      <c r="G442">
        <f t="shared" ca="1" si="117"/>
        <v>1</v>
      </c>
      <c r="H442">
        <f t="shared" ca="1" si="118"/>
        <v>0</v>
      </c>
      <c r="I442">
        <f t="shared" ca="1" si="119"/>
        <v>0</v>
      </c>
      <c r="J442">
        <f t="shared" ca="1" si="110"/>
        <v>37</v>
      </c>
      <c r="K442">
        <f ca="1">IF(OR($C442="S",$C442=0),0,MATCH(OFFSET($D442,0,$C442)+IF($C442&lt;&gt;1,1,COUNTIF(QCI!$A$13:$A$15,ORÇAMENTO!E442)),OFFSET($D442,1,$C442,ROW($C$508)-ROW($C442)),0))</f>
        <v>11</v>
      </c>
      <c r="L442" s="114" t="str">
        <f t="shared" ca="1" si="120"/>
        <v>F</v>
      </c>
      <c r="M442" s="115" t="s">
        <v>703</v>
      </c>
      <c r="N442" s="116" t="str">
        <f t="shared" ca="1" si="121"/>
        <v>Nível 3</v>
      </c>
      <c r="O442" s="117" t="str">
        <f t="shared" ca="1" si="122"/>
        <v>1.9.1.</v>
      </c>
      <c r="P442" s="118" t="s">
        <v>750</v>
      </c>
      <c r="Q442" s="119"/>
      <c r="R442" s="120" t="s">
        <v>1253</v>
      </c>
      <c r="S442" s="121" t="s">
        <v>688</v>
      </c>
      <c r="T442" s="122">
        <f ca="1">OFFSET(CÁLCULO!H$15,ROW($T442)-ROW(T$15),0)</f>
        <v>0</v>
      </c>
      <c r="U442" s="123"/>
      <c r="V442" s="124" t="s">
        <v>663</v>
      </c>
      <c r="W442" s="122">
        <f ca="1">IF($C442="S",ROUND(IF(TIPOORCAMENTO="Proposto",ORÇAMENTO.CustoUnitario*(1+$AH442),ORÇAMENTO.PrecoUnitarioLicitado),15-13*$AF$10),0)</f>
        <v>0</v>
      </c>
      <c r="X442" s="125" cm="1">
        <f t="array" aca="1" ref="X442" ca="1">IF($C442="S",IF(OR(Import.TipoArredondamento&lt;&gt;"TransfereGOV",ACOMPANHAMENTO="BM"),VTOTAL1,SUM(OFFSET(CÁLCULO!$AI$15,ROW($X442)-ROW($X$15),1):OFFSET(CÁLCULO!$BB$15,ROW($X442)-ROW($X$15),-1))),IF($C442=0,0,ROUND(SomaAgrup,15-13*$AF$11)))</f>
        <v>67473.7</v>
      </c>
      <c r="Y442" s="126" t="s">
        <v>751</v>
      </c>
      <c r="Z442" t="str">
        <f t="shared" ca="1" si="123"/>
        <v/>
      </c>
      <c r="AA442" s="127">
        <f ca="1">IF($C442="S",IF($Z442="CP",$X442,IF($Z442="RA",(($X442)*QCI!$AA$3),0)),SomaAgrup)</f>
        <v>0</v>
      </c>
      <c r="AB442" s="128">
        <f t="shared" ca="1" si="124"/>
        <v>0</v>
      </c>
      <c r="AC442" s="565" t="str" cm="1">
        <f t="array" aca="1" ref="AC442" ca="1">IF($N442=""," ",
IF(AND($C442&lt;&gt;"S",OR($R442="",$R442="(digite a descrição aqui)")),"DESCRIÇÃO",
IF(AND($C442="S",OR($Q442&lt;&gt;"",$T442&gt;0,$U442&gt;0),$P442=""),"FONTE",
IF(AND($C442="S",$P442&lt;&gt;"",OR($T442&gt;0,$U442&gt;0),$Q442=""),"CÓDIGO",
IF(AND($C442="S",$P442&lt;&gt;"",$Q442&lt;&gt;"",$R442="(Código não identificado nas referências)"),"CÓDIGO N/ID",
IF(AND($C442="S",OR($R442="",$R442="(digite a descrição aqui)"),OR($Q442&lt;&gt;"",$T442&gt;0,$U442&gt;0)),"DESCRIÇÃO",
IF(AND($C442="S",$P442&lt;&gt;"",$Q442&lt;&gt;"",$S442=""),"UNIDADE",
IF(AND($C442="S",$P442&lt;&gt;"",$Q442&lt;&gt;"",$U442=0),"SEM CUSTO",
IF(AND(_xlfn.SINGLE(TIPOORCAMENTO)="Licitado",$AL442=0,$AN442&gt;0),"SEM PREÇO",
IF(AND($C442="S",$P442&lt;&gt;"",$Q442&lt;&gt;"",$U442&gt;0,AND($V442&lt;&gt;"BDI 1",$V442&lt;&gt;"BDI 2",$V442&lt;&gt;"BDI 3")),IF(ISNUMBER($V442),"JUSTIFICAR BDI","BDI"),
IF(OR(AND(import.recurso="OGU",TIPOORCAMENTO="Proposto",LEFT($O$8,5)&lt;&gt;"(N/D:",$AG442&lt;&gt;"",ORÇAMENTO.CustoUnitario&gt;$AG442),AND(TIPOORCAMENTO="LICITADO",ORÇAMENTO.PrecoUnitarioLicitado&gt;$AN442)),"ACIMA REF.",
IF(AND($C442="S",$P442&lt;&gt;"",$Q442&lt;&gt;"",$T442=0,$U442&gt;0),"QUANT.",
IF(AND(Import.TipoArredondamento="TransfereGOV",$L442="F",$C442="S",LEN($Q442)&gt;13),"Código &gt;13",
IF(AND(Import.TipoArredondamento="TransfereGOV",$L442="F",$C442&lt;&gt;"S",LEN($R442)&gt;100),"Descrição &gt;100",
IF(AND(Import.TipoArredondamento="TransfereGOV",$L442="F",$C442="S",LEN($R442)&gt;500),"Descrição &gt;500",
IF(AND(Import.TipoArredondamento="TransfereGOV",$L442="F",$C442="S",LEFT(TRIM(UPPER($P442)),6)&lt;&gt;"SINAPI",ISNA(VLOOKUP(TRIM(UPPER($S442)),ListaTgov.Unidades,1,FALSE))),"Unid. Não Disp",
" "))))))))))))))))</f>
        <v xml:space="preserve"> </v>
      </c>
      <c r="AD442" t="str">
        <f ca="1">IF(C442&lt;=CRONO.NivelExibicao,MAX($AD$15:OFFSET(AD442,-1,0))+IF($C442&lt;&gt;1,1,MAX(1,COUNTIF(QCI!$A$13:$A$15,OFFSET($E442,-1,0)))),"")</f>
        <v/>
      </c>
      <c r="AE442" s="7" t="b">
        <f ca="1">IF(AND($C442="S",ORÇAMENTO.CodBarra&lt;&gt;""),IF(ORÇAMENTO.Fonte="",ORÇAMENTO.CodBarra,CONCATENATE(ORÇAMENTO.Fonte," ",ORÇAMENTO.CodBarra)))</f>
        <v>0</v>
      </c>
      <c r="AF442" s="12" t="str">
        <f ca="1">IF(ISERROR(INDIRECT(ORÇAMENTO.BancoRef)),"(abra o arquivo 'Referência "&amp;Excel_BuiltIn_Database&amp;".xlsm)",IF(OR($C442&lt;&gt;"S",ORÇAMENTO.CodBarra=""),"(Sem Código)",IF(ISERROR(MATCH($AE442,INDIRECT(ORÇAMENTO.BancoRef),0)),"(Código não identificado nas referências)",MATCH($AE442,INDIRECT(ORÇAMENTO.BancoRef),0))))</f>
        <v>(Sem Código)</v>
      </c>
      <c r="AG442" s="428">
        <f ca="1">ROUND(IF(DESONERACAO="sim",REFERENCIA.Desonerado,REFERENCIA.NaoDesonerado),2)</f>
        <v>0</v>
      </c>
      <c r="AH442" s="429">
        <f t="shared" ca="1" si="125"/>
        <v>0.23499999999999999</v>
      </c>
      <c r="AJ442" s="431"/>
      <c r="AL442" s="439"/>
      <c r="AM442" s="336">
        <f t="shared" ca="1" si="109"/>
        <v>67473.7</v>
      </c>
      <c r="AN442" s="470">
        <f t="shared" ca="1" si="126"/>
        <v>0</v>
      </c>
    </row>
    <row r="443" spans="1:40" ht="25.5" x14ac:dyDescent="0.2">
      <c r="A443" t="str">
        <f t="shared" si="112"/>
        <v>S</v>
      </c>
      <c r="B443">
        <f t="shared" ca="1" si="113"/>
        <v>3</v>
      </c>
      <c r="C443" t="str">
        <f t="shared" ca="1" si="114"/>
        <v>S</v>
      </c>
      <c r="D443">
        <f t="shared" ca="1" si="115"/>
        <v>0</v>
      </c>
      <c r="E443">
        <f ca="1">IF($C443=1,OFFSET(E443,-1,0)+MAX(1,COUNTIF(QCI!$A$13:$A$15,OFFSET(ORÇAMENTO!E443,-1,0))),OFFSET(E443,-1,0))</f>
        <v>1</v>
      </c>
      <c r="F443">
        <f t="shared" ca="1" si="116"/>
        <v>9</v>
      </c>
      <c r="G443">
        <f t="shared" ca="1" si="117"/>
        <v>1</v>
      </c>
      <c r="H443">
        <f t="shared" ca="1" si="118"/>
        <v>0</v>
      </c>
      <c r="I443">
        <f t="shared" ca="1" si="119"/>
        <v>1</v>
      </c>
      <c r="J443">
        <f t="shared" ca="1" si="110"/>
        <v>0</v>
      </c>
      <c r="K443">
        <f ca="1">IF(OR($C443="S",$C443=0),0,MATCH(OFFSET($D443,0,$C443)+IF($C443&lt;&gt;1,1,COUNTIF(QCI!$A$13:$A$15,ORÇAMENTO!E443)),OFFSET($D443,1,$C443,ROW($C$508)-ROW($C443)),0))</f>
        <v>0</v>
      </c>
      <c r="L443" s="114" t="str">
        <f t="shared" ca="1" si="120"/>
        <v>F</v>
      </c>
      <c r="M443" s="115" t="s">
        <v>705</v>
      </c>
      <c r="N443" s="116" t="str">
        <f t="shared" ca="1" si="121"/>
        <v>Serviço</v>
      </c>
      <c r="O443" s="117" t="str">
        <f t="shared" ca="1" si="122"/>
        <v>1.9.1.0.1.</v>
      </c>
      <c r="P443" s="118" t="s">
        <v>1280</v>
      </c>
      <c r="Q443" s="119" t="s">
        <v>1133</v>
      </c>
      <c r="R443" s="120" t="str">
        <f ca="1">IF($C443="S",REFERENCIA.Descricao,"(digite a descrição aqui)")</f>
        <v>ELETRODUTO DE AÇO GALVANIZADO LEVE, INCLUSIVE CONEXÕES, SUPORTES E FIXAÇÃO DN 25 (1")</v>
      </c>
      <c r="S443" s="121" t="str">
        <f ca="1">REFERENCIA.Unidade</f>
        <v>M</v>
      </c>
      <c r="T443" s="122">
        <f ca="1">OFFSET(CÁLCULO!H$15,ROW($T443)-ROW(T$15),0)</f>
        <v>144</v>
      </c>
      <c r="U443" s="123">
        <f t="shared" ca="1" si="108"/>
        <v>30.58</v>
      </c>
      <c r="V443" s="124" t="s">
        <v>663</v>
      </c>
      <c r="W443" s="122">
        <f ca="1">IF($C443="S",ROUND(IF(TIPOORCAMENTO="Proposto",ORÇAMENTO.CustoUnitario*(1+$AH443),ORÇAMENTO.PrecoUnitarioLicitado),15-13*$AF$10),0)</f>
        <v>37.770000000000003</v>
      </c>
      <c r="X443" s="125" cm="1">
        <f t="array" aca="1" ref="X443" ca="1">IF($C443="S",IF(OR(Import.TipoArredondamento&lt;&gt;"TransfereGOV",ACOMPANHAMENTO="BM"),VTOTAL1,SUM(OFFSET(CÁLCULO!$AI$15,ROW($X443)-ROW($X$15),1):OFFSET(CÁLCULO!$BB$15,ROW($X443)-ROW($X$15),-1))),IF($C443=0,0,ROUND(SomaAgrup,15-13*$AF$11)))</f>
        <v>5438.88</v>
      </c>
      <c r="Y443" s="126" t="s">
        <v>751</v>
      </c>
      <c r="Z443" t="str">
        <f t="shared" ca="1" si="123"/>
        <v>RA</v>
      </c>
      <c r="AA443" s="127">
        <f ca="1">IF($C443="S",IF($Z443="CP",$X443,IF($Z443="RA",(($X443)*QCI!$AA$3),0)),SomaAgrup)</f>
        <v>0</v>
      </c>
      <c r="AB443" s="128">
        <f t="shared" ca="1" si="124"/>
        <v>0</v>
      </c>
      <c r="AC443" s="565" t="str" cm="1">
        <f t="array" aca="1" ref="AC443" ca="1">IF($N443=""," ",
IF(AND($C443&lt;&gt;"S",OR($R443="",$R443="(digite a descrição aqui)")),"DESCRIÇÃO",
IF(AND($C443="S",OR($Q443&lt;&gt;"",$T443&gt;0,$U443&gt;0),$P443=""),"FONTE",
IF(AND($C443="S",$P443&lt;&gt;"",OR($T443&gt;0,$U443&gt;0),$Q443=""),"CÓDIGO",
IF(AND($C443="S",$P443&lt;&gt;"",$Q443&lt;&gt;"",$R443="(Código não identificado nas referências)"),"CÓDIGO N/ID",
IF(AND($C443="S",OR($R443="",$R443="(digite a descrição aqui)"),OR($Q443&lt;&gt;"",$T443&gt;0,$U443&gt;0)),"DESCRIÇÃO",
IF(AND($C443="S",$P443&lt;&gt;"",$Q443&lt;&gt;"",$S443=""),"UNIDADE",
IF(AND($C443="S",$P443&lt;&gt;"",$Q443&lt;&gt;"",$U443=0),"SEM CUSTO",
IF(AND(_xlfn.SINGLE(TIPOORCAMENTO)="Licitado",$AL443=0,$AN443&gt;0),"SEM PREÇO",
IF(AND($C443="S",$P443&lt;&gt;"",$Q443&lt;&gt;"",$U443&gt;0,AND($V443&lt;&gt;"BDI 1",$V443&lt;&gt;"BDI 2",$V443&lt;&gt;"BDI 3")),IF(ISNUMBER($V443),"JUSTIFICAR BDI","BDI"),
IF(OR(AND(import.recurso="OGU",TIPOORCAMENTO="Proposto",LEFT($O$8,5)&lt;&gt;"(N/D:",$AG443&lt;&gt;"",ORÇAMENTO.CustoUnitario&gt;$AG443),AND(TIPOORCAMENTO="LICITADO",ORÇAMENTO.PrecoUnitarioLicitado&gt;$AN443)),"ACIMA REF.",
IF(AND($C443="S",$P443&lt;&gt;"",$Q443&lt;&gt;"",$T443=0,$U443&gt;0),"QUANT.",
IF(AND(Import.TipoArredondamento="TransfereGOV",$L443="F",$C443="S",LEN($Q443)&gt;13),"Código &gt;13",
IF(AND(Import.TipoArredondamento="TransfereGOV",$L443="F",$C443&lt;&gt;"S",LEN($R443)&gt;100),"Descrição &gt;100",
IF(AND(Import.TipoArredondamento="TransfereGOV",$L443="F",$C443="S",LEN($R443)&gt;500),"Descrição &gt;500",
IF(AND(Import.TipoArredondamento="TransfereGOV",$L443="F",$C443="S",LEFT(TRIM(UPPER($P443)),6)&lt;&gt;"SINAPI",ISNA(VLOOKUP(TRIM(UPPER($S443)),ListaTgov.Unidades,1,FALSE))),"Unid. Não Disp",
" "))))))))))))))))</f>
        <v xml:space="preserve"> </v>
      </c>
      <c r="AD443" t="str">
        <f ca="1">IF(C443&lt;=CRONO.NivelExibicao,MAX($AD$15:OFFSET(AD443,-1,0))+IF($C443&lt;&gt;1,1,MAX(1,COUNTIF(QCI!$A$13:$A$15,OFFSET($E443,-1,0)))),"")</f>
        <v/>
      </c>
      <c r="AE443" s="7" t="str">
        <f ca="1">IF(AND($C443="S",ORÇAMENTO.CodBarra&lt;&gt;""),IF(ORÇAMENTO.Fonte="",ORÇAMENTO.CodBarra,CONCATENATE(ORÇAMENTO.Fonte," ",ORÇAMENTO.CodBarra)))</f>
        <v>SETOP ED-49318</v>
      </c>
      <c r="AF443" s="12">
        <f ca="1">IF(ISERROR(INDIRECT(ORÇAMENTO.BancoRef)),"(abra o arquivo 'Referência "&amp;Excel_BuiltIn_Database&amp;".xlsm)",IF(OR($C443&lt;&gt;"S",ORÇAMENTO.CodBarra=""),"(Sem Código)",IF(ISERROR(MATCH($AE443,INDIRECT(ORÇAMENTO.BancoRef),0)),"(Código não identificado nas referências)",MATCH($AE443,INDIRECT(ORÇAMENTO.BancoRef),0))))</f>
        <v>29129</v>
      </c>
      <c r="AG443" s="428">
        <f ca="1">ROUND(IF(DESONERACAO="sim",REFERENCIA.Desonerado,REFERENCIA.NaoDesonerado),2)</f>
        <v>30.58</v>
      </c>
      <c r="AH443" s="429">
        <f t="shared" ca="1" si="125"/>
        <v>0.23499999999999999</v>
      </c>
      <c r="AJ443" s="431">
        <v>144</v>
      </c>
      <c r="AL443" s="439"/>
      <c r="AM443" s="336">
        <f t="shared" ca="1" si="109"/>
        <v>5438.88</v>
      </c>
      <c r="AN443" s="470">
        <f t="shared" ca="1" si="126"/>
        <v>37.770000000000003</v>
      </c>
    </row>
    <row r="444" spans="1:40" ht="25.5" x14ac:dyDescent="0.2">
      <c r="A444" t="str">
        <f t="shared" si="112"/>
        <v>S</v>
      </c>
      <c r="B444">
        <f t="shared" ca="1" si="113"/>
        <v>3</v>
      </c>
      <c r="C444" t="str">
        <f t="shared" ca="1" si="114"/>
        <v>S</v>
      </c>
      <c r="D444">
        <f t="shared" ca="1" si="115"/>
        <v>0</v>
      </c>
      <c r="E444">
        <f ca="1">IF($C444=1,OFFSET(E444,-1,0)+MAX(1,COUNTIF(QCI!$A$13:$A$15,OFFSET(ORÇAMENTO!E444,-1,0))),OFFSET(E444,-1,0))</f>
        <v>1</v>
      </c>
      <c r="F444">
        <f t="shared" ca="1" si="116"/>
        <v>9</v>
      </c>
      <c r="G444">
        <f t="shared" ca="1" si="117"/>
        <v>1</v>
      </c>
      <c r="H444">
        <f t="shared" ca="1" si="118"/>
        <v>0</v>
      </c>
      <c r="I444">
        <f t="shared" ca="1" si="119"/>
        <v>2</v>
      </c>
      <c r="J444">
        <f t="shared" ca="1" si="110"/>
        <v>0</v>
      </c>
      <c r="K444">
        <f ca="1">IF(OR($C444="S",$C444=0),0,MATCH(OFFSET($D444,0,$C444)+IF($C444&lt;&gt;1,1,COUNTIF(QCI!$A$13:$A$15,ORÇAMENTO!E444)),OFFSET($D444,1,$C444,ROW($C$508)-ROW($C444)),0))</f>
        <v>0</v>
      </c>
      <c r="L444" s="114" t="str">
        <f t="shared" ca="1" si="120"/>
        <v>F</v>
      </c>
      <c r="M444" s="115" t="s">
        <v>705</v>
      </c>
      <c r="N444" s="116" t="str">
        <f t="shared" ca="1" si="121"/>
        <v>Serviço</v>
      </c>
      <c r="O444" s="117" t="str">
        <f t="shared" ca="1" si="122"/>
        <v>1.9.1.0.2.</v>
      </c>
      <c r="P444" s="118" t="s">
        <v>1280</v>
      </c>
      <c r="Q444" s="119" t="s">
        <v>1164</v>
      </c>
      <c r="R444" s="120" t="str">
        <f ca="1">IF($C444="S",REFERENCIA.Descricao,"(digite a descrição aqui)")</f>
        <v>ELETRODUTO DE AÇO GALVANIZADO MÉDIO, INCLUSIVE CONEXÕES, SUPORTES E FIXAÇÃO DN 40 (1.1/2")</v>
      </c>
      <c r="S444" s="121" t="str">
        <f ca="1">REFERENCIA.Unidade</f>
        <v>M</v>
      </c>
      <c r="T444" s="122">
        <f ca="1">OFFSET(CÁLCULO!H$15,ROW($T444)-ROW(T$15),0)</f>
        <v>4</v>
      </c>
      <c r="U444" s="123">
        <f t="shared" ca="1" si="108"/>
        <v>50.39</v>
      </c>
      <c r="V444" s="124" t="s">
        <v>663</v>
      </c>
      <c r="W444" s="122">
        <f ca="1">IF($C444="S",ROUND(IF(TIPOORCAMENTO="Proposto",ORÇAMENTO.CustoUnitario*(1+$AH444),ORÇAMENTO.PrecoUnitarioLicitado),15-13*$AF$10),0)</f>
        <v>62.23</v>
      </c>
      <c r="X444" s="125" cm="1">
        <f t="array" aca="1" ref="X444" ca="1">IF($C444="S",IF(OR(Import.TipoArredondamento&lt;&gt;"TransfereGOV",ACOMPANHAMENTO="BM"),VTOTAL1,SUM(OFFSET(CÁLCULO!$AI$15,ROW($X444)-ROW($X$15),1):OFFSET(CÁLCULO!$BB$15,ROW($X444)-ROW($X$15),-1))),IF($C444=0,0,ROUND(SomaAgrup,15-13*$AF$11)))</f>
        <v>248.92</v>
      </c>
      <c r="Y444" s="126" t="s">
        <v>751</v>
      </c>
      <c r="Z444" t="str">
        <f t="shared" ca="1" si="123"/>
        <v>RA</v>
      </c>
      <c r="AA444" s="127">
        <f ca="1">IF($C444="S",IF($Z444="CP",$X444,IF($Z444="RA",(($X444)*QCI!$AA$3),0)),SomaAgrup)</f>
        <v>0</v>
      </c>
      <c r="AB444" s="128">
        <f t="shared" ca="1" si="124"/>
        <v>0</v>
      </c>
      <c r="AC444" s="565" t="str" cm="1">
        <f t="array" aca="1" ref="AC444" ca="1">IF($N444=""," ",
IF(AND($C444&lt;&gt;"S",OR($R444="",$R444="(digite a descrição aqui)")),"DESCRIÇÃO",
IF(AND($C444="S",OR($Q444&lt;&gt;"",$T444&gt;0,$U444&gt;0),$P444=""),"FONTE",
IF(AND($C444="S",$P444&lt;&gt;"",OR($T444&gt;0,$U444&gt;0),$Q444=""),"CÓDIGO",
IF(AND($C444="S",$P444&lt;&gt;"",$Q444&lt;&gt;"",$R444="(Código não identificado nas referências)"),"CÓDIGO N/ID",
IF(AND($C444="S",OR($R444="",$R444="(digite a descrição aqui)"),OR($Q444&lt;&gt;"",$T444&gt;0,$U444&gt;0)),"DESCRIÇÃO",
IF(AND($C444="S",$P444&lt;&gt;"",$Q444&lt;&gt;"",$S444=""),"UNIDADE",
IF(AND($C444="S",$P444&lt;&gt;"",$Q444&lt;&gt;"",$U444=0),"SEM CUSTO",
IF(AND(_xlfn.SINGLE(TIPOORCAMENTO)="Licitado",$AL444=0,$AN444&gt;0),"SEM PREÇO",
IF(AND($C444="S",$P444&lt;&gt;"",$Q444&lt;&gt;"",$U444&gt;0,AND($V444&lt;&gt;"BDI 1",$V444&lt;&gt;"BDI 2",$V444&lt;&gt;"BDI 3")),IF(ISNUMBER($V444),"JUSTIFICAR BDI","BDI"),
IF(OR(AND(import.recurso="OGU",TIPOORCAMENTO="Proposto",LEFT($O$8,5)&lt;&gt;"(N/D:",$AG444&lt;&gt;"",ORÇAMENTO.CustoUnitario&gt;$AG444),AND(TIPOORCAMENTO="LICITADO",ORÇAMENTO.PrecoUnitarioLicitado&gt;$AN444)),"ACIMA REF.",
IF(AND($C444="S",$P444&lt;&gt;"",$Q444&lt;&gt;"",$T444=0,$U444&gt;0),"QUANT.",
IF(AND(Import.TipoArredondamento="TransfereGOV",$L444="F",$C444="S",LEN($Q444)&gt;13),"Código &gt;13",
IF(AND(Import.TipoArredondamento="TransfereGOV",$L444="F",$C444&lt;&gt;"S",LEN($R444)&gt;100),"Descrição &gt;100",
IF(AND(Import.TipoArredondamento="TransfereGOV",$L444="F",$C444="S",LEN($R444)&gt;500),"Descrição &gt;500",
IF(AND(Import.TipoArredondamento="TransfereGOV",$L444="F",$C444="S",LEFT(TRIM(UPPER($P444)),6)&lt;&gt;"SINAPI",ISNA(VLOOKUP(TRIM(UPPER($S444)),ListaTgov.Unidades,1,FALSE))),"Unid. Não Disp",
" "))))))))))))))))</f>
        <v xml:space="preserve"> </v>
      </c>
      <c r="AD444" t="str">
        <f ca="1">IF(C444&lt;=CRONO.NivelExibicao,MAX($AD$15:OFFSET(AD444,-1,0))+IF($C444&lt;&gt;1,1,MAX(1,COUNTIF(QCI!$A$13:$A$15,OFFSET($E444,-1,0)))),"")</f>
        <v/>
      </c>
      <c r="AE444" s="7" t="str">
        <f ca="1">IF(AND($C444="S",ORÇAMENTO.CodBarra&lt;&gt;""),IF(ORÇAMENTO.Fonte="",ORÇAMENTO.CodBarra,CONCATENATE(ORÇAMENTO.Fonte," ",ORÇAMENTO.CodBarra)))</f>
        <v>SETOP ED-49320</v>
      </c>
      <c r="AF444" s="12">
        <f ca="1">IF(ISERROR(INDIRECT(ORÇAMENTO.BancoRef)),"(abra o arquivo 'Referência "&amp;Excel_BuiltIn_Database&amp;".xlsm)",IF(OR($C444&lt;&gt;"S",ORÇAMENTO.CodBarra=""),"(Sem Código)",IF(ISERROR(MATCH($AE444,INDIRECT(ORÇAMENTO.BancoRef),0)),"(Código não identificado nas referências)",MATCH($AE444,INDIRECT(ORÇAMENTO.BancoRef),0))))</f>
        <v>29132</v>
      </c>
      <c r="AG444" s="428">
        <f ca="1">ROUND(IF(DESONERACAO="sim",REFERENCIA.Desonerado,REFERENCIA.NaoDesonerado),2)</f>
        <v>50.39</v>
      </c>
      <c r="AH444" s="429">
        <f t="shared" ca="1" si="125"/>
        <v>0.23499999999999999</v>
      </c>
      <c r="AJ444" s="431">
        <v>4</v>
      </c>
      <c r="AL444" s="439"/>
      <c r="AM444" s="336">
        <f t="shared" ca="1" si="109"/>
        <v>248.92</v>
      </c>
      <c r="AN444" s="470">
        <f t="shared" ca="1" si="126"/>
        <v>62.23</v>
      </c>
    </row>
    <row r="445" spans="1:40" ht="38.25" x14ac:dyDescent="0.2">
      <c r="A445" t="str">
        <f t="shared" si="112"/>
        <v>S</v>
      </c>
      <c r="B445">
        <f t="shared" ca="1" si="113"/>
        <v>3</v>
      </c>
      <c r="C445" t="str">
        <f t="shared" ca="1" si="114"/>
        <v>S</v>
      </c>
      <c r="D445">
        <f t="shared" ca="1" si="115"/>
        <v>0</v>
      </c>
      <c r="E445">
        <f ca="1">IF($C445=1,OFFSET(E445,-1,0)+MAX(1,COUNTIF(QCI!$A$13:$A$15,OFFSET(ORÇAMENTO!E445,-1,0))),OFFSET(E445,-1,0))</f>
        <v>1</v>
      </c>
      <c r="F445">
        <f t="shared" ca="1" si="116"/>
        <v>9</v>
      </c>
      <c r="G445">
        <f t="shared" ca="1" si="117"/>
        <v>1</v>
      </c>
      <c r="H445">
        <f t="shared" ca="1" si="118"/>
        <v>0</v>
      </c>
      <c r="I445">
        <f t="shared" ca="1" si="119"/>
        <v>3</v>
      </c>
      <c r="J445">
        <f t="shared" ca="1" si="110"/>
        <v>0</v>
      </c>
      <c r="K445">
        <f ca="1">IF(OR($C445="S",$C445=0),0,MATCH(OFFSET($D445,0,$C445)+IF($C445&lt;&gt;1,1,COUNTIF(QCI!$A$13:$A$15,ORÇAMENTO!E445)),OFFSET($D445,1,$C445,ROW($C$508)-ROW($C445)),0))</f>
        <v>0</v>
      </c>
      <c r="L445" s="114" t="str">
        <f t="shared" ca="1" si="120"/>
        <v>F</v>
      </c>
      <c r="M445" s="115" t="s">
        <v>705</v>
      </c>
      <c r="N445" s="116" t="str">
        <f t="shared" ca="1" si="121"/>
        <v>Serviço</v>
      </c>
      <c r="O445" s="117" t="str">
        <f t="shared" ca="1" si="122"/>
        <v>1.9.1.0.3.</v>
      </c>
      <c r="P445" s="118" t="s">
        <v>750</v>
      </c>
      <c r="Q445" s="119" t="s">
        <v>1129</v>
      </c>
      <c r="R445" s="120" t="str">
        <f ca="1">IF($C445="S",REFERENCIA.Descricao,"(digite a descrição aqui)")</f>
        <v>CONDULETE DE ALUMÍNIO, TIPO T, PARA ELETRODUTO DE AÇO GALVANIZADO DN 25 MM (1''), APARENTE - FORNECIMENTO E INSTALAÇÃO. AF_10/2022</v>
      </c>
      <c r="S445" s="121" t="str">
        <f ca="1">REFERENCIA.Unidade</f>
        <v>UN</v>
      </c>
      <c r="T445" s="122">
        <f ca="1">OFFSET(CÁLCULO!H$15,ROW($T445)-ROW(T$15),0)</f>
        <v>13</v>
      </c>
      <c r="U445" s="123">
        <f t="shared" ca="1" si="108"/>
        <v>56.78</v>
      </c>
      <c r="V445" s="124" t="s">
        <v>663</v>
      </c>
      <c r="W445" s="122">
        <f ca="1">IF($C445="S",ROUND(IF(TIPOORCAMENTO="Proposto",ORÇAMENTO.CustoUnitario*(1+$AH445),ORÇAMENTO.PrecoUnitarioLicitado),15-13*$AF$10),0)</f>
        <v>70.12</v>
      </c>
      <c r="X445" s="125" cm="1">
        <f t="array" aca="1" ref="X445" ca="1">IF($C445="S",IF(OR(Import.TipoArredondamento&lt;&gt;"TransfereGOV",ACOMPANHAMENTO="BM"),VTOTAL1,SUM(OFFSET(CÁLCULO!$AI$15,ROW($X445)-ROW($X$15),1):OFFSET(CÁLCULO!$BB$15,ROW($X445)-ROW($X$15),-1))),IF($C445=0,0,ROUND(SomaAgrup,15-13*$AF$11)))</f>
        <v>911.56</v>
      </c>
      <c r="Y445" s="126" t="s">
        <v>751</v>
      </c>
      <c r="Z445" t="str">
        <f t="shared" ca="1" si="123"/>
        <v>RA</v>
      </c>
      <c r="AA445" s="127">
        <f ca="1">IF($C445="S",IF($Z445="CP",$X445,IF($Z445="RA",(($X445)*QCI!$AA$3),0)),SomaAgrup)</f>
        <v>0</v>
      </c>
      <c r="AB445" s="128">
        <f t="shared" ca="1" si="124"/>
        <v>0</v>
      </c>
      <c r="AC445" s="565" t="str" cm="1">
        <f t="array" aca="1" ref="AC445" ca="1">IF($N445=""," ",
IF(AND($C445&lt;&gt;"S",OR($R445="",$R445="(digite a descrição aqui)")),"DESCRIÇÃO",
IF(AND($C445="S",OR($Q445&lt;&gt;"",$T445&gt;0,$U445&gt;0),$P445=""),"FONTE",
IF(AND($C445="S",$P445&lt;&gt;"",OR($T445&gt;0,$U445&gt;0),$Q445=""),"CÓDIGO",
IF(AND($C445="S",$P445&lt;&gt;"",$Q445&lt;&gt;"",$R445="(Código não identificado nas referências)"),"CÓDIGO N/ID",
IF(AND($C445="S",OR($R445="",$R445="(digite a descrição aqui)"),OR($Q445&lt;&gt;"",$T445&gt;0,$U445&gt;0)),"DESCRIÇÃO",
IF(AND($C445="S",$P445&lt;&gt;"",$Q445&lt;&gt;"",$S445=""),"UNIDADE",
IF(AND($C445="S",$P445&lt;&gt;"",$Q445&lt;&gt;"",$U445=0),"SEM CUSTO",
IF(AND(_xlfn.SINGLE(TIPOORCAMENTO)="Licitado",$AL445=0,$AN445&gt;0),"SEM PREÇO",
IF(AND($C445="S",$P445&lt;&gt;"",$Q445&lt;&gt;"",$U445&gt;0,AND($V445&lt;&gt;"BDI 1",$V445&lt;&gt;"BDI 2",$V445&lt;&gt;"BDI 3")),IF(ISNUMBER($V445),"JUSTIFICAR BDI","BDI"),
IF(OR(AND(import.recurso="OGU",TIPOORCAMENTO="Proposto",LEFT($O$8,5)&lt;&gt;"(N/D:",$AG445&lt;&gt;"",ORÇAMENTO.CustoUnitario&gt;$AG445),AND(TIPOORCAMENTO="LICITADO",ORÇAMENTO.PrecoUnitarioLicitado&gt;$AN445)),"ACIMA REF.",
IF(AND($C445="S",$P445&lt;&gt;"",$Q445&lt;&gt;"",$T445=0,$U445&gt;0),"QUANT.",
IF(AND(Import.TipoArredondamento="TransfereGOV",$L445="F",$C445="S",LEN($Q445)&gt;13),"Código &gt;13",
IF(AND(Import.TipoArredondamento="TransfereGOV",$L445="F",$C445&lt;&gt;"S",LEN($R445)&gt;100),"Descrição &gt;100",
IF(AND(Import.TipoArredondamento="TransfereGOV",$L445="F",$C445="S",LEN($R445)&gt;500),"Descrição &gt;500",
IF(AND(Import.TipoArredondamento="TransfereGOV",$L445="F",$C445="S",LEFT(TRIM(UPPER($P445)),6)&lt;&gt;"SINAPI",ISNA(VLOOKUP(TRIM(UPPER($S445)),ListaTgov.Unidades,1,FALSE))),"Unid. Não Disp",
" "))))))))))))))))</f>
        <v xml:space="preserve"> </v>
      </c>
      <c r="AD445" t="str">
        <f ca="1">IF(C445&lt;=CRONO.NivelExibicao,MAX($AD$15:OFFSET(AD445,-1,0))+IF($C445&lt;&gt;1,1,MAX(1,COUNTIF(QCI!$A$13:$A$15,OFFSET($E445,-1,0)))),"")</f>
        <v/>
      </c>
      <c r="AE445" s="7" t="str">
        <f ca="1">IF(AND($C445="S",ORÇAMENTO.CodBarra&lt;&gt;""),IF(ORÇAMENTO.Fonte="",ORÇAMENTO.CodBarra,CONCATENATE(ORÇAMENTO.Fonte," ",ORÇAMENTO.CodBarra)))</f>
        <v>SINAPI 95796</v>
      </c>
      <c r="AF445" s="12">
        <f ca="1">IF(ISERROR(INDIRECT(ORÇAMENTO.BancoRef)),"(abra o arquivo 'Referência "&amp;Excel_BuiltIn_Database&amp;".xlsm)",IF(OR($C445&lt;&gt;"S",ORÇAMENTO.CodBarra=""),"(Sem Código)",IF(ISERROR(MATCH($AE445,INDIRECT(ORÇAMENTO.BancoRef),0)),"(Código não identificado nas referências)",MATCH($AE445,INDIRECT(ORÇAMENTO.BancoRef),0))))</f>
        <v>10594</v>
      </c>
      <c r="AG445" s="428">
        <f ca="1">ROUND(IF(DESONERACAO="sim",REFERENCIA.Desonerado,REFERENCIA.NaoDesonerado),2)</f>
        <v>56.78</v>
      </c>
      <c r="AH445" s="429">
        <f t="shared" ca="1" si="125"/>
        <v>0.23499999999999999</v>
      </c>
      <c r="AJ445" s="431">
        <v>13</v>
      </c>
      <c r="AL445" s="439"/>
      <c r="AM445" s="336">
        <f t="shared" ca="1" si="109"/>
        <v>911.56</v>
      </c>
      <c r="AN445" s="470">
        <f t="shared" ca="1" si="126"/>
        <v>70.12</v>
      </c>
    </row>
    <row r="446" spans="1:40" ht="25.5" x14ac:dyDescent="0.2">
      <c r="A446" t="str">
        <f t="shared" si="112"/>
        <v>S</v>
      </c>
      <c r="B446">
        <f t="shared" ca="1" si="113"/>
        <v>3</v>
      </c>
      <c r="C446" t="str">
        <f t="shared" ca="1" si="114"/>
        <v>S</v>
      </c>
      <c r="D446">
        <f t="shared" ca="1" si="115"/>
        <v>0</v>
      </c>
      <c r="E446">
        <f ca="1">IF($C446=1,OFFSET(E446,-1,0)+MAX(1,COUNTIF(QCI!$A$13:$A$15,OFFSET(ORÇAMENTO!E446,-1,0))),OFFSET(E446,-1,0))</f>
        <v>1</v>
      </c>
      <c r="F446">
        <f t="shared" ca="1" si="116"/>
        <v>9</v>
      </c>
      <c r="G446">
        <f t="shared" ca="1" si="117"/>
        <v>1</v>
      </c>
      <c r="H446">
        <f t="shared" ca="1" si="118"/>
        <v>0</v>
      </c>
      <c r="I446">
        <f t="shared" ca="1" si="119"/>
        <v>4</v>
      </c>
      <c r="J446">
        <f t="shared" ca="1" si="110"/>
        <v>0</v>
      </c>
      <c r="K446">
        <f ca="1">IF(OR($C446="S",$C446=0),0,MATCH(OFFSET($D446,0,$C446)+IF($C446&lt;&gt;1,1,COUNTIF(QCI!$A$13:$A$15,ORÇAMENTO!E446)),OFFSET($D446,1,$C446,ROW($C$508)-ROW($C446)),0))</f>
        <v>0</v>
      </c>
      <c r="L446" s="114" t="str">
        <f t="shared" ca="1" si="120"/>
        <v>F</v>
      </c>
      <c r="M446" s="115" t="s">
        <v>705</v>
      </c>
      <c r="N446" s="116" t="str">
        <f t="shared" ca="1" si="121"/>
        <v>Serviço</v>
      </c>
      <c r="O446" s="117" t="str">
        <f t="shared" ca="1" si="122"/>
        <v>1.9.1.0.4.</v>
      </c>
      <c r="P446" s="118" t="s">
        <v>1280</v>
      </c>
      <c r="Q446" s="119" t="s">
        <v>1165</v>
      </c>
      <c r="R446" s="120" t="str">
        <f ca="1">IF($C446="S",REFERENCIA.Descricao,"(digite a descrição aqui)")</f>
        <v>CONDULETE DE ALUMÍNIO, TIPO "T", DIÂMETRO DE SAÍDA 1.1/2" (40MM), EXCLUSIVE MÓDULO E PLACA, INCLUSIVE FIXAÇÃO</v>
      </c>
      <c r="S446" s="121" t="str">
        <f ca="1">REFERENCIA.Unidade</f>
        <v>UN</v>
      </c>
      <c r="T446" s="122">
        <f ca="1">OFFSET(CÁLCULO!H$15,ROW($T446)-ROW(T$15),0)</f>
        <v>1</v>
      </c>
      <c r="U446" s="123">
        <f t="shared" ca="1" si="108"/>
        <v>67.73</v>
      </c>
      <c r="V446" s="124" t="s">
        <v>663</v>
      </c>
      <c r="W446" s="122">
        <f ca="1">IF($C446="S",ROUND(IF(TIPOORCAMENTO="Proposto",ORÇAMENTO.CustoUnitario*(1+$AH446),ORÇAMENTO.PrecoUnitarioLicitado),15-13*$AF$10),0)</f>
        <v>83.65</v>
      </c>
      <c r="X446" s="125" cm="1">
        <f t="array" aca="1" ref="X446" ca="1">IF($C446="S",IF(OR(Import.TipoArredondamento&lt;&gt;"TransfereGOV",ACOMPANHAMENTO="BM"),VTOTAL1,SUM(OFFSET(CÁLCULO!$AI$15,ROW($X446)-ROW($X$15),1):OFFSET(CÁLCULO!$BB$15,ROW($X446)-ROW($X$15),-1))),IF($C446=0,0,ROUND(SomaAgrup,15-13*$AF$11)))</f>
        <v>83.65</v>
      </c>
      <c r="Y446" s="126" t="s">
        <v>751</v>
      </c>
      <c r="Z446" t="str">
        <f t="shared" ca="1" si="123"/>
        <v>RA</v>
      </c>
      <c r="AA446" s="127">
        <f ca="1">IF($C446="S",IF($Z446="CP",$X446,IF($Z446="RA",(($X446)*QCI!$AA$3),0)),SomaAgrup)</f>
        <v>0</v>
      </c>
      <c r="AB446" s="128">
        <f t="shared" ca="1" si="124"/>
        <v>0</v>
      </c>
      <c r="AC446" s="565" t="str" cm="1">
        <f t="array" aca="1" ref="AC446" ca="1">IF($N446=""," ",
IF(AND($C446&lt;&gt;"S",OR($R446="",$R446="(digite a descrição aqui)")),"DESCRIÇÃO",
IF(AND($C446="S",OR($Q446&lt;&gt;"",$T446&gt;0,$U446&gt;0),$P446=""),"FONTE",
IF(AND($C446="S",$P446&lt;&gt;"",OR($T446&gt;0,$U446&gt;0),$Q446=""),"CÓDIGO",
IF(AND($C446="S",$P446&lt;&gt;"",$Q446&lt;&gt;"",$R446="(Código não identificado nas referências)"),"CÓDIGO N/ID",
IF(AND($C446="S",OR($R446="",$R446="(digite a descrição aqui)"),OR($Q446&lt;&gt;"",$T446&gt;0,$U446&gt;0)),"DESCRIÇÃO",
IF(AND($C446="S",$P446&lt;&gt;"",$Q446&lt;&gt;"",$S446=""),"UNIDADE",
IF(AND($C446="S",$P446&lt;&gt;"",$Q446&lt;&gt;"",$U446=0),"SEM CUSTO",
IF(AND(_xlfn.SINGLE(TIPOORCAMENTO)="Licitado",$AL446=0,$AN446&gt;0),"SEM PREÇO",
IF(AND($C446="S",$P446&lt;&gt;"",$Q446&lt;&gt;"",$U446&gt;0,AND($V446&lt;&gt;"BDI 1",$V446&lt;&gt;"BDI 2",$V446&lt;&gt;"BDI 3")),IF(ISNUMBER($V446),"JUSTIFICAR BDI","BDI"),
IF(OR(AND(import.recurso="OGU",TIPOORCAMENTO="Proposto",LEFT($O$8,5)&lt;&gt;"(N/D:",$AG446&lt;&gt;"",ORÇAMENTO.CustoUnitario&gt;$AG446),AND(TIPOORCAMENTO="LICITADO",ORÇAMENTO.PrecoUnitarioLicitado&gt;$AN446)),"ACIMA REF.",
IF(AND($C446="S",$P446&lt;&gt;"",$Q446&lt;&gt;"",$T446=0,$U446&gt;0),"QUANT.",
IF(AND(Import.TipoArredondamento="TransfereGOV",$L446="F",$C446="S",LEN($Q446)&gt;13),"Código &gt;13",
IF(AND(Import.TipoArredondamento="TransfereGOV",$L446="F",$C446&lt;&gt;"S",LEN($R446)&gt;100),"Descrição &gt;100",
IF(AND(Import.TipoArredondamento="TransfereGOV",$L446="F",$C446="S",LEN($R446)&gt;500),"Descrição &gt;500",
IF(AND(Import.TipoArredondamento="TransfereGOV",$L446="F",$C446="S",LEFT(TRIM(UPPER($P446)),6)&lt;&gt;"SINAPI",ISNA(VLOOKUP(TRIM(UPPER($S446)),ListaTgov.Unidades,1,FALSE))),"Unid. Não Disp",
" "))))))))))))))))</f>
        <v xml:space="preserve"> </v>
      </c>
      <c r="AD446" t="str">
        <f ca="1">IF(C446&lt;=CRONO.NivelExibicao,MAX($AD$15:OFFSET(AD446,-1,0))+IF($C446&lt;&gt;1,1,MAX(1,COUNTIF(QCI!$A$13:$A$15,OFFSET($E446,-1,0)))),"")</f>
        <v/>
      </c>
      <c r="AE446" s="7" t="str">
        <f ca="1">IF(AND($C446="S",ORÇAMENTO.CodBarra&lt;&gt;""),IF(ORÇAMENTO.Fonte="",ORÇAMENTO.CodBarra,CONCATENATE(ORÇAMENTO.Fonte," ",ORÇAMENTO.CodBarra)))</f>
        <v>SETOP ED-49091</v>
      </c>
      <c r="AF446" s="12">
        <f ca="1">IF(ISERROR(INDIRECT(ORÇAMENTO.BancoRef)),"(abra o arquivo 'Referência "&amp;Excel_BuiltIn_Database&amp;".xlsm)",IF(OR($C446&lt;&gt;"S",ORÇAMENTO.CodBarra=""),"(Sem Código)",IF(ISERROR(MATCH($AE446,INDIRECT(ORÇAMENTO.BancoRef),0)),"(Código não identificado nas referências)",MATCH($AE446,INDIRECT(ORÇAMENTO.BancoRef),0))))</f>
        <v>29078</v>
      </c>
      <c r="AG446" s="428">
        <f ca="1">ROUND(IF(DESONERACAO="sim",REFERENCIA.Desonerado,REFERENCIA.NaoDesonerado),2)</f>
        <v>67.73</v>
      </c>
      <c r="AH446" s="429">
        <f t="shared" ca="1" si="125"/>
        <v>0.23499999999999999</v>
      </c>
      <c r="AJ446" s="431">
        <v>1</v>
      </c>
      <c r="AL446" s="439"/>
      <c r="AM446" s="336">
        <f t="shared" ca="1" si="109"/>
        <v>83.65</v>
      </c>
      <c r="AN446" s="470">
        <f t="shared" ca="1" si="126"/>
        <v>83.65</v>
      </c>
    </row>
    <row r="447" spans="1:40" ht="38.25" x14ac:dyDescent="0.2">
      <c r="A447" t="str">
        <f t="shared" si="112"/>
        <v>S</v>
      </c>
      <c r="B447">
        <f t="shared" ca="1" si="113"/>
        <v>3</v>
      </c>
      <c r="C447" t="str">
        <f t="shared" ca="1" si="114"/>
        <v>S</v>
      </c>
      <c r="D447">
        <f t="shared" ca="1" si="115"/>
        <v>0</v>
      </c>
      <c r="E447">
        <f ca="1">IF($C447=1,OFFSET(E447,-1,0)+MAX(1,COUNTIF(QCI!$A$13:$A$15,OFFSET(ORÇAMENTO!E447,-1,0))),OFFSET(E447,-1,0))</f>
        <v>1</v>
      </c>
      <c r="F447">
        <f t="shared" ca="1" si="116"/>
        <v>9</v>
      </c>
      <c r="G447">
        <f t="shared" ca="1" si="117"/>
        <v>1</v>
      </c>
      <c r="H447">
        <f t="shared" ca="1" si="118"/>
        <v>0</v>
      </c>
      <c r="I447">
        <f t="shared" ca="1" si="119"/>
        <v>5</v>
      </c>
      <c r="J447">
        <f t="shared" ca="1" si="110"/>
        <v>0</v>
      </c>
      <c r="K447">
        <f ca="1">IF(OR($C447="S",$C447=0),0,MATCH(OFFSET($D447,0,$C447)+IF($C447&lt;&gt;1,1,COUNTIF(QCI!$A$13:$A$15,ORÇAMENTO!E447)),OFFSET($D447,1,$C447,ROW($C$508)-ROW($C447)),0))</f>
        <v>0</v>
      </c>
      <c r="L447" s="114" t="str">
        <f t="shared" ca="1" si="120"/>
        <v>F</v>
      </c>
      <c r="M447" s="115" t="s">
        <v>705</v>
      </c>
      <c r="N447" s="116" t="str">
        <f t="shared" ca="1" si="121"/>
        <v>Serviço</v>
      </c>
      <c r="O447" s="117" t="str">
        <f t="shared" ca="1" si="122"/>
        <v>1.9.1.0.5.</v>
      </c>
      <c r="P447" s="118" t="s">
        <v>750</v>
      </c>
      <c r="Q447" s="119">
        <v>95789</v>
      </c>
      <c r="R447" s="120" t="str">
        <f ca="1">IF($C447="S",REFERENCIA.Descricao,"(digite a descrição aqui)")</f>
        <v>CONDULETE DE ALUMÍNIO, TIPO LR, PARA ELETRODUTO DE AÇO GALVANIZADO DN 25 MM (1''), APARENTE - FORNECIMENTO E INSTALAÇÃO. AF_10/2022</v>
      </c>
      <c r="S447" s="121" t="str">
        <f ca="1">REFERENCIA.Unidade</f>
        <v>UN</v>
      </c>
      <c r="T447" s="122">
        <f ca="1">OFFSET(CÁLCULO!H$15,ROW($T447)-ROW(T$15),0)</f>
        <v>17</v>
      </c>
      <c r="U447" s="123">
        <f t="shared" ca="1" si="108"/>
        <v>48.3</v>
      </c>
      <c r="V447" s="124" t="s">
        <v>663</v>
      </c>
      <c r="W447" s="122">
        <f ca="1">IF($C447="S",ROUND(IF(TIPOORCAMENTO="Proposto",ORÇAMENTO.CustoUnitario*(1+$AH447),ORÇAMENTO.PrecoUnitarioLicitado),15-13*$AF$10),0)</f>
        <v>59.65</v>
      </c>
      <c r="X447" s="125" cm="1">
        <f t="array" aca="1" ref="X447" ca="1">IF($C447="S",IF(OR(Import.TipoArredondamento&lt;&gt;"TransfereGOV",ACOMPANHAMENTO="BM"),VTOTAL1,SUM(OFFSET(CÁLCULO!$AI$15,ROW($X447)-ROW($X$15),1):OFFSET(CÁLCULO!$BB$15,ROW($X447)-ROW($X$15),-1))),IF($C447=0,0,ROUND(SomaAgrup,15-13*$AF$11)))</f>
        <v>1014.05</v>
      </c>
      <c r="Y447" s="126" t="s">
        <v>751</v>
      </c>
      <c r="Z447" t="str">
        <f t="shared" ca="1" si="123"/>
        <v>RA</v>
      </c>
      <c r="AA447" s="127">
        <f ca="1">IF($C447="S",IF($Z447="CP",$X447,IF($Z447="RA",(($X447)*QCI!$AA$3),0)),SomaAgrup)</f>
        <v>0</v>
      </c>
      <c r="AB447" s="128">
        <f t="shared" ca="1" si="124"/>
        <v>0</v>
      </c>
      <c r="AC447" s="565" t="str" cm="1">
        <f t="array" aca="1" ref="AC447" ca="1">IF($N447=""," ",
IF(AND($C447&lt;&gt;"S",OR($R447="",$R447="(digite a descrição aqui)")),"DESCRIÇÃO",
IF(AND($C447="S",OR($Q447&lt;&gt;"",$T447&gt;0,$U447&gt;0),$P447=""),"FONTE",
IF(AND($C447="S",$P447&lt;&gt;"",OR($T447&gt;0,$U447&gt;0),$Q447=""),"CÓDIGO",
IF(AND($C447="S",$P447&lt;&gt;"",$Q447&lt;&gt;"",$R447="(Código não identificado nas referências)"),"CÓDIGO N/ID",
IF(AND($C447="S",OR($R447="",$R447="(digite a descrição aqui)"),OR($Q447&lt;&gt;"",$T447&gt;0,$U447&gt;0)),"DESCRIÇÃO",
IF(AND($C447="S",$P447&lt;&gt;"",$Q447&lt;&gt;"",$S447=""),"UNIDADE",
IF(AND($C447="S",$P447&lt;&gt;"",$Q447&lt;&gt;"",$U447=0),"SEM CUSTO",
IF(AND(_xlfn.SINGLE(TIPOORCAMENTO)="Licitado",$AL447=0,$AN447&gt;0),"SEM PREÇO",
IF(AND($C447="S",$P447&lt;&gt;"",$Q447&lt;&gt;"",$U447&gt;0,AND($V447&lt;&gt;"BDI 1",$V447&lt;&gt;"BDI 2",$V447&lt;&gt;"BDI 3")),IF(ISNUMBER($V447),"JUSTIFICAR BDI","BDI"),
IF(OR(AND(import.recurso="OGU",TIPOORCAMENTO="Proposto",LEFT($O$8,5)&lt;&gt;"(N/D:",$AG447&lt;&gt;"",ORÇAMENTO.CustoUnitario&gt;$AG447),AND(TIPOORCAMENTO="LICITADO",ORÇAMENTO.PrecoUnitarioLicitado&gt;$AN447)),"ACIMA REF.",
IF(AND($C447="S",$P447&lt;&gt;"",$Q447&lt;&gt;"",$T447=0,$U447&gt;0),"QUANT.",
IF(AND(Import.TipoArredondamento="TransfereGOV",$L447="F",$C447="S",LEN($Q447)&gt;13),"Código &gt;13",
IF(AND(Import.TipoArredondamento="TransfereGOV",$L447="F",$C447&lt;&gt;"S",LEN($R447)&gt;100),"Descrição &gt;100",
IF(AND(Import.TipoArredondamento="TransfereGOV",$L447="F",$C447="S",LEN($R447)&gt;500),"Descrição &gt;500",
IF(AND(Import.TipoArredondamento="TransfereGOV",$L447="F",$C447="S",LEFT(TRIM(UPPER($P447)),6)&lt;&gt;"SINAPI",ISNA(VLOOKUP(TRIM(UPPER($S447)),ListaTgov.Unidades,1,FALSE))),"Unid. Não Disp",
" "))))))))))))))))</f>
        <v xml:space="preserve"> </v>
      </c>
      <c r="AD447" t="str">
        <f ca="1">IF(C447&lt;=CRONO.NivelExibicao,MAX($AD$15:OFFSET(AD447,-1,0))+IF($C447&lt;&gt;1,1,MAX(1,COUNTIF(QCI!$A$13:$A$15,OFFSET($E447,-1,0)))),"")</f>
        <v/>
      </c>
      <c r="AE447" s="7" t="str">
        <f ca="1">IF(AND($C447="S",ORÇAMENTO.CodBarra&lt;&gt;""),IF(ORÇAMENTO.Fonte="",ORÇAMENTO.CodBarra,CONCATENATE(ORÇAMENTO.Fonte," ",ORÇAMENTO.CodBarra)))</f>
        <v>SINAPI 95789</v>
      </c>
      <c r="AF447" s="12">
        <f ca="1">IF(ISERROR(INDIRECT(ORÇAMENTO.BancoRef)),"(abra o arquivo 'Referência "&amp;Excel_BuiltIn_Database&amp;".xlsm)",IF(OR($C447&lt;&gt;"S",ORÇAMENTO.CodBarra=""),"(Sem Código)",IF(ISERROR(MATCH($AE447,INDIRECT(ORÇAMENTO.BancoRef),0)),"(Código não identificado nas referências)",MATCH($AE447,INDIRECT(ORÇAMENTO.BancoRef),0))))</f>
        <v>10591</v>
      </c>
      <c r="AG447" s="428">
        <f ca="1">ROUND(IF(DESONERACAO="sim",REFERENCIA.Desonerado,REFERENCIA.NaoDesonerado),2)</f>
        <v>48.3</v>
      </c>
      <c r="AH447" s="429">
        <f t="shared" ca="1" si="125"/>
        <v>0.23499999999999999</v>
      </c>
      <c r="AJ447" s="431">
        <v>17</v>
      </c>
      <c r="AL447" s="439"/>
      <c r="AM447" s="336">
        <f t="shared" ca="1" si="109"/>
        <v>1014.05</v>
      </c>
      <c r="AN447" s="470">
        <f t="shared" ca="1" si="126"/>
        <v>59.65</v>
      </c>
    </row>
    <row r="448" spans="1:40" ht="25.5" x14ac:dyDescent="0.2">
      <c r="A448" t="str">
        <f t="shared" si="112"/>
        <v>S</v>
      </c>
      <c r="B448">
        <f t="shared" ca="1" si="113"/>
        <v>3</v>
      </c>
      <c r="C448" t="str">
        <f t="shared" ca="1" si="114"/>
        <v>S</v>
      </c>
      <c r="D448">
        <f t="shared" ca="1" si="115"/>
        <v>0</v>
      </c>
      <c r="E448">
        <f ca="1">IF($C448=1,OFFSET(E448,-1,0)+MAX(1,COUNTIF(QCI!$A$13:$A$15,OFFSET(ORÇAMENTO!E448,-1,0))),OFFSET(E448,-1,0))</f>
        <v>1</v>
      </c>
      <c r="F448">
        <f t="shared" ca="1" si="116"/>
        <v>9</v>
      </c>
      <c r="G448">
        <f t="shared" ca="1" si="117"/>
        <v>1</v>
      </c>
      <c r="H448">
        <f t="shared" ca="1" si="118"/>
        <v>0</v>
      </c>
      <c r="I448">
        <f t="shared" ca="1" si="119"/>
        <v>6</v>
      </c>
      <c r="J448">
        <f t="shared" ca="1" si="110"/>
        <v>0</v>
      </c>
      <c r="K448">
        <f ca="1">IF(OR($C448="S",$C448=0),0,MATCH(OFFSET($D448,0,$C448)+IF($C448&lt;&gt;1,1,COUNTIF(QCI!$A$13:$A$15,ORÇAMENTO!E448)),OFFSET($D448,1,$C448,ROW($C$508)-ROW($C448)),0))</f>
        <v>0</v>
      </c>
      <c r="L448" s="114" t="str">
        <f t="shared" ca="1" si="120"/>
        <v>F</v>
      </c>
      <c r="M448" s="115" t="s">
        <v>705</v>
      </c>
      <c r="N448" s="116" t="str">
        <f t="shared" ca="1" si="121"/>
        <v>Serviço</v>
      </c>
      <c r="O448" s="117" t="str">
        <f t="shared" ca="1" si="122"/>
        <v>1.9.1.0.6.</v>
      </c>
      <c r="P448" s="118" t="s">
        <v>1280</v>
      </c>
      <c r="Q448" s="119" t="s">
        <v>1166</v>
      </c>
      <c r="R448" s="120" t="str">
        <f ca="1">IF($C448="S",REFERENCIA.Descricao,"(digite a descrição aqui)")</f>
        <v>CONDULETE DE ALUMÍNIO, TIPO "LR", DIÂMETRO DE SAÍDA 1.1/2" (40MM), EXCLUSIVE MÓDULO E PLACA, INCLUSIVE FIXAÇÃO</v>
      </c>
      <c r="S448" s="121" t="str">
        <f ca="1">REFERENCIA.Unidade</f>
        <v>UN</v>
      </c>
      <c r="T448" s="122">
        <f ca="1">OFFSET(CÁLCULO!H$15,ROW($T448)-ROW(T$15),0)</f>
        <v>1</v>
      </c>
      <c r="U448" s="123">
        <f t="shared" ca="1" si="108"/>
        <v>61.26</v>
      </c>
      <c r="V448" s="124" t="s">
        <v>663</v>
      </c>
      <c r="W448" s="122">
        <f ca="1">IF($C448="S",ROUND(IF(TIPOORCAMENTO="Proposto",ORÇAMENTO.CustoUnitario*(1+$AH448),ORÇAMENTO.PrecoUnitarioLicitado),15-13*$AF$10),0)</f>
        <v>75.66</v>
      </c>
      <c r="X448" s="125" cm="1">
        <f t="array" aca="1" ref="X448" ca="1">IF($C448="S",IF(OR(Import.TipoArredondamento&lt;&gt;"TransfereGOV",ACOMPANHAMENTO="BM"),VTOTAL1,SUM(OFFSET(CÁLCULO!$AI$15,ROW($X448)-ROW($X$15),1):OFFSET(CÁLCULO!$BB$15,ROW($X448)-ROW($X$15),-1))),IF($C448=0,0,ROUND(SomaAgrup,15-13*$AF$11)))</f>
        <v>75.66</v>
      </c>
      <c r="Y448" s="126" t="s">
        <v>751</v>
      </c>
      <c r="Z448" t="str">
        <f t="shared" ca="1" si="123"/>
        <v>RA</v>
      </c>
      <c r="AA448" s="127">
        <f ca="1">IF($C448="S",IF($Z448="CP",$X448,IF($Z448="RA",(($X448)*QCI!$AA$3),0)),SomaAgrup)</f>
        <v>0</v>
      </c>
      <c r="AB448" s="128">
        <f t="shared" ca="1" si="124"/>
        <v>0</v>
      </c>
      <c r="AC448" s="565" t="str" cm="1">
        <f t="array" aca="1" ref="AC448" ca="1">IF($N448=""," ",
IF(AND($C448&lt;&gt;"S",OR($R448="",$R448="(digite a descrição aqui)")),"DESCRIÇÃO",
IF(AND($C448="S",OR($Q448&lt;&gt;"",$T448&gt;0,$U448&gt;0),$P448=""),"FONTE",
IF(AND($C448="S",$P448&lt;&gt;"",OR($T448&gt;0,$U448&gt;0),$Q448=""),"CÓDIGO",
IF(AND($C448="S",$P448&lt;&gt;"",$Q448&lt;&gt;"",$R448="(Código não identificado nas referências)"),"CÓDIGO N/ID",
IF(AND($C448="S",OR($R448="",$R448="(digite a descrição aqui)"),OR($Q448&lt;&gt;"",$T448&gt;0,$U448&gt;0)),"DESCRIÇÃO",
IF(AND($C448="S",$P448&lt;&gt;"",$Q448&lt;&gt;"",$S448=""),"UNIDADE",
IF(AND($C448="S",$P448&lt;&gt;"",$Q448&lt;&gt;"",$U448=0),"SEM CUSTO",
IF(AND(_xlfn.SINGLE(TIPOORCAMENTO)="Licitado",$AL448=0,$AN448&gt;0),"SEM PREÇO",
IF(AND($C448="S",$P448&lt;&gt;"",$Q448&lt;&gt;"",$U448&gt;0,AND($V448&lt;&gt;"BDI 1",$V448&lt;&gt;"BDI 2",$V448&lt;&gt;"BDI 3")),IF(ISNUMBER($V448),"JUSTIFICAR BDI","BDI"),
IF(OR(AND(import.recurso="OGU",TIPOORCAMENTO="Proposto",LEFT($O$8,5)&lt;&gt;"(N/D:",$AG448&lt;&gt;"",ORÇAMENTO.CustoUnitario&gt;$AG448),AND(TIPOORCAMENTO="LICITADO",ORÇAMENTO.PrecoUnitarioLicitado&gt;$AN448)),"ACIMA REF.",
IF(AND($C448="S",$P448&lt;&gt;"",$Q448&lt;&gt;"",$T448=0,$U448&gt;0),"QUANT.",
IF(AND(Import.TipoArredondamento="TransfereGOV",$L448="F",$C448="S",LEN($Q448)&gt;13),"Código &gt;13",
IF(AND(Import.TipoArredondamento="TransfereGOV",$L448="F",$C448&lt;&gt;"S",LEN($R448)&gt;100),"Descrição &gt;100",
IF(AND(Import.TipoArredondamento="TransfereGOV",$L448="F",$C448="S",LEN($R448)&gt;500),"Descrição &gt;500",
IF(AND(Import.TipoArredondamento="TransfereGOV",$L448="F",$C448="S",LEFT(TRIM(UPPER($P448)),6)&lt;&gt;"SINAPI",ISNA(VLOOKUP(TRIM(UPPER($S448)),ListaTgov.Unidades,1,FALSE))),"Unid. Não Disp",
" "))))))))))))))))</f>
        <v xml:space="preserve"> </v>
      </c>
      <c r="AD448" t="str">
        <f ca="1">IF(C448&lt;=CRONO.NivelExibicao,MAX($AD$15:OFFSET(AD448,-1,0))+IF($C448&lt;&gt;1,1,MAX(1,COUNTIF(QCI!$A$13:$A$15,OFFSET($E448,-1,0)))),"")</f>
        <v/>
      </c>
      <c r="AE448" s="7" t="str">
        <f ca="1">IF(AND($C448="S",ORÇAMENTO.CodBarra&lt;&gt;""),IF(ORÇAMENTO.Fonte="",ORÇAMENTO.CodBarra,CONCATENATE(ORÇAMENTO.Fonte," ",ORÇAMENTO.CodBarra)))</f>
        <v>SETOP ED-49109</v>
      </c>
      <c r="AF448" s="12">
        <f ca="1">IF(ISERROR(INDIRECT(ORÇAMENTO.BancoRef)),"(abra o arquivo 'Referência "&amp;Excel_BuiltIn_Database&amp;".xlsm)",IF(OR($C448&lt;&gt;"S",ORÇAMENTO.CodBarra=""),"(Sem Código)",IF(ISERROR(MATCH($AE448,INDIRECT(ORÇAMENTO.BancoRef),0)),"(Código não identificado nas referências)",MATCH($AE448,INDIRECT(ORÇAMENTO.BancoRef),0))))</f>
        <v>29073</v>
      </c>
      <c r="AG448" s="428">
        <f ca="1">ROUND(IF(DESONERACAO="sim",REFERENCIA.Desonerado,REFERENCIA.NaoDesonerado),2)</f>
        <v>61.26</v>
      </c>
      <c r="AH448" s="429">
        <f t="shared" ca="1" si="125"/>
        <v>0.23499999999999999</v>
      </c>
      <c r="AJ448" s="431">
        <v>1</v>
      </c>
      <c r="AL448" s="439"/>
      <c r="AM448" s="336">
        <f t="shared" ca="1" si="109"/>
        <v>75.66</v>
      </c>
      <c r="AN448" s="470">
        <f t="shared" ca="1" si="126"/>
        <v>75.66</v>
      </c>
    </row>
    <row r="449" spans="1:40" ht="25.5" x14ac:dyDescent="0.2">
      <c r="A449" t="str">
        <f t="shared" si="112"/>
        <v>S</v>
      </c>
      <c r="B449">
        <f t="shared" ca="1" si="113"/>
        <v>3</v>
      </c>
      <c r="C449" t="str">
        <f t="shared" ca="1" si="114"/>
        <v>S</v>
      </c>
      <c r="D449">
        <f t="shared" ca="1" si="115"/>
        <v>0</v>
      </c>
      <c r="E449">
        <f ca="1">IF($C449=1,OFFSET(E449,-1,0)+MAX(1,COUNTIF(QCI!$A$13:$A$15,OFFSET(ORÇAMENTO!E449,-1,0))),OFFSET(E449,-1,0))</f>
        <v>1</v>
      </c>
      <c r="F449">
        <f t="shared" ca="1" si="116"/>
        <v>9</v>
      </c>
      <c r="G449">
        <f t="shared" ca="1" si="117"/>
        <v>1</v>
      </c>
      <c r="H449">
        <f t="shared" ca="1" si="118"/>
        <v>0</v>
      </c>
      <c r="I449">
        <f t="shared" ca="1" si="119"/>
        <v>7</v>
      </c>
      <c r="J449">
        <f t="shared" ca="1" si="110"/>
        <v>0</v>
      </c>
      <c r="K449">
        <f ca="1">IF(OR($C449="S",$C449=0),0,MATCH(OFFSET($D449,0,$C449)+IF($C449&lt;&gt;1,1,COUNTIF(QCI!$A$13:$A$15,ORÇAMENTO!E449)),OFFSET($D449,1,$C449,ROW($C$508)-ROW($C449)),0))</f>
        <v>0</v>
      </c>
      <c r="L449" s="114" t="str">
        <f t="shared" ca="1" si="120"/>
        <v>F</v>
      </c>
      <c r="M449" s="115" t="s">
        <v>705</v>
      </c>
      <c r="N449" s="116" t="str">
        <f t="shared" ca="1" si="121"/>
        <v>Serviço</v>
      </c>
      <c r="O449" s="117" t="str">
        <f t="shared" ca="1" si="122"/>
        <v>1.9.1.0.7.</v>
      </c>
      <c r="P449" s="118" t="s">
        <v>1280</v>
      </c>
      <c r="Q449" s="119" t="s">
        <v>1167</v>
      </c>
      <c r="R449" s="120" t="str">
        <f ca="1">IF($C449="S",REFERENCIA.Descricao,"(digite a descrição aqui)")</f>
        <v>CONDULETE DE ALUMÍNIO, TIPO "X", DIÂMETRO DE SAÍDA 1" (25MM), EXCLUSIVE MÓDULO E PLACA, INCLUSIVE FIXAÇÃO</v>
      </c>
      <c r="S449" s="121" t="str">
        <f ca="1">REFERENCIA.Unidade</f>
        <v>UN</v>
      </c>
      <c r="T449" s="122">
        <f ca="1">OFFSET(CÁLCULO!H$15,ROW($T449)-ROW(T$15),0)</f>
        <v>28</v>
      </c>
      <c r="U449" s="123">
        <f t="shared" ca="1" si="108"/>
        <v>49.65</v>
      </c>
      <c r="V449" s="124" t="s">
        <v>663</v>
      </c>
      <c r="W449" s="122">
        <f ca="1">IF($C449="S",ROUND(IF(TIPOORCAMENTO="Proposto",ORÇAMENTO.CustoUnitario*(1+$AH449),ORÇAMENTO.PrecoUnitarioLicitado),15-13*$AF$10),0)</f>
        <v>61.32</v>
      </c>
      <c r="X449" s="125" cm="1">
        <f t="array" aca="1" ref="X449" ca="1">IF($C449="S",IF(OR(Import.TipoArredondamento&lt;&gt;"TransfereGOV",ACOMPANHAMENTO="BM"),VTOTAL1,SUM(OFFSET(CÁLCULO!$AI$15,ROW($X449)-ROW($X$15),1):OFFSET(CÁLCULO!$BB$15,ROW($X449)-ROW($X$15),-1))),IF($C449=0,0,ROUND(SomaAgrup,15-13*$AF$11)))</f>
        <v>1716.96</v>
      </c>
      <c r="Y449" s="126" t="s">
        <v>751</v>
      </c>
      <c r="Z449" t="str">
        <f t="shared" ca="1" si="123"/>
        <v>RA</v>
      </c>
      <c r="AA449" s="127">
        <f ca="1">IF($C449="S",IF($Z449="CP",$X449,IF($Z449="RA",(($X449)*QCI!$AA$3),0)),SomaAgrup)</f>
        <v>0</v>
      </c>
      <c r="AB449" s="128">
        <f t="shared" ca="1" si="124"/>
        <v>0</v>
      </c>
      <c r="AC449" s="565" t="str" cm="1">
        <f t="array" aca="1" ref="AC449" ca="1">IF($N449=""," ",
IF(AND($C449&lt;&gt;"S",OR($R449="",$R449="(digite a descrição aqui)")),"DESCRIÇÃO",
IF(AND($C449="S",OR($Q449&lt;&gt;"",$T449&gt;0,$U449&gt;0),$P449=""),"FONTE",
IF(AND($C449="S",$P449&lt;&gt;"",OR($T449&gt;0,$U449&gt;0),$Q449=""),"CÓDIGO",
IF(AND($C449="S",$P449&lt;&gt;"",$Q449&lt;&gt;"",$R449="(Código não identificado nas referências)"),"CÓDIGO N/ID",
IF(AND($C449="S",OR($R449="",$R449="(digite a descrição aqui)"),OR($Q449&lt;&gt;"",$T449&gt;0,$U449&gt;0)),"DESCRIÇÃO",
IF(AND($C449="S",$P449&lt;&gt;"",$Q449&lt;&gt;"",$S449=""),"UNIDADE",
IF(AND($C449="S",$P449&lt;&gt;"",$Q449&lt;&gt;"",$U449=0),"SEM CUSTO",
IF(AND(_xlfn.SINGLE(TIPOORCAMENTO)="Licitado",$AL449=0,$AN449&gt;0),"SEM PREÇO",
IF(AND($C449="S",$P449&lt;&gt;"",$Q449&lt;&gt;"",$U449&gt;0,AND($V449&lt;&gt;"BDI 1",$V449&lt;&gt;"BDI 2",$V449&lt;&gt;"BDI 3")),IF(ISNUMBER($V449),"JUSTIFICAR BDI","BDI"),
IF(OR(AND(import.recurso="OGU",TIPOORCAMENTO="Proposto",LEFT($O$8,5)&lt;&gt;"(N/D:",$AG449&lt;&gt;"",ORÇAMENTO.CustoUnitario&gt;$AG449),AND(TIPOORCAMENTO="LICITADO",ORÇAMENTO.PrecoUnitarioLicitado&gt;$AN449)),"ACIMA REF.",
IF(AND($C449="S",$P449&lt;&gt;"",$Q449&lt;&gt;"",$T449=0,$U449&gt;0),"QUANT.",
IF(AND(Import.TipoArredondamento="TransfereGOV",$L449="F",$C449="S",LEN($Q449)&gt;13),"Código &gt;13",
IF(AND(Import.TipoArredondamento="TransfereGOV",$L449="F",$C449&lt;&gt;"S",LEN($R449)&gt;100),"Descrição &gt;100",
IF(AND(Import.TipoArredondamento="TransfereGOV",$L449="F",$C449="S",LEN($R449)&gt;500),"Descrição &gt;500",
IF(AND(Import.TipoArredondamento="TransfereGOV",$L449="F",$C449="S",LEFT(TRIM(UPPER($P449)),6)&lt;&gt;"SINAPI",ISNA(VLOOKUP(TRIM(UPPER($S449)),ListaTgov.Unidades,1,FALSE))),"Unid. Não Disp",
" "))))))))))))))))</f>
        <v xml:space="preserve"> </v>
      </c>
      <c r="AD449" t="str">
        <f ca="1">IF(C449&lt;=CRONO.NivelExibicao,MAX($AD$15:OFFSET(AD449,-1,0))+IF($C449&lt;&gt;1,1,MAX(1,COUNTIF(QCI!$A$13:$A$15,OFFSET($E449,-1,0)))),"")</f>
        <v/>
      </c>
      <c r="AE449" s="7" t="str">
        <f ca="1">IF(AND($C449="S",ORÇAMENTO.CodBarra&lt;&gt;""),IF(ORÇAMENTO.Fonte="",ORÇAMENTO.CodBarra,CONCATENATE(ORÇAMENTO.Fonte," ",ORÇAMENTO.CodBarra)))</f>
        <v>SETOP ED-49098</v>
      </c>
      <c r="AF449" s="12">
        <f ca="1">IF(ISERROR(INDIRECT(ORÇAMENTO.BancoRef)),"(abra o arquivo 'Referência "&amp;Excel_BuiltIn_Database&amp;".xlsm)",IF(OR($C449&lt;&gt;"S",ORÇAMENTO.CodBarra=""),"(Sem Código)",IF(ISERROR(MATCH($AE449,INDIRECT(ORÇAMENTO.BancoRef),0)),"(Código não identificado nas referências)",MATCH($AE449,INDIRECT(ORÇAMENTO.BancoRef),0))))</f>
        <v>29087</v>
      </c>
      <c r="AG449" s="428">
        <f ca="1">ROUND(IF(DESONERACAO="sim",REFERENCIA.Desonerado,REFERENCIA.NaoDesonerado),2)</f>
        <v>49.65</v>
      </c>
      <c r="AH449" s="429">
        <f t="shared" ca="1" si="125"/>
        <v>0.23499999999999999</v>
      </c>
      <c r="AJ449" s="431">
        <v>28</v>
      </c>
      <c r="AL449" s="439"/>
      <c r="AM449" s="336">
        <f t="shared" ca="1" si="109"/>
        <v>1716.96</v>
      </c>
      <c r="AN449" s="470">
        <f t="shared" ca="1" si="126"/>
        <v>61.32</v>
      </c>
    </row>
    <row r="450" spans="1:40" ht="25.5" x14ac:dyDescent="0.2">
      <c r="A450" t="str">
        <f t="shared" si="112"/>
        <v>S</v>
      </c>
      <c r="B450">
        <f t="shared" ca="1" si="113"/>
        <v>3</v>
      </c>
      <c r="C450" t="str">
        <f t="shared" ca="1" si="114"/>
        <v>S</v>
      </c>
      <c r="D450">
        <f t="shared" ca="1" si="115"/>
        <v>0</v>
      </c>
      <c r="E450">
        <f ca="1">IF($C450=1,OFFSET(E450,-1,0)+MAX(1,COUNTIF(QCI!$A$13:$A$15,OFFSET(ORÇAMENTO!E450,-1,0))),OFFSET(E450,-1,0))</f>
        <v>1</v>
      </c>
      <c r="F450">
        <f t="shared" ca="1" si="116"/>
        <v>9</v>
      </c>
      <c r="G450">
        <f t="shared" ca="1" si="117"/>
        <v>1</v>
      </c>
      <c r="H450">
        <f t="shared" ca="1" si="118"/>
        <v>0</v>
      </c>
      <c r="I450">
        <f t="shared" ca="1" si="119"/>
        <v>8</v>
      </c>
      <c r="J450">
        <f t="shared" ca="1" si="110"/>
        <v>0</v>
      </c>
      <c r="K450">
        <f ca="1">IF(OR($C450="S",$C450=0),0,MATCH(OFFSET($D450,0,$C450)+IF($C450&lt;&gt;1,1,COUNTIF(QCI!$A$13:$A$15,ORÇAMENTO!E450)),OFFSET($D450,1,$C450,ROW($C$508)-ROW($C450)),0))</f>
        <v>0</v>
      </c>
      <c r="L450" s="114" t="str">
        <f t="shared" ca="1" si="120"/>
        <v>F</v>
      </c>
      <c r="M450" s="115" t="s">
        <v>705</v>
      </c>
      <c r="N450" s="116" t="str">
        <f t="shared" ca="1" si="121"/>
        <v>Serviço</v>
      </c>
      <c r="O450" s="117" t="str">
        <f t="shared" ca="1" si="122"/>
        <v>1.9.1.0.8.</v>
      </c>
      <c r="P450" s="118" t="s">
        <v>1280</v>
      </c>
      <c r="Q450" s="119" t="s">
        <v>1130</v>
      </c>
      <c r="R450" s="120" t="str">
        <f ca="1">IF($C450="S",REFERENCIA.Descricao,"(digite a descrição aqui)")</f>
        <v>DUTO CORRUGADO EM PEAD (POLIETILENO DE ALTA DENSIDADE), PARA PROTEÇÃO DE CABOS SUBTERRÂNEOS DN 30 MM (1.1/4")</v>
      </c>
      <c r="S450" s="121" t="str">
        <f ca="1">REFERENCIA.Unidade</f>
        <v>M</v>
      </c>
      <c r="T450" s="122">
        <f ca="1">OFFSET(CÁLCULO!H$15,ROW($T450)-ROW(T$15),0)</f>
        <v>637</v>
      </c>
      <c r="U450" s="123">
        <f t="shared" ca="1" si="108"/>
        <v>29.93</v>
      </c>
      <c r="V450" s="124" t="s">
        <v>663</v>
      </c>
      <c r="W450" s="122">
        <f ca="1">IF($C450="S",ROUND(IF(TIPOORCAMENTO="Proposto",ORÇAMENTO.CustoUnitario*(1+$AH450),ORÇAMENTO.PrecoUnitarioLicitado),15-13*$AF$10),0)</f>
        <v>36.96</v>
      </c>
      <c r="X450" s="125" cm="1">
        <f t="array" aca="1" ref="X450" ca="1">IF($C450="S",IF(OR(Import.TipoArredondamento&lt;&gt;"TransfereGOV",ACOMPANHAMENTO="BM"),VTOTAL1,SUM(OFFSET(CÁLCULO!$AI$15,ROW($X450)-ROW($X$15),1):OFFSET(CÁLCULO!$BB$15,ROW($X450)-ROW($X$15),-1))),IF($C450=0,0,ROUND(SomaAgrup,15-13*$AF$11)))</f>
        <v>23543.52</v>
      </c>
      <c r="Y450" s="126" t="s">
        <v>751</v>
      </c>
      <c r="Z450" t="str">
        <f t="shared" ca="1" si="123"/>
        <v>RA</v>
      </c>
      <c r="AA450" s="127">
        <f ca="1">IF($C450="S",IF($Z450="CP",$X450,IF($Z450="RA",(($X450)*QCI!$AA$3),0)),SomaAgrup)</f>
        <v>0</v>
      </c>
      <c r="AB450" s="128">
        <f t="shared" ca="1" si="124"/>
        <v>0</v>
      </c>
      <c r="AC450" s="565" t="str" cm="1">
        <f t="array" aca="1" ref="AC450" ca="1">IF($N450=""," ",
IF(AND($C450&lt;&gt;"S",OR($R450="",$R450="(digite a descrição aqui)")),"DESCRIÇÃO",
IF(AND($C450="S",OR($Q450&lt;&gt;"",$T450&gt;0,$U450&gt;0),$P450=""),"FONTE",
IF(AND($C450="S",$P450&lt;&gt;"",OR($T450&gt;0,$U450&gt;0),$Q450=""),"CÓDIGO",
IF(AND($C450="S",$P450&lt;&gt;"",$Q450&lt;&gt;"",$R450="(Código não identificado nas referências)"),"CÓDIGO N/ID",
IF(AND($C450="S",OR($R450="",$R450="(digite a descrição aqui)"),OR($Q450&lt;&gt;"",$T450&gt;0,$U450&gt;0)),"DESCRIÇÃO",
IF(AND($C450="S",$P450&lt;&gt;"",$Q450&lt;&gt;"",$S450=""),"UNIDADE",
IF(AND($C450="S",$P450&lt;&gt;"",$Q450&lt;&gt;"",$U450=0),"SEM CUSTO",
IF(AND(_xlfn.SINGLE(TIPOORCAMENTO)="Licitado",$AL450=0,$AN450&gt;0),"SEM PREÇO",
IF(AND($C450="S",$P450&lt;&gt;"",$Q450&lt;&gt;"",$U450&gt;0,AND($V450&lt;&gt;"BDI 1",$V450&lt;&gt;"BDI 2",$V450&lt;&gt;"BDI 3")),IF(ISNUMBER($V450),"JUSTIFICAR BDI","BDI"),
IF(OR(AND(import.recurso="OGU",TIPOORCAMENTO="Proposto",LEFT($O$8,5)&lt;&gt;"(N/D:",$AG450&lt;&gt;"",ORÇAMENTO.CustoUnitario&gt;$AG450),AND(TIPOORCAMENTO="LICITADO",ORÇAMENTO.PrecoUnitarioLicitado&gt;$AN450)),"ACIMA REF.",
IF(AND($C450="S",$P450&lt;&gt;"",$Q450&lt;&gt;"",$T450=0,$U450&gt;0),"QUANT.",
IF(AND(Import.TipoArredondamento="TransfereGOV",$L450="F",$C450="S",LEN($Q450)&gt;13),"Código &gt;13",
IF(AND(Import.TipoArredondamento="TransfereGOV",$L450="F",$C450&lt;&gt;"S",LEN($R450)&gt;100),"Descrição &gt;100",
IF(AND(Import.TipoArredondamento="TransfereGOV",$L450="F",$C450="S",LEN($R450)&gt;500),"Descrição &gt;500",
IF(AND(Import.TipoArredondamento="TransfereGOV",$L450="F",$C450="S",LEFT(TRIM(UPPER($P450)),6)&lt;&gt;"SINAPI",ISNA(VLOOKUP(TRIM(UPPER($S450)),ListaTgov.Unidades,1,FALSE))),"Unid. Não Disp",
" "))))))))))))))))</f>
        <v xml:space="preserve"> </v>
      </c>
      <c r="AD450" t="str">
        <f ca="1">IF(C450&lt;=CRONO.NivelExibicao,MAX($AD$15:OFFSET(AD450,-1,0))+IF($C450&lt;&gt;1,1,MAX(1,COUNTIF(QCI!$A$13:$A$15,OFFSET($E450,-1,0)))),"")</f>
        <v/>
      </c>
      <c r="AE450" s="7" t="str">
        <f ca="1">IF(AND($C450="S",ORÇAMENTO.CodBarra&lt;&gt;""),IF(ORÇAMENTO.Fonte="",ORÇAMENTO.CodBarra,CONCATENATE(ORÇAMENTO.Fonte," ",ORÇAMENTO.CodBarra)))</f>
        <v>SETOP ED-4155</v>
      </c>
      <c r="AF450" s="12">
        <f ca="1">IF(ISERROR(INDIRECT(ORÇAMENTO.BancoRef)),"(abra o arquivo 'Referência "&amp;Excel_BuiltIn_Database&amp;".xlsm)",IF(OR($C450&lt;&gt;"S",ORÇAMENTO.CodBarra=""),"(Sem Código)",IF(ISERROR(MATCH($AE450,INDIRECT(ORÇAMENTO.BancoRef),0)),"(Código não identificado nas referências)",MATCH($AE450,INDIRECT(ORÇAMENTO.BancoRef),0))))</f>
        <v>29280</v>
      </c>
      <c r="AG450" s="428">
        <f ca="1">ROUND(IF(DESONERACAO="sim",REFERENCIA.Desonerado,REFERENCIA.NaoDesonerado),2)</f>
        <v>29.93</v>
      </c>
      <c r="AH450" s="429">
        <f t="shared" ca="1" si="125"/>
        <v>0.23499999999999999</v>
      </c>
      <c r="AJ450" s="431">
        <v>637</v>
      </c>
      <c r="AL450" s="439"/>
      <c r="AM450" s="336">
        <f t="shared" ca="1" si="109"/>
        <v>23543.52</v>
      </c>
      <c r="AN450" s="470">
        <f t="shared" ca="1" si="126"/>
        <v>36.96</v>
      </c>
    </row>
    <row r="451" spans="1:40" ht="38.25" x14ac:dyDescent="0.2">
      <c r="A451" t="str">
        <f t="shared" si="112"/>
        <v>S</v>
      </c>
      <c r="B451">
        <f t="shared" ca="1" si="113"/>
        <v>3</v>
      </c>
      <c r="C451" t="str">
        <f t="shared" ca="1" si="114"/>
        <v>S</v>
      </c>
      <c r="D451">
        <f t="shared" ca="1" si="115"/>
        <v>0</v>
      </c>
      <c r="E451">
        <f ca="1">IF($C451=1,OFFSET(E451,-1,0)+MAX(1,COUNTIF(QCI!$A$13:$A$15,OFFSET(ORÇAMENTO!E451,-1,0))),OFFSET(E451,-1,0))</f>
        <v>1</v>
      </c>
      <c r="F451">
        <f t="shared" ca="1" si="116"/>
        <v>9</v>
      </c>
      <c r="G451">
        <f t="shared" ca="1" si="117"/>
        <v>1</v>
      </c>
      <c r="H451">
        <f t="shared" ca="1" si="118"/>
        <v>0</v>
      </c>
      <c r="I451">
        <f t="shared" ca="1" si="119"/>
        <v>9</v>
      </c>
      <c r="J451">
        <f t="shared" ca="1" si="110"/>
        <v>0</v>
      </c>
      <c r="K451">
        <f ca="1">IF(OR($C451="S",$C451=0),0,MATCH(OFFSET($D451,0,$C451)+IF($C451&lt;&gt;1,1,COUNTIF(QCI!$A$13:$A$15,ORÇAMENTO!E451)),OFFSET($D451,1,$C451,ROW($C$508)-ROW($C451)),0))</f>
        <v>0</v>
      </c>
      <c r="L451" s="114" t="str">
        <f t="shared" ca="1" si="120"/>
        <v>F</v>
      </c>
      <c r="M451" s="115" t="s">
        <v>705</v>
      </c>
      <c r="N451" s="116" t="str">
        <f t="shared" ca="1" si="121"/>
        <v>Serviço</v>
      </c>
      <c r="O451" s="117" t="str">
        <f t="shared" ca="1" si="122"/>
        <v>1.9.1.0.9.</v>
      </c>
      <c r="P451" s="118" t="s">
        <v>1280</v>
      </c>
      <c r="Q451" s="119" t="s">
        <v>1168</v>
      </c>
      <c r="R451" s="120" t="str">
        <f ca="1">IF($C451="S",REFERENCIA.Descricao,"(digite a descrição aqui)")</f>
        <v>CAIXA DE PASSAGEM PARA PISO EM ALUMÍNIO, TAMPA REVERSÍVEL (ANTIDERRAPANTE OU LISA), DIMENSÃO (200X200X100)MM, INCLUSIVE ACESSÓRIOS E FIXAÇÃO</v>
      </c>
      <c r="S451" s="121" t="str">
        <f ca="1">REFERENCIA.Unidade</f>
        <v>UN</v>
      </c>
      <c r="T451" s="122">
        <f ca="1">OFFSET(CÁLCULO!H$15,ROW($T451)-ROW(T$15),0)</f>
        <v>36</v>
      </c>
      <c r="U451" s="123">
        <f t="shared" ca="1" si="108"/>
        <v>160.72999999999999</v>
      </c>
      <c r="V451" s="124" t="s">
        <v>663</v>
      </c>
      <c r="W451" s="122">
        <f ca="1">IF($C451="S",ROUND(IF(TIPOORCAMENTO="Proposto",ORÇAMENTO.CustoUnitario*(1+$AH451),ORÇAMENTO.PrecoUnitarioLicitado),15-13*$AF$10),0)</f>
        <v>198.5</v>
      </c>
      <c r="X451" s="125" cm="1">
        <f t="array" aca="1" ref="X451" ca="1">IF($C451="S",IF(OR(Import.TipoArredondamento&lt;&gt;"TransfereGOV",ACOMPANHAMENTO="BM"),VTOTAL1,SUM(OFFSET(CÁLCULO!$AI$15,ROW($X451)-ROW($X$15),1):OFFSET(CÁLCULO!$BB$15,ROW($X451)-ROW($X$15),-1))),IF($C451=0,0,ROUND(SomaAgrup,15-13*$AF$11)))</f>
        <v>7146</v>
      </c>
      <c r="Y451" s="126" t="s">
        <v>751</v>
      </c>
      <c r="Z451" t="str">
        <f t="shared" ca="1" si="123"/>
        <v>RA</v>
      </c>
      <c r="AA451" s="127">
        <f ca="1">IF($C451="S",IF($Z451="CP",$X451,IF($Z451="RA",(($X451)*QCI!$AA$3),0)),SomaAgrup)</f>
        <v>0</v>
      </c>
      <c r="AB451" s="128">
        <f t="shared" ca="1" si="124"/>
        <v>0</v>
      </c>
      <c r="AC451" s="565" t="str" cm="1">
        <f t="array" aca="1" ref="AC451" ca="1">IF($N451=""," ",
IF(AND($C451&lt;&gt;"S",OR($R451="",$R451="(digite a descrição aqui)")),"DESCRIÇÃO",
IF(AND($C451="S",OR($Q451&lt;&gt;"",$T451&gt;0,$U451&gt;0),$P451=""),"FONTE",
IF(AND($C451="S",$P451&lt;&gt;"",OR($T451&gt;0,$U451&gt;0),$Q451=""),"CÓDIGO",
IF(AND($C451="S",$P451&lt;&gt;"",$Q451&lt;&gt;"",$R451="(Código não identificado nas referências)"),"CÓDIGO N/ID",
IF(AND($C451="S",OR($R451="",$R451="(digite a descrição aqui)"),OR($Q451&lt;&gt;"",$T451&gt;0,$U451&gt;0)),"DESCRIÇÃO",
IF(AND($C451="S",$P451&lt;&gt;"",$Q451&lt;&gt;"",$S451=""),"UNIDADE",
IF(AND($C451="S",$P451&lt;&gt;"",$Q451&lt;&gt;"",$U451=0),"SEM CUSTO",
IF(AND(_xlfn.SINGLE(TIPOORCAMENTO)="Licitado",$AL451=0,$AN451&gt;0),"SEM PREÇO",
IF(AND($C451="S",$P451&lt;&gt;"",$Q451&lt;&gt;"",$U451&gt;0,AND($V451&lt;&gt;"BDI 1",$V451&lt;&gt;"BDI 2",$V451&lt;&gt;"BDI 3")),IF(ISNUMBER($V451),"JUSTIFICAR BDI","BDI"),
IF(OR(AND(import.recurso="OGU",TIPOORCAMENTO="Proposto",LEFT($O$8,5)&lt;&gt;"(N/D:",$AG451&lt;&gt;"",ORÇAMENTO.CustoUnitario&gt;$AG451),AND(TIPOORCAMENTO="LICITADO",ORÇAMENTO.PrecoUnitarioLicitado&gt;$AN451)),"ACIMA REF.",
IF(AND($C451="S",$P451&lt;&gt;"",$Q451&lt;&gt;"",$T451=0,$U451&gt;0),"QUANT.",
IF(AND(Import.TipoArredondamento="TransfereGOV",$L451="F",$C451="S",LEN($Q451)&gt;13),"Código &gt;13",
IF(AND(Import.TipoArredondamento="TransfereGOV",$L451="F",$C451&lt;&gt;"S",LEN($R451)&gt;100),"Descrição &gt;100",
IF(AND(Import.TipoArredondamento="TransfereGOV",$L451="F",$C451="S",LEN($R451)&gt;500),"Descrição &gt;500",
IF(AND(Import.TipoArredondamento="TransfereGOV",$L451="F",$C451="S",LEFT(TRIM(UPPER($P451)),6)&lt;&gt;"SINAPI",ISNA(VLOOKUP(TRIM(UPPER($S451)),ListaTgov.Unidades,1,FALSE))),"Unid. Não Disp",
" "))))))))))))))))</f>
        <v xml:space="preserve"> </v>
      </c>
      <c r="AD451" t="str">
        <f ca="1">IF(C451&lt;=CRONO.NivelExibicao,MAX($AD$15:OFFSET(AD451,-1,0))+IF($C451&lt;&gt;1,1,MAX(1,COUNTIF(QCI!$A$13:$A$15,OFFSET($E451,-1,0)))),"")</f>
        <v/>
      </c>
      <c r="AE451" s="7" t="str">
        <f ca="1">IF(AND($C451="S",ORÇAMENTO.CodBarra&lt;&gt;""),IF(ORÇAMENTO.Fonte="",ORÇAMENTO.CodBarra,CONCATENATE(ORÇAMENTO.Fonte," ",ORÇAMENTO.CodBarra)))</f>
        <v>SETOP ED-49165</v>
      </c>
      <c r="AF451" s="12">
        <f ca="1">IF(ISERROR(INDIRECT(ORÇAMENTO.BancoRef)),"(abra o arquivo 'Referência "&amp;Excel_BuiltIn_Database&amp;".xlsm)",IF(OR($C451&lt;&gt;"S",ORÇAMENTO.CodBarra=""),"(Sem Código)",IF(ISERROR(MATCH($AE451,INDIRECT(ORÇAMENTO.BancoRef),0)),"(Código não identificado nas referências)",MATCH($AE451,INDIRECT(ORÇAMENTO.BancoRef),0))))</f>
        <v>28941</v>
      </c>
      <c r="AG451" s="428">
        <f ca="1">ROUND(IF(DESONERACAO="sim",REFERENCIA.Desonerado,REFERENCIA.NaoDesonerado),2)</f>
        <v>160.72999999999999</v>
      </c>
      <c r="AH451" s="429">
        <f t="shared" ca="1" si="125"/>
        <v>0.23499999999999999</v>
      </c>
      <c r="AJ451" s="431">
        <v>36</v>
      </c>
      <c r="AL451" s="439"/>
      <c r="AM451" s="336">
        <f t="shared" ca="1" si="109"/>
        <v>7146</v>
      </c>
      <c r="AN451" s="470">
        <f t="shared" ca="1" si="126"/>
        <v>198.5</v>
      </c>
    </row>
    <row r="452" spans="1:40" ht="25.5" x14ac:dyDescent="0.2">
      <c r="A452" t="str">
        <f t="shared" si="112"/>
        <v>S</v>
      </c>
      <c r="B452">
        <f t="shared" ca="1" si="113"/>
        <v>3</v>
      </c>
      <c r="C452" t="str">
        <f t="shared" ca="1" si="114"/>
        <v>S</v>
      </c>
      <c r="D452">
        <f t="shared" ca="1" si="115"/>
        <v>0</v>
      </c>
      <c r="E452">
        <f ca="1">IF($C452=1,OFFSET(E452,-1,0)+MAX(1,COUNTIF(QCI!$A$13:$A$15,OFFSET(ORÇAMENTO!E452,-1,0))),OFFSET(E452,-1,0))</f>
        <v>1</v>
      </c>
      <c r="F452">
        <f t="shared" ca="1" si="116"/>
        <v>9</v>
      </c>
      <c r="G452">
        <f t="shared" ca="1" si="117"/>
        <v>1</v>
      </c>
      <c r="H452">
        <f t="shared" ca="1" si="118"/>
        <v>0</v>
      </c>
      <c r="I452">
        <f t="shared" ca="1" si="119"/>
        <v>10</v>
      </c>
      <c r="J452">
        <f t="shared" ca="1" si="110"/>
        <v>0</v>
      </c>
      <c r="K452">
        <f ca="1">IF(OR($C452="S",$C452=0),0,MATCH(OFFSET($D452,0,$C452)+IF($C452&lt;&gt;1,1,COUNTIF(QCI!$A$13:$A$15,ORÇAMENTO!E452)),OFFSET($D452,1,$C452,ROW($C$508)-ROW($C452)),0))</f>
        <v>0</v>
      </c>
      <c r="L452" s="114" t="str">
        <f t="shared" ca="1" si="120"/>
        <v>F</v>
      </c>
      <c r="M452" s="115" t="s">
        <v>705</v>
      </c>
      <c r="N452" s="116" t="str">
        <f t="shared" ca="1" si="121"/>
        <v>Serviço</v>
      </c>
      <c r="O452" s="117" t="str">
        <f t="shared" ca="1" si="122"/>
        <v>1.9.1.0.10.</v>
      </c>
      <c r="P452" s="118" t="s">
        <v>957</v>
      </c>
      <c r="Q452" s="119" t="s">
        <v>1169</v>
      </c>
      <c r="R452" s="120" t="str">
        <f ca="1">IF($C452="S",REFERENCIA.Descricao,"(digite a descrição aqui)")</f>
        <v>POSTE DE AÇO GALVANIZADO, TIPO RETO H=4M - BASEADO EM SIURB 9083072</v>
      </c>
      <c r="S452" s="121" t="str">
        <f ca="1">REFERENCIA.Unidade</f>
        <v>UN</v>
      </c>
      <c r="T452" s="122">
        <f ca="1">OFFSET(CÁLCULO!H$15,ROW($T452)-ROW(T$15),0)</f>
        <v>10</v>
      </c>
      <c r="U452" s="123">
        <f t="shared" ca="1" si="108"/>
        <v>2210.08</v>
      </c>
      <c r="V452" s="124" t="s">
        <v>663</v>
      </c>
      <c r="W452" s="122">
        <f ca="1">IF($C452="S",ROUND(IF(TIPOORCAMENTO="Proposto",ORÇAMENTO.CustoUnitario*(1+$AH452),ORÇAMENTO.PrecoUnitarioLicitado),15-13*$AF$10),0)</f>
        <v>2729.45</v>
      </c>
      <c r="X452" s="125" cm="1">
        <f t="array" aca="1" ref="X452" ca="1">IF($C452="S",IF(OR(Import.TipoArredondamento&lt;&gt;"TransfereGOV",ACOMPANHAMENTO="BM"),VTOTAL1,SUM(OFFSET(CÁLCULO!$AI$15,ROW($X452)-ROW($X$15),1):OFFSET(CÁLCULO!$BB$15,ROW($X452)-ROW($X$15),-1))),IF($C452=0,0,ROUND(SomaAgrup,15-13*$AF$11)))</f>
        <v>27294.5</v>
      </c>
      <c r="Y452" s="126" t="s">
        <v>751</v>
      </c>
      <c r="Z452" t="str">
        <f t="shared" ca="1" si="123"/>
        <v>RA</v>
      </c>
      <c r="AA452" s="127">
        <f ca="1">IF($C452="S",IF($Z452="CP",$X452,IF($Z452="RA",(($X452)*QCI!$AA$3),0)),SomaAgrup)</f>
        <v>0</v>
      </c>
      <c r="AB452" s="128">
        <f t="shared" ca="1" si="124"/>
        <v>0</v>
      </c>
      <c r="AC452" s="565" t="str" cm="1">
        <f t="array" aca="1" ref="AC452" ca="1">IF($N452=""," ",
IF(AND($C452&lt;&gt;"S",OR($R452="",$R452="(digite a descrição aqui)")),"DESCRIÇÃO",
IF(AND($C452="S",OR($Q452&lt;&gt;"",$T452&gt;0,$U452&gt;0),$P452=""),"FONTE",
IF(AND($C452="S",$P452&lt;&gt;"",OR($T452&gt;0,$U452&gt;0),$Q452=""),"CÓDIGO",
IF(AND($C452="S",$P452&lt;&gt;"",$Q452&lt;&gt;"",$R452="(Código não identificado nas referências)"),"CÓDIGO N/ID",
IF(AND($C452="S",OR($R452="",$R452="(digite a descrição aqui)"),OR($Q452&lt;&gt;"",$T452&gt;0,$U452&gt;0)),"DESCRIÇÃO",
IF(AND($C452="S",$P452&lt;&gt;"",$Q452&lt;&gt;"",$S452=""),"UNIDADE",
IF(AND($C452="S",$P452&lt;&gt;"",$Q452&lt;&gt;"",$U452=0),"SEM CUSTO",
IF(AND(_xlfn.SINGLE(TIPOORCAMENTO)="Licitado",$AL452=0,$AN452&gt;0),"SEM PREÇO",
IF(AND($C452="S",$P452&lt;&gt;"",$Q452&lt;&gt;"",$U452&gt;0,AND($V452&lt;&gt;"BDI 1",$V452&lt;&gt;"BDI 2",$V452&lt;&gt;"BDI 3")),IF(ISNUMBER($V452),"JUSTIFICAR BDI","BDI"),
IF(OR(AND(import.recurso="OGU",TIPOORCAMENTO="Proposto",LEFT($O$8,5)&lt;&gt;"(N/D:",$AG452&lt;&gt;"",ORÇAMENTO.CustoUnitario&gt;$AG452),AND(TIPOORCAMENTO="LICITADO",ORÇAMENTO.PrecoUnitarioLicitado&gt;$AN452)),"ACIMA REF.",
IF(AND($C452="S",$P452&lt;&gt;"",$Q452&lt;&gt;"",$T452=0,$U452&gt;0),"QUANT.",
IF(AND(Import.TipoArredondamento="TransfereGOV",$L452="F",$C452="S",LEN($Q452)&gt;13),"Código &gt;13",
IF(AND(Import.TipoArredondamento="TransfereGOV",$L452="F",$C452&lt;&gt;"S",LEN($R452)&gt;100),"Descrição &gt;100",
IF(AND(Import.TipoArredondamento="TransfereGOV",$L452="F",$C452="S",LEN($R452)&gt;500),"Descrição &gt;500",
IF(AND(Import.TipoArredondamento="TransfereGOV",$L452="F",$C452="S",LEFT(TRIM(UPPER($P452)),6)&lt;&gt;"SINAPI",ISNA(VLOOKUP(TRIM(UPPER($S452)),ListaTgov.Unidades,1,FALSE))),"Unid. Não Disp",
" "))))))))))))))))</f>
        <v xml:space="preserve"> </v>
      </c>
      <c r="AD452" t="str">
        <f ca="1">IF(C452&lt;=CRONO.NivelExibicao,MAX($AD$15:OFFSET(AD452,-1,0))+IF($C452&lt;&gt;1,1,MAX(1,COUNTIF(QCI!$A$13:$A$15,OFFSET($E452,-1,0)))),"")</f>
        <v/>
      </c>
      <c r="AE452" s="7" t="str">
        <f ca="1">IF(AND($C452="S",ORÇAMENTO.CodBarra&lt;&gt;""),IF(ORÇAMENTO.Fonte="",ORÇAMENTO.CodBarra,CONCATENATE(ORÇAMENTO.Fonte," ",ORÇAMENTO.CodBarra)))</f>
        <v>Composição CPU-050</v>
      </c>
      <c r="AF452" s="12">
        <f ca="1">IF(ISERROR(INDIRECT(ORÇAMENTO.BancoRef)),"(abra o arquivo 'Referência "&amp;Excel_BuiltIn_Database&amp;".xlsm)",IF(OR($C452&lt;&gt;"S",ORÇAMENTO.CodBarra=""),"(Sem Código)",IF(ISERROR(MATCH($AE452,INDIRECT(ORÇAMENTO.BancoRef),0)),"(Código não identificado nas referências)",MATCH($AE452,INDIRECT(ORÇAMENTO.BancoRef),0))))</f>
        <v>52</v>
      </c>
      <c r="AG452" s="428">
        <f ca="1">ROUND(IF(DESONERACAO="sim",REFERENCIA.Desonerado,REFERENCIA.NaoDesonerado),2)</f>
        <v>2210.08</v>
      </c>
      <c r="AH452" s="429">
        <f t="shared" ca="1" si="125"/>
        <v>0.23499999999999999</v>
      </c>
      <c r="AJ452" s="431">
        <v>10</v>
      </c>
      <c r="AL452" s="439"/>
      <c r="AM452" s="336">
        <f t="shared" ca="1" si="109"/>
        <v>27294.5</v>
      </c>
      <c r="AN452" s="470">
        <f t="shared" ca="1" si="126"/>
        <v>2729.45</v>
      </c>
    </row>
    <row r="453" spans="1:40" x14ac:dyDescent="0.2">
      <c r="A453">
        <f t="shared" si="112"/>
        <v>3</v>
      </c>
      <c r="B453">
        <f t="shared" ca="1" si="113"/>
        <v>3</v>
      </c>
      <c r="C453">
        <f t="shared" ca="1" si="114"/>
        <v>3</v>
      </c>
      <c r="D453">
        <f t="shared" ca="1" si="115"/>
        <v>4</v>
      </c>
      <c r="E453">
        <f ca="1">IF($C453=1,OFFSET(E453,-1,0)+MAX(1,COUNTIF(QCI!$A$13:$A$15,OFFSET(ORÇAMENTO!E453,-1,0))),OFFSET(E453,-1,0))</f>
        <v>1</v>
      </c>
      <c r="F453">
        <f t="shared" ca="1" si="116"/>
        <v>9</v>
      </c>
      <c r="G453">
        <f t="shared" ca="1" si="117"/>
        <v>2</v>
      </c>
      <c r="H453">
        <f t="shared" ca="1" si="118"/>
        <v>0</v>
      </c>
      <c r="I453">
        <f t="shared" ca="1" si="119"/>
        <v>0</v>
      </c>
      <c r="J453">
        <f t="shared" ca="1" si="110"/>
        <v>26</v>
      </c>
      <c r="K453">
        <f ca="1">IF(OR($C453="S",$C453=0),0,MATCH(OFFSET($D453,0,$C453)+IF($C453&lt;&gt;1,1,COUNTIF(QCI!$A$13:$A$15,ORÇAMENTO!E453)),OFFSET($D453,1,$C453,ROW($C$508)-ROW($C453)),0))</f>
        <v>4</v>
      </c>
      <c r="L453" s="114" t="str">
        <f t="shared" ca="1" si="120"/>
        <v>F</v>
      </c>
      <c r="M453" s="115" t="s">
        <v>703</v>
      </c>
      <c r="N453" s="116" t="str">
        <f t="shared" ca="1" si="121"/>
        <v>Nível 3</v>
      </c>
      <c r="O453" s="117" t="str">
        <f t="shared" ca="1" si="122"/>
        <v>1.9.2.</v>
      </c>
      <c r="P453" s="118" t="s">
        <v>750</v>
      </c>
      <c r="Q453" s="119"/>
      <c r="R453" s="120" t="s">
        <v>1255</v>
      </c>
      <c r="S453" s="121" t="s">
        <v>688</v>
      </c>
      <c r="T453" s="122">
        <f ca="1">OFFSET(CÁLCULO!H$15,ROW($T453)-ROW(T$15),0)</f>
        <v>0</v>
      </c>
      <c r="U453" s="123"/>
      <c r="V453" s="124" t="s">
        <v>663</v>
      </c>
      <c r="W453" s="122">
        <f ca="1">IF($C453="S",ROUND(IF(TIPOORCAMENTO="Proposto",ORÇAMENTO.CustoUnitario*(1+$AH453),ORÇAMENTO.PrecoUnitarioLicitado),15-13*$AF$10),0)</f>
        <v>0</v>
      </c>
      <c r="X453" s="125" cm="1">
        <f t="array" aca="1" ref="X453" ca="1">IF($C453="S",IF(OR(Import.TipoArredondamento&lt;&gt;"TransfereGOV",ACOMPANHAMENTO="BM"),VTOTAL1,SUM(OFFSET(CÁLCULO!$AI$15,ROW($X453)-ROW($X$15),1):OFFSET(CÁLCULO!$BB$15,ROW($X453)-ROW($X$15),-1))),IF($C453=0,0,ROUND(SomaAgrup,15-13*$AF$11)))</f>
        <v>7806.34</v>
      </c>
      <c r="Y453" s="126" t="s">
        <v>751</v>
      </c>
      <c r="Z453" t="str">
        <f t="shared" ca="1" si="123"/>
        <v/>
      </c>
      <c r="AA453" s="127">
        <f ca="1">IF($C453="S",IF($Z453="CP",$X453,IF($Z453="RA",(($X453)*QCI!$AA$3),0)),SomaAgrup)</f>
        <v>0</v>
      </c>
      <c r="AB453" s="128">
        <f t="shared" ca="1" si="124"/>
        <v>0</v>
      </c>
      <c r="AC453" s="565" t="str" cm="1">
        <f t="array" aca="1" ref="AC453" ca="1">IF($N453=""," ",
IF(AND($C453&lt;&gt;"S",OR($R453="",$R453="(digite a descrição aqui)")),"DESCRIÇÃO",
IF(AND($C453="S",OR($Q453&lt;&gt;"",$T453&gt;0,$U453&gt;0),$P453=""),"FONTE",
IF(AND($C453="S",$P453&lt;&gt;"",OR($T453&gt;0,$U453&gt;0),$Q453=""),"CÓDIGO",
IF(AND($C453="S",$P453&lt;&gt;"",$Q453&lt;&gt;"",$R453="(Código não identificado nas referências)"),"CÓDIGO N/ID",
IF(AND($C453="S",OR($R453="",$R453="(digite a descrição aqui)"),OR($Q453&lt;&gt;"",$T453&gt;0,$U453&gt;0)),"DESCRIÇÃO",
IF(AND($C453="S",$P453&lt;&gt;"",$Q453&lt;&gt;"",$S453=""),"UNIDADE",
IF(AND($C453="S",$P453&lt;&gt;"",$Q453&lt;&gt;"",$U453=0),"SEM CUSTO",
IF(AND(_xlfn.SINGLE(TIPOORCAMENTO)="Licitado",$AL453=0,$AN453&gt;0),"SEM PREÇO",
IF(AND($C453="S",$P453&lt;&gt;"",$Q453&lt;&gt;"",$U453&gt;0,AND($V453&lt;&gt;"BDI 1",$V453&lt;&gt;"BDI 2",$V453&lt;&gt;"BDI 3")),IF(ISNUMBER($V453),"JUSTIFICAR BDI","BDI"),
IF(OR(AND(import.recurso="OGU",TIPOORCAMENTO="Proposto",LEFT($O$8,5)&lt;&gt;"(N/D:",$AG453&lt;&gt;"",ORÇAMENTO.CustoUnitario&gt;$AG453),AND(TIPOORCAMENTO="LICITADO",ORÇAMENTO.PrecoUnitarioLicitado&gt;$AN453)),"ACIMA REF.",
IF(AND($C453="S",$P453&lt;&gt;"",$Q453&lt;&gt;"",$T453=0,$U453&gt;0),"QUANT.",
IF(AND(Import.TipoArredondamento="TransfereGOV",$L453="F",$C453="S",LEN($Q453)&gt;13),"Código &gt;13",
IF(AND(Import.TipoArredondamento="TransfereGOV",$L453="F",$C453&lt;&gt;"S",LEN($R453)&gt;100),"Descrição &gt;100",
IF(AND(Import.TipoArredondamento="TransfereGOV",$L453="F",$C453="S",LEN($R453)&gt;500),"Descrição &gt;500",
IF(AND(Import.TipoArredondamento="TransfereGOV",$L453="F",$C453="S",LEFT(TRIM(UPPER($P453)),6)&lt;&gt;"SINAPI",ISNA(VLOOKUP(TRIM(UPPER($S453)),ListaTgov.Unidades,1,FALSE))),"Unid. Não Disp",
" "))))))))))))))))</f>
        <v xml:space="preserve"> </v>
      </c>
      <c r="AD453" t="str">
        <f ca="1">IF(C453&lt;=CRONO.NivelExibicao,MAX($AD$15:OFFSET(AD453,-1,0))+IF($C453&lt;&gt;1,1,MAX(1,COUNTIF(QCI!$A$13:$A$15,OFFSET($E453,-1,0)))),"")</f>
        <v/>
      </c>
      <c r="AE453" s="7" t="b">
        <f ca="1">IF(AND($C453="S",ORÇAMENTO.CodBarra&lt;&gt;""),IF(ORÇAMENTO.Fonte="",ORÇAMENTO.CodBarra,CONCATENATE(ORÇAMENTO.Fonte," ",ORÇAMENTO.CodBarra)))</f>
        <v>0</v>
      </c>
      <c r="AF453" s="12" t="str">
        <f ca="1">IF(ISERROR(INDIRECT(ORÇAMENTO.BancoRef)),"(abra o arquivo 'Referência "&amp;Excel_BuiltIn_Database&amp;".xlsm)",IF(OR($C453&lt;&gt;"S",ORÇAMENTO.CodBarra=""),"(Sem Código)",IF(ISERROR(MATCH($AE453,INDIRECT(ORÇAMENTO.BancoRef),0)),"(Código não identificado nas referências)",MATCH($AE453,INDIRECT(ORÇAMENTO.BancoRef),0))))</f>
        <v>(Sem Código)</v>
      </c>
      <c r="AG453" s="428">
        <f ca="1">ROUND(IF(DESONERACAO="sim",REFERENCIA.Desonerado,REFERENCIA.NaoDesonerado),2)</f>
        <v>0</v>
      </c>
      <c r="AH453" s="429">
        <f t="shared" ca="1" si="125"/>
        <v>0.23499999999999999</v>
      </c>
      <c r="AJ453" s="431"/>
      <c r="AL453" s="439"/>
      <c r="AM453" s="336">
        <f t="shared" ca="1" si="109"/>
        <v>7806.34</v>
      </c>
      <c r="AN453" s="470">
        <f t="shared" ca="1" si="126"/>
        <v>0</v>
      </c>
    </row>
    <row r="454" spans="1:40" ht="38.25" x14ac:dyDescent="0.2">
      <c r="A454" t="str">
        <f t="shared" si="112"/>
        <v>S</v>
      </c>
      <c r="B454">
        <f t="shared" ca="1" si="113"/>
        <v>3</v>
      </c>
      <c r="C454" t="str">
        <f t="shared" ca="1" si="114"/>
        <v>S</v>
      </c>
      <c r="D454">
        <f t="shared" ca="1" si="115"/>
        <v>0</v>
      </c>
      <c r="E454">
        <f ca="1">IF($C454=1,OFFSET(E454,-1,0)+MAX(1,COUNTIF(QCI!$A$13:$A$15,OFFSET(ORÇAMENTO!E454,-1,0))),OFFSET(E454,-1,0))</f>
        <v>1</v>
      </c>
      <c r="F454">
        <f t="shared" ca="1" si="116"/>
        <v>9</v>
      </c>
      <c r="G454">
        <f t="shared" ca="1" si="117"/>
        <v>2</v>
      </c>
      <c r="H454">
        <f t="shared" ca="1" si="118"/>
        <v>0</v>
      </c>
      <c r="I454">
        <f t="shared" ca="1" si="119"/>
        <v>1</v>
      </c>
      <c r="J454">
        <f t="shared" ca="1" si="110"/>
        <v>0</v>
      </c>
      <c r="K454">
        <f ca="1">IF(OR($C454="S",$C454=0),0,MATCH(OFFSET($D454,0,$C454)+IF($C454&lt;&gt;1,1,COUNTIF(QCI!$A$13:$A$15,ORÇAMENTO!E454)),OFFSET($D454,1,$C454,ROW($C$508)-ROW($C454)),0))</f>
        <v>0</v>
      </c>
      <c r="L454" s="114" t="str">
        <f t="shared" ca="1" si="120"/>
        <v>F</v>
      </c>
      <c r="M454" s="115" t="s">
        <v>705</v>
      </c>
      <c r="N454" s="116" t="str">
        <f t="shared" ca="1" si="121"/>
        <v>Serviço</v>
      </c>
      <c r="O454" s="117" t="str">
        <f t="shared" ca="1" si="122"/>
        <v>1.9.2.0.1.</v>
      </c>
      <c r="P454" s="118" t="s">
        <v>1280</v>
      </c>
      <c r="Q454" s="119" t="s">
        <v>1170</v>
      </c>
      <c r="R454" s="120" t="str">
        <f ca="1">IF($C454="S",REFERENCIA.Descricao,"(digite a descrição aqui)")</f>
        <v>CABO UTP COM QUATRO (4) PARES, CATEGORIA 6, CLASSIFICAÇÃO LSZH, COM ISOLAMENTO NÃO HALOGENADO E ANTICHAMA, EXCLUSIVE CONECTOR/PLUG MACHO RJ45 E CRIMPAGEM</v>
      </c>
      <c r="S454" s="121" t="str">
        <f ca="1">REFERENCIA.Unidade</f>
        <v>M</v>
      </c>
      <c r="T454" s="122">
        <f ca="1">OFFSET(CÁLCULO!H$15,ROW($T454)-ROW(T$15),0)</f>
        <v>926</v>
      </c>
      <c r="U454" s="123">
        <f t="shared" ref="U454:U456" ca="1" si="127">AG454</f>
        <v>5.08</v>
      </c>
      <c r="V454" s="124" t="s">
        <v>663</v>
      </c>
      <c r="W454" s="122">
        <f ca="1">IF($C454="S",ROUND(IF(TIPOORCAMENTO="Proposto",ORÇAMENTO.CustoUnitario*(1+$AH454),ORÇAMENTO.PrecoUnitarioLicitado),15-13*$AF$10),0)</f>
        <v>6.27</v>
      </c>
      <c r="X454" s="125" cm="1">
        <f t="array" aca="1" ref="X454" ca="1">IF($C454="S",IF(OR(Import.TipoArredondamento&lt;&gt;"TransfereGOV",ACOMPANHAMENTO="BM"),VTOTAL1,SUM(OFFSET(CÁLCULO!$AI$15,ROW($X454)-ROW($X$15),1):OFFSET(CÁLCULO!$BB$15,ROW($X454)-ROW($X$15),-1))),IF($C454=0,0,ROUND(SomaAgrup,15-13*$AF$11)))</f>
        <v>5806.02</v>
      </c>
      <c r="Y454" s="126" t="s">
        <v>751</v>
      </c>
      <c r="Z454" t="str">
        <f t="shared" ca="1" si="123"/>
        <v>RA</v>
      </c>
      <c r="AA454" s="127">
        <f ca="1">IF($C454="S",IF($Z454="CP",$X454,IF($Z454="RA",(($X454)*QCI!$AA$3),0)),SomaAgrup)</f>
        <v>0</v>
      </c>
      <c r="AB454" s="128">
        <f t="shared" ca="1" si="124"/>
        <v>0</v>
      </c>
      <c r="AC454" s="565" t="str" cm="1">
        <f t="array" aca="1" ref="AC454" ca="1">IF($N454=""," ",
IF(AND($C454&lt;&gt;"S",OR($R454="",$R454="(digite a descrição aqui)")),"DESCRIÇÃO",
IF(AND($C454="S",OR($Q454&lt;&gt;"",$T454&gt;0,$U454&gt;0),$P454=""),"FONTE",
IF(AND($C454="S",$P454&lt;&gt;"",OR($T454&gt;0,$U454&gt;0),$Q454=""),"CÓDIGO",
IF(AND($C454="S",$P454&lt;&gt;"",$Q454&lt;&gt;"",$R454="(Código não identificado nas referências)"),"CÓDIGO N/ID",
IF(AND($C454="S",OR($R454="",$R454="(digite a descrição aqui)"),OR($Q454&lt;&gt;"",$T454&gt;0,$U454&gt;0)),"DESCRIÇÃO",
IF(AND($C454="S",$P454&lt;&gt;"",$Q454&lt;&gt;"",$S454=""),"UNIDADE",
IF(AND($C454="S",$P454&lt;&gt;"",$Q454&lt;&gt;"",$U454=0),"SEM CUSTO",
IF(AND(_xlfn.SINGLE(TIPOORCAMENTO)="Licitado",$AL454=0,$AN454&gt;0),"SEM PREÇO",
IF(AND($C454="S",$P454&lt;&gt;"",$Q454&lt;&gt;"",$U454&gt;0,AND($V454&lt;&gt;"BDI 1",$V454&lt;&gt;"BDI 2",$V454&lt;&gt;"BDI 3")),IF(ISNUMBER($V454),"JUSTIFICAR BDI","BDI"),
IF(OR(AND(import.recurso="OGU",TIPOORCAMENTO="Proposto",LEFT($O$8,5)&lt;&gt;"(N/D:",$AG454&lt;&gt;"",ORÇAMENTO.CustoUnitario&gt;$AG454),AND(TIPOORCAMENTO="LICITADO",ORÇAMENTO.PrecoUnitarioLicitado&gt;$AN454)),"ACIMA REF.",
IF(AND($C454="S",$P454&lt;&gt;"",$Q454&lt;&gt;"",$T454=0,$U454&gt;0),"QUANT.",
IF(AND(Import.TipoArredondamento="TransfereGOV",$L454="F",$C454="S",LEN($Q454)&gt;13),"Código &gt;13",
IF(AND(Import.TipoArredondamento="TransfereGOV",$L454="F",$C454&lt;&gt;"S",LEN($R454)&gt;100),"Descrição &gt;100",
IF(AND(Import.TipoArredondamento="TransfereGOV",$L454="F",$C454="S",LEN($R454)&gt;500),"Descrição &gt;500",
IF(AND(Import.TipoArredondamento="TransfereGOV",$L454="F",$C454="S",LEFT(TRIM(UPPER($P454)),6)&lt;&gt;"SINAPI",ISNA(VLOOKUP(TRIM(UPPER($S454)),ListaTgov.Unidades,1,FALSE))),"Unid. Não Disp",
" "))))))))))))))))</f>
        <v xml:space="preserve"> </v>
      </c>
      <c r="AD454" t="str">
        <f ca="1">IF(C454&lt;=CRONO.NivelExibicao,MAX($AD$15:OFFSET(AD454,-1,0))+IF($C454&lt;&gt;1,1,MAX(1,COUNTIF(QCI!$A$13:$A$15,OFFSET($E454,-1,0)))),"")</f>
        <v/>
      </c>
      <c r="AE454" s="7" t="str">
        <f ca="1">IF(AND($C454="S",ORÇAMENTO.CodBarra&lt;&gt;""),IF(ORÇAMENTO.Fonte="",ORÇAMENTO.CodBarra,CONCATENATE(ORÇAMENTO.Fonte," ",ORÇAMENTO.CodBarra)))</f>
        <v>SETOP ED-9194</v>
      </c>
      <c r="AF454" s="12">
        <f ca="1">IF(ISERROR(INDIRECT(ORÇAMENTO.BancoRef)),"(abra o arquivo 'Referência "&amp;Excel_BuiltIn_Database&amp;".xlsm)",IF(OR($C454&lt;&gt;"S",ORÇAMENTO.CodBarra=""),"(Sem Código)",IF(ISERROR(MATCH($AE454,INDIRECT(ORÇAMENTO.BancoRef),0)),"(Código não identificado nas referências)",MATCH($AE454,INDIRECT(ORÇAMENTO.BancoRef),0))))</f>
        <v>29430</v>
      </c>
      <c r="AG454" s="428">
        <f ca="1">ROUND(IF(DESONERACAO="sim",REFERENCIA.Desonerado,REFERENCIA.NaoDesonerado),2)</f>
        <v>5.08</v>
      </c>
      <c r="AH454" s="429">
        <f t="shared" ca="1" si="125"/>
        <v>0.23499999999999999</v>
      </c>
      <c r="AJ454" s="431">
        <v>926</v>
      </c>
      <c r="AL454" s="439"/>
      <c r="AM454" s="336">
        <f t="shared" ca="1" si="109"/>
        <v>5806.02</v>
      </c>
      <c r="AN454" s="470">
        <f t="shared" ca="1" si="126"/>
        <v>6.27</v>
      </c>
    </row>
    <row r="455" spans="1:40" ht="25.5" x14ac:dyDescent="0.2">
      <c r="A455" t="str">
        <f t="shared" si="112"/>
        <v>S</v>
      </c>
      <c r="B455">
        <f t="shared" ca="1" si="113"/>
        <v>3</v>
      </c>
      <c r="C455" t="str">
        <f t="shared" ca="1" si="114"/>
        <v>S</v>
      </c>
      <c r="D455">
        <f t="shared" ca="1" si="115"/>
        <v>0</v>
      </c>
      <c r="E455">
        <f ca="1">IF($C455=1,OFFSET(E455,-1,0)+MAX(1,COUNTIF(QCI!$A$13:$A$15,OFFSET(ORÇAMENTO!E455,-1,0))),OFFSET(E455,-1,0))</f>
        <v>1</v>
      </c>
      <c r="F455">
        <f t="shared" ca="1" si="116"/>
        <v>9</v>
      </c>
      <c r="G455">
        <f t="shared" ca="1" si="117"/>
        <v>2</v>
      </c>
      <c r="H455">
        <f t="shared" ca="1" si="118"/>
        <v>0</v>
      </c>
      <c r="I455">
        <f t="shared" ca="1" si="119"/>
        <v>2</v>
      </c>
      <c r="J455">
        <f t="shared" ca="1" si="110"/>
        <v>0</v>
      </c>
      <c r="K455">
        <f ca="1">IF(OR($C455="S",$C455=0),0,MATCH(OFFSET($D455,0,$C455)+IF($C455&lt;&gt;1,1,COUNTIF(QCI!$A$13:$A$15,ORÇAMENTO!E455)),OFFSET($D455,1,$C455,ROW($C$508)-ROW($C455)),0))</f>
        <v>0</v>
      </c>
      <c r="L455" s="114" t="str">
        <f t="shared" ca="1" si="120"/>
        <v>F</v>
      </c>
      <c r="M455" s="115" t="s">
        <v>705</v>
      </c>
      <c r="N455" s="116" t="str">
        <f t="shared" ca="1" si="121"/>
        <v>Serviço</v>
      </c>
      <c r="O455" s="117" t="str">
        <f t="shared" ca="1" si="122"/>
        <v>1.9.2.0.2.</v>
      </c>
      <c r="P455" s="118" t="s">
        <v>1280</v>
      </c>
      <c r="Q455" s="119" t="s">
        <v>1171</v>
      </c>
      <c r="R455" s="120" t="str">
        <f ca="1">IF($C455="S",REFERENCIA.Descricao,"(digite a descrição aqui)")</f>
        <v>PATCH CORD RJ45/RJ45 UTP-4P METÁLICO CATEGORIA 6, PINAGEM T568A (VOZ), COMPRIMENTO 3 METROS</v>
      </c>
      <c r="S455" s="121" t="str">
        <f ca="1">REFERENCIA.Unidade</f>
        <v>UN</v>
      </c>
      <c r="T455" s="122">
        <f ca="1">OFFSET(CÁLCULO!H$15,ROW($T455)-ROW(T$15),0)</f>
        <v>28</v>
      </c>
      <c r="U455" s="123">
        <f t="shared" ca="1" si="127"/>
        <v>22.51</v>
      </c>
      <c r="V455" s="124" t="s">
        <v>663</v>
      </c>
      <c r="W455" s="122">
        <f ca="1">IF($C455="S",ROUND(IF(TIPOORCAMENTO="Proposto",ORÇAMENTO.CustoUnitario*(1+$AH455),ORÇAMENTO.PrecoUnitarioLicitado),15-13*$AF$10),0)</f>
        <v>27.8</v>
      </c>
      <c r="X455" s="125" cm="1">
        <f t="array" aca="1" ref="X455" ca="1">IF($C455="S",IF(OR(Import.TipoArredondamento&lt;&gt;"TransfereGOV",ACOMPANHAMENTO="BM"),VTOTAL1,SUM(OFFSET(CÁLCULO!$AI$15,ROW($X455)-ROW($X$15),1):OFFSET(CÁLCULO!$BB$15,ROW($X455)-ROW($X$15),-1))),IF($C455=0,0,ROUND(SomaAgrup,15-13*$AF$11)))</f>
        <v>778.4</v>
      </c>
      <c r="Y455" s="126" t="s">
        <v>751</v>
      </c>
      <c r="Z455" t="str">
        <f t="shared" ca="1" si="123"/>
        <v>RA</v>
      </c>
      <c r="AA455" s="127">
        <f ca="1">IF($C455="S",IF($Z455="CP",$X455,IF($Z455="RA",(($X455)*QCI!$AA$3),0)),SomaAgrup)</f>
        <v>0</v>
      </c>
      <c r="AB455" s="128">
        <f t="shared" ca="1" si="124"/>
        <v>0</v>
      </c>
      <c r="AC455" s="565" t="str" cm="1">
        <f t="array" aca="1" ref="AC455" ca="1">IF($N455=""," ",
IF(AND($C455&lt;&gt;"S",OR($R455="",$R455="(digite a descrição aqui)")),"DESCRIÇÃO",
IF(AND($C455="S",OR($Q455&lt;&gt;"",$T455&gt;0,$U455&gt;0),$P455=""),"FONTE",
IF(AND($C455="S",$P455&lt;&gt;"",OR($T455&gt;0,$U455&gt;0),$Q455=""),"CÓDIGO",
IF(AND($C455="S",$P455&lt;&gt;"",$Q455&lt;&gt;"",$R455="(Código não identificado nas referências)"),"CÓDIGO N/ID",
IF(AND($C455="S",OR($R455="",$R455="(digite a descrição aqui)"),OR($Q455&lt;&gt;"",$T455&gt;0,$U455&gt;0)),"DESCRIÇÃO",
IF(AND($C455="S",$P455&lt;&gt;"",$Q455&lt;&gt;"",$S455=""),"UNIDADE",
IF(AND($C455="S",$P455&lt;&gt;"",$Q455&lt;&gt;"",$U455=0),"SEM CUSTO",
IF(AND(_xlfn.SINGLE(TIPOORCAMENTO)="Licitado",$AL455=0,$AN455&gt;0),"SEM PREÇO",
IF(AND($C455="S",$P455&lt;&gt;"",$Q455&lt;&gt;"",$U455&gt;0,AND($V455&lt;&gt;"BDI 1",$V455&lt;&gt;"BDI 2",$V455&lt;&gt;"BDI 3")),IF(ISNUMBER($V455),"JUSTIFICAR BDI","BDI"),
IF(OR(AND(import.recurso="OGU",TIPOORCAMENTO="Proposto",LEFT($O$8,5)&lt;&gt;"(N/D:",$AG455&lt;&gt;"",ORÇAMENTO.CustoUnitario&gt;$AG455),AND(TIPOORCAMENTO="LICITADO",ORÇAMENTO.PrecoUnitarioLicitado&gt;$AN455)),"ACIMA REF.",
IF(AND($C455="S",$P455&lt;&gt;"",$Q455&lt;&gt;"",$T455=0,$U455&gt;0),"QUANT.",
IF(AND(Import.TipoArredondamento="TransfereGOV",$L455="F",$C455="S",LEN($Q455)&gt;13),"Código &gt;13",
IF(AND(Import.TipoArredondamento="TransfereGOV",$L455="F",$C455&lt;&gt;"S",LEN($R455)&gt;100),"Descrição &gt;100",
IF(AND(Import.TipoArredondamento="TransfereGOV",$L455="F",$C455="S",LEN($R455)&gt;500),"Descrição &gt;500",
IF(AND(Import.TipoArredondamento="TransfereGOV",$L455="F",$C455="S",LEFT(TRIM(UPPER($P455)),6)&lt;&gt;"SINAPI",ISNA(VLOOKUP(TRIM(UPPER($S455)),ListaTgov.Unidades,1,FALSE))),"Unid. Não Disp",
" "))))))))))))))))</f>
        <v xml:space="preserve"> </v>
      </c>
      <c r="AD455" t="str">
        <f ca="1">IF(C455&lt;=CRONO.NivelExibicao,MAX($AD$15:OFFSET(AD455,-1,0))+IF($C455&lt;&gt;1,1,MAX(1,COUNTIF(QCI!$A$13:$A$15,OFFSET($E455,-1,0)))),"")</f>
        <v/>
      </c>
      <c r="AE455" s="7" t="str">
        <f ca="1">IF(AND($C455="S",ORÇAMENTO.CodBarra&lt;&gt;""),IF(ORÇAMENTO.Fonte="",ORÇAMENTO.CodBarra,CONCATENATE(ORÇAMENTO.Fonte," ",ORÇAMENTO.CodBarra)))</f>
        <v>SETOP ED-48372</v>
      </c>
      <c r="AF455" s="12">
        <f ca="1">IF(ISERROR(INDIRECT(ORÇAMENTO.BancoRef)),"(abra o arquivo 'Referência "&amp;Excel_BuiltIn_Database&amp;".xlsm)",IF(OR($C455&lt;&gt;"S",ORÇAMENTO.CodBarra=""),"(Sem Código)",IF(ISERROR(MATCH($AE455,INDIRECT(ORÇAMENTO.BancoRef),0)),"(Código não identificado nas referências)",MATCH($AE455,INDIRECT(ORÇAMENTO.BancoRef),0))))</f>
        <v>29467</v>
      </c>
      <c r="AG455" s="428">
        <f ca="1">ROUND(IF(DESONERACAO="sim",REFERENCIA.Desonerado,REFERENCIA.NaoDesonerado),2)</f>
        <v>22.51</v>
      </c>
      <c r="AH455" s="429">
        <f t="shared" ca="1" si="125"/>
        <v>0.23499999999999999</v>
      </c>
      <c r="AJ455" s="431">
        <v>28</v>
      </c>
      <c r="AL455" s="439"/>
      <c r="AM455" s="336">
        <f t="shared" ca="1" si="109"/>
        <v>778.4</v>
      </c>
      <c r="AN455" s="470">
        <f t="shared" ca="1" si="126"/>
        <v>27.8</v>
      </c>
    </row>
    <row r="456" spans="1:40" ht="25.5" x14ac:dyDescent="0.2">
      <c r="A456" t="str">
        <f t="shared" si="112"/>
        <v>S</v>
      </c>
      <c r="B456">
        <f t="shared" ca="1" si="113"/>
        <v>3</v>
      </c>
      <c r="C456" t="str">
        <f t="shared" ca="1" si="114"/>
        <v>S</v>
      </c>
      <c r="D456">
        <f t="shared" ca="1" si="115"/>
        <v>0</v>
      </c>
      <c r="E456">
        <f ca="1">IF($C456=1,OFFSET(E456,-1,0)+MAX(1,COUNTIF(QCI!$A$13:$A$15,OFFSET(ORÇAMENTO!E456,-1,0))),OFFSET(E456,-1,0))</f>
        <v>1</v>
      </c>
      <c r="F456">
        <f t="shared" ca="1" si="116"/>
        <v>9</v>
      </c>
      <c r="G456">
        <f t="shared" ca="1" si="117"/>
        <v>2</v>
      </c>
      <c r="H456">
        <f t="shared" ca="1" si="118"/>
        <v>0</v>
      </c>
      <c r="I456">
        <f t="shared" ca="1" si="119"/>
        <v>3</v>
      </c>
      <c r="J456">
        <f t="shared" ca="1" si="110"/>
        <v>0</v>
      </c>
      <c r="K456">
        <f ca="1">IF(OR($C456="S",$C456=0),0,MATCH(OFFSET($D456,0,$C456)+IF($C456&lt;&gt;1,1,COUNTIF(QCI!$A$13:$A$15,ORÇAMENTO!E456)),OFFSET($D456,1,$C456,ROW($C$508)-ROW($C456)),0))</f>
        <v>0</v>
      </c>
      <c r="L456" s="114" t="str">
        <f t="shared" ca="1" si="120"/>
        <v>F</v>
      </c>
      <c r="M456" s="115" t="s">
        <v>705</v>
      </c>
      <c r="N456" s="116" t="str">
        <f t="shared" ca="1" si="121"/>
        <v>Serviço</v>
      </c>
      <c r="O456" s="117" t="str">
        <f t="shared" ca="1" si="122"/>
        <v>1.9.2.0.3.</v>
      </c>
      <c r="P456" s="118" t="s">
        <v>957</v>
      </c>
      <c r="Q456" s="119" t="s">
        <v>1172</v>
      </c>
      <c r="R456" s="120" t="str">
        <f ca="1">IF($C456="S",REFERENCIA.Descricao,"(digite a descrição aqui)")</f>
        <v>ETIQUETA PARA IDENTIFICAÇÃO DE CIRCUTIOS, FORNECIMENTO E INSTALAÇÃO - BASEADO EM ORSE (12930)</v>
      </c>
      <c r="S456" s="121" t="str">
        <f ca="1">REFERENCIA.Unidade</f>
        <v>UN</v>
      </c>
      <c r="T456" s="122">
        <f ca="1">OFFSET(CÁLCULO!H$15,ROW($T456)-ROW(T$15),0)</f>
        <v>56</v>
      </c>
      <c r="U456" s="123">
        <f t="shared" ca="1" si="127"/>
        <v>17.670000000000002</v>
      </c>
      <c r="V456" s="124" t="s">
        <v>663</v>
      </c>
      <c r="W456" s="122">
        <f ca="1">IF($C456="S",ROUND(IF(TIPOORCAMENTO="Proposto",ORÇAMENTO.CustoUnitario*(1+$AH456),ORÇAMENTO.PrecoUnitarioLicitado),15-13*$AF$10),0)</f>
        <v>21.82</v>
      </c>
      <c r="X456" s="125" cm="1">
        <f t="array" aca="1" ref="X456" ca="1">IF($C456="S",IF(OR(Import.TipoArredondamento&lt;&gt;"TransfereGOV",ACOMPANHAMENTO="BM"),VTOTAL1,SUM(OFFSET(CÁLCULO!$AI$15,ROW($X456)-ROW($X$15),1):OFFSET(CÁLCULO!$BB$15,ROW($X456)-ROW($X$15),-1))),IF($C456=0,0,ROUND(SomaAgrup,15-13*$AF$11)))</f>
        <v>1221.92</v>
      </c>
      <c r="Y456" s="126" t="s">
        <v>751</v>
      </c>
      <c r="Z456" t="str">
        <f t="shared" ca="1" si="123"/>
        <v>RA</v>
      </c>
      <c r="AA456" s="127">
        <f ca="1">IF($C456="S",IF($Z456="CP",$X456,IF($Z456="RA",(($X456)*QCI!$AA$3),0)),SomaAgrup)</f>
        <v>0</v>
      </c>
      <c r="AB456" s="128">
        <f t="shared" ca="1" si="124"/>
        <v>0</v>
      </c>
      <c r="AC456" s="565" t="str" cm="1">
        <f t="array" aca="1" ref="AC456" ca="1">IF($N456=""," ",
IF(AND($C456&lt;&gt;"S",OR($R456="",$R456="(digite a descrição aqui)")),"DESCRIÇÃO",
IF(AND($C456="S",OR($Q456&lt;&gt;"",$T456&gt;0,$U456&gt;0),$P456=""),"FONTE",
IF(AND($C456="S",$P456&lt;&gt;"",OR($T456&gt;0,$U456&gt;0),$Q456=""),"CÓDIGO",
IF(AND($C456="S",$P456&lt;&gt;"",$Q456&lt;&gt;"",$R456="(Código não identificado nas referências)"),"CÓDIGO N/ID",
IF(AND($C456="S",OR($R456="",$R456="(digite a descrição aqui)"),OR($Q456&lt;&gt;"",$T456&gt;0,$U456&gt;0)),"DESCRIÇÃO",
IF(AND($C456="S",$P456&lt;&gt;"",$Q456&lt;&gt;"",$S456=""),"UNIDADE",
IF(AND($C456="S",$P456&lt;&gt;"",$Q456&lt;&gt;"",$U456=0),"SEM CUSTO",
IF(AND(_xlfn.SINGLE(TIPOORCAMENTO)="Licitado",$AL456=0,$AN456&gt;0),"SEM PREÇO",
IF(AND($C456="S",$P456&lt;&gt;"",$Q456&lt;&gt;"",$U456&gt;0,AND($V456&lt;&gt;"BDI 1",$V456&lt;&gt;"BDI 2",$V456&lt;&gt;"BDI 3")),IF(ISNUMBER($V456),"JUSTIFICAR BDI","BDI"),
IF(OR(AND(import.recurso="OGU",TIPOORCAMENTO="Proposto",LEFT($O$8,5)&lt;&gt;"(N/D:",$AG456&lt;&gt;"",ORÇAMENTO.CustoUnitario&gt;$AG456),AND(TIPOORCAMENTO="LICITADO",ORÇAMENTO.PrecoUnitarioLicitado&gt;$AN456)),"ACIMA REF.",
IF(AND($C456="S",$P456&lt;&gt;"",$Q456&lt;&gt;"",$T456=0,$U456&gt;0),"QUANT.",
IF(AND(Import.TipoArredondamento="TransfereGOV",$L456="F",$C456="S",LEN($Q456)&gt;13),"Código &gt;13",
IF(AND(Import.TipoArredondamento="TransfereGOV",$L456="F",$C456&lt;&gt;"S",LEN($R456)&gt;100),"Descrição &gt;100",
IF(AND(Import.TipoArredondamento="TransfereGOV",$L456="F",$C456="S",LEN($R456)&gt;500),"Descrição &gt;500",
IF(AND(Import.TipoArredondamento="TransfereGOV",$L456="F",$C456="S",LEFT(TRIM(UPPER($P456)),6)&lt;&gt;"SINAPI",ISNA(VLOOKUP(TRIM(UPPER($S456)),ListaTgov.Unidades,1,FALSE))),"Unid. Não Disp",
" "))))))))))))))))</f>
        <v xml:space="preserve"> </v>
      </c>
      <c r="AD456" t="str">
        <f ca="1">IF(C456&lt;=CRONO.NivelExibicao,MAX($AD$15:OFFSET(AD456,-1,0))+IF($C456&lt;&gt;1,1,MAX(1,COUNTIF(QCI!$A$13:$A$15,OFFSET($E456,-1,0)))),"")</f>
        <v/>
      </c>
      <c r="AE456" s="7" t="str">
        <f ca="1">IF(AND($C456="S",ORÇAMENTO.CodBarra&lt;&gt;""),IF(ORÇAMENTO.Fonte="",ORÇAMENTO.CodBarra,CONCATENATE(ORÇAMENTO.Fonte," ",ORÇAMENTO.CodBarra)))</f>
        <v>Composição CPU-043</v>
      </c>
      <c r="AF456" s="12">
        <f ca="1">IF(ISERROR(INDIRECT(ORÇAMENTO.BancoRef)),"(abra o arquivo 'Referência "&amp;Excel_BuiltIn_Database&amp;".xlsm)",IF(OR($C456&lt;&gt;"S",ORÇAMENTO.CodBarra=""),"(Sem Código)",IF(ISERROR(MATCH($AE456,INDIRECT(ORÇAMENTO.BancoRef),0)),"(Código não identificado nas referências)",MATCH($AE456,INDIRECT(ORÇAMENTO.BancoRef),0))))</f>
        <v>45</v>
      </c>
      <c r="AG456" s="428">
        <f ca="1">ROUND(IF(DESONERACAO="sim",REFERENCIA.Desonerado,REFERENCIA.NaoDesonerado),2)</f>
        <v>17.670000000000002</v>
      </c>
      <c r="AH456" s="429">
        <f t="shared" ca="1" si="125"/>
        <v>0.23499999999999999</v>
      </c>
      <c r="AJ456" s="431">
        <v>56</v>
      </c>
      <c r="AL456" s="439"/>
      <c r="AM456" s="336">
        <f t="shared" ca="1" si="109"/>
        <v>1221.92</v>
      </c>
      <c r="AN456" s="470">
        <f t="shared" ca="1" si="126"/>
        <v>21.82</v>
      </c>
    </row>
    <row r="457" spans="1:40" x14ac:dyDescent="0.2">
      <c r="A457">
        <f t="shared" si="112"/>
        <v>3</v>
      </c>
      <c r="B457">
        <f t="shared" ca="1" si="113"/>
        <v>3</v>
      </c>
      <c r="C457">
        <f t="shared" ca="1" si="114"/>
        <v>3</v>
      </c>
      <c r="D457">
        <f t="shared" ca="1" si="115"/>
        <v>2</v>
      </c>
      <c r="E457">
        <f ca="1">IF($C457=1,OFFSET(E457,-1,0)+MAX(1,COUNTIF(QCI!$A$13:$A$15,OFFSET(ORÇAMENTO!E457,-1,0))),OFFSET(E457,-1,0))</f>
        <v>1</v>
      </c>
      <c r="F457">
        <f t="shared" ca="1" si="116"/>
        <v>9</v>
      </c>
      <c r="G457">
        <f t="shared" ca="1" si="117"/>
        <v>3</v>
      </c>
      <c r="H457">
        <f t="shared" ca="1" si="118"/>
        <v>0</v>
      </c>
      <c r="I457">
        <f t="shared" ca="1" si="119"/>
        <v>0</v>
      </c>
      <c r="J457">
        <f t="shared" ca="1" si="110"/>
        <v>22</v>
      </c>
      <c r="K457">
        <f ca="1">IF(OR($C457="S",$C457=0),0,MATCH(OFFSET($D457,0,$C457)+IF($C457&lt;&gt;1,1,COUNTIF(QCI!$A$13:$A$15,ORÇAMENTO!E457)),OFFSET($D457,1,$C457,ROW($C$508)-ROW($C457)),0))</f>
        <v>2</v>
      </c>
      <c r="L457" s="114" t="str">
        <f t="shared" ca="1" si="120"/>
        <v>F</v>
      </c>
      <c r="M457" s="115" t="s">
        <v>703</v>
      </c>
      <c r="N457" s="116" t="str">
        <f t="shared" ca="1" si="121"/>
        <v>Nível 3</v>
      </c>
      <c r="O457" s="117" t="str">
        <f t="shared" ca="1" si="122"/>
        <v>1.9.3.</v>
      </c>
      <c r="P457" s="118" t="s">
        <v>750</v>
      </c>
      <c r="Q457" s="119"/>
      <c r="R457" s="120" t="s">
        <v>1259</v>
      </c>
      <c r="S457" s="121" t="s">
        <v>688</v>
      </c>
      <c r="T457" s="122">
        <f ca="1">OFFSET(CÁLCULO!H$15,ROW($T457)-ROW(T$15),0)</f>
        <v>0</v>
      </c>
      <c r="U457" s="123"/>
      <c r="V457" s="124" t="s">
        <v>663</v>
      </c>
      <c r="W457" s="122">
        <f ca="1">IF($C457="S",ROUND(IF(TIPOORCAMENTO="Proposto",ORÇAMENTO.CustoUnitario*(1+$AH457),ORÇAMENTO.PrecoUnitarioLicitado),15-13*$AF$10),0)</f>
        <v>0</v>
      </c>
      <c r="X457" s="125" cm="1">
        <f t="array" aca="1" ref="X457" ca="1">IF($C457="S",IF(OR(Import.TipoArredondamento&lt;&gt;"TransfereGOV",ACOMPANHAMENTO="BM"),VTOTAL1,SUM(OFFSET(CÁLCULO!$AI$15,ROW($X457)-ROW($X$15),1):OFFSET(CÁLCULO!$BB$15,ROW($X457)-ROW($X$15),-1))),IF($C457=0,0,ROUND(SomaAgrup,15-13*$AF$11)))</f>
        <v>1086.96</v>
      </c>
      <c r="Y457" s="126" t="s">
        <v>751</v>
      </c>
      <c r="Z457" t="str">
        <f t="shared" ca="1" si="123"/>
        <v/>
      </c>
      <c r="AA457" s="127">
        <f ca="1">IF($C457="S",IF($Z457="CP",$X457,IF($Z457="RA",(($X457)*QCI!$AA$3),0)),SomaAgrup)</f>
        <v>0</v>
      </c>
      <c r="AB457" s="128">
        <f t="shared" ca="1" si="124"/>
        <v>0</v>
      </c>
      <c r="AC457" s="565" t="str" cm="1">
        <f t="array" aca="1" ref="AC457" ca="1">IF($N457=""," ",
IF(AND($C457&lt;&gt;"S",OR($R457="",$R457="(digite a descrição aqui)")),"DESCRIÇÃO",
IF(AND($C457="S",OR($Q457&lt;&gt;"",$T457&gt;0,$U457&gt;0),$P457=""),"FONTE",
IF(AND($C457="S",$P457&lt;&gt;"",OR($T457&gt;0,$U457&gt;0),$Q457=""),"CÓDIGO",
IF(AND($C457="S",$P457&lt;&gt;"",$Q457&lt;&gt;"",$R457="(Código não identificado nas referências)"),"CÓDIGO N/ID",
IF(AND($C457="S",OR($R457="",$R457="(digite a descrição aqui)"),OR($Q457&lt;&gt;"",$T457&gt;0,$U457&gt;0)),"DESCRIÇÃO",
IF(AND($C457="S",$P457&lt;&gt;"",$Q457&lt;&gt;"",$S457=""),"UNIDADE",
IF(AND($C457="S",$P457&lt;&gt;"",$Q457&lt;&gt;"",$U457=0),"SEM CUSTO",
IF(AND(_xlfn.SINGLE(TIPOORCAMENTO)="Licitado",$AL457=0,$AN457&gt;0),"SEM PREÇO",
IF(AND($C457="S",$P457&lt;&gt;"",$Q457&lt;&gt;"",$U457&gt;0,AND($V457&lt;&gt;"BDI 1",$V457&lt;&gt;"BDI 2",$V457&lt;&gt;"BDI 3")),IF(ISNUMBER($V457),"JUSTIFICAR BDI","BDI"),
IF(OR(AND(import.recurso="OGU",TIPOORCAMENTO="Proposto",LEFT($O$8,5)&lt;&gt;"(N/D:",$AG457&lt;&gt;"",ORÇAMENTO.CustoUnitario&gt;$AG457),AND(TIPOORCAMENTO="LICITADO",ORÇAMENTO.PrecoUnitarioLicitado&gt;$AN457)),"ACIMA REF.",
IF(AND($C457="S",$P457&lt;&gt;"",$Q457&lt;&gt;"",$T457=0,$U457&gt;0),"QUANT.",
IF(AND(Import.TipoArredondamento="TransfereGOV",$L457="F",$C457="S",LEN($Q457)&gt;13),"Código &gt;13",
IF(AND(Import.TipoArredondamento="TransfereGOV",$L457="F",$C457&lt;&gt;"S",LEN($R457)&gt;100),"Descrição &gt;100",
IF(AND(Import.TipoArredondamento="TransfereGOV",$L457="F",$C457="S",LEN($R457)&gt;500),"Descrição &gt;500",
IF(AND(Import.TipoArredondamento="TransfereGOV",$L457="F",$C457="S",LEFT(TRIM(UPPER($P457)),6)&lt;&gt;"SINAPI",ISNA(VLOOKUP(TRIM(UPPER($S457)),ListaTgov.Unidades,1,FALSE))),"Unid. Não Disp",
" "))))))))))))))))</f>
        <v xml:space="preserve"> </v>
      </c>
      <c r="AD457" t="str">
        <f ca="1">IF(C457&lt;=CRONO.NivelExibicao,MAX($AD$15:OFFSET(AD457,-1,0))+IF($C457&lt;&gt;1,1,MAX(1,COUNTIF(QCI!$A$13:$A$15,OFFSET($E457,-1,0)))),"")</f>
        <v/>
      </c>
      <c r="AE457" s="7" t="b">
        <f ca="1">IF(AND($C457="S",ORÇAMENTO.CodBarra&lt;&gt;""),IF(ORÇAMENTO.Fonte="",ORÇAMENTO.CodBarra,CONCATENATE(ORÇAMENTO.Fonte," ",ORÇAMENTO.CodBarra)))</f>
        <v>0</v>
      </c>
      <c r="AF457" s="12" t="str">
        <f ca="1">IF(ISERROR(INDIRECT(ORÇAMENTO.BancoRef)),"(abra o arquivo 'Referência "&amp;Excel_BuiltIn_Database&amp;".xlsm)",IF(OR($C457&lt;&gt;"S",ORÇAMENTO.CodBarra=""),"(Sem Código)",IF(ISERROR(MATCH($AE457,INDIRECT(ORÇAMENTO.BancoRef),0)),"(Código não identificado nas referências)",MATCH($AE457,INDIRECT(ORÇAMENTO.BancoRef),0))))</f>
        <v>(Sem Código)</v>
      </c>
      <c r="AG457" s="428">
        <f ca="1">ROUND(IF(DESONERACAO="sim",REFERENCIA.Desonerado,REFERENCIA.NaoDesonerado),2)</f>
        <v>0</v>
      </c>
      <c r="AH457" s="429">
        <f t="shared" ca="1" si="125"/>
        <v>0.23499999999999999</v>
      </c>
      <c r="AJ457" s="431"/>
      <c r="AL457" s="439"/>
      <c r="AM457" s="336">
        <f t="shared" ca="1" si="109"/>
        <v>1086.96</v>
      </c>
      <c r="AN457" s="470">
        <f t="shared" ca="1" si="126"/>
        <v>0</v>
      </c>
    </row>
    <row r="458" spans="1:40" ht="25.5" x14ac:dyDescent="0.2">
      <c r="A458" t="str">
        <f t="shared" si="112"/>
        <v>S</v>
      </c>
      <c r="B458">
        <f t="shared" ca="1" si="113"/>
        <v>3</v>
      </c>
      <c r="C458" t="str">
        <f t="shared" ca="1" si="114"/>
        <v>S</v>
      </c>
      <c r="D458">
        <f t="shared" ca="1" si="115"/>
        <v>0</v>
      </c>
      <c r="E458">
        <f ca="1">IF($C458=1,OFFSET(E458,-1,0)+MAX(1,COUNTIF(QCI!$A$13:$A$15,OFFSET(ORÇAMENTO!E458,-1,0))),OFFSET(E458,-1,0))</f>
        <v>1</v>
      </c>
      <c r="F458">
        <f t="shared" ca="1" si="116"/>
        <v>9</v>
      </c>
      <c r="G458">
        <f t="shared" ca="1" si="117"/>
        <v>3</v>
      </c>
      <c r="H458">
        <f t="shared" ca="1" si="118"/>
        <v>0</v>
      </c>
      <c r="I458">
        <f t="shared" ca="1" si="119"/>
        <v>1</v>
      </c>
      <c r="J458">
        <f t="shared" ca="1" si="110"/>
        <v>0</v>
      </c>
      <c r="K458">
        <f ca="1">IF(OR($C458="S",$C458=0),0,MATCH(OFFSET($D458,0,$C458)+IF($C458&lt;&gt;1,1,COUNTIF(QCI!$A$13:$A$15,ORÇAMENTO!E458)),OFFSET($D458,1,$C458,ROW($C$508)-ROW($C458)),0))</f>
        <v>0</v>
      </c>
      <c r="L458" s="114" t="str">
        <f t="shared" ca="1" si="120"/>
        <v>F</v>
      </c>
      <c r="M458" s="115" t="s">
        <v>705</v>
      </c>
      <c r="N458" s="116" t="str">
        <f t="shared" ca="1" si="121"/>
        <v>Serviço</v>
      </c>
      <c r="O458" s="117" t="str">
        <f t="shared" ca="1" si="122"/>
        <v>1.9.3.0.1.</v>
      </c>
      <c r="P458" s="118" t="s">
        <v>1280</v>
      </c>
      <c r="Q458" s="119" t="s">
        <v>1173</v>
      </c>
      <c r="R458" s="120" t="str">
        <f ca="1">IF($C458="S",REFERENCIA.Descricao,"(digite a descrição aqui)")</f>
        <v>CERTIFICAÇÃO DE GARANTIA DE TRANSMISSÃO DE CABOS LÓGICOS CAT. 5/6</v>
      </c>
      <c r="S458" s="121" t="str">
        <f ca="1">REFERENCIA.Unidade</f>
        <v>UN</v>
      </c>
      <c r="T458" s="122">
        <f ca="1">OFFSET(CÁLCULO!H$15,ROW($T458)-ROW(T$15),0)</f>
        <v>56</v>
      </c>
      <c r="U458" s="123">
        <f t="shared" ref="U458" ca="1" si="128">AG458</f>
        <v>15.72</v>
      </c>
      <c r="V458" s="124" t="s">
        <v>663</v>
      </c>
      <c r="W458" s="122">
        <f ca="1">IF($C458="S",ROUND(IF(TIPOORCAMENTO="Proposto",ORÇAMENTO.CustoUnitario*(1+$AH458),ORÇAMENTO.PrecoUnitarioLicitado),15-13*$AF$10),0)</f>
        <v>19.41</v>
      </c>
      <c r="X458" s="125" cm="1">
        <f t="array" aca="1" ref="X458" ca="1">IF($C458="S",IF(OR(Import.TipoArredondamento&lt;&gt;"TransfereGOV",ACOMPANHAMENTO="BM"),VTOTAL1,SUM(OFFSET(CÁLCULO!$AI$15,ROW($X458)-ROW($X$15),1):OFFSET(CÁLCULO!$BB$15,ROW($X458)-ROW($X$15),-1))),IF($C458=0,0,ROUND(SomaAgrup,15-13*$AF$11)))</f>
        <v>1086.96</v>
      </c>
      <c r="Y458" s="126" t="s">
        <v>751</v>
      </c>
      <c r="Z458" t="str">
        <f t="shared" ca="1" si="123"/>
        <v>RA</v>
      </c>
      <c r="AA458" s="127">
        <f ca="1">IF($C458="S",IF($Z458="CP",$X458,IF($Z458="RA",(($X458)*QCI!$AA$3),0)),SomaAgrup)</f>
        <v>0</v>
      </c>
      <c r="AB458" s="128">
        <f t="shared" ca="1" si="124"/>
        <v>0</v>
      </c>
      <c r="AC458" s="565" t="str" cm="1">
        <f t="array" aca="1" ref="AC458" ca="1">IF($N458=""," ",
IF(AND($C458&lt;&gt;"S",OR($R458="",$R458="(digite a descrição aqui)")),"DESCRIÇÃO",
IF(AND($C458="S",OR($Q458&lt;&gt;"",$T458&gt;0,$U458&gt;0),$P458=""),"FONTE",
IF(AND($C458="S",$P458&lt;&gt;"",OR($T458&gt;0,$U458&gt;0),$Q458=""),"CÓDIGO",
IF(AND($C458="S",$P458&lt;&gt;"",$Q458&lt;&gt;"",$R458="(Código não identificado nas referências)"),"CÓDIGO N/ID",
IF(AND($C458="S",OR($R458="",$R458="(digite a descrição aqui)"),OR($Q458&lt;&gt;"",$T458&gt;0,$U458&gt;0)),"DESCRIÇÃO",
IF(AND($C458="S",$P458&lt;&gt;"",$Q458&lt;&gt;"",$S458=""),"UNIDADE",
IF(AND($C458="S",$P458&lt;&gt;"",$Q458&lt;&gt;"",$U458=0),"SEM CUSTO",
IF(AND(_xlfn.SINGLE(TIPOORCAMENTO)="Licitado",$AL458=0,$AN458&gt;0),"SEM PREÇO",
IF(AND($C458="S",$P458&lt;&gt;"",$Q458&lt;&gt;"",$U458&gt;0,AND($V458&lt;&gt;"BDI 1",$V458&lt;&gt;"BDI 2",$V458&lt;&gt;"BDI 3")),IF(ISNUMBER($V458),"JUSTIFICAR BDI","BDI"),
IF(OR(AND(import.recurso="OGU",TIPOORCAMENTO="Proposto",LEFT($O$8,5)&lt;&gt;"(N/D:",$AG458&lt;&gt;"",ORÇAMENTO.CustoUnitario&gt;$AG458),AND(TIPOORCAMENTO="LICITADO",ORÇAMENTO.PrecoUnitarioLicitado&gt;$AN458)),"ACIMA REF.",
IF(AND($C458="S",$P458&lt;&gt;"",$Q458&lt;&gt;"",$T458=0,$U458&gt;0),"QUANT.",
IF(AND(Import.TipoArredondamento="TransfereGOV",$L458="F",$C458="S",LEN($Q458)&gt;13),"Código &gt;13",
IF(AND(Import.TipoArredondamento="TransfereGOV",$L458="F",$C458&lt;&gt;"S",LEN($R458)&gt;100),"Descrição &gt;100",
IF(AND(Import.TipoArredondamento="TransfereGOV",$L458="F",$C458="S",LEN($R458)&gt;500),"Descrição &gt;500",
IF(AND(Import.TipoArredondamento="TransfereGOV",$L458="F",$C458="S",LEFT(TRIM(UPPER($P458)),6)&lt;&gt;"SINAPI",ISNA(VLOOKUP(TRIM(UPPER($S458)),ListaTgov.Unidades,1,FALSE))),"Unid. Não Disp",
" "))))))))))))))))</f>
        <v xml:space="preserve"> </v>
      </c>
      <c r="AD458" t="str">
        <f ca="1">IF(C458&lt;=CRONO.NivelExibicao,MAX($AD$15:OFFSET(AD458,-1,0))+IF($C458&lt;&gt;1,1,MAX(1,COUNTIF(QCI!$A$13:$A$15,OFFSET($E458,-1,0)))),"")</f>
        <v/>
      </c>
      <c r="AE458" s="7" t="str">
        <f ca="1">IF(AND($C458="S",ORÇAMENTO.CodBarra&lt;&gt;""),IF(ORÇAMENTO.Fonte="",ORÇAMENTO.CodBarra,CONCATENATE(ORÇAMENTO.Fonte," ",ORÇAMENTO.CodBarra)))</f>
        <v>SETOP ED-48368</v>
      </c>
      <c r="AF458" s="12">
        <f ca="1">IF(ISERROR(INDIRECT(ORÇAMENTO.BancoRef)),"(abra o arquivo 'Referência "&amp;Excel_BuiltIn_Database&amp;".xlsm)",IF(OR($C458&lt;&gt;"S",ORÇAMENTO.CodBarra=""),"(Sem Código)",IF(ISERROR(MATCH($AE458,INDIRECT(ORÇAMENTO.BancoRef),0)),"(Código não identificado nas referências)",MATCH($AE458,INDIRECT(ORÇAMENTO.BancoRef),0))))</f>
        <v>29461</v>
      </c>
      <c r="AG458" s="428">
        <f ca="1">ROUND(IF(DESONERACAO="sim",REFERENCIA.Desonerado,REFERENCIA.NaoDesonerado),2)</f>
        <v>15.72</v>
      </c>
      <c r="AH458" s="429">
        <f t="shared" ca="1" si="125"/>
        <v>0.23499999999999999</v>
      </c>
      <c r="AJ458" s="431">
        <v>56</v>
      </c>
      <c r="AL458" s="439"/>
      <c r="AM458" s="336">
        <f t="shared" ca="1" si="109"/>
        <v>1086.96</v>
      </c>
      <c r="AN458" s="470">
        <f t="shared" ca="1" si="126"/>
        <v>19.41</v>
      </c>
    </row>
    <row r="459" spans="1:40" x14ac:dyDescent="0.2">
      <c r="A459">
        <f t="shared" si="112"/>
        <v>3</v>
      </c>
      <c r="B459">
        <f t="shared" ca="1" si="113"/>
        <v>3</v>
      </c>
      <c r="C459">
        <f t="shared" ca="1" si="114"/>
        <v>3</v>
      </c>
      <c r="D459">
        <f t="shared" ca="1" si="115"/>
        <v>3</v>
      </c>
      <c r="E459">
        <f ca="1">IF($C459=1,OFFSET(E459,-1,0)+MAX(1,COUNTIF(QCI!$A$13:$A$15,OFFSET(ORÇAMENTO!E459,-1,0))),OFFSET(E459,-1,0))</f>
        <v>1</v>
      </c>
      <c r="F459">
        <f t="shared" ca="1" si="116"/>
        <v>9</v>
      </c>
      <c r="G459">
        <f t="shared" ca="1" si="117"/>
        <v>4</v>
      </c>
      <c r="H459">
        <f t="shared" ca="1" si="118"/>
        <v>0</v>
      </c>
      <c r="I459">
        <f t="shared" ca="1" si="119"/>
        <v>0</v>
      </c>
      <c r="J459">
        <f t="shared" ca="1" si="110"/>
        <v>20</v>
      </c>
      <c r="K459">
        <f ca="1">IF(OR($C459="S",$C459=0),0,MATCH(OFFSET($D459,0,$C459)+IF($C459&lt;&gt;1,1,COUNTIF(QCI!$A$13:$A$15,ORÇAMENTO!E459)),OFFSET($D459,1,$C459,ROW($C$508)-ROW($C459)),0))</f>
        <v>3</v>
      </c>
      <c r="L459" s="114" t="str">
        <f t="shared" ca="1" si="120"/>
        <v>F</v>
      </c>
      <c r="M459" s="115" t="s">
        <v>703</v>
      </c>
      <c r="N459" s="116" t="str">
        <f t="shared" ca="1" si="121"/>
        <v>Nível 3</v>
      </c>
      <c r="O459" s="117" t="str">
        <f t="shared" ca="1" si="122"/>
        <v>1.9.4.</v>
      </c>
      <c r="P459" s="118" t="s">
        <v>750</v>
      </c>
      <c r="Q459" s="119"/>
      <c r="R459" s="120" t="s">
        <v>1260</v>
      </c>
      <c r="S459" s="121" t="s">
        <v>688</v>
      </c>
      <c r="T459" s="122">
        <f ca="1">OFFSET(CÁLCULO!H$15,ROW($T459)-ROW(T$15),0)</f>
        <v>0</v>
      </c>
      <c r="U459" s="123"/>
      <c r="V459" s="124" t="s">
        <v>663</v>
      </c>
      <c r="W459" s="122">
        <f ca="1">IF($C459="S",ROUND(IF(TIPOORCAMENTO="Proposto",ORÇAMENTO.CustoUnitario*(1+$AH459),ORÇAMENTO.PrecoUnitarioLicitado),15-13*$AF$10),0)</f>
        <v>0</v>
      </c>
      <c r="X459" s="125" cm="1">
        <f t="array" aca="1" ref="X459" ca="1">IF($C459="S",IF(OR(Import.TipoArredondamento&lt;&gt;"TransfereGOV",ACOMPANHAMENTO="BM"),VTOTAL1,SUM(OFFSET(CÁLCULO!$AI$15,ROW($X459)-ROW($X$15),1):OFFSET(CÁLCULO!$BB$15,ROW($X459)-ROW($X$15),-1))),IF($C459=0,0,ROUND(SomaAgrup,15-13*$AF$11)))</f>
        <v>59680.25</v>
      </c>
      <c r="Y459" s="126" t="s">
        <v>751</v>
      </c>
      <c r="Z459" t="str">
        <f t="shared" ca="1" si="123"/>
        <v/>
      </c>
      <c r="AA459" s="127">
        <f ca="1">IF($C459="S",IF($Z459="CP",$X459,IF($Z459="RA",(($X459)*QCI!$AA$3),0)),SomaAgrup)</f>
        <v>0</v>
      </c>
      <c r="AB459" s="128">
        <f t="shared" ca="1" si="124"/>
        <v>0</v>
      </c>
      <c r="AC459" s="565" t="str" cm="1">
        <f t="array" aca="1" ref="AC459" ca="1">IF($N459=""," ",
IF(AND($C459&lt;&gt;"S",OR($R459="",$R459="(digite a descrição aqui)")),"DESCRIÇÃO",
IF(AND($C459="S",OR($Q459&lt;&gt;"",$T459&gt;0,$U459&gt;0),$P459=""),"FONTE",
IF(AND($C459="S",$P459&lt;&gt;"",OR($T459&gt;0,$U459&gt;0),$Q459=""),"CÓDIGO",
IF(AND($C459="S",$P459&lt;&gt;"",$Q459&lt;&gt;"",$R459="(Código não identificado nas referências)"),"CÓDIGO N/ID",
IF(AND($C459="S",OR($R459="",$R459="(digite a descrição aqui)"),OR($Q459&lt;&gt;"",$T459&gt;0,$U459&gt;0)),"DESCRIÇÃO",
IF(AND($C459="S",$P459&lt;&gt;"",$Q459&lt;&gt;"",$S459=""),"UNIDADE",
IF(AND($C459="S",$P459&lt;&gt;"",$Q459&lt;&gt;"",$U459=0),"SEM CUSTO",
IF(AND(_xlfn.SINGLE(TIPOORCAMENTO)="Licitado",$AL459=0,$AN459&gt;0),"SEM PREÇO",
IF(AND($C459="S",$P459&lt;&gt;"",$Q459&lt;&gt;"",$U459&gt;0,AND($V459&lt;&gt;"BDI 1",$V459&lt;&gt;"BDI 2",$V459&lt;&gt;"BDI 3")),IF(ISNUMBER($V459),"JUSTIFICAR BDI","BDI"),
IF(OR(AND(import.recurso="OGU",TIPOORCAMENTO="Proposto",LEFT($O$8,5)&lt;&gt;"(N/D:",$AG459&lt;&gt;"",ORÇAMENTO.CustoUnitario&gt;$AG459),AND(TIPOORCAMENTO="LICITADO",ORÇAMENTO.PrecoUnitarioLicitado&gt;$AN459)),"ACIMA REF.",
IF(AND($C459="S",$P459&lt;&gt;"",$Q459&lt;&gt;"",$T459=0,$U459&gt;0),"QUANT.",
IF(AND(Import.TipoArredondamento="TransfereGOV",$L459="F",$C459="S",LEN($Q459)&gt;13),"Código &gt;13",
IF(AND(Import.TipoArredondamento="TransfereGOV",$L459="F",$C459&lt;&gt;"S",LEN($R459)&gt;100),"Descrição &gt;100",
IF(AND(Import.TipoArredondamento="TransfereGOV",$L459="F",$C459="S",LEN($R459)&gt;500),"Descrição &gt;500",
IF(AND(Import.TipoArredondamento="TransfereGOV",$L459="F",$C459="S",LEFT(TRIM(UPPER($P459)),6)&lt;&gt;"SINAPI",ISNA(VLOOKUP(TRIM(UPPER($S459)),ListaTgov.Unidades,1,FALSE))),"Unid. Não Disp",
" "))))))))))))))))</f>
        <v xml:space="preserve"> </v>
      </c>
      <c r="AD459" t="str">
        <f ca="1">IF(C459&lt;=CRONO.NivelExibicao,MAX($AD$15:OFFSET(AD459,-1,0))+IF($C459&lt;&gt;1,1,MAX(1,COUNTIF(QCI!$A$13:$A$15,OFFSET($E459,-1,0)))),"")</f>
        <v/>
      </c>
      <c r="AE459" s="7" t="b">
        <f ca="1">IF(AND($C459="S",ORÇAMENTO.CodBarra&lt;&gt;""),IF(ORÇAMENTO.Fonte="",ORÇAMENTO.CodBarra,CONCATENATE(ORÇAMENTO.Fonte," ",ORÇAMENTO.CodBarra)))</f>
        <v>0</v>
      </c>
      <c r="AF459" s="12" t="str">
        <f ca="1">IF(ISERROR(INDIRECT(ORÇAMENTO.BancoRef)),"(abra o arquivo 'Referência "&amp;Excel_BuiltIn_Database&amp;".xlsm)",IF(OR($C459&lt;&gt;"S",ORÇAMENTO.CodBarra=""),"(Sem Código)",IF(ISERROR(MATCH($AE459,INDIRECT(ORÇAMENTO.BancoRef),0)),"(Código não identificado nas referências)",MATCH($AE459,INDIRECT(ORÇAMENTO.BancoRef),0))))</f>
        <v>(Sem Código)</v>
      </c>
      <c r="AG459" s="428">
        <f ca="1">ROUND(IF(DESONERACAO="sim",REFERENCIA.Desonerado,REFERENCIA.NaoDesonerado),2)</f>
        <v>0</v>
      </c>
      <c r="AH459" s="429">
        <f t="shared" ca="1" si="125"/>
        <v>0.23499999999999999</v>
      </c>
      <c r="AJ459" s="431"/>
      <c r="AL459" s="439"/>
      <c r="AM459" s="336">
        <f t="shared" ca="1" si="109"/>
        <v>59680.25</v>
      </c>
      <c r="AN459" s="470">
        <f t="shared" ca="1" si="126"/>
        <v>0</v>
      </c>
    </row>
    <row r="460" spans="1:40" ht="25.5" x14ac:dyDescent="0.2">
      <c r="A460" t="str">
        <f t="shared" si="112"/>
        <v>S</v>
      </c>
      <c r="B460">
        <f t="shared" ca="1" si="113"/>
        <v>3</v>
      </c>
      <c r="C460" t="str">
        <f t="shared" ca="1" si="114"/>
        <v>S</v>
      </c>
      <c r="D460">
        <f t="shared" ca="1" si="115"/>
        <v>0</v>
      </c>
      <c r="E460">
        <f ca="1">IF($C460=1,OFFSET(E460,-1,0)+MAX(1,COUNTIF(QCI!$A$13:$A$15,OFFSET(ORÇAMENTO!E460,-1,0))),OFFSET(E460,-1,0))</f>
        <v>1</v>
      </c>
      <c r="F460">
        <f t="shared" ca="1" si="116"/>
        <v>9</v>
      </c>
      <c r="G460">
        <f t="shared" ca="1" si="117"/>
        <v>4</v>
      </c>
      <c r="H460">
        <f t="shared" ca="1" si="118"/>
        <v>0</v>
      </c>
      <c r="I460">
        <f t="shared" ca="1" si="119"/>
        <v>1</v>
      </c>
      <c r="J460">
        <f t="shared" ca="1" si="110"/>
        <v>0</v>
      </c>
      <c r="K460">
        <f ca="1">IF(OR($C460="S",$C460=0),0,MATCH(OFFSET($D460,0,$C460)+IF($C460&lt;&gt;1,1,COUNTIF(QCI!$A$13:$A$15,ORÇAMENTO!E460)),OFFSET($D460,1,$C460,ROW($C$508)-ROW($C460)),0))</f>
        <v>0</v>
      </c>
      <c r="L460" s="114" t="str">
        <f t="shared" ca="1" si="120"/>
        <v>F</v>
      </c>
      <c r="M460" s="115" t="s">
        <v>705</v>
      </c>
      <c r="N460" s="116" t="str">
        <f t="shared" ca="1" si="121"/>
        <v>Serviço</v>
      </c>
      <c r="O460" s="117" t="str">
        <f t="shared" ca="1" si="122"/>
        <v>1.9.4.0.1.</v>
      </c>
      <c r="P460" s="118" t="s">
        <v>957</v>
      </c>
      <c r="Q460" s="119" t="s">
        <v>1174</v>
      </c>
      <c r="R460" s="120" t="str">
        <f ca="1">IF($C460="S",REFERENCIA.Descricao,"(digite a descrição aqui)")</f>
        <v>CÂMERA IP MINI BULLET VIP S3330 G2 3MP - BASEADO EM SBC (068399)</v>
      </c>
      <c r="S460" s="121" t="str">
        <f ca="1">REFERENCIA.Unidade</f>
        <v>UN</v>
      </c>
      <c r="T460" s="122">
        <f ca="1">OFFSET(CÁLCULO!H$15,ROW($T460)-ROW(T$15),0)</f>
        <v>21</v>
      </c>
      <c r="U460" s="123">
        <f t="shared" ref="U460:U461" ca="1" si="129">AG460</f>
        <v>675.14</v>
      </c>
      <c r="V460" s="124" t="s">
        <v>663</v>
      </c>
      <c r="W460" s="122">
        <f ca="1">IF($C460="S",ROUND(IF(TIPOORCAMENTO="Proposto",ORÇAMENTO.CustoUnitario*(1+$AH460),ORÇAMENTO.PrecoUnitarioLicitado),15-13*$AF$10),0)</f>
        <v>833.8</v>
      </c>
      <c r="X460" s="125" cm="1">
        <f t="array" aca="1" ref="X460" ca="1">IF($C460="S",IF(OR(Import.TipoArredondamento&lt;&gt;"TransfereGOV",ACOMPANHAMENTO="BM"),VTOTAL1,SUM(OFFSET(CÁLCULO!$AI$15,ROW($X460)-ROW($X$15),1):OFFSET(CÁLCULO!$BB$15,ROW($X460)-ROW($X$15),-1))),IF($C460=0,0,ROUND(SomaAgrup,15-13*$AF$11)))</f>
        <v>17509.8</v>
      </c>
      <c r="Y460" s="126" t="s">
        <v>751</v>
      </c>
      <c r="Z460" t="str">
        <f t="shared" ca="1" si="123"/>
        <v>RA</v>
      </c>
      <c r="AA460" s="127">
        <f ca="1">IF($C460="S",IF($Z460="CP",$X460,IF($Z460="RA",(($X460)*QCI!$AA$3),0)),SomaAgrup)</f>
        <v>0</v>
      </c>
      <c r="AB460" s="128">
        <f t="shared" ca="1" si="124"/>
        <v>0</v>
      </c>
      <c r="AC460" s="565" t="str" cm="1">
        <f t="array" aca="1" ref="AC460" ca="1">IF($N460=""," ",
IF(AND($C460&lt;&gt;"S",OR($R460="",$R460="(digite a descrição aqui)")),"DESCRIÇÃO",
IF(AND($C460="S",OR($Q460&lt;&gt;"",$T460&gt;0,$U460&gt;0),$P460=""),"FONTE",
IF(AND($C460="S",$P460&lt;&gt;"",OR($T460&gt;0,$U460&gt;0),$Q460=""),"CÓDIGO",
IF(AND($C460="S",$P460&lt;&gt;"",$Q460&lt;&gt;"",$R460="(Código não identificado nas referências)"),"CÓDIGO N/ID",
IF(AND($C460="S",OR($R460="",$R460="(digite a descrição aqui)"),OR($Q460&lt;&gt;"",$T460&gt;0,$U460&gt;0)),"DESCRIÇÃO",
IF(AND($C460="S",$P460&lt;&gt;"",$Q460&lt;&gt;"",$S460=""),"UNIDADE",
IF(AND($C460="S",$P460&lt;&gt;"",$Q460&lt;&gt;"",$U460=0),"SEM CUSTO",
IF(AND(_xlfn.SINGLE(TIPOORCAMENTO)="Licitado",$AL460=0,$AN460&gt;0),"SEM PREÇO",
IF(AND($C460="S",$P460&lt;&gt;"",$Q460&lt;&gt;"",$U460&gt;0,AND($V460&lt;&gt;"BDI 1",$V460&lt;&gt;"BDI 2",$V460&lt;&gt;"BDI 3")),IF(ISNUMBER($V460),"JUSTIFICAR BDI","BDI"),
IF(OR(AND(import.recurso="OGU",TIPOORCAMENTO="Proposto",LEFT($O$8,5)&lt;&gt;"(N/D:",$AG460&lt;&gt;"",ORÇAMENTO.CustoUnitario&gt;$AG460),AND(TIPOORCAMENTO="LICITADO",ORÇAMENTO.PrecoUnitarioLicitado&gt;$AN460)),"ACIMA REF.",
IF(AND($C460="S",$P460&lt;&gt;"",$Q460&lt;&gt;"",$T460=0,$U460&gt;0),"QUANT.",
IF(AND(Import.TipoArredondamento="TransfereGOV",$L460="F",$C460="S",LEN($Q460)&gt;13),"Código &gt;13",
IF(AND(Import.TipoArredondamento="TransfereGOV",$L460="F",$C460&lt;&gt;"S",LEN($R460)&gt;100),"Descrição &gt;100",
IF(AND(Import.TipoArredondamento="TransfereGOV",$L460="F",$C460="S",LEN($R460)&gt;500),"Descrição &gt;500",
IF(AND(Import.TipoArredondamento="TransfereGOV",$L460="F",$C460="S",LEFT(TRIM(UPPER($P460)),6)&lt;&gt;"SINAPI",ISNA(VLOOKUP(TRIM(UPPER($S460)),ListaTgov.Unidades,1,FALSE))),"Unid. Não Disp",
" "))))))))))))))))</f>
        <v xml:space="preserve"> </v>
      </c>
      <c r="AD460" t="str">
        <f ca="1">IF(C460&lt;=CRONO.NivelExibicao,MAX($AD$15:OFFSET(AD460,-1,0))+IF($C460&lt;&gt;1,1,MAX(1,COUNTIF(QCI!$A$13:$A$15,OFFSET($E460,-1,0)))),"")</f>
        <v/>
      </c>
      <c r="AE460" s="7" t="str">
        <f ca="1">IF(AND($C460="S",ORÇAMENTO.CodBarra&lt;&gt;""),IF(ORÇAMENTO.Fonte="",ORÇAMENTO.CodBarra,CONCATENATE(ORÇAMENTO.Fonte," ",ORÇAMENTO.CodBarra)))</f>
        <v>Composição CPU-044</v>
      </c>
      <c r="AF460" s="12">
        <f ca="1">IF(ISERROR(INDIRECT(ORÇAMENTO.BancoRef)),"(abra o arquivo 'Referência "&amp;Excel_BuiltIn_Database&amp;".xlsm)",IF(OR($C460&lt;&gt;"S",ORÇAMENTO.CodBarra=""),"(Sem Código)",IF(ISERROR(MATCH($AE460,INDIRECT(ORÇAMENTO.BancoRef),0)),"(Código não identificado nas referências)",MATCH($AE460,INDIRECT(ORÇAMENTO.BancoRef),0))))</f>
        <v>46</v>
      </c>
      <c r="AG460" s="428">
        <f ca="1">ROUND(IF(DESONERACAO="sim",REFERENCIA.Desonerado,REFERENCIA.NaoDesonerado),2)</f>
        <v>675.14</v>
      </c>
      <c r="AH460" s="429">
        <f t="shared" ca="1" si="125"/>
        <v>0.23499999999999999</v>
      </c>
      <c r="AJ460" s="431">
        <v>21</v>
      </c>
      <c r="AL460" s="439"/>
      <c r="AM460" s="336">
        <f t="shared" ca="1" si="109"/>
        <v>17509.8</v>
      </c>
      <c r="AN460" s="470">
        <f t="shared" ca="1" si="126"/>
        <v>833.8</v>
      </c>
    </row>
    <row r="461" spans="1:40" ht="38.25" x14ac:dyDescent="0.2">
      <c r="A461" t="str">
        <f t="shared" si="112"/>
        <v>S</v>
      </c>
      <c r="B461">
        <f t="shared" ca="1" si="113"/>
        <v>3</v>
      </c>
      <c r="C461" t="str">
        <f t="shared" ca="1" si="114"/>
        <v>S</v>
      </c>
      <c r="D461">
        <f t="shared" ca="1" si="115"/>
        <v>0</v>
      </c>
      <c r="E461">
        <f ca="1">IF($C461=1,OFFSET(E461,-1,0)+MAX(1,COUNTIF(QCI!$A$13:$A$15,OFFSET(ORÇAMENTO!E461,-1,0))),OFFSET(E461,-1,0))</f>
        <v>1</v>
      </c>
      <c r="F461">
        <f t="shared" ca="1" si="116"/>
        <v>9</v>
      </c>
      <c r="G461">
        <f t="shared" ca="1" si="117"/>
        <v>4</v>
      </c>
      <c r="H461">
        <f t="shared" ca="1" si="118"/>
        <v>0</v>
      </c>
      <c r="I461">
        <f t="shared" ca="1" si="119"/>
        <v>2</v>
      </c>
      <c r="J461">
        <f t="shared" ca="1" si="110"/>
        <v>0</v>
      </c>
      <c r="K461">
        <f ca="1">IF(OR($C461="S",$C461=0),0,MATCH(OFFSET($D461,0,$C461)+IF($C461&lt;&gt;1,1,COUNTIF(QCI!$A$13:$A$15,ORÇAMENTO!E461)),OFFSET($D461,1,$C461,ROW($C$508)-ROW($C461)),0))</f>
        <v>0</v>
      </c>
      <c r="L461" s="114" t="str">
        <f t="shared" ca="1" si="120"/>
        <v>F</v>
      </c>
      <c r="M461" s="115" t="s">
        <v>705</v>
      </c>
      <c r="N461" s="116" t="str">
        <f t="shared" ca="1" si="121"/>
        <v>Serviço</v>
      </c>
      <c r="O461" s="117" t="str">
        <f t="shared" ca="1" si="122"/>
        <v>1.9.4.0.2.</v>
      </c>
      <c r="P461" s="118" t="s">
        <v>957</v>
      </c>
      <c r="Q461" s="119" t="s">
        <v>1175</v>
      </c>
      <c r="R461" s="120" t="str">
        <f ca="1">IF($C461="S",REFERENCIA.Descricao,"(digite a descrição aqui)")</f>
        <v>SPEED DOME IP INTELBRAS VIP 3225 SD IR INFRAVERMELHO 150 METROS STARLIGHT ZOOM 25X, FORNECIMENTO E INSTALAÇÃO- BASEADA DA SBC (068399)</v>
      </c>
      <c r="S461" s="121" t="str">
        <f ca="1">REFERENCIA.Unidade</f>
        <v>UN</v>
      </c>
      <c r="T461" s="122">
        <f ca="1">OFFSET(CÁLCULO!H$15,ROW($T461)-ROW(T$15),0)</f>
        <v>7</v>
      </c>
      <c r="U461" s="123">
        <f t="shared" ca="1" si="129"/>
        <v>4878.0200000000004</v>
      </c>
      <c r="V461" s="124" t="s">
        <v>663</v>
      </c>
      <c r="W461" s="122">
        <f ca="1">IF($C461="S",ROUND(IF(TIPOORCAMENTO="Proposto",ORÇAMENTO.CustoUnitario*(1+$AH461),ORÇAMENTO.PrecoUnitarioLicitado),15-13*$AF$10),0)</f>
        <v>6024.35</v>
      </c>
      <c r="X461" s="125" cm="1">
        <f t="array" aca="1" ref="X461" ca="1">IF($C461="S",IF(OR(Import.TipoArredondamento&lt;&gt;"TransfereGOV",ACOMPANHAMENTO="BM"),VTOTAL1,SUM(OFFSET(CÁLCULO!$AI$15,ROW($X461)-ROW($X$15),1):OFFSET(CÁLCULO!$BB$15,ROW($X461)-ROW($X$15),-1))),IF($C461=0,0,ROUND(SomaAgrup,15-13*$AF$11)))</f>
        <v>42170.45</v>
      </c>
      <c r="Y461" s="126" t="s">
        <v>751</v>
      </c>
      <c r="Z461" t="str">
        <f t="shared" ca="1" si="123"/>
        <v>RA</v>
      </c>
      <c r="AA461" s="127">
        <f ca="1">IF($C461="S",IF($Z461="CP",$X461,IF($Z461="RA",(($X461)*QCI!$AA$3),0)),SomaAgrup)</f>
        <v>0</v>
      </c>
      <c r="AB461" s="128">
        <f t="shared" ca="1" si="124"/>
        <v>0</v>
      </c>
      <c r="AC461" s="565" t="str" cm="1">
        <f t="array" aca="1" ref="AC461" ca="1">IF($N461=""," ",
IF(AND($C461&lt;&gt;"S",OR($R461="",$R461="(digite a descrição aqui)")),"DESCRIÇÃO",
IF(AND($C461="S",OR($Q461&lt;&gt;"",$T461&gt;0,$U461&gt;0),$P461=""),"FONTE",
IF(AND($C461="S",$P461&lt;&gt;"",OR($T461&gt;0,$U461&gt;0),$Q461=""),"CÓDIGO",
IF(AND($C461="S",$P461&lt;&gt;"",$Q461&lt;&gt;"",$R461="(Código não identificado nas referências)"),"CÓDIGO N/ID",
IF(AND($C461="S",OR($R461="",$R461="(digite a descrição aqui)"),OR($Q461&lt;&gt;"",$T461&gt;0,$U461&gt;0)),"DESCRIÇÃO",
IF(AND($C461="S",$P461&lt;&gt;"",$Q461&lt;&gt;"",$S461=""),"UNIDADE",
IF(AND($C461="S",$P461&lt;&gt;"",$Q461&lt;&gt;"",$U461=0),"SEM CUSTO",
IF(AND(_xlfn.SINGLE(TIPOORCAMENTO)="Licitado",$AL461=0,$AN461&gt;0),"SEM PREÇO",
IF(AND($C461="S",$P461&lt;&gt;"",$Q461&lt;&gt;"",$U461&gt;0,AND($V461&lt;&gt;"BDI 1",$V461&lt;&gt;"BDI 2",$V461&lt;&gt;"BDI 3")),IF(ISNUMBER($V461),"JUSTIFICAR BDI","BDI"),
IF(OR(AND(import.recurso="OGU",TIPOORCAMENTO="Proposto",LEFT($O$8,5)&lt;&gt;"(N/D:",$AG461&lt;&gt;"",ORÇAMENTO.CustoUnitario&gt;$AG461),AND(TIPOORCAMENTO="LICITADO",ORÇAMENTO.PrecoUnitarioLicitado&gt;$AN461)),"ACIMA REF.",
IF(AND($C461="S",$P461&lt;&gt;"",$Q461&lt;&gt;"",$T461=0,$U461&gt;0),"QUANT.",
IF(AND(Import.TipoArredondamento="TransfereGOV",$L461="F",$C461="S",LEN($Q461)&gt;13),"Código &gt;13",
IF(AND(Import.TipoArredondamento="TransfereGOV",$L461="F",$C461&lt;&gt;"S",LEN($R461)&gt;100),"Descrição &gt;100",
IF(AND(Import.TipoArredondamento="TransfereGOV",$L461="F",$C461="S",LEN($R461)&gt;500),"Descrição &gt;500",
IF(AND(Import.TipoArredondamento="TransfereGOV",$L461="F",$C461="S",LEFT(TRIM(UPPER($P461)),6)&lt;&gt;"SINAPI",ISNA(VLOOKUP(TRIM(UPPER($S461)),ListaTgov.Unidades,1,FALSE))),"Unid. Não Disp",
" "))))))))))))))))</f>
        <v xml:space="preserve"> </v>
      </c>
      <c r="AD461" t="str">
        <f ca="1">IF(C461&lt;=CRONO.NivelExibicao,MAX($AD$15:OFFSET(AD461,-1,0))+IF($C461&lt;&gt;1,1,MAX(1,COUNTIF(QCI!$A$13:$A$15,OFFSET($E461,-1,0)))),"")</f>
        <v/>
      </c>
      <c r="AE461" s="7" t="str">
        <f ca="1">IF(AND($C461="S",ORÇAMENTO.CodBarra&lt;&gt;""),IF(ORÇAMENTO.Fonte="",ORÇAMENTO.CodBarra,CONCATENATE(ORÇAMENTO.Fonte," ",ORÇAMENTO.CodBarra)))</f>
        <v>Composição CPU-045</v>
      </c>
      <c r="AF461" s="12">
        <f ca="1">IF(ISERROR(INDIRECT(ORÇAMENTO.BancoRef)),"(abra o arquivo 'Referência "&amp;Excel_BuiltIn_Database&amp;".xlsm)",IF(OR($C461&lt;&gt;"S",ORÇAMENTO.CodBarra=""),"(Sem Código)",IF(ISERROR(MATCH($AE461,INDIRECT(ORÇAMENTO.BancoRef),0)),"(Código não identificado nas referências)",MATCH($AE461,INDIRECT(ORÇAMENTO.BancoRef),0))))</f>
        <v>47</v>
      </c>
      <c r="AG461" s="428">
        <f ca="1">ROUND(IF(DESONERACAO="sim",REFERENCIA.Desonerado,REFERENCIA.NaoDesonerado),2)</f>
        <v>4878.0200000000004</v>
      </c>
      <c r="AH461" s="429">
        <f t="shared" ca="1" si="125"/>
        <v>0.23499999999999999</v>
      </c>
      <c r="AJ461" s="431">
        <v>7</v>
      </c>
      <c r="AL461" s="439"/>
      <c r="AM461" s="336">
        <f t="shared" ca="1" si="109"/>
        <v>42170.45</v>
      </c>
      <c r="AN461" s="470">
        <f t="shared" ca="1" si="126"/>
        <v>6024.35</v>
      </c>
    </row>
    <row r="462" spans="1:40" x14ac:dyDescent="0.2">
      <c r="A462">
        <f t="shared" si="112"/>
        <v>3</v>
      </c>
      <c r="B462">
        <f t="shared" ca="1" si="113"/>
        <v>3</v>
      </c>
      <c r="C462">
        <f t="shared" ca="1" si="114"/>
        <v>3</v>
      </c>
      <c r="D462">
        <f t="shared" ca="1" si="115"/>
        <v>12</v>
      </c>
      <c r="E462">
        <f ca="1">IF($C462=1,OFFSET(E462,-1,0)+MAX(1,COUNTIF(QCI!$A$13:$A$15,OFFSET(ORÇAMENTO!E462,-1,0))),OFFSET(E462,-1,0))</f>
        <v>1</v>
      </c>
      <c r="F462">
        <f t="shared" ca="1" si="116"/>
        <v>9</v>
      </c>
      <c r="G462">
        <f t="shared" ca="1" si="117"/>
        <v>5</v>
      </c>
      <c r="H462">
        <f t="shared" ca="1" si="118"/>
        <v>0</v>
      </c>
      <c r="I462">
        <f t="shared" ca="1" si="119"/>
        <v>0</v>
      </c>
      <c r="J462">
        <f t="shared" ca="1" si="110"/>
        <v>17</v>
      </c>
      <c r="K462">
        <f ca="1">IF(OR($C462="S",$C462=0),0,MATCH(OFFSET($D462,0,$C462)+IF($C462&lt;&gt;1,1,COUNTIF(QCI!$A$13:$A$15,ORÇAMENTO!E462)),OFFSET($D462,1,$C462,ROW($C$508)-ROW($C462)),0))</f>
        <v>12</v>
      </c>
      <c r="L462" s="114" t="str">
        <f t="shared" ca="1" si="120"/>
        <v>F</v>
      </c>
      <c r="M462" s="115" t="s">
        <v>703</v>
      </c>
      <c r="N462" s="116" t="str">
        <f t="shared" ca="1" si="121"/>
        <v>Nível 3</v>
      </c>
      <c r="O462" s="117" t="str">
        <f t="shared" ca="1" si="122"/>
        <v>1.9.5.</v>
      </c>
      <c r="P462" s="118" t="s">
        <v>750</v>
      </c>
      <c r="Q462" s="119"/>
      <c r="R462" s="120" t="s">
        <v>1261</v>
      </c>
      <c r="S462" s="121" t="s">
        <v>688</v>
      </c>
      <c r="T462" s="122">
        <f ca="1">OFFSET(CÁLCULO!H$15,ROW($T462)-ROW(T$15),0)</f>
        <v>0</v>
      </c>
      <c r="U462" s="123"/>
      <c r="V462" s="124" t="s">
        <v>663</v>
      </c>
      <c r="W462" s="122">
        <f ca="1">IF($C462="S",ROUND(IF(TIPOORCAMENTO="Proposto",ORÇAMENTO.CustoUnitario*(1+$AH462),ORÇAMENTO.PrecoUnitarioLicitado),15-13*$AF$10),0)</f>
        <v>0</v>
      </c>
      <c r="X462" s="125" cm="1">
        <f t="array" aca="1" ref="X462" ca="1">IF($C462="S",IF(OR(Import.TipoArredondamento&lt;&gt;"TransfereGOV",ACOMPANHAMENTO="BM"),VTOTAL1,SUM(OFFSET(CÁLCULO!$AI$15,ROW($X462)-ROW($X$15),1):OFFSET(CÁLCULO!$BB$15,ROW($X462)-ROW($X$15),-1))),IF($C462=0,0,ROUND(SomaAgrup,15-13*$AF$11)))</f>
        <v>59708.15</v>
      </c>
      <c r="Y462" s="126" t="s">
        <v>751</v>
      </c>
      <c r="Z462" t="str">
        <f t="shared" ca="1" si="123"/>
        <v/>
      </c>
      <c r="AA462" s="127">
        <f ca="1">IF($C462="S",IF($Z462="CP",$X462,IF($Z462="RA",(($X462)*QCI!$AA$3),0)),SomaAgrup)</f>
        <v>0</v>
      </c>
      <c r="AB462" s="128">
        <f t="shared" ca="1" si="124"/>
        <v>0</v>
      </c>
      <c r="AC462" s="565" t="str" cm="1">
        <f t="array" aca="1" ref="AC462" ca="1">IF($N462=""," ",
IF(AND($C462&lt;&gt;"S",OR($R462="",$R462="(digite a descrição aqui)")),"DESCRIÇÃO",
IF(AND($C462="S",OR($Q462&lt;&gt;"",$T462&gt;0,$U462&gt;0),$P462=""),"FONTE",
IF(AND($C462="S",$P462&lt;&gt;"",OR($T462&gt;0,$U462&gt;0),$Q462=""),"CÓDIGO",
IF(AND($C462="S",$P462&lt;&gt;"",$Q462&lt;&gt;"",$R462="(Código não identificado nas referências)"),"CÓDIGO N/ID",
IF(AND($C462="S",OR($R462="",$R462="(digite a descrição aqui)"),OR($Q462&lt;&gt;"",$T462&gt;0,$U462&gt;0)),"DESCRIÇÃO",
IF(AND($C462="S",$P462&lt;&gt;"",$Q462&lt;&gt;"",$S462=""),"UNIDADE",
IF(AND($C462="S",$P462&lt;&gt;"",$Q462&lt;&gt;"",$U462=0),"SEM CUSTO",
IF(AND(_xlfn.SINGLE(TIPOORCAMENTO)="Licitado",$AL462=0,$AN462&gt;0),"SEM PREÇO",
IF(AND($C462="S",$P462&lt;&gt;"",$Q462&lt;&gt;"",$U462&gt;0,AND($V462&lt;&gt;"BDI 1",$V462&lt;&gt;"BDI 2",$V462&lt;&gt;"BDI 3")),IF(ISNUMBER($V462),"JUSTIFICAR BDI","BDI"),
IF(OR(AND(import.recurso="OGU",TIPOORCAMENTO="Proposto",LEFT($O$8,5)&lt;&gt;"(N/D:",$AG462&lt;&gt;"",ORÇAMENTO.CustoUnitario&gt;$AG462),AND(TIPOORCAMENTO="LICITADO",ORÇAMENTO.PrecoUnitarioLicitado&gt;$AN462)),"ACIMA REF.",
IF(AND($C462="S",$P462&lt;&gt;"",$Q462&lt;&gt;"",$T462=0,$U462&gt;0),"QUANT.",
IF(AND(Import.TipoArredondamento="TransfereGOV",$L462="F",$C462="S",LEN($Q462)&gt;13),"Código &gt;13",
IF(AND(Import.TipoArredondamento="TransfereGOV",$L462="F",$C462&lt;&gt;"S",LEN($R462)&gt;100),"Descrição &gt;100",
IF(AND(Import.TipoArredondamento="TransfereGOV",$L462="F",$C462="S",LEN($R462)&gt;500),"Descrição &gt;500",
IF(AND(Import.TipoArredondamento="TransfereGOV",$L462="F",$C462="S",LEFT(TRIM(UPPER($P462)),6)&lt;&gt;"SINAPI",ISNA(VLOOKUP(TRIM(UPPER($S462)),ListaTgov.Unidades,1,FALSE))),"Unid. Não Disp",
" "))))))))))))))))</f>
        <v xml:space="preserve"> </v>
      </c>
      <c r="AD462" t="str">
        <f ca="1">IF(C462&lt;=CRONO.NivelExibicao,MAX($AD$15:OFFSET(AD462,-1,0))+IF($C462&lt;&gt;1,1,MAX(1,COUNTIF(QCI!$A$13:$A$15,OFFSET($E462,-1,0)))),"")</f>
        <v/>
      </c>
      <c r="AE462" s="7" t="b">
        <f ca="1">IF(AND($C462="S",ORÇAMENTO.CodBarra&lt;&gt;""),IF(ORÇAMENTO.Fonte="",ORÇAMENTO.CodBarra,CONCATENATE(ORÇAMENTO.Fonte," ",ORÇAMENTO.CodBarra)))</f>
        <v>0</v>
      </c>
      <c r="AF462" s="12" t="str">
        <f ca="1">IF(ISERROR(INDIRECT(ORÇAMENTO.BancoRef)),"(abra o arquivo 'Referência "&amp;Excel_BuiltIn_Database&amp;".xlsm)",IF(OR($C462&lt;&gt;"S",ORÇAMENTO.CodBarra=""),"(Sem Código)",IF(ISERROR(MATCH($AE462,INDIRECT(ORÇAMENTO.BancoRef),0)),"(Código não identificado nas referências)",MATCH($AE462,INDIRECT(ORÇAMENTO.BancoRef),0))))</f>
        <v>(Sem Código)</v>
      </c>
      <c r="AG462" s="428">
        <f ca="1">ROUND(IF(DESONERACAO="sim",REFERENCIA.Desonerado,REFERENCIA.NaoDesonerado),2)</f>
        <v>0</v>
      </c>
      <c r="AH462" s="429">
        <f t="shared" ca="1" si="125"/>
        <v>0.23499999999999999</v>
      </c>
      <c r="AJ462" s="431"/>
      <c r="AL462" s="439"/>
      <c r="AM462" s="336">
        <f t="shared" ca="1" si="109"/>
        <v>59708.15</v>
      </c>
      <c r="AN462" s="470">
        <f t="shared" ca="1" si="126"/>
        <v>0</v>
      </c>
    </row>
    <row r="463" spans="1:40" ht="38.25" x14ac:dyDescent="0.2">
      <c r="A463" t="str">
        <f t="shared" si="112"/>
        <v>S</v>
      </c>
      <c r="B463">
        <f t="shared" ca="1" si="113"/>
        <v>3</v>
      </c>
      <c r="C463" t="str">
        <f t="shared" ca="1" si="114"/>
        <v>S</v>
      </c>
      <c r="D463">
        <f t="shared" ca="1" si="115"/>
        <v>0</v>
      </c>
      <c r="E463">
        <f ca="1">IF($C463=1,OFFSET(E463,-1,0)+MAX(1,COUNTIF(QCI!$A$13:$A$15,OFFSET(ORÇAMENTO!E463,-1,0))),OFFSET(E463,-1,0))</f>
        <v>1</v>
      </c>
      <c r="F463">
        <f t="shared" ca="1" si="116"/>
        <v>9</v>
      </c>
      <c r="G463">
        <f t="shared" ca="1" si="117"/>
        <v>5</v>
      </c>
      <c r="H463">
        <f t="shared" ca="1" si="118"/>
        <v>0</v>
      </c>
      <c r="I463">
        <f t="shared" ca="1" si="119"/>
        <v>1</v>
      </c>
      <c r="J463">
        <f t="shared" ca="1" si="110"/>
        <v>0</v>
      </c>
      <c r="K463">
        <f ca="1">IF(OR($C463="S",$C463=0),0,MATCH(OFFSET($D463,0,$C463)+IF($C463&lt;&gt;1,1,COUNTIF(QCI!$A$13:$A$15,ORÇAMENTO!E463)),OFFSET($D463,1,$C463,ROW($C$508)-ROW($C463)),0))</f>
        <v>0</v>
      </c>
      <c r="L463" s="114" t="str">
        <f t="shared" ca="1" si="120"/>
        <v>F</v>
      </c>
      <c r="M463" s="115" t="s">
        <v>705</v>
      </c>
      <c r="N463" s="116" t="str">
        <f t="shared" ca="1" si="121"/>
        <v>Serviço</v>
      </c>
      <c r="O463" s="117" t="str">
        <f t="shared" ca="1" si="122"/>
        <v>1.9.5.0.1.</v>
      </c>
      <c r="P463" s="118" t="s">
        <v>957</v>
      </c>
      <c r="Q463" s="119" t="s">
        <v>1176</v>
      </c>
      <c r="R463" s="120" t="str">
        <f ca="1">IF($C463="S",REFERENCIA.Descricao,"(digite a descrição aqui)")</f>
        <v>ARMAZENADOR E GERENCIADOR DE IMAGENS DE CÂMERAS, PARA ATÉ 24 CÂMERAS IP, CAPACIDADE PARA ATÉ 4 HDS REF.: NVD 5124 INTELBRÁS OU EQUIVALENTE. - BASEADO CPOS/CDHU (66.08.610)</v>
      </c>
      <c r="S463" s="121" t="str">
        <f ca="1">REFERENCIA.Unidade</f>
        <v>UN</v>
      </c>
      <c r="T463" s="122">
        <f ca="1">OFFSET(CÁLCULO!H$15,ROW($T463)-ROW(T$15),0)</f>
        <v>2</v>
      </c>
      <c r="U463" s="123">
        <f t="shared" ref="U463:U473" ca="1" si="130">AG463</f>
        <v>4236.1499999999996</v>
      </c>
      <c r="V463" s="124" t="s">
        <v>663</v>
      </c>
      <c r="W463" s="122">
        <f ca="1">IF($C463="S",ROUND(IF(TIPOORCAMENTO="Proposto",ORÇAMENTO.CustoUnitario*(1+$AH463),ORÇAMENTO.PrecoUnitarioLicitado),15-13*$AF$10),0)</f>
        <v>5231.6499999999996</v>
      </c>
      <c r="X463" s="125" cm="1">
        <f t="array" aca="1" ref="X463" ca="1">IF($C463="S",IF(OR(Import.TipoArredondamento&lt;&gt;"TransfereGOV",ACOMPANHAMENTO="BM"),VTOTAL1,SUM(OFFSET(CÁLCULO!$AI$15,ROW($X463)-ROW($X$15),1):OFFSET(CÁLCULO!$BB$15,ROW($X463)-ROW($X$15),-1))),IF($C463=0,0,ROUND(SomaAgrup,15-13*$AF$11)))</f>
        <v>10463.299999999999</v>
      </c>
      <c r="Y463" s="126" t="s">
        <v>751</v>
      </c>
      <c r="Z463" t="str">
        <f t="shared" ca="1" si="123"/>
        <v>RA</v>
      </c>
      <c r="AA463" s="127">
        <f ca="1">IF($C463="S",IF($Z463="CP",$X463,IF($Z463="RA",(($X463)*QCI!$AA$3),0)),SomaAgrup)</f>
        <v>0</v>
      </c>
      <c r="AB463" s="128">
        <f t="shared" ca="1" si="124"/>
        <v>0</v>
      </c>
      <c r="AC463" s="565" t="str" cm="1">
        <f t="array" aca="1" ref="AC463" ca="1">IF($N463=""," ",
IF(AND($C463&lt;&gt;"S",OR($R463="",$R463="(digite a descrição aqui)")),"DESCRIÇÃO",
IF(AND($C463="S",OR($Q463&lt;&gt;"",$T463&gt;0,$U463&gt;0),$P463=""),"FONTE",
IF(AND($C463="S",$P463&lt;&gt;"",OR($T463&gt;0,$U463&gt;0),$Q463=""),"CÓDIGO",
IF(AND($C463="S",$P463&lt;&gt;"",$Q463&lt;&gt;"",$R463="(Código não identificado nas referências)"),"CÓDIGO N/ID",
IF(AND($C463="S",OR($R463="",$R463="(digite a descrição aqui)"),OR($Q463&lt;&gt;"",$T463&gt;0,$U463&gt;0)),"DESCRIÇÃO",
IF(AND($C463="S",$P463&lt;&gt;"",$Q463&lt;&gt;"",$S463=""),"UNIDADE",
IF(AND($C463="S",$P463&lt;&gt;"",$Q463&lt;&gt;"",$U463=0),"SEM CUSTO",
IF(AND(_xlfn.SINGLE(TIPOORCAMENTO)="Licitado",$AL463=0,$AN463&gt;0),"SEM PREÇO",
IF(AND($C463="S",$P463&lt;&gt;"",$Q463&lt;&gt;"",$U463&gt;0,AND($V463&lt;&gt;"BDI 1",$V463&lt;&gt;"BDI 2",$V463&lt;&gt;"BDI 3")),IF(ISNUMBER($V463),"JUSTIFICAR BDI","BDI"),
IF(OR(AND(import.recurso="OGU",TIPOORCAMENTO="Proposto",LEFT($O$8,5)&lt;&gt;"(N/D:",$AG463&lt;&gt;"",ORÇAMENTO.CustoUnitario&gt;$AG463),AND(TIPOORCAMENTO="LICITADO",ORÇAMENTO.PrecoUnitarioLicitado&gt;$AN463)),"ACIMA REF.",
IF(AND($C463="S",$P463&lt;&gt;"",$Q463&lt;&gt;"",$T463=0,$U463&gt;0),"QUANT.",
IF(AND(Import.TipoArredondamento="TransfereGOV",$L463="F",$C463="S",LEN($Q463)&gt;13),"Código &gt;13",
IF(AND(Import.TipoArredondamento="TransfereGOV",$L463="F",$C463&lt;&gt;"S",LEN($R463)&gt;100),"Descrição &gt;100",
IF(AND(Import.TipoArredondamento="TransfereGOV",$L463="F",$C463="S",LEN($R463)&gt;500),"Descrição &gt;500",
IF(AND(Import.TipoArredondamento="TransfereGOV",$L463="F",$C463="S",LEFT(TRIM(UPPER($P463)),6)&lt;&gt;"SINAPI",ISNA(VLOOKUP(TRIM(UPPER($S463)),ListaTgov.Unidades,1,FALSE))),"Unid. Não Disp",
" "))))))))))))))))</f>
        <v xml:space="preserve"> </v>
      </c>
      <c r="AD463" t="str">
        <f ca="1">IF(C463&lt;=CRONO.NivelExibicao,MAX($AD$15:OFFSET(AD463,-1,0))+IF($C463&lt;&gt;1,1,MAX(1,COUNTIF(QCI!$A$13:$A$15,OFFSET($E463,-1,0)))),"")</f>
        <v/>
      </c>
      <c r="AE463" s="7" t="str">
        <f ca="1">IF(AND($C463="S",ORÇAMENTO.CodBarra&lt;&gt;""),IF(ORÇAMENTO.Fonte="",ORÇAMENTO.CodBarra,CONCATENATE(ORÇAMENTO.Fonte," ",ORÇAMENTO.CodBarra)))</f>
        <v>Composição CPU-046</v>
      </c>
      <c r="AF463" s="12">
        <f ca="1">IF(ISERROR(INDIRECT(ORÇAMENTO.BancoRef)),"(abra o arquivo 'Referência "&amp;Excel_BuiltIn_Database&amp;".xlsm)",IF(OR($C463&lt;&gt;"S",ORÇAMENTO.CodBarra=""),"(Sem Código)",IF(ISERROR(MATCH($AE463,INDIRECT(ORÇAMENTO.BancoRef),0)),"(Código não identificado nas referências)",MATCH($AE463,INDIRECT(ORÇAMENTO.BancoRef),0))))</f>
        <v>48</v>
      </c>
      <c r="AG463" s="428">
        <f ca="1">ROUND(IF(DESONERACAO="sim",REFERENCIA.Desonerado,REFERENCIA.NaoDesonerado),2)</f>
        <v>4236.1499999999996</v>
      </c>
      <c r="AH463" s="429">
        <f t="shared" ca="1" si="125"/>
        <v>0.23499999999999999</v>
      </c>
      <c r="AJ463" s="431">
        <v>2</v>
      </c>
      <c r="AL463" s="439"/>
      <c r="AM463" s="336">
        <f t="shared" ca="1" si="109"/>
        <v>10463.299999999999</v>
      </c>
      <c r="AN463" s="470">
        <f t="shared" ca="1" si="126"/>
        <v>5231.6499999999996</v>
      </c>
    </row>
    <row r="464" spans="1:40" ht="25.5" x14ac:dyDescent="0.2">
      <c r="A464" t="str">
        <f t="shared" si="112"/>
        <v>S</v>
      </c>
      <c r="B464">
        <f t="shared" ca="1" si="113"/>
        <v>3</v>
      </c>
      <c r="C464" t="str">
        <f t="shared" ca="1" si="114"/>
        <v>S</v>
      </c>
      <c r="D464">
        <f t="shared" ca="1" si="115"/>
        <v>0</v>
      </c>
      <c r="E464">
        <f ca="1">IF($C464=1,OFFSET(E464,-1,0)+MAX(1,COUNTIF(QCI!$A$13:$A$15,OFFSET(ORÇAMENTO!E464,-1,0))),OFFSET(E464,-1,0))</f>
        <v>1</v>
      </c>
      <c r="F464">
        <f t="shared" ca="1" si="116"/>
        <v>9</v>
      </c>
      <c r="G464">
        <f t="shared" ca="1" si="117"/>
        <v>5</v>
      </c>
      <c r="H464">
        <f t="shared" ca="1" si="118"/>
        <v>0</v>
      </c>
      <c r="I464">
        <f t="shared" ca="1" si="119"/>
        <v>2</v>
      </c>
      <c r="J464">
        <f t="shared" ca="1" si="110"/>
        <v>0</v>
      </c>
      <c r="K464">
        <f ca="1">IF(OR($C464="S",$C464=0),0,MATCH(OFFSET($D464,0,$C464)+IF($C464&lt;&gt;1,1,COUNTIF(QCI!$A$13:$A$15,ORÇAMENTO!E464)),OFFSET($D464,1,$C464,ROW($C$508)-ROW($C464)),0))</f>
        <v>0</v>
      </c>
      <c r="L464" s="114" t="str">
        <f t="shared" ca="1" si="120"/>
        <v>F</v>
      </c>
      <c r="M464" s="115" t="s">
        <v>705</v>
      </c>
      <c r="N464" s="116" t="str">
        <f t="shared" ca="1" si="121"/>
        <v>Serviço</v>
      </c>
      <c r="O464" s="117" t="str">
        <f t="shared" ca="1" si="122"/>
        <v>1.9.5.0.2.</v>
      </c>
      <c r="P464" s="118" t="s">
        <v>957</v>
      </c>
      <c r="Q464" s="119" t="s">
        <v>1177</v>
      </c>
      <c r="R464" s="120" t="str">
        <f ca="1">IF($C464="S",REFERENCIA.Descricao,"(digite a descrição aqui)")</f>
        <v>UNIDADE DE DISCO RÍGIDO HD 8TB. REF.:HD WD PURPLE 8TB, 3.5', SATA - WD84PURZ- BASEADA EM CPOS (66.08.340)</v>
      </c>
      <c r="S464" s="121" t="str">
        <f ca="1">REFERENCIA.Unidade</f>
        <v>UN</v>
      </c>
      <c r="T464" s="122">
        <f ca="1">OFFSET(CÁLCULO!H$15,ROW($T464)-ROW(T$15),0)</f>
        <v>2</v>
      </c>
      <c r="U464" s="123">
        <f t="shared" ca="1" si="130"/>
        <v>1930.88</v>
      </c>
      <c r="V464" s="124" t="s">
        <v>663</v>
      </c>
      <c r="W464" s="122">
        <f ca="1">IF($C464="S",ROUND(IF(TIPOORCAMENTO="Proposto",ORÇAMENTO.CustoUnitario*(1+$AH464),ORÇAMENTO.PrecoUnitarioLicitado),15-13*$AF$10),0)</f>
        <v>2384.64</v>
      </c>
      <c r="X464" s="125" cm="1">
        <f t="array" aca="1" ref="X464" ca="1">IF($C464="S",IF(OR(Import.TipoArredondamento&lt;&gt;"TransfereGOV",ACOMPANHAMENTO="BM"),VTOTAL1,SUM(OFFSET(CÁLCULO!$AI$15,ROW($X464)-ROW($X$15),1):OFFSET(CÁLCULO!$BB$15,ROW($X464)-ROW($X$15),-1))),IF($C464=0,0,ROUND(SomaAgrup,15-13*$AF$11)))</f>
        <v>4769.28</v>
      </c>
      <c r="Y464" s="126" t="s">
        <v>751</v>
      </c>
      <c r="Z464" t="str">
        <f t="shared" ca="1" si="123"/>
        <v>RA</v>
      </c>
      <c r="AA464" s="127">
        <f ca="1">IF($C464="S",IF($Z464="CP",$X464,IF($Z464="RA",(($X464)*QCI!$AA$3),0)),SomaAgrup)</f>
        <v>0</v>
      </c>
      <c r="AB464" s="128">
        <f t="shared" ca="1" si="124"/>
        <v>0</v>
      </c>
      <c r="AC464" s="565" t="str" cm="1">
        <f t="array" aca="1" ref="AC464" ca="1">IF($N464=""," ",
IF(AND($C464&lt;&gt;"S",OR($R464="",$R464="(digite a descrição aqui)")),"DESCRIÇÃO",
IF(AND($C464="S",OR($Q464&lt;&gt;"",$T464&gt;0,$U464&gt;0),$P464=""),"FONTE",
IF(AND($C464="S",$P464&lt;&gt;"",OR($T464&gt;0,$U464&gt;0),$Q464=""),"CÓDIGO",
IF(AND($C464="S",$P464&lt;&gt;"",$Q464&lt;&gt;"",$R464="(Código não identificado nas referências)"),"CÓDIGO N/ID",
IF(AND($C464="S",OR($R464="",$R464="(digite a descrição aqui)"),OR($Q464&lt;&gt;"",$T464&gt;0,$U464&gt;0)),"DESCRIÇÃO",
IF(AND($C464="S",$P464&lt;&gt;"",$Q464&lt;&gt;"",$S464=""),"UNIDADE",
IF(AND($C464="S",$P464&lt;&gt;"",$Q464&lt;&gt;"",$U464=0),"SEM CUSTO",
IF(AND(_xlfn.SINGLE(TIPOORCAMENTO)="Licitado",$AL464=0,$AN464&gt;0),"SEM PREÇO",
IF(AND($C464="S",$P464&lt;&gt;"",$Q464&lt;&gt;"",$U464&gt;0,AND($V464&lt;&gt;"BDI 1",$V464&lt;&gt;"BDI 2",$V464&lt;&gt;"BDI 3")),IF(ISNUMBER($V464),"JUSTIFICAR BDI","BDI"),
IF(OR(AND(import.recurso="OGU",TIPOORCAMENTO="Proposto",LEFT($O$8,5)&lt;&gt;"(N/D:",$AG464&lt;&gt;"",ORÇAMENTO.CustoUnitario&gt;$AG464),AND(TIPOORCAMENTO="LICITADO",ORÇAMENTO.PrecoUnitarioLicitado&gt;$AN464)),"ACIMA REF.",
IF(AND($C464="S",$P464&lt;&gt;"",$Q464&lt;&gt;"",$T464=0,$U464&gt;0),"QUANT.",
IF(AND(Import.TipoArredondamento="TransfereGOV",$L464="F",$C464="S",LEN($Q464)&gt;13),"Código &gt;13",
IF(AND(Import.TipoArredondamento="TransfereGOV",$L464="F",$C464&lt;&gt;"S",LEN($R464)&gt;100),"Descrição &gt;100",
IF(AND(Import.TipoArredondamento="TransfereGOV",$L464="F",$C464="S",LEN($R464)&gt;500),"Descrição &gt;500",
IF(AND(Import.TipoArredondamento="TransfereGOV",$L464="F",$C464="S",LEFT(TRIM(UPPER($P464)),6)&lt;&gt;"SINAPI",ISNA(VLOOKUP(TRIM(UPPER($S464)),ListaTgov.Unidades,1,FALSE))),"Unid. Não Disp",
" "))))))))))))))))</f>
        <v xml:space="preserve"> </v>
      </c>
      <c r="AD464" t="str">
        <f ca="1">IF(C464&lt;=CRONO.NivelExibicao,MAX($AD$15:OFFSET(AD464,-1,0))+IF($C464&lt;&gt;1,1,MAX(1,COUNTIF(QCI!$A$13:$A$15,OFFSET($E464,-1,0)))),"")</f>
        <v/>
      </c>
      <c r="AE464" s="7" t="str">
        <f ca="1">IF(AND($C464="S",ORÇAMENTO.CodBarra&lt;&gt;""),IF(ORÇAMENTO.Fonte="",ORÇAMENTO.CodBarra,CONCATENATE(ORÇAMENTO.Fonte," ",ORÇAMENTO.CodBarra)))</f>
        <v>Composição CPU-047</v>
      </c>
      <c r="AF464" s="12">
        <f ca="1">IF(ISERROR(INDIRECT(ORÇAMENTO.BancoRef)),"(abra o arquivo 'Referência "&amp;Excel_BuiltIn_Database&amp;".xlsm)",IF(OR($C464&lt;&gt;"S",ORÇAMENTO.CodBarra=""),"(Sem Código)",IF(ISERROR(MATCH($AE464,INDIRECT(ORÇAMENTO.BancoRef),0)),"(Código não identificado nas referências)",MATCH($AE464,INDIRECT(ORÇAMENTO.BancoRef),0))))</f>
        <v>49</v>
      </c>
      <c r="AG464" s="428">
        <f ca="1">ROUND(IF(DESONERACAO="sim",REFERENCIA.Desonerado,REFERENCIA.NaoDesonerado),2)</f>
        <v>1930.88</v>
      </c>
      <c r="AH464" s="429">
        <f t="shared" ca="1" si="125"/>
        <v>0.23499999999999999</v>
      </c>
      <c r="AJ464" s="431">
        <v>2</v>
      </c>
      <c r="AL464" s="439"/>
      <c r="AM464" s="336">
        <f t="shared" ca="1" si="109"/>
        <v>4769.28</v>
      </c>
      <c r="AN464" s="470">
        <f t="shared" ca="1" si="126"/>
        <v>2384.64</v>
      </c>
    </row>
    <row r="465" spans="1:40" ht="25.5" x14ac:dyDescent="0.2">
      <c r="A465" t="str">
        <f t="shared" si="112"/>
        <v>S</v>
      </c>
      <c r="B465">
        <f t="shared" ca="1" si="113"/>
        <v>3</v>
      </c>
      <c r="C465" t="str">
        <f t="shared" ca="1" si="114"/>
        <v>S</v>
      </c>
      <c r="D465">
        <f t="shared" ca="1" si="115"/>
        <v>0</v>
      </c>
      <c r="E465">
        <f ca="1">IF($C465=1,OFFSET(E465,-1,0)+MAX(1,COUNTIF(QCI!$A$13:$A$15,OFFSET(ORÇAMENTO!E465,-1,0))),OFFSET(E465,-1,0))</f>
        <v>1</v>
      </c>
      <c r="F465">
        <f t="shared" ca="1" si="116"/>
        <v>9</v>
      </c>
      <c r="G465">
        <f t="shared" ca="1" si="117"/>
        <v>5</v>
      </c>
      <c r="H465">
        <f t="shared" ca="1" si="118"/>
        <v>0</v>
      </c>
      <c r="I465">
        <f t="shared" ca="1" si="119"/>
        <v>3</v>
      </c>
      <c r="J465">
        <f t="shared" ca="1" si="110"/>
        <v>0</v>
      </c>
      <c r="K465">
        <f ca="1">IF(OR($C465="S",$C465=0),0,MATCH(OFFSET($D465,0,$C465)+IF($C465&lt;&gt;1,1,COUNTIF(QCI!$A$13:$A$15,ORÇAMENTO!E465)),OFFSET($D465,1,$C465,ROW($C$508)-ROW($C465)),0))</f>
        <v>0</v>
      </c>
      <c r="L465" s="114" t="str">
        <f t="shared" ca="1" si="120"/>
        <v>F</v>
      </c>
      <c r="M465" s="115" t="s">
        <v>705</v>
      </c>
      <c r="N465" s="116" t="str">
        <f t="shared" ca="1" si="121"/>
        <v>Serviço</v>
      </c>
      <c r="O465" s="117" t="str">
        <f t="shared" ca="1" si="122"/>
        <v>1.9.5.0.3.</v>
      </c>
      <c r="P465" s="118" t="s">
        <v>957</v>
      </c>
      <c r="Q465" s="119" t="s">
        <v>1178</v>
      </c>
      <c r="R465" s="120" t="str">
        <f ca="1">IF($C465="S",REFERENCIA.Descricao,"(digite a descrição aqui)")</f>
        <v>CONVERSOR DE MIDIA 10/100BASE TX (RJ45) PARA FIBRA OTICA 100 - BASEADO EM SBC (079156)</v>
      </c>
      <c r="S465" s="121" t="str">
        <f ca="1">REFERENCIA.Unidade</f>
        <v>UN</v>
      </c>
      <c r="T465" s="122">
        <f ca="1">OFFSET(CÁLCULO!H$15,ROW($T465)-ROW(T$15),0)</f>
        <v>6</v>
      </c>
      <c r="U465" s="123">
        <f t="shared" ca="1" si="130"/>
        <v>1791.09</v>
      </c>
      <c r="V465" s="124" t="s">
        <v>663</v>
      </c>
      <c r="W465" s="122">
        <f ca="1">IF($C465="S",ROUND(IF(TIPOORCAMENTO="Proposto",ORÇAMENTO.CustoUnitario*(1+$AH465),ORÇAMENTO.PrecoUnitarioLicitado),15-13*$AF$10),0)</f>
        <v>2212</v>
      </c>
      <c r="X465" s="125" cm="1">
        <f t="array" aca="1" ref="X465" ca="1">IF($C465="S",IF(OR(Import.TipoArredondamento&lt;&gt;"TransfereGOV",ACOMPANHAMENTO="BM"),VTOTAL1,SUM(OFFSET(CÁLCULO!$AI$15,ROW($X465)-ROW($X$15),1):OFFSET(CÁLCULO!$BB$15,ROW($X465)-ROW($X$15),-1))),IF($C465=0,0,ROUND(SomaAgrup,15-13*$AF$11)))</f>
        <v>13272</v>
      </c>
      <c r="Y465" s="126" t="s">
        <v>751</v>
      </c>
      <c r="Z465" t="str">
        <f t="shared" ca="1" si="123"/>
        <v>RA</v>
      </c>
      <c r="AA465" s="127">
        <f ca="1">IF($C465="S",IF($Z465="CP",$X465,IF($Z465="RA",(($X465)*QCI!$AA$3),0)),SomaAgrup)</f>
        <v>0</v>
      </c>
      <c r="AB465" s="128">
        <f t="shared" ca="1" si="124"/>
        <v>0</v>
      </c>
      <c r="AC465" s="565" t="str" cm="1">
        <f t="array" aca="1" ref="AC465" ca="1">IF($N465=""," ",
IF(AND($C465&lt;&gt;"S",OR($R465="",$R465="(digite a descrição aqui)")),"DESCRIÇÃO",
IF(AND($C465="S",OR($Q465&lt;&gt;"",$T465&gt;0,$U465&gt;0),$P465=""),"FONTE",
IF(AND($C465="S",$P465&lt;&gt;"",OR($T465&gt;0,$U465&gt;0),$Q465=""),"CÓDIGO",
IF(AND($C465="S",$P465&lt;&gt;"",$Q465&lt;&gt;"",$R465="(Código não identificado nas referências)"),"CÓDIGO N/ID",
IF(AND($C465="S",OR($R465="",$R465="(digite a descrição aqui)"),OR($Q465&lt;&gt;"",$T465&gt;0,$U465&gt;0)),"DESCRIÇÃO",
IF(AND($C465="S",$P465&lt;&gt;"",$Q465&lt;&gt;"",$S465=""),"UNIDADE",
IF(AND($C465="S",$P465&lt;&gt;"",$Q465&lt;&gt;"",$U465=0),"SEM CUSTO",
IF(AND(_xlfn.SINGLE(TIPOORCAMENTO)="Licitado",$AL465=0,$AN465&gt;0),"SEM PREÇO",
IF(AND($C465="S",$P465&lt;&gt;"",$Q465&lt;&gt;"",$U465&gt;0,AND($V465&lt;&gt;"BDI 1",$V465&lt;&gt;"BDI 2",$V465&lt;&gt;"BDI 3")),IF(ISNUMBER($V465),"JUSTIFICAR BDI","BDI"),
IF(OR(AND(import.recurso="OGU",TIPOORCAMENTO="Proposto",LEFT($O$8,5)&lt;&gt;"(N/D:",$AG465&lt;&gt;"",ORÇAMENTO.CustoUnitario&gt;$AG465),AND(TIPOORCAMENTO="LICITADO",ORÇAMENTO.PrecoUnitarioLicitado&gt;$AN465)),"ACIMA REF.",
IF(AND($C465="S",$P465&lt;&gt;"",$Q465&lt;&gt;"",$T465=0,$U465&gt;0),"QUANT.",
IF(AND(Import.TipoArredondamento="TransfereGOV",$L465="F",$C465="S",LEN($Q465)&gt;13),"Código &gt;13",
IF(AND(Import.TipoArredondamento="TransfereGOV",$L465="F",$C465&lt;&gt;"S",LEN($R465)&gt;100),"Descrição &gt;100",
IF(AND(Import.TipoArredondamento="TransfereGOV",$L465="F",$C465="S",LEN($R465)&gt;500),"Descrição &gt;500",
IF(AND(Import.TipoArredondamento="TransfereGOV",$L465="F",$C465="S",LEFT(TRIM(UPPER($P465)),6)&lt;&gt;"SINAPI",ISNA(VLOOKUP(TRIM(UPPER($S465)),ListaTgov.Unidades,1,FALSE))),"Unid. Não Disp",
" "))))))))))))))))</f>
        <v xml:space="preserve"> </v>
      </c>
      <c r="AD465" t="str">
        <f ca="1">IF(C465&lt;=CRONO.NivelExibicao,MAX($AD$15:OFFSET(AD465,-1,0))+IF($C465&lt;&gt;1,1,MAX(1,COUNTIF(QCI!$A$13:$A$15,OFFSET($E465,-1,0)))),"")</f>
        <v/>
      </c>
      <c r="AE465" s="7" t="str">
        <f ca="1">IF(AND($C465="S",ORÇAMENTO.CodBarra&lt;&gt;""),IF(ORÇAMENTO.Fonte="",ORÇAMENTO.CodBarra,CONCATENATE(ORÇAMENTO.Fonte," ",ORÇAMENTO.CodBarra)))</f>
        <v>Composição CPU-051</v>
      </c>
      <c r="AF465" s="12">
        <f ca="1">IF(ISERROR(INDIRECT(ORÇAMENTO.BancoRef)),"(abra o arquivo 'Referência "&amp;Excel_BuiltIn_Database&amp;".xlsm)",IF(OR($C465&lt;&gt;"S",ORÇAMENTO.CodBarra=""),"(Sem Código)",IF(ISERROR(MATCH($AE465,INDIRECT(ORÇAMENTO.BancoRef),0)),"(Código não identificado nas referências)",MATCH($AE465,INDIRECT(ORÇAMENTO.BancoRef),0))))</f>
        <v>53</v>
      </c>
      <c r="AG465" s="428">
        <f ca="1">ROUND(IF(DESONERACAO="sim",REFERENCIA.Desonerado,REFERENCIA.NaoDesonerado),2)</f>
        <v>1791.09</v>
      </c>
      <c r="AH465" s="429">
        <f t="shared" ca="1" si="125"/>
        <v>0.23499999999999999</v>
      </c>
      <c r="AJ465" s="431">
        <v>6</v>
      </c>
      <c r="AL465" s="439"/>
      <c r="AM465" s="336">
        <f t="shared" ca="1" si="109"/>
        <v>13272</v>
      </c>
      <c r="AN465" s="470">
        <f t="shared" ca="1" si="126"/>
        <v>2212</v>
      </c>
    </row>
    <row r="466" spans="1:40" ht="25.5" x14ac:dyDescent="0.2">
      <c r="A466" t="str">
        <f t="shared" si="112"/>
        <v>S</v>
      </c>
      <c r="B466">
        <f t="shared" ca="1" si="113"/>
        <v>3</v>
      </c>
      <c r="C466" t="str">
        <f t="shared" ca="1" si="114"/>
        <v>S</v>
      </c>
      <c r="D466">
        <f t="shared" ca="1" si="115"/>
        <v>0</v>
      </c>
      <c r="E466">
        <f ca="1">IF($C466=1,OFFSET(E466,-1,0)+MAX(1,COUNTIF(QCI!$A$13:$A$15,OFFSET(ORÇAMENTO!E466,-1,0))),OFFSET(E466,-1,0))</f>
        <v>1</v>
      </c>
      <c r="F466">
        <f t="shared" ca="1" si="116"/>
        <v>9</v>
      </c>
      <c r="G466">
        <f t="shared" ca="1" si="117"/>
        <v>5</v>
      </c>
      <c r="H466">
        <f t="shared" ca="1" si="118"/>
        <v>0</v>
      </c>
      <c r="I466">
        <f t="shared" ca="1" si="119"/>
        <v>4</v>
      </c>
      <c r="J466">
        <f t="shared" ca="1" si="110"/>
        <v>0</v>
      </c>
      <c r="K466">
        <f ca="1">IF(OR($C466="S",$C466=0),0,MATCH(OFFSET($D466,0,$C466)+IF($C466&lt;&gt;1,1,COUNTIF(QCI!$A$13:$A$15,ORÇAMENTO!E466)),OFFSET($D466,1,$C466,ROW($C$508)-ROW($C466)),0))</f>
        <v>0</v>
      </c>
      <c r="L466" s="114" t="str">
        <f t="shared" ca="1" si="120"/>
        <v>F</v>
      </c>
      <c r="M466" s="115" t="s">
        <v>705</v>
      </c>
      <c r="N466" s="116" t="str">
        <f t="shared" ca="1" si="121"/>
        <v>Serviço</v>
      </c>
      <c r="O466" s="117" t="str">
        <f t="shared" ca="1" si="122"/>
        <v>1.9.5.0.4.</v>
      </c>
      <c r="P466" s="118" t="s">
        <v>957</v>
      </c>
      <c r="Q466" s="119" t="s">
        <v>1179</v>
      </c>
      <c r="R466" s="120" t="str">
        <f ca="1">IF($C466="S",REFERENCIA.Descricao,"(digite a descrição aqui)")</f>
        <v>FORNECIMENTO E INSTALAÇÃO DE NOBREAK 1200VA 6 TOMADAS BIVOLT- BASEADO EM IOPES (160866)</v>
      </c>
      <c r="S466" s="121" t="str">
        <f ca="1">REFERENCIA.Unidade</f>
        <v>UN</v>
      </c>
      <c r="T466" s="122">
        <f ca="1">OFFSET(CÁLCULO!H$15,ROW($T466)-ROW(T$15),0)</f>
        <v>3</v>
      </c>
      <c r="U466" s="123">
        <f t="shared" ca="1" si="130"/>
        <v>919.71</v>
      </c>
      <c r="V466" s="124" t="s">
        <v>663</v>
      </c>
      <c r="W466" s="122">
        <f ca="1">IF($C466="S",ROUND(IF(TIPOORCAMENTO="Proposto",ORÇAMENTO.CustoUnitario*(1+$AH466),ORÇAMENTO.PrecoUnitarioLicitado),15-13*$AF$10),0)</f>
        <v>1135.8399999999999</v>
      </c>
      <c r="X466" s="125" cm="1">
        <f t="array" aca="1" ref="X466" ca="1">IF($C466="S",IF(OR(Import.TipoArredondamento&lt;&gt;"TransfereGOV",ACOMPANHAMENTO="BM"),VTOTAL1,SUM(OFFSET(CÁLCULO!$AI$15,ROW($X466)-ROW($X$15),1):OFFSET(CÁLCULO!$BB$15,ROW($X466)-ROW($X$15),-1))),IF($C466=0,0,ROUND(SomaAgrup,15-13*$AF$11)))</f>
        <v>3407.52</v>
      </c>
      <c r="Y466" s="126" t="s">
        <v>751</v>
      </c>
      <c r="Z466" t="str">
        <f t="shared" ca="1" si="123"/>
        <v>RA</v>
      </c>
      <c r="AA466" s="127">
        <f ca="1">IF($C466="S",IF($Z466="CP",$X466,IF($Z466="RA",(($X466)*QCI!$AA$3),0)),SomaAgrup)</f>
        <v>0</v>
      </c>
      <c r="AB466" s="128">
        <f t="shared" ca="1" si="124"/>
        <v>0</v>
      </c>
      <c r="AC466" s="565" t="str" cm="1">
        <f t="array" aca="1" ref="AC466" ca="1">IF($N466=""," ",
IF(AND($C466&lt;&gt;"S",OR($R466="",$R466="(digite a descrição aqui)")),"DESCRIÇÃO",
IF(AND($C466="S",OR($Q466&lt;&gt;"",$T466&gt;0,$U466&gt;0),$P466=""),"FONTE",
IF(AND($C466="S",$P466&lt;&gt;"",OR($T466&gt;0,$U466&gt;0),$Q466=""),"CÓDIGO",
IF(AND($C466="S",$P466&lt;&gt;"",$Q466&lt;&gt;"",$R466="(Código não identificado nas referências)"),"CÓDIGO N/ID",
IF(AND($C466="S",OR($R466="",$R466="(digite a descrição aqui)"),OR($Q466&lt;&gt;"",$T466&gt;0,$U466&gt;0)),"DESCRIÇÃO",
IF(AND($C466="S",$P466&lt;&gt;"",$Q466&lt;&gt;"",$S466=""),"UNIDADE",
IF(AND($C466="S",$P466&lt;&gt;"",$Q466&lt;&gt;"",$U466=0),"SEM CUSTO",
IF(AND(_xlfn.SINGLE(TIPOORCAMENTO)="Licitado",$AL466=0,$AN466&gt;0),"SEM PREÇO",
IF(AND($C466="S",$P466&lt;&gt;"",$Q466&lt;&gt;"",$U466&gt;0,AND($V466&lt;&gt;"BDI 1",$V466&lt;&gt;"BDI 2",$V466&lt;&gt;"BDI 3")),IF(ISNUMBER($V466),"JUSTIFICAR BDI","BDI"),
IF(OR(AND(import.recurso="OGU",TIPOORCAMENTO="Proposto",LEFT($O$8,5)&lt;&gt;"(N/D:",$AG466&lt;&gt;"",ORÇAMENTO.CustoUnitario&gt;$AG466),AND(TIPOORCAMENTO="LICITADO",ORÇAMENTO.PrecoUnitarioLicitado&gt;$AN466)),"ACIMA REF.",
IF(AND($C466="S",$P466&lt;&gt;"",$Q466&lt;&gt;"",$T466=0,$U466&gt;0),"QUANT.",
IF(AND(Import.TipoArredondamento="TransfereGOV",$L466="F",$C466="S",LEN($Q466)&gt;13),"Código &gt;13",
IF(AND(Import.TipoArredondamento="TransfereGOV",$L466="F",$C466&lt;&gt;"S",LEN($R466)&gt;100),"Descrição &gt;100",
IF(AND(Import.TipoArredondamento="TransfereGOV",$L466="F",$C466="S",LEN($R466)&gt;500),"Descrição &gt;500",
IF(AND(Import.TipoArredondamento="TransfereGOV",$L466="F",$C466="S",LEFT(TRIM(UPPER($P466)),6)&lt;&gt;"SINAPI",ISNA(VLOOKUP(TRIM(UPPER($S466)),ListaTgov.Unidades,1,FALSE))),"Unid. Não Disp",
" "))))))))))))))))</f>
        <v xml:space="preserve"> </v>
      </c>
      <c r="AD466" t="str">
        <f ca="1">IF(C466&lt;=CRONO.NivelExibicao,MAX($AD$15:OFFSET(AD466,-1,0))+IF($C466&lt;&gt;1,1,MAX(1,COUNTIF(QCI!$A$13:$A$15,OFFSET($E466,-1,0)))),"")</f>
        <v/>
      </c>
      <c r="AE466" s="7" t="str">
        <f ca="1">IF(AND($C466="S",ORÇAMENTO.CodBarra&lt;&gt;""),IF(ORÇAMENTO.Fonte="",ORÇAMENTO.CodBarra,CONCATENATE(ORÇAMENTO.Fonte," ",ORÇAMENTO.CodBarra)))</f>
        <v>Composição CPU-048</v>
      </c>
      <c r="AF466" s="12">
        <f ca="1">IF(ISERROR(INDIRECT(ORÇAMENTO.BancoRef)),"(abra o arquivo 'Referência "&amp;Excel_BuiltIn_Database&amp;".xlsm)",IF(OR($C466&lt;&gt;"S",ORÇAMENTO.CodBarra=""),"(Sem Código)",IF(ISERROR(MATCH($AE466,INDIRECT(ORÇAMENTO.BancoRef),0)),"(Código não identificado nas referências)",MATCH($AE466,INDIRECT(ORÇAMENTO.BancoRef),0))))</f>
        <v>50</v>
      </c>
      <c r="AG466" s="428">
        <f ca="1">ROUND(IF(DESONERACAO="sim",REFERENCIA.Desonerado,REFERENCIA.NaoDesonerado),2)</f>
        <v>919.71</v>
      </c>
      <c r="AH466" s="429">
        <f t="shared" ca="1" si="125"/>
        <v>0.23499999999999999</v>
      </c>
      <c r="AJ466" s="431">
        <v>3</v>
      </c>
      <c r="AL466" s="439"/>
      <c r="AM466" s="336">
        <f t="shared" ref="AM466:AM507" ca="1" si="131">$X466</f>
        <v>3407.52</v>
      </c>
      <c r="AN466" s="470">
        <f t="shared" ca="1" si="126"/>
        <v>1135.8399999999999</v>
      </c>
    </row>
    <row r="467" spans="1:40" ht="38.25" x14ac:dyDescent="0.2">
      <c r="A467" t="str">
        <f t="shared" si="112"/>
        <v>S</v>
      </c>
      <c r="B467">
        <f t="shared" ca="1" si="113"/>
        <v>3</v>
      </c>
      <c r="C467" t="str">
        <f t="shared" ca="1" si="114"/>
        <v>S</v>
      </c>
      <c r="D467">
        <f t="shared" ca="1" si="115"/>
        <v>0</v>
      </c>
      <c r="E467">
        <f ca="1">IF($C467=1,OFFSET(E467,-1,0)+MAX(1,COUNTIF(QCI!$A$13:$A$15,OFFSET(ORÇAMENTO!E467,-1,0))),OFFSET(E467,-1,0))</f>
        <v>1</v>
      </c>
      <c r="F467">
        <f t="shared" ca="1" si="116"/>
        <v>9</v>
      </c>
      <c r="G467">
        <f t="shared" ca="1" si="117"/>
        <v>5</v>
      </c>
      <c r="H467">
        <f t="shared" ca="1" si="118"/>
        <v>0</v>
      </c>
      <c r="I467">
        <f t="shared" ca="1" si="119"/>
        <v>5</v>
      </c>
      <c r="J467">
        <f t="shared" ca="1" si="110"/>
        <v>0</v>
      </c>
      <c r="K467">
        <f ca="1">IF(OR($C467="S",$C467=0),0,MATCH(OFFSET($D467,0,$C467)+IF($C467&lt;&gt;1,1,COUNTIF(QCI!$A$13:$A$15,ORÇAMENTO!E467)),OFFSET($D467,1,$C467,ROW($C$508)-ROW($C467)),0))</f>
        <v>0</v>
      </c>
      <c r="L467" s="114" t="str">
        <f t="shared" ca="1" si="120"/>
        <v>F</v>
      </c>
      <c r="M467" s="115" t="s">
        <v>705</v>
      </c>
      <c r="N467" s="116" t="str">
        <f t="shared" ca="1" si="121"/>
        <v>Serviço</v>
      </c>
      <c r="O467" s="117" t="str">
        <f t="shared" ca="1" si="122"/>
        <v>1.9.5.0.5.</v>
      </c>
      <c r="P467" s="118" t="s">
        <v>957</v>
      </c>
      <c r="Q467" s="119" t="s">
        <v>1180</v>
      </c>
      <c r="R467" s="120" t="str">
        <f ca="1">IF($C467="S",REFERENCIA.Descricao,"(digite a descrição aqui)")</f>
        <v>SWITCH GERENCIAVEL 24 PORTAS GIGA + 4 PORTAS SFP 1000 BASE-X POE S2328G - INTELBRAS OU SIMILAR - BASEADO EM CPOS/CDHU (66.20.225)</v>
      </c>
      <c r="S467" s="121" t="str">
        <f ca="1">REFERENCIA.Unidade</f>
        <v>UN</v>
      </c>
      <c r="T467" s="122">
        <f ca="1">OFFSET(CÁLCULO!H$15,ROW($T467)-ROW(T$15),0)</f>
        <v>2</v>
      </c>
      <c r="U467" s="123">
        <f t="shared" ca="1" si="130"/>
        <v>4050.72</v>
      </c>
      <c r="V467" s="124" t="s">
        <v>663</v>
      </c>
      <c r="W467" s="122">
        <f ca="1">IF($C467="S",ROUND(IF(TIPOORCAMENTO="Proposto",ORÇAMENTO.CustoUnitario*(1+$AH467),ORÇAMENTO.PrecoUnitarioLicitado),15-13*$AF$10),0)</f>
        <v>5002.6400000000003</v>
      </c>
      <c r="X467" s="125" cm="1">
        <f t="array" aca="1" ref="X467" ca="1">IF($C467="S",IF(OR(Import.TipoArredondamento&lt;&gt;"TransfereGOV",ACOMPANHAMENTO="BM"),VTOTAL1,SUM(OFFSET(CÁLCULO!$AI$15,ROW($X467)-ROW($X$15),1):OFFSET(CÁLCULO!$BB$15,ROW($X467)-ROW($X$15),-1))),IF($C467=0,0,ROUND(SomaAgrup,15-13*$AF$11)))</f>
        <v>10005.280000000001</v>
      </c>
      <c r="Y467" s="126" t="s">
        <v>751</v>
      </c>
      <c r="Z467" t="str">
        <f t="shared" ca="1" si="123"/>
        <v>RA</v>
      </c>
      <c r="AA467" s="127">
        <f ca="1">IF($C467="S",IF($Z467="CP",$X467,IF($Z467="RA",(($X467)*QCI!$AA$3),0)),SomaAgrup)</f>
        <v>0</v>
      </c>
      <c r="AB467" s="128">
        <f t="shared" ca="1" si="124"/>
        <v>0</v>
      </c>
      <c r="AC467" s="565" t="str" cm="1">
        <f t="array" aca="1" ref="AC467" ca="1">IF($N467=""," ",
IF(AND($C467&lt;&gt;"S",OR($R467="",$R467="(digite a descrição aqui)")),"DESCRIÇÃO",
IF(AND($C467="S",OR($Q467&lt;&gt;"",$T467&gt;0,$U467&gt;0),$P467=""),"FONTE",
IF(AND($C467="S",$P467&lt;&gt;"",OR($T467&gt;0,$U467&gt;0),$Q467=""),"CÓDIGO",
IF(AND($C467="S",$P467&lt;&gt;"",$Q467&lt;&gt;"",$R467="(Código não identificado nas referências)"),"CÓDIGO N/ID",
IF(AND($C467="S",OR($R467="",$R467="(digite a descrição aqui)"),OR($Q467&lt;&gt;"",$T467&gt;0,$U467&gt;0)),"DESCRIÇÃO",
IF(AND($C467="S",$P467&lt;&gt;"",$Q467&lt;&gt;"",$S467=""),"UNIDADE",
IF(AND($C467="S",$P467&lt;&gt;"",$Q467&lt;&gt;"",$U467=0),"SEM CUSTO",
IF(AND(_xlfn.SINGLE(TIPOORCAMENTO)="Licitado",$AL467=0,$AN467&gt;0),"SEM PREÇO",
IF(AND($C467="S",$P467&lt;&gt;"",$Q467&lt;&gt;"",$U467&gt;0,AND($V467&lt;&gt;"BDI 1",$V467&lt;&gt;"BDI 2",$V467&lt;&gt;"BDI 3")),IF(ISNUMBER($V467),"JUSTIFICAR BDI","BDI"),
IF(OR(AND(import.recurso="OGU",TIPOORCAMENTO="Proposto",LEFT($O$8,5)&lt;&gt;"(N/D:",$AG467&lt;&gt;"",ORÇAMENTO.CustoUnitario&gt;$AG467),AND(TIPOORCAMENTO="LICITADO",ORÇAMENTO.PrecoUnitarioLicitado&gt;$AN467)),"ACIMA REF.",
IF(AND($C467="S",$P467&lt;&gt;"",$Q467&lt;&gt;"",$T467=0,$U467&gt;0),"QUANT.",
IF(AND(Import.TipoArredondamento="TransfereGOV",$L467="F",$C467="S",LEN($Q467)&gt;13),"Código &gt;13",
IF(AND(Import.TipoArredondamento="TransfereGOV",$L467="F",$C467&lt;&gt;"S",LEN($R467)&gt;100),"Descrição &gt;100",
IF(AND(Import.TipoArredondamento="TransfereGOV",$L467="F",$C467="S",LEN($R467)&gt;500),"Descrição &gt;500",
IF(AND(Import.TipoArredondamento="TransfereGOV",$L467="F",$C467="S",LEFT(TRIM(UPPER($P467)),6)&lt;&gt;"SINAPI",ISNA(VLOOKUP(TRIM(UPPER($S467)),ListaTgov.Unidades,1,FALSE))),"Unid. Não Disp",
" "))))))))))))))))</f>
        <v xml:space="preserve"> </v>
      </c>
      <c r="AD467" t="str">
        <f ca="1">IF(C467&lt;=CRONO.NivelExibicao,MAX($AD$15:OFFSET(AD467,-1,0))+IF($C467&lt;&gt;1,1,MAX(1,COUNTIF(QCI!$A$13:$A$15,OFFSET($E467,-1,0)))),"")</f>
        <v/>
      </c>
      <c r="AE467" s="7" t="str">
        <f ca="1">IF(AND($C467="S",ORÇAMENTO.CodBarra&lt;&gt;""),IF(ORÇAMENTO.Fonte="",ORÇAMENTO.CodBarra,CONCATENATE(ORÇAMENTO.Fonte," ",ORÇAMENTO.CodBarra)))</f>
        <v>Composição CPU-053</v>
      </c>
      <c r="AF467" s="12">
        <f ca="1">IF(ISERROR(INDIRECT(ORÇAMENTO.BancoRef)),"(abra o arquivo 'Referência "&amp;Excel_BuiltIn_Database&amp;".xlsm)",IF(OR($C467&lt;&gt;"S",ORÇAMENTO.CodBarra=""),"(Sem Código)",IF(ISERROR(MATCH($AE467,INDIRECT(ORÇAMENTO.BancoRef),0)),"(Código não identificado nas referências)",MATCH($AE467,INDIRECT(ORÇAMENTO.BancoRef),0))))</f>
        <v>55</v>
      </c>
      <c r="AG467" s="428">
        <f ca="1">ROUND(IF(DESONERACAO="sim",REFERENCIA.Desonerado,REFERENCIA.NaoDesonerado),2)</f>
        <v>4050.72</v>
      </c>
      <c r="AH467" s="429">
        <f t="shared" ca="1" si="125"/>
        <v>0.23499999999999999</v>
      </c>
      <c r="AJ467" s="431">
        <v>2</v>
      </c>
      <c r="AL467" s="439"/>
      <c r="AM467" s="336">
        <f t="shared" ca="1" si="131"/>
        <v>10005.280000000001</v>
      </c>
      <c r="AN467" s="470">
        <f t="shared" ca="1" si="126"/>
        <v>5002.6400000000003</v>
      </c>
    </row>
    <row r="468" spans="1:40" ht="25.5" x14ac:dyDescent="0.2">
      <c r="A468" t="str">
        <f t="shared" si="112"/>
        <v>S</v>
      </c>
      <c r="B468">
        <f t="shared" ca="1" si="113"/>
        <v>3</v>
      </c>
      <c r="C468" t="str">
        <f t="shared" ca="1" si="114"/>
        <v>S</v>
      </c>
      <c r="D468">
        <f t="shared" ca="1" si="115"/>
        <v>0</v>
      </c>
      <c r="E468">
        <f ca="1">IF($C468=1,OFFSET(E468,-1,0)+MAX(1,COUNTIF(QCI!$A$13:$A$15,OFFSET(ORÇAMENTO!E468,-1,0))),OFFSET(E468,-1,0))</f>
        <v>1</v>
      </c>
      <c r="F468">
        <f t="shared" ca="1" si="116"/>
        <v>9</v>
      </c>
      <c r="G468">
        <f t="shared" ca="1" si="117"/>
        <v>5</v>
      </c>
      <c r="H468">
        <f t="shared" ca="1" si="118"/>
        <v>0</v>
      </c>
      <c r="I468">
        <f t="shared" ca="1" si="119"/>
        <v>6</v>
      </c>
      <c r="J468">
        <f t="shared" ca="1" si="110"/>
        <v>0</v>
      </c>
      <c r="K468">
        <f ca="1">IF(OR($C468="S",$C468=0),0,MATCH(OFFSET($D468,0,$C468)+IF($C468&lt;&gt;1,1,COUNTIF(QCI!$A$13:$A$15,ORÇAMENTO!E468)),OFFSET($D468,1,$C468,ROW($C$508)-ROW($C468)),0))</f>
        <v>0</v>
      </c>
      <c r="L468" s="114" t="str">
        <f t="shared" ca="1" si="120"/>
        <v>F</v>
      </c>
      <c r="M468" s="115" t="s">
        <v>705</v>
      </c>
      <c r="N468" s="116" t="str">
        <f t="shared" ca="1" si="121"/>
        <v>Serviço</v>
      </c>
      <c r="O468" s="117" t="str">
        <f t="shared" ca="1" si="122"/>
        <v>1.9.5.0.6.</v>
      </c>
      <c r="P468" s="118" t="s">
        <v>957</v>
      </c>
      <c r="Q468" s="119" t="s">
        <v>1181</v>
      </c>
      <c r="R468" s="120" t="str">
        <f ca="1">IF($C468="S",REFERENCIA.Descricao,"(digite a descrição aqui)")</f>
        <v>Switch POE 9 portas Fast10/100 (8 PORTAS POE+) TL-SF1009P - BASEADO EM SBC (059332)</v>
      </c>
      <c r="S468" s="121" t="str">
        <f ca="1">REFERENCIA.Unidade</f>
        <v>UN</v>
      </c>
      <c r="T468" s="122">
        <f ca="1">OFFSET(CÁLCULO!H$15,ROW($T468)-ROW(T$15),0)</f>
        <v>3</v>
      </c>
      <c r="U468" s="123">
        <f t="shared" ca="1" si="130"/>
        <v>344.69</v>
      </c>
      <c r="V468" s="124" t="s">
        <v>663</v>
      </c>
      <c r="W468" s="122">
        <f ca="1">IF($C468="S",ROUND(IF(TIPOORCAMENTO="Proposto",ORÇAMENTO.CustoUnitario*(1+$AH468),ORÇAMENTO.PrecoUnitarioLicitado),15-13*$AF$10),0)</f>
        <v>425.69</v>
      </c>
      <c r="X468" s="125" cm="1">
        <f t="array" aca="1" ref="X468" ca="1">IF($C468="S",IF(OR(Import.TipoArredondamento&lt;&gt;"TransfereGOV",ACOMPANHAMENTO="BM"),VTOTAL1,SUM(OFFSET(CÁLCULO!$AI$15,ROW($X468)-ROW($X$15),1):OFFSET(CÁLCULO!$BB$15,ROW($X468)-ROW($X$15),-1))),IF($C468=0,0,ROUND(SomaAgrup,15-13*$AF$11)))</f>
        <v>1277.07</v>
      </c>
      <c r="Y468" s="126" t="s">
        <v>751</v>
      </c>
      <c r="Z468" t="str">
        <f t="shared" ca="1" si="123"/>
        <v>RA</v>
      </c>
      <c r="AA468" s="127">
        <f ca="1">IF($C468="S",IF($Z468="CP",$X468,IF($Z468="RA",(($X468)*QCI!$AA$3),0)),SomaAgrup)</f>
        <v>0</v>
      </c>
      <c r="AB468" s="128">
        <f t="shared" ca="1" si="124"/>
        <v>0</v>
      </c>
      <c r="AC468" s="565" t="str" cm="1">
        <f t="array" aca="1" ref="AC468" ca="1">IF($N468=""," ",
IF(AND($C468&lt;&gt;"S",OR($R468="",$R468="(digite a descrição aqui)")),"DESCRIÇÃO",
IF(AND($C468="S",OR($Q468&lt;&gt;"",$T468&gt;0,$U468&gt;0),$P468=""),"FONTE",
IF(AND($C468="S",$P468&lt;&gt;"",OR($T468&gt;0,$U468&gt;0),$Q468=""),"CÓDIGO",
IF(AND($C468="S",$P468&lt;&gt;"",$Q468&lt;&gt;"",$R468="(Código não identificado nas referências)"),"CÓDIGO N/ID",
IF(AND($C468="S",OR($R468="",$R468="(digite a descrição aqui)"),OR($Q468&lt;&gt;"",$T468&gt;0,$U468&gt;0)),"DESCRIÇÃO",
IF(AND($C468="S",$P468&lt;&gt;"",$Q468&lt;&gt;"",$S468=""),"UNIDADE",
IF(AND($C468="S",$P468&lt;&gt;"",$Q468&lt;&gt;"",$U468=0),"SEM CUSTO",
IF(AND(_xlfn.SINGLE(TIPOORCAMENTO)="Licitado",$AL468=0,$AN468&gt;0),"SEM PREÇO",
IF(AND($C468="S",$P468&lt;&gt;"",$Q468&lt;&gt;"",$U468&gt;0,AND($V468&lt;&gt;"BDI 1",$V468&lt;&gt;"BDI 2",$V468&lt;&gt;"BDI 3")),IF(ISNUMBER($V468),"JUSTIFICAR BDI","BDI"),
IF(OR(AND(import.recurso="OGU",TIPOORCAMENTO="Proposto",LEFT($O$8,5)&lt;&gt;"(N/D:",$AG468&lt;&gt;"",ORÇAMENTO.CustoUnitario&gt;$AG468),AND(TIPOORCAMENTO="LICITADO",ORÇAMENTO.PrecoUnitarioLicitado&gt;$AN468)),"ACIMA REF.",
IF(AND($C468="S",$P468&lt;&gt;"",$Q468&lt;&gt;"",$T468=0,$U468&gt;0),"QUANT.",
IF(AND(Import.TipoArredondamento="TransfereGOV",$L468="F",$C468="S",LEN($Q468)&gt;13),"Código &gt;13",
IF(AND(Import.TipoArredondamento="TransfereGOV",$L468="F",$C468&lt;&gt;"S",LEN($R468)&gt;100),"Descrição &gt;100",
IF(AND(Import.TipoArredondamento="TransfereGOV",$L468="F",$C468="S",LEN($R468)&gt;500),"Descrição &gt;500",
IF(AND(Import.TipoArredondamento="TransfereGOV",$L468="F",$C468="S",LEFT(TRIM(UPPER($P468)),6)&lt;&gt;"SINAPI",ISNA(VLOOKUP(TRIM(UPPER($S468)),ListaTgov.Unidades,1,FALSE))),"Unid. Não Disp",
" "))))))))))))))))</f>
        <v xml:space="preserve"> </v>
      </c>
      <c r="AD468" t="str">
        <f ca="1">IF(C468&lt;=CRONO.NivelExibicao,MAX($AD$15:OFFSET(AD468,-1,0))+IF($C468&lt;&gt;1,1,MAX(1,COUNTIF(QCI!$A$13:$A$15,OFFSET($E468,-1,0)))),"")</f>
        <v/>
      </c>
      <c r="AE468" s="7" t="str">
        <f ca="1">IF(AND($C468="S",ORÇAMENTO.CodBarra&lt;&gt;""),IF(ORÇAMENTO.Fonte="",ORÇAMENTO.CodBarra,CONCATENATE(ORÇAMENTO.Fonte," ",ORÇAMENTO.CodBarra)))</f>
        <v>Composição CPU-052</v>
      </c>
      <c r="AF468" s="12">
        <f ca="1">IF(ISERROR(INDIRECT(ORÇAMENTO.BancoRef)),"(abra o arquivo 'Referência "&amp;Excel_BuiltIn_Database&amp;".xlsm)",IF(OR($C468&lt;&gt;"S",ORÇAMENTO.CodBarra=""),"(Sem Código)",IF(ISERROR(MATCH($AE468,INDIRECT(ORÇAMENTO.BancoRef),0)),"(Código não identificado nas referências)",MATCH($AE468,INDIRECT(ORÇAMENTO.BancoRef),0))))</f>
        <v>54</v>
      </c>
      <c r="AG468" s="428">
        <f ca="1">ROUND(IF(DESONERACAO="sim",REFERENCIA.Desonerado,REFERENCIA.NaoDesonerado),2)</f>
        <v>344.69</v>
      </c>
      <c r="AH468" s="429">
        <f t="shared" ca="1" si="125"/>
        <v>0.23499999999999999</v>
      </c>
      <c r="AJ468" s="431">
        <v>3</v>
      </c>
      <c r="AL468" s="439"/>
      <c r="AM468" s="336">
        <f t="shared" ca="1" si="131"/>
        <v>1277.07</v>
      </c>
      <c r="AN468" s="470">
        <f t="shared" ca="1" si="126"/>
        <v>425.69</v>
      </c>
    </row>
    <row r="469" spans="1:40" ht="25.5" x14ac:dyDescent="0.2">
      <c r="A469" t="str">
        <f t="shared" ref="A469:A507" si="132">CHOOSE(1+LOG(1+2*(ORÇAMENTO.Nivel="Meta")+4*(ORÇAMENTO.Nivel="Nível 2")+8*(ORÇAMENTO.Nivel="Nível 3")+16*(ORÇAMENTO.Nivel="Nível 4")+32*(ORÇAMENTO.Nivel="Serviço"),2),0,1,2,3,4,"S")</f>
        <v>S</v>
      </c>
      <c r="B469">
        <f t="shared" ref="B469:B507" ca="1" si="133">IF(OR(C469="s",C469=0),OFFSET(B469,-1,0),C469)</f>
        <v>3</v>
      </c>
      <c r="C469" t="str">
        <f t="shared" ref="C469:C507" ca="1" si="134">IF(OFFSET(C469,-1,0)="L",1,IF(OFFSET(C469,-1,0)=1,2,IF(OR(A469="s",A469=0),"S",IF(AND(OFFSET(C469,-1,0)=2,A469=4),3,IF(AND(OR(OFFSET(C469,-1,0)="s",OFFSET(C469,-1,0)=0),A469&lt;&gt;"s",A469&gt;OFFSET(B469,-1,0)),OFFSET(B469,-1,0),A469)))))</f>
        <v>S</v>
      </c>
      <c r="D469">
        <f t="shared" ref="D469:D507" ca="1" si="135">IF(OR(C469="S",C469=0),0,IF(ISERROR(K469),J469,SMALL(J469:K469,1)))</f>
        <v>0</v>
      </c>
      <c r="E469">
        <f ca="1">IF($C469=1,OFFSET(E469,-1,0)+MAX(1,COUNTIF(QCI!$A$13:$A$15,OFFSET(ORÇAMENTO!E469,-1,0))),OFFSET(E469,-1,0))</f>
        <v>1</v>
      </c>
      <c r="F469">
        <f t="shared" ref="F469:F507" ca="1" si="136">IF($C469=1,0,IF($C469=2,OFFSET(F469,-1,0)+1,OFFSET(F469,-1,0)))</f>
        <v>9</v>
      </c>
      <c r="G469">
        <f t="shared" ref="G469:G507" ca="1" si="137">IF(AND($C469&lt;=2,$C469&lt;&gt;0),0,IF($C469=3,OFFSET(G469,-1,0)+1,OFFSET(G469,-1,0)))</f>
        <v>5</v>
      </c>
      <c r="H469">
        <f t="shared" ref="H469:H507" ca="1" si="138">IF(AND($C469&lt;=3,$C469&lt;&gt;0),0,IF($C469=4,OFFSET(H469,-1,0)+1,OFFSET(H469,-1,0)))</f>
        <v>0</v>
      </c>
      <c r="I469">
        <f t="shared" ref="I469:I507" ca="1" si="139">IF(AND($C469&lt;=4,$C469&lt;&gt;0),0,IF(AND($C469="S",$X469&gt;0),OFFSET(I469,-1,0)+1,OFFSET(I469,-1,0)))</f>
        <v>7</v>
      </c>
      <c r="J469">
        <f t="shared" ref="J469:J507" ca="1" si="140">IF(OR($C469="S",$C469=0),0,MATCH(0,OFFSET($D469,1,$C469,ROW($C$508)-ROW($C469)),0))</f>
        <v>0</v>
      </c>
      <c r="K469">
        <f ca="1">IF(OR($C469="S",$C469=0),0,MATCH(OFFSET($D469,0,$C469)+IF($C469&lt;&gt;1,1,COUNTIF(QCI!$A$13:$A$15,ORÇAMENTO!E469)),OFFSET($D469,1,$C469,ROW($C$508)-ROW($C469)),0))</f>
        <v>0</v>
      </c>
      <c r="L469" s="114" t="str">
        <f t="shared" ref="L469:L507" ca="1" si="141">IF(OR($X469&gt;0,$C469=1,$C469=2,$C469=3,$C469=4),"F","")</f>
        <v>F</v>
      </c>
      <c r="M469" s="115" t="s">
        <v>705</v>
      </c>
      <c r="N469" s="116" t="str">
        <f t="shared" ref="N469:N507" ca="1" si="142">CHOOSE(1+LOG(1+2*(C469=1)+4*(C469=2)+8*(C469=3)+16*(C469=4)+32*(C469="S"),2),"","Meta","Nível 2","Nível 3","Nível 4","Serviço")</f>
        <v>Serviço</v>
      </c>
      <c r="O469" s="117" t="str">
        <f t="shared" ref="O469:O507" ca="1" si="143">IF(OR($C469=0,$L469=""),"-",CONCATENATE(E469&amp;".",IF(AND($A$5&gt;=2,$C469&gt;=2),F469&amp;".",""),IF(AND($A$5&gt;=3,$C469&gt;=3),G469&amp;".",""),IF(AND($A$5&gt;=4,$C469&gt;=4),H469&amp;".",""),IF($C469="S",I469&amp;".","")))</f>
        <v>1.9.5.0.7.</v>
      </c>
      <c r="P469" s="118" t="s">
        <v>957</v>
      </c>
      <c r="Q469" s="119" t="s">
        <v>1182</v>
      </c>
      <c r="R469" s="120" t="str">
        <f ca="1">IF($C469="S",REFERENCIA.Descricao,"(digite a descrição aqui)")</f>
        <v>CABO DE FIBRA ÓPTICA, MULTIMODO, LSZH, 2 PARES - BASEADO EM SBC (059560)</v>
      </c>
      <c r="S469" s="121" t="str">
        <f ca="1">REFERENCIA.Unidade</f>
        <v>M</v>
      </c>
      <c r="T469" s="122">
        <f ca="1">OFFSET(CÁLCULO!H$15,ROW($T469)-ROW(T$15),0)</f>
        <v>653</v>
      </c>
      <c r="U469" s="123">
        <f t="shared" ca="1" si="130"/>
        <v>14.8</v>
      </c>
      <c r="V469" s="124" t="s">
        <v>663</v>
      </c>
      <c r="W469" s="122">
        <f ca="1">IF($C469="S",ROUND(IF(TIPOORCAMENTO="Proposto",ORÇAMENTO.CustoUnitario*(1+$AH469),ORÇAMENTO.PrecoUnitarioLicitado),15-13*$AF$10),0)</f>
        <v>18.28</v>
      </c>
      <c r="X469" s="125" cm="1">
        <f t="array" aca="1" ref="X469" ca="1">IF($C469="S",IF(OR(Import.TipoArredondamento&lt;&gt;"TransfereGOV",ACOMPANHAMENTO="BM"),VTOTAL1,SUM(OFFSET(CÁLCULO!$AI$15,ROW($X469)-ROW($X$15),1):OFFSET(CÁLCULO!$BB$15,ROW($X469)-ROW($X$15),-1))),IF($C469=0,0,ROUND(SomaAgrup,15-13*$AF$11)))</f>
        <v>11936.84</v>
      </c>
      <c r="Y469" s="126" t="s">
        <v>751</v>
      </c>
      <c r="Z469" t="str">
        <f t="shared" ref="Z469:Z507" ca="1" si="144">IF(AND($C469="S",$X469&gt;0),IF(ISBLANK($Y469),"RA",LEFT($Y469,2)),"")</f>
        <v>RA</v>
      </c>
      <c r="AA469" s="127">
        <f ca="1">IF($C469="S",IF($Z469="CP",$X469,IF($Z469="RA",(($X469)*QCI!$AA$3),0)),SomaAgrup)</f>
        <v>0</v>
      </c>
      <c r="AB469" s="128">
        <f t="shared" ref="AB469:AB507" ca="1" si="145">IF($C469="S",IF($Z469="OU",ROUND($X469,2),0),SomaAgrup)</f>
        <v>0</v>
      </c>
      <c r="AC469" s="565" t="str" cm="1">
        <f t="array" aca="1" ref="AC469" ca="1">IF($N469=""," ",
IF(AND($C469&lt;&gt;"S",OR($R469="",$R469="(digite a descrição aqui)")),"DESCRIÇÃO",
IF(AND($C469="S",OR($Q469&lt;&gt;"",$T469&gt;0,$U469&gt;0),$P469=""),"FONTE",
IF(AND($C469="S",$P469&lt;&gt;"",OR($T469&gt;0,$U469&gt;0),$Q469=""),"CÓDIGO",
IF(AND($C469="S",$P469&lt;&gt;"",$Q469&lt;&gt;"",$R469="(Código não identificado nas referências)"),"CÓDIGO N/ID",
IF(AND($C469="S",OR($R469="",$R469="(digite a descrição aqui)"),OR($Q469&lt;&gt;"",$T469&gt;0,$U469&gt;0)),"DESCRIÇÃO",
IF(AND($C469="S",$P469&lt;&gt;"",$Q469&lt;&gt;"",$S469=""),"UNIDADE",
IF(AND($C469="S",$P469&lt;&gt;"",$Q469&lt;&gt;"",$U469=0),"SEM CUSTO",
IF(AND(_xlfn.SINGLE(TIPOORCAMENTO)="Licitado",$AL469=0,$AN469&gt;0),"SEM PREÇO",
IF(AND($C469="S",$P469&lt;&gt;"",$Q469&lt;&gt;"",$U469&gt;0,AND($V469&lt;&gt;"BDI 1",$V469&lt;&gt;"BDI 2",$V469&lt;&gt;"BDI 3")),IF(ISNUMBER($V469),"JUSTIFICAR BDI","BDI"),
IF(OR(AND(import.recurso="OGU",TIPOORCAMENTO="Proposto",LEFT($O$8,5)&lt;&gt;"(N/D:",$AG469&lt;&gt;"",ORÇAMENTO.CustoUnitario&gt;$AG469),AND(TIPOORCAMENTO="LICITADO",ORÇAMENTO.PrecoUnitarioLicitado&gt;$AN469)),"ACIMA REF.",
IF(AND($C469="S",$P469&lt;&gt;"",$Q469&lt;&gt;"",$T469=0,$U469&gt;0),"QUANT.",
IF(AND(Import.TipoArredondamento="TransfereGOV",$L469="F",$C469="S",LEN($Q469)&gt;13),"Código &gt;13",
IF(AND(Import.TipoArredondamento="TransfereGOV",$L469="F",$C469&lt;&gt;"S",LEN($R469)&gt;100),"Descrição &gt;100",
IF(AND(Import.TipoArredondamento="TransfereGOV",$L469="F",$C469="S",LEN($R469)&gt;500),"Descrição &gt;500",
IF(AND(Import.TipoArredondamento="TransfereGOV",$L469="F",$C469="S",LEFT(TRIM(UPPER($P469)),6)&lt;&gt;"SINAPI",ISNA(VLOOKUP(TRIM(UPPER($S469)),ListaTgov.Unidades,1,FALSE))),"Unid. Não Disp",
" "))))))))))))))))</f>
        <v xml:space="preserve"> </v>
      </c>
      <c r="AD469" t="str">
        <f ca="1">IF(C469&lt;=CRONO.NivelExibicao,MAX($AD$15:OFFSET(AD469,-1,0))+IF($C469&lt;&gt;1,1,MAX(1,COUNTIF(QCI!$A$13:$A$15,OFFSET($E469,-1,0)))),"")</f>
        <v/>
      </c>
      <c r="AE469" s="7" t="str">
        <f ca="1">IF(AND($C469="S",ORÇAMENTO.CodBarra&lt;&gt;""),IF(ORÇAMENTO.Fonte="",ORÇAMENTO.CodBarra,CONCATENATE(ORÇAMENTO.Fonte," ",ORÇAMENTO.CodBarra)))</f>
        <v>Composição CPU-054</v>
      </c>
      <c r="AF469" s="12">
        <f ca="1">IF(ISERROR(INDIRECT(ORÇAMENTO.BancoRef)),"(abra o arquivo 'Referência "&amp;Excel_BuiltIn_Database&amp;".xlsm)",IF(OR($C469&lt;&gt;"S",ORÇAMENTO.CodBarra=""),"(Sem Código)",IF(ISERROR(MATCH($AE469,INDIRECT(ORÇAMENTO.BancoRef),0)),"(Código não identificado nas referências)",MATCH($AE469,INDIRECT(ORÇAMENTO.BancoRef),0))))</f>
        <v>56</v>
      </c>
      <c r="AG469" s="428">
        <f ca="1">ROUND(IF(DESONERACAO="sim",REFERENCIA.Desonerado,REFERENCIA.NaoDesonerado),2)</f>
        <v>14.8</v>
      </c>
      <c r="AH469" s="429">
        <f t="shared" ref="AH469:AH507" ca="1" si="146">ROUND(IF(ISNUMBER(ORÇAMENTO.OpcaoBDI),ORÇAMENTO.OpcaoBDI,IF(LEFT(ORÇAMENTO.OpcaoBDI,3)="BDI",HLOOKUP(ORÇAMENTO.OpcaoBDI,$F$4:$H$5,2,FALSE),0)),15-11*$AF$9)</f>
        <v>0.23499999999999999</v>
      </c>
      <c r="AJ469" s="431">
        <v>653</v>
      </c>
      <c r="AL469" s="439"/>
      <c r="AM469" s="336">
        <f t="shared" ca="1" si="131"/>
        <v>11936.84</v>
      </c>
      <c r="AN469" s="470">
        <f t="shared" ref="AN469:AN507" ca="1" si="147">ROUND(ORÇAMENTO.CustoUnitario*(1+$AH469),2)</f>
        <v>18.28</v>
      </c>
    </row>
    <row r="470" spans="1:40" ht="25.5" x14ac:dyDescent="0.2">
      <c r="A470" t="str">
        <f t="shared" si="132"/>
        <v>S</v>
      </c>
      <c r="B470">
        <f t="shared" ca="1" si="133"/>
        <v>3</v>
      </c>
      <c r="C470" t="str">
        <f t="shared" ca="1" si="134"/>
        <v>S</v>
      </c>
      <c r="D470">
        <f t="shared" ca="1" si="135"/>
        <v>0</v>
      </c>
      <c r="E470">
        <f ca="1">IF($C470=1,OFFSET(E470,-1,0)+MAX(1,COUNTIF(QCI!$A$13:$A$15,OFFSET(ORÇAMENTO!E470,-1,0))),OFFSET(E470,-1,0))</f>
        <v>1</v>
      </c>
      <c r="F470">
        <f t="shared" ca="1" si="136"/>
        <v>9</v>
      </c>
      <c r="G470">
        <f t="shared" ca="1" si="137"/>
        <v>5</v>
      </c>
      <c r="H470">
        <f t="shared" ca="1" si="138"/>
        <v>0</v>
      </c>
      <c r="I470">
        <f t="shared" ca="1" si="139"/>
        <v>8</v>
      </c>
      <c r="J470">
        <f t="shared" ca="1" si="140"/>
        <v>0</v>
      </c>
      <c r="K470">
        <f ca="1">IF(OR($C470="S",$C470=0),0,MATCH(OFFSET($D470,0,$C470)+IF($C470&lt;&gt;1,1,COUNTIF(QCI!$A$13:$A$15,ORÇAMENTO!E470)),OFFSET($D470,1,$C470,ROW($C$508)-ROW($C470)),0))</f>
        <v>0</v>
      </c>
      <c r="L470" s="114" t="str">
        <f t="shared" ca="1" si="141"/>
        <v>F</v>
      </c>
      <c r="M470" s="115" t="s">
        <v>705</v>
      </c>
      <c r="N470" s="116" t="str">
        <f t="shared" ca="1" si="142"/>
        <v>Serviço</v>
      </c>
      <c r="O470" s="117" t="str">
        <f t="shared" ca="1" si="143"/>
        <v>1.9.5.0.8.</v>
      </c>
      <c r="P470" s="118" t="s">
        <v>957</v>
      </c>
      <c r="Q470" s="119" t="s">
        <v>1183</v>
      </c>
      <c r="R470" s="120" t="str">
        <f ca="1">IF($C470="S",REFERENCIA.Descricao,"(digite a descrição aqui)")</f>
        <v>CORDAO OPTICO DUPLEX MULTIMODO, CONECTORES DIVERSOS - 1,5M OU 2,5 M - BASEADO EM SBC (059566)</v>
      </c>
      <c r="S470" s="121" t="str">
        <f ca="1">REFERENCIA.Unidade</f>
        <v>UN</v>
      </c>
      <c r="T470" s="122">
        <f ca="1">OFFSET(CÁLCULO!H$15,ROW($T470)-ROW(T$15),0)</f>
        <v>3</v>
      </c>
      <c r="U470" s="123">
        <f t="shared" ca="1" si="130"/>
        <v>51.06</v>
      </c>
      <c r="V470" s="124" t="s">
        <v>663</v>
      </c>
      <c r="W470" s="122">
        <f ca="1">IF($C470="S",ROUND(IF(TIPOORCAMENTO="Proposto",ORÇAMENTO.CustoUnitario*(1+$AH470),ORÇAMENTO.PrecoUnitarioLicitado),15-13*$AF$10),0)</f>
        <v>63.06</v>
      </c>
      <c r="X470" s="125" cm="1">
        <f t="array" aca="1" ref="X470" ca="1">IF($C470="S",IF(OR(Import.TipoArredondamento&lt;&gt;"TransfereGOV",ACOMPANHAMENTO="BM"),VTOTAL1,SUM(OFFSET(CÁLCULO!$AI$15,ROW($X470)-ROW($X$15),1):OFFSET(CÁLCULO!$BB$15,ROW($X470)-ROW($X$15),-1))),IF($C470=0,0,ROUND(SomaAgrup,15-13*$AF$11)))</f>
        <v>189.18</v>
      </c>
      <c r="Y470" s="126" t="s">
        <v>751</v>
      </c>
      <c r="Z470" t="str">
        <f t="shared" ca="1" si="144"/>
        <v>RA</v>
      </c>
      <c r="AA470" s="127">
        <f ca="1">IF($C470="S",IF($Z470="CP",$X470,IF($Z470="RA",(($X470)*QCI!$AA$3),0)),SomaAgrup)</f>
        <v>0</v>
      </c>
      <c r="AB470" s="128">
        <f t="shared" ca="1" si="145"/>
        <v>0</v>
      </c>
      <c r="AC470" s="565" t="str" cm="1">
        <f t="array" aca="1" ref="AC470" ca="1">IF($N470=""," ",
IF(AND($C470&lt;&gt;"S",OR($R470="",$R470="(digite a descrição aqui)")),"DESCRIÇÃO",
IF(AND($C470="S",OR($Q470&lt;&gt;"",$T470&gt;0,$U470&gt;0),$P470=""),"FONTE",
IF(AND($C470="S",$P470&lt;&gt;"",OR($T470&gt;0,$U470&gt;0),$Q470=""),"CÓDIGO",
IF(AND($C470="S",$P470&lt;&gt;"",$Q470&lt;&gt;"",$R470="(Código não identificado nas referências)"),"CÓDIGO N/ID",
IF(AND($C470="S",OR($R470="",$R470="(digite a descrição aqui)"),OR($Q470&lt;&gt;"",$T470&gt;0,$U470&gt;0)),"DESCRIÇÃO",
IF(AND($C470="S",$P470&lt;&gt;"",$Q470&lt;&gt;"",$S470=""),"UNIDADE",
IF(AND($C470="S",$P470&lt;&gt;"",$Q470&lt;&gt;"",$U470=0),"SEM CUSTO",
IF(AND(_xlfn.SINGLE(TIPOORCAMENTO)="Licitado",$AL470=0,$AN470&gt;0),"SEM PREÇO",
IF(AND($C470="S",$P470&lt;&gt;"",$Q470&lt;&gt;"",$U470&gt;0,AND($V470&lt;&gt;"BDI 1",$V470&lt;&gt;"BDI 2",$V470&lt;&gt;"BDI 3")),IF(ISNUMBER($V470),"JUSTIFICAR BDI","BDI"),
IF(OR(AND(import.recurso="OGU",TIPOORCAMENTO="Proposto",LEFT($O$8,5)&lt;&gt;"(N/D:",$AG470&lt;&gt;"",ORÇAMENTO.CustoUnitario&gt;$AG470),AND(TIPOORCAMENTO="LICITADO",ORÇAMENTO.PrecoUnitarioLicitado&gt;$AN470)),"ACIMA REF.",
IF(AND($C470="S",$P470&lt;&gt;"",$Q470&lt;&gt;"",$T470=0,$U470&gt;0),"QUANT.",
IF(AND(Import.TipoArredondamento="TransfereGOV",$L470="F",$C470="S",LEN($Q470)&gt;13),"Código &gt;13",
IF(AND(Import.TipoArredondamento="TransfereGOV",$L470="F",$C470&lt;&gt;"S",LEN($R470)&gt;100),"Descrição &gt;100",
IF(AND(Import.TipoArredondamento="TransfereGOV",$L470="F",$C470="S",LEN($R470)&gt;500),"Descrição &gt;500",
IF(AND(Import.TipoArredondamento="TransfereGOV",$L470="F",$C470="S",LEFT(TRIM(UPPER($P470)),6)&lt;&gt;"SINAPI",ISNA(VLOOKUP(TRIM(UPPER($S470)),ListaTgov.Unidades,1,FALSE))),"Unid. Não Disp",
" "))))))))))))))))</f>
        <v xml:space="preserve"> </v>
      </c>
      <c r="AD470" t="str">
        <f ca="1">IF(C470&lt;=CRONO.NivelExibicao,MAX($AD$15:OFFSET(AD470,-1,0))+IF($C470&lt;&gt;1,1,MAX(1,COUNTIF(QCI!$A$13:$A$15,OFFSET($E470,-1,0)))),"")</f>
        <v/>
      </c>
      <c r="AE470" s="7" t="str">
        <f ca="1">IF(AND($C470="S",ORÇAMENTO.CodBarra&lt;&gt;""),IF(ORÇAMENTO.Fonte="",ORÇAMENTO.CodBarra,CONCATENATE(ORÇAMENTO.Fonte," ",ORÇAMENTO.CodBarra)))</f>
        <v>Composição CPU-055</v>
      </c>
      <c r="AF470" s="12">
        <f ca="1">IF(ISERROR(INDIRECT(ORÇAMENTO.BancoRef)),"(abra o arquivo 'Referência "&amp;Excel_BuiltIn_Database&amp;".xlsm)",IF(OR($C470&lt;&gt;"S",ORÇAMENTO.CodBarra=""),"(Sem Código)",IF(ISERROR(MATCH($AE470,INDIRECT(ORÇAMENTO.BancoRef),0)),"(Código não identificado nas referências)",MATCH($AE470,INDIRECT(ORÇAMENTO.BancoRef),0))))</f>
        <v>57</v>
      </c>
      <c r="AG470" s="428">
        <f ca="1">ROUND(IF(DESONERACAO="sim",REFERENCIA.Desonerado,REFERENCIA.NaoDesonerado),2)</f>
        <v>51.06</v>
      </c>
      <c r="AH470" s="429">
        <f t="shared" ca="1" si="146"/>
        <v>0.23499999999999999</v>
      </c>
      <c r="AJ470" s="431">
        <v>3</v>
      </c>
      <c r="AL470" s="439"/>
      <c r="AM470" s="336">
        <f t="shared" ca="1" si="131"/>
        <v>189.18</v>
      </c>
      <c r="AN470" s="470">
        <f t="shared" ca="1" si="147"/>
        <v>63.06</v>
      </c>
    </row>
    <row r="471" spans="1:40" ht="25.5" x14ac:dyDescent="0.2">
      <c r="A471" t="str">
        <f t="shared" si="132"/>
        <v>S</v>
      </c>
      <c r="B471">
        <f t="shared" ca="1" si="133"/>
        <v>3</v>
      </c>
      <c r="C471" t="str">
        <f t="shared" ca="1" si="134"/>
        <v>S</v>
      </c>
      <c r="D471">
        <f t="shared" ca="1" si="135"/>
        <v>0</v>
      </c>
      <c r="E471">
        <f ca="1">IF($C471=1,OFFSET(E471,-1,0)+MAX(1,COUNTIF(QCI!$A$13:$A$15,OFFSET(ORÇAMENTO!E471,-1,0))),OFFSET(E471,-1,0))</f>
        <v>1</v>
      </c>
      <c r="F471">
        <f t="shared" ca="1" si="136"/>
        <v>9</v>
      </c>
      <c r="G471">
        <f t="shared" ca="1" si="137"/>
        <v>5</v>
      </c>
      <c r="H471">
        <f t="shared" ca="1" si="138"/>
        <v>0</v>
      </c>
      <c r="I471">
        <f t="shared" ca="1" si="139"/>
        <v>9</v>
      </c>
      <c r="J471">
        <f t="shared" ca="1" si="140"/>
        <v>0</v>
      </c>
      <c r="K471">
        <f ca="1">IF(OR($C471="S",$C471=0),0,MATCH(OFFSET($D471,0,$C471)+IF($C471&lt;&gt;1,1,COUNTIF(QCI!$A$13:$A$15,ORÇAMENTO!E471)),OFFSET($D471,1,$C471,ROW($C$508)-ROW($C471)),0))</f>
        <v>0</v>
      </c>
      <c r="L471" s="114" t="str">
        <f t="shared" ca="1" si="141"/>
        <v>F</v>
      </c>
      <c r="M471" s="115" t="s">
        <v>705</v>
      </c>
      <c r="N471" s="116" t="str">
        <f t="shared" ca="1" si="142"/>
        <v>Serviço</v>
      </c>
      <c r="O471" s="117" t="str">
        <f t="shared" ca="1" si="143"/>
        <v>1.9.5.0.9.</v>
      </c>
      <c r="P471" s="118" t="s">
        <v>957</v>
      </c>
      <c r="Q471" s="119" t="s">
        <v>1184</v>
      </c>
      <c r="R471" s="120" t="str">
        <f ca="1">IF($C471="S",REFERENCIA.Descricao,"(digite a descrição aqui)")</f>
        <v>DISTRIBUIDOR INTERNO OPTICO DIO 24 FIBRAS  - BASEADO EM SBC (059251)</v>
      </c>
      <c r="S471" s="121" t="str">
        <f ca="1">REFERENCIA.Unidade</f>
        <v>UN</v>
      </c>
      <c r="T471" s="122">
        <f ca="1">OFFSET(CÁLCULO!H$15,ROW($T471)-ROW(T$15),0)</f>
        <v>2</v>
      </c>
      <c r="U471" s="123">
        <f t="shared" ca="1" si="130"/>
        <v>479.32</v>
      </c>
      <c r="V471" s="124" t="s">
        <v>663</v>
      </c>
      <c r="W471" s="122">
        <f ca="1">IF($C471="S",ROUND(IF(TIPOORCAMENTO="Proposto",ORÇAMENTO.CustoUnitario*(1+$AH471),ORÇAMENTO.PrecoUnitarioLicitado),15-13*$AF$10),0)</f>
        <v>591.96</v>
      </c>
      <c r="X471" s="125" cm="1">
        <f t="array" aca="1" ref="X471" ca="1">IF($C471="S",IF(OR(Import.TipoArredondamento&lt;&gt;"TransfereGOV",ACOMPANHAMENTO="BM"),VTOTAL1,SUM(OFFSET(CÁLCULO!$AI$15,ROW($X471)-ROW($X$15),1):OFFSET(CÁLCULO!$BB$15,ROW($X471)-ROW($X$15),-1))),IF($C471=0,0,ROUND(SomaAgrup,15-13*$AF$11)))</f>
        <v>1183.92</v>
      </c>
      <c r="Y471" s="126" t="s">
        <v>751</v>
      </c>
      <c r="Z471" t="str">
        <f t="shared" ca="1" si="144"/>
        <v>RA</v>
      </c>
      <c r="AA471" s="127">
        <f ca="1">IF($C471="S",IF($Z471="CP",$X471,IF($Z471="RA",(($X471)*QCI!$AA$3),0)),SomaAgrup)</f>
        <v>0</v>
      </c>
      <c r="AB471" s="128">
        <f t="shared" ca="1" si="145"/>
        <v>0</v>
      </c>
      <c r="AC471" s="565" t="str" cm="1">
        <f t="array" aca="1" ref="AC471" ca="1">IF($N471=""," ",
IF(AND($C471&lt;&gt;"S",OR($R471="",$R471="(digite a descrição aqui)")),"DESCRIÇÃO",
IF(AND($C471="S",OR($Q471&lt;&gt;"",$T471&gt;0,$U471&gt;0),$P471=""),"FONTE",
IF(AND($C471="S",$P471&lt;&gt;"",OR($T471&gt;0,$U471&gt;0),$Q471=""),"CÓDIGO",
IF(AND($C471="S",$P471&lt;&gt;"",$Q471&lt;&gt;"",$R471="(Código não identificado nas referências)"),"CÓDIGO N/ID",
IF(AND($C471="S",OR($R471="",$R471="(digite a descrição aqui)"),OR($Q471&lt;&gt;"",$T471&gt;0,$U471&gt;0)),"DESCRIÇÃO",
IF(AND($C471="S",$P471&lt;&gt;"",$Q471&lt;&gt;"",$S471=""),"UNIDADE",
IF(AND($C471="S",$P471&lt;&gt;"",$Q471&lt;&gt;"",$U471=0),"SEM CUSTO",
IF(AND(_xlfn.SINGLE(TIPOORCAMENTO)="Licitado",$AL471=0,$AN471&gt;0),"SEM PREÇO",
IF(AND($C471="S",$P471&lt;&gt;"",$Q471&lt;&gt;"",$U471&gt;0,AND($V471&lt;&gt;"BDI 1",$V471&lt;&gt;"BDI 2",$V471&lt;&gt;"BDI 3")),IF(ISNUMBER($V471),"JUSTIFICAR BDI","BDI"),
IF(OR(AND(import.recurso="OGU",TIPOORCAMENTO="Proposto",LEFT($O$8,5)&lt;&gt;"(N/D:",$AG471&lt;&gt;"",ORÇAMENTO.CustoUnitario&gt;$AG471),AND(TIPOORCAMENTO="LICITADO",ORÇAMENTO.PrecoUnitarioLicitado&gt;$AN471)),"ACIMA REF.",
IF(AND($C471="S",$P471&lt;&gt;"",$Q471&lt;&gt;"",$T471=0,$U471&gt;0),"QUANT.",
IF(AND(Import.TipoArredondamento="TransfereGOV",$L471="F",$C471="S",LEN($Q471)&gt;13),"Código &gt;13",
IF(AND(Import.TipoArredondamento="TransfereGOV",$L471="F",$C471&lt;&gt;"S",LEN($R471)&gt;100),"Descrição &gt;100",
IF(AND(Import.TipoArredondamento="TransfereGOV",$L471="F",$C471="S",LEN($R471)&gt;500),"Descrição &gt;500",
IF(AND(Import.TipoArredondamento="TransfereGOV",$L471="F",$C471="S",LEFT(TRIM(UPPER($P471)),6)&lt;&gt;"SINAPI",ISNA(VLOOKUP(TRIM(UPPER($S471)),ListaTgov.Unidades,1,FALSE))),"Unid. Não Disp",
" "))))))))))))))))</f>
        <v xml:space="preserve"> </v>
      </c>
      <c r="AD471" t="str">
        <f ca="1">IF(C471&lt;=CRONO.NivelExibicao,MAX($AD$15:OFFSET(AD471,-1,0))+IF($C471&lt;&gt;1,1,MAX(1,COUNTIF(QCI!$A$13:$A$15,OFFSET($E471,-1,0)))),"")</f>
        <v/>
      </c>
      <c r="AE471" s="7" t="str">
        <f ca="1">IF(AND($C471="S",ORÇAMENTO.CodBarra&lt;&gt;""),IF(ORÇAMENTO.Fonte="",ORÇAMENTO.CodBarra,CONCATENATE(ORÇAMENTO.Fonte," ",ORÇAMENTO.CodBarra)))</f>
        <v>Composição CPU-056</v>
      </c>
      <c r="AF471" s="12">
        <f ca="1">IF(ISERROR(INDIRECT(ORÇAMENTO.BancoRef)),"(abra o arquivo 'Referência "&amp;Excel_BuiltIn_Database&amp;".xlsm)",IF(OR($C471&lt;&gt;"S",ORÇAMENTO.CodBarra=""),"(Sem Código)",IF(ISERROR(MATCH($AE471,INDIRECT(ORÇAMENTO.BancoRef),0)),"(Código não identificado nas referências)",MATCH($AE471,INDIRECT(ORÇAMENTO.BancoRef),0))))</f>
        <v>58</v>
      </c>
      <c r="AG471" s="428">
        <f ca="1">ROUND(IF(DESONERACAO="sim",REFERENCIA.Desonerado,REFERENCIA.NaoDesonerado),2)</f>
        <v>479.32</v>
      </c>
      <c r="AH471" s="429">
        <f t="shared" ca="1" si="146"/>
        <v>0.23499999999999999</v>
      </c>
      <c r="AJ471" s="431">
        <v>2</v>
      </c>
      <c r="AL471" s="439"/>
      <c r="AM471" s="336">
        <f t="shared" ca="1" si="131"/>
        <v>1183.92</v>
      </c>
      <c r="AN471" s="470">
        <f t="shared" ca="1" si="147"/>
        <v>591.96</v>
      </c>
    </row>
    <row r="472" spans="1:40" ht="25.5" x14ac:dyDescent="0.2">
      <c r="A472" t="str">
        <f t="shared" si="132"/>
        <v>S</v>
      </c>
      <c r="B472">
        <f t="shared" ca="1" si="133"/>
        <v>3</v>
      </c>
      <c r="C472" t="str">
        <f t="shared" ca="1" si="134"/>
        <v>S</v>
      </c>
      <c r="D472">
        <f t="shared" ca="1" si="135"/>
        <v>0</v>
      </c>
      <c r="E472">
        <f ca="1">IF($C472=1,OFFSET(E472,-1,0)+MAX(1,COUNTIF(QCI!$A$13:$A$15,OFFSET(ORÇAMENTO!E472,-1,0))),OFFSET(E472,-1,0))</f>
        <v>1</v>
      </c>
      <c r="F472">
        <f t="shared" ca="1" si="136"/>
        <v>9</v>
      </c>
      <c r="G472">
        <f t="shared" ca="1" si="137"/>
        <v>5</v>
      </c>
      <c r="H472">
        <f t="shared" ca="1" si="138"/>
        <v>0</v>
      </c>
      <c r="I472">
        <f t="shared" ca="1" si="139"/>
        <v>10</v>
      </c>
      <c r="J472">
        <f t="shared" ca="1" si="140"/>
        <v>0</v>
      </c>
      <c r="K472">
        <f ca="1">IF(OR($C472="S",$C472=0),0,MATCH(OFFSET($D472,0,$C472)+IF($C472&lt;&gt;1,1,COUNTIF(QCI!$A$13:$A$15,ORÇAMENTO!E472)),OFFSET($D472,1,$C472,ROW($C$508)-ROW($C472)),0))</f>
        <v>0</v>
      </c>
      <c r="L472" s="114" t="str">
        <f t="shared" ca="1" si="141"/>
        <v>F</v>
      </c>
      <c r="M472" s="115" t="s">
        <v>705</v>
      </c>
      <c r="N472" s="116" t="str">
        <f t="shared" ca="1" si="142"/>
        <v>Serviço</v>
      </c>
      <c r="O472" s="117" t="str">
        <f t="shared" ca="1" si="143"/>
        <v>1.9.5.0.10.</v>
      </c>
      <c r="P472" s="118" t="s">
        <v>957</v>
      </c>
      <c r="Q472" s="119" t="s">
        <v>1185</v>
      </c>
      <c r="R472" s="120" t="str">
        <f ca="1">IF($C472="S",REFERENCIA.Descricao,"(digite a descrição aqui)")</f>
        <v>QUADRO OUTDOOR (RACK ) 19" X 12U X 450MM - BASEADO EM ORSE (8682)</v>
      </c>
      <c r="S472" s="121" t="str">
        <f ca="1">REFERENCIA.Unidade</f>
        <v>UN</v>
      </c>
      <c r="T472" s="122">
        <f ca="1">OFFSET(CÁLCULO!H$15,ROW($T472)-ROW(T$15),0)</f>
        <v>3</v>
      </c>
      <c r="U472" s="123">
        <f t="shared" ca="1" si="130"/>
        <v>681.72</v>
      </c>
      <c r="V472" s="124" t="s">
        <v>663</v>
      </c>
      <c r="W472" s="122">
        <f ca="1">IF($C472="S",ROUND(IF(TIPOORCAMENTO="Proposto",ORÇAMENTO.CustoUnitario*(1+$AH472),ORÇAMENTO.PrecoUnitarioLicitado),15-13*$AF$10),0)</f>
        <v>841.92</v>
      </c>
      <c r="X472" s="125" cm="1">
        <f t="array" aca="1" ref="X472" ca="1">IF($C472="S",IF(OR(Import.TipoArredondamento&lt;&gt;"TransfereGOV",ACOMPANHAMENTO="BM"),VTOTAL1,SUM(OFFSET(CÁLCULO!$AI$15,ROW($X472)-ROW($X$15),1):OFFSET(CÁLCULO!$BB$15,ROW($X472)-ROW($X$15),-1))),IF($C472=0,0,ROUND(SomaAgrup,15-13*$AF$11)))</f>
        <v>2525.7600000000002</v>
      </c>
      <c r="Y472" s="126" t="s">
        <v>751</v>
      </c>
      <c r="Z472" t="str">
        <f t="shared" ca="1" si="144"/>
        <v>RA</v>
      </c>
      <c r="AA472" s="127">
        <f ca="1">IF($C472="S",IF($Z472="CP",$X472,IF($Z472="RA",(($X472)*QCI!$AA$3),0)),SomaAgrup)</f>
        <v>0</v>
      </c>
      <c r="AB472" s="128">
        <f t="shared" ca="1" si="145"/>
        <v>0</v>
      </c>
      <c r="AC472" s="565" t="str" cm="1">
        <f t="array" aca="1" ref="AC472" ca="1">IF($N472=""," ",
IF(AND($C472&lt;&gt;"S",OR($R472="",$R472="(digite a descrição aqui)")),"DESCRIÇÃO",
IF(AND($C472="S",OR($Q472&lt;&gt;"",$T472&gt;0,$U472&gt;0),$P472=""),"FONTE",
IF(AND($C472="S",$P472&lt;&gt;"",OR($T472&gt;0,$U472&gt;0),$Q472=""),"CÓDIGO",
IF(AND($C472="S",$P472&lt;&gt;"",$Q472&lt;&gt;"",$R472="(Código não identificado nas referências)"),"CÓDIGO N/ID",
IF(AND($C472="S",OR($R472="",$R472="(digite a descrição aqui)"),OR($Q472&lt;&gt;"",$T472&gt;0,$U472&gt;0)),"DESCRIÇÃO",
IF(AND($C472="S",$P472&lt;&gt;"",$Q472&lt;&gt;"",$S472=""),"UNIDADE",
IF(AND($C472="S",$P472&lt;&gt;"",$Q472&lt;&gt;"",$U472=0),"SEM CUSTO",
IF(AND(_xlfn.SINGLE(TIPOORCAMENTO)="Licitado",$AL472=0,$AN472&gt;0),"SEM PREÇO",
IF(AND($C472="S",$P472&lt;&gt;"",$Q472&lt;&gt;"",$U472&gt;0,AND($V472&lt;&gt;"BDI 1",$V472&lt;&gt;"BDI 2",$V472&lt;&gt;"BDI 3")),IF(ISNUMBER($V472),"JUSTIFICAR BDI","BDI"),
IF(OR(AND(import.recurso="OGU",TIPOORCAMENTO="Proposto",LEFT($O$8,5)&lt;&gt;"(N/D:",$AG472&lt;&gt;"",ORÇAMENTO.CustoUnitario&gt;$AG472),AND(TIPOORCAMENTO="LICITADO",ORÇAMENTO.PrecoUnitarioLicitado&gt;$AN472)),"ACIMA REF.",
IF(AND($C472="S",$P472&lt;&gt;"",$Q472&lt;&gt;"",$T472=0,$U472&gt;0),"QUANT.",
IF(AND(Import.TipoArredondamento="TransfereGOV",$L472="F",$C472="S",LEN($Q472)&gt;13),"Código &gt;13",
IF(AND(Import.TipoArredondamento="TransfereGOV",$L472="F",$C472&lt;&gt;"S",LEN($R472)&gt;100),"Descrição &gt;100",
IF(AND(Import.TipoArredondamento="TransfereGOV",$L472="F",$C472="S",LEN($R472)&gt;500),"Descrição &gt;500",
IF(AND(Import.TipoArredondamento="TransfereGOV",$L472="F",$C472="S",LEFT(TRIM(UPPER($P472)),6)&lt;&gt;"SINAPI",ISNA(VLOOKUP(TRIM(UPPER($S472)),ListaTgov.Unidades,1,FALSE))),"Unid. Não Disp",
" "))))))))))))))))</f>
        <v xml:space="preserve"> </v>
      </c>
      <c r="AD472" t="str">
        <f ca="1">IF(C472&lt;=CRONO.NivelExibicao,MAX($AD$15:OFFSET(AD472,-1,0))+IF($C472&lt;&gt;1,1,MAX(1,COUNTIF(QCI!$A$13:$A$15,OFFSET($E472,-1,0)))),"")</f>
        <v/>
      </c>
      <c r="AE472" s="7" t="str">
        <f ca="1">IF(AND($C472="S",ORÇAMENTO.CodBarra&lt;&gt;""),IF(ORÇAMENTO.Fonte="",ORÇAMENTO.CodBarra,CONCATENATE(ORÇAMENTO.Fonte," ",ORÇAMENTO.CodBarra)))</f>
        <v>Composição CPU-057</v>
      </c>
      <c r="AF472" s="12">
        <f ca="1">IF(ISERROR(INDIRECT(ORÇAMENTO.BancoRef)),"(abra o arquivo 'Referência "&amp;Excel_BuiltIn_Database&amp;".xlsm)",IF(OR($C472&lt;&gt;"S",ORÇAMENTO.CodBarra=""),"(Sem Código)",IF(ISERROR(MATCH($AE472,INDIRECT(ORÇAMENTO.BancoRef),0)),"(Código não identificado nas referências)",MATCH($AE472,INDIRECT(ORÇAMENTO.BancoRef),0))))</f>
        <v>59</v>
      </c>
      <c r="AG472" s="428">
        <f ca="1">ROUND(IF(DESONERACAO="sim",REFERENCIA.Desonerado,REFERENCIA.NaoDesonerado),2)</f>
        <v>681.72</v>
      </c>
      <c r="AH472" s="429">
        <f t="shared" ca="1" si="146"/>
        <v>0.23499999999999999</v>
      </c>
      <c r="AJ472" s="431">
        <v>3</v>
      </c>
      <c r="AL472" s="439"/>
      <c r="AM472" s="336">
        <f t="shared" ca="1" si="131"/>
        <v>2525.7600000000002</v>
      </c>
      <c r="AN472" s="470">
        <f t="shared" ca="1" si="147"/>
        <v>841.92</v>
      </c>
    </row>
    <row r="473" spans="1:40" ht="25.5" x14ac:dyDescent="0.2">
      <c r="A473" t="str">
        <f t="shared" si="132"/>
        <v>S</v>
      </c>
      <c r="B473">
        <f t="shared" ca="1" si="133"/>
        <v>3</v>
      </c>
      <c r="C473" t="str">
        <f t="shared" ca="1" si="134"/>
        <v>S</v>
      </c>
      <c r="D473">
        <f t="shared" ca="1" si="135"/>
        <v>0</v>
      </c>
      <c r="E473">
        <f ca="1">IF($C473=1,OFFSET(E473,-1,0)+MAX(1,COUNTIF(QCI!$A$13:$A$15,OFFSET(ORÇAMENTO!E473,-1,0))),OFFSET(E473,-1,0))</f>
        <v>1</v>
      </c>
      <c r="F473">
        <f t="shared" ca="1" si="136"/>
        <v>9</v>
      </c>
      <c r="G473">
        <f t="shared" ca="1" si="137"/>
        <v>5</v>
      </c>
      <c r="H473">
        <f t="shared" ca="1" si="138"/>
        <v>0</v>
      </c>
      <c r="I473">
        <f t="shared" ca="1" si="139"/>
        <v>11</v>
      </c>
      <c r="J473">
        <f t="shared" ca="1" si="140"/>
        <v>0</v>
      </c>
      <c r="K473">
        <f ca="1">IF(OR($C473="S",$C473=0),0,MATCH(OFFSET($D473,0,$C473)+IF($C473&lt;&gt;1,1,COUNTIF(QCI!$A$13:$A$15,ORÇAMENTO!E473)),OFFSET($D473,1,$C473,ROW($C$508)-ROW($C473)),0))</f>
        <v>0</v>
      </c>
      <c r="L473" s="114" t="str">
        <f t="shared" ca="1" si="141"/>
        <v>F</v>
      </c>
      <c r="M473" s="115" t="s">
        <v>705</v>
      </c>
      <c r="N473" s="116" t="str">
        <f t="shared" ca="1" si="142"/>
        <v>Serviço</v>
      </c>
      <c r="O473" s="117" t="str">
        <f t="shared" ca="1" si="143"/>
        <v>1.9.5.0.11.</v>
      </c>
      <c r="P473" s="118" t="s">
        <v>957</v>
      </c>
      <c r="Q473" s="119" t="s">
        <v>1186</v>
      </c>
      <c r="R473" s="120" t="str">
        <f ca="1">IF($C473="S",REFERENCIA.Descricao,"(digite a descrição aqui)")</f>
        <v>INJETOR POE PASSIVO FAST ETHERNET INTELBRAS 4805 PF, FORNECIMENTO E INSTALAÇÃO - BASEADO EM SBC (059434)</v>
      </c>
      <c r="S473" s="121" t="str">
        <f ca="1">REFERENCIA.Unidade</f>
        <v>UN</v>
      </c>
      <c r="T473" s="122">
        <f ca="1">OFFSET(CÁLCULO!H$15,ROW($T473)-ROW(T$15),0)</f>
        <v>6</v>
      </c>
      <c r="U473" s="123">
        <f t="shared" ca="1" si="130"/>
        <v>91.5</v>
      </c>
      <c r="V473" s="124" t="s">
        <v>663</v>
      </c>
      <c r="W473" s="122">
        <f ca="1">IF($C473="S",ROUND(IF(TIPOORCAMENTO="Proposto",ORÇAMENTO.CustoUnitario*(1+$AH473),ORÇAMENTO.PrecoUnitarioLicitado),15-13*$AF$10),0)</f>
        <v>113</v>
      </c>
      <c r="X473" s="125" cm="1">
        <f t="array" aca="1" ref="X473" ca="1">IF($C473="S",IF(OR(Import.TipoArredondamento&lt;&gt;"TransfereGOV",ACOMPANHAMENTO="BM"),VTOTAL1,SUM(OFFSET(CÁLCULO!$AI$15,ROW($X473)-ROW($X$15),1):OFFSET(CÁLCULO!$BB$15,ROW($X473)-ROW($X$15),-1))),IF($C473=0,0,ROUND(SomaAgrup,15-13*$AF$11)))</f>
        <v>678</v>
      </c>
      <c r="Y473" s="126" t="s">
        <v>751</v>
      </c>
      <c r="Z473" t="str">
        <f t="shared" ca="1" si="144"/>
        <v>RA</v>
      </c>
      <c r="AA473" s="127">
        <f ca="1">IF($C473="S",IF($Z473="CP",$X473,IF($Z473="RA",(($X473)*QCI!$AA$3),0)),SomaAgrup)</f>
        <v>0</v>
      </c>
      <c r="AB473" s="128">
        <f t="shared" ca="1" si="145"/>
        <v>0</v>
      </c>
      <c r="AC473" s="565" t="str" cm="1">
        <f t="array" aca="1" ref="AC473" ca="1">IF($N473=""," ",
IF(AND($C473&lt;&gt;"S",OR($R473="",$R473="(digite a descrição aqui)")),"DESCRIÇÃO",
IF(AND($C473="S",OR($Q473&lt;&gt;"",$T473&gt;0,$U473&gt;0),$P473=""),"FONTE",
IF(AND($C473="S",$P473&lt;&gt;"",OR($T473&gt;0,$U473&gt;0),$Q473=""),"CÓDIGO",
IF(AND($C473="S",$P473&lt;&gt;"",$Q473&lt;&gt;"",$R473="(Código não identificado nas referências)"),"CÓDIGO N/ID",
IF(AND($C473="S",OR($R473="",$R473="(digite a descrição aqui)"),OR($Q473&lt;&gt;"",$T473&gt;0,$U473&gt;0)),"DESCRIÇÃO",
IF(AND($C473="S",$P473&lt;&gt;"",$Q473&lt;&gt;"",$S473=""),"UNIDADE",
IF(AND($C473="S",$P473&lt;&gt;"",$Q473&lt;&gt;"",$U473=0),"SEM CUSTO",
IF(AND(_xlfn.SINGLE(TIPOORCAMENTO)="Licitado",$AL473=0,$AN473&gt;0),"SEM PREÇO",
IF(AND($C473="S",$P473&lt;&gt;"",$Q473&lt;&gt;"",$U473&gt;0,AND($V473&lt;&gt;"BDI 1",$V473&lt;&gt;"BDI 2",$V473&lt;&gt;"BDI 3")),IF(ISNUMBER($V473),"JUSTIFICAR BDI","BDI"),
IF(OR(AND(import.recurso="OGU",TIPOORCAMENTO="Proposto",LEFT($O$8,5)&lt;&gt;"(N/D:",$AG473&lt;&gt;"",ORÇAMENTO.CustoUnitario&gt;$AG473),AND(TIPOORCAMENTO="LICITADO",ORÇAMENTO.PrecoUnitarioLicitado&gt;$AN473)),"ACIMA REF.",
IF(AND($C473="S",$P473&lt;&gt;"",$Q473&lt;&gt;"",$T473=0,$U473&gt;0),"QUANT.",
IF(AND(Import.TipoArredondamento="TransfereGOV",$L473="F",$C473="S",LEN($Q473)&gt;13),"Código &gt;13",
IF(AND(Import.TipoArredondamento="TransfereGOV",$L473="F",$C473&lt;&gt;"S",LEN($R473)&gt;100),"Descrição &gt;100",
IF(AND(Import.TipoArredondamento="TransfereGOV",$L473="F",$C473="S",LEN($R473)&gt;500),"Descrição &gt;500",
IF(AND(Import.TipoArredondamento="TransfereGOV",$L473="F",$C473="S",LEFT(TRIM(UPPER($P473)),6)&lt;&gt;"SINAPI",ISNA(VLOOKUP(TRIM(UPPER($S473)),ListaTgov.Unidades,1,FALSE))),"Unid. Não Disp",
" "))))))))))))))))</f>
        <v xml:space="preserve"> </v>
      </c>
      <c r="AD473" t="str">
        <f ca="1">IF(C473&lt;=CRONO.NivelExibicao,MAX($AD$15:OFFSET(AD473,-1,0))+IF($C473&lt;&gt;1,1,MAX(1,COUNTIF(QCI!$A$13:$A$15,OFFSET($E473,-1,0)))),"")</f>
        <v/>
      </c>
      <c r="AE473" s="7" t="str">
        <f ca="1">IF(AND($C473="S",ORÇAMENTO.CodBarra&lt;&gt;""),IF(ORÇAMENTO.Fonte="",ORÇAMENTO.CodBarra,CONCATENATE(ORÇAMENTO.Fonte," ",ORÇAMENTO.CodBarra)))</f>
        <v>Composição CPU-058</v>
      </c>
      <c r="AF473" s="12">
        <f ca="1">IF(ISERROR(INDIRECT(ORÇAMENTO.BancoRef)),"(abra o arquivo 'Referência "&amp;Excel_BuiltIn_Database&amp;".xlsm)",IF(OR($C473&lt;&gt;"S",ORÇAMENTO.CodBarra=""),"(Sem Código)",IF(ISERROR(MATCH($AE473,INDIRECT(ORÇAMENTO.BancoRef),0)),"(Código não identificado nas referências)",MATCH($AE473,INDIRECT(ORÇAMENTO.BancoRef),0))))</f>
        <v>60</v>
      </c>
      <c r="AG473" s="428">
        <f ca="1">ROUND(IF(DESONERACAO="sim",REFERENCIA.Desonerado,REFERENCIA.NaoDesonerado),2)</f>
        <v>91.5</v>
      </c>
      <c r="AH473" s="429">
        <f t="shared" ca="1" si="146"/>
        <v>0.23499999999999999</v>
      </c>
      <c r="AJ473" s="431">
        <v>6</v>
      </c>
      <c r="AL473" s="439"/>
      <c r="AM473" s="336">
        <f t="shared" ca="1" si="131"/>
        <v>678</v>
      </c>
      <c r="AN473" s="470">
        <f t="shared" ca="1" si="147"/>
        <v>113</v>
      </c>
    </row>
    <row r="474" spans="1:40" x14ac:dyDescent="0.2">
      <c r="A474">
        <f t="shared" si="132"/>
        <v>3</v>
      </c>
      <c r="B474">
        <f t="shared" ca="1" si="133"/>
        <v>3</v>
      </c>
      <c r="C474">
        <f t="shared" ca="1" si="134"/>
        <v>3</v>
      </c>
      <c r="D474">
        <f t="shared" ca="1" si="135"/>
        <v>5</v>
      </c>
      <c r="E474">
        <f ca="1">IF($C474=1,OFFSET(E474,-1,0)+MAX(1,COUNTIF(QCI!$A$13:$A$15,OFFSET(ORÇAMENTO!E474,-1,0))),OFFSET(E474,-1,0))</f>
        <v>1</v>
      </c>
      <c r="F474">
        <f t="shared" ca="1" si="136"/>
        <v>9</v>
      </c>
      <c r="G474">
        <f t="shared" ca="1" si="137"/>
        <v>6</v>
      </c>
      <c r="H474">
        <f t="shared" ca="1" si="138"/>
        <v>0</v>
      </c>
      <c r="I474">
        <f t="shared" ca="1" si="139"/>
        <v>0</v>
      </c>
      <c r="J474">
        <f t="shared" ca="1" si="140"/>
        <v>5</v>
      </c>
      <c r="K474">
        <f ca="1">IF(OR($C474="S",$C474=0),0,MATCH(OFFSET($D474,0,$C474)+IF($C474&lt;&gt;1,1,COUNTIF(QCI!$A$13:$A$15,ORÇAMENTO!E474)),OFFSET($D474,1,$C474,ROW($C$508)-ROW($C474)),0))</f>
        <v>26</v>
      </c>
      <c r="L474" s="114" t="str">
        <f t="shared" ca="1" si="141"/>
        <v>F</v>
      </c>
      <c r="M474" s="115" t="s">
        <v>703</v>
      </c>
      <c r="N474" s="116" t="str">
        <f t="shared" ca="1" si="142"/>
        <v>Nível 3</v>
      </c>
      <c r="O474" s="117" t="str">
        <f t="shared" ca="1" si="143"/>
        <v>1.9.6.</v>
      </c>
      <c r="P474" s="118" t="s">
        <v>750</v>
      </c>
      <c r="Q474" s="119"/>
      <c r="R474" s="120" t="s">
        <v>1262</v>
      </c>
      <c r="S474" s="121" t="s">
        <v>688</v>
      </c>
      <c r="T474" s="122">
        <f ca="1">OFFSET(CÁLCULO!H$15,ROW($T474)-ROW(T$15),0)</f>
        <v>0</v>
      </c>
      <c r="U474" s="123"/>
      <c r="V474" s="124" t="s">
        <v>663</v>
      </c>
      <c r="W474" s="122">
        <f ca="1">IF($C474="S",ROUND(IF(TIPOORCAMENTO="Proposto",ORÇAMENTO.CustoUnitario*(1+$AH474),ORÇAMENTO.PrecoUnitarioLicitado),15-13*$AF$10),0)</f>
        <v>0</v>
      </c>
      <c r="X474" s="125" cm="1">
        <f t="array" aca="1" ref="X474" ca="1">IF($C474="S",IF(OR(Import.TipoArredondamento&lt;&gt;"TransfereGOV",ACOMPANHAMENTO="BM"),VTOTAL1,SUM(OFFSET(CÁLCULO!$AI$15,ROW($X474)-ROW($X$15),1):OFFSET(CÁLCULO!$BB$15,ROW($X474)-ROW($X$15),-1))),IF($C474=0,0,ROUND(SomaAgrup,15-13*$AF$11)))</f>
        <v>9253.19</v>
      </c>
      <c r="Y474" s="126" t="s">
        <v>751</v>
      </c>
      <c r="Z474" t="str">
        <f t="shared" ca="1" si="144"/>
        <v/>
      </c>
      <c r="AA474" s="127">
        <f ca="1">IF($C474="S",IF($Z474="CP",$X474,IF($Z474="RA",(($X474)*QCI!$AA$3),0)),SomaAgrup)</f>
        <v>0</v>
      </c>
      <c r="AB474" s="128">
        <f t="shared" ca="1" si="145"/>
        <v>0</v>
      </c>
      <c r="AC474" s="565" t="str" cm="1">
        <f t="array" aca="1" ref="AC474" ca="1">IF($N474=""," ",
IF(AND($C474&lt;&gt;"S",OR($R474="",$R474="(digite a descrição aqui)")),"DESCRIÇÃO",
IF(AND($C474="S",OR($Q474&lt;&gt;"",$T474&gt;0,$U474&gt;0),$P474=""),"FONTE",
IF(AND($C474="S",$P474&lt;&gt;"",OR($T474&gt;0,$U474&gt;0),$Q474=""),"CÓDIGO",
IF(AND($C474="S",$P474&lt;&gt;"",$Q474&lt;&gt;"",$R474="(Código não identificado nas referências)"),"CÓDIGO N/ID",
IF(AND($C474="S",OR($R474="",$R474="(digite a descrição aqui)"),OR($Q474&lt;&gt;"",$T474&gt;0,$U474&gt;0)),"DESCRIÇÃO",
IF(AND($C474="S",$P474&lt;&gt;"",$Q474&lt;&gt;"",$S474=""),"UNIDADE",
IF(AND($C474="S",$P474&lt;&gt;"",$Q474&lt;&gt;"",$U474=0),"SEM CUSTO",
IF(AND(_xlfn.SINGLE(TIPOORCAMENTO)="Licitado",$AL474=0,$AN474&gt;0),"SEM PREÇO",
IF(AND($C474="S",$P474&lt;&gt;"",$Q474&lt;&gt;"",$U474&gt;0,AND($V474&lt;&gt;"BDI 1",$V474&lt;&gt;"BDI 2",$V474&lt;&gt;"BDI 3")),IF(ISNUMBER($V474),"JUSTIFICAR BDI","BDI"),
IF(OR(AND(import.recurso="OGU",TIPOORCAMENTO="Proposto",LEFT($O$8,5)&lt;&gt;"(N/D:",$AG474&lt;&gt;"",ORÇAMENTO.CustoUnitario&gt;$AG474),AND(TIPOORCAMENTO="LICITADO",ORÇAMENTO.PrecoUnitarioLicitado&gt;$AN474)),"ACIMA REF.",
IF(AND($C474="S",$P474&lt;&gt;"",$Q474&lt;&gt;"",$T474=0,$U474&gt;0),"QUANT.",
IF(AND(Import.TipoArredondamento="TransfereGOV",$L474="F",$C474="S",LEN($Q474)&gt;13),"Código &gt;13",
IF(AND(Import.TipoArredondamento="TransfereGOV",$L474="F",$C474&lt;&gt;"S",LEN($R474)&gt;100),"Descrição &gt;100",
IF(AND(Import.TipoArredondamento="TransfereGOV",$L474="F",$C474="S",LEN($R474)&gt;500),"Descrição &gt;500",
IF(AND(Import.TipoArredondamento="TransfereGOV",$L474="F",$C474="S",LEFT(TRIM(UPPER($P474)),6)&lt;&gt;"SINAPI",ISNA(VLOOKUP(TRIM(UPPER($S474)),ListaTgov.Unidades,1,FALSE))),"Unid. Não Disp",
" "))))))))))))))))</f>
        <v xml:space="preserve"> </v>
      </c>
      <c r="AD474" t="str">
        <f ca="1">IF(C474&lt;=CRONO.NivelExibicao,MAX($AD$15:OFFSET(AD474,-1,0))+IF($C474&lt;&gt;1,1,MAX(1,COUNTIF(QCI!$A$13:$A$15,OFFSET($E474,-1,0)))),"")</f>
        <v/>
      </c>
      <c r="AE474" s="7" t="b">
        <f ca="1">IF(AND($C474="S",ORÇAMENTO.CodBarra&lt;&gt;""),IF(ORÇAMENTO.Fonte="",ORÇAMENTO.CodBarra,CONCATENATE(ORÇAMENTO.Fonte," ",ORÇAMENTO.CodBarra)))</f>
        <v>0</v>
      </c>
      <c r="AF474" s="12" t="str">
        <f ca="1">IF(ISERROR(INDIRECT(ORÇAMENTO.BancoRef)),"(abra o arquivo 'Referência "&amp;Excel_BuiltIn_Database&amp;".xlsm)",IF(OR($C474&lt;&gt;"S",ORÇAMENTO.CodBarra=""),"(Sem Código)",IF(ISERROR(MATCH($AE474,INDIRECT(ORÇAMENTO.BancoRef),0)),"(Código não identificado nas referências)",MATCH($AE474,INDIRECT(ORÇAMENTO.BancoRef),0))))</f>
        <v>(Sem Código)</v>
      </c>
      <c r="AG474" s="428">
        <f ca="1">ROUND(IF(DESONERACAO="sim",REFERENCIA.Desonerado,REFERENCIA.NaoDesonerado),2)</f>
        <v>0</v>
      </c>
      <c r="AH474" s="429">
        <f t="shared" ca="1" si="146"/>
        <v>0.23499999999999999</v>
      </c>
      <c r="AJ474" s="431"/>
      <c r="AL474" s="439"/>
      <c r="AM474" s="336">
        <f t="shared" ca="1" si="131"/>
        <v>9253.19</v>
      </c>
      <c r="AN474" s="470">
        <f t="shared" ca="1" si="147"/>
        <v>0</v>
      </c>
    </row>
    <row r="475" spans="1:40" ht="25.5" x14ac:dyDescent="0.2">
      <c r="A475" t="str">
        <f t="shared" si="132"/>
        <v>S</v>
      </c>
      <c r="B475">
        <f t="shared" ca="1" si="133"/>
        <v>3</v>
      </c>
      <c r="C475" t="str">
        <f t="shared" ca="1" si="134"/>
        <v>S</v>
      </c>
      <c r="D475">
        <f t="shared" ca="1" si="135"/>
        <v>0</v>
      </c>
      <c r="E475">
        <f ca="1">IF($C475=1,OFFSET(E475,-1,0)+MAX(1,COUNTIF(QCI!$A$13:$A$15,OFFSET(ORÇAMENTO!E475,-1,0))),OFFSET(E475,-1,0))</f>
        <v>1</v>
      </c>
      <c r="F475">
        <f t="shared" ca="1" si="136"/>
        <v>9</v>
      </c>
      <c r="G475">
        <f t="shared" ca="1" si="137"/>
        <v>6</v>
      </c>
      <c r="H475">
        <f t="shared" ca="1" si="138"/>
        <v>0</v>
      </c>
      <c r="I475">
        <f t="shared" ca="1" si="139"/>
        <v>1</v>
      </c>
      <c r="J475">
        <f t="shared" ca="1" si="140"/>
        <v>0</v>
      </c>
      <c r="K475">
        <f ca="1">IF(OR($C475="S",$C475=0),0,MATCH(OFFSET($D475,0,$C475)+IF($C475&lt;&gt;1,1,COUNTIF(QCI!$A$13:$A$15,ORÇAMENTO!E475)),OFFSET($D475,1,$C475,ROW($C$508)-ROW($C475)),0))</f>
        <v>0</v>
      </c>
      <c r="L475" s="114" t="str">
        <f t="shared" ca="1" si="141"/>
        <v>F</v>
      </c>
      <c r="M475" s="115" t="s">
        <v>705</v>
      </c>
      <c r="N475" s="116" t="str">
        <f t="shared" ca="1" si="142"/>
        <v>Serviço</v>
      </c>
      <c r="O475" s="117" t="str">
        <f t="shared" ca="1" si="143"/>
        <v>1.9.6.0.1.</v>
      </c>
      <c r="P475" s="118" t="s">
        <v>957</v>
      </c>
      <c r="Q475" s="119" t="s">
        <v>1187</v>
      </c>
      <c r="R475" s="120" t="str">
        <f ca="1">IF($C475="S",REFERENCIA.Descricao,"(digite a descrição aqui)")</f>
        <v>FORNECIMENTO E INSTALAÇÃO DE RACK DE PAREDE 19" x 8U - BASEADO EM IOPES (160810)</v>
      </c>
      <c r="S475" s="121" t="str">
        <f ca="1">REFERENCIA.Unidade</f>
        <v>UN</v>
      </c>
      <c r="T475" s="122">
        <f ca="1">OFFSET(CÁLCULO!H$15,ROW($T475)-ROW(T$15),0)</f>
        <v>1</v>
      </c>
      <c r="U475" s="123">
        <f t="shared" ref="U475:U478" ca="1" si="148">AG475</f>
        <v>533.19000000000005</v>
      </c>
      <c r="V475" s="124" t="s">
        <v>663</v>
      </c>
      <c r="W475" s="122">
        <f ca="1">IF($C475="S",ROUND(IF(TIPOORCAMENTO="Proposto",ORÇAMENTO.CustoUnitario*(1+$AH475),ORÇAMENTO.PrecoUnitarioLicitado),15-13*$AF$10),0)</f>
        <v>658.49</v>
      </c>
      <c r="X475" s="125" cm="1">
        <f t="array" aca="1" ref="X475" ca="1">IF($C475="S",IF(OR(Import.TipoArredondamento&lt;&gt;"TransfereGOV",ACOMPANHAMENTO="BM"),VTOTAL1,SUM(OFFSET(CÁLCULO!$AI$15,ROW($X475)-ROW($X$15),1):OFFSET(CÁLCULO!$BB$15,ROW($X475)-ROW($X$15),-1))),IF($C475=0,0,ROUND(SomaAgrup,15-13*$AF$11)))</f>
        <v>658.49</v>
      </c>
      <c r="Y475" s="126" t="s">
        <v>751</v>
      </c>
      <c r="Z475" t="str">
        <f t="shared" ca="1" si="144"/>
        <v>RA</v>
      </c>
      <c r="AA475" s="127">
        <f ca="1">IF($C475="S",IF($Z475="CP",$X475,IF($Z475="RA",(($X475)*QCI!$AA$3),0)),SomaAgrup)</f>
        <v>0</v>
      </c>
      <c r="AB475" s="128">
        <f t="shared" ca="1" si="145"/>
        <v>0</v>
      </c>
      <c r="AC475" s="565" t="str" cm="1">
        <f t="array" aca="1" ref="AC475" ca="1">IF($N475=""," ",
IF(AND($C475&lt;&gt;"S",OR($R475="",$R475="(digite a descrição aqui)")),"DESCRIÇÃO",
IF(AND($C475="S",OR($Q475&lt;&gt;"",$T475&gt;0,$U475&gt;0),$P475=""),"FONTE",
IF(AND($C475="S",$P475&lt;&gt;"",OR($T475&gt;0,$U475&gt;0),$Q475=""),"CÓDIGO",
IF(AND($C475="S",$P475&lt;&gt;"",$Q475&lt;&gt;"",$R475="(Código não identificado nas referências)"),"CÓDIGO N/ID",
IF(AND($C475="S",OR($R475="",$R475="(digite a descrição aqui)"),OR($Q475&lt;&gt;"",$T475&gt;0,$U475&gt;0)),"DESCRIÇÃO",
IF(AND($C475="S",$P475&lt;&gt;"",$Q475&lt;&gt;"",$S475=""),"UNIDADE",
IF(AND($C475="S",$P475&lt;&gt;"",$Q475&lt;&gt;"",$U475=0),"SEM CUSTO",
IF(AND(_xlfn.SINGLE(TIPOORCAMENTO)="Licitado",$AL475=0,$AN475&gt;0),"SEM PREÇO",
IF(AND($C475="S",$P475&lt;&gt;"",$Q475&lt;&gt;"",$U475&gt;0,AND($V475&lt;&gt;"BDI 1",$V475&lt;&gt;"BDI 2",$V475&lt;&gt;"BDI 3")),IF(ISNUMBER($V475),"JUSTIFICAR BDI","BDI"),
IF(OR(AND(import.recurso="OGU",TIPOORCAMENTO="Proposto",LEFT($O$8,5)&lt;&gt;"(N/D:",$AG475&lt;&gt;"",ORÇAMENTO.CustoUnitario&gt;$AG475),AND(TIPOORCAMENTO="LICITADO",ORÇAMENTO.PrecoUnitarioLicitado&gt;$AN475)),"ACIMA REF.",
IF(AND($C475="S",$P475&lt;&gt;"",$Q475&lt;&gt;"",$T475=0,$U475&gt;0),"QUANT.",
IF(AND(Import.TipoArredondamento="TransfereGOV",$L475="F",$C475="S",LEN($Q475)&gt;13),"Código &gt;13",
IF(AND(Import.TipoArredondamento="TransfereGOV",$L475="F",$C475&lt;&gt;"S",LEN($R475)&gt;100),"Descrição &gt;100",
IF(AND(Import.TipoArredondamento="TransfereGOV",$L475="F",$C475="S",LEN($R475)&gt;500),"Descrição &gt;500",
IF(AND(Import.TipoArredondamento="TransfereGOV",$L475="F",$C475="S",LEFT(TRIM(UPPER($P475)),6)&lt;&gt;"SINAPI",ISNA(VLOOKUP(TRIM(UPPER($S475)),ListaTgov.Unidades,1,FALSE))),"Unid. Não Disp",
" "))))))))))))))))</f>
        <v xml:space="preserve"> </v>
      </c>
      <c r="AD475" t="str">
        <f ca="1">IF(C475&lt;=CRONO.NivelExibicao,MAX($AD$15:OFFSET(AD475,-1,0))+IF($C475&lt;&gt;1,1,MAX(1,COUNTIF(QCI!$A$13:$A$15,OFFSET($E475,-1,0)))),"")</f>
        <v/>
      </c>
      <c r="AE475" s="7" t="str">
        <f ca="1">IF(AND($C475="S",ORÇAMENTO.CodBarra&lt;&gt;""),IF(ORÇAMENTO.Fonte="",ORÇAMENTO.CodBarra,CONCATENATE(ORÇAMENTO.Fonte," ",ORÇAMENTO.CodBarra)))</f>
        <v>Composição CPU-049</v>
      </c>
      <c r="AF475" s="12">
        <f ca="1">IF(ISERROR(INDIRECT(ORÇAMENTO.BancoRef)),"(abra o arquivo 'Referência "&amp;Excel_BuiltIn_Database&amp;".xlsm)",IF(OR($C475&lt;&gt;"S",ORÇAMENTO.CodBarra=""),"(Sem Código)",IF(ISERROR(MATCH($AE475,INDIRECT(ORÇAMENTO.BancoRef),0)),"(Código não identificado nas referências)",MATCH($AE475,INDIRECT(ORÇAMENTO.BancoRef),0))))</f>
        <v>51</v>
      </c>
      <c r="AG475" s="428">
        <f ca="1">ROUND(IF(DESONERACAO="sim",REFERENCIA.Desonerado,REFERENCIA.NaoDesonerado),2)</f>
        <v>533.19000000000005</v>
      </c>
      <c r="AH475" s="429">
        <f t="shared" ca="1" si="146"/>
        <v>0.23499999999999999</v>
      </c>
      <c r="AJ475" s="431">
        <v>1</v>
      </c>
      <c r="AL475" s="439"/>
      <c r="AM475" s="336">
        <f t="shared" ca="1" si="131"/>
        <v>658.49</v>
      </c>
      <c r="AN475" s="470">
        <f t="shared" ca="1" si="147"/>
        <v>658.49</v>
      </c>
    </row>
    <row r="476" spans="1:40" ht="25.5" x14ac:dyDescent="0.2">
      <c r="A476" t="str">
        <f t="shared" si="132"/>
        <v>S</v>
      </c>
      <c r="B476">
        <f t="shared" ca="1" si="133"/>
        <v>3</v>
      </c>
      <c r="C476" t="str">
        <f t="shared" ca="1" si="134"/>
        <v>S</v>
      </c>
      <c r="D476">
        <f t="shared" ca="1" si="135"/>
        <v>0</v>
      </c>
      <c r="E476">
        <f ca="1">IF($C476=1,OFFSET(E476,-1,0)+MAX(1,COUNTIF(QCI!$A$13:$A$15,OFFSET(ORÇAMENTO!E476,-1,0))),OFFSET(E476,-1,0))</f>
        <v>1</v>
      </c>
      <c r="F476">
        <f t="shared" ca="1" si="136"/>
        <v>9</v>
      </c>
      <c r="G476">
        <f t="shared" ca="1" si="137"/>
        <v>6</v>
      </c>
      <c r="H476">
        <f t="shared" ca="1" si="138"/>
        <v>0</v>
      </c>
      <c r="I476">
        <f t="shared" ca="1" si="139"/>
        <v>2</v>
      </c>
      <c r="J476">
        <f t="shared" ca="1" si="140"/>
        <v>0</v>
      </c>
      <c r="K476">
        <f ca="1">IF(OR($C476="S",$C476=0),0,MATCH(OFFSET($D476,0,$C476)+IF($C476&lt;&gt;1,1,COUNTIF(QCI!$A$13:$A$15,ORÇAMENTO!E476)),OFFSET($D476,1,$C476,ROW($C$508)-ROW($C476)),0))</f>
        <v>0</v>
      </c>
      <c r="L476" s="114" t="str">
        <f t="shared" ca="1" si="141"/>
        <v>F</v>
      </c>
      <c r="M476" s="115" t="s">
        <v>705</v>
      </c>
      <c r="N476" s="116" t="str">
        <f t="shared" ca="1" si="142"/>
        <v>Serviço</v>
      </c>
      <c r="O476" s="117" t="str">
        <f t="shared" ca="1" si="143"/>
        <v>1.9.6.0.2.</v>
      </c>
      <c r="P476" s="118" t="s">
        <v>750</v>
      </c>
      <c r="Q476" s="119" t="s">
        <v>1188</v>
      </c>
      <c r="R476" s="120" t="str">
        <f ca="1">IF($C476="S",REFERENCIA.Descricao,"(digite a descrição aqui)")</f>
        <v>PATCH PANEL 24 PORTAS, CATEGORIA 6 - FORNECIMENTO E INSTALAÇÃO. AF_11/2019</v>
      </c>
      <c r="S476" s="121" t="str">
        <f ca="1">REFERENCIA.Unidade</f>
        <v>UN</v>
      </c>
      <c r="T476" s="122">
        <f ca="1">OFFSET(CÁLCULO!H$15,ROW($T476)-ROW(T$15),0)</f>
        <v>5</v>
      </c>
      <c r="U476" s="123">
        <f t="shared" ca="1" si="148"/>
        <v>1267.56</v>
      </c>
      <c r="V476" s="124" t="s">
        <v>663</v>
      </c>
      <c r="W476" s="122">
        <f ca="1">IF($C476="S",ROUND(IF(TIPOORCAMENTO="Proposto",ORÇAMENTO.CustoUnitario*(1+$AH476),ORÇAMENTO.PrecoUnitarioLicitado),15-13*$AF$10),0)</f>
        <v>1565.44</v>
      </c>
      <c r="X476" s="125" cm="1">
        <f t="array" aca="1" ref="X476" ca="1">IF($C476="S",IF(OR(Import.TipoArredondamento&lt;&gt;"TransfereGOV",ACOMPANHAMENTO="BM"),VTOTAL1,SUM(OFFSET(CÁLCULO!$AI$15,ROW($X476)-ROW($X$15),1):OFFSET(CÁLCULO!$BB$15,ROW($X476)-ROW($X$15),-1))),IF($C476=0,0,ROUND(SomaAgrup,15-13*$AF$11)))</f>
        <v>7827.2</v>
      </c>
      <c r="Y476" s="126" t="s">
        <v>751</v>
      </c>
      <c r="Z476" t="str">
        <f t="shared" ca="1" si="144"/>
        <v>RA</v>
      </c>
      <c r="AA476" s="127">
        <f ca="1">IF($C476="S",IF($Z476="CP",$X476,IF($Z476="RA",(($X476)*QCI!$AA$3),0)),SomaAgrup)</f>
        <v>0</v>
      </c>
      <c r="AB476" s="128">
        <f t="shared" ca="1" si="145"/>
        <v>0</v>
      </c>
      <c r="AC476" s="565" t="str" cm="1">
        <f t="array" aca="1" ref="AC476" ca="1">IF($N476=""," ",
IF(AND($C476&lt;&gt;"S",OR($R476="",$R476="(digite a descrição aqui)")),"DESCRIÇÃO",
IF(AND($C476="S",OR($Q476&lt;&gt;"",$T476&gt;0,$U476&gt;0),$P476=""),"FONTE",
IF(AND($C476="S",$P476&lt;&gt;"",OR($T476&gt;0,$U476&gt;0),$Q476=""),"CÓDIGO",
IF(AND($C476="S",$P476&lt;&gt;"",$Q476&lt;&gt;"",$R476="(Código não identificado nas referências)"),"CÓDIGO N/ID",
IF(AND($C476="S",OR($R476="",$R476="(digite a descrição aqui)"),OR($Q476&lt;&gt;"",$T476&gt;0,$U476&gt;0)),"DESCRIÇÃO",
IF(AND($C476="S",$P476&lt;&gt;"",$Q476&lt;&gt;"",$S476=""),"UNIDADE",
IF(AND($C476="S",$P476&lt;&gt;"",$Q476&lt;&gt;"",$U476=0),"SEM CUSTO",
IF(AND(_xlfn.SINGLE(TIPOORCAMENTO)="Licitado",$AL476=0,$AN476&gt;0),"SEM PREÇO",
IF(AND($C476="S",$P476&lt;&gt;"",$Q476&lt;&gt;"",$U476&gt;0,AND($V476&lt;&gt;"BDI 1",$V476&lt;&gt;"BDI 2",$V476&lt;&gt;"BDI 3")),IF(ISNUMBER($V476),"JUSTIFICAR BDI","BDI"),
IF(OR(AND(import.recurso="OGU",TIPOORCAMENTO="Proposto",LEFT($O$8,5)&lt;&gt;"(N/D:",$AG476&lt;&gt;"",ORÇAMENTO.CustoUnitario&gt;$AG476),AND(TIPOORCAMENTO="LICITADO",ORÇAMENTO.PrecoUnitarioLicitado&gt;$AN476)),"ACIMA REF.",
IF(AND($C476="S",$P476&lt;&gt;"",$Q476&lt;&gt;"",$T476=0,$U476&gt;0),"QUANT.",
IF(AND(Import.TipoArredondamento="TransfereGOV",$L476="F",$C476="S",LEN($Q476)&gt;13),"Código &gt;13",
IF(AND(Import.TipoArredondamento="TransfereGOV",$L476="F",$C476&lt;&gt;"S",LEN($R476)&gt;100),"Descrição &gt;100",
IF(AND(Import.TipoArredondamento="TransfereGOV",$L476="F",$C476="S",LEN($R476)&gt;500),"Descrição &gt;500",
IF(AND(Import.TipoArredondamento="TransfereGOV",$L476="F",$C476="S",LEFT(TRIM(UPPER($P476)),6)&lt;&gt;"SINAPI",ISNA(VLOOKUP(TRIM(UPPER($S476)),ListaTgov.Unidades,1,FALSE))),"Unid. Não Disp",
" "))))))))))))))))</f>
        <v xml:space="preserve"> </v>
      </c>
      <c r="AD476" t="str">
        <f ca="1">IF(C476&lt;=CRONO.NivelExibicao,MAX($AD$15:OFFSET(AD476,-1,0))+IF($C476&lt;&gt;1,1,MAX(1,COUNTIF(QCI!$A$13:$A$15,OFFSET($E476,-1,0)))),"")</f>
        <v/>
      </c>
      <c r="AE476" s="7" t="str">
        <f ca="1">IF(AND($C476="S",ORÇAMENTO.CodBarra&lt;&gt;""),IF(ORÇAMENTO.Fonte="",ORÇAMENTO.CodBarra,CONCATENATE(ORÇAMENTO.Fonte," ",ORÇAMENTO.CodBarra)))</f>
        <v>SINAPI 98302</v>
      </c>
      <c r="AF476" s="12">
        <f ca="1">IF(ISERROR(INDIRECT(ORÇAMENTO.BancoRef)),"(abra o arquivo 'Referência "&amp;Excel_BuiltIn_Database&amp;".xlsm)",IF(OR($C476&lt;&gt;"S",ORÇAMENTO.CodBarra=""),"(Sem Código)",IF(ISERROR(MATCH($AE476,INDIRECT(ORÇAMENTO.BancoRef),0)),"(Código não identificado nas referências)",MATCH($AE476,INDIRECT(ORÇAMENTO.BancoRef),0))))</f>
        <v>14651</v>
      </c>
      <c r="AG476" s="428">
        <f ca="1">ROUND(IF(DESONERACAO="sim",REFERENCIA.Desonerado,REFERENCIA.NaoDesonerado),2)</f>
        <v>1267.56</v>
      </c>
      <c r="AH476" s="429">
        <f t="shared" ca="1" si="146"/>
        <v>0.23499999999999999</v>
      </c>
      <c r="AJ476" s="431">
        <v>5</v>
      </c>
      <c r="AL476" s="439"/>
      <c r="AM476" s="336">
        <f t="shared" ca="1" si="131"/>
        <v>7827.2</v>
      </c>
      <c r="AN476" s="470">
        <f t="shared" ca="1" si="147"/>
        <v>1565.44</v>
      </c>
    </row>
    <row r="477" spans="1:40" x14ac:dyDescent="0.2">
      <c r="A477" t="str">
        <f t="shared" si="132"/>
        <v>S</v>
      </c>
      <c r="B477">
        <f t="shared" ca="1" si="133"/>
        <v>3</v>
      </c>
      <c r="C477" t="str">
        <f t="shared" ca="1" si="134"/>
        <v>S</v>
      </c>
      <c r="D477">
        <f t="shared" ca="1" si="135"/>
        <v>0</v>
      </c>
      <c r="E477">
        <f ca="1">IF($C477=1,OFFSET(E477,-1,0)+MAX(1,COUNTIF(QCI!$A$13:$A$15,OFFSET(ORÇAMENTO!E477,-1,0))),OFFSET(E477,-1,0))</f>
        <v>1</v>
      </c>
      <c r="F477">
        <f t="shared" ca="1" si="136"/>
        <v>9</v>
      </c>
      <c r="G477">
        <f t="shared" ca="1" si="137"/>
        <v>6</v>
      </c>
      <c r="H477">
        <f t="shared" ca="1" si="138"/>
        <v>0</v>
      </c>
      <c r="I477">
        <f t="shared" ca="1" si="139"/>
        <v>3</v>
      </c>
      <c r="J477">
        <f t="shared" ca="1" si="140"/>
        <v>0</v>
      </c>
      <c r="K477">
        <f ca="1">IF(OR($C477="S",$C477=0),0,MATCH(OFFSET($D477,0,$C477)+IF($C477&lt;&gt;1,1,COUNTIF(QCI!$A$13:$A$15,ORÇAMENTO!E477)),OFFSET($D477,1,$C477,ROW($C$508)-ROW($C477)),0))</f>
        <v>0</v>
      </c>
      <c r="L477" s="114" t="str">
        <f t="shared" ca="1" si="141"/>
        <v>F</v>
      </c>
      <c r="M477" s="115" t="s">
        <v>705</v>
      </c>
      <c r="N477" s="116" t="str">
        <f t="shared" ca="1" si="142"/>
        <v>Serviço</v>
      </c>
      <c r="O477" s="117" t="str">
        <f t="shared" ca="1" si="143"/>
        <v>1.9.6.0.3.</v>
      </c>
      <c r="P477" s="118" t="s">
        <v>1282</v>
      </c>
      <c r="Q477" s="119" t="s">
        <v>1189</v>
      </c>
      <c r="R477" s="120" t="str">
        <f ca="1">IF($C477="S",REFERENCIA.Descricao,"(digite a descrição aqui)")</f>
        <v>GUIA DE CABOS PARA RACK 1U</v>
      </c>
      <c r="S477" s="121" t="str">
        <f ca="1">REFERENCIA.Unidade</f>
        <v>UN</v>
      </c>
      <c r="T477" s="122">
        <f ca="1">OFFSET(CÁLCULO!H$15,ROW($T477)-ROW(T$15),0)</f>
        <v>5</v>
      </c>
      <c r="U477" s="123">
        <f t="shared" ca="1" si="148"/>
        <v>34.96</v>
      </c>
      <c r="V477" s="124" t="s">
        <v>663</v>
      </c>
      <c r="W477" s="122">
        <f ca="1">IF($C477="S",ROUND(IF(TIPOORCAMENTO="Proposto",ORÇAMENTO.CustoUnitario*(1+$AH477),ORÇAMENTO.PrecoUnitarioLicitado),15-13*$AF$10),0)</f>
        <v>43.18</v>
      </c>
      <c r="X477" s="125" cm="1">
        <f t="array" aca="1" ref="X477" ca="1">IF($C477="S",IF(OR(Import.TipoArredondamento&lt;&gt;"TransfereGOV",ACOMPANHAMENTO="BM"),VTOTAL1,SUM(OFFSET(CÁLCULO!$AI$15,ROW($X477)-ROW($X$15),1):OFFSET(CÁLCULO!$BB$15,ROW($X477)-ROW($X$15),-1))),IF($C477=0,0,ROUND(SomaAgrup,15-13*$AF$11)))</f>
        <v>215.9</v>
      </c>
      <c r="Y477" s="126" t="s">
        <v>751</v>
      </c>
      <c r="Z477" t="str">
        <f t="shared" ca="1" si="144"/>
        <v>RA</v>
      </c>
      <c r="AA477" s="127">
        <f ca="1">IF($C477="S",IF($Z477="CP",$X477,IF($Z477="RA",(($X477)*QCI!$AA$3),0)),SomaAgrup)</f>
        <v>0</v>
      </c>
      <c r="AB477" s="128">
        <f t="shared" ca="1" si="145"/>
        <v>0</v>
      </c>
      <c r="AC477" s="565" t="str" cm="1">
        <f t="array" aca="1" ref="AC477" ca="1">IF($N477=""," ",
IF(AND($C477&lt;&gt;"S",OR($R477="",$R477="(digite a descrição aqui)")),"DESCRIÇÃO",
IF(AND($C477="S",OR($Q477&lt;&gt;"",$T477&gt;0,$U477&gt;0),$P477=""),"FONTE",
IF(AND($C477="S",$P477&lt;&gt;"",OR($T477&gt;0,$U477&gt;0),$Q477=""),"CÓDIGO",
IF(AND($C477="S",$P477&lt;&gt;"",$Q477&lt;&gt;"",$R477="(Código não identificado nas referências)"),"CÓDIGO N/ID",
IF(AND($C477="S",OR($R477="",$R477="(digite a descrição aqui)"),OR($Q477&lt;&gt;"",$T477&gt;0,$U477&gt;0)),"DESCRIÇÃO",
IF(AND($C477="S",$P477&lt;&gt;"",$Q477&lt;&gt;"",$S477=""),"UNIDADE",
IF(AND($C477="S",$P477&lt;&gt;"",$Q477&lt;&gt;"",$U477=0),"SEM CUSTO",
IF(AND(_xlfn.SINGLE(TIPOORCAMENTO)="Licitado",$AL477=0,$AN477&gt;0),"SEM PREÇO",
IF(AND($C477="S",$P477&lt;&gt;"",$Q477&lt;&gt;"",$U477&gt;0,AND($V477&lt;&gt;"BDI 1",$V477&lt;&gt;"BDI 2",$V477&lt;&gt;"BDI 3")),IF(ISNUMBER($V477),"JUSTIFICAR BDI","BDI"),
IF(OR(AND(import.recurso="OGU",TIPOORCAMENTO="Proposto",LEFT($O$8,5)&lt;&gt;"(N/D:",$AG477&lt;&gt;"",ORÇAMENTO.CustoUnitario&gt;$AG477),AND(TIPOORCAMENTO="LICITADO",ORÇAMENTO.PrecoUnitarioLicitado&gt;$AN477)),"ACIMA REF.",
IF(AND($C477="S",$P477&lt;&gt;"",$Q477&lt;&gt;"",$T477=0,$U477&gt;0),"QUANT.",
IF(AND(Import.TipoArredondamento="TransfereGOV",$L477="F",$C477="S",LEN($Q477)&gt;13),"Código &gt;13",
IF(AND(Import.TipoArredondamento="TransfereGOV",$L477="F",$C477&lt;&gt;"S",LEN($R477)&gt;100),"Descrição &gt;100",
IF(AND(Import.TipoArredondamento="TransfereGOV",$L477="F",$C477="S",LEN($R477)&gt;500),"Descrição &gt;500",
IF(AND(Import.TipoArredondamento="TransfereGOV",$L477="F",$C477="S",LEFT(TRIM(UPPER($P477)),6)&lt;&gt;"SINAPI",ISNA(VLOOKUP(TRIM(UPPER($S477)),ListaTgov.Unidades,1,FALSE))),"Unid. Não Disp",
" "))))))))))))))))</f>
        <v xml:space="preserve"> </v>
      </c>
      <c r="AD477" t="str">
        <f ca="1">IF(C477&lt;=CRONO.NivelExibicao,MAX($AD$15:OFFSET(AD477,-1,0))+IF($C477&lt;&gt;1,1,MAX(1,COUNTIF(QCI!$A$13:$A$15,OFFSET($E477,-1,0)))),"")</f>
        <v/>
      </c>
      <c r="AE477" s="7" t="str">
        <f ca="1">IF(AND($C477="S",ORÇAMENTO.CodBarra&lt;&gt;""),IF(ORÇAMENTO.Fonte="",ORÇAMENTO.CodBarra,CONCATENATE(ORÇAMENTO.Fonte," ",ORÇAMENTO.CodBarra)))</f>
        <v>SUDECAP 11.82.54</v>
      </c>
      <c r="AF477" s="12">
        <f ca="1">IF(ISERROR(INDIRECT(ORÇAMENTO.BancoRef)),"(abra o arquivo 'Referência "&amp;Excel_BuiltIn_Database&amp;".xlsm)",IF(OR($C477&lt;&gt;"S",ORÇAMENTO.CodBarra=""),"(Sem Código)",IF(ISERROR(MATCH($AE477,INDIRECT(ORÇAMENTO.BancoRef),0)),"(Código não identificado nas referências)",MATCH($AE477,INDIRECT(ORÇAMENTO.BancoRef),0))))</f>
        <v>25152</v>
      </c>
      <c r="AG477" s="428">
        <f ca="1">ROUND(IF(DESONERACAO="sim",REFERENCIA.Desonerado,REFERENCIA.NaoDesonerado),2)</f>
        <v>34.96</v>
      </c>
      <c r="AH477" s="429">
        <f t="shared" ca="1" si="146"/>
        <v>0.23499999999999999</v>
      </c>
      <c r="AJ477" s="431">
        <v>5</v>
      </c>
      <c r="AL477" s="439"/>
      <c r="AM477" s="336">
        <f t="shared" ca="1" si="131"/>
        <v>215.9</v>
      </c>
      <c r="AN477" s="470">
        <f t="shared" ca="1" si="147"/>
        <v>43.18</v>
      </c>
    </row>
    <row r="478" spans="1:40" ht="25.5" x14ac:dyDescent="0.2">
      <c r="A478" t="str">
        <f t="shared" si="132"/>
        <v>S</v>
      </c>
      <c r="B478">
        <f t="shared" ca="1" si="133"/>
        <v>3</v>
      </c>
      <c r="C478" t="str">
        <f t="shared" ca="1" si="134"/>
        <v>S</v>
      </c>
      <c r="D478">
        <f t="shared" ca="1" si="135"/>
        <v>0</v>
      </c>
      <c r="E478">
        <f ca="1">IF($C478=1,OFFSET(E478,-1,0)+MAX(1,COUNTIF(QCI!$A$13:$A$15,OFFSET(ORÇAMENTO!E478,-1,0))),OFFSET(E478,-1,0))</f>
        <v>1</v>
      </c>
      <c r="F478">
        <f t="shared" ca="1" si="136"/>
        <v>9</v>
      </c>
      <c r="G478">
        <f t="shared" ca="1" si="137"/>
        <v>6</v>
      </c>
      <c r="H478">
        <f t="shared" ca="1" si="138"/>
        <v>0</v>
      </c>
      <c r="I478">
        <f t="shared" ca="1" si="139"/>
        <v>4</v>
      </c>
      <c r="J478">
        <f t="shared" ca="1" si="140"/>
        <v>0</v>
      </c>
      <c r="K478">
        <f ca="1">IF(OR($C478="S",$C478=0),0,MATCH(OFFSET($D478,0,$C478)+IF($C478&lt;&gt;1,1,COUNTIF(QCI!$A$13:$A$15,ORÇAMENTO!E478)),OFFSET($D478,1,$C478,ROW($C$508)-ROW($C478)),0))</f>
        <v>0</v>
      </c>
      <c r="L478" s="114" t="str">
        <f t="shared" ca="1" si="141"/>
        <v>F</v>
      </c>
      <c r="M478" s="115" t="s">
        <v>705</v>
      </c>
      <c r="N478" s="116" t="str">
        <f t="shared" ca="1" si="142"/>
        <v>Serviço</v>
      </c>
      <c r="O478" s="117" t="str">
        <f t="shared" ca="1" si="143"/>
        <v>1.9.6.0.4.</v>
      </c>
      <c r="P478" s="118" t="s">
        <v>1280</v>
      </c>
      <c r="Q478" s="119" t="s">
        <v>1190</v>
      </c>
      <c r="R478" s="120" t="str">
        <f ca="1">IF($C478="S",REFERENCIA.Descricao,"(digite a descrição aqui)")</f>
        <v>RÉGUA COM 8 TOMADAS (2P+T), PARA FIXAÇÃO NO RACK DE 19" (1U)</v>
      </c>
      <c r="S478" s="121" t="str">
        <f ca="1">REFERENCIA.Unidade</f>
        <v>UN</v>
      </c>
      <c r="T478" s="122">
        <f ca="1">OFFSET(CÁLCULO!H$15,ROW($T478)-ROW(T$15),0)</f>
        <v>5</v>
      </c>
      <c r="U478" s="123">
        <f t="shared" ca="1" si="148"/>
        <v>89.33</v>
      </c>
      <c r="V478" s="124" t="s">
        <v>663</v>
      </c>
      <c r="W478" s="122">
        <f ca="1">IF($C478="S",ROUND(IF(TIPOORCAMENTO="Proposto",ORÇAMENTO.CustoUnitario*(1+$AH478),ORÇAMENTO.PrecoUnitarioLicitado),15-13*$AF$10),0)</f>
        <v>110.32</v>
      </c>
      <c r="X478" s="125" cm="1">
        <f t="array" aca="1" ref="X478" ca="1">IF($C478="S",IF(OR(Import.TipoArredondamento&lt;&gt;"TransfereGOV",ACOMPANHAMENTO="BM"),VTOTAL1,SUM(OFFSET(CÁLCULO!$AI$15,ROW($X478)-ROW($X$15),1):OFFSET(CÁLCULO!$BB$15,ROW($X478)-ROW($X$15),-1))),IF($C478=0,0,ROUND(SomaAgrup,15-13*$AF$11)))</f>
        <v>551.6</v>
      </c>
      <c r="Y478" s="126" t="s">
        <v>751</v>
      </c>
      <c r="Z478" t="str">
        <f t="shared" ca="1" si="144"/>
        <v>RA</v>
      </c>
      <c r="AA478" s="127">
        <f ca="1">IF($C478="S",IF($Z478="CP",$X478,IF($Z478="RA",(($X478)*QCI!$AA$3),0)),SomaAgrup)</f>
        <v>0</v>
      </c>
      <c r="AB478" s="128">
        <f t="shared" ca="1" si="145"/>
        <v>0</v>
      </c>
      <c r="AC478" s="565" t="str" cm="1">
        <f t="array" aca="1" ref="AC478" ca="1">IF($N478=""," ",
IF(AND($C478&lt;&gt;"S",OR($R478="",$R478="(digite a descrição aqui)")),"DESCRIÇÃO",
IF(AND($C478="S",OR($Q478&lt;&gt;"",$T478&gt;0,$U478&gt;0),$P478=""),"FONTE",
IF(AND($C478="S",$P478&lt;&gt;"",OR($T478&gt;0,$U478&gt;0),$Q478=""),"CÓDIGO",
IF(AND($C478="S",$P478&lt;&gt;"",$Q478&lt;&gt;"",$R478="(Código não identificado nas referências)"),"CÓDIGO N/ID",
IF(AND($C478="S",OR($R478="",$R478="(digite a descrição aqui)"),OR($Q478&lt;&gt;"",$T478&gt;0,$U478&gt;0)),"DESCRIÇÃO",
IF(AND($C478="S",$P478&lt;&gt;"",$Q478&lt;&gt;"",$S478=""),"UNIDADE",
IF(AND($C478="S",$P478&lt;&gt;"",$Q478&lt;&gt;"",$U478=0),"SEM CUSTO",
IF(AND(_xlfn.SINGLE(TIPOORCAMENTO)="Licitado",$AL478=0,$AN478&gt;0),"SEM PREÇO",
IF(AND($C478="S",$P478&lt;&gt;"",$Q478&lt;&gt;"",$U478&gt;0,AND($V478&lt;&gt;"BDI 1",$V478&lt;&gt;"BDI 2",$V478&lt;&gt;"BDI 3")),IF(ISNUMBER($V478),"JUSTIFICAR BDI","BDI"),
IF(OR(AND(import.recurso="OGU",TIPOORCAMENTO="Proposto",LEFT($O$8,5)&lt;&gt;"(N/D:",$AG478&lt;&gt;"",ORÇAMENTO.CustoUnitario&gt;$AG478),AND(TIPOORCAMENTO="LICITADO",ORÇAMENTO.PrecoUnitarioLicitado&gt;$AN478)),"ACIMA REF.",
IF(AND($C478="S",$P478&lt;&gt;"",$Q478&lt;&gt;"",$T478=0,$U478&gt;0),"QUANT.",
IF(AND(Import.TipoArredondamento="TransfereGOV",$L478="F",$C478="S",LEN($Q478)&gt;13),"Código &gt;13",
IF(AND(Import.TipoArredondamento="TransfereGOV",$L478="F",$C478&lt;&gt;"S",LEN($R478)&gt;100),"Descrição &gt;100",
IF(AND(Import.TipoArredondamento="TransfereGOV",$L478="F",$C478="S",LEN($R478)&gt;500),"Descrição &gt;500",
IF(AND(Import.TipoArredondamento="TransfereGOV",$L478="F",$C478="S",LEFT(TRIM(UPPER($P478)),6)&lt;&gt;"SINAPI",ISNA(VLOOKUP(TRIM(UPPER($S478)),ListaTgov.Unidades,1,FALSE))),"Unid. Não Disp",
" "))))))))))))))))</f>
        <v xml:space="preserve"> </v>
      </c>
      <c r="AD478" t="str">
        <f ca="1">IF(C478&lt;=CRONO.NivelExibicao,MAX($AD$15:OFFSET(AD478,-1,0))+IF($C478&lt;&gt;1,1,MAX(1,COUNTIF(QCI!$A$13:$A$15,OFFSET($E478,-1,0)))),"")</f>
        <v/>
      </c>
      <c r="AE478" s="7" t="str">
        <f ca="1">IF(AND($C478="S",ORÇAMENTO.CodBarra&lt;&gt;""),IF(ORÇAMENTO.Fonte="",ORÇAMENTO.CodBarra,CONCATENATE(ORÇAMENTO.Fonte," ",ORÇAMENTO.CodBarra)))</f>
        <v>SETOP ED-48375</v>
      </c>
      <c r="AF478" s="12">
        <f ca="1">IF(ISERROR(INDIRECT(ORÇAMENTO.BancoRef)),"(abra o arquivo 'Referência "&amp;Excel_BuiltIn_Database&amp;".xlsm)",IF(OR($C478&lt;&gt;"S",ORÇAMENTO.CodBarra=""),"(Sem Código)",IF(ISERROR(MATCH($AE478,INDIRECT(ORÇAMENTO.BancoRef),0)),"(Código não identificado nas referências)",MATCH($AE478,INDIRECT(ORÇAMENTO.BancoRef),0))))</f>
        <v>29470</v>
      </c>
      <c r="AG478" s="428">
        <f ca="1">ROUND(IF(DESONERACAO="sim",REFERENCIA.Desonerado,REFERENCIA.NaoDesonerado),2)</f>
        <v>89.33</v>
      </c>
      <c r="AH478" s="429">
        <f t="shared" ca="1" si="146"/>
        <v>0.23499999999999999</v>
      </c>
      <c r="AJ478" s="431">
        <v>5</v>
      </c>
      <c r="AL478" s="439"/>
      <c r="AM478" s="336">
        <f t="shared" ca="1" si="131"/>
        <v>551.6</v>
      </c>
      <c r="AN478" s="470">
        <f t="shared" ca="1" si="147"/>
        <v>110.32</v>
      </c>
    </row>
    <row r="479" spans="1:40" x14ac:dyDescent="0.2">
      <c r="A479">
        <f t="shared" si="132"/>
        <v>2</v>
      </c>
      <c r="B479">
        <f t="shared" ca="1" si="133"/>
        <v>2</v>
      </c>
      <c r="C479">
        <f t="shared" ca="1" si="134"/>
        <v>2</v>
      </c>
      <c r="D479">
        <f t="shared" ca="1" si="135"/>
        <v>29</v>
      </c>
      <c r="E479">
        <f ca="1">IF($C479=1,OFFSET(E479,-1,0)+MAX(1,COUNTIF(QCI!$A$13:$A$15,OFFSET(ORÇAMENTO!E479,-1,0))),OFFSET(E479,-1,0))</f>
        <v>1</v>
      </c>
      <c r="F479">
        <f t="shared" ca="1" si="136"/>
        <v>10</v>
      </c>
      <c r="G479">
        <f t="shared" ca="1" si="137"/>
        <v>0</v>
      </c>
      <c r="H479">
        <f t="shared" ca="1" si="138"/>
        <v>0</v>
      </c>
      <c r="I479">
        <f t="shared" ca="1" si="139"/>
        <v>0</v>
      </c>
      <c r="J479">
        <f t="shared" ca="1" si="140"/>
        <v>29</v>
      </c>
      <c r="K479" t="e">
        <f ca="1">IF(OR($C479="S",$C479=0),0,MATCH(OFFSET($D479,0,$C479)+IF($C479&lt;&gt;1,1,COUNTIF(QCI!$A$13:$A$15,ORÇAMENTO!E479)),OFFSET($D479,1,$C479,ROW($C$508)-ROW($C479)),0))</f>
        <v>#N/A</v>
      </c>
      <c r="L479" s="114" t="str">
        <f t="shared" ca="1" si="141"/>
        <v>F</v>
      </c>
      <c r="M479" s="115" t="s">
        <v>702</v>
      </c>
      <c r="N479" s="116" t="str">
        <f t="shared" ca="1" si="142"/>
        <v>Nível 2</v>
      </c>
      <c r="O479" s="117" t="str">
        <f t="shared" ca="1" si="143"/>
        <v>1.10.</v>
      </c>
      <c r="P479" s="118" t="s">
        <v>750</v>
      </c>
      <c r="Q479" s="119"/>
      <c r="R479" s="120" t="s">
        <v>1263</v>
      </c>
      <c r="S479" s="121" t="s">
        <v>688</v>
      </c>
      <c r="T479" s="122">
        <f ca="1">OFFSET(CÁLCULO!H$15,ROW($T479)-ROW(T$15),0)</f>
        <v>0</v>
      </c>
      <c r="U479" s="123">
        <f t="shared" ca="1" si="108"/>
        <v>0</v>
      </c>
      <c r="V479" s="124" t="s">
        <v>663</v>
      </c>
      <c r="W479" s="122">
        <f ca="1">IF($C479="S",ROUND(IF(TIPOORCAMENTO="Proposto",ORÇAMENTO.CustoUnitario*(1+$AH479),ORÇAMENTO.PrecoUnitarioLicitado),15-13*$AF$10),0)</f>
        <v>0</v>
      </c>
      <c r="X479" s="125" cm="1">
        <f t="array" aca="1" ref="X479" ca="1">IF($C479="S",IF(OR(Import.TipoArredondamento&lt;&gt;"TransfereGOV",ACOMPANHAMENTO="BM"),VTOTAL1,SUM(OFFSET(CÁLCULO!$AI$15,ROW($X479)-ROW($X$15),1):OFFSET(CÁLCULO!$BB$15,ROW($X479)-ROW($X$15),-1))),IF($C479=0,0,ROUND(SomaAgrup,15-13*$AF$11)))</f>
        <v>113493.85</v>
      </c>
      <c r="Y479" s="126" t="s">
        <v>751</v>
      </c>
      <c r="Z479" t="str">
        <f t="shared" ca="1" si="144"/>
        <v/>
      </c>
      <c r="AA479" s="127">
        <f ca="1">IF($C479="S",IF($Z479="CP",$X479,IF($Z479="RA",(($X479)*QCI!$AA$3),0)),SomaAgrup)</f>
        <v>0</v>
      </c>
      <c r="AB479" s="128">
        <f t="shared" ca="1" si="145"/>
        <v>0</v>
      </c>
      <c r="AC479" s="565" t="str" cm="1">
        <f t="array" aca="1" ref="AC479" ca="1">IF($N479=""," ",
IF(AND($C479&lt;&gt;"S",OR($R479="",$R479="(digite a descrição aqui)")),"DESCRIÇÃO",
IF(AND($C479="S",OR($Q479&lt;&gt;"",$T479&gt;0,$U479&gt;0),$P479=""),"FONTE",
IF(AND($C479="S",$P479&lt;&gt;"",OR($T479&gt;0,$U479&gt;0),$Q479=""),"CÓDIGO",
IF(AND($C479="S",$P479&lt;&gt;"",$Q479&lt;&gt;"",$R479="(Código não identificado nas referências)"),"CÓDIGO N/ID",
IF(AND($C479="S",OR($R479="",$R479="(digite a descrição aqui)"),OR($Q479&lt;&gt;"",$T479&gt;0,$U479&gt;0)),"DESCRIÇÃO",
IF(AND($C479="S",$P479&lt;&gt;"",$Q479&lt;&gt;"",$S479=""),"UNIDADE",
IF(AND($C479="S",$P479&lt;&gt;"",$Q479&lt;&gt;"",$U479=0),"SEM CUSTO",
IF(AND(_xlfn.SINGLE(TIPOORCAMENTO)="Licitado",$AL479=0,$AN479&gt;0),"SEM PREÇO",
IF(AND($C479="S",$P479&lt;&gt;"",$Q479&lt;&gt;"",$U479&gt;0,AND($V479&lt;&gt;"BDI 1",$V479&lt;&gt;"BDI 2",$V479&lt;&gt;"BDI 3")),IF(ISNUMBER($V479),"JUSTIFICAR BDI","BDI"),
IF(OR(AND(import.recurso="OGU",TIPOORCAMENTO="Proposto",LEFT($O$8,5)&lt;&gt;"(N/D:",$AG479&lt;&gt;"",ORÇAMENTO.CustoUnitario&gt;$AG479),AND(TIPOORCAMENTO="LICITADO",ORÇAMENTO.PrecoUnitarioLicitado&gt;$AN479)),"ACIMA REF.",
IF(AND($C479="S",$P479&lt;&gt;"",$Q479&lt;&gt;"",$T479=0,$U479&gt;0),"QUANT.",
IF(AND(Import.TipoArredondamento="TransfereGOV",$L479="F",$C479="S",LEN($Q479)&gt;13),"Código &gt;13",
IF(AND(Import.TipoArredondamento="TransfereGOV",$L479="F",$C479&lt;&gt;"S",LEN($R479)&gt;100),"Descrição &gt;100",
IF(AND(Import.TipoArredondamento="TransfereGOV",$L479="F",$C479="S",LEN($R479)&gt;500),"Descrição &gt;500",
IF(AND(Import.TipoArredondamento="TransfereGOV",$L479="F",$C479="S",LEFT(TRIM(UPPER($P479)),6)&lt;&gt;"SINAPI",ISNA(VLOOKUP(TRIM(UPPER($S479)),ListaTgov.Unidades,1,FALSE))),"Unid. Não Disp",
" "))))))))))))))))</f>
        <v xml:space="preserve"> </v>
      </c>
      <c r="AD479">
        <f ca="1">IF(C479&lt;=CRONO.NivelExibicao,MAX($AD$15:OFFSET(AD479,-1,0))+IF($C479&lt;&gt;1,1,MAX(1,COUNTIF(QCI!$A$13:$A$15,OFFSET($E479,-1,0)))),"")</f>
        <v>11</v>
      </c>
      <c r="AE479" s="7" t="b">
        <f ca="1">IF(AND($C479="S",ORÇAMENTO.CodBarra&lt;&gt;""),IF(ORÇAMENTO.Fonte="",ORÇAMENTO.CodBarra,CONCATENATE(ORÇAMENTO.Fonte," ",ORÇAMENTO.CodBarra)))</f>
        <v>0</v>
      </c>
      <c r="AF479" s="12" t="str">
        <f ca="1">IF(ISERROR(INDIRECT(ORÇAMENTO.BancoRef)),"(abra o arquivo 'Referência "&amp;Excel_BuiltIn_Database&amp;".xlsm)",IF(OR($C479&lt;&gt;"S",ORÇAMENTO.CodBarra=""),"(Sem Código)",IF(ISERROR(MATCH($AE479,INDIRECT(ORÇAMENTO.BancoRef),0)),"(Código não identificado nas referências)",MATCH($AE479,INDIRECT(ORÇAMENTO.BancoRef),0))))</f>
        <v>(Sem Código)</v>
      </c>
      <c r="AG479" s="428">
        <f ca="1">ROUND(IF(DESONERACAO="sim",REFERENCIA.Desonerado,REFERENCIA.NaoDesonerado),2)</f>
        <v>0</v>
      </c>
      <c r="AH479" s="429">
        <f t="shared" ca="1" si="146"/>
        <v>0.23499999999999999</v>
      </c>
      <c r="AJ479" s="431"/>
      <c r="AL479" s="439"/>
      <c r="AM479" s="336">
        <f t="shared" ca="1" si="131"/>
        <v>113493.85</v>
      </c>
      <c r="AN479" s="470">
        <f t="shared" ca="1" si="147"/>
        <v>0</v>
      </c>
    </row>
    <row r="480" spans="1:40" x14ac:dyDescent="0.2">
      <c r="A480">
        <f t="shared" si="132"/>
        <v>3</v>
      </c>
      <c r="B480">
        <f t="shared" ca="1" si="133"/>
        <v>3</v>
      </c>
      <c r="C480">
        <f t="shared" ca="1" si="134"/>
        <v>3</v>
      </c>
      <c r="D480">
        <f t="shared" ca="1" si="135"/>
        <v>3</v>
      </c>
      <c r="E480">
        <f ca="1">IF($C480=1,OFFSET(E480,-1,0)+MAX(1,COUNTIF(QCI!$A$13:$A$15,OFFSET(ORÇAMENTO!E480,-1,0))),OFFSET(E480,-1,0))</f>
        <v>1</v>
      </c>
      <c r="F480">
        <f t="shared" ca="1" si="136"/>
        <v>10</v>
      </c>
      <c r="G480">
        <f t="shared" ca="1" si="137"/>
        <v>1</v>
      </c>
      <c r="H480">
        <f t="shared" ca="1" si="138"/>
        <v>0</v>
      </c>
      <c r="I480">
        <f t="shared" ca="1" si="139"/>
        <v>0</v>
      </c>
      <c r="J480">
        <f t="shared" ca="1" si="140"/>
        <v>28</v>
      </c>
      <c r="K480">
        <f ca="1">IF(OR($C480="S",$C480=0),0,MATCH(OFFSET($D480,0,$C480)+IF($C480&lt;&gt;1,1,COUNTIF(QCI!$A$13:$A$15,ORÇAMENTO!E480)),OFFSET($D480,1,$C480,ROW($C$508)-ROW($C480)),0))</f>
        <v>3</v>
      </c>
      <c r="L480" s="114" t="str">
        <f t="shared" ca="1" si="141"/>
        <v>F</v>
      </c>
      <c r="M480" s="115" t="s">
        <v>703</v>
      </c>
      <c r="N480" s="116" t="str">
        <f t="shared" ca="1" si="142"/>
        <v>Nível 3</v>
      </c>
      <c r="O480" s="117" t="str">
        <f t="shared" ca="1" si="143"/>
        <v>1.10.1.</v>
      </c>
      <c r="P480" s="118" t="s">
        <v>750</v>
      </c>
      <c r="Q480" s="119"/>
      <c r="R480" s="120" t="s">
        <v>1264</v>
      </c>
      <c r="S480" s="121" t="s">
        <v>688</v>
      </c>
      <c r="T480" s="122">
        <f ca="1">OFFSET(CÁLCULO!H$15,ROW($T480)-ROW(T$15),0)</f>
        <v>0</v>
      </c>
      <c r="U480" s="123">
        <f t="shared" ca="1" si="108"/>
        <v>0</v>
      </c>
      <c r="V480" s="124" t="s">
        <v>663</v>
      </c>
      <c r="W480" s="122">
        <f ca="1">IF($C480="S",ROUND(IF(TIPOORCAMENTO="Proposto",ORÇAMENTO.CustoUnitario*(1+$AH480),ORÇAMENTO.PrecoUnitarioLicitado),15-13*$AF$10),0)</f>
        <v>0</v>
      </c>
      <c r="X480" s="125" cm="1">
        <f t="array" aca="1" ref="X480" ca="1">IF($C480="S",IF(OR(Import.TipoArredondamento&lt;&gt;"TransfereGOV",ACOMPANHAMENTO="BM"),VTOTAL1,SUM(OFFSET(CÁLCULO!$AI$15,ROW($X480)-ROW($X$15),1):OFFSET(CÁLCULO!$BB$15,ROW($X480)-ROW($X$15),-1))),IF($C480=0,0,ROUND(SomaAgrup,15-13*$AF$11)))</f>
        <v>965.98</v>
      </c>
      <c r="Y480" s="126" t="s">
        <v>751</v>
      </c>
      <c r="Z480" t="str">
        <f t="shared" ca="1" si="144"/>
        <v/>
      </c>
      <c r="AA480" s="127">
        <f ca="1">IF($C480="S",IF($Z480="CP",$X480,IF($Z480="RA",(($X480)*QCI!$AA$3),0)),SomaAgrup)</f>
        <v>0</v>
      </c>
      <c r="AB480" s="128">
        <f t="shared" ca="1" si="145"/>
        <v>0</v>
      </c>
      <c r="AC480" s="565" t="str" cm="1">
        <f t="array" aca="1" ref="AC480" ca="1">IF($N480=""," ",
IF(AND($C480&lt;&gt;"S",OR($R480="",$R480="(digite a descrição aqui)")),"DESCRIÇÃO",
IF(AND($C480="S",OR($Q480&lt;&gt;"",$T480&gt;0,$U480&gt;0),$P480=""),"FONTE",
IF(AND($C480="S",$P480&lt;&gt;"",OR($T480&gt;0,$U480&gt;0),$Q480=""),"CÓDIGO",
IF(AND($C480="S",$P480&lt;&gt;"",$Q480&lt;&gt;"",$R480="(Código não identificado nas referências)"),"CÓDIGO N/ID",
IF(AND($C480="S",OR($R480="",$R480="(digite a descrição aqui)"),OR($Q480&lt;&gt;"",$T480&gt;0,$U480&gt;0)),"DESCRIÇÃO",
IF(AND($C480="S",$P480&lt;&gt;"",$Q480&lt;&gt;"",$S480=""),"UNIDADE",
IF(AND($C480="S",$P480&lt;&gt;"",$Q480&lt;&gt;"",$U480=0),"SEM CUSTO",
IF(AND(_xlfn.SINGLE(TIPOORCAMENTO)="Licitado",$AL480=0,$AN480&gt;0),"SEM PREÇO",
IF(AND($C480="S",$P480&lt;&gt;"",$Q480&lt;&gt;"",$U480&gt;0,AND($V480&lt;&gt;"BDI 1",$V480&lt;&gt;"BDI 2",$V480&lt;&gt;"BDI 3")),IF(ISNUMBER($V480),"JUSTIFICAR BDI","BDI"),
IF(OR(AND(import.recurso="OGU",TIPOORCAMENTO="Proposto",LEFT($O$8,5)&lt;&gt;"(N/D:",$AG480&lt;&gt;"",ORÇAMENTO.CustoUnitario&gt;$AG480),AND(TIPOORCAMENTO="LICITADO",ORÇAMENTO.PrecoUnitarioLicitado&gt;$AN480)),"ACIMA REF.",
IF(AND($C480="S",$P480&lt;&gt;"",$Q480&lt;&gt;"",$T480=0,$U480&gt;0),"QUANT.",
IF(AND(Import.TipoArredondamento="TransfereGOV",$L480="F",$C480="S",LEN($Q480)&gt;13),"Código &gt;13",
IF(AND(Import.TipoArredondamento="TransfereGOV",$L480="F",$C480&lt;&gt;"S",LEN($R480)&gt;100),"Descrição &gt;100",
IF(AND(Import.TipoArredondamento="TransfereGOV",$L480="F",$C480="S",LEN($R480)&gt;500),"Descrição &gt;500",
IF(AND(Import.TipoArredondamento="TransfereGOV",$L480="F",$C480="S",LEFT(TRIM(UPPER($P480)),6)&lt;&gt;"SINAPI",ISNA(VLOOKUP(TRIM(UPPER($S480)),ListaTgov.Unidades,1,FALSE))),"Unid. Não Disp",
" "))))))))))))))))</f>
        <v xml:space="preserve"> </v>
      </c>
      <c r="AD480" t="str">
        <f ca="1">IF(C480&lt;=CRONO.NivelExibicao,MAX($AD$15:OFFSET(AD480,-1,0))+IF($C480&lt;&gt;1,1,MAX(1,COUNTIF(QCI!$A$13:$A$15,OFFSET($E480,-1,0)))),"")</f>
        <v/>
      </c>
      <c r="AE480" s="7" t="b">
        <f ca="1">IF(AND($C480="S",ORÇAMENTO.CodBarra&lt;&gt;""),IF(ORÇAMENTO.Fonte="",ORÇAMENTO.CodBarra,CONCATENATE(ORÇAMENTO.Fonte," ",ORÇAMENTO.CodBarra)))</f>
        <v>0</v>
      </c>
      <c r="AF480" s="12" t="str">
        <f ca="1">IF(ISERROR(INDIRECT(ORÇAMENTO.BancoRef)),"(abra o arquivo 'Referência "&amp;Excel_BuiltIn_Database&amp;".xlsm)",IF(OR($C480&lt;&gt;"S",ORÇAMENTO.CodBarra=""),"(Sem Código)",IF(ISERROR(MATCH($AE480,INDIRECT(ORÇAMENTO.BancoRef),0)),"(Código não identificado nas referências)",MATCH($AE480,INDIRECT(ORÇAMENTO.BancoRef),0))))</f>
        <v>(Sem Código)</v>
      </c>
      <c r="AG480" s="428">
        <f ca="1">ROUND(IF(DESONERACAO="sim",REFERENCIA.Desonerado,REFERENCIA.NaoDesonerado),2)</f>
        <v>0</v>
      </c>
      <c r="AH480" s="429">
        <f t="shared" ca="1" si="146"/>
        <v>0.23499999999999999</v>
      </c>
      <c r="AJ480" s="431"/>
      <c r="AL480" s="439"/>
      <c r="AM480" s="336">
        <f t="shared" ca="1" si="131"/>
        <v>965.98</v>
      </c>
      <c r="AN480" s="470">
        <f t="shared" ca="1" si="147"/>
        <v>0</v>
      </c>
    </row>
    <row r="481" spans="1:40" ht="38.25" x14ac:dyDescent="0.2">
      <c r="A481" t="str">
        <f t="shared" si="132"/>
        <v>S</v>
      </c>
      <c r="B481">
        <f t="shared" ca="1" si="133"/>
        <v>3</v>
      </c>
      <c r="C481" t="str">
        <f t="shared" ca="1" si="134"/>
        <v>S</v>
      </c>
      <c r="D481">
        <f t="shared" ca="1" si="135"/>
        <v>0</v>
      </c>
      <c r="E481">
        <f ca="1">IF($C481=1,OFFSET(E481,-1,0)+MAX(1,COUNTIF(QCI!$A$13:$A$15,OFFSET(ORÇAMENTO!E481,-1,0))),OFFSET(E481,-1,0))</f>
        <v>1</v>
      </c>
      <c r="F481">
        <f t="shared" ca="1" si="136"/>
        <v>10</v>
      </c>
      <c r="G481">
        <f t="shared" ca="1" si="137"/>
        <v>1</v>
      </c>
      <c r="H481">
        <f t="shared" ca="1" si="138"/>
        <v>0</v>
      </c>
      <c r="I481">
        <f t="shared" ca="1" si="139"/>
        <v>1</v>
      </c>
      <c r="J481">
        <f t="shared" ca="1" si="140"/>
        <v>0</v>
      </c>
      <c r="K481">
        <f ca="1">IF(OR($C481="S",$C481=0),0,MATCH(OFFSET($D481,0,$C481)+IF($C481&lt;&gt;1,1,COUNTIF(QCI!$A$13:$A$15,ORÇAMENTO!E481)),OFFSET($D481,1,$C481,ROW($C$508)-ROW($C481)),0))</f>
        <v>0</v>
      </c>
      <c r="L481" s="114" t="str">
        <f t="shared" ca="1" si="141"/>
        <v>F</v>
      </c>
      <c r="M481" s="115" t="s">
        <v>705</v>
      </c>
      <c r="N481" s="116" t="str">
        <f t="shared" ca="1" si="142"/>
        <v>Serviço</v>
      </c>
      <c r="O481" s="117" t="str">
        <f t="shared" ca="1" si="143"/>
        <v>1.10.1.0.1.</v>
      </c>
      <c r="P481" s="118" t="s">
        <v>1280</v>
      </c>
      <c r="Q481" s="119" t="s">
        <v>1191</v>
      </c>
      <c r="R481" s="120" t="str">
        <f ca="1">IF($C481="S",REFERENCIA.Descricao,"(digite a descrição aqui)")</f>
        <v>FORNECIMENTO DE ANDAIME METÁLICO PARA FACHADA (LOCAÇÃO), INCLUSIVE PISO METÁLICO E SAPATAS, EXCLUSIVE MONTAGEM E DESMONTAGEM</v>
      </c>
      <c r="S481" s="121" t="s">
        <v>623</v>
      </c>
      <c r="T481" s="122">
        <f ca="1">OFFSET(CÁLCULO!H$15,ROW($T481)-ROW(T$15),0)</f>
        <v>26.4</v>
      </c>
      <c r="U481" s="123">
        <f t="shared" ca="1" si="108"/>
        <v>13.5</v>
      </c>
      <c r="V481" s="124" t="s">
        <v>663</v>
      </c>
      <c r="W481" s="122">
        <f ca="1">IF($C481="S",ROUND(IF(TIPOORCAMENTO="Proposto",ORÇAMENTO.CustoUnitario*(1+$AH481),ORÇAMENTO.PrecoUnitarioLicitado),15-13*$AF$10),0)</f>
        <v>16.670000000000002</v>
      </c>
      <c r="X481" s="125" cm="1">
        <f t="array" aca="1" ref="X481" ca="1">IF($C481="S",IF(OR(Import.TipoArredondamento&lt;&gt;"TransfereGOV",ACOMPANHAMENTO="BM"),VTOTAL1,SUM(OFFSET(CÁLCULO!$AI$15,ROW($X481)-ROW($X$15),1):OFFSET(CÁLCULO!$BB$15,ROW($X481)-ROW($X$15),-1))),IF($C481=0,0,ROUND(SomaAgrup,15-13*$AF$11)))</f>
        <v>440.09</v>
      </c>
      <c r="Y481" s="126" t="s">
        <v>751</v>
      </c>
      <c r="Z481" t="str">
        <f t="shared" ca="1" si="144"/>
        <v>RA</v>
      </c>
      <c r="AA481" s="127">
        <f ca="1">IF($C481="S",IF($Z481="CP",$X481,IF($Z481="RA",(($X481)*QCI!$AA$3),0)),SomaAgrup)</f>
        <v>0</v>
      </c>
      <c r="AB481" s="128">
        <f t="shared" ca="1" si="145"/>
        <v>0</v>
      </c>
      <c r="AC481" s="565" t="str" cm="1">
        <f t="array" aca="1" ref="AC481" ca="1">IF($N481=""," ",
IF(AND($C481&lt;&gt;"S",OR($R481="",$R481="(digite a descrição aqui)")),"DESCRIÇÃO",
IF(AND($C481="S",OR($Q481&lt;&gt;"",$T481&gt;0,$U481&gt;0),$P481=""),"FONTE",
IF(AND($C481="S",$P481&lt;&gt;"",OR($T481&gt;0,$U481&gt;0),$Q481=""),"CÓDIGO",
IF(AND($C481="S",$P481&lt;&gt;"",$Q481&lt;&gt;"",$R481="(Código não identificado nas referências)"),"CÓDIGO N/ID",
IF(AND($C481="S",OR($R481="",$R481="(digite a descrição aqui)"),OR($Q481&lt;&gt;"",$T481&gt;0,$U481&gt;0)),"DESCRIÇÃO",
IF(AND($C481="S",$P481&lt;&gt;"",$Q481&lt;&gt;"",$S481=""),"UNIDADE",
IF(AND($C481="S",$P481&lt;&gt;"",$Q481&lt;&gt;"",$U481=0),"SEM CUSTO",
IF(AND(_xlfn.SINGLE(TIPOORCAMENTO)="Licitado",$AL481=0,$AN481&gt;0),"SEM PREÇO",
IF(AND($C481="S",$P481&lt;&gt;"",$Q481&lt;&gt;"",$U481&gt;0,AND($V481&lt;&gt;"BDI 1",$V481&lt;&gt;"BDI 2",$V481&lt;&gt;"BDI 3")),IF(ISNUMBER($V481),"JUSTIFICAR BDI","BDI"),
IF(OR(AND(import.recurso="OGU",TIPOORCAMENTO="Proposto",LEFT($O$8,5)&lt;&gt;"(N/D:",$AG481&lt;&gt;"",ORÇAMENTO.CustoUnitario&gt;$AG481),AND(TIPOORCAMENTO="LICITADO",ORÇAMENTO.PrecoUnitarioLicitado&gt;$AN481)),"ACIMA REF.",
IF(AND($C481="S",$P481&lt;&gt;"",$Q481&lt;&gt;"",$T481=0,$U481&gt;0),"QUANT.",
IF(AND(Import.TipoArredondamento="TransfereGOV",$L481="F",$C481="S",LEN($Q481)&gt;13),"Código &gt;13",
IF(AND(Import.TipoArredondamento="TransfereGOV",$L481="F",$C481&lt;&gt;"S",LEN($R481)&gt;100),"Descrição &gt;100",
IF(AND(Import.TipoArredondamento="TransfereGOV",$L481="F",$C481="S",LEN($R481)&gt;500),"Descrição &gt;500",
IF(AND(Import.TipoArredondamento="TransfereGOV",$L481="F",$C481="S",LEFT(TRIM(UPPER($P481)),6)&lt;&gt;"SINAPI",ISNA(VLOOKUP(TRIM(UPPER($S481)),ListaTgov.Unidades,1,FALSE))),"Unid. Não Disp",
" "))))))))))))))))</f>
        <v xml:space="preserve"> </v>
      </c>
      <c r="AD481" t="str">
        <f ca="1">IF(C481&lt;=CRONO.NivelExibicao,MAX($AD$15:OFFSET(AD481,-1,0))+IF($C481&lt;&gt;1,1,MAX(1,COUNTIF(QCI!$A$13:$A$15,OFFSET($E481,-1,0)))),"")</f>
        <v/>
      </c>
      <c r="AE481" s="7" t="str">
        <f ca="1">IF(AND($C481="S",ORÇAMENTO.CodBarra&lt;&gt;""),IF(ORÇAMENTO.Fonte="",ORÇAMENTO.CodBarra,CONCATENATE(ORÇAMENTO.Fonte," ",ORÇAMENTO.CodBarra)))</f>
        <v>SETOP ED-9075</v>
      </c>
      <c r="AF481" s="12">
        <f ca="1">IF(ISERROR(INDIRECT(ORÇAMENTO.BancoRef)),"(abra o arquivo 'Referência "&amp;Excel_BuiltIn_Database&amp;".xlsm)",IF(OR($C481&lt;&gt;"S",ORÇAMENTO.CodBarra=""),"(Sem Código)",IF(ISERROR(MATCH($AE481,INDIRECT(ORÇAMENTO.BancoRef),0)),"(Código não identificado nas referências)",MATCH($AE481,INDIRECT(ORÇAMENTO.BancoRef),0))))</f>
        <v>27934</v>
      </c>
      <c r="AG481" s="428">
        <f ca="1">ROUND(IF(DESONERACAO="sim",REFERENCIA.Desonerado,REFERENCIA.NaoDesonerado),2)</f>
        <v>13.5</v>
      </c>
      <c r="AH481" s="429">
        <f t="shared" ca="1" si="146"/>
        <v>0.23499999999999999</v>
      </c>
      <c r="AJ481" s="431">
        <f>AJ482*1</f>
        <v>26.400000000000002</v>
      </c>
      <c r="AL481" s="439"/>
      <c r="AM481" s="336">
        <f t="shared" ca="1" si="131"/>
        <v>440.09</v>
      </c>
      <c r="AN481" s="470">
        <f t="shared" ca="1" si="147"/>
        <v>16.670000000000002</v>
      </c>
    </row>
    <row r="482" spans="1:40" ht="38.25" x14ac:dyDescent="0.2">
      <c r="A482" t="str">
        <f t="shared" si="132"/>
        <v>S</v>
      </c>
      <c r="B482">
        <f t="shared" ca="1" si="133"/>
        <v>3</v>
      </c>
      <c r="C482" t="str">
        <f t="shared" ca="1" si="134"/>
        <v>S</v>
      </c>
      <c r="D482">
        <f t="shared" ca="1" si="135"/>
        <v>0</v>
      </c>
      <c r="E482">
        <f ca="1">IF($C482=1,OFFSET(E482,-1,0)+MAX(1,COUNTIF(QCI!$A$13:$A$15,OFFSET(ORÇAMENTO!E482,-1,0))),OFFSET(E482,-1,0))</f>
        <v>1</v>
      </c>
      <c r="F482">
        <f t="shared" ca="1" si="136"/>
        <v>10</v>
      </c>
      <c r="G482">
        <f t="shared" ca="1" si="137"/>
        <v>1</v>
      </c>
      <c r="H482">
        <f t="shared" ca="1" si="138"/>
        <v>0</v>
      </c>
      <c r="I482">
        <f t="shared" ca="1" si="139"/>
        <v>2</v>
      </c>
      <c r="J482">
        <f t="shared" ca="1" si="140"/>
        <v>0</v>
      </c>
      <c r="K482">
        <f ca="1">IF(OR($C482="S",$C482=0),0,MATCH(OFFSET($D482,0,$C482)+IF($C482&lt;&gt;1,1,COUNTIF(QCI!$A$13:$A$15,ORÇAMENTO!E482)),OFFSET($D482,1,$C482,ROW($C$508)-ROW($C482)),0))</f>
        <v>0</v>
      </c>
      <c r="L482" s="114" t="str">
        <f t="shared" ca="1" si="141"/>
        <v>F</v>
      </c>
      <c r="M482" s="115" t="s">
        <v>705</v>
      </c>
      <c r="N482" s="116" t="str">
        <f t="shared" ca="1" si="142"/>
        <v>Serviço</v>
      </c>
      <c r="O482" s="117" t="str">
        <f t="shared" ca="1" si="143"/>
        <v>1.10.1.0.2.</v>
      </c>
      <c r="P482" s="118" t="s">
        <v>1280</v>
      </c>
      <c r="Q482" s="119" t="s">
        <v>1192</v>
      </c>
      <c r="R482" s="120" t="str">
        <f ca="1">IF($C482="S",REFERENCIA.Descricao,"(digite a descrição aqui)")</f>
        <v>MONTAGEM E DESMONTAGEM DE ANDAIME METÁLICO PARA FACHADA COM PISO METÁLICO, INCLUSIVE RODAPÉ/GUARDA-CORPO EM MADEIRA, EXCLUSIVE FORNECIMENTO DO ANDAIME</v>
      </c>
      <c r="S482" s="121" t="str">
        <f ca="1">REFERENCIA.Unidade</f>
        <v>M2</v>
      </c>
      <c r="T482" s="122">
        <f ca="1">OFFSET(CÁLCULO!H$15,ROW($T482)-ROW(T$15),0)</f>
        <v>26.4</v>
      </c>
      <c r="U482" s="123">
        <f t="shared" ca="1" si="108"/>
        <v>16.13</v>
      </c>
      <c r="V482" s="124" t="s">
        <v>663</v>
      </c>
      <c r="W482" s="122">
        <f ca="1">IF($C482="S",ROUND(IF(TIPOORCAMENTO="Proposto",ORÇAMENTO.CustoUnitario*(1+$AH482),ORÇAMENTO.PrecoUnitarioLicitado),15-13*$AF$10),0)</f>
        <v>19.920000000000002</v>
      </c>
      <c r="X482" s="125" cm="1">
        <f t="array" aca="1" ref="X482" ca="1">IF($C482="S",IF(OR(Import.TipoArredondamento&lt;&gt;"TransfereGOV",ACOMPANHAMENTO="BM"),VTOTAL1,SUM(OFFSET(CÁLCULO!$AI$15,ROW($X482)-ROW($X$15),1):OFFSET(CÁLCULO!$BB$15,ROW($X482)-ROW($X$15),-1))),IF($C482=0,0,ROUND(SomaAgrup,15-13*$AF$11)))</f>
        <v>525.89</v>
      </c>
      <c r="Y482" s="126" t="s">
        <v>751</v>
      </c>
      <c r="Z482" t="str">
        <f t="shared" ca="1" si="144"/>
        <v>RA</v>
      </c>
      <c r="AA482" s="127">
        <f ca="1">IF($C482="S",IF($Z482="CP",$X482,IF($Z482="RA",(($X482)*QCI!$AA$3),0)),SomaAgrup)</f>
        <v>0</v>
      </c>
      <c r="AB482" s="128">
        <f t="shared" ca="1" si="145"/>
        <v>0</v>
      </c>
      <c r="AC482" s="565" t="str" cm="1">
        <f t="array" aca="1" ref="AC482" ca="1">IF($N482=""," ",
IF(AND($C482&lt;&gt;"S",OR($R482="",$R482="(digite a descrição aqui)")),"DESCRIÇÃO",
IF(AND($C482="S",OR($Q482&lt;&gt;"",$T482&gt;0,$U482&gt;0),$P482=""),"FONTE",
IF(AND($C482="S",$P482&lt;&gt;"",OR($T482&gt;0,$U482&gt;0),$Q482=""),"CÓDIGO",
IF(AND($C482="S",$P482&lt;&gt;"",$Q482&lt;&gt;"",$R482="(Código não identificado nas referências)"),"CÓDIGO N/ID",
IF(AND($C482="S",OR($R482="",$R482="(digite a descrição aqui)"),OR($Q482&lt;&gt;"",$T482&gt;0,$U482&gt;0)),"DESCRIÇÃO",
IF(AND($C482="S",$P482&lt;&gt;"",$Q482&lt;&gt;"",$S482=""),"UNIDADE",
IF(AND($C482="S",$P482&lt;&gt;"",$Q482&lt;&gt;"",$U482=0),"SEM CUSTO",
IF(AND(_xlfn.SINGLE(TIPOORCAMENTO)="Licitado",$AL482=0,$AN482&gt;0),"SEM PREÇO",
IF(AND($C482="S",$P482&lt;&gt;"",$Q482&lt;&gt;"",$U482&gt;0,AND($V482&lt;&gt;"BDI 1",$V482&lt;&gt;"BDI 2",$V482&lt;&gt;"BDI 3")),IF(ISNUMBER($V482),"JUSTIFICAR BDI","BDI"),
IF(OR(AND(import.recurso="OGU",TIPOORCAMENTO="Proposto",LEFT($O$8,5)&lt;&gt;"(N/D:",$AG482&lt;&gt;"",ORÇAMENTO.CustoUnitario&gt;$AG482),AND(TIPOORCAMENTO="LICITADO",ORÇAMENTO.PrecoUnitarioLicitado&gt;$AN482)),"ACIMA REF.",
IF(AND($C482="S",$P482&lt;&gt;"",$Q482&lt;&gt;"",$T482=0,$U482&gt;0),"QUANT.",
IF(AND(Import.TipoArredondamento="TransfereGOV",$L482="F",$C482="S",LEN($Q482)&gt;13),"Código &gt;13",
IF(AND(Import.TipoArredondamento="TransfereGOV",$L482="F",$C482&lt;&gt;"S",LEN($R482)&gt;100),"Descrição &gt;100",
IF(AND(Import.TipoArredondamento="TransfereGOV",$L482="F",$C482="S",LEN($R482)&gt;500),"Descrição &gt;500",
IF(AND(Import.TipoArredondamento="TransfereGOV",$L482="F",$C482="S",LEFT(TRIM(UPPER($P482)),6)&lt;&gt;"SINAPI",ISNA(VLOOKUP(TRIM(UPPER($S482)),ListaTgov.Unidades,1,FALSE))),"Unid. Não Disp",
" "))))))))))))))))</f>
        <v xml:space="preserve"> </v>
      </c>
      <c r="AD482" t="str">
        <f ca="1">IF(C482&lt;=CRONO.NivelExibicao,MAX($AD$15:OFFSET(AD482,-1,0))+IF($C482&lt;&gt;1,1,MAX(1,COUNTIF(QCI!$A$13:$A$15,OFFSET($E482,-1,0)))),"")</f>
        <v/>
      </c>
      <c r="AE482" s="7" t="str">
        <f ca="1">IF(AND($C482="S",ORÇAMENTO.CodBarra&lt;&gt;""),IF(ORÇAMENTO.Fonte="",ORÇAMENTO.CodBarra,CONCATENATE(ORÇAMENTO.Fonte," ",ORÇAMENTO.CodBarra)))</f>
        <v>SETOP ED-48245</v>
      </c>
      <c r="AF482" s="12">
        <f ca="1">IF(ISERROR(INDIRECT(ORÇAMENTO.BancoRef)),"(abra o arquivo 'Referência "&amp;Excel_BuiltIn_Database&amp;".xlsm)",IF(OR($C482&lt;&gt;"S",ORÇAMENTO.CodBarra=""),"(Sem Código)",IF(ISERROR(MATCH($AE482,INDIRECT(ORÇAMENTO.BancoRef),0)),"(Código não identificado nas referências)",MATCH($AE482,INDIRECT(ORÇAMENTO.BancoRef),0))))</f>
        <v>27937</v>
      </c>
      <c r="AG482" s="428">
        <f ca="1">ROUND(IF(DESONERACAO="sim",REFERENCIA.Desonerado,REFERENCIA.NaoDesonerado),2)</f>
        <v>16.13</v>
      </c>
      <c r="AH482" s="429">
        <f t="shared" ca="1" si="146"/>
        <v>0.23499999999999999</v>
      </c>
      <c r="AJ482" s="431">
        <f>2*4.4*3</f>
        <v>26.400000000000002</v>
      </c>
      <c r="AL482" s="439"/>
      <c r="AM482" s="336">
        <f t="shared" ca="1" si="131"/>
        <v>525.89</v>
      </c>
      <c r="AN482" s="470">
        <f t="shared" ca="1" si="147"/>
        <v>19.920000000000002</v>
      </c>
    </row>
    <row r="483" spans="1:40" x14ac:dyDescent="0.2">
      <c r="A483">
        <f t="shared" si="132"/>
        <v>3</v>
      </c>
      <c r="B483">
        <f t="shared" ca="1" si="133"/>
        <v>3</v>
      </c>
      <c r="C483">
        <f t="shared" ca="1" si="134"/>
        <v>3</v>
      </c>
      <c r="D483">
        <f t="shared" ca="1" si="135"/>
        <v>3</v>
      </c>
      <c r="E483">
        <f ca="1">IF($C483=1,OFFSET(E483,-1,0)+MAX(1,COUNTIF(QCI!$A$13:$A$15,OFFSET(ORÇAMENTO!E483,-1,0))),OFFSET(E483,-1,0))</f>
        <v>1</v>
      </c>
      <c r="F483">
        <f t="shared" ca="1" si="136"/>
        <v>10</v>
      </c>
      <c r="G483">
        <f t="shared" ca="1" si="137"/>
        <v>2</v>
      </c>
      <c r="H483">
        <f t="shared" ca="1" si="138"/>
        <v>0</v>
      </c>
      <c r="I483">
        <f t="shared" ca="1" si="139"/>
        <v>0</v>
      </c>
      <c r="J483">
        <f t="shared" ca="1" si="140"/>
        <v>25</v>
      </c>
      <c r="K483">
        <f ca="1">IF(OR($C483="S",$C483=0),0,MATCH(OFFSET($D483,0,$C483)+IF($C483&lt;&gt;1,1,COUNTIF(QCI!$A$13:$A$15,ORÇAMENTO!E483)),OFFSET($D483,1,$C483,ROW($C$508)-ROW($C483)),0))</f>
        <v>3</v>
      </c>
      <c r="L483" s="114" t="str">
        <f t="shared" ca="1" si="141"/>
        <v>F</v>
      </c>
      <c r="M483" s="115" t="s">
        <v>703</v>
      </c>
      <c r="N483" s="116" t="str">
        <f t="shared" ca="1" si="142"/>
        <v>Nível 3</v>
      </c>
      <c r="O483" s="117" t="str">
        <f t="shared" ca="1" si="143"/>
        <v>1.10.2.</v>
      </c>
      <c r="P483" s="118" t="s">
        <v>750</v>
      </c>
      <c r="Q483" s="119"/>
      <c r="R483" s="120" t="s">
        <v>1265</v>
      </c>
      <c r="S483" s="121" t="s">
        <v>688</v>
      </c>
      <c r="T483" s="122">
        <f ca="1">OFFSET(CÁLCULO!H$15,ROW($T483)-ROW(T$15),0)</f>
        <v>0</v>
      </c>
      <c r="U483" s="123">
        <f t="shared" ca="1" si="108"/>
        <v>0</v>
      </c>
      <c r="V483" s="124" t="s">
        <v>663</v>
      </c>
      <c r="W483" s="122">
        <f ca="1">IF($C483="S",ROUND(IF(TIPOORCAMENTO="Proposto",ORÇAMENTO.CustoUnitario*(1+$AH483),ORÇAMENTO.PrecoUnitarioLicitado),15-13*$AF$10),0)</f>
        <v>0</v>
      </c>
      <c r="X483" s="125" cm="1">
        <f t="array" aca="1" ref="X483" ca="1">IF($C483="S",IF(OR(Import.TipoArredondamento&lt;&gt;"TransfereGOV",ACOMPANHAMENTO="BM"),VTOTAL1,SUM(OFFSET(CÁLCULO!$AI$15,ROW($X483)-ROW($X$15),1):OFFSET(CÁLCULO!$BB$15,ROW($X483)-ROW($X$15),-1))),IF($C483=0,0,ROUND(SomaAgrup,15-13*$AF$11)))</f>
        <v>9890.81</v>
      </c>
      <c r="Y483" s="126" t="s">
        <v>751</v>
      </c>
      <c r="Z483" t="str">
        <f t="shared" ca="1" si="144"/>
        <v/>
      </c>
      <c r="AA483" s="127">
        <f ca="1">IF($C483="S",IF($Z483="CP",$X483,IF($Z483="RA",(($X483)*QCI!$AA$3),0)),SomaAgrup)</f>
        <v>0</v>
      </c>
      <c r="AB483" s="128">
        <f t="shared" ca="1" si="145"/>
        <v>0</v>
      </c>
      <c r="AC483" s="565" t="str" cm="1">
        <f t="array" aca="1" ref="AC483" ca="1">IF($N483=""," ",
IF(AND($C483&lt;&gt;"S",OR($R483="",$R483="(digite a descrição aqui)")),"DESCRIÇÃO",
IF(AND($C483="S",OR($Q483&lt;&gt;"",$T483&gt;0,$U483&gt;0),$P483=""),"FONTE",
IF(AND($C483="S",$P483&lt;&gt;"",OR($T483&gt;0,$U483&gt;0),$Q483=""),"CÓDIGO",
IF(AND($C483="S",$P483&lt;&gt;"",$Q483&lt;&gt;"",$R483="(Código não identificado nas referências)"),"CÓDIGO N/ID",
IF(AND($C483="S",OR($R483="",$R483="(digite a descrição aqui)"),OR($Q483&lt;&gt;"",$T483&gt;0,$U483&gt;0)),"DESCRIÇÃO",
IF(AND($C483="S",$P483&lt;&gt;"",$Q483&lt;&gt;"",$S483=""),"UNIDADE",
IF(AND($C483="S",$P483&lt;&gt;"",$Q483&lt;&gt;"",$U483=0),"SEM CUSTO",
IF(AND(_xlfn.SINGLE(TIPOORCAMENTO)="Licitado",$AL483=0,$AN483&gt;0),"SEM PREÇO",
IF(AND($C483="S",$P483&lt;&gt;"",$Q483&lt;&gt;"",$U483&gt;0,AND($V483&lt;&gt;"BDI 1",$V483&lt;&gt;"BDI 2",$V483&lt;&gt;"BDI 3")),IF(ISNUMBER($V483),"JUSTIFICAR BDI","BDI"),
IF(OR(AND(import.recurso="OGU",TIPOORCAMENTO="Proposto",LEFT($O$8,5)&lt;&gt;"(N/D:",$AG483&lt;&gt;"",ORÇAMENTO.CustoUnitario&gt;$AG483),AND(TIPOORCAMENTO="LICITADO",ORÇAMENTO.PrecoUnitarioLicitado&gt;$AN483)),"ACIMA REF.",
IF(AND($C483="S",$P483&lt;&gt;"",$Q483&lt;&gt;"",$T483=0,$U483&gt;0),"QUANT.",
IF(AND(Import.TipoArredondamento="TransfereGOV",$L483="F",$C483="S",LEN($Q483)&gt;13),"Código &gt;13",
IF(AND(Import.TipoArredondamento="TransfereGOV",$L483="F",$C483&lt;&gt;"S",LEN($R483)&gt;100),"Descrição &gt;100",
IF(AND(Import.TipoArredondamento="TransfereGOV",$L483="F",$C483="S",LEN($R483)&gt;500),"Descrição &gt;500",
IF(AND(Import.TipoArredondamento="TransfereGOV",$L483="F",$C483="S",LEFT(TRIM(UPPER($P483)),6)&lt;&gt;"SINAPI",ISNA(VLOOKUP(TRIM(UPPER($S483)),ListaTgov.Unidades,1,FALSE))),"Unid. Não Disp",
" "))))))))))))))))</f>
        <v xml:space="preserve"> </v>
      </c>
      <c r="AD483" t="str">
        <f ca="1">IF(C483&lt;=CRONO.NivelExibicao,MAX($AD$15:OFFSET(AD483,-1,0))+IF($C483&lt;&gt;1,1,MAX(1,COUNTIF(QCI!$A$13:$A$15,OFFSET($E483,-1,0)))),"")</f>
        <v/>
      </c>
      <c r="AE483" s="7" t="b">
        <f ca="1">IF(AND($C483="S",ORÇAMENTO.CodBarra&lt;&gt;""),IF(ORÇAMENTO.Fonte="",ORÇAMENTO.CodBarra,CONCATENATE(ORÇAMENTO.Fonte," ",ORÇAMENTO.CodBarra)))</f>
        <v>0</v>
      </c>
      <c r="AF483" s="12" t="str">
        <f ca="1">IF(ISERROR(INDIRECT(ORÇAMENTO.BancoRef)),"(abra o arquivo 'Referência "&amp;Excel_BuiltIn_Database&amp;".xlsm)",IF(OR($C483&lt;&gt;"S",ORÇAMENTO.CodBarra=""),"(Sem Código)",IF(ISERROR(MATCH($AE483,INDIRECT(ORÇAMENTO.BancoRef),0)),"(Código não identificado nas referências)",MATCH($AE483,INDIRECT(ORÇAMENTO.BancoRef),0))))</f>
        <v>(Sem Código)</v>
      </c>
      <c r="AG483" s="428">
        <f ca="1">ROUND(IF(DESONERACAO="sim",REFERENCIA.Desonerado,REFERENCIA.NaoDesonerado),2)</f>
        <v>0</v>
      </c>
      <c r="AH483" s="429">
        <f t="shared" ca="1" si="146"/>
        <v>0.23499999999999999</v>
      </c>
      <c r="AJ483" s="431"/>
      <c r="AL483" s="439"/>
      <c r="AM483" s="336">
        <f t="shared" ca="1" si="131"/>
        <v>9890.81</v>
      </c>
      <c r="AN483" s="470">
        <f t="shared" ca="1" si="147"/>
        <v>0</v>
      </c>
    </row>
    <row r="484" spans="1:40" ht="51" x14ac:dyDescent="0.2">
      <c r="A484" t="str">
        <f t="shared" si="132"/>
        <v>S</v>
      </c>
      <c r="B484">
        <f t="shared" ca="1" si="133"/>
        <v>3</v>
      </c>
      <c r="C484" t="str">
        <f t="shared" ca="1" si="134"/>
        <v>S</v>
      </c>
      <c r="D484">
        <f t="shared" ca="1" si="135"/>
        <v>0</v>
      </c>
      <c r="E484">
        <f ca="1">IF($C484=1,OFFSET(E484,-1,0)+MAX(1,COUNTIF(QCI!$A$13:$A$15,OFFSET(ORÇAMENTO!E484,-1,0))),OFFSET(E484,-1,0))</f>
        <v>1</v>
      </c>
      <c r="F484">
        <f t="shared" ca="1" si="136"/>
        <v>10</v>
      </c>
      <c r="G484">
        <f t="shared" ca="1" si="137"/>
        <v>2</v>
      </c>
      <c r="H484">
        <f t="shared" ca="1" si="138"/>
        <v>0</v>
      </c>
      <c r="I484">
        <f t="shared" ca="1" si="139"/>
        <v>1</v>
      </c>
      <c r="J484">
        <f t="shared" ca="1" si="140"/>
        <v>0</v>
      </c>
      <c r="K484">
        <f ca="1">IF(OR($C484="S",$C484=0),0,MATCH(OFFSET($D484,0,$C484)+IF($C484&lt;&gt;1,1,COUNTIF(QCI!$A$13:$A$15,ORÇAMENTO!E484)),OFFSET($D484,1,$C484,ROW($C$508)-ROW($C484)),0))</f>
        <v>0</v>
      </c>
      <c r="L484" s="114" t="str">
        <f t="shared" ca="1" si="141"/>
        <v>F</v>
      </c>
      <c r="M484" s="115" t="s">
        <v>705</v>
      </c>
      <c r="N484" s="116" t="str">
        <f t="shared" ca="1" si="142"/>
        <v>Serviço</v>
      </c>
      <c r="O484" s="117" t="str">
        <f t="shared" ca="1" si="143"/>
        <v>1.10.2.0.1.</v>
      </c>
      <c r="P484" s="118" t="s">
        <v>750</v>
      </c>
      <c r="Q484" s="119">
        <v>103334</v>
      </c>
      <c r="R484" s="120" t="str">
        <f ca="1">IF($C484="S",REFERENCIA.Descricao,"(digite a descrição aqui)")</f>
        <v>ALVENARIA DE VEDAÇÃO DE BLOCOS CERÂMICOS FURADOS NA HORIZONTAL DE 14X9X19 CM (ESPESSURA 14 CM, BLOCO DEITADO) E ARGAMASSA DE ASSENTAMENTO COM PREPARO EM BETONEIRA. AF_12/2021</v>
      </c>
      <c r="S484" s="121" t="str">
        <f ca="1">REFERENCIA.Unidade</f>
        <v>M2</v>
      </c>
      <c r="T484" s="122">
        <f ca="1">OFFSET(CÁLCULO!H$15,ROW($T484)-ROW(T$15),0)</f>
        <v>52.53</v>
      </c>
      <c r="U484" s="123">
        <f t="shared" ca="1" si="108"/>
        <v>150.47999999999999</v>
      </c>
      <c r="V484" s="124" t="s">
        <v>663</v>
      </c>
      <c r="W484" s="122">
        <f ca="1">IF($C484="S",ROUND(IF(TIPOORCAMENTO="Proposto",ORÇAMENTO.CustoUnitario*(1+$AH484),ORÇAMENTO.PrecoUnitarioLicitado),15-13*$AF$10),0)</f>
        <v>185.84</v>
      </c>
      <c r="X484" s="125" cm="1">
        <f t="array" aca="1" ref="X484" ca="1">IF($C484="S",IF(OR(Import.TipoArredondamento&lt;&gt;"TransfereGOV",ACOMPANHAMENTO="BM"),VTOTAL1,SUM(OFFSET(CÁLCULO!$AI$15,ROW($X484)-ROW($X$15),1):OFFSET(CÁLCULO!$BB$15,ROW($X484)-ROW($X$15),-1))),IF($C484=0,0,ROUND(SomaAgrup,15-13*$AF$11)))</f>
        <v>9762.18</v>
      </c>
      <c r="Y484" s="126" t="s">
        <v>751</v>
      </c>
      <c r="Z484" t="str">
        <f t="shared" ca="1" si="144"/>
        <v>RA</v>
      </c>
      <c r="AA484" s="127">
        <f ca="1">IF($C484="S",IF($Z484="CP",$X484,IF($Z484="RA",(($X484)*QCI!$AA$3),0)),SomaAgrup)</f>
        <v>0</v>
      </c>
      <c r="AB484" s="128">
        <f t="shared" ca="1" si="145"/>
        <v>0</v>
      </c>
      <c r="AC484" s="565" t="str" cm="1">
        <f t="array" aca="1" ref="AC484" ca="1">IF($N484=""," ",
IF(AND($C484&lt;&gt;"S",OR($R484="",$R484="(digite a descrição aqui)")),"DESCRIÇÃO",
IF(AND($C484="S",OR($Q484&lt;&gt;"",$T484&gt;0,$U484&gt;0),$P484=""),"FONTE",
IF(AND($C484="S",$P484&lt;&gt;"",OR($T484&gt;0,$U484&gt;0),$Q484=""),"CÓDIGO",
IF(AND($C484="S",$P484&lt;&gt;"",$Q484&lt;&gt;"",$R484="(Código não identificado nas referências)"),"CÓDIGO N/ID",
IF(AND($C484="S",OR($R484="",$R484="(digite a descrição aqui)"),OR($Q484&lt;&gt;"",$T484&gt;0,$U484&gt;0)),"DESCRIÇÃO",
IF(AND($C484="S",$P484&lt;&gt;"",$Q484&lt;&gt;"",$S484=""),"UNIDADE",
IF(AND($C484="S",$P484&lt;&gt;"",$Q484&lt;&gt;"",$U484=0),"SEM CUSTO",
IF(AND(_xlfn.SINGLE(TIPOORCAMENTO)="Licitado",$AL484=0,$AN484&gt;0),"SEM PREÇO",
IF(AND($C484="S",$P484&lt;&gt;"",$Q484&lt;&gt;"",$U484&gt;0,AND($V484&lt;&gt;"BDI 1",$V484&lt;&gt;"BDI 2",$V484&lt;&gt;"BDI 3")),IF(ISNUMBER($V484),"JUSTIFICAR BDI","BDI"),
IF(OR(AND(import.recurso="OGU",TIPOORCAMENTO="Proposto",LEFT($O$8,5)&lt;&gt;"(N/D:",$AG484&lt;&gt;"",ORÇAMENTO.CustoUnitario&gt;$AG484),AND(TIPOORCAMENTO="LICITADO",ORÇAMENTO.PrecoUnitarioLicitado&gt;$AN484)),"ACIMA REF.",
IF(AND($C484="S",$P484&lt;&gt;"",$Q484&lt;&gt;"",$T484=0,$U484&gt;0),"QUANT.",
IF(AND(Import.TipoArredondamento="TransfereGOV",$L484="F",$C484="S",LEN($Q484)&gt;13),"Código &gt;13",
IF(AND(Import.TipoArredondamento="TransfereGOV",$L484="F",$C484&lt;&gt;"S",LEN($R484)&gt;100),"Descrição &gt;100",
IF(AND(Import.TipoArredondamento="TransfereGOV",$L484="F",$C484="S",LEN($R484)&gt;500),"Descrição &gt;500",
IF(AND(Import.TipoArredondamento="TransfereGOV",$L484="F",$C484="S",LEFT(TRIM(UPPER($P484)),6)&lt;&gt;"SINAPI",ISNA(VLOOKUP(TRIM(UPPER($S484)),ListaTgov.Unidades,1,FALSE))),"Unid. Não Disp",
" "))))))))))))))))</f>
        <v xml:space="preserve"> </v>
      </c>
      <c r="AD484" t="str">
        <f ca="1">IF(C484&lt;=CRONO.NivelExibicao,MAX($AD$15:OFFSET(AD484,-1,0))+IF($C484&lt;&gt;1,1,MAX(1,COUNTIF(QCI!$A$13:$A$15,OFFSET($E484,-1,0)))),"")</f>
        <v/>
      </c>
      <c r="AE484" s="7" t="str">
        <f ca="1">IF(AND($C484="S",ORÇAMENTO.CodBarra&lt;&gt;""),IF(ORÇAMENTO.Fonte="",ORÇAMENTO.CodBarra,CONCATENATE(ORÇAMENTO.Fonte," ",ORÇAMENTO.CodBarra)))</f>
        <v>SINAPI 103334</v>
      </c>
      <c r="AF484" s="12">
        <f ca="1">IF(ISERROR(INDIRECT(ORÇAMENTO.BancoRef)),"(abra o arquivo 'Referência "&amp;Excel_BuiltIn_Database&amp;".xlsm)",IF(OR($C484&lt;&gt;"S",ORÇAMENTO.CodBarra=""),"(Sem Código)",IF(ISERROR(MATCH($AE484,INDIRECT(ORÇAMENTO.BancoRef),0)),"(Código não identificado nas referências)",MATCH($AE484,INDIRECT(ORÇAMENTO.BancoRef),0))))</f>
        <v>6100</v>
      </c>
      <c r="AG484" s="428">
        <f ca="1">ROUND(IF(DESONERACAO="sim",REFERENCIA.Desonerado,REFERENCIA.NaoDesonerado),2)</f>
        <v>150.47999999999999</v>
      </c>
      <c r="AH484" s="429">
        <f t="shared" ca="1" si="146"/>
        <v>0.23499999999999999</v>
      </c>
      <c r="AJ484" s="431">
        <v>52.53</v>
      </c>
      <c r="AL484" s="439"/>
      <c r="AM484" s="336">
        <f t="shared" ca="1" si="131"/>
        <v>9762.18</v>
      </c>
      <c r="AN484" s="470">
        <f t="shared" ca="1" si="147"/>
        <v>185.84</v>
      </c>
    </row>
    <row r="485" spans="1:40" ht="25.5" x14ac:dyDescent="0.2">
      <c r="A485" t="str">
        <f t="shared" si="132"/>
        <v>S</v>
      </c>
      <c r="B485">
        <f t="shared" ca="1" si="133"/>
        <v>3</v>
      </c>
      <c r="C485" t="str">
        <f t="shared" ca="1" si="134"/>
        <v>S</v>
      </c>
      <c r="D485">
        <f t="shared" ca="1" si="135"/>
        <v>0</v>
      </c>
      <c r="E485">
        <f ca="1">IF($C485=1,OFFSET(E485,-1,0)+MAX(1,COUNTIF(QCI!$A$13:$A$15,OFFSET(ORÇAMENTO!E485,-1,0))),OFFSET(E485,-1,0))</f>
        <v>1</v>
      </c>
      <c r="F485">
        <f t="shared" ca="1" si="136"/>
        <v>10</v>
      </c>
      <c r="G485">
        <f t="shared" ca="1" si="137"/>
        <v>2</v>
      </c>
      <c r="H485">
        <f t="shared" ca="1" si="138"/>
        <v>0</v>
      </c>
      <c r="I485">
        <f t="shared" ca="1" si="139"/>
        <v>2</v>
      </c>
      <c r="J485">
        <f t="shared" ca="1" si="140"/>
        <v>0</v>
      </c>
      <c r="K485">
        <f ca="1">IF(OR($C485="S",$C485=0),0,MATCH(OFFSET($D485,0,$C485)+IF($C485&lt;&gt;1,1,COUNTIF(QCI!$A$13:$A$15,ORÇAMENTO!E485)),OFFSET($D485,1,$C485,ROW($C$508)-ROW($C485)),0))</f>
        <v>0</v>
      </c>
      <c r="L485" s="114" t="str">
        <f t="shared" ca="1" si="141"/>
        <v>F</v>
      </c>
      <c r="M485" s="115" t="s">
        <v>705</v>
      </c>
      <c r="N485" s="116" t="str">
        <f t="shared" ca="1" si="142"/>
        <v>Serviço</v>
      </c>
      <c r="O485" s="117" t="str">
        <f t="shared" ca="1" si="143"/>
        <v>1.10.2.0.2.</v>
      </c>
      <c r="P485" s="118" t="s">
        <v>1280</v>
      </c>
      <c r="Q485" s="119" t="s">
        <v>1193</v>
      </c>
      <c r="R485" s="120" t="str">
        <f ca="1">IF($C485="S",REFERENCIA.Descricao,"(digite a descrição aqui)")</f>
        <v>ENCUNHAMENTO DE ALVENARIA DE VEDAÇÃO COM ARGAMASSA, INCLUSIVE ADITIVO EXPANSOR PARA ENCUNHAMENTO</v>
      </c>
      <c r="S485" s="121" t="str">
        <f ca="1">REFERENCIA.Unidade</f>
        <v>M</v>
      </c>
      <c r="T485" s="122">
        <f ca="1">OFFSET(CÁLCULO!H$15,ROW($T485)-ROW(T$15),0)</f>
        <v>14.12</v>
      </c>
      <c r="U485" s="123">
        <f t="shared" ca="1" si="108"/>
        <v>7.38</v>
      </c>
      <c r="V485" s="124" t="s">
        <v>663</v>
      </c>
      <c r="W485" s="122">
        <f ca="1">IF($C485="S",ROUND(IF(TIPOORCAMENTO="Proposto",ORÇAMENTO.CustoUnitario*(1+$AH485),ORÇAMENTO.PrecoUnitarioLicitado),15-13*$AF$10),0)</f>
        <v>9.11</v>
      </c>
      <c r="X485" s="125" cm="1">
        <f t="array" aca="1" ref="X485" ca="1">IF($C485="S",IF(OR(Import.TipoArredondamento&lt;&gt;"TransfereGOV",ACOMPANHAMENTO="BM"),VTOTAL1,SUM(OFFSET(CÁLCULO!$AI$15,ROW($X485)-ROW($X$15),1):OFFSET(CÁLCULO!$BB$15,ROW($X485)-ROW($X$15),-1))),IF($C485=0,0,ROUND(SomaAgrup,15-13*$AF$11)))</f>
        <v>128.63</v>
      </c>
      <c r="Y485" s="126" t="s">
        <v>751</v>
      </c>
      <c r="Z485" t="str">
        <f t="shared" ca="1" si="144"/>
        <v>RA</v>
      </c>
      <c r="AA485" s="127">
        <f ca="1">IF($C485="S",IF($Z485="CP",$X485,IF($Z485="RA",(($X485)*QCI!$AA$3),0)),SomaAgrup)</f>
        <v>0</v>
      </c>
      <c r="AB485" s="128">
        <f t="shared" ca="1" si="145"/>
        <v>0</v>
      </c>
      <c r="AC485" s="565" t="str" cm="1">
        <f t="array" aca="1" ref="AC485" ca="1">IF($N485=""," ",
IF(AND($C485&lt;&gt;"S",OR($R485="",$R485="(digite a descrição aqui)")),"DESCRIÇÃO",
IF(AND($C485="S",OR($Q485&lt;&gt;"",$T485&gt;0,$U485&gt;0),$P485=""),"FONTE",
IF(AND($C485="S",$P485&lt;&gt;"",OR($T485&gt;0,$U485&gt;0),$Q485=""),"CÓDIGO",
IF(AND($C485="S",$P485&lt;&gt;"",$Q485&lt;&gt;"",$R485="(Código não identificado nas referências)"),"CÓDIGO N/ID",
IF(AND($C485="S",OR($R485="",$R485="(digite a descrição aqui)"),OR($Q485&lt;&gt;"",$T485&gt;0,$U485&gt;0)),"DESCRIÇÃO",
IF(AND($C485="S",$P485&lt;&gt;"",$Q485&lt;&gt;"",$S485=""),"UNIDADE",
IF(AND($C485="S",$P485&lt;&gt;"",$Q485&lt;&gt;"",$U485=0),"SEM CUSTO",
IF(AND(_xlfn.SINGLE(TIPOORCAMENTO)="Licitado",$AL485=0,$AN485&gt;0),"SEM PREÇO",
IF(AND($C485="S",$P485&lt;&gt;"",$Q485&lt;&gt;"",$U485&gt;0,AND($V485&lt;&gt;"BDI 1",$V485&lt;&gt;"BDI 2",$V485&lt;&gt;"BDI 3")),IF(ISNUMBER($V485),"JUSTIFICAR BDI","BDI"),
IF(OR(AND(import.recurso="OGU",TIPOORCAMENTO="Proposto",LEFT($O$8,5)&lt;&gt;"(N/D:",$AG485&lt;&gt;"",ORÇAMENTO.CustoUnitario&gt;$AG485),AND(TIPOORCAMENTO="LICITADO",ORÇAMENTO.PrecoUnitarioLicitado&gt;$AN485)),"ACIMA REF.",
IF(AND($C485="S",$P485&lt;&gt;"",$Q485&lt;&gt;"",$T485=0,$U485&gt;0),"QUANT.",
IF(AND(Import.TipoArredondamento="TransfereGOV",$L485="F",$C485="S",LEN($Q485)&gt;13),"Código &gt;13",
IF(AND(Import.TipoArredondamento="TransfereGOV",$L485="F",$C485&lt;&gt;"S",LEN($R485)&gt;100),"Descrição &gt;100",
IF(AND(Import.TipoArredondamento="TransfereGOV",$L485="F",$C485="S",LEN($R485)&gt;500),"Descrição &gt;500",
IF(AND(Import.TipoArredondamento="TransfereGOV",$L485="F",$C485="S",LEFT(TRIM(UPPER($P485)),6)&lt;&gt;"SINAPI",ISNA(VLOOKUP(TRIM(UPPER($S485)),ListaTgov.Unidades,1,FALSE))),"Unid. Não Disp",
" "))))))))))))))))</f>
        <v xml:space="preserve"> </v>
      </c>
      <c r="AD485" t="str">
        <f ca="1">IF(C485&lt;=CRONO.NivelExibicao,MAX($AD$15:OFFSET(AD485,-1,0))+IF($C485&lt;&gt;1,1,MAX(1,COUNTIF(QCI!$A$13:$A$15,OFFSET($E485,-1,0)))),"")</f>
        <v/>
      </c>
      <c r="AE485" s="7" t="str">
        <f ca="1">IF(AND($C485="S",ORÇAMENTO.CodBarra&lt;&gt;""),IF(ORÇAMENTO.Fonte="",ORÇAMENTO.CodBarra,CONCATENATE(ORÇAMENTO.Fonte," ",ORÇAMENTO.CodBarra)))</f>
        <v>SETOP ED-8346</v>
      </c>
      <c r="AF485" s="12">
        <f ca="1">IF(ISERROR(INDIRECT(ORÇAMENTO.BancoRef)),"(abra o arquivo 'Referência "&amp;Excel_BuiltIn_Database&amp;".xlsm)",IF(OR($C485&lt;&gt;"S",ORÇAMENTO.CodBarra=""),"(Sem Código)",IF(ISERROR(MATCH($AE485,INDIRECT(ORÇAMENTO.BancoRef),0)),"(Código não identificado nas referências)",MATCH($AE485,INDIRECT(ORÇAMENTO.BancoRef),0))))</f>
        <v>28224</v>
      </c>
      <c r="AG485" s="428">
        <f ca="1">ROUND(IF(DESONERACAO="sim",REFERENCIA.Desonerado,REFERENCIA.NaoDesonerado),2)</f>
        <v>7.38</v>
      </c>
      <c r="AH485" s="429">
        <f t="shared" ca="1" si="146"/>
        <v>0.23499999999999999</v>
      </c>
      <c r="AJ485" s="431">
        <f>4.38*2+2.68*2</f>
        <v>14.120000000000001</v>
      </c>
      <c r="AL485" s="439"/>
      <c r="AM485" s="336">
        <f t="shared" ca="1" si="131"/>
        <v>128.63</v>
      </c>
      <c r="AN485" s="470">
        <f t="shared" ca="1" si="147"/>
        <v>9.11</v>
      </c>
    </row>
    <row r="486" spans="1:40" x14ac:dyDescent="0.2">
      <c r="A486">
        <f t="shared" si="132"/>
        <v>3</v>
      </c>
      <c r="B486">
        <f t="shared" ca="1" si="133"/>
        <v>3</v>
      </c>
      <c r="C486">
        <f t="shared" ca="1" si="134"/>
        <v>3</v>
      </c>
      <c r="D486">
        <f t="shared" ca="1" si="135"/>
        <v>3</v>
      </c>
      <c r="E486">
        <f ca="1">IF($C486=1,OFFSET(E486,-1,0)+MAX(1,COUNTIF(QCI!$A$13:$A$15,OFFSET(ORÇAMENTO!E486,-1,0))),OFFSET(E486,-1,0))</f>
        <v>1</v>
      </c>
      <c r="F486">
        <f t="shared" ca="1" si="136"/>
        <v>10</v>
      </c>
      <c r="G486">
        <f t="shared" ca="1" si="137"/>
        <v>3</v>
      </c>
      <c r="H486">
        <f t="shared" ca="1" si="138"/>
        <v>0</v>
      </c>
      <c r="I486">
        <f t="shared" ca="1" si="139"/>
        <v>0</v>
      </c>
      <c r="J486">
        <f t="shared" ca="1" si="140"/>
        <v>22</v>
      </c>
      <c r="K486">
        <f ca="1">IF(OR($C486="S",$C486=0),0,MATCH(OFFSET($D486,0,$C486)+IF($C486&lt;&gt;1,1,COUNTIF(QCI!$A$13:$A$15,ORÇAMENTO!E486)),OFFSET($D486,1,$C486,ROW($C$508)-ROW($C486)),0))</f>
        <v>3</v>
      </c>
      <c r="L486" s="114" t="str">
        <f t="shared" ca="1" si="141"/>
        <v>F</v>
      </c>
      <c r="M486" s="115" t="s">
        <v>703</v>
      </c>
      <c r="N486" s="116" t="str">
        <f t="shared" ca="1" si="142"/>
        <v>Nível 3</v>
      </c>
      <c r="O486" s="117" t="str">
        <f t="shared" ca="1" si="143"/>
        <v>1.10.3.</v>
      </c>
      <c r="P486" s="118" t="s">
        <v>750</v>
      </c>
      <c r="Q486" s="119"/>
      <c r="R486" s="120" t="s">
        <v>1266</v>
      </c>
      <c r="S486" s="121" t="s">
        <v>688</v>
      </c>
      <c r="T486" s="122">
        <f ca="1">OFFSET(CÁLCULO!H$15,ROW($T486)-ROW(T$15),0)</f>
        <v>0</v>
      </c>
      <c r="U486" s="123">
        <f t="shared" ca="1" si="108"/>
        <v>0</v>
      </c>
      <c r="V486" s="124" t="s">
        <v>663</v>
      </c>
      <c r="W486" s="122">
        <f ca="1">IF($C486="S",ROUND(IF(TIPOORCAMENTO="Proposto",ORÇAMENTO.CustoUnitario*(1+$AH486),ORÇAMENTO.PrecoUnitarioLicitado),15-13*$AF$10),0)</f>
        <v>0</v>
      </c>
      <c r="X486" s="125" cm="1">
        <f t="array" aca="1" ref="X486" ca="1">IF($C486="S",IF(OR(Import.TipoArredondamento&lt;&gt;"TransfereGOV",ACOMPANHAMENTO="BM"),VTOTAL1,SUM(OFFSET(CÁLCULO!$AI$15,ROW($X486)-ROW($X$15),1):OFFSET(CÁLCULO!$BB$15,ROW($X486)-ROW($X$15),-1))),IF($C486=0,0,ROUND(SomaAgrup,15-13*$AF$11)))</f>
        <v>5879.17</v>
      </c>
      <c r="Y486" s="126" t="s">
        <v>751</v>
      </c>
      <c r="Z486" t="str">
        <f t="shared" ca="1" si="144"/>
        <v/>
      </c>
      <c r="AA486" s="127">
        <f ca="1">IF($C486="S",IF($Z486="CP",$X486,IF($Z486="RA",(($X486)*QCI!$AA$3),0)),SomaAgrup)</f>
        <v>0</v>
      </c>
      <c r="AB486" s="128">
        <f t="shared" ca="1" si="145"/>
        <v>0</v>
      </c>
      <c r="AC486" s="565" t="str" cm="1">
        <f t="array" aca="1" ref="AC486" ca="1">IF($N486=""," ",
IF(AND($C486&lt;&gt;"S",OR($R486="",$R486="(digite a descrição aqui)")),"DESCRIÇÃO",
IF(AND($C486="S",OR($Q486&lt;&gt;"",$T486&gt;0,$U486&gt;0),$P486=""),"FONTE",
IF(AND($C486="S",$P486&lt;&gt;"",OR($T486&gt;0,$U486&gt;0),$Q486=""),"CÓDIGO",
IF(AND($C486="S",$P486&lt;&gt;"",$Q486&lt;&gt;"",$R486="(Código não identificado nas referências)"),"CÓDIGO N/ID",
IF(AND($C486="S",OR($R486="",$R486="(digite a descrição aqui)"),OR($Q486&lt;&gt;"",$T486&gt;0,$U486&gt;0)),"DESCRIÇÃO",
IF(AND($C486="S",$P486&lt;&gt;"",$Q486&lt;&gt;"",$S486=""),"UNIDADE",
IF(AND($C486="S",$P486&lt;&gt;"",$Q486&lt;&gt;"",$U486=0),"SEM CUSTO",
IF(AND(_xlfn.SINGLE(TIPOORCAMENTO)="Licitado",$AL486=0,$AN486&gt;0),"SEM PREÇO",
IF(AND($C486="S",$P486&lt;&gt;"",$Q486&lt;&gt;"",$U486&gt;0,AND($V486&lt;&gt;"BDI 1",$V486&lt;&gt;"BDI 2",$V486&lt;&gt;"BDI 3")),IF(ISNUMBER($V486),"JUSTIFICAR BDI","BDI"),
IF(OR(AND(import.recurso="OGU",TIPOORCAMENTO="Proposto",LEFT($O$8,5)&lt;&gt;"(N/D:",$AG486&lt;&gt;"",ORÇAMENTO.CustoUnitario&gt;$AG486),AND(TIPOORCAMENTO="LICITADO",ORÇAMENTO.PrecoUnitarioLicitado&gt;$AN486)),"ACIMA REF.",
IF(AND($C486="S",$P486&lt;&gt;"",$Q486&lt;&gt;"",$T486=0,$U486&gt;0),"QUANT.",
IF(AND(Import.TipoArredondamento="TransfereGOV",$L486="F",$C486="S",LEN($Q486)&gt;13),"Código &gt;13",
IF(AND(Import.TipoArredondamento="TransfereGOV",$L486="F",$C486&lt;&gt;"S",LEN($R486)&gt;100),"Descrição &gt;100",
IF(AND(Import.TipoArredondamento="TransfereGOV",$L486="F",$C486="S",LEN($R486)&gt;500),"Descrição &gt;500",
IF(AND(Import.TipoArredondamento="TransfereGOV",$L486="F",$C486="S",LEFT(TRIM(UPPER($P486)),6)&lt;&gt;"SINAPI",ISNA(VLOOKUP(TRIM(UPPER($S486)),ListaTgov.Unidades,1,FALSE))),"Unid. Não Disp",
" "))))))))))))))))</f>
        <v xml:space="preserve"> </v>
      </c>
      <c r="AD486" t="str">
        <f ca="1">IF(C486&lt;=CRONO.NivelExibicao,MAX($AD$15:OFFSET(AD486,-1,0))+IF($C486&lt;&gt;1,1,MAX(1,COUNTIF(QCI!$A$13:$A$15,OFFSET($E486,-1,0)))),"")</f>
        <v/>
      </c>
      <c r="AE486" s="7" t="b">
        <f ca="1">IF(AND($C486="S",ORÇAMENTO.CodBarra&lt;&gt;""),IF(ORÇAMENTO.Fonte="",ORÇAMENTO.CodBarra,CONCATENATE(ORÇAMENTO.Fonte," ",ORÇAMENTO.CodBarra)))</f>
        <v>0</v>
      </c>
      <c r="AF486" s="12" t="str">
        <f ca="1">IF(ISERROR(INDIRECT(ORÇAMENTO.BancoRef)),"(abra o arquivo 'Referência "&amp;Excel_BuiltIn_Database&amp;".xlsm)",IF(OR($C486&lt;&gt;"S",ORÇAMENTO.CodBarra=""),"(Sem Código)",IF(ISERROR(MATCH($AE486,INDIRECT(ORÇAMENTO.BancoRef),0)),"(Código não identificado nas referências)",MATCH($AE486,INDIRECT(ORÇAMENTO.BancoRef),0))))</f>
        <v>(Sem Código)</v>
      </c>
      <c r="AG486" s="428">
        <f ca="1">ROUND(IF(DESONERACAO="sim",REFERENCIA.Desonerado,REFERENCIA.NaoDesonerado),2)</f>
        <v>0</v>
      </c>
      <c r="AH486" s="429">
        <f t="shared" ca="1" si="146"/>
        <v>0.23499999999999999</v>
      </c>
      <c r="AJ486" s="431"/>
      <c r="AL486" s="439"/>
      <c r="AM486" s="336">
        <f t="shared" ca="1" si="131"/>
        <v>5879.17</v>
      </c>
      <c r="AN486" s="470">
        <f t="shared" ca="1" si="147"/>
        <v>0</v>
      </c>
    </row>
    <row r="487" spans="1:40" ht="38.25" x14ac:dyDescent="0.2">
      <c r="A487" t="str">
        <f t="shared" si="132"/>
        <v>S</v>
      </c>
      <c r="B487">
        <f t="shared" ca="1" si="133"/>
        <v>3</v>
      </c>
      <c r="C487" t="str">
        <f t="shared" ca="1" si="134"/>
        <v>S</v>
      </c>
      <c r="D487">
        <f t="shared" ca="1" si="135"/>
        <v>0</v>
      </c>
      <c r="E487">
        <f ca="1">IF($C487=1,OFFSET(E487,-1,0)+MAX(1,COUNTIF(QCI!$A$13:$A$15,OFFSET(ORÇAMENTO!E487,-1,0))),OFFSET(E487,-1,0))</f>
        <v>1</v>
      </c>
      <c r="F487">
        <f t="shared" ca="1" si="136"/>
        <v>10</v>
      </c>
      <c r="G487">
        <f t="shared" ca="1" si="137"/>
        <v>3</v>
      </c>
      <c r="H487">
        <f t="shared" ca="1" si="138"/>
        <v>0</v>
      </c>
      <c r="I487">
        <f t="shared" ca="1" si="139"/>
        <v>1</v>
      </c>
      <c r="J487">
        <f t="shared" ca="1" si="140"/>
        <v>0</v>
      </c>
      <c r="K487">
        <f ca="1">IF(OR($C487="S",$C487=0),0,MATCH(OFFSET($D487,0,$C487)+IF($C487&lt;&gt;1,1,COUNTIF(QCI!$A$13:$A$15,ORÇAMENTO!E487)),OFFSET($D487,1,$C487,ROW($C$508)-ROW($C487)),0))</f>
        <v>0</v>
      </c>
      <c r="L487" s="114" t="str">
        <f t="shared" ca="1" si="141"/>
        <v>F</v>
      </c>
      <c r="M487" s="115" t="s">
        <v>705</v>
      </c>
      <c r="N487" s="116" t="str">
        <f t="shared" ca="1" si="142"/>
        <v>Serviço</v>
      </c>
      <c r="O487" s="117" t="str">
        <f t="shared" ca="1" si="143"/>
        <v>1.10.3.0.1.</v>
      </c>
      <c r="P487" s="118" t="s">
        <v>1280</v>
      </c>
      <c r="Q487" s="119" t="s">
        <v>1194</v>
      </c>
      <c r="R487" s="120" t="str">
        <f ca="1">IF($C487="S",REFERENCIA.Descricao,"(digite a descrição aqui)")</f>
        <v>CHAPISCO COM ARGAMASSA, TRAÇO 1:2:3 (CIMENTO, AREIA E PEDRISCO), APLICADO COM COLHER, ESP. 5MM, INCLUSIVE ARGAMASSA COM PREPARO MECANIZADO</v>
      </c>
      <c r="S487" s="121" t="str">
        <f ca="1">REFERENCIA.Unidade</f>
        <v>M2</v>
      </c>
      <c r="T487" s="122">
        <f ca="1">OFFSET(CÁLCULO!H$15,ROW($T487)-ROW(T$15),0)</f>
        <v>86.97</v>
      </c>
      <c r="U487" s="123">
        <f t="shared" ca="1" si="108"/>
        <v>15.54</v>
      </c>
      <c r="V487" s="124" t="s">
        <v>663</v>
      </c>
      <c r="W487" s="122">
        <f ca="1">IF($C487="S",ROUND(IF(TIPOORCAMENTO="Proposto",ORÇAMENTO.CustoUnitario*(1+$AH487),ORÇAMENTO.PrecoUnitarioLicitado),15-13*$AF$10),0)</f>
        <v>19.190000000000001</v>
      </c>
      <c r="X487" s="125" cm="1">
        <f t="array" aca="1" ref="X487" ca="1">IF($C487="S",IF(OR(Import.TipoArredondamento&lt;&gt;"TransfereGOV",ACOMPANHAMENTO="BM"),VTOTAL1,SUM(OFFSET(CÁLCULO!$AI$15,ROW($X487)-ROW($X$15),1):OFFSET(CÁLCULO!$BB$15,ROW($X487)-ROW($X$15),-1))),IF($C487=0,0,ROUND(SomaAgrup,15-13*$AF$11)))</f>
        <v>1668.95</v>
      </c>
      <c r="Y487" s="126" t="s">
        <v>751</v>
      </c>
      <c r="Z487" t="str">
        <f t="shared" ca="1" si="144"/>
        <v>RA</v>
      </c>
      <c r="AA487" s="127">
        <f ca="1">IF($C487="S",IF($Z487="CP",$X487,IF($Z487="RA",(($X487)*QCI!$AA$3),0)),SomaAgrup)</f>
        <v>0</v>
      </c>
      <c r="AB487" s="128">
        <f t="shared" ca="1" si="145"/>
        <v>0</v>
      </c>
      <c r="AC487" s="565" t="str" cm="1">
        <f t="array" aca="1" ref="AC487" ca="1">IF($N487=""," ",
IF(AND($C487&lt;&gt;"S",OR($R487="",$R487="(digite a descrição aqui)")),"DESCRIÇÃO",
IF(AND($C487="S",OR($Q487&lt;&gt;"",$T487&gt;0,$U487&gt;0),$P487=""),"FONTE",
IF(AND($C487="S",$P487&lt;&gt;"",OR($T487&gt;0,$U487&gt;0),$Q487=""),"CÓDIGO",
IF(AND($C487="S",$P487&lt;&gt;"",$Q487&lt;&gt;"",$R487="(Código não identificado nas referências)"),"CÓDIGO N/ID",
IF(AND($C487="S",OR($R487="",$R487="(digite a descrição aqui)"),OR($Q487&lt;&gt;"",$T487&gt;0,$U487&gt;0)),"DESCRIÇÃO",
IF(AND($C487="S",$P487&lt;&gt;"",$Q487&lt;&gt;"",$S487=""),"UNIDADE",
IF(AND($C487="S",$P487&lt;&gt;"",$Q487&lt;&gt;"",$U487=0),"SEM CUSTO",
IF(AND(_xlfn.SINGLE(TIPOORCAMENTO)="Licitado",$AL487=0,$AN487&gt;0),"SEM PREÇO",
IF(AND($C487="S",$P487&lt;&gt;"",$Q487&lt;&gt;"",$U487&gt;0,AND($V487&lt;&gt;"BDI 1",$V487&lt;&gt;"BDI 2",$V487&lt;&gt;"BDI 3")),IF(ISNUMBER($V487),"JUSTIFICAR BDI","BDI"),
IF(OR(AND(import.recurso="OGU",TIPOORCAMENTO="Proposto",LEFT($O$8,5)&lt;&gt;"(N/D:",$AG487&lt;&gt;"",ORÇAMENTO.CustoUnitario&gt;$AG487),AND(TIPOORCAMENTO="LICITADO",ORÇAMENTO.PrecoUnitarioLicitado&gt;$AN487)),"ACIMA REF.",
IF(AND($C487="S",$P487&lt;&gt;"",$Q487&lt;&gt;"",$T487=0,$U487&gt;0),"QUANT.",
IF(AND(Import.TipoArredondamento="TransfereGOV",$L487="F",$C487="S",LEN($Q487)&gt;13),"Código &gt;13",
IF(AND(Import.TipoArredondamento="TransfereGOV",$L487="F",$C487&lt;&gt;"S",LEN($R487)&gt;100),"Descrição &gt;100",
IF(AND(Import.TipoArredondamento="TransfereGOV",$L487="F",$C487="S",LEN($R487)&gt;500),"Descrição &gt;500",
IF(AND(Import.TipoArredondamento="TransfereGOV",$L487="F",$C487="S",LEFT(TRIM(UPPER($P487)),6)&lt;&gt;"SINAPI",ISNA(VLOOKUP(TRIM(UPPER($S487)),ListaTgov.Unidades,1,FALSE))),"Unid. Não Disp",
" "))))))))))))))))</f>
        <v xml:space="preserve"> </v>
      </c>
      <c r="AD487" t="str">
        <f ca="1">IF(C487&lt;=CRONO.NivelExibicao,MAX($AD$15:OFFSET(AD487,-1,0))+IF($C487&lt;&gt;1,1,MAX(1,COUNTIF(QCI!$A$13:$A$15,OFFSET($E487,-1,0)))),"")</f>
        <v/>
      </c>
      <c r="AE487" s="7" t="str">
        <f ca="1">IF(AND($C487="S",ORÇAMENTO.CodBarra&lt;&gt;""),IF(ORÇAMENTO.Fonte="",ORÇAMENTO.CodBarra,CONCATENATE(ORÇAMENTO.Fonte," ",ORÇAMENTO.CodBarra)))</f>
        <v>SETOP ED-50730</v>
      </c>
      <c r="AF487" s="12">
        <f ca="1">IF(ISERROR(INDIRECT(ORÇAMENTO.BancoRef)),"(abra o arquivo 'Referência "&amp;Excel_BuiltIn_Database&amp;".xlsm)",IF(OR($C487&lt;&gt;"S",ORÇAMENTO.CodBarra=""),"(Sem Código)",IF(ISERROR(MATCH($AE487,INDIRECT(ORÇAMENTO.BancoRef),0)),"(Código não identificado nas referências)",MATCH($AE487,INDIRECT(ORÇAMENTO.BancoRef),0))))</f>
        <v>28553</v>
      </c>
      <c r="AG487" s="428">
        <f ca="1">ROUND(IF(DESONERACAO="sim",REFERENCIA.Desonerado,REFERENCIA.NaoDesonerado),2)</f>
        <v>15.54</v>
      </c>
      <c r="AH487" s="429">
        <f t="shared" ca="1" si="146"/>
        <v>0.23499999999999999</v>
      </c>
      <c r="AJ487" s="431">
        <f>34.44+52.53</f>
        <v>86.97</v>
      </c>
      <c r="AL487" s="439"/>
      <c r="AM487" s="336">
        <f t="shared" ca="1" si="131"/>
        <v>1668.95</v>
      </c>
      <c r="AN487" s="470">
        <f t="shared" ca="1" si="147"/>
        <v>19.190000000000001</v>
      </c>
    </row>
    <row r="488" spans="1:40" ht="38.25" x14ac:dyDescent="0.2">
      <c r="A488" t="str">
        <f t="shared" si="132"/>
        <v>S</v>
      </c>
      <c r="B488">
        <f t="shared" ca="1" si="133"/>
        <v>3</v>
      </c>
      <c r="C488" t="str">
        <f t="shared" ca="1" si="134"/>
        <v>S</v>
      </c>
      <c r="D488">
        <f t="shared" ca="1" si="135"/>
        <v>0</v>
      </c>
      <c r="E488">
        <f ca="1">IF($C488=1,OFFSET(E488,-1,0)+MAX(1,COUNTIF(QCI!$A$13:$A$15,OFFSET(ORÇAMENTO!E488,-1,0))),OFFSET(E488,-1,0))</f>
        <v>1</v>
      </c>
      <c r="F488">
        <f t="shared" ca="1" si="136"/>
        <v>10</v>
      </c>
      <c r="G488">
        <f t="shared" ca="1" si="137"/>
        <v>3</v>
      </c>
      <c r="H488">
        <f t="shared" ca="1" si="138"/>
        <v>0</v>
      </c>
      <c r="I488">
        <f t="shared" ca="1" si="139"/>
        <v>2</v>
      </c>
      <c r="J488">
        <f t="shared" ca="1" si="140"/>
        <v>0</v>
      </c>
      <c r="K488">
        <f ca="1">IF(OR($C488="S",$C488=0),0,MATCH(OFFSET($D488,0,$C488)+IF($C488&lt;&gt;1,1,COUNTIF(QCI!$A$13:$A$15,ORÇAMENTO!E488)),OFFSET($D488,1,$C488,ROW($C$508)-ROW($C488)),0))</f>
        <v>0</v>
      </c>
      <c r="L488" s="114" t="str">
        <f t="shared" ca="1" si="141"/>
        <v>F</v>
      </c>
      <c r="M488" s="115" t="s">
        <v>705</v>
      </c>
      <c r="N488" s="116" t="str">
        <f t="shared" ca="1" si="142"/>
        <v>Serviço</v>
      </c>
      <c r="O488" s="117" t="str">
        <f t="shared" ca="1" si="143"/>
        <v>1.10.3.0.2.</v>
      </c>
      <c r="P488" s="118" t="s">
        <v>1280</v>
      </c>
      <c r="Q488" s="119" t="s">
        <v>1195</v>
      </c>
      <c r="R488" s="120" t="str">
        <f ca="1">IF($C488="S",REFERENCIA.Descricao,"(digite a descrição aqui)")</f>
        <v>REBOCO COM ARGAMASSA, TRAÇO 1:2:8 (CIMENTO, CAL E AREIA), ESP. 20MM, APLICAÇÃO MANUAL, INCLUSIVE ARGAMASSA COM PREPARO MECANIZADO, EXCLUSIVE CHAPISCO</v>
      </c>
      <c r="S488" s="121" t="str">
        <f ca="1">REFERENCIA.Unidade</f>
        <v>M2</v>
      </c>
      <c r="T488" s="122">
        <f ca="1">OFFSET(CÁLCULO!H$15,ROW($T488)-ROW(T$15),0)</f>
        <v>86.97</v>
      </c>
      <c r="U488" s="123">
        <f t="shared" ca="1" si="108"/>
        <v>39.200000000000003</v>
      </c>
      <c r="V488" s="124" t="s">
        <v>663</v>
      </c>
      <c r="W488" s="122">
        <f ca="1">IF($C488="S",ROUND(IF(TIPOORCAMENTO="Proposto",ORÇAMENTO.CustoUnitario*(1+$AH488),ORÇAMENTO.PrecoUnitarioLicitado),15-13*$AF$10),0)</f>
        <v>48.41</v>
      </c>
      <c r="X488" s="125" cm="1">
        <f t="array" aca="1" ref="X488" ca="1">IF($C488="S",IF(OR(Import.TipoArredondamento&lt;&gt;"TransfereGOV",ACOMPANHAMENTO="BM"),VTOTAL1,SUM(OFFSET(CÁLCULO!$AI$15,ROW($X488)-ROW($X$15),1):OFFSET(CÁLCULO!$BB$15,ROW($X488)-ROW($X$15),-1))),IF($C488=0,0,ROUND(SomaAgrup,15-13*$AF$11)))</f>
        <v>4210.22</v>
      </c>
      <c r="Y488" s="126" t="s">
        <v>751</v>
      </c>
      <c r="Z488" t="str">
        <f t="shared" ca="1" si="144"/>
        <v>RA</v>
      </c>
      <c r="AA488" s="127">
        <f ca="1">IF($C488="S",IF($Z488="CP",$X488,IF($Z488="RA",(($X488)*QCI!$AA$3),0)),SomaAgrup)</f>
        <v>0</v>
      </c>
      <c r="AB488" s="128">
        <f t="shared" ca="1" si="145"/>
        <v>0</v>
      </c>
      <c r="AC488" s="565" t="str" cm="1">
        <f t="array" aca="1" ref="AC488" ca="1">IF($N488=""," ",
IF(AND($C488&lt;&gt;"S",OR($R488="",$R488="(digite a descrição aqui)")),"DESCRIÇÃO",
IF(AND($C488="S",OR($Q488&lt;&gt;"",$T488&gt;0,$U488&gt;0),$P488=""),"FONTE",
IF(AND($C488="S",$P488&lt;&gt;"",OR($T488&gt;0,$U488&gt;0),$Q488=""),"CÓDIGO",
IF(AND($C488="S",$P488&lt;&gt;"",$Q488&lt;&gt;"",$R488="(Código não identificado nas referências)"),"CÓDIGO N/ID",
IF(AND($C488="S",OR($R488="",$R488="(digite a descrição aqui)"),OR($Q488&lt;&gt;"",$T488&gt;0,$U488&gt;0)),"DESCRIÇÃO",
IF(AND($C488="S",$P488&lt;&gt;"",$Q488&lt;&gt;"",$S488=""),"UNIDADE",
IF(AND($C488="S",$P488&lt;&gt;"",$Q488&lt;&gt;"",$U488=0),"SEM CUSTO",
IF(AND(_xlfn.SINGLE(TIPOORCAMENTO)="Licitado",$AL488=0,$AN488&gt;0),"SEM PREÇO",
IF(AND($C488="S",$P488&lt;&gt;"",$Q488&lt;&gt;"",$U488&gt;0,AND($V488&lt;&gt;"BDI 1",$V488&lt;&gt;"BDI 2",$V488&lt;&gt;"BDI 3")),IF(ISNUMBER($V488),"JUSTIFICAR BDI","BDI"),
IF(OR(AND(import.recurso="OGU",TIPOORCAMENTO="Proposto",LEFT($O$8,5)&lt;&gt;"(N/D:",$AG488&lt;&gt;"",ORÇAMENTO.CustoUnitario&gt;$AG488),AND(TIPOORCAMENTO="LICITADO",ORÇAMENTO.PrecoUnitarioLicitado&gt;$AN488)),"ACIMA REF.",
IF(AND($C488="S",$P488&lt;&gt;"",$Q488&lt;&gt;"",$T488=0,$U488&gt;0),"QUANT.",
IF(AND(Import.TipoArredondamento="TransfereGOV",$L488="F",$C488="S",LEN($Q488)&gt;13),"Código &gt;13",
IF(AND(Import.TipoArredondamento="TransfereGOV",$L488="F",$C488&lt;&gt;"S",LEN($R488)&gt;100),"Descrição &gt;100",
IF(AND(Import.TipoArredondamento="TransfereGOV",$L488="F",$C488="S",LEN($R488)&gt;500),"Descrição &gt;500",
IF(AND(Import.TipoArredondamento="TransfereGOV",$L488="F",$C488="S",LEFT(TRIM(UPPER($P488)),6)&lt;&gt;"SINAPI",ISNA(VLOOKUP(TRIM(UPPER($S488)),ListaTgov.Unidades,1,FALSE))),"Unid. Não Disp",
" "))))))))))))))))</f>
        <v xml:space="preserve"> </v>
      </c>
      <c r="AD488" t="str">
        <f ca="1">IF(C488&lt;=CRONO.NivelExibicao,MAX($AD$15:OFFSET(AD488,-1,0))+IF($C488&lt;&gt;1,1,MAX(1,COUNTIF(QCI!$A$13:$A$15,OFFSET($E488,-1,0)))),"")</f>
        <v/>
      </c>
      <c r="AE488" s="7" t="str">
        <f ca="1">IF(AND($C488="S",ORÇAMENTO.CodBarra&lt;&gt;""),IF(ORÇAMENTO.Fonte="",ORÇAMENTO.CodBarra,CONCATENATE(ORÇAMENTO.Fonte," ",ORÇAMENTO.CodBarra)))</f>
        <v>SETOP ED-50761</v>
      </c>
      <c r="AF488" s="12">
        <f ca="1">IF(ISERROR(INDIRECT(ORÇAMENTO.BancoRef)),"(abra o arquivo 'Referência "&amp;Excel_BuiltIn_Database&amp;".xlsm)",IF(OR($C488&lt;&gt;"S",ORÇAMENTO.CodBarra=""),"(Sem Código)",IF(ISERROR(MATCH($AE488,INDIRECT(ORÇAMENTO.BancoRef),0)),"(Código não identificado nas referências)",MATCH($AE488,INDIRECT(ORÇAMENTO.BancoRef),0))))</f>
        <v>28560</v>
      </c>
      <c r="AG488" s="428">
        <f ca="1">ROUND(IF(DESONERACAO="sim",REFERENCIA.Desonerado,REFERENCIA.NaoDesonerado),2)</f>
        <v>39.200000000000003</v>
      </c>
      <c r="AH488" s="429">
        <f t="shared" ca="1" si="146"/>
        <v>0.23499999999999999</v>
      </c>
      <c r="AJ488" s="431">
        <f>AJ487</f>
        <v>86.97</v>
      </c>
      <c r="AL488" s="439"/>
      <c r="AM488" s="336">
        <f t="shared" ca="1" si="131"/>
        <v>4210.22</v>
      </c>
      <c r="AN488" s="470">
        <f t="shared" ca="1" si="147"/>
        <v>48.41</v>
      </c>
    </row>
    <row r="489" spans="1:40" x14ac:dyDescent="0.2">
      <c r="A489">
        <f t="shared" si="132"/>
        <v>3</v>
      </c>
      <c r="B489">
        <f t="shared" ca="1" si="133"/>
        <v>3</v>
      </c>
      <c r="C489">
        <f t="shared" ca="1" si="134"/>
        <v>3</v>
      </c>
      <c r="D489">
        <f t="shared" ca="1" si="135"/>
        <v>3</v>
      </c>
      <c r="E489">
        <f ca="1">IF($C489=1,OFFSET(E489,-1,0)+MAX(1,COUNTIF(QCI!$A$13:$A$15,OFFSET(ORÇAMENTO!E489,-1,0))),OFFSET(E489,-1,0))</f>
        <v>1</v>
      </c>
      <c r="F489">
        <f t="shared" ca="1" si="136"/>
        <v>10</v>
      </c>
      <c r="G489">
        <f t="shared" ca="1" si="137"/>
        <v>4</v>
      </c>
      <c r="H489">
        <f t="shared" ca="1" si="138"/>
        <v>0</v>
      </c>
      <c r="I489">
        <f t="shared" ca="1" si="139"/>
        <v>0</v>
      </c>
      <c r="J489">
        <f t="shared" ca="1" si="140"/>
        <v>19</v>
      </c>
      <c r="K489">
        <f ca="1">IF(OR($C489="S",$C489=0),0,MATCH(OFFSET($D489,0,$C489)+IF($C489&lt;&gt;1,1,COUNTIF(QCI!$A$13:$A$15,ORÇAMENTO!E489)),OFFSET($D489,1,$C489,ROW($C$508)-ROW($C489)),0))</f>
        <v>3</v>
      </c>
      <c r="L489" s="114" t="str">
        <f t="shared" ca="1" si="141"/>
        <v>F</v>
      </c>
      <c r="M489" s="115" t="s">
        <v>703</v>
      </c>
      <c r="N489" s="116" t="str">
        <f t="shared" ca="1" si="142"/>
        <v>Nível 3</v>
      </c>
      <c r="O489" s="117" t="str">
        <f t="shared" ca="1" si="143"/>
        <v>1.10.4.</v>
      </c>
      <c r="P489" s="118" t="s">
        <v>750</v>
      </c>
      <c r="Q489" s="119"/>
      <c r="R489" s="120" t="s">
        <v>1267</v>
      </c>
      <c r="S489" s="121" t="s">
        <v>688</v>
      </c>
      <c r="T489" s="122">
        <f ca="1">OFFSET(CÁLCULO!H$15,ROW($T489)-ROW(T$15),0)</f>
        <v>0</v>
      </c>
      <c r="U489" s="123">
        <f t="shared" ca="1" si="108"/>
        <v>0</v>
      </c>
      <c r="V489" s="124" t="s">
        <v>663</v>
      </c>
      <c r="W489" s="122">
        <f ca="1">IF($C489="S",ROUND(IF(TIPOORCAMENTO="Proposto",ORÇAMENTO.CustoUnitario*(1+$AH489),ORÇAMENTO.PrecoUnitarioLicitado),15-13*$AF$10),0)</f>
        <v>0</v>
      </c>
      <c r="X489" s="125" cm="1">
        <f t="array" aca="1" ref="X489" ca="1">IF($C489="S",IF(OR(Import.TipoArredondamento&lt;&gt;"TransfereGOV",ACOMPANHAMENTO="BM"),VTOTAL1,SUM(OFFSET(CÁLCULO!$AI$15,ROW($X489)-ROW($X$15),1):OFFSET(CÁLCULO!$BB$15,ROW($X489)-ROW($X$15),-1))),IF($C489=0,0,ROUND(SomaAgrup,15-13*$AF$11)))</f>
        <v>1558.5</v>
      </c>
      <c r="Y489" s="126" t="s">
        <v>751</v>
      </c>
      <c r="Z489" t="str">
        <f t="shared" ca="1" si="144"/>
        <v/>
      </c>
      <c r="AA489" s="127">
        <f ca="1">IF($C489="S",IF($Z489="CP",$X489,IF($Z489="RA",(($X489)*QCI!$AA$3),0)),SomaAgrup)</f>
        <v>0</v>
      </c>
      <c r="AB489" s="128">
        <f t="shared" ca="1" si="145"/>
        <v>0</v>
      </c>
      <c r="AC489" s="565" t="str" cm="1">
        <f t="array" aca="1" ref="AC489" ca="1">IF($N489=""," ",
IF(AND($C489&lt;&gt;"S",OR($R489="",$R489="(digite a descrição aqui)")),"DESCRIÇÃO",
IF(AND($C489="S",OR($Q489&lt;&gt;"",$T489&gt;0,$U489&gt;0),$P489=""),"FONTE",
IF(AND($C489="S",$P489&lt;&gt;"",OR($T489&gt;0,$U489&gt;0),$Q489=""),"CÓDIGO",
IF(AND($C489="S",$P489&lt;&gt;"",$Q489&lt;&gt;"",$R489="(Código não identificado nas referências)"),"CÓDIGO N/ID",
IF(AND($C489="S",OR($R489="",$R489="(digite a descrição aqui)"),OR($Q489&lt;&gt;"",$T489&gt;0,$U489&gt;0)),"DESCRIÇÃO",
IF(AND($C489="S",$P489&lt;&gt;"",$Q489&lt;&gt;"",$S489=""),"UNIDADE",
IF(AND($C489="S",$P489&lt;&gt;"",$Q489&lt;&gt;"",$U489=0),"SEM CUSTO",
IF(AND(_xlfn.SINGLE(TIPOORCAMENTO)="Licitado",$AL489=0,$AN489&gt;0),"SEM PREÇO",
IF(AND($C489="S",$P489&lt;&gt;"",$Q489&lt;&gt;"",$U489&gt;0,AND($V489&lt;&gt;"BDI 1",$V489&lt;&gt;"BDI 2",$V489&lt;&gt;"BDI 3")),IF(ISNUMBER($V489),"JUSTIFICAR BDI","BDI"),
IF(OR(AND(import.recurso="OGU",TIPOORCAMENTO="Proposto",LEFT($O$8,5)&lt;&gt;"(N/D:",$AG489&lt;&gt;"",ORÇAMENTO.CustoUnitario&gt;$AG489),AND(TIPOORCAMENTO="LICITADO",ORÇAMENTO.PrecoUnitarioLicitado&gt;$AN489)),"ACIMA REF.",
IF(AND($C489="S",$P489&lt;&gt;"",$Q489&lt;&gt;"",$T489=0,$U489&gt;0),"QUANT.",
IF(AND(Import.TipoArredondamento="TransfereGOV",$L489="F",$C489="S",LEN($Q489)&gt;13),"Código &gt;13",
IF(AND(Import.TipoArredondamento="TransfereGOV",$L489="F",$C489&lt;&gt;"S",LEN($R489)&gt;100),"Descrição &gt;100",
IF(AND(Import.TipoArredondamento="TransfereGOV",$L489="F",$C489="S",LEN($R489)&gt;500),"Descrição &gt;500",
IF(AND(Import.TipoArredondamento="TransfereGOV",$L489="F",$C489="S",LEFT(TRIM(UPPER($P489)),6)&lt;&gt;"SINAPI",ISNA(VLOOKUP(TRIM(UPPER($S489)),ListaTgov.Unidades,1,FALSE))),"Unid. Não Disp",
" "))))))))))))))))</f>
        <v xml:space="preserve"> </v>
      </c>
      <c r="AD489" t="str">
        <f ca="1">IF(C489&lt;=CRONO.NivelExibicao,MAX($AD$15:OFFSET(AD489,-1,0))+IF($C489&lt;&gt;1,1,MAX(1,COUNTIF(QCI!$A$13:$A$15,OFFSET($E489,-1,0)))),"")</f>
        <v/>
      </c>
      <c r="AE489" s="7" t="b">
        <f ca="1">IF(AND($C489="S",ORÇAMENTO.CodBarra&lt;&gt;""),IF(ORÇAMENTO.Fonte="",ORÇAMENTO.CodBarra,CONCATENATE(ORÇAMENTO.Fonte," ",ORÇAMENTO.CodBarra)))</f>
        <v>0</v>
      </c>
      <c r="AF489" s="12" t="str">
        <f ca="1">IF(ISERROR(INDIRECT(ORÇAMENTO.BancoRef)),"(abra o arquivo 'Referência "&amp;Excel_BuiltIn_Database&amp;".xlsm)",IF(OR($C489&lt;&gt;"S",ORÇAMENTO.CodBarra=""),"(Sem Código)",IF(ISERROR(MATCH($AE489,INDIRECT(ORÇAMENTO.BancoRef),0)),"(Código não identificado nas referências)",MATCH($AE489,INDIRECT(ORÇAMENTO.BancoRef),0))))</f>
        <v>(Sem Código)</v>
      </c>
      <c r="AG489" s="428">
        <f ca="1">ROUND(IF(DESONERACAO="sim",REFERENCIA.Desonerado,REFERENCIA.NaoDesonerado),2)</f>
        <v>0</v>
      </c>
      <c r="AH489" s="429">
        <f t="shared" ca="1" si="146"/>
        <v>0.23499999999999999</v>
      </c>
      <c r="AJ489" s="431"/>
      <c r="AL489" s="439"/>
      <c r="AM489" s="336">
        <f t="shared" ca="1" si="131"/>
        <v>1558.5</v>
      </c>
      <c r="AN489" s="470">
        <f t="shared" ca="1" si="147"/>
        <v>0</v>
      </c>
    </row>
    <row r="490" spans="1:40" ht="25.5" x14ac:dyDescent="0.2">
      <c r="A490" t="str">
        <f t="shared" si="132"/>
        <v>S</v>
      </c>
      <c r="B490">
        <f t="shared" ca="1" si="133"/>
        <v>3</v>
      </c>
      <c r="C490" t="str">
        <f t="shared" ca="1" si="134"/>
        <v>S</v>
      </c>
      <c r="D490">
        <f t="shared" ca="1" si="135"/>
        <v>0</v>
      </c>
      <c r="E490">
        <f ca="1">IF($C490=1,OFFSET(E490,-1,0)+MAX(1,COUNTIF(QCI!$A$13:$A$15,OFFSET(ORÇAMENTO!E490,-1,0))),OFFSET(E490,-1,0))</f>
        <v>1</v>
      </c>
      <c r="F490">
        <f t="shared" ca="1" si="136"/>
        <v>10</v>
      </c>
      <c r="G490">
        <f t="shared" ca="1" si="137"/>
        <v>4</v>
      </c>
      <c r="H490">
        <f t="shared" ca="1" si="138"/>
        <v>0</v>
      </c>
      <c r="I490">
        <f t="shared" ca="1" si="139"/>
        <v>1</v>
      </c>
      <c r="J490">
        <f t="shared" ca="1" si="140"/>
        <v>0</v>
      </c>
      <c r="K490">
        <f ca="1">IF(OR($C490="S",$C490=0),0,MATCH(OFFSET($D490,0,$C490)+IF($C490&lt;&gt;1,1,COUNTIF(QCI!$A$13:$A$15,ORÇAMENTO!E490)),OFFSET($D490,1,$C490,ROW($C$508)-ROW($C490)),0))</f>
        <v>0</v>
      </c>
      <c r="L490" s="114" t="str">
        <f t="shared" ca="1" si="141"/>
        <v>F</v>
      </c>
      <c r="M490" s="115" t="s">
        <v>705</v>
      </c>
      <c r="N490" s="116" t="str">
        <f t="shared" ca="1" si="142"/>
        <v>Serviço</v>
      </c>
      <c r="O490" s="117" t="str">
        <f t="shared" ca="1" si="143"/>
        <v>1.10.4.0.1.</v>
      </c>
      <c r="P490" s="118" t="s">
        <v>750</v>
      </c>
      <c r="Q490" s="119">
        <v>88485</v>
      </c>
      <c r="R490" s="120" t="str">
        <f ca="1">IF($C490="S",REFERENCIA.Descricao,"(digite a descrição aqui)")</f>
        <v>FUNDO SELADOR ACRÍLICO, APLICAÇÃO MANUAL EM PAREDE, UMA DEMÃO. AF_04/2023</v>
      </c>
      <c r="S490" s="121" t="str">
        <f ca="1">REFERENCIA.Unidade</f>
        <v>M2</v>
      </c>
      <c r="T490" s="122">
        <f ca="1">OFFSET(CÁLCULO!H$15,ROW($T490)-ROW(T$15),0)</f>
        <v>86.97</v>
      </c>
      <c r="U490" s="123">
        <f t="shared" ca="1" si="108"/>
        <v>4.53</v>
      </c>
      <c r="V490" s="124" t="s">
        <v>663</v>
      </c>
      <c r="W490" s="122">
        <f ca="1">IF($C490="S",ROUND(IF(TIPOORCAMENTO="Proposto",ORÇAMENTO.CustoUnitario*(1+$AH490),ORÇAMENTO.PrecoUnitarioLicitado),15-13*$AF$10),0)</f>
        <v>5.59</v>
      </c>
      <c r="X490" s="125" cm="1">
        <f t="array" aca="1" ref="X490" ca="1">IF($C490="S",IF(OR(Import.TipoArredondamento&lt;&gt;"TransfereGOV",ACOMPANHAMENTO="BM"),VTOTAL1,SUM(OFFSET(CÁLCULO!$AI$15,ROW($X490)-ROW($X$15),1):OFFSET(CÁLCULO!$BB$15,ROW($X490)-ROW($X$15),-1))),IF($C490=0,0,ROUND(SomaAgrup,15-13*$AF$11)))</f>
        <v>486.16</v>
      </c>
      <c r="Y490" s="126" t="s">
        <v>751</v>
      </c>
      <c r="Z490" t="str">
        <f t="shared" ca="1" si="144"/>
        <v>RA</v>
      </c>
      <c r="AA490" s="127">
        <f ca="1">IF($C490="S",IF($Z490="CP",$X490,IF($Z490="RA",(($X490)*QCI!$AA$3),0)),SomaAgrup)</f>
        <v>0</v>
      </c>
      <c r="AB490" s="128">
        <f t="shared" ca="1" si="145"/>
        <v>0</v>
      </c>
      <c r="AC490" s="565" t="str" cm="1">
        <f t="array" aca="1" ref="AC490" ca="1">IF($N490=""," ",
IF(AND($C490&lt;&gt;"S",OR($R490="",$R490="(digite a descrição aqui)")),"DESCRIÇÃO",
IF(AND($C490="S",OR($Q490&lt;&gt;"",$T490&gt;0,$U490&gt;0),$P490=""),"FONTE",
IF(AND($C490="S",$P490&lt;&gt;"",OR($T490&gt;0,$U490&gt;0),$Q490=""),"CÓDIGO",
IF(AND($C490="S",$P490&lt;&gt;"",$Q490&lt;&gt;"",$R490="(Código não identificado nas referências)"),"CÓDIGO N/ID",
IF(AND($C490="S",OR($R490="",$R490="(digite a descrição aqui)"),OR($Q490&lt;&gt;"",$T490&gt;0,$U490&gt;0)),"DESCRIÇÃO",
IF(AND($C490="S",$P490&lt;&gt;"",$Q490&lt;&gt;"",$S490=""),"UNIDADE",
IF(AND($C490="S",$P490&lt;&gt;"",$Q490&lt;&gt;"",$U490=0),"SEM CUSTO",
IF(AND(_xlfn.SINGLE(TIPOORCAMENTO)="Licitado",$AL490=0,$AN490&gt;0),"SEM PREÇO",
IF(AND($C490="S",$P490&lt;&gt;"",$Q490&lt;&gt;"",$U490&gt;0,AND($V490&lt;&gt;"BDI 1",$V490&lt;&gt;"BDI 2",$V490&lt;&gt;"BDI 3")),IF(ISNUMBER($V490),"JUSTIFICAR BDI","BDI"),
IF(OR(AND(import.recurso="OGU",TIPOORCAMENTO="Proposto",LEFT($O$8,5)&lt;&gt;"(N/D:",$AG490&lt;&gt;"",ORÇAMENTO.CustoUnitario&gt;$AG490),AND(TIPOORCAMENTO="LICITADO",ORÇAMENTO.PrecoUnitarioLicitado&gt;$AN490)),"ACIMA REF.",
IF(AND($C490="S",$P490&lt;&gt;"",$Q490&lt;&gt;"",$T490=0,$U490&gt;0),"QUANT.",
IF(AND(Import.TipoArredondamento="TransfereGOV",$L490="F",$C490="S",LEN($Q490)&gt;13),"Código &gt;13",
IF(AND(Import.TipoArredondamento="TransfereGOV",$L490="F",$C490&lt;&gt;"S",LEN($R490)&gt;100),"Descrição &gt;100",
IF(AND(Import.TipoArredondamento="TransfereGOV",$L490="F",$C490="S",LEN($R490)&gt;500),"Descrição &gt;500",
IF(AND(Import.TipoArredondamento="TransfereGOV",$L490="F",$C490="S",LEFT(TRIM(UPPER($P490)),6)&lt;&gt;"SINAPI",ISNA(VLOOKUP(TRIM(UPPER($S490)),ListaTgov.Unidades,1,FALSE))),"Unid. Não Disp",
" "))))))))))))))))</f>
        <v xml:space="preserve"> </v>
      </c>
      <c r="AD490" t="str">
        <f ca="1">IF(C490&lt;=CRONO.NivelExibicao,MAX($AD$15:OFFSET(AD490,-1,0))+IF($C490&lt;&gt;1,1,MAX(1,COUNTIF(QCI!$A$13:$A$15,OFFSET($E490,-1,0)))),"")</f>
        <v/>
      </c>
      <c r="AE490" s="7" t="str">
        <f ca="1">IF(AND($C490="S",ORÇAMENTO.CodBarra&lt;&gt;""),IF(ORÇAMENTO.Fonte="",ORÇAMENTO.CodBarra,CONCATENATE(ORÇAMENTO.Fonte," ",ORÇAMENTO.CodBarra)))</f>
        <v>SINAPI 88485</v>
      </c>
      <c r="AF490" s="12">
        <f ca="1">IF(ISERROR(INDIRECT(ORÇAMENTO.BancoRef)),"(abra o arquivo 'Referência "&amp;Excel_BuiltIn_Database&amp;".xlsm)",IF(OR($C490&lt;&gt;"S",ORÇAMENTO.CodBarra=""),"(Sem Código)",IF(ISERROR(MATCH($AE490,INDIRECT(ORÇAMENTO.BancoRef),0)),"(Código não identificado nas referências)",MATCH($AE490,INDIRECT(ORÇAMENTO.BancoRef),0))))</f>
        <v>13865</v>
      </c>
      <c r="AG490" s="428">
        <f ca="1">ROUND(IF(DESONERACAO="sim",REFERENCIA.Desonerado,REFERENCIA.NaoDesonerado),2)</f>
        <v>4.53</v>
      </c>
      <c r="AH490" s="429">
        <f t="shared" ca="1" si="146"/>
        <v>0.23499999999999999</v>
      </c>
      <c r="AJ490" s="431">
        <f>AJ488</f>
        <v>86.97</v>
      </c>
      <c r="AL490" s="439"/>
      <c r="AM490" s="336">
        <f t="shared" ca="1" si="131"/>
        <v>486.16</v>
      </c>
      <c r="AN490" s="470">
        <f t="shared" ca="1" si="147"/>
        <v>5.59</v>
      </c>
    </row>
    <row r="491" spans="1:40" ht="25.5" x14ac:dyDescent="0.2">
      <c r="A491" t="str">
        <f t="shared" si="132"/>
        <v>S</v>
      </c>
      <c r="B491">
        <f t="shared" ca="1" si="133"/>
        <v>3</v>
      </c>
      <c r="C491" t="str">
        <f t="shared" ca="1" si="134"/>
        <v>S</v>
      </c>
      <c r="D491">
        <f t="shared" ca="1" si="135"/>
        <v>0</v>
      </c>
      <c r="E491">
        <f ca="1">IF($C491=1,OFFSET(E491,-1,0)+MAX(1,COUNTIF(QCI!$A$13:$A$15,OFFSET(ORÇAMENTO!E491,-1,0))),OFFSET(E491,-1,0))</f>
        <v>1</v>
      </c>
      <c r="F491">
        <f t="shared" ca="1" si="136"/>
        <v>10</v>
      </c>
      <c r="G491">
        <f t="shared" ca="1" si="137"/>
        <v>4</v>
      </c>
      <c r="H491">
        <f t="shared" ca="1" si="138"/>
        <v>0</v>
      </c>
      <c r="I491">
        <f t="shared" ca="1" si="139"/>
        <v>2</v>
      </c>
      <c r="J491">
        <f t="shared" ca="1" si="140"/>
        <v>0</v>
      </c>
      <c r="K491">
        <f ca="1">IF(OR($C491="S",$C491=0),0,MATCH(OFFSET($D491,0,$C491)+IF($C491&lt;&gt;1,1,COUNTIF(QCI!$A$13:$A$15,ORÇAMENTO!E491)),OFFSET($D491,1,$C491,ROW($C$508)-ROW($C491)),0))</f>
        <v>0</v>
      </c>
      <c r="L491" s="114" t="str">
        <f t="shared" ca="1" si="141"/>
        <v>F</v>
      </c>
      <c r="M491" s="115" t="s">
        <v>705</v>
      </c>
      <c r="N491" s="116" t="str">
        <f t="shared" ca="1" si="142"/>
        <v>Serviço</v>
      </c>
      <c r="O491" s="117" t="str">
        <f t="shared" ca="1" si="143"/>
        <v>1.10.4.0.2.</v>
      </c>
      <c r="P491" s="118" t="s">
        <v>750</v>
      </c>
      <c r="Q491" s="119" t="s">
        <v>1196</v>
      </c>
      <c r="R491" s="120" t="str">
        <f ca="1">IF($C491="S",REFERENCIA.Descricao,"(digite a descrição aqui)")</f>
        <v>PINTURA LÁTEX ACRÍLICA ECONÔMICA, APLICAÇÃO MANUAL EM PAREDES, DUAS DEMÃOS. AF_04/2023</v>
      </c>
      <c r="S491" s="121" t="str">
        <f ca="1">REFERENCIA.Unidade</f>
        <v>M2</v>
      </c>
      <c r="T491" s="122">
        <f ca="1">OFFSET(CÁLCULO!H$15,ROW($T491)-ROW(T$15),0)</f>
        <v>86.97</v>
      </c>
      <c r="U491" s="123">
        <f t="shared" ca="1" si="108"/>
        <v>9.98</v>
      </c>
      <c r="V491" s="124" t="s">
        <v>663</v>
      </c>
      <c r="W491" s="122">
        <f ca="1">IF($C491="S",ROUND(IF(TIPOORCAMENTO="Proposto",ORÇAMENTO.CustoUnitario*(1+$AH491),ORÇAMENTO.PrecoUnitarioLicitado),15-13*$AF$10),0)</f>
        <v>12.33</v>
      </c>
      <c r="X491" s="125" cm="1">
        <f t="array" aca="1" ref="X491" ca="1">IF($C491="S",IF(OR(Import.TipoArredondamento&lt;&gt;"TransfereGOV",ACOMPANHAMENTO="BM"),VTOTAL1,SUM(OFFSET(CÁLCULO!$AI$15,ROW($X491)-ROW($X$15),1):OFFSET(CÁLCULO!$BB$15,ROW($X491)-ROW($X$15),-1))),IF($C491=0,0,ROUND(SomaAgrup,15-13*$AF$11)))</f>
        <v>1072.3399999999999</v>
      </c>
      <c r="Y491" s="126" t="s">
        <v>751</v>
      </c>
      <c r="Z491" t="str">
        <f t="shared" ca="1" si="144"/>
        <v>RA</v>
      </c>
      <c r="AA491" s="127">
        <f ca="1">IF($C491="S",IF($Z491="CP",$X491,IF($Z491="RA",(($X491)*QCI!$AA$3),0)),SomaAgrup)</f>
        <v>0</v>
      </c>
      <c r="AB491" s="128">
        <f t="shared" ca="1" si="145"/>
        <v>0</v>
      </c>
      <c r="AC491" s="565" t="str" cm="1">
        <f t="array" aca="1" ref="AC491" ca="1">IF($N491=""," ",
IF(AND($C491&lt;&gt;"S",OR($R491="",$R491="(digite a descrição aqui)")),"DESCRIÇÃO",
IF(AND($C491="S",OR($Q491&lt;&gt;"",$T491&gt;0,$U491&gt;0),$P491=""),"FONTE",
IF(AND($C491="S",$P491&lt;&gt;"",OR($T491&gt;0,$U491&gt;0),$Q491=""),"CÓDIGO",
IF(AND($C491="S",$P491&lt;&gt;"",$Q491&lt;&gt;"",$R491="(Código não identificado nas referências)"),"CÓDIGO N/ID",
IF(AND($C491="S",OR($R491="",$R491="(digite a descrição aqui)"),OR($Q491&lt;&gt;"",$T491&gt;0,$U491&gt;0)),"DESCRIÇÃO",
IF(AND($C491="S",$P491&lt;&gt;"",$Q491&lt;&gt;"",$S491=""),"UNIDADE",
IF(AND($C491="S",$P491&lt;&gt;"",$Q491&lt;&gt;"",$U491=0),"SEM CUSTO",
IF(AND(_xlfn.SINGLE(TIPOORCAMENTO)="Licitado",$AL491=0,$AN491&gt;0),"SEM PREÇO",
IF(AND($C491="S",$P491&lt;&gt;"",$Q491&lt;&gt;"",$U491&gt;0,AND($V491&lt;&gt;"BDI 1",$V491&lt;&gt;"BDI 2",$V491&lt;&gt;"BDI 3")),IF(ISNUMBER($V491),"JUSTIFICAR BDI","BDI"),
IF(OR(AND(import.recurso="OGU",TIPOORCAMENTO="Proposto",LEFT($O$8,5)&lt;&gt;"(N/D:",$AG491&lt;&gt;"",ORÇAMENTO.CustoUnitario&gt;$AG491),AND(TIPOORCAMENTO="LICITADO",ORÇAMENTO.PrecoUnitarioLicitado&gt;$AN491)),"ACIMA REF.",
IF(AND($C491="S",$P491&lt;&gt;"",$Q491&lt;&gt;"",$T491=0,$U491&gt;0),"QUANT.",
IF(AND(Import.TipoArredondamento="TransfereGOV",$L491="F",$C491="S",LEN($Q491)&gt;13),"Código &gt;13",
IF(AND(Import.TipoArredondamento="TransfereGOV",$L491="F",$C491&lt;&gt;"S",LEN($R491)&gt;100),"Descrição &gt;100",
IF(AND(Import.TipoArredondamento="TransfereGOV",$L491="F",$C491="S",LEN($R491)&gt;500),"Descrição &gt;500",
IF(AND(Import.TipoArredondamento="TransfereGOV",$L491="F",$C491="S",LEFT(TRIM(UPPER($P491)),6)&lt;&gt;"SINAPI",ISNA(VLOOKUP(TRIM(UPPER($S491)),ListaTgov.Unidades,1,FALSE))),"Unid. Não Disp",
" "))))))))))))))))</f>
        <v xml:space="preserve"> </v>
      </c>
      <c r="AD491" t="str">
        <f ca="1">IF(C491&lt;=CRONO.NivelExibicao,MAX($AD$15:OFFSET(AD491,-1,0))+IF($C491&lt;&gt;1,1,MAX(1,COUNTIF(QCI!$A$13:$A$15,OFFSET($E491,-1,0)))),"")</f>
        <v/>
      </c>
      <c r="AE491" s="7" t="str">
        <f ca="1">IF(AND($C491="S",ORÇAMENTO.CodBarra&lt;&gt;""),IF(ORÇAMENTO.Fonte="",ORÇAMENTO.CodBarra,CONCATENATE(ORÇAMENTO.Fonte," ",ORÇAMENTO.CodBarra)))</f>
        <v>SINAPI 104641</v>
      </c>
      <c r="AF491" s="12">
        <f ca="1">IF(ISERROR(INDIRECT(ORÇAMENTO.BancoRef)),"(abra o arquivo 'Referência "&amp;Excel_BuiltIn_Database&amp;".xlsm)",IF(OR($C491&lt;&gt;"S",ORÇAMENTO.CodBarra=""),"(Sem Código)",IF(ISERROR(MATCH($AE491,INDIRECT(ORÇAMENTO.BancoRef),0)),"(Código não identificado nas referências)",MATCH($AE491,INDIRECT(ORÇAMENTO.BancoRef),0))))</f>
        <v>13869</v>
      </c>
      <c r="AG491" s="428">
        <f ca="1">ROUND(IF(DESONERACAO="sim",REFERENCIA.Desonerado,REFERENCIA.NaoDesonerado),2)</f>
        <v>9.98</v>
      </c>
      <c r="AH491" s="429">
        <f t="shared" ca="1" si="146"/>
        <v>0.23499999999999999</v>
      </c>
      <c r="AJ491" s="431">
        <f>AJ490</f>
        <v>86.97</v>
      </c>
      <c r="AL491" s="439"/>
      <c r="AM491" s="336">
        <f t="shared" ca="1" si="131"/>
        <v>1072.3399999999999</v>
      </c>
      <c r="AN491" s="470">
        <f t="shared" ca="1" si="147"/>
        <v>12.33</v>
      </c>
    </row>
    <row r="492" spans="1:40" x14ac:dyDescent="0.2">
      <c r="A492">
        <f t="shared" si="132"/>
        <v>3</v>
      </c>
      <c r="B492">
        <f t="shared" ca="1" si="133"/>
        <v>3</v>
      </c>
      <c r="C492">
        <f t="shared" ca="1" si="134"/>
        <v>3</v>
      </c>
      <c r="D492">
        <f t="shared" ca="1" si="135"/>
        <v>6</v>
      </c>
      <c r="E492">
        <f ca="1">IF($C492=1,OFFSET(E492,-1,0)+MAX(1,COUNTIF(QCI!$A$13:$A$15,OFFSET(ORÇAMENTO!E492,-1,0))),OFFSET(E492,-1,0))</f>
        <v>1</v>
      </c>
      <c r="F492">
        <f t="shared" ca="1" si="136"/>
        <v>10</v>
      </c>
      <c r="G492">
        <f t="shared" ca="1" si="137"/>
        <v>5</v>
      </c>
      <c r="H492">
        <f t="shared" ca="1" si="138"/>
        <v>0</v>
      </c>
      <c r="I492">
        <f t="shared" ca="1" si="139"/>
        <v>0</v>
      </c>
      <c r="J492">
        <f t="shared" ca="1" si="140"/>
        <v>16</v>
      </c>
      <c r="K492">
        <f ca="1">IF(OR($C492="S",$C492=0),0,MATCH(OFFSET($D492,0,$C492)+IF($C492&lt;&gt;1,1,COUNTIF(QCI!$A$13:$A$15,ORÇAMENTO!E492)),OFFSET($D492,1,$C492,ROW($C$508)-ROW($C492)),0))</f>
        <v>6</v>
      </c>
      <c r="L492" s="114" t="str">
        <f t="shared" ca="1" si="141"/>
        <v>F</v>
      </c>
      <c r="M492" s="115" t="s">
        <v>703</v>
      </c>
      <c r="N492" s="116" t="str">
        <f t="shared" ca="1" si="142"/>
        <v>Nível 3</v>
      </c>
      <c r="O492" s="117" t="str">
        <f t="shared" ca="1" si="143"/>
        <v>1.10.5.</v>
      </c>
      <c r="P492" s="118" t="s">
        <v>750</v>
      </c>
      <c r="Q492" s="119"/>
      <c r="R492" s="120" t="s">
        <v>1268</v>
      </c>
      <c r="S492" s="121" t="s">
        <v>688</v>
      </c>
      <c r="T492" s="122">
        <f ca="1">OFFSET(CÁLCULO!H$15,ROW($T492)-ROW(T$15),0)</f>
        <v>0</v>
      </c>
      <c r="U492" s="123">
        <f t="shared" ca="1" si="108"/>
        <v>0</v>
      </c>
      <c r="V492" s="124" t="s">
        <v>663</v>
      </c>
      <c r="W492" s="122">
        <f ca="1">IF($C492="S",ROUND(IF(TIPOORCAMENTO="Proposto",ORÇAMENTO.CustoUnitario*(1+$AH492),ORÇAMENTO.PrecoUnitarioLicitado),15-13*$AF$10),0)</f>
        <v>0</v>
      </c>
      <c r="X492" s="125" cm="1">
        <f t="array" aca="1" ref="X492" ca="1">IF($C492="S",IF(OR(Import.TipoArredondamento&lt;&gt;"TransfereGOV",ACOMPANHAMENTO="BM"),VTOTAL1,SUM(OFFSET(CÁLCULO!$AI$15,ROW($X492)-ROW($X$15),1):OFFSET(CÁLCULO!$BB$15,ROW($X492)-ROW($X$15),-1))),IF($C492=0,0,ROUND(SomaAgrup,15-13*$AF$11)))</f>
        <v>48053.77</v>
      </c>
      <c r="Y492" s="126" t="s">
        <v>751</v>
      </c>
      <c r="Z492" t="str">
        <f t="shared" ca="1" si="144"/>
        <v/>
      </c>
      <c r="AA492" s="127">
        <f ca="1">IF($C492="S",IF($Z492="CP",$X492,IF($Z492="RA",(($X492)*QCI!$AA$3),0)),SomaAgrup)</f>
        <v>0</v>
      </c>
      <c r="AB492" s="128">
        <f t="shared" ca="1" si="145"/>
        <v>0</v>
      </c>
      <c r="AC492" s="565" t="str" cm="1">
        <f t="array" aca="1" ref="AC492" ca="1">IF($N492=""," ",
IF(AND($C492&lt;&gt;"S",OR($R492="",$R492="(digite a descrição aqui)")),"DESCRIÇÃO",
IF(AND($C492="S",OR($Q492&lt;&gt;"",$T492&gt;0,$U492&gt;0),$P492=""),"FONTE",
IF(AND($C492="S",$P492&lt;&gt;"",OR($T492&gt;0,$U492&gt;0),$Q492=""),"CÓDIGO",
IF(AND($C492="S",$P492&lt;&gt;"",$Q492&lt;&gt;"",$R492="(Código não identificado nas referências)"),"CÓDIGO N/ID",
IF(AND($C492="S",OR($R492="",$R492="(digite a descrição aqui)"),OR($Q492&lt;&gt;"",$T492&gt;0,$U492&gt;0)),"DESCRIÇÃO",
IF(AND($C492="S",$P492&lt;&gt;"",$Q492&lt;&gt;"",$S492=""),"UNIDADE",
IF(AND($C492="S",$P492&lt;&gt;"",$Q492&lt;&gt;"",$U492=0),"SEM CUSTO",
IF(AND(_xlfn.SINGLE(TIPOORCAMENTO)="Licitado",$AL492=0,$AN492&gt;0),"SEM PREÇO",
IF(AND($C492="S",$P492&lt;&gt;"",$Q492&lt;&gt;"",$U492&gt;0,AND($V492&lt;&gt;"BDI 1",$V492&lt;&gt;"BDI 2",$V492&lt;&gt;"BDI 3")),IF(ISNUMBER($V492),"JUSTIFICAR BDI","BDI"),
IF(OR(AND(import.recurso="OGU",TIPOORCAMENTO="Proposto",LEFT($O$8,5)&lt;&gt;"(N/D:",$AG492&lt;&gt;"",ORÇAMENTO.CustoUnitario&gt;$AG492),AND(TIPOORCAMENTO="LICITADO",ORÇAMENTO.PrecoUnitarioLicitado&gt;$AN492)),"ACIMA REF.",
IF(AND($C492="S",$P492&lt;&gt;"",$Q492&lt;&gt;"",$T492=0,$U492&gt;0),"QUANT.",
IF(AND(Import.TipoArredondamento="TransfereGOV",$L492="F",$C492="S",LEN($Q492)&gt;13),"Código &gt;13",
IF(AND(Import.TipoArredondamento="TransfereGOV",$L492="F",$C492&lt;&gt;"S",LEN($R492)&gt;100),"Descrição &gt;100",
IF(AND(Import.TipoArredondamento="TransfereGOV",$L492="F",$C492="S",LEN($R492)&gt;500),"Descrição &gt;500",
IF(AND(Import.TipoArredondamento="TransfereGOV",$L492="F",$C492="S",LEFT(TRIM(UPPER($P492)),6)&lt;&gt;"SINAPI",ISNA(VLOOKUP(TRIM(UPPER($S492)),ListaTgov.Unidades,1,FALSE))),"Unid. Não Disp",
" "))))))))))))))))</f>
        <v xml:space="preserve"> </v>
      </c>
      <c r="AD492" t="str">
        <f ca="1">IF(C492&lt;=CRONO.NivelExibicao,MAX($AD$15:OFFSET(AD492,-1,0))+IF($C492&lt;&gt;1,1,MAX(1,COUNTIF(QCI!$A$13:$A$15,OFFSET($E492,-1,0)))),"")</f>
        <v/>
      </c>
      <c r="AE492" s="7" t="b">
        <f ca="1">IF(AND($C492="S",ORÇAMENTO.CodBarra&lt;&gt;""),IF(ORÇAMENTO.Fonte="",ORÇAMENTO.CodBarra,CONCATENATE(ORÇAMENTO.Fonte," ",ORÇAMENTO.CodBarra)))</f>
        <v>0</v>
      </c>
      <c r="AF492" s="12" t="str">
        <f ca="1">IF(ISERROR(INDIRECT(ORÇAMENTO.BancoRef)),"(abra o arquivo 'Referência "&amp;Excel_BuiltIn_Database&amp;".xlsm)",IF(OR($C492&lt;&gt;"S",ORÇAMENTO.CodBarra=""),"(Sem Código)",IF(ISERROR(MATCH($AE492,INDIRECT(ORÇAMENTO.BancoRef),0)),"(Código não identificado nas referências)",MATCH($AE492,INDIRECT(ORÇAMENTO.BancoRef),0))))</f>
        <v>(Sem Código)</v>
      </c>
      <c r="AG492" s="428">
        <f ca="1">ROUND(IF(DESONERACAO="sim",REFERENCIA.Desonerado,REFERENCIA.NaoDesonerado),2)</f>
        <v>0</v>
      </c>
      <c r="AH492" s="429">
        <f t="shared" ca="1" si="146"/>
        <v>0.23499999999999999</v>
      </c>
      <c r="AJ492" s="431"/>
      <c r="AL492" s="439"/>
      <c r="AM492" s="336">
        <f t="shared" ca="1" si="131"/>
        <v>48053.77</v>
      </c>
      <c r="AN492" s="470">
        <f t="shared" ca="1" si="147"/>
        <v>0</v>
      </c>
    </row>
    <row r="493" spans="1:40" ht="38.25" x14ac:dyDescent="0.2">
      <c r="A493" t="str">
        <f t="shared" si="132"/>
        <v>S</v>
      </c>
      <c r="B493">
        <f t="shared" ca="1" si="133"/>
        <v>3</v>
      </c>
      <c r="C493" t="str">
        <f t="shared" ca="1" si="134"/>
        <v>S</v>
      </c>
      <c r="D493">
        <f t="shared" ca="1" si="135"/>
        <v>0</v>
      </c>
      <c r="E493">
        <f ca="1">IF($C493=1,OFFSET(E493,-1,0)+MAX(1,COUNTIF(QCI!$A$13:$A$15,OFFSET(ORÇAMENTO!E493,-1,0))),OFFSET(E493,-1,0))</f>
        <v>1</v>
      </c>
      <c r="F493">
        <f t="shared" ca="1" si="136"/>
        <v>10</v>
      </c>
      <c r="G493">
        <f t="shared" ca="1" si="137"/>
        <v>5</v>
      </c>
      <c r="H493">
        <f t="shared" ca="1" si="138"/>
        <v>0</v>
      </c>
      <c r="I493">
        <f t="shared" ca="1" si="139"/>
        <v>1</v>
      </c>
      <c r="J493">
        <f t="shared" ca="1" si="140"/>
        <v>0</v>
      </c>
      <c r="K493">
        <f ca="1">IF(OR($C493="S",$C493=0),0,MATCH(OFFSET($D493,0,$C493)+IF($C493&lt;&gt;1,1,COUNTIF(QCI!$A$13:$A$15,ORÇAMENTO!E493)),OFFSET($D493,1,$C493,ROW($C$508)-ROW($C493)),0))</f>
        <v>0</v>
      </c>
      <c r="L493" s="114" t="str">
        <f t="shared" ca="1" si="141"/>
        <v>F</v>
      </c>
      <c r="M493" s="115" t="s">
        <v>705</v>
      </c>
      <c r="N493" s="116" t="str">
        <f t="shared" ca="1" si="142"/>
        <v>Serviço</v>
      </c>
      <c r="O493" s="117" t="str">
        <f t="shared" ca="1" si="143"/>
        <v>1.10.5.0.1.</v>
      </c>
      <c r="P493" s="118" t="s">
        <v>750</v>
      </c>
      <c r="Q493" s="119" t="s">
        <v>1197</v>
      </c>
      <c r="R493" s="120" t="str">
        <f ca="1">IF($C493="S",REFERENCIA.Descricao,"(digite a descrição aqui)")</f>
        <v>COMPACTAÇÃO MECÂNICA DE SOLO PARA EXECUÇÃO DE RADIER, PISO DE CONCRETO OU LAJE SOBRE SOLO, COM COMPACTADOR DE SOLOS TIPO PLACA VIBRATÓRIA. AF_09/2021</v>
      </c>
      <c r="S493" s="121" t="str">
        <f ca="1">REFERENCIA.Unidade</f>
        <v>M2</v>
      </c>
      <c r="T493" s="122">
        <f ca="1">OFFSET(CÁLCULO!H$15,ROW($T493)-ROW(T$15),0)</f>
        <v>192.42</v>
      </c>
      <c r="U493" s="123">
        <f t="shared" ca="1" si="108"/>
        <v>0.76</v>
      </c>
      <c r="V493" s="124" t="s">
        <v>663</v>
      </c>
      <c r="W493" s="122">
        <f ca="1">IF($C493="S",ROUND(IF(TIPOORCAMENTO="Proposto",ORÇAMENTO.CustoUnitario*(1+$AH493),ORÇAMENTO.PrecoUnitarioLicitado),15-13*$AF$10),0)</f>
        <v>0.94</v>
      </c>
      <c r="X493" s="125" cm="1">
        <f t="array" aca="1" ref="X493" ca="1">IF($C493="S",IF(OR(Import.TipoArredondamento&lt;&gt;"TransfereGOV",ACOMPANHAMENTO="BM"),VTOTAL1,SUM(OFFSET(CÁLCULO!$AI$15,ROW($X493)-ROW($X$15),1):OFFSET(CÁLCULO!$BB$15,ROW($X493)-ROW($X$15),-1))),IF($C493=0,0,ROUND(SomaAgrup,15-13*$AF$11)))</f>
        <v>180.87</v>
      </c>
      <c r="Y493" s="126" t="s">
        <v>751</v>
      </c>
      <c r="Z493" t="str">
        <f t="shared" ca="1" si="144"/>
        <v>RA</v>
      </c>
      <c r="AA493" s="127">
        <f ca="1">IF($C493="S",IF($Z493="CP",$X493,IF($Z493="RA",(($X493)*QCI!$AA$3),0)),SomaAgrup)</f>
        <v>0</v>
      </c>
      <c r="AB493" s="128">
        <f t="shared" ca="1" si="145"/>
        <v>0</v>
      </c>
      <c r="AC493" s="565" t="str" cm="1">
        <f t="array" aca="1" ref="AC493" ca="1">IF($N493=""," ",
IF(AND($C493&lt;&gt;"S",OR($R493="",$R493="(digite a descrição aqui)")),"DESCRIÇÃO",
IF(AND($C493="S",OR($Q493&lt;&gt;"",$T493&gt;0,$U493&gt;0),$P493=""),"FONTE",
IF(AND($C493="S",$P493&lt;&gt;"",OR($T493&gt;0,$U493&gt;0),$Q493=""),"CÓDIGO",
IF(AND($C493="S",$P493&lt;&gt;"",$Q493&lt;&gt;"",$R493="(Código não identificado nas referências)"),"CÓDIGO N/ID",
IF(AND($C493="S",OR($R493="",$R493="(digite a descrição aqui)"),OR($Q493&lt;&gt;"",$T493&gt;0,$U493&gt;0)),"DESCRIÇÃO",
IF(AND($C493="S",$P493&lt;&gt;"",$Q493&lt;&gt;"",$S493=""),"UNIDADE",
IF(AND($C493="S",$P493&lt;&gt;"",$Q493&lt;&gt;"",$U493=0),"SEM CUSTO",
IF(AND(_xlfn.SINGLE(TIPOORCAMENTO)="Licitado",$AL493=0,$AN493&gt;0),"SEM PREÇO",
IF(AND($C493="S",$P493&lt;&gt;"",$Q493&lt;&gt;"",$U493&gt;0,AND($V493&lt;&gt;"BDI 1",$V493&lt;&gt;"BDI 2",$V493&lt;&gt;"BDI 3")),IF(ISNUMBER($V493),"JUSTIFICAR BDI","BDI"),
IF(OR(AND(import.recurso="OGU",TIPOORCAMENTO="Proposto",LEFT($O$8,5)&lt;&gt;"(N/D:",$AG493&lt;&gt;"",ORÇAMENTO.CustoUnitario&gt;$AG493),AND(TIPOORCAMENTO="LICITADO",ORÇAMENTO.PrecoUnitarioLicitado&gt;$AN493)),"ACIMA REF.",
IF(AND($C493="S",$P493&lt;&gt;"",$Q493&lt;&gt;"",$T493=0,$U493&gt;0),"QUANT.",
IF(AND(Import.TipoArredondamento="TransfereGOV",$L493="F",$C493="S",LEN($Q493)&gt;13),"Código &gt;13",
IF(AND(Import.TipoArredondamento="TransfereGOV",$L493="F",$C493&lt;&gt;"S",LEN($R493)&gt;100),"Descrição &gt;100",
IF(AND(Import.TipoArredondamento="TransfereGOV",$L493="F",$C493="S",LEN($R493)&gt;500),"Descrição &gt;500",
IF(AND(Import.TipoArredondamento="TransfereGOV",$L493="F",$C493="S",LEFT(TRIM(UPPER($P493)),6)&lt;&gt;"SINAPI",ISNA(VLOOKUP(TRIM(UPPER($S493)),ListaTgov.Unidades,1,FALSE))),"Unid. Não Disp",
" "))))))))))))))))</f>
        <v xml:space="preserve"> </v>
      </c>
      <c r="AD493" t="str">
        <f ca="1">IF(C493&lt;=CRONO.NivelExibicao,MAX($AD$15:OFFSET(AD493,-1,0))+IF($C493&lt;&gt;1,1,MAX(1,COUNTIF(QCI!$A$13:$A$15,OFFSET($E493,-1,0)))),"")</f>
        <v/>
      </c>
      <c r="AE493" s="7" t="str">
        <f ca="1">IF(AND($C493="S",ORÇAMENTO.CodBarra&lt;&gt;""),IF(ORÇAMENTO.Fonte="",ORÇAMENTO.CodBarra,CONCATENATE(ORÇAMENTO.Fonte," ",ORÇAMENTO.CodBarra)))</f>
        <v>SINAPI 97084</v>
      </c>
      <c r="AF493" s="12">
        <f ca="1">IF(ISERROR(INDIRECT(ORÇAMENTO.BancoRef)),"(abra o arquivo 'Referência "&amp;Excel_BuiltIn_Database&amp;".xlsm)",IF(OR($C493&lt;&gt;"S",ORÇAMENTO.CodBarra=""),"(Sem Código)",IF(ISERROR(MATCH($AE493,INDIRECT(ORÇAMENTO.BancoRef),0)),"(Código não identificado nas referências)",MATCH($AE493,INDIRECT(ORÇAMENTO.BancoRef),0))))</f>
        <v>14374</v>
      </c>
      <c r="AG493" s="428">
        <f ca="1">ROUND(IF(DESONERACAO="sim",REFERENCIA.Desonerado,REFERENCIA.NaoDesonerado),2)</f>
        <v>0.76</v>
      </c>
      <c r="AH493" s="429">
        <f t="shared" ca="1" si="146"/>
        <v>0.23499999999999999</v>
      </c>
      <c r="AJ493" s="431">
        <v>192.42</v>
      </c>
      <c r="AL493" s="439"/>
      <c r="AM493" s="336">
        <f t="shared" ca="1" si="131"/>
        <v>180.87</v>
      </c>
      <c r="AN493" s="470">
        <f t="shared" ca="1" si="147"/>
        <v>0.94</v>
      </c>
    </row>
    <row r="494" spans="1:40" ht="38.25" x14ac:dyDescent="0.2">
      <c r="A494" t="str">
        <f t="shared" si="132"/>
        <v>S</v>
      </c>
      <c r="B494">
        <f t="shared" ca="1" si="133"/>
        <v>3</v>
      </c>
      <c r="C494" t="str">
        <f t="shared" ca="1" si="134"/>
        <v>S</v>
      </c>
      <c r="D494">
        <f t="shared" ca="1" si="135"/>
        <v>0</v>
      </c>
      <c r="E494">
        <f ca="1">IF($C494=1,OFFSET(E494,-1,0)+MAX(1,COUNTIF(QCI!$A$13:$A$15,OFFSET(ORÇAMENTO!E494,-1,0))),OFFSET(E494,-1,0))</f>
        <v>1</v>
      </c>
      <c r="F494">
        <f t="shared" ca="1" si="136"/>
        <v>10</v>
      </c>
      <c r="G494">
        <f t="shared" ca="1" si="137"/>
        <v>5</v>
      </c>
      <c r="H494">
        <f t="shared" ca="1" si="138"/>
        <v>0</v>
      </c>
      <c r="I494">
        <f t="shared" ca="1" si="139"/>
        <v>2</v>
      </c>
      <c r="J494">
        <f t="shared" ca="1" si="140"/>
        <v>0</v>
      </c>
      <c r="K494">
        <f ca="1">IF(OR($C494="S",$C494=0),0,MATCH(OFFSET($D494,0,$C494)+IF($C494&lt;&gt;1,1,COUNTIF(QCI!$A$13:$A$15,ORÇAMENTO!E494)),OFFSET($D494,1,$C494,ROW($C$508)-ROW($C494)),0))</f>
        <v>0</v>
      </c>
      <c r="L494" s="114" t="str">
        <f t="shared" ca="1" si="141"/>
        <v>F</v>
      </c>
      <c r="M494" s="115" t="s">
        <v>705</v>
      </c>
      <c r="N494" s="116" t="str">
        <f t="shared" ca="1" si="142"/>
        <v>Serviço</v>
      </c>
      <c r="O494" s="117" t="str">
        <f t="shared" ca="1" si="143"/>
        <v>1.10.5.0.2.</v>
      </c>
      <c r="P494" s="118" t="s">
        <v>750</v>
      </c>
      <c r="Q494" s="119" t="s">
        <v>1198</v>
      </c>
      <c r="R494" s="120" t="str">
        <f ca="1">IF($C494="S",REFERENCIA.Descricao,"(digite a descrição aqui)")</f>
        <v>EXECUÇÃO DE PASSEIO (CALÇADA) OU PISO DE CONCRETO COM CONCRETO MOLDADO IN LOCO, FEITO EM OBRA, ACABAMENTO CONVENCIONAL, NÃO ARMADO. AF_08/2022</v>
      </c>
      <c r="S494" s="121" t="str">
        <f ca="1">REFERENCIA.Unidade</f>
        <v>M3</v>
      </c>
      <c r="T494" s="122">
        <f ca="1">OFFSET(CÁLCULO!H$15,ROW($T494)-ROW(T$15),0)</f>
        <v>29.62</v>
      </c>
      <c r="U494" s="123">
        <f ca="1">AG494</f>
        <v>843.93</v>
      </c>
      <c r="V494" s="124" t="s">
        <v>663</v>
      </c>
      <c r="W494" s="122">
        <f ca="1">IF($C494="S",ROUND(IF(TIPOORCAMENTO="Proposto",ORÇAMENTO.CustoUnitario*(1+$AH494),ORÇAMENTO.PrecoUnitarioLicitado),15-13*$AF$10),0)</f>
        <v>1042.25</v>
      </c>
      <c r="X494" s="125" cm="1">
        <f t="array" aca="1" ref="X494" ca="1">IF($C494="S",IF(OR(Import.TipoArredondamento&lt;&gt;"TransfereGOV",ACOMPANHAMENTO="BM"),VTOTAL1,SUM(OFFSET(CÁLCULO!$AI$15,ROW($X494)-ROW($X$15),1):OFFSET(CÁLCULO!$BB$15,ROW($X494)-ROW($X$15),-1))),IF($C494=0,0,ROUND(SomaAgrup,15-13*$AF$11)))</f>
        <v>30871.45</v>
      </c>
      <c r="Y494" s="126" t="s">
        <v>751</v>
      </c>
      <c r="Z494" t="str">
        <f t="shared" ca="1" si="144"/>
        <v>RA</v>
      </c>
      <c r="AA494" s="127">
        <f ca="1">IF($C494="S",IF($Z494="CP",$X494,IF($Z494="RA",(($X494)*QCI!$AA$3),0)),SomaAgrup)</f>
        <v>0</v>
      </c>
      <c r="AB494" s="128">
        <f t="shared" ca="1" si="145"/>
        <v>0</v>
      </c>
      <c r="AC494" s="565" t="str" cm="1">
        <f t="array" aca="1" ref="AC494" ca="1">IF($N494=""," ",
IF(AND($C494&lt;&gt;"S",OR($R494="",$R494="(digite a descrição aqui)")),"DESCRIÇÃO",
IF(AND($C494="S",OR($Q494&lt;&gt;"",$T494&gt;0,$U494&gt;0),$P494=""),"FONTE",
IF(AND($C494="S",$P494&lt;&gt;"",OR($T494&gt;0,$U494&gt;0),$Q494=""),"CÓDIGO",
IF(AND($C494="S",$P494&lt;&gt;"",$Q494&lt;&gt;"",$R494="(Código não identificado nas referências)"),"CÓDIGO N/ID",
IF(AND($C494="S",OR($R494="",$R494="(digite a descrição aqui)"),OR($Q494&lt;&gt;"",$T494&gt;0,$U494&gt;0)),"DESCRIÇÃO",
IF(AND($C494="S",$P494&lt;&gt;"",$Q494&lt;&gt;"",$S494=""),"UNIDADE",
IF(AND($C494="S",$P494&lt;&gt;"",$Q494&lt;&gt;"",$U494=0),"SEM CUSTO",
IF(AND(_xlfn.SINGLE(TIPOORCAMENTO)="Licitado",$AL494=0,$AN494&gt;0),"SEM PREÇO",
IF(AND($C494="S",$P494&lt;&gt;"",$Q494&lt;&gt;"",$U494&gt;0,AND($V494&lt;&gt;"BDI 1",$V494&lt;&gt;"BDI 2",$V494&lt;&gt;"BDI 3")),IF(ISNUMBER($V494),"JUSTIFICAR BDI","BDI"),
IF(OR(AND(import.recurso="OGU",TIPOORCAMENTO="Proposto",LEFT($O$8,5)&lt;&gt;"(N/D:",$AG494&lt;&gt;"",ORÇAMENTO.CustoUnitario&gt;$AG494),AND(TIPOORCAMENTO="LICITADO",ORÇAMENTO.PrecoUnitarioLicitado&gt;$AN494)),"ACIMA REF.",
IF(AND($C494="S",$P494&lt;&gt;"",$Q494&lt;&gt;"",$T494=0,$U494&gt;0),"QUANT.",
IF(AND(Import.TipoArredondamento="TransfereGOV",$L494="F",$C494="S",LEN($Q494)&gt;13),"Código &gt;13",
IF(AND(Import.TipoArredondamento="TransfereGOV",$L494="F",$C494&lt;&gt;"S",LEN($R494)&gt;100),"Descrição &gt;100",
IF(AND(Import.TipoArredondamento="TransfereGOV",$L494="F",$C494="S",LEN($R494)&gt;500),"Descrição &gt;500",
IF(AND(Import.TipoArredondamento="TransfereGOV",$L494="F",$C494="S",LEFT(TRIM(UPPER($P494)),6)&lt;&gt;"SINAPI",ISNA(VLOOKUP(TRIM(UPPER($S494)),ListaTgov.Unidades,1,FALSE))),"Unid. Não Disp",
" "))))))))))))))))</f>
        <v xml:space="preserve"> </v>
      </c>
      <c r="AD494" t="str">
        <f ca="1">IF(C494&lt;=CRONO.NivelExibicao,MAX($AD$15:OFFSET(AD494,-1,0))+IF($C494&lt;&gt;1,1,MAX(1,COUNTIF(QCI!$A$13:$A$15,OFFSET($E494,-1,0)))),"")</f>
        <v/>
      </c>
      <c r="AE494" s="7" t="str">
        <f ca="1">IF(AND($C494="S",ORÇAMENTO.CodBarra&lt;&gt;""),IF(ORÇAMENTO.Fonte="",ORÇAMENTO.CodBarra,CONCATENATE(ORÇAMENTO.Fonte," ",ORÇAMENTO.CodBarra)))</f>
        <v>SINAPI 94990</v>
      </c>
      <c r="AF494" s="12">
        <f ca="1">IF(ISERROR(INDIRECT(ORÇAMENTO.BancoRef)),"(abra o arquivo 'Referência "&amp;Excel_BuiltIn_Database&amp;".xlsm)",IF(OR($C494&lt;&gt;"S",ORÇAMENTO.CodBarra=""),"(Sem Código)",IF(ISERROR(MATCH($AE494,INDIRECT(ORÇAMENTO.BancoRef),0)),"(Código não identificado nas referências)",MATCH($AE494,INDIRECT(ORÇAMENTO.BancoRef),0))))</f>
        <v>13666</v>
      </c>
      <c r="AG494" s="428">
        <f ca="1">ROUND(IF(DESONERACAO="sim",REFERENCIA.Desonerado,REFERENCIA.NaoDesonerado),2)</f>
        <v>843.93</v>
      </c>
      <c r="AH494" s="429">
        <f t="shared" ca="1" si="146"/>
        <v>0.23499999999999999</v>
      </c>
      <c r="AJ494" s="431">
        <v>29.62</v>
      </c>
      <c r="AL494" s="439"/>
      <c r="AM494" s="336">
        <f t="shared" ca="1" si="131"/>
        <v>30871.45</v>
      </c>
      <c r="AN494" s="470">
        <f t="shared" ca="1" si="147"/>
        <v>1042.25</v>
      </c>
    </row>
    <row r="495" spans="1:40" ht="25.5" x14ac:dyDescent="0.2">
      <c r="A495" t="str">
        <f t="shared" si="132"/>
        <v>S</v>
      </c>
      <c r="B495">
        <f t="shared" ca="1" si="133"/>
        <v>3</v>
      </c>
      <c r="C495" t="str">
        <f t="shared" ca="1" si="134"/>
        <v>S</v>
      </c>
      <c r="D495">
        <f t="shared" ca="1" si="135"/>
        <v>0</v>
      </c>
      <c r="E495">
        <f ca="1">IF($C495=1,OFFSET(E495,-1,0)+MAX(1,COUNTIF(QCI!$A$13:$A$15,OFFSET(ORÇAMENTO!E495,-1,0))),OFFSET(E495,-1,0))</f>
        <v>1</v>
      </c>
      <c r="F495">
        <f t="shared" ca="1" si="136"/>
        <v>10</v>
      </c>
      <c r="G495">
        <f t="shared" ca="1" si="137"/>
        <v>5</v>
      </c>
      <c r="H495">
        <f t="shared" ca="1" si="138"/>
        <v>0</v>
      </c>
      <c r="I495">
        <f t="shared" ca="1" si="139"/>
        <v>3</v>
      </c>
      <c r="J495">
        <f t="shared" ca="1" si="140"/>
        <v>0</v>
      </c>
      <c r="K495">
        <f ca="1">IF(OR($C495="S",$C495=0),0,MATCH(OFFSET($D495,0,$C495)+IF($C495&lt;&gt;1,1,COUNTIF(QCI!$A$13:$A$15,ORÇAMENTO!E495)),OFFSET($D495,1,$C495,ROW($C$508)-ROW($C495)),0))</f>
        <v>0</v>
      </c>
      <c r="L495" s="114" t="str">
        <f t="shared" ca="1" si="141"/>
        <v>F</v>
      </c>
      <c r="M495" s="115" t="s">
        <v>705</v>
      </c>
      <c r="N495" s="116" t="str">
        <f t="shared" ca="1" si="142"/>
        <v>Serviço</v>
      </c>
      <c r="O495" s="117" t="str">
        <f t="shared" ca="1" si="143"/>
        <v>1.10.5.0.3.</v>
      </c>
      <c r="P495" s="118" t="s">
        <v>750</v>
      </c>
      <c r="Q495" s="119" t="s">
        <v>1199</v>
      </c>
      <c r="R495" s="120" t="str">
        <f ca="1">IF($C495="S",REFERENCIA.Descricao,"(digite a descrição aqui)")</f>
        <v>CAMADA SEPARADORA PARA EXECUÇÃO DE RADIER, PISO DE CONCRETO OU LAJE SOBRE SOLO, EM LONA PLÁSTICA. AF_09/2021</v>
      </c>
      <c r="S495" s="121" t="str">
        <f ca="1">REFERENCIA.Unidade</f>
        <v>M2</v>
      </c>
      <c r="T495" s="122">
        <f ca="1">OFFSET(CÁLCULO!H$15,ROW($T495)-ROW(T$15),0)</f>
        <v>192.42</v>
      </c>
      <c r="U495" s="123">
        <f t="shared" ca="1" si="108"/>
        <v>2.63</v>
      </c>
      <c r="V495" s="124" t="s">
        <v>663</v>
      </c>
      <c r="W495" s="122">
        <f ca="1">IF($C495="S",ROUND(IF(TIPOORCAMENTO="Proposto",ORÇAMENTO.CustoUnitario*(1+$AH495),ORÇAMENTO.PrecoUnitarioLicitado),15-13*$AF$10),0)</f>
        <v>3.25</v>
      </c>
      <c r="X495" s="125" cm="1">
        <f t="array" aca="1" ref="X495" ca="1">IF($C495="S",IF(OR(Import.TipoArredondamento&lt;&gt;"TransfereGOV",ACOMPANHAMENTO="BM"),VTOTAL1,SUM(OFFSET(CÁLCULO!$AI$15,ROW($X495)-ROW($X$15),1):OFFSET(CÁLCULO!$BB$15,ROW($X495)-ROW($X$15),-1))),IF($C495=0,0,ROUND(SomaAgrup,15-13*$AF$11)))</f>
        <v>625.37</v>
      </c>
      <c r="Y495" s="126" t="s">
        <v>751</v>
      </c>
      <c r="Z495" t="str">
        <f t="shared" ca="1" si="144"/>
        <v>RA</v>
      </c>
      <c r="AA495" s="127">
        <f ca="1">IF($C495="S",IF($Z495="CP",$X495,IF($Z495="RA",(($X495)*QCI!$AA$3),0)),SomaAgrup)</f>
        <v>0</v>
      </c>
      <c r="AB495" s="128">
        <f t="shared" ca="1" si="145"/>
        <v>0</v>
      </c>
      <c r="AC495" s="565" t="str" cm="1">
        <f t="array" aca="1" ref="AC495" ca="1">IF($N495=""," ",
IF(AND($C495&lt;&gt;"S",OR($R495="",$R495="(digite a descrição aqui)")),"DESCRIÇÃO",
IF(AND($C495="S",OR($Q495&lt;&gt;"",$T495&gt;0,$U495&gt;0),$P495=""),"FONTE",
IF(AND($C495="S",$P495&lt;&gt;"",OR($T495&gt;0,$U495&gt;0),$Q495=""),"CÓDIGO",
IF(AND($C495="S",$P495&lt;&gt;"",$Q495&lt;&gt;"",$R495="(Código não identificado nas referências)"),"CÓDIGO N/ID",
IF(AND($C495="S",OR($R495="",$R495="(digite a descrição aqui)"),OR($Q495&lt;&gt;"",$T495&gt;0,$U495&gt;0)),"DESCRIÇÃO",
IF(AND($C495="S",$P495&lt;&gt;"",$Q495&lt;&gt;"",$S495=""),"UNIDADE",
IF(AND($C495="S",$P495&lt;&gt;"",$Q495&lt;&gt;"",$U495=0),"SEM CUSTO",
IF(AND(_xlfn.SINGLE(TIPOORCAMENTO)="Licitado",$AL495=0,$AN495&gt;0),"SEM PREÇO",
IF(AND($C495="S",$P495&lt;&gt;"",$Q495&lt;&gt;"",$U495&gt;0,AND($V495&lt;&gt;"BDI 1",$V495&lt;&gt;"BDI 2",$V495&lt;&gt;"BDI 3")),IF(ISNUMBER($V495),"JUSTIFICAR BDI","BDI"),
IF(OR(AND(import.recurso="OGU",TIPOORCAMENTO="Proposto",LEFT($O$8,5)&lt;&gt;"(N/D:",$AG495&lt;&gt;"",ORÇAMENTO.CustoUnitario&gt;$AG495),AND(TIPOORCAMENTO="LICITADO",ORÇAMENTO.PrecoUnitarioLicitado&gt;$AN495)),"ACIMA REF.",
IF(AND($C495="S",$P495&lt;&gt;"",$Q495&lt;&gt;"",$T495=0,$U495&gt;0),"QUANT.",
IF(AND(Import.TipoArredondamento="TransfereGOV",$L495="F",$C495="S",LEN($Q495)&gt;13),"Código &gt;13",
IF(AND(Import.TipoArredondamento="TransfereGOV",$L495="F",$C495&lt;&gt;"S",LEN($R495)&gt;100),"Descrição &gt;100",
IF(AND(Import.TipoArredondamento="TransfereGOV",$L495="F",$C495="S",LEN($R495)&gt;500),"Descrição &gt;500",
IF(AND(Import.TipoArredondamento="TransfereGOV",$L495="F",$C495="S",LEFT(TRIM(UPPER($P495)),6)&lt;&gt;"SINAPI",ISNA(VLOOKUP(TRIM(UPPER($S495)),ListaTgov.Unidades,1,FALSE))),"Unid. Não Disp",
" "))))))))))))))))</f>
        <v xml:space="preserve"> </v>
      </c>
      <c r="AD495" t="str">
        <f ca="1">IF(C495&lt;=CRONO.NivelExibicao,MAX($AD$15:OFFSET(AD495,-1,0))+IF($C495&lt;&gt;1,1,MAX(1,COUNTIF(QCI!$A$13:$A$15,OFFSET($E495,-1,0)))),"")</f>
        <v/>
      </c>
      <c r="AE495" s="7" t="str">
        <f ca="1">IF(AND($C495="S",ORÇAMENTO.CodBarra&lt;&gt;""),IF(ORÇAMENTO.Fonte="",ORÇAMENTO.CodBarra,CONCATENATE(ORÇAMENTO.Fonte," ",ORÇAMENTO.CodBarra)))</f>
        <v>SINAPI 97087</v>
      </c>
      <c r="AF495" s="12">
        <f ca="1">IF(ISERROR(INDIRECT(ORÇAMENTO.BancoRef)),"(abra o arquivo 'Referência "&amp;Excel_BuiltIn_Database&amp;".xlsm)",IF(OR($C495&lt;&gt;"S",ORÇAMENTO.CodBarra=""),"(Sem Código)",IF(ISERROR(MATCH($AE495,INDIRECT(ORÇAMENTO.BancoRef),0)),"(Código não identificado nas referências)",MATCH($AE495,INDIRECT(ORÇAMENTO.BancoRef),0))))</f>
        <v>14372</v>
      </c>
      <c r="AG495" s="428">
        <f ca="1">ROUND(IF(DESONERACAO="sim",REFERENCIA.Desonerado,REFERENCIA.NaoDesonerado),2)</f>
        <v>2.63</v>
      </c>
      <c r="AH495" s="429">
        <f t="shared" ca="1" si="146"/>
        <v>0.23499999999999999</v>
      </c>
      <c r="AJ495" s="431">
        <f>AJ493</f>
        <v>192.42</v>
      </c>
      <c r="AL495" s="439"/>
      <c r="AM495" s="336">
        <f t="shared" ca="1" si="131"/>
        <v>625.37</v>
      </c>
      <c r="AN495" s="470">
        <f t="shared" ca="1" si="147"/>
        <v>3.25</v>
      </c>
    </row>
    <row r="496" spans="1:40" x14ac:dyDescent="0.2">
      <c r="A496" t="str">
        <f t="shared" si="132"/>
        <v>S</v>
      </c>
      <c r="B496">
        <f t="shared" ca="1" si="133"/>
        <v>3</v>
      </c>
      <c r="C496" t="str">
        <f t="shared" ca="1" si="134"/>
        <v>S</v>
      </c>
      <c r="D496">
        <f t="shared" ca="1" si="135"/>
        <v>0</v>
      </c>
      <c r="E496">
        <f ca="1">IF($C496=1,OFFSET(E496,-1,0)+MAX(1,COUNTIF(QCI!$A$13:$A$15,OFFSET(ORÇAMENTO!E496,-1,0))),OFFSET(E496,-1,0))</f>
        <v>1</v>
      </c>
      <c r="F496">
        <f t="shared" ca="1" si="136"/>
        <v>10</v>
      </c>
      <c r="G496">
        <f t="shared" ca="1" si="137"/>
        <v>5</v>
      </c>
      <c r="H496">
        <f t="shared" ca="1" si="138"/>
        <v>0</v>
      </c>
      <c r="I496">
        <f t="shared" ca="1" si="139"/>
        <v>4</v>
      </c>
      <c r="J496">
        <f t="shared" ca="1" si="140"/>
        <v>0</v>
      </c>
      <c r="K496">
        <f ca="1">IF(OR($C496="S",$C496=0),0,MATCH(OFFSET($D496,0,$C496)+IF($C496&lt;&gt;1,1,COUNTIF(QCI!$A$13:$A$15,ORÇAMENTO!E496)),OFFSET($D496,1,$C496,ROW($C$508)-ROW($C496)),0))</f>
        <v>0</v>
      </c>
      <c r="L496" s="114" t="str">
        <f t="shared" ca="1" si="141"/>
        <v>F</v>
      </c>
      <c r="M496" s="115" t="s">
        <v>705</v>
      </c>
      <c r="N496" s="116" t="str">
        <f t="shared" ca="1" si="142"/>
        <v>Serviço</v>
      </c>
      <c r="O496" s="117" t="str">
        <f t="shared" ca="1" si="143"/>
        <v>1.10.5.0.4.</v>
      </c>
      <c r="P496" s="118" t="s">
        <v>1281</v>
      </c>
      <c r="Q496" s="119" t="s">
        <v>1200</v>
      </c>
      <c r="R496" s="120" t="str">
        <f ca="1">IF($C496="S",REFERENCIA.Descricao,"(digite a descrição aqui)")</f>
        <v>ACABAMENTO CAMURÇADO EM PISO - BASEADO EM IOPES (130209)</v>
      </c>
      <c r="S496" s="121" t="str">
        <f ca="1">REFERENCIA.Unidade</f>
        <v>M2</v>
      </c>
      <c r="T496" s="122">
        <f ca="1">OFFSET(CÁLCULO!H$15,ROW($T496)-ROW(T$15),0)</f>
        <v>192.42</v>
      </c>
      <c r="U496" s="123">
        <f t="shared" ca="1" si="108"/>
        <v>66.48</v>
      </c>
      <c r="V496" s="124" t="s">
        <v>663</v>
      </c>
      <c r="W496" s="122">
        <f ca="1">IF($C496="S",ROUND(IF(TIPOORCAMENTO="Proposto",ORÇAMENTO.CustoUnitario*(1+$AH496),ORÇAMENTO.PrecoUnitarioLicitado),15-13*$AF$10),0)</f>
        <v>82.1</v>
      </c>
      <c r="X496" s="125" cm="1">
        <f t="array" aca="1" ref="X496" ca="1">IF($C496="S",IF(OR(Import.TipoArredondamento&lt;&gt;"TransfereGOV",ACOMPANHAMENTO="BM"),VTOTAL1,SUM(OFFSET(CÁLCULO!$AI$15,ROW($X496)-ROW($X$15),1):OFFSET(CÁLCULO!$BB$15,ROW($X496)-ROW($X$15),-1))),IF($C496=0,0,ROUND(SomaAgrup,15-13*$AF$11)))</f>
        <v>15797.68</v>
      </c>
      <c r="Y496" s="126" t="s">
        <v>751</v>
      </c>
      <c r="Z496" t="str">
        <f t="shared" ca="1" si="144"/>
        <v>RA</v>
      </c>
      <c r="AA496" s="127">
        <f ca="1">IF($C496="S",IF($Z496="CP",$X496,IF($Z496="RA",(($X496)*QCI!$AA$3),0)),SomaAgrup)</f>
        <v>0</v>
      </c>
      <c r="AB496" s="128">
        <f t="shared" ca="1" si="145"/>
        <v>0</v>
      </c>
      <c r="AC496" s="565" t="str" cm="1">
        <f t="array" aca="1" ref="AC496" ca="1">IF($N496=""," ",
IF(AND($C496&lt;&gt;"S",OR($R496="",$R496="(digite a descrição aqui)")),"DESCRIÇÃO",
IF(AND($C496="S",OR($Q496&lt;&gt;"",$T496&gt;0,$U496&gt;0),$P496=""),"FONTE",
IF(AND($C496="S",$P496&lt;&gt;"",OR($T496&gt;0,$U496&gt;0),$Q496=""),"CÓDIGO",
IF(AND($C496="S",$P496&lt;&gt;"",$Q496&lt;&gt;"",$R496="(Código não identificado nas referências)"),"CÓDIGO N/ID",
IF(AND($C496="S",OR($R496="",$R496="(digite a descrição aqui)"),OR($Q496&lt;&gt;"",$T496&gt;0,$U496&gt;0)),"DESCRIÇÃO",
IF(AND($C496="S",$P496&lt;&gt;"",$Q496&lt;&gt;"",$S496=""),"UNIDADE",
IF(AND($C496="S",$P496&lt;&gt;"",$Q496&lt;&gt;"",$U496=0),"SEM CUSTO",
IF(AND(_xlfn.SINGLE(TIPOORCAMENTO)="Licitado",$AL496=0,$AN496&gt;0),"SEM PREÇO",
IF(AND($C496="S",$P496&lt;&gt;"",$Q496&lt;&gt;"",$U496&gt;0,AND($V496&lt;&gt;"BDI 1",$V496&lt;&gt;"BDI 2",$V496&lt;&gt;"BDI 3")),IF(ISNUMBER($V496),"JUSTIFICAR BDI","BDI"),
IF(OR(AND(import.recurso="OGU",TIPOORCAMENTO="Proposto",LEFT($O$8,5)&lt;&gt;"(N/D:",$AG496&lt;&gt;"",ORÇAMENTO.CustoUnitario&gt;$AG496),AND(TIPOORCAMENTO="LICITADO",ORÇAMENTO.PrecoUnitarioLicitado&gt;$AN496)),"ACIMA REF.",
IF(AND($C496="S",$P496&lt;&gt;"",$Q496&lt;&gt;"",$T496=0,$U496&gt;0),"QUANT.",
IF(AND(Import.TipoArredondamento="TransfereGOV",$L496="F",$C496="S",LEN($Q496)&gt;13),"Código &gt;13",
IF(AND(Import.TipoArredondamento="TransfereGOV",$L496="F",$C496&lt;&gt;"S",LEN($R496)&gt;100),"Descrição &gt;100",
IF(AND(Import.TipoArredondamento="TransfereGOV",$L496="F",$C496="S",LEN($R496)&gt;500),"Descrição &gt;500",
IF(AND(Import.TipoArredondamento="TransfereGOV",$L496="F",$C496="S",LEFT(TRIM(UPPER($P496)),6)&lt;&gt;"SINAPI",ISNA(VLOOKUP(TRIM(UPPER($S496)),ListaTgov.Unidades,1,FALSE))),"Unid. Não Disp",
" "))))))))))))))))</f>
        <v xml:space="preserve"> </v>
      </c>
      <c r="AD496" t="str">
        <f ca="1">IF(C496&lt;=CRONO.NivelExibicao,MAX($AD$15:OFFSET(AD496,-1,0))+IF($C496&lt;&gt;1,1,MAX(1,COUNTIF(QCI!$A$13:$A$15,OFFSET($E496,-1,0)))),"")</f>
        <v/>
      </c>
      <c r="AE496" s="7" t="str">
        <f ca="1">IF(AND($C496="S",ORÇAMENTO.CodBarra&lt;&gt;""),IF(ORÇAMENTO.Fonte="",ORÇAMENTO.CodBarra,CONCATENATE(ORÇAMENTO.Fonte," ",ORÇAMENTO.CodBarra)))</f>
        <v>COMPOSIÇÃO CPU-065</v>
      </c>
      <c r="AF496" s="12">
        <f ca="1">IF(ISERROR(INDIRECT(ORÇAMENTO.BancoRef)),"(abra o arquivo 'Referência "&amp;Excel_BuiltIn_Database&amp;".xlsm)",IF(OR($C496&lt;&gt;"S",ORÇAMENTO.CodBarra=""),"(Sem Código)",IF(ISERROR(MATCH($AE496,INDIRECT(ORÇAMENTO.BancoRef),0)),"(Código não identificado nas referências)",MATCH($AE496,INDIRECT(ORÇAMENTO.BancoRef),0))))</f>
        <v>67</v>
      </c>
      <c r="AG496" s="428">
        <f ca="1">ROUND(IF(DESONERACAO="sim",REFERENCIA.Desonerado,REFERENCIA.NaoDesonerado),2)</f>
        <v>66.48</v>
      </c>
      <c r="AH496" s="429">
        <f t="shared" ca="1" si="146"/>
        <v>0.23499999999999999</v>
      </c>
      <c r="AJ496" s="431">
        <f>AJ493</f>
        <v>192.42</v>
      </c>
      <c r="AL496" s="439"/>
      <c r="AM496" s="336">
        <f t="shared" ca="1" si="131"/>
        <v>15797.68</v>
      </c>
      <c r="AN496" s="470">
        <f t="shared" ca="1" si="147"/>
        <v>82.1</v>
      </c>
    </row>
    <row r="497" spans="1:40" ht="25.5" x14ac:dyDescent="0.2">
      <c r="A497" t="str">
        <f>CHOOSE(1+LOG(1+2*(ORÇAMENTO.Nivel="Meta")+4*(ORÇAMENTO.Nivel="Nível 2")+8*(ORÇAMENTO.Nivel="Nível 3")+16*(ORÇAMENTO.Nivel="Nível 4")+32*(ORÇAMENTO.Nivel="Serviço"),2),0,1,2,3,4,"S")</f>
        <v>S</v>
      </c>
      <c r="B497">
        <f ca="1">IF(OR(C497="s",C497=0),OFFSET(B497,-1,0),C497)</f>
        <v>3</v>
      </c>
      <c r="C497" t="str">
        <f ca="1">IF(OFFSET(C497,-1,0)="L",1,IF(OFFSET(C497,-1,0)=1,2,IF(OR(A497="s",A497=0),"S",IF(AND(OFFSET(C497,-1,0)=2,A497=4),3,IF(AND(OR(OFFSET(C497,-1,0)="s",OFFSET(C497,-1,0)=0),A497&lt;&gt;"s",A497&gt;OFFSET(B497,-1,0)),OFFSET(B497,-1,0),A497)))))</f>
        <v>S</v>
      </c>
      <c r="D497">
        <f ca="1">IF(OR(C497="S",C497=0),0,IF(ISERROR(K497),J497,SMALL(J497:K497,1)))</f>
        <v>0</v>
      </c>
      <c r="E497">
        <f ca="1">IF($C497=1,OFFSET(E497,-1,0)+MAX(1,COUNTIF(QCI!$A$13:$A$15,OFFSET(ORÇAMENTO!E497,-1,0))),OFFSET(E497,-1,0))</f>
        <v>1</v>
      </c>
      <c r="F497">
        <f ca="1">IF($C497=1,0,IF($C497=2,OFFSET(F497,-1,0)+1,OFFSET(F497,-1,0)))</f>
        <v>10</v>
      </c>
      <c r="G497">
        <f ca="1">IF(AND($C497&lt;=2,$C497&lt;&gt;0),0,IF($C497=3,OFFSET(G497,-1,0)+1,OFFSET(G497,-1,0)))</f>
        <v>5</v>
      </c>
      <c r="H497">
        <f ca="1">IF(AND($C497&lt;=3,$C497&lt;&gt;0),0,IF($C497=4,OFFSET(H497,-1,0)+1,OFFSET(H497,-1,0)))</f>
        <v>0</v>
      </c>
      <c r="I497">
        <f ca="1">IF(AND($C497&lt;=4,$C497&lt;&gt;0),0,IF(AND($C497="S",$X497&gt;0),OFFSET(I497,-1,0)+1,OFFSET(I497,-1,0)))</f>
        <v>5</v>
      </c>
      <c r="J497">
        <f ca="1">IF(OR($C497="S",$C497=0),0,MATCH(0,OFFSET($D497,1,$C497,ROW($C$508)-ROW($C497)),0))</f>
        <v>0</v>
      </c>
      <c r="K497">
        <f ca="1">IF(OR($C497="S",$C497=0),0,MATCH(OFFSET($D497,0,$C497)+IF($C497&lt;&gt;1,1,COUNTIF(QCI!$A$13:$A$15,ORÇAMENTO!E497)),OFFSET($D497,1,$C497,ROW($C$508)-ROW($C497)),0))</f>
        <v>0</v>
      </c>
      <c r="L497" s="114" t="str">
        <f ca="1">IF(OR($X497&gt;0,$C497=1,$C497=2,$C497=3,$C497=4),"F","")</f>
        <v>F</v>
      </c>
      <c r="M497" s="115" t="s">
        <v>705</v>
      </c>
      <c r="N497" s="116" t="str">
        <f ca="1">CHOOSE(1+LOG(1+2*(C497=1)+4*(C497=2)+8*(C497=3)+16*(C497=4)+32*(C497="S"),2),"","Meta","Nível 2","Nível 3","Nível 4","Serviço")</f>
        <v>Serviço</v>
      </c>
      <c r="O497" s="117" t="str">
        <f ca="1">IF(OR($C497=0,$L497=""),"-",CONCATENATE(E497&amp;".",IF(AND($A$5&gt;=2,$C497&gt;=2),F497&amp;".",""),IF(AND($A$5&gt;=3,$C497&gt;=3),G497&amp;".",""),IF(AND($A$5&gt;=4,$C497&gt;=4),H497&amp;".",""),IF($C497="S",I497&amp;".","")))</f>
        <v>1.10.5.0.5.</v>
      </c>
      <c r="P497" s="118" t="s">
        <v>750</v>
      </c>
      <c r="Q497" s="119" t="s">
        <v>1395</v>
      </c>
      <c r="R497" s="120" t="str">
        <f ca="1">IF($C497="S",REFERENCIA.Descricao,"(digite a descrição aqui)")</f>
        <v>PISO PODOTÁTIL DE ALERTA OU DIRECIONAL, DE CONCRETO, ASSENTADO SOBRE ARGAMASSA. AF_03/2024</v>
      </c>
      <c r="S497" s="121" t="str">
        <f ca="1">REFERENCIA.Unidade</f>
        <v>M2</v>
      </c>
      <c r="T497" s="122">
        <f ca="1">OFFSET(CÁLCULO!H$15,ROW($T497)-ROW(T$15),0)</f>
        <v>3</v>
      </c>
      <c r="U497" s="123">
        <f t="shared" ca="1" si="108"/>
        <v>156.11000000000001</v>
      </c>
      <c r="V497" s="124" t="s">
        <v>663</v>
      </c>
      <c r="W497" s="122">
        <f ca="1">IF($C497="S",ROUND(IF(TIPOORCAMENTO="Proposto",ORÇAMENTO.CustoUnitario*(1+$AH497),ORÇAMENTO.PrecoUnitarioLicitado),15-13*$AF$10),0)</f>
        <v>192.8</v>
      </c>
      <c r="X497" s="125" cm="1">
        <f t="array" aca="1" ref="X497" ca="1">IF($C497="S",IF(OR(Import.TipoArredondamento&lt;&gt;"TransfereGOV",ACOMPANHAMENTO="BM"),VTOTAL1,SUM(OFFSET(CÁLCULO!$AI$15,ROW($X497)-ROW($X$15),1):OFFSET(CÁLCULO!$BB$15,ROW($X497)-ROW($X$15),-1))),IF($C497=0,0,ROUND(SomaAgrup,15-13*$AF$11)))</f>
        <v>578.4</v>
      </c>
      <c r="Y497" s="126" t="s">
        <v>751</v>
      </c>
      <c r="Z497" t="str">
        <f ca="1">IF(AND($C497="S",$X497&gt;0),IF(ISBLANK($Y497),"RA",LEFT($Y497,2)),"")</f>
        <v>RA</v>
      </c>
      <c r="AA497" s="127">
        <f ca="1">IF($C497="S",IF($Z497="CP",$X497,IF($Z497="RA",(($X497)*QCI!$AA$3),0)),SomaAgrup)</f>
        <v>0</v>
      </c>
      <c r="AB497" s="128">
        <f ca="1">IF($C497="S",IF($Z497="OU",ROUND($X497,2),0),SomaAgrup)</f>
        <v>0</v>
      </c>
      <c r="AC497" s="565" t="str" cm="1">
        <f t="array" aca="1" ref="AC497" ca="1">IF($N497=""," ",
IF(AND($C497&lt;&gt;"S",OR($R497="",$R497="(digite a descrição aqui)")),"DESCRIÇÃO",
IF(AND($C497="S",OR($Q497&lt;&gt;"",$T497&gt;0,$U497&gt;0),$P497=""),"FONTE",
IF(AND($C497="S",$P497&lt;&gt;"",OR($T497&gt;0,$U497&gt;0),$Q497=""),"CÓDIGO",
IF(AND($C497="S",$P497&lt;&gt;"",$Q497&lt;&gt;"",$R497="(Código não identificado nas referências)"),"CÓDIGO N/ID",
IF(AND($C497="S",OR($R497="",$R497="(digite a descrição aqui)"),OR($Q497&lt;&gt;"",$T497&gt;0,$U497&gt;0)),"DESCRIÇÃO",
IF(AND($C497="S",$P497&lt;&gt;"",$Q497&lt;&gt;"",$S497=""),"UNIDADE",
IF(AND($C497="S",$P497&lt;&gt;"",$Q497&lt;&gt;"",$U497=0),"SEM CUSTO",
IF(AND(_xlfn.SINGLE(TIPOORCAMENTO)="Licitado",$AL497=0,$AN497&gt;0),"SEM PREÇO",
IF(AND($C497="S",$P497&lt;&gt;"",$Q497&lt;&gt;"",$U497&gt;0,AND($V497&lt;&gt;"BDI 1",$V497&lt;&gt;"BDI 2",$V497&lt;&gt;"BDI 3")),IF(ISNUMBER($V497),"JUSTIFICAR BDI","BDI"),
IF(OR(AND(import.recurso="OGU",TIPOORCAMENTO="Proposto",LEFT($O$8,5)&lt;&gt;"(N/D:",$AG497&lt;&gt;"",ORÇAMENTO.CustoUnitario&gt;$AG497),AND(TIPOORCAMENTO="LICITADO",ORÇAMENTO.PrecoUnitarioLicitado&gt;$AN497)),"ACIMA REF.",
IF(AND($C497="S",$P497&lt;&gt;"",$Q497&lt;&gt;"",$T497=0,$U497&gt;0),"QUANT.",
IF(AND(Import.TipoArredondamento="TransfereGOV",$L497="F",$C497="S",LEN($Q497)&gt;13),"Código &gt;13",
IF(AND(Import.TipoArredondamento="TransfereGOV",$L497="F",$C497&lt;&gt;"S",LEN($R497)&gt;100),"Descrição &gt;100",
IF(AND(Import.TipoArredondamento="TransfereGOV",$L497="F",$C497="S",LEN($R497)&gt;500),"Descrição &gt;500",
IF(AND(Import.TipoArredondamento="TransfereGOV",$L497="F",$C497="S",LEFT(TRIM(UPPER($P497)),6)&lt;&gt;"SINAPI",ISNA(VLOOKUP(TRIM(UPPER($S497)),ListaTgov.Unidades,1,FALSE))),"Unid. Não Disp",
" "))))))))))))))))</f>
        <v xml:space="preserve"> </v>
      </c>
      <c r="AD497" t="str">
        <f ca="1">IF(C497&lt;=CRONO.NivelExibicao,MAX($AD$15:OFFSET(AD497,-1,0))+IF($C497&lt;&gt;1,1,MAX(1,COUNTIF(QCI!$A$13:$A$15,OFFSET($E497,-1,0)))),"")</f>
        <v/>
      </c>
      <c r="AE497" s="7" t="str">
        <f ca="1">IF(AND($C497="S",ORÇAMENTO.CodBarra&lt;&gt;""),IF(ORÇAMENTO.Fonte="",ORÇAMENTO.CodBarra,CONCATENATE(ORÇAMENTO.Fonte," ",ORÇAMENTO.CodBarra)))</f>
        <v>SINAPI 104658</v>
      </c>
      <c r="AF497" s="12">
        <f ca="1">IF(ISERROR(INDIRECT(ORÇAMENTO.BancoRef)),"(abra o arquivo 'Referência "&amp;Excel_BuiltIn_Database&amp;".xlsm)",IF(OR($C497&lt;&gt;"S",ORÇAMENTO.CodBarra=""),"(Sem Código)",IF(ISERROR(MATCH($AE497,INDIRECT(ORÇAMENTO.BancoRef),0)),"(Código não identificado nas referências)",MATCH($AE497,INDIRECT(ORÇAMENTO.BancoRef),0))))</f>
        <v>6059</v>
      </c>
      <c r="AG497" s="428">
        <f ca="1">ROUND(IF(DESONERACAO="sim",REFERENCIA.Desonerado,REFERENCIA.NaoDesonerado),2)</f>
        <v>156.11000000000001</v>
      </c>
      <c r="AH497" s="429">
        <f ca="1">ROUND(IF(ISNUMBER(ORÇAMENTO.OpcaoBDI),ORÇAMENTO.OpcaoBDI,IF(LEFT(ORÇAMENTO.OpcaoBDI,3)="BDI",HLOOKUP(ORÇAMENTO.OpcaoBDI,$F$4:$H$5,2,FALSE),0)),15-11*$AF$9)</f>
        <v>0.23499999999999999</v>
      </c>
      <c r="AJ497" s="431">
        <v>3</v>
      </c>
      <c r="AL497" s="439"/>
      <c r="AM497" s="336">
        <f t="shared" ca="1" si="131"/>
        <v>578.4</v>
      </c>
      <c r="AN497" s="470">
        <f ca="1">ROUND(ORÇAMENTO.CustoUnitario*(1+$AH497),2)</f>
        <v>192.8</v>
      </c>
    </row>
    <row r="498" spans="1:40" x14ac:dyDescent="0.2">
      <c r="A498">
        <f t="shared" si="132"/>
        <v>3</v>
      </c>
      <c r="B498">
        <f t="shared" ca="1" si="133"/>
        <v>3</v>
      </c>
      <c r="C498">
        <f t="shared" ca="1" si="134"/>
        <v>3</v>
      </c>
      <c r="D498">
        <f t="shared" ca="1" si="135"/>
        <v>2</v>
      </c>
      <c r="E498">
        <f ca="1">IF($C498=1,OFFSET(E498,-1,0)+MAX(1,COUNTIF(QCI!$A$13:$A$15,OFFSET(ORÇAMENTO!E498,-1,0))),OFFSET(E498,-1,0))</f>
        <v>1</v>
      </c>
      <c r="F498">
        <f t="shared" ca="1" si="136"/>
        <v>10</v>
      </c>
      <c r="G498">
        <f t="shared" ca="1" si="137"/>
        <v>6</v>
      </c>
      <c r="H498">
        <f t="shared" ca="1" si="138"/>
        <v>0</v>
      </c>
      <c r="I498">
        <f t="shared" ca="1" si="139"/>
        <v>0</v>
      </c>
      <c r="J498">
        <f t="shared" ca="1" si="140"/>
        <v>10</v>
      </c>
      <c r="K498">
        <f ca="1">IF(OR($C498="S",$C498=0),0,MATCH(OFFSET($D498,0,$C498)+IF($C498&lt;&gt;1,1,COUNTIF(QCI!$A$13:$A$15,ORÇAMENTO!E498)),OFFSET($D498,1,$C498,ROW($C$508)-ROW($C498)),0))</f>
        <v>2</v>
      </c>
      <c r="L498" s="114" t="str">
        <f t="shared" ca="1" si="141"/>
        <v>F</v>
      </c>
      <c r="M498" s="115" t="s">
        <v>703</v>
      </c>
      <c r="N498" s="116" t="str">
        <f t="shared" ca="1" si="142"/>
        <v>Nível 3</v>
      </c>
      <c r="O498" s="117" t="str">
        <f t="shared" ca="1" si="143"/>
        <v>1.10.6.</v>
      </c>
      <c r="P498" s="118" t="s">
        <v>750</v>
      </c>
      <c r="Q498" s="119"/>
      <c r="R498" s="120" t="s">
        <v>1269</v>
      </c>
      <c r="S498" s="121" t="s">
        <v>688</v>
      </c>
      <c r="T498" s="122">
        <f ca="1">OFFSET(CÁLCULO!H$15,ROW($T498)-ROW(T$15),0)</f>
        <v>0</v>
      </c>
      <c r="U498" s="123">
        <f t="shared" ca="1" si="108"/>
        <v>0</v>
      </c>
      <c r="V498" s="124" t="s">
        <v>663</v>
      </c>
      <c r="W498" s="122">
        <f ca="1">IF($C498="S",ROUND(IF(TIPOORCAMENTO="Proposto",ORÇAMENTO.CustoUnitario*(1+$AH498),ORÇAMENTO.PrecoUnitarioLicitado),15-13*$AF$10),0)</f>
        <v>0</v>
      </c>
      <c r="X498" s="125" cm="1">
        <f t="array" aca="1" ref="X498" ca="1">IF($C498="S",IF(OR(Import.TipoArredondamento&lt;&gt;"TransfereGOV",ACOMPANHAMENTO="BM"),VTOTAL1,SUM(OFFSET(CÁLCULO!$AI$15,ROW($X498)-ROW($X$15),1):OFFSET(CÁLCULO!$BB$15,ROW($X498)-ROW($X$15),-1))),IF($C498=0,0,ROUND(SomaAgrup,15-13*$AF$11)))</f>
        <v>1325.02</v>
      </c>
      <c r="Y498" s="126" t="s">
        <v>751</v>
      </c>
      <c r="Z498" t="str">
        <f t="shared" ca="1" si="144"/>
        <v/>
      </c>
      <c r="AA498" s="127">
        <f ca="1">IF($C498="S",IF($Z498="CP",$X498,IF($Z498="RA",(($X498)*QCI!$AA$3),0)),SomaAgrup)</f>
        <v>0</v>
      </c>
      <c r="AB498" s="128">
        <f t="shared" ca="1" si="145"/>
        <v>0</v>
      </c>
      <c r="AC498" s="565" t="str" cm="1">
        <f t="array" aca="1" ref="AC498" ca="1">IF($N498=""," ",
IF(AND($C498&lt;&gt;"S",OR($R498="",$R498="(digite a descrição aqui)")),"DESCRIÇÃO",
IF(AND($C498="S",OR($Q498&lt;&gt;"",$T498&gt;0,$U498&gt;0),$P498=""),"FONTE",
IF(AND($C498="S",$P498&lt;&gt;"",OR($T498&gt;0,$U498&gt;0),$Q498=""),"CÓDIGO",
IF(AND($C498="S",$P498&lt;&gt;"",$Q498&lt;&gt;"",$R498="(Código não identificado nas referências)"),"CÓDIGO N/ID",
IF(AND($C498="S",OR($R498="",$R498="(digite a descrição aqui)"),OR($Q498&lt;&gt;"",$T498&gt;0,$U498&gt;0)),"DESCRIÇÃO",
IF(AND($C498="S",$P498&lt;&gt;"",$Q498&lt;&gt;"",$S498=""),"UNIDADE",
IF(AND($C498="S",$P498&lt;&gt;"",$Q498&lt;&gt;"",$U498=0),"SEM CUSTO",
IF(AND(_xlfn.SINGLE(TIPOORCAMENTO)="Licitado",$AL498=0,$AN498&gt;0),"SEM PREÇO",
IF(AND($C498="S",$P498&lt;&gt;"",$Q498&lt;&gt;"",$U498&gt;0,AND($V498&lt;&gt;"BDI 1",$V498&lt;&gt;"BDI 2",$V498&lt;&gt;"BDI 3")),IF(ISNUMBER($V498),"JUSTIFICAR BDI","BDI"),
IF(OR(AND(import.recurso="OGU",TIPOORCAMENTO="Proposto",LEFT($O$8,5)&lt;&gt;"(N/D:",$AG498&lt;&gt;"",ORÇAMENTO.CustoUnitario&gt;$AG498),AND(TIPOORCAMENTO="LICITADO",ORÇAMENTO.PrecoUnitarioLicitado&gt;$AN498)),"ACIMA REF.",
IF(AND($C498="S",$P498&lt;&gt;"",$Q498&lt;&gt;"",$T498=0,$U498&gt;0),"QUANT.",
IF(AND(Import.TipoArredondamento="TransfereGOV",$L498="F",$C498="S",LEN($Q498)&gt;13),"Código &gt;13",
IF(AND(Import.TipoArredondamento="TransfereGOV",$L498="F",$C498&lt;&gt;"S",LEN($R498)&gt;100),"Descrição &gt;100",
IF(AND(Import.TipoArredondamento="TransfereGOV",$L498="F",$C498="S",LEN($R498)&gt;500),"Descrição &gt;500",
IF(AND(Import.TipoArredondamento="TransfereGOV",$L498="F",$C498="S",LEFT(TRIM(UPPER($P498)),6)&lt;&gt;"SINAPI",ISNA(VLOOKUP(TRIM(UPPER($S498)),ListaTgov.Unidades,1,FALSE))),"Unid. Não Disp",
" "))))))))))))))))</f>
        <v xml:space="preserve"> </v>
      </c>
      <c r="AD498" t="str">
        <f ca="1">IF(C498&lt;=CRONO.NivelExibicao,MAX($AD$15:OFFSET(AD498,-1,0))+IF($C498&lt;&gt;1,1,MAX(1,COUNTIF(QCI!$A$13:$A$15,OFFSET($E498,-1,0)))),"")</f>
        <v/>
      </c>
      <c r="AE498" s="7" t="b">
        <f ca="1">IF(AND($C498="S",ORÇAMENTO.CodBarra&lt;&gt;""),IF(ORÇAMENTO.Fonte="",ORÇAMENTO.CodBarra,CONCATENATE(ORÇAMENTO.Fonte," ",ORÇAMENTO.CodBarra)))</f>
        <v>0</v>
      </c>
      <c r="AF498" s="12" t="str">
        <f ca="1">IF(ISERROR(INDIRECT(ORÇAMENTO.BancoRef)),"(abra o arquivo 'Referência "&amp;Excel_BuiltIn_Database&amp;".xlsm)",IF(OR($C498&lt;&gt;"S",ORÇAMENTO.CodBarra=""),"(Sem Código)",IF(ISERROR(MATCH($AE498,INDIRECT(ORÇAMENTO.BancoRef),0)),"(Código não identificado nas referências)",MATCH($AE498,INDIRECT(ORÇAMENTO.BancoRef),0))))</f>
        <v>(Sem Código)</v>
      </c>
      <c r="AG498" s="428">
        <f ca="1">ROUND(IF(DESONERACAO="sim",REFERENCIA.Desonerado,REFERENCIA.NaoDesonerado),2)</f>
        <v>0</v>
      </c>
      <c r="AH498" s="429">
        <f t="shared" ca="1" si="146"/>
        <v>0.23499999999999999</v>
      </c>
      <c r="AJ498" s="431"/>
      <c r="AL498" s="439"/>
      <c r="AM498" s="336">
        <f t="shared" ca="1" si="131"/>
        <v>1325.02</v>
      </c>
      <c r="AN498" s="470">
        <f t="shared" ca="1" si="147"/>
        <v>0</v>
      </c>
    </row>
    <row r="499" spans="1:40" ht="38.25" x14ac:dyDescent="0.2">
      <c r="A499" t="str">
        <f t="shared" si="132"/>
        <v>S</v>
      </c>
      <c r="B499">
        <f t="shared" ca="1" si="133"/>
        <v>3</v>
      </c>
      <c r="C499" t="str">
        <f t="shared" ca="1" si="134"/>
        <v>S</v>
      </c>
      <c r="D499">
        <f t="shared" ca="1" si="135"/>
        <v>0</v>
      </c>
      <c r="E499">
        <f ca="1">IF($C499=1,OFFSET(E499,-1,0)+MAX(1,COUNTIF(QCI!$A$13:$A$15,OFFSET(ORÇAMENTO!E499,-1,0))),OFFSET(E499,-1,0))</f>
        <v>1</v>
      </c>
      <c r="F499">
        <f t="shared" ca="1" si="136"/>
        <v>10</v>
      </c>
      <c r="G499">
        <f t="shared" ca="1" si="137"/>
        <v>6</v>
      </c>
      <c r="H499">
        <f t="shared" ca="1" si="138"/>
        <v>0</v>
      </c>
      <c r="I499">
        <f t="shared" ca="1" si="139"/>
        <v>1</v>
      </c>
      <c r="J499">
        <f t="shared" ca="1" si="140"/>
        <v>0</v>
      </c>
      <c r="K499">
        <f ca="1">IF(OR($C499="S",$C499=0),0,MATCH(OFFSET($D499,0,$C499)+IF($C499&lt;&gt;1,1,COUNTIF(QCI!$A$13:$A$15,ORÇAMENTO!E499)),OFFSET($D499,1,$C499,ROW($C$508)-ROW($C499)),0))</f>
        <v>0</v>
      </c>
      <c r="L499" s="114" t="str">
        <f t="shared" ca="1" si="141"/>
        <v>F</v>
      </c>
      <c r="M499" s="115" t="s">
        <v>705</v>
      </c>
      <c r="N499" s="116" t="str">
        <f t="shared" ca="1" si="142"/>
        <v>Serviço</v>
      </c>
      <c r="O499" s="117" t="str">
        <f t="shared" ca="1" si="143"/>
        <v>1.10.6.0.1.</v>
      </c>
      <c r="P499" s="118" t="s">
        <v>750</v>
      </c>
      <c r="Q499" s="119" t="s">
        <v>1201</v>
      </c>
      <c r="R499" s="120" t="str">
        <f ca="1">IF($C499="S",REFERENCIA.Descricao,"(digite a descrição aqui)")</f>
        <v>PORTA EM ALUMÍNIO DE ABRIR TIPO VENEZIANA COM GUARNIÇÃO, FIXAÇÃO COM PARAFUSOS - FORNECIMENTO E INSTALAÇÃO. AF_12/2019</v>
      </c>
      <c r="S499" s="121" t="str">
        <f ca="1">REFERENCIA.Unidade</f>
        <v>M2</v>
      </c>
      <c r="T499" s="122">
        <f ca="1">OFFSET(CÁLCULO!H$15,ROW($T499)-ROW(T$15),0)</f>
        <v>1.68</v>
      </c>
      <c r="U499" s="123">
        <f t="shared" ca="1" si="108"/>
        <v>638.62</v>
      </c>
      <c r="V499" s="124" t="s">
        <v>663</v>
      </c>
      <c r="W499" s="122">
        <f ca="1">IF($C499="S",ROUND(IF(TIPOORCAMENTO="Proposto",ORÇAMENTO.CustoUnitario*(1+$AH499),ORÇAMENTO.PrecoUnitarioLicitado),15-13*$AF$10),0)</f>
        <v>788.7</v>
      </c>
      <c r="X499" s="125" cm="1">
        <f t="array" aca="1" ref="X499" ca="1">IF($C499="S",IF(OR(Import.TipoArredondamento&lt;&gt;"TransfereGOV",ACOMPANHAMENTO="BM"),VTOTAL1,SUM(OFFSET(CÁLCULO!$AI$15,ROW($X499)-ROW($X$15),1):OFFSET(CÁLCULO!$BB$15,ROW($X499)-ROW($X$15),-1))),IF($C499=0,0,ROUND(SomaAgrup,15-13*$AF$11)))</f>
        <v>1325.02</v>
      </c>
      <c r="Y499" s="126" t="s">
        <v>751</v>
      </c>
      <c r="Z499" t="str">
        <f t="shared" ca="1" si="144"/>
        <v>RA</v>
      </c>
      <c r="AA499" s="127">
        <f ca="1">IF($C499="S",IF($Z499="CP",$X499,IF($Z499="RA",(($X499)*QCI!$AA$3),0)),SomaAgrup)</f>
        <v>0</v>
      </c>
      <c r="AB499" s="128">
        <f t="shared" ca="1" si="145"/>
        <v>0</v>
      </c>
      <c r="AC499" s="565" t="str" cm="1">
        <f t="array" aca="1" ref="AC499" ca="1">IF($N499=""," ",
IF(AND($C499&lt;&gt;"S",OR($R499="",$R499="(digite a descrição aqui)")),"DESCRIÇÃO",
IF(AND($C499="S",OR($Q499&lt;&gt;"",$T499&gt;0,$U499&gt;0),$P499=""),"FONTE",
IF(AND($C499="S",$P499&lt;&gt;"",OR($T499&gt;0,$U499&gt;0),$Q499=""),"CÓDIGO",
IF(AND($C499="S",$P499&lt;&gt;"",$Q499&lt;&gt;"",$R499="(Código não identificado nas referências)"),"CÓDIGO N/ID",
IF(AND($C499="S",OR($R499="",$R499="(digite a descrição aqui)"),OR($Q499&lt;&gt;"",$T499&gt;0,$U499&gt;0)),"DESCRIÇÃO",
IF(AND($C499="S",$P499&lt;&gt;"",$Q499&lt;&gt;"",$S499=""),"UNIDADE",
IF(AND($C499="S",$P499&lt;&gt;"",$Q499&lt;&gt;"",$U499=0),"SEM CUSTO",
IF(AND(_xlfn.SINGLE(TIPOORCAMENTO)="Licitado",$AL499=0,$AN499&gt;0),"SEM PREÇO",
IF(AND($C499="S",$P499&lt;&gt;"",$Q499&lt;&gt;"",$U499&gt;0,AND($V499&lt;&gt;"BDI 1",$V499&lt;&gt;"BDI 2",$V499&lt;&gt;"BDI 3")),IF(ISNUMBER($V499),"JUSTIFICAR BDI","BDI"),
IF(OR(AND(import.recurso="OGU",TIPOORCAMENTO="Proposto",LEFT($O$8,5)&lt;&gt;"(N/D:",$AG499&lt;&gt;"",ORÇAMENTO.CustoUnitario&gt;$AG499),AND(TIPOORCAMENTO="LICITADO",ORÇAMENTO.PrecoUnitarioLicitado&gt;$AN499)),"ACIMA REF.",
IF(AND($C499="S",$P499&lt;&gt;"",$Q499&lt;&gt;"",$T499=0,$U499&gt;0),"QUANT.",
IF(AND(Import.TipoArredondamento="TransfereGOV",$L499="F",$C499="S",LEN($Q499)&gt;13),"Código &gt;13",
IF(AND(Import.TipoArredondamento="TransfereGOV",$L499="F",$C499&lt;&gt;"S",LEN($R499)&gt;100),"Descrição &gt;100",
IF(AND(Import.TipoArredondamento="TransfereGOV",$L499="F",$C499="S",LEN($R499)&gt;500),"Descrição &gt;500",
IF(AND(Import.TipoArredondamento="TransfereGOV",$L499="F",$C499="S",LEFT(TRIM(UPPER($P499)),6)&lt;&gt;"SINAPI",ISNA(VLOOKUP(TRIM(UPPER($S499)),ListaTgov.Unidades,1,FALSE))),"Unid. Não Disp",
" "))))))))))))))))</f>
        <v xml:space="preserve"> </v>
      </c>
      <c r="AD499" t="str">
        <f ca="1">IF(C499&lt;=CRONO.NivelExibicao,MAX($AD$15:OFFSET(AD499,-1,0))+IF($C499&lt;&gt;1,1,MAX(1,COUNTIF(QCI!$A$13:$A$15,OFFSET($E499,-1,0)))),"")</f>
        <v/>
      </c>
      <c r="AE499" s="7" t="str">
        <f ca="1">IF(AND($C499="S",ORÇAMENTO.CodBarra&lt;&gt;""),IF(ORÇAMENTO.Fonte="",ORÇAMENTO.CodBarra,CONCATENATE(ORÇAMENTO.Fonte," ",ORÇAMENTO.CodBarra)))</f>
        <v>SINAPI 91341</v>
      </c>
      <c r="AF499" s="12">
        <f ca="1">IF(ISERROR(INDIRECT(ORÇAMENTO.BancoRef)),"(abra o arquivo 'Referência "&amp;Excel_BuiltIn_Database&amp;".xlsm)",IF(OR($C499&lt;&gt;"S",ORÇAMENTO.CodBarra=""),"(Sem Código)",IF(ISERROR(MATCH($AE499,INDIRECT(ORÇAMENTO.BancoRef),0)),"(Código não identificado nas referências)",MATCH($AE499,INDIRECT(ORÇAMENTO.BancoRef),0))))</f>
        <v>9588</v>
      </c>
      <c r="AG499" s="428">
        <f ca="1">ROUND(IF(DESONERACAO="sim",REFERENCIA.Desonerado,REFERENCIA.NaoDesonerado),2)</f>
        <v>638.62</v>
      </c>
      <c r="AH499" s="429">
        <f t="shared" ca="1" si="146"/>
        <v>0.23499999999999999</v>
      </c>
      <c r="AJ499" s="431">
        <v>1.68</v>
      </c>
      <c r="AL499" s="439"/>
      <c r="AM499" s="336">
        <f t="shared" ca="1" si="131"/>
        <v>1325.02</v>
      </c>
      <c r="AN499" s="470">
        <f t="shared" ca="1" si="147"/>
        <v>788.7</v>
      </c>
    </row>
    <row r="500" spans="1:40" x14ac:dyDescent="0.2">
      <c r="A500">
        <f t="shared" si="132"/>
        <v>3</v>
      </c>
      <c r="B500">
        <f t="shared" ca="1" si="133"/>
        <v>3</v>
      </c>
      <c r="C500">
        <f t="shared" ca="1" si="134"/>
        <v>3</v>
      </c>
      <c r="D500">
        <f t="shared" ca="1" si="135"/>
        <v>3</v>
      </c>
      <c r="E500">
        <f ca="1">IF($C500=1,OFFSET(E500,-1,0)+MAX(1,COUNTIF(QCI!$A$13:$A$15,OFFSET(ORÇAMENTO!E500,-1,0))),OFFSET(E500,-1,0))</f>
        <v>1</v>
      </c>
      <c r="F500">
        <f t="shared" ca="1" si="136"/>
        <v>10</v>
      </c>
      <c r="G500">
        <f t="shared" ca="1" si="137"/>
        <v>7</v>
      </c>
      <c r="H500">
        <f t="shared" ca="1" si="138"/>
        <v>0</v>
      </c>
      <c r="I500">
        <f t="shared" ca="1" si="139"/>
        <v>0</v>
      </c>
      <c r="J500">
        <f t="shared" ca="1" si="140"/>
        <v>8</v>
      </c>
      <c r="K500">
        <f ca="1">IF(OR($C500="S",$C500=0),0,MATCH(OFFSET($D500,0,$C500)+IF($C500&lt;&gt;1,1,COUNTIF(QCI!$A$13:$A$15,ORÇAMENTO!E500)),OFFSET($D500,1,$C500,ROW($C$508)-ROW($C500)),0))</f>
        <v>3</v>
      </c>
      <c r="L500" s="114" t="str">
        <f t="shared" ca="1" si="141"/>
        <v>F</v>
      </c>
      <c r="M500" s="115" t="s">
        <v>703</v>
      </c>
      <c r="N500" s="116" t="str">
        <f t="shared" ca="1" si="142"/>
        <v>Nível 3</v>
      </c>
      <c r="O500" s="117" t="str">
        <f t="shared" ca="1" si="143"/>
        <v>1.10.7.</v>
      </c>
      <c r="P500" s="118" t="s">
        <v>750</v>
      </c>
      <c r="Q500" s="119"/>
      <c r="R500" s="120" t="s">
        <v>1234</v>
      </c>
      <c r="S500" s="121" t="s">
        <v>688</v>
      </c>
      <c r="T500" s="122">
        <f ca="1">OFFSET(CÁLCULO!H$15,ROW($T500)-ROW(T$15),0)</f>
        <v>0</v>
      </c>
      <c r="U500" s="123">
        <f t="shared" ca="1" si="108"/>
        <v>0</v>
      </c>
      <c r="V500" s="124" t="s">
        <v>663</v>
      </c>
      <c r="W500" s="122">
        <f ca="1">IF($C500="S",ROUND(IF(TIPOORCAMENTO="Proposto",ORÇAMENTO.CustoUnitario*(1+$AH500),ORÇAMENTO.PrecoUnitarioLicitado),15-13*$AF$10),0)</f>
        <v>0</v>
      </c>
      <c r="X500" s="125" cm="1">
        <f t="array" aca="1" ref="X500" ca="1">IF($C500="S",IF(OR(Import.TipoArredondamento&lt;&gt;"TransfereGOV",ACOMPANHAMENTO="BM"),VTOTAL1,SUM(OFFSET(CÁLCULO!$AI$15,ROW($X500)-ROW($X$15),1):OFFSET(CÁLCULO!$BB$15,ROW($X500)-ROW($X$15),-1))),IF($C500=0,0,ROUND(SomaAgrup,15-13*$AF$11)))</f>
        <v>22487.4</v>
      </c>
      <c r="Y500" s="126" t="s">
        <v>751</v>
      </c>
      <c r="Z500" t="str">
        <f t="shared" ca="1" si="144"/>
        <v/>
      </c>
      <c r="AA500" s="127">
        <f ca="1">IF($C500="S",IF($Z500="CP",$X500,IF($Z500="RA",(($X500)*QCI!$AA$3),0)),SomaAgrup)</f>
        <v>0</v>
      </c>
      <c r="AB500" s="128">
        <f t="shared" ca="1" si="145"/>
        <v>0</v>
      </c>
      <c r="AC500" s="565" t="str" cm="1">
        <f t="array" aca="1" ref="AC500" ca="1">IF($N500=""," ",
IF(AND($C500&lt;&gt;"S",OR($R500="",$R500="(digite a descrição aqui)")),"DESCRIÇÃO",
IF(AND($C500="S",OR($Q500&lt;&gt;"",$T500&gt;0,$U500&gt;0),$P500=""),"FONTE",
IF(AND($C500="S",$P500&lt;&gt;"",OR($T500&gt;0,$U500&gt;0),$Q500=""),"CÓDIGO",
IF(AND($C500="S",$P500&lt;&gt;"",$Q500&lt;&gt;"",$R500="(Código não identificado nas referências)"),"CÓDIGO N/ID",
IF(AND($C500="S",OR($R500="",$R500="(digite a descrição aqui)"),OR($Q500&lt;&gt;"",$T500&gt;0,$U500&gt;0)),"DESCRIÇÃO",
IF(AND($C500="S",$P500&lt;&gt;"",$Q500&lt;&gt;"",$S500=""),"UNIDADE",
IF(AND($C500="S",$P500&lt;&gt;"",$Q500&lt;&gt;"",$U500=0),"SEM CUSTO",
IF(AND(_xlfn.SINGLE(TIPOORCAMENTO)="Licitado",$AL500=0,$AN500&gt;0),"SEM PREÇO",
IF(AND($C500="S",$P500&lt;&gt;"",$Q500&lt;&gt;"",$U500&gt;0,AND($V500&lt;&gt;"BDI 1",$V500&lt;&gt;"BDI 2",$V500&lt;&gt;"BDI 3")),IF(ISNUMBER($V500),"JUSTIFICAR BDI","BDI"),
IF(OR(AND(import.recurso="OGU",TIPOORCAMENTO="Proposto",LEFT($O$8,5)&lt;&gt;"(N/D:",$AG500&lt;&gt;"",ORÇAMENTO.CustoUnitario&gt;$AG500),AND(TIPOORCAMENTO="LICITADO",ORÇAMENTO.PrecoUnitarioLicitado&gt;$AN500)),"ACIMA REF.",
IF(AND($C500="S",$P500&lt;&gt;"",$Q500&lt;&gt;"",$T500=0,$U500&gt;0),"QUANT.",
IF(AND(Import.TipoArredondamento="TransfereGOV",$L500="F",$C500="S",LEN($Q500)&gt;13),"Código &gt;13",
IF(AND(Import.TipoArredondamento="TransfereGOV",$L500="F",$C500&lt;&gt;"S",LEN($R500)&gt;100),"Descrição &gt;100",
IF(AND(Import.TipoArredondamento="TransfereGOV",$L500="F",$C500="S",LEN($R500)&gt;500),"Descrição &gt;500",
IF(AND(Import.TipoArredondamento="TransfereGOV",$L500="F",$C500="S",LEFT(TRIM(UPPER($P500)),6)&lt;&gt;"SINAPI",ISNA(VLOOKUP(TRIM(UPPER($S500)),ListaTgov.Unidades,1,FALSE))),"Unid. Não Disp",
" "))))))))))))))))</f>
        <v xml:space="preserve"> </v>
      </c>
      <c r="AD500" t="str">
        <f ca="1">IF(C500&lt;=CRONO.NivelExibicao,MAX($AD$15:OFFSET(AD500,-1,0))+IF($C500&lt;&gt;1,1,MAX(1,COUNTIF(QCI!$A$13:$A$15,OFFSET($E500,-1,0)))),"")</f>
        <v/>
      </c>
      <c r="AE500" s="7" t="b">
        <f ca="1">IF(AND($C500="S",ORÇAMENTO.CodBarra&lt;&gt;""),IF(ORÇAMENTO.Fonte="",ORÇAMENTO.CodBarra,CONCATENATE(ORÇAMENTO.Fonte," ",ORÇAMENTO.CodBarra)))</f>
        <v>0</v>
      </c>
      <c r="AF500" s="12" t="str">
        <f ca="1">IF(ISERROR(INDIRECT(ORÇAMENTO.BancoRef)),"(abra o arquivo 'Referência "&amp;Excel_BuiltIn_Database&amp;".xlsm)",IF(OR($C500&lt;&gt;"S",ORÇAMENTO.CodBarra=""),"(Sem Código)",IF(ISERROR(MATCH($AE500,INDIRECT(ORÇAMENTO.BancoRef),0)),"(Código não identificado nas referências)",MATCH($AE500,INDIRECT(ORÇAMENTO.BancoRef),0))))</f>
        <v>(Sem Código)</v>
      </c>
      <c r="AG500" s="428">
        <f ca="1">ROUND(IF(DESONERACAO="sim",REFERENCIA.Desonerado,REFERENCIA.NaoDesonerado),2)</f>
        <v>0</v>
      </c>
      <c r="AH500" s="429">
        <f t="shared" ca="1" si="146"/>
        <v>0.23499999999999999</v>
      </c>
      <c r="AJ500" s="431"/>
      <c r="AL500" s="439"/>
      <c r="AM500" s="336">
        <f t="shared" ca="1" si="131"/>
        <v>22487.4</v>
      </c>
      <c r="AN500" s="470">
        <f t="shared" ca="1" si="147"/>
        <v>0</v>
      </c>
    </row>
    <row r="501" spans="1:40" ht="38.25" x14ac:dyDescent="0.2">
      <c r="A501" t="str">
        <f t="shared" si="132"/>
        <v>S</v>
      </c>
      <c r="B501">
        <f t="shared" ca="1" si="133"/>
        <v>3</v>
      </c>
      <c r="C501" t="str">
        <f t="shared" ca="1" si="134"/>
        <v>S</v>
      </c>
      <c r="D501">
        <f t="shared" ca="1" si="135"/>
        <v>0</v>
      </c>
      <c r="E501">
        <f ca="1">IF($C501=1,OFFSET(E501,-1,0)+MAX(1,COUNTIF(QCI!$A$13:$A$15,OFFSET(ORÇAMENTO!E501,-1,0))),OFFSET(E501,-1,0))</f>
        <v>1</v>
      </c>
      <c r="F501">
        <f t="shared" ca="1" si="136"/>
        <v>10</v>
      </c>
      <c r="G501">
        <f t="shared" ca="1" si="137"/>
        <v>7</v>
      </c>
      <c r="H501">
        <f t="shared" ca="1" si="138"/>
        <v>0</v>
      </c>
      <c r="I501">
        <f t="shared" ca="1" si="139"/>
        <v>1</v>
      </c>
      <c r="J501">
        <f t="shared" ca="1" si="140"/>
        <v>0</v>
      </c>
      <c r="K501">
        <f ca="1">IF(OR($C501="S",$C501=0),0,MATCH(OFFSET($D501,0,$C501)+IF($C501&lt;&gt;1,1,COUNTIF(QCI!$A$13:$A$15,ORÇAMENTO!E501)),OFFSET($D501,1,$C501,ROW($C$508)-ROW($C501)),0))</f>
        <v>0</v>
      </c>
      <c r="L501" s="114" t="str">
        <f t="shared" ca="1" si="141"/>
        <v>F</v>
      </c>
      <c r="M501" s="115" t="s">
        <v>705</v>
      </c>
      <c r="N501" s="116" t="str">
        <f t="shared" ca="1" si="142"/>
        <v>Serviço</v>
      </c>
      <c r="O501" s="117" t="str">
        <f t="shared" ca="1" si="143"/>
        <v>1.10.7.0.1.</v>
      </c>
      <c r="P501" s="118" t="s">
        <v>750</v>
      </c>
      <c r="Q501" s="119">
        <v>94227</v>
      </c>
      <c r="R501" s="120" t="str">
        <f ca="1">IF($C501="S",REFERENCIA.Descricao,"(digite a descrição aqui)")</f>
        <v>CALHA EM CHAPA DE AÇO GALVANIZADO NÚMERO 24, DESENVOLVIMENTO DE 33 CM, INCLUSO TRANSPORTE VERTICAL. AF_07/2019</v>
      </c>
      <c r="S501" s="121" t="str">
        <f ca="1">REFERENCIA.Unidade</f>
        <v>M</v>
      </c>
      <c r="T501" s="122">
        <f ca="1">OFFSET(CÁLCULO!H$15,ROW($T501)-ROW(T$15),0)</f>
        <v>28.14</v>
      </c>
      <c r="U501" s="123">
        <f t="shared" ca="1" si="108"/>
        <v>72.319999999999993</v>
      </c>
      <c r="V501" s="124" t="s">
        <v>663</v>
      </c>
      <c r="W501" s="122">
        <f ca="1">IF($C501="S",ROUND(IF(TIPOORCAMENTO="Proposto",ORÇAMENTO.CustoUnitario*(1+$AH501),ORÇAMENTO.PrecoUnitarioLicitado),15-13*$AF$10),0)</f>
        <v>89.32</v>
      </c>
      <c r="X501" s="125" cm="1">
        <f t="array" aca="1" ref="X501" ca="1">IF($C501="S",IF(OR(Import.TipoArredondamento&lt;&gt;"TransfereGOV",ACOMPANHAMENTO="BM"),VTOTAL1,SUM(OFFSET(CÁLCULO!$AI$15,ROW($X501)-ROW($X$15),1):OFFSET(CÁLCULO!$BB$15,ROW($X501)-ROW($X$15),-1))),IF($C501=0,0,ROUND(SomaAgrup,15-13*$AF$11)))</f>
        <v>2513.46</v>
      </c>
      <c r="Y501" s="126" t="s">
        <v>751</v>
      </c>
      <c r="Z501" t="str">
        <f t="shared" ca="1" si="144"/>
        <v>RA</v>
      </c>
      <c r="AA501" s="127">
        <f ca="1">IF($C501="S",IF($Z501="CP",$X501,IF($Z501="RA",(($X501)*QCI!$AA$3),0)),SomaAgrup)</f>
        <v>0</v>
      </c>
      <c r="AB501" s="128">
        <f t="shared" ca="1" si="145"/>
        <v>0</v>
      </c>
      <c r="AC501" s="565" t="str" cm="1">
        <f t="array" aca="1" ref="AC501" ca="1">IF($N501=""," ",
IF(AND($C501&lt;&gt;"S",OR($R501="",$R501="(digite a descrição aqui)")),"DESCRIÇÃO",
IF(AND($C501="S",OR($Q501&lt;&gt;"",$T501&gt;0,$U501&gt;0),$P501=""),"FONTE",
IF(AND($C501="S",$P501&lt;&gt;"",OR($T501&gt;0,$U501&gt;0),$Q501=""),"CÓDIGO",
IF(AND($C501="S",$P501&lt;&gt;"",$Q501&lt;&gt;"",$R501="(Código não identificado nas referências)"),"CÓDIGO N/ID",
IF(AND($C501="S",OR($R501="",$R501="(digite a descrição aqui)"),OR($Q501&lt;&gt;"",$T501&gt;0,$U501&gt;0)),"DESCRIÇÃO",
IF(AND($C501="S",$P501&lt;&gt;"",$Q501&lt;&gt;"",$S501=""),"UNIDADE",
IF(AND($C501="S",$P501&lt;&gt;"",$Q501&lt;&gt;"",$U501=0),"SEM CUSTO",
IF(AND(_xlfn.SINGLE(TIPOORCAMENTO)="Licitado",$AL501=0,$AN501&gt;0),"SEM PREÇO",
IF(AND($C501="S",$P501&lt;&gt;"",$Q501&lt;&gt;"",$U501&gt;0,AND($V501&lt;&gt;"BDI 1",$V501&lt;&gt;"BDI 2",$V501&lt;&gt;"BDI 3")),IF(ISNUMBER($V501),"JUSTIFICAR BDI","BDI"),
IF(OR(AND(import.recurso="OGU",TIPOORCAMENTO="Proposto",LEFT($O$8,5)&lt;&gt;"(N/D:",$AG501&lt;&gt;"",ORÇAMENTO.CustoUnitario&gt;$AG501),AND(TIPOORCAMENTO="LICITADO",ORÇAMENTO.PrecoUnitarioLicitado&gt;$AN501)),"ACIMA REF.",
IF(AND($C501="S",$P501&lt;&gt;"",$Q501&lt;&gt;"",$T501=0,$U501&gt;0),"QUANT.",
IF(AND(Import.TipoArredondamento="TransfereGOV",$L501="F",$C501="S",LEN($Q501)&gt;13),"Código &gt;13",
IF(AND(Import.TipoArredondamento="TransfereGOV",$L501="F",$C501&lt;&gt;"S",LEN($R501)&gt;100),"Descrição &gt;100",
IF(AND(Import.TipoArredondamento="TransfereGOV",$L501="F",$C501="S",LEN($R501)&gt;500),"Descrição &gt;500",
IF(AND(Import.TipoArredondamento="TransfereGOV",$L501="F",$C501="S",LEFT(TRIM(UPPER($P501)),6)&lt;&gt;"SINAPI",ISNA(VLOOKUP(TRIM(UPPER($S501)),ListaTgov.Unidades,1,FALSE))),"Unid. Não Disp",
" "))))))))))))))))</f>
        <v xml:space="preserve"> </v>
      </c>
      <c r="AD501" t="str">
        <f ca="1">IF(C501&lt;=CRONO.NivelExibicao,MAX($AD$15:OFFSET(AD501,-1,0))+IF($C501&lt;&gt;1,1,MAX(1,COUNTIF(QCI!$A$13:$A$15,OFFSET($E501,-1,0)))),"")</f>
        <v/>
      </c>
      <c r="AE501" s="7" t="str">
        <f ca="1">IF(AND($C501="S",ORÇAMENTO.CodBarra&lt;&gt;""),IF(ORÇAMENTO.Fonte="",ORÇAMENTO.CodBarra,CONCATENATE(ORÇAMENTO.Fonte," ",ORÇAMENTO.CodBarra)))</f>
        <v>SINAPI 94227</v>
      </c>
      <c r="AF501" s="12">
        <f ca="1">IF(ISERROR(INDIRECT(ORÇAMENTO.BancoRef)),"(abra o arquivo 'Referência "&amp;Excel_BuiltIn_Database&amp;".xlsm)",IF(OR($C501&lt;&gt;"S",ORÇAMENTO.CodBarra=""),"(Sem Código)",IF(ISERROR(MATCH($AE501,INDIRECT(ORÇAMENTO.BancoRef),0)),"(Código não identificado nas referências)",MATCH($AE501,INDIRECT(ORÇAMENTO.BancoRef),0))))</f>
        <v>15008</v>
      </c>
      <c r="AG501" s="428">
        <f ca="1">ROUND(IF(DESONERACAO="sim",REFERENCIA.Desonerado,REFERENCIA.NaoDesonerado),2)</f>
        <v>72.319999999999993</v>
      </c>
      <c r="AH501" s="429">
        <f t="shared" ca="1" si="146"/>
        <v>0.23499999999999999</v>
      </c>
      <c r="AJ501" s="431">
        <f>13.4+4.74+10</f>
        <v>28.14</v>
      </c>
      <c r="AL501" s="439"/>
      <c r="AM501" s="336">
        <f t="shared" ca="1" si="131"/>
        <v>2513.46</v>
      </c>
      <c r="AN501" s="470">
        <f t="shared" ca="1" si="147"/>
        <v>89.32</v>
      </c>
    </row>
    <row r="502" spans="1:40" ht="25.5" x14ac:dyDescent="0.2">
      <c r="A502" t="str">
        <f>CHOOSE(1+LOG(1+2*(ORÇAMENTO.Nivel="Meta")+4*(ORÇAMENTO.Nivel="Nível 2")+8*(ORÇAMENTO.Nivel="Nível 3")+16*(ORÇAMENTO.Nivel="Nível 4")+32*(ORÇAMENTO.Nivel="Serviço"),2),0,1,2,3,4,"S")</f>
        <v>S</v>
      </c>
      <c r="B502">
        <f ca="1">IF(OR(C502="s",C502=0),OFFSET(B502,-1,0),C502)</f>
        <v>3</v>
      </c>
      <c r="C502" t="str">
        <f ca="1">IF(OFFSET(C502,-1,0)="L",1,IF(OFFSET(C502,-1,0)=1,2,IF(OR(A502="s",A502=0),"S",IF(AND(OFFSET(C502,-1,0)=2,A502=4),3,IF(AND(OR(OFFSET(C502,-1,0)="s",OFFSET(C502,-1,0)=0),A502&lt;&gt;"s",A502&gt;OFFSET(B502,-1,0)),OFFSET(B502,-1,0),A502)))))</f>
        <v>S</v>
      </c>
      <c r="D502">
        <f ca="1">IF(OR(C502="S",C502=0),0,IF(ISERROR(K502),J502,SMALL(J502:K502,1)))</f>
        <v>0</v>
      </c>
      <c r="E502">
        <f ca="1">IF($C502=1,OFFSET(E502,-1,0)+MAX(1,COUNTIF(QCI!$A$13:$A$15,OFFSET(ORÇAMENTO!E502,-1,0))),OFFSET(E502,-1,0))</f>
        <v>1</v>
      </c>
      <c r="F502">
        <f ca="1">IF($C502=1,0,IF($C502=2,OFFSET(F502,-1,0)+1,OFFSET(F502,-1,0)))</f>
        <v>10</v>
      </c>
      <c r="G502">
        <f ca="1">IF(AND($C502&lt;=2,$C502&lt;&gt;0),0,IF($C502=3,OFFSET(G502,-1,0)+1,OFFSET(G502,-1,0)))</f>
        <v>7</v>
      </c>
      <c r="H502">
        <f ca="1">IF(AND($C502&lt;=3,$C502&lt;&gt;0),0,IF($C502=4,OFFSET(H502,-1,0)+1,OFFSET(H502,-1,0)))</f>
        <v>0</v>
      </c>
      <c r="I502">
        <f ca="1">IF(AND($C502&lt;=4,$C502&lt;&gt;0),0,IF(AND($C502="S",$X502&gt;0),OFFSET(I502,-1,0)+1,OFFSET(I502,-1,0)))</f>
        <v>2</v>
      </c>
      <c r="J502">
        <f ca="1">IF(OR($C502="S",$C502=0),0,MATCH(0,OFFSET($D502,1,$C502,ROW($C$508)-ROW($C502)),0))</f>
        <v>0</v>
      </c>
      <c r="K502">
        <f ca="1">IF(OR($C502="S",$C502=0),0,MATCH(OFFSET($D502,0,$C502)+IF($C502&lt;&gt;1,1,COUNTIF(QCI!$A$13:$A$15,ORÇAMENTO!E502)),OFFSET($D502,1,$C502,ROW($C$508)-ROW($C502)),0))</f>
        <v>0</v>
      </c>
      <c r="L502" s="114" t="str">
        <f ca="1">IF(OR($X502&gt;0,$C502=1,$C502=2,$C502=3,$C502=4),"F","")</f>
        <v>F</v>
      </c>
      <c r="M502" s="115" t="s">
        <v>705</v>
      </c>
      <c r="N502" s="116" t="str">
        <f ca="1">CHOOSE(1+LOG(1+2*(C502=1)+4*(C502=2)+8*(C502=3)+16*(C502=4)+32*(C502="S"),2),"","Meta","Nível 2","Nível 3","Nível 4","Serviço")</f>
        <v>Serviço</v>
      </c>
      <c r="O502" s="117" t="str">
        <f ca="1">IF(OR($C502=0,$L502=""),"-",CONCATENATE(E502&amp;".",IF(AND($A$5&gt;=2,$C502&gt;=2),F502&amp;".",""),IF(AND($A$5&gt;=3,$C502&gt;=3),G502&amp;".",""),IF(AND($A$5&gt;=4,$C502&gt;=4),H502&amp;".",""),IF($C502="S",I502&amp;".","")))</f>
        <v>1.10.7.0.2.</v>
      </c>
      <c r="P502" s="118" t="s">
        <v>750</v>
      </c>
      <c r="Q502" s="119" t="s">
        <v>1048</v>
      </c>
      <c r="R502" s="120" t="str">
        <f ca="1">IF($C502="S",REFERENCIA.Descricao,"(digite a descrição aqui)")</f>
        <v>TELHAMENTO COM TELHA METÁLICA TERMOACÚSTICA E = 30 MM, COM ATÉ 2 ÁGUAS, INCLUSO IÇAMENTO. AF_07/2019</v>
      </c>
      <c r="S502" s="121" t="str">
        <f ca="1">REFERENCIA.Unidade</f>
        <v>M2</v>
      </c>
      <c r="T502" s="122">
        <f ca="1">OFFSET(CÁLCULO!H$15,ROW($T502)-ROW(T$15),0)</f>
        <v>98.52</v>
      </c>
      <c r="U502" s="123">
        <f t="shared" ca="1" si="108"/>
        <v>164.16</v>
      </c>
      <c r="V502" s="124" t="s">
        <v>663</v>
      </c>
      <c r="W502" s="122">
        <f ca="1">IF($C502="S",ROUND(IF(TIPOORCAMENTO="Proposto",ORÇAMENTO.CustoUnitario*(1+$AH502),ORÇAMENTO.PrecoUnitarioLicitado),15-13*$AF$10),0)</f>
        <v>202.74</v>
      </c>
      <c r="X502" s="125" cm="1">
        <f t="array" aca="1" ref="X502" ca="1">IF($C502="S",IF(OR(Import.TipoArredondamento&lt;&gt;"TransfereGOV",ACOMPANHAMENTO="BM"),VTOTAL1,SUM(OFFSET(CÁLCULO!$AI$15,ROW($X502)-ROW($X$15),1):OFFSET(CÁLCULO!$BB$15,ROW($X502)-ROW($X$15),-1))),IF($C502=0,0,ROUND(SomaAgrup,15-13*$AF$11)))</f>
        <v>19973.939999999999</v>
      </c>
      <c r="Y502" s="126" t="s">
        <v>751</v>
      </c>
      <c r="Z502" t="str">
        <f ca="1">IF(AND($C502="S",$X502&gt;0),IF(ISBLANK($Y502),"RA",LEFT($Y502,2)),"")</f>
        <v>RA</v>
      </c>
      <c r="AA502" s="127">
        <f ca="1">IF($C502="S",IF($Z502="CP",$X502,IF($Z502="RA",(($X502)*QCI!$AA$3),0)),SomaAgrup)</f>
        <v>0</v>
      </c>
      <c r="AB502" s="128">
        <f ca="1">IF($C502="S",IF($Z502="OU",ROUND($X502,2),0),SomaAgrup)</f>
        <v>0</v>
      </c>
      <c r="AC502" s="565" t="str" cm="1">
        <f t="array" aca="1" ref="AC502" ca="1">IF($N502=""," ",
IF(AND($C502&lt;&gt;"S",OR($R502="",$R502="(digite a descrição aqui)")),"DESCRIÇÃO",
IF(AND($C502="S",OR($Q502&lt;&gt;"",$T502&gt;0,$U502&gt;0),$P502=""),"FONTE",
IF(AND($C502="S",$P502&lt;&gt;"",OR($T502&gt;0,$U502&gt;0),$Q502=""),"CÓDIGO",
IF(AND($C502="S",$P502&lt;&gt;"",$Q502&lt;&gt;"",$R502="(Código não identificado nas referências)"),"CÓDIGO N/ID",
IF(AND($C502="S",OR($R502="",$R502="(digite a descrição aqui)"),OR($Q502&lt;&gt;"",$T502&gt;0,$U502&gt;0)),"DESCRIÇÃO",
IF(AND($C502="S",$P502&lt;&gt;"",$Q502&lt;&gt;"",$S502=""),"UNIDADE",
IF(AND($C502="S",$P502&lt;&gt;"",$Q502&lt;&gt;"",$U502=0),"SEM CUSTO",
IF(AND(_xlfn.SINGLE(TIPOORCAMENTO)="Licitado",$AL502=0,$AN502&gt;0),"SEM PREÇO",
IF(AND($C502="S",$P502&lt;&gt;"",$Q502&lt;&gt;"",$U502&gt;0,AND($V502&lt;&gt;"BDI 1",$V502&lt;&gt;"BDI 2",$V502&lt;&gt;"BDI 3")),IF(ISNUMBER($V502),"JUSTIFICAR BDI","BDI"),
IF(OR(AND(import.recurso="OGU",TIPOORCAMENTO="Proposto",LEFT($O$8,5)&lt;&gt;"(N/D:",$AG502&lt;&gt;"",ORÇAMENTO.CustoUnitario&gt;$AG502),AND(TIPOORCAMENTO="LICITADO",ORÇAMENTO.PrecoUnitarioLicitado&gt;$AN502)),"ACIMA REF.",
IF(AND($C502="S",$P502&lt;&gt;"",$Q502&lt;&gt;"",$T502=0,$U502&gt;0),"QUANT.",
IF(AND(Import.TipoArredondamento="TransfereGOV",$L502="F",$C502="S",LEN($Q502)&gt;13),"Código &gt;13",
IF(AND(Import.TipoArredondamento="TransfereGOV",$L502="F",$C502&lt;&gt;"S",LEN($R502)&gt;100),"Descrição &gt;100",
IF(AND(Import.TipoArredondamento="TransfereGOV",$L502="F",$C502="S",LEN($R502)&gt;500),"Descrição &gt;500",
IF(AND(Import.TipoArredondamento="TransfereGOV",$L502="F",$C502="S",LEFT(TRIM(UPPER($P502)),6)&lt;&gt;"SINAPI",ISNA(VLOOKUP(TRIM(UPPER($S502)),ListaTgov.Unidades,1,FALSE))),"Unid. Não Disp",
" "))))))))))))))))</f>
        <v xml:space="preserve"> </v>
      </c>
      <c r="AD502" t="str">
        <f ca="1">IF(C502&lt;=CRONO.NivelExibicao,MAX($AD$15:OFFSET(AD502,-1,0))+IF($C502&lt;&gt;1,1,MAX(1,COUNTIF(QCI!$A$13:$A$15,OFFSET($E502,-1,0)))),"")</f>
        <v/>
      </c>
      <c r="AE502" s="7" t="str">
        <f ca="1">IF(AND($C502="S",ORÇAMENTO.CodBarra&lt;&gt;""),IF(ORÇAMENTO.Fonte="",ORÇAMENTO.CodBarra,CONCATENATE(ORÇAMENTO.Fonte," ",ORÇAMENTO.CodBarra)))</f>
        <v>SINAPI 94216</v>
      </c>
      <c r="AF502" s="12">
        <f ca="1">IF(ISERROR(INDIRECT(ORÇAMENTO.BancoRef)),"(abra o arquivo 'Referência "&amp;Excel_BuiltIn_Database&amp;".xlsm)",IF(OR($C502&lt;&gt;"S",ORÇAMENTO.CodBarra=""),"(Sem Código)",IF(ISERROR(MATCH($AE502,INDIRECT(ORÇAMENTO.BancoRef),0)),"(Código não identificado nas referências)",MATCH($AE502,INDIRECT(ORÇAMENTO.BancoRef),0))))</f>
        <v>15045</v>
      </c>
      <c r="AG502" s="428">
        <f ca="1">ROUND(IF(DESONERACAO="sim",REFERENCIA.Desonerado,REFERENCIA.NaoDesonerado),2)</f>
        <v>164.16</v>
      </c>
      <c r="AH502" s="429">
        <f ca="1">ROUND(IF(ISNUMBER(ORÇAMENTO.OpcaoBDI),ORÇAMENTO.OpcaoBDI,IF(LEFT(ORÇAMENTO.OpcaoBDI,3)="BDI",HLOOKUP(ORÇAMENTO.OpcaoBDI,$F$4:$H$5,2,FALSE),0)),15-11*$AF$9)</f>
        <v>0.23499999999999999</v>
      </c>
      <c r="AJ502" s="431">
        <v>98.52</v>
      </c>
      <c r="AL502" s="439"/>
      <c r="AM502" s="336">
        <f t="shared" ca="1" si="131"/>
        <v>19973.939999999999</v>
      </c>
      <c r="AN502" s="470">
        <f ca="1">ROUND(ORÇAMENTO.CustoUnitario*(1+$AH502),2)</f>
        <v>202.74</v>
      </c>
    </row>
    <row r="503" spans="1:40" x14ac:dyDescent="0.2">
      <c r="A503">
        <f t="shared" si="132"/>
        <v>3</v>
      </c>
      <c r="B503">
        <f t="shared" ca="1" si="133"/>
        <v>3</v>
      </c>
      <c r="C503">
        <f t="shared" ca="1" si="134"/>
        <v>3</v>
      </c>
      <c r="D503">
        <f t="shared" ca="1" si="135"/>
        <v>3</v>
      </c>
      <c r="E503">
        <f ca="1">IF($C503=1,OFFSET(E503,-1,0)+MAX(1,COUNTIF(QCI!$A$13:$A$15,OFFSET(ORÇAMENTO!E503,-1,0))),OFFSET(E503,-1,0))</f>
        <v>1</v>
      </c>
      <c r="F503">
        <f t="shared" ca="1" si="136"/>
        <v>10</v>
      </c>
      <c r="G503">
        <f t="shared" ca="1" si="137"/>
        <v>8</v>
      </c>
      <c r="H503">
        <f t="shared" ca="1" si="138"/>
        <v>0</v>
      </c>
      <c r="I503">
        <f t="shared" ca="1" si="139"/>
        <v>0</v>
      </c>
      <c r="J503">
        <f t="shared" ca="1" si="140"/>
        <v>5</v>
      </c>
      <c r="K503">
        <f ca="1">IF(OR($C503="S",$C503=0),0,MATCH(OFFSET($D503,0,$C503)+IF($C503&lt;&gt;1,1,COUNTIF(QCI!$A$13:$A$15,ORÇAMENTO!E503)),OFFSET($D503,1,$C503,ROW($C$508)-ROW($C503)),0))</f>
        <v>3</v>
      </c>
      <c r="L503" s="114" t="str">
        <f t="shared" ca="1" si="141"/>
        <v>F</v>
      </c>
      <c r="M503" s="115" t="s">
        <v>703</v>
      </c>
      <c r="N503" s="116" t="str">
        <f t="shared" ca="1" si="142"/>
        <v>Nível 3</v>
      </c>
      <c r="O503" s="117" t="str">
        <f t="shared" ca="1" si="143"/>
        <v>1.10.8.</v>
      </c>
      <c r="P503" s="118" t="s">
        <v>750</v>
      </c>
      <c r="Q503" s="119"/>
      <c r="R503" s="120" t="s">
        <v>1270</v>
      </c>
      <c r="S503" s="121" t="s">
        <v>688</v>
      </c>
      <c r="T503" s="122">
        <f ca="1">OFFSET(CÁLCULO!H$15,ROW($T503)-ROW(T$15),0)</f>
        <v>0</v>
      </c>
      <c r="U503" s="123">
        <f t="shared" ca="1" si="108"/>
        <v>0</v>
      </c>
      <c r="V503" s="124" t="s">
        <v>663</v>
      </c>
      <c r="W503" s="122">
        <f ca="1">IF($C503="S",ROUND(IF(TIPOORCAMENTO="Proposto",ORÇAMENTO.CustoUnitario*(1+$AH503),ORÇAMENTO.PrecoUnitarioLicitado),15-13*$AF$10),0)</f>
        <v>0</v>
      </c>
      <c r="X503" s="125" cm="1">
        <f t="array" aca="1" ref="X503" ca="1">IF($C503="S",IF(OR(Import.TipoArredondamento&lt;&gt;"TransfereGOV",ACOMPANHAMENTO="BM"),VTOTAL1,SUM(OFFSET(CÁLCULO!$AI$15,ROW($X503)-ROW($X$15),1):OFFSET(CÁLCULO!$BB$15,ROW($X503)-ROW($X$15),-1))),IF($C503=0,0,ROUND(SomaAgrup,15-13*$AF$11)))</f>
        <v>22014.34</v>
      </c>
      <c r="Y503" s="126" t="s">
        <v>751</v>
      </c>
      <c r="Z503" t="str">
        <f t="shared" ca="1" si="144"/>
        <v/>
      </c>
      <c r="AA503" s="127">
        <f ca="1">IF($C503="S",IF($Z503="CP",$X503,IF($Z503="RA",(($X503)*QCI!$AA$3),0)),SomaAgrup)</f>
        <v>0</v>
      </c>
      <c r="AB503" s="128">
        <f t="shared" ca="1" si="145"/>
        <v>0</v>
      </c>
      <c r="AC503" s="565" t="str" cm="1">
        <f t="array" aca="1" ref="AC503" ca="1">IF($N503=""," ",
IF(AND($C503&lt;&gt;"S",OR($R503="",$R503="(digite a descrição aqui)")),"DESCRIÇÃO",
IF(AND($C503="S",OR($Q503&lt;&gt;"",$T503&gt;0,$U503&gt;0),$P503=""),"FONTE",
IF(AND($C503="S",$P503&lt;&gt;"",OR($T503&gt;0,$U503&gt;0),$Q503=""),"CÓDIGO",
IF(AND($C503="S",$P503&lt;&gt;"",$Q503&lt;&gt;"",$R503="(Código não identificado nas referências)"),"CÓDIGO N/ID",
IF(AND($C503="S",OR($R503="",$R503="(digite a descrição aqui)"),OR($Q503&lt;&gt;"",$T503&gt;0,$U503&gt;0)),"DESCRIÇÃO",
IF(AND($C503="S",$P503&lt;&gt;"",$Q503&lt;&gt;"",$S503=""),"UNIDADE",
IF(AND($C503="S",$P503&lt;&gt;"",$Q503&lt;&gt;"",$U503=0),"SEM CUSTO",
IF(AND(_xlfn.SINGLE(TIPOORCAMENTO)="Licitado",$AL503=0,$AN503&gt;0),"SEM PREÇO",
IF(AND($C503="S",$P503&lt;&gt;"",$Q503&lt;&gt;"",$U503&gt;0,AND($V503&lt;&gt;"BDI 1",$V503&lt;&gt;"BDI 2",$V503&lt;&gt;"BDI 3")),IF(ISNUMBER($V503),"JUSTIFICAR BDI","BDI"),
IF(OR(AND(import.recurso="OGU",TIPOORCAMENTO="Proposto",LEFT($O$8,5)&lt;&gt;"(N/D:",$AG503&lt;&gt;"",ORÇAMENTO.CustoUnitario&gt;$AG503),AND(TIPOORCAMENTO="LICITADO",ORÇAMENTO.PrecoUnitarioLicitado&gt;$AN503)),"ACIMA REF.",
IF(AND($C503="S",$P503&lt;&gt;"",$Q503&lt;&gt;"",$T503=0,$U503&gt;0),"QUANT.",
IF(AND(Import.TipoArredondamento="TransfereGOV",$L503="F",$C503="S",LEN($Q503)&gt;13),"Código &gt;13",
IF(AND(Import.TipoArredondamento="TransfereGOV",$L503="F",$C503&lt;&gt;"S",LEN($R503)&gt;100),"Descrição &gt;100",
IF(AND(Import.TipoArredondamento="TransfereGOV",$L503="F",$C503="S",LEN($R503)&gt;500),"Descrição &gt;500",
IF(AND(Import.TipoArredondamento="TransfereGOV",$L503="F",$C503="S",LEFT(TRIM(UPPER($P503)),6)&lt;&gt;"SINAPI",ISNA(VLOOKUP(TRIM(UPPER($S503)),ListaTgov.Unidades,1,FALSE))),"Unid. Não Disp",
" "))))))))))))))))</f>
        <v xml:space="preserve"> </v>
      </c>
      <c r="AD503" t="str">
        <f ca="1">IF(C503&lt;=CRONO.NivelExibicao,MAX($AD$15:OFFSET(AD503,-1,0))+IF($C503&lt;&gt;1,1,MAX(1,COUNTIF(QCI!$A$13:$A$15,OFFSET($E503,-1,0)))),"")</f>
        <v/>
      </c>
      <c r="AE503" s="7" t="b">
        <f ca="1">IF(AND($C503="S",ORÇAMENTO.CodBarra&lt;&gt;""),IF(ORÇAMENTO.Fonte="",ORÇAMENTO.CodBarra,CONCATENATE(ORÇAMENTO.Fonte," ",ORÇAMENTO.CodBarra)))</f>
        <v>0</v>
      </c>
      <c r="AF503" s="12" t="str">
        <f ca="1">IF(ISERROR(INDIRECT(ORÇAMENTO.BancoRef)),"(abra o arquivo 'Referência "&amp;Excel_BuiltIn_Database&amp;".xlsm)",IF(OR($C503&lt;&gt;"S",ORÇAMENTO.CodBarra=""),"(Sem Código)",IF(ISERROR(MATCH($AE503,INDIRECT(ORÇAMENTO.BancoRef),0)),"(Código não identificado nas referências)",MATCH($AE503,INDIRECT(ORÇAMENTO.BancoRef),0))))</f>
        <v>(Sem Código)</v>
      </c>
      <c r="AG503" s="428">
        <f ca="1">ROUND(IF(DESONERACAO="sim",REFERENCIA.Desonerado,REFERENCIA.NaoDesonerado),2)</f>
        <v>0</v>
      </c>
      <c r="AH503" s="429">
        <f t="shared" ca="1" si="146"/>
        <v>0.23499999999999999</v>
      </c>
      <c r="AJ503" s="431"/>
      <c r="AL503" s="439"/>
      <c r="AM503" s="336">
        <f t="shared" ca="1" si="131"/>
        <v>22014.34</v>
      </c>
      <c r="AN503" s="470">
        <f t="shared" ca="1" si="147"/>
        <v>0</v>
      </c>
    </row>
    <row r="504" spans="1:40" ht="25.5" x14ac:dyDescent="0.2">
      <c r="A504" t="str">
        <f t="shared" si="132"/>
        <v>S</v>
      </c>
      <c r="B504">
        <f t="shared" ca="1" si="133"/>
        <v>3</v>
      </c>
      <c r="C504" t="str">
        <f t="shared" ca="1" si="134"/>
        <v>S</v>
      </c>
      <c r="D504">
        <f t="shared" ca="1" si="135"/>
        <v>0</v>
      </c>
      <c r="E504">
        <f ca="1">IF($C504=1,OFFSET(E504,-1,0)+MAX(1,COUNTIF(QCI!$A$13:$A$15,OFFSET(ORÇAMENTO!E504,-1,0))),OFFSET(E504,-1,0))</f>
        <v>1</v>
      </c>
      <c r="F504">
        <f t="shared" ca="1" si="136"/>
        <v>10</v>
      </c>
      <c r="G504">
        <f t="shared" ca="1" si="137"/>
        <v>8</v>
      </c>
      <c r="H504">
        <f t="shared" ca="1" si="138"/>
        <v>0</v>
      </c>
      <c r="I504">
        <f t="shared" ca="1" si="139"/>
        <v>1</v>
      </c>
      <c r="J504">
        <f t="shared" ca="1" si="140"/>
        <v>0</v>
      </c>
      <c r="K504">
        <f ca="1">IF(OR($C504="S",$C504=0),0,MATCH(OFFSET($D504,0,$C504)+IF($C504&lt;&gt;1,1,COUNTIF(QCI!$A$13:$A$15,ORÇAMENTO!E504)),OFFSET($D504,1,$C504,ROW($C$508)-ROW($C504)),0))</f>
        <v>0</v>
      </c>
      <c r="L504" s="114" t="str">
        <f t="shared" ca="1" si="141"/>
        <v>F</v>
      </c>
      <c r="M504" s="115" t="s">
        <v>705</v>
      </c>
      <c r="N504" s="116" t="str">
        <f t="shared" ca="1" si="142"/>
        <v>Serviço</v>
      </c>
      <c r="O504" s="117" t="str">
        <f t="shared" ca="1" si="143"/>
        <v>1.10.8.0.1.</v>
      </c>
      <c r="P504" s="118" t="s">
        <v>750</v>
      </c>
      <c r="Q504" s="119">
        <v>103946</v>
      </c>
      <c r="R504" s="120" t="str">
        <f ca="1">IF($C504="S",REFERENCIA.Descricao,"(digite a descrição aqui)")</f>
        <v>PLANTIO DE GRAMA ESMERALDA OU SÃO CARLOS OU CURITIBANA, EM PLACAS. AF_07/2024</v>
      </c>
      <c r="S504" s="121" t="str">
        <f ca="1">REFERENCIA.Unidade</f>
        <v>M2</v>
      </c>
      <c r="T504" s="122">
        <f ca="1">OFFSET(CÁLCULO!H$15,ROW($T504)-ROW(T$15),0)</f>
        <v>1013.19</v>
      </c>
      <c r="U504" s="123">
        <f t="shared" ca="1" si="108"/>
        <v>16.11</v>
      </c>
      <c r="V504" s="124" t="s">
        <v>663</v>
      </c>
      <c r="W504" s="122">
        <f ca="1">IF($C504="S",ROUND(IF(TIPOORCAMENTO="Proposto",ORÇAMENTO.CustoUnitario*(1+$AH504),ORÇAMENTO.PrecoUnitarioLicitado),15-13*$AF$10),0)</f>
        <v>19.899999999999999</v>
      </c>
      <c r="X504" s="125" cm="1">
        <f t="array" aca="1" ref="X504" ca="1">IF($C504="S",IF(OR(Import.TipoArredondamento&lt;&gt;"TransfereGOV",ACOMPANHAMENTO="BM"),VTOTAL1,SUM(OFFSET(CÁLCULO!$AI$15,ROW($X504)-ROW($X$15),1):OFFSET(CÁLCULO!$BB$15,ROW($X504)-ROW($X$15),-1))),IF($C504=0,0,ROUND(SomaAgrup,15-13*$AF$11)))</f>
        <v>20162.48</v>
      </c>
      <c r="Y504" s="126" t="s">
        <v>751</v>
      </c>
      <c r="Z504" t="str">
        <f t="shared" ca="1" si="144"/>
        <v>RA</v>
      </c>
      <c r="AA504" s="127">
        <f ca="1">IF($C504="S",IF($Z504="CP",$X504,IF($Z504="RA",(($X504)*QCI!$AA$3),0)),SomaAgrup)</f>
        <v>0</v>
      </c>
      <c r="AB504" s="128">
        <f t="shared" ca="1" si="145"/>
        <v>0</v>
      </c>
      <c r="AC504" s="565" t="str" cm="1">
        <f t="array" aca="1" ref="AC504" ca="1">IF($N504=""," ",
IF(AND($C504&lt;&gt;"S",OR($R504="",$R504="(digite a descrição aqui)")),"DESCRIÇÃO",
IF(AND($C504="S",OR($Q504&lt;&gt;"",$T504&gt;0,$U504&gt;0),$P504=""),"FONTE",
IF(AND($C504="S",$P504&lt;&gt;"",OR($T504&gt;0,$U504&gt;0),$Q504=""),"CÓDIGO",
IF(AND($C504="S",$P504&lt;&gt;"",$Q504&lt;&gt;"",$R504="(Código não identificado nas referências)"),"CÓDIGO N/ID",
IF(AND($C504="S",OR($R504="",$R504="(digite a descrição aqui)"),OR($Q504&lt;&gt;"",$T504&gt;0,$U504&gt;0)),"DESCRIÇÃO",
IF(AND($C504="S",$P504&lt;&gt;"",$Q504&lt;&gt;"",$S504=""),"UNIDADE",
IF(AND($C504="S",$P504&lt;&gt;"",$Q504&lt;&gt;"",$U504=0),"SEM CUSTO",
IF(AND(_xlfn.SINGLE(TIPOORCAMENTO)="Licitado",$AL504=0,$AN504&gt;0),"SEM PREÇO",
IF(AND($C504="S",$P504&lt;&gt;"",$Q504&lt;&gt;"",$U504&gt;0,AND($V504&lt;&gt;"BDI 1",$V504&lt;&gt;"BDI 2",$V504&lt;&gt;"BDI 3")),IF(ISNUMBER($V504),"JUSTIFICAR BDI","BDI"),
IF(OR(AND(import.recurso="OGU",TIPOORCAMENTO="Proposto",LEFT($O$8,5)&lt;&gt;"(N/D:",$AG504&lt;&gt;"",ORÇAMENTO.CustoUnitario&gt;$AG504),AND(TIPOORCAMENTO="LICITADO",ORÇAMENTO.PrecoUnitarioLicitado&gt;$AN504)),"ACIMA REF.",
IF(AND($C504="S",$P504&lt;&gt;"",$Q504&lt;&gt;"",$T504=0,$U504&gt;0),"QUANT.",
IF(AND(Import.TipoArredondamento="TransfereGOV",$L504="F",$C504="S",LEN($Q504)&gt;13),"Código &gt;13",
IF(AND(Import.TipoArredondamento="TransfereGOV",$L504="F",$C504&lt;&gt;"S",LEN($R504)&gt;100),"Descrição &gt;100",
IF(AND(Import.TipoArredondamento="TransfereGOV",$L504="F",$C504="S",LEN($R504)&gt;500),"Descrição &gt;500",
IF(AND(Import.TipoArredondamento="TransfereGOV",$L504="F",$C504="S",LEFT(TRIM(UPPER($P504)),6)&lt;&gt;"SINAPI",ISNA(VLOOKUP(TRIM(UPPER($S504)),ListaTgov.Unidades,1,FALSE))),"Unid. Não Disp",
" "))))))))))))))))</f>
        <v xml:space="preserve"> </v>
      </c>
      <c r="AD504" t="str">
        <f ca="1">IF(C504&lt;=CRONO.NivelExibicao,MAX($AD$15:OFFSET(AD504,-1,0))+IF($C504&lt;&gt;1,1,MAX(1,COUNTIF(QCI!$A$13:$A$15,OFFSET($E504,-1,0)))),"")</f>
        <v/>
      </c>
      <c r="AE504" s="7" t="str">
        <f ca="1">IF(AND($C504="S",ORÇAMENTO.CodBarra&lt;&gt;""),IF(ORÇAMENTO.Fonte="",ORÇAMENTO.CodBarra,CONCATENATE(ORÇAMENTO.Fonte," ",ORÇAMENTO.CodBarra)))</f>
        <v>SINAPI 103946</v>
      </c>
      <c r="AF504" s="12">
        <f ca="1">IF(ISERROR(INDIRECT(ORÇAMENTO.BancoRef)),"(abra o arquivo 'Referência "&amp;Excel_BuiltIn_Database&amp;".xlsm)",IF(OR($C504&lt;&gt;"S",ORÇAMENTO.CodBarra=""),"(Sem Código)",IF(ISERROR(MATCH($AE504,INDIRECT(ORÇAMENTO.BancoRef),0)),"(Código não identificado nas referências)",MATCH($AE504,INDIRECT(ORÇAMENTO.BancoRef),0))))</f>
        <v>13506</v>
      </c>
      <c r="AG504" s="428">
        <f ca="1">ROUND(IF(DESONERACAO="sim",REFERENCIA.Desonerado,REFERENCIA.NaoDesonerado),2)</f>
        <v>16.11</v>
      </c>
      <c r="AH504" s="429">
        <f t="shared" ca="1" si="146"/>
        <v>0.23499999999999999</v>
      </c>
      <c r="AJ504" s="431">
        <v>1013.19</v>
      </c>
      <c r="AL504" s="439"/>
      <c r="AM504" s="336">
        <f t="shared" ca="1" si="131"/>
        <v>20162.48</v>
      </c>
      <c r="AN504" s="470">
        <f t="shared" ca="1" si="147"/>
        <v>19.899999999999999</v>
      </c>
    </row>
    <row r="505" spans="1:40" ht="63.75" x14ac:dyDescent="0.2">
      <c r="A505" t="str">
        <f>CHOOSE(1+LOG(1+2*(ORÇAMENTO.Nivel="Meta")+4*(ORÇAMENTO.Nivel="Nível 2")+8*(ORÇAMENTO.Nivel="Nível 3")+16*(ORÇAMENTO.Nivel="Nível 4")+32*(ORÇAMENTO.Nivel="Serviço"),2),0,1,2,3,4,"S")</f>
        <v>S</v>
      </c>
      <c r="B505">
        <f ca="1">IF(OR(C505="s",C505=0),OFFSET(B505,-1,0),C505)</f>
        <v>3</v>
      </c>
      <c r="C505" t="str">
        <f ca="1">IF(OFFSET(C505,-1,0)="L",1,IF(OFFSET(C505,-1,0)=1,2,IF(OR(A505="s",A505=0),"S",IF(AND(OFFSET(C505,-1,0)=2,A505=4),3,IF(AND(OR(OFFSET(C505,-1,0)="s",OFFSET(C505,-1,0)=0),A505&lt;&gt;"s",A505&gt;OFFSET(B505,-1,0)),OFFSET(B505,-1,0),A505)))))</f>
        <v>S</v>
      </c>
      <c r="D505">
        <f ca="1">IF(OR(C505="S",C505=0),0,IF(ISERROR(K505),J505,SMALL(J505:K505,1)))</f>
        <v>0</v>
      </c>
      <c r="E505">
        <f ca="1">IF($C505=1,OFFSET(E505,-1,0)+MAX(1,COUNTIF(QCI!$A$13:$A$15,OFFSET(ORÇAMENTO!E505,-1,0))),OFFSET(E505,-1,0))</f>
        <v>1</v>
      </c>
      <c r="F505">
        <f ca="1">IF($C505=1,0,IF($C505=2,OFFSET(F505,-1,0)+1,OFFSET(F505,-1,0)))</f>
        <v>10</v>
      </c>
      <c r="G505">
        <f ca="1">IF(AND($C505&lt;=2,$C505&lt;&gt;0),0,IF($C505=3,OFFSET(G505,-1,0)+1,OFFSET(G505,-1,0)))</f>
        <v>8</v>
      </c>
      <c r="H505">
        <f ca="1">IF(AND($C505&lt;=3,$C505&lt;&gt;0),0,IF($C505=4,OFFSET(H505,-1,0)+1,OFFSET(H505,-1,0)))</f>
        <v>0</v>
      </c>
      <c r="I505">
        <f ca="1">IF(AND($C505&lt;=4,$C505&lt;&gt;0),0,IF(AND($C505="S",$X505&gt;0),OFFSET(I505,-1,0)+1,OFFSET(I505,-1,0)))</f>
        <v>2</v>
      </c>
      <c r="J505">
        <f ca="1">IF(OR($C505="S",$C505=0),0,MATCH(0,OFFSET($D505,1,$C505,ROW($C$508)-ROW($C505)),0))</f>
        <v>0</v>
      </c>
      <c r="K505">
        <f ca="1">IF(OR($C505="S",$C505=0),0,MATCH(OFFSET($D505,0,$C505)+IF($C505&lt;&gt;1,1,COUNTIF(QCI!$A$13:$A$15,ORÇAMENTO!E505)),OFFSET($D505,1,$C505,ROW($C$508)-ROW($C505)),0))</f>
        <v>0</v>
      </c>
      <c r="L505" s="114" t="str">
        <f ca="1">IF(OR($X505&gt;0,$C505=1,$C505=2,$C505=3,$C505=4),"F","")</f>
        <v>F</v>
      </c>
      <c r="M505" s="115" t="s">
        <v>705</v>
      </c>
      <c r="N505" s="116" t="str">
        <f ca="1">CHOOSE(1+LOG(1+2*(C505=1)+4*(C505=2)+8*(C505=3)+16*(C505=4)+32*(C505="S"),2),"","Meta","Nível 2","Nível 3","Nível 4","Serviço")</f>
        <v>Serviço</v>
      </c>
      <c r="O505" s="117" t="str">
        <f ca="1">IF(OR($C505=0,$L505=""),"-",CONCATENATE(E505&amp;".",IF(AND($A$5&gt;=2,$C505&gt;=2),F505&amp;".",""),IF(AND($A$5&gt;=3,$C505&gt;=3),G505&amp;".",""),IF(AND($A$5&gt;=4,$C505&gt;=4),H505&amp;".",""),IF($C505="S",I505&amp;".","")))</f>
        <v>1.10.8.0.2.</v>
      </c>
      <c r="P505" s="118" t="s">
        <v>1281</v>
      </c>
      <c r="Q505" s="119" t="s">
        <v>1396</v>
      </c>
      <c r="R505" s="120" t="str">
        <f ca="1">IF($C505="S",REFERENCIA.Descricao,"(digite a descrição aqui)")</f>
        <v>GUIA DE CORDÃO BOLEADO, EM CONCRETO COM FCK 20MPA, PRÉ MOLDADA, 10X10CM (ALTURA X LARGURA), INCLUSIVE UMA (1) FIADA DE BLOCO DE CONCRETO, ESP. 9CM, ESCAVAÇÃO, APILOAMENTO E TRANSPORTE COM RETIRADA DO MATERIAL ESCAVADO (EM CAÇAMBA) - BASEADO EM SETOP (ED-51135)</v>
      </c>
      <c r="S505" s="121" t="str">
        <f ca="1">REFERENCIA.Unidade</f>
        <v>M</v>
      </c>
      <c r="T505" s="122">
        <f ca="1">OFFSET(CÁLCULO!H$15,ROW($T505)-ROW(T$15),0)</f>
        <v>21.9</v>
      </c>
      <c r="U505" s="123">
        <f t="shared" ca="1" si="108"/>
        <v>68.47</v>
      </c>
      <c r="V505" s="124" t="s">
        <v>663</v>
      </c>
      <c r="W505" s="122">
        <f ca="1">IF($C505="S",ROUND(IF(TIPOORCAMENTO="Proposto",ORÇAMENTO.CustoUnitario*(1+$AH505),ORÇAMENTO.PrecoUnitarioLicitado),15-13*$AF$10),0)</f>
        <v>84.56</v>
      </c>
      <c r="X505" s="125" cm="1">
        <f t="array" aca="1" ref="X505" ca="1">IF($C505="S",IF(OR(Import.TipoArredondamento&lt;&gt;"TransfereGOV",ACOMPANHAMENTO="BM"),VTOTAL1,SUM(OFFSET(CÁLCULO!$AI$15,ROW($X505)-ROW($X$15),1):OFFSET(CÁLCULO!$BB$15,ROW($X505)-ROW($X$15),-1))),IF($C505=0,0,ROUND(SomaAgrup,15-13*$AF$11)))</f>
        <v>1851.86</v>
      </c>
      <c r="Y505" s="126" t="s">
        <v>751</v>
      </c>
      <c r="Z505" t="str">
        <f ca="1">IF(AND($C505="S",$X505&gt;0),IF(ISBLANK($Y505),"RA",LEFT($Y505,2)),"")</f>
        <v>RA</v>
      </c>
      <c r="AA505" s="127">
        <f ca="1">IF($C505="S",IF($Z505="CP",$X505,IF($Z505="RA",(($X505)*QCI!$AA$3),0)),SomaAgrup)</f>
        <v>0</v>
      </c>
      <c r="AB505" s="128">
        <f ca="1">IF($C505="S",IF($Z505="OU",ROUND($X505,2),0),SomaAgrup)</f>
        <v>0</v>
      </c>
      <c r="AC505" s="565" t="str" cm="1">
        <f t="array" aca="1" ref="AC505" ca="1">IF($N505=""," ",
IF(AND($C505&lt;&gt;"S",OR($R505="",$R505="(digite a descrição aqui)")),"DESCRIÇÃO",
IF(AND($C505="S",OR($Q505&lt;&gt;"",$T505&gt;0,$U505&gt;0),$P505=""),"FONTE",
IF(AND($C505="S",$P505&lt;&gt;"",OR($T505&gt;0,$U505&gt;0),$Q505=""),"CÓDIGO",
IF(AND($C505="S",$P505&lt;&gt;"",$Q505&lt;&gt;"",$R505="(Código não identificado nas referências)"),"CÓDIGO N/ID",
IF(AND($C505="S",OR($R505="",$R505="(digite a descrição aqui)"),OR($Q505&lt;&gt;"",$T505&gt;0,$U505&gt;0)),"DESCRIÇÃO",
IF(AND($C505="S",$P505&lt;&gt;"",$Q505&lt;&gt;"",$S505=""),"UNIDADE",
IF(AND($C505="S",$P505&lt;&gt;"",$Q505&lt;&gt;"",$U505=0),"SEM CUSTO",
IF(AND(_xlfn.SINGLE(TIPOORCAMENTO)="Licitado",$AL505=0,$AN505&gt;0),"SEM PREÇO",
IF(AND($C505="S",$P505&lt;&gt;"",$Q505&lt;&gt;"",$U505&gt;0,AND($V505&lt;&gt;"BDI 1",$V505&lt;&gt;"BDI 2",$V505&lt;&gt;"BDI 3")),IF(ISNUMBER($V505),"JUSTIFICAR BDI","BDI"),
IF(OR(AND(import.recurso="OGU",TIPOORCAMENTO="Proposto",LEFT($O$8,5)&lt;&gt;"(N/D:",$AG505&lt;&gt;"",ORÇAMENTO.CustoUnitario&gt;$AG505),AND(TIPOORCAMENTO="LICITADO",ORÇAMENTO.PrecoUnitarioLicitado&gt;$AN505)),"ACIMA REF.",
IF(AND($C505="S",$P505&lt;&gt;"",$Q505&lt;&gt;"",$T505=0,$U505&gt;0),"QUANT.",
IF(AND(Import.TipoArredondamento="TransfereGOV",$L505="F",$C505="S",LEN($Q505)&gt;13),"Código &gt;13",
IF(AND(Import.TipoArredondamento="TransfereGOV",$L505="F",$C505&lt;&gt;"S",LEN($R505)&gt;100),"Descrição &gt;100",
IF(AND(Import.TipoArredondamento="TransfereGOV",$L505="F",$C505="S",LEN($R505)&gt;500),"Descrição &gt;500",
IF(AND(Import.TipoArredondamento="TransfereGOV",$L505="F",$C505="S",LEFT(TRIM(UPPER($P505)),6)&lt;&gt;"SINAPI",ISNA(VLOOKUP(TRIM(UPPER($S505)),ListaTgov.Unidades,1,FALSE))),"Unid. Não Disp",
" "))))))))))))))))</f>
        <v xml:space="preserve"> </v>
      </c>
      <c r="AD505" t="str">
        <f ca="1">IF(C505&lt;=CRONO.NivelExibicao,MAX($AD$15:OFFSET(AD505,-1,0))+IF($C505&lt;&gt;1,1,MAX(1,COUNTIF(QCI!$A$13:$A$15,OFFSET($E505,-1,0)))),"")</f>
        <v/>
      </c>
      <c r="AE505" s="7" t="str">
        <f ca="1">IF(AND($C505="S",ORÇAMENTO.CodBarra&lt;&gt;""),IF(ORÇAMENTO.Fonte="",ORÇAMENTO.CodBarra,CONCATENATE(ORÇAMENTO.Fonte," ",ORÇAMENTO.CodBarra)))</f>
        <v>COMPOSIÇÃO CPU-067</v>
      </c>
      <c r="AF505" s="12">
        <f ca="1">IF(ISERROR(INDIRECT(ORÇAMENTO.BancoRef)),"(abra o arquivo 'Referência "&amp;Excel_BuiltIn_Database&amp;".xlsm)",IF(OR($C505&lt;&gt;"S",ORÇAMENTO.CodBarra=""),"(Sem Código)",IF(ISERROR(MATCH($AE505,INDIRECT(ORÇAMENTO.BancoRef),0)),"(Código não identificado nas referências)",MATCH($AE505,INDIRECT(ORÇAMENTO.BancoRef),0))))</f>
        <v>68</v>
      </c>
      <c r="AG505" s="428">
        <f ca="1">ROUND(IF(DESONERACAO="sim",REFERENCIA.Desonerado,REFERENCIA.NaoDesonerado),2)</f>
        <v>68.47</v>
      </c>
      <c r="AH505" s="429">
        <f ca="1">ROUND(IF(ISNUMBER(ORÇAMENTO.OpcaoBDI),ORÇAMENTO.OpcaoBDI,IF(LEFT(ORÇAMENTO.OpcaoBDI,3)="BDI",HLOOKUP(ORÇAMENTO.OpcaoBDI,$F$4:$H$5,2,FALSE),0)),15-11*$AF$9)</f>
        <v>0.23499999999999999</v>
      </c>
      <c r="AJ505" s="431">
        <v>21.9</v>
      </c>
      <c r="AL505" s="439"/>
      <c r="AM505" s="336">
        <f t="shared" ca="1" si="131"/>
        <v>1851.86</v>
      </c>
      <c r="AN505" s="470">
        <f ca="1">ROUND(ORÇAMENTO.CustoUnitario*(1+$AH505),2)</f>
        <v>84.56</v>
      </c>
    </row>
    <row r="506" spans="1:40" x14ac:dyDescent="0.2">
      <c r="A506">
        <f t="shared" si="132"/>
        <v>3</v>
      </c>
      <c r="B506">
        <f t="shared" ca="1" si="133"/>
        <v>3</v>
      </c>
      <c r="C506">
        <f t="shared" ca="1" si="134"/>
        <v>3</v>
      </c>
      <c r="D506">
        <f t="shared" ca="1" si="135"/>
        <v>2</v>
      </c>
      <c r="E506">
        <f ca="1">IF($C506=1,OFFSET(E506,-1,0)+MAX(1,COUNTIF(QCI!$A$13:$A$15,OFFSET(ORÇAMENTO!E506,-1,0))),OFFSET(E506,-1,0))</f>
        <v>1</v>
      </c>
      <c r="F506">
        <f t="shared" ca="1" si="136"/>
        <v>10</v>
      </c>
      <c r="G506">
        <f t="shared" ca="1" si="137"/>
        <v>9</v>
      </c>
      <c r="H506">
        <f t="shared" ca="1" si="138"/>
        <v>0</v>
      </c>
      <c r="I506">
        <f t="shared" ca="1" si="139"/>
        <v>0</v>
      </c>
      <c r="J506">
        <f t="shared" ca="1" si="140"/>
        <v>2</v>
      </c>
      <c r="K506" t="e">
        <f ca="1">IF(OR($C506="S",$C506=0),0,MATCH(OFFSET($D506,0,$C506)+IF($C506&lt;&gt;1,1,COUNTIF(QCI!$A$13:$A$15,ORÇAMENTO!E506)),OFFSET($D506,1,$C506,ROW($C$508)-ROW($C506)),0))</f>
        <v>#N/A</v>
      </c>
      <c r="L506" s="114" t="str">
        <f t="shared" ca="1" si="141"/>
        <v>F</v>
      </c>
      <c r="M506" s="115" t="s">
        <v>703</v>
      </c>
      <c r="N506" s="116" t="str">
        <f t="shared" ca="1" si="142"/>
        <v>Nível 3</v>
      </c>
      <c r="O506" s="117" t="str">
        <f t="shared" ca="1" si="143"/>
        <v>1.10.9.</v>
      </c>
      <c r="P506" s="118" t="s">
        <v>750</v>
      </c>
      <c r="Q506" s="119"/>
      <c r="R506" s="120" t="s">
        <v>1271</v>
      </c>
      <c r="S506" s="121" t="s">
        <v>688</v>
      </c>
      <c r="T506" s="122">
        <f ca="1">OFFSET(CÁLCULO!H$15,ROW($T506)-ROW(T$15),0)</f>
        <v>0</v>
      </c>
      <c r="U506" s="123">
        <f t="shared" ca="1" si="108"/>
        <v>0</v>
      </c>
      <c r="V506" s="124" t="s">
        <v>663</v>
      </c>
      <c r="W506" s="122">
        <f ca="1">IF($C506="S",ROUND(IF(TIPOORCAMENTO="Proposto",ORÇAMENTO.CustoUnitario*(1+$AH506),ORÇAMENTO.PrecoUnitarioLicitado),15-13*$AF$10),0)</f>
        <v>0</v>
      </c>
      <c r="X506" s="125" cm="1">
        <f t="array" aca="1" ref="X506" ca="1">IF($C506="S",IF(OR(Import.TipoArredondamento&lt;&gt;"TransfereGOV",ACOMPANHAMENTO="BM"),VTOTAL1,SUM(OFFSET(CÁLCULO!$AI$15,ROW($X506)-ROW($X$15),1):OFFSET(CÁLCULO!$BB$15,ROW($X506)-ROW($X$15),-1))),IF($C506=0,0,ROUND(SomaAgrup,15-13*$AF$11)))</f>
        <v>1318.86</v>
      </c>
      <c r="Y506" s="126" t="s">
        <v>751</v>
      </c>
      <c r="Z506" t="str">
        <f t="shared" ca="1" si="144"/>
        <v/>
      </c>
      <c r="AA506" s="127">
        <f ca="1">IF($C506="S",IF($Z506="CP",$X506,IF($Z506="RA",(($X506)*QCI!$AA$3),0)),SomaAgrup)</f>
        <v>0</v>
      </c>
      <c r="AB506" s="128">
        <f t="shared" ca="1" si="145"/>
        <v>0</v>
      </c>
      <c r="AC506" s="565" t="str" cm="1">
        <f t="array" aca="1" ref="AC506" ca="1">IF($N506=""," ",
IF(AND($C506&lt;&gt;"S",OR($R506="",$R506="(digite a descrição aqui)")),"DESCRIÇÃO",
IF(AND($C506="S",OR($Q506&lt;&gt;"",$T506&gt;0,$U506&gt;0),$P506=""),"FONTE",
IF(AND($C506="S",$P506&lt;&gt;"",OR($T506&gt;0,$U506&gt;0),$Q506=""),"CÓDIGO",
IF(AND($C506="S",$P506&lt;&gt;"",$Q506&lt;&gt;"",$R506="(Código não identificado nas referências)"),"CÓDIGO N/ID",
IF(AND($C506="S",OR($R506="",$R506="(digite a descrição aqui)"),OR($Q506&lt;&gt;"",$T506&gt;0,$U506&gt;0)),"DESCRIÇÃO",
IF(AND($C506="S",$P506&lt;&gt;"",$Q506&lt;&gt;"",$S506=""),"UNIDADE",
IF(AND($C506="S",$P506&lt;&gt;"",$Q506&lt;&gt;"",$U506=0),"SEM CUSTO",
IF(AND(_xlfn.SINGLE(TIPOORCAMENTO)="Licitado",$AL506=0,$AN506&gt;0),"SEM PREÇO",
IF(AND($C506="S",$P506&lt;&gt;"",$Q506&lt;&gt;"",$U506&gt;0,AND($V506&lt;&gt;"BDI 1",$V506&lt;&gt;"BDI 2",$V506&lt;&gt;"BDI 3")),IF(ISNUMBER($V506),"JUSTIFICAR BDI","BDI"),
IF(OR(AND(import.recurso="OGU",TIPOORCAMENTO="Proposto",LEFT($O$8,5)&lt;&gt;"(N/D:",$AG506&lt;&gt;"",ORÇAMENTO.CustoUnitario&gt;$AG506),AND(TIPOORCAMENTO="LICITADO",ORÇAMENTO.PrecoUnitarioLicitado&gt;$AN506)),"ACIMA REF.",
IF(AND($C506="S",$P506&lt;&gt;"",$Q506&lt;&gt;"",$T506=0,$U506&gt;0),"QUANT.",
IF(AND(Import.TipoArredondamento="TransfereGOV",$L506="F",$C506="S",LEN($Q506)&gt;13),"Código &gt;13",
IF(AND(Import.TipoArredondamento="TransfereGOV",$L506="F",$C506&lt;&gt;"S",LEN($R506)&gt;100),"Descrição &gt;100",
IF(AND(Import.TipoArredondamento="TransfereGOV",$L506="F",$C506="S",LEN($R506)&gt;500),"Descrição &gt;500",
IF(AND(Import.TipoArredondamento="TransfereGOV",$L506="F",$C506="S",LEFT(TRIM(UPPER($P506)),6)&lt;&gt;"SINAPI",ISNA(VLOOKUP(TRIM(UPPER($S506)),ListaTgov.Unidades,1,FALSE))),"Unid. Não Disp",
" "))))))))))))))))</f>
        <v xml:space="preserve"> </v>
      </c>
      <c r="AD506" t="str">
        <f ca="1">IF(C506&lt;=CRONO.NivelExibicao,MAX($AD$15:OFFSET(AD506,-1,0))+IF($C506&lt;&gt;1,1,MAX(1,COUNTIF(QCI!$A$13:$A$15,OFFSET($E506,-1,0)))),"")</f>
        <v/>
      </c>
      <c r="AE506" s="7" t="b">
        <f ca="1">IF(AND($C506="S",ORÇAMENTO.CodBarra&lt;&gt;""),IF(ORÇAMENTO.Fonte="",ORÇAMENTO.CodBarra,CONCATENATE(ORÇAMENTO.Fonte," ",ORÇAMENTO.CodBarra)))</f>
        <v>0</v>
      </c>
      <c r="AF506" s="12" t="str">
        <f ca="1">IF(ISERROR(INDIRECT(ORÇAMENTO.BancoRef)),"(abra o arquivo 'Referência "&amp;Excel_BuiltIn_Database&amp;".xlsm)",IF(OR($C506&lt;&gt;"S",ORÇAMENTO.CodBarra=""),"(Sem Código)",IF(ISERROR(MATCH($AE506,INDIRECT(ORÇAMENTO.BancoRef),0)),"(Código não identificado nas referências)",MATCH($AE506,INDIRECT(ORÇAMENTO.BancoRef),0))))</f>
        <v>(Sem Código)</v>
      </c>
      <c r="AG506" s="428">
        <f ca="1">ROUND(IF(DESONERACAO="sim",REFERENCIA.Desonerado,REFERENCIA.NaoDesonerado),2)</f>
        <v>0</v>
      </c>
      <c r="AH506" s="429">
        <f t="shared" ca="1" si="146"/>
        <v>0.23499999999999999</v>
      </c>
      <c r="AJ506" s="431"/>
      <c r="AL506" s="439"/>
      <c r="AM506" s="336">
        <f t="shared" ca="1" si="131"/>
        <v>1318.86</v>
      </c>
      <c r="AN506" s="470">
        <f t="shared" ca="1" si="147"/>
        <v>0</v>
      </c>
    </row>
    <row r="507" spans="1:40" x14ac:dyDescent="0.2">
      <c r="A507" t="str">
        <f t="shared" si="132"/>
        <v>S</v>
      </c>
      <c r="B507">
        <f t="shared" ca="1" si="133"/>
        <v>3</v>
      </c>
      <c r="C507" t="str">
        <f t="shared" ca="1" si="134"/>
        <v>S</v>
      </c>
      <c r="D507">
        <f t="shared" ca="1" si="135"/>
        <v>0</v>
      </c>
      <c r="E507">
        <f ca="1">IF($C507=1,OFFSET(E507,-1,0)+MAX(1,COUNTIF(QCI!$A$13:$A$15,OFFSET(ORÇAMENTO!E507,-1,0))),OFFSET(E507,-1,0))</f>
        <v>1</v>
      </c>
      <c r="F507">
        <f t="shared" ca="1" si="136"/>
        <v>10</v>
      </c>
      <c r="G507">
        <f t="shared" ca="1" si="137"/>
        <v>9</v>
      </c>
      <c r="H507">
        <f t="shared" ca="1" si="138"/>
        <v>0</v>
      </c>
      <c r="I507">
        <f t="shared" ca="1" si="139"/>
        <v>1</v>
      </c>
      <c r="J507">
        <f t="shared" ca="1" si="140"/>
        <v>0</v>
      </c>
      <c r="K507">
        <f ca="1">IF(OR($C507="S",$C507=0),0,MATCH(OFFSET($D507,0,$C507)+IF($C507&lt;&gt;1,1,COUNTIF(QCI!$A$13:$A$15,ORÇAMENTO!E507)),OFFSET($D507,1,$C507,ROW($C$508)-ROW($C507)),0))</f>
        <v>0</v>
      </c>
      <c r="L507" s="114" t="str">
        <f t="shared" ca="1" si="141"/>
        <v>F</v>
      </c>
      <c r="M507" s="115" t="s">
        <v>705</v>
      </c>
      <c r="N507" s="116" t="str">
        <f t="shared" ca="1" si="142"/>
        <v>Serviço</v>
      </c>
      <c r="O507" s="117" t="str">
        <f t="shared" ca="1" si="143"/>
        <v>1.10.9.0.1.</v>
      </c>
      <c r="P507" s="118" t="s">
        <v>1280</v>
      </c>
      <c r="Q507" s="119" t="s">
        <v>1202</v>
      </c>
      <c r="R507" s="120" t="str">
        <f ca="1">IF($C507="S",REFERENCIA.Descricao,"(digite a descrição aqui)")</f>
        <v>LIMPEZA FINAL PARA ENTREGA DA OBRA</v>
      </c>
      <c r="S507" s="121" t="str">
        <f ca="1">REFERENCIA.Unidade</f>
        <v>M2</v>
      </c>
      <c r="T507" s="122">
        <f ca="1">OFFSET(CÁLCULO!H$15,ROW($T507)-ROW(T$15),0)</f>
        <v>129.30000000000001</v>
      </c>
      <c r="U507" s="123">
        <f t="shared" ref="U507" ca="1" si="149">AG507</f>
        <v>8.26</v>
      </c>
      <c r="V507" s="124" t="s">
        <v>663</v>
      </c>
      <c r="W507" s="122">
        <f ca="1">IF($C507="S",ROUND(IF(TIPOORCAMENTO="Proposto",ORÇAMENTO.CustoUnitario*(1+$AH507),ORÇAMENTO.PrecoUnitarioLicitado),15-13*$AF$10),0)</f>
        <v>10.199999999999999</v>
      </c>
      <c r="X507" s="125" cm="1">
        <f t="array" aca="1" ref="X507" ca="1">IF($C507="S",IF(OR(Import.TipoArredondamento&lt;&gt;"TransfereGOV",ACOMPANHAMENTO="BM"),VTOTAL1,SUM(OFFSET(CÁLCULO!$AI$15,ROW($X507)-ROW($X$15),1):OFFSET(CÁLCULO!$BB$15,ROW($X507)-ROW($X$15),-1))),IF($C507=0,0,ROUND(SomaAgrup,15-13*$AF$11)))</f>
        <v>1318.86</v>
      </c>
      <c r="Y507" s="126" t="s">
        <v>751</v>
      </c>
      <c r="Z507" t="str">
        <f t="shared" ca="1" si="144"/>
        <v>RA</v>
      </c>
      <c r="AA507" s="127">
        <f ca="1">IF($C507="S",IF($Z507="CP",$X507,IF($Z507="RA",(($X507)*QCI!$AA$3),0)),SomaAgrup)</f>
        <v>0</v>
      </c>
      <c r="AB507" s="128">
        <f t="shared" ca="1" si="145"/>
        <v>0</v>
      </c>
      <c r="AC507" s="565" t="str" cm="1">
        <f t="array" aca="1" ref="AC507" ca="1">IF($N507=""," ",
IF(AND($C507&lt;&gt;"S",OR($R507="",$R507="(digite a descrição aqui)")),"DESCRIÇÃO",
IF(AND($C507="S",OR($Q507&lt;&gt;"",$T507&gt;0,$U507&gt;0),$P507=""),"FONTE",
IF(AND($C507="S",$P507&lt;&gt;"",OR($T507&gt;0,$U507&gt;0),$Q507=""),"CÓDIGO",
IF(AND($C507="S",$P507&lt;&gt;"",$Q507&lt;&gt;"",$R507="(Código não identificado nas referências)"),"CÓDIGO N/ID",
IF(AND($C507="S",OR($R507="",$R507="(digite a descrição aqui)"),OR($Q507&lt;&gt;"",$T507&gt;0,$U507&gt;0)),"DESCRIÇÃO",
IF(AND($C507="S",$P507&lt;&gt;"",$Q507&lt;&gt;"",$S507=""),"UNIDADE",
IF(AND($C507="S",$P507&lt;&gt;"",$Q507&lt;&gt;"",$U507=0),"SEM CUSTO",
IF(AND(_xlfn.SINGLE(TIPOORCAMENTO)="Licitado",$AL507=0,$AN507&gt;0),"SEM PREÇO",
IF(AND($C507="S",$P507&lt;&gt;"",$Q507&lt;&gt;"",$U507&gt;0,AND($V507&lt;&gt;"BDI 1",$V507&lt;&gt;"BDI 2",$V507&lt;&gt;"BDI 3")),IF(ISNUMBER($V507),"JUSTIFICAR BDI","BDI"),
IF(OR(AND(import.recurso="OGU",TIPOORCAMENTO="Proposto",LEFT($O$8,5)&lt;&gt;"(N/D:",$AG507&lt;&gt;"",ORÇAMENTO.CustoUnitario&gt;$AG507),AND(TIPOORCAMENTO="LICITADO",ORÇAMENTO.PrecoUnitarioLicitado&gt;$AN507)),"ACIMA REF.",
IF(AND($C507="S",$P507&lt;&gt;"",$Q507&lt;&gt;"",$T507=0,$U507&gt;0),"QUANT.",
IF(AND(Import.TipoArredondamento="TransfereGOV",$L507="F",$C507="S",LEN($Q507)&gt;13),"Código &gt;13",
IF(AND(Import.TipoArredondamento="TransfereGOV",$L507="F",$C507&lt;&gt;"S",LEN($R507)&gt;100),"Descrição &gt;100",
IF(AND(Import.TipoArredondamento="TransfereGOV",$L507="F",$C507="S",LEN($R507)&gt;500),"Descrição &gt;500",
IF(AND(Import.TipoArredondamento="TransfereGOV",$L507="F",$C507="S",LEFT(TRIM(UPPER($P507)),6)&lt;&gt;"SINAPI",ISNA(VLOOKUP(TRIM(UPPER($S507)),ListaTgov.Unidades,1,FALSE))),"Unid. Não Disp",
" "))))))))))))))))</f>
        <v xml:space="preserve"> </v>
      </c>
      <c r="AD507" t="str">
        <f ca="1">IF(C507&lt;=CRONO.NivelExibicao,MAX($AD$15:OFFSET(AD507,-1,0))+IF($C507&lt;&gt;1,1,MAX(1,COUNTIF(QCI!$A$13:$A$15,OFFSET($E507,-1,0)))),"")</f>
        <v/>
      </c>
      <c r="AE507" s="7" t="str">
        <f ca="1">IF(AND($C507="S",ORÇAMENTO.CodBarra&lt;&gt;""),IF(ORÇAMENTO.Fonte="",ORÇAMENTO.CodBarra,CONCATENATE(ORÇAMENTO.Fonte," ",ORÇAMENTO.CodBarra)))</f>
        <v>SETOP ED-50266</v>
      </c>
      <c r="AF507" s="12">
        <f ca="1">IF(ISERROR(INDIRECT(ORÇAMENTO.BancoRef)),"(abra o arquivo 'Referência "&amp;Excel_BuiltIn_Database&amp;".xlsm)",IF(OR($C507&lt;&gt;"S",ORÇAMENTO.CodBarra=""),"(Sem Código)",IF(ISERROR(MATCH($AE507,INDIRECT(ORÇAMENTO.BancoRef),0)),"(Código não identificado nas referências)",MATCH($AE507,INDIRECT(ORÇAMENTO.BancoRef),0))))</f>
        <v>30270</v>
      </c>
      <c r="AG507" s="428">
        <f ca="1">ROUND(IF(DESONERACAO="sim",REFERENCIA.Desonerado,REFERENCIA.NaoDesonerado),2)</f>
        <v>8.26</v>
      </c>
      <c r="AH507" s="429">
        <f t="shared" ca="1" si="146"/>
        <v>0.23499999999999999</v>
      </c>
      <c r="AJ507" s="431">
        <f>ROUND(94.303+35,2)</f>
        <v>129.30000000000001</v>
      </c>
      <c r="AL507" s="439"/>
      <c r="AM507" s="336">
        <f t="shared" ca="1" si="131"/>
        <v>1318.86</v>
      </c>
      <c r="AN507" s="470">
        <f t="shared" ca="1" si="147"/>
        <v>10.199999999999999</v>
      </c>
    </row>
    <row r="508" spans="1:40" ht="5.0999999999999996" customHeight="1" x14ac:dyDescent="0.2">
      <c r="A508">
        <v>-1</v>
      </c>
      <c r="C508">
        <v>-1</v>
      </c>
      <c r="E508">
        <v>0</v>
      </c>
      <c r="F508">
        <v>0</v>
      </c>
      <c r="G508">
        <v>0</v>
      </c>
      <c r="H508">
        <v>0</v>
      </c>
      <c r="I508">
        <v>0</v>
      </c>
      <c r="L508" s="114" t="s">
        <v>536</v>
      </c>
      <c r="M508" s="606"/>
      <c r="N508" s="424"/>
      <c r="O508" s="606"/>
      <c r="P508" s="607"/>
      <c r="Q508" s="607"/>
      <c r="R508" s="607"/>
      <c r="S508" s="607"/>
      <c r="T508" s="607"/>
      <c r="U508" s="607"/>
      <c r="V508" s="607"/>
      <c r="W508" s="607"/>
      <c r="X508" s="424"/>
      <c r="Y508" s="424"/>
      <c r="AC508" s="565" t="s">
        <v>752</v>
      </c>
      <c r="AG508" s="608"/>
      <c r="AH508" s="419"/>
      <c r="AJ508" s="425"/>
      <c r="AL508" s="608"/>
      <c r="AM508" s="609"/>
      <c r="AN508" s="419"/>
    </row>
    <row r="511" spans="1:40" ht="14.25" x14ac:dyDescent="0.2">
      <c r="O511" s="134" t="s">
        <v>753</v>
      </c>
      <c r="Q511" s="680" t="s">
        <v>754</v>
      </c>
      <c r="R511" s="680"/>
      <c r="S511" s="680"/>
      <c r="T511" s="680"/>
      <c r="U511" s="680"/>
      <c r="V511" s="680"/>
      <c r="W511" s="680"/>
      <c r="X511" s="680"/>
    </row>
    <row r="513" spans="15:28" ht="14.25" x14ac:dyDescent="0.2">
      <c r="O513" s="135" t="s">
        <v>689</v>
      </c>
      <c r="X513" s="4"/>
    </row>
    <row r="514" spans="15:28" ht="12.75" customHeight="1" x14ac:dyDescent="0.2">
      <c r="O514" s="681"/>
      <c r="P514" s="681"/>
      <c r="Q514" s="681"/>
      <c r="R514" s="681"/>
      <c r="S514" s="681"/>
      <c r="T514" s="681"/>
      <c r="U514" s="681"/>
      <c r="V514" s="681"/>
      <c r="W514" s="681"/>
      <c r="X514" s="681"/>
    </row>
    <row r="515" spans="15:28" x14ac:dyDescent="0.2">
      <c r="O515" s="681"/>
      <c r="P515" s="681"/>
      <c r="Q515" s="681"/>
      <c r="R515" s="681"/>
      <c r="S515" s="681"/>
      <c r="T515" s="681"/>
      <c r="U515" s="681"/>
      <c r="V515" s="681"/>
      <c r="W515" s="681"/>
      <c r="X515" s="681"/>
    </row>
    <row r="516" spans="15:28" x14ac:dyDescent="0.2">
      <c r="O516" s="681"/>
      <c r="P516" s="681"/>
      <c r="Q516" s="681"/>
      <c r="R516" s="681"/>
      <c r="S516" s="681"/>
      <c r="T516" s="681"/>
      <c r="U516" s="681"/>
      <c r="V516" s="681"/>
      <c r="W516" s="681"/>
      <c r="X516" s="681"/>
    </row>
    <row r="517" spans="15:28" ht="14.25" x14ac:dyDescent="0.2">
      <c r="O517" s="443"/>
      <c r="P517" s="443"/>
      <c r="Q517" s="443"/>
      <c r="R517" s="443"/>
      <c r="S517" s="443"/>
      <c r="T517" s="443"/>
      <c r="U517" s="443"/>
      <c r="V517" s="443"/>
      <c r="W517" s="443"/>
      <c r="X517" s="443"/>
      <c r="Y517" s="443"/>
      <c r="Z517" s="136"/>
      <c r="AA517" s="136"/>
      <c r="AB517" s="136"/>
    </row>
    <row r="518" spans="15:28" ht="15" x14ac:dyDescent="0.25">
      <c r="O518" s="682"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18" s="682"/>
      <c r="Q518" s="682"/>
      <c r="R518" s="682"/>
      <c r="S518" s="682"/>
      <c r="T518" s="682"/>
      <c r="U518" s="682"/>
      <c r="V518" s="682"/>
      <c r="W518" s="682"/>
      <c r="X518" s="682"/>
      <c r="Y518" s="137"/>
      <c r="Z518" s="137"/>
      <c r="AA518" s="137"/>
      <c r="AB518" s="137"/>
    </row>
    <row r="519" spans="15:28" ht="15" customHeight="1" x14ac:dyDescent="0.25">
      <c r="O519" s="684" t="s">
        <v>755</v>
      </c>
      <c r="P519" s="684"/>
      <c r="Q519" s="684"/>
      <c r="R519" s="684"/>
      <c r="S519" s="684"/>
      <c r="T519" s="684"/>
      <c r="U519" s="684"/>
      <c r="V519" s="684"/>
      <c r="W519" s="684"/>
      <c r="X519" s="684"/>
      <c r="Y519" s="137"/>
      <c r="Z519" s="137"/>
      <c r="AA519" s="137"/>
      <c r="AB519" s="137"/>
    </row>
    <row r="521" spans="15:28" ht="30" customHeight="1" x14ac:dyDescent="0.2">
      <c r="O521" s="683" t="str">
        <f>Import.Município</f>
        <v>Araguari / MG</v>
      </c>
      <c r="P521" s="683"/>
      <c r="Q521" s="683"/>
      <c r="S521" s="460"/>
      <c r="T521" s="460"/>
      <c r="U521" s="460"/>
      <c r="V521" s="460"/>
      <c r="W521" s="417"/>
    </row>
    <row r="522" spans="15:28" x14ac:dyDescent="0.2">
      <c r="O522" s="9" t="s">
        <v>693</v>
      </c>
      <c r="S522" s="181" t="s">
        <v>696</v>
      </c>
      <c r="T522" s="181"/>
      <c r="U522" s="181"/>
      <c r="V522" s="181"/>
    </row>
    <row r="523" spans="15:28" x14ac:dyDescent="0.2">
      <c r="S523" s="77" t="s">
        <v>240</v>
      </c>
      <c r="T523" s="78" t="str">
        <f t="array" ref="T523:T525">Import.RespOrçamento</f>
        <v>JULIANA GONÇALVES OLIVEIRA</v>
      </c>
      <c r="V523" s="79"/>
    </row>
    <row r="524" spans="15:28" x14ac:dyDescent="0.2">
      <c r="O524" s="677">
        <f>DADOS!$C$25</f>
        <v>45996</v>
      </c>
      <c r="P524" s="677"/>
      <c r="Q524" s="677"/>
      <c r="S524" s="77" t="s">
        <v>243</v>
      </c>
      <c r="T524" s="78" t="str">
        <v>239787 / D</v>
      </c>
      <c r="U524" s="79"/>
      <c r="V524" s="79"/>
    </row>
    <row r="525" spans="15:28" x14ac:dyDescent="0.2">
      <c r="O525" s="140" t="s">
        <v>694</v>
      </c>
      <c r="P525" s="1"/>
      <c r="Q525" s="1"/>
      <c r="S525" s="77" t="s">
        <v>246</v>
      </c>
      <c r="T525" s="78" t="str">
        <v xml:space="preserve"> Nº MG20253772936</v>
      </c>
      <c r="U525" s="79"/>
      <c r="V525" s="79"/>
    </row>
  </sheetData>
  <sheetProtection algorithmName="SHA-512" hashValue="KSfEqJx3DyFjq5rJmkhqqWAxo1lJqQ+glQzszZuGMK4eMtQp0SxBbQ0sApXlv1wS/V1Z1fkbYKDM74e3KRFZ3Q==" saltValue="qRyimB/txxHcr3UijU0Ttw==" spinCount="100000" sheet="1" objects="1" scenarios="1" autoFilter="0"/>
  <autoFilter ref="L15:L508"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524:Q524"/>
    <mergeCell ref="O15:R15"/>
    <mergeCell ref="Q511:X511"/>
    <mergeCell ref="O514:X516"/>
    <mergeCell ref="O518:X518"/>
    <mergeCell ref="O521:Q521"/>
    <mergeCell ref="O519:X519"/>
  </mergeCells>
  <phoneticPr fontId="38" type="noConversion"/>
  <conditionalFormatting sqref="M14 M291:M298 M317:M324 M361:M368 M405:M412">
    <cfRule type="cellIs" dxfId="1225" priority="38966" stopIfTrue="1" operator="notEqual">
      <formula>$N14</formula>
    </cfRule>
  </conditionalFormatting>
  <conditionalFormatting sqref="N14:O14 R14 W14 N291:O298 W291:X298 N317:O324 W317:X324 N361:O368 W361:X368 N405:O412 W405:X412 R16:R507">
    <cfRule type="expression" dxfId="1224" priority="38967" stopIfTrue="1">
      <formula>$C14=1</formula>
    </cfRule>
    <cfRule type="expression" dxfId="1223" priority="38968" stopIfTrue="1">
      <formula>OR($C14=0,$C14=2,$C14=3,$C14=4)</formula>
    </cfRule>
  </conditionalFormatting>
  <conditionalFormatting sqref="U14:V14 U16:V507">
    <cfRule type="expression" dxfId="1222" priority="38969" stopIfTrue="1">
      <formula>$C14=1</formula>
    </cfRule>
    <cfRule type="expression" dxfId="1221" priority="38970" stopIfTrue="1">
      <formula>OR($C14=0,$C14=2,$C14=3,$C14=4)</formula>
    </cfRule>
    <cfRule type="expression" dxfId="1220" priority="38971" stopIfTrue="1">
      <formula>AND(TIPOORCAMENTO="Licitado",$C14&lt;&gt;"L",$C14&lt;&gt;-1)</formula>
    </cfRule>
  </conditionalFormatting>
  <conditionalFormatting sqref="P14:Q14 S14:T14 Y14 AG14:AH14 Y291:Y298 AG291:AH298 T291:T298 Y317:Y324 AG317:AH324 T317:T324 Y361:Y368 AG361:AH368 T361:T368 Y405:Y412 AG405:AH412 T405:T412 P16:Q507 S16:S507">
    <cfRule type="expression" dxfId="1219" priority="38972" stopIfTrue="1">
      <formula>$C14=1</formula>
    </cfRule>
    <cfRule type="expression" dxfId="1218" priority="38973" stopIfTrue="1">
      <formula>OR($C14=0,$C14=2,$C14=3,$C14=4)</formula>
    </cfRule>
  </conditionalFormatting>
  <conditionalFormatting sqref="AJ7:AJ508">
    <cfRule type="expression" dxfId="1217" priority="38974" stopIfTrue="1">
      <formula>OR(ACOMPANHAMENTO&lt;&gt;"BM",TIPOORCAMENTO="Licitado")</formula>
    </cfRule>
    <cfRule type="expression" dxfId="1216" priority="38975" stopIfTrue="1">
      <formula>$C7=1</formula>
    </cfRule>
    <cfRule type="expression" dxfId="1215" priority="38976" stopIfTrue="1">
      <formula>OR(AND(ISNUMBER($C7),$C7=0),$C7=2,$C7=3,$C7=4)</formula>
    </cfRule>
  </conditionalFormatting>
  <conditionalFormatting sqref="AL7:AL508">
    <cfRule type="expression" dxfId="1214" priority="38977" stopIfTrue="1">
      <formula>TIPOORCAMENTO="PROPOSTO"</formula>
    </cfRule>
    <cfRule type="expression" dxfId="1213" priority="38978" stopIfTrue="1">
      <formula>$C7=1</formula>
    </cfRule>
    <cfRule type="expression" dxfId="1212" priority="38979" stopIfTrue="1">
      <formula>OR(AND(ISNUMBER($C7),$C7=0),$C7=2,$C7=3,$C7=4)</formula>
    </cfRule>
  </conditionalFormatting>
  <conditionalFormatting sqref="O8:P8">
    <cfRule type="expression" dxfId="1211" priority="38983" stopIfTrue="1">
      <formula>ISERROR(INDIRECT($F$9))</formula>
    </cfRule>
  </conditionalFormatting>
  <conditionalFormatting sqref="S7:V8">
    <cfRule type="expression" dxfId="1210" priority="38984" stopIfTrue="1">
      <formula>TIPOORCAMENTO="Proposto"</formula>
    </cfRule>
  </conditionalFormatting>
  <conditionalFormatting sqref="S9:X9">
    <cfRule type="expression" dxfId="1209" priority="38931" stopIfTrue="1">
      <formula>TIPOORCAMENTO="Proposto"</formula>
    </cfRule>
  </conditionalFormatting>
  <conditionalFormatting sqref="AM7:AN508">
    <cfRule type="expression" dxfId="1208" priority="38980" stopIfTrue="1">
      <formula>TIPOORCAMENTO="PROPOSTO"</formula>
    </cfRule>
    <cfRule type="expression" dxfId="1207" priority="38981" stopIfTrue="1">
      <formula>$C7=1</formula>
    </cfRule>
    <cfRule type="expression" dxfId="1206" priority="38982" stopIfTrue="1">
      <formula>OR(AND(ISNUMBER($C7),$C7=0),$C7=2,$C7=3,$C7=4)</formula>
    </cfRule>
  </conditionalFormatting>
  <conditionalFormatting sqref="R14 R16:R507">
    <cfRule type="beginsWith" dxfId="1205" priority="26276" operator="beginsWith" text="(">
      <formula>LEFT(R14,LEN("("))="("</formula>
    </cfRule>
  </conditionalFormatting>
  <conditionalFormatting sqref="X14">
    <cfRule type="expression" dxfId="1204" priority="24556" stopIfTrue="1">
      <formula>$C14=1</formula>
    </cfRule>
    <cfRule type="expression" dxfId="1203" priority="24557" stopIfTrue="1">
      <formula>OR($C14=0,$C14=2,$C14=3,$C14=4)</formula>
    </cfRule>
  </conditionalFormatting>
  <conditionalFormatting sqref="AC11">
    <cfRule type="cellIs" dxfId="1202" priority="15391" operator="equal">
      <formula>"OK"</formula>
    </cfRule>
  </conditionalFormatting>
  <conditionalFormatting sqref="M16 M24:M29 M18:M19">
    <cfRule type="cellIs" dxfId="1201" priority="693" stopIfTrue="1" operator="notEqual">
      <formula>$N16</formula>
    </cfRule>
  </conditionalFormatting>
  <conditionalFormatting sqref="N16:O16 W16 W24:W29 N24:O29 W18:W19 N18:O19">
    <cfRule type="expression" dxfId="1200" priority="694" stopIfTrue="1">
      <formula>$C16=1</formula>
    </cfRule>
    <cfRule type="expression" dxfId="1199" priority="695" stopIfTrue="1">
      <formula>OR($C16=0,$C16=2,$C16=3,$C16=4)</formula>
    </cfRule>
  </conditionalFormatting>
  <conditionalFormatting sqref="Y16 AG16:AH16 T16 T24:T29 AG24:AH29 Y24:Y29 T18:T19 AG18:AH19 Y18:Y19">
    <cfRule type="expression" dxfId="1198" priority="699" stopIfTrue="1">
      <formula>$C16=1</formula>
    </cfRule>
    <cfRule type="expression" dxfId="1197" priority="700" stopIfTrue="1">
      <formula>OR($C16=0,$C16=2,$C16=3,$C16=4)</formula>
    </cfRule>
  </conditionalFormatting>
  <conditionalFormatting sqref="X16 X24:X29 X18:X19">
    <cfRule type="expression" dxfId="1196" priority="690" stopIfTrue="1">
      <formula>$C16=1</formula>
    </cfRule>
    <cfRule type="expression" dxfId="1195" priority="691" stopIfTrue="1">
      <formula>OR($C16=0,$C16=2,$C16=3,$C16=4)</formula>
    </cfRule>
  </conditionalFormatting>
  <conditionalFormatting sqref="M30:M38">
    <cfRule type="cellIs" dxfId="1194" priority="682" stopIfTrue="1" operator="notEqual">
      <formula>$N30</formula>
    </cfRule>
  </conditionalFormatting>
  <conditionalFormatting sqref="N30:O38 W30:W38">
    <cfRule type="expression" dxfId="1193" priority="683" stopIfTrue="1">
      <formula>$C30=1</formula>
    </cfRule>
    <cfRule type="expression" dxfId="1192" priority="684" stopIfTrue="1">
      <formula>OR($C30=0,$C30=2,$C30=3,$C30=4)</formula>
    </cfRule>
  </conditionalFormatting>
  <conditionalFormatting sqref="Y30:Y38 AG30:AH38 T30:T38">
    <cfRule type="expression" dxfId="1191" priority="688" stopIfTrue="1">
      <formula>$C30=1</formula>
    </cfRule>
    <cfRule type="expression" dxfId="1190" priority="689" stopIfTrue="1">
      <formula>OR($C30=0,$C30=2,$C30=3,$C30=4)</formula>
    </cfRule>
  </conditionalFormatting>
  <conditionalFormatting sqref="X30:X38">
    <cfRule type="expression" dxfId="1189" priority="679" stopIfTrue="1">
      <formula>$C30=1</formula>
    </cfRule>
    <cfRule type="expression" dxfId="1188" priority="680" stopIfTrue="1">
      <formula>OR($C30=0,$C30=2,$C30=3,$C30=4)</formula>
    </cfRule>
  </conditionalFormatting>
  <conditionalFormatting sqref="M39:M47">
    <cfRule type="cellIs" dxfId="1187" priority="671" stopIfTrue="1" operator="notEqual">
      <formula>$N39</formula>
    </cfRule>
  </conditionalFormatting>
  <conditionalFormatting sqref="N39:O47 W39:W47">
    <cfRule type="expression" dxfId="1186" priority="672" stopIfTrue="1">
      <formula>$C39=1</formula>
    </cfRule>
    <cfRule type="expression" dxfId="1185" priority="673" stopIfTrue="1">
      <formula>OR($C39=0,$C39=2,$C39=3,$C39=4)</formula>
    </cfRule>
  </conditionalFormatting>
  <conditionalFormatting sqref="Y39:Y47 AG39:AH47 T39:T47">
    <cfRule type="expression" dxfId="1184" priority="677" stopIfTrue="1">
      <formula>$C39=1</formula>
    </cfRule>
    <cfRule type="expression" dxfId="1183" priority="678" stopIfTrue="1">
      <formula>OR($C39=0,$C39=2,$C39=3,$C39=4)</formula>
    </cfRule>
  </conditionalFormatting>
  <conditionalFormatting sqref="X39:X47">
    <cfRule type="expression" dxfId="1182" priority="668" stopIfTrue="1">
      <formula>$C39=1</formula>
    </cfRule>
    <cfRule type="expression" dxfId="1181" priority="669" stopIfTrue="1">
      <formula>OR($C39=0,$C39=2,$C39=3,$C39=4)</formula>
    </cfRule>
  </conditionalFormatting>
  <conditionalFormatting sqref="M48:M56">
    <cfRule type="cellIs" dxfId="1180" priority="660" stopIfTrue="1" operator="notEqual">
      <formula>$N48</formula>
    </cfRule>
  </conditionalFormatting>
  <conditionalFormatting sqref="N48:O56 W48:W56">
    <cfRule type="expression" dxfId="1179" priority="661" stopIfTrue="1">
      <formula>$C48=1</formula>
    </cfRule>
    <cfRule type="expression" dxfId="1178" priority="662" stopIfTrue="1">
      <formula>OR($C48=0,$C48=2,$C48=3,$C48=4)</formula>
    </cfRule>
  </conditionalFormatting>
  <conditionalFormatting sqref="Y48:Y56 AG48:AH56 T48:T56">
    <cfRule type="expression" dxfId="1177" priority="666" stopIfTrue="1">
      <formula>$C48=1</formula>
    </cfRule>
    <cfRule type="expression" dxfId="1176" priority="667" stopIfTrue="1">
      <formula>OR($C48=0,$C48=2,$C48=3,$C48=4)</formula>
    </cfRule>
  </conditionalFormatting>
  <conditionalFormatting sqref="X48:X56">
    <cfRule type="expression" dxfId="1175" priority="657" stopIfTrue="1">
      <formula>$C48=1</formula>
    </cfRule>
    <cfRule type="expression" dxfId="1174" priority="658" stopIfTrue="1">
      <formula>OR($C48=0,$C48=2,$C48=3,$C48=4)</formula>
    </cfRule>
  </conditionalFormatting>
  <conditionalFormatting sqref="M57:M65">
    <cfRule type="cellIs" dxfId="1173" priority="649" stopIfTrue="1" operator="notEqual">
      <formula>$N57</formula>
    </cfRule>
  </conditionalFormatting>
  <conditionalFormatting sqref="N57:O65 W57:W65">
    <cfRule type="expression" dxfId="1172" priority="650" stopIfTrue="1">
      <formula>$C57=1</formula>
    </cfRule>
    <cfRule type="expression" dxfId="1171" priority="651" stopIfTrue="1">
      <formula>OR($C57=0,$C57=2,$C57=3,$C57=4)</formula>
    </cfRule>
  </conditionalFormatting>
  <conditionalFormatting sqref="Y57:Y65 AG57:AH65 T57:T65">
    <cfRule type="expression" dxfId="1170" priority="655" stopIfTrue="1">
      <formula>$C57=1</formula>
    </cfRule>
    <cfRule type="expression" dxfId="1169" priority="656" stopIfTrue="1">
      <formula>OR($C57=0,$C57=2,$C57=3,$C57=4)</formula>
    </cfRule>
  </conditionalFormatting>
  <conditionalFormatting sqref="X57:X65">
    <cfRule type="expression" dxfId="1168" priority="646" stopIfTrue="1">
      <formula>$C57=1</formula>
    </cfRule>
    <cfRule type="expression" dxfId="1167" priority="647" stopIfTrue="1">
      <formula>OR($C57=0,$C57=2,$C57=3,$C57=4)</formula>
    </cfRule>
  </conditionalFormatting>
  <conditionalFormatting sqref="M66:M74">
    <cfRule type="cellIs" dxfId="1166" priority="638" stopIfTrue="1" operator="notEqual">
      <formula>$N66</formula>
    </cfRule>
  </conditionalFormatting>
  <conditionalFormatting sqref="N66:O74 W66:W74">
    <cfRule type="expression" dxfId="1165" priority="639" stopIfTrue="1">
      <formula>$C66=1</formula>
    </cfRule>
    <cfRule type="expression" dxfId="1164" priority="640" stopIfTrue="1">
      <formula>OR($C66=0,$C66=2,$C66=3,$C66=4)</formula>
    </cfRule>
  </conditionalFormatting>
  <conditionalFormatting sqref="Y66:Y74 AG66:AH74 T66:T74">
    <cfRule type="expression" dxfId="1163" priority="644" stopIfTrue="1">
      <formula>$C66=1</formula>
    </cfRule>
    <cfRule type="expression" dxfId="1162" priority="645" stopIfTrue="1">
      <formula>OR($C66=0,$C66=2,$C66=3,$C66=4)</formula>
    </cfRule>
  </conditionalFormatting>
  <conditionalFormatting sqref="X66:X74">
    <cfRule type="expression" dxfId="1161" priority="635" stopIfTrue="1">
      <formula>$C66=1</formula>
    </cfRule>
    <cfRule type="expression" dxfId="1160" priority="636" stopIfTrue="1">
      <formula>OR($C66=0,$C66=2,$C66=3,$C66=4)</formula>
    </cfRule>
  </conditionalFormatting>
  <conditionalFormatting sqref="M75:M83">
    <cfRule type="cellIs" dxfId="1159" priority="627" stopIfTrue="1" operator="notEqual">
      <formula>$N75</formula>
    </cfRule>
  </conditionalFormatting>
  <conditionalFormatting sqref="N75:O83 W75:W83">
    <cfRule type="expression" dxfId="1158" priority="628" stopIfTrue="1">
      <formula>$C75=1</formula>
    </cfRule>
    <cfRule type="expression" dxfId="1157" priority="629" stopIfTrue="1">
      <formula>OR($C75=0,$C75=2,$C75=3,$C75=4)</formula>
    </cfRule>
  </conditionalFormatting>
  <conditionalFormatting sqref="T75:T83 Y75:Y83 AG75:AH83">
    <cfRule type="expression" dxfId="1156" priority="633" stopIfTrue="1">
      <formula>$C75=1</formula>
    </cfRule>
    <cfRule type="expression" dxfId="1155" priority="634" stopIfTrue="1">
      <formula>OR($C75=0,$C75=2,$C75=3,$C75=4)</formula>
    </cfRule>
  </conditionalFormatting>
  <conditionalFormatting sqref="X75:X83">
    <cfRule type="expression" dxfId="1154" priority="624" stopIfTrue="1">
      <formula>$C75=1</formula>
    </cfRule>
    <cfRule type="expression" dxfId="1153" priority="625" stopIfTrue="1">
      <formula>OR($C75=0,$C75=2,$C75=3,$C75=4)</formula>
    </cfRule>
  </conditionalFormatting>
  <conditionalFormatting sqref="M84:M92">
    <cfRule type="cellIs" dxfId="1152" priority="616" stopIfTrue="1" operator="notEqual">
      <formula>$N84</formula>
    </cfRule>
  </conditionalFormatting>
  <conditionalFormatting sqref="N84:O92 W84:W92">
    <cfRule type="expression" dxfId="1151" priority="617" stopIfTrue="1">
      <formula>$C84=1</formula>
    </cfRule>
    <cfRule type="expression" dxfId="1150" priority="618" stopIfTrue="1">
      <formula>OR($C84=0,$C84=2,$C84=3,$C84=4)</formula>
    </cfRule>
  </conditionalFormatting>
  <conditionalFormatting sqref="Y84:Y92 AG84:AH92 T84:T92">
    <cfRule type="expression" dxfId="1149" priority="622" stopIfTrue="1">
      <formula>$C84=1</formula>
    </cfRule>
    <cfRule type="expression" dxfId="1148" priority="623" stopIfTrue="1">
      <formula>OR($C84=0,$C84=2,$C84=3,$C84=4)</formula>
    </cfRule>
  </conditionalFormatting>
  <conditionalFormatting sqref="X84:X92">
    <cfRule type="expression" dxfId="1147" priority="613" stopIfTrue="1">
      <formula>$C84=1</formula>
    </cfRule>
    <cfRule type="expression" dxfId="1146" priority="614" stopIfTrue="1">
      <formula>OR($C84=0,$C84=2,$C84=3,$C84=4)</formula>
    </cfRule>
  </conditionalFormatting>
  <conditionalFormatting sqref="M93:M101">
    <cfRule type="cellIs" dxfId="1145" priority="605" stopIfTrue="1" operator="notEqual">
      <formula>$N93</formula>
    </cfRule>
  </conditionalFormatting>
  <conditionalFormatting sqref="N93:O101 W93:W101">
    <cfRule type="expression" dxfId="1144" priority="606" stopIfTrue="1">
      <formula>$C93=1</formula>
    </cfRule>
    <cfRule type="expression" dxfId="1143" priority="607" stopIfTrue="1">
      <formula>OR($C93=0,$C93=2,$C93=3,$C93=4)</formula>
    </cfRule>
  </conditionalFormatting>
  <conditionalFormatting sqref="Y93:Y101 AG93:AH101 T93:T101">
    <cfRule type="expression" dxfId="1142" priority="611" stopIfTrue="1">
      <formula>$C93=1</formula>
    </cfRule>
    <cfRule type="expression" dxfId="1141" priority="612" stopIfTrue="1">
      <formula>OR($C93=0,$C93=2,$C93=3,$C93=4)</formula>
    </cfRule>
  </conditionalFormatting>
  <conditionalFormatting sqref="X93:X101">
    <cfRule type="expression" dxfId="1140" priority="602" stopIfTrue="1">
      <formula>$C93=1</formula>
    </cfRule>
    <cfRule type="expression" dxfId="1139" priority="603" stopIfTrue="1">
      <formula>OR($C93=0,$C93=2,$C93=3,$C93=4)</formula>
    </cfRule>
  </conditionalFormatting>
  <conditionalFormatting sqref="M102:M110">
    <cfRule type="cellIs" dxfId="1138" priority="594" stopIfTrue="1" operator="notEqual">
      <formula>$N102</formula>
    </cfRule>
  </conditionalFormatting>
  <conditionalFormatting sqref="N102:O110 W102:W110">
    <cfRule type="expression" dxfId="1137" priority="595" stopIfTrue="1">
      <formula>$C102=1</formula>
    </cfRule>
    <cfRule type="expression" dxfId="1136" priority="596" stopIfTrue="1">
      <formula>OR($C102=0,$C102=2,$C102=3,$C102=4)</formula>
    </cfRule>
  </conditionalFormatting>
  <conditionalFormatting sqref="Y102:Y110 AG102:AH110 T102:T110">
    <cfRule type="expression" dxfId="1135" priority="600" stopIfTrue="1">
      <formula>$C102=1</formula>
    </cfRule>
    <cfRule type="expression" dxfId="1134" priority="601" stopIfTrue="1">
      <formula>OR($C102=0,$C102=2,$C102=3,$C102=4)</formula>
    </cfRule>
  </conditionalFormatting>
  <conditionalFormatting sqref="X102:X110">
    <cfRule type="expression" dxfId="1133" priority="591" stopIfTrue="1">
      <formula>$C102=1</formula>
    </cfRule>
    <cfRule type="expression" dxfId="1132" priority="592" stopIfTrue="1">
      <formula>OR($C102=0,$C102=2,$C102=3,$C102=4)</formula>
    </cfRule>
  </conditionalFormatting>
  <conditionalFormatting sqref="M111:M119">
    <cfRule type="cellIs" dxfId="1131" priority="583" stopIfTrue="1" operator="notEqual">
      <formula>$N111</formula>
    </cfRule>
  </conditionalFormatting>
  <conditionalFormatting sqref="N111:O119 W111:W119">
    <cfRule type="expression" dxfId="1130" priority="584" stopIfTrue="1">
      <formula>$C111=1</formula>
    </cfRule>
    <cfRule type="expression" dxfId="1129" priority="585" stopIfTrue="1">
      <formula>OR($C111=0,$C111=2,$C111=3,$C111=4)</formula>
    </cfRule>
  </conditionalFormatting>
  <conditionalFormatting sqref="Y111:Y119 AG111:AH119 T111:T119">
    <cfRule type="expression" dxfId="1128" priority="589" stopIfTrue="1">
      <formula>$C111=1</formula>
    </cfRule>
    <cfRule type="expression" dxfId="1127" priority="590" stopIfTrue="1">
      <formula>OR($C111=0,$C111=2,$C111=3,$C111=4)</formula>
    </cfRule>
  </conditionalFormatting>
  <conditionalFormatting sqref="X111:X119">
    <cfRule type="expression" dxfId="1126" priority="580" stopIfTrue="1">
      <formula>$C111=1</formula>
    </cfRule>
    <cfRule type="expression" dxfId="1125" priority="581" stopIfTrue="1">
      <formula>OR($C111=0,$C111=2,$C111=3,$C111=4)</formula>
    </cfRule>
  </conditionalFormatting>
  <conditionalFormatting sqref="M120:M128">
    <cfRule type="cellIs" dxfId="1124" priority="572" stopIfTrue="1" operator="notEqual">
      <formula>$N120</formula>
    </cfRule>
  </conditionalFormatting>
  <conditionalFormatting sqref="N120:O128 W120:W128">
    <cfRule type="expression" dxfId="1123" priority="573" stopIfTrue="1">
      <formula>$C120=1</formula>
    </cfRule>
    <cfRule type="expression" dxfId="1122" priority="574" stopIfTrue="1">
      <formula>OR($C120=0,$C120=2,$C120=3,$C120=4)</formula>
    </cfRule>
  </conditionalFormatting>
  <conditionalFormatting sqref="Y120:Y128 AG120:AH128 T120:T128">
    <cfRule type="expression" dxfId="1121" priority="578" stopIfTrue="1">
      <formula>$C120=1</formula>
    </cfRule>
    <cfRule type="expression" dxfId="1120" priority="579" stopIfTrue="1">
      <formula>OR($C120=0,$C120=2,$C120=3,$C120=4)</formula>
    </cfRule>
  </conditionalFormatting>
  <conditionalFormatting sqref="X120:X128">
    <cfRule type="expression" dxfId="1119" priority="569" stopIfTrue="1">
      <formula>$C120=1</formula>
    </cfRule>
    <cfRule type="expression" dxfId="1118" priority="570" stopIfTrue="1">
      <formula>OR($C120=0,$C120=2,$C120=3,$C120=4)</formula>
    </cfRule>
  </conditionalFormatting>
  <conditionalFormatting sqref="M129:M137">
    <cfRule type="cellIs" dxfId="1117" priority="561" stopIfTrue="1" operator="notEqual">
      <formula>$N129</formula>
    </cfRule>
  </conditionalFormatting>
  <conditionalFormatting sqref="N129:O137 W129:W137">
    <cfRule type="expression" dxfId="1116" priority="562" stopIfTrue="1">
      <formula>$C129=1</formula>
    </cfRule>
    <cfRule type="expression" dxfId="1115" priority="563" stopIfTrue="1">
      <formula>OR($C129=0,$C129=2,$C129=3,$C129=4)</formula>
    </cfRule>
  </conditionalFormatting>
  <conditionalFormatting sqref="Y129:Y137 AG129:AH137 T129:T137">
    <cfRule type="expression" dxfId="1114" priority="567" stopIfTrue="1">
      <formula>$C129=1</formula>
    </cfRule>
    <cfRule type="expression" dxfId="1113" priority="568" stopIfTrue="1">
      <formula>OR($C129=0,$C129=2,$C129=3,$C129=4)</formula>
    </cfRule>
  </conditionalFormatting>
  <conditionalFormatting sqref="X129:X137">
    <cfRule type="expression" dxfId="1112" priority="558" stopIfTrue="1">
      <formula>$C129=1</formula>
    </cfRule>
    <cfRule type="expression" dxfId="1111" priority="559" stopIfTrue="1">
      <formula>OR($C129=0,$C129=2,$C129=3,$C129=4)</formula>
    </cfRule>
  </conditionalFormatting>
  <conditionalFormatting sqref="M138:M146">
    <cfRule type="cellIs" dxfId="1110" priority="550" stopIfTrue="1" operator="notEqual">
      <formula>$N138</formula>
    </cfRule>
  </conditionalFormatting>
  <conditionalFormatting sqref="N138:O146 W138:W146">
    <cfRule type="expression" dxfId="1109" priority="551" stopIfTrue="1">
      <formula>$C138=1</formula>
    </cfRule>
    <cfRule type="expression" dxfId="1108" priority="552" stopIfTrue="1">
      <formula>OR($C138=0,$C138=2,$C138=3,$C138=4)</formula>
    </cfRule>
  </conditionalFormatting>
  <conditionalFormatting sqref="Y138:Y146 AG138:AH146 T138:T146">
    <cfRule type="expression" dxfId="1107" priority="556" stopIfTrue="1">
      <formula>$C138=1</formula>
    </cfRule>
    <cfRule type="expression" dxfId="1106" priority="557" stopIfTrue="1">
      <formula>OR($C138=0,$C138=2,$C138=3,$C138=4)</formula>
    </cfRule>
  </conditionalFormatting>
  <conditionalFormatting sqref="X138:X146">
    <cfRule type="expression" dxfId="1105" priority="547" stopIfTrue="1">
      <formula>$C138=1</formula>
    </cfRule>
    <cfRule type="expression" dxfId="1104" priority="548" stopIfTrue="1">
      <formula>OR($C138=0,$C138=2,$C138=3,$C138=4)</formula>
    </cfRule>
  </conditionalFormatting>
  <conditionalFormatting sqref="M147:M155">
    <cfRule type="cellIs" dxfId="1103" priority="539" stopIfTrue="1" operator="notEqual">
      <formula>$N147</formula>
    </cfRule>
  </conditionalFormatting>
  <conditionalFormatting sqref="N147:O155 W147:W155">
    <cfRule type="expression" dxfId="1102" priority="540" stopIfTrue="1">
      <formula>$C147=1</formula>
    </cfRule>
    <cfRule type="expression" dxfId="1101" priority="541" stopIfTrue="1">
      <formula>OR($C147=0,$C147=2,$C147=3,$C147=4)</formula>
    </cfRule>
  </conditionalFormatting>
  <conditionalFormatting sqref="Y147:Y155 AG147:AH155 T147:T155">
    <cfRule type="expression" dxfId="1100" priority="545" stopIfTrue="1">
      <formula>$C147=1</formula>
    </cfRule>
    <cfRule type="expression" dxfId="1099" priority="546" stopIfTrue="1">
      <formula>OR($C147=0,$C147=2,$C147=3,$C147=4)</formula>
    </cfRule>
  </conditionalFormatting>
  <conditionalFormatting sqref="X147:X155">
    <cfRule type="expression" dxfId="1098" priority="536" stopIfTrue="1">
      <formula>$C147=1</formula>
    </cfRule>
    <cfRule type="expression" dxfId="1097" priority="537" stopIfTrue="1">
      <formula>OR($C147=0,$C147=2,$C147=3,$C147=4)</formula>
    </cfRule>
  </conditionalFormatting>
  <conditionalFormatting sqref="M156:M164">
    <cfRule type="cellIs" dxfId="1096" priority="528" stopIfTrue="1" operator="notEqual">
      <formula>$N156</formula>
    </cfRule>
  </conditionalFormatting>
  <conditionalFormatting sqref="N156:O164 W156:W164">
    <cfRule type="expression" dxfId="1095" priority="529" stopIfTrue="1">
      <formula>$C156=1</formula>
    </cfRule>
    <cfRule type="expression" dxfId="1094" priority="530" stopIfTrue="1">
      <formula>OR($C156=0,$C156=2,$C156=3,$C156=4)</formula>
    </cfRule>
  </conditionalFormatting>
  <conditionalFormatting sqref="Y156:Y164 AG156:AH164 T156:T164">
    <cfRule type="expression" dxfId="1093" priority="534" stopIfTrue="1">
      <formula>$C156=1</formula>
    </cfRule>
    <cfRule type="expression" dxfId="1092" priority="535" stopIfTrue="1">
      <formula>OR($C156=0,$C156=2,$C156=3,$C156=4)</formula>
    </cfRule>
  </conditionalFormatting>
  <conditionalFormatting sqref="X156:X164">
    <cfRule type="expression" dxfId="1091" priority="525" stopIfTrue="1">
      <formula>$C156=1</formula>
    </cfRule>
    <cfRule type="expression" dxfId="1090" priority="526" stopIfTrue="1">
      <formula>OR($C156=0,$C156=2,$C156=3,$C156=4)</formula>
    </cfRule>
  </conditionalFormatting>
  <conditionalFormatting sqref="M165:M173">
    <cfRule type="cellIs" dxfId="1089" priority="517" stopIfTrue="1" operator="notEqual">
      <formula>$N165</formula>
    </cfRule>
  </conditionalFormatting>
  <conditionalFormatting sqref="N165:O173 W165:W173">
    <cfRule type="expression" dxfId="1088" priority="518" stopIfTrue="1">
      <formula>$C165=1</formula>
    </cfRule>
    <cfRule type="expression" dxfId="1087" priority="519" stopIfTrue="1">
      <formula>OR($C165=0,$C165=2,$C165=3,$C165=4)</formula>
    </cfRule>
  </conditionalFormatting>
  <conditionalFormatting sqref="Y165:Y173 AG165:AH173 T165:T173">
    <cfRule type="expression" dxfId="1086" priority="523" stopIfTrue="1">
      <formula>$C165=1</formula>
    </cfRule>
    <cfRule type="expression" dxfId="1085" priority="524" stopIfTrue="1">
      <formula>OR($C165=0,$C165=2,$C165=3,$C165=4)</formula>
    </cfRule>
  </conditionalFormatting>
  <conditionalFormatting sqref="X165:X173">
    <cfRule type="expression" dxfId="1084" priority="514" stopIfTrue="1">
      <formula>$C165=1</formula>
    </cfRule>
    <cfRule type="expression" dxfId="1083" priority="515" stopIfTrue="1">
      <formula>OR($C165=0,$C165=2,$C165=3,$C165=4)</formula>
    </cfRule>
  </conditionalFormatting>
  <conditionalFormatting sqref="M174:M182">
    <cfRule type="cellIs" dxfId="1082" priority="506" stopIfTrue="1" operator="notEqual">
      <formula>$N174</formula>
    </cfRule>
  </conditionalFormatting>
  <conditionalFormatting sqref="N174:O182 W174:W182">
    <cfRule type="expression" dxfId="1081" priority="507" stopIfTrue="1">
      <formula>$C174=1</formula>
    </cfRule>
    <cfRule type="expression" dxfId="1080" priority="508" stopIfTrue="1">
      <formula>OR($C174=0,$C174=2,$C174=3,$C174=4)</formula>
    </cfRule>
  </conditionalFormatting>
  <conditionalFormatting sqref="T174:T182 Y174:Y182 AG174:AH182">
    <cfRule type="expression" dxfId="1079" priority="512" stopIfTrue="1">
      <formula>$C174=1</formula>
    </cfRule>
    <cfRule type="expression" dxfId="1078" priority="513" stopIfTrue="1">
      <formula>OR($C174=0,$C174=2,$C174=3,$C174=4)</formula>
    </cfRule>
  </conditionalFormatting>
  <conditionalFormatting sqref="X174:X182">
    <cfRule type="expression" dxfId="1077" priority="503" stopIfTrue="1">
      <formula>$C174=1</formula>
    </cfRule>
    <cfRule type="expression" dxfId="1076" priority="504" stopIfTrue="1">
      <formula>OR($C174=0,$C174=2,$C174=3,$C174=4)</formula>
    </cfRule>
  </conditionalFormatting>
  <conditionalFormatting sqref="M183:M191">
    <cfRule type="cellIs" dxfId="1075" priority="495" stopIfTrue="1" operator="notEqual">
      <formula>$N183</formula>
    </cfRule>
  </conditionalFormatting>
  <conditionalFormatting sqref="N183:O191 W183:W191">
    <cfRule type="expression" dxfId="1074" priority="496" stopIfTrue="1">
      <formula>$C183=1</formula>
    </cfRule>
    <cfRule type="expression" dxfId="1073" priority="497" stopIfTrue="1">
      <formula>OR($C183=0,$C183=2,$C183=3,$C183=4)</formula>
    </cfRule>
  </conditionalFormatting>
  <conditionalFormatting sqref="Y183:Y191 AG183:AH191 T183:T191">
    <cfRule type="expression" dxfId="1072" priority="501" stopIfTrue="1">
      <formula>$C183=1</formula>
    </cfRule>
    <cfRule type="expression" dxfId="1071" priority="502" stopIfTrue="1">
      <formula>OR($C183=0,$C183=2,$C183=3,$C183=4)</formula>
    </cfRule>
  </conditionalFormatting>
  <conditionalFormatting sqref="X183:X191">
    <cfRule type="expression" dxfId="1070" priority="492" stopIfTrue="1">
      <formula>$C183=1</formula>
    </cfRule>
    <cfRule type="expression" dxfId="1069" priority="493" stopIfTrue="1">
      <formula>OR($C183=0,$C183=2,$C183=3,$C183=4)</formula>
    </cfRule>
  </conditionalFormatting>
  <conditionalFormatting sqref="M192:M200">
    <cfRule type="cellIs" dxfId="1068" priority="484" stopIfTrue="1" operator="notEqual">
      <formula>$N192</formula>
    </cfRule>
  </conditionalFormatting>
  <conditionalFormatting sqref="N192:O200 W192:W200">
    <cfRule type="expression" dxfId="1067" priority="485" stopIfTrue="1">
      <formula>$C192=1</formula>
    </cfRule>
    <cfRule type="expression" dxfId="1066" priority="486" stopIfTrue="1">
      <formula>OR($C192=0,$C192=2,$C192=3,$C192=4)</formula>
    </cfRule>
  </conditionalFormatting>
  <conditionalFormatting sqref="Y192:Y200 AG192:AH200 T192:T200">
    <cfRule type="expression" dxfId="1065" priority="490" stopIfTrue="1">
      <formula>$C192=1</formula>
    </cfRule>
    <cfRule type="expression" dxfId="1064" priority="491" stopIfTrue="1">
      <formula>OR($C192=0,$C192=2,$C192=3,$C192=4)</formula>
    </cfRule>
  </conditionalFormatting>
  <conditionalFormatting sqref="X192:X200">
    <cfRule type="expression" dxfId="1063" priority="481" stopIfTrue="1">
      <formula>$C192=1</formula>
    </cfRule>
    <cfRule type="expression" dxfId="1062" priority="482" stopIfTrue="1">
      <formula>OR($C192=0,$C192=2,$C192=3,$C192=4)</formula>
    </cfRule>
  </conditionalFormatting>
  <conditionalFormatting sqref="M201:M209">
    <cfRule type="cellIs" dxfId="1061" priority="473" stopIfTrue="1" operator="notEqual">
      <formula>$N201</formula>
    </cfRule>
  </conditionalFormatting>
  <conditionalFormatting sqref="N201:O209 W201:W209">
    <cfRule type="expression" dxfId="1060" priority="474" stopIfTrue="1">
      <formula>$C201=1</formula>
    </cfRule>
    <cfRule type="expression" dxfId="1059" priority="475" stopIfTrue="1">
      <formula>OR($C201=0,$C201=2,$C201=3,$C201=4)</formula>
    </cfRule>
  </conditionalFormatting>
  <conditionalFormatting sqref="Y201:Y209 AG201:AH209 T201:T209">
    <cfRule type="expression" dxfId="1058" priority="479" stopIfTrue="1">
      <formula>$C201=1</formula>
    </cfRule>
    <cfRule type="expression" dxfId="1057" priority="480" stopIfTrue="1">
      <formula>OR($C201=0,$C201=2,$C201=3,$C201=4)</formula>
    </cfRule>
  </conditionalFormatting>
  <conditionalFormatting sqref="X201:X209">
    <cfRule type="expression" dxfId="1056" priority="470" stopIfTrue="1">
      <formula>$C201=1</formula>
    </cfRule>
    <cfRule type="expression" dxfId="1055" priority="471" stopIfTrue="1">
      <formula>OR($C201=0,$C201=2,$C201=3,$C201=4)</formula>
    </cfRule>
  </conditionalFormatting>
  <conditionalFormatting sqref="M210:M218">
    <cfRule type="cellIs" dxfId="1054" priority="462" stopIfTrue="1" operator="notEqual">
      <formula>$N210</formula>
    </cfRule>
  </conditionalFormatting>
  <conditionalFormatting sqref="N210:O218 W210:W218">
    <cfRule type="expression" dxfId="1053" priority="463" stopIfTrue="1">
      <formula>$C210=1</formula>
    </cfRule>
    <cfRule type="expression" dxfId="1052" priority="464" stopIfTrue="1">
      <formula>OR($C210=0,$C210=2,$C210=3,$C210=4)</formula>
    </cfRule>
  </conditionalFormatting>
  <conditionalFormatting sqref="Y210:Y218 AG210:AH218 T210:T218">
    <cfRule type="expression" dxfId="1051" priority="468" stopIfTrue="1">
      <formula>$C210=1</formula>
    </cfRule>
    <cfRule type="expression" dxfId="1050" priority="469" stopIfTrue="1">
      <formula>OR($C210=0,$C210=2,$C210=3,$C210=4)</formula>
    </cfRule>
  </conditionalFormatting>
  <conditionalFormatting sqref="X210:X218">
    <cfRule type="expression" dxfId="1049" priority="459" stopIfTrue="1">
      <formula>$C210=1</formula>
    </cfRule>
    <cfRule type="expression" dxfId="1048" priority="460" stopIfTrue="1">
      <formula>OR($C210=0,$C210=2,$C210=3,$C210=4)</formula>
    </cfRule>
  </conditionalFormatting>
  <conditionalFormatting sqref="M219:M227">
    <cfRule type="cellIs" dxfId="1047" priority="451" stopIfTrue="1" operator="notEqual">
      <formula>$N219</formula>
    </cfRule>
  </conditionalFormatting>
  <conditionalFormatting sqref="N219:O227 W219:W227">
    <cfRule type="expression" dxfId="1046" priority="452" stopIfTrue="1">
      <formula>$C219=1</formula>
    </cfRule>
    <cfRule type="expression" dxfId="1045" priority="453" stopIfTrue="1">
      <formula>OR($C219=0,$C219=2,$C219=3,$C219=4)</formula>
    </cfRule>
  </conditionalFormatting>
  <conditionalFormatting sqref="Y219:Y227 AG219:AH227 T219:T227">
    <cfRule type="expression" dxfId="1044" priority="457" stopIfTrue="1">
      <formula>$C219=1</formula>
    </cfRule>
    <cfRule type="expression" dxfId="1043" priority="458" stopIfTrue="1">
      <formula>OR($C219=0,$C219=2,$C219=3,$C219=4)</formula>
    </cfRule>
  </conditionalFormatting>
  <conditionalFormatting sqref="X219:X227">
    <cfRule type="expression" dxfId="1042" priority="448" stopIfTrue="1">
      <formula>$C219=1</formula>
    </cfRule>
    <cfRule type="expression" dxfId="1041" priority="449" stopIfTrue="1">
      <formula>OR($C219=0,$C219=2,$C219=3,$C219=4)</formula>
    </cfRule>
  </conditionalFormatting>
  <conditionalFormatting sqref="M228:M236">
    <cfRule type="cellIs" dxfId="1040" priority="440" stopIfTrue="1" operator="notEqual">
      <formula>$N228</formula>
    </cfRule>
  </conditionalFormatting>
  <conditionalFormatting sqref="N228:O236 W228:W236">
    <cfRule type="expression" dxfId="1039" priority="441" stopIfTrue="1">
      <formula>$C228=1</formula>
    </cfRule>
    <cfRule type="expression" dxfId="1038" priority="442" stopIfTrue="1">
      <formula>OR($C228=0,$C228=2,$C228=3,$C228=4)</formula>
    </cfRule>
  </conditionalFormatting>
  <conditionalFormatting sqref="Y228:Y236 AG228:AH236 T228:T236">
    <cfRule type="expression" dxfId="1037" priority="446" stopIfTrue="1">
      <formula>$C228=1</formula>
    </cfRule>
    <cfRule type="expression" dxfId="1036" priority="447" stopIfTrue="1">
      <formula>OR($C228=0,$C228=2,$C228=3,$C228=4)</formula>
    </cfRule>
  </conditionalFormatting>
  <conditionalFormatting sqref="X228:X236">
    <cfRule type="expression" dxfId="1035" priority="437" stopIfTrue="1">
      <formula>$C228=1</formula>
    </cfRule>
    <cfRule type="expression" dxfId="1034" priority="438" stopIfTrue="1">
      <formula>OR($C228=0,$C228=2,$C228=3,$C228=4)</formula>
    </cfRule>
  </conditionalFormatting>
  <conditionalFormatting sqref="M237:M245">
    <cfRule type="cellIs" dxfId="1033" priority="429" stopIfTrue="1" operator="notEqual">
      <formula>$N237</formula>
    </cfRule>
  </conditionalFormatting>
  <conditionalFormatting sqref="N237:O245 W237:W245">
    <cfRule type="expression" dxfId="1032" priority="430" stopIfTrue="1">
      <formula>$C237=1</formula>
    </cfRule>
    <cfRule type="expression" dxfId="1031" priority="431" stopIfTrue="1">
      <formula>OR($C237=0,$C237=2,$C237=3,$C237=4)</formula>
    </cfRule>
  </conditionalFormatting>
  <conditionalFormatting sqref="Y237:Y245 AG237:AH245 T237:T245">
    <cfRule type="expression" dxfId="1030" priority="435" stopIfTrue="1">
      <formula>$C237=1</formula>
    </cfRule>
    <cfRule type="expression" dxfId="1029" priority="436" stopIfTrue="1">
      <formula>OR($C237=0,$C237=2,$C237=3,$C237=4)</formula>
    </cfRule>
  </conditionalFormatting>
  <conditionalFormatting sqref="X237:X245">
    <cfRule type="expression" dxfId="1028" priority="426" stopIfTrue="1">
      <formula>$C237=1</formula>
    </cfRule>
    <cfRule type="expression" dxfId="1027" priority="427" stopIfTrue="1">
      <formula>OR($C237=0,$C237=2,$C237=3,$C237=4)</formula>
    </cfRule>
  </conditionalFormatting>
  <conditionalFormatting sqref="M246:M254">
    <cfRule type="cellIs" dxfId="1026" priority="418" stopIfTrue="1" operator="notEqual">
      <formula>$N246</formula>
    </cfRule>
  </conditionalFormatting>
  <conditionalFormatting sqref="N246:O254 W246:W254">
    <cfRule type="expression" dxfId="1025" priority="419" stopIfTrue="1">
      <formula>$C246=1</formula>
    </cfRule>
    <cfRule type="expression" dxfId="1024" priority="420" stopIfTrue="1">
      <formula>OR($C246=0,$C246=2,$C246=3,$C246=4)</formula>
    </cfRule>
  </conditionalFormatting>
  <conditionalFormatting sqref="Y246:Y254 AG246:AH254 T246:T254">
    <cfRule type="expression" dxfId="1023" priority="424" stopIfTrue="1">
      <formula>$C246=1</formula>
    </cfRule>
    <cfRule type="expression" dxfId="1022" priority="425" stopIfTrue="1">
      <formula>OR($C246=0,$C246=2,$C246=3,$C246=4)</formula>
    </cfRule>
  </conditionalFormatting>
  <conditionalFormatting sqref="X246:X254">
    <cfRule type="expression" dxfId="1021" priority="415" stopIfTrue="1">
      <formula>$C246=1</formula>
    </cfRule>
    <cfRule type="expression" dxfId="1020" priority="416" stopIfTrue="1">
      <formula>OR($C246=0,$C246=2,$C246=3,$C246=4)</formula>
    </cfRule>
  </conditionalFormatting>
  <conditionalFormatting sqref="M255:M263">
    <cfRule type="cellIs" dxfId="1019" priority="407" stopIfTrue="1" operator="notEqual">
      <formula>$N255</formula>
    </cfRule>
  </conditionalFormatting>
  <conditionalFormatting sqref="N255:O263 W255:W263">
    <cfRule type="expression" dxfId="1018" priority="408" stopIfTrue="1">
      <formula>$C255=1</formula>
    </cfRule>
    <cfRule type="expression" dxfId="1017" priority="409" stopIfTrue="1">
      <formula>OR($C255=0,$C255=2,$C255=3,$C255=4)</formula>
    </cfRule>
  </conditionalFormatting>
  <conditionalFormatting sqref="Y255:Y263 AG255:AH263 T255:T263">
    <cfRule type="expression" dxfId="1016" priority="413" stopIfTrue="1">
      <formula>$C255=1</formula>
    </cfRule>
    <cfRule type="expression" dxfId="1015" priority="414" stopIfTrue="1">
      <formula>OR($C255=0,$C255=2,$C255=3,$C255=4)</formula>
    </cfRule>
  </conditionalFormatting>
  <conditionalFormatting sqref="X255:X263">
    <cfRule type="expression" dxfId="1014" priority="404" stopIfTrue="1">
      <formula>$C255=1</formula>
    </cfRule>
    <cfRule type="expression" dxfId="1013" priority="405" stopIfTrue="1">
      <formula>OR($C255=0,$C255=2,$C255=3,$C255=4)</formula>
    </cfRule>
  </conditionalFormatting>
  <conditionalFormatting sqref="M264:M272">
    <cfRule type="cellIs" dxfId="1012" priority="396" stopIfTrue="1" operator="notEqual">
      <formula>$N264</formula>
    </cfRule>
  </conditionalFormatting>
  <conditionalFormatting sqref="N264:O272 W264:W272">
    <cfRule type="expression" dxfId="1011" priority="397" stopIfTrue="1">
      <formula>$C264=1</formula>
    </cfRule>
    <cfRule type="expression" dxfId="1010" priority="398" stopIfTrue="1">
      <formula>OR($C264=0,$C264=2,$C264=3,$C264=4)</formula>
    </cfRule>
  </conditionalFormatting>
  <conditionalFormatting sqref="Y264:Y272 AG264:AH272 T264:T272">
    <cfRule type="expression" dxfId="1009" priority="402" stopIfTrue="1">
      <formula>$C264=1</formula>
    </cfRule>
    <cfRule type="expression" dxfId="1008" priority="403" stopIfTrue="1">
      <formula>OR($C264=0,$C264=2,$C264=3,$C264=4)</formula>
    </cfRule>
  </conditionalFormatting>
  <conditionalFormatting sqref="X264:X272">
    <cfRule type="expression" dxfId="1007" priority="393" stopIfTrue="1">
      <formula>$C264=1</formula>
    </cfRule>
    <cfRule type="expression" dxfId="1006" priority="394" stopIfTrue="1">
      <formula>OR($C264=0,$C264=2,$C264=3,$C264=4)</formula>
    </cfRule>
  </conditionalFormatting>
  <conditionalFormatting sqref="M273:M281">
    <cfRule type="cellIs" dxfId="1005" priority="385" stopIfTrue="1" operator="notEqual">
      <formula>$N273</formula>
    </cfRule>
  </conditionalFormatting>
  <conditionalFormatting sqref="N273:O281 W273:W281">
    <cfRule type="expression" dxfId="1004" priority="386" stopIfTrue="1">
      <formula>$C273=1</formula>
    </cfRule>
    <cfRule type="expression" dxfId="1003" priority="387" stopIfTrue="1">
      <formula>OR($C273=0,$C273=2,$C273=3,$C273=4)</formula>
    </cfRule>
  </conditionalFormatting>
  <conditionalFormatting sqref="Y273:Y281 AG273:AH281 T273:T281">
    <cfRule type="expression" dxfId="1002" priority="391" stopIfTrue="1">
      <formula>$C273=1</formula>
    </cfRule>
    <cfRule type="expression" dxfId="1001" priority="392" stopIfTrue="1">
      <formula>OR($C273=0,$C273=2,$C273=3,$C273=4)</formula>
    </cfRule>
  </conditionalFormatting>
  <conditionalFormatting sqref="X273:X281">
    <cfRule type="expression" dxfId="1000" priority="382" stopIfTrue="1">
      <formula>$C273=1</formula>
    </cfRule>
    <cfRule type="expression" dxfId="999" priority="383" stopIfTrue="1">
      <formula>OR($C273=0,$C273=2,$C273=3,$C273=4)</formula>
    </cfRule>
  </conditionalFormatting>
  <conditionalFormatting sqref="M282:M290">
    <cfRule type="cellIs" dxfId="998" priority="374" stopIfTrue="1" operator="notEqual">
      <formula>$N282</formula>
    </cfRule>
  </conditionalFormatting>
  <conditionalFormatting sqref="N282:O290 W282:W290">
    <cfRule type="expression" dxfId="997" priority="375" stopIfTrue="1">
      <formula>$C282=1</formula>
    </cfRule>
    <cfRule type="expression" dxfId="996" priority="376" stopIfTrue="1">
      <formula>OR($C282=0,$C282=2,$C282=3,$C282=4)</formula>
    </cfRule>
  </conditionalFormatting>
  <conditionalFormatting sqref="Y282:Y290 AG282:AH290 T282:T290">
    <cfRule type="expression" dxfId="995" priority="380" stopIfTrue="1">
      <formula>$C282=1</formula>
    </cfRule>
    <cfRule type="expression" dxfId="994" priority="381" stopIfTrue="1">
      <formula>OR($C282=0,$C282=2,$C282=3,$C282=4)</formula>
    </cfRule>
  </conditionalFormatting>
  <conditionalFormatting sqref="X282:X290">
    <cfRule type="expression" dxfId="993" priority="371" stopIfTrue="1">
      <formula>$C282=1</formula>
    </cfRule>
    <cfRule type="expression" dxfId="992" priority="372" stopIfTrue="1">
      <formula>OR($C282=0,$C282=2,$C282=3,$C282=4)</formula>
    </cfRule>
  </conditionalFormatting>
  <conditionalFormatting sqref="M299:M307">
    <cfRule type="cellIs" dxfId="991" priority="352" stopIfTrue="1" operator="notEqual">
      <formula>$N299</formula>
    </cfRule>
  </conditionalFormatting>
  <conditionalFormatting sqref="N299:O307 W299:W307">
    <cfRule type="expression" dxfId="990" priority="353" stopIfTrue="1">
      <formula>$C299=1</formula>
    </cfRule>
    <cfRule type="expression" dxfId="989" priority="354" stopIfTrue="1">
      <formula>OR($C299=0,$C299=2,$C299=3,$C299=4)</formula>
    </cfRule>
  </conditionalFormatting>
  <conditionalFormatting sqref="Y299:Y307 AG299:AH307 T299:T307">
    <cfRule type="expression" dxfId="988" priority="358" stopIfTrue="1">
      <formula>$C299=1</formula>
    </cfRule>
    <cfRule type="expression" dxfId="987" priority="359" stopIfTrue="1">
      <formula>OR($C299=0,$C299=2,$C299=3,$C299=4)</formula>
    </cfRule>
  </conditionalFormatting>
  <conditionalFormatting sqref="X299:X307">
    <cfRule type="expression" dxfId="986" priority="349" stopIfTrue="1">
      <formula>$C299=1</formula>
    </cfRule>
    <cfRule type="expression" dxfId="985" priority="350" stopIfTrue="1">
      <formula>OR($C299=0,$C299=2,$C299=3,$C299=4)</formula>
    </cfRule>
  </conditionalFormatting>
  <conditionalFormatting sqref="M308:M316">
    <cfRule type="cellIs" dxfId="984" priority="341" stopIfTrue="1" operator="notEqual">
      <formula>$N308</formula>
    </cfRule>
  </conditionalFormatting>
  <conditionalFormatting sqref="N308:O316 W308:W316">
    <cfRule type="expression" dxfId="983" priority="342" stopIfTrue="1">
      <formula>$C308=1</formula>
    </cfRule>
    <cfRule type="expression" dxfId="982" priority="343" stopIfTrue="1">
      <formula>OR($C308=0,$C308=2,$C308=3,$C308=4)</formula>
    </cfRule>
  </conditionalFormatting>
  <conditionalFormatting sqref="Y308:Y316 AG308:AH316 T308:T316">
    <cfRule type="expression" dxfId="981" priority="347" stopIfTrue="1">
      <formula>$C308=1</formula>
    </cfRule>
    <cfRule type="expression" dxfId="980" priority="348" stopIfTrue="1">
      <formula>OR($C308=0,$C308=2,$C308=3,$C308=4)</formula>
    </cfRule>
  </conditionalFormatting>
  <conditionalFormatting sqref="X308:X316">
    <cfRule type="expression" dxfId="979" priority="338" stopIfTrue="1">
      <formula>$C308=1</formula>
    </cfRule>
    <cfRule type="expression" dxfId="978" priority="339" stopIfTrue="1">
      <formula>OR($C308=0,$C308=2,$C308=3,$C308=4)</formula>
    </cfRule>
  </conditionalFormatting>
  <conditionalFormatting sqref="M325:M333">
    <cfRule type="cellIs" dxfId="977" priority="319" stopIfTrue="1" operator="notEqual">
      <formula>$N325</formula>
    </cfRule>
  </conditionalFormatting>
  <conditionalFormatting sqref="N325:O333 W325:W333">
    <cfRule type="expression" dxfId="976" priority="320" stopIfTrue="1">
      <formula>$C325=1</formula>
    </cfRule>
    <cfRule type="expression" dxfId="975" priority="321" stopIfTrue="1">
      <formula>OR($C325=0,$C325=2,$C325=3,$C325=4)</formula>
    </cfRule>
  </conditionalFormatting>
  <conditionalFormatting sqref="Y325:Y333 AG325:AH333 T325:T333">
    <cfRule type="expression" dxfId="974" priority="325" stopIfTrue="1">
      <formula>$C325=1</formula>
    </cfRule>
    <cfRule type="expression" dxfId="973" priority="326" stopIfTrue="1">
      <formula>OR($C325=0,$C325=2,$C325=3,$C325=4)</formula>
    </cfRule>
  </conditionalFormatting>
  <conditionalFormatting sqref="X325:X333">
    <cfRule type="expression" dxfId="972" priority="316" stopIfTrue="1">
      <formula>$C325=1</formula>
    </cfRule>
    <cfRule type="expression" dxfId="971" priority="317" stopIfTrue="1">
      <formula>OR($C325=0,$C325=2,$C325=3,$C325=4)</formula>
    </cfRule>
  </conditionalFormatting>
  <conditionalFormatting sqref="M334:M342">
    <cfRule type="cellIs" dxfId="970" priority="308" stopIfTrue="1" operator="notEqual">
      <formula>$N334</formula>
    </cfRule>
  </conditionalFormatting>
  <conditionalFormatting sqref="N334:O342 W334:W342">
    <cfRule type="expression" dxfId="969" priority="309" stopIfTrue="1">
      <formula>$C334=1</formula>
    </cfRule>
    <cfRule type="expression" dxfId="968" priority="310" stopIfTrue="1">
      <formula>OR($C334=0,$C334=2,$C334=3,$C334=4)</formula>
    </cfRule>
  </conditionalFormatting>
  <conditionalFormatting sqref="Y334:Y342 AG334:AH342 T334:T342">
    <cfRule type="expression" dxfId="967" priority="314" stopIfTrue="1">
      <formula>$C334=1</formula>
    </cfRule>
    <cfRule type="expression" dxfId="966" priority="315" stopIfTrue="1">
      <formula>OR($C334=0,$C334=2,$C334=3,$C334=4)</formula>
    </cfRule>
  </conditionalFormatting>
  <conditionalFormatting sqref="X334:X342">
    <cfRule type="expression" dxfId="965" priority="305" stopIfTrue="1">
      <formula>$C334=1</formula>
    </cfRule>
    <cfRule type="expression" dxfId="964" priority="306" stopIfTrue="1">
      <formula>OR($C334=0,$C334=2,$C334=3,$C334=4)</formula>
    </cfRule>
  </conditionalFormatting>
  <conditionalFormatting sqref="M343:M351">
    <cfRule type="cellIs" dxfId="963" priority="297" stopIfTrue="1" operator="notEqual">
      <formula>$N343</formula>
    </cfRule>
  </conditionalFormatting>
  <conditionalFormatting sqref="N343:O351 W343:W351">
    <cfRule type="expression" dxfId="962" priority="298" stopIfTrue="1">
      <formula>$C343=1</formula>
    </cfRule>
    <cfRule type="expression" dxfId="961" priority="299" stopIfTrue="1">
      <formula>OR($C343=0,$C343=2,$C343=3,$C343=4)</formula>
    </cfRule>
  </conditionalFormatting>
  <conditionalFormatting sqref="T343:T351 Y343:Y351 AG343:AH351">
    <cfRule type="expression" dxfId="960" priority="303" stopIfTrue="1">
      <formula>$C343=1</formula>
    </cfRule>
    <cfRule type="expression" dxfId="959" priority="304" stopIfTrue="1">
      <formula>OR($C343=0,$C343=2,$C343=3,$C343=4)</formula>
    </cfRule>
  </conditionalFormatting>
  <conditionalFormatting sqref="X343:X351">
    <cfRule type="expression" dxfId="958" priority="294" stopIfTrue="1">
      <formula>$C343=1</formula>
    </cfRule>
    <cfRule type="expression" dxfId="957" priority="295" stopIfTrue="1">
      <formula>OR($C343=0,$C343=2,$C343=3,$C343=4)</formula>
    </cfRule>
  </conditionalFormatting>
  <conditionalFormatting sqref="M352:M360">
    <cfRule type="cellIs" dxfId="956" priority="286" stopIfTrue="1" operator="notEqual">
      <formula>$N352</formula>
    </cfRule>
  </conditionalFormatting>
  <conditionalFormatting sqref="N352:O360 W352:W360">
    <cfRule type="expression" dxfId="955" priority="287" stopIfTrue="1">
      <formula>$C352=1</formula>
    </cfRule>
    <cfRule type="expression" dxfId="954" priority="288" stopIfTrue="1">
      <formula>OR($C352=0,$C352=2,$C352=3,$C352=4)</formula>
    </cfRule>
  </conditionalFormatting>
  <conditionalFormatting sqref="Y352:Y360 AG352:AH360 T352:T360">
    <cfRule type="expression" dxfId="953" priority="292" stopIfTrue="1">
      <formula>$C352=1</formula>
    </cfRule>
    <cfRule type="expression" dxfId="952" priority="293" stopIfTrue="1">
      <formula>OR($C352=0,$C352=2,$C352=3,$C352=4)</formula>
    </cfRule>
  </conditionalFormatting>
  <conditionalFormatting sqref="X352:X360">
    <cfRule type="expression" dxfId="951" priority="283" stopIfTrue="1">
      <formula>$C352=1</formula>
    </cfRule>
    <cfRule type="expression" dxfId="950" priority="284" stopIfTrue="1">
      <formula>OR($C352=0,$C352=2,$C352=3,$C352=4)</formula>
    </cfRule>
  </conditionalFormatting>
  <conditionalFormatting sqref="M369:M377">
    <cfRule type="cellIs" dxfId="949" priority="264" stopIfTrue="1" operator="notEqual">
      <formula>$N369</formula>
    </cfRule>
  </conditionalFormatting>
  <conditionalFormatting sqref="N369:O377 W369:W377">
    <cfRule type="expression" dxfId="948" priority="265" stopIfTrue="1">
      <formula>$C369=1</formula>
    </cfRule>
    <cfRule type="expression" dxfId="947" priority="266" stopIfTrue="1">
      <formula>OR($C369=0,$C369=2,$C369=3,$C369=4)</formula>
    </cfRule>
  </conditionalFormatting>
  <conditionalFormatting sqref="Y369:Y377 AG369:AH377 T369:T377">
    <cfRule type="expression" dxfId="946" priority="270" stopIfTrue="1">
      <formula>$C369=1</formula>
    </cfRule>
    <cfRule type="expression" dxfId="945" priority="271" stopIfTrue="1">
      <formula>OR($C369=0,$C369=2,$C369=3,$C369=4)</formula>
    </cfRule>
  </conditionalFormatting>
  <conditionalFormatting sqref="X369:X377">
    <cfRule type="expression" dxfId="944" priority="261" stopIfTrue="1">
      <formula>$C369=1</formula>
    </cfRule>
    <cfRule type="expression" dxfId="943" priority="262" stopIfTrue="1">
      <formula>OR($C369=0,$C369=2,$C369=3,$C369=4)</formula>
    </cfRule>
  </conditionalFormatting>
  <conditionalFormatting sqref="M378:M386">
    <cfRule type="cellIs" dxfId="942" priority="253" stopIfTrue="1" operator="notEqual">
      <formula>$N378</formula>
    </cfRule>
  </conditionalFormatting>
  <conditionalFormatting sqref="N378:O386 W378:W386">
    <cfRule type="expression" dxfId="941" priority="254" stopIfTrue="1">
      <formula>$C378=1</formula>
    </cfRule>
    <cfRule type="expression" dxfId="940" priority="255" stopIfTrue="1">
      <formula>OR($C378=0,$C378=2,$C378=3,$C378=4)</formula>
    </cfRule>
  </conditionalFormatting>
  <conditionalFormatting sqref="Y378:Y386 AG378:AH386 T378:T386">
    <cfRule type="expression" dxfId="939" priority="259" stopIfTrue="1">
      <formula>$C378=1</formula>
    </cfRule>
    <cfRule type="expression" dxfId="938" priority="260" stopIfTrue="1">
      <formula>OR($C378=0,$C378=2,$C378=3,$C378=4)</formula>
    </cfRule>
  </conditionalFormatting>
  <conditionalFormatting sqref="X378:X386">
    <cfRule type="expression" dxfId="937" priority="250" stopIfTrue="1">
      <formula>$C378=1</formula>
    </cfRule>
    <cfRule type="expression" dxfId="936" priority="251" stopIfTrue="1">
      <formula>OR($C378=0,$C378=2,$C378=3,$C378=4)</formula>
    </cfRule>
  </conditionalFormatting>
  <conditionalFormatting sqref="M387:M395">
    <cfRule type="cellIs" dxfId="935" priority="242" stopIfTrue="1" operator="notEqual">
      <formula>$N387</formula>
    </cfRule>
  </conditionalFormatting>
  <conditionalFormatting sqref="N387:O395 W387:W395">
    <cfRule type="expression" dxfId="934" priority="243" stopIfTrue="1">
      <formula>$C387=1</formula>
    </cfRule>
    <cfRule type="expression" dxfId="933" priority="244" stopIfTrue="1">
      <formula>OR($C387=0,$C387=2,$C387=3,$C387=4)</formula>
    </cfRule>
  </conditionalFormatting>
  <conditionalFormatting sqref="Y387:Y395 AG387:AH395 T387:T395">
    <cfRule type="expression" dxfId="932" priority="248" stopIfTrue="1">
      <formula>$C387=1</formula>
    </cfRule>
    <cfRule type="expression" dxfId="931" priority="249" stopIfTrue="1">
      <formula>OR($C387=0,$C387=2,$C387=3,$C387=4)</formula>
    </cfRule>
  </conditionalFormatting>
  <conditionalFormatting sqref="X387:X395">
    <cfRule type="expression" dxfId="930" priority="239" stopIfTrue="1">
      <formula>$C387=1</formula>
    </cfRule>
    <cfRule type="expression" dxfId="929" priority="240" stopIfTrue="1">
      <formula>OR($C387=0,$C387=2,$C387=3,$C387=4)</formula>
    </cfRule>
  </conditionalFormatting>
  <conditionalFormatting sqref="M396:M404">
    <cfRule type="cellIs" dxfId="928" priority="231" stopIfTrue="1" operator="notEqual">
      <formula>$N396</formula>
    </cfRule>
  </conditionalFormatting>
  <conditionalFormatting sqref="N396:O404 W396:W404">
    <cfRule type="expression" dxfId="927" priority="232" stopIfTrue="1">
      <formula>$C396=1</formula>
    </cfRule>
    <cfRule type="expression" dxfId="926" priority="233" stopIfTrue="1">
      <formula>OR($C396=0,$C396=2,$C396=3,$C396=4)</formula>
    </cfRule>
  </conditionalFormatting>
  <conditionalFormatting sqref="Y396:Y404 AG396:AH404 T396:T404">
    <cfRule type="expression" dxfId="925" priority="237" stopIfTrue="1">
      <formula>$C396=1</formula>
    </cfRule>
    <cfRule type="expression" dxfId="924" priority="238" stopIfTrue="1">
      <formula>OR($C396=0,$C396=2,$C396=3,$C396=4)</formula>
    </cfRule>
  </conditionalFormatting>
  <conditionalFormatting sqref="X396:X404">
    <cfRule type="expression" dxfId="923" priority="228" stopIfTrue="1">
      <formula>$C396=1</formula>
    </cfRule>
    <cfRule type="expression" dxfId="922" priority="229" stopIfTrue="1">
      <formula>OR($C396=0,$C396=2,$C396=3,$C396=4)</formula>
    </cfRule>
  </conditionalFormatting>
  <conditionalFormatting sqref="M413:M421">
    <cfRule type="cellIs" dxfId="921" priority="209" stopIfTrue="1" operator="notEqual">
      <formula>$N413</formula>
    </cfRule>
  </conditionalFormatting>
  <conditionalFormatting sqref="N413:O421 W413:W421">
    <cfRule type="expression" dxfId="920" priority="210" stopIfTrue="1">
      <formula>$C413=1</formula>
    </cfRule>
    <cfRule type="expression" dxfId="919" priority="211" stopIfTrue="1">
      <formula>OR($C413=0,$C413=2,$C413=3,$C413=4)</formula>
    </cfRule>
  </conditionalFormatting>
  <conditionalFormatting sqref="T413:T421 Y413:Y421 AG413:AH421">
    <cfRule type="expression" dxfId="918" priority="215" stopIfTrue="1">
      <formula>$C413=1</formula>
    </cfRule>
    <cfRule type="expression" dxfId="917" priority="216" stopIfTrue="1">
      <formula>OR($C413=0,$C413=2,$C413=3,$C413=4)</formula>
    </cfRule>
  </conditionalFormatting>
  <conditionalFormatting sqref="X413:X421">
    <cfRule type="expression" dxfId="916" priority="206" stopIfTrue="1">
      <formula>$C413=1</formula>
    </cfRule>
    <cfRule type="expression" dxfId="915" priority="207" stopIfTrue="1">
      <formula>OR($C413=0,$C413=2,$C413=3,$C413=4)</formula>
    </cfRule>
  </conditionalFormatting>
  <conditionalFormatting sqref="M422:M430">
    <cfRule type="cellIs" dxfId="914" priority="198" stopIfTrue="1" operator="notEqual">
      <formula>$N422</formula>
    </cfRule>
  </conditionalFormatting>
  <conditionalFormatting sqref="N422:O430 W422:W430">
    <cfRule type="expression" dxfId="913" priority="199" stopIfTrue="1">
      <formula>$C422=1</formula>
    </cfRule>
    <cfRule type="expression" dxfId="912" priority="200" stopIfTrue="1">
      <formula>OR($C422=0,$C422=2,$C422=3,$C422=4)</formula>
    </cfRule>
  </conditionalFormatting>
  <conditionalFormatting sqref="T422:T430 Y422:Y430 AG422:AH430">
    <cfRule type="expression" dxfId="911" priority="204" stopIfTrue="1">
      <formula>$C422=1</formula>
    </cfRule>
    <cfRule type="expression" dxfId="910" priority="205" stopIfTrue="1">
      <formula>OR($C422=0,$C422=2,$C422=3,$C422=4)</formula>
    </cfRule>
  </conditionalFormatting>
  <conditionalFormatting sqref="X422:X430">
    <cfRule type="expression" dxfId="909" priority="195" stopIfTrue="1">
      <formula>$C422=1</formula>
    </cfRule>
    <cfRule type="expression" dxfId="908" priority="196" stopIfTrue="1">
      <formula>OR($C422=0,$C422=2,$C422=3,$C422=4)</formula>
    </cfRule>
  </conditionalFormatting>
  <conditionalFormatting sqref="M431:M435 M439 M441:M443">
    <cfRule type="cellIs" dxfId="907" priority="187" stopIfTrue="1" operator="notEqual">
      <formula>$N431</formula>
    </cfRule>
  </conditionalFormatting>
  <conditionalFormatting sqref="N431:O435 W431:W435 W439 N439:O439 N441:O443 W441:W443">
    <cfRule type="expression" dxfId="906" priority="188" stopIfTrue="1">
      <formula>$C431=1</formula>
    </cfRule>
    <cfRule type="expression" dxfId="905" priority="189" stopIfTrue="1">
      <formula>OR($C431=0,$C431=2,$C431=3,$C431=4)</formula>
    </cfRule>
  </conditionalFormatting>
  <conditionalFormatting sqref="Y431:Y435 AG431:AH435 T431:T435 T439 AG439:AH439 Y439 Y441:Y443 AG441:AH443 T441:T443">
    <cfRule type="expression" dxfId="904" priority="193" stopIfTrue="1">
      <formula>$C431=1</formula>
    </cfRule>
    <cfRule type="expression" dxfId="903" priority="194" stopIfTrue="1">
      <formula>OR($C431=0,$C431=2,$C431=3,$C431=4)</formula>
    </cfRule>
  </conditionalFormatting>
  <conditionalFormatting sqref="X431:X435 X439 X441:X443">
    <cfRule type="expression" dxfId="902" priority="184" stopIfTrue="1">
      <formula>$C431=1</formula>
    </cfRule>
    <cfRule type="expression" dxfId="901" priority="185" stopIfTrue="1">
      <formula>OR($C431=0,$C431=2,$C431=3,$C431=4)</formula>
    </cfRule>
  </conditionalFormatting>
  <conditionalFormatting sqref="M444:M452">
    <cfRule type="cellIs" dxfId="900" priority="176" stopIfTrue="1" operator="notEqual">
      <formula>$N444</formula>
    </cfRule>
  </conditionalFormatting>
  <conditionalFormatting sqref="N444:O452 W444:W452">
    <cfRule type="expression" dxfId="899" priority="177" stopIfTrue="1">
      <formula>$C444=1</formula>
    </cfRule>
    <cfRule type="expression" dxfId="898" priority="178" stopIfTrue="1">
      <formula>OR($C444=0,$C444=2,$C444=3,$C444=4)</formula>
    </cfRule>
  </conditionalFormatting>
  <conditionalFormatting sqref="T444:T452 Y444:Y452 AG444:AH452">
    <cfRule type="expression" dxfId="897" priority="182" stopIfTrue="1">
      <formula>$C444=1</formula>
    </cfRule>
    <cfRule type="expression" dxfId="896" priority="183" stopIfTrue="1">
      <formula>OR($C444=0,$C444=2,$C444=3,$C444=4)</formula>
    </cfRule>
  </conditionalFormatting>
  <conditionalFormatting sqref="X444:X452">
    <cfRule type="expression" dxfId="895" priority="173" stopIfTrue="1">
      <formula>$C444=1</formula>
    </cfRule>
    <cfRule type="expression" dxfId="894" priority="174" stopIfTrue="1">
      <formula>OR($C444=0,$C444=2,$C444=3,$C444=4)</formula>
    </cfRule>
  </conditionalFormatting>
  <conditionalFormatting sqref="M453:M461">
    <cfRule type="cellIs" dxfId="893" priority="165" stopIfTrue="1" operator="notEqual">
      <formula>$N453</formula>
    </cfRule>
  </conditionalFormatting>
  <conditionalFormatting sqref="N453:O461 W453:W461">
    <cfRule type="expression" dxfId="892" priority="166" stopIfTrue="1">
      <formula>$C453=1</formula>
    </cfRule>
    <cfRule type="expression" dxfId="891" priority="167" stopIfTrue="1">
      <formula>OR($C453=0,$C453=2,$C453=3,$C453=4)</formula>
    </cfRule>
  </conditionalFormatting>
  <conditionalFormatting sqref="Y453:Y461 AG453:AH461 T453:T461">
    <cfRule type="expression" dxfId="890" priority="171" stopIfTrue="1">
      <formula>$C453=1</formula>
    </cfRule>
    <cfRule type="expression" dxfId="889" priority="172" stopIfTrue="1">
      <formula>OR($C453=0,$C453=2,$C453=3,$C453=4)</formula>
    </cfRule>
  </conditionalFormatting>
  <conditionalFormatting sqref="X453:X461">
    <cfRule type="expression" dxfId="888" priority="162" stopIfTrue="1">
      <formula>$C453=1</formula>
    </cfRule>
    <cfRule type="expression" dxfId="887" priority="163" stopIfTrue="1">
      <formula>OR($C453=0,$C453=2,$C453=3,$C453=4)</formula>
    </cfRule>
  </conditionalFormatting>
  <conditionalFormatting sqref="M462:M470">
    <cfRule type="cellIs" dxfId="886" priority="154" stopIfTrue="1" operator="notEqual">
      <formula>$N462</formula>
    </cfRule>
  </conditionalFormatting>
  <conditionalFormatting sqref="N462:O470 W462:W470">
    <cfRule type="expression" dxfId="885" priority="155" stopIfTrue="1">
      <formula>$C462=1</formula>
    </cfRule>
    <cfRule type="expression" dxfId="884" priority="156" stopIfTrue="1">
      <formula>OR($C462=0,$C462=2,$C462=3,$C462=4)</formula>
    </cfRule>
  </conditionalFormatting>
  <conditionalFormatting sqref="Y462:Y470 AG462:AH470 T462:T470">
    <cfRule type="expression" dxfId="883" priority="160" stopIfTrue="1">
      <formula>$C462=1</formula>
    </cfRule>
    <cfRule type="expression" dxfId="882" priority="161" stopIfTrue="1">
      <formula>OR($C462=0,$C462=2,$C462=3,$C462=4)</formula>
    </cfRule>
  </conditionalFormatting>
  <conditionalFormatting sqref="X462:X470">
    <cfRule type="expression" dxfId="881" priority="151" stopIfTrue="1">
      <formula>$C462=1</formula>
    </cfRule>
    <cfRule type="expression" dxfId="880" priority="152" stopIfTrue="1">
      <formula>OR($C462=0,$C462=2,$C462=3,$C462=4)</formula>
    </cfRule>
  </conditionalFormatting>
  <conditionalFormatting sqref="M471:M479">
    <cfRule type="cellIs" dxfId="879" priority="143" stopIfTrue="1" operator="notEqual">
      <formula>$N471</formula>
    </cfRule>
  </conditionalFormatting>
  <conditionalFormatting sqref="N471:O479 W471:W479">
    <cfRule type="expression" dxfId="878" priority="144" stopIfTrue="1">
      <formula>$C471=1</formula>
    </cfRule>
    <cfRule type="expression" dxfId="877" priority="145" stopIfTrue="1">
      <formula>OR($C471=0,$C471=2,$C471=3,$C471=4)</formula>
    </cfRule>
  </conditionalFormatting>
  <conditionalFormatting sqref="Y471:Y479 AG471:AH479 T471:T479">
    <cfRule type="expression" dxfId="876" priority="149" stopIfTrue="1">
      <formula>$C471=1</formula>
    </cfRule>
    <cfRule type="expression" dxfId="875" priority="150" stopIfTrue="1">
      <formula>OR($C471=0,$C471=2,$C471=3,$C471=4)</formula>
    </cfRule>
  </conditionalFormatting>
  <conditionalFormatting sqref="X471:X479">
    <cfRule type="expression" dxfId="874" priority="140" stopIfTrue="1">
      <formula>$C471=1</formula>
    </cfRule>
    <cfRule type="expression" dxfId="873" priority="141" stopIfTrue="1">
      <formula>OR($C471=0,$C471=2,$C471=3,$C471=4)</formula>
    </cfRule>
  </conditionalFormatting>
  <conditionalFormatting sqref="M480:M488">
    <cfRule type="cellIs" dxfId="872" priority="132" stopIfTrue="1" operator="notEqual">
      <formula>$N480</formula>
    </cfRule>
  </conditionalFormatting>
  <conditionalFormatting sqref="N480:O488 W480:W488">
    <cfRule type="expression" dxfId="871" priority="133" stopIfTrue="1">
      <formula>$C480=1</formula>
    </cfRule>
    <cfRule type="expression" dxfId="870" priority="134" stopIfTrue="1">
      <formula>OR($C480=0,$C480=2,$C480=3,$C480=4)</formula>
    </cfRule>
  </conditionalFormatting>
  <conditionalFormatting sqref="Y480:Y488 AG480:AH488 T480:T488">
    <cfRule type="expression" dxfId="869" priority="138" stopIfTrue="1">
      <formula>$C480=1</formula>
    </cfRule>
    <cfRule type="expression" dxfId="868" priority="139" stopIfTrue="1">
      <formula>OR($C480=0,$C480=2,$C480=3,$C480=4)</formula>
    </cfRule>
  </conditionalFormatting>
  <conditionalFormatting sqref="X480:X488">
    <cfRule type="expression" dxfId="867" priority="129" stopIfTrue="1">
      <formula>$C480=1</formula>
    </cfRule>
    <cfRule type="expression" dxfId="866" priority="130" stopIfTrue="1">
      <formula>OR($C480=0,$C480=2,$C480=3,$C480=4)</formula>
    </cfRule>
  </conditionalFormatting>
  <conditionalFormatting sqref="M489:M496 M498">
    <cfRule type="cellIs" dxfId="865" priority="121" stopIfTrue="1" operator="notEqual">
      <formula>$N489</formula>
    </cfRule>
  </conditionalFormatting>
  <conditionalFormatting sqref="N489:O496 W489:W496 W498 N498:O498">
    <cfRule type="expression" dxfId="864" priority="122" stopIfTrue="1">
      <formula>$C489=1</formula>
    </cfRule>
    <cfRule type="expression" dxfId="863" priority="123" stopIfTrue="1">
      <formula>OR($C489=0,$C489=2,$C489=3,$C489=4)</formula>
    </cfRule>
  </conditionalFormatting>
  <conditionalFormatting sqref="Y489:Y496 AG489:AH496 T489:T496 T498 AG498:AH498 Y498">
    <cfRule type="expression" dxfId="862" priority="127" stopIfTrue="1">
      <formula>$C489=1</formula>
    </cfRule>
    <cfRule type="expression" dxfId="861" priority="128" stopIfTrue="1">
      <formula>OR($C489=0,$C489=2,$C489=3,$C489=4)</formula>
    </cfRule>
  </conditionalFormatting>
  <conditionalFormatting sqref="X489:X496 X498">
    <cfRule type="expression" dxfId="860" priority="118" stopIfTrue="1">
      <formula>$C489=1</formula>
    </cfRule>
    <cfRule type="expression" dxfId="859" priority="119" stopIfTrue="1">
      <formula>OR($C489=0,$C489=2,$C489=3,$C489=4)</formula>
    </cfRule>
  </conditionalFormatting>
  <conditionalFormatting sqref="M499:M501 M503:M504 M506:M507">
    <cfRule type="cellIs" dxfId="858" priority="110" stopIfTrue="1" operator="notEqual">
      <formula>$N499</formula>
    </cfRule>
  </conditionalFormatting>
  <conditionalFormatting sqref="N499:O501 W499:W501 W503:W504 N503:O504 N506:O507 W506:W507">
    <cfRule type="expression" dxfId="857" priority="111" stopIfTrue="1">
      <formula>$C499=1</formula>
    </cfRule>
    <cfRule type="expression" dxfId="856" priority="112" stopIfTrue="1">
      <formula>OR($C499=0,$C499=2,$C499=3,$C499=4)</formula>
    </cfRule>
  </conditionalFormatting>
  <conditionalFormatting sqref="Y499:Y501 AG499:AH501 T499:T501 T503:T504 AG503:AH504 Y503:Y504 Y506:Y507 AG506:AH507 T506:T507">
    <cfRule type="expression" dxfId="855" priority="116" stopIfTrue="1">
      <formula>$C499=1</formula>
    </cfRule>
    <cfRule type="expression" dxfId="854" priority="117" stopIfTrue="1">
      <formula>OR($C499=0,$C499=2,$C499=3,$C499=4)</formula>
    </cfRule>
  </conditionalFormatting>
  <conditionalFormatting sqref="X499:X501 X503:X504 X506:X507">
    <cfRule type="expression" dxfId="853" priority="107" stopIfTrue="1">
      <formula>$C499=1</formula>
    </cfRule>
    <cfRule type="expression" dxfId="852" priority="108" stopIfTrue="1">
      <formula>OR($C499=0,$C499=2,$C499=3,$C499=4)</formula>
    </cfRule>
  </conditionalFormatting>
  <conditionalFormatting sqref="M20:M23">
    <cfRule type="cellIs" dxfId="851" priority="86" stopIfTrue="1" operator="notEqual">
      <formula>$N20</formula>
    </cfRule>
  </conditionalFormatting>
  <conditionalFormatting sqref="N20:O23 W20:W23">
    <cfRule type="expression" dxfId="850" priority="87" stopIfTrue="1">
      <formula>$C20=1</formula>
    </cfRule>
    <cfRule type="expression" dxfId="849" priority="88" stopIfTrue="1">
      <formula>OR($C20=0,$C20=2,$C20=3,$C20=4)</formula>
    </cfRule>
  </conditionalFormatting>
  <conditionalFormatting sqref="T20:T23 Y20:Y23 AG20:AH23">
    <cfRule type="expression" dxfId="848" priority="92" stopIfTrue="1">
      <formula>$C20=1</formula>
    </cfRule>
    <cfRule type="expression" dxfId="847" priority="93" stopIfTrue="1">
      <formula>OR($C20=0,$C20=2,$C20=3,$C20=4)</formula>
    </cfRule>
  </conditionalFormatting>
  <conditionalFormatting sqref="X20:X23">
    <cfRule type="expression" dxfId="846" priority="83" stopIfTrue="1">
      <formula>$C20=1</formula>
    </cfRule>
    <cfRule type="expression" dxfId="845" priority="84" stopIfTrue="1">
      <formula>OR($C20=0,$C20=2,$C20=3,$C20=4)</formula>
    </cfRule>
  </conditionalFormatting>
  <conditionalFormatting sqref="M497">
    <cfRule type="cellIs" dxfId="844" priority="75" stopIfTrue="1" operator="notEqual">
      <formula>$N497</formula>
    </cfRule>
  </conditionalFormatting>
  <conditionalFormatting sqref="N497:O497 W497">
    <cfRule type="expression" dxfId="843" priority="76" stopIfTrue="1">
      <formula>$C497=1</formula>
    </cfRule>
    <cfRule type="expression" dxfId="842" priority="77" stopIfTrue="1">
      <formula>OR($C497=0,$C497=2,$C497=3,$C497=4)</formula>
    </cfRule>
  </conditionalFormatting>
  <conditionalFormatting sqref="T497 Y497 AG497:AH497">
    <cfRule type="expression" dxfId="841" priority="81" stopIfTrue="1">
      <formula>$C497=1</formula>
    </cfRule>
    <cfRule type="expression" dxfId="840" priority="82" stopIfTrue="1">
      <formula>OR($C497=0,$C497=2,$C497=3,$C497=4)</formula>
    </cfRule>
  </conditionalFormatting>
  <conditionalFormatting sqref="X497">
    <cfRule type="expression" dxfId="839" priority="72" stopIfTrue="1">
      <formula>$C497=1</formula>
    </cfRule>
    <cfRule type="expression" dxfId="838" priority="73" stopIfTrue="1">
      <formula>OR($C497=0,$C497=2,$C497=3,$C497=4)</formula>
    </cfRule>
  </conditionalFormatting>
  <conditionalFormatting sqref="M502">
    <cfRule type="cellIs" dxfId="837" priority="64" stopIfTrue="1" operator="notEqual">
      <formula>$N502</formula>
    </cfRule>
  </conditionalFormatting>
  <conditionalFormatting sqref="N502:O502 W502">
    <cfRule type="expression" dxfId="836" priority="65" stopIfTrue="1">
      <formula>$C502=1</formula>
    </cfRule>
    <cfRule type="expression" dxfId="835" priority="66" stopIfTrue="1">
      <formula>OR($C502=0,$C502=2,$C502=3,$C502=4)</formula>
    </cfRule>
  </conditionalFormatting>
  <conditionalFormatting sqref="T502 Y502 AG502:AH502">
    <cfRule type="expression" dxfId="834" priority="70" stopIfTrue="1">
      <formula>$C502=1</formula>
    </cfRule>
    <cfRule type="expression" dxfId="833" priority="71" stopIfTrue="1">
      <formula>OR($C502=0,$C502=2,$C502=3,$C502=4)</formula>
    </cfRule>
  </conditionalFormatting>
  <conditionalFormatting sqref="X502">
    <cfRule type="expression" dxfId="832" priority="61" stopIfTrue="1">
      <formula>$C502=1</formula>
    </cfRule>
    <cfRule type="expression" dxfId="831" priority="62" stopIfTrue="1">
      <formula>OR($C502=0,$C502=2,$C502=3,$C502=4)</formula>
    </cfRule>
  </conditionalFormatting>
  <conditionalFormatting sqref="M505">
    <cfRule type="cellIs" dxfId="830" priority="53" stopIfTrue="1" operator="notEqual">
      <formula>$N505</formula>
    </cfRule>
  </conditionalFormatting>
  <conditionalFormatting sqref="N505:O505 W505">
    <cfRule type="expression" dxfId="829" priority="54" stopIfTrue="1">
      <formula>$C505=1</formula>
    </cfRule>
    <cfRule type="expression" dxfId="828" priority="55" stopIfTrue="1">
      <formula>OR($C505=0,$C505=2,$C505=3,$C505=4)</formula>
    </cfRule>
  </conditionalFormatting>
  <conditionalFormatting sqref="T505 Y505 AG505:AH505">
    <cfRule type="expression" dxfId="827" priority="59" stopIfTrue="1">
      <formula>$C505=1</formula>
    </cfRule>
    <cfRule type="expression" dxfId="826" priority="60" stopIfTrue="1">
      <formula>OR($C505=0,$C505=2,$C505=3,$C505=4)</formula>
    </cfRule>
  </conditionalFormatting>
  <conditionalFormatting sqref="X505">
    <cfRule type="expression" dxfId="825" priority="50" stopIfTrue="1">
      <formula>$C505=1</formula>
    </cfRule>
    <cfRule type="expression" dxfId="824" priority="51" stopIfTrue="1">
      <formula>OR($C505=0,$C505=2,$C505=3,$C505=4)</formula>
    </cfRule>
  </conditionalFormatting>
  <conditionalFormatting sqref="M436 M438">
    <cfRule type="cellIs" dxfId="823" priority="42" stopIfTrue="1" operator="notEqual">
      <formula>$N436</formula>
    </cfRule>
  </conditionalFormatting>
  <conditionalFormatting sqref="N436:O436 W436 W438 N438:O438">
    <cfRule type="expression" dxfId="822" priority="43" stopIfTrue="1">
      <formula>$C436=1</formula>
    </cfRule>
    <cfRule type="expression" dxfId="821" priority="44" stopIfTrue="1">
      <formula>OR($C436=0,$C436=2,$C436=3,$C436=4)</formula>
    </cfRule>
  </conditionalFormatting>
  <conditionalFormatting sqref="T436 Y436 AG436:AH436 AG438:AH438 Y438 T438">
    <cfRule type="expression" dxfId="820" priority="48" stopIfTrue="1">
      <formula>$C436=1</formula>
    </cfRule>
    <cfRule type="expression" dxfId="819" priority="49" stopIfTrue="1">
      <formula>OR($C436=0,$C436=2,$C436=3,$C436=4)</formula>
    </cfRule>
  </conditionalFormatting>
  <conditionalFormatting sqref="X436 X438">
    <cfRule type="expression" dxfId="818" priority="39" stopIfTrue="1">
      <formula>$C436=1</formula>
    </cfRule>
    <cfRule type="expression" dxfId="817" priority="40" stopIfTrue="1">
      <formula>OR($C436=0,$C436=2,$C436=3,$C436=4)</formula>
    </cfRule>
  </conditionalFormatting>
  <conditionalFormatting sqref="M17">
    <cfRule type="cellIs" dxfId="816" priority="31" stopIfTrue="1" operator="notEqual">
      <formula>$N17</formula>
    </cfRule>
  </conditionalFormatting>
  <conditionalFormatting sqref="N17:O17 W17">
    <cfRule type="expression" dxfId="815" priority="32" stopIfTrue="1">
      <formula>$C17=1</formula>
    </cfRule>
    <cfRule type="expression" dxfId="814" priority="33" stopIfTrue="1">
      <formula>OR($C17=0,$C17=2,$C17=3,$C17=4)</formula>
    </cfRule>
  </conditionalFormatting>
  <conditionalFormatting sqref="T17 Y17 AG17:AH17">
    <cfRule type="expression" dxfId="813" priority="37" stopIfTrue="1">
      <formula>$C17=1</formula>
    </cfRule>
    <cfRule type="expression" dxfId="812" priority="38" stopIfTrue="1">
      <formula>OR($C17=0,$C17=2,$C17=3,$C17=4)</formula>
    </cfRule>
  </conditionalFormatting>
  <conditionalFormatting sqref="X17">
    <cfRule type="expression" dxfId="811" priority="28" stopIfTrue="1">
      <formula>$C17=1</formula>
    </cfRule>
    <cfRule type="expression" dxfId="810" priority="29" stopIfTrue="1">
      <formula>OR($C17=0,$C17=2,$C17=3,$C17=4)</formula>
    </cfRule>
  </conditionalFormatting>
  <conditionalFormatting sqref="M437">
    <cfRule type="cellIs" dxfId="809" priority="20" stopIfTrue="1" operator="notEqual">
      <formula>$N437</formula>
    </cfRule>
  </conditionalFormatting>
  <conditionalFormatting sqref="N437:O437 W437">
    <cfRule type="expression" dxfId="808" priority="21" stopIfTrue="1">
      <formula>$C437=1</formula>
    </cfRule>
    <cfRule type="expression" dxfId="807" priority="22" stopIfTrue="1">
      <formula>OR($C437=0,$C437=2,$C437=3,$C437=4)</formula>
    </cfRule>
  </conditionalFormatting>
  <conditionalFormatting sqref="T437 Y437 AG437:AH437">
    <cfRule type="expression" dxfId="806" priority="26" stopIfTrue="1">
      <formula>$C437=1</formula>
    </cfRule>
    <cfRule type="expression" dxfId="805" priority="27" stopIfTrue="1">
      <formula>OR($C437=0,$C437=2,$C437=3,$C437=4)</formula>
    </cfRule>
  </conditionalFormatting>
  <conditionalFormatting sqref="X437">
    <cfRule type="expression" dxfId="804" priority="17" stopIfTrue="1">
      <formula>$C437=1</formula>
    </cfRule>
    <cfRule type="expression" dxfId="803" priority="18" stopIfTrue="1">
      <formula>OR($C437=0,$C437=2,$C437=3,$C437=4)</formula>
    </cfRule>
  </conditionalFormatting>
  <conditionalFormatting sqref="M440">
    <cfRule type="cellIs" dxfId="802" priority="9" stopIfTrue="1" operator="notEqual">
      <formula>$N440</formula>
    </cfRule>
  </conditionalFormatting>
  <conditionalFormatting sqref="N440:O440 W440">
    <cfRule type="expression" dxfId="801" priority="10" stopIfTrue="1">
      <formula>$C440=1</formula>
    </cfRule>
    <cfRule type="expression" dxfId="800" priority="11" stopIfTrue="1">
      <formula>OR($C440=0,$C440=2,$C440=3,$C440=4)</formula>
    </cfRule>
  </conditionalFormatting>
  <conditionalFormatting sqref="T440 Y440 AG440:AH440">
    <cfRule type="expression" dxfId="799" priority="15" stopIfTrue="1">
      <formula>$C440=1</formula>
    </cfRule>
    <cfRule type="expression" dxfId="798" priority="16" stopIfTrue="1">
      <formula>OR($C440=0,$C440=2,$C440=3,$C440=4)</formula>
    </cfRule>
  </conditionalFormatting>
  <conditionalFormatting sqref="X440">
    <cfRule type="expression" dxfId="797" priority="6" stopIfTrue="1">
      <formula>$C440=1</formula>
    </cfRule>
    <cfRule type="expression" dxfId="796" priority="7" stopIfTrue="1">
      <formula>OR($C440=0,$C440=2,$C440=3,$C440=4)</formula>
    </cfRule>
  </conditionalFormatting>
  <dataValidations xWindow="340" yWindow="857" count="8">
    <dataValidation type="decimal" operator="greaterThan" allowBlank="1" showErrorMessage="1" error="Apenas números decimais maiores que zero." sqref="U14 AL14 AJ14 AJ16:AJ507 U16:U507 AL16:AL507"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507"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507" xr:uid="{00000000-0002-0000-0400-000006000000}"/>
    <dataValidation type="list" errorStyle="information" allowBlank="1" showInputMessage="1" prompt="Selecione uma sigla de unidade na lista suspensa." sqref="S14 S16:S507"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507"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507"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507"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507"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45" firstPageNumber="0" fitToHeight="0" orientation="portrait" r:id="rId1"/>
  <headerFooter alignWithMargins="0">
    <oddHeader>&amp;C&amp;14I</oddHeader>
    <oddFooter>&amp;LPMv3.13&amp;R&amp;P / &amp;N</oddFooter>
  </headerFooter>
  <rowBreaks count="2" manualBreakCount="2">
    <brk id="187" min="14" max="24" man="1"/>
    <brk id="383" min="14" max="24" man="1"/>
  </row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33"/>
  <sheetViews>
    <sheetView showGridLines="0" view="pageBreakPreview" zoomScale="60" zoomScaleNormal="100" workbookViewId="0">
      <pane xSplit="4" ySplit="14" topLeftCell="E15" activePane="bottomRight" state="frozen"/>
      <selection activeCell="E24" sqref="E24"/>
      <selection pane="topRight" activeCell="E24" sqref="E24"/>
      <selection pane="bottomLeft" activeCell="E24" sqref="E24"/>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10" t="e" cm="1">
        <f t="array" aca="1" ref="E1" ca="1">IF(AUTOEVENTO="Manual",ROUND(SUMPRODUCT((CÁLCULO!$M$15:$M$508=EVENTOS!$C1)*(OFFSET(CÁLCULO!$AI$15:$AI$508,0,E$13))),2),0)</f>
        <v>#REF!</v>
      </c>
      <c r="F1" s="183" t="e">
        <f ca="1">IF(AUTOEVENTO="Manual",ROUND(SUMPRODUCT((CÁLCULO!$M$15:$M$508=EVENTOS!$C1)*(OFFSET(CÁLCULO!$AI$15,0,1):OFFSET(CÁLCULO!$BB$508,0,-1))),2),0)</f>
        <v>#REF!</v>
      </c>
      <c r="G1" s="611" t="e">
        <f ca="1">IF(AND(D1=0,F1&gt;0),"NOME",
 IF(AND(D1&lt;&gt;0,$F$14&gt;0,F1=0),"VALOR",
 IF(AND(Import.TipoArredondamento="TransfereGOV",$A1="F",LEN(D1)&gt;100),"Nome &gt;100","")))</f>
        <v>#REF!</v>
      </c>
      <c r="H1" s="610" t="e" cm="1">
        <f t="array" aca="1" ref="H1" ca="1">IF(AUTOEVENTO="Manual",ROUND(SUMPRODUCT((CÁLCULO!$M$15:$M$508=EVENTOS!$C1)*(OFFSET(CÁLCULO!$AI$15:$AI$508,0,H$13))),2),0)</f>
        <v>#REF!</v>
      </c>
      <c r="I1" s="610" t="e" cm="1">
        <f t="array" aca="1" ref="I1" ca="1">IF(AUTOEVENTO="Manual",ROUND(SUMPRODUCT((CÁLCULO!$M$15:$M$508=EVENTOS!$C1)*(OFFSET(CÁLCULO!$AI$15:$AI$508,0,I$13))),2),0)</f>
        <v>#REF!</v>
      </c>
      <c r="J1" s="610" t="e" cm="1">
        <f t="array" aca="1" ref="J1" ca="1">IF(AUTOEVENTO="Manual",ROUND(SUMPRODUCT((CÁLCULO!$M$15:$M$508=EVENTOS!$C1)*(OFFSET(CÁLCULO!$AI$15:$AI$508,0,J$13))),2),0)</f>
        <v>#REF!</v>
      </c>
      <c r="K1" s="610" t="e" cm="1">
        <f t="array" aca="1" ref="K1" ca="1">IF(AUTOEVENTO="Manual",ROUND(SUMPRODUCT((CÁLCULO!$M$15:$M$508=EVENTOS!$C1)*(OFFSET(CÁLCULO!$AI$15:$AI$508,0,K$13))),2),0)</f>
        <v>#REF!</v>
      </c>
      <c r="L1" s="610" t="e" cm="1">
        <f t="array" aca="1" ref="L1" ca="1">IF(AUTOEVENTO="Manual",ROUND(SUMPRODUCT((CÁLCULO!$M$15:$M$508=EVENTOS!$C1)*(OFFSET(CÁLCULO!$AI$15:$AI$508,0,L$13))),2),0)</f>
        <v>#REF!</v>
      </c>
      <c r="M1" s="610" t="e" cm="1">
        <f t="array" aca="1" ref="M1" ca="1">IF(AUTOEVENTO="Manual",ROUND(SUMPRODUCT((CÁLCULO!$M$15:$M$508=EVENTOS!$C1)*(OFFSET(CÁLCULO!$AI$15:$AI$508,0,M$13))),2),0)</f>
        <v>#REF!</v>
      </c>
      <c r="N1" s="610" t="e" cm="1">
        <f t="array" aca="1" ref="N1" ca="1">IF(AUTOEVENTO="Manual",ROUND(SUMPRODUCT((CÁLCULO!$M$15:$M$508=EVENTOS!$C1)*(OFFSET(CÁLCULO!$AI$15:$AI$508,0,N$13))),2),0)</f>
        <v>#REF!</v>
      </c>
      <c r="O1" s="610" t="e" cm="1">
        <f t="array" aca="1" ref="O1" ca="1">IF(AUTOEVENTO="Manual",ROUND(SUMPRODUCT((CÁLCULO!$M$15:$M$508=EVENTOS!$C1)*(OFFSET(CÁLCULO!$AI$15:$AI$508,0,O$13))),2),0)</f>
        <v>#REF!</v>
      </c>
      <c r="P1" s="610" t="e" cm="1">
        <f t="array" aca="1" ref="P1" ca="1">IF(AUTOEVENTO="Manual",ROUND(SUMPRODUCT((CÁLCULO!$M$15:$M$508=EVENTOS!$C1)*(OFFSET(CÁLCULO!$AI$15:$AI$508,0,P$13))),2),0)</f>
        <v>#REF!</v>
      </c>
      <c r="Q1" s="610" t="e" cm="1">
        <f t="array" aca="1" ref="Q1" ca="1">IF(AUTOEVENTO="Manual",ROUND(SUMPRODUCT((CÁLCULO!$M$15:$M$508=EVENTOS!$C1)*(OFFSET(CÁLCULO!$AI$15:$AI$508,0,Q$13))),2),0)</f>
        <v>#REF!</v>
      </c>
      <c r="R1" s="610" t="e" cm="1">
        <f t="array" aca="1" ref="R1" ca="1">IF(AUTOEVENTO="Manual",ROUND(SUMPRODUCT((CÁLCULO!$M$15:$M$508=EVENTOS!$C1)*(OFFSET(CÁLCULO!$AI$15:$AI$508,0,R$13))),2),0)</f>
        <v>#REF!</v>
      </c>
      <c r="S1" s="610" t="e" cm="1">
        <f t="array" aca="1" ref="S1" ca="1">IF(AUTOEVENTO="Manual",ROUND(SUMPRODUCT((CÁLCULO!$M$15:$M$508=EVENTOS!$C1)*(OFFSET(CÁLCULO!$AI$15:$AI$508,0,S$13))),2),0)</f>
        <v>#REF!</v>
      </c>
      <c r="T1" s="610" t="e" cm="1">
        <f t="array" aca="1" ref="T1" ca="1">IF(AUTOEVENTO="Manual",ROUND(SUMPRODUCT((CÁLCULO!$M$15:$M$508=EVENTOS!$C1)*(OFFSET(CÁLCULO!$AI$15:$AI$508,0,T$13))),2),0)</f>
        <v>#REF!</v>
      </c>
      <c r="U1" s="610" t="e" cm="1">
        <f t="array" aca="1" ref="U1" ca="1">IF(AUTOEVENTO="Manual",ROUND(SUMPRODUCT((CÁLCULO!$M$15:$M$508=EVENTOS!$C1)*(OFFSET(CÁLCULO!$AI$15:$AI$508,0,U$13))),2),0)</f>
        <v>#REF!</v>
      </c>
      <c r="V1" s="610" t="e" cm="1">
        <f t="array" aca="1" ref="V1" ca="1">IF(AUTOEVENTO="Manual",ROUND(SUMPRODUCT((CÁLCULO!$M$15:$M$508=EVENTOS!$C1)*(OFFSET(CÁLCULO!$AI$15:$AI$508,0,V$13))),2),0)</f>
        <v>#REF!</v>
      </c>
      <c r="W1" s="610" t="e" cm="1">
        <f t="array" aca="1" ref="W1" ca="1">IF(AUTOEVENTO="Manual",ROUND(SUMPRODUCT((CÁLCULO!$M$15:$M$508=EVENTOS!$C1)*(OFFSET(CÁLCULO!$AI$15:$AI$508,0,W$13))),2),0)</f>
        <v>#REF!</v>
      </c>
      <c r="X1" s="610" t="e" cm="1">
        <f t="array" aca="1" ref="X1" ca="1">IF(AUTOEVENTO="Manual",ROUND(SUMPRODUCT((CÁLCULO!$M$15:$M$508=EVENTOS!$C1)*(OFFSET(CÁLCULO!$AI$15:$AI$508,0,X$13))),2),0)</f>
        <v>#REF!</v>
      </c>
      <c r="Y1" s="610" t="e" cm="1">
        <f t="array" aca="1" ref="Y1" ca="1">IF(AUTOEVENTO="Manual",ROUND(SUMPRODUCT((CÁLCULO!$M$15:$M$508=EVENTOS!$C1)*(OFFSET(CÁLCULO!$AI$15:$AI$508,0,Y$13))),2),0)</f>
        <v>#REF!</v>
      </c>
    </row>
    <row r="2" spans="1:26" ht="30" customHeight="1" x14ac:dyDescent="0.2">
      <c r="F2" s="82" t="s">
        <v>756</v>
      </c>
      <c r="O2" s="612" t="s">
        <v>757</v>
      </c>
      <c r="Y2" s="61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v>
      </c>
      <c r="D5" s="503"/>
      <c r="E5" s="503"/>
      <c r="F5" s="733" t="str">
        <f>Import.Apelido</f>
        <v>ETE - BREJO ALEGRE - FASE II</v>
      </c>
      <c r="G5" s="734"/>
      <c r="H5" s="734"/>
      <c r="I5" s="734"/>
      <c r="J5" s="734"/>
      <c r="K5" s="734"/>
      <c r="L5" s="734"/>
      <c r="M5" s="735"/>
      <c r="N5" s="56" t="str">
        <f>Import.CR</f>
        <v>1098284-30/2024</v>
      </c>
      <c r="O5" s="56" t="str">
        <f>Import.SICONV</f>
        <v>968559/2024</v>
      </c>
      <c r="P5" s="733" t="str">
        <f>Import.Apelido</f>
        <v>ETE - BREJO ALEGRE - FASE II</v>
      </c>
      <c r="Q5" s="734"/>
      <c r="R5" s="734"/>
      <c r="S5" s="734"/>
      <c r="T5" s="734"/>
      <c r="U5" s="734"/>
      <c r="V5" s="734"/>
      <c r="W5" s="735"/>
      <c r="X5" s="56" t="str">
        <f>Import.CR</f>
        <v>1098284-30/2024</v>
      </c>
      <c r="Y5" s="56" t="str">
        <f>Import.SICONV</f>
        <v>968559/2024</v>
      </c>
      <c r="Z5" t="s">
        <v>752</v>
      </c>
    </row>
    <row r="6" spans="1:26" ht="24.95" customHeight="1" x14ac:dyDescent="0.25">
      <c r="B6" t="s">
        <v>937</v>
      </c>
      <c r="C6" t="s">
        <v>759</v>
      </c>
      <c r="F6" s="521" t="str">
        <f ca="1">IF(AUTOEVENTO="MANUAL",
  IF(COUNTIF($G$15:$G$26,"NOME")&gt;0,"Falta preencher o nome do Título do Evento nº "&amp;INDEX($C$15:$C$26,MATCH("NOME",$G$15:$G$26,0)),
  IF(COUNTIF($G$15:$G$26,"VALOR")&gt;0,"Falta atribuir serviços ao Evento nº "&amp;INDEX($C$15:$C$26,MATCH("VALOR",$G$15:$G$26,0))&amp;". Corrigir a atribuição dos eventos na aba CÁLCULO. Ou excluir linhas dos eventos não utilizados.",
  IF(ROUND($F$14,2)&lt;&gt;ROUND(ORÇAMENTO!$X$15,2),"O valor total dos Eventos é diferente do valor total do Orçamento. Corrigir a atribuição dos eventos na aba CÁLCULO",
  IF(COUNTIF($G$15:$G$26,"Nome &gt;100")&gt;0,"O tamanho do Título do Evento no TransfereGOV é limitado a 100 caracteres. Resuma o nome do Título do Evento nº "&amp;INDEX($C$15:$C$26,MATCH("Nome &gt;100",$G$15:$G$26,0)),"")))),"")</f>
        <v>O valor total dos Eventos é diferente do valor total do Orçamento. Corrigir a atribuição dos eventos na aba CÁLCULO</v>
      </c>
    </row>
    <row r="7" spans="1:26" ht="3.95" customHeight="1" thickBot="1" x14ac:dyDescent="0.25">
      <c r="B7" t="s">
        <v>940</v>
      </c>
    </row>
    <row r="8" spans="1:26" ht="16.5" thickBot="1" x14ac:dyDescent="0.3">
      <c r="B8" t="s">
        <v>941</v>
      </c>
      <c r="C8" s="729" t="s">
        <v>939</v>
      </c>
      <c r="D8" s="730"/>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COUNTIF($C$15:$C$26,"&gt;0")-1</f>
        <v>9</v>
      </c>
      <c r="D10" t="s">
        <v>752</v>
      </c>
      <c r="E10" s="731" t="str">
        <f ca="1">OFFSET(CÁLCULO!$P$12,0,EVENTOS!E$13)</f>
        <v>SERVIÇOS INICIAIS / TERRAPLENAGEM</v>
      </c>
      <c r="F10" t="s">
        <v>752</v>
      </c>
      <c r="G10" s="726"/>
      <c r="H10" s="731" t="str">
        <f ca="1">OFFSET(CÁLCULO!$P$12,0,EVENTOS!H$13)</f>
        <v>SERVIÇOS INICIAIS / TERRAPLENAGEM</v>
      </c>
      <c r="I10" s="731" t="str">
        <f ca="1">OFFSET(CÁLCULO!$P$12,0,EVENTOS!I$13)</f>
        <v>.</v>
      </c>
      <c r="J10" s="731" t="str">
        <f ca="1">OFFSET(CÁLCULO!$P$12,0,EVENTOS!J$13)</f>
        <v>.</v>
      </c>
      <c r="K10" s="726" t="str">
        <f ca="1">OFFSET(CÁLCULO!$P$12,0,EVENTOS!K$13)</f>
        <v>.</v>
      </c>
      <c r="L10" s="726" t="str">
        <f ca="1">OFFSET(CÁLCULO!$P$12,0,EVENTOS!L$13)</f>
        <v>.</v>
      </c>
      <c r="M10" s="726" t="str">
        <f ca="1">OFFSET(CÁLCULO!$P$12,0,EVENTOS!M$13)</f>
        <v>.</v>
      </c>
      <c r="N10" s="726" t="str">
        <f ca="1">OFFSET(CÁLCULO!$P$12,0,EVENTOS!N$13)</f>
        <v>.</v>
      </c>
      <c r="O10" s="726" t="str">
        <f ca="1">OFFSET(CÁLCULO!$P$12,0,EVENTOS!O$13)</f>
        <v>.</v>
      </c>
      <c r="P10" s="726" t="str">
        <f ca="1">OFFSET(CÁLCULO!$P$12,0,EVENTOS!P$13)</f>
        <v>.</v>
      </c>
      <c r="Q10" s="726" t="str">
        <f ca="1">OFFSET(CÁLCULO!$P$12,0,EVENTOS!Q$13)</f>
        <v>.</v>
      </c>
      <c r="R10" s="726" t="str">
        <f ca="1">OFFSET(CÁLCULO!$P$12,0,EVENTOS!R$13)</f>
        <v>.</v>
      </c>
      <c r="S10" s="726" t="str">
        <f ca="1">OFFSET(CÁLCULO!$P$12,0,EVENTOS!S$13)</f>
        <v>.</v>
      </c>
      <c r="T10" s="726" t="str">
        <f ca="1">OFFSET(CÁLCULO!$P$12,0,EVENTOS!T$13)</f>
        <v>.</v>
      </c>
      <c r="U10" s="726" t="str">
        <f ca="1">OFFSET(CÁLCULO!$P$12,0,EVENTOS!U$13)</f>
        <v>.</v>
      </c>
      <c r="V10" s="726" t="str">
        <f ca="1">OFFSET(CÁLCULO!$P$12,0,EVENTOS!V$13)</f>
        <v>.</v>
      </c>
      <c r="W10" s="726" t="str">
        <f ca="1">OFFSET(CÁLCULO!$P$12,0,EVENTOS!W$13)</f>
        <v>.</v>
      </c>
      <c r="X10" s="726" t="str">
        <f ca="1">OFFSET(CÁLCULO!$P$12,0,EVENTOS!X$13)</f>
        <v>.</v>
      </c>
      <c r="Y10" s="726" t="str">
        <f ca="1">OFFSET(CÁLCULO!$P$12,0,EVENTOS!Y$13)</f>
        <v>.</v>
      </c>
    </row>
    <row r="11" spans="1:26" ht="35.1" customHeight="1" x14ac:dyDescent="0.2">
      <c r="A11" s="507" t="s">
        <v>655</v>
      </c>
      <c r="C11" s="73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2"/>
      <c r="E11" s="731"/>
      <c r="F11" s="497"/>
      <c r="G11" s="727"/>
      <c r="H11" s="731"/>
      <c r="I11" s="731"/>
      <c r="J11" s="731"/>
      <c r="K11" s="727"/>
      <c r="L11" s="727"/>
      <c r="M11" s="727"/>
      <c r="N11" s="727"/>
      <c r="O11" s="727"/>
      <c r="P11" s="727"/>
      <c r="Q11" s="727"/>
      <c r="R11" s="727"/>
      <c r="S11" s="727"/>
      <c r="T11" s="727"/>
      <c r="U11" s="727"/>
      <c r="V11" s="727"/>
      <c r="W11" s="727"/>
      <c r="X11" s="727"/>
      <c r="Y11" s="727"/>
    </row>
    <row r="12" spans="1:26" ht="12" customHeight="1" x14ac:dyDescent="0.2">
      <c r="A12" s="508" t="s">
        <v>660</v>
      </c>
      <c r="E12" s="731"/>
      <c r="G12" s="728"/>
      <c r="H12" s="731"/>
      <c r="I12" s="731"/>
      <c r="J12" s="731"/>
      <c r="K12" s="728"/>
      <c r="L12" s="728"/>
      <c r="M12" s="728"/>
      <c r="N12" s="728"/>
      <c r="O12" s="728"/>
      <c r="P12" s="728"/>
      <c r="Q12" s="728"/>
      <c r="R12" s="728"/>
      <c r="S12" s="728"/>
      <c r="T12" s="728"/>
      <c r="U12" s="728"/>
      <c r="V12" s="728"/>
      <c r="W12" s="728"/>
      <c r="X12" s="728"/>
      <c r="Y12" s="728"/>
    </row>
    <row r="13" spans="1:26" ht="15" x14ac:dyDescent="0.25">
      <c r="A13" s="508"/>
      <c r="C13" s="498" t="s">
        <v>760</v>
      </c>
      <c r="D13" s="613" t="s">
        <v>761</v>
      </c>
      <c r="E13" s="614">
        <f ca="1">IF(NOT(ISNUMBER(OFFSET(E13,0,-1))),1,IF(OR(OFFSET(E13,0,-1)=0,OFFSET(E13,0,-1)+1&gt;CÁLCULO.FrentesPreenchidas),0,OFFSET(E13,0,-1)+1))</f>
        <v>1</v>
      </c>
      <c r="F13" s="545" t="s">
        <v>762</v>
      </c>
      <c r="G13" s="495"/>
      <c r="H13" s="614">
        <f t="shared" ref="H13:Y13" ca="1" si="1">IF(NOT(ISNUMBER(OFFSET(H13,0,-1))),1,IF(OR(OFFSET(H13,0,-1)=0,OFFSET(H13,0,-1)+1&gt;CÁLCULO.FrentesPreenchidas),0,OFFSET(H13,0,-1)+1))</f>
        <v>1</v>
      </c>
      <c r="I13" s="614">
        <f t="shared" ca="1" si="1"/>
        <v>0</v>
      </c>
      <c r="J13" s="614">
        <f t="shared" ca="1" si="1"/>
        <v>0</v>
      </c>
      <c r="K13" s="614">
        <f t="shared" ca="1" si="1"/>
        <v>0</v>
      </c>
      <c r="L13" s="614">
        <f t="shared" ca="1" si="1"/>
        <v>0</v>
      </c>
      <c r="M13" s="614">
        <f t="shared" ca="1" si="1"/>
        <v>0</v>
      </c>
      <c r="N13" s="614">
        <f t="shared" ca="1" si="1"/>
        <v>0</v>
      </c>
      <c r="O13" s="614">
        <f t="shared" ca="1" si="1"/>
        <v>0</v>
      </c>
      <c r="P13" s="614">
        <f t="shared" ca="1" si="1"/>
        <v>0</v>
      </c>
      <c r="Q13" s="614">
        <f t="shared" ca="1" si="1"/>
        <v>0</v>
      </c>
      <c r="R13" s="614">
        <f t="shared" ca="1" si="1"/>
        <v>0</v>
      </c>
      <c r="S13" s="614">
        <f t="shared" ca="1" si="1"/>
        <v>0</v>
      </c>
      <c r="T13" s="614">
        <f t="shared" ca="1" si="1"/>
        <v>0</v>
      </c>
      <c r="U13" s="614">
        <f t="shared" ca="1" si="1"/>
        <v>0</v>
      </c>
      <c r="V13" s="614">
        <f t="shared" ca="1" si="1"/>
        <v>0</v>
      </c>
      <c r="W13" s="614">
        <f t="shared" ca="1" si="1"/>
        <v>0</v>
      </c>
      <c r="X13" s="614">
        <f t="shared" ca="1" si="1"/>
        <v>0</v>
      </c>
      <c r="Y13" s="614">
        <f t="shared" ca="1" si="1"/>
        <v>0</v>
      </c>
    </row>
    <row r="14" spans="1:26" ht="15" customHeight="1" x14ac:dyDescent="0.2">
      <c r="A14" s="506" t="s">
        <v>536</v>
      </c>
      <c r="C14" s="541"/>
      <c r="D14" s="542" t="s">
        <v>763</v>
      </c>
      <c r="E14" s="615">
        <f ca="1">SUM(E$15:E$26)</f>
        <v>0</v>
      </c>
      <c r="F14" s="543">
        <f ca="1">SUM(F$15:F$26)</f>
        <v>0</v>
      </c>
      <c r="H14" s="615">
        <f t="shared" ref="H14:Y14" ca="1" si="2">SUM(H$15:H$26)</f>
        <v>0</v>
      </c>
      <c r="I14" s="615">
        <f t="shared" ca="1" si="2"/>
        <v>0</v>
      </c>
      <c r="J14" s="615">
        <f t="shared" ca="1" si="2"/>
        <v>0</v>
      </c>
      <c r="K14" s="615">
        <f t="shared" ca="1" si="2"/>
        <v>0</v>
      </c>
      <c r="L14" s="615">
        <f t="shared" ca="1" si="2"/>
        <v>0</v>
      </c>
      <c r="M14" s="615">
        <f t="shared" ca="1" si="2"/>
        <v>0</v>
      </c>
      <c r="N14" s="615">
        <f t="shared" ca="1" si="2"/>
        <v>0</v>
      </c>
      <c r="O14" s="615">
        <f t="shared" ca="1" si="2"/>
        <v>0</v>
      </c>
      <c r="P14" s="615">
        <f t="shared" ca="1" si="2"/>
        <v>0</v>
      </c>
      <c r="Q14" s="615">
        <f t="shared" ca="1" si="2"/>
        <v>0</v>
      </c>
      <c r="R14" s="615">
        <f t="shared" ca="1" si="2"/>
        <v>0</v>
      </c>
      <c r="S14" s="615">
        <f t="shared" ca="1" si="2"/>
        <v>0</v>
      </c>
      <c r="T14" s="615">
        <f t="shared" ca="1" si="2"/>
        <v>0</v>
      </c>
      <c r="U14" s="615">
        <f t="shared" ca="1" si="2"/>
        <v>0</v>
      </c>
      <c r="V14" s="615">
        <f t="shared" ca="1" si="2"/>
        <v>0</v>
      </c>
      <c r="W14" s="615">
        <f t="shared" ca="1" si="2"/>
        <v>0</v>
      </c>
      <c r="X14" s="615">
        <f t="shared" ca="1" si="2"/>
        <v>0</v>
      </c>
      <c r="Y14" s="615">
        <f t="shared" ca="1" si="2"/>
        <v>0</v>
      </c>
    </row>
    <row r="15" spans="1:26" x14ac:dyDescent="0.2">
      <c r="A15" s="506" t="str">
        <f t="shared" ref="A15:A25" si="3">IF(D15="","","F")</f>
        <v/>
      </c>
      <c r="B15" t="str">
        <f>IF(OR(C15=" ",D15=""),"",CONCATENATE(C15,". ",D15))</f>
        <v/>
      </c>
      <c r="C15" s="546" cm="1">
        <f t="array" ref="C15">IF(AdmLocal="Automática",1,0)</f>
        <v>0</v>
      </c>
      <c r="D15" s="616" t="str">
        <f>IF(C15=1,"Administração Local","")</f>
        <v/>
      </c>
      <c r="E15" s="617">
        <f ca="1">IF($F$15=0,0,IF(E13=1,$F$15-SUM($I$15:$Z$15),ROUND(SUM(OFFSET(E15,1,0):OFFSET(E$26,-1,0))/SUM(OFFSET($F15,1,0):OFFSET($F$26,-1,0))*$F$15,2)))</f>
        <v>0</v>
      </c>
      <c r="F15" s="547" cm="1">
        <f t="array" ref="F15">IF($C$15=0,0,ROUND(SUMPRODUCT((CÁLCULO!$M$15:$M$508=EVENTOS!$C15)*(ORÇAMENTO!$X$15:'ORÇAMENTO'!$X$508)),2))</f>
        <v>0</v>
      </c>
      <c r="G15" s="618"/>
      <c r="H15" s="617">
        <f ca="1">IF($F$15=0,0,IF(H13=1,$F$15-SUM($I$15:$Z$15),ROUND(SUM(OFFSET(H15,1,0):OFFSET(H$26,-1,0))/SUM(OFFSET($F15,1,0):OFFSET($F$26,-1,0))*$F$15,2)))</f>
        <v>0</v>
      </c>
      <c r="I15" s="617">
        <f ca="1">IF($F$15=0,0,IF(I13=1,$F$15-SUM($I$15:$Z$15),ROUND(SUM(OFFSET(I15,1,0):OFFSET(I$26,-1,0))/SUM(OFFSET($F15,1,0):OFFSET($F$26,-1,0))*$F$15,2)))</f>
        <v>0</v>
      </c>
      <c r="J15" s="617">
        <f ca="1">IF($F$15=0,0,IF(J13=1,$F$15-SUM($I$15:$Z$15),ROUND(SUM(OFFSET(J15,1,0):OFFSET(J$26,-1,0))/SUM(OFFSET($F15,1,0):OFFSET($F$26,-1,0))*$F$15,2)))</f>
        <v>0</v>
      </c>
      <c r="K15" s="617">
        <f ca="1">IF($F$15=0,0,IF(K13=1,$F$15-SUM($I$15:$Z$15),ROUND(SUM(OFFSET(K15,1,0):OFFSET(K$26,-1,0))/SUM(OFFSET($F15,1,0):OFFSET($F$26,-1,0))*$F$15,2)))</f>
        <v>0</v>
      </c>
      <c r="L15" s="617">
        <f ca="1">IF($F$15=0,0,IF(L13=1,$F$15-SUM($I$15:$Z$15),ROUND(SUM(OFFSET(L15,1,0):OFFSET(L$26,-1,0))/SUM(OFFSET($F15,1,0):OFFSET($F$26,-1,0))*$F$15,2)))</f>
        <v>0</v>
      </c>
      <c r="M15" s="617">
        <f ca="1">IF($F$15=0,0,IF(M13=1,$F$15-SUM($I$15:$Z$15),ROUND(SUM(OFFSET(M15,1,0):OFFSET(M$26,-1,0))/SUM(OFFSET($F15,1,0):OFFSET($F$26,-1,0))*$F$15,2)))</f>
        <v>0</v>
      </c>
      <c r="N15" s="617">
        <f ca="1">IF($F$15=0,0,IF(N13=1,$F$15-SUM($I$15:$Z$15),ROUND(SUM(OFFSET(N15,1,0):OFFSET(N$26,-1,0))/SUM(OFFSET($F15,1,0):OFFSET($F$26,-1,0))*$F$15,2)))</f>
        <v>0</v>
      </c>
      <c r="O15" s="617">
        <f ca="1">IF($F$15=0,0,IF(O13=1,$F$15-SUM($I$15:$Z$15),ROUND(SUM(OFFSET(O15,1,0):OFFSET(O$26,-1,0))/SUM(OFFSET($F15,1,0):OFFSET($F$26,-1,0))*$F$15,2)))</f>
        <v>0</v>
      </c>
      <c r="P15" s="617">
        <f ca="1">IF($F$15=0,0,IF(P13=1,$F$15-SUM($I$15:$Z$15),ROUND(SUM(OFFSET(P15,1,0):OFFSET(P$26,-1,0))/SUM(OFFSET($F15,1,0):OFFSET($F$26,-1,0))*$F$15,2)))</f>
        <v>0</v>
      </c>
      <c r="Q15" s="617">
        <f ca="1">IF($F$15=0,0,IF(Q13=1,$F$15-SUM($I$15:$Z$15),ROUND(SUM(OFFSET(Q15,1,0):OFFSET(Q$26,-1,0))/SUM(OFFSET($F15,1,0):OFFSET($F$26,-1,0))*$F$15,2)))</f>
        <v>0</v>
      </c>
      <c r="R15" s="617">
        <f ca="1">IF($F$15=0,0,IF(R13=1,$F$15-SUM($I$15:$Z$15),ROUND(SUM(OFFSET(R15,1,0):OFFSET(R$26,-1,0))/SUM(OFFSET($F15,1,0):OFFSET($F$26,-1,0))*$F$15,2)))</f>
        <v>0</v>
      </c>
      <c r="S15" s="617">
        <f ca="1">IF($F$15=0,0,IF(S13=1,$F$15-SUM($I$15:$Z$15),ROUND(SUM(OFFSET(S15,1,0):OFFSET(S$26,-1,0))/SUM(OFFSET($F15,1,0):OFFSET($F$26,-1,0))*$F$15,2)))</f>
        <v>0</v>
      </c>
      <c r="T15" s="617">
        <f ca="1">IF($F$15=0,0,IF(T13=1,$F$15-SUM($I$15:$Z$15),ROUND(SUM(OFFSET(T15,1,0):OFFSET(T$26,-1,0))/SUM(OFFSET($F15,1,0):OFFSET($F$26,-1,0))*$F$15,2)))</f>
        <v>0</v>
      </c>
      <c r="U15" s="617">
        <f ca="1">IF($F$15=0,0,IF(U13=1,$F$15-SUM($I$15:$Z$15),ROUND(SUM(OFFSET(U15,1,0):OFFSET(U$26,-1,0))/SUM(OFFSET($F15,1,0):OFFSET($F$26,-1,0))*$F$15,2)))</f>
        <v>0</v>
      </c>
      <c r="V15" s="617">
        <f ca="1">IF($F$15=0,0,IF(V13=1,$F$15-SUM($I$15:$Z$15),ROUND(SUM(OFFSET(V15,1,0):OFFSET(V$26,-1,0))/SUM(OFFSET($F15,1,0):OFFSET($F$26,-1,0))*$F$15,2)))</f>
        <v>0</v>
      </c>
      <c r="W15" s="617">
        <f ca="1">IF($F$15=0,0,IF(W13=1,$F$15-SUM($I$15:$Z$15),ROUND(SUM(OFFSET(W15,1,0):OFFSET(W$26,-1,0))/SUM(OFFSET($F15,1,0):OFFSET($F$26,-1,0))*$F$15,2)))</f>
        <v>0</v>
      </c>
      <c r="X15" s="617">
        <f ca="1">IF($F$15=0,0,IF(X13=1,$F$15-SUM($I$15:$Z$15),ROUND(SUM(OFFSET(X15,1,0):OFFSET(X$26,-1,0))/SUM(OFFSET($F15,1,0):OFFSET($F$26,-1,0))*$F$15,2)))</f>
        <v>0</v>
      </c>
      <c r="Y15" s="617">
        <f ca="1">IF($F$15=0,0,IF(Y13=1,$F$15-SUM($I$15:$Z$15),ROUND(SUM(OFFSET(Y15,1,0):OFFSET(Y$26,-1,0))/SUM(OFFSET($F15,1,0):OFFSET($F$26,-1,0))*$F$15,2)))</f>
        <v>0</v>
      </c>
    </row>
    <row r="16" spans="1:26" x14ac:dyDescent="0.2">
      <c r="A16" s="506" t="str">
        <f t="shared" si="3"/>
        <v>F</v>
      </c>
      <c r="B16" t="str">
        <f t="shared" ref="B16:B24" ca="1" si="4">IF(OR(C16=" ",D16=""),"",CONCATENATE(C16,". ",D16))</f>
        <v>1. Mobilização e Desmobilização</v>
      </c>
      <c r="C16" s="182" cm="1">
        <f t="array" aca="1" ref="C16" ca="1">IF(OR(ROW(C16)=ROW(EVENTOS.firstrow)+1,AND(OFFSET(C16,-1,0)&lt;&gt;" ",OFFSET(C16,-1,1)&lt;&gt;"")),OFFSET(C16,-1,0)+1," ")</f>
        <v>1</v>
      </c>
      <c r="D16" s="496" t="s">
        <v>1272</v>
      </c>
      <c r="E16" s="610" cm="1">
        <f t="array" aca="1" ref="E16" ca="1">IF(AUTOEVENTO="Manual",ROUND(SUMPRODUCT((CÁLCULO!$M$15:$M$508=EVENTOS!$C16)*(OFFSET(CÁLCULO!$AI$15:$AI$508,0,E$13))),2),0)</f>
        <v>0</v>
      </c>
      <c r="F16" s="183">
        <f ca="1">IF(AUTOEVENTO="Manual",ROUND(SUMPRODUCT((CÁLCULO!$M$15:$M$508=EVENTOS!$C16)*(OFFSET(CÁLCULO!$AI$15,0,1):OFFSET(CÁLCULO!$BB$508,0,-1))),2),0)</f>
        <v>0</v>
      </c>
      <c r="G16" s="611" t="str">
        <f t="shared" ref="G16:G24" ca="1" si="5">IF(AND(D16=0,F16&gt;0),"NOME",
 IF(AND(D16&lt;&gt;0,$F$14&gt;0,F16=0),"VALOR",
 IF(AND(Import.TipoArredondamento="TransfereGOV",$A16="F",LEN(D16)&gt;100),"Nome &gt;100","")))</f>
        <v/>
      </c>
      <c r="H16" s="610" cm="1">
        <f t="array" aca="1" ref="H16" ca="1">IF(AUTOEVENTO="Manual",ROUND(SUMPRODUCT((CÁLCULO!$M$15:$M$508=EVENTOS!$C16)*(OFFSET(CÁLCULO!$AI$15:$AI$508,0,H$13))),2),0)</f>
        <v>0</v>
      </c>
      <c r="I16" s="610" cm="1">
        <f t="array" aca="1" ref="I16" ca="1">IF(AUTOEVENTO="Manual",ROUND(SUMPRODUCT((CÁLCULO!$M$15:$M$508=EVENTOS!$C16)*(OFFSET(CÁLCULO!$AI$15:$AI$508,0,I$13))),2),0)</f>
        <v>0</v>
      </c>
      <c r="J16" s="610" cm="1">
        <f t="array" aca="1" ref="J16" ca="1">IF(AUTOEVENTO="Manual",ROUND(SUMPRODUCT((CÁLCULO!$M$15:$M$508=EVENTOS!$C16)*(OFFSET(CÁLCULO!$AI$15:$AI$508,0,J$13))),2),0)</f>
        <v>0</v>
      </c>
      <c r="K16" s="610" cm="1">
        <f t="array" aca="1" ref="K16" ca="1">IF(AUTOEVENTO="Manual",ROUND(SUMPRODUCT((CÁLCULO!$M$15:$M$508=EVENTOS!$C16)*(OFFSET(CÁLCULO!$AI$15:$AI$508,0,K$13))),2),0)</f>
        <v>0</v>
      </c>
      <c r="L16" s="610" cm="1">
        <f t="array" aca="1" ref="L16" ca="1">IF(AUTOEVENTO="Manual",ROUND(SUMPRODUCT((CÁLCULO!$M$15:$M$508=EVENTOS!$C16)*(OFFSET(CÁLCULO!$AI$15:$AI$508,0,L$13))),2),0)</f>
        <v>0</v>
      </c>
      <c r="M16" s="610" cm="1">
        <f t="array" aca="1" ref="M16" ca="1">IF(AUTOEVENTO="Manual",ROUND(SUMPRODUCT((CÁLCULO!$M$15:$M$508=EVENTOS!$C16)*(OFFSET(CÁLCULO!$AI$15:$AI$508,0,M$13))),2),0)</f>
        <v>0</v>
      </c>
      <c r="N16" s="610" cm="1">
        <f t="array" aca="1" ref="N16" ca="1">IF(AUTOEVENTO="Manual",ROUND(SUMPRODUCT((CÁLCULO!$M$15:$M$508=EVENTOS!$C16)*(OFFSET(CÁLCULO!$AI$15:$AI$508,0,N$13))),2),0)</f>
        <v>0</v>
      </c>
      <c r="O16" s="610" cm="1">
        <f t="array" aca="1" ref="O16" ca="1">IF(AUTOEVENTO="Manual",ROUND(SUMPRODUCT((CÁLCULO!$M$15:$M$508=EVENTOS!$C16)*(OFFSET(CÁLCULO!$AI$15:$AI$508,0,O$13))),2),0)</f>
        <v>0</v>
      </c>
      <c r="P16" s="610" cm="1">
        <f t="array" aca="1" ref="P16" ca="1">IF(AUTOEVENTO="Manual",ROUND(SUMPRODUCT((CÁLCULO!$M$15:$M$508=EVENTOS!$C16)*(OFFSET(CÁLCULO!$AI$15:$AI$508,0,P$13))),2),0)</f>
        <v>0</v>
      </c>
      <c r="Q16" s="610" cm="1">
        <f t="array" aca="1" ref="Q16" ca="1">IF(AUTOEVENTO="Manual",ROUND(SUMPRODUCT((CÁLCULO!$M$15:$M$508=EVENTOS!$C16)*(OFFSET(CÁLCULO!$AI$15:$AI$508,0,Q$13))),2),0)</f>
        <v>0</v>
      </c>
      <c r="R16" s="610" cm="1">
        <f t="array" aca="1" ref="R16" ca="1">IF(AUTOEVENTO="Manual",ROUND(SUMPRODUCT((CÁLCULO!$M$15:$M$508=EVENTOS!$C16)*(OFFSET(CÁLCULO!$AI$15:$AI$508,0,R$13))),2),0)</f>
        <v>0</v>
      </c>
      <c r="S16" s="610" cm="1">
        <f t="array" aca="1" ref="S16" ca="1">IF(AUTOEVENTO="Manual",ROUND(SUMPRODUCT((CÁLCULO!$M$15:$M$508=EVENTOS!$C16)*(OFFSET(CÁLCULO!$AI$15:$AI$508,0,S$13))),2),0)</f>
        <v>0</v>
      </c>
      <c r="T16" s="610" cm="1">
        <f t="array" aca="1" ref="T16" ca="1">IF(AUTOEVENTO="Manual",ROUND(SUMPRODUCT((CÁLCULO!$M$15:$M$508=EVENTOS!$C16)*(OFFSET(CÁLCULO!$AI$15:$AI$508,0,T$13))),2),0)</f>
        <v>0</v>
      </c>
      <c r="U16" s="610" cm="1">
        <f t="array" aca="1" ref="U16" ca="1">IF(AUTOEVENTO="Manual",ROUND(SUMPRODUCT((CÁLCULO!$M$15:$M$508=EVENTOS!$C16)*(OFFSET(CÁLCULO!$AI$15:$AI$508,0,U$13))),2),0)</f>
        <v>0</v>
      </c>
      <c r="V16" s="610" cm="1">
        <f t="array" aca="1" ref="V16" ca="1">IF(AUTOEVENTO="Manual",ROUND(SUMPRODUCT((CÁLCULO!$M$15:$M$508=EVENTOS!$C16)*(OFFSET(CÁLCULO!$AI$15:$AI$508,0,V$13))),2),0)</f>
        <v>0</v>
      </c>
      <c r="W16" s="610" cm="1">
        <f t="array" aca="1" ref="W16" ca="1">IF(AUTOEVENTO="Manual",ROUND(SUMPRODUCT((CÁLCULO!$M$15:$M$508=EVENTOS!$C16)*(OFFSET(CÁLCULO!$AI$15:$AI$508,0,W$13))),2),0)</f>
        <v>0</v>
      </c>
      <c r="X16" s="610" cm="1">
        <f t="array" aca="1" ref="X16" ca="1">IF(AUTOEVENTO="Manual",ROUND(SUMPRODUCT((CÁLCULO!$M$15:$M$508=EVENTOS!$C16)*(OFFSET(CÁLCULO!$AI$15:$AI$508,0,X$13))),2),0)</f>
        <v>0</v>
      </c>
      <c r="Y16" s="610" cm="1">
        <f t="array" aca="1" ref="Y16" ca="1">IF(AUTOEVENTO="Manual",ROUND(SUMPRODUCT((CÁLCULO!$M$15:$M$508=EVENTOS!$C16)*(OFFSET(CÁLCULO!$AI$15:$AI$508,0,Y$13))),2),0)</f>
        <v>0</v>
      </c>
    </row>
    <row r="17" spans="1:25" x14ac:dyDescent="0.2">
      <c r="A17" s="506" t="str">
        <f t="shared" si="3"/>
        <v>F</v>
      </c>
      <c r="B17" t="str">
        <f t="shared" ca="1" si="4"/>
        <v>2. Serviços Iniciais</v>
      </c>
      <c r="C17" s="182" cm="1">
        <f t="array" aca="1" ref="C17" ca="1">IF(OR(ROW(C17)=ROW(EVENTOS.firstrow)+1,AND(OFFSET(C17,-1,0)&lt;&gt;" ",OFFSET(C17,-1,1)&lt;&gt;"")),OFFSET(C17,-1,0)+1," ")</f>
        <v>2</v>
      </c>
      <c r="D17" s="496" t="s">
        <v>1273</v>
      </c>
      <c r="E17" s="610" cm="1">
        <f t="array" aca="1" ref="E17" ca="1">IF(AUTOEVENTO="Manual",ROUND(SUMPRODUCT((CÁLCULO!$M$15:$M$508=EVENTOS!$C17)*(OFFSET(CÁLCULO!$AI$15:$AI$508,0,E$13))),2),0)</f>
        <v>0</v>
      </c>
      <c r="F17" s="183">
        <f ca="1">IF(AUTOEVENTO="Manual",ROUND(SUMPRODUCT((CÁLCULO!$M$15:$M$508=EVENTOS!$C17)*(OFFSET(CÁLCULO!$AI$15,0,1):OFFSET(CÁLCULO!$BB$508,0,-1))),2),0)</f>
        <v>0</v>
      </c>
      <c r="G17" s="611" t="str">
        <f t="shared" ca="1" si="5"/>
        <v/>
      </c>
      <c r="H17" s="610" cm="1">
        <f t="array" aca="1" ref="H17" ca="1">IF(AUTOEVENTO="Manual",ROUND(SUMPRODUCT((CÁLCULO!$M$15:$M$508=EVENTOS!$C17)*(OFFSET(CÁLCULO!$AI$15:$AI$508,0,H$13))),2),0)</f>
        <v>0</v>
      </c>
      <c r="I17" s="610" cm="1">
        <f t="array" aca="1" ref="I17" ca="1">IF(AUTOEVENTO="Manual",ROUND(SUMPRODUCT((CÁLCULO!$M$15:$M$508=EVENTOS!$C17)*(OFFSET(CÁLCULO!$AI$15:$AI$508,0,I$13))),2),0)</f>
        <v>0</v>
      </c>
      <c r="J17" s="610" cm="1">
        <f t="array" aca="1" ref="J17" ca="1">IF(AUTOEVENTO="Manual",ROUND(SUMPRODUCT((CÁLCULO!$M$15:$M$508=EVENTOS!$C17)*(OFFSET(CÁLCULO!$AI$15:$AI$508,0,J$13))),2),0)</f>
        <v>0</v>
      </c>
      <c r="K17" s="610" cm="1">
        <f t="array" aca="1" ref="K17" ca="1">IF(AUTOEVENTO="Manual",ROUND(SUMPRODUCT((CÁLCULO!$M$15:$M$508=EVENTOS!$C17)*(OFFSET(CÁLCULO!$AI$15:$AI$508,0,K$13))),2),0)</f>
        <v>0</v>
      </c>
      <c r="L17" s="610" cm="1">
        <f t="array" aca="1" ref="L17" ca="1">IF(AUTOEVENTO="Manual",ROUND(SUMPRODUCT((CÁLCULO!$M$15:$M$508=EVENTOS!$C17)*(OFFSET(CÁLCULO!$AI$15:$AI$508,0,L$13))),2),0)</f>
        <v>0</v>
      </c>
      <c r="M17" s="610" cm="1">
        <f t="array" aca="1" ref="M17" ca="1">IF(AUTOEVENTO="Manual",ROUND(SUMPRODUCT((CÁLCULO!$M$15:$M$508=EVENTOS!$C17)*(OFFSET(CÁLCULO!$AI$15:$AI$508,0,M$13))),2),0)</f>
        <v>0</v>
      </c>
      <c r="N17" s="610" cm="1">
        <f t="array" aca="1" ref="N17" ca="1">IF(AUTOEVENTO="Manual",ROUND(SUMPRODUCT((CÁLCULO!$M$15:$M$508=EVENTOS!$C17)*(OFFSET(CÁLCULO!$AI$15:$AI$508,0,N$13))),2),0)</f>
        <v>0</v>
      </c>
      <c r="O17" s="610" cm="1">
        <f t="array" aca="1" ref="O17" ca="1">IF(AUTOEVENTO="Manual",ROUND(SUMPRODUCT((CÁLCULO!$M$15:$M$508=EVENTOS!$C17)*(OFFSET(CÁLCULO!$AI$15:$AI$508,0,O$13))),2),0)</f>
        <v>0</v>
      </c>
      <c r="P17" s="610" cm="1">
        <f t="array" aca="1" ref="P17" ca="1">IF(AUTOEVENTO="Manual",ROUND(SUMPRODUCT((CÁLCULO!$M$15:$M$508=EVENTOS!$C17)*(OFFSET(CÁLCULO!$AI$15:$AI$508,0,P$13))),2),0)</f>
        <v>0</v>
      </c>
      <c r="Q17" s="610" cm="1">
        <f t="array" aca="1" ref="Q17" ca="1">IF(AUTOEVENTO="Manual",ROUND(SUMPRODUCT((CÁLCULO!$M$15:$M$508=EVENTOS!$C17)*(OFFSET(CÁLCULO!$AI$15:$AI$508,0,Q$13))),2),0)</f>
        <v>0</v>
      </c>
      <c r="R17" s="610" cm="1">
        <f t="array" aca="1" ref="R17" ca="1">IF(AUTOEVENTO="Manual",ROUND(SUMPRODUCT((CÁLCULO!$M$15:$M$508=EVENTOS!$C17)*(OFFSET(CÁLCULO!$AI$15:$AI$508,0,R$13))),2),0)</f>
        <v>0</v>
      </c>
      <c r="S17" s="610" cm="1">
        <f t="array" aca="1" ref="S17" ca="1">IF(AUTOEVENTO="Manual",ROUND(SUMPRODUCT((CÁLCULO!$M$15:$M$508=EVENTOS!$C17)*(OFFSET(CÁLCULO!$AI$15:$AI$508,0,S$13))),2),0)</f>
        <v>0</v>
      </c>
      <c r="T17" s="610" cm="1">
        <f t="array" aca="1" ref="T17" ca="1">IF(AUTOEVENTO="Manual",ROUND(SUMPRODUCT((CÁLCULO!$M$15:$M$508=EVENTOS!$C17)*(OFFSET(CÁLCULO!$AI$15:$AI$508,0,T$13))),2),0)</f>
        <v>0</v>
      </c>
      <c r="U17" s="610" cm="1">
        <f t="array" aca="1" ref="U17" ca="1">IF(AUTOEVENTO="Manual",ROUND(SUMPRODUCT((CÁLCULO!$M$15:$M$508=EVENTOS!$C17)*(OFFSET(CÁLCULO!$AI$15:$AI$508,0,U$13))),2),0)</f>
        <v>0</v>
      </c>
      <c r="V17" s="610" cm="1">
        <f t="array" aca="1" ref="V17" ca="1">IF(AUTOEVENTO="Manual",ROUND(SUMPRODUCT((CÁLCULO!$M$15:$M$508=EVENTOS!$C17)*(OFFSET(CÁLCULO!$AI$15:$AI$508,0,V$13))),2),0)</f>
        <v>0</v>
      </c>
      <c r="W17" s="610" cm="1">
        <f t="array" aca="1" ref="W17" ca="1">IF(AUTOEVENTO="Manual",ROUND(SUMPRODUCT((CÁLCULO!$M$15:$M$508=EVENTOS!$C17)*(OFFSET(CÁLCULO!$AI$15:$AI$508,0,W$13))),2),0)</f>
        <v>0</v>
      </c>
      <c r="X17" s="610" cm="1">
        <f t="array" aca="1" ref="X17" ca="1">IF(AUTOEVENTO="Manual",ROUND(SUMPRODUCT((CÁLCULO!$M$15:$M$508=EVENTOS!$C17)*(OFFSET(CÁLCULO!$AI$15:$AI$508,0,X$13))),2),0)</f>
        <v>0</v>
      </c>
      <c r="Y17" s="610" cm="1">
        <f t="array" aca="1" ref="Y17" ca="1">IF(AUTOEVENTO="Manual",ROUND(SUMPRODUCT((CÁLCULO!$M$15:$M$508=EVENTOS!$C17)*(OFFSET(CÁLCULO!$AI$15:$AI$508,0,Y$13))),2),0)</f>
        <v>0</v>
      </c>
    </row>
    <row r="18" spans="1:25" x14ac:dyDescent="0.2">
      <c r="A18" s="506" t="str">
        <f t="shared" si="3"/>
        <v>F</v>
      </c>
      <c r="B18" t="str">
        <f t="shared" ca="1" si="4"/>
        <v>3. Terraplenagem</v>
      </c>
      <c r="C18" s="182" cm="1">
        <f t="array" aca="1" ref="C18" ca="1">IF(OR(ROW(C18)=ROW(EVENTOS.firstrow)+1,AND(OFFSET(C18,-1,0)&lt;&gt;" ",OFFSET(C18,-1,1)&lt;&gt;"")),OFFSET(C18,-1,0)+1," ")</f>
        <v>3</v>
      </c>
      <c r="D18" s="496" t="s">
        <v>1274</v>
      </c>
      <c r="E18" s="610" cm="1">
        <f t="array" aca="1" ref="E18" ca="1">IF(AUTOEVENTO="Manual",ROUND(SUMPRODUCT((CÁLCULO!$M$15:$M$508=EVENTOS!$C18)*(OFFSET(CÁLCULO!$AI$15:$AI$508,0,E$13))),2),0)</f>
        <v>0</v>
      </c>
      <c r="F18" s="183">
        <f ca="1">IF(AUTOEVENTO="Manual",ROUND(SUMPRODUCT((CÁLCULO!$M$15:$M$508=EVENTOS!$C18)*(OFFSET(CÁLCULO!$AI$15,0,1):OFFSET(CÁLCULO!$BB$508,0,-1))),2),0)</f>
        <v>0</v>
      </c>
      <c r="G18" s="611" t="str">
        <f t="shared" ca="1" si="5"/>
        <v/>
      </c>
      <c r="H18" s="610" cm="1">
        <f t="array" aca="1" ref="H18" ca="1">IF(AUTOEVENTO="Manual",ROUND(SUMPRODUCT((CÁLCULO!$M$15:$M$508=EVENTOS!$C18)*(OFFSET(CÁLCULO!$AI$15:$AI$508,0,H$13))),2),0)</f>
        <v>0</v>
      </c>
      <c r="I18" s="610" cm="1">
        <f t="array" aca="1" ref="I18" ca="1">IF(AUTOEVENTO="Manual",ROUND(SUMPRODUCT((CÁLCULO!$M$15:$M$508=EVENTOS!$C18)*(OFFSET(CÁLCULO!$AI$15:$AI$508,0,I$13))),2),0)</f>
        <v>0</v>
      </c>
      <c r="J18" s="610" cm="1">
        <f t="array" aca="1" ref="J18" ca="1">IF(AUTOEVENTO="Manual",ROUND(SUMPRODUCT((CÁLCULO!$M$15:$M$508=EVENTOS!$C18)*(OFFSET(CÁLCULO!$AI$15:$AI$508,0,J$13))),2),0)</f>
        <v>0</v>
      </c>
      <c r="K18" s="610" cm="1">
        <f t="array" aca="1" ref="K18" ca="1">IF(AUTOEVENTO="Manual",ROUND(SUMPRODUCT((CÁLCULO!$M$15:$M$508=EVENTOS!$C18)*(OFFSET(CÁLCULO!$AI$15:$AI$508,0,K$13))),2),0)</f>
        <v>0</v>
      </c>
      <c r="L18" s="610" cm="1">
        <f t="array" aca="1" ref="L18" ca="1">IF(AUTOEVENTO="Manual",ROUND(SUMPRODUCT((CÁLCULO!$M$15:$M$508=EVENTOS!$C18)*(OFFSET(CÁLCULO!$AI$15:$AI$508,0,L$13))),2),0)</f>
        <v>0</v>
      </c>
      <c r="M18" s="610" cm="1">
        <f t="array" aca="1" ref="M18" ca="1">IF(AUTOEVENTO="Manual",ROUND(SUMPRODUCT((CÁLCULO!$M$15:$M$508=EVENTOS!$C18)*(OFFSET(CÁLCULO!$AI$15:$AI$508,0,M$13))),2),0)</f>
        <v>0</v>
      </c>
      <c r="N18" s="610" cm="1">
        <f t="array" aca="1" ref="N18" ca="1">IF(AUTOEVENTO="Manual",ROUND(SUMPRODUCT((CÁLCULO!$M$15:$M$508=EVENTOS!$C18)*(OFFSET(CÁLCULO!$AI$15:$AI$508,0,N$13))),2),0)</f>
        <v>0</v>
      </c>
      <c r="O18" s="610" cm="1">
        <f t="array" aca="1" ref="O18" ca="1">IF(AUTOEVENTO="Manual",ROUND(SUMPRODUCT((CÁLCULO!$M$15:$M$508=EVENTOS!$C18)*(OFFSET(CÁLCULO!$AI$15:$AI$508,0,O$13))),2),0)</f>
        <v>0</v>
      </c>
      <c r="P18" s="610" cm="1">
        <f t="array" aca="1" ref="P18" ca="1">IF(AUTOEVENTO="Manual",ROUND(SUMPRODUCT((CÁLCULO!$M$15:$M$508=EVENTOS!$C18)*(OFFSET(CÁLCULO!$AI$15:$AI$508,0,P$13))),2),0)</f>
        <v>0</v>
      </c>
      <c r="Q18" s="610" cm="1">
        <f t="array" aca="1" ref="Q18" ca="1">IF(AUTOEVENTO="Manual",ROUND(SUMPRODUCT((CÁLCULO!$M$15:$M$508=EVENTOS!$C18)*(OFFSET(CÁLCULO!$AI$15:$AI$508,0,Q$13))),2),0)</f>
        <v>0</v>
      </c>
      <c r="R18" s="610" cm="1">
        <f t="array" aca="1" ref="R18" ca="1">IF(AUTOEVENTO="Manual",ROUND(SUMPRODUCT((CÁLCULO!$M$15:$M$508=EVENTOS!$C18)*(OFFSET(CÁLCULO!$AI$15:$AI$508,0,R$13))),2),0)</f>
        <v>0</v>
      </c>
      <c r="S18" s="610" cm="1">
        <f t="array" aca="1" ref="S18" ca="1">IF(AUTOEVENTO="Manual",ROUND(SUMPRODUCT((CÁLCULO!$M$15:$M$508=EVENTOS!$C18)*(OFFSET(CÁLCULO!$AI$15:$AI$508,0,S$13))),2),0)</f>
        <v>0</v>
      </c>
      <c r="T18" s="610" cm="1">
        <f t="array" aca="1" ref="T18" ca="1">IF(AUTOEVENTO="Manual",ROUND(SUMPRODUCT((CÁLCULO!$M$15:$M$508=EVENTOS!$C18)*(OFFSET(CÁLCULO!$AI$15:$AI$508,0,T$13))),2),0)</f>
        <v>0</v>
      </c>
      <c r="U18" s="610" cm="1">
        <f t="array" aca="1" ref="U18" ca="1">IF(AUTOEVENTO="Manual",ROUND(SUMPRODUCT((CÁLCULO!$M$15:$M$508=EVENTOS!$C18)*(OFFSET(CÁLCULO!$AI$15:$AI$508,0,U$13))),2),0)</f>
        <v>0</v>
      </c>
      <c r="V18" s="610" cm="1">
        <f t="array" aca="1" ref="V18" ca="1">IF(AUTOEVENTO="Manual",ROUND(SUMPRODUCT((CÁLCULO!$M$15:$M$508=EVENTOS!$C18)*(OFFSET(CÁLCULO!$AI$15:$AI$508,0,V$13))),2),0)</f>
        <v>0</v>
      </c>
      <c r="W18" s="610" cm="1">
        <f t="array" aca="1" ref="W18" ca="1">IF(AUTOEVENTO="Manual",ROUND(SUMPRODUCT((CÁLCULO!$M$15:$M$508=EVENTOS!$C18)*(OFFSET(CÁLCULO!$AI$15:$AI$508,0,W$13))),2),0)</f>
        <v>0</v>
      </c>
      <c r="X18" s="610" cm="1">
        <f t="array" aca="1" ref="X18" ca="1">IF(AUTOEVENTO="Manual",ROUND(SUMPRODUCT((CÁLCULO!$M$15:$M$508=EVENTOS!$C18)*(OFFSET(CÁLCULO!$AI$15:$AI$508,0,X$13))),2),0)</f>
        <v>0</v>
      </c>
      <c r="Y18" s="610" cm="1">
        <f t="array" aca="1" ref="Y18" ca="1">IF(AUTOEVENTO="Manual",ROUND(SUMPRODUCT((CÁLCULO!$M$15:$M$508=EVENTOS!$C18)*(OFFSET(CÁLCULO!$AI$15:$AI$508,0,Y$13))),2),0)</f>
        <v>0</v>
      </c>
    </row>
    <row r="19" spans="1:25" x14ac:dyDescent="0.2">
      <c r="A19" s="506" t="str">
        <f t="shared" si="3"/>
        <v>F</v>
      </c>
      <c r="B19" t="str">
        <f t="shared" ca="1" si="4"/>
        <v>4. Estruturas de Concreto</v>
      </c>
      <c r="C19" s="182" cm="1">
        <f t="array" aca="1" ref="C19" ca="1">IF(OR(ROW(C19)=ROW(EVENTOS.firstrow)+1,AND(OFFSET(C19,-1,0)&lt;&gt;" ",OFFSET(C19,-1,1)&lt;&gt;"")),OFFSET(C19,-1,0)+1," ")</f>
        <v>4</v>
      </c>
      <c r="D19" s="496" t="s">
        <v>1275</v>
      </c>
      <c r="E19" s="610" cm="1">
        <f t="array" aca="1" ref="E19" ca="1">IF(AUTOEVENTO="Manual",ROUND(SUMPRODUCT((CÁLCULO!$M$15:$M$508=EVENTOS!$C19)*(OFFSET(CÁLCULO!$AI$15:$AI$508,0,E$13))),2),0)</f>
        <v>0</v>
      </c>
      <c r="F19" s="183">
        <f ca="1">IF(AUTOEVENTO="Manual",ROUND(SUMPRODUCT((CÁLCULO!$M$15:$M$508=EVENTOS!$C19)*(OFFSET(CÁLCULO!$AI$15,0,1):OFFSET(CÁLCULO!$BB$508,0,-1))),2),0)</f>
        <v>0</v>
      </c>
      <c r="G19" s="611" t="str">
        <f t="shared" ca="1" si="5"/>
        <v/>
      </c>
      <c r="H19" s="610" cm="1">
        <f t="array" aca="1" ref="H19" ca="1">IF(AUTOEVENTO="Manual",ROUND(SUMPRODUCT((CÁLCULO!$M$15:$M$508=EVENTOS!$C19)*(OFFSET(CÁLCULO!$AI$15:$AI$508,0,H$13))),2),0)</f>
        <v>0</v>
      </c>
      <c r="I19" s="610" cm="1">
        <f t="array" aca="1" ref="I19" ca="1">IF(AUTOEVENTO="Manual",ROUND(SUMPRODUCT((CÁLCULO!$M$15:$M$508=EVENTOS!$C19)*(OFFSET(CÁLCULO!$AI$15:$AI$508,0,I$13))),2),0)</f>
        <v>0</v>
      </c>
      <c r="J19" s="610" cm="1">
        <f t="array" aca="1" ref="J19" ca="1">IF(AUTOEVENTO="Manual",ROUND(SUMPRODUCT((CÁLCULO!$M$15:$M$508=EVENTOS!$C19)*(OFFSET(CÁLCULO!$AI$15:$AI$508,0,J$13))),2),0)</f>
        <v>0</v>
      </c>
      <c r="K19" s="610" cm="1">
        <f t="array" aca="1" ref="K19" ca="1">IF(AUTOEVENTO="Manual",ROUND(SUMPRODUCT((CÁLCULO!$M$15:$M$508=EVENTOS!$C19)*(OFFSET(CÁLCULO!$AI$15:$AI$508,0,K$13))),2),0)</f>
        <v>0</v>
      </c>
      <c r="L19" s="610" cm="1">
        <f t="array" aca="1" ref="L19" ca="1">IF(AUTOEVENTO="Manual",ROUND(SUMPRODUCT((CÁLCULO!$M$15:$M$508=EVENTOS!$C19)*(OFFSET(CÁLCULO!$AI$15:$AI$508,0,L$13))),2),0)</f>
        <v>0</v>
      </c>
      <c r="M19" s="610" cm="1">
        <f t="array" aca="1" ref="M19" ca="1">IF(AUTOEVENTO="Manual",ROUND(SUMPRODUCT((CÁLCULO!$M$15:$M$508=EVENTOS!$C19)*(OFFSET(CÁLCULO!$AI$15:$AI$508,0,M$13))),2),0)</f>
        <v>0</v>
      </c>
      <c r="N19" s="610" cm="1">
        <f t="array" aca="1" ref="N19" ca="1">IF(AUTOEVENTO="Manual",ROUND(SUMPRODUCT((CÁLCULO!$M$15:$M$508=EVENTOS!$C19)*(OFFSET(CÁLCULO!$AI$15:$AI$508,0,N$13))),2),0)</f>
        <v>0</v>
      </c>
      <c r="O19" s="610" cm="1">
        <f t="array" aca="1" ref="O19" ca="1">IF(AUTOEVENTO="Manual",ROUND(SUMPRODUCT((CÁLCULO!$M$15:$M$508=EVENTOS!$C19)*(OFFSET(CÁLCULO!$AI$15:$AI$508,0,O$13))),2),0)</f>
        <v>0</v>
      </c>
      <c r="P19" s="610" cm="1">
        <f t="array" aca="1" ref="P19" ca="1">IF(AUTOEVENTO="Manual",ROUND(SUMPRODUCT((CÁLCULO!$M$15:$M$508=EVENTOS!$C19)*(OFFSET(CÁLCULO!$AI$15:$AI$508,0,P$13))),2),0)</f>
        <v>0</v>
      </c>
      <c r="Q19" s="610" cm="1">
        <f t="array" aca="1" ref="Q19" ca="1">IF(AUTOEVENTO="Manual",ROUND(SUMPRODUCT((CÁLCULO!$M$15:$M$508=EVENTOS!$C19)*(OFFSET(CÁLCULO!$AI$15:$AI$508,0,Q$13))),2),0)</f>
        <v>0</v>
      </c>
      <c r="R19" s="610" cm="1">
        <f t="array" aca="1" ref="R19" ca="1">IF(AUTOEVENTO="Manual",ROUND(SUMPRODUCT((CÁLCULO!$M$15:$M$508=EVENTOS!$C19)*(OFFSET(CÁLCULO!$AI$15:$AI$508,0,R$13))),2),0)</f>
        <v>0</v>
      </c>
      <c r="S19" s="610" cm="1">
        <f t="array" aca="1" ref="S19" ca="1">IF(AUTOEVENTO="Manual",ROUND(SUMPRODUCT((CÁLCULO!$M$15:$M$508=EVENTOS!$C19)*(OFFSET(CÁLCULO!$AI$15:$AI$508,0,S$13))),2),0)</f>
        <v>0</v>
      </c>
      <c r="T19" s="610" cm="1">
        <f t="array" aca="1" ref="T19" ca="1">IF(AUTOEVENTO="Manual",ROUND(SUMPRODUCT((CÁLCULO!$M$15:$M$508=EVENTOS!$C19)*(OFFSET(CÁLCULO!$AI$15:$AI$508,0,T$13))),2),0)</f>
        <v>0</v>
      </c>
      <c r="U19" s="610" cm="1">
        <f t="array" aca="1" ref="U19" ca="1">IF(AUTOEVENTO="Manual",ROUND(SUMPRODUCT((CÁLCULO!$M$15:$M$508=EVENTOS!$C19)*(OFFSET(CÁLCULO!$AI$15:$AI$508,0,U$13))),2),0)</f>
        <v>0</v>
      </c>
      <c r="V19" s="610" cm="1">
        <f t="array" aca="1" ref="V19" ca="1">IF(AUTOEVENTO="Manual",ROUND(SUMPRODUCT((CÁLCULO!$M$15:$M$508=EVENTOS!$C19)*(OFFSET(CÁLCULO!$AI$15:$AI$508,0,V$13))),2),0)</f>
        <v>0</v>
      </c>
      <c r="W19" s="610" cm="1">
        <f t="array" aca="1" ref="W19" ca="1">IF(AUTOEVENTO="Manual",ROUND(SUMPRODUCT((CÁLCULO!$M$15:$M$508=EVENTOS!$C19)*(OFFSET(CÁLCULO!$AI$15:$AI$508,0,W$13))),2),0)</f>
        <v>0</v>
      </c>
      <c r="X19" s="610" cm="1">
        <f t="array" aca="1" ref="X19" ca="1">IF(AUTOEVENTO="Manual",ROUND(SUMPRODUCT((CÁLCULO!$M$15:$M$508=EVENTOS!$C19)*(OFFSET(CÁLCULO!$AI$15:$AI$508,0,X$13))),2),0)</f>
        <v>0</v>
      </c>
      <c r="Y19" s="610" cm="1">
        <f t="array" aca="1" ref="Y19" ca="1">IF(AUTOEVENTO="Manual",ROUND(SUMPRODUCT((CÁLCULO!$M$15:$M$508=EVENTOS!$C19)*(OFFSET(CÁLCULO!$AI$15:$AI$508,0,Y$13))),2),0)</f>
        <v>0</v>
      </c>
    </row>
    <row r="20" spans="1:25" x14ac:dyDescent="0.2">
      <c r="A20" s="506" t="str">
        <f t="shared" si="3"/>
        <v>F</v>
      </c>
      <c r="B20" t="str">
        <f t="shared" ca="1" si="4"/>
        <v>5. Estrutura Metálica</v>
      </c>
      <c r="C20" s="182" cm="1">
        <f t="array" aca="1" ref="C20" ca="1">IF(OR(ROW(C20)=ROW(EVENTOS.firstrow)+1,AND(OFFSET(C20,-1,0)&lt;&gt;" ",OFFSET(C20,-1,1)&lt;&gt;"")),OFFSET(C20,-1,0)+1," ")</f>
        <v>5</v>
      </c>
      <c r="D20" s="496" t="s">
        <v>1276</v>
      </c>
      <c r="E20" s="610" cm="1">
        <f t="array" aca="1" ref="E20" ca="1">IF(AUTOEVENTO="Manual",ROUND(SUMPRODUCT((CÁLCULO!$M$15:$M$508=EVENTOS!$C20)*(OFFSET(CÁLCULO!$AI$15:$AI$508,0,E$13))),2),0)</f>
        <v>0</v>
      </c>
      <c r="F20" s="183">
        <f ca="1">IF(AUTOEVENTO="Manual",ROUND(SUMPRODUCT((CÁLCULO!$M$15:$M$508=EVENTOS!$C20)*(OFFSET(CÁLCULO!$AI$15,0,1):OFFSET(CÁLCULO!$BB$508,0,-1))),2),0)</f>
        <v>0</v>
      </c>
      <c r="G20" s="611" t="str">
        <f t="shared" ca="1" si="5"/>
        <v/>
      </c>
      <c r="H20" s="610" cm="1">
        <f t="array" aca="1" ref="H20" ca="1">IF(AUTOEVENTO="Manual",ROUND(SUMPRODUCT((CÁLCULO!$M$15:$M$508=EVENTOS!$C20)*(OFFSET(CÁLCULO!$AI$15:$AI$508,0,H$13))),2),0)</f>
        <v>0</v>
      </c>
      <c r="I20" s="610" cm="1">
        <f t="array" aca="1" ref="I20" ca="1">IF(AUTOEVENTO="Manual",ROUND(SUMPRODUCT((CÁLCULO!$M$15:$M$508=EVENTOS!$C20)*(OFFSET(CÁLCULO!$AI$15:$AI$508,0,I$13))),2),0)</f>
        <v>0</v>
      </c>
      <c r="J20" s="610" cm="1">
        <f t="array" aca="1" ref="J20" ca="1">IF(AUTOEVENTO="Manual",ROUND(SUMPRODUCT((CÁLCULO!$M$15:$M$508=EVENTOS!$C20)*(OFFSET(CÁLCULO!$AI$15:$AI$508,0,J$13))),2),0)</f>
        <v>0</v>
      </c>
      <c r="K20" s="610" cm="1">
        <f t="array" aca="1" ref="K20" ca="1">IF(AUTOEVENTO="Manual",ROUND(SUMPRODUCT((CÁLCULO!$M$15:$M$508=EVENTOS!$C20)*(OFFSET(CÁLCULO!$AI$15:$AI$508,0,K$13))),2),0)</f>
        <v>0</v>
      </c>
      <c r="L20" s="610" cm="1">
        <f t="array" aca="1" ref="L20" ca="1">IF(AUTOEVENTO="Manual",ROUND(SUMPRODUCT((CÁLCULO!$M$15:$M$508=EVENTOS!$C20)*(OFFSET(CÁLCULO!$AI$15:$AI$508,0,L$13))),2),0)</f>
        <v>0</v>
      </c>
      <c r="M20" s="610" cm="1">
        <f t="array" aca="1" ref="M20" ca="1">IF(AUTOEVENTO="Manual",ROUND(SUMPRODUCT((CÁLCULO!$M$15:$M$508=EVENTOS!$C20)*(OFFSET(CÁLCULO!$AI$15:$AI$508,0,M$13))),2),0)</f>
        <v>0</v>
      </c>
      <c r="N20" s="610" cm="1">
        <f t="array" aca="1" ref="N20" ca="1">IF(AUTOEVENTO="Manual",ROUND(SUMPRODUCT((CÁLCULO!$M$15:$M$508=EVENTOS!$C20)*(OFFSET(CÁLCULO!$AI$15:$AI$508,0,N$13))),2),0)</f>
        <v>0</v>
      </c>
      <c r="O20" s="610" cm="1">
        <f t="array" aca="1" ref="O20" ca="1">IF(AUTOEVENTO="Manual",ROUND(SUMPRODUCT((CÁLCULO!$M$15:$M$508=EVENTOS!$C20)*(OFFSET(CÁLCULO!$AI$15:$AI$508,0,O$13))),2),0)</f>
        <v>0</v>
      </c>
      <c r="P20" s="610" cm="1">
        <f t="array" aca="1" ref="P20" ca="1">IF(AUTOEVENTO="Manual",ROUND(SUMPRODUCT((CÁLCULO!$M$15:$M$508=EVENTOS!$C20)*(OFFSET(CÁLCULO!$AI$15:$AI$508,0,P$13))),2),0)</f>
        <v>0</v>
      </c>
      <c r="Q20" s="610" cm="1">
        <f t="array" aca="1" ref="Q20" ca="1">IF(AUTOEVENTO="Manual",ROUND(SUMPRODUCT((CÁLCULO!$M$15:$M$508=EVENTOS!$C20)*(OFFSET(CÁLCULO!$AI$15:$AI$508,0,Q$13))),2),0)</f>
        <v>0</v>
      </c>
      <c r="R20" s="610" cm="1">
        <f t="array" aca="1" ref="R20" ca="1">IF(AUTOEVENTO="Manual",ROUND(SUMPRODUCT((CÁLCULO!$M$15:$M$508=EVENTOS!$C20)*(OFFSET(CÁLCULO!$AI$15:$AI$508,0,R$13))),2),0)</f>
        <v>0</v>
      </c>
      <c r="S20" s="610" cm="1">
        <f t="array" aca="1" ref="S20" ca="1">IF(AUTOEVENTO="Manual",ROUND(SUMPRODUCT((CÁLCULO!$M$15:$M$508=EVENTOS!$C20)*(OFFSET(CÁLCULO!$AI$15:$AI$508,0,S$13))),2),0)</f>
        <v>0</v>
      </c>
      <c r="T20" s="610" cm="1">
        <f t="array" aca="1" ref="T20" ca="1">IF(AUTOEVENTO="Manual",ROUND(SUMPRODUCT((CÁLCULO!$M$15:$M$508=EVENTOS!$C20)*(OFFSET(CÁLCULO!$AI$15:$AI$508,0,T$13))),2),0)</f>
        <v>0</v>
      </c>
      <c r="U20" s="610" cm="1">
        <f t="array" aca="1" ref="U20" ca="1">IF(AUTOEVENTO="Manual",ROUND(SUMPRODUCT((CÁLCULO!$M$15:$M$508=EVENTOS!$C20)*(OFFSET(CÁLCULO!$AI$15:$AI$508,0,U$13))),2),0)</f>
        <v>0</v>
      </c>
      <c r="V20" s="610" cm="1">
        <f t="array" aca="1" ref="V20" ca="1">IF(AUTOEVENTO="Manual",ROUND(SUMPRODUCT((CÁLCULO!$M$15:$M$508=EVENTOS!$C20)*(OFFSET(CÁLCULO!$AI$15:$AI$508,0,V$13))),2),0)</f>
        <v>0</v>
      </c>
      <c r="W20" s="610" cm="1">
        <f t="array" aca="1" ref="W20" ca="1">IF(AUTOEVENTO="Manual",ROUND(SUMPRODUCT((CÁLCULO!$M$15:$M$508=EVENTOS!$C20)*(OFFSET(CÁLCULO!$AI$15:$AI$508,0,W$13))),2),0)</f>
        <v>0</v>
      </c>
      <c r="X20" s="610" cm="1">
        <f t="array" aca="1" ref="X20" ca="1">IF(AUTOEVENTO="Manual",ROUND(SUMPRODUCT((CÁLCULO!$M$15:$M$508=EVENTOS!$C20)*(OFFSET(CÁLCULO!$AI$15:$AI$508,0,X$13))),2),0)</f>
        <v>0</v>
      </c>
      <c r="Y20" s="610" cm="1">
        <f t="array" aca="1" ref="Y20" ca="1">IF(AUTOEVENTO="Manual",ROUND(SUMPRODUCT((CÁLCULO!$M$15:$M$508=EVENTOS!$C20)*(OFFSET(CÁLCULO!$AI$15:$AI$508,0,Y$13))),2),0)</f>
        <v>0</v>
      </c>
    </row>
    <row r="21" spans="1:25" x14ac:dyDescent="0.2">
      <c r="A21" s="506" t="str">
        <f t="shared" si="3"/>
        <v>F</v>
      </c>
      <c r="B21" t="str">
        <f t="shared" ca="1" si="4"/>
        <v>6. Saneamento</v>
      </c>
      <c r="C21" s="182" cm="1">
        <f t="array" aca="1" ref="C21" ca="1">IF(OR(ROW(C21)=ROW(EVENTOS.firstrow)+1,AND(OFFSET(C21,-1,0)&lt;&gt;" ",OFFSET(C21,-1,1)&lt;&gt;"")),OFFSET(C21,-1,0)+1," ")</f>
        <v>6</v>
      </c>
      <c r="D21" s="496" t="s">
        <v>1277</v>
      </c>
      <c r="E21" s="610" cm="1">
        <f t="array" aca="1" ref="E21" ca="1">IF(AUTOEVENTO="Manual",ROUND(SUMPRODUCT((CÁLCULO!$M$15:$M$508=EVENTOS!$C21)*(OFFSET(CÁLCULO!$AI$15:$AI$508,0,E$13))),2),0)</f>
        <v>0</v>
      </c>
      <c r="F21" s="183">
        <f ca="1">IF(AUTOEVENTO="Manual",ROUND(SUMPRODUCT((CÁLCULO!$M$15:$M$508=EVENTOS!$C21)*(OFFSET(CÁLCULO!$AI$15,0,1):OFFSET(CÁLCULO!$BB$508,0,-1))),2),0)</f>
        <v>0</v>
      </c>
      <c r="G21" s="611" t="str">
        <f t="shared" ca="1" si="5"/>
        <v/>
      </c>
      <c r="H21" s="610" cm="1">
        <f t="array" aca="1" ref="H21" ca="1">IF(AUTOEVENTO="Manual",ROUND(SUMPRODUCT((CÁLCULO!$M$15:$M$508=EVENTOS!$C21)*(OFFSET(CÁLCULO!$AI$15:$AI$508,0,H$13))),2),0)</f>
        <v>0</v>
      </c>
      <c r="I21" s="610" cm="1">
        <f t="array" aca="1" ref="I21" ca="1">IF(AUTOEVENTO="Manual",ROUND(SUMPRODUCT((CÁLCULO!$M$15:$M$508=EVENTOS!$C21)*(OFFSET(CÁLCULO!$AI$15:$AI$508,0,I$13))),2),0)</f>
        <v>0</v>
      </c>
      <c r="J21" s="610" cm="1">
        <f t="array" aca="1" ref="J21" ca="1">IF(AUTOEVENTO="Manual",ROUND(SUMPRODUCT((CÁLCULO!$M$15:$M$508=EVENTOS!$C21)*(OFFSET(CÁLCULO!$AI$15:$AI$508,0,J$13))),2),0)</f>
        <v>0</v>
      </c>
      <c r="K21" s="610" cm="1">
        <f t="array" aca="1" ref="K21" ca="1">IF(AUTOEVENTO="Manual",ROUND(SUMPRODUCT((CÁLCULO!$M$15:$M$508=EVENTOS!$C21)*(OFFSET(CÁLCULO!$AI$15:$AI$508,0,K$13))),2),0)</f>
        <v>0</v>
      </c>
      <c r="L21" s="610" cm="1">
        <f t="array" aca="1" ref="L21" ca="1">IF(AUTOEVENTO="Manual",ROUND(SUMPRODUCT((CÁLCULO!$M$15:$M$508=EVENTOS!$C21)*(OFFSET(CÁLCULO!$AI$15:$AI$508,0,L$13))),2),0)</f>
        <v>0</v>
      </c>
      <c r="M21" s="610" cm="1">
        <f t="array" aca="1" ref="M21" ca="1">IF(AUTOEVENTO="Manual",ROUND(SUMPRODUCT((CÁLCULO!$M$15:$M$508=EVENTOS!$C21)*(OFFSET(CÁLCULO!$AI$15:$AI$508,0,M$13))),2),0)</f>
        <v>0</v>
      </c>
      <c r="N21" s="610" cm="1">
        <f t="array" aca="1" ref="N21" ca="1">IF(AUTOEVENTO="Manual",ROUND(SUMPRODUCT((CÁLCULO!$M$15:$M$508=EVENTOS!$C21)*(OFFSET(CÁLCULO!$AI$15:$AI$508,0,N$13))),2),0)</f>
        <v>0</v>
      </c>
      <c r="O21" s="610" cm="1">
        <f t="array" aca="1" ref="O21" ca="1">IF(AUTOEVENTO="Manual",ROUND(SUMPRODUCT((CÁLCULO!$M$15:$M$508=EVENTOS!$C21)*(OFFSET(CÁLCULO!$AI$15:$AI$508,0,O$13))),2),0)</f>
        <v>0</v>
      </c>
      <c r="P21" s="610" cm="1">
        <f t="array" aca="1" ref="P21" ca="1">IF(AUTOEVENTO="Manual",ROUND(SUMPRODUCT((CÁLCULO!$M$15:$M$508=EVENTOS!$C21)*(OFFSET(CÁLCULO!$AI$15:$AI$508,0,P$13))),2),0)</f>
        <v>0</v>
      </c>
      <c r="Q21" s="610" cm="1">
        <f t="array" aca="1" ref="Q21" ca="1">IF(AUTOEVENTO="Manual",ROUND(SUMPRODUCT((CÁLCULO!$M$15:$M$508=EVENTOS!$C21)*(OFFSET(CÁLCULO!$AI$15:$AI$508,0,Q$13))),2),0)</f>
        <v>0</v>
      </c>
      <c r="R21" s="610" cm="1">
        <f t="array" aca="1" ref="R21" ca="1">IF(AUTOEVENTO="Manual",ROUND(SUMPRODUCT((CÁLCULO!$M$15:$M$508=EVENTOS!$C21)*(OFFSET(CÁLCULO!$AI$15:$AI$508,0,R$13))),2),0)</f>
        <v>0</v>
      </c>
      <c r="S21" s="610" cm="1">
        <f t="array" aca="1" ref="S21" ca="1">IF(AUTOEVENTO="Manual",ROUND(SUMPRODUCT((CÁLCULO!$M$15:$M$508=EVENTOS!$C21)*(OFFSET(CÁLCULO!$AI$15:$AI$508,0,S$13))),2),0)</f>
        <v>0</v>
      </c>
      <c r="T21" s="610" cm="1">
        <f t="array" aca="1" ref="T21" ca="1">IF(AUTOEVENTO="Manual",ROUND(SUMPRODUCT((CÁLCULO!$M$15:$M$508=EVENTOS!$C21)*(OFFSET(CÁLCULO!$AI$15:$AI$508,0,T$13))),2),0)</f>
        <v>0</v>
      </c>
      <c r="U21" s="610" cm="1">
        <f t="array" aca="1" ref="U21" ca="1">IF(AUTOEVENTO="Manual",ROUND(SUMPRODUCT((CÁLCULO!$M$15:$M$508=EVENTOS!$C21)*(OFFSET(CÁLCULO!$AI$15:$AI$508,0,U$13))),2),0)</f>
        <v>0</v>
      </c>
      <c r="V21" s="610" cm="1">
        <f t="array" aca="1" ref="V21" ca="1">IF(AUTOEVENTO="Manual",ROUND(SUMPRODUCT((CÁLCULO!$M$15:$M$508=EVENTOS!$C21)*(OFFSET(CÁLCULO!$AI$15:$AI$508,0,V$13))),2),0)</f>
        <v>0</v>
      </c>
      <c r="W21" s="610" cm="1">
        <f t="array" aca="1" ref="W21" ca="1">IF(AUTOEVENTO="Manual",ROUND(SUMPRODUCT((CÁLCULO!$M$15:$M$508=EVENTOS!$C21)*(OFFSET(CÁLCULO!$AI$15:$AI$508,0,W$13))),2),0)</f>
        <v>0</v>
      </c>
      <c r="X21" s="610" cm="1">
        <f t="array" aca="1" ref="X21" ca="1">IF(AUTOEVENTO="Manual",ROUND(SUMPRODUCT((CÁLCULO!$M$15:$M$508=EVENTOS!$C21)*(OFFSET(CÁLCULO!$AI$15:$AI$508,0,X$13))),2),0)</f>
        <v>0</v>
      </c>
      <c r="Y21" s="610" cm="1">
        <f t="array" aca="1" ref="Y21" ca="1">IF(AUTOEVENTO="Manual",ROUND(SUMPRODUCT((CÁLCULO!$M$15:$M$508=EVENTOS!$C21)*(OFFSET(CÁLCULO!$AI$15:$AI$508,0,Y$13))),2),0)</f>
        <v>0</v>
      </c>
    </row>
    <row r="22" spans="1:25" x14ac:dyDescent="0.2">
      <c r="A22" s="506" t="str">
        <f t="shared" si="3"/>
        <v>F</v>
      </c>
      <c r="B22" t="str">
        <f t="shared" ca="1" si="4"/>
        <v>7. Instalações Elétricas</v>
      </c>
      <c r="C22" s="182" cm="1">
        <f t="array" aca="1" ref="C22" ca="1">IF(OR(ROW(C22)=ROW(EVENTOS.firstrow)+1,AND(OFFSET(C22,-1,0)&lt;&gt;" ",OFFSET(C22,-1,1)&lt;&gt;"")),OFFSET(C22,-1,0)+1," ")</f>
        <v>7</v>
      </c>
      <c r="D22" s="496" t="s">
        <v>1278</v>
      </c>
      <c r="E22" s="610" cm="1">
        <f t="array" aca="1" ref="E22" ca="1">IF(AUTOEVENTO="Manual",ROUND(SUMPRODUCT((CÁLCULO!$M$15:$M$508=EVENTOS!$C22)*(OFFSET(CÁLCULO!$AI$15:$AI$508,0,E$13))),2),0)</f>
        <v>0</v>
      </c>
      <c r="F22" s="183">
        <f ca="1">IF(AUTOEVENTO="Manual",ROUND(SUMPRODUCT((CÁLCULO!$M$15:$M$508=EVENTOS!$C22)*(OFFSET(CÁLCULO!$AI$15,0,1):OFFSET(CÁLCULO!$BB$508,0,-1))),2),0)</f>
        <v>0</v>
      </c>
      <c r="G22" s="611" t="str">
        <f t="shared" ca="1" si="5"/>
        <v/>
      </c>
      <c r="H22" s="610" cm="1">
        <f t="array" aca="1" ref="H22" ca="1">IF(AUTOEVENTO="Manual",ROUND(SUMPRODUCT((CÁLCULO!$M$15:$M$508=EVENTOS!$C22)*(OFFSET(CÁLCULO!$AI$15:$AI$508,0,H$13))),2),0)</f>
        <v>0</v>
      </c>
      <c r="I22" s="610" cm="1">
        <f t="array" aca="1" ref="I22" ca="1">IF(AUTOEVENTO="Manual",ROUND(SUMPRODUCT((CÁLCULO!$M$15:$M$508=EVENTOS!$C22)*(OFFSET(CÁLCULO!$AI$15:$AI$508,0,I$13))),2),0)</f>
        <v>0</v>
      </c>
      <c r="J22" s="610" cm="1">
        <f t="array" aca="1" ref="J22" ca="1">IF(AUTOEVENTO="Manual",ROUND(SUMPRODUCT((CÁLCULO!$M$15:$M$508=EVENTOS!$C22)*(OFFSET(CÁLCULO!$AI$15:$AI$508,0,J$13))),2),0)</f>
        <v>0</v>
      </c>
      <c r="K22" s="610" cm="1">
        <f t="array" aca="1" ref="K22" ca="1">IF(AUTOEVENTO="Manual",ROUND(SUMPRODUCT((CÁLCULO!$M$15:$M$508=EVENTOS!$C22)*(OFFSET(CÁLCULO!$AI$15:$AI$508,0,K$13))),2),0)</f>
        <v>0</v>
      </c>
      <c r="L22" s="610" cm="1">
        <f t="array" aca="1" ref="L22" ca="1">IF(AUTOEVENTO="Manual",ROUND(SUMPRODUCT((CÁLCULO!$M$15:$M$508=EVENTOS!$C22)*(OFFSET(CÁLCULO!$AI$15:$AI$508,0,L$13))),2),0)</f>
        <v>0</v>
      </c>
      <c r="M22" s="610" cm="1">
        <f t="array" aca="1" ref="M22" ca="1">IF(AUTOEVENTO="Manual",ROUND(SUMPRODUCT((CÁLCULO!$M$15:$M$508=EVENTOS!$C22)*(OFFSET(CÁLCULO!$AI$15:$AI$508,0,M$13))),2),0)</f>
        <v>0</v>
      </c>
      <c r="N22" s="610" cm="1">
        <f t="array" aca="1" ref="N22" ca="1">IF(AUTOEVENTO="Manual",ROUND(SUMPRODUCT((CÁLCULO!$M$15:$M$508=EVENTOS!$C22)*(OFFSET(CÁLCULO!$AI$15:$AI$508,0,N$13))),2),0)</f>
        <v>0</v>
      </c>
      <c r="O22" s="610" cm="1">
        <f t="array" aca="1" ref="O22" ca="1">IF(AUTOEVENTO="Manual",ROUND(SUMPRODUCT((CÁLCULO!$M$15:$M$508=EVENTOS!$C22)*(OFFSET(CÁLCULO!$AI$15:$AI$508,0,O$13))),2),0)</f>
        <v>0</v>
      </c>
      <c r="P22" s="610" cm="1">
        <f t="array" aca="1" ref="P22" ca="1">IF(AUTOEVENTO="Manual",ROUND(SUMPRODUCT((CÁLCULO!$M$15:$M$508=EVENTOS!$C22)*(OFFSET(CÁLCULO!$AI$15:$AI$508,0,P$13))),2),0)</f>
        <v>0</v>
      </c>
      <c r="Q22" s="610" cm="1">
        <f t="array" aca="1" ref="Q22" ca="1">IF(AUTOEVENTO="Manual",ROUND(SUMPRODUCT((CÁLCULO!$M$15:$M$508=EVENTOS!$C22)*(OFFSET(CÁLCULO!$AI$15:$AI$508,0,Q$13))),2),0)</f>
        <v>0</v>
      </c>
      <c r="R22" s="610" cm="1">
        <f t="array" aca="1" ref="R22" ca="1">IF(AUTOEVENTO="Manual",ROUND(SUMPRODUCT((CÁLCULO!$M$15:$M$508=EVENTOS!$C22)*(OFFSET(CÁLCULO!$AI$15:$AI$508,0,R$13))),2),0)</f>
        <v>0</v>
      </c>
      <c r="S22" s="610" cm="1">
        <f t="array" aca="1" ref="S22" ca="1">IF(AUTOEVENTO="Manual",ROUND(SUMPRODUCT((CÁLCULO!$M$15:$M$508=EVENTOS!$C22)*(OFFSET(CÁLCULO!$AI$15:$AI$508,0,S$13))),2),0)</f>
        <v>0</v>
      </c>
      <c r="T22" s="610" cm="1">
        <f t="array" aca="1" ref="T22" ca="1">IF(AUTOEVENTO="Manual",ROUND(SUMPRODUCT((CÁLCULO!$M$15:$M$508=EVENTOS!$C22)*(OFFSET(CÁLCULO!$AI$15:$AI$508,0,T$13))),2),0)</f>
        <v>0</v>
      </c>
      <c r="U22" s="610" cm="1">
        <f t="array" aca="1" ref="U22" ca="1">IF(AUTOEVENTO="Manual",ROUND(SUMPRODUCT((CÁLCULO!$M$15:$M$508=EVENTOS!$C22)*(OFFSET(CÁLCULO!$AI$15:$AI$508,0,U$13))),2),0)</f>
        <v>0</v>
      </c>
      <c r="V22" s="610" cm="1">
        <f t="array" aca="1" ref="V22" ca="1">IF(AUTOEVENTO="Manual",ROUND(SUMPRODUCT((CÁLCULO!$M$15:$M$508=EVENTOS!$C22)*(OFFSET(CÁLCULO!$AI$15:$AI$508,0,V$13))),2),0)</f>
        <v>0</v>
      </c>
      <c r="W22" s="610" cm="1">
        <f t="array" aca="1" ref="W22" ca="1">IF(AUTOEVENTO="Manual",ROUND(SUMPRODUCT((CÁLCULO!$M$15:$M$508=EVENTOS!$C22)*(OFFSET(CÁLCULO!$AI$15:$AI$508,0,W$13))),2),0)</f>
        <v>0</v>
      </c>
      <c r="X22" s="610" cm="1">
        <f t="array" aca="1" ref="X22" ca="1">IF(AUTOEVENTO="Manual",ROUND(SUMPRODUCT((CÁLCULO!$M$15:$M$508=EVENTOS!$C22)*(OFFSET(CÁLCULO!$AI$15:$AI$508,0,X$13))),2),0)</f>
        <v>0</v>
      </c>
      <c r="Y22" s="610" cm="1">
        <f t="array" aca="1" ref="Y22" ca="1">IF(AUTOEVENTO="Manual",ROUND(SUMPRODUCT((CÁLCULO!$M$15:$M$508=EVENTOS!$C22)*(OFFSET(CÁLCULO!$AI$15:$AI$508,0,Y$13))),2),0)</f>
        <v>0</v>
      </c>
    </row>
    <row r="23" spans="1:25" x14ac:dyDescent="0.2">
      <c r="A23" s="506" t="str">
        <f t="shared" si="3"/>
        <v>F</v>
      </c>
      <c r="B23" t="str">
        <f t="shared" ca="1" si="4"/>
        <v>8. CFTV</v>
      </c>
      <c r="C23" s="182" cm="1">
        <f t="array" aca="1" ref="C23" ca="1">IF(OR(ROW(C23)=ROW(EVENTOS.firstrow)+1,AND(OFFSET(C23,-1,0)&lt;&gt;" ",OFFSET(C23,-1,1)&lt;&gt;"")),OFFSET(C23,-1,0)+1," ")</f>
        <v>8</v>
      </c>
      <c r="D23" s="496" t="s">
        <v>1258</v>
      </c>
      <c r="E23" s="610" cm="1">
        <f t="array" aca="1" ref="E23" ca="1">IF(AUTOEVENTO="Manual",ROUND(SUMPRODUCT((CÁLCULO!$M$15:$M$508=EVENTOS!$C23)*(OFFSET(CÁLCULO!$AI$15:$AI$508,0,E$13))),2),0)</f>
        <v>0</v>
      </c>
      <c r="F23" s="183">
        <f ca="1">IF(AUTOEVENTO="Manual",ROUND(SUMPRODUCT((CÁLCULO!$M$15:$M$508=EVENTOS!$C23)*(OFFSET(CÁLCULO!$AI$15,0,1):OFFSET(CÁLCULO!$BB$508,0,-1))),2),0)</f>
        <v>0</v>
      </c>
      <c r="G23" s="611" t="str">
        <f t="shared" ca="1" si="5"/>
        <v/>
      </c>
      <c r="H23" s="610" cm="1">
        <f t="array" aca="1" ref="H23" ca="1">IF(AUTOEVENTO="Manual",ROUND(SUMPRODUCT((CÁLCULO!$M$15:$M$508=EVENTOS!$C23)*(OFFSET(CÁLCULO!$AI$15:$AI$508,0,H$13))),2),0)</f>
        <v>0</v>
      </c>
      <c r="I23" s="610" cm="1">
        <f t="array" aca="1" ref="I23" ca="1">IF(AUTOEVENTO="Manual",ROUND(SUMPRODUCT((CÁLCULO!$M$15:$M$508=EVENTOS!$C23)*(OFFSET(CÁLCULO!$AI$15:$AI$508,0,I$13))),2),0)</f>
        <v>0</v>
      </c>
      <c r="J23" s="610" cm="1">
        <f t="array" aca="1" ref="J23" ca="1">IF(AUTOEVENTO="Manual",ROUND(SUMPRODUCT((CÁLCULO!$M$15:$M$508=EVENTOS!$C23)*(OFFSET(CÁLCULO!$AI$15:$AI$508,0,J$13))),2),0)</f>
        <v>0</v>
      </c>
      <c r="K23" s="610" cm="1">
        <f t="array" aca="1" ref="K23" ca="1">IF(AUTOEVENTO="Manual",ROUND(SUMPRODUCT((CÁLCULO!$M$15:$M$508=EVENTOS!$C23)*(OFFSET(CÁLCULO!$AI$15:$AI$508,0,K$13))),2),0)</f>
        <v>0</v>
      </c>
      <c r="L23" s="610" cm="1">
        <f t="array" aca="1" ref="L23" ca="1">IF(AUTOEVENTO="Manual",ROUND(SUMPRODUCT((CÁLCULO!$M$15:$M$508=EVENTOS!$C23)*(OFFSET(CÁLCULO!$AI$15:$AI$508,0,L$13))),2),0)</f>
        <v>0</v>
      </c>
      <c r="M23" s="610" cm="1">
        <f t="array" aca="1" ref="M23" ca="1">IF(AUTOEVENTO="Manual",ROUND(SUMPRODUCT((CÁLCULO!$M$15:$M$508=EVENTOS!$C23)*(OFFSET(CÁLCULO!$AI$15:$AI$508,0,M$13))),2),0)</f>
        <v>0</v>
      </c>
      <c r="N23" s="610" cm="1">
        <f t="array" aca="1" ref="N23" ca="1">IF(AUTOEVENTO="Manual",ROUND(SUMPRODUCT((CÁLCULO!$M$15:$M$508=EVENTOS!$C23)*(OFFSET(CÁLCULO!$AI$15:$AI$508,0,N$13))),2),0)</f>
        <v>0</v>
      </c>
      <c r="O23" s="610" cm="1">
        <f t="array" aca="1" ref="O23" ca="1">IF(AUTOEVENTO="Manual",ROUND(SUMPRODUCT((CÁLCULO!$M$15:$M$508=EVENTOS!$C23)*(OFFSET(CÁLCULO!$AI$15:$AI$508,0,O$13))),2),0)</f>
        <v>0</v>
      </c>
      <c r="P23" s="610" cm="1">
        <f t="array" aca="1" ref="P23" ca="1">IF(AUTOEVENTO="Manual",ROUND(SUMPRODUCT((CÁLCULO!$M$15:$M$508=EVENTOS!$C23)*(OFFSET(CÁLCULO!$AI$15:$AI$508,0,P$13))),2),0)</f>
        <v>0</v>
      </c>
      <c r="Q23" s="610" cm="1">
        <f t="array" aca="1" ref="Q23" ca="1">IF(AUTOEVENTO="Manual",ROUND(SUMPRODUCT((CÁLCULO!$M$15:$M$508=EVENTOS!$C23)*(OFFSET(CÁLCULO!$AI$15:$AI$508,0,Q$13))),2),0)</f>
        <v>0</v>
      </c>
      <c r="R23" s="610" cm="1">
        <f t="array" aca="1" ref="R23" ca="1">IF(AUTOEVENTO="Manual",ROUND(SUMPRODUCT((CÁLCULO!$M$15:$M$508=EVENTOS!$C23)*(OFFSET(CÁLCULO!$AI$15:$AI$508,0,R$13))),2),0)</f>
        <v>0</v>
      </c>
      <c r="S23" s="610" cm="1">
        <f t="array" aca="1" ref="S23" ca="1">IF(AUTOEVENTO="Manual",ROUND(SUMPRODUCT((CÁLCULO!$M$15:$M$508=EVENTOS!$C23)*(OFFSET(CÁLCULO!$AI$15:$AI$508,0,S$13))),2),0)</f>
        <v>0</v>
      </c>
      <c r="T23" s="610" cm="1">
        <f t="array" aca="1" ref="T23" ca="1">IF(AUTOEVENTO="Manual",ROUND(SUMPRODUCT((CÁLCULO!$M$15:$M$508=EVENTOS!$C23)*(OFFSET(CÁLCULO!$AI$15:$AI$508,0,T$13))),2),0)</f>
        <v>0</v>
      </c>
      <c r="U23" s="610" cm="1">
        <f t="array" aca="1" ref="U23" ca="1">IF(AUTOEVENTO="Manual",ROUND(SUMPRODUCT((CÁLCULO!$M$15:$M$508=EVENTOS!$C23)*(OFFSET(CÁLCULO!$AI$15:$AI$508,0,U$13))),2),0)</f>
        <v>0</v>
      </c>
      <c r="V23" s="610" cm="1">
        <f t="array" aca="1" ref="V23" ca="1">IF(AUTOEVENTO="Manual",ROUND(SUMPRODUCT((CÁLCULO!$M$15:$M$508=EVENTOS!$C23)*(OFFSET(CÁLCULO!$AI$15:$AI$508,0,V$13))),2),0)</f>
        <v>0</v>
      </c>
      <c r="W23" s="610" cm="1">
        <f t="array" aca="1" ref="W23" ca="1">IF(AUTOEVENTO="Manual",ROUND(SUMPRODUCT((CÁLCULO!$M$15:$M$508=EVENTOS!$C23)*(OFFSET(CÁLCULO!$AI$15:$AI$508,0,W$13))),2),0)</f>
        <v>0</v>
      </c>
      <c r="X23" s="610" cm="1">
        <f t="array" aca="1" ref="X23" ca="1">IF(AUTOEVENTO="Manual",ROUND(SUMPRODUCT((CÁLCULO!$M$15:$M$508=EVENTOS!$C23)*(OFFSET(CÁLCULO!$AI$15:$AI$508,0,X$13))),2),0)</f>
        <v>0</v>
      </c>
      <c r="Y23" s="610" cm="1">
        <f t="array" aca="1" ref="Y23" ca="1">IF(AUTOEVENTO="Manual",ROUND(SUMPRODUCT((CÁLCULO!$M$15:$M$508=EVENTOS!$C23)*(OFFSET(CÁLCULO!$AI$15:$AI$508,0,Y$13))),2),0)</f>
        <v>0</v>
      </c>
    </row>
    <row r="24" spans="1:25" x14ac:dyDescent="0.2">
      <c r="A24" s="506" t="str">
        <f t="shared" si="3"/>
        <v>F</v>
      </c>
      <c r="B24" t="str">
        <f t="shared" ca="1" si="4"/>
        <v>9. Arquitetura</v>
      </c>
      <c r="C24" s="182" cm="1">
        <f t="array" aca="1" ref="C24" ca="1">IF(OR(ROW(C24)=ROW(EVENTOS.firstrow)+1,AND(OFFSET(C24,-1,0)&lt;&gt;" ",OFFSET(C24,-1,1)&lt;&gt;"")),OFFSET(C24,-1,0)+1," ")</f>
        <v>9</v>
      </c>
      <c r="D24" s="496" t="s">
        <v>1279</v>
      </c>
      <c r="E24" s="610" cm="1">
        <f t="array" aca="1" ref="E24" ca="1">IF(AUTOEVENTO="Manual",ROUND(SUMPRODUCT((CÁLCULO!$M$15:$M$508=EVENTOS!$C24)*(OFFSET(CÁLCULO!$AI$15:$AI$508,0,E$13))),2),0)</f>
        <v>0</v>
      </c>
      <c r="F24" s="183">
        <f ca="1">IF(AUTOEVENTO="Manual",ROUND(SUMPRODUCT((CÁLCULO!$M$15:$M$508=EVENTOS!$C24)*(OFFSET(CÁLCULO!$AI$15,0,1):OFFSET(CÁLCULO!$BB$508,0,-1))),2),0)</f>
        <v>0</v>
      </c>
      <c r="G24" s="611" t="str">
        <f t="shared" ca="1" si="5"/>
        <v/>
      </c>
      <c r="H24" s="610" cm="1">
        <f t="array" aca="1" ref="H24" ca="1">IF(AUTOEVENTO="Manual",ROUND(SUMPRODUCT((CÁLCULO!$M$15:$M$508=EVENTOS!$C24)*(OFFSET(CÁLCULO!$AI$15:$AI$508,0,H$13))),2),0)</f>
        <v>0</v>
      </c>
      <c r="I24" s="610" cm="1">
        <f t="array" aca="1" ref="I24" ca="1">IF(AUTOEVENTO="Manual",ROUND(SUMPRODUCT((CÁLCULO!$M$15:$M$508=EVENTOS!$C24)*(OFFSET(CÁLCULO!$AI$15:$AI$508,0,I$13))),2),0)</f>
        <v>0</v>
      </c>
      <c r="J24" s="610" cm="1">
        <f t="array" aca="1" ref="J24" ca="1">IF(AUTOEVENTO="Manual",ROUND(SUMPRODUCT((CÁLCULO!$M$15:$M$508=EVENTOS!$C24)*(OFFSET(CÁLCULO!$AI$15:$AI$508,0,J$13))),2),0)</f>
        <v>0</v>
      </c>
      <c r="K24" s="610" cm="1">
        <f t="array" aca="1" ref="K24" ca="1">IF(AUTOEVENTO="Manual",ROUND(SUMPRODUCT((CÁLCULO!$M$15:$M$508=EVENTOS!$C24)*(OFFSET(CÁLCULO!$AI$15:$AI$508,0,K$13))),2),0)</f>
        <v>0</v>
      </c>
      <c r="L24" s="610" cm="1">
        <f t="array" aca="1" ref="L24" ca="1">IF(AUTOEVENTO="Manual",ROUND(SUMPRODUCT((CÁLCULO!$M$15:$M$508=EVENTOS!$C24)*(OFFSET(CÁLCULO!$AI$15:$AI$508,0,L$13))),2),0)</f>
        <v>0</v>
      </c>
      <c r="M24" s="610" cm="1">
        <f t="array" aca="1" ref="M24" ca="1">IF(AUTOEVENTO="Manual",ROUND(SUMPRODUCT((CÁLCULO!$M$15:$M$508=EVENTOS!$C24)*(OFFSET(CÁLCULO!$AI$15:$AI$508,0,M$13))),2),0)</f>
        <v>0</v>
      </c>
      <c r="N24" s="610" cm="1">
        <f t="array" aca="1" ref="N24" ca="1">IF(AUTOEVENTO="Manual",ROUND(SUMPRODUCT((CÁLCULO!$M$15:$M$508=EVENTOS!$C24)*(OFFSET(CÁLCULO!$AI$15:$AI$508,0,N$13))),2),0)</f>
        <v>0</v>
      </c>
      <c r="O24" s="610" cm="1">
        <f t="array" aca="1" ref="O24" ca="1">IF(AUTOEVENTO="Manual",ROUND(SUMPRODUCT((CÁLCULO!$M$15:$M$508=EVENTOS!$C24)*(OFFSET(CÁLCULO!$AI$15:$AI$508,0,O$13))),2),0)</f>
        <v>0</v>
      </c>
      <c r="P24" s="610" cm="1">
        <f t="array" aca="1" ref="P24" ca="1">IF(AUTOEVENTO="Manual",ROUND(SUMPRODUCT((CÁLCULO!$M$15:$M$508=EVENTOS!$C24)*(OFFSET(CÁLCULO!$AI$15:$AI$508,0,P$13))),2),0)</f>
        <v>0</v>
      </c>
      <c r="Q24" s="610" cm="1">
        <f t="array" aca="1" ref="Q24" ca="1">IF(AUTOEVENTO="Manual",ROUND(SUMPRODUCT((CÁLCULO!$M$15:$M$508=EVENTOS!$C24)*(OFFSET(CÁLCULO!$AI$15:$AI$508,0,Q$13))),2),0)</f>
        <v>0</v>
      </c>
      <c r="R24" s="610" cm="1">
        <f t="array" aca="1" ref="R24" ca="1">IF(AUTOEVENTO="Manual",ROUND(SUMPRODUCT((CÁLCULO!$M$15:$M$508=EVENTOS!$C24)*(OFFSET(CÁLCULO!$AI$15:$AI$508,0,R$13))),2),0)</f>
        <v>0</v>
      </c>
      <c r="S24" s="610" cm="1">
        <f t="array" aca="1" ref="S24" ca="1">IF(AUTOEVENTO="Manual",ROUND(SUMPRODUCT((CÁLCULO!$M$15:$M$508=EVENTOS!$C24)*(OFFSET(CÁLCULO!$AI$15:$AI$508,0,S$13))),2),0)</f>
        <v>0</v>
      </c>
      <c r="T24" s="610" cm="1">
        <f t="array" aca="1" ref="T24" ca="1">IF(AUTOEVENTO="Manual",ROUND(SUMPRODUCT((CÁLCULO!$M$15:$M$508=EVENTOS!$C24)*(OFFSET(CÁLCULO!$AI$15:$AI$508,0,T$13))),2),0)</f>
        <v>0</v>
      </c>
      <c r="U24" s="610" cm="1">
        <f t="array" aca="1" ref="U24" ca="1">IF(AUTOEVENTO="Manual",ROUND(SUMPRODUCT((CÁLCULO!$M$15:$M$508=EVENTOS!$C24)*(OFFSET(CÁLCULO!$AI$15:$AI$508,0,U$13))),2),0)</f>
        <v>0</v>
      </c>
      <c r="V24" s="610" cm="1">
        <f t="array" aca="1" ref="V24" ca="1">IF(AUTOEVENTO="Manual",ROUND(SUMPRODUCT((CÁLCULO!$M$15:$M$508=EVENTOS!$C24)*(OFFSET(CÁLCULO!$AI$15:$AI$508,0,V$13))),2),0)</f>
        <v>0</v>
      </c>
      <c r="W24" s="610" cm="1">
        <f t="array" aca="1" ref="W24" ca="1">IF(AUTOEVENTO="Manual",ROUND(SUMPRODUCT((CÁLCULO!$M$15:$M$508=EVENTOS!$C24)*(OFFSET(CÁLCULO!$AI$15:$AI$508,0,W$13))),2),0)</f>
        <v>0</v>
      </c>
      <c r="X24" s="610" cm="1">
        <f t="array" aca="1" ref="X24" ca="1">IF(AUTOEVENTO="Manual",ROUND(SUMPRODUCT((CÁLCULO!$M$15:$M$508=EVENTOS!$C24)*(OFFSET(CÁLCULO!$AI$15:$AI$508,0,X$13))),2),0)</f>
        <v>0</v>
      </c>
      <c r="Y24" s="610" cm="1">
        <f t="array" aca="1" ref="Y24" ca="1">IF(AUTOEVENTO="Manual",ROUND(SUMPRODUCT((CÁLCULO!$M$15:$M$508=EVENTOS!$C24)*(OFFSET(CÁLCULO!$AI$15:$AI$508,0,Y$13))),2),0)</f>
        <v>0</v>
      </c>
    </row>
    <row r="25" spans="1:25" x14ac:dyDescent="0.2">
      <c r="A25" s="506" t="str">
        <f t="shared" si="3"/>
        <v>F</v>
      </c>
      <c r="B25" t="str">
        <f ca="1">IF(OR(C25=" ",D25=""),"",CONCATENATE(C25,". ",D25))</f>
        <v>10. Administração Local</v>
      </c>
      <c r="C25" s="182" cm="1">
        <f t="array" aca="1" ref="C25" ca="1">IF(OR(ROW(C25)=ROW(EVENTOS.firstrow)+1,AND(OFFSET(C25,-1,0)&lt;&gt;" ",OFFSET(C25,-1,1)&lt;&gt;"")),OFFSET(C25,-1,0)+1," ")</f>
        <v>10</v>
      </c>
      <c r="D25" s="496" t="s">
        <v>784</v>
      </c>
      <c r="E25" s="610" cm="1">
        <f t="array" aca="1" ref="E25" ca="1">IF(AUTOEVENTO="Manual",ROUND(SUMPRODUCT((CÁLCULO!$M$15:$M$508=EVENTOS!$C25)*(OFFSET(CÁLCULO!$AI$15:$AI$508,0,E$13))),2),0)</f>
        <v>0</v>
      </c>
      <c r="F25" s="183">
        <f ca="1">IF(AUTOEVENTO="Manual",ROUND(SUMPRODUCT((CÁLCULO!$M$15:$M$508=EVENTOS!$C25)*(OFFSET(CÁLCULO!$AI$15,0,1):OFFSET(CÁLCULO!$BB$508,0,-1))),2),0)</f>
        <v>0</v>
      </c>
      <c r="G25" s="611" t="str">
        <f ca="1">IF(AND(D25=0,F25&gt;0),"NOME",
 IF(AND(D25&lt;&gt;0,$F$14&gt;0,F25=0),"VALOR",
 IF(AND(Import.TipoArredondamento="TransfereGOV",$A25="F",LEN(D25)&gt;100),"Nome &gt;100","")))</f>
        <v/>
      </c>
      <c r="H25" s="610" cm="1">
        <f t="array" aca="1" ref="H25" ca="1">IF(AUTOEVENTO="Manual",ROUND(SUMPRODUCT((CÁLCULO!$M$15:$M$508=EVENTOS!$C25)*(OFFSET(CÁLCULO!$AI$15:$AI$508,0,H$13))),2),0)</f>
        <v>0</v>
      </c>
      <c r="I25" s="610" cm="1">
        <f t="array" aca="1" ref="I25" ca="1">IF(AUTOEVENTO="Manual",ROUND(SUMPRODUCT((CÁLCULO!$M$15:$M$508=EVENTOS!$C25)*(OFFSET(CÁLCULO!$AI$15:$AI$508,0,I$13))),2),0)</f>
        <v>0</v>
      </c>
      <c r="J25" s="610" cm="1">
        <f t="array" aca="1" ref="J25" ca="1">IF(AUTOEVENTO="Manual",ROUND(SUMPRODUCT((CÁLCULO!$M$15:$M$508=EVENTOS!$C25)*(OFFSET(CÁLCULO!$AI$15:$AI$508,0,J$13))),2),0)</f>
        <v>0</v>
      </c>
      <c r="K25" s="610" cm="1">
        <f t="array" aca="1" ref="K25" ca="1">IF(AUTOEVENTO="Manual",ROUND(SUMPRODUCT((CÁLCULO!$M$15:$M$508=EVENTOS!$C25)*(OFFSET(CÁLCULO!$AI$15:$AI$508,0,K$13))),2),0)</f>
        <v>0</v>
      </c>
      <c r="L25" s="610" cm="1">
        <f t="array" aca="1" ref="L25" ca="1">IF(AUTOEVENTO="Manual",ROUND(SUMPRODUCT((CÁLCULO!$M$15:$M$508=EVENTOS!$C25)*(OFFSET(CÁLCULO!$AI$15:$AI$508,0,L$13))),2),0)</f>
        <v>0</v>
      </c>
      <c r="M25" s="610" cm="1">
        <f t="array" aca="1" ref="M25" ca="1">IF(AUTOEVENTO="Manual",ROUND(SUMPRODUCT((CÁLCULO!$M$15:$M$508=EVENTOS!$C25)*(OFFSET(CÁLCULO!$AI$15:$AI$508,0,M$13))),2),0)</f>
        <v>0</v>
      </c>
      <c r="N25" s="610" cm="1">
        <f t="array" aca="1" ref="N25" ca="1">IF(AUTOEVENTO="Manual",ROUND(SUMPRODUCT((CÁLCULO!$M$15:$M$508=EVENTOS!$C25)*(OFFSET(CÁLCULO!$AI$15:$AI$508,0,N$13))),2),0)</f>
        <v>0</v>
      </c>
      <c r="O25" s="610" cm="1">
        <f t="array" aca="1" ref="O25" ca="1">IF(AUTOEVENTO="Manual",ROUND(SUMPRODUCT((CÁLCULO!$M$15:$M$508=EVENTOS!$C25)*(OFFSET(CÁLCULO!$AI$15:$AI$508,0,O$13))),2),0)</f>
        <v>0</v>
      </c>
      <c r="P25" s="610" cm="1">
        <f t="array" aca="1" ref="P25" ca="1">IF(AUTOEVENTO="Manual",ROUND(SUMPRODUCT((CÁLCULO!$M$15:$M$508=EVENTOS!$C25)*(OFFSET(CÁLCULO!$AI$15:$AI$508,0,P$13))),2),0)</f>
        <v>0</v>
      </c>
      <c r="Q25" s="610" cm="1">
        <f t="array" aca="1" ref="Q25" ca="1">IF(AUTOEVENTO="Manual",ROUND(SUMPRODUCT((CÁLCULO!$M$15:$M$508=EVENTOS!$C25)*(OFFSET(CÁLCULO!$AI$15:$AI$508,0,Q$13))),2),0)</f>
        <v>0</v>
      </c>
      <c r="R25" s="610" cm="1">
        <f t="array" aca="1" ref="R25" ca="1">IF(AUTOEVENTO="Manual",ROUND(SUMPRODUCT((CÁLCULO!$M$15:$M$508=EVENTOS!$C25)*(OFFSET(CÁLCULO!$AI$15:$AI$508,0,R$13))),2),0)</f>
        <v>0</v>
      </c>
      <c r="S25" s="610" cm="1">
        <f t="array" aca="1" ref="S25" ca="1">IF(AUTOEVENTO="Manual",ROUND(SUMPRODUCT((CÁLCULO!$M$15:$M$508=EVENTOS!$C25)*(OFFSET(CÁLCULO!$AI$15:$AI$508,0,S$13))),2),0)</f>
        <v>0</v>
      </c>
      <c r="T25" s="610" cm="1">
        <f t="array" aca="1" ref="T25" ca="1">IF(AUTOEVENTO="Manual",ROUND(SUMPRODUCT((CÁLCULO!$M$15:$M$508=EVENTOS!$C25)*(OFFSET(CÁLCULO!$AI$15:$AI$508,0,T$13))),2),0)</f>
        <v>0</v>
      </c>
      <c r="U25" s="610" cm="1">
        <f t="array" aca="1" ref="U25" ca="1">IF(AUTOEVENTO="Manual",ROUND(SUMPRODUCT((CÁLCULO!$M$15:$M$508=EVENTOS!$C25)*(OFFSET(CÁLCULO!$AI$15:$AI$508,0,U$13))),2),0)</f>
        <v>0</v>
      </c>
      <c r="V25" s="610" cm="1">
        <f t="array" aca="1" ref="V25" ca="1">IF(AUTOEVENTO="Manual",ROUND(SUMPRODUCT((CÁLCULO!$M$15:$M$508=EVENTOS!$C25)*(OFFSET(CÁLCULO!$AI$15:$AI$508,0,V$13))),2),0)</f>
        <v>0</v>
      </c>
      <c r="W25" s="610" cm="1">
        <f t="array" aca="1" ref="W25" ca="1">IF(AUTOEVENTO="Manual",ROUND(SUMPRODUCT((CÁLCULO!$M$15:$M$508=EVENTOS!$C25)*(OFFSET(CÁLCULO!$AI$15:$AI$508,0,W$13))),2),0)</f>
        <v>0</v>
      </c>
      <c r="X25" s="610" cm="1">
        <f t="array" aca="1" ref="X25" ca="1">IF(AUTOEVENTO="Manual",ROUND(SUMPRODUCT((CÁLCULO!$M$15:$M$508=EVENTOS!$C25)*(OFFSET(CÁLCULO!$AI$15:$AI$508,0,X$13))),2),0)</f>
        <v>0</v>
      </c>
      <c r="Y25" s="610" cm="1">
        <f t="array" aca="1" ref="Y25" ca="1">IF(AUTOEVENTO="Manual",ROUND(SUMPRODUCT((CÁLCULO!$M$15:$M$508=EVENTOS!$C25)*(OFFSET(CÁLCULO!$AI$15:$AI$508,0,Y$13))),2),0)</f>
        <v>0</v>
      </c>
    </row>
    <row r="26" spans="1:25" ht="5.0999999999999996" customHeight="1" x14ac:dyDescent="0.2">
      <c r="A26" s="506" t="s">
        <v>536</v>
      </c>
      <c r="C26" s="619"/>
      <c r="D26" s="620"/>
      <c r="E26" s="621"/>
      <c r="F26" s="184"/>
      <c r="G26" s="621"/>
      <c r="H26" s="621"/>
      <c r="I26" s="621"/>
      <c r="J26" s="621"/>
      <c r="K26" s="621"/>
      <c r="L26" s="621"/>
      <c r="M26" s="621"/>
      <c r="N26" s="621"/>
      <c r="O26" s="621"/>
      <c r="P26" s="621"/>
      <c r="Q26" s="621"/>
      <c r="R26" s="621"/>
      <c r="S26" s="621"/>
      <c r="T26" s="621"/>
      <c r="U26" s="621"/>
      <c r="V26" s="621"/>
      <c r="W26" s="621"/>
      <c r="X26" s="621"/>
      <c r="Y26" s="621"/>
    </row>
    <row r="27" spans="1:25" x14ac:dyDescent="0.2">
      <c r="A27" s="506" t="s">
        <v>536</v>
      </c>
    </row>
    <row r="28" spans="1:25" x14ac:dyDescent="0.2">
      <c r="A28" s="506" t="s">
        <v>536</v>
      </c>
    </row>
    <row r="29" spans="1:25" ht="15" x14ac:dyDescent="0.2">
      <c r="A29" s="506" t="s">
        <v>536</v>
      </c>
      <c r="D29" s="493" t="str">
        <f>Import.Município</f>
        <v>Araguari / MG</v>
      </c>
      <c r="L29" s="460"/>
      <c r="M29" s="417"/>
      <c r="N29" s="417"/>
      <c r="O29" s="417"/>
      <c r="V29" s="460"/>
      <c r="W29" s="417"/>
      <c r="X29" s="417"/>
      <c r="Y29" s="417"/>
    </row>
    <row r="30" spans="1:25" x14ac:dyDescent="0.2">
      <c r="A30" s="506" t="s">
        <v>536</v>
      </c>
      <c r="D30" s="9" t="s">
        <v>693</v>
      </c>
      <c r="H30" s="544"/>
      <c r="I30" s="544"/>
      <c r="J30" s="544"/>
      <c r="L30" s="181" t="s">
        <v>696</v>
      </c>
      <c r="V30" s="181" t="s">
        <v>696</v>
      </c>
    </row>
    <row r="31" spans="1:25" x14ac:dyDescent="0.2">
      <c r="A31" s="506" t="s">
        <v>536</v>
      </c>
      <c r="H31" s="544"/>
      <c r="I31" s="544"/>
      <c r="J31" s="544"/>
      <c r="L31" s="398" t="str">
        <f t="array" aca="1" ref="L31:L33" ca="1">OFFSET(Import.RespOrçamento,0,-1) &amp; " " &amp; Import.RespOrçamento</f>
        <v>Nome: JULIANA GONÇALVES OLIVEIRA</v>
      </c>
      <c r="V31" s="398" t="str">
        <f t="array" aca="1" ref="V31:V33" ca="1">OFFSET(Import.RespOrçamento,0,-1) &amp; " " &amp; Import.RespOrçamento</f>
        <v>Nome: JULIANA GONÇALVES OLIVEIRA</v>
      </c>
    </row>
    <row r="32" spans="1:25" x14ac:dyDescent="0.2">
      <c r="A32" s="506" t="s">
        <v>536</v>
      </c>
      <c r="D32" s="494">
        <f>DADOS!$C$25</f>
        <v>45996</v>
      </c>
      <c r="L32" s="398" t="str">
        <f ca="1"/>
        <v>CREA/CAU: 239787 / D</v>
      </c>
      <c r="V32" s="398" t="str">
        <f ca="1"/>
        <v>CREA/CAU: 239787 / D</v>
      </c>
    </row>
    <row r="33" spans="1:22" x14ac:dyDescent="0.2">
      <c r="A33" s="506" t="s">
        <v>536</v>
      </c>
      <c r="D33" s="9" t="s">
        <v>694</v>
      </c>
      <c r="L33" s="398" t="str">
        <f ca="1"/>
        <v>ART/RRT:  Nº MG20253772936</v>
      </c>
      <c r="V33" s="398" t="str">
        <f ca="1"/>
        <v>ART/RRT:  Nº MG20253772936</v>
      </c>
    </row>
  </sheetData>
  <sheetProtection algorithmName="SHA-512" hashValue="mQtdLT+3Z7bbEZ0T2jWPX2Tc63Ozbu49rMz6/uqU1pcOWeMUIqwNioKZ/LBKoDson7PKTT17HntNjm7803p1aw==" saltValue="8kJJUj4ihaqaUz3rA03Yqw==" spinCount="100000" sheet="1" objects="1" scenarios="1"/>
  <autoFilter ref="A13:A33"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26">
    <cfRule type="expression" dxfId="774" priority="1" stopIfTrue="1">
      <formula>OR(AUTOEVENTO&lt;&gt;"Manual",ACOMPANHAMENTO="BM",C$10=0,C$13=0,$C1=" ")</formula>
    </cfRule>
  </conditionalFormatting>
  <conditionalFormatting sqref="A15 C15:XFD15">
    <cfRule type="expression" dxfId="773"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37" firstPageNumber="0" orientation="landscape" r:id="rId1"/>
  <headerFooter alignWithMargins="0">
    <oddHeader>&amp;L_</oddHeader>
    <oddFooter>&amp;LPMv3.13&amp;R&amp;P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CN65776"/>
  <sheetViews>
    <sheetView showGridLines="0" view="pageBreakPreview" zoomScale="55" zoomScaleNormal="100" zoomScaleSheetLayoutView="55" workbookViewId="0">
      <pane xSplit="8" ySplit="15" topLeftCell="I16" activePane="bottomRight" state="frozen"/>
      <selection pane="topRight"/>
      <selection pane="bottomLeft"/>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34" width="11.5703125" customWidth="1"/>
    <col min="35" max="91" width="9.140625" hidden="1" customWidth="1"/>
    <col min="92" max="92" width="1.5703125" hidden="1" customWidth="1"/>
  </cols>
  <sheetData>
    <row r="1" spans="1:91" ht="12.75" hidden="1" customHeight="1" x14ac:dyDescent="0.2">
      <c r="M1" s="7">
        <f ca="1">SUM(OFFSET(CÁLCULO!$P$1,0,1):OFFSET(CÁLCULO!$AI$1,0,-1))</f>
        <v>0</v>
      </c>
      <c r="O1" s="622" cm="1">
        <f t="array" ref="O1">IF(OR(ACOMPANHAMENTO="BM",N1=0,O12=""),0,1)</f>
        <v>0</v>
      </c>
      <c r="P1" t="s">
        <v>764</v>
      </c>
      <c r="Q1" s="622" cm="1">
        <f t="array" ref="Q1">IF(OR(ACOMPANHAMENTO="BM",P1=0,Q12=""),0,1)</f>
        <v>0</v>
      </c>
      <c r="R1" s="622" cm="1">
        <f t="array" ref="R1">IF(OR(ACOMPANHAMENTO="BM",Q1=0,R12=""),0,1)</f>
        <v>0</v>
      </c>
      <c r="S1" s="622" cm="1">
        <f t="array" ref="S1">IF(OR(ACOMPANHAMENTO="BM",R1=0,S12=""),0,1)</f>
        <v>0</v>
      </c>
      <c r="T1" s="622" cm="1">
        <f t="array" ref="T1">IF(OR(ACOMPANHAMENTO="BM",S1=0,T12=""),0,1)</f>
        <v>0</v>
      </c>
      <c r="U1" s="622" cm="1">
        <f t="array" ref="U1">IF(OR(ACOMPANHAMENTO="BM",T1=0,U12=""),0,1)</f>
        <v>0</v>
      </c>
      <c r="V1" s="622" cm="1">
        <f t="array" ref="V1">IF(OR(ACOMPANHAMENTO="BM",U1=0,V12=""),0,1)</f>
        <v>0</v>
      </c>
      <c r="W1" s="622" cm="1">
        <f t="array" ref="W1">IF(OR(ACOMPANHAMENTO="BM",V1=0,W12=""),0,1)</f>
        <v>0</v>
      </c>
      <c r="X1" s="622" cm="1">
        <f t="array" ref="X1">IF(OR(ACOMPANHAMENTO="BM",W1=0,X12=""),0,1)</f>
        <v>0</v>
      </c>
      <c r="Y1" s="622" cm="1">
        <f t="array" ref="Y1">IF(OR(ACOMPANHAMENTO="BM",X1=0,Y12=""),0,1)</f>
        <v>0</v>
      </c>
      <c r="Z1" s="622" cm="1">
        <f t="array" ref="Z1">IF(OR(ACOMPANHAMENTO="BM",Y1=0,Z12=""),0,1)</f>
        <v>0</v>
      </c>
      <c r="AA1" s="622" cm="1">
        <f t="array" ref="AA1">IF(OR(ACOMPANHAMENTO="BM",Z1=0,AA12=""),0,1)</f>
        <v>0</v>
      </c>
      <c r="AB1" s="622" cm="1">
        <f t="array" ref="AB1">IF(OR(ACOMPANHAMENTO="BM",AA1=0,AB12=""),0,1)</f>
        <v>0</v>
      </c>
      <c r="AC1" s="622" cm="1">
        <f t="array" ref="AC1">IF(OR(ACOMPANHAMENTO="BM",AB1=0,AC12=""),0,1)</f>
        <v>0</v>
      </c>
      <c r="AD1" s="622" cm="1">
        <f t="array" ref="AD1">IF(OR(ACOMPANHAMENTO="BM",AC1=0,AD12=""),0,1)</f>
        <v>0</v>
      </c>
      <c r="AE1" s="622" cm="1">
        <f t="array" ref="AE1">IF(OR(ACOMPANHAMENTO="BM",AD1=0,AE12=""),0,1)</f>
        <v>0</v>
      </c>
      <c r="AF1" s="622" cm="1">
        <f t="array" ref="AF1">IF(OR(ACOMPANHAMENTO="BM",AE1=0,AF12=""),0,1)</f>
        <v>0</v>
      </c>
      <c r="AG1" s="622" cm="1">
        <f t="array" ref="AG1">IF(OR(ACOMPANHAMENTO="BM",AF1=0,AG12=""),0,1)</f>
        <v>0</v>
      </c>
      <c r="AH1" s="622" cm="1">
        <f t="array" ref="AH1">IF(OR(ACOMPANHAMENTO="BM",AG1=0,AH12=""),0,1)</f>
        <v>0</v>
      </c>
      <c r="AJ1" t="s">
        <v>765</v>
      </c>
      <c r="BC1" t="s">
        <v>766</v>
      </c>
      <c r="BV1" t="s">
        <v>767</v>
      </c>
    </row>
    <row r="2" spans="1:91" ht="12.75" hidden="1" customHeight="1" x14ac:dyDescent="0.2"/>
    <row r="3" spans="1:91" ht="12.75" hidden="1" customHeight="1" x14ac:dyDescent="0.2"/>
    <row r="4" spans="1:91" ht="12.75" hidden="1" customHeight="1" x14ac:dyDescent="0.2"/>
    <row r="5" spans="1:91" ht="12.75" hidden="1" customHeight="1" x14ac:dyDescent="0.2"/>
    <row r="6" spans="1:91" ht="15.75" customHeight="1" x14ac:dyDescent="0.2">
      <c r="F6" s="736" t="str" cm="1">
        <f t="array" ref="F6">IF(ACOMPANHAMENTO="BM","MEMÓRIA DE CÁLCULO","PLQ - PLANILHA DE LEVANTAMENTO DE QUANTIDADES")</f>
        <v>MEMÓRIA DE CÁLCULO</v>
      </c>
      <c r="G6" s="736"/>
      <c r="H6" s="736"/>
      <c r="I6" s="141"/>
      <c r="K6" s="141"/>
      <c r="L6" s="141"/>
      <c r="M6" s="142"/>
      <c r="N6" s="141"/>
      <c r="P6" s="141"/>
      <c r="Q6" s="737" t="s">
        <v>644</v>
      </c>
      <c r="R6" s="738"/>
      <c r="Y6" s="699" t="s">
        <v>644</v>
      </c>
      <c r="Z6" s="699"/>
      <c r="AG6" s="699" t="s">
        <v>644</v>
      </c>
      <c r="AH6" s="699"/>
    </row>
    <row r="7" spans="1:91" ht="15" customHeight="1" x14ac:dyDescent="0.2">
      <c r="F7" s="739" t="str" cm="1">
        <f t="array" ref="F7">IF(ACOMPANHAMENTO="BM","","Memória de Cálculo")&amp;" - "&amp;import.recurso</f>
        <v xml:space="preserve"> - OGU</v>
      </c>
      <c r="G7" s="739"/>
      <c r="H7" s="739"/>
      <c r="I7" s="143"/>
      <c r="K7" s="143"/>
      <c r="L7" s="143"/>
      <c r="M7" s="144"/>
      <c r="N7" s="143"/>
      <c r="P7" s="143"/>
      <c r="Q7" s="740" t="s">
        <v>647</v>
      </c>
      <c r="R7" s="741"/>
      <c r="Y7" s="700" t="s">
        <v>647</v>
      </c>
      <c r="Z7" s="700"/>
      <c r="AG7" s="700" t="s">
        <v>647</v>
      </c>
      <c r="AH7" s="700"/>
    </row>
    <row r="8" spans="1:91" ht="12.75" customHeight="1" x14ac:dyDescent="0.2">
      <c r="AM8" s="476"/>
      <c r="AU8" s="476"/>
    </row>
    <row r="9" spans="1:91" ht="12.75" customHeight="1" x14ac:dyDescent="0.2">
      <c r="E9" s="685" t="s">
        <v>708</v>
      </c>
      <c r="F9" s="685"/>
      <c r="G9" s="685" t="s">
        <v>707</v>
      </c>
      <c r="H9" s="685"/>
      <c r="I9" s="87" t="s">
        <v>650</v>
      </c>
      <c r="K9" s="145" t="s">
        <v>652</v>
      </c>
      <c r="L9" s="146"/>
      <c r="M9" s="146"/>
      <c r="N9" s="146"/>
      <c r="O9" s="146"/>
      <c r="P9" s="146"/>
      <c r="Q9" s="146"/>
      <c r="R9" s="147"/>
      <c r="S9" s="685" t="s">
        <v>650</v>
      </c>
      <c r="T9" s="685"/>
      <c r="U9" s="685" t="s">
        <v>652</v>
      </c>
      <c r="V9" s="685"/>
      <c r="W9" s="685"/>
      <c r="X9" s="685"/>
      <c r="Y9" s="685"/>
      <c r="Z9" s="685"/>
      <c r="AA9" s="685" t="s">
        <v>650</v>
      </c>
      <c r="AB9" s="685"/>
      <c r="AC9" s="685" t="s">
        <v>652</v>
      </c>
      <c r="AD9" s="685"/>
      <c r="AE9" s="685"/>
      <c r="AF9" s="685"/>
      <c r="AG9" s="685"/>
      <c r="AH9" s="685"/>
    </row>
    <row r="10" spans="1:91" ht="12.75" customHeight="1" x14ac:dyDescent="0.2">
      <c r="A10" s="591" t="s">
        <v>768</v>
      </c>
      <c r="E10" s="686" t="str">
        <f>Import.Apelido</f>
        <v>ETE - BREJO ALEGRE - FASE II</v>
      </c>
      <c r="F10" s="686"/>
      <c r="G10" s="686" t="str" cm="1">
        <f t="array" ref="G10">Import.TransfereGOV</f>
        <v>968559/2024</v>
      </c>
      <c r="H10" s="686"/>
      <c r="I10" s="90" t="str">
        <f>Import.CR</f>
        <v>1098284-30/2024</v>
      </c>
      <c r="K10" s="148" t="str">
        <f>Import.Proponente</f>
        <v>Prefeitura Municipal</v>
      </c>
      <c r="L10" s="149"/>
      <c r="M10" s="100"/>
      <c r="N10" s="149"/>
      <c r="O10" s="149"/>
      <c r="P10" s="149"/>
      <c r="Q10" s="149"/>
      <c r="R10" s="91"/>
      <c r="S10" s="686" t="str">
        <f>Import.CR</f>
        <v>1098284-30/2024</v>
      </c>
      <c r="T10" s="686"/>
      <c r="U10" s="686" t="str">
        <f>Import.Proponente</f>
        <v>Prefeitura Municipal</v>
      </c>
      <c r="V10" s="686"/>
      <c r="W10" s="686"/>
      <c r="X10" s="686"/>
      <c r="Y10" s="686"/>
      <c r="Z10" s="686"/>
      <c r="AA10" s="686" t="str">
        <f>Import.CR</f>
        <v>1098284-30/2024</v>
      </c>
      <c r="AB10" s="686"/>
      <c r="AC10" s="686" t="str">
        <f>Import.Proponente</f>
        <v>Prefeitura Municipal</v>
      </c>
      <c r="AD10" s="686"/>
      <c r="AE10" s="686"/>
      <c r="AF10" s="686"/>
      <c r="AG10" s="686"/>
      <c r="AH10" s="686"/>
    </row>
    <row r="11" spans="1:91" ht="15" customHeight="1" x14ac:dyDescent="0.2">
      <c r="A11" s="450" t="str">
        <f>IF(AND(Import.TipoArredondamento="Tradicional",AUTOEVENTO="Manual"),"Automática",IF(CRONOPLE!$B$8="","Sem Adm","Manual"))</f>
        <v>Manual</v>
      </c>
      <c r="F11" s="567" t="str">
        <f ca="1">IF(AND(ACOMPANHAMENTO="PLE",ISERROR(AUTOEVENTO)),"Selecione a forma de definição dos agrupadores de eventos na aba EVENTOS",
  IF(AND(ACOMPANHAMENTO="PLE",CÁLCULO.FrentesPreenchidas=0),"Preencher os nomes das Frentes de Obra",
  IF(COUNTIF($J$15:$J$508,"►E")&gt;0,"Não pode haver serviços sem agrupador de eventos",
  IF(COUNTIF($P$11:$AI$11,"▼")&gt;0,"Não pode haver frentes de obra sem quantidades",
  IF(COUNTIF($P$11:$AI$11,"Nome &gt;100")&gt;0,"Nome da frente de obra com mais de 100 caracteres","")))))</f>
        <v/>
      </c>
      <c r="N11" s="573" t="str">
        <f ca="1">IF(OR(COUNTIF($J$15:$J$508,"►E")&gt;0,COUNTIF($J$15:$J$508,"►Q")&gt;0),"",
IF(COUNTIF($J$15:$J$508,"►S")&gt;0,"Preencha as quantidades com no máximo duas casas decimais",
IF(COUNTIF($P$11:$AI$11,"▼")&gt;0,"Falta preencher a frente de obra nº " &amp; HLOOKUP("▼",$P$11:$AI$13,3,FALSE),
IF(COUNTIF($P$11:$AI$11,"Nome &gt;100")&gt;0,"Resuma o nome da frente de obra nº " &amp; HLOOKUP("Nome &gt;100",$P$11:$AI$13,3,FALSE),""))))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c r="AA11" s="566" t="str">
        <f t="shared" ref="AA11:AH11" ca="1" si="1">IF(AND(AA1=1,AA15=0),"▼",IF(AND(AA1=1,LEN(AA12)&gt;100),"Nome &gt;100",""))</f>
        <v/>
      </c>
      <c r="AB11" s="566" t="str">
        <f t="shared" ca="1" si="1"/>
        <v/>
      </c>
      <c r="AC11" s="566" t="str">
        <f t="shared" ca="1" si="1"/>
        <v/>
      </c>
      <c r="AD11" s="566" t="str">
        <f t="shared" ca="1" si="1"/>
        <v/>
      </c>
      <c r="AE11" s="566" t="str">
        <f t="shared" ca="1" si="1"/>
        <v/>
      </c>
      <c r="AF11" s="566" t="str">
        <f t="shared" ca="1" si="1"/>
        <v/>
      </c>
      <c r="AG11" s="566" t="str">
        <f t="shared" ca="1" si="1"/>
        <v/>
      </c>
      <c r="AH11" s="566" t="str">
        <f t="shared" ca="1" si="1"/>
        <v/>
      </c>
    </row>
    <row r="12" spans="1:91" ht="69.95" customHeight="1" x14ac:dyDescent="0.2">
      <c r="A12" s="589" t="str">
        <f>IF(Import.Eventos.Nível="Definir Manualmente","Manual",MATCH(Import.Eventos.Nível,EVENTOS!$B$6:$B$9,0)+1)</f>
        <v>Manual</v>
      </c>
      <c r="B12" s="7" t="s">
        <v>769</v>
      </c>
      <c r="C12" s="489" t="s">
        <v>655</v>
      </c>
      <c r="H12" s="150"/>
      <c r="I12" s="575" t="str">
        <f ca="1">IF(AND(ACOMPANHAMENTO="PLE",CÁLCULO.FrentesPreenchidas=0),"",
  IF(COUNTIF($J$15:$J$508,"►E")&gt;0,"Falta Definir o Agrupador de Evento na linha "&amp;MATCH("►E",$J$15:$J$508,0)+ROW($J$14),
  IF(COUNTIF($J$15:$J$508,"►Q")&gt;0,"Falta preencher a quantidade do serviço na linha "&amp;MATCH("►Q",$J$15:$J$508,0)+ROW($J$14),
  IF(COUNTIF($J$15:$J$508,"►S")&gt;0,"Verifique as quantidades preenchidas na linha "&amp;MATCH("►S",$J$15:$J$508,0)+ROW($J$14),
  IF(AND(COUNTIF($P$11:$AI$11,"▼")=0,COUNTIF($J$15:$J$508,"◄")&gt;0),"Falta Preencher o Memorial de Cálculo na linha "&amp;MATCH("◄",$J$15:$J$508,0)+ROW($J$14),"")))))</f>
        <v/>
      </c>
      <c r="J12" s="151" t="s">
        <v>764</v>
      </c>
      <c r="K12" s="152" t="s">
        <v>770</v>
      </c>
      <c r="L12" s="151" t="s">
        <v>764</v>
      </c>
      <c r="M12" s="570" cm="1">
        <f t="array" ref="M12">IF(ACOMPANHAMENTO="BM",0,MAX($M$15:$M$508))</f>
        <v>0</v>
      </c>
      <c r="N12" s="574" t="str">
        <f ca="1">IF(AND(ACOMPANHAMENTO="PLE",CÁLCULO.FrentesPreenchidas=0),"Preencher os nomes das Frentes de Obra ►","FRENTES DE OBRA:")</f>
        <v>FRENTES DE OBRA:</v>
      </c>
      <c r="O12" s="153"/>
      <c r="P12" s="151" t="s">
        <v>764</v>
      </c>
      <c r="Q12" s="452" t="s">
        <v>1284</v>
      </c>
      <c r="R12" s="153" t="s">
        <v>1285</v>
      </c>
      <c r="S12" s="153" t="s">
        <v>1286</v>
      </c>
      <c r="T12" s="520" t="s">
        <v>1223</v>
      </c>
      <c r="U12" s="153" t="s">
        <v>1225</v>
      </c>
      <c r="V12" s="153" t="s">
        <v>1287</v>
      </c>
      <c r="W12" s="153" t="s">
        <v>1233</v>
      </c>
      <c r="X12" s="153" t="s">
        <v>1246</v>
      </c>
      <c r="Y12" s="153" t="s">
        <v>1258</v>
      </c>
      <c r="Z12" s="154" t="s">
        <v>1288</v>
      </c>
      <c r="AA12" s="153"/>
      <c r="AB12" s="520"/>
      <c r="AC12" s="153"/>
      <c r="AD12" s="153"/>
      <c r="AE12" s="153"/>
      <c r="AF12" s="153"/>
      <c r="AG12" s="153"/>
      <c r="AH12" s="154"/>
      <c r="AI12" s="151" t="s">
        <v>764</v>
      </c>
      <c r="AJ12" s="155">
        <f ca="1">IF(OFFSET($P$1,0,AJ$13)=0,0,OFFSET($P$12,0,AJ$13))</f>
        <v>0</v>
      </c>
      <c r="AK12" s="155">
        <f t="shared" ref="AK12:BA12" ca="1" si="2">IF(OFFSET($P$1,0,AK$13)=0,0,OFFSET($P$12,0,AK$13))</f>
        <v>0</v>
      </c>
      <c r="AL12" s="155">
        <f t="shared" ca="1" si="2"/>
        <v>0</v>
      </c>
      <c r="AM12" s="155">
        <f t="shared" ca="1" si="2"/>
        <v>0</v>
      </c>
      <c r="AN12" s="155">
        <f t="shared" ca="1" si="2"/>
        <v>0</v>
      </c>
      <c r="AO12" s="155">
        <f t="shared" ca="1" si="2"/>
        <v>0</v>
      </c>
      <c r="AP12" s="155">
        <f t="shared" ca="1" si="2"/>
        <v>0</v>
      </c>
      <c r="AQ12" s="155">
        <f t="shared" ca="1" si="2"/>
        <v>0</v>
      </c>
      <c r="AR12" s="155">
        <f t="shared" ca="1" si="2"/>
        <v>0</v>
      </c>
      <c r="AS12" s="155">
        <f t="shared" ca="1" si="2"/>
        <v>0</v>
      </c>
      <c r="AT12" s="155">
        <f t="shared" ca="1" si="2"/>
        <v>0</v>
      </c>
      <c r="AU12" s="155">
        <f t="shared" ca="1" si="2"/>
        <v>0</v>
      </c>
      <c r="AV12" s="155">
        <f t="shared" ca="1" si="2"/>
        <v>0</v>
      </c>
      <c r="AW12" s="155">
        <f t="shared" ca="1" si="2"/>
        <v>0</v>
      </c>
      <c r="AX12" s="155">
        <f t="shared" ca="1" si="2"/>
        <v>0</v>
      </c>
      <c r="AY12" s="155">
        <f t="shared" ca="1" si="2"/>
        <v>0</v>
      </c>
      <c r="AZ12" s="155">
        <f t="shared" ca="1" si="2"/>
        <v>0</v>
      </c>
      <c r="BA12" s="155">
        <f t="shared" ca="1" si="2"/>
        <v>0</v>
      </c>
      <c r="BC12" s="155">
        <f t="shared" ref="BC12:CM12" ca="1" si="3">IF(OFFSET($P$1,0,BC$13)=0,0,OFFSET($P$12,0,BC$13))</f>
        <v>0</v>
      </c>
      <c r="BD12" s="156">
        <f t="shared" ca="1" si="3"/>
        <v>0</v>
      </c>
      <c r="BE12" s="156">
        <f t="shared" ca="1" si="3"/>
        <v>0</v>
      </c>
      <c r="BF12" s="156">
        <f t="shared" ca="1" si="3"/>
        <v>0</v>
      </c>
      <c r="BG12" s="156">
        <f t="shared" ca="1" si="3"/>
        <v>0</v>
      </c>
      <c r="BH12" s="156">
        <f t="shared" ca="1" si="3"/>
        <v>0</v>
      </c>
      <c r="BI12" s="156">
        <f t="shared" ca="1" si="3"/>
        <v>0</v>
      </c>
      <c r="BJ12" s="156">
        <f t="shared" ca="1" si="3"/>
        <v>0</v>
      </c>
      <c r="BK12" s="156">
        <f t="shared" ca="1" si="3"/>
        <v>0</v>
      </c>
      <c r="BL12" s="157">
        <f t="shared" ca="1" si="3"/>
        <v>0</v>
      </c>
      <c r="BM12" s="156">
        <f t="shared" ca="1" si="3"/>
        <v>0</v>
      </c>
      <c r="BN12" s="156">
        <f t="shared" ca="1" si="3"/>
        <v>0</v>
      </c>
      <c r="BO12" s="156">
        <f t="shared" ca="1" si="3"/>
        <v>0</v>
      </c>
      <c r="BP12" s="156">
        <f t="shared" ca="1" si="3"/>
        <v>0</v>
      </c>
      <c r="BQ12" s="156">
        <f t="shared" ca="1" si="3"/>
        <v>0</v>
      </c>
      <c r="BR12" s="156">
        <f t="shared" ca="1" si="3"/>
        <v>0</v>
      </c>
      <c r="BS12" s="156">
        <f t="shared" ca="1" si="3"/>
        <v>0</v>
      </c>
      <c r="BT12" s="157">
        <f t="shared" ca="1" si="3"/>
        <v>0</v>
      </c>
      <c r="BV12" s="155">
        <f t="shared" ca="1" si="3"/>
        <v>0</v>
      </c>
      <c r="BW12" s="156">
        <f t="shared" ca="1" si="3"/>
        <v>0</v>
      </c>
      <c r="BX12" s="156">
        <f t="shared" ca="1" si="3"/>
        <v>0</v>
      </c>
      <c r="BY12" s="156">
        <f t="shared" ca="1" si="3"/>
        <v>0</v>
      </c>
      <c r="BZ12" s="156">
        <f t="shared" ca="1" si="3"/>
        <v>0</v>
      </c>
      <c r="CA12" s="156">
        <f t="shared" ca="1" si="3"/>
        <v>0</v>
      </c>
      <c r="CB12" s="156">
        <f t="shared" ca="1" si="3"/>
        <v>0</v>
      </c>
      <c r="CC12" s="156">
        <f t="shared" ca="1" si="3"/>
        <v>0</v>
      </c>
      <c r="CD12" s="156">
        <f t="shared" ca="1" si="3"/>
        <v>0</v>
      </c>
      <c r="CE12" s="157">
        <f t="shared" ca="1" si="3"/>
        <v>0</v>
      </c>
      <c r="CF12" s="156">
        <f t="shared" ca="1" si="3"/>
        <v>0</v>
      </c>
      <c r="CG12" s="156">
        <f t="shared" ca="1" si="3"/>
        <v>0</v>
      </c>
      <c r="CH12" s="156">
        <f t="shared" ca="1" si="3"/>
        <v>0</v>
      </c>
      <c r="CI12" s="156">
        <f t="shared" ca="1" si="3"/>
        <v>0</v>
      </c>
      <c r="CJ12" s="156">
        <f t="shared" ca="1" si="3"/>
        <v>0</v>
      </c>
      <c r="CK12" s="156">
        <f t="shared" ca="1" si="3"/>
        <v>0</v>
      </c>
      <c r="CL12" s="156">
        <f t="shared" ca="1" si="3"/>
        <v>0</v>
      </c>
      <c r="CM12" s="157">
        <f t="shared" ca="1" si="3"/>
        <v>0</v>
      </c>
    </row>
    <row r="13" spans="1:91" ht="12.75" customHeight="1" x14ac:dyDescent="0.2">
      <c r="A13" s="59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AH13" ca="1" si="4">OFFSET(Q13,0,-1)+1</f>
        <v>1</v>
      </c>
      <c r="R13" s="158">
        <f t="shared" ca="1" si="4"/>
        <v>2</v>
      </c>
      <c r="S13" s="158">
        <f t="shared" ca="1" si="4"/>
        <v>3</v>
      </c>
      <c r="T13" s="158">
        <f t="shared" ca="1" si="4"/>
        <v>4</v>
      </c>
      <c r="U13" s="158">
        <f t="shared" ca="1" si="4"/>
        <v>5</v>
      </c>
      <c r="V13" s="158">
        <f t="shared" ca="1" si="4"/>
        <v>6</v>
      </c>
      <c r="W13" s="158">
        <f t="shared" ca="1" si="4"/>
        <v>7</v>
      </c>
      <c r="X13" s="158">
        <f t="shared" ca="1" si="4"/>
        <v>8</v>
      </c>
      <c r="Y13" s="158">
        <f t="shared" ca="1" si="4"/>
        <v>9</v>
      </c>
      <c r="Z13" s="160">
        <f t="shared" ca="1" si="4"/>
        <v>10</v>
      </c>
      <c r="AA13" s="158">
        <f t="shared" ca="1" si="4"/>
        <v>11</v>
      </c>
      <c r="AB13" s="158">
        <f t="shared" ca="1" si="4"/>
        <v>12</v>
      </c>
      <c r="AC13" s="158">
        <f t="shared" ca="1" si="4"/>
        <v>13</v>
      </c>
      <c r="AD13" s="158">
        <f t="shared" ca="1" si="4"/>
        <v>14</v>
      </c>
      <c r="AE13" s="158">
        <f t="shared" ca="1" si="4"/>
        <v>15</v>
      </c>
      <c r="AF13" s="158">
        <f t="shared" ca="1" si="4"/>
        <v>16</v>
      </c>
      <c r="AG13" s="158">
        <f t="shared" ca="1" si="4"/>
        <v>17</v>
      </c>
      <c r="AH13" s="160">
        <f t="shared" ca="1" si="4"/>
        <v>18</v>
      </c>
      <c r="AJ13" s="113">
        <f t="shared" ref="AJ13:CM13" ca="1" si="5">OFFSET(AJ13,0,-1)+1</f>
        <v>1</v>
      </c>
      <c r="AK13" s="161">
        <f t="shared" ca="1" si="5"/>
        <v>2</v>
      </c>
      <c r="AL13" s="161">
        <f t="shared" ca="1" si="5"/>
        <v>3</v>
      </c>
      <c r="AM13" s="161">
        <f t="shared" ca="1" si="5"/>
        <v>4</v>
      </c>
      <c r="AN13" s="161">
        <f t="shared" ca="1" si="5"/>
        <v>5</v>
      </c>
      <c r="AO13" s="161">
        <f t="shared" ca="1" si="5"/>
        <v>6</v>
      </c>
      <c r="AP13" s="161">
        <f t="shared" ca="1" si="5"/>
        <v>7</v>
      </c>
      <c r="AQ13" s="161">
        <f t="shared" ca="1" si="5"/>
        <v>8</v>
      </c>
      <c r="AR13" s="161">
        <f t="shared" ca="1" si="5"/>
        <v>9</v>
      </c>
      <c r="AS13" s="162">
        <f t="shared" ca="1" si="5"/>
        <v>10</v>
      </c>
      <c r="AT13" s="161">
        <f t="shared" ca="1" si="5"/>
        <v>11</v>
      </c>
      <c r="AU13" s="161">
        <f t="shared" ca="1" si="5"/>
        <v>12</v>
      </c>
      <c r="AV13" s="161">
        <f t="shared" ca="1" si="5"/>
        <v>13</v>
      </c>
      <c r="AW13" s="161">
        <f t="shared" ca="1" si="5"/>
        <v>14</v>
      </c>
      <c r="AX13" s="161">
        <f t="shared" ca="1" si="5"/>
        <v>15</v>
      </c>
      <c r="AY13" s="161">
        <f t="shared" ca="1" si="5"/>
        <v>16</v>
      </c>
      <c r="AZ13" s="161">
        <f t="shared" ca="1" si="5"/>
        <v>17</v>
      </c>
      <c r="BA13" s="162">
        <f t="shared" ca="1" si="5"/>
        <v>18</v>
      </c>
      <c r="BC13" s="113">
        <f t="shared" ca="1" si="5"/>
        <v>1</v>
      </c>
      <c r="BD13" s="161">
        <f t="shared" ca="1" si="5"/>
        <v>2</v>
      </c>
      <c r="BE13" s="161">
        <f t="shared" ca="1" si="5"/>
        <v>3</v>
      </c>
      <c r="BF13" s="161">
        <f t="shared" ca="1" si="5"/>
        <v>4</v>
      </c>
      <c r="BG13" s="161">
        <f t="shared" ca="1" si="5"/>
        <v>5</v>
      </c>
      <c r="BH13" s="161">
        <f t="shared" ca="1" si="5"/>
        <v>6</v>
      </c>
      <c r="BI13" s="161">
        <f t="shared" ca="1" si="5"/>
        <v>7</v>
      </c>
      <c r="BJ13" s="161">
        <f t="shared" ca="1" si="5"/>
        <v>8</v>
      </c>
      <c r="BK13" s="161">
        <f t="shared" ca="1" si="5"/>
        <v>9</v>
      </c>
      <c r="BL13" s="162">
        <f t="shared" ca="1" si="5"/>
        <v>10</v>
      </c>
      <c r="BM13" s="161">
        <f t="shared" ca="1" si="5"/>
        <v>11</v>
      </c>
      <c r="BN13" s="161">
        <f t="shared" ca="1" si="5"/>
        <v>12</v>
      </c>
      <c r="BO13" s="161">
        <f t="shared" ca="1" si="5"/>
        <v>13</v>
      </c>
      <c r="BP13" s="161">
        <f t="shared" ca="1" si="5"/>
        <v>14</v>
      </c>
      <c r="BQ13" s="161">
        <f t="shared" ca="1" si="5"/>
        <v>15</v>
      </c>
      <c r="BR13" s="161">
        <f t="shared" ca="1" si="5"/>
        <v>16</v>
      </c>
      <c r="BS13" s="161">
        <f t="shared" ca="1" si="5"/>
        <v>17</v>
      </c>
      <c r="BT13" s="162">
        <f t="shared" ca="1" si="5"/>
        <v>18</v>
      </c>
      <c r="BV13" s="113">
        <f t="shared" ca="1" si="5"/>
        <v>1</v>
      </c>
      <c r="BW13" s="161">
        <f t="shared" ca="1" si="5"/>
        <v>2</v>
      </c>
      <c r="BX13" s="161">
        <f t="shared" ca="1" si="5"/>
        <v>3</v>
      </c>
      <c r="BY13" s="161">
        <f t="shared" ca="1" si="5"/>
        <v>4</v>
      </c>
      <c r="BZ13" s="161">
        <f t="shared" ca="1" si="5"/>
        <v>5</v>
      </c>
      <c r="CA13" s="161">
        <f t="shared" ca="1" si="5"/>
        <v>6</v>
      </c>
      <c r="CB13" s="161">
        <f t="shared" ca="1" si="5"/>
        <v>7</v>
      </c>
      <c r="CC13" s="161">
        <f t="shared" ca="1" si="5"/>
        <v>8</v>
      </c>
      <c r="CD13" s="161">
        <f t="shared" ca="1" si="5"/>
        <v>9</v>
      </c>
      <c r="CE13" s="162">
        <f t="shared" ca="1" si="5"/>
        <v>10</v>
      </c>
      <c r="CF13" s="161">
        <f t="shared" ca="1" si="5"/>
        <v>11</v>
      </c>
      <c r="CG13" s="161">
        <f t="shared" ca="1" si="5"/>
        <v>12</v>
      </c>
      <c r="CH13" s="161">
        <f t="shared" ca="1" si="5"/>
        <v>13</v>
      </c>
      <c r="CI13" s="161">
        <f t="shared" ca="1" si="5"/>
        <v>14</v>
      </c>
      <c r="CJ13" s="161">
        <f t="shared" ca="1" si="5"/>
        <v>15</v>
      </c>
      <c r="CK13" s="161">
        <f t="shared" ca="1" si="5"/>
        <v>16</v>
      </c>
      <c r="CL13" s="161">
        <f t="shared" ca="1" si="5"/>
        <v>17</v>
      </c>
      <c r="CM13" s="162">
        <f t="shared" ca="1" si="5"/>
        <v>18</v>
      </c>
    </row>
    <row r="14" spans="1:91" ht="12.75" hidden="1" x14ac:dyDescent="0.2">
      <c r="A14" s="7">
        <f t="shared" ref="A14" ca="1" si="6">IFERROR(IF(AUTOEVENTO="Manual",IF(K14&lt;&gt;"",MIN(VALUE(LEFT(K14,FIND(".",K14)-1)),COUNTA(EVENTOS.Lista)),0),IF(OR($B14&gt;AUTOEVENTO,$B14="S",$B14=0),SUBSTITUTE(OFFSET($A14,-1,0),IF($D14="Serviço",".",""),""),ROW(A14)-ROW($A$15)&amp;".")),0)</f>
        <v>0</v>
      </c>
      <c r="B14" s="7" t="str">
        <f ca="1">OFFSET(ORÇAMENTO!C$15,ROW(B14)-ROW(B$15),0)</f>
        <v>S</v>
      </c>
      <c r="C14" s="7" t="str">
        <f ca="1">OFFSET(ORÇAMENTO!L$15,ROW(C14)-ROW(C$15),0)</f>
        <v/>
      </c>
      <c r="D14" s="116" t="str">
        <f ca="1">OFFSET(ORÇAMENTO!N$15,ROW(D14)-ROW(D$15),0)</f>
        <v>Serviço</v>
      </c>
      <c r="E14" s="117" t="str">
        <f ca="1">OFFSET(ORÇAMENTO!O$15,ROW(E14)-ROW(E$15),0)</f>
        <v>-</v>
      </c>
      <c r="F14" s="163" t="str">
        <f ca="1">OFFSET(ORÇAMENTO!R$15,ROW(F14)-ROW(F$15),0)</f>
        <v>(Sem Código)</v>
      </c>
      <c r="G14" s="164" t="str">
        <f ca="1">IF($D14&lt;&gt;"Serviço","",OFFSET(ORÇAMENTO!S$15,ROW(G14)-ROW(G$15),0))</f>
        <v>-</v>
      </c>
      <c r="H14" s="122" cm="1">
        <f t="array" aca="1" ref="H14" ca="1">IF($D14&lt;&gt;"Serviço",0,IF(ACOMPANHAMENTO="BM",ROUND(OFFSET(ORÇAMENTO!AJ$15,ROW(H14)-ROW(H$15),0),15-13*ORÇAMENTO!$AF$7),SUMPRODUCT(($Q$1:$AI$1=1)*ROUND($Q14:$AI14,15-13*ORÇAMENTO!$AF$7))))</f>
        <v>0</v>
      </c>
      <c r="I14" s="468"/>
      <c r="J14" s="640" t="str" cm="1">
        <f t="array" aca="1" ref="J14" ca="1">IF(OR(B14&lt;&gt;"S",CÁLCULO.FrentesPreenchidas=0),"",IF(AND(ACOMPANHAMENTO="PLE",AUTOEVENTO="Manual",OR(H14&gt;0,ORÇAMENTO!AC14="QUANT."),OR(K14="",M14=0,N14="")),"►E",IF(AND(ACOMPANHAMENTO="PLE",ORÇAMENTO!AC14="QUANT."),"►Q",IF(AND(ACOMPANHAMENTO="PLE",H14&lt;&gt;SUMPRODUCT(($Q$1:$AI$1=1)*ROUND(Q14:AI14,15))),"►S",IF(AND(COUNTIF($P$11:$AI$11,"▼")=0,H14&gt;0,I14=""),"◄M","")))))</f>
        <v/>
      </c>
      <c r="K14" s="641"/>
      <c r="L14" s="165" t="s">
        <v>764</v>
      </c>
      <c r="M14" s="166">
        <f ca="1">IF($D14&lt;&gt;"Serviço","",
          IF(AUTOEVENTO="manual",$A14,
                IF(ISERROR(MATCH($A14,$A$15:OFFSET($A14,-1,0),0)),MAX($M$15:OFFSET(M14,-1,0))+1,
                      INDEX($M$15:OFFSET(M14,-1,0),MATCH($A14,$A$15:OFFSET($A14,-1,0),0)))))</f>
        <v>0</v>
      </c>
      <c r="N14" s="167" t="str">
        <f ca="1">IF($D14&lt;&gt;"Serviço","",
         IF(AUTOEVENTO="Manual",
                IF($A14=0,"&lt;-- defina o número do agrupador",
                       OFFSET(EVENTOS!$D$15,$A14-$A$15,0)),
                OFFSET($F$15,$A14,0)))</f>
        <v>&lt;-- defina o número do agrupador</v>
      </c>
      <c r="O14" s="168"/>
      <c r="Q14" s="168"/>
      <c r="R14" s="169"/>
      <c r="S14" s="169"/>
      <c r="T14" s="169"/>
      <c r="U14" s="169"/>
      <c r="V14" s="169"/>
      <c r="W14" s="169"/>
      <c r="X14" s="169"/>
      <c r="Y14" s="169"/>
      <c r="Z14" s="170"/>
      <c r="AA14" s="169"/>
      <c r="AB14" s="169"/>
      <c r="AC14" s="169"/>
      <c r="AD14" s="169"/>
      <c r="AE14" s="169"/>
      <c r="AF14" s="169"/>
      <c r="AG14" s="169"/>
      <c r="AH14" s="170"/>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53">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53">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53">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53">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53">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53">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53">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3">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3">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3">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3">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3">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3">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3">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3">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3">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1">
        <f ca="1">IF(OR($D14&lt;&gt;"Serviço",AND(AUTOEVENTO="Manual",$M14=$A$15)),0,
         IF(OFFSET(CRONOPLE!$F$15,$M14-$A$15,BC$13)=0,10^12,OFFSET(CRONOPLE!$F$15,$M14-$A$15,BC$13)))</f>
        <v>0</v>
      </c>
      <c r="BD14" s="171">
        <f ca="1">IF(OR($D14&lt;&gt;"Serviço",AND(AUTOEVENTO="Manual",$M14=$A$15)),0,
         IF(OFFSET(CRONOPLE!$F$15,$M14-$A$15,BD$13)=0,10^12,OFFSET(CRONOPLE!$F$15,$M14-$A$15,BD$13)))</f>
        <v>0</v>
      </c>
      <c r="BE14" s="171">
        <f ca="1">IF(OR($D14&lt;&gt;"Serviço",AND(AUTOEVENTO="Manual",$M14=$A$15)),0,
         IF(OFFSET(CRONOPLE!$F$15,$M14-$A$15,BE$13)=0,10^12,OFFSET(CRONOPLE!$F$15,$M14-$A$15,BE$13)))</f>
        <v>0</v>
      </c>
      <c r="BF14" s="171">
        <f ca="1">IF(OR($D14&lt;&gt;"Serviço",AND(AUTOEVENTO="Manual",$M14=$A$15)),0,
         IF(OFFSET(CRONOPLE!$F$15,$M14-$A$15,BF$13)=0,10^12,OFFSET(CRONOPLE!$F$15,$M14-$A$15,BF$13)))</f>
        <v>0</v>
      </c>
      <c r="BG14" s="171">
        <f ca="1">IF(OR($D14&lt;&gt;"Serviço",AND(AUTOEVENTO="Manual",$M14=$A$15)),0,
         IF(OFFSET(CRONOPLE!$F$15,$M14-$A$15,BG$13)=0,10^12,OFFSET(CRONOPLE!$F$15,$M14-$A$15,BG$13)))</f>
        <v>0</v>
      </c>
      <c r="BH14" s="171">
        <f ca="1">IF(OR($D14&lt;&gt;"Serviço",AND(AUTOEVENTO="Manual",$M14=$A$15)),0,
         IF(OFFSET(CRONOPLE!$F$15,$M14-$A$15,BH$13)=0,10^12,OFFSET(CRONOPLE!$F$15,$M14-$A$15,BH$13)))</f>
        <v>0</v>
      </c>
      <c r="BI14" s="171">
        <f ca="1">IF(OR($D14&lt;&gt;"Serviço",AND(AUTOEVENTO="Manual",$M14=$A$15)),0,
         IF(OFFSET(CRONOPLE!$F$15,$M14-$A$15,BI$13)=0,10^12,OFFSET(CRONOPLE!$F$15,$M14-$A$15,BI$13)))</f>
        <v>0</v>
      </c>
      <c r="BJ14" s="171">
        <f ca="1">IF(OR($D14&lt;&gt;"Serviço",AND(AUTOEVENTO="Manual",$M14=$A$15)),0,
         IF(OFFSET(CRONOPLE!$F$15,$M14-$A$15,BJ$13)=0,10^12,OFFSET(CRONOPLE!$F$15,$M14-$A$15,BJ$13)))</f>
        <v>0</v>
      </c>
      <c r="BK14" s="171">
        <f ca="1">IF(OR($D14&lt;&gt;"Serviço",AND(AUTOEVENTO="Manual",$M14=$A$15)),0,
         IF(OFFSET(CRONOPLE!$F$15,$M14-$A$15,BK$13)=0,10^12,OFFSET(CRONOPLE!$F$15,$M14-$A$15,BK$13)))</f>
        <v>0</v>
      </c>
      <c r="BL14" s="171">
        <f ca="1">IF(OR($D14&lt;&gt;"Serviço",AND(AUTOEVENTO="Manual",$M14=$A$15)),0,
         IF(OFFSET(CRONOPLE!$F$15,$M14-$A$15,BL$13)=0,10^12,OFFSET(CRONOPLE!$F$15,$M14-$A$15,BL$13)))</f>
        <v>0</v>
      </c>
      <c r="BM14" s="171">
        <f ca="1">IF(OR($D14&lt;&gt;"Serviço",AND(AUTOEVENTO="Manual",$M14=$A$15)),0,
         IF(OFFSET(CRONOPLE!$F$15,$M14-$A$15,BM$13)=0,10^12,OFFSET(CRONOPLE!$F$15,$M14-$A$15,BM$13)))</f>
        <v>0</v>
      </c>
      <c r="BN14" s="171">
        <f ca="1">IF(OR($D14&lt;&gt;"Serviço",AND(AUTOEVENTO="Manual",$M14=$A$15)),0,
         IF(OFFSET(CRONOPLE!$F$15,$M14-$A$15,BN$13)=0,10^12,OFFSET(CRONOPLE!$F$15,$M14-$A$15,BN$13)))</f>
        <v>0</v>
      </c>
      <c r="BO14" s="171">
        <f ca="1">IF(OR($D14&lt;&gt;"Serviço",AND(AUTOEVENTO="Manual",$M14=$A$15)),0,
         IF(OFFSET(CRONOPLE!$F$15,$M14-$A$15,BO$13)=0,10^12,OFFSET(CRONOPLE!$F$15,$M14-$A$15,BO$13)))</f>
        <v>0</v>
      </c>
      <c r="BP14" s="171">
        <f ca="1">IF(OR($D14&lt;&gt;"Serviço",AND(AUTOEVENTO="Manual",$M14=$A$15)),0,
         IF(OFFSET(CRONOPLE!$F$15,$M14-$A$15,BP$13)=0,10^12,OFFSET(CRONOPLE!$F$15,$M14-$A$15,BP$13)))</f>
        <v>0</v>
      </c>
      <c r="BQ14" s="171">
        <f ca="1">IF(OR($D14&lt;&gt;"Serviço",AND(AUTOEVENTO="Manual",$M14=$A$15)),0,
         IF(OFFSET(CRONOPLE!$F$15,$M14-$A$15,BQ$13)=0,10^12,OFFSET(CRONOPLE!$F$15,$M14-$A$15,BQ$13)))</f>
        <v>0</v>
      </c>
      <c r="BR14" s="171">
        <f ca="1">IF(OR($D14&lt;&gt;"Serviço",AND(AUTOEVENTO="Manual",$M14=$A$15)),0,
         IF(OFFSET(CRONOPLE!$F$15,$M14-$A$15,BR$13)=0,10^12,OFFSET(CRONOPLE!$F$15,$M14-$A$15,BR$13)))</f>
        <v>0</v>
      </c>
      <c r="BS14" s="171">
        <f ca="1">IF(OR($D14&lt;&gt;"Serviço",AND(AUTOEVENTO="Manual",$M14=$A$15)),0,
         IF(OFFSET(CRONOPLE!$F$15,$M14-$A$15,BS$13)=0,10^12,OFFSET(CRONOPLE!$F$15,$M14-$A$15,BS$13)))</f>
        <v>0</v>
      </c>
      <c r="BT14" s="171">
        <f ca="1">IF(OR($D14&lt;&gt;"Serviço",AND(AUTOEVENTO="Manual",$M14=$A$15)),0,
         IF(OFFSET(CRONOPLE!$F$15,$M14-$A$15,BT$13)=0,10^12,OFFSET(CRONOPLE!$F$15,$M14-$A$15,BT$13)))</f>
        <v>0</v>
      </c>
      <c r="BV14" s="172">
        <f ca="1">IF(OR($D14&lt;&gt;"Serviço",AND(AUTOEVENTO="Manual",$M14=$A$15),$M14&gt;(ROW(PLE.lastrow)-ROW(PLE.firstrow))),0,
           IF(OFFSET(PLE!$G$15,$M14-$A$15,BV$13)="",10^12,OFFSET(PLE!$G$15,$M14-$A$15,BV$13)))</f>
        <v>0</v>
      </c>
      <c r="BW14" s="172">
        <f ca="1">IF(OR($D14&lt;&gt;"Serviço",AND(AUTOEVENTO="Manual",$M14=$A$15),$M14&gt;(ROW(PLE.lastrow)-ROW(PLE.firstrow))),0,
           IF(OFFSET(PLE!$G$15,$M14-$A$15,BW$13)="",10^12,OFFSET(PLE!$G$15,$M14-$A$15,BW$13)))</f>
        <v>0</v>
      </c>
      <c r="BX14" s="172">
        <f ca="1">IF(OR($D14&lt;&gt;"Serviço",AND(AUTOEVENTO="Manual",$M14=$A$15),$M14&gt;(ROW(PLE.lastrow)-ROW(PLE.firstrow))),0,
           IF(OFFSET(PLE!$G$15,$M14-$A$15,BX$13)="",10^12,OFFSET(PLE!$G$15,$M14-$A$15,BX$13)))</f>
        <v>0</v>
      </c>
      <c r="BY14" s="172">
        <f ca="1">IF(OR($D14&lt;&gt;"Serviço",AND(AUTOEVENTO="Manual",$M14=$A$15),$M14&gt;(ROW(PLE.lastrow)-ROW(PLE.firstrow))),0,
           IF(OFFSET(PLE!$G$15,$M14-$A$15,BY$13)="",10^12,OFFSET(PLE!$G$15,$M14-$A$15,BY$13)))</f>
        <v>0</v>
      </c>
      <c r="BZ14" s="172">
        <f ca="1">IF(OR($D14&lt;&gt;"Serviço",AND(AUTOEVENTO="Manual",$M14=$A$15),$M14&gt;(ROW(PLE.lastrow)-ROW(PLE.firstrow))),0,
           IF(OFFSET(PLE!$G$15,$M14-$A$15,BZ$13)="",10^12,OFFSET(PLE!$G$15,$M14-$A$15,BZ$13)))</f>
        <v>0</v>
      </c>
      <c r="CA14" s="172">
        <f ca="1">IF(OR($D14&lt;&gt;"Serviço",AND(AUTOEVENTO="Manual",$M14=$A$15),$M14&gt;(ROW(PLE.lastrow)-ROW(PLE.firstrow))),0,
           IF(OFFSET(PLE!$G$15,$M14-$A$15,CA$13)="",10^12,OFFSET(PLE!$G$15,$M14-$A$15,CA$13)))</f>
        <v>0</v>
      </c>
      <c r="CB14" s="172">
        <f ca="1">IF(OR($D14&lt;&gt;"Serviço",AND(AUTOEVENTO="Manual",$M14=$A$15),$M14&gt;(ROW(PLE.lastrow)-ROW(PLE.firstrow))),0,
           IF(OFFSET(PLE!$G$15,$M14-$A$15,CB$13)="",10^12,OFFSET(PLE!$G$15,$M14-$A$15,CB$13)))</f>
        <v>0</v>
      </c>
      <c r="CC14" s="172">
        <f ca="1">IF(OR($D14&lt;&gt;"Serviço",AND(AUTOEVENTO="Manual",$M14=$A$15),$M14&gt;(ROW(PLE.lastrow)-ROW(PLE.firstrow))),0,
           IF(OFFSET(PLE!$G$15,$M14-$A$15,CC$13)="",10^12,OFFSET(PLE!$G$15,$M14-$A$15,CC$13)))</f>
        <v>0</v>
      </c>
      <c r="CD14" s="172">
        <f ca="1">IF(OR($D14&lt;&gt;"Serviço",AND(AUTOEVENTO="Manual",$M14=$A$15),$M14&gt;(ROW(PLE.lastrow)-ROW(PLE.firstrow))),0,
           IF(OFFSET(PLE!$G$15,$M14-$A$15,CD$13)="",10^12,OFFSET(PLE!$G$15,$M14-$A$15,CD$13)))</f>
        <v>0</v>
      </c>
      <c r="CE14" s="172">
        <f ca="1">IF(OR($D14&lt;&gt;"Serviço",AND(AUTOEVENTO="Manual",$M14=$A$15),$M14&gt;(ROW(PLE.lastrow)-ROW(PLE.firstrow))),0,
           IF(OFFSET(PLE!$G$15,$M14-$A$15,CE$13)="",10^12,OFFSET(PLE!$G$15,$M14-$A$15,CE$13)))</f>
        <v>0</v>
      </c>
      <c r="CF14" s="172">
        <f ca="1">IF(OR($D14&lt;&gt;"Serviço",AND(AUTOEVENTO="Manual",$M14=$A$15),$M14&gt;(ROW(PLE.lastrow)-ROW(PLE.firstrow))),0,
           IF(OFFSET(PLE!$G$15,$M14-$A$15,CF$13)="",10^12,OFFSET(PLE!$G$15,$M14-$A$15,CF$13)))</f>
        <v>0</v>
      </c>
      <c r="CG14" s="172">
        <f ca="1">IF(OR($D14&lt;&gt;"Serviço",AND(AUTOEVENTO="Manual",$M14=$A$15),$M14&gt;(ROW(PLE.lastrow)-ROW(PLE.firstrow))),0,
           IF(OFFSET(PLE!$G$15,$M14-$A$15,CG$13)="",10^12,OFFSET(PLE!$G$15,$M14-$A$15,CG$13)))</f>
        <v>0</v>
      </c>
      <c r="CH14" s="172">
        <f ca="1">IF(OR($D14&lt;&gt;"Serviço",AND(AUTOEVENTO="Manual",$M14=$A$15),$M14&gt;(ROW(PLE.lastrow)-ROW(PLE.firstrow))),0,
           IF(OFFSET(PLE!$G$15,$M14-$A$15,CH$13)="",10^12,OFFSET(PLE!$G$15,$M14-$A$15,CH$13)))</f>
        <v>0</v>
      </c>
      <c r="CI14" s="172">
        <f ca="1">IF(OR($D14&lt;&gt;"Serviço",AND(AUTOEVENTO="Manual",$M14=$A$15),$M14&gt;(ROW(PLE.lastrow)-ROW(PLE.firstrow))),0,
           IF(OFFSET(PLE!$G$15,$M14-$A$15,CI$13)="",10^12,OFFSET(PLE!$G$15,$M14-$A$15,CI$13)))</f>
        <v>0</v>
      </c>
      <c r="CJ14" s="172">
        <f ca="1">IF(OR($D14&lt;&gt;"Serviço",AND(AUTOEVENTO="Manual",$M14=$A$15),$M14&gt;(ROW(PLE.lastrow)-ROW(PLE.firstrow))),0,
           IF(OFFSET(PLE!$G$15,$M14-$A$15,CJ$13)="",10^12,OFFSET(PLE!$G$15,$M14-$A$15,CJ$13)))</f>
        <v>0</v>
      </c>
      <c r="CK14" s="172">
        <f ca="1">IF(OR($D14&lt;&gt;"Serviço",AND(AUTOEVENTO="Manual",$M14=$A$15),$M14&gt;(ROW(PLE.lastrow)-ROW(PLE.firstrow))),0,
           IF(OFFSET(PLE!$G$15,$M14-$A$15,CK$13)="",10^12,OFFSET(PLE!$G$15,$M14-$A$15,CK$13)))</f>
        <v>0</v>
      </c>
      <c r="CL14" s="172">
        <f ca="1">IF(OR($D14&lt;&gt;"Serviço",AND(AUTOEVENTO="Manual",$M14=$A$15),$M14&gt;(ROW(PLE.lastrow)-ROW(PLE.firstrow))),0,
           IF(OFFSET(PLE!$G$15,$M14-$A$15,CL$13)="",10^12,OFFSET(PLE!$G$15,$M14-$A$15,CL$13)))</f>
        <v>0</v>
      </c>
      <c r="CM14" s="172">
        <f ca="1">IF(OR($D14&lt;&gt;"Serviço",AND(AUTOEVENTO="Manual",$M14=$A$15),$M14&gt;(ROW(PLE.lastrow)-ROW(PLE.firstrow))),0,
           IF(OFFSET(PLE!$G$15,$M14-$A$15,CM$13)="",10^12,OFFSET(PLE!$G$15,$M14-$A$15,CM$13)))</f>
        <v>0</v>
      </c>
    </row>
    <row r="15" spans="1:91" ht="12.75" customHeight="1" x14ac:dyDescent="0.2">
      <c r="A15" s="642" cm="1">
        <f t="array" ref="A15">IF(AdmLocal="Automática",1,0)</f>
        <v>0</v>
      </c>
      <c r="B15" s="7" t="str">
        <f ca="1">OFFSET(ORÇAMENTO!C$15,ROW(B15)-ROW(B$15),0)</f>
        <v>L</v>
      </c>
      <c r="C15" s="7" t="str">
        <f ca="1">OFFSET(ORÇAMENTO!L$15,ROW(C15)-ROW(C$15),0)</f>
        <v>F</v>
      </c>
      <c r="D15" s="130" t="str">
        <f>IF(TIPOORCAMENTO="LICITADO","CTEF","LOTE")</f>
        <v>LOTE</v>
      </c>
      <c r="E15" s="742" t="str">
        <f>Import.DescLote</f>
        <v>ETE - BREJO ALEGRE - FASE II</v>
      </c>
      <c r="F15" s="742"/>
      <c r="G15" s="742"/>
      <c r="H15" s="742"/>
      <c r="I15" s="469"/>
      <c r="J15" s="522"/>
      <c r="K15" s="623"/>
      <c r="L15" s="165" t="s">
        <v>764</v>
      </c>
      <c r="M15" s="568">
        <v>0</v>
      </c>
      <c r="N15" s="173" t="s">
        <v>776</v>
      </c>
      <c r="O15" s="174" t="e">
        <f ca="1">OFFSET($AI$15,0,O$13)</f>
        <v>#VALUE!</v>
      </c>
      <c r="Q15" s="175">
        <f t="shared" ref="Q15:AH15" ca="1" si="7">OFFSET($AI$15,0,Q$13)</f>
        <v>0</v>
      </c>
      <c r="R15" s="174">
        <f t="shared" ca="1" si="7"/>
        <v>0</v>
      </c>
      <c r="S15" s="174">
        <f t="shared" ca="1" si="7"/>
        <v>0</v>
      </c>
      <c r="T15" s="174">
        <f t="shared" ca="1" si="7"/>
        <v>0</v>
      </c>
      <c r="U15" s="174">
        <f t="shared" ca="1" si="7"/>
        <v>0</v>
      </c>
      <c r="V15" s="174">
        <f t="shared" ca="1" si="7"/>
        <v>0</v>
      </c>
      <c r="W15" s="174">
        <f t="shared" ca="1" si="7"/>
        <v>0</v>
      </c>
      <c r="X15" s="174">
        <f t="shared" ca="1" si="7"/>
        <v>0</v>
      </c>
      <c r="Y15" s="174">
        <f t="shared" ca="1" si="7"/>
        <v>0</v>
      </c>
      <c r="Z15" s="176">
        <f t="shared" ca="1" si="7"/>
        <v>0</v>
      </c>
      <c r="AA15" s="174">
        <f t="shared" ca="1" si="7"/>
        <v>0</v>
      </c>
      <c r="AB15" s="174">
        <f t="shared" ca="1" si="7"/>
        <v>0</v>
      </c>
      <c r="AC15" s="174">
        <f t="shared" ca="1" si="7"/>
        <v>0</v>
      </c>
      <c r="AD15" s="174">
        <f t="shared" ca="1" si="7"/>
        <v>0</v>
      </c>
      <c r="AE15" s="174">
        <f t="shared" ca="1" si="7"/>
        <v>0</v>
      </c>
      <c r="AF15" s="174">
        <f t="shared" ca="1" si="7"/>
        <v>0</v>
      </c>
      <c r="AG15" s="174">
        <f t="shared" ca="1" si="7"/>
        <v>0</v>
      </c>
      <c r="AH15" s="176">
        <f t="shared" ca="1" si="7"/>
        <v>0</v>
      </c>
      <c r="AJ15" s="177">
        <f ca="1">ROUND(SUM(OFFSET(AJ$15,1,0):AJ$508),2)</f>
        <v>0</v>
      </c>
      <c r="AK15" s="177">
        <f ca="1">SUM(OFFSET(AK$15,1,0):AK$508)</f>
        <v>0</v>
      </c>
      <c r="AL15" s="177">
        <f ca="1">SUM(OFFSET(AL$15,1,0):AL$508)</f>
        <v>0</v>
      </c>
      <c r="AM15" s="177">
        <f ca="1">SUM(OFFSET(AM$15,1,0):AM$508)</f>
        <v>0</v>
      </c>
      <c r="AN15" s="177">
        <f ca="1">SUM(OFFSET(AN$15,1,0):AN$508)</f>
        <v>0</v>
      </c>
      <c r="AO15" s="177">
        <f ca="1">SUM(OFFSET(AO$15,1,0):AO$508)</f>
        <v>0</v>
      </c>
      <c r="AP15" s="177">
        <f ca="1">SUM(OFFSET(AP$15,1,0):AP$508)</f>
        <v>0</v>
      </c>
      <c r="AQ15" s="177">
        <f ca="1">SUM(OFFSET(AQ$15,1,0):AQ$508)</f>
        <v>0</v>
      </c>
      <c r="AR15" s="177">
        <f ca="1">SUM(OFFSET(AR$15,1,0):AR$508)</f>
        <v>0</v>
      </c>
      <c r="AS15" s="177">
        <f ca="1">SUM(OFFSET(AS$15,1,0):AS$508)</f>
        <v>0</v>
      </c>
      <c r="AT15" s="177">
        <f ca="1">SUM(OFFSET(AT$15,1,0):AT$508)</f>
        <v>0</v>
      </c>
      <c r="AU15" s="177">
        <f ca="1">SUM(OFFSET(AU$15,1,0):AU$508)</f>
        <v>0</v>
      </c>
      <c r="AV15" s="177">
        <f ca="1">SUM(OFFSET(AV$15,1,0):AV$508)</f>
        <v>0</v>
      </c>
      <c r="AW15" s="177">
        <f ca="1">SUM(OFFSET(AW$15,1,0):AW$508)</f>
        <v>0</v>
      </c>
      <c r="AX15" s="177">
        <f ca="1">SUM(OFFSET(AX$15,1,0):AX$508)</f>
        <v>0</v>
      </c>
      <c r="AY15" s="177">
        <f ca="1">SUM(OFFSET(AY$15,1,0):AY$508)</f>
        <v>0</v>
      </c>
      <c r="AZ15" s="177">
        <f ca="1">SUM(OFFSET(AZ$15,1,0):AZ$508)</f>
        <v>0</v>
      </c>
      <c r="BA15" s="177">
        <f ca="1">SUM(OFFSET(BA$15,1,0):BA$508)</f>
        <v>0</v>
      </c>
      <c r="BC15" s="178">
        <f>10^12</f>
        <v>1000000000000</v>
      </c>
      <c r="BD15" s="178">
        <f t="shared" ref="BD15:BT15" si="8">10^12</f>
        <v>1000000000000</v>
      </c>
      <c r="BE15" s="178">
        <f t="shared" si="8"/>
        <v>1000000000000</v>
      </c>
      <c r="BF15" s="178">
        <f t="shared" si="8"/>
        <v>1000000000000</v>
      </c>
      <c r="BG15" s="178">
        <f t="shared" si="8"/>
        <v>1000000000000</v>
      </c>
      <c r="BH15" s="178">
        <f t="shared" si="8"/>
        <v>1000000000000</v>
      </c>
      <c r="BI15" s="178">
        <f t="shared" si="8"/>
        <v>1000000000000</v>
      </c>
      <c r="BJ15" s="178">
        <f t="shared" si="8"/>
        <v>1000000000000</v>
      </c>
      <c r="BK15" s="178">
        <f t="shared" si="8"/>
        <v>1000000000000</v>
      </c>
      <c r="BL15" s="178">
        <f t="shared" si="8"/>
        <v>1000000000000</v>
      </c>
      <c r="BM15" s="178">
        <f t="shared" si="8"/>
        <v>1000000000000</v>
      </c>
      <c r="BN15" s="178">
        <f t="shared" si="8"/>
        <v>1000000000000</v>
      </c>
      <c r="BO15" s="178">
        <f t="shared" si="8"/>
        <v>1000000000000</v>
      </c>
      <c r="BP15" s="178">
        <f t="shared" si="8"/>
        <v>1000000000000</v>
      </c>
      <c r="BQ15" s="178">
        <f t="shared" si="8"/>
        <v>1000000000000</v>
      </c>
      <c r="BR15" s="178">
        <f t="shared" si="8"/>
        <v>1000000000000</v>
      </c>
      <c r="BS15" s="178">
        <f t="shared" si="8"/>
        <v>1000000000000</v>
      </c>
      <c r="BT15" s="178">
        <f t="shared" si="8"/>
        <v>1000000000000</v>
      </c>
      <c r="BV15" s="178">
        <f t="shared" ref="BV15:CM15" si="9">10^12</f>
        <v>1000000000000</v>
      </c>
      <c r="BW15" s="178">
        <f t="shared" si="9"/>
        <v>1000000000000</v>
      </c>
      <c r="BX15" s="178">
        <f t="shared" si="9"/>
        <v>1000000000000</v>
      </c>
      <c r="BY15" s="178">
        <f t="shared" si="9"/>
        <v>1000000000000</v>
      </c>
      <c r="BZ15" s="178">
        <f t="shared" si="9"/>
        <v>1000000000000</v>
      </c>
      <c r="CA15" s="178">
        <f t="shared" si="9"/>
        <v>1000000000000</v>
      </c>
      <c r="CB15" s="178">
        <f t="shared" si="9"/>
        <v>1000000000000</v>
      </c>
      <c r="CC15" s="178">
        <f t="shared" si="9"/>
        <v>1000000000000</v>
      </c>
      <c r="CD15" s="178">
        <f t="shared" si="9"/>
        <v>1000000000000</v>
      </c>
      <c r="CE15" s="178">
        <f t="shared" si="9"/>
        <v>1000000000000</v>
      </c>
      <c r="CF15" s="178">
        <f t="shared" si="9"/>
        <v>1000000000000</v>
      </c>
      <c r="CG15" s="178">
        <f t="shared" si="9"/>
        <v>1000000000000</v>
      </c>
      <c r="CH15" s="178">
        <f t="shared" si="9"/>
        <v>1000000000000</v>
      </c>
      <c r="CI15" s="178">
        <f t="shared" si="9"/>
        <v>1000000000000</v>
      </c>
      <c r="CJ15" s="178">
        <f t="shared" si="9"/>
        <v>1000000000000</v>
      </c>
      <c r="CK15" s="178">
        <f t="shared" si="9"/>
        <v>1000000000000</v>
      </c>
      <c r="CL15" s="178">
        <f t="shared" si="9"/>
        <v>1000000000000</v>
      </c>
      <c r="CM15" s="178">
        <f t="shared" si="9"/>
        <v>1000000000000</v>
      </c>
    </row>
    <row r="16" spans="1:91" ht="12.75" x14ac:dyDescent="0.2">
      <c r="A16" s="7">
        <f t="shared" ref="A16:A84" ca="1" si="10">IFERROR(IF(AUTOEVENTO="Manual",IF(K16&lt;&gt;"",MIN(VALUE(LEFT(K16,FIND(".",K16)-1)),COUNTA(EVENTOS.Lista)),0),IF(OR($B16&gt;AUTOEVENTO,$B16="S",$B16=0),SUBSTITUTE(OFFSET($A16,-1,0),IF($D16="Serviço",".",""),""),ROW(A16)-ROW($A$15)&amp;".")),0)</f>
        <v>0</v>
      </c>
      <c r="B16" s="7">
        <f ca="1">OFFSET(ORÇAMENTO!C$15,ROW(B16)-ROW(B$15),0)</f>
        <v>1</v>
      </c>
      <c r="C16" s="7" t="str">
        <f ca="1">OFFSET(ORÇAMENTO!L$15,ROW(C16)-ROW(C$15),0)</f>
        <v>F</v>
      </c>
      <c r="D16" s="116" t="str">
        <f ca="1">OFFSET(ORÇAMENTO!N$15,ROW(D16)-ROW(D$15),0)</f>
        <v>Meta</v>
      </c>
      <c r="E16" s="117" t="str">
        <f ca="1">OFFSET(ORÇAMENTO!O$15,ROW(E16)-ROW(E$15),0)</f>
        <v>1.</v>
      </c>
      <c r="F16" s="163" t="str">
        <f ca="1">OFFSET(ORÇAMENTO!R$15,ROW(F16)-ROW(F$15),0)</f>
        <v>ETE - BREJO ALEGRE - FASE II</v>
      </c>
      <c r="G16" s="164" t="str">
        <f ca="1">IF($D16&lt;&gt;"Serviço","",OFFSET(ORÇAMENTO!S$15,ROW(G16)-ROW(G$15),0))</f>
        <v/>
      </c>
      <c r="H16" s="122" cm="1">
        <f t="array" aca="1" ref="H16" ca="1">IF($D16&lt;&gt;"Serviço",0,IF(ACOMPANHAMENTO="BM",ROUND(OFFSET(ORÇAMENTO!AJ$15,ROW(H16)-ROW(H$15),0),15-13*ORÇAMENTO!$AF$7),SUMPRODUCT(($Q$1:$AI$1=1)*ROUND($Q16:$AI16,15-13*ORÇAMENTO!$AF$7))))</f>
        <v>0</v>
      </c>
      <c r="I16" s="468"/>
      <c r="J16" s="640" t="str" cm="1">
        <f t="array" aca="1" ref="J16" ca="1">IF(OR(B16&lt;&gt;"S",CÁLCULO.FrentesPreenchidas=0),"",IF(AND(ACOMPANHAMENTO="PLE",AUTOEVENTO="Manual",OR(H16&gt;0,ORÇAMENTO!AC16="QUANT."),OR(K16="",M16=0,N16="")),"►E",IF(AND(ACOMPANHAMENTO="PLE",ORÇAMENTO!AC16="QUANT."),"►Q",IF(AND(ACOMPANHAMENTO="PLE",H16&lt;&gt;SUMPRODUCT(($Q$1:$AI$1=1)*ROUND(Q16:AI16,15))),"►S",IF(AND(COUNTIF($P$11:$AI$11,"▼")=0,H16&gt;0,I16=""),"◄M","")))))</f>
        <v/>
      </c>
      <c r="K16" s="641"/>
      <c r="L16" s="165" t="s">
        <v>764</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A16" s="169"/>
      <c r="AB16" s="169"/>
      <c r="AC16" s="169"/>
      <c r="AD16" s="169"/>
      <c r="AE16" s="169"/>
      <c r="AF16" s="169"/>
      <c r="AG16" s="169"/>
      <c r="AH16" s="170"/>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53">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53">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53">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53">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53">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53">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53">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3">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3">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3">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3">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3">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3">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3">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3">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3">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1">
        <f ca="1">IF(OR($D16&lt;&gt;"Serviço",AND(AUTOEVENTO="Manual",$M16=$A$15)),0,
         IF(OFFSET(CRONOPLE!$F$15,$M16-$A$15,BC$13)=0,10^12,OFFSET(CRONOPLE!$F$15,$M16-$A$15,BC$13)))</f>
        <v>0</v>
      </c>
      <c r="BD16" s="171">
        <f ca="1">IF(OR($D16&lt;&gt;"Serviço",AND(AUTOEVENTO="Manual",$M16=$A$15)),0,
         IF(OFFSET(CRONOPLE!$F$15,$M16-$A$15,BD$13)=0,10^12,OFFSET(CRONOPLE!$F$15,$M16-$A$15,BD$13)))</f>
        <v>0</v>
      </c>
      <c r="BE16" s="171">
        <f ca="1">IF(OR($D16&lt;&gt;"Serviço",AND(AUTOEVENTO="Manual",$M16=$A$15)),0,
         IF(OFFSET(CRONOPLE!$F$15,$M16-$A$15,BE$13)=0,10^12,OFFSET(CRONOPLE!$F$15,$M16-$A$15,BE$13)))</f>
        <v>0</v>
      </c>
      <c r="BF16" s="171">
        <f ca="1">IF(OR($D16&lt;&gt;"Serviço",AND(AUTOEVENTO="Manual",$M16=$A$15)),0,
         IF(OFFSET(CRONOPLE!$F$15,$M16-$A$15,BF$13)=0,10^12,OFFSET(CRONOPLE!$F$15,$M16-$A$15,BF$13)))</f>
        <v>0</v>
      </c>
      <c r="BG16" s="171">
        <f ca="1">IF(OR($D16&lt;&gt;"Serviço",AND(AUTOEVENTO="Manual",$M16=$A$15)),0,
         IF(OFFSET(CRONOPLE!$F$15,$M16-$A$15,BG$13)=0,10^12,OFFSET(CRONOPLE!$F$15,$M16-$A$15,BG$13)))</f>
        <v>0</v>
      </c>
      <c r="BH16" s="171">
        <f ca="1">IF(OR($D16&lt;&gt;"Serviço",AND(AUTOEVENTO="Manual",$M16=$A$15)),0,
         IF(OFFSET(CRONOPLE!$F$15,$M16-$A$15,BH$13)=0,10^12,OFFSET(CRONOPLE!$F$15,$M16-$A$15,BH$13)))</f>
        <v>0</v>
      </c>
      <c r="BI16" s="171">
        <f ca="1">IF(OR($D16&lt;&gt;"Serviço",AND(AUTOEVENTO="Manual",$M16=$A$15)),0,
         IF(OFFSET(CRONOPLE!$F$15,$M16-$A$15,BI$13)=0,10^12,OFFSET(CRONOPLE!$F$15,$M16-$A$15,BI$13)))</f>
        <v>0</v>
      </c>
      <c r="BJ16" s="171">
        <f ca="1">IF(OR($D16&lt;&gt;"Serviço",AND(AUTOEVENTO="Manual",$M16=$A$15)),0,
         IF(OFFSET(CRONOPLE!$F$15,$M16-$A$15,BJ$13)=0,10^12,OFFSET(CRONOPLE!$F$15,$M16-$A$15,BJ$13)))</f>
        <v>0</v>
      </c>
      <c r="BK16" s="171">
        <f ca="1">IF(OR($D16&lt;&gt;"Serviço",AND(AUTOEVENTO="Manual",$M16=$A$15)),0,
         IF(OFFSET(CRONOPLE!$F$15,$M16-$A$15,BK$13)=0,10^12,OFFSET(CRONOPLE!$F$15,$M16-$A$15,BK$13)))</f>
        <v>0</v>
      </c>
      <c r="BL16" s="171">
        <f ca="1">IF(OR($D16&lt;&gt;"Serviço",AND(AUTOEVENTO="Manual",$M16=$A$15)),0,
         IF(OFFSET(CRONOPLE!$F$15,$M16-$A$15,BL$13)=0,10^12,OFFSET(CRONOPLE!$F$15,$M16-$A$15,BL$13)))</f>
        <v>0</v>
      </c>
      <c r="BM16" s="171">
        <f ca="1">IF(OR($D16&lt;&gt;"Serviço",AND(AUTOEVENTO="Manual",$M16=$A$15)),0,
         IF(OFFSET(CRONOPLE!$F$15,$M16-$A$15,BM$13)=0,10^12,OFFSET(CRONOPLE!$F$15,$M16-$A$15,BM$13)))</f>
        <v>0</v>
      </c>
      <c r="BN16" s="171">
        <f ca="1">IF(OR($D16&lt;&gt;"Serviço",AND(AUTOEVENTO="Manual",$M16=$A$15)),0,
         IF(OFFSET(CRONOPLE!$F$15,$M16-$A$15,BN$13)=0,10^12,OFFSET(CRONOPLE!$F$15,$M16-$A$15,BN$13)))</f>
        <v>0</v>
      </c>
      <c r="BO16" s="171">
        <f ca="1">IF(OR($D16&lt;&gt;"Serviço",AND(AUTOEVENTO="Manual",$M16=$A$15)),0,
         IF(OFFSET(CRONOPLE!$F$15,$M16-$A$15,BO$13)=0,10^12,OFFSET(CRONOPLE!$F$15,$M16-$A$15,BO$13)))</f>
        <v>0</v>
      </c>
      <c r="BP16" s="171">
        <f ca="1">IF(OR($D16&lt;&gt;"Serviço",AND(AUTOEVENTO="Manual",$M16=$A$15)),0,
         IF(OFFSET(CRONOPLE!$F$15,$M16-$A$15,BP$13)=0,10^12,OFFSET(CRONOPLE!$F$15,$M16-$A$15,BP$13)))</f>
        <v>0</v>
      </c>
      <c r="BQ16" s="171">
        <f ca="1">IF(OR($D16&lt;&gt;"Serviço",AND(AUTOEVENTO="Manual",$M16=$A$15)),0,
         IF(OFFSET(CRONOPLE!$F$15,$M16-$A$15,BQ$13)=0,10^12,OFFSET(CRONOPLE!$F$15,$M16-$A$15,BQ$13)))</f>
        <v>0</v>
      </c>
      <c r="BR16" s="171">
        <f ca="1">IF(OR($D16&lt;&gt;"Serviço",AND(AUTOEVENTO="Manual",$M16=$A$15)),0,
         IF(OFFSET(CRONOPLE!$F$15,$M16-$A$15,BR$13)=0,10^12,OFFSET(CRONOPLE!$F$15,$M16-$A$15,BR$13)))</f>
        <v>0</v>
      </c>
      <c r="BS16" s="171">
        <f ca="1">IF(OR($D16&lt;&gt;"Serviço",AND(AUTOEVENTO="Manual",$M16=$A$15)),0,
         IF(OFFSET(CRONOPLE!$F$15,$M16-$A$15,BS$13)=0,10^12,OFFSET(CRONOPLE!$F$15,$M16-$A$15,BS$13)))</f>
        <v>0</v>
      </c>
      <c r="BT16" s="171">
        <f ca="1">IF(OR($D16&lt;&gt;"Serviço",AND(AUTOEVENTO="Manual",$M16=$A$15)),0,
         IF(OFFSET(CRONOPLE!$F$15,$M16-$A$15,BT$13)=0,10^12,OFFSET(CRONOPLE!$F$15,$M16-$A$15,BT$13)))</f>
        <v>0</v>
      </c>
      <c r="BV16" s="172">
        <f ca="1">IF(OR($D16&lt;&gt;"Serviço",AND(AUTOEVENTO="Manual",$M16=$A$15),$M16&gt;(ROW(PLE.lastrow)-ROW(PLE.firstrow))),0,
           IF(OFFSET(PLE!$G$15,$M16-$A$15,BV$13)="",10^12,OFFSET(PLE!$G$15,$M16-$A$15,BV$13)))</f>
        <v>0</v>
      </c>
      <c r="BW16" s="172">
        <f ca="1">IF(OR($D16&lt;&gt;"Serviço",AND(AUTOEVENTO="Manual",$M16=$A$15),$M16&gt;(ROW(PLE.lastrow)-ROW(PLE.firstrow))),0,
           IF(OFFSET(PLE!$G$15,$M16-$A$15,BW$13)="",10^12,OFFSET(PLE!$G$15,$M16-$A$15,BW$13)))</f>
        <v>0</v>
      </c>
      <c r="BX16" s="172">
        <f ca="1">IF(OR($D16&lt;&gt;"Serviço",AND(AUTOEVENTO="Manual",$M16=$A$15),$M16&gt;(ROW(PLE.lastrow)-ROW(PLE.firstrow))),0,
           IF(OFFSET(PLE!$G$15,$M16-$A$15,BX$13)="",10^12,OFFSET(PLE!$G$15,$M16-$A$15,BX$13)))</f>
        <v>0</v>
      </c>
      <c r="BY16" s="172">
        <f ca="1">IF(OR($D16&lt;&gt;"Serviço",AND(AUTOEVENTO="Manual",$M16=$A$15),$M16&gt;(ROW(PLE.lastrow)-ROW(PLE.firstrow))),0,
           IF(OFFSET(PLE!$G$15,$M16-$A$15,BY$13)="",10^12,OFFSET(PLE!$G$15,$M16-$A$15,BY$13)))</f>
        <v>0</v>
      </c>
      <c r="BZ16" s="172">
        <f ca="1">IF(OR($D16&lt;&gt;"Serviço",AND(AUTOEVENTO="Manual",$M16=$A$15),$M16&gt;(ROW(PLE.lastrow)-ROW(PLE.firstrow))),0,
           IF(OFFSET(PLE!$G$15,$M16-$A$15,BZ$13)="",10^12,OFFSET(PLE!$G$15,$M16-$A$15,BZ$13)))</f>
        <v>0</v>
      </c>
      <c r="CA16" s="172">
        <f ca="1">IF(OR($D16&lt;&gt;"Serviço",AND(AUTOEVENTO="Manual",$M16=$A$15),$M16&gt;(ROW(PLE.lastrow)-ROW(PLE.firstrow))),0,
           IF(OFFSET(PLE!$G$15,$M16-$A$15,CA$13)="",10^12,OFFSET(PLE!$G$15,$M16-$A$15,CA$13)))</f>
        <v>0</v>
      </c>
      <c r="CB16" s="172">
        <f ca="1">IF(OR($D16&lt;&gt;"Serviço",AND(AUTOEVENTO="Manual",$M16=$A$15),$M16&gt;(ROW(PLE.lastrow)-ROW(PLE.firstrow))),0,
           IF(OFFSET(PLE!$G$15,$M16-$A$15,CB$13)="",10^12,OFFSET(PLE!$G$15,$M16-$A$15,CB$13)))</f>
        <v>0</v>
      </c>
      <c r="CC16" s="172">
        <f ca="1">IF(OR($D16&lt;&gt;"Serviço",AND(AUTOEVENTO="Manual",$M16=$A$15),$M16&gt;(ROW(PLE.lastrow)-ROW(PLE.firstrow))),0,
           IF(OFFSET(PLE!$G$15,$M16-$A$15,CC$13)="",10^12,OFFSET(PLE!$G$15,$M16-$A$15,CC$13)))</f>
        <v>0</v>
      </c>
      <c r="CD16" s="172">
        <f ca="1">IF(OR($D16&lt;&gt;"Serviço",AND(AUTOEVENTO="Manual",$M16=$A$15),$M16&gt;(ROW(PLE.lastrow)-ROW(PLE.firstrow))),0,
           IF(OFFSET(PLE!$G$15,$M16-$A$15,CD$13)="",10^12,OFFSET(PLE!$G$15,$M16-$A$15,CD$13)))</f>
        <v>0</v>
      </c>
      <c r="CE16" s="172">
        <f ca="1">IF(OR($D16&lt;&gt;"Serviço",AND(AUTOEVENTO="Manual",$M16=$A$15),$M16&gt;(ROW(PLE.lastrow)-ROW(PLE.firstrow))),0,
           IF(OFFSET(PLE!$G$15,$M16-$A$15,CE$13)="",10^12,OFFSET(PLE!$G$15,$M16-$A$15,CE$13)))</f>
        <v>0</v>
      </c>
      <c r="CF16" s="172">
        <f ca="1">IF(OR($D16&lt;&gt;"Serviço",AND(AUTOEVENTO="Manual",$M16=$A$15),$M16&gt;(ROW(PLE.lastrow)-ROW(PLE.firstrow))),0,
           IF(OFFSET(PLE!$G$15,$M16-$A$15,CF$13)="",10^12,OFFSET(PLE!$G$15,$M16-$A$15,CF$13)))</f>
        <v>0</v>
      </c>
      <c r="CG16" s="172">
        <f ca="1">IF(OR($D16&lt;&gt;"Serviço",AND(AUTOEVENTO="Manual",$M16=$A$15),$M16&gt;(ROW(PLE.lastrow)-ROW(PLE.firstrow))),0,
           IF(OFFSET(PLE!$G$15,$M16-$A$15,CG$13)="",10^12,OFFSET(PLE!$G$15,$M16-$A$15,CG$13)))</f>
        <v>0</v>
      </c>
      <c r="CH16" s="172">
        <f ca="1">IF(OR($D16&lt;&gt;"Serviço",AND(AUTOEVENTO="Manual",$M16=$A$15),$M16&gt;(ROW(PLE.lastrow)-ROW(PLE.firstrow))),0,
           IF(OFFSET(PLE!$G$15,$M16-$A$15,CH$13)="",10^12,OFFSET(PLE!$G$15,$M16-$A$15,CH$13)))</f>
        <v>0</v>
      </c>
      <c r="CI16" s="172">
        <f ca="1">IF(OR($D16&lt;&gt;"Serviço",AND(AUTOEVENTO="Manual",$M16=$A$15),$M16&gt;(ROW(PLE.lastrow)-ROW(PLE.firstrow))),0,
           IF(OFFSET(PLE!$G$15,$M16-$A$15,CI$13)="",10^12,OFFSET(PLE!$G$15,$M16-$A$15,CI$13)))</f>
        <v>0</v>
      </c>
      <c r="CJ16" s="172">
        <f ca="1">IF(OR($D16&lt;&gt;"Serviço",AND(AUTOEVENTO="Manual",$M16=$A$15),$M16&gt;(ROW(PLE.lastrow)-ROW(PLE.firstrow))),0,
           IF(OFFSET(PLE!$G$15,$M16-$A$15,CJ$13)="",10^12,OFFSET(PLE!$G$15,$M16-$A$15,CJ$13)))</f>
        <v>0</v>
      </c>
      <c r="CK16" s="172">
        <f ca="1">IF(OR($D16&lt;&gt;"Serviço",AND(AUTOEVENTO="Manual",$M16=$A$15),$M16&gt;(ROW(PLE.lastrow)-ROW(PLE.firstrow))),0,
           IF(OFFSET(PLE!$G$15,$M16-$A$15,CK$13)="",10^12,OFFSET(PLE!$G$15,$M16-$A$15,CK$13)))</f>
        <v>0</v>
      </c>
      <c r="CL16" s="172">
        <f ca="1">IF(OR($D16&lt;&gt;"Serviço",AND(AUTOEVENTO="Manual",$M16=$A$15),$M16&gt;(ROW(PLE.lastrow)-ROW(PLE.firstrow))),0,
           IF(OFFSET(PLE!$G$15,$M16-$A$15,CL$13)="",10^12,OFFSET(PLE!$G$15,$M16-$A$15,CL$13)))</f>
        <v>0</v>
      </c>
      <c r="CM16" s="172">
        <f ca="1">IF(OR($D16&lt;&gt;"Serviço",AND(AUTOEVENTO="Manual",$M16=$A$15),$M16&gt;(ROW(PLE.lastrow)-ROW(PLE.firstrow))),0,
           IF(OFFSET(PLE!$G$15,$M16-$A$15,CM$13)="",10^12,OFFSET(PLE!$G$15,$M16-$A$15,CM$13)))</f>
        <v>0</v>
      </c>
    </row>
    <row r="17" spans="1:91" ht="12.75" x14ac:dyDescent="0.2">
      <c r="A17" s="7">
        <f t="shared" ca="1" si="10"/>
        <v>0</v>
      </c>
      <c r="B17" s="7">
        <f ca="1">OFFSET(ORÇAMENTO!C$15,ROW(B17)-ROW(B$15),0)</f>
        <v>2</v>
      </c>
      <c r="C17" s="7" t="str">
        <f ca="1">OFFSET(ORÇAMENTO!L$15,ROW(C17)-ROW(C$15),0)</f>
        <v>F</v>
      </c>
      <c r="D17" s="116" t="str">
        <f ca="1">OFFSET(ORÇAMENTO!N$15,ROW(D17)-ROW(D$15),0)</f>
        <v>Nível 2</v>
      </c>
      <c r="E17" s="117" t="str">
        <f ca="1">OFFSET(ORÇAMENTO!O$15,ROW(E17)-ROW(E$15),0)</f>
        <v>1.1.</v>
      </c>
      <c r="F17" s="163" t="str">
        <f ca="1">OFFSET(ORÇAMENTO!R$15,ROW(F17)-ROW(F$15),0)</f>
        <v>MOBILIZAÇÃO E DESMOBILIZAÇÃO</v>
      </c>
      <c r="G17" s="164" t="str">
        <f ca="1">IF($D17&lt;&gt;"Serviço","",OFFSET(ORÇAMENTO!S$15,ROW(G17)-ROW(G$15),0))</f>
        <v/>
      </c>
      <c r="H17" s="122" cm="1">
        <f t="array" aca="1" ref="H17" ca="1">IF($D17&lt;&gt;"Serviço",0,IF(ACOMPANHAMENTO="BM",ROUND(OFFSET(ORÇAMENTO!AJ$15,ROW(H17)-ROW(H$15),0),15-13*ORÇAMENTO!$AF$7),SUMPRODUCT(($Q$1:$AI$1=1)*ROUND($Q17:$AI17,15-13*ORÇAMENTO!$AF$7))))</f>
        <v>0</v>
      </c>
      <c r="I17" s="468"/>
      <c r="J17" s="640" t="str" cm="1">
        <f t="array" aca="1" ref="J17" ca="1">IF(OR(B17&lt;&gt;"S",CÁLCULO.FrentesPreenchidas=0),"",IF(AND(ACOMPANHAMENTO="PLE",AUTOEVENTO="Manual",OR(H17&gt;0,ORÇAMENTO!AC17="QUANT."),OR(K17="",M17=0,N17="")),"►E",IF(AND(ACOMPANHAMENTO="PLE",ORÇAMENTO!AC17="QUANT."),"►Q",IF(AND(ACOMPANHAMENTO="PLE",H17&lt;&gt;SUMPRODUCT(($Q$1:$AI$1=1)*ROUND(Q17:AI17,15))),"►S",IF(AND(COUNTIF($P$11:$AI$11,"▼")=0,H17&gt;0,I17=""),"◄M","")))))</f>
        <v/>
      </c>
      <c r="K17" s="641"/>
      <c r="L17" s="165" t="s">
        <v>764</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A17" s="169"/>
      <c r="AB17" s="169"/>
      <c r="AC17" s="169"/>
      <c r="AD17" s="169"/>
      <c r="AE17" s="169"/>
      <c r="AF17" s="169"/>
      <c r="AG17" s="169"/>
      <c r="AH17" s="170"/>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53">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53">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53">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53">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53">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53">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53">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3">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3">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3">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3">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3">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3">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3">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3">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3">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1">
        <f ca="1">IF(OR($D17&lt;&gt;"Serviço",AND(AUTOEVENTO="Manual",$M17=$A$15)),0,
         IF(OFFSET(CRONOPLE!$F$15,$M17-$A$15,BC$13)=0,10^12,OFFSET(CRONOPLE!$F$15,$M17-$A$15,BC$13)))</f>
        <v>0</v>
      </c>
      <c r="BD17" s="171">
        <f ca="1">IF(OR($D17&lt;&gt;"Serviço",AND(AUTOEVENTO="Manual",$M17=$A$15)),0,
         IF(OFFSET(CRONOPLE!$F$15,$M17-$A$15,BD$13)=0,10^12,OFFSET(CRONOPLE!$F$15,$M17-$A$15,BD$13)))</f>
        <v>0</v>
      </c>
      <c r="BE17" s="171">
        <f ca="1">IF(OR($D17&lt;&gt;"Serviço",AND(AUTOEVENTO="Manual",$M17=$A$15)),0,
         IF(OFFSET(CRONOPLE!$F$15,$M17-$A$15,BE$13)=0,10^12,OFFSET(CRONOPLE!$F$15,$M17-$A$15,BE$13)))</f>
        <v>0</v>
      </c>
      <c r="BF17" s="171">
        <f ca="1">IF(OR($D17&lt;&gt;"Serviço",AND(AUTOEVENTO="Manual",$M17=$A$15)),0,
         IF(OFFSET(CRONOPLE!$F$15,$M17-$A$15,BF$13)=0,10^12,OFFSET(CRONOPLE!$F$15,$M17-$A$15,BF$13)))</f>
        <v>0</v>
      </c>
      <c r="BG17" s="171">
        <f ca="1">IF(OR($D17&lt;&gt;"Serviço",AND(AUTOEVENTO="Manual",$M17=$A$15)),0,
         IF(OFFSET(CRONOPLE!$F$15,$M17-$A$15,BG$13)=0,10^12,OFFSET(CRONOPLE!$F$15,$M17-$A$15,BG$13)))</f>
        <v>0</v>
      </c>
      <c r="BH17" s="171">
        <f ca="1">IF(OR($D17&lt;&gt;"Serviço",AND(AUTOEVENTO="Manual",$M17=$A$15)),0,
         IF(OFFSET(CRONOPLE!$F$15,$M17-$A$15,BH$13)=0,10^12,OFFSET(CRONOPLE!$F$15,$M17-$A$15,BH$13)))</f>
        <v>0</v>
      </c>
      <c r="BI17" s="171">
        <f ca="1">IF(OR($D17&lt;&gt;"Serviço",AND(AUTOEVENTO="Manual",$M17=$A$15)),0,
         IF(OFFSET(CRONOPLE!$F$15,$M17-$A$15,BI$13)=0,10^12,OFFSET(CRONOPLE!$F$15,$M17-$A$15,BI$13)))</f>
        <v>0</v>
      </c>
      <c r="BJ17" s="171">
        <f ca="1">IF(OR($D17&lt;&gt;"Serviço",AND(AUTOEVENTO="Manual",$M17=$A$15)),0,
         IF(OFFSET(CRONOPLE!$F$15,$M17-$A$15,BJ$13)=0,10^12,OFFSET(CRONOPLE!$F$15,$M17-$A$15,BJ$13)))</f>
        <v>0</v>
      </c>
      <c r="BK17" s="171">
        <f ca="1">IF(OR($D17&lt;&gt;"Serviço",AND(AUTOEVENTO="Manual",$M17=$A$15)),0,
         IF(OFFSET(CRONOPLE!$F$15,$M17-$A$15,BK$13)=0,10^12,OFFSET(CRONOPLE!$F$15,$M17-$A$15,BK$13)))</f>
        <v>0</v>
      </c>
      <c r="BL17" s="171">
        <f ca="1">IF(OR($D17&lt;&gt;"Serviço",AND(AUTOEVENTO="Manual",$M17=$A$15)),0,
         IF(OFFSET(CRONOPLE!$F$15,$M17-$A$15,BL$13)=0,10^12,OFFSET(CRONOPLE!$F$15,$M17-$A$15,BL$13)))</f>
        <v>0</v>
      </c>
      <c r="BM17" s="171">
        <f ca="1">IF(OR($D17&lt;&gt;"Serviço",AND(AUTOEVENTO="Manual",$M17=$A$15)),0,
         IF(OFFSET(CRONOPLE!$F$15,$M17-$A$15,BM$13)=0,10^12,OFFSET(CRONOPLE!$F$15,$M17-$A$15,BM$13)))</f>
        <v>0</v>
      </c>
      <c r="BN17" s="171">
        <f ca="1">IF(OR($D17&lt;&gt;"Serviço",AND(AUTOEVENTO="Manual",$M17=$A$15)),0,
         IF(OFFSET(CRONOPLE!$F$15,$M17-$A$15,BN$13)=0,10^12,OFFSET(CRONOPLE!$F$15,$M17-$A$15,BN$13)))</f>
        <v>0</v>
      </c>
      <c r="BO17" s="171">
        <f ca="1">IF(OR($D17&lt;&gt;"Serviço",AND(AUTOEVENTO="Manual",$M17=$A$15)),0,
         IF(OFFSET(CRONOPLE!$F$15,$M17-$A$15,BO$13)=0,10^12,OFFSET(CRONOPLE!$F$15,$M17-$A$15,BO$13)))</f>
        <v>0</v>
      </c>
      <c r="BP17" s="171">
        <f ca="1">IF(OR($D17&lt;&gt;"Serviço",AND(AUTOEVENTO="Manual",$M17=$A$15)),0,
         IF(OFFSET(CRONOPLE!$F$15,$M17-$A$15,BP$13)=0,10^12,OFFSET(CRONOPLE!$F$15,$M17-$A$15,BP$13)))</f>
        <v>0</v>
      </c>
      <c r="BQ17" s="171">
        <f ca="1">IF(OR($D17&lt;&gt;"Serviço",AND(AUTOEVENTO="Manual",$M17=$A$15)),0,
         IF(OFFSET(CRONOPLE!$F$15,$M17-$A$15,BQ$13)=0,10^12,OFFSET(CRONOPLE!$F$15,$M17-$A$15,BQ$13)))</f>
        <v>0</v>
      </c>
      <c r="BR17" s="171">
        <f ca="1">IF(OR($D17&lt;&gt;"Serviço",AND(AUTOEVENTO="Manual",$M17=$A$15)),0,
         IF(OFFSET(CRONOPLE!$F$15,$M17-$A$15,BR$13)=0,10^12,OFFSET(CRONOPLE!$F$15,$M17-$A$15,BR$13)))</f>
        <v>0</v>
      </c>
      <c r="BS17" s="171">
        <f ca="1">IF(OR($D17&lt;&gt;"Serviço",AND(AUTOEVENTO="Manual",$M17=$A$15)),0,
         IF(OFFSET(CRONOPLE!$F$15,$M17-$A$15,BS$13)=0,10^12,OFFSET(CRONOPLE!$F$15,$M17-$A$15,BS$13)))</f>
        <v>0</v>
      </c>
      <c r="BT17" s="171">
        <f ca="1">IF(OR($D17&lt;&gt;"Serviço",AND(AUTOEVENTO="Manual",$M17=$A$15)),0,
         IF(OFFSET(CRONOPLE!$F$15,$M17-$A$15,BT$13)=0,10^12,OFFSET(CRONOPLE!$F$15,$M17-$A$15,BT$13)))</f>
        <v>0</v>
      </c>
      <c r="BV17" s="172">
        <f ca="1">IF(OR($D17&lt;&gt;"Serviço",AND(AUTOEVENTO="Manual",$M17=$A$15),$M17&gt;(ROW(PLE.lastrow)-ROW(PLE.firstrow))),0,
           IF(OFFSET(PLE!$G$15,$M17-$A$15,BV$13)="",10^12,OFFSET(PLE!$G$15,$M17-$A$15,BV$13)))</f>
        <v>0</v>
      </c>
      <c r="BW17" s="172">
        <f ca="1">IF(OR($D17&lt;&gt;"Serviço",AND(AUTOEVENTO="Manual",$M17=$A$15),$M17&gt;(ROW(PLE.lastrow)-ROW(PLE.firstrow))),0,
           IF(OFFSET(PLE!$G$15,$M17-$A$15,BW$13)="",10^12,OFFSET(PLE!$G$15,$M17-$A$15,BW$13)))</f>
        <v>0</v>
      </c>
      <c r="BX17" s="172">
        <f ca="1">IF(OR($D17&lt;&gt;"Serviço",AND(AUTOEVENTO="Manual",$M17=$A$15),$M17&gt;(ROW(PLE.lastrow)-ROW(PLE.firstrow))),0,
           IF(OFFSET(PLE!$G$15,$M17-$A$15,BX$13)="",10^12,OFFSET(PLE!$G$15,$M17-$A$15,BX$13)))</f>
        <v>0</v>
      </c>
      <c r="BY17" s="172">
        <f ca="1">IF(OR($D17&lt;&gt;"Serviço",AND(AUTOEVENTO="Manual",$M17=$A$15),$M17&gt;(ROW(PLE.lastrow)-ROW(PLE.firstrow))),0,
           IF(OFFSET(PLE!$G$15,$M17-$A$15,BY$13)="",10^12,OFFSET(PLE!$G$15,$M17-$A$15,BY$13)))</f>
        <v>0</v>
      </c>
      <c r="BZ17" s="172">
        <f ca="1">IF(OR($D17&lt;&gt;"Serviço",AND(AUTOEVENTO="Manual",$M17=$A$15),$M17&gt;(ROW(PLE.lastrow)-ROW(PLE.firstrow))),0,
           IF(OFFSET(PLE!$G$15,$M17-$A$15,BZ$13)="",10^12,OFFSET(PLE!$G$15,$M17-$A$15,BZ$13)))</f>
        <v>0</v>
      </c>
      <c r="CA17" s="172">
        <f ca="1">IF(OR($D17&lt;&gt;"Serviço",AND(AUTOEVENTO="Manual",$M17=$A$15),$M17&gt;(ROW(PLE.lastrow)-ROW(PLE.firstrow))),0,
           IF(OFFSET(PLE!$G$15,$M17-$A$15,CA$13)="",10^12,OFFSET(PLE!$G$15,$M17-$A$15,CA$13)))</f>
        <v>0</v>
      </c>
      <c r="CB17" s="172">
        <f ca="1">IF(OR($D17&lt;&gt;"Serviço",AND(AUTOEVENTO="Manual",$M17=$A$15),$M17&gt;(ROW(PLE.lastrow)-ROW(PLE.firstrow))),0,
           IF(OFFSET(PLE!$G$15,$M17-$A$15,CB$13)="",10^12,OFFSET(PLE!$G$15,$M17-$A$15,CB$13)))</f>
        <v>0</v>
      </c>
      <c r="CC17" s="172">
        <f ca="1">IF(OR($D17&lt;&gt;"Serviço",AND(AUTOEVENTO="Manual",$M17=$A$15),$M17&gt;(ROW(PLE.lastrow)-ROW(PLE.firstrow))),0,
           IF(OFFSET(PLE!$G$15,$M17-$A$15,CC$13)="",10^12,OFFSET(PLE!$G$15,$M17-$A$15,CC$13)))</f>
        <v>0</v>
      </c>
      <c r="CD17" s="172">
        <f ca="1">IF(OR($D17&lt;&gt;"Serviço",AND(AUTOEVENTO="Manual",$M17=$A$15),$M17&gt;(ROW(PLE.lastrow)-ROW(PLE.firstrow))),0,
           IF(OFFSET(PLE!$G$15,$M17-$A$15,CD$13)="",10^12,OFFSET(PLE!$G$15,$M17-$A$15,CD$13)))</f>
        <v>0</v>
      </c>
      <c r="CE17" s="172">
        <f ca="1">IF(OR($D17&lt;&gt;"Serviço",AND(AUTOEVENTO="Manual",$M17=$A$15),$M17&gt;(ROW(PLE.lastrow)-ROW(PLE.firstrow))),0,
           IF(OFFSET(PLE!$G$15,$M17-$A$15,CE$13)="",10^12,OFFSET(PLE!$G$15,$M17-$A$15,CE$13)))</f>
        <v>0</v>
      </c>
      <c r="CF17" s="172">
        <f ca="1">IF(OR($D17&lt;&gt;"Serviço",AND(AUTOEVENTO="Manual",$M17=$A$15),$M17&gt;(ROW(PLE.lastrow)-ROW(PLE.firstrow))),0,
           IF(OFFSET(PLE!$G$15,$M17-$A$15,CF$13)="",10^12,OFFSET(PLE!$G$15,$M17-$A$15,CF$13)))</f>
        <v>0</v>
      </c>
      <c r="CG17" s="172">
        <f ca="1">IF(OR($D17&lt;&gt;"Serviço",AND(AUTOEVENTO="Manual",$M17=$A$15),$M17&gt;(ROW(PLE.lastrow)-ROW(PLE.firstrow))),0,
           IF(OFFSET(PLE!$G$15,$M17-$A$15,CG$13)="",10^12,OFFSET(PLE!$G$15,$M17-$A$15,CG$13)))</f>
        <v>0</v>
      </c>
      <c r="CH17" s="172">
        <f ca="1">IF(OR($D17&lt;&gt;"Serviço",AND(AUTOEVENTO="Manual",$M17=$A$15),$M17&gt;(ROW(PLE.lastrow)-ROW(PLE.firstrow))),0,
           IF(OFFSET(PLE!$G$15,$M17-$A$15,CH$13)="",10^12,OFFSET(PLE!$G$15,$M17-$A$15,CH$13)))</f>
        <v>0</v>
      </c>
      <c r="CI17" s="172">
        <f ca="1">IF(OR($D17&lt;&gt;"Serviço",AND(AUTOEVENTO="Manual",$M17=$A$15),$M17&gt;(ROW(PLE.lastrow)-ROW(PLE.firstrow))),0,
           IF(OFFSET(PLE!$G$15,$M17-$A$15,CI$13)="",10^12,OFFSET(PLE!$G$15,$M17-$A$15,CI$13)))</f>
        <v>0</v>
      </c>
      <c r="CJ17" s="172">
        <f ca="1">IF(OR($D17&lt;&gt;"Serviço",AND(AUTOEVENTO="Manual",$M17=$A$15),$M17&gt;(ROW(PLE.lastrow)-ROW(PLE.firstrow))),0,
           IF(OFFSET(PLE!$G$15,$M17-$A$15,CJ$13)="",10^12,OFFSET(PLE!$G$15,$M17-$A$15,CJ$13)))</f>
        <v>0</v>
      </c>
      <c r="CK17" s="172">
        <f ca="1">IF(OR($D17&lt;&gt;"Serviço",AND(AUTOEVENTO="Manual",$M17=$A$15),$M17&gt;(ROW(PLE.lastrow)-ROW(PLE.firstrow))),0,
           IF(OFFSET(PLE!$G$15,$M17-$A$15,CK$13)="",10^12,OFFSET(PLE!$G$15,$M17-$A$15,CK$13)))</f>
        <v>0</v>
      </c>
      <c r="CL17" s="172">
        <f ca="1">IF(OR($D17&lt;&gt;"Serviço",AND(AUTOEVENTO="Manual",$M17=$A$15),$M17&gt;(ROW(PLE.lastrow)-ROW(PLE.firstrow))),0,
           IF(OFFSET(PLE!$G$15,$M17-$A$15,CL$13)="",10^12,OFFSET(PLE!$G$15,$M17-$A$15,CL$13)))</f>
        <v>0</v>
      </c>
      <c r="CM17" s="172">
        <f ca="1">IF(OR($D17&lt;&gt;"Serviço",AND(AUTOEVENTO="Manual",$M17=$A$15),$M17&gt;(ROW(PLE.lastrow)-ROW(PLE.firstrow))),0,
           IF(OFFSET(PLE!$G$15,$M17-$A$15,CM$13)="",10^12,OFFSET(PLE!$G$15,$M17-$A$15,CM$13)))</f>
        <v>0</v>
      </c>
    </row>
    <row r="18" spans="1:91" ht="12.75" x14ac:dyDescent="0.2">
      <c r="A18" s="7">
        <f t="shared" ca="1" si="10"/>
        <v>0</v>
      </c>
      <c r="B18" s="7">
        <f ca="1">OFFSET(ORÇAMENTO!C$15,ROW(B18)-ROW(B$15),0)</f>
        <v>3</v>
      </c>
      <c r="C18" s="7" t="str">
        <f ca="1">OFFSET(ORÇAMENTO!L$15,ROW(C18)-ROW(C$15),0)</f>
        <v>F</v>
      </c>
      <c r="D18" s="116" t="str">
        <f ca="1">OFFSET(ORÇAMENTO!N$15,ROW(D18)-ROW(D$15),0)</f>
        <v>Nível 3</v>
      </c>
      <c r="E18" s="117" t="str">
        <f ca="1">OFFSET(ORÇAMENTO!O$15,ROW(E18)-ROW(E$15),0)</f>
        <v>1.1.1.</v>
      </c>
      <c r="F18" s="163" t="str">
        <f ca="1">OFFSET(ORÇAMENTO!R$15,ROW(F18)-ROW(F$15),0)</f>
        <v>MOBILIZAÇÃO E DESMOBILIZAÇÃO DE OBRA</v>
      </c>
      <c r="G18" s="164" t="str">
        <f ca="1">IF($D18&lt;&gt;"Serviço","",OFFSET(ORÇAMENTO!S$15,ROW(G18)-ROW(G$15),0))</f>
        <v/>
      </c>
      <c r="H18" s="122" cm="1">
        <f t="array" aca="1" ref="H18" ca="1">IF($D18&lt;&gt;"Serviço",0,IF(ACOMPANHAMENTO="BM",ROUND(OFFSET(ORÇAMENTO!AJ$15,ROW(H18)-ROW(H$15),0),15-13*ORÇAMENTO!$AF$7),SUMPRODUCT(($Q$1:$AI$1=1)*ROUND($Q18:$AI18,15-13*ORÇAMENTO!$AF$7))))</f>
        <v>0</v>
      </c>
      <c r="I18" s="468"/>
      <c r="J18" s="640" t="str" cm="1">
        <f t="array" aca="1" ref="J18" ca="1">IF(OR(B18&lt;&gt;"S",CÁLCULO.FrentesPreenchidas=0),"",IF(AND(ACOMPANHAMENTO="PLE",AUTOEVENTO="Manual",OR(H18&gt;0,ORÇAMENTO!AC18="QUANT."),OR(K18="",M18=0,N18="")),"►E",IF(AND(ACOMPANHAMENTO="PLE",ORÇAMENTO!AC18="QUANT."),"►Q",IF(AND(ACOMPANHAMENTO="PLE",H18&lt;&gt;SUMPRODUCT(($Q$1:$AI$1=1)*ROUND(Q18:AI18,15))),"►S",IF(AND(COUNTIF($P$11:$AI$11,"▼")=0,H18&gt;0,I18=""),"◄M","")))))</f>
        <v/>
      </c>
      <c r="K18" s="641"/>
      <c r="L18" s="165" t="s">
        <v>764</v>
      </c>
      <c r="M18" s="166" t="str">
        <f ca="1">IF($D18&lt;&gt;"Serviço","",
          IF(AUTOEVENTO="manual",$A18,
                IF(ISERROR(MATCH($A18,$A$15:OFFSET($A18,-1,0),0)),MAX($M$15:OFFSET(M18,-1,0))+1,
                      INDEX($M$15:OFFSET(M18,-1,0),MATCH($A18,$A$15:OFFSET($A18,-1,0),0)))))</f>
        <v/>
      </c>
      <c r="N18" s="167" t="str">
        <f ca="1">IF($D18&lt;&gt;"Serviço","",
         IF(AUTOEVENTO="Manual",
                IF($A18=0,"&lt;-- defina o número do agrupador",
                       OFFSET(EVENTOS!$D$15,$A18-$A$15,0)),
                OFFSET($F$15,$A18,0)))</f>
        <v/>
      </c>
      <c r="O18" s="168"/>
      <c r="Q18" s="168"/>
      <c r="R18" s="169"/>
      <c r="S18" s="169"/>
      <c r="T18" s="169"/>
      <c r="U18" s="169"/>
      <c r="V18" s="169"/>
      <c r="W18" s="169"/>
      <c r="X18" s="169"/>
      <c r="Y18" s="169"/>
      <c r="Z18" s="170"/>
      <c r="AA18" s="169"/>
      <c r="AB18" s="169"/>
      <c r="AC18" s="169"/>
      <c r="AD18" s="169"/>
      <c r="AE18" s="169"/>
      <c r="AF18" s="169"/>
      <c r="AG18" s="169"/>
      <c r="AH18" s="170"/>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L18" s="453">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53">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53">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0</v>
      </c>
      <c r="AO18" s="453">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53">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53">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0</v>
      </c>
      <c r="AR18" s="453">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3">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3">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3">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3">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3">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3">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3">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3">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3">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1">
        <f ca="1">IF(OR($D18&lt;&gt;"Serviço",AND(AUTOEVENTO="Manual",$M18=$A$15)),0,
         IF(OFFSET(CRONOPLE!$F$15,$M18-$A$15,BC$13)=0,10^12,OFFSET(CRONOPLE!$F$15,$M18-$A$15,BC$13)))</f>
        <v>0</v>
      </c>
      <c r="BD18" s="171">
        <f ca="1">IF(OR($D18&lt;&gt;"Serviço",AND(AUTOEVENTO="Manual",$M18=$A$15)),0,
         IF(OFFSET(CRONOPLE!$F$15,$M18-$A$15,BD$13)=0,10^12,OFFSET(CRONOPLE!$F$15,$M18-$A$15,BD$13)))</f>
        <v>0</v>
      </c>
      <c r="BE18" s="171">
        <f ca="1">IF(OR($D18&lt;&gt;"Serviço",AND(AUTOEVENTO="Manual",$M18=$A$15)),0,
         IF(OFFSET(CRONOPLE!$F$15,$M18-$A$15,BE$13)=0,10^12,OFFSET(CRONOPLE!$F$15,$M18-$A$15,BE$13)))</f>
        <v>0</v>
      </c>
      <c r="BF18" s="171">
        <f ca="1">IF(OR($D18&lt;&gt;"Serviço",AND(AUTOEVENTO="Manual",$M18=$A$15)),0,
         IF(OFFSET(CRONOPLE!$F$15,$M18-$A$15,BF$13)=0,10^12,OFFSET(CRONOPLE!$F$15,$M18-$A$15,BF$13)))</f>
        <v>0</v>
      </c>
      <c r="BG18" s="171">
        <f ca="1">IF(OR($D18&lt;&gt;"Serviço",AND(AUTOEVENTO="Manual",$M18=$A$15)),0,
         IF(OFFSET(CRONOPLE!$F$15,$M18-$A$15,BG$13)=0,10^12,OFFSET(CRONOPLE!$F$15,$M18-$A$15,BG$13)))</f>
        <v>0</v>
      </c>
      <c r="BH18" s="171">
        <f ca="1">IF(OR($D18&lt;&gt;"Serviço",AND(AUTOEVENTO="Manual",$M18=$A$15)),0,
         IF(OFFSET(CRONOPLE!$F$15,$M18-$A$15,BH$13)=0,10^12,OFFSET(CRONOPLE!$F$15,$M18-$A$15,BH$13)))</f>
        <v>0</v>
      </c>
      <c r="BI18" s="171">
        <f ca="1">IF(OR($D18&lt;&gt;"Serviço",AND(AUTOEVENTO="Manual",$M18=$A$15)),0,
         IF(OFFSET(CRONOPLE!$F$15,$M18-$A$15,BI$13)=0,10^12,OFFSET(CRONOPLE!$F$15,$M18-$A$15,BI$13)))</f>
        <v>0</v>
      </c>
      <c r="BJ18" s="171">
        <f ca="1">IF(OR($D18&lt;&gt;"Serviço",AND(AUTOEVENTO="Manual",$M18=$A$15)),0,
         IF(OFFSET(CRONOPLE!$F$15,$M18-$A$15,BJ$13)=0,10^12,OFFSET(CRONOPLE!$F$15,$M18-$A$15,BJ$13)))</f>
        <v>0</v>
      </c>
      <c r="BK18" s="171">
        <f ca="1">IF(OR($D18&lt;&gt;"Serviço",AND(AUTOEVENTO="Manual",$M18=$A$15)),0,
         IF(OFFSET(CRONOPLE!$F$15,$M18-$A$15,BK$13)=0,10^12,OFFSET(CRONOPLE!$F$15,$M18-$A$15,BK$13)))</f>
        <v>0</v>
      </c>
      <c r="BL18" s="171">
        <f ca="1">IF(OR($D18&lt;&gt;"Serviço",AND(AUTOEVENTO="Manual",$M18=$A$15)),0,
         IF(OFFSET(CRONOPLE!$F$15,$M18-$A$15,BL$13)=0,10^12,OFFSET(CRONOPLE!$F$15,$M18-$A$15,BL$13)))</f>
        <v>0</v>
      </c>
      <c r="BM18" s="171">
        <f ca="1">IF(OR($D18&lt;&gt;"Serviço",AND(AUTOEVENTO="Manual",$M18=$A$15)),0,
         IF(OFFSET(CRONOPLE!$F$15,$M18-$A$15,BM$13)=0,10^12,OFFSET(CRONOPLE!$F$15,$M18-$A$15,BM$13)))</f>
        <v>0</v>
      </c>
      <c r="BN18" s="171">
        <f ca="1">IF(OR($D18&lt;&gt;"Serviço",AND(AUTOEVENTO="Manual",$M18=$A$15)),0,
         IF(OFFSET(CRONOPLE!$F$15,$M18-$A$15,BN$13)=0,10^12,OFFSET(CRONOPLE!$F$15,$M18-$A$15,BN$13)))</f>
        <v>0</v>
      </c>
      <c r="BO18" s="171">
        <f ca="1">IF(OR($D18&lt;&gt;"Serviço",AND(AUTOEVENTO="Manual",$M18=$A$15)),0,
         IF(OFFSET(CRONOPLE!$F$15,$M18-$A$15,BO$13)=0,10^12,OFFSET(CRONOPLE!$F$15,$M18-$A$15,BO$13)))</f>
        <v>0</v>
      </c>
      <c r="BP18" s="171">
        <f ca="1">IF(OR($D18&lt;&gt;"Serviço",AND(AUTOEVENTO="Manual",$M18=$A$15)),0,
         IF(OFFSET(CRONOPLE!$F$15,$M18-$A$15,BP$13)=0,10^12,OFFSET(CRONOPLE!$F$15,$M18-$A$15,BP$13)))</f>
        <v>0</v>
      </c>
      <c r="BQ18" s="171">
        <f ca="1">IF(OR($D18&lt;&gt;"Serviço",AND(AUTOEVENTO="Manual",$M18=$A$15)),0,
         IF(OFFSET(CRONOPLE!$F$15,$M18-$A$15,BQ$13)=0,10^12,OFFSET(CRONOPLE!$F$15,$M18-$A$15,BQ$13)))</f>
        <v>0</v>
      </c>
      <c r="BR18" s="171">
        <f ca="1">IF(OR($D18&lt;&gt;"Serviço",AND(AUTOEVENTO="Manual",$M18=$A$15)),0,
         IF(OFFSET(CRONOPLE!$F$15,$M18-$A$15,BR$13)=0,10^12,OFFSET(CRONOPLE!$F$15,$M18-$A$15,BR$13)))</f>
        <v>0</v>
      </c>
      <c r="BS18" s="171">
        <f ca="1">IF(OR($D18&lt;&gt;"Serviço",AND(AUTOEVENTO="Manual",$M18=$A$15)),0,
         IF(OFFSET(CRONOPLE!$F$15,$M18-$A$15,BS$13)=0,10^12,OFFSET(CRONOPLE!$F$15,$M18-$A$15,BS$13)))</f>
        <v>0</v>
      </c>
      <c r="BT18" s="171">
        <f ca="1">IF(OR($D18&lt;&gt;"Serviço",AND(AUTOEVENTO="Manual",$M18=$A$15)),0,
         IF(OFFSET(CRONOPLE!$F$15,$M18-$A$15,BT$13)=0,10^12,OFFSET(CRONOPLE!$F$15,$M18-$A$15,BT$13)))</f>
        <v>0</v>
      </c>
      <c r="BV18" s="172">
        <f ca="1">IF(OR($D18&lt;&gt;"Serviço",AND(AUTOEVENTO="Manual",$M18=$A$15),$M18&gt;(ROW(PLE.lastrow)-ROW(PLE.firstrow))),0,
           IF(OFFSET(PLE!$G$15,$M18-$A$15,BV$13)="",10^12,OFFSET(PLE!$G$15,$M18-$A$15,BV$13)))</f>
        <v>0</v>
      </c>
      <c r="BW18" s="172">
        <f ca="1">IF(OR($D18&lt;&gt;"Serviço",AND(AUTOEVENTO="Manual",$M18=$A$15),$M18&gt;(ROW(PLE.lastrow)-ROW(PLE.firstrow))),0,
           IF(OFFSET(PLE!$G$15,$M18-$A$15,BW$13)="",10^12,OFFSET(PLE!$G$15,$M18-$A$15,BW$13)))</f>
        <v>0</v>
      </c>
      <c r="BX18" s="172">
        <f ca="1">IF(OR($D18&lt;&gt;"Serviço",AND(AUTOEVENTO="Manual",$M18=$A$15),$M18&gt;(ROW(PLE.lastrow)-ROW(PLE.firstrow))),0,
           IF(OFFSET(PLE!$G$15,$M18-$A$15,BX$13)="",10^12,OFFSET(PLE!$G$15,$M18-$A$15,BX$13)))</f>
        <v>0</v>
      </c>
      <c r="BY18" s="172">
        <f ca="1">IF(OR($D18&lt;&gt;"Serviço",AND(AUTOEVENTO="Manual",$M18=$A$15),$M18&gt;(ROW(PLE.lastrow)-ROW(PLE.firstrow))),0,
           IF(OFFSET(PLE!$G$15,$M18-$A$15,BY$13)="",10^12,OFFSET(PLE!$G$15,$M18-$A$15,BY$13)))</f>
        <v>0</v>
      </c>
      <c r="BZ18" s="172">
        <f ca="1">IF(OR($D18&lt;&gt;"Serviço",AND(AUTOEVENTO="Manual",$M18=$A$15),$M18&gt;(ROW(PLE.lastrow)-ROW(PLE.firstrow))),0,
           IF(OFFSET(PLE!$G$15,$M18-$A$15,BZ$13)="",10^12,OFFSET(PLE!$G$15,$M18-$A$15,BZ$13)))</f>
        <v>0</v>
      </c>
      <c r="CA18" s="172">
        <f ca="1">IF(OR($D18&lt;&gt;"Serviço",AND(AUTOEVENTO="Manual",$M18=$A$15),$M18&gt;(ROW(PLE.lastrow)-ROW(PLE.firstrow))),0,
           IF(OFFSET(PLE!$G$15,$M18-$A$15,CA$13)="",10^12,OFFSET(PLE!$G$15,$M18-$A$15,CA$13)))</f>
        <v>0</v>
      </c>
      <c r="CB18" s="172">
        <f ca="1">IF(OR($D18&lt;&gt;"Serviço",AND(AUTOEVENTO="Manual",$M18=$A$15),$M18&gt;(ROW(PLE.lastrow)-ROW(PLE.firstrow))),0,
           IF(OFFSET(PLE!$G$15,$M18-$A$15,CB$13)="",10^12,OFFSET(PLE!$G$15,$M18-$A$15,CB$13)))</f>
        <v>0</v>
      </c>
      <c r="CC18" s="172">
        <f ca="1">IF(OR($D18&lt;&gt;"Serviço",AND(AUTOEVENTO="Manual",$M18=$A$15),$M18&gt;(ROW(PLE.lastrow)-ROW(PLE.firstrow))),0,
           IF(OFFSET(PLE!$G$15,$M18-$A$15,CC$13)="",10^12,OFFSET(PLE!$G$15,$M18-$A$15,CC$13)))</f>
        <v>0</v>
      </c>
      <c r="CD18" s="172">
        <f ca="1">IF(OR($D18&lt;&gt;"Serviço",AND(AUTOEVENTO="Manual",$M18=$A$15),$M18&gt;(ROW(PLE.lastrow)-ROW(PLE.firstrow))),0,
           IF(OFFSET(PLE!$G$15,$M18-$A$15,CD$13)="",10^12,OFFSET(PLE!$G$15,$M18-$A$15,CD$13)))</f>
        <v>0</v>
      </c>
      <c r="CE18" s="172">
        <f ca="1">IF(OR($D18&lt;&gt;"Serviço",AND(AUTOEVENTO="Manual",$M18=$A$15),$M18&gt;(ROW(PLE.lastrow)-ROW(PLE.firstrow))),0,
           IF(OFFSET(PLE!$G$15,$M18-$A$15,CE$13)="",10^12,OFFSET(PLE!$G$15,$M18-$A$15,CE$13)))</f>
        <v>0</v>
      </c>
      <c r="CF18" s="172">
        <f ca="1">IF(OR($D18&lt;&gt;"Serviço",AND(AUTOEVENTO="Manual",$M18=$A$15),$M18&gt;(ROW(PLE.lastrow)-ROW(PLE.firstrow))),0,
           IF(OFFSET(PLE!$G$15,$M18-$A$15,CF$13)="",10^12,OFFSET(PLE!$G$15,$M18-$A$15,CF$13)))</f>
        <v>0</v>
      </c>
      <c r="CG18" s="172">
        <f ca="1">IF(OR($D18&lt;&gt;"Serviço",AND(AUTOEVENTO="Manual",$M18=$A$15),$M18&gt;(ROW(PLE.lastrow)-ROW(PLE.firstrow))),0,
           IF(OFFSET(PLE!$G$15,$M18-$A$15,CG$13)="",10^12,OFFSET(PLE!$G$15,$M18-$A$15,CG$13)))</f>
        <v>0</v>
      </c>
      <c r="CH18" s="172">
        <f ca="1">IF(OR($D18&lt;&gt;"Serviço",AND(AUTOEVENTO="Manual",$M18=$A$15),$M18&gt;(ROW(PLE.lastrow)-ROW(PLE.firstrow))),0,
           IF(OFFSET(PLE!$G$15,$M18-$A$15,CH$13)="",10^12,OFFSET(PLE!$G$15,$M18-$A$15,CH$13)))</f>
        <v>0</v>
      </c>
      <c r="CI18" s="172">
        <f ca="1">IF(OR($D18&lt;&gt;"Serviço",AND(AUTOEVENTO="Manual",$M18=$A$15),$M18&gt;(ROW(PLE.lastrow)-ROW(PLE.firstrow))),0,
           IF(OFFSET(PLE!$G$15,$M18-$A$15,CI$13)="",10^12,OFFSET(PLE!$G$15,$M18-$A$15,CI$13)))</f>
        <v>0</v>
      </c>
      <c r="CJ18" s="172">
        <f ca="1">IF(OR($D18&lt;&gt;"Serviço",AND(AUTOEVENTO="Manual",$M18=$A$15),$M18&gt;(ROW(PLE.lastrow)-ROW(PLE.firstrow))),0,
           IF(OFFSET(PLE!$G$15,$M18-$A$15,CJ$13)="",10^12,OFFSET(PLE!$G$15,$M18-$A$15,CJ$13)))</f>
        <v>0</v>
      </c>
      <c r="CK18" s="172">
        <f ca="1">IF(OR($D18&lt;&gt;"Serviço",AND(AUTOEVENTO="Manual",$M18=$A$15),$M18&gt;(ROW(PLE.lastrow)-ROW(PLE.firstrow))),0,
           IF(OFFSET(PLE!$G$15,$M18-$A$15,CK$13)="",10^12,OFFSET(PLE!$G$15,$M18-$A$15,CK$13)))</f>
        <v>0</v>
      </c>
      <c r="CL18" s="172">
        <f ca="1">IF(OR($D18&lt;&gt;"Serviço",AND(AUTOEVENTO="Manual",$M18=$A$15),$M18&gt;(ROW(PLE.lastrow)-ROW(PLE.firstrow))),0,
           IF(OFFSET(PLE!$G$15,$M18-$A$15,CL$13)="",10^12,OFFSET(PLE!$G$15,$M18-$A$15,CL$13)))</f>
        <v>0</v>
      </c>
      <c r="CM18" s="172">
        <f ca="1">IF(OR($D18&lt;&gt;"Serviço",AND(AUTOEVENTO="Manual",$M18=$A$15),$M18&gt;(ROW(PLE.lastrow)-ROW(PLE.firstrow))),0,
           IF(OFFSET(PLE!$G$15,$M18-$A$15,CM$13)="",10^12,OFFSET(PLE!$G$15,$M18-$A$15,CM$13)))</f>
        <v>0</v>
      </c>
    </row>
    <row r="19" spans="1:91" ht="38.25" x14ac:dyDescent="0.2">
      <c r="A19" s="7">
        <f t="shared" ca="1" si="10"/>
        <v>1</v>
      </c>
      <c r="B19" s="7" t="str">
        <f ca="1">OFFSET(ORÇAMENTO!C$15,ROW(B19)-ROW(B$15),0)</f>
        <v>S</v>
      </c>
      <c r="C19" s="7" t="str">
        <f ca="1">OFFSET(ORÇAMENTO!L$15,ROW(C19)-ROW(C$15),0)</f>
        <v>F</v>
      </c>
      <c r="D19" s="116" t="str">
        <f ca="1">OFFSET(ORÇAMENTO!N$15,ROW(D19)-ROW(D$15),0)</f>
        <v>Serviço</v>
      </c>
      <c r="E19" s="117" t="str">
        <f ca="1">OFFSET(ORÇAMENTO!O$15,ROW(E19)-ROW(E$15),0)</f>
        <v>1.1.1.0.1.</v>
      </c>
      <c r="F19" s="163" t="str">
        <f ca="1">OFFSET(ORÇAMENTO!R$15,ROW(F19)-ROW(F$15),0)</f>
        <v>CAMINHÃO TRUCADO (C/ TERCEIRO EIXO) ELETRÔNICO - POTÊNCIA 231CV - PBT = 22000KG - DIST. ENTRE EIXOS 5170 MM - INCLUI CARROCERIA FIXA ABERTA DE MADEIRA - CHP DIURNO. AF_06/2015</v>
      </c>
      <c r="G19" s="164" t="str">
        <f ca="1">IF($D19&lt;&gt;"Serviço","",OFFSET(ORÇAMENTO!S$15,ROW(G19)-ROW(G$15),0))</f>
        <v>CHP</v>
      </c>
      <c r="H19" s="122" cm="1">
        <f t="array" aca="1" ref="H19" ca="1">IF($D19&lt;&gt;"Serviço",0,IF(ACOMPANHAMENTO="BM",ROUND(OFFSET(ORÇAMENTO!AJ$15,ROW(H19)-ROW(H$15),0),15-13*ORÇAMENTO!$AF$7),SUMPRODUCT(($Q$1:$AI$1=1)*ROUND($Q19:$AI19,15-13*ORÇAMENTO!$AF$7))))</f>
        <v>16.96</v>
      </c>
      <c r="I19" s="468" t="s">
        <v>1384</v>
      </c>
      <c r="J19" s="640" t="str" cm="1">
        <f t="array" aca="1" ref="J19" ca="1">IF(OR(B19&lt;&gt;"S",CÁLCULO.FrentesPreenchidas=0),"",IF(AND(ACOMPANHAMENTO="PLE",AUTOEVENTO="Manual",OR(H19&gt;0,ORÇAMENTO!AC19="QUANT."),OR(K19="",M19=0,N19="")),"►E",IF(AND(ACOMPANHAMENTO="PLE",ORÇAMENTO!AC19="QUANT."),"►Q",IF(AND(ACOMPANHAMENTO="PLE",H19&lt;&gt;SUMPRODUCT(($Q$1:$AI$1=1)*ROUND(Q19:AI19,15))),"►S",IF(AND(COUNTIF($P$11:$AI$11,"▼")=0,H19&gt;0,I19=""),"◄M","")))))</f>
        <v/>
      </c>
      <c r="K19" s="641" t="s">
        <v>1386</v>
      </c>
      <c r="L19" s="165" t="s">
        <v>764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Mobilização e Desmobilização</v>
      </c>
      <c r="O19" s="168"/>
      <c r="Q19" s="168">
        <v>8.48</v>
      </c>
      <c r="R19" s="169"/>
      <c r="S19" s="169"/>
      <c r="T19" s="169"/>
      <c r="U19" s="169"/>
      <c r="V19" s="169"/>
      <c r="W19" s="169"/>
      <c r="X19" s="169"/>
      <c r="Y19" s="169"/>
      <c r="Z19" s="170">
        <v>8.48</v>
      </c>
      <c r="AA19" s="169"/>
      <c r="AB19" s="169"/>
      <c r="AC19" s="169"/>
      <c r="AD19" s="169"/>
      <c r="AE19" s="169"/>
      <c r="AF19" s="169"/>
      <c r="AG19" s="169"/>
      <c r="AH19" s="170"/>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L19" s="453">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53">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53">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0</v>
      </c>
      <c r="AO19" s="453">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53">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0</v>
      </c>
      <c r="AQ19" s="453">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53">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3">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3">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3">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3">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3">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3">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3">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3">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3">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1">
        <f ca="1">IF(OR($D19&lt;&gt;"Serviço",AND(AUTOEVENTO="Manual",$M19=$A$15)),0,
         IF(OFFSET(CRONOPLE!$F$15,$M19-$A$15,BC$13)=0,10^12,OFFSET(CRONOPLE!$F$15,$M19-$A$15,BC$13)))</f>
        <v>1</v>
      </c>
      <c r="BD19" s="171">
        <f ca="1">IF(OR($D19&lt;&gt;"Serviço",AND(AUTOEVENTO="Manual",$M19=$A$15)),0,
         IF(OFFSET(CRONOPLE!$F$15,$M19-$A$15,BD$13)=0,10^12,OFFSET(CRONOPLE!$F$15,$M19-$A$15,BD$13)))</f>
        <v>2</v>
      </c>
      <c r="BE19" s="171">
        <f ca="1">IF(OR($D19&lt;&gt;"Serviço",AND(AUTOEVENTO="Manual",$M19=$A$15)),0,
         IF(OFFSET(CRONOPLE!$F$15,$M19-$A$15,BE$13)=0,10^12,OFFSET(CRONOPLE!$F$15,$M19-$A$15,BE$13)))</f>
        <v>3</v>
      </c>
      <c r="BF19" s="171">
        <f ca="1">IF(OR($D19&lt;&gt;"Serviço",AND(AUTOEVENTO="Manual",$M19=$A$15)),0,
         IF(OFFSET(CRONOPLE!$F$15,$M19-$A$15,BF$13)=0,10^12,OFFSET(CRONOPLE!$F$15,$M19-$A$15,BF$13)))</f>
        <v>4</v>
      </c>
      <c r="BG19" s="171">
        <f ca="1">IF(OR($D19&lt;&gt;"Serviço",AND(AUTOEVENTO="Manual",$M19=$A$15)),0,
         IF(OFFSET(CRONOPLE!$F$15,$M19-$A$15,BG$13)=0,10^12,OFFSET(CRONOPLE!$F$15,$M19-$A$15,BG$13)))</f>
        <v>5</v>
      </c>
      <c r="BH19" s="171">
        <f ca="1">IF(OR($D19&lt;&gt;"Serviço",AND(AUTOEVENTO="Manual",$M19=$A$15)),0,
         IF(OFFSET(CRONOPLE!$F$15,$M19-$A$15,BH$13)=0,10^12,OFFSET(CRONOPLE!$F$15,$M19-$A$15,BH$13)))</f>
        <v>6</v>
      </c>
      <c r="BI19" s="171">
        <f ca="1">IF(OR($D19&lt;&gt;"Serviço",AND(AUTOEVENTO="Manual",$M19=$A$15)),0,
         IF(OFFSET(CRONOPLE!$F$15,$M19-$A$15,BI$13)=0,10^12,OFFSET(CRONOPLE!$F$15,$M19-$A$15,BI$13)))</f>
        <v>7</v>
      </c>
      <c r="BJ19" s="171">
        <f ca="1">IF(OR($D19&lt;&gt;"Serviço",AND(AUTOEVENTO="Manual",$M19=$A$15)),0,
         IF(OFFSET(CRONOPLE!$F$15,$M19-$A$15,BJ$13)=0,10^12,OFFSET(CRONOPLE!$F$15,$M19-$A$15,BJ$13)))</f>
        <v>8</v>
      </c>
      <c r="BK19" s="171">
        <f ca="1">IF(OR($D19&lt;&gt;"Serviço",AND(AUTOEVENTO="Manual",$M19=$A$15)),0,
         IF(OFFSET(CRONOPLE!$F$15,$M19-$A$15,BK$13)=0,10^12,OFFSET(CRONOPLE!$F$15,$M19-$A$15,BK$13)))</f>
        <v>9</v>
      </c>
      <c r="BL19" s="171">
        <f ca="1">IF(OR($D19&lt;&gt;"Serviço",AND(AUTOEVENTO="Manual",$M19=$A$15)),0,
         IF(OFFSET(CRONOPLE!$F$15,$M19-$A$15,BL$13)=0,10^12,OFFSET(CRONOPLE!$F$15,$M19-$A$15,BL$13)))</f>
        <v>10</v>
      </c>
      <c r="BM19" s="171">
        <f ca="1">IF(OR($D19&lt;&gt;"Serviço",AND(AUTOEVENTO="Manual",$M19=$A$15)),0,
         IF(OFFSET(CRONOPLE!$F$15,$M19-$A$15,BM$13)=0,10^12,OFFSET(CRONOPLE!$F$15,$M19-$A$15,BM$13)))</f>
        <v>1000000000000</v>
      </c>
      <c r="BN19" s="171">
        <f ca="1">IF(OR($D19&lt;&gt;"Serviço",AND(AUTOEVENTO="Manual",$M19=$A$15)),0,
         IF(OFFSET(CRONOPLE!$F$15,$M19-$A$15,BN$13)=0,10^12,OFFSET(CRONOPLE!$F$15,$M19-$A$15,BN$13)))</f>
        <v>1000000000000</v>
      </c>
      <c r="BO19" s="171">
        <f ca="1">IF(OR($D19&lt;&gt;"Serviço",AND(AUTOEVENTO="Manual",$M19=$A$15)),0,
         IF(OFFSET(CRONOPLE!$F$15,$M19-$A$15,BO$13)=0,10^12,OFFSET(CRONOPLE!$F$15,$M19-$A$15,BO$13)))</f>
        <v>1000000000000</v>
      </c>
      <c r="BP19" s="171">
        <f ca="1">IF(OR($D19&lt;&gt;"Serviço",AND(AUTOEVENTO="Manual",$M19=$A$15)),0,
         IF(OFFSET(CRONOPLE!$F$15,$M19-$A$15,BP$13)=0,10^12,OFFSET(CRONOPLE!$F$15,$M19-$A$15,BP$13)))</f>
        <v>1000000000000</v>
      </c>
      <c r="BQ19" s="171">
        <f ca="1">IF(OR($D19&lt;&gt;"Serviço",AND(AUTOEVENTO="Manual",$M19=$A$15)),0,
         IF(OFFSET(CRONOPLE!$F$15,$M19-$A$15,BQ$13)=0,10^12,OFFSET(CRONOPLE!$F$15,$M19-$A$15,BQ$13)))</f>
        <v>1000000000000</v>
      </c>
      <c r="BR19" s="171">
        <f ca="1">IF(OR($D19&lt;&gt;"Serviço",AND(AUTOEVENTO="Manual",$M19=$A$15)),0,
         IF(OFFSET(CRONOPLE!$F$15,$M19-$A$15,BR$13)=0,10^12,OFFSET(CRONOPLE!$F$15,$M19-$A$15,BR$13)))</f>
        <v>1000000000000</v>
      </c>
      <c r="BS19" s="171">
        <f ca="1">IF(OR($D19&lt;&gt;"Serviço",AND(AUTOEVENTO="Manual",$M19=$A$15)),0,
         IF(OFFSET(CRONOPLE!$F$15,$M19-$A$15,BS$13)=0,10^12,OFFSET(CRONOPLE!$F$15,$M19-$A$15,BS$13)))</f>
        <v>1000000000000</v>
      </c>
      <c r="BT19" s="171">
        <f ca="1">IF(OR($D19&lt;&gt;"Serviço",AND(AUTOEVENTO="Manual",$M19=$A$15)),0,
         IF(OFFSET(CRONOPLE!$F$15,$M19-$A$15,BT$13)=0,10^12,OFFSET(CRONOPLE!$F$15,$M19-$A$15,BT$13)))</f>
        <v>1000000000000</v>
      </c>
      <c r="BV19" s="172">
        <f ca="1">IF(OR($D19&lt;&gt;"Serviço",AND(AUTOEVENTO="Manual",$M19=$A$15),$M19&gt;(ROW(PLE.lastrow)-ROW(PLE.firstrow))),0,
           IF(OFFSET(PLE!$G$15,$M19-$A$15,BV$13)="",10^12,OFFSET(PLE!$G$15,$M19-$A$15,BV$13)))</f>
        <v>1000000000000</v>
      </c>
      <c r="BW19" s="172">
        <f ca="1">IF(OR($D19&lt;&gt;"Serviço",AND(AUTOEVENTO="Manual",$M19=$A$15),$M19&gt;(ROW(PLE.lastrow)-ROW(PLE.firstrow))),0,
           IF(OFFSET(PLE!$G$15,$M19-$A$15,BW$13)="",10^12,OFFSET(PLE!$G$15,$M19-$A$15,BW$13)))</f>
        <v>1000000000000</v>
      </c>
      <c r="BX19" s="172">
        <f ca="1">IF(OR($D19&lt;&gt;"Serviço",AND(AUTOEVENTO="Manual",$M19=$A$15),$M19&gt;(ROW(PLE.lastrow)-ROW(PLE.firstrow))),0,
           IF(OFFSET(PLE!$G$15,$M19-$A$15,BX$13)="",10^12,OFFSET(PLE!$G$15,$M19-$A$15,BX$13)))</f>
        <v>1000000000000</v>
      </c>
      <c r="BY19" s="172">
        <f ca="1">IF(OR($D19&lt;&gt;"Serviço",AND(AUTOEVENTO="Manual",$M19=$A$15),$M19&gt;(ROW(PLE.lastrow)-ROW(PLE.firstrow))),0,
           IF(OFFSET(PLE!$G$15,$M19-$A$15,BY$13)="",10^12,OFFSET(PLE!$G$15,$M19-$A$15,BY$13)))</f>
        <v>1000000000000</v>
      </c>
      <c r="BZ19" s="172">
        <f ca="1">IF(OR($D19&lt;&gt;"Serviço",AND(AUTOEVENTO="Manual",$M19=$A$15),$M19&gt;(ROW(PLE.lastrow)-ROW(PLE.firstrow))),0,
           IF(OFFSET(PLE!$G$15,$M19-$A$15,BZ$13)="",10^12,OFFSET(PLE!$G$15,$M19-$A$15,BZ$13)))</f>
        <v>1000000000000</v>
      </c>
      <c r="CA19" s="172">
        <f ca="1">IF(OR($D19&lt;&gt;"Serviço",AND(AUTOEVENTO="Manual",$M19=$A$15),$M19&gt;(ROW(PLE.lastrow)-ROW(PLE.firstrow))),0,
           IF(OFFSET(PLE!$G$15,$M19-$A$15,CA$13)="",10^12,OFFSET(PLE!$G$15,$M19-$A$15,CA$13)))</f>
        <v>1000000000000</v>
      </c>
      <c r="CB19" s="172">
        <f ca="1">IF(OR($D19&lt;&gt;"Serviço",AND(AUTOEVENTO="Manual",$M19=$A$15),$M19&gt;(ROW(PLE.lastrow)-ROW(PLE.firstrow))),0,
           IF(OFFSET(PLE!$G$15,$M19-$A$15,CB$13)="",10^12,OFFSET(PLE!$G$15,$M19-$A$15,CB$13)))</f>
        <v>1000000000000</v>
      </c>
      <c r="CC19" s="172">
        <f ca="1">IF(OR($D19&lt;&gt;"Serviço",AND(AUTOEVENTO="Manual",$M19=$A$15),$M19&gt;(ROW(PLE.lastrow)-ROW(PLE.firstrow))),0,
           IF(OFFSET(PLE!$G$15,$M19-$A$15,CC$13)="",10^12,OFFSET(PLE!$G$15,$M19-$A$15,CC$13)))</f>
        <v>1000000000000</v>
      </c>
      <c r="CD19" s="172">
        <f ca="1">IF(OR($D19&lt;&gt;"Serviço",AND(AUTOEVENTO="Manual",$M19=$A$15),$M19&gt;(ROW(PLE.lastrow)-ROW(PLE.firstrow))),0,
           IF(OFFSET(PLE!$G$15,$M19-$A$15,CD$13)="",10^12,OFFSET(PLE!$G$15,$M19-$A$15,CD$13)))</f>
        <v>1000000000000</v>
      </c>
      <c r="CE19" s="172">
        <f ca="1">IF(OR($D19&lt;&gt;"Serviço",AND(AUTOEVENTO="Manual",$M19=$A$15),$M19&gt;(ROW(PLE.lastrow)-ROW(PLE.firstrow))),0,
           IF(OFFSET(PLE!$G$15,$M19-$A$15,CE$13)="",10^12,OFFSET(PLE!$G$15,$M19-$A$15,CE$13)))</f>
        <v>1000000000000</v>
      </c>
      <c r="CF19" s="172">
        <f ca="1">IF(OR($D19&lt;&gt;"Serviço",AND(AUTOEVENTO="Manual",$M19=$A$15),$M19&gt;(ROW(PLE.lastrow)-ROW(PLE.firstrow))),0,
           IF(OFFSET(PLE!$G$15,$M19-$A$15,CF$13)="",10^12,OFFSET(PLE!$G$15,$M19-$A$15,CF$13)))</f>
        <v>1000000000000</v>
      </c>
      <c r="CG19" s="172">
        <f ca="1">IF(OR($D19&lt;&gt;"Serviço",AND(AUTOEVENTO="Manual",$M19=$A$15),$M19&gt;(ROW(PLE.lastrow)-ROW(PLE.firstrow))),0,
           IF(OFFSET(PLE!$G$15,$M19-$A$15,CG$13)="",10^12,OFFSET(PLE!$G$15,$M19-$A$15,CG$13)))</f>
        <v>1000000000000</v>
      </c>
      <c r="CH19" s="172">
        <f ca="1">IF(OR($D19&lt;&gt;"Serviço",AND(AUTOEVENTO="Manual",$M19=$A$15),$M19&gt;(ROW(PLE.lastrow)-ROW(PLE.firstrow))),0,
           IF(OFFSET(PLE!$G$15,$M19-$A$15,CH$13)="",10^12,OFFSET(PLE!$G$15,$M19-$A$15,CH$13)))</f>
        <v>1000000000000</v>
      </c>
      <c r="CI19" s="172">
        <f ca="1">IF(OR($D19&lt;&gt;"Serviço",AND(AUTOEVENTO="Manual",$M19=$A$15),$M19&gt;(ROW(PLE.lastrow)-ROW(PLE.firstrow))),0,
           IF(OFFSET(PLE!$G$15,$M19-$A$15,CI$13)="",10^12,OFFSET(PLE!$G$15,$M19-$A$15,CI$13)))</f>
        <v>1000000000000</v>
      </c>
      <c r="CJ19" s="172">
        <f ca="1">IF(OR($D19&lt;&gt;"Serviço",AND(AUTOEVENTO="Manual",$M19=$A$15),$M19&gt;(ROW(PLE.lastrow)-ROW(PLE.firstrow))),0,
           IF(OFFSET(PLE!$G$15,$M19-$A$15,CJ$13)="",10^12,OFFSET(PLE!$G$15,$M19-$A$15,CJ$13)))</f>
        <v>1000000000000</v>
      </c>
      <c r="CK19" s="172">
        <f ca="1">IF(OR($D19&lt;&gt;"Serviço",AND(AUTOEVENTO="Manual",$M19=$A$15),$M19&gt;(ROW(PLE.lastrow)-ROW(PLE.firstrow))),0,
           IF(OFFSET(PLE!$G$15,$M19-$A$15,CK$13)="",10^12,OFFSET(PLE!$G$15,$M19-$A$15,CK$13)))</f>
        <v>1000000000000</v>
      </c>
      <c r="CL19" s="172">
        <f ca="1">IF(OR($D19&lt;&gt;"Serviço",AND(AUTOEVENTO="Manual",$M19=$A$15),$M19&gt;(ROW(PLE.lastrow)-ROW(PLE.firstrow))),0,
           IF(OFFSET(PLE!$G$15,$M19-$A$15,CL$13)="",10^12,OFFSET(PLE!$G$15,$M19-$A$15,CL$13)))</f>
        <v>1000000000000</v>
      </c>
      <c r="CM19" s="172">
        <f ca="1">IF(OR($D19&lt;&gt;"Serviço",AND(AUTOEVENTO="Manual",$M19=$A$15),$M19&gt;(ROW(PLE.lastrow)-ROW(PLE.firstrow))),0,
           IF(OFFSET(PLE!$G$15,$M19-$A$15,CM$13)="",10^12,OFFSET(PLE!$G$15,$M19-$A$15,CM$13)))</f>
        <v>1000000000000</v>
      </c>
    </row>
    <row r="20" spans="1:91" ht="51" x14ac:dyDescent="0.2">
      <c r="A20" s="7">
        <f t="shared" ca="1" si="10"/>
        <v>1</v>
      </c>
      <c r="B20" s="7" t="str">
        <f ca="1">OFFSET(ORÇAMENTO!C$15,ROW(B20)-ROW(B$15),0)</f>
        <v>S</v>
      </c>
      <c r="C20" s="7" t="str">
        <f ca="1">OFFSET(ORÇAMENTO!L$15,ROW(C20)-ROW(C$15),0)</f>
        <v>F</v>
      </c>
      <c r="D20" s="116" t="str">
        <f ca="1">OFFSET(ORÇAMENTO!N$15,ROW(D20)-ROW(D$15),0)</f>
        <v>Serviço</v>
      </c>
      <c r="E20" s="117" t="str">
        <f ca="1">OFFSET(ORÇAMENTO!O$15,ROW(E20)-ROW(E$15),0)</f>
        <v>1.1.1.0.2.</v>
      </c>
      <c r="F20" s="163" t="str">
        <f ca="1">OFFSET(ORÇAMENTO!R$15,ROW(F20)-ROW(F$15),0)</f>
        <v>CAMINHÃO BASCULANTE 14 M3, COM CAVALO MECÂNICO DE CAPACIDADE MÁXIMA DE TRAÇÃO COMBINADO DE 36000 KG, POTÊNCIA 286 CV, INCLUSIVE SEMIREBOQUE COM CAÇAMBA METÁLICA - CHP DIURNO. AF_12/2014</v>
      </c>
      <c r="G20" s="164" t="str">
        <f ca="1">IF($D20&lt;&gt;"Serviço","",OFFSET(ORÇAMENTO!S$15,ROW(G20)-ROW(G$15),0))</f>
        <v>CHP</v>
      </c>
      <c r="H20" s="122" cm="1">
        <f t="array" aca="1" ref="H20" ca="1">IF($D20&lt;&gt;"Serviço",0,IF(ACOMPANHAMENTO="BM",ROUND(OFFSET(ORÇAMENTO!AJ$15,ROW(H20)-ROW(H$15),0),15-13*ORÇAMENTO!$AF$7),SUMPRODUCT(($Q$1:$AI$1=1)*ROUND($Q20:$AI20,15-13*ORÇAMENTO!$AF$7))))</f>
        <v>2.82</v>
      </c>
      <c r="I20" s="468" t="s">
        <v>1384</v>
      </c>
      <c r="J20" s="640" t="str" cm="1">
        <f t="array" aca="1" ref="J20" ca="1">IF(OR(B20&lt;&gt;"S",CÁLCULO.FrentesPreenchidas=0),"",IF(AND(ACOMPANHAMENTO="PLE",AUTOEVENTO="Manual",OR(H20&gt;0,ORÇAMENTO!AC20="QUANT."),OR(K20="",M20=0,N20="")),"►E",IF(AND(ACOMPANHAMENTO="PLE",ORÇAMENTO!AC20="QUANT."),"►Q",IF(AND(ACOMPANHAMENTO="PLE",H20&lt;&gt;SUMPRODUCT(($Q$1:$AI$1=1)*ROUND(Q20:AI20,15))),"►S",IF(AND(COUNTIF($P$11:$AI$11,"▼")=0,H20&gt;0,I20=""),"◄M","")))))</f>
        <v/>
      </c>
      <c r="K20" s="641" t="s">
        <v>1386</v>
      </c>
      <c r="L20" s="165" t="s">
        <v>764</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Mobilização e Desmobilização</v>
      </c>
      <c r="O20" s="168"/>
      <c r="Q20" s="168">
        <v>1.41</v>
      </c>
      <c r="R20" s="169"/>
      <c r="S20" s="169"/>
      <c r="T20" s="169"/>
      <c r="U20" s="169"/>
      <c r="V20" s="169"/>
      <c r="W20" s="169"/>
      <c r="X20" s="169"/>
      <c r="Y20" s="169"/>
      <c r="Z20" s="170">
        <v>1.41</v>
      </c>
      <c r="AA20" s="169"/>
      <c r="AB20" s="169"/>
      <c r="AC20" s="169"/>
      <c r="AD20" s="169"/>
      <c r="AE20" s="169"/>
      <c r="AF20" s="169"/>
      <c r="AG20" s="169"/>
      <c r="AH20" s="170"/>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L20" s="453">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53">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53">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0</v>
      </c>
      <c r="AO20" s="453">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53">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0</v>
      </c>
      <c r="AQ20" s="453">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53">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3">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3">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3">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3">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3">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3">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3">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3">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3">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1">
        <f ca="1">IF(OR($D20&lt;&gt;"Serviço",AND(AUTOEVENTO="Manual",$M20=$A$15)),0,
         IF(OFFSET(CRONOPLE!$F$15,$M20-$A$15,BC$13)=0,10^12,OFFSET(CRONOPLE!$F$15,$M20-$A$15,BC$13)))</f>
        <v>1</v>
      </c>
      <c r="BD20" s="171">
        <f ca="1">IF(OR($D20&lt;&gt;"Serviço",AND(AUTOEVENTO="Manual",$M20=$A$15)),0,
         IF(OFFSET(CRONOPLE!$F$15,$M20-$A$15,BD$13)=0,10^12,OFFSET(CRONOPLE!$F$15,$M20-$A$15,BD$13)))</f>
        <v>2</v>
      </c>
      <c r="BE20" s="171">
        <f ca="1">IF(OR($D20&lt;&gt;"Serviço",AND(AUTOEVENTO="Manual",$M20=$A$15)),0,
         IF(OFFSET(CRONOPLE!$F$15,$M20-$A$15,BE$13)=0,10^12,OFFSET(CRONOPLE!$F$15,$M20-$A$15,BE$13)))</f>
        <v>3</v>
      </c>
      <c r="BF20" s="171">
        <f ca="1">IF(OR($D20&lt;&gt;"Serviço",AND(AUTOEVENTO="Manual",$M20=$A$15)),0,
         IF(OFFSET(CRONOPLE!$F$15,$M20-$A$15,BF$13)=0,10^12,OFFSET(CRONOPLE!$F$15,$M20-$A$15,BF$13)))</f>
        <v>4</v>
      </c>
      <c r="BG20" s="171">
        <f ca="1">IF(OR($D20&lt;&gt;"Serviço",AND(AUTOEVENTO="Manual",$M20=$A$15)),0,
         IF(OFFSET(CRONOPLE!$F$15,$M20-$A$15,BG$13)=0,10^12,OFFSET(CRONOPLE!$F$15,$M20-$A$15,BG$13)))</f>
        <v>5</v>
      </c>
      <c r="BH20" s="171">
        <f ca="1">IF(OR($D20&lt;&gt;"Serviço",AND(AUTOEVENTO="Manual",$M20=$A$15)),0,
         IF(OFFSET(CRONOPLE!$F$15,$M20-$A$15,BH$13)=0,10^12,OFFSET(CRONOPLE!$F$15,$M20-$A$15,BH$13)))</f>
        <v>6</v>
      </c>
      <c r="BI20" s="171">
        <f ca="1">IF(OR($D20&lt;&gt;"Serviço",AND(AUTOEVENTO="Manual",$M20=$A$15)),0,
         IF(OFFSET(CRONOPLE!$F$15,$M20-$A$15,BI$13)=0,10^12,OFFSET(CRONOPLE!$F$15,$M20-$A$15,BI$13)))</f>
        <v>7</v>
      </c>
      <c r="BJ20" s="171">
        <f ca="1">IF(OR($D20&lt;&gt;"Serviço",AND(AUTOEVENTO="Manual",$M20=$A$15)),0,
         IF(OFFSET(CRONOPLE!$F$15,$M20-$A$15,BJ$13)=0,10^12,OFFSET(CRONOPLE!$F$15,$M20-$A$15,BJ$13)))</f>
        <v>8</v>
      </c>
      <c r="BK20" s="171">
        <f ca="1">IF(OR($D20&lt;&gt;"Serviço",AND(AUTOEVENTO="Manual",$M20=$A$15)),0,
         IF(OFFSET(CRONOPLE!$F$15,$M20-$A$15,BK$13)=0,10^12,OFFSET(CRONOPLE!$F$15,$M20-$A$15,BK$13)))</f>
        <v>9</v>
      </c>
      <c r="BL20" s="171">
        <f ca="1">IF(OR($D20&lt;&gt;"Serviço",AND(AUTOEVENTO="Manual",$M20=$A$15)),0,
         IF(OFFSET(CRONOPLE!$F$15,$M20-$A$15,BL$13)=0,10^12,OFFSET(CRONOPLE!$F$15,$M20-$A$15,BL$13)))</f>
        <v>10</v>
      </c>
      <c r="BM20" s="171">
        <f ca="1">IF(OR($D20&lt;&gt;"Serviço",AND(AUTOEVENTO="Manual",$M20=$A$15)),0,
         IF(OFFSET(CRONOPLE!$F$15,$M20-$A$15,BM$13)=0,10^12,OFFSET(CRONOPLE!$F$15,$M20-$A$15,BM$13)))</f>
        <v>1000000000000</v>
      </c>
      <c r="BN20" s="171">
        <f ca="1">IF(OR($D20&lt;&gt;"Serviço",AND(AUTOEVENTO="Manual",$M20=$A$15)),0,
         IF(OFFSET(CRONOPLE!$F$15,$M20-$A$15,BN$13)=0,10^12,OFFSET(CRONOPLE!$F$15,$M20-$A$15,BN$13)))</f>
        <v>1000000000000</v>
      </c>
      <c r="BO20" s="171">
        <f ca="1">IF(OR($D20&lt;&gt;"Serviço",AND(AUTOEVENTO="Manual",$M20=$A$15)),0,
         IF(OFFSET(CRONOPLE!$F$15,$M20-$A$15,BO$13)=0,10^12,OFFSET(CRONOPLE!$F$15,$M20-$A$15,BO$13)))</f>
        <v>1000000000000</v>
      </c>
      <c r="BP20" s="171">
        <f ca="1">IF(OR($D20&lt;&gt;"Serviço",AND(AUTOEVENTO="Manual",$M20=$A$15)),0,
         IF(OFFSET(CRONOPLE!$F$15,$M20-$A$15,BP$13)=0,10^12,OFFSET(CRONOPLE!$F$15,$M20-$A$15,BP$13)))</f>
        <v>1000000000000</v>
      </c>
      <c r="BQ20" s="171">
        <f ca="1">IF(OR($D20&lt;&gt;"Serviço",AND(AUTOEVENTO="Manual",$M20=$A$15)),0,
         IF(OFFSET(CRONOPLE!$F$15,$M20-$A$15,BQ$13)=0,10^12,OFFSET(CRONOPLE!$F$15,$M20-$A$15,BQ$13)))</f>
        <v>1000000000000</v>
      </c>
      <c r="BR20" s="171">
        <f ca="1">IF(OR($D20&lt;&gt;"Serviço",AND(AUTOEVENTO="Manual",$M20=$A$15)),0,
         IF(OFFSET(CRONOPLE!$F$15,$M20-$A$15,BR$13)=0,10^12,OFFSET(CRONOPLE!$F$15,$M20-$A$15,BR$13)))</f>
        <v>1000000000000</v>
      </c>
      <c r="BS20" s="171">
        <f ca="1">IF(OR($D20&lt;&gt;"Serviço",AND(AUTOEVENTO="Manual",$M20=$A$15)),0,
         IF(OFFSET(CRONOPLE!$F$15,$M20-$A$15,BS$13)=0,10^12,OFFSET(CRONOPLE!$F$15,$M20-$A$15,BS$13)))</f>
        <v>1000000000000</v>
      </c>
      <c r="BT20" s="171">
        <f ca="1">IF(OR($D20&lt;&gt;"Serviço",AND(AUTOEVENTO="Manual",$M20=$A$15)),0,
         IF(OFFSET(CRONOPLE!$F$15,$M20-$A$15,BT$13)=0,10^12,OFFSET(CRONOPLE!$F$15,$M20-$A$15,BT$13)))</f>
        <v>1000000000000</v>
      </c>
      <c r="BV20" s="172">
        <f ca="1">IF(OR($D20&lt;&gt;"Serviço",AND(AUTOEVENTO="Manual",$M20=$A$15),$M20&gt;(ROW(PLE.lastrow)-ROW(PLE.firstrow))),0,
           IF(OFFSET(PLE!$G$15,$M20-$A$15,BV$13)="",10^12,OFFSET(PLE!$G$15,$M20-$A$15,BV$13)))</f>
        <v>1000000000000</v>
      </c>
      <c r="BW20" s="172">
        <f ca="1">IF(OR($D20&lt;&gt;"Serviço",AND(AUTOEVENTO="Manual",$M20=$A$15),$M20&gt;(ROW(PLE.lastrow)-ROW(PLE.firstrow))),0,
           IF(OFFSET(PLE!$G$15,$M20-$A$15,BW$13)="",10^12,OFFSET(PLE!$G$15,$M20-$A$15,BW$13)))</f>
        <v>1000000000000</v>
      </c>
      <c r="BX20" s="172">
        <f ca="1">IF(OR($D20&lt;&gt;"Serviço",AND(AUTOEVENTO="Manual",$M20=$A$15),$M20&gt;(ROW(PLE.lastrow)-ROW(PLE.firstrow))),0,
           IF(OFFSET(PLE!$G$15,$M20-$A$15,BX$13)="",10^12,OFFSET(PLE!$G$15,$M20-$A$15,BX$13)))</f>
        <v>1000000000000</v>
      </c>
      <c r="BY20" s="172">
        <f ca="1">IF(OR($D20&lt;&gt;"Serviço",AND(AUTOEVENTO="Manual",$M20=$A$15),$M20&gt;(ROW(PLE.lastrow)-ROW(PLE.firstrow))),0,
           IF(OFFSET(PLE!$G$15,$M20-$A$15,BY$13)="",10^12,OFFSET(PLE!$G$15,$M20-$A$15,BY$13)))</f>
        <v>1000000000000</v>
      </c>
      <c r="BZ20" s="172">
        <f ca="1">IF(OR($D20&lt;&gt;"Serviço",AND(AUTOEVENTO="Manual",$M20=$A$15),$M20&gt;(ROW(PLE.lastrow)-ROW(PLE.firstrow))),0,
           IF(OFFSET(PLE!$G$15,$M20-$A$15,BZ$13)="",10^12,OFFSET(PLE!$G$15,$M20-$A$15,BZ$13)))</f>
        <v>1000000000000</v>
      </c>
      <c r="CA20" s="172">
        <f ca="1">IF(OR($D20&lt;&gt;"Serviço",AND(AUTOEVENTO="Manual",$M20=$A$15),$M20&gt;(ROW(PLE.lastrow)-ROW(PLE.firstrow))),0,
           IF(OFFSET(PLE!$G$15,$M20-$A$15,CA$13)="",10^12,OFFSET(PLE!$G$15,$M20-$A$15,CA$13)))</f>
        <v>1000000000000</v>
      </c>
      <c r="CB20" s="172">
        <f ca="1">IF(OR($D20&lt;&gt;"Serviço",AND(AUTOEVENTO="Manual",$M20=$A$15),$M20&gt;(ROW(PLE.lastrow)-ROW(PLE.firstrow))),0,
           IF(OFFSET(PLE!$G$15,$M20-$A$15,CB$13)="",10^12,OFFSET(PLE!$G$15,$M20-$A$15,CB$13)))</f>
        <v>1000000000000</v>
      </c>
      <c r="CC20" s="172">
        <f ca="1">IF(OR($D20&lt;&gt;"Serviço",AND(AUTOEVENTO="Manual",$M20=$A$15),$M20&gt;(ROW(PLE.lastrow)-ROW(PLE.firstrow))),0,
           IF(OFFSET(PLE!$G$15,$M20-$A$15,CC$13)="",10^12,OFFSET(PLE!$G$15,$M20-$A$15,CC$13)))</f>
        <v>1000000000000</v>
      </c>
      <c r="CD20" s="172">
        <f ca="1">IF(OR($D20&lt;&gt;"Serviço",AND(AUTOEVENTO="Manual",$M20=$A$15),$M20&gt;(ROW(PLE.lastrow)-ROW(PLE.firstrow))),0,
           IF(OFFSET(PLE!$G$15,$M20-$A$15,CD$13)="",10^12,OFFSET(PLE!$G$15,$M20-$A$15,CD$13)))</f>
        <v>1000000000000</v>
      </c>
      <c r="CE20" s="172">
        <f ca="1">IF(OR($D20&lt;&gt;"Serviço",AND(AUTOEVENTO="Manual",$M20=$A$15),$M20&gt;(ROW(PLE.lastrow)-ROW(PLE.firstrow))),0,
           IF(OFFSET(PLE!$G$15,$M20-$A$15,CE$13)="",10^12,OFFSET(PLE!$G$15,$M20-$A$15,CE$13)))</f>
        <v>1000000000000</v>
      </c>
      <c r="CF20" s="172">
        <f ca="1">IF(OR($D20&lt;&gt;"Serviço",AND(AUTOEVENTO="Manual",$M20=$A$15),$M20&gt;(ROW(PLE.lastrow)-ROW(PLE.firstrow))),0,
           IF(OFFSET(PLE!$G$15,$M20-$A$15,CF$13)="",10^12,OFFSET(PLE!$G$15,$M20-$A$15,CF$13)))</f>
        <v>1000000000000</v>
      </c>
      <c r="CG20" s="172">
        <f ca="1">IF(OR($D20&lt;&gt;"Serviço",AND(AUTOEVENTO="Manual",$M20=$A$15),$M20&gt;(ROW(PLE.lastrow)-ROW(PLE.firstrow))),0,
           IF(OFFSET(PLE!$G$15,$M20-$A$15,CG$13)="",10^12,OFFSET(PLE!$G$15,$M20-$A$15,CG$13)))</f>
        <v>1000000000000</v>
      </c>
      <c r="CH20" s="172">
        <f ca="1">IF(OR($D20&lt;&gt;"Serviço",AND(AUTOEVENTO="Manual",$M20=$A$15),$M20&gt;(ROW(PLE.lastrow)-ROW(PLE.firstrow))),0,
           IF(OFFSET(PLE!$G$15,$M20-$A$15,CH$13)="",10^12,OFFSET(PLE!$G$15,$M20-$A$15,CH$13)))</f>
        <v>1000000000000</v>
      </c>
      <c r="CI20" s="172">
        <f ca="1">IF(OR($D20&lt;&gt;"Serviço",AND(AUTOEVENTO="Manual",$M20=$A$15),$M20&gt;(ROW(PLE.lastrow)-ROW(PLE.firstrow))),0,
           IF(OFFSET(PLE!$G$15,$M20-$A$15,CI$13)="",10^12,OFFSET(PLE!$G$15,$M20-$A$15,CI$13)))</f>
        <v>1000000000000</v>
      </c>
      <c r="CJ20" s="172">
        <f ca="1">IF(OR($D20&lt;&gt;"Serviço",AND(AUTOEVENTO="Manual",$M20=$A$15),$M20&gt;(ROW(PLE.lastrow)-ROW(PLE.firstrow))),0,
           IF(OFFSET(PLE!$G$15,$M20-$A$15,CJ$13)="",10^12,OFFSET(PLE!$G$15,$M20-$A$15,CJ$13)))</f>
        <v>1000000000000</v>
      </c>
      <c r="CK20" s="172">
        <f ca="1">IF(OR($D20&lt;&gt;"Serviço",AND(AUTOEVENTO="Manual",$M20=$A$15),$M20&gt;(ROW(PLE.lastrow)-ROW(PLE.firstrow))),0,
           IF(OFFSET(PLE!$G$15,$M20-$A$15,CK$13)="",10^12,OFFSET(PLE!$G$15,$M20-$A$15,CK$13)))</f>
        <v>1000000000000</v>
      </c>
      <c r="CL20" s="172">
        <f ca="1">IF(OR($D20&lt;&gt;"Serviço",AND(AUTOEVENTO="Manual",$M20=$A$15),$M20&gt;(ROW(PLE.lastrow)-ROW(PLE.firstrow))),0,
           IF(OFFSET(PLE!$G$15,$M20-$A$15,CL$13)="",10^12,OFFSET(PLE!$G$15,$M20-$A$15,CL$13)))</f>
        <v>1000000000000</v>
      </c>
      <c r="CM20" s="172">
        <f ca="1">IF(OR($D20&lt;&gt;"Serviço",AND(AUTOEVENTO="Manual",$M20=$A$15),$M20&gt;(ROW(PLE.lastrow)-ROW(PLE.firstrow))),0,
           IF(OFFSET(PLE!$G$15,$M20-$A$15,CM$13)="",10^12,OFFSET(PLE!$G$15,$M20-$A$15,CM$13)))</f>
        <v>1000000000000</v>
      </c>
    </row>
    <row r="21" spans="1:91" ht="51" x14ac:dyDescent="0.2">
      <c r="A21" s="7">
        <f t="shared" ca="1" si="10"/>
        <v>1</v>
      </c>
      <c r="B21" s="7" t="str">
        <f ca="1">OFFSET(ORÇAMENTO!C$15,ROW(B21)-ROW(B$15),0)</f>
        <v>S</v>
      </c>
      <c r="C21" s="7" t="str">
        <f ca="1">OFFSET(ORÇAMENTO!L$15,ROW(C21)-ROW(C$15),0)</f>
        <v>F</v>
      </c>
      <c r="D21" s="116" t="str">
        <f ca="1">OFFSET(ORÇAMENTO!N$15,ROW(D21)-ROW(D$15),0)</f>
        <v>Serviço</v>
      </c>
      <c r="E21" s="117" t="str">
        <f ca="1">OFFSET(ORÇAMENTO!O$15,ROW(E21)-ROW(E$15),0)</f>
        <v>1.1.1.0.3.</v>
      </c>
      <c r="F21" s="163" t="str">
        <f ca="1">OFFSET(ORÇAMENTO!R$15,ROW(F21)-ROW(F$15),0)</f>
        <v>CAMINHÃO BASCULANTE 10 M3, TRUCADO CABINE SIMPLES, PESO BRUTO TOTAL 23.000 KG, CARGA ÚTIL MÁXIMA 15.935 KG, DISTÂNCIA ENTRE EIXOS 4,80 M, POTÊNCIA 230 CV INCLUSIVE CAÇAMBA METÁLICA - CHP DIURNO. AF_06/2014</v>
      </c>
      <c r="G21" s="164" t="str">
        <f ca="1">IF($D21&lt;&gt;"Serviço","",OFFSET(ORÇAMENTO!S$15,ROW(G21)-ROW(G$15),0))</f>
        <v>CHP</v>
      </c>
      <c r="H21" s="122" cm="1">
        <f t="array" aca="1" ref="H21" ca="1">IF($D21&lt;&gt;"Serviço",0,IF(ACOMPANHAMENTO="BM",ROUND(OFFSET(ORÇAMENTO!AJ$15,ROW(H21)-ROW(H$15),0),15-13*ORÇAMENTO!$AF$7),SUMPRODUCT(($Q$1:$AI$1=1)*ROUND($Q21:$AI21,15-13*ORÇAMENTO!$AF$7))))</f>
        <v>2.82</v>
      </c>
      <c r="I21" s="468" t="s">
        <v>1384</v>
      </c>
      <c r="J21" s="640" t="str" cm="1">
        <f t="array" aca="1" ref="J21" ca="1">IF(OR(B21&lt;&gt;"S",CÁLCULO.FrentesPreenchidas=0),"",IF(AND(ACOMPANHAMENTO="PLE",AUTOEVENTO="Manual",OR(H21&gt;0,ORÇAMENTO!AC21="QUANT."),OR(K21="",M21=0,N21="")),"►E",IF(AND(ACOMPANHAMENTO="PLE",ORÇAMENTO!AC21="QUANT."),"►Q",IF(AND(ACOMPANHAMENTO="PLE",H21&lt;&gt;SUMPRODUCT(($Q$1:$AI$1=1)*ROUND(Q21:AI21,15))),"►S",IF(AND(COUNTIF($P$11:$AI$11,"▼")=0,H21&gt;0,I21=""),"◄M","")))))</f>
        <v/>
      </c>
      <c r="K21" s="641" t="s">
        <v>1386</v>
      </c>
      <c r="L21" s="165" t="s">
        <v>764</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Mobilização e Desmobilização</v>
      </c>
      <c r="O21" s="168"/>
      <c r="Q21" s="168">
        <v>1.41</v>
      </c>
      <c r="R21" s="169"/>
      <c r="S21" s="169"/>
      <c r="T21" s="169"/>
      <c r="U21" s="169"/>
      <c r="V21" s="169"/>
      <c r="W21" s="169"/>
      <c r="X21" s="169"/>
      <c r="Y21" s="169"/>
      <c r="Z21" s="170">
        <v>1.41</v>
      </c>
      <c r="AA21" s="169"/>
      <c r="AB21" s="169"/>
      <c r="AC21" s="169"/>
      <c r="AD21" s="169"/>
      <c r="AE21" s="169"/>
      <c r="AF21" s="169"/>
      <c r="AG21" s="169"/>
      <c r="AH21" s="170"/>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L21" s="453">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53">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53">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0</v>
      </c>
      <c r="AO21" s="453">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53">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53">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53">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3">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3">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3">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3">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3">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3">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3">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3">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3">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1">
        <f ca="1">IF(OR($D21&lt;&gt;"Serviço",AND(AUTOEVENTO="Manual",$M21=$A$15)),0,
         IF(OFFSET(CRONOPLE!$F$15,$M21-$A$15,BC$13)=0,10^12,OFFSET(CRONOPLE!$F$15,$M21-$A$15,BC$13)))</f>
        <v>1</v>
      </c>
      <c r="BD21" s="171">
        <f ca="1">IF(OR($D21&lt;&gt;"Serviço",AND(AUTOEVENTO="Manual",$M21=$A$15)),0,
         IF(OFFSET(CRONOPLE!$F$15,$M21-$A$15,BD$13)=0,10^12,OFFSET(CRONOPLE!$F$15,$M21-$A$15,BD$13)))</f>
        <v>2</v>
      </c>
      <c r="BE21" s="171">
        <f ca="1">IF(OR($D21&lt;&gt;"Serviço",AND(AUTOEVENTO="Manual",$M21=$A$15)),0,
         IF(OFFSET(CRONOPLE!$F$15,$M21-$A$15,BE$13)=0,10^12,OFFSET(CRONOPLE!$F$15,$M21-$A$15,BE$13)))</f>
        <v>3</v>
      </c>
      <c r="BF21" s="171">
        <f ca="1">IF(OR($D21&lt;&gt;"Serviço",AND(AUTOEVENTO="Manual",$M21=$A$15)),0,
         IF(OFFSET(CRONOPLE!$F$15,$M21-$A$15,BF$13)=0,10^12,OFFSET(CRONOPLE!$F$15,$M21-$A$15,BF$13)))</f>
        <v>4</v>
      </c>
      <c r="BG21" s="171">
        <f ca="1">IF(OR($D21&lt;&gt;"Serviço",AND(AUTOEVENTO="Manual",$M21=$A$15)),0,
         IF(OFFSET(CRONOPLE!$F$15,$M21-$A$15,BG$13)=0,10^12,OFFSET(CRONOPLE!$F$15,$M21-$A$15,BG$13)))</f>
        <v>5</v>
      </c>
      <c r="BH21" s="171">
        <f ca="1">IF(OR($D21&lt;&gt;"Serviço",AND(AUTOEVENTO="Manual",$M21=$A$15)),0,
         IF(OFFSET(CRONOPLE!$F$15,$M21-$A$15,BH$13)=0,10^12,OFFSET(CRONOPLE!$F$15,$M21-$A$15,BH$13)))</f>
        <v>6</v>
      </c>
      <c r="BI21" s="171">
        <f ca="1">IF(OR($D21&lt;&gt;"Serviço",AND(AUTOEVENTO="Manual",$M21=$A$15)),0,
         IF(OFFSET(CRONOPLE!$F$15,$M21-$A$15,BI$13)=0,10^12,OFFSET(CRONOPLE!$F$15,$M21-$A$15,BI$13)))</f>
        <v>7</v>
      </c>
      <c r="BJ21" s="171">
        <f ca="1">IF(OR($D21&lt;&gt;"Serviço",AND(AUTOEVENTO="Manual",$M21=$A$15)),0,
         IF(OFFSET(CRONOPLE!$F$15,$M21-$A$15,BJ$13)=0,10^12,OFFSET(CRONOPLE!$F$15,$M21-$A$15,BJ$13)))</f>
        <v>8</v>
      </c>
      <c r="BK21" s="171">
        <f ca="1">IF(OR($D21&lt;&gt;"Serviço",AND(AUTOEVENTO="Manual",$M21=$A$15)),0,
         IF(OFFSET(CRONOPLE!$F$15,$M21-$A$15,BK$13)=0,10^12,OFFSET(CRONOPLE!$F$15,$M21-$A$15,BK$13)))</f>
        <v>9</v>
      </c>
      <c r="BL21" s="171">
        <f ca="1">IF(OR($D21&lt;&gt;"Serviço",AND(AUTOEVENTO="Manual",$M21=$A$15)),0,
         IF(OFFSET(CRONOPLE!$F$15,$M21-$A$15,BL$13)=0,10^12,OFFSET(CRONOPLE!$F$15,$M21-$A$15,BL$13)))</f>
        <v>10</v>
      </c>
      <c r="BM21" s="171">
        <f ca="1">IF(OR($D21&lt;&gt;"Serviço",AND(AUTOEVENTO="Manual",$M21=$A$15)),0,
         IF(OFFSET(CRONOPLE!$F$15,$M21-$A$15,BM$13)=0,10^12,OFFSET(CRONOPLE!$F$15,$M21-$A$15,BM$13)))</f>
        <v>1000000000000</v>
      </c>
      <c r="BN21" s="171">
        <f ca="1">IF(OR($D21&lt;&gt;"Serviço",AND(AUTOEVENTO="Manual",$M21=$A$15)),0,
         IF(OFFSET(CRONOPLE!$F$15,$M21-$A$15,BN$13)=0,10^12,OFFSET(CRONOPLE!$F$15,$M21-$A$15,BN$13)))</f>
        <v>1000000000000</v>
      </c>
      <c r="BO21" s="171">
        <f ca="1">IF(OR($D21&lt;&gt;"Serviço",AND(AUTOEVENTO="Manual",$M21=$A$15)),0,
         IF(OFFSET(CRONOPLE!$F$15,$M21-$A$15,BO$13)=0,10^12,OFFSET(CRONOPLE!$F$15,$M21-$A$15,BO$13)))</f>
        <v>1000000000000</v>
      </c>
      <c r="BP21" s="171">
        <f ca="1">IF(OR($D21&lt;&gt;"Serviço",AND(AUTOEVENTO="Manual",$M21=$A$15)),0,
         IF(OFFSET(CRONOPLE!$F$15,$M21-$A$15,BP$13)=0,10^12,OFFSET(CRONOPLE!$F$15,$M21-$A$15,BP$13)))</f>
        <v>1000000000000</v>
      </c>
      <c r="BQ21" s="171">
        <f ca="1">IF(OR($D21&lt;&gt;"Serviço",AND(AUTOEVENTO="Manual",$M21=$A$15)),0,
         IF(OFFSET(CRONOPLE!$F$15,$M21-$A$15,BQ$13)=0,10^12,OFFSET(CRONOPLE!$F$15,$M21-$A$15,BQ$13)))</f>
        <v>1000000000000</v>
      </c>
      <c r="BR21" s="171">
        <f ca="1">IF(OR($D21&lt;&gt;"Serviço",AND(AUTOEVENTO="Manual",$M21=$A$15)),0,
         IF(OFFSET(CRONOPLE!$F$15,$M21-$A$15,BR$13)=0,10^12,OFFSET(CRONOPLE!$F$15,$M21-$A$15,BR$13)))</f>
        <v>1000000000000</v>
      </c>
      <c r="BS21" s="171">
        <f ca="1">IF(OR($D21&lt;&gt;"Serviço",AND(AUTOEVENTO="Manual",$M21=$A$15)),0,
         IF(OFFSET(CRONOPLE!$F$15,$M21-$A$15,BS$13)=0,10^12,OFFSET(CRONOPLE!$F$15,$M21-$A$15,BS$13)))</f>
        <v>1000000000000</v>
      </c>
      <c r="BT21" s="171">
        <f ca="1">IF(OR($D21&lt;&gt;"Serviço",AND(AUTOEVENTO="Manual",$M21=$A$15)),0,
         IF(OFFSET(CRONOPLE!$F$15,$M21-$A$15,BT$13)=0,10^12,OFFSET(CRONOPLE!$F$15,$M21-$A$15,BT$13)))</f>
        <v>1000000000000</v>
      </c>
      <c r="BV21" s="172">
        <f ca="1">IF(OR($D21&lt;&gt;"Serviço",AND(AUTOEVENTO="Manual",$M21=$A$15),$M21&gt;(ROW(PLE.lastrow)-ROW(PLE.firstrow))),0,
           IF(OFFSET(PLE!$G$15,$M21-$A$15,BV$13)="",10^12,OFFSET(PLE!$G$15,$M21-$A$15,BV$13)))</f>
        <v>1000000000000</v>
      </c>
      <c r="BW21" s="172">
        <f ca="1">IF(OR($D21&lt;&gt;"Serviço",AND(AUTOEVENTO="Manual",$M21=$A$15),$M21&gt;(ROW(PLE.lastrow)-ROW(PLE.firstrow))),0,
           IF(OFFSET(PLE!$G$15,$M21-$A$15,BW$13)="",10^12,OFFSET(PLE!$G$15,$M21-$A$15,BW$13)))</f>
        <v>1000000000000</v>
      </c>
      <c r="BX21" s="172">
        <f ca="1">IF(OR($D21&lt;&gt;"Serviço",AND(AUTOEVENTO="Manual",$M21=$A$15),$M21&gt;(ROW(PLE.lastrow)-ROW(PLE.firstrow))),0,
           IF(OFFSET(PLE!$G$15,$M21-$A$15,BX$13)="",10^12,OFFSET(PLE!$G$15,$M21-$A$15,BX$13)))</f>
        <v>1000000000000</v>
      </c>
      <c r="BY21" s="172">
        <f ca="1">IF(OR($D21&lt;&gt;"Serviço",AND(AUTOEVENTO="Manual",$M21=$A$15),$M21&gt;(ROW(PLE.lastrow)-ROW(PLE.firstrow))),0,
           IF(OFFSET(PLE!$G$15,$M21-$A$15,BY$13)="",10^12,OFFSET(PLE!$G$15,$M21-$A$15,BY$13)))</f>
        <v>1000000000000</v>
      </c>
      <c r="BZ21" s="172">
        <f ca="1">IF(OR($D21&lt;&gt;"Serviço",AND(AUTOEVENTO="Manual",$M21=$A$15),$M21&gt;(ROW(PLE.lastrow)-ROW(PLE.firstrow))),0,
           IF(OFFSET(PLE!$G$15,$M21-$A$15,BZ$13)="",10^12,OFFSET(PLE!$G$15,$M21-$A$15,BZ$13)))</f>
        <v>1000000000000</v>
      </c>
      <c r="CA21" s="172">
        <f ca="1">IF(OR($D21&lt;&gt;"Serviço",AND(AUTOEVENTO="Manual",$M21=$A$15),$M21&gt;(ROW(PLE.lastrow)-ROW(PLE.firstrow))),0,
           IF(OFFSET(PLE!$G$15,$M21-$A$15,CA$13)="",10^12,OFFSET(PLE!$G$15,$M21-$A$15,CA$13)))</f>
        <v>1000000000000</v>
      </c>
      <c r="CB21" s="172">
        <f ca="1">IF(OR($D21&lt;&gt;"Serviço",AND(AUTOEVENTO="Manual",$M21=$A$15),$M21&gt;(ROW(PLE.lastrow)-ROW(PLE.firstrow))),0,
           IF(OFFSET(PLE!$G$15,$M21-$A$15,CB$13)="",10^12,OFFSET(PLE!$G$15,$M21-$A$15,CB$13)))</f>
        <v>1000000000000</v>
      </c>
      <c r="CC21" s="172">
        <f ca="1">IF(OR($D21&lt;&gt;"Serviço",AND(AUTOEVENTO="Manual",$M21=$A$15),$M21&gt;(ROW(PLE.lastrow)-ROW(PLE.firstrow))),0,
           IF(OFFSET(PLE!$G$15,$M21-$A$15,CC$13)="",10^12,OFFSET(PLE!$G$15,$M21-$A$15,CC$13)))</f>
        <v>1000000000000</v>
      </c>
      <c r="CD21" s="172">
        <f ca="1">IF(OR($D21&lt;&gt;"Serviço",AND(AUTOEVENTO="Manual",$M21=$A$15),$M21&gt;(ROW(PLE.lastrow)-ROW(PLE.firstrow))),0,
           IF(OFFSET(PLE!$G$15,$M21-$A$15,CD$13)="",10^12,OFFSET(PLE!$G$15,$M21-$A$15,CD$13)))</f>
        <v>1000000000000</v>
      </c>
      <c r="CE21" s="172">
        <f ca="1">IF(OR($D21&lt;&gt;"Serviço",AND(AUTOEVENTO="Manual",$M21=$A$15),$M21&gt;(ROW(PLE.lastrow)-ROW(PLE.firstrow))),0,
           IF(OFFSET(PLE!$G$15,$M21-$A$15,CE$13)="",10^12,OFFSET(PLE!$G$15,$M21-$A$15,CE$13)))</f>
        <v>1000000000000</v>
      </c>
      <c r="CF21" s="172">
        <f ca="1">IF(OR($D21&lt;&gt;"Serviço",AND(AUTOEVENTO="Manual",$M21=$A$15),$M21&gt;(ROW(PLE.lastrow)-ROW(PLE.firstrow))),0,
           IF(OFFSET(PLE!$G$15,$M21-$A$15,CF$13)="",10^12,OFFSET(PLE!$G$15,$M21-$A$15,CF$13)))</f>
        <v>1000000000000</v>
      </c>
      <c r="CG21" s="172">
        <f ca="1">IF(OR($D21&lt;&gt;"Serviço",AND(AUTOEVENTO="Manual",$M21=$A$15),$M21&gt;(ROW(PLE.lastrow)-ROW(PLE.firstrow))),0,
           IF(OFFSET(PLE!$G$15,$M21-$A$15,CG$13)="",10^12,OFFSET(PLE!$G$15,$M21-$A$15,CG$13)))</f>
        <v>1000000000000</v>
      </c>
      <c r="CH21" s="172">
        <f ca="1">IF(OR($D21&lt;&gt;"Serviço",AND(AUTOEVENTO="Manual",$M21=$A$15),$M21&gt;(ROW(PLE.lastrow)-ROW(PLE.firstrow))),0,
           IF(OFFSET(PLE!$G$15,$M21-$A$15,CH$13)="",10^12,OFFSET(PLE!$G$15,$M21-$A$15,CH$13)))</f>
        <v>1000000000000</v>
      </c>
      <c r="CI21" s="172">
        <f ca="1">IF(OR($D21&lt;&gt;"Serviço",AND(AUTOEVENTO="Manual",$M21=$A$15),$M21&gt;(ROW(PLE.lastrow)-ROW(PLE.firstrow))),0,
           IF(OFFSET(PLE!$G$15,$M21-$A$15,CI$13)="",10^12,OFFSET(PLE!$G$15,$M21-$A$15,CI$13)))</f>
        <v>1000000000000</v>
      </c>
      <c r="CJ21" s="172">
        <f ca="1">IF(OR($D21&lt;&gt;"Serviço",AND(AUTOEVENTO="Manual",$M21=$A$15),$M21&gt;(ROW(PLE.lastrow)-ROW(PLE.firstrow))),0,
           IF(OFFSET(PLE!$G$15,$M21-$A$15,CJ$13)="",10^12,OFFSET(PLE!$G$15,$M21-$A$15,CJ$13)))</f>
        <v>1000000000000</v>
      </c>
      <c r="CK21" s="172">
        <f ca="1">IF(OR($D21&lt;&gt;"Serviço",AND(AUTOEVENTO="Manual",$M21=$A$15),$M21&gt;(ROW(PLE.lastrow)-ROW(PLE.firstrow))),0,
           IF(OFFSET(PLE!$G$15,$M21-$A$15,CK$13)="",10^12,OFFSET(PLE!$G$15,$M21-$A$15,CK$13)))</f>
        <v>1000000000000</v>
      </c>
      <c r="CL21" s="172">
        <f ca="1">IF(OR($D21&lt;&gt;"Serviço",AND(AUTOEVENTO="Manual",$M21=$A$15),$M21&gt;(ROW(PLE.lastrow)-ROW(PLE.firstrow))),0,
           IF(OFFSET(PLE!$G$15,$M21-$A$15,CL$13)="",10^12,OFFSET(PLE!$G$15,$M21-$A$15,CL$13)))</f>
        <v>1000000000000</v>
      </c>
      <c r="CM21" s="172">
        <f ca="1">IF(OR($D21&lt;&gt;"Serviço",AND(AUTOEVENTO="Manual",$M21=$A$15),$M21&gt;(ROW(PLE.lastrow)-ROW(PLE.firstrow))),0,
           IF(OFFSET(PLE!$G$15,$M21-$A$15,CM$13)="",10^12,OFFSET(PLE!$G$15,$M21-$A$15,CM$13)))</f>
        <v>1000000000000</v>
      </c>
    </row>
    <row r="22" spans="1:91" ht="38.25" x14ac:dyDescent="0.2">
      <c r="A22" s="7">
        <f t="shared" ca="1" si="10"/>
        <v>1</v>
      </c>
      <c r="B22" s="7" t="str">
        <f ca="1">OFFSET(ORÇAMENTO!C$15,ROW(B22)-ROW(B$15),0)</f>
        <v>S</v>
      </c>
      <c r="C22" s="7" t="str">
        <f ca="1">OFFSET(ORÇAMENTO!L$15,ROW(C22)-ROW(C$15),0)</f>
        <v>F</v>
      </c>
      <c r="D22" s="116" t="str">
        <f ca="1">OFFSET(ORÇAMENTO!N$15,ROW(D22)-ROW(D$15),0)</f>
        <v>Serviço</v>
      </c>
      <c r="E22" s="117" t="str">
        <f ca="1">OFFSET(ORÇAMENTO!O$15,ROW(E22)-ROW(E$15),0)</f>
        <v>1.1.1.0.4.</v>
      </c>
      <c r="F22" s="163" t="str">
        <f ca="1">OFFSET(ORÇAMENTO!R$15,ROW(F22)-ROW(F$15),0)</f>
        <v>CHP/CAMINHÃO TANQUE, 10.000L, CARGA ÚTIL MÁXIMA 7200 KG, DISTÂNCIA ENTRE EIXOS 4,50 M, POTÊNCIA 190 CV</v>
      </c>
      <c r="G22" s="164" t="str">
        <f ca="1">IF($D22&lt;&gt;"Serviço","",OFFSET(ORÇAMENTO!S$15,ROW(G22)-ROW(G$15),0))</f>
        <v>H</v>
      </c>
      <c r="H22" s="122" cm="1">
        <f t="array" aca="1" ref="H22" ca="1">IF($D22&lt;&gt;"Serviço",0,IF(ACOMPANHAMENTO="BM",ROUND(OFFSET(ORÇAMENTO!AJ$15,ROW(H22)-ROW(H$15),0),15-13*ORÇAMENTO!$AF$7),SUMPRODUCT(($Q$1:$AI$1=1)*ROUND($Q22:$AI22,15-13*ORÇAMENTO!$AF$7))))</f>
        <v>1.42</v>
      </c>
      <c r="I22" s="468" t="s">
        <v>1384</v>
      </c>
      <c r="J22" s="640" t="str" cm="1">
        <f t="array" aca="1" ref="J22" ca="1">IF(OR(B22&lt;&gt;"S",CÁLCULO.FrentesPreenchidas=0),"",IF(AND(ACOMPANHAMENTO="PLE",AUTOEVENTO="Manual",OR(H22&gt;0,ORÇAMENTO!AC22="QUANT."),OR(K22="",M22=0,N22="")),"►E",IF(AND(ACOMPANHAMENTO="PLE",ORÇAMENTO!AC22="QUANT."),"►Q",IF(AND(ACOMPANHAMENTO="PLE",H22&lt;&gt;SUMPRODUCT(($Q$1:$AI$1=1)*ROUND(Q22:AI22,15))),"►S",IF(AND(COUNTIF($P$11:$AI$11,"▼")=0,H22&gt;0,I22=""),"◄M","")))))</f>
        <v/>
      </c>
      <c r="K22" s="641" t="s">
        <v>1386</v>
      </c>
      <c r="L22" s="165" t="s">
        <v>764</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Mobilização e Desmobilização</v>
      </c>
      <c r="O22" s="168"/>
      <c r="Q22" s="168">
        <v>0.71</v>
      </c>
      <c r="R22" s="169"/>
      <c r="S22" s="169"/>
      <c r="T22" s="169"/>
      <c r="U22" s="169"/>
      <c r="V22" s="169"/>
      <c r="W22" s="169"/>
      <c r="X22" s="169"/>
      <c r="Y22" s="169"/>
      <c r="Z22" s="170">
        <v>0.71</v>
      </c>
      <c r="AA22" s="169"/>
      <c r="AB22" s="169"/>
      <c r="AC22" s="169"/>
      <c r="AD22" s="169"/>
      <c r="AE22" s="169"/>
      <c r="AF22" s="169"/>
      <c r="AG22" s="169"/>
      <c r="AH22" s="170"/>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L22" s="453">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0</v>
      </c>
      <c r="AM22" s="453">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0</v>
      </c>
      <c r="AN22" s="453">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0</v>
      </c>
      <c r="AO22" s="453">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0</v>
      </c>
      <c r="AP22" s="453">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0</v>
      </c>
      <c r="AQ22" s="453">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53">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3">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3">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3">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3">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3">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3">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3">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3">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3">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1">
        <f ca="1">IF(OR($D22&lt;&gt;"Serviço",AND(AUTOEVENTO="Manual",$M22=$A$15)),0,
         IF(OFFSET(CRONOPLE!$F$15,$M22-$A$15,BC$13)=0,10^12,OFFSET(CRONOPLE!$F$15,$M22-$A$15,BC$13)))</f>
        <v>1</v>
      </c>
      <c r="BD22" s="171">
        <f ca="1">IF(OR($D22&lt;&gt;"Serviço",AND(AUTOEVENTO="Manual",$M22=$A$15)),0,
         IF(OFFSET(CRONOPLE!$F$15,$M22-$A$15,BD$13)=0,10^12,OFFSET(CRONOPLE!$F$15,$M22-$A$15,BD$13)))</f>
        <v>2</v>
      </c>
      <c r="BE22" s="171">
        <f ca="1">IF(OR($D22&lt;&gt;"Serviço",AND(AUTOEVENTO="Manual",$M22=$A$15)),0,
         IF(OFFSET(CRONOPLE!$F$15,$M22-$A$15,BE$13)=0,10^12,OFFSET(CRONOPLE!$F$15,$M22-$A$15,BE$13)))</f>
        <v>3</v>
      </c>
      <c r="BF22" s="171">
        <f ca="1">IF(OR($D22&lt;&gt;"Serviço",AND(AUTOEVENTO="Manual",$M22=$A$15)),0,
         IF(OFFSET(CRONOPLE!$F$15,$M22-$A$15,BF$13)=0,10^12,OFFSET(CRONOPLE!$F$15,$M22-$A$15,BF$13)))</f>
        <v>4</v>
      </c>
      <c r="BG22" s="171">
        <f ca="1">IF(OR($D22&lt;&gt;"Serviço",AND(AUTOEVENTO="Manual",$M22=$A$15)),0,
         IF(OFFSET(CRONOPLE!$F$15,$M22-$A$15,BG$13)=0,10^12,OFFSET(CRONOPLE!$F$15,$M22-$A$15,BG$13)))</f>
        <v>5</v>
      </c>
      <c r="BH22" s="171">
        <f ca="1">IF(OR($D22&lt;&gt;"Serviço",AND(AUTOEVENTO="Manual",$M22=$A$15)),0,
         IF(OFFSET(CRONOPLE!$F$15,$M22-$A$15,BH$13)=0,10^12,OFFSET(CRONOPLE!$F$15,$M22-$A$15,BH$13)))</f>
        <v>6</v>
      </c>
      <c r="BI22" s="171">
        <f ca="1">IF(OR($D22&lt;&gt;"Serviço",AND(AUTOEVENTO="Manual",$M22=$A$15)),0,
         IF(OFFSET(CRONOPLE!$F$15,$M22-$A$15,BI$13)=0,10^12,OFFSET(CRONOPLE!$F$15,$M22-$A$15,BI$13)))</f>
        <v>7</v>
      </c>
      <c r="BJ22" s="171">
        <f ca="1">IF(OR($D22&lt;&gt;"Serviço",AND(AUTOEVENTO="Manual",$M22=$A$15)),0,
         IF(OFFSET(CRONOPLE!$F$15,$M22-$A$15,BJ$13)=0,10^12,OFFSET(CRONOPLE!$F$15,$M22-$A$15,BJ$13)))</f>
        <v>8</v>
      </c>
      <c r="BK22" s="171">
        <f ca="1">IF(OR($D22&lt;&gt;"Serviço",AND(AUTOEVENTO="Manual",$M22=$A$15)),0,
         IF(OFFSET(CRONOPLE!$F$15,$M22-$A$15,BK$13)=0,10^12,OFFSET(CRONOPLE!$F$15,$M22-$A$15,BK$13)))</f>
        <v>9</v>
      </c>
      <c r="BL22" s="171">
        <f ca="1">IF(OR($D22&lt;&gt;"Serviço",AND(AUTOEVENTO="Manual",$M22=$A$15)),0,
         IF(OFFSET(CRONOPLE!$F$15,$M22-$A$15,BL$13)=0,10^12,OFFSET(CRONOPLE!$F$15,$M22-$A$15,BL$13)))</f>
        <v>10</v>
      </c>
      <c r="BM22" s="171">
        <f ca="1">IF(OR($D22&lt;&gt;"Serviço",AND(AUTOEVENTO="Manual",$M22=$A$15)),0,
         IF(OFFSET(CRONOPLE!$F$15,$M22-$A$15,BM$13)=0,10^12,OFFSET(CRONOPLE!$F$15,$M22-$A$15,BM$13)))</f>
        <v>1000000000000</v>
      </c>
      <c r="BN22" s="171">
        <f ca="1">IF(OR($D22&lt;&gt;"Serviço",AND(AUTOEVENTO="Manual",$M22=$A$15)),0,
         IF(OFFSET(CRONOPLE!$F$15,$M22-$A$15,BN$13)=0,10^12,OFFSET(CRONOPLE!$F$15,$M22-$A$15,BN$13)))</f>
        <v>1000000000000</v>
      </c>
      <c r="BO22" s="171">
        <f ca="1">IF(OR($D22&lt;&gt;"Serviço",AND(AUTOEVENTO="Manual",$M22=$A$15)),0,
         IF(OFFSET(CRONOPLE!$F$15,$M22-$A$15,BO$13)=0,10^12,OFFSET(CRONOPLE!$F$15,$M22-$A$15,BO$13)))</f>
        <v>1000000000000</v>
      </c>
      <c r="BP22" s="171">
        <f ca="1">IF(OR($D22&lt;&gt;"Serviço",AND(AUTOEVENTO="Manual",$M22=$A$15)),0,
         IF(OFFSET(CRONOPLE!$F$15,$M22-$A$15,BP$13)=0,10^12,OFFSET(CRONOPLE!$F$15,$M22-$A$15,BP$13)))</f>
        <v>1000000000000</v>
      </c>
      <c r="BQ22" s="171">
        <f ca="1">IF(OR($D22&lt;&gt;"Serviço",AND(AUTOEVENTO="Manual",$M22=$A$15)),0,
         IF(OFFSET(CRONOPLE!$F$15,$M22-$A$15,BQ$13)=0,10^12,OFFSET(CRONOPLE!$F$15,$M22-$A$15,BQ$13)))</f>
        <v>1000000000000</v>
      </c>
      <c r="BR22" s="171">
        <f ca="1">IF(OR($D22&lt;&gt;"Serviço",AND(AUTOEVENTO="Manual",$M22=$A$15)),0,
         IF(OFFSET(CRONOPLE!$F$15,$M22-$A$15,BR$13)=0,10^12,OFFSET(CRONOPLE!$F$15,$M22-$A$15,BR$13)))</f>
        <v>1000000000000</v>
      </c>
      <c r="BS22" s="171">
        <f ca="1">IF(OR($D22&lt;&gt;"Serviço",AND(AUTOEVENTO="Manual",$M22=$A$15)),0,
         IF(OFFSET(CRONOPLE!$F$15,$M22-$A$15,BS$13)=0,10^12,OFFSET(CRONOPLE!$F$15,$M22-$A$15,BS$13)))</f>
        <v>1000000000000</v>
      </c>
      <c r="BT22" s="171">
        <f ca="1">IF(OR($D22&lt;&gt;"Serviço",AND(AUTOEVENTO="Manual",$M22=$A$15)),0,
         IF(OFFSET(CRONOPLE!$F$15,$M22-$A$15,BT$13)=0,10^12,OFFSET(CRONOPLE!$F$15,$M22-$A$15,BT$13)))</f>
        <v>1000000000000</v>
      </c>
      <c r="BV22" s="172">
        <f ca="1">IF(OR($D22&lt;&gt;"Serviço",AND(AUTOEVENTO="Manual",$M22=$A$15),$M22&gt;(ROW(PLE.lastrow)-ROW(PLE.firstrow))),0,
           IF(OFFSET(PLE!$G$15,$M22-$A$15,BV$13)="",10^12,OFFSET(PLE!$G$15,$M22-$A$15,BV$13)))</f>
        <v>1000000000000</v>
      </c>
      <c r="BW22" s="172">
        <f ca="1">IF(OR($D22&lt;&gt;"Serviço",AND(AUTOEVENTO="Manual",$M22=$A$15),$M22&gt;(ROW(PLE.lastrow)-ROW(PLE.firstrow))),0,
           IF(OFFSET(PLE!$G$15,$M22-$A$15,BW$13)="",10^12,OFFSET(PLE!$G$15,$M22-$A$15,BW$13)))</f>
        <v>1000000000000</v>
      </c>
      <c r="BX22" s="172">
        <f ca="1">IF(OR($D22&lt;&gt;"Serviço",AND(AUTOEVENTO="Manual",$M22=$A$15),$M22&gt;(ROW(PLE.lastrow)-ROW(PLE.firstrow))),0,
           IF(OFFSET(PLE!$G$15,$M22-$A$15,BX$13)="",10^12,OFFSET(PLE!$G$15,$M22-$A$15,BX$13)))</f>
        <v>1000000000000</v>
      </c>
      <c r="BY22" s="172">
        <f ca="1">IF(OR($D22&lt;&gt;"Serviço",AND(AUTOEVENTO="Manual",$M22=$A$15),$M22&gt;(ROW(PLE.lastrow)-ROW(PLE.firstrow))),0,
           IF(OFFSET(PLE!$G$15,$M22-$A$15,BY$13)="",10^12,OFFSET(PLE!$G$15,$M22-$A$15,BY$13)))</f>
        <v>1000000000000</v>
      </c>
      <c r="BZ22" s="172">
        <f ca="1">IF(OR($D22&lt;&gt;"Serviço",AND(AUTOEVENTO="Manual",$M22=$A$15),$M22&gt;(ROW(PLE.lastrow)-ROW(PLE.firstrow))),0,
           IF(OFFSET(PLE!$G$15,$M22-$A$15,BZ$13)="",10^12,OFFSET(PLE!$G$15,$M22-$A$15,BZ$13)))</f>
        <v>1000000000000</v>
      </c>
      <c r="CA22" s="172">
        <f ca="1">IF(OR($D22&lt;&gt;"Serviço",AND(AUTOEVENTO="Manual",$M22=$A$15),$M22&gt;(ROW(PLE.lastrow)-ROW(PLE.firstrow))),0,
           IF(OFFSET(PLE!$G$15,$M22-$A$15,CA$13)="",10^12,OFFSET(PLE!$G$15,$M22-$A$15,CA$13)))</f>
        <v>1000000000000</v>
      </c>
      <c r="CB22" s="172">
        <f ca="1">IF(OR($D22&lt;&gt;"Serviço",AND(AUTOEVENTO="Manual",$M22=$A$15),$M22&gt;(ROW(PLE.lastrow)-ROW(PLE.firstrow))),0,
           IF(OFFSET(PLE!$G$15,$M22-$A$15,CB$13)="",10^12,OFFSET(PLE!$G$15,$M22-$A$15,CB$13)))</f>
        <v>1000000000000</v>
      </c>
      <c r="CC22" s="172">
        <f ca="1">IF(OR($D22&lt;&gt;"Serviço",AND(AUTOEVENTO="Manual",$M22=$A$15),$M22&gt;(ROW(PLE.lastrow)-ROW(PLE.firstrow))),0,
           IF(OFFSET(PLE!$G$15,$M22-$A$15,CC$13)="",10^12,OFFSET(PLE!$G$15,$M22-$A$15,CC$13)))</f>
        <v>1000000000000</v>
      </c>
      <c r="CD22" s="172">
        <f ca="1">IF(OR($D22&lt;&gt;"Serviço",AND(AUTOEVENTO="Manual",$M22=$A$15),$M22&gt;(ROW(PLE.lastrow)-ROW(PLE.firstrow))),0,
           IF(OFFSET(PLE!$G$15,$M22-$A$15,CD$13)="",10^12,OFFSET(PLE!$G$15,$M22-$A$15,CD$13)))</f>
        <v>1000000000000</v>
      </c>
      <c r="CE22" s="172">
        <f ca="1">IF(OR($D22&lt;&gt;"Serviço",AND(AUTOEVENTO="Manual",$M22=$A$15),$M22&gt;(ROW(PLE.lastrow)-ROW(PLE.firstrow))),0,
           IF(OFFSET(PLE!$G$15,$M22-$A$15,CE$13)="",10^12,OFFSET(PLE!$G$15,$M22-$A$15,CE$13)))</f>
        <v>1000000000000</v>
      </c>
      <c r="CF22" s="172">
        <f ca="1">IF(OR($D22&lt;&gt;"Serviço",AND(AUTOEVENTO="Manual",$M22=$A$15),$M22&gt;(ROW(PLE.lastrow)-ROW(PLE.firstrow))),0,
           IF(OFFSET(PLE!$G$15,$M22-$A$15,CF$13)="",10^12,OFFSET(PLE!$G$15,$M22-$A$15,CF$13)))</f>
        <v>1000000000000</v>
      </c>
      <c r="CG22" s="172">
        <f ca="1">IF(OR($D22&lt;&gt;"Serviço",AND(AUTOEVENTO="Manual",$M22=$A$15),$M22&gt;(ROW(PLE.lastrow)-ROW(PLE.firstrow))),0,
           IF(OFFSET(PLE!$G$15,$M22-$A$15,CG$13)="",10^12,OFFSET(PLE!$G$15,$M22-$A$15,CG$13)))</f>
        <v>1000000000000</v>
      </c>
      <c r="CH22" s="172">
        <f ca="1">IF(OR($D22&lt;&gt;"Serviço",AND(AUTOEVENTO="Manual",$M22=$A$15),$M22&gt;(ROW(PLE.lastrow)-ROW(PLE.firstrow))),0,
           IF(OFFSET(PLE!$G$15,$M22-$A$15,CH$13)="",10^12,OFFSET(PLE!$G$15,$M22-$A$15,CH$13)))</f>
        <v>1000000000000</v>
      </c>
      <c r="CI22" s="172">
        <f ca="1">IF(OR($D22&lt;&gt;"Serviço",AND(AUTOEVENTO="Manual",$M22=$A$15),$M22&gt;(ROW(PLE.lastrow)-ROW(PLE.firstrow))),0,
           IF(OFFSET(PLE!$G$15,$M22-$A$15,CI$13)="",10^12,OFFSET(PLE!$G$15,$M22-$A$15,CI$13)))</f>
        <v>1000000000000</v>
      </c>
      <c r="CJ22" s="172">
        <f ca="1">IF(OR($D22&lt;&gt;"Serviço",AND(AUTOEVENTO="Manual",$M22=$A$15),$M22&gt;(ROW(PLE.lastrow)-ROW(PLE.firstrow))),0,
           IF(OFFSET(PLE!$G$15,$M22-$A$15,CJ$13)="",10^12,OFFSET(PLE!$G$15,$M22-$A$15,CJ$13)))</f>
        <v>1000000000000</v>
      </c>
      <c r="CK22" s="172">
        <f ca="1">IF(OR($D22&lt;&gt;"Serviço",AND(AUTOEVENTO="Manual",$M22=$A$15),$M22&gt;(ROW(PLE.lastrow)-ROW(PLE.firstrow))),0,
           IF(OFFSET(PLE!$G$15,$M22-$A$15,CK$13)="",10^12,OFFSET(PLE!$G$15,$M22-$A$15,CK$13)))</f>
        <v>1000000000000</v>
      </c>
      <c r="CL22" s="172">
        <f ca="1">IF(OR($D22&lt;&gt;"Serviço",AND(AUTOEVENTO="Manual",$M22=$A$15),$M22&gt;(ROW(PLE.lastrow)-ROW(PLE.firstrow))),0,
           IF(OFFSET(PLE!$G$15,$M22-$A$15,CL$13)="",10^12,OFFSET(PLE!$G$15,$M22-$A$15,CL$13)))</f>
        <v>1000000000000</v>
      </c>
      <c r="CM22" s="172">
        <f ca="1">IF(OR($D22&lt;&gt;"Serviço",AND(AUTOEVENTO="Manual",$M22=$A$15),$M22&gt;(ROW(PLE.lastrow)-ROW(PLE.firstrow))),0,
           IF(OFFSET(PLE!$G$15,$M22-$A$15,CM$13)="",10^12,OFFSET(PLE!$G$15,$M22-$A$15,CM$13)))</f>
        <v>1000000000000</v>
      </c>
    </row>
    <row r="23" spans="1:91" ht="51" x14ac:dyDescent="0.2">
      <c r="A23" s="7">
        <f t="shared" ca="1" si="10"/>
        <v>1</v>
      </c>
      <c r="B23" s="7" t="str">
        <f ca="1">OFFSET(ORÇAMENTO!C$15,ROW(B23)-ROW(B$15),0)</f>
        <v>S</v>
      </c>
      <c r="C23" s="7" t="str">
        <f ca="1">OFFSET(ORÇAMENTO!L$15,ROW(C23)-ROW(C$15),0)</f>
        <v>F</v>
      </c>
      <c r="D23" s="116" t="str">
        <f ca="1">OFFSET(ORÇAMENTO!N$15,ROW(D23)-ROW(D$15),0)</f>
        <v>Serviço</v>
      </c>
      <c r="E23" s="117" t="str">
        <f ca="1">OFFSET(ORÇAMENTO!O$15,ROW(E23)-ROW(E$15),0)</f>
        <v>1.1.1.0.5.</v>
      </c>
      <c r="F23" s="163" t="str">
        <f ca="1">OFFSET(ORÇAMENTO!R$15,ROW(F23)-ROW(F$15),0)</f>
        <v>CAMINHÃO PIPA 10.000 L TRUCADO, PESO BRUTO TOTAL 23.000 KG, CARGA ÚTIL MÁXIMA 15.935 KG, DISTÂNCIA ENTRE EIXOS 4,8 M, POTÊNCIA 230 CV, INCLUSIVE TANQUE DE AÇO PARA TRANSPORTE DE ÁGUA - CHP DIURNO. AF_06/2014</v>
      </c>
      <c r="G23" s="164" t="str">
        <f ca="1">IF($D23&lt;&gt;"Serviço","",OFFSET(ORÇAMENTO!S$15,ROW(G23)-ROW(G$15),0))</f>
        <v>CHP</v>
      </c>
      <c r="H23" s="122" cm="1">
        <f t="array" aca="1" ref="H23" ca="1">IF($D23&lt;&gt;"Serviço",0,IF(ACOMPANHAMENTO="BM",ROUND(OFFSET(ORÇAMENTO!AJ$15,ROW(H23)-ROW(H$15),0),15-13*ORÇAMENTO!$AF$7),SUMPRODUCT(($Q$1:$AI$1=1)*ROUND($Q23:$AI23,15-13*ORÇAMENTO!$AF$7))))</f>
        <v>2.82</v>
      </c>
      <c r="I23" s="468" t="s">
        <v>1384</v>
      </c>
      <c r="J23" s="640" t="str" cm="1">
        <f t="array" aca="1" ref="J23" ca="1">IF(OR(B23&lt;&gt;"S",CÁLCULO.FrentesPreenchidas=0),"",IF(AND(ACOMPANHAMENTO="PLE",AUTOEVENTO="Manual",OR(H23&gt;0,ORÇAMENTO!AC23="QUANT."),OR(K23="",M23=0,N23="")),"►E",IF(AND(ACOMPANHAMENTO="PLE",ORÇAMENTO!AC23="QUANT."),"►Q",IF(AND(ACOMPANHAMENTO="PLE",H23&lt;&gt;SUMPRODUCT(($Q$1:$AI$1=1)*ROUND(Q23:AI23,15))),"►S",IF(AND(COUNTIF($P$11:$AI$11,"▼")=0,H23&gt;0,I23=""),"◄M","")))))</f>
        <v/>
      </c>
      <c r="K23" s="641" t="s">
        <v>1386</v>
      </c>
      <c r="L23" s="165" t="s">
        <v>764</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Mobilização e Desmobilização</v>
      </c>
      <c r="O23" s="168"/>
      <c r="Q23" s="168">
        <v>1.41</v>
      </c>
      <c r="R23" s="169"/>
      <c r="S23" s="169"/>
      <c r="T23" s="169"/>
      <c r="U23" s="169"/>
      <c r="V23" s="169"/>
      <c r="W23" s="169"/>
      <c r="X23" s="169"/>
      <c r="Y23" s="169"/>
      <c r="Z23" s="170">
        <v>1.41</v>
      </c>
      <c r="AA23" s="169"/>
      <c r="AB23" s="169"/>
      <c r="AC23" s="169"/>
      <c r="AD23" s="169"/>
      <c r="AE23" s="169"/>
      <c r="AF23" s="169"/>
      <c r="AG23" s="169"/>
      <c r="AH23" s="170"/>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L23" s="453">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53">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53">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53">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53">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0</v>
      </c>
      <c r="AQ23" s="453">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53">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3">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3">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3">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3">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3">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3">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3">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3">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3">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1">
        <f ca="1">IF(OR($D23&lt;&gt;"Serviço",AND(AUTOEVENTO="Manual",$M23=$A$15)),0,
         IF(OFFSET(CRONOPLE!$F$15,$M23-$A$15,BC$13)=0,10^12,OFFSET(CRONOPLE!$F$15,$M23-$A$15,BC$13)))</f>
        <v>1</v>
      </c>
      <c r="BD23" s="171">
        <f ca="1">IF(OR($D23&lt;&gt;"Serviço",AND(AUTOEVENTO="Manual",$M23=$A$15)),0,
         IF(OFFSET(CRONOPLE!$F$15,$M23-$A$15,BD$13)=0,10^12,OFFSET(CRONOPLE!$F$15,$M23-$A$15,BD$13)))</f>
        <v>2</v>
      </c>
      <c r="BE23" s="171">
        <f ca="1">IF(OR($D23&lt;&gt;"Serviço",AND(AUTOEVENTO="Manual",$M23=$A$15)),0,
         IF(OFFSET(CRONOPLE!$F$15,$M23-$A$15,BE$13)=0,10^12,OFFSET(CRONOPLE!$F$15,$M23-$A$15,BE$13)))</f>
        <v>3</v>
      </c>
      <c r="BF23" s="171">
        <f ca="1">IF(OR($D23&lt;&gt;"Serviço",AND(AUTOEVENTO="Manual",$M23=$A$15)),0,
         IF(OFFSET(CRONOPLE!$F$15,$M23-$A$15,BF$13)=0,10^12,OFFSET(CRONOPLE!$F$15,$M23-$A$15,BF$13)))</f>
        <v>4</v>
      </c>
      <c r="BG23" s="171">
        <f ca="1">IF(OR($D23&lt;&gt;"Serviço",AND(AUTOEVENTO="Manual",$M23=$A$15)),0,
         IF(OFFSET(CRONOPLE!$F$15,$M23-$A$15,BG$13)=0,10^12,OFFSET(CRONOPLE!$F$15,$M23-$A$15,BG$13)))</f>
        <v>5</v>
      </c>
      <c r="BH23" s="171">
        <f ca="1">IF(OR($D23&lt;&gt;"Serviço",AND(AUTOEVENTO="Manual",$M23=$A$15)),0,
         IF(OFFSET(CRONOPLE!$F$15,$M23-$A$15,BH$13)=0,10^12,OFFSET(CRONOPLE!$F$15,$M23-$A$15,BH$13)))</f>
        <v>6</v>
      </c>
      <c r="BI23" s="171">
        <f ca="1">IF(OR($D23&lt;&gt;"Serviço",AND(AUTOEVENTO="Manual",$M23=$A$15)),0,
         IF(OFFSET(CRONOPLE!$F$15,$M23-$A$15,BI$13)=0,10^12,OFFSET(CRONOPLE!$F$15,$M23-$A$15,BI$13)))</f>
        <v>7</v>
      </c>
      <c r="BJ23" s="171">
        <f ca="1">IF(OR($D23&lt;&gt;"Serviço",AND(AUTOEVENTO="Manual",$M23=$A$15)),0,
         IF(OFFSET(CRONOPLE!$F$15,$M23-$A$15,BJ$13)=0,10^12,OFFSET(CRONOPLE!$F$15,$M23-$A$15,BJ$13)))</f>
        <v>8</v>
      </c>
      <c r="BK23" s="171">
        <f ca="1">IF(OR($D23&lt;&gt;"Serviço",AND(AUTOEVENTO="Manual",$M23=$A$15)),0,
         IF(OFFSET(CRONOPLE!$F$15,$M23-$A$15,BK$13)=0,10^12,OFFSET(CRONOPLE!$F$15,$M23-$A$15,BK$13)))</f>
        <v>9</v>
      </c>
      <c r="BL23" s="171">
        <f ca="1">IF(OR($D23&lt;&gt;"Serviço",AND(AUTOEVENTO="Manual",$M23=$A$15)),0,
         IF(OFFSET(CRONOPLE!$F$15,$M23-$A$15,BL$13)=0,10^12,OFFSET(CRONOPLE!$F$15,$M23-$A$15,BL$13)))</f>
        <v>10</v>
      </c>
      <c r="BM23" s="171">
        <f ca="1">IF(OR($D23&lt;&gt;"Serviço",AND(AUTOEVENTO="Manual",$M23=$A$15)),0,
         IF(OFFSET(CRONOPLE!$F$15,$M23-$A$15,BM$13)=0,10^12,OFFSET(CRONOPLE!$F$15,$M23-$A$15,BM$13)))</f>
        <v>1000000000000</v>
      </c>
      <c r="BN23" s="171">
        <f ca="1">IF(OR($D23&lt;&gt;"Serviço",AND(AUTOEVENTO="Manual",$M23=$A$15)),0,
         IF(OFFSET(CRONOPLE!$F$15,$M23-$A$15,BN$13)=0,10^12,OFFSET(CRONOPLE!$F$15,$M23-$A$15,BN$13)))</f>
        <v>1000000000000</v>
      </c>
      <c r="BO23" s="171">
        <f ca="1">IF(OR($D23&lt;&gt;"Serviço",AND(AUTOEVENTO="Manual",$M23=$A$15)),0,
         IF(OFFSET(CRONOPLE!$F$15,$M23-$A$15,BO$13)=0,10^12,OFFSET(CRONOPLE!$F$15,$M23-$A$15,BO$13)))</f>
        <v>1000000000000</v>
      </c>
      <c r="BP23" s="171">
        <f ca="1">IF(OR($D23&lt;&gt;"Serviço",AND(AUTOEVENTO="Manual",$M23=$A$15)),0,
         IF(OFFSET(CRONOPLE!$F$15,$M23-$A$15,BP$13)=0,10^12,OFFSET(CRONOPLE!$F$15,$M23-$A$15,BP$13)))</f>
        <v>1000000000000</v>
      </c>
      <c r="BQ23" s="171">
        <f ca="1">IF(OR($D23&lt;&gt;"Serviço",AND(AUTOEVENTO="Manual",$M23=$A$15)),0,
         IF(OFFSET(CRONOPLE!$F$15,$M23-$A$15,BQ$13)=0,10^12,OFFSET(CRONOPLE!$F$15,$M23-$A$15,BQ$13)))</f>
        <v>1000000000000</v>
      </c>
      <c r="BR23" s="171">
        <f ca="1">IF(OR($D23&lt;&gt;"Serviço",AND(AUTOEVENTO="Manual",$M23=$A$15)),0,
         IF(OFFSET(CRONOPLE!$F$15,$M23-$A$15,BR$13)=0,10^12,OFFSET(CRONOPLE!$F$15,$M23-$A$15,BR$13)))</f>
        <v>1000000000000</v>
      </c>
      <c r="BS23" s="171">
        <f ca="1">IF(OR($D23&lt;&gt;"Serviço",AND(AUTOEVENTO="Manual",$M23=$A$15)),0,
         IF(OFFSET(CRONOPLE!$F$15,$M23-$A$15,BS$13)=0,10^12,OFFSET(CRONOPLE!$F$15,$M23-$A$15,BS$13)))</f>
        <v>1000000000000</v>
      </c>
      <c r="BT23" s="171">
        <f ca="1">IF(OR($D23&lt;&gt;"Serviço",AND(AUTOEVENTO="Manual",$M23=$A$15)),0,
         IF(OFFSET(CRONOPLE!$F$15,$M23-$A$15,BT$13)=0,10^12,OFFSET(CRONOPLE!$F$15,$M23-$A$15,BT$13)))</f>
        <v>1000000000000</v>
      </c>
      <c r="BV23" s="172">
        <f ca="1">IF(OR($D23&lt;&gt;"Serviço",AND(AUTOEVENTO="Manual",$M23=$A$15),$M23&gt;(ROW(PLE.lastrow)-ROW(PLE.firstrow))),0,
           IF(OFFSET(PLE!$G$15,$M23-$A$15,BV$13)="",10^12,OFFSET(PLE!$G$15,$M23-$A$15,BV$13)))</f>
        <v>1000000000000</v>
      </c>
      <c r="BW23" s="172">
        <f ca="1">IF(OR($D23&lt;&gt;"Serviço",AND(AUTOEVENTO="Manual",$M23=$A$15),$M23&gt;(ROW(PLE.lastrow)-ROW(PLE.firstrow))),0,
           IF(OFFSET(PLE!$G$15,$M23-$A$15,BW$13)="",10^12,OFFSET(PLE!$G$15,$M23-$A$15,BW$13)))</f>
        <v>1000000000000</v>
      </c>
      <c r="BX23" s="172">
        <f ca="1">IF(OR($D23&lt;&gt;"Serviço",AND(AUTOEVENTO="Manual",$M23=$A$15),$M23&gt;(ROW(PLE.lastrow)-ROW(PLE.firstrow))),0,
           IF(OFFSET(PLE!$G$15,$M23-$A$15,BX$13)="",10^12,OFFSET(PLE!$G$15,$M23-$A$15,BX$13)))</f>
        <v>1000000000000</v>
      </c>
      <c r="BY23" s="172">
        <f ca="1">IF(OR($D23&lt;&gt;"Serviço",AND(AUTOEVENTO="Manual",$M23=$A$15),$M23&gt;(ROW(PLE.lastrow)-ROW(PLE.firstrow))),0,
           IF(OFFSET(PLE!$G$15,$M23-$A$15,BY$13)="",10^12,OFFSET(PLE!$G$15,$M23-$A$15,BY$13)))</f>
        <v>1000000000000</v>
      </c>
      <c r="BZ23" s="172">
        <f ca="1">IF(OR($D23&lt;&gt;"Serviço",AND(AUTOEVENTO="Manual",$M23=$A$15),$M23&gt;(ROW(PLE.lastrow)-ROW(PLE.firstrow))),0,
           IF(OFFSET(PLE!$G$15,$M23-$A$15,BZ$13)="",10^12,OFFSET(PLE!$G$15,$M23-$A$15,BZ$13)))</f>
        <v>1000000000000</v>
      </c>
      <c r="CA23" s="172">
        <f ca="1">IF(OR($D23&lt;&gt;"Serviço",AND(AUTOEVENTO="Manual",$M23=$A$15),$M23&gt;(ROW(PLE.lastrow)-ROW(PLE.firstrow))),0,
           IF(OFFSET(PLE!$G$15,$M23-$A$15,CA$13)="",10^12,OFFSET(PLE!$G$15,$M23-$A$15,CA$13)))</f>
        <v>1000000000000</v>
      </c>
      <c r="CB23" s="172">
        <f ca="1">IF(OR($D23&lt;&gt;"Serviço",AND(AUTOEVENTO="Manual",$M23=$A$15),$M23&gt;(ROW(PLE.lastrow)-ROW(PLE.firstrow))),0,
           IF(OFFSET(PLE!$G$15,$M23-$A$15,CB$13)="",10^12,OFFSET(PLE!$G$15,$M23-$A$15,CB$13)))</f>
        <v>1000000000000</v>
      </c>
      <c r="CC23" s="172">
        <f ca="1">IF(OR($D23&lt;&gt;"Serviço",AND(AUTOEVENTO="Manual",$M23=$A$15),$M23&gt;(ROW(PLE.lastrow)-ROW(PLE.firstrow))),0,
           IF(OFFSET(PLE!$G$15,$M23-$A$15,CC$13)="",10^12,OFFSET(PLE!$G$15,$M23-$A$15,CC$13)))</f>
        <v>1000000000000</v>
      </c>
      <c r="CD23" s="172">
        <f ca="1">IF(OR($D23&lt;&gt;"Serviço",AND(AUTOEVENTO="Manual",$M23=$A$15),$M23&gt;(ROW(PLE.lastrow)-ROW(PLE.firstrow))),0,
           IF(OFFSET(PLE!$G$15,$M23-$A$15,CD$13)="",10^12,OFFSET(PLE!$G$15,$M23-$A$15,CD$13)))</f>
        <v>1000000000000</v>
      </c>
      <c r="CE23" s="172">
        <f ca="1">IF(OR($D23&lt;&gt;"Serviço",AND(AUTOEVENTO="Manual",$M23=$A$15),$M23&gt;(ROW(PLE.lastrow)-ROW(PLE.firstrow))),0,
           IF(OFFSET(PLE!$G$15,$M23-$A$15,CE$13)="",10^12,OFFSET(PLE!$G$15,$M23-$A$15,CE$13)))</f>
        <v>1000000000000</v>
      </c>
      <c r="CF23" s="172">
        <f ca="1">IF(OR($D23&lt;&gt;"Serviço",AND(AUTOEVENTO="Manual",$M23=$A$15),$M23&gt;(ROW(PLE.lastrow)-ROW(PLE.firstrow))),0,
           IF(OFFSET(PLE!$G$15,$M23-$A$15,CF$13)="",10^12,OFFSET(PLE!$G$15,$M23-$A$15,CF$13)))</f>
        <v>1000000000000</v>
      </c>
      <c r="CG23" s="172">
        <f ca="1">IF(OR($D23&lt;&gt;"Serviço",AND(AUTOEVENTO="Manual",$M23=$A$15),$M23&gt;(ROW(PLE.lastrow)-ROW(PLE.firstrow))),0,
           IF(OFFSET(PLE!$G$15,$M23-$A$15,CG$13)="",10^12,OFFSET(PLE!$G$15,$M23-$A$15,CG$13)))</f>
        <v>1000000000000</v>
      </c>
      <c r="CH23" s="172">
        <f ca="1">IF(OR($D23&lt;&gt;"Serviço",AND(AUTOEVENTO="Manual",$M23=$A$15),$M23&gt;(ROW(PLE.lastrow)-ROW(PLE.firstrow))),0,
           IF(OFFSET(PLE!$G$15,$M23-$A$15,CH$13)="",10^12,OFFSET(PLE!$G$15,$M23-$A$15,CH$13)))</f>
        <v>1000000000000</v>
      </c>
      <c r="CI23" s="172">
        <f ca="1">IF(OR($D23&lt;&gt;"Serviço",AND(AUTOEVENTO="Manual",$M23=$A$15),$M23&gt;(ROW(PLE.lastrow)-ROW(PLE.firstrow))),0,
           IF(OFFSET(PLE!$G$15,$M23-$A$15,CI$13)="",10^12,OFFSET(PLE!$G$15,$M23-$A$15,CI$13)))</f>
        <v>1000000000000</v>
      </c>
      <c r="CJ23" s="172">
        <f ca="1">IF(OR($D23&lt;&gt;"Serviço",AND(AUTOEVENTO="Manual",$M23=$A$15),$M23&gt;(ROW(PLE.lastrow)-ROW(PLE.firstrow))),0,
           IF(OFFSET(PLE!$G$15,$M23-$A$15,CJ$13)="",10^12,OFFSET(PLE!$G$15,$M23-$A$15,CJ$13)))</f>
        <v>1000000000000</v>
      </c>
      <c r="CK23" s="172">
        <f ca="1">IF(OR($D23&lt;&gt;"Serviço",AND(AUTOEVENTO="Manual",$M23=$A$15),$M23&gt;(ROW(PLE.lastrow)-ROW(PLE.firstrow))),0,
           IF(OFFSET(PLE!$G$15,$M23-$A$15,CK$13)="",10^12,OFFSET(PLE!$G$15,$M23-$A$15,CK$13)))</f>
        <v>1000000000000</v>
      </c>
      <c r="CL23" s="172">
        <f ca="1">IF(OR($D23&lt;&gt;"Serviço",AND(AUTOEVENTO="Manual",$M23=$A$15),$M23&gt;(ROW(PLE.lastrow)-ROW(PLE.firstrow))),0,
           IF(OFFSET(PLE!$G$15,$M23-$A$15,CL$13)="",10^12,OFFSET(PLE!$G$15,$M23-$A$15,CL$13)))</f>
        <v>1000000000000</v>
      </c>
      <c r="CM23" s="172">
        <f ca="1">IF(OR($D23&lt;&gt;"Serviço",AND(AUTOEVENTO="Manual",$M23=$A$15),$M23&gt;(ROW(PLE.lastrow)-ROW(PLE.firstrow))),0,
           IF(OFFSET(PLE!$G$15,$M23-$A$15,CM$13)="",10^12,OFFSET(PLE!$G$15,$M23-$A$15,CM$13)))</f>
        <v>1000000000000</v>
      </c>
    </row>
    <row r="24" spans="1:91" ht="12.75" x14ac:dyDescent="0.2">
      <c r="A24" s="7">
        <f t="shared" ca="1" si="10"/>
        <v>0</v>
      </c>
      <c r="B24" s="7">
        <f ca="1">OFFSET(ORÇAMENTO!C$15,ROW(B24)-ROW(B$15),0)</f>
        <v>2</v>
      </c>
      <c r="C24" s="7" t="str">
        <f ca="1">OFFSET(ORÇAMENTO!L$15,ROW(C24)-ROW(C$15),0)</f>
        <v>F</v>
      </c>
      <c r="D24" s="116" t="str">
        <f ca="1">OFFSET(ORÇAMENTO!N$15,ROW(D24)-ROW(D$15),0)</f>
        <v>Nível 2</v>
      </c>
      <c r="E24" s="117" t="str">
        <f ca="1">OFFSET(ORÇAMENTO!O$15,ROW(E24)-ROW(E$15),0)</f>
        <v>1.2.</v>
      </c>
      <c r="F24" s="163" t="str">
        <f ca="1">OFFSET(ORÇAMENTO!R$15,ROW(F24)-ROW(F$15),0)</f>
        <v>ADMINISTRAÇÃO LOCAL</v>
      </c>
      <c r="G24" s="164" t="str">
        <f ca="1">IF($D24&lt;&gt;"Serviço","",OFFSET(ORÇAMENTO!S$15,ROW(G24)-ROW(G$15),0))</f>
        <v/>
      </c>
      <c r="H24" s="122" cm="1">
        <f t="array" aca="1" ref="H24" ca="1">IF($D24&lt;&gt;"Serviço",0,IF(ACOMPANHAMENTO="BM",ROUND(OFFSET(ORÇAMENTO!AJ$15,ROW(H24)-ROW(H$15),0),15-13*ORÇAMENTO!$AF$7),SUMPRODUCT(($Q$1:$AI$1=1)*ROUND($Q24:$AI24,15-13*ORÇAMENTO!$AF$7))))</f>
        <v>0</v>
      </c>
      <c r="I24" s="468"/>
      <c r="J24" s="640" t="str" cm="1">
        <f t="array" aca="1" ref="J24" ca="1">IF(OR(B24&lt;&gt;"S",CÁLCULO.FrentesPreenchidas=0),"",IF(AND(ACOMPANHAMENTO="PLE",AUTOEVENTO="Manual",OR(H24&gt;0,ORÇAMENTO!AC24="QUANT."),OR(K24="",M24=0,N24="")),"►E",IF(AND(ACOMPANHAMENTO="PLE",ORÇAMENTO!AC24="QUANT."),"►Q",IF(AND(ACOMPANHAMENTO="PLE",H24&lt;&gt;SUMPRODUCT(($Q$1:$AI$1=1)*ROUND(Q24:AI24,15))),"►S",IF(AND(COUNTIF($P$11:$AI$11,"▼")=0,H24&gt;0,I24=""),"◄M","")))))</f>
        <v/>
      </c>
      <c r="K24" s="641"/>
      <c r="L24" s="165" t="s">
        <v>764</v>
      </c>
      <c r="M24" s="166" t="str">
        <f ca="1">IF($D24&lt;&gt;"Serviço","",
          IF(AUTOEVENTO="manual",$A24,
                IF(ISERROR(MATCH($A24,$A$15:OFFSET($A24,-1,0),0)),MAX($M$15:OFFSET(M24,-1,0))+1,
                      INDEX($M$15:OFFSET(M24,-1,0),MATCH($A24,$A$15:OFFSET($A24,-1,0),0)))))</f>
        <v/>
      </c>
      <c r="N24" s="167" t="str">
        <f ca="1">IF($D24&lt;&gt;"Serviço","",
         IF(AUTOEVENTO="Manual",
                IF($A24=0,"&lt;-- defina o número do agrupador",
                       OFFSET(EVENTOS!$D$15,$A24-$A$15,0)),
                OFFSET($F$15,$A24,0)))</f>
        <v/>
      </c>
      <c r="O24" s="168"/>
      <c r="Q24" s="168"/>
      <c r="R24" s="169"/>
      <c r="S24" s="169"/>
      <c r="T24" s="169"/>
      <c r="U24" s="169"/>
      <c r="V24" s="169"/>
      <c r="W24" s="169"/>
      <c r="X24" s="169"/>
      <c r="Y24" s="169"/>
      <c r="Z24" s="170"/>
      <c r="AA24" s="169"/>
      <c r="AB24" s="169"/>
      <c r="AC24" s="169"/>
      <c r="AD24" s="169"/>
      <c r="AE24" s="169"/>
      <c r="AF24" s="169"/>
      <c r="AG24" s="169"/>
      <c r="AH24" s="170"/>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L24" s="453">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0</v>
      </c>
      <c r="AM24" s="453">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53">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53">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0</v>
      </c>
      <c r="AP24" s="453">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0</v>
      </c>
      <c r="AQ24" s="453">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53">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3">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3">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3">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3">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3">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3">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3">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3">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3">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1">
        <f ca="1">IF(OR($D24&lt;&gt;"Serviço",AND(AUTOEVENTO="Manual",$M24=$A$15)),0,
         IF(OFFSET(CRONOPLE!$F$15,$M24-$A$15,BC$13)=0,10^12,OFFSET(CRONOPLE!$F$15,$M24-$A$15,BC$13)))</f>
        <v>0</v>
      </c>
      <c r="BD24" s="171">
        <f ca="1">IF(OR($D24&lt;&gt;"Serviço",AND(AUTOEVENTO="Manual",$M24=$A$15)),0,
         IF(OFFSET(CRONOPLE!$F$15,$M24-$A$15,BD$13)=0,10^12,OFFSET(CRONOPLE!$F$15,$M24-$A$15,BD$13)))</f>
        <v>0</v>
      </c>
      <c r="BE24" s="171">
        <f ca="1">IF(OR($D24&lt;&gt;"Serviço",AND(AUTOEVENTO="Manual",$M24=$A$15)),0,
         IF(OFFSET(CRONOPLE!$F$15,$M24-$A$15,BE$13)=0,10^12,OFFSET(CRONOPLE!$F$15,$M24-$A$15,BE$13)))</f>
        <v>0</v>
      </c>
      <c r="BF24" s="171">
        <f ca="1">IF(OR($D24&lt;&gt;"Serviço",AND(AUTOEVENTO="Manual",$M24=$A$15)),0,
         IF(OFFSET(CRONOPLE!$F$15,$M24-$A$15,BF$13)=0,10^12,OFFSET(CRONOPLE!$F$15,$M24-$A$15,BF$13)))</f>
        <v>0</v>
      </c>
      <c r="BG24" s="171">
        <f ca="1">IF(OR($D24&lt;&gt;"Serviço",AND(AUTOEVENTO="Manual",$M24=$A$15)),0,
         IF(OFFSET(CRONOPLE!$F$15,$M24-$A$15,BG$13)=0,10^12,OFFSET(CRONOPLE!$F$15,$M24-$A$15,BG$13)))</f>
        <v>0</v>
      </c>
      <c r="BH24" s="171">
        <f ca="1">IF(OR($D24&lt;&gt;"Serviço",AND(AUTOEVENTO="Manual",$M24=$A$15)),0,
         IF(OFFSET(CRONOPLE!$F$15,$M24-$A$15,BH$13)=0,10^12,OFFSET(CRONOPLE!$F$15,$M24-$A$15,BH$13)))</f>
        <v>0</v>
      </c>
      <c r="BI24" s="171">
        <f ca="1">IF(OR($D24&lt;&gt;"Serviço",AND(AUTOEVENTO="Manual",$M24=$A$15)),0,
         IF(OFFSET(CRONOPLE!$F$15,$M24-$A$15,BI$13)=0,10^12,OFFSET(CRONOPLE!$F$15,$M24-$A$15,BI$13)))</f>
        <v>0</v>
      </c>
      <c r="BJ24" s="171">
        <f ca="1">IF(OR($D24&lt;&gt;"Serviço",AND(AUTOEVENTO="Manual",$M24=$A$15)),0,
         IF(OFFSET(CRONOPLE!$F$15,$M24-$A$15,BJ$13)=0,10^12,OFFSET(CRONOPLE!$F$15,$M24-$A$15,BJ$13)))</f>
        <v>0</v>
      </c>
      <c r="BK24" s="171">
        <f ca="1">IF(OR($D24&lt;&gt;"Serviço",AND(AUTOEVENTO="Manual",$M24=$A$15)),0,
         IF(OFFSET(CRONOPLE!$F$15,$M24-$A$15,BK$13)=0,10^12,OFFSET(CRONOPLE!$F$15,$M24-$A$15,BK$13)))</f>
        <v>0</v>
      </c>
      <c r="BL24" s="171">
        <f ca="1">IF(OR($D24&lt;&gt;"Serviço",AND(AUTOEVENTO="Manual",$M24=$A$15)),0,
         IF(OFFSET(CRONOPLE!$F$15,$M24-$A$15,BL$13)=0,10^12,OFFSET(CRONOPLE!$F$15,$M24-$A$15,BL$13)))</f>
        <v>0</v>
      </c>
      <c r="BM24" s="171">
        <f ca="1">IF(OR($D24&lt;&gt;"Serviço",AND(AUTOEVENTO="Manual",$M24=$A$15)),0,
         IF(OFFSET(CRONOPLE!$F$15,$M24-$A$15,BM$13)=0,10^12,OFFSET(CRONOPLE!$F$15,$M24-$A$15,BM$13)))</f>
        <v>0</v>
      </c>
      <c r="BN24" s="171">
        <f ca="1">IF(OR($D24&lt;&gt;"Serviço",AND(AUTOEVENTO="Manual",$M24=$A$15)),0,
         IF(OFFSET(CRONOPLE!$F$15,$M24-$A$15,BN$13)=0,10^12,OFFSET(CRONOPLE!$F$15,$M24-$A$15,BN$13)))</f>
        <v>0</v>
      </c>
      <c r="BO24" s="171">
        <f ca="1">IF(OR($D24&lt;&gt;"Serviço",AND(AUTOEVENTO="Manual",$M24=$A$15)),0,
         IF(OFFSET(CRONOPLE!$F$15,$M24-$A$15,BO$13)=0,10^12,OFFSET(CRONOPLE!$F$15,$M24-$A$15,BO$13)))</f>
        <v>0</v>
      </c>
      <c r="BP24" s="171">
        <f ca="1">IF(OR($D24&lt;&gt;"Serviço",AND(AUTOEVENTO="Manual",$M24=$A$15)),0,
         IF(OFFSET(CRONOPLE!$F$15,$M24-$A$15,BP$13)=0,10^12,OFFSET(CRONOPLE!$F$15,$M24-$A$15,BP$13)))</f>
        <v>0</v>
      </c>
      <c r="BQ24" s="171">
        <f ca="1">IF(OR($D24&lt;&gt;"Serviço",AND(AUTOEVENTO="Manual",$M24=$A$15)),0,
         IF(OFFSET(CRONOPLE!$F$15,$M24-$A$15,BQ$13)=0,10^12,OFFSET(CRONOPLE!$F$15,$M24-$A$15,BQ$13)))</f>
        <v>0</v>
      </c>
      <c r="BR24" s="171">
        <f ca="1">IF(OR($D24&lt;&gt;"Serviço",AND(AUTOEVENTO="Manual",$M24=$A$15)),0,
         IF(OFFSET(CRONOPLE!$F$15,$M24-$A$15,BR$13)=0,10^12,OFFSET(CRONOPLE!$F$15,$M24-$A$15,BR$13)))</f>
        <v>0</v>
      </c>
      <c r="BS24" s="171">
        <f ca="1">IF(OR($D24&lt;&gt;"Serviço",AND(AUTOEVENTO="Manual",$M24=$A$15)),0,
         IF(OFFSET(CRONOPLE!$F$15,$M24-$A$15,BS$13)=0,10^12,OFFSET(CRONOPLE!$F$15,$M24-$A$15,BS$13)))</f>
        <v>0</v>
      </c>
      <c r="BT24" s="171">
        <f ca="1">IF(OR($D24&lt;&gt;"Serviço",AND(AUTOEVENTO="Manual",$M24=$A$15)),0,
         IF(OFFSET(CRONOPLE!$F$15,$M24-$A$15,BT$13)=0,10^12,OFFSET(CRONOPLE!$F$15,$M24-$A$15,BT$13)))</f>
        <v>0</v>
      </c>
      <c r="BV24" s="172">
        <f ca="1">IF(OR($D24&lt;&gt;"Serviço",AND(AUTOEVENTO="Manual",$M24=$A$15),$M24&gt;(ROW(PLE.lastrow)-ROW(PLE.firstrow))),0,
           IF(OFFSET(PLE!$G$15,$M24-$A$15,BV$13)="",10^12,OFFSET(PLE!$G$15,$M24-$A$15,BV$13)))</f>
        <v>0</v>
      </c>
      <c r="BW24" s="172">
        <f ca="1">IF(OR($D24&lt;&gt;"Serviço",AND(AUTOEVENTO="Manual",$M24=$A$15),$M24&gt;(ROW(PLE.lastrow)-ROW(PLE.firstrow))),0,
           IF(OFFSET(PLE!$G$15,$M24-$A$15,BW$13)="",10^12,OFFSET(PLE!$G$15,$M24-$A$15,BW$13)))</f>
        <v>0</v>
      </c>
      <c r="BX24" s="172">
        <f ca="1">IF(OR($D24&lt;&gt;"Serviço",AND(AUTOEVENTO="Manual",$M24=$A$15),$M24&gt;(ROW(PLE.lastrow)-ROW(PLE.firstrow))),0,
           IF(OFFSET(PLE!$G$15,$M24-$A$15,BX$13)="",10^12,OFFSET(PLE!$G$15,$M24-$A$15,BX$13)))</f>
        <v>0</v>
      </c>
      <c r="BY24" s="172">
        <f ca="1">IF(OR($D24&lt;&gt;"Serviço",AND(AUTOEVENTO="Manual",$M24=$A$15),$M24&gt;(ROW(PLE.lastrow)-ROW(PLE.firstrow))),0,
           IF(OFFSET(PLE!$G$15,$M24-$A$15,BY$13)="",10^12,OFFSET(PLE!$G$15,$M24-$A$15,BY$13)))</f>
        <v>0</v>
      </c>
      <c r="BZ24" s="172">
        <f ca="1">IF(OR($D24&lt;&gt;"Serviço",AND(AUTOEVENTO="Manual",$M24=$A$15),$M24&gt;(ROW(PLE.lastrow)-ROW(PLE.firstrow))),0,
           IF(OFFSET(PLE!$G$15,$M24-$A$15,BZ$13)="",10^12,OFFSET(PLE!$G$15,$M24-$A$15,BZ$13)))</f>
        <v>0</v>
      </c>
      <c r="CA24" s="172">
        <f ca="1">IF(OR($D24&lt;&gt;"Serviço",AND(AUTOEVENTO="Manual",$M24=$A$15),$M24&gt;(ROW(PLE.lastrow)-ROW(PLE.firstrow))),0,
           IF(OFFSET(PLE!$G$15,$M24-$A$15,CA$13)="",10^12,OFFSET(PLE!$G$15,$M24-$A$15,CA$13)))</f>
        <v>0</v>
      </c>
      <c r="CB24" s="172">
        <f ca="1">IF(OR($D24&lt;&gt;"Serviço",AND(AUTOEVENTO="Manual",$M24=$A$15),$M24&gt;(ROW(PLE.lastrow)-ROW(PLE.firstrow))),0,
           IF(OFFSET(PLE!$G$15,$M24-$A$15,CB$13)="",10^12,OFFSET(PLE!$G$15,$M24-$A$15,CB$13)))</f>
        <v>0</v>
      </c>
      <c r="CC24" s="172">
        <f ca="1">IF(OR($D24&lt;&gt;"Serviço",AND(AUTOEVENTO="Manual",$M24=$A$15),$M24&gt;(ROW(PLE.lastrow)-ROW(PLE.firstrow))),0,
           IF(OFFSET(PLE!$G$15,$M24-$A$15,CC$13)="",10^12,OFFSET(PLE!$G$15,$M24-$A$15,CC$13)))</f>
        <v>0</v>
      </c>
      <c r="CD24" s="172">
        <f ca="1">IF(OR($D24&lt;&gt;"Serviço",AND(AUTOEVENTO="Manual",$M24=$A$15),$M24&gt;(ROW(PLE.lastrow)-ROW(PLE.firstrow))),0,
           IF(OFFSET(PLE!$G$15,$M24-$A$15,CD$13)="",10^12,OFFSET(PLE!$G$15,$M24-$A$15,CD$13)))</f>
        <v>0</v>
      </c>
      <c r="CE24" s="172">
        <f ca="1">IF(OR($D24&lt;&gt;"Serviço",AND(AUTOEVENTO="Manual",$M24=$A$15),$M24&gt;(ROW(PLE.lastrow)-ROW(PLE.firstrow))),0,
           IF(OFFSET(PLE!$G$15,$M24-$A$15,CE$13)="",10^12,OFFSET(PLE!$G$15,$M24-$A$15,CE$13)))</f>
        <v>0</v>
      </c>
      <c r="CF24" s="172">
        <f ca="1">IF(OR($D24&lt;&gt;"Serviço",AND(AUTOEVENTO="Manual",$M24=$A$15),$M24&gt;(ROW(PLE.lastrow)-ROW(PLE.firstrow))),0,
           IF(OFFSET(PLE!$G$15,$M24-$A$15,CF$13)="",10^12,OFFSET(PLE!$G$15,$M24-$A$15,CF$13)))</f>
        <v>0</v>
      </c>
      <c r="CG24" s="172">
        <f ca="1">IF(OR($D24&lt;&gt;"Serviço",AND(AUTOEVENTO="Manual",$M24=$A$15),$M24&gt;(ROW(PLE.lastrow)-ROW(PLE.firstrow))),0,
           IF(OFFSET(PLE!$G$15,$M24-$A$15,CG$13)="",10^12,OFFSET(PLE!$G$15,$M24-$A$15,CG$13)))</f>
        <v>0</v>
      </c>
      <c r="CH24" s="172">
        <f ca="1">IF(OR($D24&lt;&gt;"Serviço",AND(AUTOEVENTO="Manual",$M24=$A$15),$M24&gt;(ROW(PLE.lastrow)-ROW(PLE.firstrow))),0,
           IF(OFFSET(PLE!$G$15,$M24-$A$15,CH$13)="",10^12,OFFSET(PLE!$G$15,$M24-$A$15,CH$13)))</f>
        <v>0</v>
      </c>
      <c r="CI24" s="172">
        <f ca="1">IF(OR($D24&lt;&gt;"Serviço",AND(AUTOEVENTO="Manual",$M24=$A$15),$M24&gt;(ROW(PLE.lastrow)-ROW(PLE.firstrow))),0,
           IF(OFFSET(PLE!$G$15,$M24-$A$15,CI$13)="",10^12,OFFSET(PLE!$G$15,$M24-$A$15,CI$13)))</f>
        <v>0</v>
      </c>
      <c r="CJ24" s="172">
        <f ca="1">IF(OR($D24&lt;&gt;"Serviço",AND(AUTOEVENTO="Manual",$M24=$A$15),$M24&gt;(ROW(PLE.lastrow)-ROW(PLE.firstrow))),0,
           IF(OFFSET(PLE!$G$15,$M24-$A$15,CJ$13)="",10^12,OFFSET(PLE!$G$15,$M24-$A$15,CJ$13)))</f>
        <v>0</v>
      </c>
      <c r="CK24" s="172">
        <f ca="1">IF(OR($D24&lt;&gt;"Serviço",AND(AUTOEVENTO="Manual",$M24=$A$15),$M24&gt;(ROW(PLE.lastrow)-ROW(PLE.firstrow))),0,
           IF(OFFSET(PLE!$G$15,$M24-$A$15,CK$13)="",10^12,OFFSET(PLE!$G$15,$M24-$A$15,CK$13)))</f>
        <v>0</v>
      </c>
      <c r="CL24" s="172">
        <f ca="1">IF(OR($D24&lt;&gt;"Serviço",AND(AUTOEVENTO="Manual",$M24=$A$15),$M24&gt;(ROW(PLE.lastrow)-ROW(PLE.firstrow))),0,
           IF(OFFSET(PLE!$G$15,$M24-$A$15,CL$13)="",10^12,OFFSET(PLE!$G$15,$M24-$A$15,CL$13)))</f>
        <v>0</v>
      </c>
      <c r="CM24" s="172">
        <f ca="1">IF(OR($D24&lt;&gt;"Serviço",AND(AUTOEVENTO="Manual",$M24=$A$15),$M24&gt;(ROW(PLE.lastrow)-ROW(PLE.firstrow))),0,
           IF(OFFSET(PLE!$G$15,$M24-$A$15,CM$13)="",10^12,OFFSET(PLE!$G$15,$M24-$A$15,CM$13)))</f>
        <v>0</v>
      </c>
    </row>
    <row r="25" spans="1:91" ht="12.75" x14ac:dyDescent="0.2">
      <c r="A25" s="7">
        <f t="shared" ca="1" si="10"/>
        <v>0</v>
      </c>
      <c r="B25" s="7">
        <f ca="1">OFFSET(ORÇAMENTO!C$15,ROW(B25)-ROW(B$15),0)</f>
        <v>3</v>
      </c>
      <c r="C25" s="7" t="str">
        <f ca="1">OFFSET(ORÇAMENTO!L$15,ROW(C25)-ROW(C$15),0)</f>
        <v>F</v>
      </c>
      <c r="D25" s="116" t="str">
        <f ca="1">OFFSET(ORÇAMENTO!N$15,ROW(D25)-ROW(D$15),0)</f>
        <v>Nível 3</v>
      </c>
      <c r="E25" s="117" t="str">
        <f ca="1">OFFSET(ORÇAMENTO!O$15,ROW(E25)-ROW(E$15),0)</f>
        <v>1.2.1.</v>
      </c>
      <c r="F25" s="163" t="str">
        <f ca="1">OFFSET(ORÇAMENTO!R$15,ROW(F25)-ROW(F$15),0)</f>
        <v>ADMINISTRAÇÃO LOCAL DE OBRA</v>
      </c>
      <c r="G25" s="164" t="str">
        <f ca="1">IF($D25&lt;&gt;"Serviço","",OFFSET(ORÇAMENTO!S$15,ROW(G25)-ROW(G$15),0))</f>
        <v/>
      </c>
      <c r="H25" s="122" cm="1">
        <f t="array" aca="1" ref="H25" ca="1">IF($D25&lt;&gt;"Serviço",0,IF(ACOMPANHAMENTO="BM",ROUND(OFFSET(ORÇAMENTO!AJ$15,ROW(H25)-ROW(H$15),0),15-13*ORÇAMENTO!$AF$7),SUMPRODUCT(($Q$1:$AI$1=1)*ROUND($Q25:$AI25,15-13*ORÇAMENTO!$AF$7))))</f>
        <v>0</v>
      </c>
      <c r="I25" s="468"/>
      <c r="J25" s="640" t="str" cm="1">
        <f t="array" aca="1" ref="J25" ca="1">IF(OR(B25&lt;&gt;"S",CÁLCULO.FrentesPreenchidas=0),"",IF(AND(ACOMPANHAMENTO="PLE",AUTOEVENTO="Manual",OR(H25&gt;0,ORÇAMENTO!AC25="QUANT."),OR(K25="",M25=0,N25="")),"►E",IF(AND(ACOMPANHAMENTO="PLE",ORÇAMENTO!AC25="QUANT."),"►Q",IF(AND(ACOMPANHAMENTO="PLE",H25&lt;&gt;SUMPRODUCT(($Q$1:$AI$1=1)*ROUND(Q25:AI25,15))),"►S",IF(AND(COUNTIF($P$11:$AI$11,"▼")=0,H25&gt;0,I25=""),"◄M","")))))</f>
        <v/>
      </c>
      <c r="K25" s="641"/>
      <c r="L25" s="165" t="s">
        <v>764</v>
      </c>
      <c r="M25" s="166" t="str">
        <f ca="1">IF($D25&lt;&gt;"Serviço","",
          IF(AUTOEVENTO="manual",$A25,
                IF(ISERROR(MATCH($A25,$A$15:OFFSET($A25,-1,0),0)),MAX($M$15:OFFSET(M25,-1,0))+1,
                      INDEX($M$15:OFFSET(M25,-1,0),MATCH($A25,$A$15:OFFSET($A25,-1,0),0)))))</f>
        <v/>
      </c>
      <c r="N25" s="167" t="str">
        <f ca="1">IF($D25&lt;&gt;"Serviço","",
         IF(AUTOEVENTO="Manual",
                IF($A25=0,"&lt;-- defina o número do agrupador",
                       OFFSET(EVENTOS!$D$15,$A25-$A$15,0)),
                OFFSET($F$15,$A25,0)))</f>
        <v/>
      </c>
      <c r="O25" s="168"/>
      <c r="Q25" s="168"/>
      <c r="R25" s="169"/>
      <c r="S25" s="169"/>
      <c r="T25" s="169"/>
      <c r="U25" s="169"/>
      <c r="V25" s="169"/>
      <c r="W25" s="169"/>
      <c r="X25" s="169"/>
      <c r="Y25" s="169"/>
      <c r="Z25" s="170"/>
      <c r="AA25" s="169"/>
      <c r="AB25" s="169"/>
      <c r="AC25" s="169"/>
      <c r="AD25" s="169"/>
      <c r="AE25" s="169"/>
      <c r="AF25" s="169"/>
      <c r="AG25" s="169"/>
      <c r="AH25" s="170"/>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L25" s="453">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0</v>
      </c>
      <c r="AM25" s="453">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53">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0</v>
      </c>
      <c r="AO25" s="453">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0</v>
      </c>
      <c r="AP25" s="453">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0</v>
      </c>
      <c r="AQ25" s="453">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53">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3">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3">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3">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3">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3">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3">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3">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3">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3">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1">
        <f ca="1">IF(OR($D25&lt;&gt;"Serviço",AND(AUTOEVENTO="Manual",$M25=$A$15)),0,
         IF(OFFSET(CRONOPLE!$F$15,$M25-$A$15,BC$13)=0,10^12,OFFSET(CRONOPLE!$F$15,$M25-$A$15,BC$13)))</f>
        <v>0</v>
      </c>
      <c r="BD25" s="171">
        <f ca="1">IF(OR($D25&lt;&gt;"Serviço",AND(AUTOEVENTO="Manual",$M25=$A$15)),0,
         IF(OFFSET(CRONOPLE!$F$15,$M25-$A$15,BD$13)=0,10^12,OFFSET(CRONOPLE!$F$15,$M25-$A$15,BD$13)))</f>
        <v>0</v>
      </c>
      <c r="BE25" s="171">
        <f ca="1">IF(OR($D25&lt;&gt;"Serviço",AND(AUTOEVENTO="Manual",$M25=$A$15)),0,
         IF(OFFSET(CRONOPLE!$F$15,$M25-$A$15,BE$13)=0,10^12,OFFSET(CRONOPLE!$F$15,$M25-$A$15,BE$13)))</f>
        <v>0</v>
      </c>
      <c r="BF25" s="171">
        <f ca="1">IF(OR($D25&lt;&gt;"Serviço",AND(AUTOEVENTO="Manual",$M25=$A$15)),0,
         IF(OFFSET(CRONOPLE!$F$15,$M25-$A$15,BF$13)=0,10^12,OFFSET(CRONOPLE!$F$15,$M25-$A$15,BF$13)))</f>
        <v>0</v>
      </c>
      <c r="BG25" s="171">
        <f ca="1">IF(OR($D25&lt;&gt;"Serviço",AND(AUTOEVENTO="Manual",$M25=$A$15)),0,
         IF(OFFSET(CRONOPLE!$F$15,$M25-$A$15,BG$13)=0,10^12,OFFSET(CRONOPLE!$F$15,$M25-$A$15,BG$13)))</f>
        <v>0</v>
      </c>
      <c r="BH25" s="171">
        <f ca="1">IF(OR($D25&lt;&gt;"Serviço",AND(AUTOEVENTO="Manual",$M25=$A$15)),0,
         IF(OFFSET(CRONOPLE!$F$15,$M25-$A$15,BH$13)=0,10^12,OFFSET(CRONOPLE!$F$15,$M25-$A$15,BH$13)))</f>
        <v>0</v>
      </c>
      <c r="BI25" s="171">
        <f ca="1">IF(OR($D25&lt;&gt;"Serviço",AND(AUTOEVENTO="Manual",$M25=$A$15)),0,
         IF(OFFSET(CRONOPLE!$F$15,$M25-$A$15,BI$13)=0,10^12,OFFSET(CRONOPLE!$F$15,$M25-$A$15,BI$13)))</f>
        <v>0</v>
      </c>
      <c r="BJ25" s="171">
        <f ca="1">IF(OR($D25&lt;&gt;"Serviço",AND(AUTOEVENTO="Manual",$M25=$A$15)),0,
         IF(OFFSET(CRONOPLE!$F$15,$M25-$A$15,BJ$13)=0,10^12,OFFSET(CRONOPLE!$F$15,$M25-$A$15,BJ$13)))</f>
        <v>0</v>
      </c>
      <c r="BK25" s="171">
        <f ca="1">IF(OR($D25&lt;&gt;"Serviço",AND(AUTOEVENTO="Manual",$M25=$A$15)),0,
         IF(OFFSET(CRONOPLE!$F$15,$M25-$A$15,BK$13)=0,10^12,OFFSET(CRONOPLE!$F$15,$M25-$A$15,BK$13)))</f>
        <v>0</v>
      </c>
      <c r="BL25" s="171">
        <f ca="1">IF(OR($D25&lt;&gt;"Serviço",AND(AUTOEVENTO="Manual",$M25=$A$15)),0,
         IF(OFFSET(CRONOPLE!$F$15,$M25-$A$15,BL$13)=0,10^12,OFFSET(CRONOPLE!$F$15,$M25-$A$15,BL$13)))</f>
        <v>0</v>
      </c>
      <c r="BM25" s="171">
        <f ca="1">IF(OR($D25&lt;&gt;"Serviço",AND(AUTOEVENTO="Manual",$M25=$A$15)),0,
         IF(OFFSET(CRONOPLE!$F$15,$M25-$A$15,BM$13)=0,10^12,OFFSET(CRONOPLE!$F$15,$M25-$A$15,BM$13)))</f>
        <v>0</v>
      </c>
      <c r="BN25" s="171">
        <f ca="1">IF(OR($D25&lt;&gt;"Serviço",AND(AUTOEVENTO="Manual",$M25=$A$15)),0,
         IF(OFFSET(CRONOPLE!$F$15,$M25-$A$15,BN$13)=0,10^12,OFFSET(CRONOPLE!$F$15,$M25-$A$15,BN$13)))</f>
        <v>0</v>
      </c>
      <c r="BO25" s="171">
        <f ca="1">IF(OR($D25&lt;&gt;"Serviço",AND(AUTOEVENTO="Manual",$M25=$A$15)),0,
         IF(OFFSET(CRONOPLE!$F$15,$M25-$A$15,BO$13)=0,10^12,OFFSET(CRONOPLE!$F$15,$M25-$A$15,BO$13)))</f>
        <v>0</v>
      </c>
      <c r="BP25" s="171">
        <f ca="1">IF(OR($D25&lt;&gt;"Serviço",AND(AUTOEVENTO="Manual",$M25=$A$15)),0,
         IF(OFFSET(CRONOPLE!$F$15,$M25-$A$15,BP$13)=0,10^12,OFFSET(CRONOPLE!$F$15,$M25-$A$15,BP$13)))</f>
        <v>0</v>
      </c>
      <c r="BQ25" s="171">
        <f ca="1">IF(OR($D25&lt;&gt;"Serviço",AND(AUTOEVENTO="Manual",$M25=$A$15)),0,
         IF(OFFSET(CRONOPLE!$F$15,$M25-$A$15,BQ$13)=0,10^12,OFFSET(CRONOPLE!$F$15,$M25-$A$15,BQ$13)))</f>
        <v>0</v>
      </c>
      <c r="BR25" s="171">
        <f ca="1">IF(OR($D25&lt;&gt;"Serviço",AND(AUTOEVENTO="Manual",$M25=$A$15)),0,
         IF(OFFSET(CRONOPLE!$F$15,$M25-$A$15,BR$13)=0,10^12,OFFSET(CRONOPLE!$F$15,$M25-$A$15,BR$13)))</f>
        <v>0</v>
      </c>
      <c r="BS25" s="171">
        <f ca="1">IF(OR($D25&lt;&gt;"Serviço",AND(AUTOEVENTO="Manual",$M25=$A$15)),0,
         IF(OFFSET(CRONOPLE!$F$15,$M25-$A$15,BS$13)=0,10^12,OFFSET(CRONOPLE!$F$15,$M25-$A$15,BS$13)))</f>
        <v>0</v>
      </c>
      <c r="BT25" s="171">
        <f ca="1">IF(OR($D25&lt;&gt;"Serviço",AND(AUTOEVENTO="Manual",$M25=$A$15)),0,
         IF(OFFSET(CRONOPLE!$F$15,$M25-$A$15,BT$13)=0,10^12,OFFSET(CRONOPLE!$F$15,$M25-$A$15,BT$13)))</f>
        <v>0</v>
      </c>
      <c r="BV25" s="172">
        <f ca="1">IF(OR($D25&lt;&gt;"Serviço",AND(AUTOEVENTO="Manual",$M25=$A$15),$M25&gt;(ROW(PLE.lastrow)-ROW(PLE.firstrow))),0,
           IF(OFFSET(PLE!$G$15,$M25-$A$15,BV$13)="",10^12,OFFSET(PLE!$G$15,$M25-$A$15,BV$13)))</f>
        <v>0</v>
      </c>
      <c r="BW25" s="172">
        <f ca="1">IF(OR($D25&lt;&gt;"Serviço",AND(AUTOEVENTO="Manual",$M25=$A$15),$M25&gt;(ROW(PLE.lastrow)-ROW(PLE.firstrow))),0,
           IF(OFFSET(PLE!$G$15,$M25-$A$15,BW$13)="",10^12,OFFSET(PLE!$G$15,$M25-$A$15,BW$13)))</f>
        <v>0</v>
      </c>
      <c r="BX25" s="172">
        <f ca="1">IF(OR($D25&lt;&gt;"Serviço",AND(AUTOEVENTO="Manual",$M25=$A$15),$M25&gt;(ROW(PLE.lastrow)-ROW(PLE.firstrow))),0,
           IF(OFFSET(PLE!$G$15,$M25-$A$15,BX$13)="",10^12,OFFSET(PLE!$G$15,$M25-$A$15,BX$13)))</f>
        <v>0</v>
      </c>
      <c r="BY25" s="172">
        <f ca="1">IF(OR($D25&lt;&gt;"Serviço",AND(AUTOEVENTO="Manual",$M25=$A$15),$M25&gt;(ROW(PLE.lastrow)-ROW(PLE.firstrow))),0,
           IF(OFFSET(PLE!$G$15,$M25-$A$15,BY$13)="",10^12,OFFSET(PLE!$G$15,$M25-$A$15,BY$13)))</f>
        <v>0</v>
      </c>
      <c r="BZ25" s="172">
        <f ca="1">IF(OR($D25&lt;&gt;"Serviço",AND(AUTOEVENTO="Manual",$M25=$A$15),$M25&gt;(ROW(PLE.lastrow)-ROW(PLE.firstrow))),0,
           IF(OFFSET(PLE!$G$15,$M25-$A$15,BZ$13)="",10^12,OFFSET(PLE!$G$15,$M25-$A$15,BZ$13)))</f>
        <v>0</v>
      </c>
      <c r="CA25" s="172">
        <f ca="1">IF(OR($D25&lt;&gt;"Serviço",AND(AUTOEVENTO="Manual",$M25=$A$15),$M25&gt;(ROW(PLE.lastrow)-ROW(PLE.firstrow))),0,
           IF(OFFSET(PLE!$G$15,$M25-$A$15,CA$13)="",10^12,OFFSET(PLE!$G$15,$M25-$A$15,CA$13)))</f>
        <v>0</v>
      </c>
      <c r="CB25" s="172">
        <f ca="1">IF(OR($D25&lt;&gt;"Serviço",AND(AUTOEVENTO="Manual",$M25=$A$15),$M25&gt;(ROW(PLE.lastrow)-ROW(PLE.firstrow))),0,
           IF(OFFSET(PLE!$G$15,$M25-$A$15,CB$13)="",10^12,OFFSET(PLE!$G$15,$M25-$A$15,CB$13)))</f>
        <v>0</v>
      </c>
      <c r="CC25" s="172">
        <f ca="1">IF(OR($D25&lt;&gt;"Serviço",AND(AUTOEVENTO="Manual",$M25=$A$15),$M25&gt;(ROW(PLE.lastrow)-ROW(PLE.firstrow))),0,
           IF(OFFSET(PLE!$G$15,$M25-$A$15,CC$13)="",10^12,OFFSET(PLE!$G$15,$M25-$A$15,CC$13)))</f>
        <v>0</v>
      </c>
      <c r="CD25" s="172">
        <f ca="1">IF(OR($D25&lt;&gt;"Serviço",AND(AUTOEVENTO="Manual",$M25=$A$15),$M25&gt;(ROW(PLE.lastrow)-ROW(PLE.firstrow))),0,
           IF(OFFSET(PLE!$G$15,$M25-$A$15,CD$13)="",10^12,OFFSET(PLE!$G$15,$M25-$A$15,CD$13)))</f>
        <v>0</v>
      </c>
      <c r="CE25" s="172">
        <f ca="1">IF(OR($D25&lt;&gt;"Serviço",AND(AUTOEVENTO="Manual",$M25=$A$15),$M25&gt;(ROW(PLE.lastrow)-ROW(PLE.firstrow))),0,
           IF(OFFSET(PLE!$G$15,$M25-$A$15,CE$13)="",10^12,OFFSET(PLE!$G$15,$M25-$A$15,CE$13)))</f>
        <v>0</v>
      </c>
      <c r="CF25" s="172">
        <f ca="1">IF(OR($D25&lt;&gt;"Serviço",AND(AUTOEVENTO="Manual",$M25=$A$15),$M25&gt;(ROW(PLE.lastrow)-ROW(PLE.firstrow))),0,
           IF(OFFSET(PLE!$G$15,$M25-$A$15,CF$13)="",10^12,OFFSET(PLE!$G$15,$M25-$A$15,CF$13)))</f>
        <v>0</v>
      </c>
      <c r="CG25" s="172">
        <f ca="1">IF(OR($D25&lt;&gt;"Serviço",AND(AUTOEVENTO="Manual",$M25=$A$15),$M25&gt;(ROW(PLE.lastrow)-ROW(PLE.firstrow))),0,
           IF(OFFSET(PLE!$G$15,$M25-$A$15,CG$13)="",10^12,OFFSET(PLE!$G$15,$M25-$A$15,CG$13)))</f>
        <v>0</v>
      </c>
      <c r="CH25" s="172">
        <f ca="1">IF(OR($D25&lt;&gt;"Serviço",AND(AUTOEVENTO="Manual",$M25=$A$15),$M25&gt;(ROW(PLE.lastrow)-ROW(PLE.firstrow))),0,
           IF(OFFSET(PLE!$G$15,$M25-$A$15,CH$13)="",10^12,OFFSET(PLE!$G$15,$M25-$A$15,CH$13)))</f>
        <v>0</v>
      </c>
      <c r="CI25" s="172">
        <f ca="1">IF(OR($D25&lt;&gt;"Serviço",AND(AUTOEVENTO="Manual",$M25=$A$15),$M25&gt;(ROW(PLE.lastrow)-ROW(PLE.firstrow))),0,
           IF(OFFSET(PLE!$G$15,$M25-$A$15,CI$13)="",10^12,OFFSET(PLE!$G$15,$M25-$A$15,CI$13)))</f>
        <v>0</v>
      </c>
      <c r="CJ25" s="172">
        <f ca="1">IF(OR($D25&lt;&gt;"Serviço",AND(AUTOEVENTO="Manual",$M25=$A$15),$M25&gt;(ROW(PLE.lastrow)-ROW(PLE.firstrow))),0,
           IF(OFFSET(PLE!$G$15,$M25-$A$15,CJ$13)="",10^12,OFFSET(PLE!$G$15,$M25-$A$15,CJ$13)))</f>
        <v>0</v>
      </c>
      <c r="CK25" s="172">
        <f ca="1">IF(OR($D25&lt;&gt;"Serviço",AND(AUTOEVENTO="Manual",$M25=$A$15),$M25&gt;(ROW(PLE.lastrow)-ROW(PLE.firstrow))),0,
           IF(OFFSET(PLE!$G$15,$M25-$A$15,CK$13)="",10^12,OFFSET(PLE!$G$15,$M25-$A$15,CK$13)))</f>
        <v>0</v>
      </c>
      <c r="CL25" s="172">
        <f ca="1">IF(OR($D25&lt;&gt;"Serviço",AND(AUTOEVENTO="Manual",$M25=$A$15),$M25&gt;(ROW(PLE.lastrow)-ROW(PLE.firstrow))),0,
           IF(OFFSET(PLE!$G$15,$M25-$A$15,CL$13)="",10^12,OFFSET(PLE!$G$15,$M25-$A$15,CL$13)))</f>
        <v>0</v>
      </c>
      <c r="CM25" s="172">
        <f ca="1">IF(OR($D25&lt;&gt;"Serviço",AND(AUTOEVENTO="Manual",$M25=$A$15),$M25&gt;(ROW(PLE.lastrow)-ROW(PLE.firstrow))),0,
           IF(OFFSET(PLE!$G$15,$M25-$A$15,CM$13)="",10^12,OFFSET(PLE!$G$15,$M25-$A$15,CM$13)))</f>
        <v>0</v>
      </c>
    </row>
    <row r="26" spans="1:91" ht="12.75" x14ac:dyDescent="0.2">
      <c r="A26" s="7">
        <f t="shared" ca="1" si="10"/>
        <v>10</v>
      </c>
      <c r="B26" s="7" t="str">
        <f ca="1">OFFSET(ORÇAMENTO!C$15,ROW(B26)-ROW(B$15),0)</f>
        <v>S</v>
      </c>
      <c r="C26" s="7" t="str">
        <f ca="1">OFFSET(ORÇAMENTO!L$15,ROW(C26)-ROW(C$15),0)</f>
        <v>F</v>
      </c>
      <c r="D26" s="116" t="str">
        <f ca="1">OFFSET(ORÇAMENTO!N$15,ROW(D26)-ROW(D$15),0)</f>
        <v>Serviço</v>
      </c>
      <c r="E26" s="117" t="str">
        <f ca="1">OFFSET(ORÇAMENTO!O$15,ROW(E26)-ROW(E$15),0)</f>
        <v>1.2.1.0.1.</v>
      </c>
      <c r="F26" s="163" t="str">
        <f ca="1">OFFSET(ORÇAMENTO!R$15,ROW(F26)-ROW(F$15),0)</f>
        <v>ADMINISTRAÇÃO LOCAL DE OBRA</v>
      </c>
      <c r="G26" s="164" t="str">
        <f ca="1">IF($D26&lt;&gt;"Serviço","",OFFSET(ORÇAMENTO!S$15,ROW(G26)-ROW(G$15),0))</f>
        <v>CJ</v>
      </c>
      <c r="H26" s="122" cm="1">
        <f t="array" aca="1" ref="H26" ca="1">IF($D26&lt;&gt;"Serviço",0,IF(ACOMPANHAMENTO="BM",ROUND(OFFSET(ORÇAMENTO!AJ$15,ROW(H26)-ROW(H$15),0),15-13*ORÇAMENTO!$AF$7),SUMPRODUCT(($Q$1:$AI$1=1)*ROUND($Q26:$AI26,15-13*ORÇAMENTO!$AF$7))))</f>
        <v>1</v>
      </c>
      <c r="I26" s="468" t="s">
        <v>1290</v>
      </c>
      <c r="J26" s="640" t="str" cm="1">
        <f t="array" aca="1" ref="J26" ca="1">IF(OR(B26&lt;&gt;"S",CÁLCULO.FrentesPreenchidas=0),"",IF(AND(ACOMPANHAMENTO="PLE",AUTOEVENTO="Manual",OR(H26&gt;0,ORÇAMENTO!AC26="QUANT."),OR(K26="",M26=0,N26="")),"►E",IF(AND(ACOMPANHAMENTO="PLE",ORÇAMENTO!AC26="QUANT."),"►Q",IF(AND(ACOMPANHAMENTO="PLE",H26&lt;&gt;SUMPRODUCT(($Q$1:$AI$1=1)*ROUND(Q26:AI26,15))),"►S",IF(AND(COUNTIF($P$11:$AI$11,"▼")=0,H26&gt;0,I26=""),"◄M","")))))</f>
        <v/>
      </c>
      <c r="K26" s="641" t="s">
        <v>1394</v>
      </c>
      <c r="L26" s="165" t="s">
        <v>764</v>
      </c>
      <c r="M26" s="166">
        <f ca="1">IF($D26&lt;&gt;"Serviço","",
          IF(AUTOEVENTO="manual",$A26,
                IF(ISERROR(MATCH($A26,$A$15:OFFSET($A26,-1,0),0)),MAX($M$15:OFFSET(M26,-1,0))+1,
                      INDEX($M$15:OFFSET(M26,-1,0),MATCH($A26,$A$15:OFFSET($A26,-1,0),0)))))</f>
        <v>10</v>
      </c>
      <c r="N26" s="167" t="str">
        <f ca="1">IF($D26&lt;&gt;"Serviço","",
         IF(AUTOEVENTO="Manual",
                IF($A26=0,"&lt;-- defina o número do agrupador",
                       OFFSET(EVENTOS!$D$15,$A26-$A$15,0)),
                OFFSET($F$15,$A26,0)))</f>
        <v>Administração Local</v>
      </c>
      <c r="O26" s="168"/>
      <c r="Q26" s="168">
        <v>0.06</v>
      </c>
      <c r="R26" s="169">
        <v>0.03</v>
      </c>
      <c r="S26" s="169">
        <v>0.21</v>
      </c>
      <c r="T26" s="169">
        <v>0.15</v>
      </c>
      <c r="U26" s="169">
        <v>0.09</v>
      </c>
      <c r="V26" s="169">
        <v>0.27</v>
      </c>
      <c r="W26" s="169">
        <v>0.03</v>
      </c>
      <c r="X26" s="169">
        <v>0.1</v>
      </c>
      <c r="Y26" s="169">
        <v>0.03</v>
      </c>
      <c r="Z26" s="170">
        <v>0.03</v>
      </c>
      <c r="AA26" s="169"/>
      <c r="AB26" s="169"/>
      <c r="AC26" s="169"/>
      <c r="AD26" s="169"/>
      <c r="AE26" s="169"/>
      <c r="AF26" s="169"/>
      <c r="AG26" s="169"/>
      <c r="AH26" s="170"/>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L26" s="453">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0</v>
      </c>
      <c r="AM26" s="453">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53">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0</v>
      </c>
      <c r="AO26" s="453">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53">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53">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53">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3">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3">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3">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3">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3">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3">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3">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3">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3">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1">
        <f ca="1">IF(OR($D26&lt;&gt;"Serviço",AND(AUTOEVENTO="Manual",$M26=$A$15)),0,
         IF(OFFSET(CRONOPLE!$F$15,$M26-$A$15,BC$13)=0,10^12,OFFSET(CRONOPLE!$F$15,$M26-$A$15,BC$13)))</f>
        <v>1</v>
      </c>
      <c r="BD26" s="171">
        <f ca="1">IF(OR($D26&lt;&gt;"Serviço",AND(AUTOEVENTO="Manual",$M26=$A$15)),0,
         IF(OFFSET(CRONOPLE!$F$15,$M26-$A$15,BD$13)=0,10^12,OFFSET(CRONOPLE!$F$15,$M26-$A$15,BD$13)))</f>
        <v>2</v>
      </c>
      <c r="BE26" s="171">
        <f ca="1">IF(OR($D26&lt;&gt;"Serviço",AND(AUTOEVENTO="Manual",$M26=$A$15)),0,
         IF(OFFSET(CRONOPLE!$F$15,$M26-$A$15,BE$13)=0,10^12,OFFSET(CRONOPLE!$F$15,$M26-$A$15,BE$13)))</f>
        <v>3</v>
      </c>
      <c r="BF26" s="171">
        <f ca="1">IF(OR($D26&lt;&gt;"Serviço",AND(AUTOEVENTO="Manual",$M26=$A$15)),0,
         IF(OFFSET(CRONOPLE!$F$15,$M26-$A$15,BF$13)=0,10^12,OFFSET(CRONOPLE!$F$15,$M26-$A$15,BF$13)))</f>
        <v>4</v>
      </c>
      <c r="BG26" s="171">
        <f ca="1">IF(OR($D26&lt;&gt;"Serviço",AND(AUTOEVENTO="Manual",$M26=$A$15)),0,
         IF(OFFSET(CRONOPLE!$F$15,$M26-$A$15,BG$13)=0,10^12,OFFSET(CRONOPLE!$F$15,$M26-$A$15,BG$13)))</f>
        <v>5</v>
      </c>
      <c r="BH26" s="171">
        <f ca="1">IF(OR($D26&lt;&gt;"Serviço",AND(AUTOEVENTO="Manual",$M26=$A$15)),0,
         IF(OFFSET(CRONOPLE!$F$15,$M26-$A$15,BH$13)=0,10^12,OFFSET(CRONOPLE!$F$15,$M26-$A$15,BH$13)))</f>
        <v>6</v>
      </c>
      <c r="BI26" s="171">
        <f ca="1">IF(OR($D26&lt;&gt;"Serviço",AND(AUTOEVENTO="Manual",$M26=$A$15)),0,
         IF(OFFSET(CRONOPLE!$F$15,$M26-$A$15,BI$13)=0,10^12,OFFSET(CRONOPLE!$F$15,$M26-$A$15,BI$13)))</f>
        <v>7</v>
      </c>
      <c r="BJ26" s="171">
        <f ca="1">IF(OR($D26&lt;&gt;"Serviço",AND(AUTOEVENTO="Manual",$M26=$A$15)),0,
         IF(OFFSET(CRONOPLE!$F$15,$M26-$A$15,BJ$13)=0,10^12,OFFSET(CRONOPLE!$F$15,$M26-$A$15,BJ$13)))</f>
        <v>8</v>
      </c>
      <c r="BK26" s="171">
        <f ca="1">IF(OR($D26&lt;&gt;"Serviço",AND(AUTOEVENTO="Manual",$M26=$A$15)),0,
         IF(OFFSET(CRONOPLE!$F$15,$M26-$A$15,BK$13)=0,10^12,OFFSET(CRONOPLE!$F$15,$M26-$A$15,BK$13)))</f>
        <v>9</v>
      </c>
      <c r="BL26" s="171">
        <f ca="1">IF(OR($D26&lt;&gt;"Serviço",AND(AUTOEVENTO="Manual",$M26=$A$15)),0,
         IF(OFFSET(CRONOPLE!$F$15,$M26-$A$15,BL$13)=0,10^12,OFFSET(CRONOPLE!$F$15,$M26-$A$15,BL$13)))</f>
        <v>10</v>
      </c>
      <c r="BM26" s="171">
        <f ca="1">IF(OR($D26&lt;&gt;"Serviço",AND(AUTOEVENTO="Manual",$M26=$A$15)),0,
         IF(OFFSET(CRONOPLE!$F$15,$M26-$A$15,BM$13)=0,10^12,OFFSET(CRONOPLE!$F$15,$M26-$A$15,BM$13)))</f>
        <v>1000000000000</v>
      </c>
      <c r="BN26" s="171">
        <f ca="1">IF(OR($D26&lt;&gt;"Serviço",AND(AUTOEVENTO="Manual",$M26=$A$15)),0,
         IF(OFFSET(CRONOPLE!$F$15,$M26-$A$15,BN$13)=0,10^12,OFFSET(CRONOPLE!$F$15,$M26-$A$15,BN$13)))</f>
        <v>1000000000000</v>
      </c>
      <c r="BO26" s="171">
        <f ca="1">IF(OR($D26&lt;&gt;"Serviço",AND(AUTOEVENTO="Manual",$M26=$A$15)),0,
         IF(OFFSET(CRONOPLE!$F$15,$M26-$A$15,BO$13)=0,10^12,OFFSET(CRONOPLE!$F$15,$M26-$A$15,BO$13)))</f>
        <v>1000000000000</v>
      </c>
      <c r="BP26" s="171">
        <f ca="1">IF(OR($D26&lt;&gt;"Serviço",AND(AUTOEVENTO="Manual",$M26=$A$15)),0,
         IF(OFFSET(CRONOPLE!$F$15,$M26-$A$15,BP$13)=0,10^12,OFFSET(CRONOPLE!$F$15,$M26-$A$15,BP$13)))</f>
        <v>1000000000000</v>
      </c>
      <c r="BQ26" s="171">
        <f ca="1">IF(OR($D26&lt;&gt;"Serviço",AND(AUTOEVENTO="Manual",$M26=$A$15)),0,
         IF(OFFSET(CRONOPLE!$F$15,$M26-$A$15,BQ$13)=0,10^12,OFFSET(CRONOPLE!$F$15,$M26-$A$15,BQ$13)))</f>
        <v>1000000000000</v>
      </c>
      <c r="BR26" s="171">
        <f ca="1">IF(OR($D26&lt;&gt;"Serviço",AND(AUTOEVENTO="Manual",$M26=$A$15)),0,
         IF(OFFSET(CRONOPLE!$F$15,$M26-$A$15,BR$13)=0,10^12,OFFSET(CRONOPLE!$F$15,$M26-$A$15,BR$13)))</f>
        <v>1000000000000</v>
      </c>
      <c r="BS26" s="171">
        <f ca="1">IF(OR($D26&lt;&gt;"Serviço",AND(AUTOEVENTO="Manual",$M26=$A$15)),0,
         IF(OFFSET(CRONOPLE!$F$15,$M26-$A$15,BS$13)=0,10^12,OFFSET(CRONOPLE!$F$15,$M26-$A$15,BS$13)))</f>
        <v>1000000000000</v>
      </c>
      <c r="BT26" s="171">
        <f ca="1">IF(OR($D26&lt;&gt;"Serviço",AND(AUTOEVENTO="Manual",$M26=$A$15)),0,
         IF(OFFSET(CRONOPLE!$F$15,$M26-$A$15,BT$13)=0,10^12,OFFSET(CRONOPLE!$F$15,$M26-$A$15,BT$13)))</f>
        <v>1000000000000</v>
      </c>
      <c r="BV26" s="172">
        <f ca="1">IF(OR($D26&lt;&gt;"Serviço",AND(AUTOEVENTO="Manual",$M26=$A$15),$M26&gt;(ROW(PLE.lastrow)-ROW(PLE.firstrow))),0,
           IF(OFFSET(PLE!$G$15,$M26-$A$15,BV$13)="",10^12,OFFSET(PLE!$G$15,$M26-$A$15,BV$13)))</f>
        <v>1000000000000</v>
      </c>
      <c r="BW26" s="172">
        <f ca="1">IF(OR($D26&lt;&gt;"Serviço",AND(AUTOEVENTO="Manual",$M26=$A$15),$M26&gt;(ROW(PLE.lastrow)-ROW(PLE.firstrow))),0,
           IF(OFFSET(PLE!$G$15,$M26-$A$15,BW$13)="",10^12,OFFSET(PLE!$G$15,$M26-$A$15,BW$13)))</f>
        <v>1000000000000</v>
      </c>
      <c r="BX26" s="172">
        <f ca="1">IF(OR($D26&lt;&gt;"Serviço",AND(AUTOEVENTO="Manual",$M26=$A$15),$M26&gt;(ROW(PLE.lastrow)-ROW(PLE.firstrow))),0,
           IF(OFFSET(PLE!$G$15,$M26-$A$15,BX$13)="",10^12,OFFSET(PLE!$G$15,$M26-$A$15,BX$13)))</f>
        <v>1000000000000</v>
      </c>
      <c r="BY26" s="172">
        <f ca="1">IF(OR($D26&lt;&gt;"Serviço",AND(AUTOEVENTO="Manual",$M26=$A$15),$M26&gt;(ROW(PLE.lastrow)-ROW(PLE.firstrow))),0,
           IF(OFFSET(PLE!$G$15,$M26-$A$15,BY$13)="",10^12,OFFSET(PLE!$G$15,$M26-$A$15,BY$13)))</f>
        <v>1000000000000</v>
      </c>
      <c r="BZ26" s="172">
        <f ca="1">IF(OR($D26&lt;&gt;"Serviço",AND(AUTOEVENTO="Manual",$M26=$A$15),$M26&gt;(ROW(PLE.lastrow)-ROW(PLE.firstrow))),0,
           IF(OFFSET(PLE!$G$15,$M26-$A$15,BZ$13)="",10^12,OFFSET(PLE!$G$15,$M26-$A$15,BZ$13)))</f>
        <v>1000000000000</v>
      </c>
      <c r="CA26" s="172">
        <f ca="1">IF(OR($D26&lt;&gt;"Serviço",AND(AUTOEVENTO="Manual",$M26=$A$15),$M26&gt;(ROW(PLE.lastrow)-ROW(PLE.firstrow))),0,
           IF(OFFSET(PLE!$G$15,$M26-$A$15,CA$13)="",10^12,OFFSET(PLE!$G$15,$M26-$A$15,CA$13)))</f>
        <v>1000000000000</v>
      </c>
      <c r="CB26" s="172">
        <f ca="1">IF(OR($D26&lt;&gt;"Serviço",AND(AUTOEVENTO="Manual",$M26=$A$15),$M26&gt;(ROW(PLE.lastrow)-ROW(PLE.firstrow))),0,
           IF(OFFSET(PLE!$G$15,$M26-$A$15,CB$13)="",10^12,OFFSET(PLE!$G$15,$M26-$A$15,CB$13)))</f>
        <v>1000000000000</v>
      </c>
      <c r="CC26" s="172">
        <f ca="1">IF(OR($D26&lt;&gt;"Serviço",AND(AUTOEVENTO="Manual",$M26=$A$15),$M26&gt;(ROW(PLE.lastrow)-ROW(PLE.firstrow))),0,
           IF(OFFSET(PLE!$G$15,$M26-$A$15,CC$13)="",10^12,OFFSET(PLE!$G$15,$M26-$A$15,CC$13)))</f>
        <v>1000000000000</v>
      </c>
      <c r="CD26" s="172">
        <f ca="1">IF(OR($D26&lt;&gt;"Serviço",AND(AUTOEVENTO="Manual",$M26=$A$15),$M26&gt;(ROW(PLE.lastrow)-ROW(PLE.firstrow))),0,
           IF(OFFSET(PLE!$G$15,$M26-$A$15,CD$13)="",10^12,OFFSET(PLE!$G$15,$M26-$A$15,CD$13)))</f>
        <v>1000000000000</v>
      </c>
      <c r="CE26" s="172">
        <f ca="1">IF(OR($D26&lt;&gt;"Serviço",AND(AUTOEVENTO="Manual",$M26=$A$15),$M26&gt;(ROW(PLE.lastrow)-ROW(PLE.firstrow))),0,
           IF(OFFSET(PLE!$G$15,$M26-$A$15,CE$13)="",10^12,OFFSET(PLE!$G$15,$M26-$A$15,CE$13)))</f>
        <v>1000000000000</v>
      </c>
      <c r="CF26" s="172">
        <f ca="1">IF(OR($D26&lt;&gt;"Serviço",AND(AUTOEVENTO="Manual",$M26=$A$15),$M26&gt;(ROW(PLE.lastrow)-ROW(PLE.firstrow))),0,
           IF(OFFSET(PLE!$G$15,$M26-$A$15,CF$13)="",10^12,OFFSET(PLE!$G$15,$M26-$A$15,CF$13)))</f>
        <v>1000000000000</v>
      </c>
      <c r="CG26" s="172">
        <f ca="1">IF(OR($D26&lt;&gt;"Serviço",AND(AUTOEVENTO="Manual",$M26=$A$15),$M26&gt;(ROW(PLE.lastrow)-ROW(PLE.firstrow))),0,
           IF(OFFSET(PLE!$G$15,$M26-$A$15,CG$13)="",10^12,OFFSET(PLE!$G$15,$M26-$A$15,CG$13)))</f>
        <v>1000000000000</v>
      </c>
      <c r="CH26" s="172">
        <f ca="1">IF(OR($D26&lt;&gt;"Serviço",AND(AUTOEVENTO="Manual",$M26=$A$15),$M26&gt;(ROW(PLE.lastrow)-ROW(PLE.firstrow))),0,
           IF(OFFSET(PLE!$G$15,$M26-$A$15,CH$13)="",10^12,OFFSET(PLE!$G$15,$M26-$A$15,CH$13)))</f>
        <v>1000000000000</v>
      </c>
      <c r="CI26" s="172">
        <f ca="1">IF(OR($D26&lt;&gt;"Serviço",AND(AUTOEVENTO="Manual",$M26=$A$15),$M26&gt;(ROW(PLE.lastrow)-ROW(PLE.firstrow))),0,
           IF(OFFSET(PLE!$G$15,$M26-$A$15,CI$13)="",10^12,OFFSET(PLE!$G$15,$M26-$A$15,CI$13)))</f>
        <v>1000000000000</v>
      </c>
      <c r="CJ26" s="172">
        <f ca="1">IF(OR($D26&lt;&gt;"Serviço",AND(AUTOEVENTO="Manual",$M26=$A$15),$M26&gt;(ROW(PLE.lastrow)-ROW(PLE.firstrow))),0,
           IF(OFFSET(PLE!$G$15,$M26-$A$15,CJ$13)="",10^12,OFFSET(PLE!$G$15,$M26-$A$15,CJ$13)))</f>
        <v>1000000000000</v>
      </c>
      <c r="CK26" s="172">
        <f ca="1">IF(OR($D26&lt;&gt;"Serviço",AND(AUTOEVENTO="Manual",$M26=$A$15),$M26&gt;(ROW(PLE.lastrow)-ROW(PLE.firstrow))),0,
           IF(OFFSET(PLE!$G$15,$M26-$A$15,CK$13)="",10^12,OFFSET(PLE!$G$15,$M26-$A$15,CK$13)))</f>
        <v>1000000000000</v>
      </c>
      <c r="CL26" s="172">
        <f ca="1">IF(OR($D26&lt;&gt;"Serviço",AND(AUTOEVENTO="Manual",$M26=$A$15),$M26&gt;(ROW(PLE.lastrow)-ROW(PLE.firstrow))),0,
           IF(OFFSET(PLE!$G$15,$M26-$A$15,CL$13)="",10^12,OFFSET(PLE!$G$15,$M26-$A$15,CL$13)))</f>
        <v>1000000000000</v>
      </c>
      <c r="CM26" s="172">
        <f ca="1">IF(OR($D26&lt;&gt;"Serviço",AND(AUTOEVENTO="Manual",$M26=$A$15),$M26&gt;(ROW(PLE.lastrow)-ROW(PLE.firstrow))),0,
           IF(OFFSET(PLE!$G$15,$M26-$A$15,CM$13)="",10^12,OFFSET(PLE!$G$15,$M26-$A$15,CM$13)))</f>
        <v>1000000000000</v>
      </c>
    </row>
    <row r="27" spans="1:91" ht="12.75" x14ac:dyDescent="0.2">
      <c r="A27" s="7">
        <f t="shared" ca="1" si="10"/>
        <v>0</v>
      </c>
      <c r="B27" s="7">
        <f ca="1">OFFSET(ORÇAMENTO!C$15,ROW(B27)-ROW(B$15),0)</f>
        <v>2</v>
      </c>
      <c r="C27" s="7" t="str">
        <f ca="1">OFFSET(ORÇAMENTO!L$15,ROW(C27)-ROW(C$15),0)</f>
        <v>F</v>
      </c>
      <c r="D27" s="116" t="str">
        <f ca="1">OFFSET(ORÇAMENTO!N$15,ROW(D27)-ROW(D$15),0)</f>
        <v>Nível 2</v>
      </c>
      <c r="E27" s="117" t="str">
        <f ca="1">OFFSET(ORÇAMENTO!O$15,ROW(E27)-ROW(E$15),0)</f>
        <v>1.3.</v>
      </c>
      <c r="F27" s="163" t="str">
        <f ca="1">OFFSET(ORÇAMENTO!R$15,ROW(F27)-ROW(F$15),0)</f>
        <v>SERVIÇOS INICIAIS</v>
      </c>
      <c r="G27" s="164" t="str">
        <f ca="1">IF($D27&lt;&gt;"Serviço","",OFFSET(ORÇAMENTO!S$15,ROW(G27)-ROW(G$15),0))</f>
        <v/>
      </c>
      <c r="H27" s="122" cm="1">
        <f t="array" aca="1" ref="H27" ca="1">IF($D27&lt;&gt;"Serviço",0,IF(ACOMPANHAMENTO="BM",ROUND(OFFSET(ORÇAMENTO!AJ$15,ROW(H27)-ROW(H$15),0),15-13*ORÇAMENTO!$AF$7),SUMPRODUCT(($Q$1:$AI$1=1)*ROUND($Q27:$AI27,15-13*ORÇAMENTO!$AF$7))))</f>
        <v>0</v>
      </c>
      <c r="I27" s="468"/>
      <c r="J27" s="640" t="str" cm="1">
        <f t="array" aca="1" ref="J27" ca="1">IF(OR(B27&lt;&gt;"S",CÁLCULO.FrentesPreenchidas=0),"",IF(AND(ACOMPANHAMENTO="PLE",AUTOEVENTO="Manual",OR(H27&gt;0,ORÇAMENTO!AC27="QUANT."),OR(K27="",M27=0,N27="")),"►E",IF(AND(ACOMPANHAMENTO="PLE",ORÇAMENTO!AC27="QUANT."),"►Q",IF(AND(ACOMPANHAMENTO="PLE",H27&lt;&gt;SUMPRODUCT(($Q$1:$AI$1=1)*ROUND(Q27:AI27,15))),"►S",IF(AND(COUNTIF($P$11:$AI$11,"▼")=0,H27&gt;0,I27=""),"◄M","")))))</f>
        <v/>
      </c>
      <c r="K27" s="641"/>
      <c r="L27" s="165" t="s">
        <v>764</v>
      </c>
      <c r="M27" s="166" t="str">
        <f ca="1">IF($D27&lt;&gt;"Serviço","",
          IF(AUTOEVENTO="manual",$A27,
                IF(ISERROR(MATCH($A27,$A$15:OFFSET($A27,-1,0),0)),MAX($M$15:OFFSET(M27,-1,0))+1,
                      INDEX($M$15:OFFSET(M27,-1,0),MATCH($A27,$A$15:OFFSET($A27,-1,0),0)))))</f>
        <v/>
      </c>
      <c r="N27" s="167" t="str">
        <f ca="1">IF($D27&lt;&gt;"Serviço","",
         IF(AUTOEVENTO="Manual",
                IF($A27=0,"&lt;-- defina o número do agrupador",
                       OFFSET(EVENTOS!$D$15,$A27-$A$15,0)),
                OFFSET($F$15,$A27,0)))</f>
        <v/>
      </c>
      <c r="O27" s="168"/>
      <c r="Q27" s="168"/>
      <c r="R27" s="169"/>
      <c r="S27" s="169"/>
      <c r="T27" s="169"/>
      <c r="U27" s="169"/>
      <c r="V27" s="169"/>
      <c r="W27" s="169"/>
      <c r="X27" s="169"/>
      <c r="Y27" s="169"/>
      <c r="Z27" s="170"/>
      <c r="AA27" s="169"/>
      <c r="AB27" s="169"/>
      <c r="AC27" s="169"/>
      <c r="AD27" s="169"/>
      <c r="AE27" s="169"/>
      <c r="AF27" s="169"/>
      <c r="AG27" s="169"/>
      <c r="AH27" s="170"/>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L27" s="453">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0</v>
      </c>
      <c r="AM27" s="453">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53">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0</v>
      </c>
      <c r="AO27" s="453">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53">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0</v>
      </c>
      <c r="AQ27" s="453">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53">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3">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3">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3">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3">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3">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3">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3">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3">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3">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1">
        <f ca="1">IF(OR($D27&lt;&gt;"Serviço",AND(AUTOEVENTO="Manual",$M27=$A$15)),0,
         IF(OFFSET(CRONOPLE!$F$15,$M27-$A$15,BC$13)=0,10^12,OFFSET(CRONOPLE!$F$15,$M27-$A$15,BC$13)))</f>
        <v>0</v>
      </c>
      <c r="BD27" s="171">
        <f ca="1">IF(OR($D27&lt;&gt;"Serviço",AND(AUTOEVENTO="Manual",$M27=$A$15)),0,
         IF(OFFSET(CRONOPLE!$F$15,$M27-$A$15,BD$13)=0,10^12,OFFSET(CRONOPLE!$F$15,$M27-$A$15,BD$13)))</f>
        <v>0</v>
      </c>
      <c r="BE27" s="171">
        <f ca="1">IF(OR($D27&lt;&gt;"Serviço",AND(AUTOEVENTO="Manual",$M27=$A$15)),0,
         IF(OFFSET(CRONOPLE!$F$15,$M27-$A$15,BE$13)=0,10^12,OFFSET(CRONOPLE!$F$15,$M27-$A$15,BE$13)))</f>
        <v>0</v>
      </c>
      <c r="BF27" s="171">
        <f ca="1">IF(OR($D27&lt;&gt;"Serviço",AND(AUTOEVENTO="Manual",$M27=$A$15)),0,
         IF(OFFSET(CRONOPLE!$F$15,$M27-$A$15,BF$13)=0,10^12,OFFSET(CRONOPLE!$F$15,$M27-$A$15,BF$13)))</f>
        <v>0</v>
      </c>
      <c r="BG27" s="171">
        <f ca="1">IF(OR($D27&lt;&gt;"Serviço",AND(AUTOEVENTO="Manual",$M27=$A$15)),0,
         IF(OFFSET(CRONOPLE!$F$15,$M27-$A$15,BG$13)=0,10^12,OFFSET(CRONOPLE!$F$15,$M27-$A$15,BG$13)))</f>
        <v>0</v>
      </c>
      <c r="BH27" s="171">
        <f ca="1">IF(OR($D27&lt;&gt;"Serviço",AND(AUTOEVENTO="Manual",$M27=$A$15)),0,
         IF(OFFSET(CRONOPLE!$F$15,$M27-$A$15,BH$13)=0,10^12,OFFSET(CRONOPLE!$F$15,$M27-$A$15,BH$13)))</f>
        <v>0</v>
      </c>
      <c r="BI27" s="171">
        <f ca="1">IF(OR($D27&lt;&gt;"Serviço",AND(AUTOEVENTO="Manual",$M27=$A$15)),0,
         IF(OFFSET(CRONOPLE!$F$15,$M27-$A$15,BI$13)=0,10^12,OFFSET(CRONOPLE!$F$15,$M27-$A$15,BI$13)))</f>
        <v>0</v>
      </c>
      <c r="BJ27" s="171">
        <f ca="1">IF(OR($D27&lt;&gt;"Serviço",AND(AUTOEVENTO="Manual",$M27=$A$15)),0,
         IF(OFFSET(CRONOPLE!$F$15,$M27-$A$15,BJ$13)=0,10^12,OFFSET(CRONOPLE!$F$15,$M27-$A$15,BJ$13)))</f>
        <v>0</v>
      </c>
      <c r="BK27" s="171">
        <f ca="1">IF(OR($D27&lt;&gt;"Serviço",AND(AUTOEVENTO="Manual",$M27=$A$15)),0,
         IF(OFFSET(CRONOPLE!$F$15,$M27-$A$15,BK$13)=0,10^12,OFFSET(CRONOPLE!$F$15,$M27-$A$15,BK$13)))</f>
        <v>0</v>
      </c>
      <c r="BL27" s="171">
        <f ca="1">IF(OR($D27&lt;&gt;"Serviço",AND(AUTOEVENTO="Manual",$M27=$A$15)),0,
         IF(OFFSET(CRONOPLE!$F$15,$M27-$A$15,BL$13)=0,10^12,OFFSET(CRONOPLE!$F$15,$M27-$A$15,BL$13)))</f>
        <v>0</v>
      </c>
      <c r="BM27" s="171">
        <f ca="1">IF(OR($D27&lt;&gt;"Serviço",AND(AUTOEVENTO="Manual",$M27=$A$15)),0,
         IF(OFFSET(CRONOPLE!$F$15,$M27-$A$15,BM$13)=0,10^12,OFFSET(CRONOPLE!$F$15,$M27-$A$15,BM$13)))</f>
        <v>0</v>
      </c>
      <c r="BN27" s="171">
        <f ca="1">IF(OR($D27&lt;&gt;"Serviço",AND(AUTOEVENTO="Manual",$M27=$A$15)),0,
         IF(OFFSET(CRONOPLE!$F$15,$M27-$A$15,BN$13)=0,10^12,OFFSET(CRONOPLE!$F$15,$M27-$A$15,BN$13)))</f>
        <v>0</v>
      </c>
      <c r="BO27" s="171">
        <f ca="1">IF(OR($D27&lt;&gt;"Serviço",AND(AUTOEVENTO="Manual",$M27=$A$15)),0,
         IF(OFFSET(CRONOPLE!$F$15,$M27-$A$15,BO$13)=0,10^12,OFFSET(CRONOPLE!$F$15,$M27-$A$15,BO$13)))</f>
        <v>0</v>
      </c>
      <c r="BP27" s="171">
        <f ca="1">IF(OR($D27&lt;&gt;"Serviço",AND(AUTOEVENTO="Manual",$M27=$A$15)),0,
         IF(OFFSET(CRONOPLE!$F$15,$M27-$A$15,BP$13)=0,10^12,OFFSET(CRONOPLE!$F$15,$M27-$A$15,BP$13)))</f>
        <v>0</v>
      </c>
      <c r="BQ27" s="171">
        <f ca="1">IF(OR($D27&lt;&gt;"Serviço",AND(AUTOEVENTO="Manual",$M27=$A$15)),0,
         IF(OFFSET(CRONOPLE!$F$15,$M27-$A$15,BQ$13)=0,10^12,OFFSET(CRONOPLE!$F$15,$M27-$A$15,BQ$13)))</f>
        <v>0</v>
      </c>
      <c r="BR27" s="171">
        <f ca="1">IF(OR($D27&lt;&gt;"Serviço",AND(AUTOEVENTO="Manual",$M27=$A$15)),0,
         IF(OFFSET(CRONOPLE!$F$15,$M27-$A$15,BR$13)=0,10^12,OFFSET(CRONOPLE!$F$15,$M27-$A$15,BR$13)))</f>
        <v>0</v>
      </c>
      <c r="BS27" s="171">
        <f ca="1">IF(OR($D27&lt;&gt;"Serviço",AND(AUTOEVENTO="Manual",$M27=$A$15)),0,
         IF(OFFSET(CRONOPLE!$F$15,$M27-$A$15,BS$13)=0,10^12,OFFSET(CRONOPLE!$F$15,$M27-$A$15,BS$13)))</f>
        <v>0</v>
      </c>
      <c r="BT27" s="171">
        <f ca="1">IF(OR($D27&lt;&gt;"Serviço",AND(AUTOEVENTO="Manual",$M27=$A$15)),0,
         IF(OFFSET(CRONOPLE!$F$15,$M27-$A$15,BT$13)=0,10^12,OFFSET(CRONOPLE!$F$15,$M27-$A$15,BT$13)))</f>
        <v>0</v>
      </c>
      <c r="BV27" s="172">
        <f ca="1">IF(OR($D27&lt;&gt;"Serviço",AND(AUTOEVENTO="Manual",$M27=$A$15),$M27&gt;(ROW(PLE.lastrow)-ROW(PLE.firstrow))),0,
           IF(OFFSET(PLE!$G$15,$M27-$A$15,BV$13)="",10^12,OFFSET(PLE!$G$15,$M27-$A$15,BV$13)))</f>
        <v>0</v>
      </c>
      <c r="BW27" s="172">
        <f ca="1">IF(OR($D27&lt;&gt;"Serviço",AND(AUTOEVENTO="Manual",$M27=$A$15),$M27&gt;(ROW(PLE.lastrow)-ROW(PLE.firstrow))),0,
           IF(OFFSET(PLE!$G$15,$M27-$A$15,BW$13)="",10^12,OFFSET(PLE!$G$15,$M27-$A$15,BW$13)))</f>
        <v>0</v>
      </c>
      <c r="BX27" s="172">
        <f ca="1">IF(OR($D27&lt;&gt;"Serviço",AND(AUTOEVENTO="Manual",$M27=$A$15),$M27&gt;(ROW(PLE.lastrow)-ROW(PLE.firstrow))),0,
           IF(OFFSET(PLE!$G$15,$M27-$A$15,BX$13)="",10^12,OFFSET(PLE!$G$15,$M27-$A$15,BX$13)))</f>
        <v>0</v>
      </c>
      <c r="BY27" s="172">
        <f ca="1">IF(OR($D27&lt;&gt;"Serviço",AND(AUTOEVENTO="Manual",$M27=$A$15),$M27&gt;(ROW(PLE.lastrow)-ROW(PLE.firstrow))),0,
           IF(OFFSET(PLE!$G$15,$M27-$A$15,BY$13)="",10^12,OFFSET(PLE!$G$15,$M27-$A$15,BY$13)))</f>
        <v>0</v>
      </c>
      <c r="BZ27" s="172">
        <f ca="1">IF(OR($D27&lt;&gt;"Serviço",AND(AUTOEVENTO="Manual",$M27=$A$15),$M27&gt;(ROW(PLE.lastrow)-ROW(PLE.firstrow))),0,
           IF(OFFSET(PLE!$G$15,$M27-$A$15,BZ$13)="",10^12,OFFSET(PLE!$G$15,$M27-$A$15,BZ$13)))</f>
        <v>0</v>
      </c>
      <c r="CA27" s="172">
        <f ca="1">IF(OR($D27&lt;&gt;"Serviço",AND(AUTOEVENTO="Manual",$M27=$A$15),$M27&gt;(ROW(PLE.lastrow)-ROW(PLE.firstrow))),0,
           IF(OFFSET(PLE!$G$15,$M27-$A$15,CA$13)="",10^12,OFFSET(PLE!$G$15,$M27-$A$15,CA$13)))</f>
        <v>0</v>
      </c>
      <c r="CB27" s="172">
        <f ca="1">IF(OR($D27&lt;&gt;"Serviço",AND(AUTOEVENTO="Manual",$M27=$A$15),$M27&gt;(ROW(PLE.lastrow)-ROW(PLE.firstrow))),0,
           IF(OFFSET(PLE!$G$15,$M27-$A$15,CB$13)="",10^12,OFFSET(PLE!$G$15,$M27-$A$15,CB$13)))</f>
        <v>0</v>
      </c>
      <c r="CC27" s="172">
        <f ca="1">IF(OR($D27&lt;&gt;"Serviço",AND(AUTOEVENTO="Manual",$M27=$A$15),$M27&gt;(ROW(PLE.lastrow)-ROW(PLE.firstrow))),0,
           IF(OFFSET(PLE!$G$15,$M27-$A$15,CC$13)="",10^12,OFFSET(PLE!$G$15,$M27-$A$15,CC$13)))</f>
        <v>0</v>
      </c>
      <c r="CD27" s="172">
        <f ca="1">IF(OR($D27&lt;&gt;"Serviço",AND(AUTOEVENTO="Manual",$M27=$A$15),$M27&gt;(ROW(PLE.lastrow)-ROW(PLE.firstrow))),0,
           IF(OFFSET(PLE!$G$15,$M27-$A$15,CD$13)="",10^12,OFFSET(PLE!$G$15,$M27-$A$15,CD$13)))</f>
        <v>0</v>
      </c>
      <c r="CE27" s="172">
        <f ca="1">IF(OR($D27&lt;&gt;"Serviço",AND(AUTOEVENTO="Manual",$M27=$A$15),$M27&gt;(ROW(PLE.lastrow)-ROW(PLE.firstrow))),0,
           IF(OFFSET(PLE!$G$15,$M27-$A$15,CE$13)="",10^12,OFFSET(PLE!$G$15,$M27-$A$15,CE$13)))</f>
        <v>0</v>
      </c>
      <c r="CF27" s="172">
        <f ca="1">IF(OR($D27&lt;&gt;"Serviço",AND(AUTOEVENTO="Manual",$M27=$A$15),$M27&gt;(ROW(PLE.lastrow)-ROW(PLE.firstrow))),0,
           IF(OFFSET(PLE!$G$15,$M27-$A$15,CF$13)="",10^12,OFFSET(PLE!$G$15,$M27-$A$15,CF$13)))</f>
        <v>0</v>
      </c>
      <c r="CG27" s="172">
        <f ca="1">IF(OR($D27&lt;&gt;"Serviço",AND(AUTOEVENTO="Manual",$M27=$A$15),$M27&gt;(ROW(PLE.lastrow)-ROW(PLE.firstrow))),0,
           IF(OFFSET(PLE!$G$15,$M27-$A$15,CG$13)="",10^12,OFFSET(PLE!$G$15,$M27-$A$15,CG$13)))</f>
        <v>0</v>
      </c>
      <c r="CH27" s="172">
        <f ca="1">IF(OR($D27&lt;&gt;"Serviço",AND(AUTOEVENTO="Manual",$M27=$A$15),$M27&gt;(ROW(PLE.lastrow)-ROW(PLE.firstrow))),0,
           IF(OFFSET(PLE!$G$15,$M27-$A$15,CH$13)="",10^12,OFFSET(PLE!$G$15,$M27-$A$15,CH$13)))</f>
        <v>0</v>
      </c>
      <c r="CI27" s="172">
        <f ca="1">IF(OR($D27&lt;&gt;"Serviço",AND(AUTOEVENTO="Manual",$M27=$A$15),$M27&gt;(ROW(PLE.lastrow)-ROW(PLE.firstrow))),0,
           IF(OFFSET(PLE!$G$15,$M27-$A$15,CI$13)="",10^12,OFFSET(PLE!$G$15,$M27-$A$15,CI$13)))</f>
        <v>0</v>
      </c>
      <c r="CJ27" s="172">
        <f ca="1">IF(OR($D27&lt;&gt;"Serviço",AND(AUTOEVENTO="Manual",$M27=$A$15),$M27&gt;(ROW(PLE.lastrow)-ROW(PLE.firstrow))),0,
           IF(OFFSET(PLE!$G$15,$M27-$A$15,CJ$13)="",10^12,OFFSET(PLE!$G$15,$M27-$A$15,CJ$13)))</f>
        <v>0</v>
      </c>
      <c r="CK27" s="172">
        <f ca="1">IF(OR($D27&lt;&gt;"Serviço",AND(AUTOEVENTO="Manual",$M27=$A$15),$M27&gt;(ROW(PLE.lastrow)-ROW(PLE.firstrow))),0,
           IF(OFFSET(PLE!$G$15,$M27-$A$15,CK$13)="",10^12,OFFSET(PLE!$G$15,$M27-$A$15,CK$13)))</f>
        <v>0</v>
      </c>
      <c r="CL27" s="172">
        <f ca="1">IF(OR($D27&lt;&gt;"Serviço",AND(AUTOEVENTO="Manual",$M27=$A$15),$M27&gt;(ROW(PLE.lastrow)-ROW(PLE.firstrow))),0,
           IF(OFFSET(PLE!$G$15,$M27-$A$15,CL$13)="",10^12,OFFSET(PLE!$G$15,$M27-$A$15,CL$13)))</f>
        <v>0</v>
      </c>
      <c r="CM27" s="172">
        <f ca="1">IF(OR($D27&lt;&gt;"Serviço",AND(AUTOEVENTO="Manual",$M27=$A$15),$M27&gt;(ROW(PLE.lastrow)-ROW(PLE.firstrow))),0,
           IF(OFFSET(PLE!$G$15,$M27-$A$15,CM$13)="",10^12,OFFSET(PLE!$G$15,$M27-$A$15,CM$13)))</f>
        <v>0</v>
      </c>
    </row>
    <row r="28" spans="1:91" ht="12.75" x14ac:dyDescent="0.2">
      <c r="A28" s="7">
        <f t="shared" ca="1" si="10"/>
        <v>0</v>
      </c>
      <c r="B28" s="7">
        <f ca="1">OFFSET(ORÇAMENTO!C$15,ROW(B28)-ROW(B$15),0)</f>
        <v>3</v>
      </c>
      <c r="C28" s="7" t="str">
        <f ca="1">OFFSET(ORÇAMENTO!L$15,ROW(C28)-ROW(C$15),0)</f>
        <v>F</v>
      </c>
      <c r="D28" s="116" t="str">
        <f ca="1">OFFSET(ORÇAMENTO!N$15,ROW(D28)-ROW(D$15),0)</f>
        <v>Nível 3</v>
      </c>
      <c r="E28" s="117" t="str">
        <f ca="1">OFFSET(ORÇAMENTO!O$15,ROW(E28)-ROW(E$15),0)</f>
        <v>1.3.1.</v>
      </c>
      <c r="F28" s="163" t="str">
        <f ca="1">OFFSET(ORÇAMENTO!R$15,ROW(F28)-ROW(F$15),0)</f>
        <v>IDENTIFICAÇÃO DE OBRA</v>
      </c>
      <c r="G28" s="164" t="str">
        <f ca="1">IF($D28&lt;&gt;"Serviço","",OFFSET(ORÇAMENTO!S$15,ROW(G28)-ROW(G$15),0))</f>
        <v/>
      </c>
      <c r="H28" s="122" cm="1">
        <f t="array" aca="1" ref="H28" ca="1">IF($D28&lt;&gt;"Serviço",0,IF(ACOMPANHAMENTO="BM",ROUND(OFFSET(ORÇAMENTO!AJ$15,ROW(H28)-ROW(H$15),0),15-13*ORÇAMENTO!$AF$7),SUMPRODUCT(($Q$1:$AI$1=1)*ROUND($Q28:$AI28,15-13*ORÇAMENTO!$AF$7))))</f>
        <v>0</v>
      </c>
      <c r="I28" s="468"/>
      <c r="J28" s="640" t="str" cm="1">
        <f t="array" aca="1" ref="J28" ca="1">IF(OR(B28&lt;&gt;"S",CÁLCULO.FrentesPreenchidas=0),"",IF(AND(ACOMPANHAMENTO="PLE",AUTOEVENTO="Manual",OR(H28&gt;0,ORÇAMENTO!AC28="QUANT."),OR(K28="",M28=0,N28="")),"►E",IF(AND(ACOMPANHAMENTO="PLE",ORÇAMENTO!AC28="QUANT."),"►Q",IF(AND(ACOMPANHAMENTO="PLE",H28&lt;&gt;SUMPRODUCT(($Q$1:$AI$1=1)*ROUND(Q28:AI28,15))),"►S",IF(AND(COUNTIF($P$11:$AI$11,"▼")=0,H28&gt;0,I28=""),"◄M","")))))</f>
        <v/>
      </c>
      <c r="K28" s="641"/>
      <c r="L28" s="165" t="s">
        <v>764</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c r="R28" s="169"/>
      <c r="S28" s="169"/>
      <c r="T28" s="169"/>
      <c r="U28" s="169"/>
      <c r="V28" s="169"/>
      <c r="W28" s="169"/>
      <c r="X28" s="169"/>
      <c r="Y28" s="169"/>
      <c r="Z28" s="170"/>
      <c r="AA28" s="169"/>
      <c r="AB28" s="169"/>
      <c r="AC28" s="169"/>
      <c r="AD28" s="169"/>
      <c r="AE28" s="169"/>
      <c r="AF28" s="169"/>
      <c r="AG28" s="169"/>
      <c r="AH28" s="170"/>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L28" s="453">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0</v>
      </c>
      <c r="AM28" s="453">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0</v>
      </c>
      <c r="AN28" s="453">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0</v>
      </c>
      <c r="AO28" s="453">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0</v>
      </c>
      <c r="AP28" s="453">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0</v>
      </c>
      <c r="AQ28" s="453">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0</v>
      </c>
      <c r="AR28" s="453">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53">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53">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53">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3">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3">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3">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3">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3">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3">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1">
        <f ca="1">IF(OR($D28&lt;&gt;"Serviço",AND(AUTOEVENTO="Manual",$M28=$A$15)),0,
         IF(OFFSET(CRONOPLE!$F$15,$M28-$A$15,BC$13)=0,10^12,OFFSET(CRONOPLE!$F$15,$M28-$A$15,BC$13)))</f>
        <v>0</v>
      </c>
      <c r="BD28" s="171">
        <f ca="1">IF(OR($D28&lt;&gt;"Serviço",AND(AUTOEVENTO="Manual",$M28=$A$15)),0,
         IF(OFFSET(CRONOPLE!$F$15,$M28-$A$15,BD$13)=0,10^12,OFFSET(CRONOPLE!$F$15,$M28-$A$15,BD$13)))</f>
        <v>0</v>
      </c>
      <c r="BE28" s="171">
        <f ca="1">IF(OR($D28&lt;&gt;"Serviço",AND(AUTOEVENTO="Manual",$M28=$A$15)),0,
         IF(OFFSET(CRONOPLE!$F$15,$M28-$A$15,BE$13)=0,10^12,OFFSET(CRONOPLE!$F$15,$M28-$A$15,BE$13)))</f>
        <v>0</v>
      </c>
      <c r="BF28" s="171">
        <f ca="1">IF(OR($D28&lt;&gt;"Serviço",AND(AUTOEVENTO="Manual",$M28=$A$15)),0,
         IF(OFFSET(CRONOPLE!$F$15,$M28-$A$15,BF$13)=0,10^12,OFFSET(CRONOPLE!$F$15,$M28-$A$15,BF$13)))</f>
        <v>0</v>
      </c>
      <c r="BG28" s="171">
        <f ca="1">IF(OR($D28&lt;&gt;"Serviço",AND(AUTOEVENTO="Manual",$M28=$A$15)),0,
         IF(OFFSET(CRONOPLE!$F$15,$M28-$A$15,BG$13)=0,10^12,OFFSET(CRONOPLE!$F$15,$M28-$A$15,BG$13)))</f>
        <v>0</v>
      </c>
      <c r="BH28" s="171">
        <f ca="1">IF(OR($D28&lt;&gt;"Serviço",AND(AUTOEVENTO="Manual",$M28=$A$15)),0,
         IF(OFFSET(CRONOPLE!$F$15,$M28-$A$15,BH$13)=0,10^12,OFFSET(CRONOPLE!$F$15,$M28-$A$15,BH$13)))</f>
        <v>0</v>
      </c>
      <c r="BI28" s="171">
        <f ca="1">IF(OR($D28&lt;&gt;"Serviço",AND(AUTOEVENTO="Manual",$M28=$A$15)),0,
         IF(OFFSET(CRONOPLE!$F$15,$M28-$A$15,BI$13)=0,10^12,OFFSET(CRONOPLE!$F$15,$M28-$A$15,BI$13)))</f>
        <v>0</v>
      </c>
      <c r="BJ28" s="171">
        <f ca="1">IF(OR($D28&lt;&gt;"Serviço",AND(AUTOEVENTO="Manual",$M28=$A$15)),0,
         IF(OFFSET(CRONOPLE!$F$15,$M28-$A$15,BJ$13)=0,10^12,OFFSET(CRONOPLE!$F$15,$M28-$A$15,BJ$13)))</f>
        <v>0</v>
      </c>
      <c r="BK28" s="171">
        <f ca="1">IF(OR($D28&lt;&gt;"Serviço",AND(AUTOEVENTO="Manual",$M28=$A$15)),0,
         IF(OFFSET(CRONOPLE!$F$15,$M28-$A$15,BK$13)=0,10^12,OFFSET(CRONOPLE!$F$15,$M28-$A$15,BK$13)))</f>
        <v>0</v>
      </c>
      <c r="BL28" s="171">
        <f ca="1">IF(OR($D28&lt;&gt;"Serviço",AND(AUTOEVENTO="Manual",$M28=$A$15)),0,
         IF(OFFSET(CRONOPLE!$F$15,$M28-$A$15,BL$13)=0,10^12,OFFSET(CRONOPLE!$F$15,$M28-$A$15,BL$13)))</f>
        <v>0</v>
      </c>
      <c r="BM28" s="171">
        <f ca="1">IF(OR($D28&lt;&gt;"Serviço",AND(AUTOEVENTO="Manual",$M28=$A$15)),0,
         IF(OFFSET(CRONOPLE!$F$15,$M28-$A$15,BM$13)=0,10^12,OFFSET(CRONOPLE!$F$15,$M28-$A$15,BM$13)))</f>
        <v>0</v>
      </c>
      <c r="BN28" s="171">
        <f ca="1">IF(OR($D28&lt;&gt;"Serviço",AND(AUTOEVENTO="Manual",$M28=$A$15)),0,
         IF(OFFSET(CRONOPLE!$F$15,$M28-$A$15,BN$13)=0,10^12,OFFSET(CRONOPLE!$F$15,$M28-$A$15,BN$13)))</f>
        <v>0</v>
      </c>
      <c r="BO28" s="171">
        <f ca="1">IF(OR($D28&lt;&gt;"Serviço",AND(AUTOEVENTO="Manual",$M28=$A$15)),0,
         IF(OFFSET(CRONOPLE!$F$15,$M28-$A$15,BO$13)=0,10^12,OFFSET(CRONOPLE!$F$15,$M28-$A$15,BO$13)))</f>
        <v>0</v>
      </c>
      <c r="BP28" s="171">
        <f ca="1">IF(OR($D28&lt;&gt;"Serviço",AND(AUTOEVENTO="Manual",$M28=$A$15)),0,
         IF(OFFSET(CRONOPLE!$F$15,$M28-$A$15,BP$13)=0,10^12,OFFSET(CRONOPLE!$F$15,$M28-$A$15,BP$13)))</f>
        <v>0</v>
      </c>
      <c r="BQ28" s="171">
        <f ca="1">IF(OR($D28&lt;&gt;"Serviço",AND(AUTOEVENTO="Manual",$M28=$A$15)),0,
         IF(OFFSET(CRONOPLE!$F$15,$M28-$A$15,BQ$13)=0,10^12,OFFSET(CRONOPLE!$F$15,$M28-$A$15,BQ$13)))</f>
        <v>0</v>
      </c>
      <c r="BR28" s="171">
        <f ca="1">IF(OR($D28&lt;&gt;"Serviço",AND(AUTOEVENTO="Manual",$M28=$A$15)),0,
         IF(OFFSET(CRONOPLE!$F$15,$M28-$A$15,BR$13)=0,10^12,OFFSET(CRONOPLE!$F$15,$M28-$A$15,BR$13)))</f>
        <v>0</v>
      </c>
      <c r="BS28" s="171">
        <f ca="1">IF(OR($D28&lt;&gt;"Serviço",AND(AUTOEVENTO="Manual",$M28=$A$15)),0,
         IF(OFFSET(CRONOPLE!$F$15,$M28-$A$15,BS$13)=0,10^12,OFFSET(CRONOPLE!$F$15,$M28-$A$15,BS$13)))</f>
        <v>0</v>
      </c>
      <c r="BT28" s="171">
        <f ca="1">IF(OR($D28&lt;&gt;"Serviço",AND(AUTOEVENTO="Manual",$M28=$A$15)),0,
         IF(OFFSET(CRONOPLE!$F$15,$M28-$A$15,BT$13)=0,10^12,OFFSET(CRONOPLE!$F$15,$M28-$A$15,BT$13)))</f>
        <v>0</v>
      </c>
      <c r="BV28" s="172">
        <f ca="1">IF(OR($D28&lt;&gt;"Serviço",AND(AUTOEVENTO="Manual",$M28=$A$15),$M28&gt;(ROW(PLE.lastrow)-ROW(PLE.firstrow))),0,
           IF(OFFSET(PLE!$G$15,$M28-$A$15,BV$13)="",10^12,OFFSET(PLE!$G$15,$M28-$A$15,BV$13)))</f>
        <v>0</v>
      </c>
      <c r="BW28" s="172">
        <f ca="1">IF(OR($D28&lt;&gt;"Serviço",AND(AUTOEVENTO="Manual",$M28=$A$15),$M28&gt;(ROW(PLE.lastrow)-ROW(PLE.firstrow))),0,
           IF(OFFSET(PLE!$G$15,$M28-$A$15,BW$13)="",10^12,OFFSET(PLE!$G$15,$M28-$A$15,BW$13)))</f>
        <v>0</v>
      </c>
      <c r="BX28" s="172">
        <f ca="1">IF(OR($D28&lt;&gt;"Serviço",AND(AUTOEVENTO="Manual",$M28=$A$15),$M28&gt;(ROW(PLE.lastrow)-ROW(PLE.firstrow))),0,
           IF(OFFSET(PLE!$G$15,$M28-$A$15,BX$13)="",10^12,OFFSET(PLE!$G$15,$M28-$A$15,BX$13)))</f>
        <v>0</v>
      </c>
      <c r="BY28" s="172">
        <f ca="1">IF(OR($D28&lt;&gt;"Serviço",AND(AUTOEVENTO="Manual",$M28=$A$15),$M28&gt;(ROW(PLE.lastrow)-ROW(PLE.firstrow))),0,
           IF(OFFSET(PLE!$G$15,$M28-$A$15,BY$13)="",10^12,OFFSET(PLE!$G$15,$M28-$A$15,BY$13)))</f>
        <v>0</v>
      </c>
      <c r="BZ28" s="172">
        <f ca="1">IF(OR($D28&lt;&gt;"Serviço",AND(AUTOEVENTO="Manual",$M28=$A$15),$M28&gt;(ROW(PLE.lastrow)-ROW(PLE.firstrow))),0,
           IF(OFFSET(PLE!$G$15,$M28-$A$15,BZ$13)="",10^12,OFFSET(PLE!$G$15,$M28-$A$15,BZ$13)))</f>
        <v>0</v>
      </c>
      <c r="CA28" s="172">
        <f ca="1">IF(OR($D28&lt;&gt;"Serviço",AND(AUTOEVENTO="Manual",$M28=$A$15),$M28&gt;(ROW(PLE.lastrow)-ROW(PLE.firstrow))),0,
           IF(OFFSET(PLE!$G$15,$M28-$A$15,CA$13)="",10^12,OFFSET(PLE!$G$15,$M28-$A$15,CA$13)))</f>
        <v>0</v>
      </c>
      <c r="CB28" s="172">
        <f ca="1">IF(OR($D28&lt;&gt;"Serviço",AND(AUTOEVENTO="Manual",$M28=$A$15),$M28&gt;(ROW(PLE.lastrow)-ROW(PLE.firstrow))),0,
           IF(OFFSET(PLE!$G$15,$M28-$A$15,CB$13)="",10^12,OFFSET(PLE!$G$15,$M28-$A$15,CB$13)))</f>
        <v>0</v>
      </c>
      <c r="CC28" s="172">
        <f ca="1">IF(OR($D28&lt;&gt;"Serviço",AND(AUTOEVENTO="Manual",$M28=$A$15),$M28&gt;(ROW(PLE.lastrow)-ROW(PLE.firstrow))),0,
           IF(OFFSET(PLE!$G$15,$M28-$A$15,CC$13)="",10^12,OFFSET(PLE!$G$15,$M28-$A$15,CC$13)))</f>
        <v>0</v>
      </c>
      <c r="CD28" s="172">
        <f ca="1">IF(OR($D28&lt;&gt;"Serviço",AND(AUTOEVENTO="Manual",$M28=$A$15),$M28&gt;(ROW(PLE.lastrow)-ROW(PLE.firstrow))),0,
           IF(OFFSET(PLE!$G$15,$M28-$A$15,CD$13)="",10^12,OFFSET(PLE!$G$15,$M28-$A$15,CD$13)))</f>
        <v>0</v>
      </c>
      <c r="CE28" s="172">
        <f ca="1">IF(OR($D28&lt;&gt;"Serviço",AND(AUTOEVENTO="Manual",$M28=$A$15),$M28&gt;(ROW(PLE.lastrow)-ROW(PLE.firstrow))),0,
           IF(OFFSET(PLE!$G$15,$M28-$A$15,CE$13)="",10^12,OFFSET(PLE!$G$15,$M28-$A$15,CE$13)))</f>
        <v>0</v>
      </c>
      <c r="CF28" s="172">
        <f ca="1">IF(OR($D28&lt;&gt;"Serviço",AND(AUTOEVENTO="Manual",$M28=$A$15),$M28&gt;(ROW(PLE.lastrow)-ROW(PLE.firstrow))),0,
           IF(OFFSET(PLE!$G$15,$M28-$A$15,CF$13)="",10^12,OFFSET(PLE!$G$15,$M28-$A$15,CF$13)))</f>
        <v>0</v>
      </c>
      <c r="CG28" s="172">
        <f ca="1">IF(OR($D28&lt;&gt;"Serviço",AND(AUTOEVENTO="Manual",$M28=$A$15),$M28&gt;(ROW(PLE.lastrow)-ROW(PLE.firstrow))),0,
           IF(OFFSET(PLE!$G$15,$M28-$A$15,CG$13)="",10^12,OFFSET(PLE!$G$15,$M28-$A$15,CG$13)))</f>
        <v>0</v>
      </c>
      <c r="CH28" s="172">
        <f ca="1">IF(OR($D28&lt;&gt;"Serviço",AND(AUTOEVENTO="Manual",$M28=$A$15),$M28&gt;(ROW(PLE.lastrow)-ROW(PLE.firstrow))),0,
           IF(OFFSET(PLE!$G$15,$M28-$A$15,CH$13)="",10^12,OFFSET(PLE!$G$15,$M28-$A$15,CH$13)))</f>
        <v>0</v>
      </c>
      <c r="CI28" s="172">
        <f ca="1">IF(OR($D28&lt;&gt;"Serviço",AND(AUTOEVENTO="Manual",$M28=$A$15),$M28&gt;(ROW(PLE.lastrow)-ROW(PLE.firstrow))),0,
           IF(OFFSET(PLE!$G$15,$M28-$A$15,CI$13)="",10^12,OFFSET(PLE!$G$15,$M28-$A$15,CI$13)))</f>
        <v>0</v>
      </c>
      <c r="CJ28" s="172">
        <f ca="1">IF(OR($D28&lt;&gt;"Serviço",AND(AUTOEVENTO="Manual",$M28=$A$15),$M28&gt;(ROW(PLE.lastrow)-ROW(PLE.firstrow))),0,
           IF(OFFSET(PLE!$G$15,$M28-$A$15,CJ$13)="",10^12,OFFSET(PLE!$G$15,$M28-$A$15,CJ$13)))</f>
        <v>0</v>
      </c>
      <c r="CK28" s="172">
        <f ca="1">IF(OR($D28&lt;&gt;"Serviço",AND(AUTOEVENTO="Manual",$M28=$A$15),$M28&gt;(ROW(PLE.lastrow)-ROW(PLE.firstrow))),0,
           IF(OFFSET(PLE!$G$15,$M28-$A$15,CK$13)="",10^12,OFFSET(PLE!$G$15,$M28-$A$15,CK$13)))</f>
        <v>0</v>
      </c>
      <c r="CL28" s="172">
        <f ca="1">IF(OR($D28&lt;&gt;"Serviço",AND(AUTOEVENTO="Manual",$M28=$A$15),$M28&gt;(ROW(PLE.lastrow)-ROW(PLE.firstrow))),0,
           IF(OFFSET(PLE!$G$15,$M28-$A$15,CL$13)="",10^12,OFFSET(PLE!$G$15,$M28-$A$15,CL$13)))</f>
        <v>0</v>
      </c>
      <c r="CM28" s="172">
        <f ca="1">IF(OR($D28&lt;&gt;"Serviço",AND(AUTOEVENTO="Manual",$M28=$A$15),$M28&gt;(ROW(PLE.lastrow)-ROW(PLE.firstrow))),0,
           IF(OFFSET(PLE!$G$15,$M28-$A$15,CM$13)="",10^12,OFFSET(PLE!$G$15,$M28-$A$15,CM$13)))</f>
        <v>0</v>
      </c>
    </row>
    <row r="29" spans="1:91" ht="51" x14ac:dyDescent="0.2">
      <c r="A29" s="7">
        <f t="shared" ca="1" si="10"/>
        <v>2</v>
      </c>
      <c r="B29" s="7" t="str">
        <f ca="1">OFFSET(ORÇAMENTO!C$15,ROW(B29)-ROW(B$15),0)</f>
        <v>S</v>
      </c>
      <c r="C29" s="7" t="str">
        <f ca="1">OFFSET(ORÇAMENTO!L$15,ROW(C29)-ROW(C$15),0)</f>
        <v>F</v>
      </c>
      <c r="D29" s="116" t="str">
        <f ca="1">OFFSET(ORÇAMENTO!N$15,ROW(D29)-ROW(D$15),0)</f>
        <v>Serviço</v>
      </c>
      <c r="E29" s="117" t="str">
        <f ca="1">OFFSET(ORÇAMENTO!O$15,ROW(E29)-ROW(E$15),0)</f>
        <v>1.3.1.0.1.</v>
      </c>
      <c r="F29" s="163" t="str">
        <f ca="1">OFFSET(ORÇAMENTO!R$15,ROW(F29)-ROW(F$15),0)</f>
        <v>FORNECIMENTO E INSTALAÇÃO DE PLACA DE OBRA COM CHAPA GALVANIZADA E ESTRUTURA DE MADEIRA. AF_03/2022_PS</v>
      </c>
      <c r="G29" s="164" t="str">
        <f ca="1">IF($D29&lt;&gt;"Serviço","",OFFSET(ORÇAMENTO!S$15,ROW(G29)-ROW(G$15),0))</f>
        <v>M2</v>
      </c>
      <c r="H29" s="122" cm="1">
        <f t="array" aca="1" ref="H29" ca="1">IF($D29&lt;&gt;"Serviço",0,IF(ACOMPANHAMENTO="BM",ROUND(OFFSET(ORÇAMENTO!AJ$15,ROW(H29)-ROW(H$15),0),15-13*ORÇAMENTO!$AF$7),SUMPRODUCT(($Q$1:$AI$1=1)*ROUND($Q29:$AI29,15-13*ORÇAMENTO!$AF$7))))</f>
        <v>6.48</v>
      </c>
      <c r="I29" s="468" t="s">
        <v>1411</v>
      </c>
      <c r="J29" s="640" t="str" cm="1">
        <f t="array" aca="1" ref="J29" ca="1">IF(OR(B29&lt;&gt;"S",CÁLCULO.FrentesPreenchidas=0),"",IF(AND(ACOMPANHAMENTO="PLE",AUTOEVENTO="Manual",OR(H29&gt;0,ORÇAMENTO!AC29="QUANT."),OR(K29="",M29=0,N29="")),"►E",IF(AND(ACOMPANHAMENTO="PLE",ORÇAMENTO!AC29="QUANT."),"►Q",IF(AND(ACOMPANHAMENTO="PLE",H29&lt;&gt;SUMPRODUCT(($Q$1:$AI$1=1)*ROUND(Q29:AI29,15))),"►S",IF(AND(COUNTIF($P$11:$AI$11,"▼")=0,H29&gt;0,I29=""),"◄M","")))))</f>
        <v/>
      </c>
      <c r="K29" s="641" t="s">
        <v>1387</v>
      </c>
      <c r="L29" s="165" t="s">
        <v>764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Serviços Iniciais</v>
      </c>
      <c r="O29" s="168"/>
      <c r="Q29" s="168">
        <v>6.48</v>
      </c>
      <c r="R29" s="169"/>
      <c r="S29" s="169"/>
      <c r="T29" s="169"/>
      <c r="U29" s="169"/>
      <c r="V29" s="169"/>
      <c r="W29" s="169"/>
      <c r="X29" s="169"/>
      <c r="Y29" s="169"/>
      <c r="Z29" s="170"/>
      <c r="AA29" s="169"/>
      <c r="AB29" s="169"/>
      <c r="AC29" s="169"/>
      <c r="AD29" s="169"/>
      <c r="AE29" s="169"/>
      <c r="AF29" s="169"/>
      <c r="AG29" s="169"/>
      <c r="AH29" s="170"/>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L29" s="453">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0</v>
      </c>
      <c r="AM29" s="453">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0</v>
      </c>
      <c r="AN29" s="453">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0</v>
      </c>
      <c r="AO29" s="453">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0</v>
      </c>
      <c r="AP29" s="453">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0</v>
      </c>
      <c r="AQ29" s="453">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0</v>
      </c>
      <c r="AR29" s="453">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53">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53">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53">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3">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3">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3">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3">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3">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3">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1">
        <f ca="1">IF(OR($D29&lt;&gt;"Serviço",AND(AUTOEVENTO="Manual",$M29=$A$15)),0,
         IF(OFFSET(CRONOPLE!$F$15,$M29-$A$15,BC$13)=0,10^12,OFFSET(CRONOPLE!$F$15,$M29-$A$15,BC$13)))</f>
        <v>1</v>
      </c>
      <c r="BD29" s="171">
        <f ca="1">IF(OR($D29&lt;&gt;"Serviço",AND(AUTOEVENTO="Manual",$M29=$A$15)),0,
         IF(OFFSET(CRONOPLE!$F$15,$M29-$A$15,BD$13)=0,10^12,OFFSET(CRONOPLE!$F$15,$M29-$A$15,BD$13)))</f>
        <v>2</v>
      </c>
      <c r="BE29" s="171">
        <f ca="1">IF(OR($D29&lt;&gt;"Serviço",AND(AUTOEVENTO="Manual",$M29=$A$15)),0,
         IF(OFFSET(CRONOPLE!$F$15,$M29-$A$15,BE$13)=0,10^12,OFFSET(CRONOPLE!$F$15,$M29-$A$15,BE$13)))</f>
        <v>3</v>
      </c>
      <c r="BF29" s="171">
        <f ca="1">IF(OR($D29&lt;&gt;"Serviço",AND(AUTOEVENTO="Manual",$M29=$A$15)),0,
         IF(OFFSET(CRONOPLE!$F$15,$M29-$A$15,BF$13)=0,10^12,OFFSET(CRONOPLE!$F$15,$M29-$A$15,BF$13)))</f>
        <v>4</v>
      </c>
      <c r="BG29" s="171">
        <f ca="1">IF(OR($D29&lt;&gt;"Serviço",AND(AUTOEVENTO="Manual",$M29=$A$15)),0,
         IF(OFFSET(CRONOPLE!$F$15,$M29-$A$15,BG$13)=0,10^12,OFFSET(CRONOPLE!$F$15,$M29-$A$15,BG$13)))</f>
        <v>5</v>
      </c>
      <c r="BH29" s="171">
        <f ca="1">IF(OR($D29&lt;&gt;"Serviço",AND(AUTOEVENTO="Manual",$M29=$A$15)),0,
         IF(OFFSET(CRONOPLE!$F$15,$M29-$A$15,BH$13)=0,10^12,OFFSET(CRONOPLE!$F$15,$M29-$A$15,BH$13)))</f>
        <v>6</v>
      </c>
      <c r="BI29" s="171">
        <f ca="1">IF(OR($D29&lt;&gt;"Serviço",AND(AUTOEVENTO="Manual",$M29=$A$15)),0,
         IF(OFFSET(CRONOPLE!$F$15,$M29-$A$15,BI$13)=0,10^12,OFFSET(CRONOPLE!$F$15,$M29-$A$15,BI$13)))</f>
        <v>7</v>
      </c>
      <c r="BJ29" s="171">
        <f ca="1">IF(OR($D29&lt;&gt;"Serviço",AND(AUTOEVENTO="Manual",$M29=$A$15)),0,
         IF(OFFSET(CRONOPLE!$F$15,$M29-$A$15,BJ$13)=0,10^12,OFFSET(CRONOPLE!$F$15,$M29-$A$15,BJ$13)))</f>
        <v>8</v>
      </c>
      <c r="BK29" s="171">
        <f ca="1">IF(OR($D29&lt;&gt;"Serviço",AND(AUTOEVENTO="Manual",$M29=$A$15)),0,
         IF(OFFSET(CRONOPLE!$F$15,$M29-$A$15,BK$13)=0,10^12,OFFSET(CRONOPLE!$F$15,$M29-$A$15,BK$13)))</f>
        <v>9</v>
      </c>
      <c r="BL29" s="171">
        <f ca="1">IF(OR($D29&lt;&gt;"Serviço",AND(AUTOEVENTO="Manual",$M29=$A$15)),0,
         IF(OFFSET(CRONOPLE!$F$15,$M29-$A$15,BL$13)=0,10^12,OFFSET(CRONOPLE!$F$15,$M29-$A$15,BL$13)))</f>
        <v>10</v>
      </c>
      <c r="BM29" s="171">
        <f ca="1">IF(OR($D29&lt;&gt;"Serviço",AND(AUTOEVENTO="Manual",$M29=$A$15)),0,
         IF(OFFSET(CRONOPLE!$F$15,$M29-$A$15,BM$13)=0,10^12,OFFSET(CRONOPLE!$F$15,$M29-$A$15,BM$13)))</f>
        <v>1000000000000</v>
      </c>
      <c r="BN29" s="171">
        <f ca="1">IF(OR($D29&lt;&gt;"Serviço",AND(AUTOEVENTO="Manual",$M29=$A$15)),0,
         IF(OFFSET(CRONOPLE!$F$15,$M29-$A$15,BN$13)=0,10^12,OFFSET(CRONOPLE!$F$15,$M29-$A$15,BN$13)))</f>
        <v>1000000000000</v>
      </c>
      <c r="BO29" s="171">
        <f ca="1">IF(OR($D29&lt;&gt;"Serviço",AND(AUTOEVENTO="Manual",$M29=$A$15)),0,
         IF(OFFSET(CRONOPLE!$F$15,$M29-$A$15,BO$13)=0,10^12,OFFSET(CRONOPLE!$F$15,$M29-$A$15,BO$13)))</f>
        <v>1000000000000</v>
      </c>
      <c r="BP29" s="171">
        <f ca="1">IF(OR($D29&lt;&gt;"Serviço",AND(AUTOEVENTO="Manual",$M29=$A$15)),0,
         IF(OFFSET(CRONOPLE!$F$15,$M29-$A$15,BP$13)=0,10^12,OFFSET(CRONOPLE!$F$15,$M29-$A$15,BP$13)))</f>
        <v>1000000000000</v>
      </c>
      <c r="BQ29" s="171">
        <f ca="1">IF(OR($D29&lt;&gt;"Serviço",AND(AUTOEVENTO="Manual",$M29=$A$15)),0,
         IF(OFFSET(CRONOPLE!$F$15,$M29-$A$15,BQ$13)=0,10^12,OFFSET(CRONOPLE!$F$15,$M29-$A$15,BQ$13)))</f>
        <v>1000000000000</v>
      </c>
      <c r="BR29" s="171">
        <f ca="1">IF(OR($D29&lt;&gt;"Serviço",AND(AUTOEVENTO="Manual",$M29=$A$15)),0,
         IF(OFFSET(CRONOPLE!$F$15,$M29-$A$15,BR$13)=0,10^12,OFFSET(CRONOPLE!$F$15,$M29-$A$15,BR$13)))</f>
        <v>1000000000000</v>
      </c>
      <c r="BS29" s="171">
        <f ca="1">IF(OR($D29&lt;&gt;"Serviço",AND(AUTOEVENTO="Manual",$M29=$A$15)),0,
         IF(OFFSET(CRONOPLE!$F$15,$M29-$A$15,BS$13)=0,10^12,OFFSET(CRONOPLE!$F$15,$M29-$A$15,BS$13)))</f>
        <v>1000000000000</v>
      </c>
      <c r="BT29" s="171">
        <f ca="1">IF(OR($D29&lt;&gt;"Serviço",AND(AUTOEVENTO="Manual",$M29=$A$15)),0,
         IF(OFFSET(CRONOPLE!$F$15,$M29-$A$15,BT$13)=0,10^12,OFFSET(CRONOPLE!$F$15,$M29-$A$15,BT$13)))</f>
        <v>1000000000000</v>
      </c>
      <c r="BV29" s="172">
        <f ca="1">IF(OR($D29&lt;&gt;"Serviço",AND(AUTOEVENTO="Manual",$M29=$A$15),$M29&gt;(ROW(PLE.lastrow)-ROW(PLE.firstrow))),0,
           IF(OFFSET(PLE!$G$15,$M29-$A$15,BV$13)="",10^12,OFFSET(PLE!$G$15,$M29-$A$15,BV$13)))</f>
        <v>1000000000000</v>
      </c>
      <c r="BW29" s="172">
        <f ca="1">IF(OR($D29&lt;&gt;"Serviço",AND(AUTOEVENTO="Manual",$M29=$A$15),$M29&gt;(ROW(PLE.lastrow)-ROW(PLE.firstrow))),0,
           IF(OFFSET(PLE!$G$15,$M29-$A$15,BW$13)="",10^12,OFFSET(PLE!$G$15,$M29-$A$15,BW$13)))</f>
        <v>1000000000000</v>
      </c>
      <c r="BX29" s="172">
        <f ca="1">IF(OR($D29&lt;&gt;"Serviço",AND(AUTOEVENTO="Manual",$M29=$A$15),$M29&gt;(ROW(PLE.lastrow)-ROW(PLE.firstrow))),0,
           IF(OFFSET(PLE!$G$15,$M29-$A$15,BX$13)="",10^12,OFFSET(PLE!$G$15,$M29-$A$15,BX$13)))</f>
        <v>1000000000000</v>
      </c>
      <c r="BY29" s="172">
        <f ca="1">IF(OR($D29&lt;&gt;"Serviço",AND(AUTOEVENTO="Manual",$M29=$A$15),$M29&gt;(ROW(PLE.lastrow)-ROW(PLE.firstrow))),0,
           IF(OFFSET(PLE!$G$15,$M29-$A$15,BY$13)="",10^12,OFFSET(PLE!$G$15,$M29-$A$15,BY$13)))</f>
        <v>1000000000000</v>
      </c>
      <c r="BZ29" s="172">
        <f ca="1">IF(OR($D29&lt;&gt;"Serviço",AND(AUTOEVENTO="Manual",$M29=$A$15),$M29&gt;(ROW(PLE.lastrow)-ROW(PLE.firstrow))),0,
           IF(OFFSET(PLE!$G$15,$M29-$A$15,BZ$13)="",10^12,OFFSET(PLE!$G$15,$M29-$A$15,BZ$13)))</f>
        <v>1000000000000</v>
      </c>
      <c r="CA29" s="172">
        <f ca="1">IF(OR($D29&lt;&gt;"Serviço",AND(AUTOEVENTO="Manual",$M29=$A$15),$M29&gt;(ROW(PLE.lastrow)-ROW(PLE.firstrow))),0,
           IF(OFFSET(PLE!$G$15,$M29-$A$15,CA$13)="",10^12,OFFSET(PLE!$G$15,$M29-$A$15,CA$13)))</f>
        <v>1000000000000</v>
      </c>
      <c r="CB29" s="172">
        <f ca="1">IF(OR($D29&lt;&gt;"Serviço",AND(AUTOEVENTO="Manual",$M29=$A$15),$M29&gt;(ROW(PLE.lastrow)-ROW(PLE.firstrow))),0,
           IF(OFFSET(PLE!$G$15,$M29-$A$15,CB$13)="",10^12,OFFSET(PLE!$G$15,$M29-$A$15,CB$13)))</f>
        <v>1000000000000</v>
      </c>
      <c r="CC29" s="172">
        <f ca="1">IF(OR($D29&lt;&gt;"Serviço",AND(AUTOEVENTO="Manual",$M29=$A$15),$M29&gt;(ROW(PLE.lastrow)-ROW(PLE.firstrow))),0,
           IF(OFFSET(PLE!$G$15,$M29-$A$15,CC$13)="",10^12,OFFSET(PLE!$G$15,$M29-$A$15,CC$13)))</f>
        <v>1000000000000</v>
      </c>
      <c r="CD29" s="172">
        <f ca="1">IF(OR($D29&lt;&gt;"Serviço",AND(AUTOEVENTO="Manual",$M29=$A$15),$M29&gt;(ROW(PLE.lastrow)-ROW(PLE.firstrow))),0,
           IF(OFFSET(PLE!$G$15,$M29-$A$15,CD$13)="",10^12,OFFSET(PLE!$G$15,$M29-$A$15,CD$13)))</f>
        <v>1000000000000</v>
      </c>
      <c r="CE29" s="172">
        <f ca="1">IF(OR($D29&lt;&gt;"Serviço",AND(AUTOEVENTO="Manual",$M29=$A$15),$M29&gt;(ROW(PLE.lastrow)-ROW(PLE.firstrow))),0,
           IF(OFFSET(PLE!$G$15,$M29-$A$15,CE$13)="",10^12,OFFSET(PLE!$G$15,$M29-$A$15,CE$13)))</f>
        <v>1000000000000</v>
      </c>
      <c r="CF29" s="172">
        <f ca="1">IF(OR($D29&lt;&gt;"Serviço",AND(AUTOEVENTO="Manual",$M29=$A$15),$M29&gt;(ROW(PLE.lastrow)-ROW(PLE.firstrow))),0,
           IF(OFFSET(PLE!$G$15,$M29-$A$15,CF$13)="",10^12,OFFSET(PLE!$G$15,$M29-$A$15,CF$13)))</f>
        <v>1000000000000</v>
      </c>
      <c r="CG29" s="172">
        <f ca="1">IF(OR($D29&lt;&gt;"Serviço",AND(AUTOEVENTO="Manual",$M29=$A$15),$M29&gt;(ROW(PLE.lastrow)-ROW(PLE.firstrow))),0,
           IF(OFFSET(PLE!$G$15,$M29-$A$15,CG$13)="",10^12,OFFSET(PLE!$G$15,$M29-$A$15,CG$13)))</f>
        <v>1000000000000</v>
      </c>
      <c r="CH29" s="172">
        <f ca="1">IF(OR($D29&lt;&gt;"Serviço",AND(AUTOEVENTO="Manual",$M29=$A$15),$M29&gt;(ROW(PLE.lastrow)-ROW(PLE.firstrow))),0,
           IF(OFFSET(PLE!$G$15,$M29-$A$15,CH$13)="",10^12,OFFSET(PLE!$G$15,$M29-$A$15,CH$13)))</f>
        <v>1000000000000</v>
      </c>
      <c r="CI29" s="172">
        <f ca="1">IF(OR($D29&lt;&gt;"Serviço",AND(AUTOEVENTO="Manual",$M29=$A$15),$M29&gt;(ROW(PLE.lastrow)-ROW(PLE.firstrow))),0,
           IF(OFFSET(PLE!$G$15,$M29-$A$15,CI$13)="",10^12,OFFSET(PLE!$G$15,$M29-$A$15,CI$13)))</f>
        <v>1000000000000</v>
      </c>
      <c r="CJ29" s="172">
        <f ca="1">IF(OR($D29&lt;&gt;"Serviço",AND(AUTOEVENTO="Manual",$M29=$A$15),$M29&gt;(ROW(PLE.lastrow)-ROW(PLE.firstrow))),0,
           IF(OFFSET(PLE!$G$15,$M29-$A$15,CJ$13)="",10^12,OFFSET(PLE!$G$15,$M29-$A$15,CJ$13)))</f>
        <v>1000000000000</v>
      </c>
      <c r="CK29" s="172">
        <f ca="1">IF(OR($D29&lt;&gt;"Serviço",AND(AUTOEVENTO="Manual",$M29=$A$15),$M29&gt;(ROW(PLE.lastrow)-ROW(PLE.firstrow))),0,
           IF(OFFSET(PLE!$G$15,$M29-$A$15,CK$13)="",10^12,OFFSET(PLE!$G$15,$M29-$A$15,CK$13)))</f>
        <v>1000000000000</v>
      </c>
      <c r="CL29" s="172">
        <f ca="1">IF(OR($D29&lt;&gt;"Serviço",AND(AUTOEVENTO="Manual",$M29=$A$15),$M29&gt;(ROW(PLE.lastrow)-ROW(PLE.firstrow))),0,
           IF(OFFSET(PLE!$G$15,$M29-$A$15,CL$13)="",10^12,OFFSET(PLE!$G$15,$M29-$A$15,CL$13)))</f>
        <v>1000000000000</v>
      </c>
      <c r="CM29" s="172">
        <f ca="1">IF(OR($D29&lt;&gt;"Serviço",AND(AUTOEVENTO="Manual",$M29=$A$15),$M29&gt;(ROW(PLE.lastrow)-ROW(PLE.firstrow))),0,
           IF(OFFSET(PLE!$G$15,$M29-$A$15,CM$13)="",10^12,OFFSET(PLE!$G$15,$M29-$A$15,CM$13)))</f>
        <v>1000000000000</v>
      </c>
    </row>
    <row r="30" spans="1:91" ht="12.75" x14ac:dyDescent="0.2">
      <c r="A30" s="7">
        <f t="shared" ca="1" si="10"/>
        <v>0</v>
      </c>
      <c r="B30" s="7">
        <f ca="1">OFFSET(ORÇAMENTO!C$15,ROW(B30)-ROW(B$15),0)</f>
        <v>3</v>
      </c>
      <c r="C30" s="7" t="str">
        <f ca="1">OFFSET(ORÇAMENTO!L$15,ROW(C30)-ROW(C$15),0)</f>
        <v>F</v>
      </c>
      <c r="D30" s="116" t="str">
        <f ca="1">OFFSET(ORÇAMENTO!N$15,ROW(D30)-ROW(D$15),0)</f>
        <v>Nível 3</v>
      </c>
      <c r="E30" s="117" t="str">
        <f ca="1">OFFSET(ORÇAMENTO!O$15,ROW(E30)-ROW(E$15),0)</f>
        <v>1.3.2.</v>
      </c>
      <c r="F30" s="163" t="str">
        <f ca="1">OFFSET(ORÇAMENTO!R$15,ROW(F30)-ROW(F$15),0)</f>
        <v>CANTEIRO DE OBRA</v>
      </c>
      <c r="G30" s="164" t="str">
        <f ca="1">IF($D30&lt;&gt;"Serviço","",OFFSET(ORÇAMENTO!S$15,ROW(G30)-ROW(G$15),0))</f>
        <v/>
      </c>
      <c r="H30" s="122" cm="1">
        <f t="array" aca="1" ref="H30" ca="1">IF($D30&lt;&gt;"Serviço",0,IF(ACOMPANHAMENTO="BM",ROUND(OFFSET(ORÇAMENTO!AJ$15,ROW(H30)-ROW(H$15),0),15-13*ORÇAMENTO!$AF$7),SUMPRODUCT(($Q$1:$AI$1=1)*ROUND($Q30:$AI30,15-13*ORÇAMENTO!$AF$7))))</f>
        <v>0</v>
      </c>
      <c r="I30" s="468"/>
      <c r="J30" s="640" t="str" cm="1">
        <f t="array" aca="1" ref="J30" ca="1">IF(OR(B30&lt;&gt;"S",CÁLCULO.FrentesPreenchidas=0),"",IF(AND(ACOMPANHAMENTO="PLE",AUTOEVENTO="Manual",OR(H30&gt;0,ORÇAMENTO!AC30="QUANT."),OR(K30="",M30=0,N30="")),"►E",IF(AND(ACOMPANHAMENTO="PLE",ORÇAMENTO!AC30="QUANT."),"►Q",IF(AND(ACOMPANHAMENTO="PLE",H30&lt;&gt;SUMPRODUCT(($Q$1:$AI$1=1)*ROUND(Q30:AI30,15))),"►S",IF(AND(COUNTIF($P$11:$AI$11,"▼")=0,H30&gt;0,I30=""),"◄M","")))))</f>
        <v/>
      </c>
      <c r="K30" s="641"/>
      <c r="L30" s="165" t="s">
        <v>764</v>
      </c>
      <c r="M30" s="166" t="str">
        <f ca="1">IF($D30&lt;&gt;"Serviço","",
          IF(AUTOEVENTO="manual",$A30,
                IF(ISERROR(MATCH($A30,$A$15:OFFSET($A30,-1,0),0)),MAX($M$15:OFFSET(M30,-1,0))+1,
                      INDEX($M$15:OFFSET(M30,-1,0),MATCH($A30,$A$15:OFFSET($A30,-1,0),0)))))</f>
        <v/>
      </c>
      <c r="N30" s="167" t="str">
        <f ca="1">IF($D30&lt;&gt;"Serviço","",
         IF(AUTOEVENTO="Manual",
                IF($A30=0,"&lt;-- defina o número do agrupador",
                       OFFSET(EVENTOS!$D$15,$A30-$A$15,0)),
                OFFSET($F$15,$A30,0)))</f>
        <v/>
      </c>
      <c r="O30" s="168"/>
      <c r="Q30" s="168"/>
      <c r="R30" s="169"/>
      <c r="S30" s="169"/>
      <c r="T30" s="169"/>
      <c r="U30" s="169"/>
      <c r="V30" s="169"/>
      <c r="W30" s="169"/>
      <c r="X30" s="169"/>
      <c r="Y30" s="169"/>
      <c r="Z30" s="170"/>
      <c r="AA30" s="169"/>
      <c r="AB30" s="169"/>
      <c r="AC30" s="169"/>
      <c r="AD30" s="169"/>
      <c r="AE30" s="169"/>
      <c r="AF30" s="169"/>
      <c r="AG30" s="169"/>
      <c r="AH30" s="170"/>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L30" s="453">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0</v>
      </c>
      <c r="AM30" s="453">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0</v>
      </c>
      <c r="AN30" s="453">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0</v>
      </c>
      <c r="AO30" s="453">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0</v>
      </c>
      <c r="AP30" s="453">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0</v>
      </c>
      <c r="AQ30" s="453">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0</v>
      </c>
      <c r="AR30" s="453">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0</v>
      </c>
      <c r="AS30" s="453">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0</v>
      </c>
      <c r="AT30" s="453">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0</v>
      </c>
      <c r="AU30" s="453">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0</v>
      </c>
      <c r="AV30" s="453">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0</v>
      </c>
      <c r="AW30" s="453">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3">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3">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3">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3">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1">
        <f ca="1">IF(OR($D30&lt;&gt;"Serviço",AND(AUTOEVENTO="Manual",$M30=$A$15)),0,
         IF(OFFSET(CRONOPLE!$F$15,$M30-$A$15,BC$13)=0,10^12,OFFSET(CRONOPLE!$F$15,$M30-$A$15,BC$13)))</f>
        <v>0</v>
      </c>
      <c r="BD30" s="171">
        <f ca="1">IF(OR($D30&lt;&gt;"Serviço",AND(AUTOEVENTO="Manual",$M30=$A$15)),0,
         IF(OFFSET(CRONOPLE!$F$15,$M30-$A$15,BD$13)=0,10^12,OFFSET(CRONOPLE!$F$15,$M30-$A$15,BD$13)))</f>
        <v>0</v>
      </c>
      <c r="BE30" s="171">
        <f ca="1">IF(OR($D30&lt;&gt;"Serviço",AND(AUTOEVENTO="Manual",$M30=$A$15)),0,
         IF(OFFSET(CRONOPLE!$F$15,$M30-$A$15,BE$13)=0,10^12,OFFSET(CRONOPLE!$F$15,$M30-$A$15,BE$13)))</f>
        <v>0</v>
      </c>
      <c r="BF30" s="171">
        <f ca="1">IF(OR($D30&lt;&gt;"Serviço",AND(AUTOEVENTO="Manual",$M30=$A$15)),0,
         IF(OFFSET(CRONOPLE!$F$15,$M30-$A$15,BF$13)=0,10^12,OFFSET(CRONOPLE!$F$15,$M30-$A$15,BF$13)))</f>
        <v>0</v>
      </c>
      <c r="BG30" s="171">
        <f ca="1">IF(OR($D30&lt;&gt;"Serviço",AND(AUTOEVENTO="Manual",$M30=$A$15)),0,
         IF(OFFSET(CRONOPLE!$F$15,$M30-$A$15,BG$13)=0,10^12,OFFSET(CRONOPLE!$F$15,$M30-$A$15,BG$13)))</f>
        <v>0</v>
      </c>
      <c r="BH30" s="171">
        <f ca="1">IF(OR($D30&lt;&gt;"Serviço",AND(AUTOEVENTO="Manual",$M30=$A$15)),0,
         IF(OFFSET(CRONOPLE!$F$15,$M30-$A$15,BH$13)=0,10^12,OFFSET(CRONOPLE!$F$15,$M30-$A$15,BH$13)))</f>
        <v>0</v>
      </c>
      <c r="BI30" s="171">
        <f ca="1">IF(OR($D30&lt;&gt;"Serviço",AND(AUTOEVENTO="Manual",$M30=$A$15)),0,
         IF(OFFSET(CRONOPLE!$F$15,$M30-$A$15,BI$13)=0,10^12,OFFSET(CRONOPLE!$F$15,$M30-$A$15,BI$13)))</f>
        <v>0</v>
      </c>
      <c r="BJ30" s="171">
        <f ca="1">IF(OR($D30&lt;&gt;"Serviço",AND(AUTOEVENTO="Manual",$M30=$A$15)),0,
         IF(OFFSET(CRONOPLE!$F$15,$M30-$A$15,BJ$13)=0,10^12,OFFSET(CRONOPLE!$F$15,$M30-$A$15,BJ$13)))</f>
        <v>0</v>
      </c>
      <c r="BK30" s="171">
        <f ca="1">IF(OR($D30&lt;&gt;"Serviço",AND(AUTOEVENTO="Manual",$M30=$A$15)),0,
         IF(OFFSET(CRONOPLE!$F$15,$M30-$A$15,BK$13)=0,10^12,OFFSET(CRONOPLE!$F$15,$M30-$A$15,BK$13)))</f>
        <v>0</v>
      </c>
      <c r="BL30" s="171">
        <f ca="1">IF(OR($D30&lt;&gt;"Serviço",AND(AUTOEVENTO="Manual",$M30=$A$15)),0,
         IF(OFFSET(CRONOPLE!$F$15,$M30-$A$15,BL$13)=0,10^12,OFFSET(CRONOPLE!$F$15,$M30-$A$15,BL$13)))</f>
        <v>0</v>
      </c>
      <c r="BM30" s="171">
        <f ca="1">IF(OR($D30&lt;&gt;"Serviço",AND(AUTOEVENTO="Manual",$M30=$A$15)),0,
         IF(OFFSET(CRONOPLE!$F$15,$M30-$A$15,BM$13)=0,10^12,OFFSET(CRONOPLE!$F$15,$M30-$A$15,BM$13)))</f>
        <v>0</v>
      </c>
      <c r="BN30" s="171">
        <f ca="1">IF(OR($D30&lt;&gt;"Serviço",AND(AUTOEVENTO="Manual",$M30=$A$15)),0,
         IF(OFFSET(CRONOPLE!$F$15,$M30-$A$15,BN$13)=0,10^12,OFFSET(CRONOPLE!$F$15,$M30-$A$15,BN$13)))</f>
        <v>0</v>
      </c>
      <c r="BO30" s="171">
        <f ca="1">IF(OR($D30&lt;&gt;"Serviço",AND(AUTOEVENTO="Manual",$M30=$A$15)),0,
         IF(OFFSET(CRONOPLE!$F$15,$M30-$A$15,BO$13)=0,10^12,OFFSET(CRONOPLE!$F$15,$M30-$A$15,BO$13)))</f>
        <v>0</v>
      </c>
      <c r="BP30" s="171">
        <f ca="1">IF(OR($D30&lt;&gt;"Serviço",AND(AUTOEVENTO="Manual",$M30=$A$15)),0,
         IF(OFFSET(CRONOPLE!$F$15,$M30-$A$15,BP$13)=0,10^12,OFFSET(CRONOPLE!$F$15,$M30-$A$15,BP$13)))</f>
        <v>0</v>
      </c>
      <c r="BQ30" s="171">
        <f ca="1">IF(OR($D30&lt;&gt;"Serviço",AND(AUTOEVENTO="Manual",$M30=$A$15)),0,
         IF(OFFSET(CRONOPLE!$F$15,$M30-$A$15,BQ$13)=0,10^12,OFFSET(CRONOPLE!$F$15,$M30-$A$15,BQ$13)))</f>
        <v>0</v>
      </c>
      <c r="BR30" s="171">
        <f ca="1">IF(OR($D30&lt;&gt;"Serviço",AND(AUTOEVENTO="Manual",$M30=$A$15)),0,
         IF(OFFSET(CRONOPLE!$F$15,$M30-$A$15,BR$13)=0,10^12,OFFSET(CRONOPLE!$F$15,$M30-$A$15,BR$13)))</f>
        <v>0</v>
      </c>
      <c r="BS30" s="171">
        <f ca="1">IF(OR($D30&lt;&gt;"Serviço",AND(AUTOEVENTO="Manual",$M30=$A$15)),0,
         IF(OFFSET(CRONOPLE!$F$15,$M30-$A$15,BS$13)=0,10^12,OFFSET(CRONOPLE!$F$15,$M30-$A$15,BS$13)))</f>
        <v>0</v>
      </c>
      <c r="BT30" s="171">
        <f ca="1">IF(OR($D30&lt;&gt;"Serviço",AND(AUTOEVENTO="Manual",$M30=$A$15)),0,
         IF(OFFSET(CRONOPLE!$F$15,$M30-$A$15,BT$13)=0,10^12,OFFSET(CRONOPLE!$F$15,$M30-$A$15,BT$13)))</f>
        <v>0</v>
      </c>
      <c r="BV30" s="172">
        <f ca="1">IF(OR($D30&lt;&gt;"Serviço",AND(AUTOEVENTO="Manual",$M30=$A$15),$M30&gt;(ROW(PLE.lastrow)-ROW(PLE.firstrow))),0,
           IF(OFFSET(PLE!$G$15,$M30-$A$15,BV$13)="",10^12,OFFSET(PLE!$G$15,$M30-$A$15,BV$13)))</f>
        <v>0</v>
      </c>
      <c r="BW30" s="172">
        <f ca="1">IF(OR($D30&lt;&gt;"Serviço",AND(AUTOEVENTO="Manual",$M30=$A$15),$M30&gt;(ROW(PLE.lastrow)-ROW(PLE.firstrow))),0,
           IF(OFFSET(PLE!$G$15,$M30-$A$15,BW$13)="",10^12,OFFSET(PLE!$G$15,$M30-$A$15,BW$13)))</f>
        <v>0</v>
      </c>
      <c r="BX30" s="172">
        <f ca="1">IF(OR($D30&lt;&gt;"Serviço",AND(AUTOEVENTO="Manual",$M30=$A$15),$M30&gt;(ROW(PLE.lastrow)-ROW(PLE.firstrow))),0,
           IF(OFFSET(PLE!$G$15,$M30-$A$15,BX$13)="",10^12,OFFSET(PLE!$G$15,$M30-$A$15,BX$13)))</f>
        <v>0</v>
      </c>
      <c r="BY30" s="172">
        <f ca="1">IF(OR($D30&lt;&gt;"Serviço",AND(AUTOEVENTO="Manual",$M30=$A$15),$M30&gt;(ROW(PLE.lastrow)-ROW(PLE.firstrow))),0,
           IF(OFFSET(PLE!$G$15,$M30-$A$15,BY$13)="",10^12,OFFSET(PLE!$G$15,$M30-$A$15,BY$13)))</f>
        <v>0</v>
      </c>
      <c r="BZ30" s="172">
        <f ca="1">IF(OR($D30&lt;&gt;"Serviço",AND(AUTOEVENTO="Manual",$M30=$A$15),$M30&gt;(ROW(PLE.lastrow)-ROW(PLE.firstrow))),0,
           IF(OFFSET(PLE!$G$15,$M30-$A$15,BZ$13)="",10^12,OFFSET(PLE!$G$15,$M30-$A$15,BZ$13)))</f>
        <v>0</v>
      </c>
      <c r="CA30" s="172">
        <f ca="1">IF(OR($D30&lt;&gt;"Serviço",AND(AUTOEVENTO="Manual",$M30=$A$15),$M30&gt;(ROW(PLE.lastrow)-ROW(PLE.firstrow))),0,
           IF(OFFSET(PLE!$G$15,$M30-$A$15,CA$13)="",10^12,OFFSET(PLE!$G$15,$M30-$A$15,CA$13)))</f>
        <v>0</v>
      </c>
      <c r="CB30" s="172">
        <f ca="1">IF(OR($D30&lt;&gt;"Serviço",AND(AUTOEVENTO="Manual",$M30=$A$15),$M30&gt;(ROW(PLE.lastrow)-ROW(PLE.firstrow))),0,
           IF(OFFSET(PLE!$G$15,$M30-$A$15,CB$13)="",10^12,OFFSET(PLE!$G$15,$M30-$A$15,CB$13)))</f>
        <v>0</v>
      </c>
      <c r="CC30" s="172">
        <f ca="1">IF(OR($D30&lt;&gt;"Serviço",AND(AUTOEVENTO="Manual",$M30=$A$15),$M30&gt;(ROW(PLE.lastrow)-ROW(PLE.firstrow))),0,
           IF(OFFSET(PLE!$G$15,$M30-$A$15,CC$13)="",10^12,OFFSET(PLE!$G$15,$M30-$A$15,CC$13)))</f>
        <v>0</v>
      </c>
      <c r="CD30" s="172">
        <f ca="1">IF(OR($D30&lt;&gt;"Serviço",AND(AUTOEVENTO="Manual",$M30=$A$15),$M30&gt;(ROW(PLE.lastrow)-ROW(PLE.firstrow))),0,
           IF(OFFSET(PLE!$G$15,$M30-$A$15,CD$13)="",10^12,OFFSET(PLE!$G$15,$M30-$A$15,CD$13)))</f>
        <v>0</v>
      </c>
      <c r="CE30" s="172">
        <f ca="1">IF(OR($D30&lt;&gt;"Serviço",AND(AUTOEVENTO="Manual",$M30=$A$15),$M30&gt;(ROW(PLE.lastrow)-ROW(PLE.firstrow))),0,
           IF(OFFSET(PLE!$G$15,$M30-$A$15,CE$13)="",10^12,OFFSET(PLE!$G$15,$M30-$A$15,CE$13)))</f>
        <v>0</v>
      </c>
      <c r="CF30" s="172">
        <f ca="1">IF(OR($D30&lt;&gt;"Serviço",AND(AUTOEVENTO="Manual",$M30=$A$15),$M30&gt;(ROW(PLE.lastrow)-ROW(PLE.firstrow))),0,
           IF(OFFSET(PLE!$G$15,$M30-$A$15,CF$13)="",10^12,OFFSET(PLE!$G$15,$M30-$A$15,CF$13)))</f>
        <v>0</v>
      </c>
      <c r="CG30" s="172">
        <f ca="1">IF(OR($D30&lt;&gt;"Serviço",AND(AUTOEVENTO="Manual",$M30=$A$15),$M30&gt;(ROW(PLE.lastrow)-ROW(PLE.firstrow))),0,
           IF(OFFSET(PLE!$G$15,$M30-$A$15,CG$13)="",10^12,OFFSET(PLE!$G$15,$M30-$A$15,CG$13)))</f>
        <v>0</v>
      </c>
      <c r="CH30" s="172">
        <f ca="1">IF(OR($D30&lt;&gt;"Serviço",AND(AUTOEVENTO="Manual",$M30=$A$15),$M30&gt;(ROW(PLE.lastrow)-ROW(PLE.firstrow))),0,
           IF(OFFSET(PLE!$G$15,$M30-$A$15,CH$13)="",10^12,OFFSET(PLE!$G$15,$M30-$A$15,CH$13)))</f>
        <v>0</v>
      </c>
      <c r="CI30" s="172">
        <f ca="1">IF(OR($D30&lt;&gt;"Serviço",AND(AUTOEVENTO="Manual",$M30=$A$15),$M30&gt;(ROW(PLE.lastrow)-ROW(PLE.firstrow))),0,
           IF(OFFSET(PLE!$G$15,$M30-$A$15,CI$13)="",10^12,OFFSET(PLE!$G$15,$M30-$A$15,CI$13)))</f>
        <v>0</v>
      </c>
      <c r="CJ30" s="172">
        <f ca="1">IF(OR($D30&lt;&gt;"Serviço",AND(AUTOEVENTO="Manual",$M30=$A$15),$M30&gt;(ROW(PLE.lastrow)-ROW(PLE.firstrow))),0,
           IF(OFFSET(PLE!$G$15,$M30-$A$15,CJ$13)="",10^12,OFFSET(PLE!$G$15,$M30-$A$15,CJ$13)))</f>
        <v>0</v>
      </c>
      <c r="CK30" s="172">
        <f ca="1">IF(OR($D30&lt;&gt;"Serviço",AND(AUTOEVENTO="Manual",$M30=$A$15),$M30&gt;(ROW(PLE.lastrow)-ROW(PLE.firstrow))),0,
           IF(OFFSET(PLE!$G$15,$M30-$A$15,CK$13)="",10^12,OFFSET(PLE!$G$15,$M30-$A$15,CK$13)))</f>
        <v>0</v>
      </c>
      <c r="CL30" s="172">
        <f ca="1">IF(OR($D30&lt;&gt;"Serviço",AND(AUTOEVENTO="Manual",$M30=$A$15),$M30&gt;(ROW(PLE.lastrow)-ROW(PLE.firstrow))),0,
           IF(OFFSET(PLE!$G$15,$M30-$A$15,CL$13)="",10^12,OFFSET(PLE!$G$15,$M30-$A$15,CL$13)))</f>
        <v>0</v>
      </c>
      <c r="CM30" s="172">
        <f ca="1">IF(OR($D30&lt;&gt;"Serviço",AND(AUTOEVENTO="Manual",$M30=$A$15),$M30&gt;(ROW(PLE.lastrow)-ROW(PLE.firstrow))),0,
           IF(OFFSET(PLE!$G$15,$M30-$A$15,CM$13)="",10^12,OFFSET(PLE!$G$15,$M30-$A$15,CM$13)))</f>
        <v>0</v>
      </c>
    </row>
    <row r="31" spans="1:91" ht="38.25" x14ac:dyDescent="0.2">
      <c r="A31" s="7">
        <f t="shared" ca="1" si="10"/>
        <v>2</v>
      </c>
      <c r="B31" s="7" t="str">
        <f ca="1">OFFSET(ORÇAMENTO!C$15,ROW(B31)-ROW(B$15),0)</f>
        <v>S</v>
      </c>
      <c r="C31" s="7" t="str">
        <f ca="1">OFFSET(ORÇAMENTO!L$15,ROW(C31)-ROW(C$15),0)</f>
        <v>F</v>
      </c>
      <c r="D31" s="116" t="str">
        <f ca="1">OFFSET(ORÇAMENTO!N$15,ROW(D31)-ROW(D$15),0)</f>
        <v>Serviço</v>
      </c>
      <c r="E31" s="117" t="str">
        <f ca="1">OFFSET(ORÇAMENTO!O$15,ROW(E31)-ROW(E$15),0)</f>
        <v>1.3.2.0.1.</v>
      </c>
      <c r="F31" s="163" t="str">
        <f ca="1">OFFSET(ORÇAMENTO!R$15,ROW(F31)-ROW(F$15),0)</f>
        <v>MOBILIZAÇÃO E DESMOBILIZAÇÃO DE CONTAINER, INCLUSIVE CARGA, DESCARGA E TRANSPORTE EM CAMINHÃO CARROCERIA COM GUINDAUTO (MUNCK), EXCLUSIVE LOCAÇÃO DO CONTAINER</v>
      </c>
      <c r="G31" s="164" t="str">
        <f ca="1">IF($D31&lt;&gt;"Serviço","",OFFSET(ORÇAMENTO!S$15,ROW(G31)-ROW(G$15),0))</f>
        <v>UN</v>
      </c>
      <c r="H31" s="122" cm="1">
        <f t="array" aca="1" ref="H31" ca="1">IF($D31&lt;&gt;"Serviço",0,IF(ACOMPANHAMENTO="BM",ROUND(OFFSET(ORÇAMENTO!AJ$15,ROW(H31)-ROW(H$15),0),15-13*ORÇAMENTO!$AF$7),SUMPRODUCT(($Q$1:$AI$1=1)*ROUND($Q31:$AI31,15-13*ORÇAMENTO!$AF$7))))</f>
        <v>4</v>
      </c>
      <c r="I31" s="468" t="s">
        <v>1292</v>
      </c>
      <c r="J31" s="640" t="str" cm="1">
        <f t="array" aca="1" ref="J31" ca="1">IF(OR(B31&lt;&gt;"S",CÁLCULO.FrentesPreenchidas=0),"",IF(AND(ACOMPANHAMENTO="PLE",AUTOEVENTO="Manual",OR(H31&gt;0,ORÇAMENTO!AC31="QUANT."),OR(K31="",M31=0,N31="")),"►E",IF(AND(ACOMPANHAMENTO="PLE",ORÇAMENTO!AC31="QUANT."),"►Q",IF(AND(ACOMPANHAMENTO="PLE",H31&lt;&gt;SUMPRODUCT(($Q$1:$AI$1=1)*ROUND(Q31:AI31,15))),"►S",IF(AND(COUNTIF($P$11:$AI$11,"▼")=0,H31&gt;0,I31=""),"◄M","")))))</f>
        <v/>
      </c>
      <c r="K31" s="641" t="s">
        <v>1387</v>
      </c>
      <c r="L31" s="165" t="s">
        <v>764</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Serviços Iniciais</v>
      </c>
      <c r="O31" s="168"/>
      <c r="Q31" s="168">
        <v>4</v>
      </c>
      <c r="R31" s="169"/>
      <c r="S31" s="169"/>
      <c r="T31" s="169"/>
      <c r="U31" s="169"/>
      <c r="V31" s="169"/>
      <c r="W31" s="169"/>
      <c r="X31" s="169"/>
      <c r="Y31" s="169"/>
      <c r="Z31" s="170"/>
      <c r="AA31" s="169"/>
      <c r="AB31" s="169"/>
      <c r="AC31" s="169"/>
      <c r="AD31" s="169"/>
      <c r="AE31" s="169"/>
      <c r="AF31" s="169"/>
      <c r="AG31" s="169"/>
      <c r="AH31" s="170"/>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L31" s="453">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0</v>
      </c>
      <c r="AM31" s="453">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0</v>
      </c>
      <c r="AN31" s="453">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0</v>
      </c>
      <c r="AO31" s="453">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0</v>
      </c>
      <c r="AP31" s="453">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0</v>
      </c>
      <c r="AQ31" s="453">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0</v>
      </c>
      <c r="AR31" s="453">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53">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53">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53">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3">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3">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3">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3">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3">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3">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1">
        <f ca="1">IF(OR($D31&lt;&gt;"Serviço",AND(AUTOEVENTO="Manual",$M31=$A$15)),0,
         IF(OFFSET(CRONOPLE!$F$15,$M31-$A$15,BC$13)=0,10^12,OFFSET(CRONOPLE!$F$15,$M31-$A$15,BC$13)))</f>
        <v>1</v>
      </c>
      <c r="BD31" s="171">
        <f ca="1">IF(OR($D31&lt;&gt;"Serviço",AND(AUTOEVENTO="Manual",$M31=$A$15)),0,
         IF(OFFSET(CRONOPLE!$F$15,$M31-$A$15,BD$13)=0,10^12,OFFSET(CRONOPLE!$F$15,$M31-$A$15,BD$13)))</f>
        <v>2</v>
      </c>
      <c r="BE31" s="171">
        <f ca="1">IF(OR($D31&lt;&gt;"Serviço",AND(AUTOEVENTO="Manual",$M31=$A$15)),0,
         IF(OFFSET(CRONOPLE!$F$15,$M31-$A$15,BE$13)=0,10^12,OFFSET(CRONOPLE!$F$15,$M31-$A$15,BE$13)))</f>
        <v>3</v>
      </c>
      <c r="BF31" s="171">
        <f ca="1">IF(OR($D31&lt;&gt;"Serviço",AND(AUTOEVENTO="Manual",$M31=$A$15)),0,
         IF(OFFSET(CRONOPLE!$F$15,$M31-$A$15,BF$13)=0,10^12,OFFSET(CRONOPLE!$F$15,$M31-$A$15,BF$13)))</f>
        <v>4</v>
      </c>
      <c r="BG31" s="171">
        <f ca="1">IF(OR($D31&lt;&gt;"Serviço",AND(AUTOEVENTO="Manual",$M31=$A$15)),0,
         IF(OFFSET(CRONOPLE!$F$15,$M31-$A$15,BG$13)=0,10^12,OFFSET(CRONOPLE!$F$15,$M31-$A$15,BG$13)))</f>
        <v>5</v>
      </c>
      <c r="BH31" s="171">
        <f ca="1">IF(OR($D31&lt;&gt;"Serviço",AND(AUTOEVENTO="Manual",$M31=$A$15)),0,
         IF(OFFSET(CRONOPLE!$F$15,$M31-$A$15,BH$13)=0,10^12,OFFSET(CRONOPLE!$F$15,$M31-$A$15,BH$13)))</f>
        <v>6</v>
      </c>
      <c r="BI31" s="171">
        <f ca="1">IF(OR($D31&lt;&gt;"Serviço",AND(AUTOEVENTO="Manual",$M31=$A$15)),0,
         IF(OFFSET(CRONOPLE!$F$15,$M31-$A$15,BI$13)=0,10^12,OFFSET(CRONOPLE!$F$15,$M31-$A$15,BI$13)))</f>
        <v>7</v>
      </c>
      <c r="BJ31" s="171">
        <f ca="1">IF(OR($D31&lt;&gt;"Serviço",AND(AUTOEVENTO="Manual",$M31=$A$15)),0,
         IF(OFFSET(CRONOPLE!$F$15,$M31-$A$15,BJ$13)=0,10^12,OFFSET(CRONOPLE!$F$15,$M31-$A$15,BJ$13)))</f>
        <v>8</v>
      </c>
      <c r="BK31" s="171">
        <f ca="1">IF(OR($D31&lt;&gt;"Serviço",AND(AUTOEVENTO="Manual",$M31=$A$15)),0,
         IF(OFFSET(CRONOPLE!$F$15,$M31-$A$15,BK$13)=0,10^12,OFFSET(CRONOPLE!$F$15,$M31-$A$15,BK$13)))</f>
        <v>9</v>
      </c>
      <c r="BL31" s="171">
        <f ca="1">IF(OR($D31&lt;&gt;"Serviço",AND(AUTOEVENTO="Manual",$M31=$A$15)),0,
         IF(OFFSET(CRONOPLE!$F$15,$M31-$A$15,BL$13)=0,10^12,OFFSET(CRONOPLE!$F$15,$M31-$A$15,BL$13)))</f>
        <v>10</v>
      </c>
      <c r="BM31" s="171">
        <f ca="1">IF(OR($D31&lt;&gt;"Serviço",AND(AUTOEVENTO="Manual",$M31=$A$15)),0,
         IF(OFFSET(CRONOPLE!$F$15,$M31-$A$15,BM$13)=0,10^12,OFFSET(CRONOPLE!$F$15,$M31-$A$15,BM$13)))</f>
        <v>1000000000000</v>
      </c>
      <c r="BN31" s="171">
        <f ca="1">IF(OR($D31&lt;&gt;"Serviço",AND(AUTOEVENTO="Manual",$M31=$A$15)),0,
         IF(OFFSET(CRONOPLE!$F$15,$M31-$A$15,BN$13)=0,10^12,OFFSET(CRONOPLE!$F$15,$M31-$A$15,BN$13)))</f>
        <v>1000000000000</v>
      </c>
      <c r="BO31" s="171">
        <f ca="1">IF(OR($D31&lt;&gt;"Serviço",AND(AUTOEVENTO="Manual",$M31=$A$15)),0,
         IF(OFFSET(CRONOPLE!$F$15,$M31-$A$15,BO$13)=0,10^12,OFFSET(CRONOPLE!$F$15,$M31-$A$15,BO$13)))</f>
        <v>1000000000000</v>
      </c>
      <c r="BP31" s="171">
        <f ca="1">IF(OR($D31&lt;&gt;"Serviço",AND(AUTOEVENTO="Manual",$M31=$A$15)),0,
         IF(OFFSET(CRONOPLE!$F$15,$M31-$A$15,BP$13)=0,10^12,OFFSET(CRONOPLE!$F$15,$M31-$A$15,BP$13)))</f>
        <v>1000000000000</v>
      </c>
      <c r="BQ31" s="171">
        <f ca="1">IF(OR($D31&lt;&gt;"Serviço",AND(AUTOEVENTO="Manual",$M31=$A$15)),0,
         IF(OFFSET(CRONOPLE!$F$15,$M31-$A$15,BQ$13)=0,10^12,OFFSET(CRONOPLE!$F$15,$M31-$A$15,BQ$13)))</f>
        <v>1000000000000</v>
      </c>
      <c r="BR31" s="171">
        <f ca="1">IF(OR($D31&lt;&gt;"Serviço",AND(AUTOEVENTO="Manual",$M31=$A$15)),0,
         IF(OFFSET(CRONOPLE!$F$15,$M31-$A$15,BR$13)=0,10^12,OFFSET(CRONOPLE!$F$15,$M31-$A$15,BR$13)))</f>
        <v>1000000000000</v>
      </c>
      <c r="BS31" s="171">
        <f ca="1">IF(OR($D31&lt;&gt;"Serviço",AND(AUTOEVENTO="Manual",$M31=$A$15)),0,
         IF(OFFSET(CRONOPLE!$F$15,$M31-$A$15,BS$13)=0,10^12,OFFSET(CRONOPLE!$F$15,$M31-$A$15,BS$13)))</f>
        <v>1000000000000</v>
      </c>
      <c r="BT31" s="171">
        <f ca="1">IF(OR($D31&lt;&gt;"Serviço",AND(AUTOEVENTO="Manual",$M31=$A$15)),0,
         IF(OFFSET(CRONOPLE!$F$15,$M31-$A$15,BT$13)=0,10^12,OFFSET(CRONOPLE!$F$15,$M31-$A$15,BT$13)))</f>
        <v>1000000000000</v>
      </c>
      <c r="BV31" s="172">
        <f ca="1">IF(OR($D31&lt;&gt;"Serviço",AND(AUTOEVENTO="Manual",$M31=$A$15),$M31&gt;(ROW(PLE.lastrow)-ROW(PLE.firstrow))),0,
           IF(OFFSET(PLE!$G$15,$M31-$A$15,BV$13)="",10^12,OFFSET(PLE!$G$15,$M31-$A$15,BV$13)))</f>
        <v>1000000000000</v>
      </c>
      <c r="BW31" s="172">
        <f ca="1">IF(OR($D31&lt;&gt;"Serviço",AND(AUTOEVENTO="Manual",$M31=$A$15),$M31&gt;(ROW(PLE.lastrow)-ROW(PLE.firstrow))),0,
           IF(OFFSET(PLE!$G$15,$M31-$A$15,BW$13)="",10^12,OFFSET(PLE!$G$15,$M31-$A$15,BW$13)))</f>
        <v>1000000000000</v>
      </c>
      <c r="BX31" s="172">
        <f ca="1">IF(OR($D31&lt;&gt;"Serviço",AND(AUTOEVENTO="Manual",$M31=$A$15),$M31&gt;(ROW(PLE.lastrow)-ROW(PLE.firstrow))),0,
           IF(OFFSET(PLE!$G$15,$M31-$A$15,BX$13)="",10^12,OFFSET(PLE!$G$15,$M31-$A$15,BX$13)))</f>
        <v>1000000000000</v>
      </c>
      <c r="BY31" s="172">
        <f ca="1">IF(OR($D31&lt;&gt;"Serviço",AND(AUTOEVENTO="Manual",$M31=$A$15),$M31&gt;(ROW(PLE.lastrow)-ROW(PLE.firstrow))),0,
           IF(OFFSET(PLE!$G$15,$M31-$A$15,BY$13)="",10^12,OFFSET(PLE!$G$15,$M31-$A$15,BY$13)))</f>
        <v>1000000000000</v>
      </c>
      <c r="BZ31" s="172">
        <f ca="1">IF(OR($D31&lt;&gt;"Serviço",AND(AUTOEVENTO="Manual",$M31=$A$15),$M31&gt;(ROW(PLE.lastrow)-ROW(PLE.firstrow))),0,
           IF(OFFSET(PLE!$G$15,$M31-$A$15,BZ$13)="",10^12,OFFSET(PLE!$G$15,$M31-$A$15,BZ$13)))</f>
        <v>1000000000000</v>
      </c>
      <c r="CA31" s="172">
        <f ca="1">IF(OR($D31&lt;&gt;"Serviço",AND(AUTOEVENTO="Manual",$M31=$A$15),$M31&gt;(ROW(PLE.lastrow)-ROW(PLE.firstrow))),0,
           IF(OFFSET(PLE!$G$15,$M31-$A$15,CA$13)="",10^12,OFFSET(PLE!$G$15,$M31-$A$15,CA$13)))</f>
        <v>1000000000000</v>
      </c>
      <c r="CB31" s="172">
        <f ca="1">IF(OR($D31&lt;&gt;"Serviço",AND(AUTOEVENTO="Manual",$M31=$A$15),$M31&gt;(ROW(PLE.lastrow)-ROW(PLE.firstrow))),0,
           IF(OFFSET(PLE!$G$15,$M31-$A$15,CB$13)="",10^12,OFFSET(PLE!$G$15,$M31-$A$15,CB$13)))</f>
        <v>1000000000000</v>
      </c>
      <c r="CC31" s="172">
        <f ca="1">IF(OR($D31&lt;&gt;"Serviço",AND(AUTOEVENTO="Manual",$M31=$A$15),$M31&gt;(ROW(PLE.lastrow)-ROW(PLE.firstrow))),0,
           IF(OFFSET(PLE!$G$15,$M31-$A$15,CC$13)="",10^12,OFFSET(PLE!$G$15,$M31-$A$15,CC$13)))</f>
        <v>1000000000000</v>
      </c>
      <c r="CD31" s="172">
        <f ca="1">IF(OR($D31&lt;&gt;"Serviço",AND(AUTOEVENTO="Manual",$M31=$A$15),$M31&gt;(ROW(PLE.lastrow)-ROW(PLE.firstrow))),0,
           IF(OFFSET(PLE!$G$15,$M31-$A$15,CD$13)="",10^12,OFFSET(PLE!$G$15,$M31-$A$15,CD$13)))</f>
        <v>1000000000000</v>
      </c>
      <c r="CE31" s="172">
        <f ca="1">IF(OR($D31&lt;&gt;"Serviço",AND(AUTOEVENTO="Manual",$M31=$A$15),$M31&gt;(ROW(PLE.lastrow)-ROW(PLE.firstrow))),0,
           IF(OFFSET(PLE!$G$15,$M31-$A$15,CE$13)="",10^12,OFFSET(PLE!$G$15,$M31-$A$15,CE$13)))</f>
        <v>1000000000000</v>
      </c>
      <c r="CF31" s="172">
        <f ca="1">IF(OR($D31&lt;&gt;"Serviço",AND(AUTOEVENTO="Manual",$M31=$A$15),$M31&gt;(ROW(PLE.lastrow)-ROW(PLE.firstrow))),0,
           IF(OFFSET(PLE!$G$15,$M31-$A$15,CF$13)="",10^12,OFFSET(PLE!$G$15,$M31-$A$15,CF$13)))</f>
        <v>1000000000000</v>
      </c>
      <c r="CG31" s="172">
        <f ca="1">IF(OR($D31&lt;&gt;"Serviço",AND(AUTOEVENTO="Manual",$M31=$A$15),$M31&gt;(ROW(PLE.lastrow)-ROW(PLE.firstrow))),0,
           IF(OFFSET(PLE!$G$15,$M31-$A$15,CG$13)="",10^12,OFFSET(PLE!$G$15,$M31-$A$15,CG$13)))</f>
        <v>1000000000000</v>
      </c>
      <c r="CH31" s="172">
        <f ca="1">IF(OR($D31&lt;&gt;"Serviço",AND(AUTOEVENTO="Manual",$M31=$A$15),$M31&gt;(ROW(PLE.lastrow)-ROW(PLE.firstrow))),0,
           IF(OFFSET(PLE!$G$15,$M31-$A$15,CH$13)="",10^12,OFFSET(PLE!$G$15,$M31-$A$15,CH$13)))</f>
        <v>1000000000000</v>
      </c>
      <c r="CI31" s="172">
        <f ca="1">IF(OR($D31&lt;&gt;"Serviço",AND(AUTOEVENTO="Manual",$M31=$A$15),$M31&gt;(ROW(PLE.lastrow)-ROW(PLE.firstrow))),0,
           IF(OFFSET(PLE!$G$15,$M31-$A$15,CI$13)="",10^12,OFFSET(PLE!$G$15,$M31-$A$15,CI$13)))</f>
        <v>1000000000000</v>
      </c>
      <c r="CJ31" s="172">
        <f ca="1">IF(OR($D31&lt;&gt;"Serviço",AND(AUTOEVENTO="Manual",$M31=$A$15),$M31&gt;(ROW(PLE.lastrow)-ROW(PLE.firstrow))),0,
           IF(OFFSET(PLE!$G$15,$M31-$A$15,CJ$13)="",10^12,OFFSET(PLE!$G$15,$M31-$A$15,CJ$13)))</f>
        <v>1000000000000</v>
      </c>
      <c r="CK31" s="172">
        <f ca="1">IF(OR($D31&lt;&gt;"Serviço",AND(AUTOEVENTO="Manual",$M31=$A$15),$M31&gt;(ROW(PLE.lastrow)-ROW(PLE.firstrow))),0,
           IF(OFFSET(PLE!$G$15,$M31-$A$15,CK$13)="",10^12,OFFSET(PLE!$G$15,$M31-$A$15,CK$13)))</f>
        <v>1000000000000</v>
      </c>
      <c r="CL31" s="172">
        <f ca="1">IF(OR($D31&lt;&gt;"Serviço",AND(AUTOEVENTO="Manual",$M31=$A$15),$M31&gt;(ROW(PLE.lastrow)-ROW(PLE.firstrow))),0,
           IF(OFFSET(PLE!$G$15,$M31-$A$15,CL$13)="",10^12,OFFSET(PLE!$G$15,$M31-$A$15,CL$13)))</f>
        <v>1000000000000</v>
      </c>
      <c r="CM31" s="172">
        <f ca="1">IF(OR($D31&lt;&gt;"Serviço",AND(AUTOEVENTO="Manual",$M31=$A$15),$M31&gt;(ROW(PLE.lastrow)-ROW(PLE.firstrow))),0,
           IF(OFFSET(PLE!$G$15,$M31-$A$15,CM$13)="",10^12,OFFSET(PLE!$G$15,$M31-$A$15,CM$13)))</f>
        <v>1000000000000</v>
      </c>
    </row>
    <row r="32" spans="1:91" ht="76.5" x14ac:dyDescent="0.2">
      <c r="A32" s="7">
        <f t="shared" ca="1" si="10"/>
        <v>2</v>
      </c>
      <c r="B32" s="7" t="str">
        <f ca="1">OFFSET(ORÇAMENTO!C$15,ROW(B32)-ROW(B$15),0)</f>
        <v>S</v>
      </c>
      <c r="C32" s="7" t="str">
        <f ca="1">OFFSET(ORÇAMENTO!L$15,ROW(C32)-ROW(C$15),0)</f>
        <v>F</v>
      </c>
      <c r="D32" s="116" t="str">
        <f ca="1">OFFSET(ORÇAMENTO!N$15,ROW(D32)-ROW(D$15),0)</f>
        <v>Serviço</v>
      </c>
      <c r="E32" s="117" t="str">
        <f ca="1">OFFSET(ORÇAMENTO!O$15,ROW(E32)-ROW(E$15),0)</f>
        <v>1.3.2.0.2.</v>
      </c>
      <c r="F32" s="163" t="str">
        <f ca="1">OFFSET(ORÇAMENTO!R$15,ROW(F32)-ROW(F$15),0)</f>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
      <c r="G32" s="164" t="str">
        <f ca="1">IF($D32&lt;&gt;"Serviço","",OFFSET(ORÇAMENTO!S$15,ROW(G32)-ROW(G$15),0))</f>
        <v>MÊS</v>
      </c>
      <c r="H32" s="122" cm="1">
        <f t="array" aca="1" ref="H32" ca="1">IF($D32&lt;&gt;"Serviço",0,IF(ACOMPANHAMENTO="BM",ROUND(OFFSET(ORÇAMENTO!AJ$15,ROW(H32)-ROW(H$15),0),15-13*ORÇAMENTO!$AF$7),SUMPRODUCT(($Q$1:$AI$1=1)*ROUND($Q32:$AI32,15-13*ORÇAMENTO!$AF$7))))</f>
        <v>10</v>
      </c>
      <c r="I32" s="468" t="s">
        <v>1445</v>
      </c>
      <c r="J32" s="640" t="str" cm="1">
        <f t="array" aca="1" ref="J32" ca="1">IF(OR(B32&lt;&gt;"S",CÁLCULO.FrentesPreenchidas=0),"",IF(AND(ACOMPANHAMENTO="PLE",AUTOEVENTO="Manual",OR(H32&gt;0,ORÇAMENTO!AC32="QUANT."),OR(K32="",M32=0,N32="")),"►E",IF(AND(ACOMPANHAMENTO="PLE",ORÇAMENTO!AC32="QUANT."),"►Q",IF(AND(ACOMPANHAMENTO="PLE",H32&lt;&gt;SUMPRODUCT(($Q$1:$AI$1=1)*ROUND(Q32:AI32,15))),"►S",IF(AND(COUNTIF($P$11:$AI$11,"▼")=0,H32&gt;0,I32=""),"◄M","")))))</f>
        <v/>
      </c>
      <c r="K32" s="641" t="s">
        <v>1387</v>
      </c>
      <c r="L32" s="165" t="s">
        <v>764</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Serviços Iniciais</v>
      </c>
      <c r="O32" s="168"/>
      <c r="Q32" s="168">
        <v>1</v>
      </c>
      <c r="R32" s="169">
        <v>1</v>
      </c>
      <c r="S32" s="169">
        <v>1</v>
      </c>
      <c r="T32" s="169">
        <v>1</v>
      </c>
      <c r="U32" s="169">
        <v>1</v>
      </c>
      <c r="V32" s="169">
        <v>1</v>
      </c>
      <c r="W32" s="169">
        <v>1</v>
      </c>
      <c r="X32" s="169">
        <v>0.5</v>
      </c>
      <c r="Y32" s="169">
        <v>0.5</v>
      </c>
      <c r="Z32" s="170">
        <v>1</v>
      </c>
      <c r="AA32" s="169"/>
      <c r="AB32" s="169"/>
      <c r="AC32" s="169"/>
      <c r="AD32" s="169"/>
      <c r="AE32" s="169"/>
      <c r="AF32" s="169"/>
      <c r="AG32" s="169"/>
      <c r="AH32" s="170"/>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L32" s="453">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0</v>
      </c>
      <c r="AM32" s="453">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0</v>
      </c>
      <c r="AN32" s="453">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0</v>
      </c>
      <c r="AO32" s="453">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0</v>
      </c>
      <c r="AP32" s="453">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0</v>
      </c>
      <c r="AQ32" s="453">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0</v>
      </c>
      <c r="AR32" s="453">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3">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3">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3">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3">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3">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3">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3">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3">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3">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1">
        <f ca="1">IF(OR($D32&lt;&gt;"Serviço",AND(AUTOEVENTO="Manual",$M32=$A$15)),0,
         IF(OFFSET(CRONOPLE!$F$15,$M32-$A$15,BC$13)=0,10^12,OFFSET(CRONOPLE!$F$15,$M32-$A$15,BC$13)))</f>
        <v>1</v>
      </c>
      <c r="BD32" s="171">
        <f ca="1">IF(OR($D32&lt;&gt;"Serviço",AND(AUTOEVENTO="Manual",$M32=$A$15)),0,
         IF(OFFSET(CRONOPLE!$F$15,$M32-$A$15,BD$13)=0,10^12,OFFSET(CRONOPLE!$F$15,$M32-$A$15,BD$13)))</f>
        <v>2</v>
      </c>
      <c r="BE32" s="171">
        <f ca="1">IF(OR($D32&lt;&gt;"Serviço",AND(AUTOEVENTO="Manual",$M32=$A$15)),0,
         IF(OFFSET(CRONOPLE!$F$15,$M32-$A$15,BE$13)=0,10^12,OFFSET(CRONOPLE!$F$15,$M32-$A$15,BE$13)))</f>
        <v>3</v>
      </c>
      <c r="BF32" s="171">
        <f ca="1">IF(OR($D32&lt;&gt;"Serviço",AND(AUTOEVENTO="Manual",$M32=$A$15)),0,
         IF(OFFSET(CRONOPLE!$F$15,$M32-$A$15,BF$13)=0,10^12,OFFSET(CRONOPLE!$F$15,$M32-$A$15,BF$13)))</f>
        <v>4</v>
      </c>
      <c r="BG32" s="171">
        <f ca="1">IF(OR($D32&lt;&gt;"Serviço",AND(AUTOEVENTO="Manual",$M32=$A$15)),0,
         IF(OFFSET(CRONOPLE!$F$15,$M32-$A$15,BG$13)=0,10^12,OFFSET(CRONOPLE!$F$15,$M32-$A$15,BG$13)))</f>
        <v>5</v>
      </c>
      <c r="BH32" s="171">
        <f ca="1">IF(OR($D32&lt;&gt;"Serviço",AND(AUTOEVENTO="Manual",$M32=$A$15)),0,
         IF(OFFSET(CRONOPLE!$F$15,$M32-$A$15,BH$13)=0,10^12,OFFSET(CRONOPLE!$F$15,$M32-$A$15,BH$13)))</f>
        <v>6</v>
      </c>
      <c r="BI32" s="171">
        <f ca="1">IF(OR($D32&lt;&gt;"Serviço",AND(AUTOEVENTO="Manual",$M32=$A$15)),0,
         IF(OFFSET(CRONOPLE!$F$15,$M32-$A$15,BI$13)=0,10^12,OFFSET(CRONOPLE!$F$15,$M32-$A$15,BI$13)))</f>
        <v>7</v>
      </c>
      <c r="BJ32" s="171">
        <f ca="1">IF(OR($D32&lt;&gt;"Serviço",AND(AUTOEVENTO="Manual",$M32=$A$15)),0,
         IF(OFFSET(CRONOPLE!$F$15,$M32-$A$15,BJ$13)=0,10^12,OFFSET(CRONOPLE!$F$15,$M32-$A$15,BJ$13)))</f>
        <v>8</v>
      </c>
      <c r="BK32" s="171">
        <f ca="1">IF(OR($D32&lt;&gt;"Serviço",AND(AUTOEVENTO="Manual",$M32=$A$15)),0,
         IF(OFFSET(CRONOPLE!$F$15,$M32-$A$15,BK$13)=0,10^12,OFFSET(CRONOPLE!$F$15,$M32-$A$15,BK$13)))</f>
        <v>9</v>
      </c>
      <c r="BL32" s="171">
        <f ca="1">IF(OR($D32&lt;&gt;"Serviço",AND(AUTOEVENTO="Manual",$M32=$A$15)),0,
         IF(OFFSET(CRONOPLE!$F$15,$M32-$A$15,BL$13)=0,10^12,OFFSET(CRONOPLE!$F$15,$M32-$A$15,BL$13)))</f>
        <v>10</v>
      </c>
      <c r="BM32" s="171">
        <f ca="1">IF(OR($D32&lt;&gt;"Serviço",AND(AUTOEVENTO="Manual",$M32=$A$15)),0,
         IF(OFFSET(CRONOPLE!$F$15,$M32-$A$15,BM$13)=0,10^12,OFFSET(CRONOPLE!$F$15,$M32-$A$15,BM$13)))</f>
        <v>1000000000000</v>
      </c>
      <c r="BN32" s="171">
        <f ca="1">IF(OR($D32&lt;&gt;"Serviço",AND(AUTOEVENTO="Manual",$M32=$A$15)),0,
         IF(OFFSET(CRONOPLE!$F$15,$M32-$A$15,BN$13)=0,10^12,OFFSET(CRONOPLE!$F$15,$M32-$A$15,BN$13)))</f>
        <v>1000000000000</v>
      </c>
      <c r="BO32" s="171">
        <f ca="1">IF(OR($D32&lt;&gt;"Serviço",AND(AUTOEVENTO="Manual",$M32=$A$15)),0,
         IF(OFFSET(CRONOPLE!$F$15,$M32-$A$15,BO$13)=0,10^12,OFFSET(CRONOPLE!$F$15,$M32-$A$15,BO$13)))</f>
        <v>1000000000000</v>
      </c>
      <c r="BP32" s="171">
        <f ca="1">IF(OR($D32&lt;&gt;"Serviço",AND(AUTOEVENTO="Manual",$M32=$A$15)),0,
         IF(OFFSET(CRONOPLE!$F$15,$M32-$A$15,BP$13)=0,10^12,OFFSET(CRONOPLE!$F$15,$M32-$A$15,BP$13)))</f>
        <v>1000000000000</v>
      </c>
      <c r="BQ32" s="171">
        <f ca="1">IF(OR($D32&lt;&gt;"Serviço",AND(AUTOEVENTO="Manual",$M32=$A$15)),0,
         IF(OFFSET(CRONOPLE!$F$15,$M32-$A$15,BQ$13)=0,10^12,OFFSET(CRONOPLE!$F$15,$M32-$A$15,BQ$13)))</f>
        <v>1000000000000</v>
      </c>
      <c r="BR32" s="171">
        <f ca="1">IF(OR($D32&lt;&gt;"Serviço",AND(AUTOEVENTO="Manual",$M32=$A$15)),0,
         IF(OFFSET(CRONOPLE!$F$15,$M32-$A$15,BR$13)=0,10^12,OFFSET(CRONOPLE!$F$15,$M32-$A$15,BR$13)))</f>
        <v>1000000000000</v>
      </c>
      <c r="BS32" s="171">
        <f ca="1">IF(OR($D32&lt;&gt;"Serviço",AND(AUTOEVENTO="Manual",$M32=$A$15)),0,
         IF(OFFSET(CRONOPLE!$F$15,$M32-$A$15,BS$13)=0,10^12,OFFSET(CRONOPLE!$F$15,$M32-$A$15,BS$13)))</f>
        <v>1000000000000</v>
      </c>
      <c r="BT32" s="171">
        <f ca="1">IF(OR($D32&lt;&gt;"Serviço",AND(AUTOEVENTO="Manual",$M32=$A$15)),0,
         IF(OFFSET(CRONOPLE!$F$15,$M32-$A$15,BT$13)=0,10^12,OFFSET(CRONOPLE!$F$15,$M32-$A$15,BT$13)))</f>
        <v>1000000000000</v>
      </c>
      <c r="BV32" s="172">
        <f ca="1">IF(OR($D32&lt;&gt;"Serviço",AND(AUTOEVENTO="Manual",$M32=$A$15),$M32&gt;(ROW(PLE.lastrow)-ROW(PLE.firstrow))),0,
           IF(OFFSET(PLE!$G$15,$M32-$A$15,BV$13)="",10^12,OFFSET(PLE!$G$15,$M32-$A$15,BV$13)))</f>
        <v>1000000000000</v>
      </c>
      <c r="BW32" s="172">
        <f ca="1">IF(OR($D32&lt;&gt;"Serviço",AND(AUTOEVENTO="Manual",$M32=$A$15),$M32&gt;(ROW(PLE.lastrow)-ROW(PLE.firstrow))),0,
           IF(OFFSET(PLE!$G$15,$M32-$A$15,BW$13)="",10^12,OFFSET(PLE!$G$15,$M32-$A$15,BW$13)))</f>
        <v>1000000000000</v>
      </c>
      <c r="BX32" s="172">
        <f ca="1">IF(OR($D32&lt;&gt;"Serviço",AND(AUTOEVENTO="Manual",$M32=$A$15),$M32&gt;(ROW(PLE.lastrow)-ROW(PLE.firstrow))),0,
           IF(OFFSET(PLE!$G$15,$M32-$A$15,BX$13)="",10^12,OFFSET(PLE!$G$15,$M32-$A$15,BX$13)))</f>
        <v>1000000000000</v>
      </c>
      <c r="BY32" s="172">
        <f ca="1">IF(OR($D32&lt;&gt;"Serviço",AND(AUTOEVENTO="Manual",$M32=$A$15),$M32&gt;(ROW(PLE.lastrow)-ROW(PLE.firstrow))),0,
           IF(OFFSET(PLE!$G$15,$M32-$A$15,BY$13)="",10^12,OFFSET(PLE!$G$15,$M32-$A$15,BY$13)))</f>
        <v>1000000000000</v>
      </c>
      <c r="BZ32" s="172">
        <f ca="1">IF(OR($D32&lt;&gt;"Serviço",AND(AUTOEVENTO="Manual",$M32=$A$15),$M32&gt;(ROW(PLE.lastrow)-ROW(PLE.firstrow))),0,
           IF(OFFSET(PLE!$G$15,$M32-$A$15,BZ$13)="",10^12,OFFSET(PLE!$G$15,$M32-$A$15,BZ$13)))</f>
        <v>1000000000000</v>
      </c>
      <c r="CA32" s="172">
        <f ca="1">IF(OR($D32&lt;&gt;"Serviço",AND(AUTOEVENTO="Manual",$M32=$A$15),$M32&gt;(ROW(PLE.lastrow)-ROW(PLE.firstrow))),0,
           IF(OFFSET(PLE!$G$15,$M32-$A$15,CA$13)="",10^12,OFFSET(PLE!$G$15,$M32-$A$15,CA$13)))</f>
        <v>1000000000000</v>
      </c>
      <c r="CB32" s="172">
        <f ca="1">IF(OR($D32&lt;&gt;"Serviço",AND(AUTOEVENTO="Manual",$M32=$A$15),$M32&gt;(ROW(PLE.lastrow)-ROW(PLE.firstrow))),0,
           IF(OFFSET(PLE!$G$15,$M32-$A$15,CB$13)="",10^12,OFFSET(PLE!$G$15,$M32-$A$15,CB$13)))</f>
        <v>1000000000000</v>
      </c>
      <c r="CC32" s="172">
        <f ca="1">IF(OR($D32&lt;&gt;"Serviço",AND(AUTOEVENTO="Manual",$M32=$A$15),$M32&gt;(ROW(PLE.lastrow)-ROW(PLE.firstrow))),0,
           IF(OFFSET(PLE!$G$15,$M32-$A$15,CC$13)="",10^12,OFFSET(PLE!$G$15,$M32-$A$15,CC$13)))</f>
        <v>1000000000000</v>
      </c>
      <c r="CD32" s="172">
        <f ca="1">IF(OR($D32&lt;&gt;"Serviço",AND(AUTOEVENTO="Manual",$M32=$A$15),$M32&gt;(ROW(PLE.lastrow)-ROW(PLE.firstrow))),0,
           IF(OFFSET(PLE!$G$15,$M32-$A$15,CD$13)="",10^12,OFFSET(PLE!$G$15,$M32-$A$15,CD$13)))</f>
        <v>1000000000000</v>
      </c>
      <c r="CE32" s="172">
        <f ca="1">IF(OR($D32&lt;&gt;"Serviço",AND(AUTOEVENTO="Manual",$M32=$A$15),$M32&gt;(ROW(PLE.lastrow)-ROW(PLE.firstrow))),0,
           IF(OFFSET(PLE!$G$15,$M32-$A$15,CE$13)="",10^12,OFFSET(PLE!$G$15,$M32-$A$15,CE$13)))</f>
        <v>1000000000000</v>
      </c>
      <c r="CF32" s="172">
        <f ca="1">IF(OR($D32&lt;&gt;"Serviço",AND(AUTOEVENTO="Manual",$M32=$A$15),$M32&gt;(ROW(PLE.lastrow)-ROW(PLE.firstrow))),0,
           IF(OFFSET(PLE!$G$15,$M32-$A$15,CF$13)="",10^12,OFFSET(PLE!$G$15,$M32-$A$15,CF$13)))</f>
        <v>1000000000000</v>
      </c>
      <c r="CG32" s="172">
        <f ca="1">IF(OR($D32&lt;&gt;"Serviço",AND(AUTOEVENTO="Manual",$M32=$A$15),$M32&gt;(ROW(PLE.lastrow)-ROW(PLE.firstrow))),0,
           IF(OFFSET(PLE!$G$15,$M32-$A$15,CG$13)="",10^12,OFFSET(PLE!$G$15,$M32-$A$15,CG$13)))</f>
        <v>1000000000000</v>
      </c>
      <c r="CH32" s="172">
        <f ca="1">IF(OR($D32&lt;&gt;"Serviço",AND(AUTOEVENTO="Manual",$M32=$A$15),$M32&gt;(ROW(PLE.lastrow)-ROW(PLE.firstrow))),0,
           IF(OFFSET(PLE!$G$15,$M32-$A$15,CH$13)="",10^12,OFFSET(PLE!$G$15,$M32-$A$15,CH$13)))</f>
        <v>1000000000000</v>
      </c>
      <c r="CI32" s="172">
        <f ca="1">IF(OR($D32&lt;&gt;"Serviço",AND(AUTOEVENTO="Manual",$M32=$A$15),$M32&gt;(ROW(PLE.lastrow)-ROW(PLE.firstrow))),0,
           IF(OFFSET(PLE!$G$15,$M32-$A$15,CI$13)="",10^12,OFFSET(PLE!$G$15,$M32-$A$15,CI$13)))</f>
        <v>1000000000000</v>
      </c>
      <c r="CJ32" s="172">
        <f ca="1">IF(OR($D32&lt;&gt;"Serviço",AND(AUTOEVENTO="Manual",$M32=$A$15),$M32&gt;(ROW(PLE.lastrow)-ROW(PLE.firstrow))),0,
           IF(OFFSET(PLE!$G$15,$M32-$A$15,CJ$13)="",10^12,OFFSET(PLE!$G$15,$M32-$A$15,CJ$13)))</f>
        <v>1000000000000</v>
      </c>
      <c r="CK32" s="172">
        <f ca="1">IF(OR($D32&lt;&gt;"Serviço",AND(AUTOEVENTO="Manual",$M32=$A$15),$M32&gt;(ROW(PLE.lastrow)-ROW(PLE.firstrow))),0,
           IF(OFFSET(PLE!$G$15,$M32-$A$15,CK$13)="",10^12,OFFSET(PLE!$G$15,$M32-$A$15,CK$13)))</f>
        <v>1000000000000</v>
      </c>
      <c r="CL32" s="172">
        <f ca="1">IF(OR($D32&lt;&gt;"Serviço",AND(AUTOEVENTO="Manual",$M32=$A$15),$M32&gt;(ROW(PLE.lastrow)-ROW(PLE.firstrow))),0,
           IF(OFFSET(PLE!$G$15,$M32-$A$15,CL$13)="",10^12,OFFSET(PLE!$G$15,$M32-$A$15,CL$13)))</f>
        <v>1000000000000</v>
      </c>
      <c r="CM32" s="172">
        <f ca="1">IF(OR($D32&lt;&gt;"Serviço",AND(AUTOEVENTO="Manual",$M32=$A$15),$M32&gt;(ROW(PLE.lastrow)-ROW(PLE.firstrow))),0,
           IF(OFFSET(PLE!$G$15,$M32-$A$15,CM$13)="",10^12,OFFSET(PLE!$G$15,$M32-$A$15,CM$13)))</f>
        <v>1000000000000</v>
      </c>
    </row>
    <row r="33" spans="1:91" ht="89.25" x14ac:dyDescent="0.2">
      <c r="A33" s="7">
        <f t="shared" ca="1" si="10"/>
        <v>2</v>
      </c>
      <c r="B33" s="7" t="str">
        <f ca="1">OFFSET(ORÇAMENTO!C$15,ROW(B33)-ROW(B$15),0)</f>
        <v>S</v>
      </c>
      <c r="C33" s="7" t="str">
        <f ca="1">OFFSET(ORÇAMENTO!L$15,ROW(C33)-ROW(C$15),0)</f>
        <v>F</v>
      </c>
      <c r="D33" s="116" t="str">
        <f ca="1">OFFSET(ORÇAMENTO!N$15,ROW(D33)-ROW(D$15),0)</f>
        <v>Serviço</v>
      </c>
      <c r="E33" s="117" t="str">
        <f ca="1">OFFSET(ORÇAMENTO!O$15,ROW(E33)-ROW(E$15),0)</f>
        <v>1.3.2.0.3.</v>
      </c>
      <c r="F33" s="163" t="str">
        <f ca="1">OFFSET(ORÇAMENTO!R$15,ROW(F33)-ROW(F$15),0)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G33" s="164" t="str">
        <f ca="1">IF($D33&lt;&gt;"Serviço","",OFFSET(ORÇAMENTO!S$15,ROW(G33)-ROW(G$15),0))</f>
        <v>MÊS</v>
      </c>
      <c r="H33" s="122" cm="1">
        <f t="array" aca="1" ref="H33" ca="1">IF($D33&lt;&gt;"Serviço",0,IF(ACOMPANHAMENTO="BM",ROUND(OFFSET(ORÇAMENTO!AJ$15,ROW(H33)-ROW(H$15),0),15-13*ORÇAMENTO!$AF$7),SUMPRODUCT(($Q$1:$AI$1=1)*ROUND($Q33:$AI33,15-13*ORÇAMENTO!$AF$7))))</f>
        <v>10</v>
      </c>
      <c r="I33" s="468" t="s">
        <v>1445</v>
      </c>
      <c r="J33" s="640" t="str" cm="1">
        <f t="array" aca="1" ref="J33" ca="1">IF(OR(B33&lt;&gt;"S",CÁLCULO.FrentesPreenchidas=0),"",IF(AND(ACOMPANHAMENTO="PLE",AUTOEVENTO="Manual",OR(H33&gt;0,ORÇAMENTO!AC33="QUANT."),OR(K33="",M33=0,N33="")),"►E",IF(AND(ACOMPANHAMENTO="PLE",ORÇAMENTO!AC33="QUANT."),"►Q",IF(AND(ACOMPANHAMENTO="PLE",H33&lt;&gt;SUMPRODUCT(($Q$1:$AI$1=1)*ROUND(Q33:AI33,15))),"►S",IF(AND(COUNTIF($P$11:$AI$11,"▼")=0,H33&gt;0,I33=""),"◄M","")))))</f>
        <v/>
      </c>
      <c r="K33" s="641" t="s">
        <v>1387</v>
      </c>
      <c r="L33" s="165" t="s">
        <v>764</v>
      </c>
      <c r="M33" s="166">
        <f ca="1">IF($D33&lt;&gt;"Serviço","",
          IF(AUTOEVENTO="manual",$A33,
                IF(ISERROR(MATCH($A33,$A$15:OFFSET($A33,-1,0),0)),MAX($M$15:OFFSET(M33,-1,0))+1,
                      INDEX($M$15:OFFSET(M33,-1,0),MATCH($A33,$A$15:OFFSET($A33,-1,0),0)))))</f>
        <v>2</v>
      </c>
      <c r="N33" s="167" t="str">
        <f ca="1">IF($D33&lt;&gt;"Serviço","",
         IF(AUTOEVENTO="Manual",
                IF($A33=0,"&lt;-- defina o número do agrupador",
                       OFFSET(EVENTOS!$D$15,$A33-$A$15,0)),
                OFFSET($F$15,$A33,0)))</f>
        <v>Serviços Iniciais</v>
      </c>
      <c r="O33" s="168"/>
      <c r="Q33" s="168">
        <v>1</v>
      </c>
      <c r="R33" s="169">
        <v>1</v>
      </c>
      <c r="S33" s="169">
        <v>1</v>
      </c>
      <c r="T33" s="169">
        <v>1</v>
      </c>
      <c r="U33" s="169">
        <v>1</v>
      </c>
      <c r="V33" s="169">
        <v>1</v>
      </c>
      <c r="W33" s="169">
        <v>1</v>
      </c>
      <c r="X33" s="169">
        <v>0.5</v>
      </c>
      <c r="Y33" s="169">
        <v>0.5</v>
      </c>
      <c r="Z33" s="170">
        <v>1</v>
      </c>
      <c r="AA33" s="169"/>
      <c r="AB33" s="169"/>
      <c r="AC33" s="169"/>
      <c r="AD33" s="169"/>
      <c r="AE33" s="169"/>
      <c r="AF33" s="169"/>
      <c r="AG33" s="169"/>
      <c r="AH33" s="170"/>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L33" s="453">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0</v>
      </c>
      <c r="AM33" s="453">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0</v>
      </c>
      <c r="AN33" s="453">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53">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53">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53">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53">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3">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3">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3">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3">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3">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3">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3">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3">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3">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1">
        <f ca="1">IF(OR($D33&lt;&gt;"Serviço",AND(AUTOEVENTO="Manual",$M33=$A$15)),0,
         IF(OFFSET(CRONOPLE!$F$15,$M33-$A$15,BC$13)=0,10^12,OFFSET(CRONOPLE!$F$15,$M33-$A$15,BC$13)))</f>
        <v>1</v>
      </c>
      <c r="BD33" s="171">
        <f ca="1">IF(OR($D33&lt;&gt;"Serviço",AND(AUTOEVENTO="Manual",$M33=$A$15)),0,
         IF(OFFSET(CRONOPLE!$F$15,$M33-$A$15,BD$13)=0,10^12,OFFSET(CRONOPLE!$F$15,$M33-$A$15,BD$13)))</f>
        <v>2</v>
      </c>
      <c r="BE33" s="171">
        <f ca="1">IF(OR($D33&lt;&gt;"Serviço",AND(AUTOEVENTO="Manual",$M33=$A$15)),0,
         IF(OFFSET(CRONOPLE!$F$15,$M33-$A$15,BE$13)=0,10^12,OFFSET(CRONOPLE!$F$15,$M33-$A$15,BE$13)))</f>
        <v>3</v>
      </c>
      <c r="BF33" s="171">
        <f ca="1">IF(OR($D33&lt;&gt;"Serviço",AND(AUTOEVENTO="Manual",$M33=$A$15)),0,
         IF(OFFSET(CRONOPLE!$F$15,$M33-$A$15,BF$13)=0,10^12,OFFSET(CRONOPLE!$F$15,$M33-$A$15,BF$13)))</f>
        <v>4</v>
      </c>
      <c r="BG33" s="171">
        <f ca="1">IF(OR($D33&lt;&gt;"Serviço",AND(AUTOEVENTO="Manual",$M33=$A$15)),0,
         IF(OFFSET(CRONOPLE!$F$15,$M33-$A$15,BG$13)=0,10^12,OFFSET(CRONOPLE!$F$15,$M33-$A$15,BG$13)))</f>
        <v>5</v>
      </c>
      <c r="BH33" s="171">
        <f ca="1">IF(OR($D33&lt;&gt;"Serviço",AND(AUTOEVENTO="Manual",$M33=$A$15)),0,
         IF(OFFSET(CRONOPLE!$F$15,$M33-$A$15,BH$13)=0,10^12,OFFSET(CRONOPLE!$F$15,$M33-$A$15,BH$13)))</f>
        <v>6</v>
      </c>
      <c r="BI33" s="171">
        <f ca="1">IF(OR($D33&lt;&gt;"Serviço",AND(AUTOEVENTO="Manual",$M33=$A$15)),0,
         IF(OFFSET(CRONOPLE!$F$15,$M33-$A$15,BI$13)=0,10^12,OFFSET(CRONOPLE!$F$15,$M33-$A$15,BI$13)))</f>
        <v>7</v>
      </c>
      <c r="BJ33" s="171">
        <f ca="1">IF(OR($D33&lt;&gt;"Serviço",AND(AUTOEVENTO="Manual",$M33=$A$15)),0,
         IF(OFFSET(CRONOPLE!$F$15,$M33-$A$15,BJ$13)=0,10^12,OFFSET(CRONOPLE!$F$15,$M33-$A$15,BJ$13)))</f>
        <v>8</v>
      </c>
      <c r="BK33" s="171">
        <f ca="1">IF(OR($D33&lt;&gt;"Serviço",AND(AUTOEVENTO="Manual",$M33=$A$15)),0,
         IF(OFFSET(CRONOPLE!$F$15,$M33-$A$15,BK$13)=0,10^12,OFFSET(CRONOPLE!$F$15,$M33-$A$15,BK$13)))</f>
        <v>9</v>
      </c>
      <c r="BL33" s="171">
        <f ca="1">IF(OR($D33&lt;&gt;"Serviço",AND(AUTOEVENTO="Manual",$M33=$A$15)),0,
         IF(OFFSET(CRONOPLE!$F$15,$M33-$A$15,BL$13)=0,10^12,OFFSET(CRONOPLE!$F$15,$M33-$A$15,BL$13)))</f>
        <v>10</v>
      </c>
      <c r="BM33" s="171">
        <f ca="1">IF(OR($D33&lt;&gt;"Serviço",AND(AUTOEVENTO="Manual",$M33=$A$15)),0,
         IF(OFFSET(CRONOPLE!$F$15,$M33-$A$15,BM$13)=0,10^12,OFFSET(CRONOPLE!$F$15,$M33-$A$15,BM$13)))</f>
        <v>1000000000000</v>
      </c>
      <c r="BN33" s="171">
        <f ca="1">IF(OR($D33&lt;&gt;"Serviço",AND(AUTOEVENTO="Manual",$M33=$A$15)),0,
         IF(OFFSET(CRONOPLE!$F$15,$M33-$A$15,BN$13)=0,10^12,OFFSET(CRONOPLE!$F$15,$M33-$A$15,BN$13)))</f>
        <v>1000000000000</v>
      </c>
      <c r="BO33" s="171">
        <f ca="1">IF(OR($D33&lt;&gt;"Serviço",AND(AUTOEVENTO="Manual",$M33=$A$15)),0,
         IF(OFFSET(CRONOPLE!$F$15,$M33-$A$15,BO$13)=0,10^12,OFFSET(CRONOPLE!$F$15,$M33-$A$15,BO$13)))</f>
        <v>1000000000000</v>
      </c>
      <c r="BP33" s="171">
        <f ca="1">IF(OR($D33&lt;&gt;"Serviço",AND(AUTOEVENTO="Manual",$M33=$A$15)),0,
         IF(OFFSET(CRONOPLE!$F$15,$M33-$A$15,BP$13)=0,10^12,OFFSET(CRONOPLE!$F$15,$M33-$A$15,BP$13)))</f>
        <v>1000000000000</v>
      </c>
      <c r="BQ33" s="171">
        <f ca="1">IF(OR($D33&lt;&gt;"Serviço",AND(AUTOEVENTO="Manual",$M33=$A$15)),0,
         IF(OFFSET(CRONOPLE!$F$15,$M33-$A$15,BQ$13)=0,10^12,OFFSET(CRONOPLE!$F$15,$M33-$A$15,BQ$13)))</f>
        <v>1000000000000</v>
      </c>
      <c r="BR33" s="171">
        <f ca="1">IF(OR($D33&lt;&gt;"Serviço",AND(AUTOEVENTO="Manual",$M33=$A$15)),0,
         IF(OFFSET(CRONOPLE!$F$15,$M33-$A$15,BR$13)=0,10^12,OFFSET(CRONOPLE!$F$15,$M33-$A$15,BR$13)))</f>
        <v>1000000000000</v>
      </c>
      <c r="BS33" s="171">
        <f ca="1">IF(OR($D33&lt;&gt;"Serviço",AND(AUTOEVENTO="Manual",$M33=$A$15)),0,
         IF(OFFSET(CRONOPLE!$F$15,$M33-$A$15,BS$13)=0,10^12,OFFSET(CRONOPLE!$F$15,$M33-$A$15,BS$13)))</f>
        <v>1000000000000</v>
      </c>
      <c r="BT33" s="171">
        <f ca="1">IF(OR($D33&lt;&gt;"Serviço",AND(AUTOEVENTO="Manual",$M33=$A$15)),0,
         IF(OFFSET(CRONOPLE!$F$15,$M33-$A$15,BT$13)=0,10^12,OFFSET(CRONOPLE!$F$15,$M33-$A$15,BT$13)))</f>
        <v>1000000000000</v>
      </c>
      <c r="BV33" s="172">
        <f ca="1">IF(OR($D33&lt;&gt;"Serviço",AND(AUTOEVENTO="Manual",$M33=$A$15),$M33&gt;(ROW(PLE.lastrow)-ROW(PLE.firstrow))),0,
           IF(OFFSET(PLE!$G$15,$M33-$A$15,BV$13)="",10^12,OFFSET(PLE!$G$15,$M33-$A$15,BV$13)))</f>
        <v>1000000000000</v>
      </c>
      <c r="BW33" s="172">
        <f ca="1">IF(OR($D33&lt;&gt;"Serviço",AND(AUTOEVENTO="Manual",$M33=$A$15),$M33&gt;(ROW(PLE.lastrow)-ROW(PLE.firstrow))),0,
           IF(OFFSET(PLE!$G$15,$M33-$A$15,BW$13)="",10^12,OFFSET(PLE!$G$15,$M33-$A$15,BW$13)))</f>
        <v>1000000000000</v>
      </c>
      <c r="BX33" s="172">
        <f ca="1">IF(OR($D33&lt;&gt;"Serviço",AND(AUTOEVENTO="Manual",$M33=$A$15),$M33&gt;(ROW(PLE.lastrow)-ROW(PLE.firstrow))),0,
           IF(OFFSET(PLE!$G$15,$M33-$A$15,BX$13)="",10^12,OFFSET(PLE!$G$15,$M33-$A$15,BX$13)))</f>
        <v>1000000000000</v>
      </c>
      <c r="BY33" s="172">
        <f ca="1">IF(OR($D33&lt;&gt;"Serviço",AND(AUTOEVENTO="Manual",$M33=$A$15),$M33&gt;(ROW(PLE.lastrow)-ROW(PLE.firstrow))),0,
           IF(OFFSET(PLE!$G$15,$M33-$A$15,BY$13)="",10^12,OFFSET(PLE!$G$15,$M33-$A$15,BY$13)))</f>
        <v>1000000000000</v>
      </c>
      <c r="BZ33" s="172">
        <f ca="1">IF(OR($D33&lt;&gt;"Serviço",AND(AUTOEVENTO="Manual",$M33=$A$15),$M33&gt;(ROW(PLE.lastrow)-ROW(PLE.firstrow))),0,
           IF(OFFSET(PLE!$G$15,$M33-$A$15,BZ$13)="",10^12,OFFSET(PLE!$G$15,$M33-$A$15,BZ$13)))</f>
        <v>1000000000000</v>
      </c>
      <c r="CA33" s="172">
        <f ca="1">IF(OR($D33&lt;&gt;"Serviço",AND(AUTOEVENTO="Manual",$M33=$A$15),$M33&gt;(ROW(PLE.lastrow)-ROW(PLE.firstrow))),0,
           IF(OFFSET(PLE!$G$15,$M33-$A$15,CA$13)="",10^12,OFFSET(PLE!$G$15,$M33-$A$15,CA$13)))</f>
        <v>1000000000000</v>
      </c>
      <c r="CB33" s="172">
        <f ca="1">IF(OR($D33&lt;&gt;"Serviço",AND(AUTOEVENTO="Manual",$M33=$A$15),$M33&gt;(ROW(PLE.lastrow)-ROW(PLE.firstrow))),0,
           IF(OFFSET(PLE!$G$15,$M33-$A$15,CB$13)="",10^12,OFFSET(PLE!$G$15,$M33-$A$15,CB$13)))</f>
        <v>1000000000000</v>
      </c>
      <c r="CC33" s="172">
        <f ca="1">IF(OR($D33&lt;&gt;"Serviço",AND(AUTOEVENTO="Manual",$M33=$A$15),$M33&gt;(ROW(PLE.lastrow)-ROW(PLE.firstrow))),0,
           IF(OFFSET(PLE!$G$15,$M33-$A$15,CC$13)="",10^12,OFFSET(PLE!$G$15,$M33-$A$15,CC$13)))</f>
        <v>1000000000000</v>
      </c>
      <c r="CD33" s="172">
        <f ca="1">IF(OR($D33&lt;&gt;"Serviço",AND(AUTOEVENTO="Manual",$M33=$A$15),$M33&gt;(ROW(PLE.lastrow)-ROW(PLE.firstrow))),0,
           IF(OFFSET(PLE!$G$15,$M33-$A$15,CD$13)="",10^12,OFFSET(PLE!$G$15,$M33-$A$15,CD$13)))</f>
        <v>1000000000000</v>
      </c>
      <c r="CE33" s="172">
        <f ca="1">IF(OR($D33&lt;&gt;"Serviço",AND(AUTOEVENTO="Manual",$M33=$A$15),$M33&gt;(ROW(PLE.lastrow)-ROW(PLE.firstrow))),0,
           IF(OFFSET(PLE!$G$15,$M33-$A$15,CE$13)="",10^12,OFFSET(PLE!$G$15,$M33-$A$15,CE$13)))</f>
        <v>1000000000000</v>
      </c>
      <c r="CF33" s="172">
        <f ca="1">IF(OR($D33&lt;&gt;"Serviço",AND(AUTOEVENTO="Manual",$M33=$A$15),$M33&gt;(ROW(PLE.lastrow)-ROW(PLE.firstrow))),0,
           IF(OFFSET(PLE!$G$15,$M33-$A$15,CF$13)="",10^12,OFFSET(PLE!$G$15,$M33-$A$15,CF$13)))</f>
        <v>1000000000000</v>
      </c>
      <c r="CG33" s="172">
        <f ca="1">IF(OR($D33&lt;&gt;"Serviço",AND(AUTOEVENTO="Manual",$M33=$A$15),$M33&gt;(ROW(PLE.lastrow)-ROW(PLE.firstrow))),0,
           IF(OFFSET(PLE!$G$15,$M33-$A$15,CG$13)="",10^12,OFFSET(PLE!$G$15,$M33-$A$15,CG$13)))</f>
        <v>1000000000000</v>
      </c>
      <c r="CH33" s="172">
        <f ca="1">IF(OR($D33&lt;&gt;"Serviço",AND(AUTOEVENTO="Manual",$M33=$A$15),$M33&gt;(ROW(PLE.lastrow)-ROW(PLE.firstrow))),0,
           IF(OFFSET(PLE!$G$15,$M33-$A$15,CH$13)="",10^12,OFFSET(PLE!$G$15,$M33-$A$15,CH$13)))</f>
        <v>1000000000000</v>
      </c>
      <c r="CI33" s="172">
        <f ca="1">IF(OR($D33&lt;&gt;"Serviço",AND(AUTOEVENTO="Manual",$M33=$A$15),$M33&gt;(ROW(PLE.lastrow)-ROW(PLE.firstrow))),0,
           IF(OFFSET(PLE!$G$15,$M33-$A$15,CI$13)="",10^12,OFFSET(PLE!$G$15,$M33-$A$15,CI$13)))</f>
        <v>1000000000000</v>
      </c>
      <c r="CJ33" s="172">
        <f ca="1">IF(OR($D33&lt;&gt;"Serviço",AND(AUTOEVENTO="Manual",$M33=$A$15),$M33&gt;(ROW(PLE.lastrow)-ROW(PLE.firstrow))),0,
           IF(OFFSET(PLE!$G$15,$M33-$A$15,CJ$13)="",10^12,OFFSET(PLE!$G$15,$M33-$A$15,CJ$13)))</f>
        <v>1000000000000</v>
      </c>
      <c r="CK33" s="172">
        <f ca="1">IF(OR($D33&lt;&gt;"Serviço",AND(AUTOEVENTO="Manual",$M33=$A$15),$M33&gt;(ROW(PLE.lastrow)-ROW(PLE.firstrow))),0,
           IF(OFFSET(PLE!$G$15,$M33-$A$15,CK$13)="",10^12,OFFSET(PLE!$G$15,$M33-$A$15,CK$13)))</f>
        <v>1000000000000</v>
      </c>
      <c r="CL33" s="172">
        <f ca="1">IF(OR($D33&lt;&gt;"Serviço",AND(AUTOEVENTO="Manual",$M33=$A$15),$M33&gt;(ROW(PLE.lastrow)-ROW(PLE.firstrow))),0,
           IF(OFFSET(PLE!$G$15,$M33-$A$15,CL$13)="",10^12,OFFSET(PLE!$G$15,$M33-$A$15,CL$13)))</f>
        <v>1000000000000</v>
      </c>
      <c r="CM33" s="172">
        <f ca="1">IF(OR($D33&lt;&gt;"Serviço",AND(AUTOEVENTO="Manual",$M33=$A$15),$M33&gt;(ROW(PLE.lastrow)-ROW(PLE.firstrow))),0,
           IF(OFFSET(PLE!$G$15,$M33-$A$15,CM$13)="",10^12,OFFSET(PLE!$G$15,$M33-$A$15,CM$13)))</f>
        <v>1000000000000</v>
      </c>
    </row>
    <row r="34" spans="1:91" ht="76.5" x14ac:dyDescent="0.2">
      <c r="A34" s="7">
        <f t="shared" ca="1" si="10"/>
        <v>2</v>
      </c>
      <c r="B34" s="7" t="str">
        <f ca="1">OFFSET(ORÇAMENTO!C$15,ROW(B34)-ROW(B$15),0)</f>
        <v>S</v>
      </c>
      <c r="C34" s="7" t="str">
        <f ca="1">OFFSET(ORÇAMENTO!L$15,ROW(C34)-ROW(C$15),0)</f>
        <v>F</v>
      </c>
      <c r="D34" s="116" t="str">
        <f ca="1">OFFSET(ORÇAMENTO!N$15,ROW(D34)-ROW(D$15),0)</f>
        <v>Serviço</v>
      </c>
      <c r="E34" s="117" t="str">
        <f ca="1">OFFSET(ORÇAMENTO!O$15,ROW(E34)-ROW(E$15),0)</f>
        <v>1.3.2.0.4.</v>
      </c>
      <c r="F34" s="163" t="str">
        <f ca="1">OFFSET(ORÇAMENTO!R$15,ROW(F34)-ROW(F$15),0)</f>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
      <c r="G34" s="164" t="str">
        <f ca="1">IF($D34&lt;&gt;"Serviço","",OFFSET(ORÇAMENTO!S$15,ROW(G34)-ROW(G$15),0))</f>
        <v>MÊS</v>
      </c>
      <c r="H34" s="122" cm="1">
        <f t="array" aca="1" ref="H34" ca="1">IF($D34&lt;&gt;"Serviço",0,IF(ACOMPANHAMENTO="BM",ROUND(OFFSET(ORÇAMENTO!AJ$15,ROW(H34)-ROW(H$15),0),15-13*ORÇAMENTO!$AF$7),SUMPRODUCT(($Q$1:$AI$1=1)*ROUND($Q34:$AI34,15-13*ORÇAMENTO!$AF$7))))</f>
        <v>10</v>
      </c>
      <c r="I34" s="468" t="s">
        <v>1445</v>
      </c>
      <c r="J34" s="640" t="str" cm="1">
        <f t="array" aca="1" ref="J34" ca="1">IF(OR(B34&lt;&gt;"S",CÁLCULO.FrentesPreenchidas=0),"",IF(AND(ACOMPANHAMENTO="PLE",AUTOEVENTO="Manual",OR(H34&gt;0,ORÇAMENTO!AC34="QUANT."),OR(K34="",M34=0,N34="")),"►E",IF(AND(ACOMPANHAMENTO="PLE",ORÇAMENTO!AC34="QUANT."),"►Q",IF(AND(ACOMPANHAMENTO="PLE",H34&lt;&gt;SUMPRODUCT(($Q$1:$AI$1=1)*ROUND(Q34:AI34,15))),"►S",IF(AND(COUNTIF($P$11:$AI$11,"▼")=0,H34&gt;0,I34=""),"◄M","")))))</f>
        <v/>
      </c>
      <c r="K34" s="641" t="s">
        <v>1387</v>
      </c>
      <c r="L34" s="165" t="s">
        <v>764</v>
      </c>
      <c r="M34" s="166">
        <f ca="1">IF($D34&lt;&gt;"Serviço","",
          IF(AUTOEVENTO="manual",$A34,
                IF(ISERROR(MATCH($A34,$A$15:OFFSET($A34,-1,0),0)),MAX($M$15:OFFSET(M34,-1,0))+1,
                      INDEX($M$15:OFFSET(M34,-1,0),MATCH($A34,$A$15:OFFSET($A34,-1,0),0)))))</f>
        <v>2</v>
      </c>
      <c r="N34" s="167" t="str">
        <f ca="1">IF($D34&lt;&gt;"Serviço","",
         IF(AUTOEVENTO="Manual",
                IF($A34=0,"&lt;-- defina o número do agrupador",
                       OFFSET(EVENTOS!$D$15,$A34-$A$15,0)),
                OFFSET($F$15,$A34,0)))</f>
        <v>Serviços Iniciais</v>
      </c>
      <c r="O34" s="168"/>
      <c r="Q34" s="168">
        <v>1</v>
      </c>
      <c r="R34" s="169">
        <v>1</v>
      </c>
      <c r="S34" s="169">
        <v>1</v>
      </c>
      <c r="T34" s="169">
        <v>1</v>
      </c>
      <c r="U34" s="169">
        <v>1</v>
      </c>
      <c r="V34" s="169">
        <v>1</v>
      </c>
      <c r="W34" s="169">
        <v>1</v>
      </c>
      <c r="X34" s="169">
        <v>0.5</v>
      </c>
      <c r="Y34" s="169">
        <v>0.5</v>
      </c>
      <c r="Z34" s="170">
        <v>1</v>
      </c>
      <c r="AA34" s="169"/>
      <c r="AB34" s="169"/>
      <c r="AC34" s="169"/>
      <c r="AD34" s="169"/>
      <c r="AE34" s="169"/>
      <c r="AF34" s="169"/>
      <c r="AG34" s="169"/>
      <c r="AH34" s="170"/>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L34" s="453">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0</v>
      </c>
      <c r="AM34" s="453">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0</v>
      </c>
      <c r="AN34" s="453">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0</v>
      </c>
      <c r="AO34" s="453">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0</v>
      </c>
      <c r="AP34" s="453">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0</v>
      </c>
      <c r="AQ34" s="453">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0</v>
      </c>
      <c r="AR34" s="453">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3">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3">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3">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3">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3">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3">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3">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3">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3">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1">
        <f ca="1">IF(OR($D34&lt;&gt;"Serviço",AND(AUTOEVENTO="Manual",$M34=$A$15)),0,
         IF(OFFSET(CRONOPLE!$F$15,$M34-$A$15,BC$13)=0,10^12,OFFSET(CRONOPLE!$F$15,$M34-$A$15,BC$13)))</f>
        <v>1</v>
      </c>
      <c r="BD34" s="171">
        <f ca="1">IF(OR($D34&lt;&gt;"Serviço",AND(AUTOEVENTO="Manual",$M34=$A$15)),0,
         IF(OFFSET(CRONOPLE!$F$15,$M34-$A$15,BD$13)=0,10^12,OFFSET(CRONOPLE!$F$15,$M34-$A$15,BD$13)))</f>
        <v>2</v>
      </c>
      <c r="BE34" s="171">
        <f ca="1">IF(OR($D34&lt;&gt;"Serviço",AND(AUTOEVENTO="Manual",$M34=$A$15)),0,
         IF(OFFSET(CRONOPLE!$F$15,$M34-$A$15,BE$13)=0,10^12,OFFSET(CRONOPLE!$F$15,$M34-$A$15,BE$13)))</f>
        <v>3</v>
      </c>
      <c r="BF34" s="171">
        <f ca="1">IF(OR($D34&lt;&gt;"Serviço",AND(AUTOEVENTO="Manual",$M34=$A$15)),0,
         IF(OFFSET(CRONOPLE!$F$15,$M34-$A$15,BF$13)=0,10^12,OFFSET(CRONOPLE!$F$15,$M34-$A$15,BF$13)))</f>
        <v>4</v>
      </c>
      <c r="BG34" s="171">
        <f ca="1">IF(OR($D34&lt;&gt;"Serviço",AND(AUTOEVENTO="Manual",$M34=$A$15)),0,
         IF(OFFSET(CRONOPLE!$F$15,$M34-$A$15,BG$13)=0,10^12,OFFSET(CRONOPLE!$F$15,$M34-$A$15,BG$13)))</f>
        <v>5</v>
      </c>
      <c r="BH34" s="171">
        <f ca="1">IF(OR($D34&lt;&gt;"Serviço",AND(AUTOEVENTO="Manual",$M34=$A$15)),0,
         IF(OFFSET(CRONOPLE!$F$15,$M34-$A$15,BH$13)=0,10^12,OFFSET(CRONOPLE!$F$15,$M34-$A$15,BH$13)))</f>
        <v>6</v>
      </c>
      <c r="BI34" s="171">
        <f ca="1">IF(OR($D34&lt;&gt;"Serviço",AND(AUTOEVENTO="Manual",$M34=$A$15)),0,
         IF(OFFSET(CRONOPLE!$F$15,$M34-$A$15,BI$13)=0,10^12,OFFSET(CRONOPLE!$F$15,$M34-$A$15,BI$13)))</f>
        <v>7</v>
      </c>
      <c r="BJ34" s="171">
        <f ca="1">IF(OR($D34&lt;&gt;"Serviço",AND(AUTOEVENTO="Manual",$M34=$A$15)),0,
         IF(OFFSET(CRONOPLE!$F$15,$M34-$A$15,BJ$13)=0,10^12,OFFSET(CRONOPLE!$F$15,$M34-$A$15,BJ$13)))</f>
        <v>8</v>
      </c>
      <c r="BK34" s="171">
        <f ca="1">IF(OR($D34&lt;&gt;"Serviço",AND(AUTOEVENTO="Manual",$M34=$A$15)),0,
         IF(OFFSET(CRONOPLE!$F$15,$M34-$A$15,BK$13)=0,10^12,OFFSET(CRONOPLE!$F$15,$M34-$A$15,BK$13)))</f>
        <v>9</v>
      </c>
      <c r="BL34" s="171">
        <f ca="1">IF(OR($D34&lt;&gt;"Serviço",AND(AUTOEVENTO="Manual",$M34=$A$15)),0,
         IF(OFFSET(CRONOPLE!$F$15,$M34-$A$15,BL$13)=0,10^12,OFFSET(CRONOPLE!$F$15,$M34-$A$15,BL$13)))</f>
        <v>10</v>
      </c>
      <c r="BM34" s="171">
        <f ca="1">IF(OR($D34&lt;&gt;"Serviço",AND(AUTOEVENTO="Manual",$M34=$A$15)),0,
         IF(OFFSET(CRONOPLE!$F$15,$M34-$A$15,BM$13)=0,10^12,OFFSET(CRONOPLE!$F$15,$M34-$A$15,BM$13)))</f>
        <v>1000000000000</v>
      </c>
      <c r="BN34" s="171">
        <f ca="1">IF(OR($D34&lt;&gt;"Serviço",AND(AUTOEVENTO="Manual",$M34=$A$15)),0,
         IF(OFFSET(CRONOPLE!$F$15,$M34-$A$15,BN$13)=0,10^12,OFFSET(CRONOPLE!$F$15,$M34-$A$15,BN$13)))</f>
        <v>1000000000000</v>
      </c>
      <c r="BO34" s="171">
        <f ca="1">IF(OR($D34&lt;&gt;"Serviço",AND(AUTOEVENTO="Manual",$M34=$A$15)),0,
         IF(OFFSET(CRONOPLE!$F$15,$M34-$A$15,BO$13)=0,10^12,OFFSET(CRONOPLE!$F$15,$M34-$A$15,BO$13)))</f>
        <v>1000000000000</v>
      </c>
      <c r="BP34" s="171">
        <f ca="1">IF(OR($D34&lt;&gt;"Serviço",AND(AUTOEVENTO="Manual",$M34=$A$15)),0,
         IF(OFFSET(CRONOPLE!$F$15,$M34-$A$15,BP$13)=0,10^12,OFFSET(CRONOPLE!$F$15,$M34-$A$15,BP$13)))</f>
        <v>1000000000000</v>
      </c>
      <c r="BQ34" s="171">
        <f ca="1">IF(OR($D34&lt;&gt;"Serviço",AND(AUTOEVENTO="Manual",$M34=$A$15)),0,
         IF(OFFSET(CRONOPLE!$F$15,$M34-$A$15,BQ$13)=0,10^12,OFFSET(CRONOPLE!$F$15,$M34-$A$15,BQ$13)))</f>
        <v>1000000000000</v>
      </c>
      <c r="BR34" s="171">
        <f ca="1">IF(OR($D34&lt;&gt;"Serviço",AND(AUTOEVENTO="Manual",$M34=$A$15)),0,
         IF(OFFSET(CRONOPLE!$F$15,$M34-$A$15,BR$13)=0,10^12,OFFSET(CRONOPLE!$F$15,$M34-$A$15,BR$13)))</f>
        <v>1000000000000</v>
      </c>
      <c r="BS34" s="171">
        <f ca="1">IF(OR($D34&lt;&gt;"Serviço",AND(AUTOEVENTO="Manual",$M34=$A$15)),0,
         IF(OFFSET(CRONOPLE!$F$15,$M34-$A$15,BS$13)=0,10^12,OFFSET(CRONOPLE!$F$15,$M34-$A$15,BS$13)))</f>
        <v>1000000000000</v>
      </c>
      <c r="BT34" s="171">
        <f ca="1">IF(OR($D34&lt;&gt;"Serviço",AND(AUTOEVENTO="Manual",$M34=$A$15)),0,
         IF(OFFSET(CRONOPLE!$F$15,$M34-$A$15,BT$13)=0,10^12,OFFSET(CRONOPLE!$F$15,$M34-$A$15,BT$13)))</f>
        <v>1000000000000</v>
      </c>
      <c r="BV34" s="172">
        <f ca="1">IF(OR($D34&lt;&gt;"Serviço",AND(AUTOEVENTO="Manual",$M34=$A$15),$M34&gt;(ROW(PLE.lastrow)-ROW(PLE.firstrow))),0,
           IF(OFFSET(PLE!$G$15,$M34-$A$15,BV$13)="",10^12,OFFSET(PLE!$G$15,$M34-$A$15,BV$13)))</f>
        <v>1000000000000</v>
      </c>
      <c r="BW34" s="172">
        <f ca="1">IF(OR($D34&lt;&gt;"Serviço",AND(AUTOEVENTO="Manual",$M34=$A$15),$M34&gt;(ROW(PLE.lastrow)-ROW(PLE.firstrow))),0,
           IF(OFFSET(PLE!$G$15,$M34-$A$15,BW$13)="",10^12,OFFSET(PLE!$G$15,$M34-$A$15,BW$13)))</f>
        <v>1000000000000</v>
      </c>
      <c r="BX34" s="172">
        <f ca="1">IF(OR($D34&lt;&gt;"Serviço",AND(AUTOEVENTO="Manual",$M34=$A$15),$M34&gt;(ROW(PLE.lastrow)-ROW(PLE.firstrow))),0,
           IF(OFFSET(PLE!$G$15,$M34-$A$15,BX$13)="",10^12,OFFSET(PLE!$G$15,$M34-$A$15,BX$13)))</f>
        <v>1000000000000</v>
      </c>
      <c r="BY34" s="172">
        <f ca="1">IF(OR($D34&lt;&gt;"Serviço",AND(AUTOEVENTO="Manual",$M34=$A$15),$M34&gt;(ROW(PLE.lastrow)-ROW(PLE.firstrow))),0,
           IF(OFFSET(PLE!$G$15,$M34-$A$15,BY$13)="",10^12,OFFSET(PLE!$G$15,$M34-$A$15,BY$13)))</f>
        <v>1000000000000</v>
      </c>
      <c r="BZ34" s="172">
        <f ca="1">IF(OR($D34&lt;&gt;"Serviço",AND(AUTOEVENTO="Manual",$M34=$A$15),$M34&gt;(ROW(PLE.lastrow)-ROW(PLE.firstrow))),0,
           IF(OFFSET(PLE!$G$15,$M34-$A$15,BZ$13)="",10^12,OFFSET(PLE!$G$15,$M34-$A$15,BZ$13)))</f>
        <v>1000000000000</v>
      </c>
      <c r="CA34" s="172">
        <f ca="1">IF(OR($D34&lt;&gt;"Serviço",AND(AUTOEVENTO="Manual",$M34=$A$15),$M34&gt;(ROW(PLE.lastrow)-ROW(PLE.firstrow))),0,
           IF(OFFSET(PLE!$G$15,$M34-$A$15,CA$13)="",10^12,OFFSET(PLE!$G$15,$M34-$A$15,CA$13)))</f>
        <v>1000000000000</v>
      </c>
      <c r="CB34" s="172">
        <f ca="1">IF(OR($D34&lt;&gt;"Serviço",AND(AUTOEVENTO="Manual",$M34=$A$15),$M34&gt;(ROW(PLE.lastrow)-ROW(PLE.firstrow))),0,
           IF(OFFSET(PLE!$G$15,$M34-$A$15,CB$13)="",10^12,OFFSET(PLE!$G$15,$M34-$A$15,CB$13)))</f>
        <v>1000000000000</v>
      </c>
      <c r="CC34" s="172">
        <f ca="1">IF(OR($D34&lt;&gt;"Serviço",AND(AUTOEVENTO="Manual",$M34=$A$15),$M34&gt;(ROW(PLE.lastrow)-ROW(PLE.firstrow))),0,
           IF(OFFSET(PLE!$G$15,$M34-$A$15,CC$13)="",10^12,OFFSET(PLE!$G$15,$M34-$A$15,CC$13)))</f>
        <v>1000000000000</v>
      </c>
      <c r="CD34" s="172">
        <f ca="1">IF(OR($D34&lt;&gt;"Serviço",AND(AUTOEVENTO="Manual",$M34=$A$15),$M34&gt;(ROW(PLE.lastrow)-ROW(PLE.firstrow))),0,
           IF(OFFSET(PLE!$G$15,$M34-$A$15,CD$13)="",10^12,OFFSET(PLE!$G$15,$M34-$A$15,CD$13)))</f>
        <v>1000000000000</v>
      </c>
      <c r="CE34" s="172">
        <f ca="1">IF(OR($D34&lt;&gt;"Serviço",AND(AUTOEVENTO="Manual",$M34=$A$15),$M34&gt;(ROW(PLE.lastrow)-ROW(PLE.firstrow))),0,
           IF(OFFSET(PLE!$G$15,$M34-$A$15,CE$13)="",10^12,OFFSET(PLE!$G$15,$M34-$A$15,CE$13)))</f>
        <v>1000000000000</v>
      </c>
      <c r="CF34" s="172">
        <f ca="1">IF(OR($D34&lt;&gt;"Serviço",AND(AUTOEVENTO="Manual",$M34=$A$15),$M34&gt;(ROW(PLE.lastrow)-ROW(PLE.firstrow))),0,
           IF(OFFSET(PLE!$G$15,$M34-$A$15,CF$13)="",10^12,OFFSET(PLE!$G$15,$M34-$A$15,CF$13)))</f>
        <v>1000000000000</v>
      </c>
      <c r="CG34" s="172">
        <f ca="1">IF(OR($D34&lt;&gt;"Serviço",AND(AUTOEVENTO="Manual",$M34=$A$15),$M34&gt;(ROW(PLE.lastrow)-ROW(PLE.firstrow))),0,
           IF(OFFSET(PLE!$G$15,$M34-$A$15,CG$13)="",10^12,OFFSET(PLE!$G$15,$M34-$A$15,CG$13)))</f>
        <v>1000000000000</v>
      </c>
      <c r="CH34" s="172">
        <f ca="1">IF(OR($D34&lt;&gt;"Serviço",AND(AUTOEVENTO="Manual",$M34=$A$15),$M34&gt;(ROW(PLE.lastrow)-ROW(PLE.firstrow))),0,
           IF(OFFSET(PLE!$G$15,$M34-$A$15,CH$13)="",10^12,OFFSET(PLE!$G$15,$M34-$A$15,CH$13)))</f>
        <v>1000000000000</v>
      </c>
      <c r="CI34" s="172">
        <f ca="1">IF(OR($D34&lt;&gt;"Serviço",AND(AUTOEVENTO="Manual",$M34=$A$15),$M34&gt;(ROW(PLE.lastrow)-ROW(PLE.firstrow))),0,
           IF(OFFSET(PLE!$G$15,$M34-$A$15,CI$13)="",10^12,OFFSET(PLE!$G$15,$M34-$A$15,CI$13)))</f>
        <v>1000000000000</v>
      </c>
      <c r="CJ34" s="172">
        <f ca="1">IF(OR($D34&lt;&gt;"Serviço",AND(AUTOEVENTO="Manual",$M34=$A$15),$M34&gt;(ROW(PLE.lastrow)-ROW(PLE.firstrow))),0,
           IF(OFFSET(PLE!$G$15,$M34-$A$15,CJ$13)="",10^12,OFFSET(PLE!$G$15,$M34-$A$15,CJ$13)))</f>
        <v>1000000000000</v>
      </c>
      <c r="CK34" s="172">
        <f ca="1">IF(OR($D34&lt;&gt;"Serviço",AND(AUTOEVENTO="Manual",$M34=$A$15),$M34&gt;(ROW(PLE.lastrow)-ROW(PLE.firstrow))),0,
           IF(OFFSET(PLE!$G$15,$M34-$A$15,CK$13)="",10^12,OFFSET(PLE!$G$15,$M34-$A$15,CK$13)))</f>
        <v>1000000000000</v>
      </c>
      <c r="CL34" s="172">
        <f ca="1">IF(OR($D34&lt;&gt;"Serviço",AND(AUTOEVENTO="Manual",$M34=$A$15),$M34&gt;(ROW(PLE.lastrow)-ROW(PLE.firstrow))),0,
           IF(OFFSET(PLE!$G$15,$M34-$A$15,CL$13)="",10^12,OFFSET(PLE!$G$15,$M34-$A$15,CL$13)))</f>
        <v>1000000000000</v>
      </c>
      <c r="CM34" s="172">
        <f ca="1">IF(OR($D34&lt;&gt;"Serviço",AND(AUTOEVENTO="Manual",$M34=$A$15),$M34&gt;(ROW(PLE.lastrow)-ROW(PLE.firstrow))),0,
           IF(OFFSET(PLE!$G$15,$M34-$A$15,CM$13)="",10^12,OFFSET(PLE!$G$15,$M34-$A$15,CM$13)))</f>
        <v>1000000000000</v>
      </c>
    </row>
    <row r="35" spans="1:91" ht="102" x14ac:dyDescent="0.2">
      <c r="A35" s="7">
        <f t="shared" ca="1" si="10"/>
        <v>2</v>
      </c>
      <c r="B35" s="7" t="str">
        <f ca="1">OFFSET(ORÇAMENTO!C$15,ROW(B35)-ROW(B$15),0)</f>
        <v>S</v>
      </c>
      <c r="C35" s="7" t="str">
        <f ca="1">OFFSET(ORÇAMENTO!L$15,ROW(C35)-ROW(C$15),0)</f>
        <v>F</v>
      </c>
      <c r="D35" s="116" t="str">
        <f ca="1">OFFSET(ORÇAMENTO!N$15,ROW(D35)-ROW(D$15),0)</f>
        <v>Serviço</v>
      </c>
      <c r="E35" s="117" t="str">
        <f ca="1">OFFSET(ORÇAMENTO!O$15,ROW(E35)-ROW(E$15),0)</f>
        <v>1.3.2.0.5.</v>
      </c>
      <c r="F35" s="163" t="str">
        <f ca="1">OFFSET(ORÇAMENTO!R$15,ROW(F35)-ROW(F$15),0)</f>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
      <c r="G35" s="164" t="str">
        <f ca="1">IF($D35&lt;&gt;"Serviço","",OFFSET(ORÇAMENTO!S$15,ROW(G35)-ROW(G$15),0))</f>
        <v>MÊS</v>
      </c>
      <c r="H35" s="122" cm="1">
        <f t="array" aca="1" ref="H35" ca="1">IF($D35&lt;&gt;"Serviço",0,IF(ACOMPANHAMENTO="BM",ROUND(OFFSET(ORÇAMENTO!AJ$15,ROW(H35)-ROW(H$15),0),15-13*ORÇAMENTO!$AF$7),SUMPRODUCT(($Q$1:$AI$1=1)*ROUND($Q35:$AI35,15-13*ORÇAMENTO!$AF$7))))</f>
        <v>10</v>
      </c>
      <c r="I35" s="468" t="s">
        <v>1445</v>
      </c>
      <c r="J35" s="640" t="str" cm="1">
        <f t="array" aca="1" ref="J35" ca="1">IF(OR(B35&lt;&gt;"S",CÁLCULO.FrentesPreenchidas=0),"",IF(AND(ACOMPANHAMENTO="PLE",AUTOEVENTO="Manual",OR(H35&gt;0,ORÇAMENTO!AC35="QUANT."),OR(K35="",M35=0,N35="")),"►E",IF(AND(ACOMPANHAMENTO="PLE",ORÇAMENTO!AC35="QUANT."),"►Q",IF(AND(ACOMPANHAMENTO="PLE",H35&lt;&gt;SUMPRODUCT(($Q$1:$AI$1=1)*ROUND(Q35:AI35,15))),"►S",IF(AND(COUNTIF($P$11:$AI$11,"▼")=0,H35&gt;0,I35=""),"◄M","")))))</f>
        <v/>
      </c>
      <c r="K35" s="641" t="s">
        <v>1387</v>
      </c>
      <c r="L35" s="165" t="s">
        <v>764</v>
      </c>
      <c r="M35" s="166">
        <f ca="1">IF($D35&lt;&gt;"Serviço","",
          IF(AUTOEVENTO="manual",$A35,
                IF(ISERROR(MATCH($A35,$A$15:OFFSET($A35,-1,0),0)),MAX($M$15:OFFSET(M35,-1,0))+1,
                      INDEX($M$15:OFFSET(M35,-1,0),MATCH($A35,$A$15:OFFSET($A35,-1,0),0)))))</f>
        <v>2</v>
      </c>
      <c r="N35" s="167" t="str">
        <f ca="1">IF($D35&lt;&gt;"Serviço","",
         IF(AUTOEVENTO="Manual",
                IF($A35=0,"&lt;-- defina o número do agrupador",
                       OFFSET(EVENTOS!$D$15,$A35-$A$15,0)),
                OFFSET($F$15,$A35,0)))</f>
        <v>Serviços Iniciais</v>
      </c>
      <c r="O35" s="168"/>
      <c r="Q35" s="168">
        <v>1</v>
      </c>
      <c r="R35" s="169">
        <v>1</v>
      </c>
      <c r="S35" s="169">
        <v>1</v>
      </c>
      <c r="T35" s="169">
        <v>1</v>
      </c>
      <c r="U35" s="169">
        <v>1</v>
      </c>
      <c r="V35" s="169">
        <v>1</v>
      </c>
      <c r="W35" s="169">
        <v>1</v>
      </c>
      <c r="X35" s="169">
        <v>0.5</v>
      </c>
      <c r="Y35" s="169">
        <v>0.5</v>
      </c>
      <c r="Z35" s="170">
        <v>1</v>
      </c>
      <c r="AA35" s="169"/>
      <c r="AB35" s="169"/>
      <c r="AC35" s="169"/>
      <c r="AD35" s="169"/>
      <c r="AE35" s="169"/>
      <c r="AF35" s="169"/>
      <c r="AG35" s="169"/>
      <c r="AH35" s="170"/>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L35" s="453">
        <f ca="1">IF(AND($D35="Serviço",AL$12&lt;&gt;0,$H35&gt;0,OR(AUTOEVENTO&lt;&gt;"manual",$M35&lt;&gt;$A$15)),
        IF(Import.TipoArredondamento&lt;&gt;"TransfereGOV",
              ROUND(OFFSET($P35,0,AL$13),15-13*ORÇAMENTO!$AF$7)/$H35*OFFSET(ORÇAMENTO!$X$15,ROW(AL35)-ROW(AL$15),0),
              ROUND(ROUND(OFFSET($P35,0,AL$13),15-13*ORÇAMENTO!$AF$7)*OFFSET(ORÇAMENTO!$W$15,ROW(AL35)-ROW(AL$15),0),15-13*ORÇAMENTO!$AF$11)),
         0)</f>
        <v>0</v>
      </c>
      <c r="AM35" s="453">
        <f ca="1">IF(AND($D35="Serviço",AM$12&lt;&gt;0,$H35&gt;0,OR(AUTOEVENTO&lt;&gt;"manual",$M35&lt;&gt;$A$15)),
        IF(Import.TipoArredondamento&lt;&gt;"TransfereGOV",
              ROUND(OFFSET($P35,0,AM$13),15-13*ORÇAMENTO!$AF$7)/$H35*OFFSET(ORÇAMENTO!$X$15,ROW(AM35)-ROW(AM$15),0),
              ROUND(ROUND(OFFSET($P35,0,AM$13),15-13*ORÇAMENTO!$AF$7)*OFFSET(ORÇAMENTO!$W$15,ROW(AM35)-ROW(AM$15),0),15-13*ORÇAMENTO!$AF$11)),
         0)</f>
        <v>0</v>
      </c>
      <c r="AN35" s="453">
        <f ca="1">IF(AND($D35="Serviço",AN$12&lt;&gt;0,$H35&gt;0,OR(AUTOEVENTO&lt;&gt;"manual",$M35&lt;&gt;$A$15)),
        IF(Import.TipoArredondamento&lt;&gt;"TransfereGOV",
              ROUND(OFFSET($P35,0,AN$13),15-13*ORÇAMENTO!$AF$7)/$H35*OFFSET(ORÇAMENTO!$X$15,ROW(AN35)-ROW(AN$15),0),
              ROUND(ROUND(OFFSET($P35,0,AN$13),15-13*ORÇAMENTO!$AF$7)*OFFSET(ORÇAMENTO!$W$15,ROW(AN35)-ROW(AN$15),0),15-13*ORÇAMENTO!$AF$11)),
         0)</f>
        <v>0</v>
      </c>
      <c r="AO35" s="453">
        <f ca="1">IF(AND($D35="Serviço",AO$12&lt;&gt;0,$H35&gt;0,OR(AUTOEVENTO&lt;&gt;"manual",$M35&lt;&gt;$A$15)),
        IF(Import.TipoArredondamento&lt;&gt;"TransfereGOV",
              ROUND(OFFSET($P35,0,AO$13),15-13*ORÇAMENTO!$AF$7)/$H35*OFFSET(ORÇAMENTO!$X$15,ROW(AO35)-ROW(AO$15),0),
              ROUND(ROUND(OFFSET($P35,0,AO$13),15-13*ORÇAMENTO!$AF$7)*OFFSET(ORÇAMENTO!$W$15,ROW(AO35)-ROW(AO$15),0),15-13*ORÇAMENTO!$AF$11)),
         0)</f>
        <v>0</v>
      </c>
      <c r="AP35" s="453">
        <f ca="1">IF(AND($D35="Serviço",AP$12&lt;&gt;0,$H35&gt;0,OR(AUTOEVENTO&lt;&gt;"manual",$M35&lt;&gt;$A$15)),
        IF(Import.TipoArredondamento&lt;&gt;"TransfereGOV",
              ROUND(OFFSET($P35,0,AP$13),15-13*ORÇAMENTO!$AF$7)/$H35*OFFSET(ORÇAMENTO!$X$15,ROW(AP35)-ROW(AP$15),0),
              ROUND(ROUND(OFFSET($P35,0,AP$13),15-13*ORÇAMENTO!$AF$7)*OFFSET(ORÇAMENTO!$W$15,ROW(AP35)-ROW(AP$15),0),15-13*ORÇAMENTO!$AF$11)),
         0)</f>
        <v>0</v>
      </c>
      <c r="AQ35" s="453">
        <f ca="1">IF(AND($D35="Serviço",AQ$12&lt;&gt;0,$H35&gt;0,OR(AUTOEVENTO&lt;&gt;"manual",$M35&lt;&gt;$A$15)),
        IF(Import.TipoArredondamento&lt;&gt;"TransfereGOV",
              ROUND(OFFSET($P35,0,AQ$13),15-13*ORÇAMENTO!$AF$7)/$H35*OFFSET(ORÇAMENTO!$X$15,ROW(AQ35)-ROW(AQ$15),0),
              ROUND(ROUND(OFFSET($P35,0,AQ$13),15-13*ORÇAMENTO!$AF$7)*OFFSET(ORÇAMENTO!$W$15,ROW(AQ35)-ROW(AQ$15),0),15-13*ORÇAMENTO!$AF$11)),
         0)</f>
        <v>0</v>
      </c>
      <c r="AR35" s="453">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3">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3">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3">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3">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3">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3">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3">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3">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3">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C35" s="171">
        <f ca="1">IF(OR($D35&lt;&gt;"Serviço",AND(AUTOEVENTO="Manual",$M35=$A$15)),0,
         IF(OFFSET(CRONOPLE!$F$15,$M35-$A$15,BC$13)=0,10^12,OFFSET(CRONOPLE!$F$15,$M35-$A$15,BC$13)))</f>
        <v>1</v>
      </c>
      <c r="BD35" s="171">
        <f ca="1">IF(OR($D35&lt;&gt;"Serviço",AND(AUTOEVENTO="Manual",$M35=$A$15)),0,
         IF(OFFSET(CRONOPLE!$F$15,$M35-$A$15,BD$13)=0,10^12,OFFSET(CRONOPLE!$F$15,$M35-$A$15,BD$13)))</f>
        <v>2</v>
      </c>
      <c r="BE35" s="171">
        <f ca="1">IF(OR($D35&lt;&gt;"Serviço",AND(AUTOEVENTO="Manual",$M35=$A$15)),0,
         IF(OFFSET(CRONOPLE!$F$15,$M35-$A$15,BE$13)=0,10^12,OFFSET(CRONOPLE!$F$15,$M35-$A$15,BE$13)))</f>
        <v>3</v>
      </c>
      <c r="BF35" s="171">
        <f ca="1">IF(OR($D35&lt;&gt;"Serviço",AND(AUTOEVENTO="Manual",$M35=$A$15)),0,
         IF(OFFSET(CRONOPLE!$F$15,$M35-$A$15,BF$13)=0,10^12,OFFSET(CRONOPLE!$F$15,$M35-$A$15,BF$13)))</f>
        <v>4</v>
      </c>
      <c r="BG35" s="171">
        <f ca="1">IF(OR($D35&lt;&gt;"Serviço",AND(AUTOEVENTO="Manual",$M35=$A$15)),0,
         IF(OFFSET(CRONOPLE!$F$15,$M35-$A$15,BG$13)=0,10^12,OFFSET(CRONOPLE!$F$15,$M35-$A$15,BG$13)))</f>
        <v>5</v>
      </c>
      <c r="BH35" s="171">
        <f ca="1">IF(OR($D35&lt;&gt;"Serviço",AND(AUTOEVENTO="Manual",$M35=$A$15)),0,
         IF(OFFSET(CRONOPLE!$F$15,$M35-$A$15,BH$13)=0,10^12,OFFSET(CRONOPLE!$F$15,$M35-$A$15,BH$13)))</f>
        <v>6</v>
      </c>
      <c r="BI35" s="171">
        <f ca="1">IF(OR($D35&lt;&gt;"Serviço",AND(AUTOEVENTO="Manual",$M35=$A$15)),0,
         IF(OFFSET(CRONOPLE!$F$15,$M35-$A$15,BI$13)=0,10^12,OFFSET(CRONOPLE!$F$15,$M35-$A$15,BI$13)))</f>
        <v>7</v>
      </c>
      <c r="BJ35" s="171">
        <f ca="1">IF(OR($D35&lt;&gt;"Serviço",AND(AUTOEVENTO="Manual",$M35=$A$15)),0,
         IF(OFFSET(CRONOPLE!$F$15,$M35-$A$15,BJ$13)=0,10^12,OFFSET(CRONOPLE!$F$15,$M35-$A$15,BJ$13)))</f>
        <v>8</v>
      </c>
      <c r="BK35" s="171">
        <f ca="1">IF(OR($D35&lt;&gt;"Serviço",AND(AUTOEVENTO="Manual",$M35=$A$15)),0,
         IF(OFFSET(CRONOPLE!$F$15,$M35-$A$15,BK$13)=0,10^12,OFFSET(CRONOPLE!$F$15,$M35-$A$15,BK$13)))</f>
        <v>9</v>
      </c>
      <c r="BL35" s="171">
        <f ca="1">IF(OR($D35&lt;&gt;"Serviço",AND(AUTOEVENTO="Manual",$M35=$A$15)),0,
         IF(OFFSET(CRONOPLE!$F$15,$M35-$A$15,BL$13)=0,10^12,OFFSET(CRONOPLE!$F$15,$M35-$A$15,BL$13)))</f>
        <v>10</v>
      </c>
      <c r="BM35" s="171">
        <f ca="1">IF(OR($D35&lt;&gt;"Serviço",AND(AUTOEVENTO="Manual",$M35=$A$15)),0,
         IF(OFFSET(CRONOPLE!$F$15,$M35-$A$15,BM$13)=0,10^12,OFFSET(CRONOPLE!$F$15,$M35-$A$15,BM$13)))</f>
        <v>1000000000000</v>
      </c>
      <c r="BN35" s="171">
        <f ca="1">IF(OR($D35&lt;&gt;"Serviço",AND(AUTOEVENTO="Manual",$M35=$A$15)),0,
         IF(OFFSET(CRONOPLE!$F$15,$M35-$A$15,BN$13)=0,10^12,OFFSET(CRONOPLE!$F$15,$M35-$A$15,BN$13)))</f>
        <v>1000000000000</v>
      </c>
      <c r="BO35" s="171">
        <f ca="1">IF(OR($D35&lt;&gt;"Serviço",AND(AUTOEVENTO="Manual",$M35=$A$15)),0,
         IF(OFFSET(CRONOPLE!$F$15,$M35-$A$15,BO$13)=0,10^12,OFFSET(CRONOPLE!$F$15,$M35-$A$15,BO$13)))</f>
        <v>1000000000000</v>
      </c>
      <c r="BP35" s="171">
        <f ca="1">IF(OR($D35&lt;&gt;"Serviço",AND(AUTOEVENTO="Manual",$M35=$A$15)),0,
         IF(OFFSET(CRONOPLE!$F$15,$M35-$A$15,BP$13)=0,10^12,OFFSET(CRONOPLE!$F$15,$M35-$A$15,BP$13)))</f>
        <v>1000000000000</v>
      </c>
      <c r="BQ35" s="171">
        <f ca="1">IF(OR($D35&lt;&gt;"Serviço",AND(AUTOEVENTO="Manual",$M35=$A$15)),0,
         IF(OFFSET(CRONOPLE!$F$15,$M35-$A$15,BQ$13)=0,10^12,OFFSET(CRONOPLE!$F$15,$M35-$A$15,BQ$13)))</f>
        <v>1000000000000</v>
      </c>
      <c r="BR35" s="171">
        <f ca="1">IF(OR($D35&lt;&gt;"Serviço",AND(AUTOEVENTO="Manual",$M35=$A$15)),0,
         IF(OFFSET(CRONOPLE!$F$15,$M35-$A$15,BR$13)=0,10^12,OFFSET(CRONOPLE!$F$15,$M35-$A$15,BR$13)))</f>
        <v>1000000000000</v>
      </c>
      <c r="BS35" s="171">
        <f ca="1">IF(OR($D35&lt;&gt;"Serviço",AND(AUTOEVENTO="Manual",$M35=$A$15)),0,
         IF(OFFSET(CRONOPLE!$F$15,$M35-$A$15,BS$13)=0,10^12,OFFSET(CRONOPLE!$F$15,$M35-$A$15,BS$13)))</f>
        <v>1000000000000</v>
      </c>
      <c r="BT35" s="171">
        <f ca="1">IF(OR($D35&lt;&gt;"Serviço",AND(AUTOEVENTO="Manual",$M35=$A$15)),0,
         IF(OFFSET(CRONOPLE!$F$15,$M35-$A$15,BT$13)=0,10^12,OFFSET(CRONOPLE!$F$15,$M35-$A$15,BT$13)))</f>
        <v>1000000000000</v>
      </c>
      <c r="BV35" s="172">
        <f ca="1">IF(OR($D35&lt;&gt;"Serviço",AND(AUTOEVENTO="Manual",$M35=$A$15),$M35&gt;(ROW(PLE.lastrow)-ROW(PLE.firstrow))),0,
           IF(OFFSET(PLE!$G$15,$M35-$A$15,BV$13)="",10^12,OFFSET(PLE!$G$15,$M35-$A$15,BV$13)))</f>
        <v>1000000000000</v>
      </c>
      <c r="BW35" s="172">
        <f ca="1">IF(OR($D35&lt;&gt;"Serviço",AND(AUTOEVENTO="Manual",$M35=$A$15),$M35&gt;(ROW(PLE.lastrow)-ROW(PLE.firstrow))),0,
           IF(OFFSET(PLE!$G$15,$M35-$A$15,BW$13)="",10^12,OFFSET(PLE!$G$15,$M35-$A$15,BW$13)))</f>
        <v>1000000000000</v>
      </c>
      <c r="BX35" s="172">
        <f ca="1">IF(OR($D35&lt;&gt;"Serviço",AND(AUTOEVENTO="Manual",$M35=$A$15),$M35&gt;(ROW(PLE.lastrow)-ROW(PLE.firstrow))),0,
           IF(OFFSET(PLE!$G$15,$M35-$A$15,BX$13)="",10^12,OFFSET(PLE!$G$15,$M35-$A$15,BX$13)))</f>
        <v>1000000000000</v>
      </c>
      <c r="BY35" s="172">
        <f ca="1">IF(OR($D35&lt;&gt;"Serviço",AND(AUTOEVENTO="Manual",$M35=$A$15),$M35&gt;(ROW(PLE.lastrow)-ROW(PLE.firstrow))),0,
           IF(OFFSET(PLE!$G$15,$M35-$A$15,BY$13)="",10^12,OFFSET(PLE!$G$15,$M35-$A$15,BY$13)))</f>
        <v>1000000000000</v>
      </c>
      <c r="BZ35" s="172">
        <f ca="1">IF(OR($D35&lt;&gt;"Serviço",AND(AUTOEVENTO="Manual",$M35=$A$15),$M35&gt;(ROW(PLE.lastrow)-ROW(PLE.firstrow))),0,
           IF(OFFSET(PLE!$G$15,$M35-$A$15,BZ$13)="",10^12,OFFSET(PLE!$G$15,$M35-$A$15,BZ$13)))</f>
        <v>1000000000000</v>
      </c>
      <c r="CA35" s="172">
        <f ca="1">IF(OR($D35&lt;&gt;"Serviço",AND(AUTOEVENTO="Manual",$M35=$A$15),$M35&gt;(ROW(PLE.lastrow)-ROW(PLE.firstrow))),0,
           IF(OFFSET(PLE!$G$15,$M35-$A$15,CA$13)="",10^12,OFFSET(PLE!$G$15,$M35-$A$15,CA$13)))</f>
        <v>1000000000000</v>
      </c>
      <c r="CB35" s="172">
        <f ca="1">IF(OR($D35&lt;&gt;"Serviço",AND(AUTOEVENTO="Manual",$M35=$A$15),$M35&gt;(ROW(PLE.lastrow)-ROW(PLE.firstrow))),0,
           IF(OFFSET(PLE!$G$15,$M35-$A$15,CB$13)="",10^12,OFFSET(PLE!$G$15,$M35-$A$15,CB$13)))</f>
        <v>1000000000000</v>
      </c>
      <c r="CC35" s="172">
        <f ca="1">IF(OR($D35&lt;&gt;"Serviço",AND(AUTOEVENTO="Manual",$M35=$A$15),$M35&gt;(ROW(PLE.lastrow)-ROW(PLE.firstrow))),0,
           IF(OFFSET(PLE!$G$15,$M35-$A$15,CC$13)="",10^12,OFFSET(PLE!$G$15,$M35-$A$15,CC$13)))</f>
        <v>1000000000000</v>
      </c>
      <c r="CD35" s="172">
        <f ca="1">IF(OR($D35&lt;&gt;"Serviço",AND(AUTOEVENTO="Manual",$M35=$A$15),$M35&gt;(ROW(PLE.lastrow)-ROW(PLE.firstrow))),0,
           IF(OFFSET(PLE!$G$15,$M35-$A$15,CD$13)="",10^12,OFFSET(PLE!$G$15,$M35-$A$15,CD$13)))</f>
        <v>1000000000000</v>
      </c>
      <c r="CE35" s="172">
        <f ca="1">IF(OR($D35&lt;&gt;"Serviço",AND(AUTOEVENTO="Manual",$M35=$A$15),$M35&gt;(ROW(PLE.lastrow)-ROW(PLE.firstrow))),0,
           IF(OFFSET(PLE!$G$15,$M35-$A$15,CE$13)="",10^12,OFFSET(PLE!$G$15,$M35-$A$15,CE$13)))</f>
        <v>1000000000000</v>
      </c>
      <c r="CF35" s="172">
        <f ca="1">IF(OR($D35&lt;&gt;"Serviço",AND(AUTOEVENTO="Manual",$M35=$A$15),$M35&gt;(ROW(PLE.lastrow)-ROW(PLE.firstrow))),0,
           IF(OFFSET(PLE!$G$15,$M35-$A$15,CF$13)="",10^12,OFFSET(PLE!$G$15,$M35-$A$15,CF$13)))</f>
        <v>1000000000000</v>
      </c>
      <c r="CG35" s="172">
        <f ca="1">IF(OR($D35&lt;&gt;"Serviço",AND(AUTOEVENTO="Manual",$M35=$A$15),$M35&gt;(ROW(PLE.lastrow)-ROW(PLE.firstrow))),0,
           IF(OFFSET(PLE!$G$15,$M35-$A$15,CG$13)="",10^12,OFFSET(PLE!$G$15,$M35-$A$15,CG$13)))</f>
        <v>1000000000000</v>
      </c>
      <c r="CH35" s="172">
        <f ca="1">IF(OR($D35&lt;&gt;"Serviço",AND(AUTOEVENTO="Manual",$M35=$A$15),$M35&gt;(ROW(PLE.lastrow)-ROW(PLE.firstrow))),0,
           IF(OFFSET(PLE!$G$15,$M35-$A$15,CH$13)="",10^12,OFFSET(PLE!$G$15,$M35-$A$15,CH$13)))</f>
        <v>1000000000000</v>
      </c>
      <c r="CI35" s="172">
        <f ca="1">IF(OR($D35&lt;&gt;"Serviço",AND(AUTOEVENTO="Manual",$M35=$A$15),$M35&gt;(ROW(PLE.lastrow)-ROW(PLE.firstrow))),0,
           IF(OFFSET(PLE!$G$15,$M35-$A$15,CI$13)="",10^12,OFFSET(PLE!$G$15,$M35-$A$15,CI$13)))</f>
        <v>1000000000000</v>
      </c>
      <c r="CJ35" s="172">
        <f ca="1">IF(OR($D35&lt;&gt;"Serviço",AND(AUTOEVENTO="Manual",$M35=$A$15),$M35&gt;(ROW(PLE.lastrow)-ROW(PLE.firstrow))),0,
           IF(OFFSET(PLE!$G$15,$M35-$A$15,CJ$13)="",10^12,OFFSET(PLE!$G$15,$M35-$A$15,CJ$13)))</f>
        <v>1000000000000</v>
      </c>
      <c r="CK35" s="172">
        <f ca="1">IF(OR($D35&lt;&gt;"Serviço",AND(AUTOEVENTO="Manual",$M35=$A$15),$M35&gt;(ROW(PLE.lastrow)-ROW(PLE.firstrow))),0,
           IF(OFFSET(PLE!$G$15,$M35-$A$15,CK$13)="",10^12,OFFSET(PLE!$G$15,$M35-$A$15,CK$13)))</f>
        <v>1000000000000</v>
      </c>
      <c r="CL35" s="172">
        <f ca="1">IF(OR($D35&lt;&gt;"Serviço",AND(AUTOEVENTO="Manual",$M35=$A$15),$M35&gt;(ROW(PLE.lastrow)-ROW(PLE.firstrow))),0,
           IF(OFFSET(PLE!$G$15,$M35-$A$15,CL$13)="",10^12,OFFSET(PLE!$G$15,$M35-$A$15,CL$13)))</f>
        <v>1000000000000</v>
      </c>
      <c r="CM35" s="172">
        <f ca="1">IF(OR($D35&lt;&gt;"Serviço",AND(AUTOEVENTO="Manual",$M35=$A$15),$M35&gt;(ROW(PLE.lastrow)-ROW(PLE.firstrow))),0,
           IF(OFFSET(PLE!$G$15,$M35-$A$15,CM$13)="",10^12,OFFSET(PLE!$G$15,$M35-$A$15,CM$13)))</f>
        <v>1000000000000</v>
      </c>
    </row>
    <row r="36" spans="1:91" ht="38.25" x14ac:dyDescent="0.2">
      <c r="A36" s="7">
        <f t="shared" ca="1" si="10"/>
        <v>2</v>
      </c>
      <c r="B36" s="7" t="str">
        <f ca="1">OFFSET(ORÇAMENTO!C$15,ROW(B36)-ROW(B$15),0)</f>
        <v>S</v>
      </c>
      <c r="C36" s="7" t="str">
        <f ca="1">OFFSET(ORÇAMENTO!L$15,ROW(C36)-ROW(C$15),0)</f>
        <v>F</v>
      </c>
      <c r="D36" s="116" t="str">
        <f ca="1">OFFSET(ORÇAMENTO!N$15,ROW(D36)-ROW(D$15),0)</f>
        <v>Serviço</v>
      </c>
      <c r="E36" s="117" t="str">
        <f ca="1">OFFSET(ORÇAMENTO!O$15,ROW(E36)-ROW(E$15),0)</f>
        <v>1.3.2.0.6.</v>
      </c>
      <c r="F36" s="163" t="str">
        <f ca="1">OFFSET(ORÇAMENTO!R$15,ROW(F36)-ROW(F$15),0)</f>
        <v>LOCAÇÃO DE BANHEIRO QUÍMICO, DIMENSÃO (110X120X230)CM, LINHA PADRÃO, CONTENDO UMA (1) PIA/HIGIENIZADOR DE MÃOS, INCLUSIVE MANUTENÇÃO E MOBILIZAÇÃO/DESMOBILIZAÇÃO</v>
      </c>
      <c r="G36" s="164" t="str">
        <f ca="1">IF($D36&lt;&gt;"Serviço","",OFFSET(ORÇAMENTO!S$15,ROW(G36)-ROW(G$15),0))</f>
        <v>MÊS</v>
      </c>
      <c r="H36" s="122" cm="1">
        <f t="array" aca="1" ref="H36" ca="1">IF($D36&lt;&gt;"Serviço",0,IF(ACOMPANHAMENTO="BM",ROUND(OFFSET(ORÇAMENTO!AJ$15,ROW(H36)-ROW(H$15),0),15-13*ORÇAMENTO!$AF$7),SUMPRODUCT(($Q$1:$AI$1=1)*ROUND($Q36:$AI36,15-13*ORÇAMENTO!$AF$7))))</f>
        <v>10</v>
      </c>
      <c r="I36" s="468" t="s">
        <v>1445</v>
      </c>
      <c r="J36" s="640" t="str" cm="1">
        <f t="array" aca="1" ref="J36" ca="1">IF(OR(B36&lt;&gt;"S",CÁLCULO.FrentesPreenchidas=0),"",IF(AND(ACOMPANHAMENTO="PLE",AUTOEVENTO="Manual",OR(H36&gt;0,ORÇAMENTO!AC36="QUANT."),OR(K36="",M36=0,N36="")),"►E",IF(AND(ACOMPANHAMENTO="PLE",ORÇAMENTO!AC36="QUANT."),"►Q",IF(AND(ACOMPANHAMENTO="PLE",H36&lt;&gt;SUMPRODUCT(($Q$1:$AI$1=1)*ROUND(Q36:AI36,15))),"►S",IF(AND(COUNTIF($P$11:$AI$11,"▼")=0,H36&gt;0,I36=""),"◄M","")))))</f>
        <v/>
      </c>
      <c r="K36" s="641" t="s">
        <v>1387</v>
      </c>
      <c r="L36" s="165" t="s">
        <v>764</v>
      </c>
      <c r="M36" s="166">
        <f ca="1">IF($D36&lt;&gt;"Serviço","",
          IF(AUTOEVENTO="manual",$A36,
                IF(ISERROR(MATCH($A36,$A$15:OFFSET($A36,-1,0),0)),MAX($M$15:OFFSET(M36,-1,0))+1,
                      INDEX($M$15:OFFSET(M36,-1,0),MATCH($A36,$A$15:OFFSET($A36,-1,0),0)))))</f>
        <v>2</v>
      </c>
      <c r="N36" s="167" t="str">
        <f ca="1">IF($D36&lt;&gt;"Serviço","",
         IF(AUTOEVENTO="Manual",
                IF($A36=0,"&lt;-- defina o número do agrupador",
                       OFFSET(EVENTOS!$D$15,$A36-$A$15,0)),
                OFFSET($F$15,$A36,0)))</f>
        <v>Serviços Iniciais</v>
      </c>
      <c r="O36" s="168"/>
      <c r="Q36" s="168">
        <v>1</v>
      </c>
      <c r="R36" s="169">
        <v>1</v>
      </c>
      <c r="S36" s="169">
        <v>1</v>
      </c>
      <c r="T36" s="169">
        <v>1</v>
      </c>
      <c r="U36" s="169">
        <v>1</v>
      </c>
      <c r="V36" s="169">
        <v>1</v>
      </c>
      <c r="W36" s="169">
        <v>1</v>
      </c>
      <c r="X36" s="169">
        <v>0.5</v>
      </c>
      <c r="Y36" s="169">
        <v>0.5</v>
      </c>
      <c r="Z36" s="170">
        <v>1</v>
      </c>
      <c r="AA36" s="169"/>
      <c r="AB36" s="169"/>
      <c r="AC36" s="169"/>
      <c r="AD36" s="169"/>
      <c r="AE36" s="169"/>
      <c r="AF36" s="169"/>
      <c r="AG36" s="169"/>
      <c r="AH36" s="170"/>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L36" s="453">
        <f ca="1">IF(AND($D36="Serviço",AL$12&lt;&gt;0,$H36&gt;0,OR(AUTOEVENTO&lt;&gt;"manual",$M36&lt;&gt;$A$15)),
        IF(Import.TipoArredondamento&lt;&gt;"TransfereGOV",
              ROUND(OFFSET($P36,0,AL$13),15-13*ORÇAMENTO!$AF$7)/$H36*OFFSET(ORÇAMENTO!$X$15,ROW(AL36)-ROW(AL$15),0),
              ROUND(ROUND(OFFSET($P36,0,AL$13),15-13*ORÇAMENTO!$AF$7)*OFFSET(ORÇAMENTO!$W$15,ROW(AL36)-ROW(AL$15),0),15-13*ORÇAMENTO!$AF$11)),
         0)</f>
        <v>0</v>
      </c>
      <c r="AM36" s="453">
        <f ca="1">IF(AND($D36="Serviço",AM$12&lt;&gt;0,$H36&gt;0,OR(AUTOEVENTO&lt;&gt;"manual",$M36&lt;&gt;$A$15)),
        IF(Import.TipoArredondamento&lt;&gt;"TransfereGOV",
              ROUND(OFFSET($P36,0,AM$13),15-13*ORÇAMENTO!$AF$7)/$H36*OFFSET(ORÇAMENTO!$X$15,ROW(AM36)-ROW(AM$15),0),
              ROUND(ROUND(OFFSET($P36,0,AM$13),15-13*ORÇAMENTO!$AF$7)*OFFSET(ORÇAMENTO!$W$15,ROW(AM36)-ROW(AM$15),0),15-13*ORÇAMENTO!$AF$11)),
         0)</f>
        <v>0</v>
      </c>
      <c r="AN36" s="453">
        <f ca="1">IF(AND($D36="Serviço",AN$12&lt;&gt;0,$H36&gt;0,OR(AUTOEVENTO&lt;&gt;"manual",$M36&lt;&gt;$A$15)),
        IF(Import.TipoArredondamento&lt;&gt;"TransfereGOV",
              ROUND(OFFSET($P36,0,AN$13),15-13*ORÇAMENTO!$AF$7)/$H36*OFFSET(ORÇAMENTO!$X$15,ROW(AN36)-ROW(AN$15),0),
              ROUND(ROUND(OFFSET($P36,0,AN$13),15-13*ORÇAMENTO!$AF$7)*OFFSET(ORÇAMENTO!$W$15,ROW(AN36)-ROW(AN$15),0),15-13*ORÇAMENTO!$AF$11)),
         0)</f>
        <v>0</v>
      </c>
      <c r="AO36" s="453">
        <f ca="1">IF(AND($D36="Serviço",AO$12&lt;&gt;0,$H36&gt;0,OR(AUTOEVENTO&lt;&gt;"manual",$M36&lt;&gt;$A$15)),
        IF(Import.TipoArredondamento&lt;&gt;"TransfereGOV",
              ROUND(OFFSET($P36,0,AO$13),15-13*ORÇAMENTO!$AF$7)/$H36*OFFSET(ORÇAMENTO!$X$15,ROW(AO36)-ROW(AO$15),0),
              ROUND(ROUND(OFFSET($P36,0,AO$13),15-13*ORÇAMENTO!$AF$7)*OFFSET(ORÇAMENTO!$W$15,ROW(AO36)-ROW(AO$15),0),15-13*ORÇAMENTO!$AF$11)),
         0)</f>
        <v>0</v>
      </c>
      <c r="AP36" s="453">
        <f ca="1">IF(AND($D36="Serviço",AP$12&lt;&gt;0,$H36&gt;0,OR(AUTOEVENTO&lt;&gt;"manual",$M36&lt;&gt;$A$15)),
        IF(Import.TipoArredondamento&lt;&gt;"TransfereGOV",
              ROUND(OFFSET($P36,0,AP$13),15-13*ORÇAMENTO!$AF$7)/$H36*OFFSET(ORÇAMENTO!$X$15,ROW(AP36)-ROW(AP$15),0),
              ROUND(ROUND(OFFSET($P36,0,AP$13),15-13*ORÇAMENTO!$AF$7)*OFFSET(ORÇAMENTO!$W$15,ROW(AP36)-ROW(AP$15),0),15-13*ORÇAMENTO!$AF$11)),
         0)</f>
        <v>0</v>
      </c>
      <c r="AQ36" s="453">
        <f ca="1">IF(AND($D36="Serviço",AQ$12&lt;&gt;0,$H36&gt;0,OR(AUTOEVENTO&lt;&gt;"manual",$M36&lt;&gt;$A$15)),
        IF(Import.TipoArredondamento&lt;&gt;"TransfereGOV",
              ROUND(OFFSET($P36,0,AQ$13),15-13*ORÇAMENTO!$AF$7)/$H36*OFFSET(ORÇAMENTO!$X$15,ROW(AQ36)-ROW(AQ$15),0),
              ROUND(ROUND(OFFSET($P36,0,AQ$13),15-13*ORÇAMENTO!$AF$7)*OFFSET(ORÇAMENTO!$W$15,ROW(AQ36)-ROW(AQ$15),0),15-13*ORÇAMENTO!$AF$11)),
         0)</f>
        <v>0</v>
      </c>
      <c r="AR36" s="453">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3">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3">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3">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3">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3">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3">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3">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3">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3">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C36" s="171">
        <f ca="1">IF(OR($D36&lt;&gt;"Serviço",AND(AUTOEVENTO="Manual",$M36=$A$15)),0,
         IF(OFFSET(CRONOPLE!$F$15,$M36-$A$15,BC$13)=0,10^12,OFFSET(CRONOPLE!$F$15,$M36-$A$15,BC$13)))</f>
        <v>1</v>
      </c>
      <c r="BD36" s="171">
        <f ca="1">IF(OR($D36&lt;&gt;"Serviço",AND(AUTOEVENTO="Manual",$M36=$A$15)),0,
         IF(OFFSET(CRONOPLE!$F$15,$M36-$A$15,BD$13)=0,10^12,OFFSET(CRONOPLE!$F$15,$M36-$A$15,BD$13)))</f>
        <v>2</v>
      </c>
      <c r="BE36" s="171">
        <f ca="1">IF(OR($D36&lt;&gt;"Serviço",AND(AUTOEVENTO="Manual",$M36=$A$15)),0,
         IF(OFFSET(CRONOPLE!$F$15,$M36-$A$15,BE$13)=0,10^12,OFFSET(CRONOPLE!$F$15,$M36-$A$15,BE$13)))</f>
        <v>3</v>
      </c>
      <c r="BF36" s="171">
        <f ca="1">IF(OR($D36&lt;&gt;"Serviço",AND(AUTOEVENTO="Manual",$M36=$A$15)),0,
         IF(OFFSET(CRONOPLE!$F$15,$M36-$A$15,BF$13)=0,10^12,OFFSET(CRONOPLE!$F$15,$M36-$A$15,BF$13)))</f>
        <v>4</v>
      </c>
      <c r="BG36" s="171">
        <f ca="1">IF(OR($D36&lt;&gt;"Serviço",AND(AUTOEVENTO="Manual",$M36=$A$15)),0,
         IF(OFFSET(CRONOPLE!$F$15,$M36-$A$15,BG$13)=0,10^12,OFFSET(CRONOPLE!$F$15,$M36-$A$15,BG$13)))</f>
        <v>5</v>
      </c>
      <c r="BH36" s="171">
        <f ca="1">IF(OR($D36&lt;&gt;"Serviço",AND(AUTOEVENTO="Manual",$M36=$A$15)),0,
         IF(OFFSET(CRONOPLE!$F$15,$M36-$A$15,BH$13)=0,10^12,OFFSET(CRONOPLE!$F$15,$M36-$A$15,BH$13)))</f>
        <v>6</v>
      </c>
      <c r="BI36" s="171">
        <f ca="1">IF(OR($D36&lt;&gt;"Serviço",AND(AUTOEVENTO="Manual",$M36=$A$15)),0,
         IF(OFFSET(CRONOPLE!$F$15,$M36-$A$15,BI$13)=0,10^12,OFFSET(CRONOPLE!$F$15,$M36-$A$15,BI$13)))</f>
        <v>7</v>
      </c>
      <c r="BJ36" s="171">
        <f ca="1">IF(OR($D36&lt;&gt;"Serviço",AND(AUTOEVENTO="Manual",$M36=$A$15)),0,
         IF(OFFSET(CRONOPLE!$F$15,$M36-$A$15,BJ$13)=0,10^12,OFFSET(CRONOPLE!$F$15,$M36-$A$15,BJ$13)))</f>
        <v>8</v>
      </c>
      <c r="BK36" s="171">
        <f ca="1">IF(OR($D36&lt;&gt;"Serviço",AND(AUTOEVENTO="Manual",$M36=$A$15)),0,
         IF(OFFSET(CRONOPLE!$F$15,$M36-$A$15,BK$13)=0,10^12,OFFSET(CRONOPLE!$F$15,$M36-$A$15,BK$13)))</f>
        <v>9</v>
      </c>
      <c r="BL36" s="171">
        <f ca="1">IF(OR($D36&lt;&gt;"Serviço",AND(AUTOEVENTO="Manual",$M36=$A$15)),0,
         IF(OFFSET(CRONOPLE!$F$15,$M36-$A$15,BL$13)=0,10^12,OFFSET(CRONOPLE!$F$15,$M36-$A$15,BL$13)))</f>
        <v>10</v>
      </c>
      <c r="BM36" s="171">
        <f ca="1">IF(OR($D36&lt;&gt;"Serviço",AND(AUTOEVENTO="Manual",$M36=$A$15)),0,
         IF(OFFSET(CRONOPLE!$F$15,$M36-$A$15,BM$13)=0,10^12,OFFSET(CRONOPLE!$F$15,$M36-$A$15,BM$13)))</f>
        <v>1000000000000</v>
      </c>
      <c r="BN36" s="171">
        <f ca="1">IF(OR($D36&lt;&gt;"Serviço",AND(AUTOEVENTO="Manual",$M36=$A$15)),0,
         IF(OFFSET(CRONOPLE!$F$15,$M36-$A$15,BN$13)=0,10^12,OFFSET(CRONOPLE!$F$15,$M36-$A$15,BN$13)))</f>
        <v>1000000000000</v>
      </c>
      <c r="BO36" s="171">
        <f ca="1">IF(OR($D36&lt;&gt;"Serviço",AND(AUTOEVENTO="Manual",$M36=$A$15)),0,
         IF(OFFSET(CRONOPLE!$F$15,$M36-$A$15,BO$13)=0,10^12,OFFSET(CRONOPLE!$F$15,$M36-$A$15,BO$13)))</f>
        <v>1000000000000</v>
      </c>
      <c r="BP36" s="171">
        <f ca="1">IF(OR($D36&lt;&gt;"Serviço",AND(AUTOEVENTO="Manual",$M36=$A$15)),0,
         IF(OFFSET(CRONOPLE!$F$15,$M36-$A$15,BP$13)=0,10^12,OFFSET(CRONOPLE!$F$15,$M36-$A$15,BP$13)))</f>
        <v>1000000000000</v>
      </c>
      <c r="BQ36" s="171">
        <f ca="1">IF(OR($D36&lt;&gt;"Serviço",AND(AUTOEVENTO="Manual",$M36=$A$15)),0,
         IF(OFFSET(CRONOPLE!$F$15,$M36-$A$15,BQ$13)=0,10^12,OFFSET(CRONOPLE!$F$15,$M36-$A$15,BQ$13)))</f>
        <v>1000000000000</v>
      </c>
      <c r="BR36" s="171">
        <f ca="1">IF(OR($D36&lt;&gt;"Serviço",AND(AUTOEVENTO="Manual",$M36=$A$15)),0,
         IF(OFFSET(CRONOPLE!$F$15,$M36-$A$15,BR$13)=0,10^12,OFFSET(CRONOPLE!$F$15,$M36-$A$15,BR$13)))</f>
        <v>1000000000000</v>
      </c>
      <c r="BS36" s="171">
        <f ca="1">IF(OR($D36&lt;&gt;"Serviço",AND(AUTOEVENTO="Manual",$M36=$A$15)),0,
         IF(OFFSET(CRONOPLE!$F$15,$M36-$A$15,BS$13)=0,10^12,OFFSET(CRONOPLE!$F$15,$M36-$A$15,BS$13)))</f>
        <v>1000000000000</v>
      </c>
      <c r="BT36" s="171">
        <f ca="1">IF(OR($D36&lt;&gt;"Serviço",AND(AUTOEVENTO="Manual",$M36=$A$15)),0,
         IF(OFFSET(CRONOPLE!$F$15,$M36-$A$15,BT$13)=0,10^12,OFFSET(CRONOPLE!$F$15,$M36-$A$15,BT$13)))</f>
        <v>1000000000000</v>
      </c>
      <c r="BV36" s="172">
        <f ca="1">IF(OR($D36&lt;&gt;"Serviço",AND(AUTOEVENTO="Manual",$M36=$A$15),$M36&gt;(ROW(PLE.lastrow)-ROW(PLE.firstrow))),0,
           IF(OFFSET(PLE!$G$15,$M36-$A$15,BV$13)="",10^12,OFFSET(PLE!$G$15,$M36-$A$15,BV$13)))</f>
        <v>1000000000000</v>
      </c>
      <c r="BW36" s="172">
        <f ca="1">IF(OR($D36&lt;&gt;"Serviço",AND(AUTOEVENTO="Manual",$M36=$A$15),$M36&gt;(ROW(PLE.lastrow)-ROW(PLE.firstrow))),0,
           IF(OFFSET(PLE!$G$15,$M36-$A$15,BW$13)="",10^12,OFFSET(PLE!$G$15,$M36-$A$15,BW$13)))</f>
        <v>1000000000000</v>
      </c>
      <c r="BX36" s="172">
        <f ca="1">IF(OR($D36&lt;&gt;"Serviço",AND(AUTOEVENTO="Manual",$M36=$A$15),$M36&gt;(ROW(PLE.lastrow)-ROW(PLE.firstrow))),0,
           IF(OFFSET(PLE!$G$15,$M36-$A$15,BX$13)="",10^12,OFFSET(PLE!$G$15,$M36-$A$15,BX$13)))</f>
        <v>1000000000000</v>
      </c>
      <c r="BY36" s="172">
        <f ca="1">IF(OR($D36&lt;&gt;"Serviço",AND(AUTOEVENTO="Manual",$M36=$A$15),$M36&gt;(ROW(PLE.lastrow)-ROW(PLE.firstrow))),0,
           IF(OFFSET(PLE!$G$15,$M36-$A$15,BY$13)="",10^12,OFFSET(PLE!$G$15,$M36-$A$15,BY$13)))</f>
        <v>1000000000000</v>
      </c>
      <c r="BZ36" s="172">
        <f ca="1">IF(OR($D36&lt;&gt;"Serviço",AND(AUTOEVENTO="Manual",$M36=$A$15),$M36&gt;(ROW(PLE.lastrow)-ROW(PLE.firstrow))),0,
           IF(OFFSET(PLE!$G$15,$M36-$A$15,BZ$13)="",10^12,OFFSET(PLE!$G$15,$M36-$A$15,BZ$13)))</f>
        <v>1000000000000</v>
      </c>
      <c r="CA36" s="172">
        <f ca="1">IF(OR($D36&lt;&gt;"Serviço",AND(AUTOEVENTO="Manual",$M36=$A$15),$M36&gt;(ROW(PLE.lastrow)-ROW(PLE.firstrow))),0,
           IF(OFFSET(PLE!$G$15,$M36-$A$15,CA$13)="",10^12,OFFSET(PLE!$G$15,$M36-$A$15,CA$13)))</f>
        <v>1000000000000</v>
      </c>
      <c r="CB36" s="172">
        <f ca="1">IF(OR($D36&lt;&gt;"Serviço",AND(AUTOEVENTO="Manual",$M36=$A$15),$M36&gt;(ROW(PLE.lastrow)-ROW(PLE.firstrow))),0,
           IF(OFFSET(PLE!$G$15,$M36-$A$15,CB$13)="",10^12,OFFSET(PLE!$G$15,$M36-$A$15,CB$13)))</f>
        <v>1000000000000</v>
      </c>
      <c r="CC36" s="172">
        <f ca="1">IF(OR($D36&lt;&gt;"Serviço",AND(AUTOEVENTO="Manual",$M36=$A$15),$M36&gt;(ROW(PLE.lastrow)-ROW(PLE.firstrow))),0,
           IF(OFFSET(PLE!$G$15,$M36-$A$15,CC$13)="",10^12,OFFSET(PLE!$G$15,$M36-$A$15,CC$13)))</f>
        <v>1000000000000</v>
      </c>
      <c r="CD36" s="172">
        <f ca="1">IF(OR($D36&lt;&gt;"Serviço",AND(AUTOEVENTO="Manual",$M36=$A$15),$M36&gt;(ROW(PLE.lastrow)-ROW(PLE.firstrow))),0,
           IF(OFFSET(PLE!$G$15,$M36-$A$15,CD$13)="",10^12,OFFSET(PLE!$G$15,$M36-$A$15,CD$13)))</f>
        <v>1000000000000</v>
      </c>
      <c r="CE36" s="172">
        <f ca="1">IF(OR($D36&lt;&gt;"Serviço",AND(AUTOEVENTO="Manual",$M36=$A$15),$M36&gt;(ROW(PLE.lastrow)-ROW(PLE.firstrow))),0,
           IF(OFFSET(PLE!$G$15,$M36-$A$15,CE$13)="",10^12,OFFSET(PLE!$G$15,$M36-$A$15,CE$13)))</f>
        <v>1000000000000</v>
      </c>
      <c r="CF36" s="172">
        <f ca="1">IF(OR($D36&lt;&gt;"Serviço",AND(AUTOEVENTO="Manual",$M36=$A$15),$M36&gt;(ROW(PLE.lastrow)-ROW(PLE.firstrow))),0,
           IF(OFFSET(PLE!$G$15,$M36-$A$15,CF$13)="",10^12,OFFSET(PLE!$G$15,$M36-$A$15,CF$13)))</f>
        <v>1000000000000</v>
      </c>
      <c r="CG36" s="172">
        <f ca="1">IF(OR($D36&lt;&gt;"Serviço",AND(AUTOEVENTO="Manual",$M36=$A$15),$M36&gt;(ROW(PLE.lastrow)-ROW(PLE.firstrow))),0,
           IF(OFFSET(PLE!$G$15,$M36-$A$15,CG$13)="",10^12,OFFSET(PLE!$G$15,$M36-$A$15,CG$13)))</f>
        <v>1000000000000</v>
      </c>
      <c r="CH36" s="172">
        <f ca="1">IF(OR($D36&lt;&gt;"Serviço",AND(AUTOEVENTO="Manual",$M36=$A$15),$M36&gt;(ROW(PLE.lastrow)-ROW(PLE.firstrow))),0,
           IF(OFFSET(PLE!$G$15,$M36-$A$15,CH$13)="",10^12,OFFSET(PLE!$G$15,$M36-$A$15,CH$13)))</f>
        <v>1000000000000</v>
      </c>
      <c r="CI36" s="172">
        <f ca="1">IF(OR($D36&lt;&gt;"Serviço",AND(AUTOEVENTO="Manual",$M36=$A$15),$M36&gt;(ROW(PLE.lastrow)-ROW(PLE.firstrow))),0,
           IF(OFFSET(PLE!$G$15,$M36-$A$15,CI$13)="",10^12,OFFSET(PLE!$G$15,$M36-$A$15,CI$13)))</f>
        <v>1000000000000</v>
      </c>
      <c r="CJ36" s="172">
        <f ca="1">IF(OR($D36&lt;&gt;"Serviço",AND(AUTOEVENTO="Manual",$M36=$A$15),$M36&gt;(ROW(PLE.lastrow)-ROW(PLE.firstrow))),0,
           IF(OFFSET(PLE!$G$15,$M36-$A$15,CJ$13)="",10^12,OFFSET(PLE!$G$15,$M36-$A$15,CJ$13)))</f>
        <v>1000000000000</v>
      </c>
      <c r="CK36" s="172">
        <f ca="1">IF(OR($D36&lt;&gt;"Serviço",AND(AUTOEVENTO="Manual",$M36=$A$15),$M36&gt;(ROW(PLE.lastrow)-ROW(PLE.firstrow))),0,
           IF(OFFSET(PLE!$G$15,$M36-$A$15,CK$13)="",10^12,OFFSET(PLE!$G$15,$M36-$A$15,CK$13)))</f>
        <v>1000000000000</v>
      </c>
      <c r="CL36" s="172">
        <f ca="1">IF(OR($D36&lt;&gt;"Serviço",AND(AUTOEVENTO="Manual",$M36=$A$15),$M36&gt;(ROW(PLE.lastrow)-ROW(PLE.firstrow))),0,
           IF(OFFSET(PLE!$G$15,$M36-$A$15,CL$13)="",10^12,OFFSET(PLE!$G$15,$M36-$A$15,CL$13)))</f>
        <v>1000000000000</v>
      </c>
      <c r="CM36" s="172">
        <f ca="1">IF(OR($D36&lt;&gt;"Serviço",AND(AUTOEVENTO="Manual",$M36=$A$15),$M36&gt;(ROW(PLE.lastrow)-ROW(PLE.firstrow))),0,
           IF(OFFSET(PLE!$G$15,$M36-$A$15,CM$13)="",10^12,OFFSET(PLE!$G$15,$M36-$A$15,CM$13)))</f>
        <v>1000000000000</v>
      </c>
    </row>
    <row r="37" spans="1:91" ht="25.5" x14ac:dyDescent="0.2">
      <c r="A37" s="7">
        <f t="shared" ca="1" si="10"/>
        <v>2</v>
      </c>
      <c r="B37" s="7" t="str">
        <f ca="1">OFFSET(ORÇAMENTO!C$15,ROW(B37)-ROW(B$15),0)</f>
        <v>S</v>
      </c>
      <c r="C37" s="7" t="str">
        <f ca="1">OFFSET(ORÇAMENTO!L$15,ROW(C37)-ROW(C$15),0)</f>
        <v>F</v>
      </c>
      <c r="D37" s="116" t="str">
        <f ca="1">OFFSET(ORÇAMENTO!N$15,ROW(D37)-ROW(D$15),0)</f>
        <v>Serviço</v>
      </c>
      <c r="E37" s="117" t="str">
        <f ca="1">OFFSET(ORÇAMENTO!O$15,ROW(E37)-ROW(E$15),0)</f>
        <v>1.3.2.0.7.</v>
      </c>
      <c r="F37" s="163" t="str">
        <f ca="1">OFFSET(ORÇAMENTO!R$15,ROW(F37)-ROW(F$15),0)</f>
        <v>LIGAÇÃO PROVISÓRIA DE ÁGUA E ESGOTO PARA CONTAINER (ESCRITÓRIO DE OBRA)</v>
      </c>
      <c r="G37" s="164" t="str">
        <f ca="1">IF($D37&lt;&gt;"Serviço","",OFFSET(ORÇAMENTO!S$15,ROW(G37)-ROW(G$15),0))</f>
        <v>UN</v>
      </c>
      <c r="H37" s="122" cm="1">
        <f t="array" aca="1" ref="H37" ca="1">IF($D37&lt;&gt;"Serviço",0,IF(ACOMPANHAMENTO="BM",ROUND(OFFSET(ORÇAMENTO!AJ$15,ROW(H37)-ROW(H$15),0),15-13*ORÇAMENTO!$AF$7),SUMPRODUCT(($Q$1:$AI$1=1)*ROUND($Q37:$AI37,15-13*ORÇAMENTO!$AF$7))))</f>
        <v>1</v>
      </c>
      <c r="I37" s="468" t="s">
        <v>1291</v>
      </c>
      <c r="J37" s="640" t="str" cm="1">
        <f t="array" aca="1" ref="J37" ca="1">IF(OR(B37&lt;&gt;"S",CÁLCULO.FrentesPreenchidas=0),"",IF(AND(ACOMPANHAMENTO="PLE",AUTOEVENTO="Manual",OR(H37&gt;0,ORÇAMENTO!AC37="QUANT."),OR(K37="",M37=0,N37="")),"►E",IF(AND(ACOMPANHAMENTO="PLE",ORÇAMENTO!AC37="QUANT."),"►Q",IF(AND(ACOMPANHAMENTO="PLE",H37&lt;&gt;SUMPRODUCT(($Q$1:$AI$1=1)*ROUND(Q37:AI37,15))),"►S",IF(AND(COUNTIF($P$11:$AI$11,"▼")=0,H37&gt;0,I37=""),"◄M","")))))</f>
        <v/>
      </c>
      <c r="K37" s="641" t="s">
        <v>1387</v>
      </c>
      <c r="L37" s="165" t="s">
        <v>764</v>
      </c>
      <c r="M37" s="166">
        <f ca="1">IF($D37&lt;&gt;"Serviço","",
          IF(AUTOEVENTO="manual",$A37,
                IF(ISERROR(MATCH($A37,$A$15:OFFSET($A37,-1,0),0)),MAX($M$15:OFFSET(M37,-1,0))+1,
                      INDEX($M$15:OFFSET(M37,-1,0),MATCH($A37,$A$15:OFFSET($A37,-1,0),0)))))</f>
        <v>2</v>
      </c>
      <c r="N37" s="167" t="str">
        <f ca="1">IF($D37&lt;&gt;"Serviço","",
         IF(AUTOEVENTO="Manual",
                IF($A37=0,"&lt;-- defina o número do agrupador",
                       OFFSET(EVENTOS!$D$15,$A37-$A$15,0)),
                OFFSET($F$15,$A37,0)))</f>
        <v>Serviços Iniciais</v>
      </c>
      <c r="O37" s="168"/>
      <c r="Q37" s="168">
        <v>1</v>
      </c>
      <c r="R37" s="169"/>
      <c r="S37" s="169"/>
      <c r="T37" s="169"/>
      <c r="U37" s="169"/>
      <c r="V37" s="169"/>
      <c r="W37" s="169"/>
      <c r="X37" s="169"/>
      <c r="Y37" s="169"/>
      <c r="Z37" s="170"/>
      <c r="AA37" s="169"/>
      <c r="AB37" s="169"/>
      <c r="AC37" s="169"/>
      <c r="AD37" s="169"/>
      <c r="AE37" s="169"/>
      <c r="AF37" s="169"/>
      <c r="AG37" s="169"/>
      <c r="AH37" s="170"/>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L37" s="453">
        <f ca="1">IF(AND($D37="Serviço",AL$12&lt;&gt;0,$H37&gt;0,OR(AUTOEVENTO&lt;&gt;"manual",$M37&lt;&gt;$A$15)),
        IF(Import.TipoArredondamento&lt;&gt;"TransfereGOV",
              ROUND(OFFSET($P37,0,AL$13),15-13*ORÇAMENTO!$AF$7)/$H37*OFFSET(ORÇAMENTO!$X$15,ROW(AL37)-ROW(AL$15),0),
              ROUND(ROUND(OFFSET($P37,0,AL$13),15-13*ORÇAMENTO!$AF$7)*OFFSET(ORÇAMENTO!$W$15,ROW(AL37)-ROW(AL$15),0),15-13*ORÇAMENTO!$AF$11)),
         0)</f>
        <v>0</v>
      </c>
      <c r="AM37" s="453">
        <f ca="1">IF(AND($D37="Serviço",AM$12&lt;&gt;0,$H37&gt;0,OR(AUTOEVENTO&lt;&gt;"manual",$M37&lt;&gt;$A$15)),
        IF(Import.TipoArredondamento&lt;&gt;"TransfereGOV",
              ROUND(OFFSET($P37,0,AM$13),15-13*ORÇAMENTO!$AF$7)/$H37*OFFSET(ORÇAMENTO!$X$15,ROW(AM37)-ROW(AM$15),0),
              ROUND(ROUND(OFFSET($P37,0,AM$13),15-13*ORÇAMENTO!$AF$7)*OFFSET(ORÇAMENTO!$W$15,ROW(AM37)-ROW(AM$15),0),15-13*ORÇAMENTO!$AF$11)),
         0)</f>
        <v>0</v>
      </c>
      <c r="AN37" s="453">
        <f ca="1">IF(AND($D37="Serviço",AN$12&lt;&gt;0,$H37&gt;0,OR(AUTOEVENTO&lt;&gt;"manual",$M37&lt;&gt;$A$15)),
        IF(Import.TipoArredondamento&lt;&gt;"TransfereGOV",
              ROUND(OFFSET($P37,0,AN$13),15-13*ORÇAMENTO!$AF$7)/$H37*OFFSET(ORÇAMENTO!$X$15,ROW(AN37)-ROW(AN$15),0),
              ROUND(ROUND(OFFSET($P37,0,AN$13),15-13*ORÇAMENTO!$AF$7)*OFFSET(ORÇAMENTO!$W$15,ROW(AN37)-ROW(AN$15),0),15-13*ORÇAMENTO!$AF$11)),
         0)</f>
        <v>0</v>
      </c>
      <c r="AO37" s="453">
        <f ca="1">IF(AND($D37="Serviço",AO$12&lt;&gt;0,$H37&gt;0,OR(AUTOEVENTO&lt;&gt;"manual",$M37&lt;&gt;$A$15)),
        IF(Import.TipoArredondamento&lt;&gt;"TransfereGOV",
              ROUND(OFFSET($P37,0,AO$13),15-13*ORÇAMENTO!$AF$7)/$H37*OFFSET(ORÇAMENTO!$X$15,ROW(AO37)-ROW(AO$15),0),
              ROUND(ROUND(OFFSET($P37,0,AO$13),15-13*ORÇAMENTO!$AF$7)*OFFSET(ORÇAMENTO!$W$15,ROW(AO37)-ROW(AO$15),0),15-13*ORÇAMENTO!$AF$11)),
         0)</f>
        <v>0</v>
      </c>
      <c r="AP37" s="453">
        <f ca="1">IF(AND($D37="Serviço",AP$12&lt;&gt;0,$H37&gt;0,OR(AUTOEVENTO&lt;&gt;"manual",$M37&lt;&gt;$A$15)),
        IF(Import.TipoArredondamento&lt;&gt;"TransfereGOV",
              ROUND(OFFSET($P37,0,AP$13),15-13*ORÇAMENTO!$AF$7)/$H37*OFFSET(ORÇAMENTO!$X$15,ROW(AP37)-ROW(AP$15),0),
              ROUND(ROUND(OFFSET($P37,0,AP$13),15-13*ORÇAMENTO!$AF$7)*OFFSET(ORÇAMENTO!$W$15,ROW(AP37)-ROW(AP$15),0),15-13*ORÇAMENTO!$AF$11)),
         0)</f>
        <v>0</v>
      </c>
      <c r="AQ37" s="453">
        <f ca="1">IF(AND($D37="Serviço",AQ$12&lt;&gt;0,$H37&gt;0,OR(AUTOEVENTO&lt;&gt;"manual",$M37&lt;&gt;$A$15)),
        IF(Import.TipoArredondamento&lt;&gt;"TransfereGOV",
              ROUND(OFFSET($P37,0,AQ$13),15-13*ORÇAMENTO!$AF$7)/$H37*OFFSET(ORÇAMENTO!$X$15,ROW(AQ37)-ROW(AQ$15),0),
              ROUND(ROUND(OFFSET($P37,0,AQ$13),15-13*ORÇAMENTO!$AF$7)*OFFSET(ORÇAMENTO!$W$15,ROW(AQ37)-ROW(AQ$15),0),15-13*ORÇAMENTO!$AF$11)),
         0)</f>
        <v>0</v>
      </c>
      <c r="AR37" s="453">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3">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3">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3">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3">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3">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3">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3">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3">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3">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C37" s="171">
        <f ca="1">IF(OR($D37&lt;&gt;"Serviço",AND(AUTOEVENTO="Manual",$M37=$A$15)),0,
         IF(OFFSET(CRONOPLE!$F$15,$M37-$A$15,BC$13)=0,10^12,OFFSET(CRONOPLE!$F$15,$M37-$A$15,BC$13)))</f>
        <v>1</v>
      </c>
      <c r="BD37" s="171">
        <f ca="1">IF(OR($D37&lt;&gt;"Serviço",AND(AUTOEVENTO="Manual",$M37=$A$15)),0,
         IF(OFFSET(CRONOPLE!$F$15,$M37-$A$15,BD$13)=0,10^12,OFFSET(CRONOPLE!$F$15,$M37-$A$15,BD$13)))</f>
        <v>2</v>
      </c>
      <c r="BE37" s="171">
        <f ca="1">IF(OR($D37&lt;&gt;"Serviço",AND(AUTOEVENTO="Manual",$M37=$A$15)),0,
         IF(OFFSET(CRONOPLE!$F$15,$M37-$A$15,BE$13)=0,10^12,OFFSET(CRONOPLE!$F$15,$M37-$A$15,BE$13)))</f>
        <v>3</v>
      </c>
      <c r="BF37" s="171">
        <f ca="1">IF(OR($D37&lt;&gt;"Serviço",AND(AUTOEVENTO="Manual",$M37=$A$15)),0,
         IF(OFFSET(CRONOPLE!$F$15,$M37-$A$15,BF$13)=0,10^12,OFFSET(CRONOPLE!$F$15,$M37-$A$15,BF$13)))</f>
        <v>4</v>
      </c>
      <c r="BG37" s="171">
        <f ca="1">IF(OR($D37&lt;&gt;"Serviço",AND(AUTOEVENTO="Manual",$M37=$A$15)),0,
         IF(OFFSET(CRONOPLE!$F$15,$M37-$A$15,BG$13)=0,10^12,OFFSET(CRONOPLE!$F$15,$M37-$A$15,BG$13)))</f>
        <v>5</v>
      </c>
      <c r="BH37" s="171">
        <f ca="1">IF(OR($D37&lt;&gt;"Serviço",AND(AUTOEVENTO="Manual",$M37=$A$15)),0,
         IF(OFFSET(CRONOPLE!$F$15,$M37-$A$15,BH$13)=0,10^12,OFFSET(CRONOPLE!$F$15,$M37-$A$15,BH$13)))</f>
        <v>6</v>
      </c>
      <c r="BI37" s="171">
        <f ca="1">IF(OR($D37&lt;&gt;"Serviço",AND(AUTOEVENTO="Manual",$M37=$A$15)),0,
         IF(OFFSET(CRONOPLE!$F$15,$M37-$A$15,BI$13)=0,10^12,OFFSET(CRONOPLE!$F$15,$M37-$A$15,BI$13)))</f>
        <v>7</v>
      </c>
      <c r="BJ37" s="171">
        <f ca="1">IF(OR($D37&lt;&gt;"Serviço",AND(AUTOEVENTO="Manual",$M37=$A$15)),0,
         IF(OFFSET(CRONOPLE!$F$15,$M37-$A$15,BJ$13)=0,10^12,OFFSET(CRONOPLE!$F$15,$M37-$A$15,BJ$13)))</f>
        <v>8</v>
      </c>
      <c r="BK37" s="171">
        <f ca="1">IF(OR($D37&lt;&gt;"Serviço",AND(AUTOEVENTO="Manual",$M37=$A$15)),0,
         IF(OFFSET(CRONOPLE!$F$15,$M37-$A$15,BK$13)=0,10^12,OFFSET(CRONOPLE!$F$15,$M37-$A$15,BK$13)))</f>
        <v>9</v>
      </c>
      <c r="BL37" s="171">
        <f ca="1">IF(OR($D37&lt;&gt;"Serviço",AND(AUTOEVENTO="Manual",$M37=$A$15)),0,
         IF(OFFSET(CRONOPLE!$F$15,$M37-$A$15,BL$13)=0,10^12,OFFSET(CRONOPLE!$F$15,$M37-$A$15,BL$13)))</f>
        <v>10</v>
      </c>
      <c r="BM37" s="171">
        <f ca="1">IF(OR($D37&lt;&gt;"Serviço",AND(AUTOEVENTO="Manual",$M37=$A$15)),0,
         IF(OFFSET(CRONOPLE!$F$15,$M37-$A$15,BM$13)=0,10^12,OFFSET(CRONOPLE!$F$15,$M37-$A$15,BM$13)))</f>
        <v>1000000000000</v>
      </c>
      <c r="BN37" s="171">
        <f ca="1">IF(OR($D37&lt;&gt;"Serviço",AND(AUTOEVENTO="Manual",$M37=$A$15)),0,
         IF(OFFSET(CRONOPLE!$F$15,$M37-$A$15,BN$13)=0,10^12,OFFSET(CRONOPLE!$F$15,$M37-$A$15,BN$13)))</f>
        <v>1000000000000</v>
      </c>
      <c r="BO37" s="171">
        <f ca="1">IF(OR($D37&lt;&gt;"Serviço",AND(AUTOEVENTO="Manual",$M37=$A$15)),0,
         IF(OFFSET(CRONOPLE!$F$15,$M37-$A$15,BO$13)=0,10^12,OFFSET(CRONOPLE!$F$15,$M37-$A$15,BO$13)))</f>
        <v>1000000000000</v>
      </c>
      <c r="BP37" s="171">
        <f ca="1">IF(OR($D37&lt;&gt;"Serviço",AND(AUTOEVENTO="Manual",$M37=$A$15)),0,
         IF(OFFSET(CRONOPLE!$F$15,$M37-$A$15,BP$13)=0,10^12,OFFSET(CRONOPLE!$F$15,$M37-$A$15,BP$13)))</f>
        <v>1000000000000</v>
      </c>
      <c r="BQ37" s="171">
        <f ca="1">IF(OR($D37&lt;&gt;"Serviço",AND(AUTOEVENTO="Manual",$M37=$A$15)),0,
         IF(OFFSET(CRONOPLE!$F$15,$M37-$A$15,BQ$13)=0,10^12,OFFSET(CRONOPLE!$F$15,$M37-$A$15,BQ$13)))</f>
        <v>1000000000000</v>
      </c>
      <c r="BR37" s="171">
        <f ca="1">IF(OR($D37&lt;&gt;"Serviço",AND(AUTOEVENTO="Manual",$M37=$A$15)),0,
         IF(OFFSET(CRONOPLE!$F$15,$M37-$A$15,BR$13)=0,10^12,OFFSET(CRONOPLE!$F$15,$M37-$A$15,BR$13)))</f>
        <v>1000000000000</v>
      </c>
      <c r="BS37" s="171">
        <f ca="1">IF(OR($D37&lt;&gt;"Serviço",AND(AUTOEVENTO="Manual",$M37=$A$15)),0,
         IF(OFFSET(CRONOPLE!$F$15,$M37-$A$15,BS$13)=0,10^12,OFFSET(CRONOPLE!$F$15,$M37-$A$15,BS$13)))</f>
        <v>1000000000000</v>
      </c>
      <c r="BT37" s="171">
        <f ca="1">IF(OR($D37&lt;&gt;"Serviço",AND(AUTOEVENTO="Manual",$M37=$A$15)),0,
         IF(OFFSET(CRONOPLE!$F$15,$M37-$A$15,BT$13)=0,10^12,OFFSET(CRONOPLE!$F$15,$M37-$A$15,BT$13)))</f>
        <v>1000000000000</v>
      </c>
      <c r="BV37" s="172">
        <f ca="1">IF(OR($D37&lt;&gt;"Serviço",AND(AUTOEVENTO="Manual",$M37=$A$15),$M37&gt;(ROW(PLE.lastrow)-ROW(PLE.firstrow))),0,
           IF(OFFSET(PLE!$G$15,$M37-$A$15,BV$13)="",10^12,OFFSET(PLE!$G$15,$M37-$A$15,BV$13)))</f>
        <v>1000000000000</v>
      </c>
      <c r="BW37" s="172">
        <f ca="1">IF(OR($D37&lt;&gt;"Serviço",AND(AUTOEVENTO="Manual",$M37=$A$15),$M37&gt;(ROW(PLE.lastrow)-ROW(PLE.firstrow))),0,
           IF(OFFSET(PLE!$G$15,$M37-$A$15,BW$13)="",10^12,OFFSET(PLE!$G$15,$M37-$A$15,BW$13)))</f>
        <v>1000000000000</v>
      </c>
      <c r="BX37" s="172">
        <f ca="1">IF(OR($D37&lt;&gt;"Serviço",AND(AUTOEVENTO="Manual",$M37=$A$15),$M37&gt;(ROW(PLE.lastrow)-ROW(PLE.firstrow))),0,
           IF(OFFSET(PLE!$G$15,$M37-$A$15,BX$13)="",10^12,OFFSET(PLE!$G$15,$M37-$A$15,BX$13)))</f>
        <v>1000000000000</v>
      </c>
      <c r="BY37" s="172">
        <f ca="1">IF(OR($D37&lt;&gt;"Serviço",AND(AUTOEVENTO="Manual",$M37=$A$15),$M37&gt;(ROW(PLE.lastrow)-ROW(PLE.firstrow))),0,
           IF(OFFSET(PLE!$G$15,$M37-$A$15,BY$13)="",10^12,OFFSET(PLE!$G$15,$M37-$A$15,BY$13)))</f>
        <v>1000000000000</v>
      </c>
      <c r="BZ37" s="172">
        <f ca="1">IF(OR($D37&lt;&gt;"Serviço",AND(AUTOEVENTO="Manual",$M37=$A$15),$M37&gt;(ROW(PLE.lastrow)-ROW(PLE.firstrow))),0,
           IF(OFFSET(PLE!$G$15,$M37-$A$15,BZ$13)="",10^12,OFFSET(PLE!$G$15,$M37-$A$15,BZ$13)))</f>
        <v>1000000000000</v>
      </c>
      <c r="CA37" s="172">
        <f ca="1">IF(OR($D37&lt;&gt;"Serviço",AND(AUTOEVENTO="Manual",$M37=$A$15),$M37&gt;(ROW(PLE.lastrow)-ROW(PLE.firstrow))),0,
           IF(OFFSET(PLE!$G$15,$M37-$A$15,CA$13)="",10^12,OFFSET(PLE!$G$15,$M37-$A$15,CA$13)))</f>
        <v>1000000000000</v>
      </c>
      <c r="CB37" s="172">
        <f ca="1">IF(OR($D37&lt;&gt;"Serviço",AND(AUTOEVENTO="Manual",$M37=$A$15),$M37&gt;(ROW(PLE.lastrow)-ROW(PLE.firstrow))),0,
           IF(OFFSET(PLE!$G$15,$M37-$A$15,CB$13)="",10^12,OFFSET(PLE!$G$15,$M37-$A$15,CB$13)))</f>
        <v>1000000000000</v>
      </c>
      <c r="CC37" s="172">
        <f ca="1">IF(OR($D37&lt;&gt;"Serviço",AND(AUTOEVENTO="Manual",$M37=$A$15),$M37&gt;(ROW(PLE.lastrow)-ROW(PLE.firstrow))),0,
           IF(OFFSET(PLE!$G$15,$M37-$A$15,CC$13)="",10^12,OFFSET(PLE!$G$15,$M37-$A$15,CC$13)))</f>
        <v>1000000000000</v>
      </c>
      <c r="CD37" s="172">
        <f ca="1">IF(OR($D37&lt;&gt;"Serviço",AND(AUTOEVENTO="Manual",$M37=$A$15),$M37&gt;(ROW(PLE.lastrow)-ROW(PLE.firstrow))),0,
           IF(OFFSET(PLE!$G$15,$M37-$A$15,CD$13)="",10^12,OFFSET(PLE!$G$15,$M37-$A$15,CD$13)))</f>
        <v>1000000000000</v>
      </c>
      <c r="CE37" s="172">
        <f ca="1">IF(OR($D37&lt;&gt;"Serviço",AND(AUTOEVENTO="Manual",$M37=$A$15),$M37&gt;(ROW(PLE.lastrow)-ROW(PLE.firstrow))),0,
           IF(OFFSET(PLE!$G$15,$M37-$A$15,CE$13)="",10^12,OFFSET(PLE!$G$15,$M37-$A$15,CE$13)))</f>
        <v>1000000000000</v>
      </c>
      <c r="CF37" s="172">
        <f ca="1">IF(OR($D37&lt;&gt;"Serviço",AND(AUTOEVENTO="Manual",$M37=$A$15),$M37&gt;(ROW(PLE.lastrow)-ROW(PLE.firstrow))),0,
           IF(OFFSET(PLE!$G$15,$M37-$A$15,CF$13)="",10^12,OFFSET(PLE!$G$15,$M37-$A$15,CF$13)))</f>
        <v>1000000000000</v>
      </c>
      <c r="CG37" s="172">
        <f ca="1">IF(OR($D37&lt;&gt;"Serviço",AND(AUTOEVENTO="Manual",$M37=$A$15),$M37&gt;(ROW(PLE.lastrow)-ROW(PLE.firstrow))),0,
           IF(OFFSET(PLE!$G$15,$M37-$A$15,CG$13)="",10^12,OFFSET(PLE!$G$15,$M37-$A$15,CG$13)))</f>
        <v>1000000000000</v>
      </c>
      <c r="CH37" s="172">
        <f ca="1">IF(OR($D37&lt;&gt;"Serviço",AND(AUTOEVENTO="Manual",$M37=$A$15),$M37&gt;(ROW(PLE.lastrow)-ROW(PLE.firstrow))),0,
           IF(OFFSET(PLE!$G$15,$M37-$A$15,CH$13)="",10^12,OFFSET(PLE!$G$15,$M37-$A$15,CH$13)))</f>
        <v>1000000000000</v>
      </c>
      <c r="CI37" s="172">
        <f ca="1">IF(OR($D37&lt;&gt;"Serviço",AND(AUTOEVENTO="Manual",$M37=$A$15),$M37&gt;(ROW(PLE.lastrow)-ROW(PLE.firstrow))),0,
           IF(OFFSET(PLE!$G$15,$M37-$A$15,CI$13)="",10^12,OFFSET(PLE!$G$15,$M37-$A$15,CI$13)))</f>
        <v>1000000000000</v>
      </c>
      <c r="CJ37" s="172">
        <f ca="1">IF(OR($D37&lt;&gt;"Serviço",AND(AUTOEVENTO="Manual",$M37=$A$15),$M37&gt;(ROW(PLE.lastrow)-ROW(PLE.firstrow))),0,
           IF(OFFSET(PLE!$G$15,$M37-$A$15,CJ$13)="",10^12,OFFSET(PLE!$G$15,$M37-$A$15,CJ$13)))</f>
        <v>1000000000000</v>
      </c>
      <c r="CK37" s="172">
        <f ca="1">IF(OR($D37&lt;&gt;"Serviço",AND(AUTOEVENTO="Manual",$M37=$A$15),$M37&gt;(ROW(PLE.lastrow)-ROW(PLE.firstrow))),0,
           IF(OFFSET(PLE!$G$15,$M37-$A$15,CK$13)="",10^12,OFFSET(PLE!$G$15,$M37-$A$15,CK$13)))</f>
        <v>1000000000000</v>
      </c>
      <c r="CL37" s="172">
        <f ca="1">IF(OR($D37&lt;&gt;"Serviço",AND(AUTOEVENTO="Manual",$M37=$A$15),$M37&gt;(ROW(PLE.lastrow)-ROW(PLE.firstrow))),0,
           IF(OFFSET(PLE!$G$15,$M37-$A$15,CL$13)="",10^12,OFFSET(PLE!$G$15,$M37-$A$15,CL$13)))</f>
        <v>1000000000000</v>
      </c>
      <c r="CM37" s="172">
        <f ca="1">IF(OR($D37&lt;&gt;"Serviço",AND(AUTOEVENTO="Manual",$M37=$A$15),$M37&gt;(ROW(PLE.lastrow)-ROW(PLE.firstrow))),0,
           IF(OFFSET(PLE!$G$15,$M37-$A$15,CM$13)="",10^12,OFFSET(PLE!$G$15,$M37-$A$15,CM$13)))</f>
        <v>1000000000000</v>
      </c>
    </row>
    <row r="38" spans="1:91" ht="12.75" x14ac:dyDescent="0.2">
      <c r="A38" s="7">
        <f t="shared" ca="1" si="10"/>
        <v>2</v>
      </c>
      <c r="B38" s="7" t="str">
        <f ca="1">OFFSET(ORÇAMENTO!C$15,ROW(B38)-ROW(B$15),0)</f>
        <v>S</v>
      </c>
      <c r="C38" s="7" t="str">
        <f ca="1">OFFSET(ORÇAMENTO!L$15,ROW(C38)-ROW(C$15),0)</f>
        <v>F</v>
      </c>
      <c r="D38" s="116" t="str">
        <f ca="1">OFFSET(ORÇAMENTO!N$15,ROW(D38)-ROW(D$15),0)</f>
        <v>Serviço</v>
      </c>
      <c r="E38" s="117" t="str">
        <f ca="1">OFFSET(ORÇAMENTO!O$15,ROW(E38)-ROW(E$15),0)</f>
        <v>1.3.2.0.8.</v>
      </c>
      <c r="F38" s="163" t="str">
        <f ca="1">OFFSET(ORÇAMENTO!R$15,ROW(F38)-ROW(F$15),0)</f>
        <v>LIGAÇÃO PROVISÓRIA DE ENERGIA ELÉTRICA PARA CONTAINER</v>
      </c>
      <c r="G38" s="164" t="str">
        <f ca="1">IF($D38&lt;&gt;"Serviço","",OFFSET(ORÇAMENTO!S$15,ROW(G38)-ROW(G$15),0))</f>
        <v>UN</v>
      </c>
      <c r="H38" s="122" cm="1">
        <f t="array" aca="1" ref="H38" ca="1">IF($D38&lt;&gt;"Serviço",0,IF(ACOMPANHAMENTO="BM",ROUND(OFFSET(ORÇAMENTO!AJ$15,ROW(H38)-ROW(H$15),0),15-13*ORÇAMENTO!$AF$7),SUMPRODUCT(($Q$1:$AI$1=1)*ROUND($Q38:$AI38,15-13*ORÇAMENTO!$AF$7))))</f>
        <v>1</v>
      </c>
      <c r="I38" s="468" t="s">
        <v>1291</v>
      </c>
      <c r="J38" s="640" t="str" cm="1">
        <f t="array" aca="1" ref="J38" ca="1">IF(OR(B38&lt;&gt;"S",CÁLCULO.FrentesPreenchidas=0),"",IF(AND(ACOMPANHAMENTO="PLE",AUTOEVENTO="Manual",OR(H38&gt;0,ORÇAMENTO!AC38="QUANT."),OR(K38="",M38=0,N38="")),"►E",IF(AND(ACOMPANHAMENTO="PLE",ORÇAMENTO!AC38="QUANT."),"►Q",IF(AND(ACOMPANHAMENTO="PLE",H38&lt;&gt;SUMPRODUCT(($Q$1:$AI$1=1)*ROUND(Q38:AI38,15))),"►S",IF(AND(COUNTIF($P$11:$AI$11,"▼")=0,H38&gt;0,I38=""),"◄M","")))))</f>
        <v/>
      </c>
      <c r="K38" s="641" t="s">
        <v>1387</v>
      </c>
      <c r="L38" s="165" t="s">
        <v>764</v>
      </c>
      <c r="M38" s="166">
        <f ca="1">IF($D38&lt;&gt;"Serviço","",
          IF(AUTOEVENTO="manual",$A38,
                IF(ISERROR(MATCH($A38,$A$15:OFFSET($A38,-1,0),0)),MAX($M$15:OFFSET(M38,-1,0))+1,
                      INDEX($M$15:OFFSET(M38,-1,0),MATCH($A38,$A$15:OFFSET($A38,-1,0),0)))))</f>
        <v>2</v>
      </c>
      <c r="N38" s="167" t="str">
        <f ca="1">IF($D38&lt;&gt;"Serviço","",
         IF(AUTOEVENTO="Manual",
                IF($A38=0,"&lt;-- defina o número do agrupador",
                       OFFSET(EVENTOS!$D$15,$A38-$A$15,0)),
                OFFSET($F$15,$A38,0)))</f>
        <v>Serviços Iniciais</v>
      </c>
      <c r="O38" s="168"/>
      <c r="Q38" s="168">
        <v>1</v>
      </c>
      <c r="R38" s="169"/>
      <c r="S38" s="169"/>
      <c r="T38" s="169"/>
      <c r="U38" s="169"/>
      <c r="V38" s="169"/>
      <c r="W38" s="169"/>
      <c r="X38" s="169"/>
      <c r="Y38" s="169"/>
      <c r="Z38" s="170"/>
      <c r="AA38" s="169"/>
      <c r="AB38" s="169"/>
      <c r="AC38" s="169"/>
      <c r="AD38" s="169"/>
      <c r="AE38" s="169"/>
      <c r="AF38" s="169"/>
      <c r="AG38" s="169"/>
      <c r="AH38" s="170"/>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L38" s="453">
        <f ca="1">IF(AND($D38="Serviço",AL$12&lt;&gt;0,$H38&gt;0,OR(AUTOEVENTO&lt;&gt;"manual",$M38&lt;&gt;$A$15)),
        IF(Import.TipoArredondamento&lt;&gt;"TransfereGOV",
              ROUND(OFFSET($P38,0,AL$13),15-13*ORÇAMENTO!$AF$7)/$H38*OFFSET(ORÇAMENTO!$X$15,ROW(AL38)-ROW(AL$15),0),
              ROUND(ROUND(OFFSET($P38,0,AL$13),15-13*ORÇAMENTO!$AF$7)*OFFSET(ORÇAMENTO!$W$15,ROW(AL38)-ROW(AL$15),0),15-13*ORÇAMENTO!$AF$11)),
         0)</f>
        <v>0</v>
      </c>
      <c r="AM38" s="453">
        <f ca="1">IF(AND($D38="Serviço",AM$12&lt;&gt;0,$H38&gt;0,OR(AUTOEVENTO&lt;&gt;"manual",$M38&lt;&gt;$A$15)),
        IF(Import.TipoArredondamento&lt;&gt;"TransfereGOV",
              ROUND(OFFSET($P38,0,AM$13),15-13*ORÇAMENTO!$AF$7)/$H38*OFFSET(ORÇAMENTO!$X$15,ROW(AM38)-ROW(AM$15),0),
              ROUND(ROUND(OFFSET($P38,0,AM$13),15-13*ORÇAMENTO!$AF$7)*OFFSET(ORÇAMENTO!$W$15,ROW(AM38)-ROW(AM$15),0),15-13*ORÇAMENTO!$AF$11)),
         0)</f>
        <v>0</v>
      </c>
      <c r="AN38" s="453">
        <f ca="1">IF(AND($D38="Serviço",AN$12&lt;&gt;0,$H38&gt;0,OR(AUTOEVENTO&lt;&gt;"manual",$M38&lt;&gt;$A$15)),
        IF(Import.TipoArredondamento&lt;&gt;"TransfereGOV",
              ROUND(OFFSET($P38,0,AN$13),15-13*ORÇAMENTO!$AF$7)/$H38*OFFSET(ORÇAMENTO!$X$15,ROW(AN38)-ROW(AN$15),0),
              ROUND(ROUND(OFFSET($P38,0,AN$13),15-13*ORÇAMENTO!$AF$7)*OFFSET(ORÇAMENTO!$W$15,ROW(AN38)-ROW(AN$15),0),15-13*ORÇAMENTO!$AF$11)),
         0)</f>
        <v>0</v>
      </c>
      <c r="AO38" s="453">
        <f ca="1">IF(AND($D38="Serviço",AO$12&lt;&gt;0,$H38&gt;0,OR(AUTOEVENTO&lt;&gt;"manual",$M38&lt;&gt;$A$15)),
        IF(Import.TipoArredondamento&lt;&gt;"TransfereGOV",
              ROUND(OFFSET($P38,0,AO$13),15-13*ORÇAMENTO!$AF$7)/$H38*OFFSET(ORÇAMENTO!$X$15,ROW(AO38)-ROW(AO$15),0),
              ROUND(ROUND(OFFSET($P38,0,AO$13),15-13*ORÇAMENTO!$AF$7)*OFFSET(ORÇAMENTO!$W$15,ROW(AO38)-ROW(AO$15),0),15-13*ORÇAMENTO!$AF$11)),
         0)</f>
        <v>0</v>
      </c>
      <c r="AP38" s="453">
        <f ca="1">IF(AND($D38="Serviço",AP$12&lt;&gt;0,$H38&gt;0,OR(AUTOEVENTO&lt;&gt;"manual",$M38&lt;&gt;$A$15)),
        IF(Import.TipoArredondamento&lt;&gt;"TransfereGOV",
              ROUND(OFFSET($P38,0,AP$13),15-13*ORÇAMENTO!$AF$7)/$H38*OFFSET(ORÇAMENTO!$X$15,ROW(AP38)-ROW(AP$15),0),
              ROUND(ROUND(OFFSET($P38,0,AP$13),15-13*ORÇAMENTO!$AF$7)*OFFSET(ORÇAMENTO!$W$15,ROW(AP38)-ROW(AP$15),0),15-13*ORÇAMENTO!$AF$11)),
         0)</f>
        <v>0</v>
      </c>
      <c r="AQ38" s="453">
        <f ca="1">IF(AND($D38="Serviço",AQ$12&lt;&gt;0,$H38&gt;0,OR(AUTOEVENTO&lt;&gt;"manual",$M38&lt;&gt;$A$15)),
        IF(Import.TipoArredondamento&lt;&gt;"TransfereGOV",
              ROUND(OFFSET($P38,0,AQ$13),15-13*ORÇAMENTO!$AF$7)/$H38*OFFSET(ORÇAMENTO!$X$15,ROW(AQ38)-ROW(AQ$15),0),
              ROUND(ROUND(OFFSET($P38,0,AQ$13),15-13*ORÇAMENTO!$AF$7)*OFFSET(ORÇAMENTO!$W$15,ROW(AQ38)-ROW(AQ$15),0),15-13*ORÇAMENTO!$AF$11)),
         0)</f>
        <v>0</v>
      </c>
      <c r="AR38" s="453">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3">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3">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3">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3">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3">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3">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3">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3">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3">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C38" s="171">
        <f ca="1">IF(OR($D38&lt;&gt;"Serviço",AND(AUTOEVENTO="Manual",$M38=$A$15)),0,
         IF(OFFSET(CRONOPLE!$F$15,$M38-$A$15,BC$13)=0,10^12,OFFSET(CRONOPLE!$F$15,$M38-$A$15,BC$13)))</f>
        <v>1</v>
      </c>
      <c r="BD38" s="171">
        <f ca="1">IF(OR($D38&lt;&gt;"Serviço",AND(AUTOEVENTO="Manual",$M38=$A$15)),0,
         IF(OFFSET(CRONOPLE!$F$15,$M38-$A$15,BD$13)=0,10^12,OFFSET(CRONOPLE!$F$15,$M38-$A$15,BD$13)))</f>
        <v>2</v>
      </c>
      <c r="BE38" s="171">
        <f ca="1">IF(OR($D38&lt;&gt;"Serviço",AND(AUTOEVENTO="Manual",$M38=$A$15)),0,
         IF(OFFSET(CRONOPLE!$F$15,$M38-$A$15,BE$13)=0,10^12,OFFSET(CRONOPLE!$F$15,$M38-$A$15,BE$13)))</f>
        <v>3</v>
      </c>
      <c r="BF38" s="171">
        <f ca="1">IF(OR($D38&lt;&gt;"Serviço",AND(AUTOEVENTO="Manual",$M38=$A$15)),0,
         IF(OFFSET(CRONOPLE!$F$15,$M38-$A$15,BF$13)=0,10^12,OFFSET(CRONOPLE!$F$15,$M38-$A$15,BF$13)))</f>
        <v>4</v>
      </c>
      <c r="BG38" s="171">
        <f ca="1">IF(OR($D38&lt;&gt;"Serviço",AND(AUTOEVENTO="Manual",$M38=$A$15)),0,
         IF(OFFSET(CRONOPLE!$F$15,$M38-$A$15,BG$13)=0,10^12,OFFSET(CRONOPLE!$F$15,$M38-$A$15,BG$13)))</f>
        <v>5</v>
      </c>
      <c r="BH38" s="171">
        <f ca="1">IF(OR($D38&lt;&gt;"Serviço",AND(AUTOEVENTO="Manual",$M38=$A$15)),0,
         IF(OFFSET(CRONOPLE!$F$15,$M38-$A$15,BH$13)=0,10^12,OFFSET(CRONOPLE!$F$15,$M38-$A$15,BH$13)))</f>
        <v>6</v>
      </c>
      <c r="BI38" s="171">
        <f ca="1">IF(OR($D38&lt;&gt;"Serviço",AND(AUTOEVENTO="Manual",$M38=$A$15)),0,
         IF(OFFSET(CRONOPLE!$F$15,$M38-$A$15,BI$13)=0,10^12,OFFSET(CRONOPLE!$F$15,$M38-$A$15,BI$13)))</f>
        <v>7</v>
      </c>
      <c r="BJ38" s="171">
        <f ca="1">IF(OR($D38&lt;&gt;"Serviço",AND(AUTOEVENTO="Manual",$M38=$A$15)),0,
         IF(OFFSET(CRONOPLE!$F$15,$M38-$A$15,BJ$13)=0,10^12,OFFSET(CRONOPLE!$F$15,$M38-$A$15,BJ$13)))</f>
        <v>8</v>
      </c>
      <c r="BK38" s="171">
        <f ca="1">IF(OR($D38&lt;&gt;"Serviço",AND(AUTOEVENTO="Manual",$M38=$A$15)),0,
         IF(OFFSET(CRONOPLE!$F$15,$M38-$A$15,BK$13)=0,10^12,OFFSET(CRONOPLE!$F$15,$M38-$A$15,BK$13)))</f>
        <v>9</v>
      </c>
      <c r="BL38" s="171">
        <f ca="1">IF(OR($D38&lt;&gt;"Serviço",AND(AUTOEVENTO="Manual",$M38=$A$15)),0,
         IF(OFFSET(CRONOPLE!$F$15,$M38-$A$15,BL$13)=0,10^12,OFFSET(CRONOPLE!$F$15,$M38-$A$15,BL$13)))</f>
        <v>10</v>
      </c>
      <c r="BM38" s="171">
        <f ca="1">IF(OR($D38&lt;&gt;"Serviço",AND(AUTOEVENTO="Manual",$M38=$A$15)),0,
         IF(OFFSET(CRONOPLE!$F$15,$M38-$A$15,BM$13)=0,10^12,OFFSET(CRONOPLE!$F$15,$M38-$A$15,BM$13)))</f>
        <v>1000000000000</v>
      </c>
      <c r="BN38" s="171">
        <f ca="1">IF(OR($D38&lt;&gt;"Serviço",AND(AUTOEVENTO="Manual",$M38=$A$15)),0,
         IF(OFFSET(CRONOPLE!$F$15,$M38-$A$15,BN$13)=0,10^12,OFFSET(CRONOPLE!$F$15,$M38-$A$15,BN$13)))</f>
        <v>1000000000000</v>
      </c>
      <c r="BO38" s="171">
        <f ca="1">IF(OR($D38&lt;&gt;"Serviço",AND(AUTOEVENTO="Manual",$M38=$A$15)),0,
         IF(OFFSET(CRONOPLE!$F$15,$M38-$A$15,BO$13)=0,10^12,OFFSET(CRONOPLE!$F$15,$M38-$A$15,BO$13)))</f>
        <v>1000000000000</v>
      </c>
      <c r="BP38" s="171">
        <f ca="1">IF(OR($D38&lt;&gt;"Serviço",AND(AUTOEVENTO="Manual",$M38=$A$15)),0,
         IF(OFFSET(CRONOPLE!$F$15,$M38-$A$15,BP$13)=0,10^12,OFFSET(CRONOPLE!$F$15,$M38-$A$15,BP$13)))</f>
        <v>1000000000000</v>
      </c>
      <c r="BQ38" s="171">
        <f ca="1">IF(OR($D38&lt;&gt;"Serviço",AND(AUTOEVENTO="Manual",$M38=$A$15)),0,
         IF(OFFSET(CRONOPLE!$F$15,$M38-$A$15,BQ$13)=0,10^12,OFFSET(CRONOPLE!$F$15,$M38-$A$15,BQ$13)))</f>
        <v>1000000000000</v>
      </c>
      <c r="BR38" s="171">
        <f ca="1">IF(OR($D38&lt;&gt;"Serviço",AND(AUTOEVENTO="Manual",$M38=$A$15)),0,
         IF(OFFSET(CRONOPLE!$F$15,$M38-$A$15,BR$13)=0,10^12,OFFSET(CRONOPLE!$F$15,$M38-$A$15,BR$13)))</f>
        <v>1000000000000</v>
      </c>
      <c r="BS38" s="171">
        <f ca="1">IF(OR($D38&lt;&gt;"Serviço",AND(AUTOEVENTO="Manual",$M38=$A$15)),0,
         IF(OFFSET(CRONOPLE!$F$15,$M38-$A$15,BS$13)=0,10^12,OFFSET(CRONOPLE!$F$15,$M38-$A$15,BS$13)))</f>
        <v>1000000000000</v>
      </c>
      <c r="BT38" s="171">
        <f ca="1">IF(OR($D38&lt;&gt;"Serviço",AND(AUTOEVENTO="Manual",$M38=$A$15)),0,
         IF(OFFSET(CRONOPLE!$F$15,$M38-$A$15,BT$13)=0,10^12,OFFSET(CRONOPLE!$F$15,$M38-$A$15,BT$13)))</f>
        <v>1000000000000</v>
      </c>
      <c r="BV38" s="172">
        <f ca="1">IF(OR($D38&lt;&gt;"Serviço",AND(AUTOEVENTO="Manual",$M38=$A$15),$M38&gt;(ROW(PLE.lastrow)-ROW(PLE.firstrow))),0,
           IF(OFFSET(PLE!$G$15,$M38-$A$15,BV$13)="",10^12,OFFSET(PLE!$G$15,$M38-$A$15,BV$13)))</f>
        <v>1000000000000</v>
      </c>
      <c r="BW38" s="172">
        <f ca="1">IF(OR($D38&lt;&gt;"Serviço",AND(AUTOEVENTO="Manual",$M38=$A$15),$M38&gt;(ROW(PLE.lastrow)-ROW(PLE.firstrow))),0,
           IF(OFFSET(PLE!$G$15,$M38-$A$15,BW$13)="",10^12,OFFSET(PLE!$G$15,$M38-$A$15,BW$13)))</f>
        <v>1000000000000</v>
      </c>
      <c r="BX38" s="172">
        <f ca="1">IF(OR($D38&lt;&gt;"Serviço",AND(AUTOEVENTO="Manual",$M38=$A$15),$M38&gt;(ROW(PLE.lastrow)-ROW(PLE.firstrow))),0,
           IF(OFFSET(PLE!$G$15,$M38-$A$15,BX$13)="",10^12,OFFSET(PLE!$G$15,$M38-$A$15,BX$13)))</f>
        <v>1000000000000</v>
      </c>
      <c r="BY38" s="172">
        <f ca="1">IF(OR($D38&lt;&gt;"Serviço",AND(AUTOEVENTO="Manual",$M38=$A$15),$M38&gt;(ROW(PLE.lastrow)-ROW(PLE.firstrow))),0,
           IF(OFFSET(PLE!$G$15,$M38-$A$15,BY$13)="",10^12,OFFSET(PLE!$G$15,$M38-$A$15,BY$13)))</f>
        <v>1000000000000</v>
      </c>
      <c r="BZ38" s="172">
        <f ca="1">IF(OR($D38&lt;&gt;"Serviço",AND(AUTOEVENTO="Manual",$M38=$A$15),$M38&gt;(ROW(PLE.lastrow)-ROW(PLE.firstrow))),0,
           IF(OFFSET(PLE!$G$15,$M38-$A$15,BZ$13)="",10^12,OFFSET(PLE!$G$15,$M38-$A$15,BZ$13)))</f>
        <v>1000000000000</v>
      </c>
      <c r="CA38" s="172">
        <f ca="1">IF(OR($D38&lt;&gt;"Serviço",AND(AUTOEVENTO="Manual",$M38=$A$15),$M38&gt;(ROW(PLE.lastrow)-ROW(PLE.firstrow))),0,
           IF(OFFSET(PLE!$G$15,$M38-$A$15,CA$13)="",10^12,OFFSET(PLE!$G$15,$M38-$A$15,CA$13)))</f>
        <v>1000000000000</v>
      </c>
      <c r="CB38" s="172">
        <f ca="1">IF(OR($D38&lt;&gt;"Serviço",AND(AUTOEVENTO="Manual",$M38=$A$15),$M38&gt;(ROW(PLE.lastrow)-ROW(PLE.firstrow))),0,
           IF(OFFSET(PLE!$G$15,$M38-$A$15,CB$13)="",10^12,OFFSET(PLE!$G$15,$M38-$A$15,CB$13)))</f>
        <v>1000000000000</v>
      </c>
      <c r="CC38" s="172">
        <f ca="1">IF(OR($D38&lt;&gt;"Serviço",AND(AUTOEVENTO="Manual",$M38=$A$15),$M38&gt;(ROW(PLE.lastrow)-ROW(PLE.firstrow))),0,
           IF(OFFSET(PLE!$G$15,$M38-$A$15,CC$13)="",10^12,OFFSET(PLE!$G$15,$M38-$A$15,CC$13)))</f>
        <v>1000000000000</v>
      </c>
      <c r="CD38" s="172">
        <f ca="1">IF(OR($D38&lt;&gt;"Serviço",AND(AUTOEVENTO="Manual",$M38=$A$15),$M38&gt;(ROW(PLE.lastrow)-ROW(PLE.firstrow))),0,
           IF(OFFSET(PLE!$G$15,$M38-$A$15,CD$13)="",10^12,OFFSET(PLE!$G$15,$M38-$A$15,CD$13)))</f>
        <v>1000000000000</v>
      </c>
      <c r="CE38" s="172">
        <f ca="1">IF(OR($D38&lt;&gt;"Serviço",AND(AUTOEVENTO="Manual",$M38=$A$15),$M38&gt;(ROW(PLE.lastrow)-ROW(PLE.firstrow))),0,
           IF(OFFSET(PLE!$G$15,$M38-$A$15,CE$13)="",10^12,OFFSET(PLE!$G$15,$M38-$A$15,CE$13)))</f>
        <v>1000000000000</v>
      </c>
      <c r="CF38" s="172">
        <f ca="1">IF(OR($D38&lt;&gt;"Serviço",AND(AUTOEVENTO="Manual",$M38=$A$15),$M38&gt;(ROW(PLE.lastrow)-ROW(PLE.firstrow))),0,
           IF(OFFSET(PLE!$G$15,$M38-$A$15,CF$13)="",10^12,OFFSET(PLE!$G$15,$M38-$A$15,CF$13)))</f>
        <v>1000000000000</v>
      </c>
      <c r="CG38" s="172">
        <f ca="1">IF(OR($D38&lt;&gt;"Serviço",AND(AUTOEVENTO="Manual",$M38=$A$15),$M38&gt;(ROW(PLE.lastrow)-ROW(PLE.firstrow))),0,
           IF(OFFSET(PLE!$G$15,$M38-$A$15,CG$13)="",10^12,OFFSET(PLE!$G$15,$M38-$A$15,CG$13)))</f>
        <v>1000000000000</v>
      </c>
      <c r="CH38" s="172">
        <f ca="1">IF(OR($D38&lt;&gt;"Serviço",AND(AUTOEVENTO="Manual",$M38=$A$15),$M38&gt;(ROW(PLE.lastrow)-ROW(PLE.firstrow))),0,
           IF(OFFSET(PLE!$G$15,$M38-$A$15,CH$13)="",10^12,OFFSET(PLE!$G$15,$M38-$A$15,CH$13)))</f>
        <v>1000000000000</v>
      </c>
      <c r="CI38" s="172">
        <f ca="1">IF(OR($D38&lt;&gt;"Serviço",AND(AUTOEVENTO="Manual",$M38=$A$15),$M38&gt;(ROW(PLE.lastrow)-ROW(PLE.firstrow))),0,
           IF(OFFSET(PLE!$G$15,$M38-$A$15,CI$13)="",10^12,OFFSET(PLE!$G$15,$M38-$A$15,CI$13)))</f>
        <v>1000000000000</v>
      </c>
      <c r="CJ38" s="172">
        <f ca="1">IF(OR($D38&lt;&gt;"Serviço",AND(AUTOEVENTO="Manual",$M38=$A$15),$M38&gt;(ROW(PLE.lastrow)-ROW(PLE.firstrow))),0,
           IF(OFFSET(PLE!$G$15,$M38-$A$15,CJ$13)="",10^12,OFFSET(PLE!$G$15,$M38-$A$15,CJ$13)))</f>
        <v>1000000000000</v>
      </c>
      <c r="CK38" s="172">
        <f ca="1">IF(OR($D38&lt;&gt;"Serviço",AND(AUTOEVENTO="Manual",$M38=$A$15),$M38&gt;(ROW(PLE.lastrow)-ROW(PLE.firstrow))),0,
           IF(OFFSET(PLE!$G$15,$M38-$A$15,CK$13)="",10^12,OFFSET(PLE!$G$15,$M38-$A$15,CK$13)))</f>
        <v>1000000000000</v>
      </c>
      <c r="CL38" s="172">
        <f ca="1">IF(OR($D38&lt;&gt;"Serviço",AND(AUTOEVENTO="Manual",$M38=$A$15),$M38&gt;(ROW(PLE.lastrow)-ROW(PLE.firstrow))),0,
           IF(OFFSET(PLE!$G$15,$M38-$A$15,CL$13)="",10^12,OFFSET(PLE!$G$15,$M38-$A$15,CL$13)))</f>
        <v>1000000000000</v>
      </c>
      <c r="CM38" s="172">
        <f ca="1">IF(OR($D38&lt;&gt;"Serviço",AND(AUTOEVENTO="Manual",$M38=$A$15),$M38&gt;(ROW(PLE.lastrow)-ROW(PLE.firstrow))),0,
           IF(OFFSET(PLE!$G$15,$M38-$A$15,CM$13)="",10^12,OFFSET(PLE!$G$15,$M38-$A$15,CM$13)))</f>
        <v>1000000000000</v>
      </c>
    </row>
    <row r="39" spans="1:91" ht="25.5" x14ac:dyDescent="0.2">
      <c r="A39" s="7">
        <f t="shared" ca="1" si="10"/>
        <v>2</v>
      </c>
      <c r="B39" s="7" t="str">
        <f ca="1">OFFSET(ORÇAMENTO!C$15,ROW(B39)-ROW(B$15),0)</f>
        <v>S</v>
      </c>
      <c r="C39" s="7" t="str">
        <f ca="1">OFFSET(ORÇAMENTO!L$15,ROW(C39)-ROW(C$15),0)</f>
        <v>F</v>
      </c>
      <c r="D39" s="116" t="str">
        <f ca="1">OFFSET(ORÇAMENTO!N$15,ROW(D39)-ROW(D$15),0)</f>
        <v>Serviço</v>
      </c>
      <c r="E39" s="117" t="str">
        <f ca="1">OFFSET(ORÇAMENTO!O$15,ROW(E39)-ROW(E$15),0)</f>
        <v>1.3.2.0.9.</v>
      </c>
      <c r="F39" s="163" t="str">
        <f ca="1">OFFSET(ORÇAMENTO!R$15,ROW(F39)-ROW(F$15),0)</f>
        <v>LIGAÇÃO PROVISÓRIA DE ÁGUA E ESGOTO PARA CONTAINER (VESTIÁRIO DE OBRA), EXCLUSIVE CHUVEIRO ELÉTRICO</v>
      </c>
      <c r="G39" s="164" t="str">
        <f ca="1">IF($D39&lt;&gt;"Serviço","",OFFSET(ORÇAMENTO!S$15,ROW(G39)-ROW(G$15),0))</f>
        <v>UN</v>
      </c>
      <c r="H39" s="122" cm="1">
        <f t="array" aca="1" ref="H39" ca="1">IF($D39&lt;&gt;"Serviço",0,IF(ACOMPANHAMENTO="BM",ROUND(OFFSET(ORÇAMENTO!AJ$15,ROW(H39)-ROW(H$15),0),15-13*ORÇAMENTO!$AF$7),SUMPRODUCT(($Q$1:$AI$1=1)*ROUND($Q39:$AI39,15-13*ORÇAMENTO!$AF$7))))</f>
        <v>1</v>
      </c>
      <c r="I39" s="468" t="s">
        <v>1291</v>
      </c>
      <c r="J39" s="640" t="str" cm="1">
        <f t="array" aca="1" ref="J39" ca="1">IF(OR(B39&lt;&gt;"S",CÁLCULO.FrentesPreenchidas=0),"",IF(AND(ACOMPANHAMENTO="PLE",AUTOEVENTO="Manual",OR(H39&gt;0,ORÇAMENTO!AC39="QUANT."),OR(K39="",M39=0,N39="")),"►E",IF(AND(ACOMPANHAMENTO="PLE",ORÇAMENTO!AC39="QUANT."),"►Q",IF(AND(ACOMPANHAMENTO="PLE",H39&lt;&gt;SUMPRODUCT(($Q$1:$AI$1=1)*ROUND(Q39:AI39,15))),"►S",IF(AND(COUNTIF($P$11:$AI$11,"▼")=0,H39&gt;0,I39=""),"◄M","")))))</f>
        <v/>
      </c>
      <c r="K39" s="641" t="s">
        <v>1387</v>
      </c>
      <c r="L39" s="165" t="s">
        <v>764</v>
      </c>
      <c r="M39" s="166">
        <f ca="1">IF($D39&lt;&gt;"Serviço","",
          IF(AUTOEVENTO="manual",$A39,
                IF(ISERROR(MATCH($A39,$A$15:OFFSET($A39,-1,0),0)),MAX($M$15:OFFSET(M39,-1,0))+1,
                      INDEX($M$15:OFFSET(M39,-1,0),MATCH($A39,$A$15:OFFSET($A39,-1,0),0)))))</f>
        <v>2</v>
      </c>
      <c r="N39" s="167" t="str">
        <f ca="1">IF($D39&lt;&gt;"Serviço","",
         IF(AUTOEVENTO="Manual",
                IF($A39=0,"&lt;-- defina o número do agrupador",
                       OFFSET(EVENTOS!$D$15,$A39-$A$15,0)),
                OFFSET($F$15,$A39,0)))</f>
        <v>Serviços Iniciais</v>
      </c>
      <c r="O39" s="168"/>
      <c r="Q39" s="168">
        <v>1</v>
      </c>
      <c r="R39" s="169"/>
      <c r="S39" s="169"/>
      <c r="T39" s="169"/>
      <c r="U39" s="169"/>
      <c r="V39" s="169"/>
      <c r="W39" s="169"/>
      <c r="X39" s="169"/>
      <c r="Y39" s="169"/>
      <c r="Z39" s="170"/>
      <c r="AA39" s="169"/>
      <c r="AB39" s="169"/>
      <c r="AC39" s="169"/>
      <c r="AD39" s="169"/>
      <c r="AE39" s="169"/>
      <c r="AF39" s="169"/>
      <c r="AG39" s="169"/>
      <c r="AH39" s="170"/>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L39" s="453">
        <f ca="1">IF(AND($D39="Serviço",AL$12&lt;&gt;0,$H39&gt;0,OR(AUTOEVENTO&lt;&gt;"manual",$M39&lt;&gt;$A$15)),
        IF(Import.TipoArredondamento&lt;&gt;"TransfereGOV",
              ROUND(OFFSET($P39,0,AL$13),15-13*ORÇAMENTO!$AF$7)/$H39*OFFSET(ORÇAMENTO!$X$15,ROW(AL39)-ROW(AL$15),0),
              ROUND(ROUND(OFFSET($P39,0,AL$13),15-13*ORÇAMENTO!$AF$7)*OFFSET(ORÇAMENTO!$W$15,ROW(AL39)-ROW(AL$15),0),15-13*ORÇAMENTO!$AF$11)),
         0)</f>
        <v>0</v>
      </c>
      <c r="AM39" s="453">
        <f ca="1">IF(AND($D39="Serviço",AM$12&lt;&gt;0,$H39&gt;0,OR(AUTOEVENTO&lt;&gt;"manual",$M39&lt;&gt;$A$15)),
        IF(Import.TipoArredondamento&lt;&gt;"TransfereGOV",
              ROUND(OFFSET($P39,0,AM$13),15-13*ORÇAMENTO!$AF$7)/$H39*OFFSET(ORÇAMENTO!$X$15,ROW(AM39)-ROW(AM$15),0),
              ROUND(ROUND(OFFSET($P39,0,AM$13),15-13*ORÇAMENTO!$AF$7)*OFFSET(ORÇAMENTO!$W$15,ROW(AM39)-ROW(AM$15),0),15-13*ORÇAMENTO!$AF$11)),
         0)</f>
        <v>0</v>
      </c>
      <c r="AN39" s="453">
        <f ca="1">IF(AND($D39="Serviço",AN$12&lt;&gt;0,$H39&gt;0,OR(AUTOEVENTO&lt;&gt;"manual",$M39&lt;&gt;$A$15)),
        IF(Import.TipoArredondamento&lt;&gt;"TransfereGOV",
              ROUND(OFFSET($P39,0,AN$13),15-13*ORÇAMENTO!$AF$7)/$H39*OFFSET(ORÇAMENTO!$X$15,ROW(AN39)-ROW(AN$15),0),
              ROUND(ROUND(OFFSET($P39,0,AN$13),15-13*ORÇAMENTO!$AF$7)*OFFSET(ORÇAMENTO!$W$15,ROW(AN39)-ROW(AN$15),0),15-13*ORÇAMENTO!$AF$11)),
         0)</f>
        <v>0</v>
      </c>
      <c r="AO39" s="453">
        <f ca="1">IF(AND($D39="Serviço",AO$12&lt;&gt;0,$H39&gt;0,OR(AUTOEVENTO&lt;&gt;"manual",$M39&lt;&gt;$A$15)),
        IF(Import.TipoArredondamento&lt;&gt;"TransfereGOV",
              ROUND(OFFSET($P39,0,AO$13),15-13*ORÇAMENTO!$AF$7)/$H39*OFFSET(ORÇAMENTO!$X$15,ROW(AO39)-ROW(AO$15),0),
              ROUND(ROUND(OFFSET($P39,0,AO$13),15-13*ORÇAMENTO!$AF$7)*OFFSET(ORÇAMENTO!$W$15,ROW(AO39)-ROW(AO$15),0),15-13*ORÇAMENTO!$AF$11)),
         0)</f>
        <v>0</v>
      </c>
      <c r="AP39" s="453">
        <f ca="1">IF(AND($D39="Serviço",AP$12&lt;&gt;0,$H39&gt;0,OR(AUTOEVENTO&lt;&gt;"manual",$M39&lt;&gt;$A$15)),
        IF(Import.TipoArredondamento&lt;&gt;"TransfereGOV",
              ROUND(OFFSET($P39,0,AP$13),15-13*ORÇAMENTO!$AF$7)/$H39*OFFSET(ORÇAMENTO!$X$15,ROW(AP39)-ROW(AP$15),0),
              ROUND(ROUND(OFFSET($P39,0,AP$13),15-13*ORÇAMENTO!$AF$7)*OFFSET(ORÇAMENTO!$W$15,ROW(AP39)-ROW(AP$15),0),15-13*ORÇAMENTO!$AF$11)),
         0)</f>
        <v>0</v>
      </c>
      <c r="AQ39" s="453">
        <f ca="1">IF(AND($D39="Serviço",AQ$12&lt;&gt;0,$H39&gt;0,OR(AUTOEVENTO&lt;&gt;"manual",$M39&lt;&gt;$A$15)),
        IF(Import.TipoArredondamento&lt;&gt;"TransfereGOV",
              ROUND(OFFSET($P39,0,AQ$13),15-13*ORÇAMENTO!$AF$7)/$H39*OFFSET(ORÇAMENTO!$X$15,ROW(AQ39)-ROW(AQ$15),0),
              ROUND(ROUND(OFFSET($P39,0,AQ$13),15-13*ORÇAMENTO!$AF$7)*OFFSET(ORÇAMENTO!$W$15,ROW(AQ39)-ROW(AQ$15),0),15-13*ORÇAMENTO!$AF$11)),
         0)</f>
        <v>0</v>
      </c>
      <c r="AR39" s="453">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3">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3">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3">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3">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3">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3">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3">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3">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3">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C39" s="171">
        <f ca="1">IF(OR($D39&lt;&gt;"Serviço",AND(AUTOEVENTO="Manual",$M39=$A$15)),0,
         IF(OFFSET(CRONOPLE!$F$15,$M39-$A$15,BC$13)=0,10^12,OFFSET(CRONOPLE!$F$15,$M39-$A$15,BC$13)))</f>
        <v>1</v>
      </c>
      <c r="BD39" s="171">
        <f ca="1">IF(OR($D39&lt;&gt;"Serviço",AND(AUTOEVENTO="Manual",$M39=$A$15)),0,
         IF(OFFSET(CRONOPLE!$F$15,$M39-$A$15,BD$13)=0,10^12,OFFSET(CRONOPLE!$F$15,$M39-$A$15,BD$13)))</f>
        <v>2</v>
      </c>
      <c r="BE39" s="171">
        <f ca="1">IF(OR($D39&lt;&gt;"Serviço",AND(AUTOEVENTO="Manual",$M39=$A$15)),0,
         IF(OFFSET(CRONOPLE!$F$15,$M39-$A$15,BE$13)=0,10^12,OFFSET(CRONOPLE!$F$15,$M39-$A$15,BE$13)))</f>
        <v>3</v>
      </c>
      <c r="BF39" s="171">
        <f ca="1">IF(OR($D39&lt;&gt;"Serviço",AND(AUTOEVENTO="Manual",$M39=$A$15)),0,
         IF(OFFSET(CRONOPLE!$F$15,$M39-$A$15,BF$13)=0,10^12,OFFSET(CRONOPLE!$F$15,$M39-$A$15,BF$13)))</f>
        <v>4</v>
      </c>
      <c r="BG39" s="171">
        <f ca="1">IF(OR($D39&lt;&gt;"Serviço",AND(AUTOEVENTO="Manual",$M39=$A$15)),0,
         IF(OFFSET(CRONOPLE!$F$15,$M39-$A$15,BG$13)=0,10^12,OFFSET(CRONOPLE!$F$15,$M39-$A$15,BG$13)))</f>
        <v>5</v>
      </c>
      <c r="BH39" s="171">
        <f ca="1">IF(OR($D39&lt;&gt;"Serviço",AND(AUTOEVENTO="Manual",$M39=$A$15)),0,
         IF(OFFSET(CRONOPLE!$F$15,$M39-$A$15,BH$13)=0,10^12,OFFSET(CRONOPLE!$F$15,$M39-$A$15,BH$13)))</f>
        <v>6</v>
      </c>
      <c r="BI39" s="171">
        <f ca="1">IF(OR($D39&lt;&gt;"Serviço",AND(AUTOEVENTO="Manual",$M39=$A$15)),0,
         IF(OFFSET(CRONOPLE!$F$15,$M39-$A$15,BI$13)=0,10^12,OFFSET(CRONOPLE!$F$15,$M39-$A$15,BI$13)))</f>
        <v>7</v>
      </c>
      <c r="BJ39" s="171">
        <f ca="1">IF(OR($D39&lt;&gt;"Serviço",AND(AUTOEVENTO="Manual",$M39=$A$15)),0,
         IF(OFFSET(CRONOPLE!$F$15,$M39-$A$15,BJ$13)=0,10^12,OFFSET(CRONOPLE!$F$15,$M39-$A$15,BJ$13)))</f>
        <v>8</v>
      </c>
      <c r="BK39" s="171">
        <f ca="1">IF(OR($D39&lt;&gt;"Serviço",AND(AUTOEVENTO="Manual",$M39=$A$15)),0,
         IF(OFFSET(CRONOPLE!$F$15,$M39-$A$15,BK$13)=0,10^12,OFFSET(CRONOPLE!$F$15,$M39-$A$15,BK$13)))</f>
        <v>9</v>
      </c>
      <c r="BL39" s="171">
        <f ca="1">IF(OR($D39&lt;&gt;"Serviço",AND(AUTOEVENTO="Manual",$M39=$A$15)),0,
         IF(OFFSET(CRONOPLE!$F$15,$M39-$A$15,BL$13)=0,10^12,OFFSET(CRONOPLE!$F$15,$M39-$A$15,BL$13)))</f>
        <v>10</v>
      </c>
      <c r="BM39" s="171">
        <f ca="1">IF(OR($D39&lt;&gt;"Serviço",AND(AUTOEVENTO="Manual",$M39=$A$15)),0,
         IF(OFFSET(CRONOPLE!$F$15,$M39-$A$15,BM$13)=0,10^12,OFFSET(CRONOPLE!$F$15,$M39-$A$15,BM$13)))</f>
        <v>1000000000000</v>
      </c>
      <c r="BN39" s="171">
        <f ca="1">IF(OR($D39&lt;&gt;"Serviço",AND(AUTOEVENTO="Manual",$M39=$A$15)),0,
         IF(OFFSET(CRONOPLE!$F$15,$M39-$A$15,BN$13)=0,10^12,OFFSET(CRONOPLE!$F$15,$M39-$A$15,BN$13)))</f>
        <v>1000000000000</v>
      </c>
      <c r="BO39" s="171">
        <f ca="1">IF(OR($D39&lt;&gt;"Serviço",AND(AUTOEVENTO="Manual",$M39=$A$15)),0,
         IF(OFFSET(CRONOPLE!$F$15,$M39-$A$15,BO$13)=0,10^12,OFFSET(CRONOPLE!$F$15,$M39-$A$15,BO$13)))</f>
        <v>1000000000000</v>
      </c>
      <c r="BP39" s="171">
        <f ca="1">IF(OR($D39&lt;&gt;"Serviço",AND(AUTOEVENTO="Manual",$M39=$A$15)),0,
         IF(OFFSET(CRONOPLE!$F$15,$M39-$A$15,BP$13)=0,10^12,OFFSET(CRONOPLE!$F$15,$M39-$A$15,BP$13)))</f>
        <v>1000000000000</v>
      </c>
      <c r="BQ39" s="171">
        <f ca="1">IF(OR($D39&lt;&gt;"Serviço",AND(AUTOEVENTO="Manual",$M39=$A$15)),0,
         IF(OFFSET(CRONOPLE!$F$15,$M39-$A$15,BQ$13)=0,10^12,OFFSET(CRONOPLE!$F$15,$M39-$A$15,BQ$13)))</f>
        <v>1000000000000</v>
      </c>
      <c r="BR39" s="171">
        <f ca="1">IF(OR($D39&lt;&gt;"Serviço",AND(AUTOEVENTO="Manual",$M39=$A$15)),0,
         IF(OFFSET(CRONOPLE!$F$15,$M39-$A$15,BR$13)=0,10^12,OFFSET(CRONOPLE!$F$15,$M39-$A$15,BR$13)))</f>
        <v>1000000000000</v>
      </c>
      <c r="BS39" s="171">
        <f ca="1">IF(OR($D39&lt;&gt;"Serviço",AND(AUTOEVENTO="Manual",$M39=$A$15)),0,
         IF(OFFSET(CRONOPLE!$F$15,$M39-$A$15,BS$13)=0,10^12,OFFSET(CRONOPLE!$F$15,$M39-$A$15,BS$13)))</f>
        <v>1000000000000</v>
      </c>
      <c r="BT39" s="171">
        <f ca="1">IF(OR($D39&lt;&gt;"Serviço",AND(AUTOEVENTO="Manual",$M39=$A$15)),0,
         IF(OFFSET(CRONOPLE!$F$15,$M39-$A$15,BT$13)=0,10^12,OFFSET(CRONOPLE!$F$15,$M39-$A$15,BT$13)))</f>
        <v>1000000000000</v>
      </c>
      <c r="BV39" s="172">
        <f ca="1">IF(OR($D39&lt;&gt;"Serviço",AND(AUTOEVENTO="Manual",$M39=$A$15),$M39&gt;(ROW(PLE.lastrow)-ROW(PLE.firstrow))),0,
           IF(OFFSET(PLE!$G$15,$M39-$A$15,BV$13)="",10^12,OFFSET(PLE!$G$15,$M39-$A$15,BV$13)))</f>
        <v>1000000000000</v>
      </c>
      <c r="BW39" s="172">
        <f ca="1">IF(OR($D39&lt;&gt;"Serviço",AND(AUTOEVENTO="Manual",$M39=$A$15),$M39&gt;(ROW(PLE.lastrow)-ROW(PLE.firstrow))),0,
           IF(OFFSET(PLE!$G$15,$M39-$A$15,BW$13)="",10^12,OFFSET(PLE!$G$15,$M39-$A$15,BW$13)))</f>
        <v>1000000000000</v>
      </c>
      <c r="BX39" s="172">
        <f ca="1">IF(OR($D39&lt;&gt;"Serviço",AND(AUTOEVENTO="Manual",$M39=$A$15),$M39&gt;(ROW(PLE.lastrow)-ROW(PLE.firstrow))),0,
           IF(OFFSET(PLE!$G$15,$M39-$A$15,BX$13)="",10^12,OFFSET(PLE!$G$15,$M39-$A$15,BX$13)))</f>
        <v>1000000000000</v>
      </c>
      <c r="BY39" s="172">
        <f ca="1">IF(OR($D39&lt;&gt;"Serviço",AND(AUTOEVENTO="Manual",$M39=$A$15),$M39&gt;(ROW(PLE.lastrow)-ROW(PLE.firstrow))),0,
           IF(OFFSET(PLE!$G$15,$M39-$A$15,BY$13)="",10^12,OFFSET(PLE!$G$15,$M39-$A$15,BY$13)))</f>
        <v>1000000000000</v>
      </c>
      <c r="BZ39" s="172">
        <f ca="1">IF(OR($D39&lt;&gt;"Serviço",AND(AUTOEVENTO="Manual",$M39=$A$15),$M39&gt;(ROW(PLE.lastrow)-ROW(PLE.firstrow))),0,
           IF(OFFSET(PLE!$G$15,$M39-$A$15,BZ$13)="",10^12,OFFSET(PLE!$G$15,$M39-$A$15,BZ$13)))</f>
        <v>1000000000000</v>
      </c>
      <c r="CA39" s="172">
        <f ca="1">IF(OR($D39&lt;&gt;"Serviço",AND(AUTOEVENTO="Manual",$M39=$A$15),$M39&gt;(ROW(PLE.lastrow)-ROW(PLE.firstrow))),0,
           IF(OFFSET(PLE!$G$15,$M39-$A$15,CA$13)="",10^12,OFFSET(PLE!$G$15,$M39-$A$15,CA$13)))</f>
        <v>1000000000000</v>
      </c>
      <c r="CB39" s="172">
        <f ca="1">IF(OR($D39&lt;&gt;"Serviço",AND(AUTOEVENTO="Manual",$M39=$A$15),$M39&gt;(ROW(PLE.lastrow)-ROW(PLE.firstrow))),0,
           IF(OFFSET(PLE!$G$15,$M39-$A$15,CB$13)="",10^12,OFFSET(PLE!$G$15,$M39-$A$15,CB$13)))</f>
        <v>1000000000000</v>
      </c>
      <c r="CC39" s="172">
        <f ca="1">IF(OR($D39&lt;&gt;"Serviço",AND(AUTOEVENTO="Manual",$M39=$A$15),$M39&gt;(ROW(PLE.lastrow)-ROW(PLE.firstrow))),0,
           IF(OFFSET(PLE!$G$15,$M39-$A$15,CC$13)="",10^12,OFFSET(PLE!$G$15,$M39-$A$15,CC$13)))</f>
        <v>1000000000000</v>
      </c>
      <c r="CD39" s="172">
        <f ca="1">IF(OR($D39&lt;&gt;"Serviço",AND(AUTOEVENTO="Manual",$M39=$A$15),$M39&gt;(ROW(PLE.lastrow)-ROW(PLE.firstrow))),0,
           IF(OFFSET(PLE!$G$15,$M39-$A$15,CD$13)="",10^12,OFFSET(PLE!$G$15,$M39-$A$15,CD$13)))</f>
        <v>1000000000000</v>
      </c>
      <c r="CE39" s="172">
        <f ca="1">IF(OR($D39&lt;&gt;"Serviço",AND(AUTOEVENTO="Manual",$M39=$A$15),$M39&gt;(ROW(PLE.lastrow)-ROW(PLE.firstrow))),0,
           IF(OFFSET(PLE!$G$15,$M39-$A$15,CE$13)="",10^12,OFFSET(PLE!$G$15,$M39-$A$15,CE$13)))</f>
        <v>1000000000000</v>
      </c>
      <c r="CF39" s="172">
        <f ca="1">IF(OR($D39&lt;&gt;"Serviço",AND(AUTOEVENTO="Manual",$M39=$A$15),$M39&gt;(ROW(PLE.lastrow)-ROW(PLE.firstrow))),0,
           IF(OFFSET(PLE!$G$15,$M39-$A$15,CF$13)="",10^12,OFFSET(PLE!$G$15,$M39-$A$15,CF$13)))</f>
        <v>1000000000000</v>
      </c>
      <c r="CG39" s="172">
        <f ca="1">IF(OR($D39&lt;&gt;"Serviço",AND(AUTOEVENTO="Manual",$M39=$A$15),$M39&gt;(ROW(PLE.lastrow)-ROW(PLE.firstrow))),0,
           IF(OFFSET(PLE!$G$15,$M39-$A$15,CG$13)="",10^12,OFFSET(PLE!$G$15,$M39-$A$15,CG$13)))</f>
        <v>1000000000000</v>
      </c>
      <c r="CH39" s="172">
        <f ca="1">IF(OR($D39&lt;&gt;"Serviço",AND(AUTOEVENTO="Manual",$M39=$A$15),$M39&gt;(ROW(PLE.lastrow)-ROW(PLE.firstrow))),0,
           IF(OFFSET(PLE!$G$15,$M39-$A$15,CH$13)="",10^12,OFFSET(PLE!$G$15,$M39-$A$15,CH$13)))</f>
        <v>1000000000000</v>
      </c>
      <c r="CI39" s="172">
        <f ca="1">IF(OR($D39&lt;&gt;"Serviço",AND(AUTOEVENTO="Manual",$M39=$A$15),$M39&gt;(ROW(PLE.lastrow)-ROW(PLE.firstrow))),0,
           IF(OFFSET(PLE!$G$15,$M39-$A$15,CI$13)="",10^12,OFFSET(PLE!$G$15,$M39-$A$15,CI$13)))</f>
        <v>1000000000000</v>
      </c>
      <c r="CJ39" s="172">
        <f ca="1">IF(OR($D39&lt;&gt;"Serviço",AND(AUTOEVENTO="Manual",$M39=$A$15),$M39&gt;(ROW(PLE.lastrow)-ROW(PLE.firstrow))),0,
           IF(OFFSET(PLE!$G$15,$M39-$A$15,CJ$13)="",10^12,OFFSET(PLE!$G$15,$M39-$A$15,CJ$13)))</f>
        <v>1000000000000</v>
      </c>
      <c r="CK39" s="172">
        <f ca="1">IF(OR($D39&lt;&gt;"Serviço",AND(AUTOEVENTO="Manual",$M39=$A$15),$M39&gt;(ROW(PLE.lastrow)-ROW(PLE.firstrow))),0,
           IF(OFFSET(PLE!$G$15,$M39-$A$15,CK$13)="",10^12,OFFSET(PLE!$G$15,$M39-$A$15,CK$13)))</f>
        <v>1000000000000</v>
      </c>
      <c r="CL39" s="172">
        <f ca="1">IF(OR($D39&lt;&gt;"Serviço",AND(AUTOEVENTO="Manual",$M39=$A$15),$M39&gt;(ROW(PLE.lastrow)-ROW(PLE.firstrow))),0,
           IF(OFFSET(PLE!$G$15,$M39-$A$15,CL$13)="",10^12,OFFSET(PLE!$G$15,$M39-$A$15,CL$13)))</f>
        <v>1000000000000</v>
      </c>
      <c r="CM39" s="172">
        <f ca="1">IF(OR($D39&lt;&gt;"Serviço",AND(AUTOEVENTO="Manual",$M39=$A$15),$M39&gt;(ROW(PLE.lastrow)-ROW(PLE.firstrow))),0,
           IF(OFFSET(PLE!$G$15,$M39-$A$15,CM$13)="",10^12,OFFSET(PLE!$G$15,$M39-$A$15,CM$13)))</f>
        <v>1000000000000</v>
      </c>
    </row>
    <row r="40" spans="1:91" ht="51" x14ac:dyDescent="0.2">
      <c r="A40" s="7">
        <f t="shared" ca="1" si="10"/>
        <v>2</v>
      </c>
      <c r="B40" s="7" t="str">
        <f ca="1">OFFSET(ORÇAMENTO!C$15,ROW(B40)-ROW(B$15),0)</f>
        <v>S</v>
      </c>
      <c r="C40" s="7" t="str">
        <f ca="1">OFFSET(ORÇAMENTO!L$15,ROW(C40)-ROW(C$15),0)</f>
        <v>F</v>
      </c>
      <c r="D40" s="116" t="str">
        <f ca="1">OFFSET(ORÇAMENTO!N$15,ROW(D40)-ROW(D$15),0)</f>
        <v>Serviço</v>
      </c>
      <c r="E40" s="117" t="str">
        <f ca="1">OFFSET(ORÇAMENTO!O$15,ROW(E40)-ROW(E$15),0)</f>
        <v>1.3.2.0.10.</v>
      </c>
      <c r="F40" s="163" t="str">
        <f ca="1">OFFSET(ORÇAMENTO!R$15,ROW(F40)-ROW(F$15),0)</f>
        <v>LIGAÇÃO DE ÁGUA PROVISÓRIA PARA CANTEIRO,  INCLUSIVE HIDRÔMETRO E CAVALETE PARA MEDIÇÃO DE ÁGUA - ENTRADA PRINCIPAL, EM AÇO GALVANIZADO DN 20MM (1/2") - PADRÃO CONCESSIONÁRIA</v>
      </c>
      <c r="G40" s="164" t="str">
        <f ca="1">IF($D40&lt;&gt;"Serviço","",OFFSET(ORÇAMENTO!S$15,ROW(G40)-ROW(G$15),0))</f>
        <v>UN</v>
      </c>
      <c r="H40" s="122" cm="1">
        <f t="array" aca="1" ref="H40" ca="1">IF($D40&lt;&gt;"Serviço",0,IF(ACOMPANHAMENTO="BM",ROUND(OFFSET(ORÇAMENTO!AJ$15,ROW(H40)-ROW(H$15),0),15-13*ORÇAMENTO!$AF$7),SUMPRODUCT(($Q$1:$AI$1=1)*ROUND($Q40:$AI40,15-13*ORÇAMENTO!$AF$7))))</f>
        <v>1</v>
      </c>
      <c r="I40" s="468" t="s">
        <v>1291</v>
      </c>
      <c r="J40" s="640" t="str" cm="1">
        <f t="array" aca="1" ref="J40" ca="1">IF(OR(B40&lt;&gt;"S",CÁLCULO.FrentesPreenchidas=0),"",IF(AND(ACOMPANHAMENTO="PLE",AUTOEVENTO="Manual",OR(H40&gt;0,ORÇAMENTO!AC40="QUANT."),OR(K40="",M40=0,N40="")),"►E",IF(AND(ACOMPANHAMENTO="PLE",ORÇAMENTO!AC40="QUANT."),"►Q",IF(AND(ACOMPANHAMENTO="PLE",H40&lt;&gt;SUMPRODUCT(($Q$1:$AI$1=1)*ROUND(Q40:AI40,15))),"►S",IF(AND(COUNTIF($P$11:$AI$11,"▼")=0,H40&gt;0,I40=""),"◄M","")))))</f>
        <v/>
      </c>
      <c r="K40" s="641" t="s">
        <v>1387</v>
      </c>
      <c r="L40" s="165" t="s">
        <v>764</v>
      </c>
      <c r="M40" s="166">
        <f ca="1">IF($D40&lt;&gt;"Serviço","",
          IF(AUTOEVENTO="manual",$A40,
                IF(ISERROR(MATCH($A40,$A$15:OFFSET($A40,-1,0),0)),MAX($M$15:OFFSET(M40,-1,0))+1,
                      INDEX($M$15:OFFSET(M40,-1,0),MATCH($A40,$A$15:OFFSET($A40,-1,0),0)))))</f>
        <v>2</v>
      </c>
      <c r="N40" s="167" t="str">
        <f ca="1">IF($D40&lt;&gt;"Serviço","",
         IF(AUTOEVENTO="Manual",
                IF($A40=0,"&lt;-- defina o número do agrupador",
                       OFFSET(EVENTOS!$D$15,$A40-$A$15,0)),
                OFFSET($F$15,$A40,0)))</f>
        <v>Serviços Iniciais</v>
      </c>
      <c r="O40" s="168"/>
      <c r="Q40" s="168">
        <v>1</v>
      </c>
      <c r="R40" s="169"/>
      <c r="S40" s="169"/>
      <c r="T40" s="169"/>
      <c r="U40" s="169"/>
      <c r="V40" s="169"/>
      <c r="W40" s="169"/>
      <c r="X40" s="169"/>
      <c r="Y40" s="169"/>
      <c r="Z40" s="170"/>
      <c r="AA40" s="169"/>
      <c r="AB40" s="169"/>
      <c r="AC40" s="169"/>
      <c r="AD40" s="169"/>
      <c r="AE40" s="169"/>
      <c r="AF40" s="169"/>
      <c r="AG40" s="169"/>
      <c r="AH40" s="170"/>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L40" s="453">
        <f ca="1">IF(AND($D40="Serviço",AL$12&lt;&gt;0,$H40&gt;0,OR(AUTOEVENTO&lt;&gt;"manual",$M40&lt;&gt;$A$15)),
        IF(Import.TipoArredondamento&lt;&gt;"TransfereGOV",
              ROUND(OFFSET($P40,0,AL$13),15-13*ORÇAMENTO!$AF$7)/$H40*OFFSET(ORÇAMENTO!$X$15,ROW(AL40)-ROW(AL$15),0),
              ROUND(ROUND(OFFSET($P40,0,AL$13),15-13*ORÇAMENTO!$AF$7)*OFFSET(ORÇAMENTO!$W$15,ROW(AL40)-ROW(AL$15),0),15-13*ORÇAMENTO!$AF$11)),
         0)</f>
        <v>0</v>
      </c>
      <c r="AM40" s="453">
        <f ca="1">IF(AND($D40="Serviço",AM$12&lt;&gt;0,$H40&gt;0,OR(AUTOEVENTO&lt;&gt;"manual",$M40&lt;&gt;$A$15)),
        IF(Import.TipoArredondamento&lt;&gt;"TransfereGOV",
              ROUND(OFFSET($P40,0,AM$13),15-13*ORÇAMENTO!$AF$7)/$H40*OFFSET(ORÇAMENTO!$X$15,ROW(AM40)-ROW(AM$15),0),
              ROUND(ROUND(OFFSET($P40,0,AM$13),15-13*ORÇAMENTO!$AF$7)*OFFSET(ORÇAMENTO!$W$15,ROW(AM40)-ROW(AM$15),0),15-13*ORÇAMENTO!$AF$11)),
         0)</f>
        <v>0</v>
      </c>
      <c r="AN40" s="453">
        <f ca="1">IF(AND($D40="Serviço",AN$12&lt;&gt;0,$H40&gt;0,OR(AUTOEVENTO&lt;&gt;"manual",$M40&lt;&gt;$A$15)),
        IF(Import.TipoArredondamento&lt;&gt;"TransfereGOV",
              ROUND(OFFSET($P40,0,AN$13),15-13*ORÇAMENTO!$AF$7)/$H40*OFFSET(ORÇAMENTO!$X$15,ROW(AN40)-ROW(AN$15),0),
              ROUND(ROUND(OFFSET($P40,0,AN$13),15-13*ORÇAMENTO!$AF$7)*OFFSET(ORÇAMENTO!$W$15,ROW(AN40)-ROW(AN$15),0),15-13*ORÇAMENTO!$AF$11)),
         0)</f>
        <v>0</v>
      </c>
      <c r="AO40" s="453">
        <f ca="1">IF(AND($D40="Serviço",AO$12&lt;&gt;0,$H40&gt;0,OR(AUTOEVENTO&lt;&gt;"manual",$M40&lt;&gt;$A$15)),
        IF(Import.TipoArredondamento&lt;&gt;"TransfereGOV",
              ROUND(OFFSET($P40,0,AO$13),15-13*ORÇAMENTO!$AF$7)/$H40*OFFSET(ORÇAMENTO!$X$15,ROW(AO40)-ROW(AO$15),0),
              ROUND(ROUND(OFFSET($P40,0,AO$13),15-13*ORÇAMENTO!$AF$7)*OFFSET(ORÇAMENTO!$W$15,ROW(AO40)-ROW(AO$15),0),15-13*ORÇAMENTO!$AF$11)),
         0)</f>
        <v>0</v>
      </c>
      <c r="AP40" s="453">
        <f ca="1">IF(AND($D40="Serviço",AP$12&lt;&gt;0,$H40&gt;0,OR(AUTOEVENTO&lt;&gt;"manual",$M40&lt;&gt;$A$15)),
        IF(Import.TipoArredondamento&lt;&gt;"TransfereGOV",
              ROUND(OFFSET($P40,0,AP$13),15-13*ORÇAMENTO!$AF$7)/$H40*OFFSET(ORÇAMENTO!$X$15,ROW(AP40)-ROW(AP$15),0),
              ROUND(ROUND(OFFSET($P40,0,AP$13),15-13*ORÇAMENTO!$AF$7)*OFFSET(ORÇAMENTO!$W$15,ROW(AP40)-ROW(AP$15),0),15-13*ORÇAMENTO!$AF$11)),
         0)</f>
        <v>0</v>
      </c>
      <c r="AQ40" s="453">
        <f ca="1">IF(AND($D40="Serviço",AQ$12&lt;&gt;0,$H40&gt;0,OR(AUTOEVENTO&lt;&gt;"manual",$M40&lt;&gt;$A$15)),
        IF(Import.TipoArredondamento&lt;&gt;"TransfereGOV",
              ROUND(OFFSET($P40,0,AQ$13),15-13*ORÇAMENTO!$AF$7)/$H40*OFFSET(ORÇAMENTO!$X$15,ROW(AQ40)-ROW(AQ$15),0),
              ROUND(ROUND(OFFSET($P40,0,AQ$13),15-13*ORÇAMENTO!$AF$7)*OFFSET(ORÇAMENTO!$W$15,ROW(AQ40)-ROW(AQ$15),0),15-13*ORÇAMENTO!$AF$11)),
         0)</f>
        <v>0</v>
      </c>
      <c r="AR40" s="453">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3">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3">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3">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3">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3">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3">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3">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3">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3">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C40" s="171">
        <f ca="1">IF(OR($D40&lt;&gt;"Serviço",AND(AUTOEVENTO="Manual",$M40=$A$15)),0,
         IF(OFFSET(CRONOPLE!$F$15,$M40-$A$15,BC$13)=0,10^12,OFFSET(CRONOPLE!$F$15,$M40-$A$15,BC$13)))</f>
        <v>1</v>
      </c>
      <c r="BD40" s="171">
        <f ca="1">IF(OR($D40&lt;&gt;"Serviço",AND(AUTOEVENTO="Manual",$M40=$A$15)),0,
         IF(OFFSET(CRONOPLE!$F$15,$M40-$A$15,BD$13)=0,10^12,OFFSET(CRONOPLE!$F$15,$M40-$A$15,BD$13)))</f>
        <v>2</v>
      </c>
      <c r="BE40" s="171">
        <f ca="1">IF(OR($D40&lt;&gt;"Serviço",AND(AUTOEVENTO="Manual",$M40=$A$15)),0,
         IF(OFFSET(CRONOPLE!$F$15,$M40-$A$15,BE$13)=0,10^12,OFFSET(CRONOPLE!$F$15,$M40-$A$15,BE$13)))</f>
        <v>3</v>
      </c>
      <c r="BF40" s="171">
        <f ca="1">IF(OR($D40&lt;&gt;"Serviço",AND(AUTOEVENTO="Manual",$M40=$A$15)),0,
         IF(OFFSET(CRONOPLE!$F$15,$M40-$A$15,BF$13)=0,10^12,OFFSET(CRONOPLE!$F$15,$M40-$A$15,BF$13)))</f>
        <v>4</v>
      </c>
      <c r="BG40" s="171">
        <f ca="1">IF(OR($D40&lt;&gt;"Serviço",AND(AUTOEVENTO="Manual",$M40=$A$15)),0,
         IF(OFFSET(CRONOPLE!$F$15,$M40-$A$15,BG$13)=0,10^12,OFFSET(CRONOPLE!$F$15,$M40-$A$15,BG$13)))</f>
        <v>5</v>
      </c>
      <c r="BH40" s="171">
        <f ca="1">IF(OR($D40&lt;&gt;"Serviço",AND(AUTOEVENTO="Manual",$M40=$A$15)),0,
         IF(OFFSET(CRONOPLE!$F$15,$M40-$A$15,BH$13)=0,10^12,OFFSET(CRONOPLE!$F$15,$M40-$A$15,BH$13)))</f>
        <v>6</v>
      </c>
      <c r="BI40" s="171">
        <f ca="1">IF(OR($D40&lt;&gt;"Serviço",AND(AUTOEVENTO="Manual",$M40=$A$15)),0,
         IF(OFFSET(CRONOPLE!$F$15,$M40-$A$15,BI$13)=0,10^12,OFFSET(CRONOPLE!$F$15,$M40-$A$15,BI$13)))</f>
        <v>7</v>
      </c>
      <c r="BJ40" s="171">
        <f ca="1">IF(OR($D40&lt;&gt;"Serviço",AND(AUTOEVENTO="Manual",$M40=$A$15)),0,
         IF(OFFSET(CRONOPLE!$F$15,$M40-$A$15,BJ$13)=0,10^12,OFFSET(CRONOPLE!$F$15,$M40-$A$15,BJ$13)))</f>
        <v>8</v>
      </c>
      <c r="BK40" s="171">
        <f ca="1">IF(OR($D40&lt;&gt;"Serviço",AND(AUTOEVENTO="Manual",$M40=$A$15)),0,
         IF(OFFSET(CRONOPLE!$F$15,$M40-$A$15,BK$13)=0,10^12,OFFSET(CRONOPLE!$F$15,$M40-$A$15,BK$13)))</f>
        <v>9</v>
      </c>
      <c r="BL40" s="171">
        <f ca="1">IF(OR($D40&lt;&gt;"Serviço",AND(AUTOEVENTO="Manual",$M40=$A$15)),0,
         IF(OFFSET(CRONOPLE!$F$15,$M40-$A$15,BL$13)=0,10^12,OFFSET(CRONOPLE!$F$15,$M40-$A$15,BL$13)))</f>
        <v>10</v>
      </c>
      <c r="BM40" s="171">
        <f ca="1">IF(OR($D40&lt;&gt;"Serviço",AND(AUTOEVENTO="Manual",$M40=$A$15)),0,
         IF(OFFSET(CRONOPLE!$F$15,$M40-$A$15,BM$13)=0,10^12,OFFSET(CRONOPLE!$F$15,$M40-$A$15,BM$13)))</f>
        <v>1000000000000</v>
      </c>
      <c r="BN40" s="171">
        <f ca="1">IF(OR($D40&lt;&gt;"Serviço",AND(AUTOEVENTO="Manual",$M40=$A$15)),0,
         IF(OFFSET(CRONOPLE!$F$15,$M40-$A$15,BN$13)=0,10^12,OFFSET(CRONOPLE!$F$15,$M40-$A$15,BN$13)))</f>
        <v>1000000000000</v>
      </c>
      <c r="BO40" s="171">
        <f ca="1">IF(OR($D40&lt;&gt;"Serviço",AND(AUTOEVENTO="Manual",$M40=$A$15)),0,
         IF(OFFSET(CRONOPLE!$F$15,$M40-$A$15,BO$13)=0,10^12,OFFSET(CRONOPLE!$F$15,$M40-$A$15,BO$13)))</f>
        <v>1000000000000</v>
      </c>
      <c r="BP40" s="171">
        <f ca="1">IF(OR($D40&lt;&gt;"Serviço",AND(AUTOEVENTO="Manual",$M40=$A$15)),0,
         IF(OFFSET(CRONOPLE!$F$15,$M40-$A$15,BP$13)=0,10^12,OFFSET(CRONOPLE!$F$15,$M40-$A$15,BP$13)))</f>
        <v>1000000000000</v>
      </c>
      <c r="BQ40" s="171">
        <f ca="1">IF(OR($D40&lt;&gt;"Serviço",AND(AUTOEVENTO="Manual",$M40=$A$15)),0,
         IF(OFFSET(CRONOPLE!$F$15,$M40-$A$15,BQ$13)=0,10^12,OFFSET(CRONOPLE!$F$15,$M40-$A$15,BQ$13)))</f>
        <v>1000000000000</v>
      </c>
      <c r="BR40" s="171">
        <f ca="1">IF(OR($D40&lt;&gt;"Serviço",AND(AUTOEVENTO="Manual",$M40=$A$15)),0,
         IF(OFFSET(CRONOPLE!$F$15,$M40-$A$15,BR$13)=0,10^12,OFFSET(CRONOPLE!$F$15,$M40-$A$15,BR$13)))</f>
        <v>1000000000000</v>
      </c>
      <c r="BS40" s="171">
        <f ca="1">IF(OR($D40&lt;&gt;"Serviço",AND(AUTOEVENTO="Manual",$M40=$A$15)),0,
         IF(OFFSET(CRONOPLE!$F$15,$M40-$A$15,BS$13)=0,10^12,OFFSET(CRONOPLE!$F$15,$M40-$A$15,BS$13)))</f>
        <v>1000000000000</v>
      </c>
      <c r="BT40" s="171">
        <f ca="1">IF(OR($D40&lt;&gt;"Serviço",AND(AUTOEVENTO="Manual",$M40=$A$15)),0,
         IF(OFFSET(CRONOPLE!$F$15,$M40-$A$15,BT$13)=0,10^12,OFFSET(CRONOPLE!$F$15,$M40-$A$15,BT$13)))</f>
        <v>1000000000000</v>
      </c>
      <c r="BV40" s="172">
        <f ca="1">IF(OR($D40&lt;&gt;"Serviço",AND(AUTOEVENTO="Manual",$M40=$A$15),$M40&gt;(ROW(PLE.lastrow)-ROW(PLE.firstrow))),0,
           IF(OFFSET(PLE!$G$15,$M40-$A$15,BV$13)="",10^12,OFFSET(PLE!$G$15,$M40-$A$15,BV$13)))</f>
        <v>1000000000000</v>
      </c>
      <c r="BW40" s="172">
        <f ca="1">IF(OR($D40&lt;&gt;"Serviço",AND(AUTOEVENTO="Manual",$M40=$A$15),$M40&gt;(ROW(PLE.lastrow)-ROW(PLE.firstrow))),0,
           IF(OFFSET(PLE!$G$15,$M40-$A$15,BW$13)="",10^12,OFFSET(PLE!$G$15,$M40-$A$15,BW$13)))</f>
        <v>1000000000000</v>
      </c>
      <c r="BX40" s="172">
        <f ca="1">IF(OR($D40&lt;&gt;"Serviço",AND(AUTOEVENTO="Manual",$M40=$A$15),$M40&gt;(ROW(PLE.lastrow)-ROW(PLE.firstrow))),0,
           IF(OFFSET(PLE!$G$15,$M40-$A$15,BX$13)="",10^12,OFFSET(PLE!$G$15,$M40-$A$15,BX$13)))</f>
        <v>1000000000000</v>
      </c>
      <c r="BY40" s="172">
        <f ca="1">IF(OR($D40&lt;&gt;"Serviço",AND(AUTOEVENTO="Manual",$M40=$A$15),$M40&gt;(ROW(PLE.lastrow)-ROW(PLE.firstrow))),0,
           IF(OFFSET(PLE!$G$15,$M40-$A$15,BY$13)="",10^12,OFFSET(PLE!$G$15,$M40-$A$15,BY$13)))</f>
        <v>1000000000000</v>
      </c>
      <c r="BZ40" s="172">
        <f ca="1">IF(OR($D40&lt;&gt;"Serviço",AND(AUTOEVENTO="Manual",$M40=$A$15),$M40&gt;(ROW(PLE.lastrow)-ROW(PLE.firstrow))),0,
           IF(OFFSET(PLE!$G$15,$M40-$A$15,BZ$13)="",10^12,OFFSET(PLE!$G$15,$M40-$A$15,BZ$13)))</f>
        <v>1000000000000</v>
      </c>
      <c r="CA40" s="172">
        <f ca="1">IF(OR($D40&lt;&gt;"Serviço",AND(AUTOEVENTO="Manual",$M40=$A$15),$M40&gt;(ROW(PLE.lastrow)-ROW(PLE.firstrow))),0,
           IF(OFFSET(PLE!$G$15,$M40-$A$15,CA$13)="",10^12,OFFSET(PLE!$G$15,$M40-$A$15,CA$13)))</f>
        <v>1000000000000</v>
      </c>
      <c r="CB40" s="172">
        <f ca="1">IF(OR($D40&lt;&gt;"Serviço",AND(AUTOEVENTO="Manual",$M40=$A$15),$M40&gt;(ROW(PLE.lastrow)-ROW(PLE.firstrow))),0,
           IF(OFFSET(PLE!$G$15,$M40-$A$15,CB$13)="",10^12,OFFSET(PLE!$G$15,$M40-$A$15,CB$13)))</f>
        <v>1000000000000</v>
      </c>
      <c r="CC40" s="172">
        <f ca="1">IF(OR($D40&lt;&gt;"Serviço",AND(AUTOEVENTO="Manual",$M40=$A$15),$M40&gt;(ROW(PLE.lastrow)-ROW(PLE.firstrow))),0,
           IF(OFFSET(PLE!$G$15,$M40-$A$15,CC$13)="",10^12,OFFSET(PLE!$G$15,$M40-$A$15,CC$13)))</f>
        <v>1000000000000</v>
      </c>
      <c r="CD40" s="172">
        <f ca="1">IF(OR($D40&lt;&gt;"Serviço",AND(AUTOEVENTO="Manual",$M40=$A$15),$M40&gt;(ROW(PLE.lastrow)-ROW(PLE.firstrow))),0,
           IF(OFFSET(PLE!$G$15,$M40-$A$15,CD$13)="",10^12,OFFSET(PLE!$G$15,$M40-$A$15,CD$13)))</f>
        <v>1000000000000</v>
      </c>
      <c r="CE40" s="172">
        <f ca="1">IF(OR($D40&lt;&gt;"Serviço",AND(AUTOEVENTO="Manual",$M40=$A$15),$M40&gt;(ROW(PLE.lastrow)-ROW(PLE.firstrow))),0,
           IF(OFFSET(PLE!$G$15,$M40-$A$15,CE$13)="",10^12,OFFSET(PLE!$G$15,$M40-$A$15,CE$13)))</f>
        <v>1000000000000</v>
      </c>
      <c r="CF40" s="172">
        <f ca="1">IF(OR($D40&lt;&gt;"Serviço",AND(AUTOEVENTO="Manual",$M40=$A$15),$M40&gt;(ROW(PLE.lastrow)-ROW(PLE.firstrow))),0,
           IF(OFFSET(PLE!$G$15,$M40-$A$15,CF$13)="",10^12,OFFSET(PLE!$G$15,$M40-$A$15,CF$13)))</f>
        <v>1000000000000</v>
      </c>
      <c r="CG40" s="172">
        <f ca="1">IF(OR($D40&lt;&gt;"Serviço",AND(AUTOEVENTO="Manual",$M40=$A$15),$M40&gt;(ROW(PLE.lastrow)-ROW(PLE.firstrow))),0,
           IF(OFFSET(PLE!$G$15,$M40-$A$15,CG$13)="",10^12,OFFSET(PLE!$G$15,$M40-$A$15,CG$13)))</f>
        <v>1000000000000</v>
      </c>
      <c r="CH40" s="172">
        <f ca="1">IF(OR($D40&lt;&gt;"Serviço",AND(AUTOEVENTO="Manual",$M40=$A$15),$M40&gt;(ROW(PLE.lastrow)-ROW(PLE.firstrow))),0,
           IF(OFFSET(PLE!$G$15,$M40-$A$15,CH$13)="",10^12,OFFSET(PLE!$G$15,$M40-$A$15,CH$13)))</f>
        <v>1000000000000</v>
      </c>
      <c r="CI40" s="172">
        <f ca="1">IF(OR($D40&lt;&gt;"Serviço",AND(AUTOEVENTO="Manual",$M40=$A$15),$M40&gt;(ROW(PLE.lastrow)-ROW(PLE.firstrow))),0,
           IF(OFFSET(PLE!$G$15,$M40-$A$15,CI$13)="",10^12,OFFSET(PLE!$G$15,$M40-$A$15,CI$13)))</f>
        <v>1000000000000</v>
      </c>
      <c r="CJ40" s="172">
        <f ca="1">IF(OR($D40&lt;&gt;"Serviço",AND(AUTOEVENTO="Manual",$M40=$A$15),$M40&gt;(ROW(PLE.lastrow)-ROW(PLE.firstrow))),0,
           IF(OFFSET(PLE!$G$15,$M40-$A$15,CJ$13)="",10^12,OFFSET(PLE!$G$15,$M40-$A$15,CJ$13)))</f>
        <v>1000000000000</v>
      </c>
      <c r="CK40" s="172">
        <f ca="1">IF(OR($D40&lt;&gt;"Serviço",AND(AUTOEVENTO="Manual",$M40=$A$15),$M40&gt;(ROW(PLE.lastrow)-ROW(PLE.firstrow))),0,
           IF(OFFSET(PLE!$G$15,$M40-$A$15,CK$13)="",10^12,OFFSET(PLE!$G$15,$M40-$A$15,CK$13)))</f>
        <v>1000000000000</v>
      </c>
      <c r="CL40" s="172">
        <f ca="1">IF(OR($D40&lt;&gt;"Serviço",AND(AUTOEVENTO="Manual",$M40=$A$15),$M40&gt;(ROW(PLE.lastrow)-ROW(PLE.firstrow))),0,
           IF(OFFSET(PLE!$G$15,$M40-$A$15,CL$13)="",10^12,OFFSET(PLE!$G$15,$M40-$A$15,CL$13)))</f>
        <v>1000000000000</v>
      </c>
      <c r="CM40" s="172">
        <f ca="1">IF(OR($D40&lt;&gt;"Serviço",AND(AUTOEVENTO="Manual",$M40=$A$15),$M40&gt;(ROW(PLE.lastrow)-ROW(PLE.firstrow))),0,
           IF(OFFSET(PLE!$G$15,$M40-$A$15,CM$13)="",10^12,OFFSET(PLE!$G$15,$M40-$A$15,CM$13)))</f>
        <v>1000000000000</v>
      </c>
    </row>
    <row r="41" spans="1:91" ht="51" x14ac:dyDescent="0.2">
      <c r="A41" s="7">
        <f t="shared" ca="1" si="10"/>
        <v>2</v>
      </c>
      <c r="B41" s="7" t="str">
        <f ca="1">OFFSET(ORÇAMENTO!C$15,ROW(B41)-ROW(B$15),0)</f>
        <v>S</v>
      </c>
      <c r="C41" s="7" t="str">
        <f ca="1">OFFSET(ORÇAMENTO!L$15,ROW(C41)-ROW(C$15),0)</f>
        <v>F</v>
      </c>
      <c r="D41" s="116" t="str">
        <f ca="1">OFFSET(ORÇAMENTO!N$15,ROW(D41)-ROW(D$15),0)</f>
        <v>Serviço</v>
      </c>
      <c r="E41" s="117" t="str">
        <f ca="1">OFFSET(ORÇAMENTO!O$15,ROW(E41)-ROW(E$15),0)</f>
        <v>1.3.2.0.11.</v>
      </c>
      <c r="F41" s="163" t="str">
        <f ca="1">OFFSET(ORÇAMENTO!R$15,ROW(F41)-ROW(F$15),0)</f>
        <v>LIGAÇÃO PROVISÓRIA COM ENTRADA DE ENERGIA AÉREA, PADRÃO CEMIG, CARGA INSTALADA DE 15,1KVA ATÉ 30KVA, TRIFÁSICO, COM SAÍDA SUBTERRÂNEA, INCLUSIVE POSTE, CAIXA PARA MEDIDOR, DISJUNTOR, BARRAMENTO, ATERRAMENTO E ACESSÓRIOS</v>
      </c>
      <c r="G41" s="164" t="str">
        <f ca="1">IF($D41&lt;&gt;"Serviço","",OFFSET(ORÇAMENTO!S$15,ROW(G41)-ROW(G$15),0))</f>
        <v>UN</v>
      </c>
      <c r="H41" s="122" cm="1">
        <f t="array" aca="1" ref="H41" ca="1">IF($D41&lt;&gt;"Serviço",0,IF(ACOMPANHAMENTO="BM",ROUND(OFFSET(ORÇAMENTO!AJ$15,ROW(H41)-ROW(H$15),0),15-13*ORÇAMENTO!$AF$7),SUMPRODUCT(($Q$1:$AI$1=1)*ROUND($Q41:$AI41,15-13*ORÇAMENTO!$AF$7))))</f>
        <v>1</v>
      </c>
      <c r="I41" s="468" t="s">
        <v>1291</v>
      </c>
      <c r="J41" s="640" t="str" cm="1">
        <f t="array" aca="1" ref="J41" ca="1">IF(OR(B41&lt;&gt;"S",CÁLCULO.FrentesPreenchidas=0),"",IF(AND(ACOMPANHAMENTO="PLE",AUTOEVENTO="Manual",OR(H41&gt;0,ORÇAMENTO!AC41="QUANT."),OR(K41="",M41=0,N41="")),"►E",IF(AND(ACOMPANHAMENTO="PLE",ORÇAMENTO!AC41="QUANT."),"►Q",IF(AND(ACOMPANHAMENTO="PLE",H41&lt;&gt;SUMPRODUCT(($Q$1:$AI$1=1)*ROUND(Q41:AI41,15))),"►S",IF(AND(COUNTIF($P$11:$AI$11,"▼")=0,H41&gt;0,I41=""),"◄M","")))))</f>
        <v/>
      </c>
      <c r="K41" s="641" t="s">
        <v>1387</v>
      </c>
      <c r="L41" s="165" t="s">
        <v>764</v>
      </c>
      <c r="M41" s="166">
        <f ca="1">IF($D41&lt;&gt;"Serviço","",
          IF(AUTOEVENTO="manual",$A41,
                IF(ISERROR(MATCH($A41,$A$15:OFFSET($A41,-1,0),0)),MAX($M$15:OFFSET(M41,-1,0))+1,
                      INDEX($M$15:OFFSET(M41,-1,0),MATCH($A41,$A$15:OFFSET($A41,-1,0),0)))))</f>
        <v>2</v>
      </c>
      <c r="N41" s="167" t="str">
        <f ca="1">IF($D41&lt;&gt;"Serviço","",
         IF(AUTOEVENTO="Manual",
                IF($A41=0,"&lt;-- defina o número do agrupador",
                       OFFSET(EVENTOS!$D$15,$A41-$A$15,0)),
                OFFSET($F$15,$A41,0)))</f>
        <v>Serviços Iniciais</v>
      </c>
      <c r="O41" s="168"/>
      <c r="Q41" s="168">
        <v>1</v>
      </c>
      <c r="R41" s="169"/>
      <c r="S41" s="169"/>
      <c r="T41" s="169"/>
      <c r="U41" s="169"/>
      <c r="V41" s="169"/>
      <c r="W41" s="169"/>
      <c r="X41" s="169"/>
      <c r="Y41" s="169"/>
      <c r="Z41" s="170"/>
      <c r="AA41" s="169"/>
      <c r="AB41" s="169"/>
      <c r="AC41" s="169"/>
      <c r="AD41" s="169"/>
      <c r="AE41" s="169"/>
      <c r="AF41" s="169"/>
      <c r="AG41" s="169"/>
      <c r="AH41" s="170"/>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L41" s="453">
        <f ca="1">IF(AND($D41="Serviço",AL$12&lt;&gt;0,$H41&gt;0,OR(AUTOEVENTO&lt;&gt;"manual",$M41&lt;&gt;$A$15)),
        IF(Import.TipoArredondamento&lt;&gt;"TransfereGOV",
              ROUND(OFFSET($P41,0,AL$13),15-13*ORÇAMENTO!$AF$7)/$H41*OFFSET(ORÇAMENTO!$X$15,ROW(AL41)-ROW(AL$15),0),
              ROUND(ROUND(OFFSET($P41,0,AL$13),15-13*ORÇAMENTO!$AF$7)*OFFSET(ORÇAMENTO!$W$15,ROW(AL41)-ROW(AL$15),0),15-13*ORÇAMENTO!$AF$11)),
         0)</f>
        <v>0</v>
      </c>
      <c r="AM41" s="453">
        <f ca="1">IF(AND($D41="Serviço",AM$12&lt;&gt;0,$H41&gt;0,OR(AUTOEVENTO&lt;&gt;"manual",$M41&lt;&gt;$A$15)),
        IF(Import.TipoArredondamento&lt;&gt;"TransfereGOV",
              ROUND(OFFSET($P41,0,AM$13),15-13*ORÇAMENTO!$AF$7)/$H41*OFFSET(ORÇAMENTO!$X$15,ROW(AM41)-ROW(AM$15),0),
              ROUND(ROUND(OFFSET($P41,0,AM$13),15-13*ORÇAMENTO!$AF$7)*OFFSET(ORÇAMENTO!$W$15,ROW(AM41)-ROW(AM$15),0),15-13*ORÇAMENTO!$AF$11)),
         0)</f>
        <v>0</v>
      </c>
      <c r="AN41" s="453">
        <f ca="1">IF(AND($D41="Serviço",AN$12&lt;&gt;0,$H41&gt;0,OR(AUTOEVENTO&lt;&gt;"manual",$M41&lt;&gt;$A$15)),
        IF(Import.TipoArredondamento&lt;&gt;"TransfereGOV",
              ROUND(OFFSET($P41,0,AN$13),15-13*ORÇAMENTO!$AF$7)/$H41*OFFSET(ORÇAMENTO!$X$15,ROW(AN41)-ROW(AN$15),0),
              ROUND(ROUND(OFFSET($P41,0,AN$13),15-13*ORÇAMENTO!$AF$7)*OFFSET(ORÇAMENTO!$W$15,ROW(AN41)-ROW(AN$15),0),15-13*ORÇAMENTO!$AF$11)),
         0)</f>
        <v>0</v>
      </c>
      <c r="AO41" s="453">
        <f ca="1">IF(AND($D41="Serviço",AO$12&lt;&gt;0,$H41&gt;0,OR(AUTOEVENTO&lt;&gt;"manual",$M41&lt;&gt;$A$15)),
        IF(Import.TipoArredondamento&lt;&gt;"TransfereGOV",
              ROUND(OFFSET($P41,0,AO$13),15-13*ORÇAMENTO!$AF$7)/$H41*OFFSET(ORÇAMENTO!$X$15,ROW(AO41)-ROW(AO$15),0),
              ROUND(ROUND(OFFSET($P41,0,AO$13),15-13*ORÇAMENTO!$AF$7)*OFFSET(ORÇAMENTO!$W$15,ROW(AO41)-ROW(AO$15),0),15-13*ORÇAMENTO!$AF$11)),
         0)</f>
        <v>0</v>
      </c>
      <c r="AP41" s="453">
        <f ca="1">IF(AND($D41="Serviço",AP$12&lt;&gt;0,$H41&gt;0,OR(AUTOEVENTO&lt;&gt;"manual",$M41&lt;&gt;$A$15)),
        IF(Import.TipoArredondamento&lt;&gt;"TransfereGOV",
              ROUND(OFFSET($P41,0,AP$13),15-13*ORÇAMENTO!$AF$7)/$H41*OFFSET(ORÇAMENTO!$X$15,ROW(AP41)-ROW(AP$15),0),
              ROUND(ROUND(OFFSET($P41,0,AP$13),15-13*ORÇAMENTO!$AF$7)*OFFSET(ORÇAMENTO!$W$15,ROW(AP41)-ROW(AP$15),0),15-13*ORÇAMENTO!$AF$11)),
         0)</f>
        <v>0</v>
      </c>
      <c r="AQ41" s="453">
        <f ca="1">IF(AND($D41="Serviço",AQ$12&lt;&gt;0,$H41&gt;0,OR(AUTOEVENTO&lt;&gt;"manual",$M41&lt;&gt;$A$15)),
        IF(Import.TipoArredondamento&lt;&gt;"TransfereGOV",
              ROUND(OFFSET($P41,0,AQ$13),15-13*ORÇAMENTO!$AF$7)/$H41*OFFSET(ORÇAMENTO!$X$15,ROW(AQ41)-ROW(AQ$15),0),
              ROUND(ROUND(OFFSET($P41,0,AQ$13),15-13*ORÇAMENTO!$AF$7)*OFFSET(ORÇAMENTO!$W$15,ROW(AQ41)-ROW(AQ$15),0),15-13*ORÇAMENTO!$AF$11)),
         0)</f>
        <v>0</v>
      </c>
      <c r="AR41" s="453">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3">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3">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3">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3">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3">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3">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3">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3">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3">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C41" s="171">
        <f ca="1">IF(OR($D41&lt;&gt;"Serviço",AND(AUTOEVENTO="Manual",$M41=$A$15)),0,
         IF(OFFSET(CRONOPLE!$F$15,$M41-$A$15,BC$13)=0,10^12,OFFSET(CRONOPLE!$F$15,$M41-$A$15,BC$13)))</f>
        <v>1</v>
      </c>
      <c r="BD41" s="171">
        <f ca="1">IF(OR($D41&lt;&gt;"Serviço",AND(AUTOEVENTO="Manual",$M41=$A$15)),0,
         IF(OFFSET(CRONOPLE!$F$15,$M41-$A$15,BD$13)=0,10^12,OFFSET(CRONOPLE!$F$15,$M41-$A$15,BD$13)))</f>
        <v>2</v>
      </c>
      <c r="BE41" s="171">
        <f ca="1">IF(OR($D41&lt;&gt;"Serviço",AND(AUTOEVENTO="Manual",$M41=$A$15)),0,
         IF(OFFSET(CRONOPLE!$F$15,$M41-$A$15,BE$13)=0,10^12,OFFSET(CRONOPLE!$F$15,$M41-$A$15,BE$13)))</f>
        <v>3</v>
      </c>
      <c r="BF41" s="171">
        <f ca="1">IF(OR($D41&lt;&gt;"Serviço",AND(AUTOEVENTO="Manual",$M41=$A$15)),0,
         IF(OFFSET(CRONOPLE!$F$15,$M41-$A$15,BF$13)=0,10^12,OFFSET(CRONOPLE!$F$15,$M41-$A$15,BF$13)))</f>
        <v>4</v>
      </c>
      <c r="BG41" s="171">
        <f ca="1">IF(OR($D41&lt;&gt;"Serviço",AND(AUTOEVENTO="Manual",$M41=$A$15)),0,
         IF(OFFSET(CRONOPLE!$F$15,$M41-$A$15,BG$13)=0,10^12,OFFSET(CRONOPLE!$F$15,$M41-$A$15,BG$13)))</f>
        <v>5</v>
      </c>
      <c r="BH41" s="171">
        <f ca="1">IF(OR($D41&lt;&gt;"Serviço",AND(AUTOEVENTO="Manual",$M41=$A$15)),0,
         IF(OFFSET(CRONOPLE!$F$15,$M41-$A$15,BH$13)=0,10^12,OFFSET(CRONOPLE!$F$15,$M41-$A$15,BH$13)))</f>
        <v>6</v>
      </c>
      <c r="BI41" s="171">
        <f ca="1">IF(OR($D41&lt;&gt;"Serviço",AND(AUTOEVENTO="Manual",$M41=$A$15)),0,
         IF(OFFSET(CRONOPLE!$F$15,$M41-$A$15,BI$13)=0,10^12,OFFSET(CRONOPLE!$F$15,$M41-$A$15,BI$13)))</f>
        <v>7</v>
      </c>
      <c r="BJ41" s="171">
        <f ca="1">IF(OR($D41&lt;&gt;"Serviço",AND(AUTOEVENTO="Manual",$M41=$A$15)),0,
         IF(OFFSET(CRONOPLE!$F$15,$M41-$A$15,BJ$13)=0,10^12,OFFSET(CRONOPLE!$F$15,$M41-$A$15,BJ$13)))</f>
        <v>8</v>
      </c>
      <c r="BK41" s="171">
        <f ca="1">IF(OR($D41&lt;&gt;"Serviço",AND(AUTOEVENTO="Manual",$M41=$A$15)),0,
         IF(OFFSET(CRONOPLE!$F$15,$M41-$A$15,BK$13)=0,10^12,OFFSET(CRONOPLE!$F$15,$M41-$A$15,BK$13)))</f>
        <v>9</v>
      </c>
      <c r="BL41" s="171">
        <f ca="1">IF(OR($D41&lt;&gt;"Serviço",AND(AUTOEVENTO="Manual",$M41=$A$15)),0,
         IF(OFFSET(CRONOPLE!$F$15,$M41-$A$15,BL$13)=0,10^12,OFFSET(CRONOPLE!$F$15,$M41-$A$15,BL$13)))</f>
        <v>10</v>
      </c>
      <c r="BM41" s="171">
        <f ca="1">IF(OR($D41&lt;&gt;"Serviço",AND(AUTOEVENTO="Manual",$M41=$A$15)),0,
         IF(OFFSET(CRONOPLE!$F$15,$M41-$A$15,BM$13)=0,10^12,OFFSET(CRONOPLE!$F$15,$M41-$A$15,BM$13)))</f>
        <v>1000000000000</v>
      </c>
      <c r="BN41" s="171">
        <f ca="1">IF(OR($D41&lt;&gt;"Serviço",AND(AUTOEVENTO="Manual",$M41=$A$15)),0,
         IF(OFFSET(CRONOPLE!$F$15,$M41-$A$15,BN$13)=0,10^12,OFFSET(CRONOPLE!$F$15,$M41-$A$15,BN$13)))</f>
        <v>1000000000000</v>
      </c>
      <c r="BO41" s="171">
        <f ca="1">IF(OR($D41&lt;&gt;"Serviço",AND(AUTOEVENTO="Manual",$M41=$A$15)),0,
         IF(OFFSET(CRONOPLE!$F$15,$M41-$A$15,BO$13)=0,10^12,OFFSET(CRONOPLE!$F$15,$M41-$A$15,BO$13)))</f>
        <v>1000000000000</v>
      </c>
      <c r="BP41" s="171">
        <f ca="1">IF(OR($D41&lt;&gt;"Serviço",AND(AUTOEVENTO="Manual",$M41=$A$15)),0,
         IF(OFFSET(CRONOPLE!$F$15,$M41-$A$15,BP$13)=0,10^12,OFFSET(CRONOPLE!$F$15,$M41-$A$15,BP$13)))</f>
        <v>1000000000000</v>
      </c>
      <c r="BQ41" s="171">
        <f ca="1">IF(OR($D41&lt;&gt;"Serviço",AND(AUTOEVENTO="Manual",$M41=$A$15)),0,
         IF(OFFSET(CRONOPLE!$F$15,$M41-$A$15,BQ$13)=0,10^12,OFFSET(CRONOPLE!$F$15,$M41-$A$15,BQ$13)))</f>
        <v>1000000000000</v>
      </c>
      <c r="BR41" s="171">
        <f ca="1">IF(OR($D41&lt;&gt;"Serviço",AND(AUTOEVENTO="Manual",$M41=$A$15)),0,
         IF(OFFSET(CRONOPLE!$F$15,$M41-$A$15,BR$13)=0,10^12,OFFSET(CRONOPLE!$F$15,$M41-$A$15,BR$13)))</f>
        <v>1000000000000</v>
      </c>
      <c r="BS41" s="171">
        <f ca="1">IF(OR($D41&lt;&gt;"Serviço",AND(AUTOEVENTO="Manual",$M41=$A$15)),0,
         IF(OFFSET(CRONOPLE!$F$15,$M41-$A$15,BS$13)=0,10^12,OFFSET(CRONOPLE!$F$15,$M41-$A$15,BS$13)))</f>
        <v>1000000000000</v>
      </c>
      <c r="BT41" s="171">
        <f ca="1">IF(OR($D41&lt;&gt;"Serviço",AND(AUTOEVENTO="Manual",$M41=$A$15)),0,
         IF(OFFSET(CRONOPLE!$F$15,$M41-$A$15,BT$13)=0,10^12,OFFSET(CRONOPLE!$F$15,$M41-$A$15,BT$13)))</f>
        <v>1000000000000</v>
      </c>
      <c r="BV41" s="172">
        <f ca="1">IF(OR($D41&lt;&gt;"Serviço",AND(AUTOEVENTO="Manual",$M41=$A$15),$M41&gt;(ROW(PLE.lastrow)-ROW(PLE.firstrow))),0,
           IF(OFFSET(PLE!$G$15,$M41-$A$15,BV$13)="",10^12,OFFSET(PLE!$G$15,$M41-$A$15,BV$13)))</f>
        <v>1000000000000</v>
      </c>
      <c r="BW41" s="172">
        <f ca="1">IF(OR($D41&lt;&gt;"Serviço",AND(AUTOEVENTO="Manual",$M41=$A$15),$M41&gt;(ROW(PLE.lastrow)-ROW(PLE.firstrow))),0,
           IF(OFFSET(PLE!$G$15,$M41-$A$15,BW$13)="",10^12,OFFSET(PLE!$G$15,$M41-$A$15,BW$13)))</f>
        <v>1000000000000</v>
      </c>
      <c r="BX41" s="172">
        <f ca="1">IF(OR($D41&lt;&gt;"Serviço",AND(AUTOEVENTO="Manual",$M41=$A$15),$M41&gt;(ROW(PLE.lastrow)-ROW(PLE.firstrow))),0,
           IF(OFFSET(PLE!$G$15,$M41-$A$15,BX$13)="",10^12,OFFSET(PLE!$G$15,$M41-$A$15,BX$13)))</f>
        <v>1000000000000</v>
      </c>
      <c r="BY41" s="172">
        <f ca="1">IF(OR($D41&lt;&gt;"Serviço",AND(AUTOEVENTO="Manual",$M41=$A$15),$M41&gt;(ROW(PLE.lastrow)-ROW(PLE.firstrow))),0,
           IF(OFFSET(PLE!$G$15,$M41-$A$15,BY$13)="",10^12,OFFSET(PLE!$G$15,$M41-$A$15,BY$13)))</f>
        <v>1000000000000</v>
      </c>
      <c r="BZ41" s="172">
        <f ca="1">IF(OR($D41&lt;&gt;"Serviço",AND(AUTOEVENTO="Manual",$M41=$A$15),$M41&gt;(ROW(PLE.lastrow)-ROW(PLE.firstrow))),0,
           IF(OFFSET(PLE!$G$15,$M41-$A$15,BZ$13)="",10^12,OFFSET(PLE!$G$15,$M41-$A$15,BZ$13)))</f>
        <v>1000000000000</v>
      </c>
      <c r="CA41" s="172">
        <f ca="1">IF(OR($D41&lt;&gt;"Serviço",AND(AUTOEVENTO="Manual",$M41=$A$15),$M41&gt;(ROW(PLE.lastrow)-ROW(PLE.firstrow))),0,
           IF(OFFSET(PLE!$G$15,$M41-$A$15,CA$13)="",10^12,OFFSET(PLE!$G$15,$M41-$A$15,CA$13)))</f>
        <v>1000000000000</v>
      </c>
      <c r="CB41" s="172">
        <f ca="1">IF(OR($D41&lt;&gt;"Serviço",AND(AUTOEVENTO="Manual",$M41=$A$15),$M41&gt;(ROW(PLE.lastrow)-ROW(PLE.firstrow))),0,
           IF(OFFSET(PLE!$G$15,$M41-$A$15,CB$13)="",10^12,OFFSET(PLE!$G$15,$M41-$A$15,CB$13)))</f>
        <v>1000000000000</v>
      </c>
      <c r="CC41" s="172">
        <f ca="1">IF(OR($D41&lt;&gt;"Serviço",AND(AUTOEVENTO="Manual",$M41=$A$15),$M41&gt;(ROW(PLE.lastrow)-ROW(PLE.firstrow))),0,
           IF(OFFSET(PLE!$G$15,$M41-$A$15,CC$13)="",10^12,OFFSET(PLE!$G$15,$M41-$A$15,CC$13)))</f>
        <v>1000000000000</v>
      </c>
      <c r="CD41" s="172">
        <f ca="1">IF(OR($D41&lt;&gt;"Serviço",AND(AUTOEVENTO="Manual",$M41=$A$15),$M41&gt;(ROW(PLE.lastrow)-ROW(PLE.firstrow))),0,
           IF(OFFSET(PLE!$G$15,$M41-$A$15,CD$13)="",10^12,OFFSET(PLE!$G$15,$M41-$A$15,CD$13)))</f>
        <v>1000000000000</v>
      </c>
      <c r="CE41" s="172">
        <f ca="1">IF(OR($D41&lt;&gt;"Serviço",AND(AUTOEVENTO="Manual",$M41=$A$15),$M41&gt;(ROW(PLE.lastrow)-ROW(PLE.firstrow))),0,
           IF(OFFSET(PLE!$G$15,$M41-$A$15,CE$13)="",10^12,OFFSET(PLE!$G$15,$M41-$A$15,CE$13)))</f>
        <v>1000000000000</v>
      </c>
      <c r="CF41" s="172">
        <f ca="1">IF(OR($D41&lt;&gt;"Serviço",AND(AUTOEVENTO="Manual",$M41=$A$15),$M41&gt;(ROW(PLE.lastrow)-ROW(PLE.firstrow))),0,
           IF(OFFSET(PLE!$G$15,$M41-$A$15,CF$13)="",10^12,OFFSET(PLE!$G$15,$M41-$A$15,CF$13)))</f>
        <v>1000000000000</v>
      </c>
      <c r="CG41" s="172">
        <f ca="1">IF(OR($D41&lt;&gt;"Serviço",AND(AUTOEVENTO="Manual",$M41=$A$15),$M41&gt;(ROW(PLE.lastrow)-ROW(PLE.firstrow))),0,
           IF(OFFSET(PLE!$G$15,$M41-$A$15,CG$13)="",10^12,OFFSET(PLE!$G$15,$M41-$A$15,CG$13)))</f>
        <v>1000000000000</v>
      </c>
      <c r="CH41" s="172">
        <f ca="1">IF(OR($D41&lt;&gt;"Serviço",AND(AUTOEVENTO="Manual",$M41=$A$15),$M41&gt;(ROW(PLE.lastrow)-ROW(PLE.firstrow))),0,
           IF(OFFSET(PLE!$G$15,$M41-$A$15,CH$13)="",10^12,OFFSET(PLE!$G$15,$M41-$A$15,CH$13)))</f>
        <v>1000000000000</v>
      </c>
      <c r="CI41" s="172">
        <f ca="1">IF(OR($D41&lt;&gt;"Serviço",AND(AUTOEVENTO="Manual",$M41=$A$15),$M41&gt;(ROW(PLE.lastrow)-ROW(PLE.firstrow))),0,
           IF(OFFSET(PLE!$G$15,$M41-$A$15,CI$13)="",10^12,OFFSET(PLE!$G$15,$M41-$A$15,CI$13)))</f>
        <v>1000000000000</v>
      </c>
      <c r="CJ41" s="172">
        <f ca="1">IF(OR($D41&lt;&gt;"Serviço",AND(AUTOEVENTO="Manual",$M41=$A$15),$M41&gt;(ROW(PLE.lastrow)-ROW(PLE.firstrow))),0,
           IF(OFFSET(PLE!$G$15,$M41-$A$15,CJ$13)="",10^12,OFFSET(PLE!$G$15,$M41-$A$15,CJ$13)))</f>
        <v>1000000000000</v>
      </c>
      <c r="CK41" s="172">
        <f ca="1">IF(OR($D41&lt;&gt;"Serviço",AND(AUTOEVENTO="Manual",$M41=$A$15),$M41&gt;(ROW(PLE.lastrow)-ROW(PLE.firstrow))),0,
           IF(OFFSET(PLE!$G$15,$M41-$A$15,CK$13)="",10^12,OFFSET(PLE!$G$15,$M41-$A$15,CK$13)))</f>
        <v>1000000000000</v>
      </c>
      <c r="CL41" s="172">
        <f ca="1">IF(OR($D41&lt;&gt;"Serviço",AND(AUTOEVENTO="Manual",$M41=$A$15),$M41&gt;(ROW(PLE.lastrow)-ROW(PLE.firstrow))),0,
           IF(OFFSET(PLE!$G$15,$M41-$A$15,CL$13)="",10^12,OFFSET(PLE!$G$15,$M41-$A$15,CL$13)))</f>
        <v>1000000000000</v>
      </c>
      <c r="CM41" s="172">
        <f ca="1">IF(OR($D41&lt;&gt;"Serviço",AND(AUTOEVENTO="Manual",$M41=$A$15),$M41&gt;(ROW(PLE.lastrow)-ROW(PLE.firstrow))),0,
           IF(OFFSET(PLE!$G$15,$M41-$A$15,CM$13)="",10^12,OFFSET(PLE!$G$15,$M41-$A$15,CM$13)))</f>
        <v>1000000000000</v>
      </c>
    </row>
    <row r="42" spans="1:91" ht="12.75" x14ac:dyDescent="0.2">
      <c r="A42" s="7">
        <f t="shared" ca="1" si="10"/>
        <v>0</v>
      </c>
      <c r="B42" s="7">
        <f ca="1">OFFSET(ORÇAMENTO!C$15,ROW(B42)-ROW(B$15),0)</f>
        <v>3</v>
      </c>
      <c r="C42" s="7" t="str">
        <f ca="1">OFFSET(ORÇAMENTO!L$15,ROW(C42)-ROW(C$15),0)</f>
        <v>F</v>
      </c>
      <c r="D42" s="116" t="str">
        <f ca="1">OFFSET(ORÇAMENTO!N$15,ROW(D42)-ROW(D$15),0)</f>
        <v>Nível 3</v>
      </c>
      <c r="E42" s="117" t="str">
        <f ca="1">OFFSET(ORÇAMENTO!O$15,ROW(E42)-ROW(E$15),0)</f>
        <v>1.3.3.</v>
      </c>
      <c r="F42" s="163" t="str">
        <f ca="1">OFFSET(ORÇAMENTO!R$15,ROW(F42)-ROW(F$15),0)</f>
        <v>SERVIÇOS TOPOGRÁFICOS</v>
      </c>
      <c r="G42" s="164" t="str">
        <f ca="1">IF($D42&lt;&gt;"Serviço","",OFFSET(ORÇAMENTO!S$15,ROW(G42)-ROW(G$15),0))</f>
        <v/>
      </c>
      <c r="H42" s="122" cm="1">
        <f t="array" aca="1" ref="H42" ca="1">IF($D42&lt;&gt;"Serviço",0,IF(ACOMPANHAMENTO="BM",ROUND(OFFSET(ORÇAMENTO!AJ$15,ROW(H42)-ROW(H$15),0),15-13*ORÇAMENTO!$AF$7),SUMPRODUCT(($Q$1:$AI$1=1)*ROUND($Q42:$AI42,15-13*ORÇAMENTO!$AF$7))))</f>
        <v>0</v>
      </c>
      <c r="I42" s="468"/>
      <c r="J42" s="640" t="str" cm="1">
        <f t="array" aca="1" ref="J42" ca="1">IF(OR(B42&lt;&gt;"S",CÁLCULO.FrentesPreenchidas=0),"",IF(AND(ACOMPANHAMENTO="PLE",AUTOEVENTO="Manual",OR(H42&gt;0,ORÇAMENTO!AC42="QUANT."),OR(K42="",M42=0,N42="")),"►E",IF(AND(ACOMPANHAMENTO="PLE",ORÇAMENTO!AC42="QUANT."),"►Q",IF(AND(ACOMPANHAMENTO="PLE",H42&lt;&gt;SUMPRODUCT(($Q$1:$AI$1=1)*ROUND(Q42:AI42,15))),"►S",IF(AND(COUNTIF($P$11:$AI$11,"▼")=0,H42&gt;0,I42=""),"◄M","")))))</f>
        <v/>
      </c>
      <c r="K42" s="641"/>
      <c r="L42" s="165" t="s">
        <v>764</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8"/>
      <c r="R42" s="169"/>
      <c r="S42" s="169"/>
      <c r="T42" s="169"/>
      <c r="U42" s="169"/>
      <c r="V42" s="169"/>
      <c r="W42" s="169"/>
      <c r="X42" s="169"/>
      <c r="Y42" s="169"/>
      <c r="Z42" s="170"/>
      <c r="AA42" s="169"/>
      <c r="AB42" s="169"/>
      <c r="AC42" s="169"/>
      <c r="AD42" s="169"/>
      <c r="AE42" s="169"/>
      <c r="AF42" s="169"/>
      <c r="AG42" s="169"/>
      <c r="AH42" s="170"/>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L42" s="453">
        <f ca="1">IF(AND($D42="Serviço",AL$12&lt;&gt;0,$H42&gt;0,OR(AUTOEVENTO&lt;&gt;"manual",$M42&lt;&gt;$A$15)),
        IF(Import.TipoArredondamento&lt;&gt;"TransfereGOV",
              ROUND(OFFSET($P42,0,AL$13),15-13*ORÇAMENTO!$AF$7)/$H42*OFFSET(ORÇAMENTO!$X$15,ROW(AL42)-ROW(AL$15),0),
              ROUND(ROUND(OFFSET($P42,0,AL$13),15-13*ORÇAMENTO!$AF$7)*OFFSET(ORÇAMENTO!$W$15,ROW(AL42)-ROW(AL$15),0),15-13*ORÇAMENTO!$AF$11)),
         0)</f>
        <v>0</v>
      </c>
      <c r="AM42" s="453">
        <f ca="1">IF(AND($D42="Serviço",AM$12&lt;&gt;0,$H42&gt;0,OR(AUTOEVENTO&lt;&gt;"manual",$M42&lt;&gt;$A$15)),
        IF(Import.TipoArredondamento&lt;&gt;"TransfereGOV",
              ROUND(OFFSET($P42,0,AM$13),15-13*ORÇAMENTO!$AF$7)/$H42*OFFSET(ORÇAMENTO!$X$15,ROW(AM42)-ROW(AM$15),0),
              ROUND(ROUND(OFFSET($P42,0,AM$13),15-13*ORÇAMENTO!$AF$7)*OFFSET(ORÇAMENTO!$W$15,ROW(AM42)-ROW(AM$15),0),15-13*ORÇAMENTO!$AF$11)),
         0)</f>
        <v>0</v>
      </c>
      <c r="AN42" s="453">
        <f ca="1">IF(AND($D42="Serviço",AN$12&lt;&gt;0,$H42&gt;0,OR(AUTOEVENTO&lt;&gt;"manual",$M42&lt;&gt;$A$15)),
        IF(Import.TipoArredondamento&lt;&gt;"TransfereGOV",
              ROUND(OFFSET($P42,0,AN$13),15-13*ORÇAMENTO!$AF$7)/$H42*OFFSET(ORÇAMENTO!$X$15,ROW(AN42)-ROW(AN$15),0),
              ROUND(ROUND(OFFSET($P42,0,AN$13),15-13*ORÇAMENTO!$AF$7)*OFFSET(ORÇAMENTO!$W$15,ROW(AN42)-ROW(AN$15),0),15-13*ORÇAMENTO!$AF$11)),
         0)</f>
        <v>0</v>
      </c>
      <c r="AO42" s="453">
        <f ca="1">IF(AND($D42="Serviço",AO$12&lt;&gt;0,$H42&gt;0,OR(AUTOEVENTO&lt;&gt;"manual",$M42&lt;&gt;$A$15)),
        IF(Import.TipoArredondamento&lt;&gt;"TransfereGOV",
              ROUND(OFFSET($P42,0,AO$13),15-13*ORÇAMENTO!$AF$7)/$H42*OFFSET(ORÇAMENTO!$X$15,ROW(AO42)-ROW(AO$15),0),
              ROUND(ROUND(OFFSET($P42,0,AO$13),15-13*ORÇAMENTO!$AF$7)*OFFSET(ORÇAMENTO!$W$15,ROW(AO42)-ROW(AO$15),0),15-13*ORÇAMENTO!$AF$11)),
         0)</f>
        <v>0</v>
      </c>
      <c r="AP42" s="453">
        <f ca="1">IF(AND($D42="Serviço",AP$12&lt;&gt;0,$H42&gt;0,OR(AUTOEVENTO&lt;&gt;"manual",$M42&lt;&gt;$A$15)),
        IF(Import.TipoArredondamento&lt;&gt;"TransfereGOV",
              ROUND(OFFSET($P42,0,AP$13),15-13*ORÇAMENTO!$AF$7)/$H42*OFFSET(ORÇAMENTO!$X$15,ROW(AP42)-ROW(AP$15),0),
              ROUND(ROUND(OFFSET($P42,0,AP$13),15-13*ORÇAMENTO!$AF$7)*OFFSET(ORÇAMENTO!$W$15,ROW(AP42)-ROW(AP$15),0),15-13*ORÇAMENTO!$AF$11)),
         0)</f>
        <v>0</v>
      </c>
      <c r="AQ42" s="453">
        <f ca="1">IF(AND($D42="Serviço",AQ$12&lt;&gt;0,$H42&gt;0,OR(AUTOEVENTO&lt;&gt;"manual",$M42&lt;&gt;$A$15)),
        IF(Import.TipoArredondamento&lt;&gt;"TransfereGOV",
              ROUND(OFFSET($P42,0,AQ$13),15-13*ORÇAMENTO!$AF$7)/$H42*OFFSET(ORÇAMENTO!$X$15,ROW(AQ42)-ROW(AQ$15),0),
              ROUND(ROUND(OFFSET($P42,0,AQ$13),15-13*ORÇAMENTO!$AF$7)*OFFSET(ORÇAMENTO!$W$15,ROW(AQ42)-ROW(AQ$15),0),15-13*ORÇAMENTO!$AF$11)),
         0)</f>
        <v>0</v>
      </c>
      <c r="AR42" s="453">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3">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3">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3">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3">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3">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3">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3">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3">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3">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C42" s="171">
        <f ca="1">IF(OR($D42&lt;&gt;"Serviço",AND(AUTOEVENTO="Manual",$M42=$A$15)),0,
         IF(OFFSET(CRONOPLE!$F$15,$M42-$A$15,BC$13)=0,10^12,OFFSET(CRONOPLE!$F$15,$M42-$A$15,BC$13)))</f>
        <v>0</v>
      </c>
      <c r="BD42" s="171">
        <f ca="1">IF(OR($D42&lt;&gt;"Serviço",AND(AUTOEVENTO="Manual",$M42=$A$15)),0,
         IF(OFFSET(CRONOPLE!$F$15,$M42-$A$15,BD$13)=0,10^12,OFFSET(CRONOPLE!$F$15,$M42-$A$15,BD$13)))</f>
        <v>0</v>
      </c>
      <c r="BE42" s="171">
        <f ca="1">IF(OR($D42&lt;&gt;"Serviço",AND(AUTOEVENTO="Manual",$M42=$A$15)),0,
         IF(OFFSET(CRONOPLE!$F$15,$M42-$A$15,BE$13)=0,10^12,OFFSET(CRONOPLE!$F$15,$M42-$A$15,BE$13)))</f>
        <v>0</v>
      </c>
      <c r="BF42" s="171">
        <f ca="1">IF(OR($D42&lt;&gt;"Serviço",AND(AUTOEVENTO="Manual",$M42=$A$15)),0,
         IF(OFFSET(CRONOPLE!$F$15,$M42-$A$15,BF$13)=0,10^12,OFFSET(CRONOPLE!$F$15,$M42-$A$15,BF$13)))</f>
        <v>0</v>
      </c>
      <c r="BG42" s="171">
        <f ca="1">IF(OR($D42&lt;&gt;"Serviço",AND(AUTOEVENTO="Manual",$M42=$A$15)),0,
         IF(OFFSET(CRONOPLE!$F$15,$M42-$A$15,BG$13)=0,10^12,OFFSET(CRONOPLE!$F$15,$M42-$A$15,BG$13)))</f>
        <v>0</v>
      </c>
      <c r="BH42" s="171">
        <f ca="1">IF(OR($D42&lt;&gt;"Serviço",AND(AUTOEVENTO="Manual",$M42=$A$15)),0,
         IF(OFFSET(CRONOPLE!$F$15,$M42-$A$15,BH$13)=0,10^12,OFFSET(CRONOPLE!$F$15,$M42-$A$15,BH$13)))</f>
        <v>0</v>
      </c>
      <c r="BI42" s="171">
        <f ca="1">IF(OR($D42&lt;&gt;"Serviço",AND(AUTOEVENTO="Manual",$M42=$A$15)),0,
         IF(OFFSET(CRONOPLE!$F$15,$M42-$A$15,BI$13)=0,10^12,OFFSET(CRONOPLE!$F$15,$M42-$A$15,BI$13)))</f>
        <v>0</v>
      </c>
      <c r="BJ42" s="171">
        <f ca="1">IF(OR($D42&lt;&gt;"Serviço",AND(AUTOEVENTO="Manual",$M42=$A$15)),0,
         IF(OFFSET(CRONOPLE!$F$15,$M42-$A$15,BJ$13)=0,10^12,OFFSET(CRONOPLE!$F$15,$M42-$A$15,BJ$13)))</f>
        <v>0</v>
      </c>
      <c r="BK42" s="171">
        <f ca="1">IF(OR($D42&lt;&gt;"Serviço",AND(AUTOEVENTO="Manual",$M42=$A$15)),0,
         IF(OFFSET(CRONOPLE!$F$15,$M42-$A$15,BK$13)=0,10^12,OFFSET(CRONOPLE!$F$15,$M42-$A$15,BK$13)))</f>
        <v>0</v>
      </c>
      <c r="BL42" s="171">
        <f ca="1">IF(OR($D42&lt;&gt;"Serviço",AND(AUTOEVENTO="Manual",$M42=$A$15)),0,
         IF(OFFSET(CRONOPLE!$F$15,$M42-$A$15,BL$13)=0,10^12,OFFSET(CRONOPLE!$F$15,$M42-$A$15,BL$13)))</f>
        <v>0</v>
      </c>
      <c r="BM42" s="171">
        <f ca="1">IF(OR($D42&lt;&gt;"Serviço",AND(AUTOEVENTO="Manual",$M42=$A$15)),0,
         IF(OFFSET(CRONOPLE!$F$15,$M42-$A$15,BM$13)=0,10^12,OFFSET(CRONOPLE!$F$15,$M42-$A$15,BM$13)))</f>
        <v>0</v>
      </c>
      <c r="BN42" s="171">
        <f ca="1">IF(OR($D42&lt;&gt;"Serviço",AND(AUTOEVENTO="Manual",$M42=$A$15)),0,
         IF(OFFSET(CRONOPLE!$F$15,$M42-$A$15,BN$13)=0,10^12,OFFSET(CRONOPLE!$F$15,$M42-$A$15,BN$13)))</f>
        <v>0</v>
      </c>
      <c r="BO42" s="171">
        <f ca="1">IF(OR($D42&lt;&gt;"Serviço",AND(AUTOEVENTO="Manual",$M42=$A$15)),0,
         IF(OFFSET(CRONOPLE!$F$15,$M42-$A$15,BO$13)=0,10^12,OFFSET(CRONOPLE!$F$15,$M42-$A$15,BO$13)))</f>
        <v>0</v>
      </c>
      <c r="BP42" s="171">
        <f ca="1">IF(OR($D42&lt;&gt;"Serviço",AND(AUTOEVENTO="Manual",$M42=$A$15)),0,
         IF(OFFSET(CRONOPLE!$F$15,$M42-$A$15,BP$13)=0,10^12,OFFSET(CRONOPLE!$F$15,$M42-$A$15,BP$13)))</f>
        <v>0</v>
      </c>
      <c r="BQ42" s="171">
        <f ca="1">IF(OR($D42&lt;&gt;"Serviço",AND(AUTOEVENTO="Manual",$M42=$A$15)),0,
         IF(OFFSET(CRONOPLE!$F$15,$M42-$A$15,BQ$13)=0,10^12,OFFSET(CRONOPLE!$F$15,$M42-$A$15,BQ$13)))</f>
        <v>0</v>
      </c>
      <c r="BR42" s="171">
        <f ca="1">IF(OR($D42&lt;&gt;"Serviço",AND(AUTOEVENTO="Manual",$M42=$A$15)),0,
         IF(OFFSET(CRONOPLE!$F$15,$M42-$A$15,BR$13)=0,10^12,OFFSET(CRONOPLE!$F$15,$M42-$A$15,BR$13)))</f>
        <v>0</v>
      </c>
      <c r="BS42" s="171">
        <f ca="1">IF(OR($D42&lt;&gt;"Serviço",AND(AUTOEVENTO="Manual",$M42=$A$15)),0,
         IF(OFFSET(CRONOPLE!$F$15,$M42-$A$15,BS$13)=0,10^12,OFFSET(CRONOPLE!$F$15,$M42-$A$15,BS$13)))</f>
        <v>0</v>
      </c>
      <c r="BT42" s="171">
        <f ca="1">IF(OR($D42&lt;&gt;"Serviço",AND(AUTOEVENTO="Manual",$M42=$A$15)),0,
         IF(OFFSET(CRONOPLE!$F$15,$M42-$A$15,BT$13)=0,10^12,OFFSET(CRONOPLE!$F$15,$M42-$A$15,BT$13)))</f>
        <v>0</v>
      </c>
      <c r="BV42" s="172">
        <f ca="1">IF(OR($D42&lt;&gt;"Serviço",AND(AUTOEVENTO="Manual",$M42=$A$15),$M42&gt;(ROW(PLE.lastrow)-ROW(PLE.firstrow))),0,
           IF(OFFSET(PLE!$G$15,$M42-$A$15,BV$13)="",10^12,OFFSET(PLE!$G$15,$M42-$A$15,BV$13)))</f>
        <v>0</v>
      </c>
      <c r="BW42" s="172">
        <f ca="1">IF(OR($D42&lt;&gt;"Serviço",AND(AUTOEVENTO="Manual",$M42=$A$15),$M42&gt;(ROW(PLE.lastrow)-ROW(PLE.firstrow))),0,
           IF(OFFSET(PLE!$G$15,$M42-$A$15,BW$13)="",10^12,OFFSET(PLE!$G$15,$M42-$A$15,BW$13)))</f>
        <v>0</v>
      </c>
      <c r="BX42" s="172">
        <f ca="1">IF(OR($D42&lt;&gt;"Serviço",AND(AUTOEVENTO="Manual",$M42=$A$15),$M42&gt;(ROW(PLE.lastrow)-ROW(PLE.firstrow))),0,
           IF(OFFSET(PLE!$G$15,$M42-$A$15,BX$13)="",10^12,OFFSET(PLE!$G$15,$M42-$A$15,BX$13)))</f>
        <v>0</v>
      </c>
      <c r="BY42" s="172">
        <f ca="1">IF(OR($D42&lt;&gt;"Serviço",AND(AUTOEVENTO="Manual",$M42=$A$15),$M42&gt;(ROW(PLE.lastrow)-ROW(PLE.firstrow))),0,
           IF(OFFSET(PLE!$G$15,$M42-$A$15,BY$13)="",10^12,OFFSET(PLE!$G$15,$M42-$A$15,BY$13)))</f>
        <v>0</v>
      </c>
      <c r="BZ42" s="172">
        <f ca="1">IF(OR($D42&lt;&gt;"Serviço",AND(AUTOEVENTO="Manual",$M42=$A$15),$M42&gt;(ROW(PLE.lastrow)-ROW(PLE.firstrow))),0,
           IF(OFFSET(PLE!$G$15,$M42-$A$15,BZ$13)="",10^12,OFFSET(PLE!$G$15,$M42-$A$15,BZ$13)))</f>
        <v>0</v>
      </c>
      <c r="CA42" s="172">
        <f ca="1">IF(OR($D42&lt;&gt;"Serviço",AND(AUTOEVENTO="Manual",$M42=$A$15),$M42&gt;(ROW(PLE.lastrow)-ROW(PLE.firstrow))),0,
           IF(OFFSET(PLE!$G$15,$M42-$A$15,CA$13)="",10^12,OFFSET(PLE!$G$15,$M42-$A$15,CA$13)))</f>
        <v>0</v>
      </c>
      <c r="CB42" s="172">
        <f ca="1">IF(OR($D42&lt;&gt;"Serviço",AND(AUTOEVENTO="Manual",$M42=$A$15),$M42&gt;(ROW(PLE.lastrow)-ROW(PLE.firstrow))),0,
           IF(OFFSET(PLE!$G$15,$M42-$A$15,CB$13)="",10^12,OFFSET(PLE!$G$15,$M42-$A$15,CB$13)))</f>
        <v>0</v>
      </c>
      <c r="CC42" s="172">
        <f ca="1">IF(OR($D42&lt;&gt;"Serviço",AND(AUTOEVENTO="Manual",$M42=$A$15),$M42&gt;(ROW(PLE.lastrow)-ROW(PLE.firstrow))),0,
           IF(OFFSET(PLE!$G$15,$M42-$A$15,CC$13)="",10^12,OFFSET(PLE!$G$15,$M42-$A$15,CC$13)))</f>
        <v>0</v>
      </c>
      <c r="CD42" s="172">
        <f ca="1">IF(OR($D42&lt;&gt;"Serviço",AND(AUTOEVENTO="Manual",$M42=$A$15),$M42&gt;(ROW(PLE.lastrow)-ROW(PLE.firstrow))),0,
           IF(OFFSET(PLE!$G$15,$M42-$A$15,CD$13)="",10^12,OFFSET(PLE!$G$15,$M42-$A$15,CD$13)))</f>
        <v>0</v>
      </c>
      <c r="CE42" s="172">
        <f ca="1">IF(OR($D42&lt;&gt;"Serviço",AND(AUTOEVENTO="Manual",$M42=$A$15),$M42&gt;(ROW(PLE.lastrow)-ROW(PLE.firstrow))),0,
           IF(OFFSET(PLE!$G$15,$M42-$A$15,CE$13)="",10^12,OFFSET(PLE!$G$15,$M42-$A$15,CE$13)))</f>
        <v>0</v>
      </c>
      <c r="CF42" s="172">
        <f ca="1">IF(OR($D42&lt;&gt;"Serviço",AND(AUTOEVENTO="Manual",$M42=$A$15),$M42&gt;(ROW(PLE.lastrow)-ROW(PLE.firstrow))),0,
           IF(OFFSET(PLE!$G$15,$M42-$A$15,CF$13)="",10^12,OFFSET(PLE!$G$15,$M42-$A$15,CF$13)))</f>
        <v>0</v>
      </c>
      <c r="CG42" s="172">
        <f ca="1">IF(OR($D42&lt;&gt;"Serviço",AND(AUTOEVENTO="Manual",$M42=$A$15),$M42&gt;(ROW(PLE.lastrow)-ROW(PLE.firstrow))),0,
           IF(OFFSET(PLE!$G$15,$M42-$A$15,CG$13)="",10^12,OFFSET(PLE!$G$15,$M42-$A$15,CG$13)))</f>
        <v>0</v>
      </c>
      <c r="CH42" s="172">
        <f ca="1">IF(OR($D42&lt;&gt;"Serviço",AND(AUTOEVENTO="Manual",$M42=$A$15),$M42&gt;(ROW(PLE.lastrow)-ROW(PLE.firstrow))),0,
           IF(OFFSET(PLE!$G$15,$M42-$A$15,CH$13)="",10^12,OFFSET(PLE!$G$15,$M42-$A$15,CH$13)))</f>
        <v>0</v>
      </c>
      <c r="CI42" s="172">
        <f ca="1">IF(OR($D42&lt;&gt;"Serviço",AND(AUTOEVENTO="Manual",$M42=$A$15),$M42&gt;(ROW(PLE.lastrow)-ROW(PLE.firstrow))),0,
           IF(OFFSET(PLE!$G$15,$M42-$A$15,CI$13)="",10^12,OFFSET(PLE!$G$15,$M42-$A$15,CI$13)))</f>
        <v>0</v>
      </c>
      <c r="CJ42" s="172">
        <f ca="1">IF(OR($D42&lt;&gt;"Serviço",AND(AUTOEVENTO="Manual",$M42=$A$15),$M42&gt;(ROW(PLE.lastrow)-ROW(PLE.firstrow))),0,
           IF(OFFSET(PLE!$G$15,$M42-$A$15,CJ$13)="",10^12,OFFSET(PLE!$G$15,$M42-$A$15,CJ$13)))</f>
        <v>0</v>
      </c>
      <c r="CK42" s="172">
        <f ca="1">IF(OR($D42&lt;&gt;"Serviço",AND(AUTOEVENTO="Manual",$M42=$A$15),$M42&gt;(ROW(PLE.lastrow)-ROW(PLE.firstrow))),0,
           IF(OFFSET(PLE!$G$15,$M42-$A$15,CK$13)="",10^12,OFFSET(PLE!$G$15,$M42-$A$15,CK$13)))</f>
        <v>0</v>
      </c>
      <c r="CL42" s="172">
        <f ca="1">IF(OR($D42&lt;&gt;"Serviço",AND(AUTOEVENTO="Manual",$M42=$A$15),$M42&gt;(ROW(PLE.lastrow)-ROW(PLE.firstrow))),0,
           IF(OFFSET(PLE!$G$15,$M42-$A$15,CL$13)="",10^12,OFFSET(PLE!$G$15,$M42-$A$15,CL$13)))</f>
        <v>0</v>
      </c>
      <c r="CM42" s="172">
        <f ca="1">IF(OR($D42&lt;&gt;"Serviço",AND(AUTOEVENTO="Manual",$M42=$A$15),$M42&gt;(ROW(PLE.lastrow)-ROW(PLE.firstrow))),0,
           IF(OFFSET(PLE!$G$15,$M42-$A$15,CM$13)="",10^12,OFFSET(PLE!$G$15,$M42-$A$15,CM$13)))</f>
        <v>0</v>
      </c>
    </row>
    <row r="43" spans="1:91" ht="12.75" x14ac:dyDescent="0.2">
      <c r="A43" s="7">
        <f t="shared" ca="1" si="10"/>
        <v>2</v>
      </c>
      <c r="B43" s="7" t="str">
        <f ca="1">OFFSET(ORÇAMENTO!C$15,ROW(B43)-ROW(B$15),0)</f>
        <v>S</v>
      </c>
      <c r="C43" s="7" t="str">
        <f ca="1">OFFSET(ORÇAMENTO!L$15,ROW(C43)-ROW(C$15),0)</f>
        <v>F</v>
      </c>
      <c r="D43" s="116" t="str">
        <f ca="1">OFFSET(ORÇAMENTO!N$15,ROW(D43)-ROW(D$15),0)</f>
        <v>Serviço</v>
      </c>
      <c r="E43" s="117" t="str">
        <f ca="1">OFFSET(ORÇAMENTO!O$15,ROW(E43)-ROW(E$15),0)</f>
        <v>1.3.3.0.1.</v>
      </c>
      <c r="F43" s="163" t="str">
        <f ca="1">OFFSET(ORÇAMENTO!R$15,ROW(F43)-ROW(F$15),0)</f>
        <v>EQUIPE DE TOPOGRAFIA - OBRA - BASEADO EM SUDECAP (43.01.03)</v>
      </c>
      <c r="G43" s="164" t="str">
        <f ca="1">IF($D43&lt;&gt;"Serviço","",OFFSET(ORÇAMENTO!S$15,ROW(G43)-ROW(G$15),0))</f>
        <v>MÊS</v>
      </c>
      <c r="H43" s="122" cm="1">
        <f t="array" aca="1" ref="H43" ca="1">IF($D43&lt;&gt;"Serviço",0,IF(ACOMPANHAMENTO="BM",ROUND(OFFSET(ORÇAMENTO!AJ$15,ROW(H43)-ROW(H$15),0),15-13*ORÇAMENTO!$AF$7),SUMPRODUCT(($Q$1:$AI$1=1)*ROUND($Q43:$AI43,15-13*ORÇAMENTO!$AF$7))))</f>
        <v>2</v>
      </c>
      <c r="I43" s="468" t="s">
        <v>1293</v>
      </c>
      <c r="J43" s="640" t="str" cm="1">
        <f t="array" aca="1" ref="J43" ca="1">IF(OR(B43&lt;&gt;"S",CÁLCULO.FrentesPreenchidas=0),"",IF(AND(ACOMPANHAMENTO="PLE",AUTOEVENTO="Manual",OR(H43&gt;0,ORÇAMENTO!AC43="QUANT."),OR(K43="",M43=0,N43="")),"►E",IF(AND(ACOMPANHAMENTO="PLE",ORÇAMENTO!AC43="QUANT."),"►Q",IF(AND(ACOMPANHAMENTO="PLE",H43&lt;&gt;SUMPRODUCT(($Q$1:$AI$1=1)*ROUND(Q43:AI43,15))),"►S",IF(AND(COUNTIF($P$11:$AI$11,"▼")=0,H43&gt;0,I43=""),"◄M","")))))</f>
        <v/>
      </c>
      <c r="K43" s="641" t="s">
        <v>1387</v>
      </c>
      <c r="L43" s="165" t="s">
        <v>764</v>
      </c>
      <c r="M43" s="166">
        <f ca="1">IF($D43&lt;&gt;"Serviço","",
          IF(AUTOEVENTO="manual",$A43,
                IF(ISERROR(MATCH($A43,$A$15:OFFSET($A43,-1,0),0)),MAX($M$15:OFFSET(M43,-1,0))+1,
                      INDEX($M$15:OFFSET(M43,-1,0),MATCH($A43,$A$15:OFFSET($A43,-1,0),0)))))</f>
        <v>2</v>
      </c>
      <c r="N43" s="167" t="str">
        <f ca="1">IF($D43&lt;&gt;"Serviço","",
         IF(AUTOEVENTO="Manual",
                IF($A43=0,"&lt;-- defina o número do agrupador",
                       OFFSET(EVENTOS!$D$15,$A43-$A$15,0)),
                OFFSET($F$15,$A43,0)))</f>
        <v>Serviços Iniciais</v>
      </c>
      <c r="O43" s="168"/>
      <c r="Q43" s="168">
        <v>1</v>
      </c>
      <c r="R43" s="169">
        <v>0.12</v>
      </c>
      <c r="S43" s="169">
        <v>0.13</v>
      </c>
      <c r="T43" s="169">
        <v>0.25</v>
      </c>
      <c r="U43" s="169">
        <v>0.25</v>
      </c>
      <c r="V43" s="169">
        <v>0.25</v>
      </c>
      <c r="W43" s="169"/>
      <c r="X43" s="169"/>
      <c r="Y43" s="169"/>
      <c r="Z43" s="170"/>
      <c r="AA43" s="169"/>
      <c r="AB43" s="169"/>
      <c r="AC43" s="169"/>
      <c r="AD43" s="169"/>
      <c r="AE43" s="169"/>
      <c r="AF43" s="169"/>
      <c r="AG43" s="169"/>
      <c r="AH43" s="170"/>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L43" s="453">
        <f ca="1">IF(AND($D43="Serviço",AL$12&lt;&gt;0,$H43&gt;0,OR(AUTOEVENTO&lt;&gt;"manual",$M43&lt;&gt;$A$15)),
        IF(Import.TipoArredondamento&lt;&gt;"TransfereGOV",
              ROUND(OFFSET($P43,0,AL$13),15-13*ORÇAMENTO!$AF$7)/$H43*OFFSET(ORÇAMENTO!$X$15,ROW(AL43)-ROW(AL$15),0),
              ROUND(ROUND(OFFSET($P43,0,AL$13),15-13*ORÇAMENTO!$AF$7)*OFFSET(ORÇAMENTO!$W$15,ROW(AL43)-ROW(AL$15),0),15-13*ORÇAMENTO!$AF$11)),
         0)</f>
        <v>0</v>
      </c>
      <c r="AM43" s="453">
        <f ca="1">IF(AND($D43="Serviço",AM$12&lt;&gt;0,$H43&gt;0,OR(AUTOEVENTO&lt;&gt;"manual",$M43&lt;&gt;$A$15)),
        IF(Import.TipoArredondamento&lt;&gt;"TransfereGOV",
              ROUND(OFFSET($P43,0,AM$13),15-13*ORÇAMENTO!$AF$7)/$H43*OFFSET(ORÇAMENTO!$X$15,ROW(AM43)-ROW(AM$15),0),
              ROUND(ROUND(OFFSET($P43,0,AM$13),15-13*ORÇAMENTO!$AF$7)*OFFSET(ORÇAMENTO!$W$15,ROW(AM43)-ROW(AM$15),0),15-13*ORÇAMENTO!$AF$11)),
         0)</f>
        <v>0</v>
      </c>
      <c r="AN43" s="453">
        <f ca="1">IF(AND($D43="Serviço",AN$12&lt;&gt;0,$H43&gt;0,OR(AUTOEVENTO&lt;&gt;"manual",$M43&lt;&gt;$A$15)),
        IF(Import.TipoArredondamento&lt;&gt;"TransfereGOV",
              ROUND(OFFSET($P43,0,AN$13),15-13*ORÇAMENTO!$AF$7)/$H43*OFFSET(ORÇAMENTO!$X$15,ROW(AN43)-ROW(AN$15),0),
              ROUND(ROUND(OFFSET($P43,0,AN$13),15-13*ORÇAMENTO!$AF$7)*OFFSET(ORÇAMENTO!$W$15,ROW(AN43)-ROW(AN$15),0),15-13*ORÇAMENTO!$AF$11)),
         0)</f>
        <v>0</v>
      </c>
      <c r="AO43" s="453">
        <f ca="1">IF(AND($D43="Serviço",AO$12&lt;&gt;0,$H43&gt;0,OR(AUTOEVENTO&lt;&gt;"manual",$M43&lt;&gt;$A$15)),
        IF(Import.TipoArredondamento&lt;&gt;"TransfereGOV",
              ROUND(OFFSET($P43,0,AO$13),15-13*ORÇAMENTO!$AF$7)/$H43*OFFSET(ORÇAMENTO!$X$15,ROW(AO43)-ROW(AO$15),0),
              ROUND(ROUND(OFFSET($P43,0,AO$13),15-13*ORÇAMENTO!$AF$7)*OFFSET(ORÇAMENTO!$W$15,ROW(AO43)-ROW(AO$15),0),15-13*ORÇAMENTO!$AF$11)),
         0)</f>
        <v>0</v>
      </c>
      <c r="AP43" s="453">
        <f ca="1">IF(AND($D43="Serviço",AP$12&lt;&gt;0,$H43&gt;0,OR(AUTOEVENTO&lt;&gt;"manual",$M43&lt;&gt;$A$15)),
        IF(Import.TipoArredondamento&lt;&gt;"TransfereGOV",
              ROUND(OFFSET($P43,0,AP$13),15-13*ORÇAMENTO!$AF$7)/$H43*OFFSET(ORÇAMENTO!$X$15,ROW(AP43)-ROW(AP$15),0),
              ROUND(ROUND(OFFSET($P43,0,AP$13),15-13*ORÇAMENTO!$AF$7)*OFFSET(ORÇAMENTO!$W$15,ROW(AP43)-ROW(AP$15),0),15-13*ORÇAMENTO!$AF$11)),
         0)</f>
        <v>0</v>
      </c>
      <c r="AQ43" s="453">
        <f ca="1">IF(AND($D43="Serviço",AQ$12&lt;&gt;0,$H43&gt;0,OR(AUTOEVENTO&lt;&gt;"manual",$M43&lt;&gt;$A$15)),
        IF(Import.TipoArredondamento&lt;&gt;"TransfereGOV",
              ROUND(OFFSET($P43,0,AQ$13),15-13*ORÇAMENTO!$AF$7)/$H43*OFFSET(ORÇAMENTO!$X$15,ROW(AQ43)-ROW(AQ$15),0),
              ROUND(ROUND(OFFSET($P43,0,AQ$13),15-13*ORÇAMENTO!$AF$7)*OFFSET(ORÇAMENTO!$W$15,ROW(AQ43)-ROW(AQ$15),0),15-13*ORÇAMENTO!$AF$11)),
         0)</f>
        <v>0</v>
      </c>
      <c r="AR43" s="453">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3">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3">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3">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3">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3">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3">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3">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3">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3">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C43" s="171">
        <f ca="1">IF(OR($D43&lt;&gt;"Serviço",AND(AUTOEVENTO="Manual",$M43=$A$15)),0,
         IF(OFFSET(CRONOPLE!$F$15,$M43-$A$15,BC$13)=0,10^12,OFFSET(CRONOPLE!$F$15,$M43-$A$15,BC$13)))</f>
        <v>1</v>
      </c>
      <c r="BD43" s="171">
        <f ca="1">IF(OR($D43&lt;&gt;"Serviço",AND(AUTOEVENTO="Manual",$M43=$A$15)),0,
         IF(OFFSET(CRONOPLE!$F$15,$M43-$A$15,BD$13)=0,10^12,OFFSET(CRONOPLE!$F$15,$M43-$A$15,BD$13)))</f>
        <v>2</v>
      </c>
      <c r="BE43" s="171">
        <f ca="1">IF(OR($D43&lt;&gt;"Serviço",AND(AUTOEVENTO="Manual",$M43=$A$15)),0,
         IF(OFFSET(CRONOPLE!$F$15,$M43-$A$15,BE$13)=0,10^12,OFFSET(CRONOPLE!$F$15,$M43-$A$15,BE$13)))</f>
        <v>3</v>
      </c>
      <c r="BF43" s="171">
        <f ca="1">IF(OR($D43&lt;&gt;"Serviço",AND(AUTOEVENTO="Manual",$M43=$A$15)),0,
         IF(OFFSET(CRONOPLE!$F$15,$M43-$A$15,BF$13)=0,10^12,OFFSET(CRONOPLE!$F$15,$M43-$A$15,BF$13)))</f>
        <v>4</v>
      </c>
      <c r="BG43" s="171">
        <f ca="1">IF(OR($D43&lt;&gt;"Serviço",AND(AUTOEVENTO="Manual",$M43=$A$15)),0,
         IF(OFFSET(CRONOPLE!$F$15,$M43-$A$15,BG$13)=0,10^12,OFFSET(CRONOPLE!$F$15,$M43-$A$15,BG$13)))</f>
        <v>5</v>
      </c>
      <c r="BH43" s="171">
        <f ca="1">IF(OR($D43&lt;&gt;"Serviço",AND(AUTOEVENTO="Manual",$M43=$A$15)),0,
         IF(OFFSET(CRONOPLE!$F$15,$M43-$A$15,BH$13)=0,10^12,OFFSET(CRONOPLE!$F$15,$M43-$A$15,BH$13)))</f>
        <v>6</v>
      </c>
      <c r="BI43" s="171">
        <f ca="1">IF(OR($D43&lt;&gt;"Serviço",AND(AUTOEVENTO="Manual",$M43=$A$15)),0,
         IF(OFFSET(CRONOPLE!$F$15,$M43-$A$15,BI$13)=0,10^12,OFFSET(CRONOPLE!$F$15,$M43-$A$15,BI$13)))</f>
        <v>7</v>
      </c>
      <c r="BJ43" s="171">
        <f ca="1">IF(OR($D43&lt;&gt;"Serviço",AND(AUTOEVENTO="Manual",$M43=$A$15)),0,
         IF(OFFSET(CRONOPLE!$F$15,$M43-$A$15,BJ$13)=0,10^12,OFFSET(CRONOPLE!$F$15,$M43-$A$15,BJ$13)))</f>
        <v>8</v>
      </c>
      <c r="BK43" s="171">
        <f ca="1">IF(OR($D43&lt;&gt;"Serviço",AND(AUTOEVENTO="Manual",$M43=$A$15)),0,
         IF(OFFSET(CRONOPLE!$F$15,$M43-$A$15,BK$13)=0,10^12,OFFSET(CRONOPLE!$F$15,$M43-$A$15,BK$13)))</f>
        <v>9</v>
      </c>
      <c r="BL43" s="171">
        <f ca="1">IF(OR($D43&lt;&gt;"Serviço",AND(AUTOEVENTO="Manual",$M43=$A$15)),0,
         IF(OFFSET(CRONOPLE!$F$15,$M43-$A$15,BL$13)=0,10^12,OFFSET(CRONOPLE!$F$15,$M43-$A$15,BL$13)))</f>
        <v>10</v>
      </c>
      <c r="BM43" s="171">
        <f ca="1">IF(OR($D43&lt;&gt;"Serviço",AND(AUTOEVENTO="Manual",$M43=$A$15)),0,
         IF(OFFSET(CRONOPLE!$F$15,$M43-$A$15,BM$13)=0,10^12,OFFSET(CRONOPLE!$F$15,$M43-$A$15,BM$13)))</f>
        <v>1000000000000</v>
      </c>
      <c r="BN43" s="171">
        <f ca="1">IF(OR($D43&lt;&gt;"Serviço",AND(AUTOEVENTO="Manual",$M43=$A$15)),0,
         IF(OFFSET(CRONOPLE!$F$15,$M43-$A$15,BN$13)=0,10^12,OFFSET(CRONOPLE!$F$15,$M43-$A$15,BN$13)))</f>
        <v>1000000000000</v>
      </c>
      <c r="BO43" s="171">
        <f ca="1">IF(OR($D43&lt;&gt;"Serviço",AND(AUTOEVENTO="Manual",$M43=$A$15)),0,
         IF(OFFSET(CRONOPLE!$F$15,$M43-$A$15,BO$13)=0,10^12,OFFSET(CRONOPLE!$F$15,$M43-$A$15,BO$13)))</f>
        <v>1000000000000</v>
      </c>
      <c r="BP43" s="171">
        <f ca="1">IF(OR($D43&lt;&gt;"Serviço",AND(AUTOEVENTO="Manual",$M43=$A$15)),0,
         IF(OFFSET(CRONOPLE!$F$15,$M43-$A$15,BP$13)=0,10^12,OFFSET(CRONOPLE!$F$15,$M43-$A$15,BP$13)))</f>
        <v>1000000000000</v>
      </c>
      <c r="BQ43" s="171">
        <f ca="1">IF(OR($D43&lt;&gt;"Serviço",AND(AUTOEVENTO="Manual",$M43=$A$15)),0,
         IF(OFFSET(CRONOPLE!$F$15,$M43-$A$15,BQ$13)=0,10^12,OFFSET(CRONOPLE!$F$15,$M43-$A$15,BQ$13)))</f>
        <v>1000000000000</v>
      </c>
      <c r="BR43" s="171">
        <f ca="1">IF(OR($D43&lt;&gt;"Serviço",AND(AUTOEVENTO="Manual",$M43=$A$15)),0,
         IF(OFFSET(CRONOPLE!$F$15,$M43-$A$15,BR$13)=0,10^12,OFFSET(CRONOPLE!$F$15,$M43-$A$15,BR$13)))</f>
        <v>1000000000000</v>
      </c>
      <c r="BS43" s="171">
        <f ca="1">IF(OR($D43&lt;&gt;"Serviço",AND(AUTOEVENTO="Manual",$M43=$A$15)),0,
         IF(OFFSET(CRONOPLE!$F$15,$M43-$A$15,BS$13)=0,10^12,OFFSET(CRONOPLE!$F$15,$M43-$A$15,BS$13)))</f>
        <v>1000000000000</v>
      </c>
      <c r="BT43" s="171">
        <f ca="1">IF(OR($D43&lt;&gt;"Serviço",AND(AUTOEVENTO="Manual",$M43=$A$15)),0,
         IF(OFFSET(CRONOPLE!$F$15,$M43-$A$15,BT$13)=0,10^12,OFFSET(CRONOPLE!$F$15,$M43-$A$15,BT$13)))</f>
        <v>1000000000000</v>
      </c>
      <c r="BV43" s="172">
        <f ca="1">IF(OR($D43&lt;&gt;"Serviço",AND(AUTOEVENTO="Manual",$M43=$A$15),$M43&gt;(ROW(PLE.lastrow)-ROW(PLE.firstrow))),0,
           IF(OFFSET(PLE!$G$15,$M43-$A$15,BV$13)="",10^12,OFFSET(PLE!$G$15,$M43-$A$15,BV$13)))</f>
        <v>1000000000000</v>
      </c>
      <c r="BW43" s="172">
        <f ca="1">IF(OR($D43&lt;&gt;"Serviço",AND(AUTOEVENTO="Manual",$M43=$A$15),$M43&gt;(ROW(PLE.lastrow)-ROW(PLE.firstrow))),0,
           IF(OFFSET(PLE!$G$15,$M43-$A$15,BW$13)="",10^12,OFFSET(PLE!$G$15,$M43-$A$15,BW$13)))</f>
        <v>1000000000000</v>
      </c>
      <c r="BX43" s="172">
        <f ca="1">IF(OR($D43&lt;&gt;"Serviço",AND(AUTOEVENTO="Manual",$M43=$A$15),$M43&gt;(ROW(PLE.lastrow)-ROW(PLE.firstrow))),0,
           IF(OFFSET(PLE!$G$15,$M43-$A$15,BX$13)="",10^12,OFFSET(PLE!$G$15,$M43-$A$15,BX$13)))</f>
        <v>1000000000000</v>
      </c>
      <c r="BY43" s="172">
        <f ca="1">IF(OR($D43&lt;&gt;"Serviço",AND(AUTOEVENTO="Manual",$M43=$A$15),$M43&gt;(ROW(PLE.lastrow)-ROW(PLE.firstrow))),0,
           IF(OFFSET(PLE!$G$15,$M43-$A$15,BY$13)="",10^12,OFFSET(PLE!$G$15,$M43-$A$15,BY$13)))</f>
        <v>1000000000000</v>
      </c>
      <c r="BZ43" s="172">
        <f ca="1">IF(OR($D43&lt;&gt;"Serviço",AND(AUTOEVENTO="Manual",$M43=$A$15),$M43&gt;(ROW(PLE.lastrow)-ROW(PLE.firstrow))),0,
           IF(OFFSET(PLE!$G$15,$M43-$A$15,BZ$13)="",10^12,OFFSET(PLE!$G$15,$M43-$A$15,BZ$13)))</f>
        <v>1000000000000</v>
      </c>
      <c r="CA43" s="172">
        <f ca="1">IF(OR($D43&lt;&gt;"Serviço",AND(AUTOEVENTO="Manual",$M43=$A$15),$M43&gt;(ROW(PLE.lastrow)-ROW(PLE.firstrow))),0,
           IF(OFFSET(PLE!$G$15,$M43-$A$15,CA$13)="",10^12,OFFSET(PLE!$G$15,$M43-$A$15,CA$13)))</f>
        <v>1000000000000</v>
      </c>
      <c r="CB43" s="172">
        <f ca="1">IF(OR($D43&lt;&gt;"Serviço",AND(AUTOEVENTO="Manual",$M43=$A$15),$M43&gt;(ROW(PLE.lastrow)-ROW(PLE.firstrow))),0,
           IF(OFFSET(PLE!$G$15,$M43-$A$15,CB$13)="",10^12,OFFSET(PLE!$G$15,$M43-$A$15,CB$13)))</f>
        <v>1000000000000</v>
      </c>
      <c r="CC43" s="172">
        <f ca="1">IF(OR($D43&lt;&gt;"Serviço",AND(AUTOEVENTO="Manual",$M43=$A$15),$M43&gt;(ROW(PLE.lastrow)-ROW(PLE.firstrow))),0,
           IF(OFFSET(PLE!$G$15,$M43-$A$15,CC$13)="",10^12,OFFSET(PLE!$G$15,$M43-$A$15,CC$13)))</f>
        <v>1000000000000</v>
      </c>
      <c r="CD43" s="172">
        <f ca="1">IF(OR($D43&lt;&gt;"Serviço",AND(AUTOEVENTO="Manual",$M43=$A$15),$M43&gt;(ROW(PLE.lastrow)-ROW(PLE.firstrow))),0,
           IF(OFFSET(PLE!$G$15,$M43-$A$15,CD$13)="",10^12,OFFSET(PLE!$G$15,$M43-$A$15,CD$13)))</f>
        <v>1000000000000</v>
      </c>
      <c r="CE43" s="172">
        <f ca="1">IF(OR($D43&lt;&gt;"Serviço",AND(AUTOEVENTO="Manual",$M43=$A$15),$M43&gt;(ROW(PLE.lastrow)-ROW(PLE.firstrow))),0,
           IF(OFFSET(PLE!$G$15,$M43-$A$15,CE$13)="",10^12,OFFSET(PLE!$G$15,$M43-$A$15,CE$13)))</f>
        <v>1000000000000</v>
      </c>
      <c r="CF43" s="172">
        <f ca="1">IF(OR($D43&lt;&gt;"Serviço",AND(AUTOEVENTO="Manual",$M43=$A$15),$M43&gt;(ROW(PLE.lastrow)-ROW(PLE.firstrow))),0,
           IF(OFFSET(PLE!$G$15,$M43-$A$15,CF$13)="",10^12,OFFSET(PLE!$G$15,$M43-$A$15,CF$13)))</f>
        <v>1000000000000</v>
      </c>
      <c r="CG43" s="172">
        <f ca="1">IF(OR($D43&lt;&gt;"Serviço",AND(AUTOEVENTO="Manual",$M43=$A$15),$M43&gt;(ROW(PLE.lastrow)-ROW(PLE.firstrow))),0,
           IF(OFFSET(PLE!$G$15,$M43-$A$15,CG$13)="",10^12,OFFSET(PLE!$G$15,$M43-$A$15,CG$13)))</f>
        <v>1000000000000</v>
      </c>
      <c r="CH43" s="172">
        <f ca="1">IF(OR($D43&lt;&gt;"Serviço",AND(AUTOEVENTO="Manual",$M43=$A$15),$M43&gt;(ROW(PLE.lastrow)-ROW(PLE.firstrow))),0,
           IF(OFFSET(PLE!$G$15,$M43-$A$15,CH$13)="",10^12,OFFSET(PLE!$G$15,$M43-$A$15,CH$13)))</f>
        <v>1000000000000</v>
      </c>
      <c r="CI43" s="172">
        <f ca="1">IF(OR($D43&lt;&gt;"Serviço",AND(AUTOEVENTO="Manual",$M43=$A$15),$M43&gt;(ROW(PLE.lastrow)-ROW(PLE.firstrow))),0,
           IF(OFFSET(PLE!$G$15,$M43-$A$15,CI$13)="",10^12,OFFSET(PLE!$G$15,$M43-$A$15,CI$13)))</f>
        <v>1000000000000</v>
      </c>
      <c r="CJ43" s="172">
        <f ca="1">IF(OR($D43&lt;&gt;"Serviço",AND(AUTOEVENTO="Manual",$M43=$A$15),$M43&gt;(ROW(PLE.lastrow)-ROW(PLE.firstrow))),0,
           IF(OFFSET(PLE!$G$15,$M43-$A$15,CJ$13)="",10^12,OFFSET(PLE!$G$15,$M43-$A$15,CJ$13)))</f>
        <v>1000000000000</v>
      </c>
      <c r="CK43" s="172">
        <f ca="1">IF(OR($D43&lt;&gt;"Serviço",AND(AUTOEVENTO="Manual",$M43=$A$15),$M43&gt;(ROW(PLE.lastrow)-ROW(PLE.firstrow))),0,
           IF(OFFSET(PLE!$G$15,$M43-$A$15,CK$13)="",10^12,OFFSET(PLE!$G$15,$M43-$A$15,CK$13)))</f>
        <v>1000000000000</v>
      </c>
      <c r="CL43" s="172">
        <f ca="1">IF(OR($D43&lt;&gt;"Serviço",AND(AUTOEVENTO="Manual",$M43=$A$15),$M43&gt;(ROW(PLE.lastrow)-ROW(PLE.firstrow))),0,
           IF(OFFSET(PLE!$G$15,$M43-$A$15,CL$13)="",10^12,OFFSET(PLE!$G$15,$M43-$A$15,CL$13)))</f>
        <v>1000000000000</v>
      </c>
      <c r="CM43" s="172">
        <f ca="1">IF(OR($D43&lt;&gt;"Serviço",AND(AUTOEVENTO="Manual",$M43=$A$15),$M43&gt;(ROW(PLE.lastrow)-ROW(PLE.firstrow))),0,
           IF(OFFSET(PLE!$G$15,$M43-$A$15,CM$13)="",10^12,OFFSET(PLE!$G$15,$M43-$A$15,CM$13)))</f>
        <v>1000000000000</v>
      </c>
    </row>
    <row r="44" spans="1:91" ht="12.75" x14ac:dyDescent="0.2">
      <c r="A44" s="7">
        <f t="shared" ca="1" si="10"/>
        <v>0</v>
      </c>
      <c r="B44" s="7">
        <f ca="1">OFFSET(ORÇAMENTO!C$15,ROW(B44)-ROW(B$15),0)</f>
        <v>3</v>
      </c>
      <c r="C44" s="7" t="str">
        <f ca="1">OFFSET(ORÇAMENTO!L$15,ROW(C44)-ROW(C$15),0)</f>
        <v>F</v>
      </c>
      <c r="D44" s="116" t="str">
        <f ca="1">OFFSET(ORÇAMENTO!N$15,ROW(D44)-ROW(D$15),0)</f>
        <v>Nível 3</v>
      </c>
      <c r="E44" s="117" t="str">
        <f ca="1">OFFSET(ORÇAMENTO!O$15,ROW(E44)-ROW(E$15),0)</f>
        <v>1.3.4.</v>
      </c>
      <c r="F44" s="163" t="str">
        <f ca="1">OFFSET(ORÇAMENTO!R$15,ROW(F44)-ROW(F$15),0)</f>
        <v>SINALIZAÇÃO DE OBRA</v>
      </c>
      <c r="G44" s="164" t="str">
        <f ca="1">IF($D44&lt;&gt;"Serviço","",OFFSET(ORÇAMENTO!S$15,ROW(G44)-ROW(G$15),0))</f>
        <v/>
      </c>
      <c r="H44" s="122" cm="1">
        <f t="array" aca="1" ref="H44" ca="1">IF($D44&lt;&gt;"Serviço",0,IF(ACOMPANHAMENTO="BM",ROUND(OFFSET(ORÇAMENTO!AJ$15,ROW(H44)-ROW(H$15),0),15-13*ORÇAMENTO!$AF$7),SUMPRODUCT(($Q$1:$AI$1=1)*ROUND($Q44:$AI44,15-13*ORÇAMENTO!$AF$7))))</f>
        <v>0</v>
      </c>
      <c r="I44" s="468"/>
      <c r="J44" s="640" t="str" cm="1">
        <f t="array" aca="1" ref="J44" ca="1">IF(OR(B44&lt;&gt;"S",CÁLCULO.FrentesPreenchidas=0),"",IF(AND(ACOMPANHAMENTO="PLE",AUTOEVENTO="Manual",OR(H44&gt;0,ORÇAMENTO!AC44="QUANT."),OR(K44="",M44=0,N44="")),"►E",IF(AND(ACOMPANHAMENTO="PLE",ORÇAMENTO!AC44="QUANT."),"►Q",IF(AND(ACOMPANHAMENTO="PLE",H44&lt;&gt;SUMPRODUCT(($Q$1:$AI$1=1)*ROUND(Q44:AI44,15))),"►S",IF(AND(COUNTIF($P$11:$AI$11,"▼")=0,H44&gt;0,I44=""),"◄M","")))))</f>
        <v/>
      </c>
      <c r="K44" s="641"/>
      <c r="L44" s="165" t="s">
        <v>764</v>
      </c>
      <c r="M44" s="166" t="str">
        <f ca="1">IF($D44&lt;&gt;"Serviço","",
          IF(AUTOEVENTO="manual",$A44,
                IF(ISERROR(MATCH($A44,$A$15:OFFSET($A44,-1,0),0)),MAX($M$15:OFFSET(M44,-1,0))+1,
                      INDEX($M$15:OFFSET(M44,-1,0),MATCH($A44,$A$15:OFFSET($A44,-1,0),0)))))</f>
        <v/>
      </c>
      <c r="N44" s="167" t="str">
        <f ca="1">IF($D44&lt;&gt;"Serviço","",
         IF(AUTOEVENTO="Manual",
                IF($A44=0,"&lt;-- defina o número do agrupador",
                       OFFSET(EVENTOS!$D$15,$A44-$A$15,0)),
                OFFSET($F$15,$A44,0)))</f>
        <v/>
      </c>
      <c r="O44" s="168"/>
      <c r="Q44" s="168"/>
      <c r="R44" s="169"/>
      <c r="S44" s="169"/>
      <c r="T44" s="169"/>
      <c r="U44" s="169"/>
      <c r="V44" s="169"/>
      <c r="W44" s="169"/>
      <c r="X44" s="169"/>
      <c r="Y44" s="169"/>
      <c r="Z44" s="170"/>
      <c r="AA44" s="169"/>
      <c r="AB44" s="169"/>
      <c r="AC44" s="169"/>
      <c r="AD44" s="169"/>
      <c r="AE44" s="169"/>
      <c r="AF44" s="169"/>
      <c r="AG44" s="169"/>
      <c r="AH44" s="170"/>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L44" s="453">
        <f ca="1">IF(AND($D44="Serviço",AL$12&lt;&gt;0,$H44&gt;0,OR(AUTOEVENTO&lt;&gt;"manual",$M44&lt;&gt;$A$15)),
        IF(Import.TipoArredondamento&lt;&gt;"TransfereGOV",
              ROUND(OFFSET($P44,0,AL$13),15-13*ORÇAMENTO!$AF$7)/$H44*OFFSET(ORÇAMENTO!$X$15,ROW(AL44)-ROW(AL$15),0),
              ROUND(ROUND(OFFSET($P44,0,AL$13),15-13*ORÇAMENTO!$AF$7)*OFFSET(ORÇAMENTO!$W$15,ROW(AL44)-ROW(AL$15),0),15-13*ORÇAMENTO!$AF$11)),
         0)</f>
        <v>0</v>
      </c>
      <c r="AM44" s="453">
        <f ca="1">IF(AND($D44="Serviço",AM$12&lt;&gt;0,$H44&gt;0,OR(AUTOEVENTO&lt;&gt;"manual",$M44&lt;&gt;$A$15)),
        IF(Import.TipoArredondamento&lt;&gt;"TransfereGOV",
              ROUND(OFFSET($P44,0,AM$13),15-13*ORÇAMENTO!$AF$7)/$H44*OFFSET(ORÇAMENTO!$X$15,ROW(AM44)-ROW(AM$15),0),
              ROUND(ROUND(OFFSET($P44,0,AM$13),15-13*ORÇAMENTO!$AF$7)*OFFSET(ORÇAMENTO!$W$15,ROW(AM44)-ROW(AM$15),0),15-13*ORÇAMENTO!$AF$11)),
         0)</f>
        <v>0</v>
      </c>
      <c r="AN44" s="453">
        <f ca="1">IF(AND($D44="Serviço",AN$12&lt;&gt;0,$H44&gt;0,OR(AUTOEVENTO&lt;&gt;"manual",$M44&lt;&gt;$A$15)),
        IF(Import.TipoArredondamento&lt;&gt;"TransfereGOV",
              ROUND(OFFSET($P44,0,AN$13),15-13*ORÇAMENTO!$AF$7)/$H44*OFFSET(ORÇAMENTO!$X$15,ROW(AN44)-ROW(AN$15),0),
              ROUND(ROUND(OFFSET($P44,0,AN$13),15-13*ORÇAMENTO!$AF$7)*OFFSET(ORÇAMENTO!$W$15,ROW(AN44)-ROW(AN$15),0),15-13*ORÇAMENTO!$AF$11)),
         0)</f>
        <v>0</v>
      </c>
      <c r="AO44" s="453">
        <f ca="1">IF(AND($D44="Serviço",AO$12&lt;&gt;0,$H44&gt;0,OR(AUTOEVENTO&lt;&gt;"manual",$M44&lt;&gt;$A$15)),
        IF(Import.TipoArredondamento&lt;&gt;"TransfereGOV",
              ROUND(OFFSET($P44,0,AO$13),15-13*ORÇAMENTO!$AF$7)/$H44*OFFSET(ORÇAMENTO!$X$15,ROW(AO44)-ROW(AO$15),0),
              ROUND(ROUND(OFFSET($P44,0,AO$13),15-13*ORÇAMENTO!$AF$7)*OFFSET(ORÇAMENTO!$W$15,ROW(AO44)-ROW(AO$15),0),15-13*ORÇAMENTO!$AF$11)),
         0)</f>
        <v>0</v>
      </c>
      <c r="AP44" s="453">
        <f ca="1">IF(AND($D44="Serviço",AP$12&lt;&gt;0,$H44&gt;0,OR(AUTOEVENTO&lt;&gt;"manual",$M44&lt;&gt;$A$15)),
        IF(Import.TipoArredondamento&lt;&gt;"TransfereGOV",
              ROUND(OFFSET($P44,0,AP$13),15-13*ORÇAMENTO!$AF$7)/$H44*OFFSET(ORÇAMENTO!$X$15,ROW(AP44)-ROW(AP$15),0),
              ROUND(ROUND(OFFSET($P44,0,AP$13),15-13*ORÇAMENTO!$AF$7)*OFFSET(ORÇAMENTO!$W$15,ROW(AP44)-ROW(AP$15),0),15-13*ORÇAMENTO!$AF$11)),
         0)</f>
        <v>0</v>
      </c>
      <c r="AQ44" s="453">
        <f ca="1">IF(AND($D44="Serviço",AQ$12&lt;&gt;0,$H44&gt;0,OR(AUTOEVENTO&lt;&gt;"manual",$M44&lt;&gt;$A$15)),
        IF(Import.TipoArredondamento&lt;&gt;"TransfereGOV",
              ROUND(OFFSET($P44,0,AQ$13),15-13*ORÇAMENTO!$AF$7)/$H44*OFFSET(ORÇAMENTO!$X$15,ROW(AQ44)-ROW(AQ$15),0),
              ROUND(ROUND(OFFSET($P44,0,AQ$13),15-13*ORÇAMENTO!$AF$7)*OFFSET(ORÇAMENTO!$W$15,ROW(AQ44)-ROW(AQ$15),0),15-13*ORÇAMENTO!$AF$11)),
         0)</f>
        <v>0</v>
      </c>
      <c r="AR44" s="453">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3">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3">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3">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3">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3">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3">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3">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3">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3">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C44" s="171">
        <f ca="1">IF(OR($D44&lt;&gt;"Serviço",AND(AUTOEVENTO="Manual",$M44=$A$15)),0,
         IF(OFFSET(CRONOPLE!$F$15,$M44-$A$15,BC$13)=0,10^12,OFFSET(CRONOPLE!$F$15,$M44-$A$15,BC$13)))</f>
        <v>0</v>
      </c>
      <c r="BD44" s="171">
        <f ca="1">IF(OR($D44&lt;&gt;"Serviço",AND(AUTOEVENTO="Manual",$M44=$A$15)),0,
         IF(OFFSET(CRONOPLE!$F$15,$M44-$A$15,BD$13)=0,10^12,OFFSET(CRONOPLE!$F$15,$M44-$A$15,BD$13)))</f>
        <v>0</v>
      </c>
      <c r="BE44" s="171">
        <f ca="1">IF(OR($D44&lt;&gt;"Serviço",AND(AUTOEVENTO="Manual",$M44=$A$15)),0,
         IF(OFFSET(CRONOPLE!$F$15,$M44-$A$15,BE$13)=0,10^12,OFFSET(CRONOPLE!$F$15,$M44-$A$15,BE$13)))</f>
        <v>0</v>
      </c>
      <c r="BF44" s="171">
        <f ca="1">IF(OR($D44&lt;&gt;"Serviço",AND(AUTOEVENTO="Manual",$M44=$A$15)),0,
         IF(OFFSET(CRONOPLE!$F$15,$M44-$A$15,BF$13)=0,10^12,OFFSET(CRONOPLE!$F$15,$M44-$A$15,BF$13)))</f>
        <v>0</v>
      </c>
      <c r="BG44" s="171">
        <f ca="1">IF(OR($D44&lt;&gt;"Serviço",AND(AUTOEVENTO="Manual",$M44=$A$15)),0,
         IF(OFFSET(CRONOPLE!$F$15,$M44-$A$15,BG$13)=0,10^12,OFFSET(CRONOPLE!$F$15,$M44-$A$15,BG$13)))</f>
        <v>0</v>
      </c>
      <c r="BH44" s="171">
        <f ca="1">IF(OR($D44&lt;&gt;"Serviço",AND(AUTOEVENTO="Manual",$M44=$A$15)),0,
         IF(OFFSET(CRONOPLE!$F$15,$M44-$A$15,BH$13)=0,10^12,OFFSET(CRONOPLE!$F$15,$M44-$A$15,BH$13)))</f>
        <v>0</v>
      </c>
      <c r="BI44" s="171">
        <f ca="1">IF(OR($D44&lt;&gt;"Serviço",AND(AUTOEVENTO="Manual",$M44=$A$15)),0,
         IF(OFFSET(CRONOPLE!$F$15,$M44-$A$15,BI$13)=0,10^12,OFFSET(CRONOPLE!$F$15,$M44-$A$15,BI$13)))</f>
        <v>0</v>
      </c>
      <c r="BJ44" s="171">
        <f ca="1">IF(OR($D44&lt;&gt;"Serviço",AND(AUTOEVENTO="Manual",$M44=$A$15)),0,
         IF(OFFSET(CRONOPLE!$F$15,$M44-$A$15,BJ$13)=0,10^12,OFFSET(CRONOPLE!$F$15,$M44-$A$15,BJ$13)))</f>
        <v>0</v>
      </c>
      <c r="BK44" s="171">
        <f ca="1">IF(OR($D44&lt;&gt;"Serviço",AND(AUTOEVENTO="Manual",$M44=$A$15)),0,
         IF(OFFSET(CRONOPLE!$F$15,$M44-$A$15,BK$13)=0,10^12,OFFSET(CRONOPLE!$F$15,$M44-$A$15,BK$13)))</f>
        <v>0</v>
      </c>
      <c r="BL44" s="171">
        <f ca="1">IF(OR($D44&lt;&gt;"Serviço",AND(AUTOEVENTO="Manual",$M44=$A$15)),0,
         IF(OFFSET(CRONOPLE!$F$15,$M44-$A$15,BL$13)=0,10^12,OFFSET(CRONOPLE!$F$15,$M44-$A$15,BL$13)))</f>
        <v>0</v>
      </c>
      <c r="BM44" s="171">
        <f ca="1">IF(OR($D44&lt;&gt;"Serviço",AND(AUTOEVENTO="Manual",$M44=$A$15)),0,
         IF(OFFSET(CRONOPLE!$F$15,$M44-$A$15,BM$13)=0,10^12,OFFSET(CRONOPLE!$F$15,$M44-$A$15,BM$13)))</f>
        <v>0</v>
      </c>
      <c r="BN44" s="171">
        <f ca="1">IF(OR($D44&lt;&gt;"Serviço",AND(AUTOEVENTO="Manual",$M44=$A$15)),0,
         IF(OFFSET(CRONOPLE!$F$15,$M44-$A$15,BN$13)=0,10^12,OFFSET(CRONOPLE!$F$15,$M44-$A$15,BN$13)))</f>
        <v>0</v>
      </c>
      <c r="BO44" s="171">
        <f ca="1">IF(OR($D44&lt;&gt;"Serviço",AND(AUTOEVENTO="Manual",$M44=$A$15)),0,
         IF(OFFSET(CRONOPLE!$F$15,$M44-$A$15,BO$13)=0,10^12,OFFSET(CRONOPLE!$F$15,$M44-$A$15,BO$13)))</f>
        <v>0</v>
      </c>
      <c r="BP44" s="171">
        <f ca="1">IF(OR($D44&lt;&gt;"Serviço",AND(AUTOEVENTO="Manual",$M44=$A$15)),0,
         IF(OFFSET(CRONOPLE!$F$15,$M44-$A$15,BP$13)=0,10^12,OFFSET(CRONOPLE!$F$15,$M44-$A$15,BP$13)))</f>
        <v>0</v>
      </c>
      <c r="BQ44" s="171">
        <f ca="1">IF(OR($D44&lt;&gt;"Serviço",AND(AUTOEVENTO="Manual",$M44=$A$15)),0,
         IF(OFFSET(CRONOPLE!$F$15,$M44-$A$15,BQ$13)=0,10^12,OFFSET(CRONOPLE!$F$15,$M44-$A$15,BQ$13)))</f>
        <v>0</v>
      </c>
      <c r="BR44" s="171">
        <f ca="1">IF(OR($D44&lt;&gt;"Serviço",AND(AUTOEVENTO="Manual",$M44=$A$15)),0,
         IF(OFFSET(CRONOPLE!$F$15,$M44-$A$15,BR$13)=0,10^12,OFFSET(CRONOPLE!$F$15,$M44-$A$15,BR$13)))</f>
        <v>0</v>
      </c>
      <c r="BS44" s="171">
        <f ca="1">IF(OR($D44&lt;&gt;"Serviço",AND(AUTOEVENTO="Manual",$M44=$A$15)),0,
         IF(OFFSET(CRONOPLE!$F$15,$M44-$A$15,BS$13)=0,10^12,OFFSET(CRONOPLE!$F$15,$M44-$A$15,BS$13)))</f>
        <v>0</v>
      </c>
      <c r="BT44" s="171">
        <f ca="1">IF(OR($D44&lt;&gt;"Serviço",AND(AUTOEVENTO="Manual",$M44=$A$15)),0,
         IF(OFFSET(CRONOPLE!$F$15,$M44-$A$15,BT$13)=0,10^12,OFFSET(CRONOPLE!$F$15,$M44-$A$15,BT$13)))</f>
        <v>0</v>
      </c>
      <c r="BV44" s="172">
        <f ca="1">IF(OR($D44&lt;&gt;"Serviço",AND(AUTOEVENTO="Manual",$M44=$A$15),$M44&gt;(ROW(PLE.lastrow)-ROW(PLE.firstrow))),0,
           IF(OFFSET(PLE!$G$15,$M44-$A$15,BV$13)="",10^12,OFFSET(PLE!$G$15,$M44-$A$15,BV$13)))</f>
        <v>0</v>
      </c>
      <c r="BW44" s="172">
        <f ca="1">IF(OR($D44&lt;&gt;"Serviço",AND(AUTOEVENTO="Manual",$M44=$A$15),$M44&gt;(ROW(PLE.lastrow)-ROW(PLE.firstrow))),0,
           IF(OFFSET(PLE!$G$15,$M44-$A$15,BW$13)="",10^12,OFFSET(PLE!$G$15,$M44-$A$15,BW$13)))</f>
        <v>0</v>
      </c>
      <c r="BX44" s="172">
        <f ca="1">IF(OR($D44&lt;&gt;"Serviço",AND(AUTOEVENTO="Manual",$M44=$A$15),$M44&gt;(ROW(PLE.lastrow)-ROW(PLE.firstrow))),0,
           IF(OFFSET(PLE!$G$15,$M44-$A$15,BX$13)="",10^12,OFFSET(PLE!$G$15,$M44-$A$15,BX$13)))</f>
        <v>0</v>
      </c>
      <c r="BY44" s="172">
        <f ca="1">IF(OR($D44&lt;&gt;"Serviço",AND(AUTOEVENTO="Manual",$M44=$A$15),$M44&gt;(ROW(PLE.lastrow)-ROW(PLE.firstrow))),0,
           IF(OFFSET(PLE!$G$15,$M44-$A$15,BY$13)="",10^12,OFFSET(PLE!$G$15,$M44-$A$15,BY$13)))</f>
        <v>0</v>
      </c>
      <c r="BZ44" s="172">
        <f ca="1">IF(OR($D44&lt;&gt;"Serviço",AND(AUTOEVENTO="Manual",$M44=$A$15),$M44&gt;(ROW(PLE.lastrow)-ROW(PLE.firstrow))),0,
           IF(OFFSET(PLE!$G$15,$M44-$A$15,BZ$13)="",10^12,OFFSET(PLE!$G$15,$M44-$A$15,BZ$13)))</f>
        <v>0</v>
      </c>
      <c r="CA44" s="172">
        <f ca="1">IF(OR($D44&lt;&gt;"Serviço",AND(AUTOEVENTO="Manual",$M44=$A$15),$M44&gt;(ROW(PLE.lastrow)-ROW(PLE.firstrow))),0,
           IF(OFFSET(PLE!$G$15,$M44-$A$15,CA$13)="",10^12,OFFSET(PLE!$G$15,$M44-$A$15,CA$13)))</f>
        <v>0</v>
      </c>
      <c r="CB44" s="172">
        <f ca="1">IF(OR($D44&lt;&gt;"Serviço",AND(AUTOEVENTO="Manual",$M44=$A$15),$M44&gt;(ROW(PLE.lastrow)-ROW(PLE.firstrow))),0,
           IF(OFFSET(PLE!$G$15,$M44-$A$15,CB$13)="",10^12,OFFSET(PLE!$G$15,$M44-$A$15,CB$13)))</f>
        <v>0</v>
      </c>
      <c r="CC44" s="172">
        <f ca="1">IF(OR($D44&lt;&gt;"Serviço",AND(AUTOEVENTO="Manual",$M44=$A$15),$M44&gt;(ROW(PLE.lastrow)-ROW(PLE.firstrow))),0,
           IF(OFFSET(PLE!$G$15,$M44-$A$15,CC$13)="",10^12,OFFSET(PLE!$G$15,$M44-$A$15,CC$13)))</f>
        <v>0</v>
      </c>
      <c r="CD44" s="172">
        <f ca="1">IF(OR($D44&lt;&gt;"Serviço",AND(AUTOEVENTO="Manual",$M44=$A$15),$M44&gt;(ROW(PLE.lastrow)-ROW(PLE.firstrow))),0,
           IF(OFFSET(PLE!$G$15,$M44-$A$15,CD$13)="",10^12,OFFSET(PLE!$G$15,$M44-$A$15,CD$13)))</f>
        <v>0</v>
      </c>
      <c r="CE44" s="172">
        <f ca="1">IF(OR($D44&lt;&gt;"Serviço",AND(AUTOEVENTO="Manual",$M44=$A$15),$M44&gt;(ROW(PLE.lastrow)-ROW(PLE.firstrow))),0,
           IF(OFFSET(PLE!$G$15,$M44-$A$15,CE$13)="",10^12,OFFSET(PLE!$G$15,$M44-$A$15,CE$13)))</f>
        <v>0</v>
      </c>
      <c r="CF44" s="172">
        <f ca="1">IF(OR($D44&lt;&gt;"Serviço",AND(AUTOEVENTO="Manual",$M44=$A$15),$M44&gt;(ROW(PLE.lastrow)-ROW(PLE.firstrow))),0,
           IF(OFFSET(PLE!$G$15,$M44-$A$15,CF$13)="",10^12,OFFSET(PLE!$G$15,$M44-$A$15,CF$13)))</f>
        <v>0</v>
      </c>
      <c r="CG44" s="172">
        <f ca="1">IF(OR($D44&lt;&gt;"Serviço",AND(AUTOEVENTO="Manual",$M44=$A$15),$M44&gt;(ROW(PLE.lastrow)-ROW(PLE.firstrow))),0,
           IF(OFFSET(PLE!$G$15,$M44-$A$15,CG$13)="",10^12,OFFSET(PLE!$G$15,$M44-$A$15,CG$13)))</f>
        <v>0</v>
      </c>
      <c r="CH44" s="172">
        <f ca="1">IF(OR($D44&lt;&gt;"Serviço",AND(AUTOEVENTO="Manual",$M44=$A$15),$M44&gt;(ROW(PLE.lastrow)-ROW(PLE.firstrow))),0,
           IF(OFFSET(PLE!$G$15,$M44-$A$15,CH$13)="",10^12,OFFSET(PLE!$G$15,$M44-$A$15,CH$13)))</f>
        <v>0</v>
      </c>
      <c r="CI44" s="172">
        <f ca="1">IF(OR($D44&lt;&gt;"Serviço",AND(AUTOEVENTO="Manual",$M44=$A$15),$M44&gt;(ROW(PLE.lastrow)-ROW(PLE.firstrow))),0,
           IF(OFFSET(PLE!$G$15,$M44-$A$15,CI$13)="",10^12,OFFSET(PLE!$G$15,$M44-$A$15,CI$13)))</f>
        <v>0</v>
      </c>
      <c r="CJ44" s="172">
        <f ca="1">IF(OR($D44&lt;&gt;"Serviço",AND(AUTOEVENTO="Manual",$M44=$A$15),$M44&gt;(ROW(PLE.lastrow)-ROW(PLE.firstrow))),0,
           IF(OFFSET(PLE!$G$15,$M44-$A$15,CJ$13)="",10^12,OFFSET(PLE!$G$15,$M44-$A$15,CJ$13)))</f>
        <v>0</v>
      </c>
      <c r="CK44" s="172">
        <f ca="1">IF(OR($D44&lt;&gt;"Serviço",AND(AUTOEVENTO="Manual",$M44=$A$15),$M44&gt;(ROW(PLE.lastrow)-ROW(PLE.firstrow))),0,
           IF(OFFSET(PLE!$G$15,$M44-$A$15,CK$13)="",10^12,OFFSET(PLE!$G$15,$M44-$A$15,CK$13)))</f>
        <v>0</v>
      </c>
      <c r="CL44" s="172">
        <f ca="1">IF(OR($D44&lt;&gt;"Serviço",AND(AUTOEVENTO="Manual",$M44=$A$15),$M44&gt;(ROW(PLE.lastrow)-ROW(PLE.firstrow))),0,
           IF(OFFSET(PLE!$G$15,$M44-$A$15,CL$13)="",10^12,OFFSET(PLE!$G$15,$M44-$A$15,CL$13)))</f>
        <v>0</v>
      </c>
      <c r="CM44" s="172">
        <f ca="1">IF(OR($D44&lt;&gt;"Serviço",AND(AUTOEVENTO="Manual",$M44=$A$15),$M44&gt;(ROW(PLE.lastrow)-ROW(PLE.firstrow))),0,
           IF(OFFSET(PLE!$G$15,$M44-$A$15,CM$13)="",10^12,OFFSET(PLE!$G$15,$M44-$A$15,CM$13)))</f>
        <v>0</v>
      </c>
    </row>
    <row r="45" spans="1:91" ht="25.5" x14ac:dyDescent="0.2">
      <c r="A45" s="7">
        <f t="shared" ca="1" si="10"/>
        <v>2</v>
      </c>
      <c r="B45" s="7" t="str">
        <f ca="1">OFFSET(ORÇAMENTO!C$15,ROW(B45)-ROW(B$15),0)</f>
        <v>S</v>
      </c>
      <c r="C45" s="7" t="str">
        <f ca="1">OFFSET(ORÇAMENTO!L$15,ROW(C45)-ROW(C$15),0)</f>
        <v>F</v>
      </c>
      <c r="D45" s="116" t="str">
        <f ca="1">OFFSET(ORÇAMENTO!N$15,ROW(D45)-ROW(D$15),0)</f>
        <v>Serviço</v>
      </c>
      <c r="E45" s="117" t="str">
        <f ca="1">OFFSET(ORÇAMENTO!O$15,ROW(E45)-ROW(E$15),0)</f>
        <v>1.3.4.0.1.</v>
      </c>
      <c r="F45" s="163" t="str">
        <f ca="1">OFFSET(ORÇAMENTO!R$15,ROW(F45)-ROW(F$15),0)</f>
        <v>FITA ZEBRADA PARA DISPOSITIVOS DE CANALIZAÇÃO DE TRÂNSITO - FORNECIMENTO, IMPLANTAÇÃO E RETIRADA</v>
      </c>
      <c r="G45" s="164" t="str">
        <f ca="1">IF($D45&lt;&gt;"Serviço","",OFFSET(ORÇAMENTO!S$15,ROW(G45)-ROW(G$15),0))</f>
        <v>M</v>
      </c>
      <c r="H45" s="122" cm="1">
        <f t="array" aca="1" ref="H45" ca="1">IF($D45&lt;&gt;"Serviço",0,IF(ACOMPANHAMENTO="BM",ROUND(OFFSET(ORÇAMENTO!AJ$15,ROW(H45)-ROW(H$15),0),15-13*ORÇAMENTO!$AF$7),SUMPRODUCT(($Q$1:$AI$1=1)*ROUND($Q45:$AI45,15-13*ORÇAMENTO!$AF$7))))</f>
        <v>860</v>
      </c>
      <c r="I45" s="468" t="s">
        <v>1294</v>
      </c>
      <c r="J45" s="640" t="str" cm="1">
        <f t="array" aca="1" ref="J45" ca="1">IF(OR(B45&lt;&gt;"S",CÁLCULO.FrentesPreenchidas=0),"",IF(AND(ACOMPANHAMENTO="PLE",AUTOEVENTO="Manual",OR(H45&gt;0,ORÇAMENTO!AC45="QUANT."),OR(K45="",M45=0,N45="")),"►E",IF(AND(ACOMPANHAMENTO="PLE",ORÇAMENTO!AC45="QUANT."),"►Q",IF(AND(ACOMPANHAMENTO="PLE",H45&lt;&gt;SUMPRODUCT(($Q$1:$AI$1=1)*ROUND(Q45:AI45,15))),"►S",IF(AND(COUNTIF($P$11:$AI$11,"▼")=0,H45&gt;0,I45=""),"◄M","")))))</f>
        <v/>
      </c>
      <c r="K45" s="641" t="s">
        <v>1387</v>
      </c>
      <c r="L45" s="165" t="s">
        <v>764</v>
      </c>
      <c r="M45" s="166">
        <f ca="1">IF($D45&lt;&gt;"Serviço","",
          IF(AUTOEVENTO="manual",$A45,
                IF(ISERROR(MATCH($A45,$A$15:OFFSET($A45,-1,0),0)),MAX($M$15:OFFSET(M45,-1,0))+1,
                      INDEX($M$15:OFFSET(M45,-1,0),MATCH($A45,$A$15:OFFSET($A45,-1,0),0)))))</f>
        <v>2</v>
      </c>
      <c r="N45" s="167" t="str">
        <f ca="1">IF($D45&lt;&gt;"Serviço","",
         IF(AUTOEVENTO="Manual",
                IF($A45=0,"&lt;-- defina o número do agrupador",
                       OFFSET(EVENTOS!$D$15,$A45-$A$15,0)),
                OFFSET($F$15,$A45,0)))</f>
        <v>Serviços Iniciais</v>
      </c>
      <c r="O45" s="168"/>
      <c r="Q45" s="168">
        <f>Q47*2</f>
        <v>860</v>
      </c>
      <c r="R45" s="169"/>
      <c r="S45" s="169"/>
      <c r="T45" s="169"/>
      <c r="U45" s="169"/>
      <c r="V45" s="169"/>
      <c r="W45" s="169"/>
      <c r="X45" s="169"/>
      <c r="Y45" s="169"/>
      <c r="Z45" s="170"/>
      <c r="AA45" s="169"/>
      <c r="AB45" s="169"/>
      <c r="AC45" s="169"/>
      <c r="AD45" s="169"/>
      <c r="AE45" s="169"/>
      <c r="AF45" s="169"/>
      <c r="AG45" s="169"/>
      <c r="AH45" s="170"/>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L45" s="453">
        <f ca="1">IF(AND($D45="Serviço",AL$12&lt;&gt;0,$H45&gt;0,OR(AUTOEVENTO&lt;&gt;"manual",$M45&lt;&gt;$A$15)),
        IF(Import.TipoArredondamento&lt;&gt;"TransfereGOV",
              ROUND(OFFSET($P45,0,AL$13),15-13*ORÇAMENTO!$AF$7)/$H45*OFFSET(ORÇAMENTO!$X$15,ROW(AL45)-ROW(AL$15),0),
              ROUND(ROUND(OFFSET($P45,0,AL$13),15-13*ORÇAMENTO!$AF$7)*OFFSET(ORÇAMENTO!$W$15,ROW(AL45)-ROW(AL$15),0),15-13*ORÇAMENTO!$AF$11)),
         0)</f>
        <v>0</v>
      </c>
      <c r="AM45" s="453">
        <f ca="1">IF(AND($D45="Serviço",AM$12&lt;&gt;0,$H45&gt;0,OR(AUTOEVENTO&lt;&gt;"manual",$M45&lt;&gt;$A$15)),
        IF(Import.TipoArredondamento&lt;&gt;"TransfereGOV",
              ROUND(OFFSET($P45,0,AM$13),15-13*ORÇAMENTO!$AF$7)/$H45*OFFSET(ORÇAMENTO!$X$15,ROW(AM45)-ROW(AM$15),0),
              ROUND(ROUND(OFFSET($P45,0,AM$13),15-13*ORÇAMENTO!$AF$7)*OFFSET(ORÇAMENTO!$W$15,ROW(AM45)-ROW(AM$15),0),15-13*ORÇAMENTO!$AF$11)),
         0)</f>
        <v>0</v>
      </c>
      <c r="AN45" s="453">
        <f ca="1">IF(AND($D45="Serviço",AN$12&lt;&gt;0,$H45&gt;0,OR(AUTOEVENTO&lt;&gt;"manual",$M45&lt;&gt;$A$15)),
        IF(Import.TipoArredondamento&lt;&gt;"TransfereGOV",
              ROUND(OFFSET($P45,0,AN$13),15-13*ORÇAMENTO!$AF$7)/$H45*OFFSET(ORÇAMENTO!$X$15,ROW(AN45)-ROW(AN$15),0),
              ROUND(ROUND(OFFSET($P45,0,AN$13),15-13*ORÇAMENTO!$AF$7)*OFFSET(ORÇAMENTO!$W$15,ROW(AN45)-ROW(AN$15),0),15-13*ORÇAMENTO!$AF$11)),
         0)</f>
        <v>0</v>
      </c>
      <c r="AO45" s="453">
        <f ca="1">IF(AND($D45="Serviço",AO$12&lt;&gt;0,$H45&gt;0,OR(AUTOEVENTO&lt;&gt;"manual",$M45&lt;&gt;$A$15)),
        IF(Import.TipoArredondamento&lt;&gt;"TransfereGOV",
              ROUND(OFFSET($P45,0,AO$13),15-13*ORÇAMENTO!$AF$7)/$H45*OFFSET(ORÇAMENTO!$X$15,ROW(AO45)-ROW(AO$15),0),
              ROUND(ROUND(OFFSET($P45,0,AO$13),15-13*ORÇAMENTO!$AF$7)*OFFSET(ORÇAMENTO!$W$15,ROW(AO45)-ROW(AO$15),0),15-13*ORÇAMENTO!$AF$11)),
         0)</f>
        <v>0</v>
      </c>
      <c r="AP45" s="453">
        <f ca="1">IF(AND($D45="Serviço",AP$12&lt;&gt;0,$H45&gt;0,OR(AUTOEVENTO&lt;&gt;"manual",$M45&lt;&gt;$A$15)),
        IF(Import.TipoArredondamento&lt;&gt;"TransfereGOV",
              ROUND(OFFSET($P45,0,AP$13),15-13*ORÇAMENTO!$AF$7)/$H45*OFFSET(ORÇAMENTO!$X$15,ROW(AP45)-ROW(AP$15),0),
              ROUND(ROUND(OFFSET($P45,0,AP$13),15-13*ORÇAMENTO!$AF$7)*OFFSET(ORÇAMENTO!$W$15,ROW(AP45)-ROW(AP$15),0),15-13*ORÇAMENTO!$AF$11)),
         0)</f>
        <v>0</v>
      </c>
      <c r="AQ45" s="453">
        <f ca="1">IF(AND($D45="Serviço",AQ$12&lt;&gt;0,$H45&gt;0,OR(AUTOEVENTO&lt;&gt;"manual",$M45&lt;&gt;$A$15)),
        IF(Import.TipoArredondamento&lt;&gt;"TransfereGOV",
              ROUND(OFFSET($P45,0,AQ$13),15-13*ORÇAMENTO!$AF$7)/$H45*OFFSET(ORÇAMENTO!$X$15,ROW(AQ45)-ROW(AQ$15),0),
              ROUND(ROUND(OFFSET($P45,0,AQ$13),15-13*ORÇAMENTO!$AF$7)*OFFSET(ORÇAMENTO!$W$15,ROW(AQ45)-ROW(AQ$15),0),15-13*ORÇAMENTO!$AF$11)),
         0)</f>
        <v>0</v>
      </c>
      <c r="AR45" s="453">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3">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3">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3">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3">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3">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3">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3">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3">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3">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C45" s="171">
        <f ca="1">IF(OR($D45&lt;&gt;"Serviço",AND(AUTOEVENTO="Manual",$M45=$A$15)),0,
         IF(OFFSET(CRONOPLE!$F$15,$M45-$A$15,BC$13)=0,10^12,OFFSET(CRONOPLE!$F$15,$M45-$A$15,BC$13)))</f>
        <v>1</v>
      </c>
      <c r="BD45" s="171">
        <f ca="1">IF(OR($D45&lt;&gt;"Serviço",AND(AUTOEVENTO="Manual",$M45=$A$15)),0,
         IF(OFFSET(CRONOPLE!$F$15,$M45-$A$15,BD$13)=0,10^12,OFFSET(CRONOPLE!$F$15,$M45-$A$15,BD$13)))</f>
        <v>2</v>
      </c>
      <c r="BE45" s="171">
        <f ca="1">IF(OR($D45&lt;&gt;"Serviço",AND(AUTOEVENTO="Manual",$M45=$A$15)),0,
         IF(OFFSET(CRONOPLE!$F$15,$M45-$A$15,BE$13)=0,10^12,OFFSET(CRONOPLE!$F$15,$M45-$A$15,BE$13)))</f>
        <v>3</v>
      </c>
      <c r="BF45" s="171">
        <f ca="1">IF(OR($D45&lt;&gt;"Serviço",AND(AUTOEVENTO="Manual",$M45=$A$15)),0,
         IF(OFFSET(CRONOPLE!$F$15,$M45-$A$15,BF$13)=0,10^12,OFFSET(CRONOPLE!$F$15,$M45-$A$15,BF$13)))</f>
        <v>4</v>
      </c>
      <c r="BG45" s="171">
        <f ca="1">IF(OR($D45&lt;&gt;"Serviço",AND(AUTOEVENTO="Manual",$M45=$A$15)),0,
         IF(OFFSET(CRONOPLE!$F$15,$M45-$A$15,BG$13)=0,10^12,OFFSET(CRONOPLE!$F$15,$M45-$A$15,BG$13)))</f>
        <v>5</v>
      </c>
      <c r="BH45" s="171">
        <f ca="1">IF(OR($D45&lt;&gt;"Serviço",AND(AUTOEVENTO="Manual",$M45=$A$15)),0,
         IF(OFFSET(CRONOPLE!$F$15,$M45-$A$15,BH$13)=0,10^12,OFFSET(CRONOPLE!$F$15,$M45-$A$15,BH$13)))</f>
        <v>6</v>
      </c>
      <c r="BI45" s="171">
        <f ca="1">IF(OR($D45&lt;&gt;"Serviço",AND(AUTOEVENTO="Manual",$M45=$A$15)),0,
         IF(OFFSET(CRONOPLE!$F$15,$M45-$A$15,BI$13)=0,10^12,OFFSET(CRONOPLE!$F$15,$M45-$A$15,BI$13)))</f>
        <v>7</v>
      </c>
      <c r="BJ45" s="171">
        <f ca="1">IF(OR($D45&lt;&gt;"Serviço",AND(AUTOEVENTO="Manual",$M45=$A$15)),0,
         IF(OFFSET(CRONOPLE!$F$15,$M45-$A$15,BJ$13)=0,10^12,OFFSET(CRONOPLE!$F$15,$M45-$A$15,BJ$13)))</f>
        <v>8</v>
      </c>
      <c r="BK45" s="171">
        <f ca="1">IF(OR($D45&lt;&gt;"Serviço",AND(AUTOEVENTO="Manual",$M45=$A$15)),0,
         IF(OFFSET(CRONOPLE!$F$15,$M45-$A$15,BK$13)=0,10^12,OFFSET(CRONOPLE!$F$15,$M45-$A$15,BK$13)))</f>
        <v>9</v>
      </c>
      <c r="BL45" s="171">
        <f ca="1">IF(OR($D45&lt;&gt;"Serviço",AND(AUTOEVENTO="Manual",$M45=$A$15)),0,
         IF(OFFSET(CRONOPLE!$F$15,$M45-$A$15,BL$13)=0,10^12,OFFSET(CRONOPLE!$F$15,$M45-$A$15,BL$13)))</f>
        <v>10</v>
      </c>
      <c r="BM45" s="171">
        <f ca="1">IF(OR($D45&lt;&gt;"Serviço",AND(AUTOEVENTO="Manual",$M45=$A$15)),0,
         IF(OFFSET(CRONOPLE!$F$15,$M45-$A$15,BM$13)=0,10^12,OFFSET(CRONOPLE!$F$15,$M45-$A$15,BM$13)))</f>
        <v>1000000000000</v>
      </c>
      <c r="BN45" s="171">
        <f ca="1">IF(OR($D45&lt;&gt;"Serviço",AND(AUTOEVENTO="Manual",$M45=$A$15)),0,
         IF(OFFSET(CRONOPLE!$F$15,$M45-$A$15,BN$13)=0,10^12,OFFSET(CRONOPLE!$F$15,$M45-$A$15,BN$13)))</f>
        <v>1000000000000</v>
      </c>
      <c r="BO45" s="171">
        <f ca="1">IF(OR($D45&lt;&gt;"Serviço",AND(AUTOEVENTO="Manual",$M45=$A$15)),0,
         IF(OFFSET(CRONOPLE!$F$15,$M45-$A$15,BO$13)=0,10^12,OFFSET(CRONOPLE!$F$15,$M45-$A$15,BO$13)))</f>
        <v>1000000000000</v>
      </c>
      <c r="BP45" s="171">
        <f ca="1">IF(OR($D45&lt;&gt;"Serviço",AND(AUTOEVENTO="Manual",$M45=$A$15)),0,
         IF(OFFSET(CRONOPLE!$F$15,$M45-$A$15,BP$13)=0,10^12,OFFSET(CRONOPLE!$F$15,$M45-$A$15,BP$13)))</f>
        <v>1000000000000</v>
      </c>
      <c r="BQ45" s="171">
        <f ca="1">IF(OR($D45&lt;&gt;"Serviço",AND(AUTOEVENTO="Manual",$M45=$A$15)),0,
         IF(OFFSET(CRONOPLE!$F$15,$M45-$A$15,BQ$13)=0,10^12,OFFSET(CRONOPLE!$F$15,$M45-$A$15,BQ$13)))</f>
        <v>1000000000000</v>
      </c>
      <c r="BR45" s="171">
        <f ca="1">IF(OR($D45&lt;&gt;"Serviço",AND(AUTOEVENTO="Manual",$M45=$A$15)),0,
         IF(OFFSET(CRONOPLE!$F$15,$M45-$A$15,BR$13)=0,10^12,OFFSET(CRONOPLE!$F$15,$M45-$A$15,BR$13)))</f>
        <v>1000000000000</v>
      </c>
      <c r="BS45" s="171">
        <f ca="1">IF(OR($D45&lt;&gt;"Serviço",AND(AUTOEVENTO="Manual",$M45=$A$15)),0,
         IF(OFFSET(CRONOPLE!$F$15,$M45-$A$15,BS$13)=0,10^12,OFFSET(CRONOPLE!$F$15,$M45-$A$15,BS$13)))</f>
        <v>1000000000000</v>
      </c>
      <c r="BT45" s="171">
        <f ca="1">IF(OR($D45&lt;&gt;"Serviço",AND(AUTOEVENTO="Manual",$M45=$A$15)),0,
         IF(OFFSET(CRONOPLE!$F$15,$M45-$A$15,BT$13)=0,10^12,OFFSET(CRONOPLE!$F$15,$M45-$A$15,BT$13)))</f>
        <v>1000000000000</v>
      </c>
      <c r="BV45" s="172">
        <f ca="1">IF(OR($D45&lt;&gt;"Serviço",AND(AUTOEVENTO="Manual",$M45=$A$15),$M45&gt;(ROW(PLE.lastrow)-ROW(PLE.firstrow))),0,
           IF(OFFSET(PLE!$G$15,$M45-$A$15,BV$13)="",10^12,OFFSET(PLE!$G$15,$M45-$A$15,BV$13)))</f>
        <v>1000000000000</v>
      </c>
      <c r="BW45" s="172">
        <f ca="1">IF(OR($D45&lt;&gt;"Serviço",AND(AUTOEVENTO="Manual",$M45=$A$15),$M45&gt;(ROW(PLE.lastrow)-ROW(PLE.firstrow))),0,
           IF(OFFSET(PLE!$G$15,$M45-$A$15,BW$13)="",10^12,OFFSET(PLE!$G$15,$M45-$A$15,BW$13)))</f>
        <v>1000000000000</v>
      </c>
      <c r="BX45" s="172">
        <f ca="1">IF(OR($D45&lt;&gt;"Serviço",AND(AUTOEVENTO="Manual",$M45=$A$15),$M45&gt;(ROW(PLE.lastrow)-ROW(PLE.firstrow))),0,
           IF(OFFSET(PLE!$G$15,$M45-$A$15,BX$13)="",10^12,OFFSET(PLE!$G$15,$M45-$A$15,BX$13)))</f>
        <v>1000000000000</v>
      </c>
      <c r="BY45" s="172">
        <f ca="1">IF(OR($D45&lt;&gt;"Serviço",AND(AUTOEVENTO="Manual",$M45=$A$15),$M45&gt;(ROW(PLE.lastrow)-ROW(PLE.firstrow))),0,
           IF(OFFSET(PLE!$G$15,$M45-$A$15,BY$13)="",10^12,OFFSET(PLE!$G$15,$M45-$A$15,BY$13)))</f>
        <v>1000000000000</v>
      </c>
      <c r="BZ45" s="172">
        <f ca="1">IF(OR($D45&lt;&gt;"Serviço",AND(AUTOEVENTO="Manual",$M45=$A$15),$M45&gt;(ROW(PLE.lastrow)-ROW(PLE.firstrow))),0,
           IF(OFFSET(PLE!$G$15,$M45-$A$15,BZ$13)="",10^12,OFFSET(PLE!$G$15,$M45-$A$15,BZ$13)))</f>
        <v>1000000000000</v>
      </c>
      <c r="CA45" s="172">
        <f ca="1">IF(OR($D45&lt;&gt;"Serviço",AND(AUTOEVENTO="Manual",$M45=$A$15),$M45&gt;(ROW(PLE.lastrow)-ROW(PLE.firstrow))),0,
           IF(OFFSET(PLE!$G$15,$M45-$A$15,CA$13)="",10^12,OFFSET(PLE!$G$15,$M45-$A$15,CA$13)))</f>
        <v>1000000000000</v>
      </c>
      <c r="CB45" s="172">
        <f ca="1">IF(OR($D45&lt;&gt;"Serviço",AND(AUTOEVENTO="Manual",$M45=$A$15),$M45&gt;(ROW(PLE.lastrow)-ROW(PLE.firstrow))),0,
           IF(OFFSET(PLE!$G$15,$M45-$A$15,CB$13)="",10^12,OFFSET(PLE!$G$15,$M45-$A$15,CB$13)))</f>
        <v>1000000000000</v>
      </c>
      <c r="CC45" s="172">
        <f ca="1">IF(OR($D45&lt;&gt;"Serviço",AND(AUTOEVENTO="Manual",$M45=$A$15),$M45&gt;(ROW(PLE.lastrow)-ROW(PLE.firstrow))),0,
           IF(OFFSET(PLE!$G$15,$M45-$A$15,CC$13)="",10^12,OFFSET(PLE!$G$15,$M45-$A$15,CC$13)))</f>
        <v>1000000000000</v>
      </c>
      <c r="CD45" s="172">
        <f ca="1">IF(OR($D45&lt;&gt;"Serviço",AND(AUTOEVENTO="Manual",$M45=$A$15),$M45&gt;(ROW(PLE.lastrow)-ROW(PLE.firstrow))),0,
           IF(OFFSET(PLE!$G$15,$M45-$A$15,CD$13)="",10^12,OFFSET(PLE!$G$15,$M45-$A$15,CD$13)))</f>
        <v>1000000000000</v>
      </c>
      <c r="CE45" s="172">
        <f ca="1">IF(OR($D45&lt;&gt;"Serviço",AND(AUTOEVENTO="Manual",$M45=$A$15),$M45&gt;(ROW(PLE.lastrow)-ROW(PLE.firstrow))),0,
           IF(OFFSET(PLE!$G$15,$M45-$A$15,CE$13)="",10^12,OFFSET(PLE!$G$15,$M45-$A$15,CE$13)))</f>
        <v>1000000000000</v>
      </c>
      <c r="CF45" s="172">
        <f ca="1">IF(OR($D45&lt;&gt;"Serviço",AND(AUTOEVENTO="Manual",$M45=$A$15),$M45&gt;(ROW(PLE.lastrow)-ROW(PLE.firstrow))),0,
           IF(OFFSET(PLE!$G$15,$M45-$A$15,CF$13)="",10^12,OFFSET(PLE!$G$15,$M45-$A$15,CF$13)))</f>
        <v>1000000000000</v>
      </c>
      <c r="CG45" s="172">
        <f ca="1">IF(OR($D45&lt;&gt;"Serviço",AND(AUTOEVENTO="Manual",$M45=$A$15),$M45&gt;(ROW(PLE.lastrow)-ROW(PLE.firstrow))),0,
           IF(OFFSET(PLE!$G$15,$M45-$A$15,CG$13)="",10^12,OFFSET(PLE!$G$15,$M45-$A$15,CG$13)))</f>
        <v>1000000000000</v>
      </c>
      <c r="CH45" s="172">
        <f ca="1">IF(OR($D45&lt;&gt;"Serviço",AND(AUTOEVENTO="Manual",$M45=$A$15),$M45&gt;(ROW(PLE.lastrow)-ROW(PLE.firstrow))),0,
           IF(OFFSET(PLE!$G$15,$M45-$A$15,CH$13)="",10^12,OFFSET(PLE!$G$15,$M45-$A$15,CH$13)))</f>
        <v>1000000000000</v>
      </c>
      <c r="CI45" s="172">
        <f ca="1">IF(OR($D45&lt;&gt;"Serviço",AND(AUTOEVENTO="Manual",$M45=$A$15),$M45&gt;(ROW(PLE.lastrow)-ROW(PLE.firstrow))),0,
           IF(OFFSET(PLE!$G$15,$M45-$A$15,CI$13)="",10^12,OFFSET(PLE!$G$15,$M45-$A$15,CI$13)))</f>
        <v>1000000000000</v>
      </c>
      <c r="CJ45" s="172">
        <f ca="1">IF(OR($D45&lt;&gt;"Serviço",AND(AUTOEVENTO="Manual",$M45=$A$15),$M45&gt;(ROW(PLE.lastrow)-ROW(PLE.firstrow))),0,
           IF(OFFSET(PLE!$G$15,$M45-$A$15,CJ$13)="",10^12,OFFSET(PLE!$G$15,$M45-$A$15,CJ$13)))</f>
        <v>1000000000000</v>
      </c>
      <c r="CK45" s="172">
        <f ca="1">IF(OR($D45&lt;&gt;"Serviço",AND(AUTOEVENTO="Manual",$M45=$A$15),$M45&gt;(ROW(PLE.lastrow)-ROW(PLE.firstrow))),0,
           IF(OFFSET(PLE!$G$15,$M45-$A$15,CK$13)="",10^12,OFFSET(PLE!$G$15,$M45-$A$15,CK$13)))</f>
        <v>1000000000000</v>
      </c>
      <c r="CL45" s="172">
        <f ca="1">IF(OR($D45&lt;&gt;"Serviço",AND(AUTOEVENTO="Manual",$M45=$A$15),$M45&gt;(ROW(PLE.lastrow)-ROW(PLE.firstrow))),0,
           IF(OFFSET(PLE!$G$15,$M45-$A$15,CL$13)="",10^12,OFFSET(PLE!$G$15,$M45-$A$15,CL$13)))</f>
        <v>1000000000000</v>
      </c>
      <c r="CM45" s="172">
        <f ca="1">IF(OR($D45&lt;&gt;"Serviço",AND(AUTOEVENTO="Manual",$M45=$A$15),$M45&gt;(ROW(PLE.lastrow)-ROW(PLE.firstrow))),0,
           IF(OFFSET(PLE!$G$15,$M45-$A$15,CM$13)="",10^12,OFFSET(PLE!$G$15,$M45-$A$15,CM$13)))</f>
        <v>1000000000000</v>
      </c>
    </row>
    <row r="46" spans="1:91" ht="25.5" x14ac:dyDescent="0.2">
      <c r="A46" s="7">
        <f t="shared" ca="1" si="10"/>
        <v>2</v>
      </c>
      <c r="B46" s="7" t="str">
        <f ca="1">OFFSET(ORÇAMENTO!C$15,ROW(B46)-ROW(B$15),0)</f>
        <v>S</v>
      </c>
      <c r="C46" s="7" t="str">
        <f ca="1">OFFSET(ORÇAMENTO!L$15,ROW(C46)-ROW(C$15),0)</f>
        <v>F</v>
      </c>
      <c r="D46" s="116" t="str">
        <f ca="1">OFFSET(ORÇAMENTO!N$15,ROW(D46)-ROW(D$15),0)</f>
        <v>Serviço</v>
      </c>
      <c r="E46" s="117" t="str">
        <f ca="1">OFFSET(ORÇAMENTO!O$15,ROW(E46)-ROW(E$15),0)</f>
        <v>1.3.4.0.2.</v>
      </c>
      <c r="F46" s="163" t="str">
        <f ca="1">OFFSET(ORÇAMENTO!R$15,ROW(F46)-ROW(F$15),0)</f>
        <v>CONE PARA SINALIZAÇÃO/ISOLAMENTO DE ÁREAS, ALTURA 75CM, INCLUSIVE FORNECIMENTO E MOVIMENTAÇÃO</v>
      </c>
      <c r="G46" s="164" t="str">
        <f ca="1">IF($D46&lt;&gt;"Serviço","",OFFSET(ORÇAMENTO!S$15,ROW(G46)-ROW(G$15),0))</f>
        <v>UN</v>
      </c>
      <c r="H46" s="122" cm="1">
        <f t="array" aca="1" ref="H46" ca="1">IF($D46&lt;&gt;"Serviço",0,IF(ACOMPANHAMENTO="BM",ROUND(OFFSET(ORÇAMENTO!AJ$15,ROW(H46)-ROW(H$15),0),15-13*ORÇAMENTO!$AF$7),SUMPRODUCT(($Q$1:$AI$1=1)*ROUND($Q46:$AI46,15-13*ORÇAMENTO!$AF$7))))</f>
        <v>43</v>
      </c>
      <c r="I46" s="468" t="s">
        <v>1295</v>
      </c>
      <c r="J46" s="640" t="str" cm="1">
        <f t="array" aca="1" ref="J46" ca="1">IF(OR(B46&lt;&gt;"S",CÁLCULO.FrentesPreenchidas=0),"",IF(AND(ACOMPANHAMENTO="PLE",AUTOEVENTO="Manual",OR(H46&gt;0,ORÇAMENTO!AC46="QUANT."),OR(K46="",M46=0,N46="")),"►E",IF(AND(ACOMPANHAMENTO="PLE",ORÇAMENTO!AC46="QUANT."),"►Q",IF(AND(ACOMPANHAMENTO="PLE",H46&lt;&gt;SUMPRODUCT(($Q$1:$AI$1=1)*ROUND(Q46:AI46,15))),"►S",IF(AND(COUNTIF($P$11:$AI$11,"▼")=0,H46&gt;0,I46=""),"◄M","")))))</f>
        <v/>
      </c>
      <c r="K46" s="641" t="s">
        <v>1387</v>
      </c>
      <c r="L46" s="165" t="s">
        <v>764</v>
      </c>
      <c r="M46" s="166">
        <f ca="1">IF($D46&lt;&gt;"Serviço","",
          IF(AUTOEVENTO="manual",$A46,
                IF(ISERROR(MATCH($A46,$A$15:OFFSET($A46,-1,0),0)),MAX($M$15:OFFSET(M46,-1,0))+1,
                      INDEX($M$15:OFFSET(M46,-1,0),MATCH($A46,$A$15:OFFSET($A46,-1,0),0)))))</f>
        <v>2</v>
      </c>
      <c r="N46" s="167" t="str">
        <f ca="1">IF($D46&lt;&gt;"Serviço","",
         IF(AUTOEVENTO="Manual",
                IF($A46=0,"&lt;-- defina o número do agrupador",
                       OFFSET(EVENTOS!$D$15,$A46-$A$15,0)),
                OFFSET($F$15,$A46,0)))</f>
        <v>Serviços Iniciais</v>
      </c>
      <c r="O46" s="168"/>
      <c r="Q46" s="168">
        <f>Q47/10</f>
        <v>43</v>
      </c>
      <c r="R46" s="169"/>
      <c r="S46" s="169"/>
      <c r="T46" s="169"/>
      <c r="U46" s="169"/>
      <c r="V46" s="169"/>
      <c r="W46" s="169"/>
      <c r="X46" s="169"/>
      <c r="Y46" s="169"/>
      <c r="Z46" s="170"/>
      <c r="AA46" s="169"/>
      <c r="AB46" s="169"/>
      <c r="AC46" s="169"/>
      <c r="AD46" s="169"/>
      <c r="AE46" s="169"/>
      <c r="AF46" s="169"/>
      <c r="AG46" s="169"/>
      <c r="AH46" s="170"/>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L46" s="453">
        <f ca="1">IF(AND($D46="Serviço",AL$12&lt;&gt;0,$H46&gt;0,OR(AUTOEVENTO&lt;&gt;"manual",$M46&lt;&gt;$A$15)),
        IF(Import.TipoArredondamento&lt;&gt;"TransfereGOV",
              ROUND(OFFSET($P46,0,AL$13),15-13*ORÇAMENTO!$AF$7)/$H46*OFFSET(ORÇAMENTO!$X$15,ROW(AL46)-ROW(AL$15),0),
              ROUND(ROUND(OFFSET($P46,0,AL$13),15-13*ORÇAMENTO!$AF$7)*OFFSET(ORÇAMENTO!$W$15,ROW(AL46)-ROW(AL$15),0),15-13*ORÇAMENTO!$AF$11)),
         0)</f>
        <v>0</v>
      </c>
      <c r="AM46" s="453">
        <f ca="1">IF(AND($D46="Serviço",AM$12&lt;&gt;0,$H46&gt;0,OR(AUTOEVENTO&lt;&gt;"manual",$M46&lt;&gt;$A$15)),
        IF(Import.TipoArredondamento&lt;&gt;"TransfereGOV",
              ROUND(OFFSET($P46,0,AM$13),15-13*ORÇAMENTO!$AF$7)/$H46*OFFSET(ORÇAMENTO!$X$15,ROW(AM46)-ROW(AM$15),0),
              ROUND(ROUND(OFFSET($P46,0,AM$13),15-13*ORÇAMENTO!$AF$7)*OFFSET(ORÇAMENTO!$W$15,ROW(AM46)-ROW(AM$15),0),15-13*ORÇAMENTO!$AF$11)),
         0)</f>
        <v>0</v>
      </c>
      <c r="AN46" s="453">
        <f ca="1">IF(AND($D46="Serviço",AN$12&lt;&gt;0,$H46&gt;0,OR(AUTOEVENTO&lt;&gt;"manual",$M46&lt;&gt;$A$15)),
        IF(Import.TipoArredondamento&lt;&gt;"TransfereGOV",
              ROUND(OFFSET($P46,0,AN$13),15-13*ORÇAMENTO!$AF$7)/$H46*OFFSET(ORÇAMENTO!$X$15,ROW(AN46)-ROW(AN$15),0),
              ROUND(ROUND(OFFSET($P46,0,AN$13),15-13*ORÇAMENTO!$AF$7)*OFFSET(ORÇAMENTO!$W$15,ROW(AN46)-ROW(AN$15),0),15-13*ORÇAMENTO!$AF$11)),
         0)</f>
        <v>0</v>
      </c>
      <c r="AO46" s="453">
        <f ca="1">IF(AND($D46="Serviço",AO$12&lt;&gt;0,$H46&gt;0,OR(AUTOEVENTO&lt;&gt;"manual",$M46&lt;&gt;$A$15)),
        IF(Import.TipoArredondamento&lt;&gt;"TransfereGOV",
              ROUND(OFFSET($P46,0,AO$13),15-13*ORÇAMENTO!$AF$7)/$H46*OFFSET(ORÇAMENTO!$X$15,ROW(AO46)-ROW(AO$15),0),
              ROUND(ROUND(OFFSET($P46,0,AO$13),15-13*ORÇAMENTO!$AF$7)*OFFSET(ORÇAMENTO!$W$15,ROW(AO46)-ROW(AO$15),0),15-13*ORÇAMENTO!$AF$11)),
         0)</f>
        <v>0</v>
      </c>
      <c r="AP46" s="453">
        <f ca="1">IF(AND($D46="Serviço",AP$12&lt;&gt;0,$H46&gt;0,OR(AUTOEVENTO&lt;&gt;"manual",$M46&lt;&gt;$A$15)),
        IF(Import.TipoArredondamento&lt;&gt;"TransfereGOV",
              ROUND(OFFSET($P46,0,AP$13),15-13*ORÇAMENTO!$AF$7)/$H46*OFFSET(ORÇAMENTO!$X$15,ROW(AP46)-ROW(AP$15),0),
              ROUND(ROUND(OFFSET($P46,0,AP$13),15-13*ORÇAMENTO!$AF$7)*OFFSET(ORÇAMENTO!$W$15,ROW(AP46)-ROW(AP$15),0),15-13*ORÇAMENTO!$AF$11)),
         0)</f>
        <v>0</v>
      </c>
      <c r="AQ46" s="453">
        <f ca="1">IF(AND($D46="Serviço",AQ$12&lt;&gt;0,$H46&gt;0,OR(AUTOEVENTO&lt;&gt;"manual",$M46&lt;&gt;$A$15)),
        IF(Import.TipoArredondamento&lt;&gt;"TransfereGOV",
              ROUND(OFFSET($P46,0,AQ$13),15-13*ORÇAMENTO!$AF$7)/$H46*OFFSET(ORÇAMENTO!$X$15,ROW(AQ46)-ROW(AQ$15),0),
              ROUND(ROUND(OFFSET($P46,0,AQ$13),15-13*ORÇAMENTO!$AF$7)*OFFSET(ORÇAMENTO!$W$15,ROW(AQ46)-ROW(AQ$15),0),15-13*ORÇAMENTO!$AF$11)),
         0)</f>
        <v>0</v>
      </c>
      <c r="AR46" s="453">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3">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3">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3">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3">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3">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3">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3">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3">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3">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C46" s="171">
        <f ca="1">IF(OR($D46&lt;&gt;"Serviço",AND(AUTOEVENTO="Manual",$M46=$A$15)),0,
         IF(OFFSET(CRONOPLE!$F$15,$M46-$A$15,BC$13)=0,10^12,OFFSET(CRONOPLE!$F$15,$M46-$A$15,BC$13)))</f>
        <v>1</v>
      </c>
      <c r="BD46" s="171">
        <f ca="1">IF(OR($D46&lt;&gt;"Serviço",AND(AUTOEVENTO="Manual",$M46=$A$15)),0,
         IF(OFFSET(CRONOPLE!$F$15,$M46-$A$15,BD$13)=0,10^12,OFFSET(CRONOPLE!$F$15,$M46-$A$15,BD$13)))</f>
        <v>2</v>
      </c>
      <c r="BE46" s="171">
        <f ca="1">IF(OR($D46&lt;&gt;"Serviço",AND(AUTOEVENTO="Manual",$M46=$A$15)),0,
         IF(OFFSET(CRONOPLE!$F$15,$M46-$A$15,BE$13)=0,10^12,OFFSET(CRONOPLE!$F$15,$M46-$A$15,BE$13)))</f>
        <v>3</v>
      </c>
      <c r="BF46" s="171">
        <f ca="1">IF(OR($D46&lt;&gt;"Serviço",AND(AUTOEVENTO="Manual",$M46=$A$15)),0,
         IF(OFFSET(CRONOPLE!$F$15,$M46-$A$15,BF$13)=0,10^12,OFFSET(CRONOPLE!$F$15,$M46-$A$15,BF$13)))</f>
        <v>4</v>
      </c>
      <c r="BG46" s="171">
        <f ca="1">IF(OR($D46&lt;&gt;"Serviço",AND(AUTOEVENTO="Manual",$M46=$A$15)),0,
         IF(OFFSET(CRONOPLE!$F$15,$M46-$A$15,BG$13)=0,10^12,OFFSET(CRONOPLE!$F$15,$M46-$A$15,BG$13)))</f>
        <v>5</v>
      </c>
      <c r="BH46" s="171">
        <f ca="1">IF(OR($D46&lt;&gt;"Serviço",AND(AUTOEVENTO="Manual",$M46=$A$15)),0,
         IF(OFFSET(CRONOPLE!$F$15,$M46-$A$15,BH$13)=0,10^12,OFFSET(CRONOPLE!$F$15,$M46-$A$15,BH$13)))</f>
        <v>6</v>
      </c>
      <c r="BI46" s="171">
        <f ca="1">IF(OR($D46&lt;&gt;"Serviço",AND(AUTOEVENTO="Manual",$M46=$A$15)),0,
         IF(OFFSET(CRONOPLE!$F$15,$M46-$A$15,BI$13)=0,10^12,OFFSET(CRONOPLE!$F$15,$M46-$A$15,BI$13)))</f>
        <v>7</v>
      </c>
      <c r="BJ46" s="171">
        <f ca="1">IF(OR($D46&lt;&gt;"Serviço",AND(AUTOEVENTO="Manual",$M46=$A$15)),0,
         IF(OFFSET(CRONOPLE!$F$15,$M46-$A$15,BJ$13)=0,10^12,OFFSET(CRONOPLE!$F$15,$M46-$A$15,BJ$13)))</f>
        <v>8</v>
      </c>
      <c r="BK46" s="171">
        <f ca="1">IF(OR($D46&lt;&gt;"Serviço",AND(AUTOEVENTO="Manual",$M46=$A$15)),0,
         IF(OFFSET(CRONOPLE!$F$15,$M46-$A$15,BK$13)=0,10^12,OFFSET(CRONOPLE!$F$15,$M46-$A$15,BK$13)))</f>
        <v>9</v>
      </c>
      <c r="BL46" s="171">
        <f ca="1">IF(OR($D46&lt;&gt;"Serviço",AND(AUTOEVENTO="Manual",$M46=$A$15)),0,
         IF(OFFSET(CRONOPLE!$F$15,$M46-$A$15,BL$13)=0,10^12,OFFSET(CRONOPLE!$F$15,$M46-$A$15,BL$13)))</f>
        <v>10</v>
      </c>
      <c r="BM46" s="171">
        <f ca="1">IF(OR($D46&lt;&gt;"Serviço",AND(AUTOEVENTO="Manual",$M46=$A$15)),0,
         IF(OFFSET(CRONOPLE!$F$15,$M46-$A$15,BM$13)=0,10^12,OFFSET(CRONOPLE!$F$15,$M46-$A$15,BM$13)))</f>
        <v>1000000000000</v>
      </c>
      <c r="BN46" s="171">
        <f ca="1">IF(OR($D46&lt;&gt;"Serviço",AND(AUTOEVENTO="Manual",$M46=$A$15)),0,
         IF(OFFSET(CRONOPLE!$F$15,$M46-$A$15,BN$13)=0,10^12,OFFSET(CRONOPLE!$F$15,$M46-$A$15,BN$13)))</f>
        <v>1000000000000</v>
      </c>
      <c r="BO46" s="171">
        <f ca="1">IF(OR($D46&lt;&gt;"Serviço",AND(AUTOEVENTO="Manual",$M46=$A$15)),0,
         IF(OFFSET(CRONOPLE!$F$15,$M46-$A$15,BO$13)=0,10^12,OFFSET(CRONOPLE!$F$15,$M46-$A$15,BO$13)))</f>
        <v>1000000000000</v>
      </c>
      <c r="BP46" s="171">
        <f ca="1">IF(OR($D46&lt;&gt;"Serviço",AND(AUTOEVENTO="Manual",$M46=$A$15)),0,
         IF(OFFSET(CRONOPLE!$F$15,$M46-$A$15,BP$13)=0,10^12,OFFSET(CRONOPLE!$F$15,$M46-$A$15,BP$13)))</f>
        <v>1000000000000</v>
      </c>
      <c r="BQ46" s="171">
        <f ca="1">IF(OR($D46&lt;&gt;"Serviço",AND(AUTOEVENTO="Manual",$M46=$A$15)),0,
         IF(OFFSET(CRONOPLE!$F$15,$M46-$A$15,BQ$13)=0,10^12,OFFSET(CRONOPLE!$F$15,$M46-$A$15,BQ$13)))</f>
        <v>1000000000000</v>
      </c>
      <c r="BR46" s="171">
        <f ca="1">IF(OR($D46&lt;&gt;"Serviço",AND(AUTOEVENTO="Manual",$M46=$A$15)),0,
         IF(OFFSET(CRONOPLE!$F$15,$M46-$A$15,BR$13)=0,10^12,OFFSET(CRONOPLE!$F$15,$M46-$A$15,BR$13)))</f>
        <v>1000000000000</v>
      </c>
      <c r="BS46" s="171">
        <f ca="1">IF(OR($D46&lt;&gt;"Serviço",AND(AUTOEVENTO="Manual",$M46=$A$15)),0,
         IF(OFFSET(CRONOPLE!$F$15,$M46-$A$15,BS$13)=0,10^12,OFFSET(CRONOPLE!$F$15,$M46-$A$15,BS$13)))</f>
        <v>1000000000000</v>
      </c>
      <c r="BT46" s="171">
        <f ca="1">IF(OR($D46&lt;&gt;"Serviço",AND(AUTOEVENTO="Manual",$M46=$A$15)),0,
         IF(OFFSET(CRONOPLE!$F$15,$M46-$A$15,BT$13)=0,10^12,OFFSET(CRONOPLE!$F$15,$M46-$A$15,BT$13)))</f>
        <v>1000000000000</v>
      </c>
      <c r="BV46" s="172">
        <f ca="1">IF(OR($D46&lt;&gt;"Serviço",AND(AUTOEVENTO="Manual",$M46=$A$15),$M46&gt;(ROW(PLE.lastrow)-ROW(PLE.firstrow))),0,
           IF(OFFSET(PLE!$G$15,$M46-$A$15,BV$13)="",10^12,OFFSET(PLE!$G$15,$M46-$A$15,BV$13)))</f>
        <v>1000000000000</v>
      </c>
      <c r="BW46" s="172">
        <f ca="1">IF(OR($D46&lt;&gt;"Serviço",AND(AUTOEVENTO="Manual",$M46=$A$15),$M46&gt;(ROW(PLE.lastrow)-ROW(PLE.firstrow))),0,
           IF(OFFSET(PLE!$G$15,$M46-$A$15,BW$13)="",10^12,OFFSET(PLE!$G$15,$M46-$A$15,BW$13)))</f>
        <v>1000000000000</v>
      </c>
      <c r="BX46" s="172">
        <f ca="1">IF(OR($D46&lt;&gt;"Serviço",AND(AUTOEVENTO="Manual",$M46=$A$15),$M46&gt;(ROW(PLE.lastrow)-ROW(PLE.firstrow))),0,
           IF(OFFSET(PLE!$G$15,$M46-$A$15,BX$13)="",10^12,OFFSET(PLE!$G$15,$M46-$A$15,BX$13)))</f>
        <v>1000000000000</v>
      </c>
      <c r="BY46" s="172">
        <f ca="1">IF(OR($D46&lt;&gt;"Serviço",AND(AUTOEVENTO="Manual",$M46=$A$15),$M46&gt;(ROW(PLE.lastrow)-ROW(PLE.firstrow))),0,
           IF(OFFSET(PLE!$G$15,$M46-$A$15,BY$13)="",10^12,OFFSET(PLE!$G$15,$M46-$A$15,BY$13)))</f>
        <v>1000000000000</v>
      </c>
      <c r="BZ46" s="172">
        <f ca="1">IF(OR($D46&lt;&gt;"Serviço",AND(AUTOEVENTO="Manual",$M46=$A$15),$M46&gt;(ROW(PLE.lastrow)-ROW(PLE.firstrow))),0,
           IF(OFFSET(PLE!$G$15,$M46-$A$15,BZ$13)="",10^12,OFFSET(PLE!$G$15,$M46-$A$15,BZ$13)))</f>
        <v>1000000000000</v>
      </c>
      <c r="CA46" s="172">
        <f ca="1">IF(OR($D46&lt;&gt;"Serviço",AND(AUTOEVENTO="Manual",$M46=$A$15),$M46&gt;(ROW(PLE.lastrow)-ROW(PLE.firstrow))),0,
           IF(OFFSET(PLE!$G$15,$M46-$A$15,CA$13)="",10^12,OFFSET(PLE!$G$15,$M46-$A$15,CA$13)))</f>
        <v>1000000000000</v>
      </c>
      <c r="CB46" s="172">
        <f ca="1">IF(OR($D46&lt;&gt;"Serviço",AND(AUTOEVENTO="Manual",$M46=$A$15),$M46&gt;(ROW(PLE.lastrow)-ROW(PLE.firstrow))),0,
           IF(OFFSET(PLE!$G$15,$M46-$A$15,CB$13)="",10^12,OFFSET(PLE!$G$15,$M46-$A$15,CB$13)))</f>
        <v>1000000000000</v>
      </c>
      <c r="CC46" s="172">
        <f ca="1">IF(OR($D46&lt;&gt;"Serviço",AND(AUTOEVENTO="Manual",$M46=$A$15),$M46&gt;(ROW(PLE.lastrow)-ROW(PLE.firstrow))),0,
           IF(OFFSET(PLE!$G$15,$M46-$A$15,CC$13)="",10^12,OFFSET(PLE!$G$15,$M46-$A$15,CC$13)))</f>
        <v>1000000000000</v>
      </c>
      <c r="CD46" s="172">
        <f ca="1">IF(OR($D46&lt;&gt;"Serviço",AND(AUTOEVENTO="Manual",$M46=$A$15),$M46&gt;(ROW(PLE.lastrow)-ROW(PLE.firstrow))),0,
           IF(OFFSET(PLE!$G$15,$M46-$A$15,CD$13)="",10^12,OFFSET(PLE!$G$15,$M46-$A$15,CD$13)))</f>
        <v>1000000000000</v>
      </c>
      <c r="CE46" s="172">
        <f ca="1">IF(OR($D46&lt;&gt;"Serviço",AND(AUTOEVENTO="Manual",$M46=$A$15),$M46&gt;(ROW(PLE.lastrow)-ROW(PLE.firstrow))),0,
           IF(OFFSET(PLE!$G$15,$M46-$A$15,CE$13)="",10^12,OFFSET(PLE!$G$15,$M46-$A$15,CE$13)))</f>
        <v>1000000000000</v>
      </c>
      <c r="CF46" s="172">
        <f ca="1">IF(OR($D46&lt;&gt;"Serviço",AND(AUTOEVENTO="Manual",$M46=$A$15),$M46&gt;(ROW(PLE.lastrow)-ROW(PLE.firstrow))),0,
           IF(OFFSET(PLE!$G$15,$M46-$A$15,CF$13)="",10^12,OFFSET(PLE!$G$15,$M46-$A$15,CF$13)))</f>
        <v>1000000000000</v>
      </c>
      <c r="CG46" s="172">
        <f ca="1">IF(OR($D46&lt;&gt;"Serviço",AND(AUTOEVENTO="Manual",$M46=$A$15),$M46&gt;(ROW(PLE.lastrow)-ROW(PLE.firstrow))),0,
           IF(OFFSET(PLE!$G$15,$M46-$A$15,CG$13)="",10^12,OFFSET(PLE!$G$15,$M46-$A$15,CG$13)))</f>
        <v>1000000000000</v>
      </c>
      <c r="CH46" s="172">
        <f ca="1">IF(OR($D46&lt;&gt;"Serviço",AND(AUTOEVENTO="Manual",$M46=$A$15),$M46&gt;(ROW(PLE.lastrow)-ROW(PLE.firstrow))),0,
           IF(OFFSET(PLE!$G$15,$M46-$A$15,CH$13)="",10^12,OFFSET(PLE!$G$15,$M46-$A$15,CH$13)))</f>
        <v>1000000000000</v>
      </c>
      <c r="CI46" s="172">
        <f ca="1">IF(OR($D46&lt;&gt;"Serviço",AND(AUTOEVENTO="Manual",$M46=$A$15),$M46&gt;(ROW(PLE.lastrow)-ROW(PLE.firstrow))),0,
           IF(OFFSET(PLE!$G$15,$M46-$A$15,CI$13)="",10^12,OFFSET(PLE!$G$15,$M46-$A$15,CI$13)))</f>
        <v>1000000000000</v>
      </c>
      <c r="CJ46" s="172">
        <f ca="1">IF(OR($D46&lt;&gt;"Serviço",AND(AUTOEVENTO="Manual",$M46=$A$15),$M46&gt;(ROW(PLE.lastrow)-ROW(PLE.firstrow))),0,
           IF(OFFSET(PLE!$G$15,$M46-$A$15,CJ$13)="",10^12,OFFSET(PLE!$G$15,$M46-$A$15,CJ$13)))</f>
        <v>1000000000000</v>
      </c>
      <c r="CK46" s="172">
        <f ca="1">IF(OR($D46&lt;&gt;"Serviço",AND(AUTOEVENTO="Manual",$M46=$A$15),$M46&gt;(ROW(PLE.lastrow)-ROW(PLE.firstrow))),0,
           IF(OFFSET(PLE!$G$15,$M46-$A$15,CK$13)="",10^12,OFFSET(PLE!$G$15,$M46-$A$15,CK$13)))</f>
        <v>1000000000000</v>
      </c>
      <c r="CL46" s="172">
        <f ca="1">IF(OR($D46&lt;&gt;"Serviço",AND(AUTOEVENTO="Manual",$M46=$A$15),$M46&gt;(ROW(PLE.lastrow)-ROW(PLE.firstrow))),0,
           IF(OFFSET(PLE!$G$15,$M46-$A$15,CL$13)="",10^12,OFFSET(PLE!$G$15,$M46-$A$15,CL$13)))</f>
        <v>1000000000000</v>
      </c>
      <c r="CM46" s="172">
        <f ca="1">IF(OR($D46&lt;&gt;"Serviço",AND(AUTOEVENTO="Manual",$M46=$A$15),$M46&gt;(ROW(PLE.lastrow)-ROW(PLE.firstrow))),0,
           IF(OFFSET(PLE!$G$15,$M46-$A$15,CM$13)="",10^12,OFFSET(PLE!$G$15,$M46-$A$15,CM$13)))</f>
        <v>1000000000000</v>
      </c>
    </row>
    <row r="47" spans="1:91" ht="51" x14ac:dyDescent="0.2">
      <c r="A47" s="7">
        <f t="shared" ca="1" si="10"/>
        <v>2</v>
      </c>
      <c r="B47" s="7" t="str">
        <f ca="1">OFFSET(ORÇAMENTO!C$15,ROW(B47)-ROW(B$15),0)</f>
        <v>S</v>
      </c>
      <c r="C47" s="7" t="str">
        <f ca="1">OFFSET(ORÇAMENTO!L$15,ROW(C47)-ROW(C$15),0)</f>
        <v>F</v>
      </c>
      <c r="D47" s="116" t="str">
        <f ca="1">OFFSET(ORÇAMENTO!N$15,ROW(D47)-ROW(D$15),0)</f>
        <v>Serviço</v>
      </c>
      <c r="E47" s="117" t="str">
        <f ca="1">OFFSET(ORÇAMENTO!O$15,ROW(E47)-ROW(E$15),0)</f>
        <v>1.3.4.0.3.</v>
      </c>
      <c r="F47" s="163" t="str">
        <f ca="1">OFFSET(ORÇAMENTO!R$15,ROW(F47)-ROW(F$15),0)</f>
        <v>TAPUME DE PROTEÇÃO PARA TRANSEUNTE EM TELA DE POLIETILENO, COM MÓDULO NA DIMENSÃO DE (150X150)CM, INCLUSIVE PONTALETE COM BASE DE APOIO EM CONCRETO MAGRO, FORNECIMENTO E MOVIMENTAÇÃO</v>
      </c>
      <c r="G47" s="164" t="str">
        <f ca="1">IF($D47&lt;&gt;"Serviço","",OFFSET(ORÇAMENTO!S$15,ROW(G47)-ROW(G$15),0))</f>
        <v>M</v>
      </c>
      <c r="H47" s="122" cm="1">
        <f t="array" aca="1" ref="H47" ca="1">IF($D47&lt;&gt;"Serviço",0,IF(ACOMPANHAMENTO="BM",ROUND(OFFSET(ORÇAMENTO!AJ$15,ROW(H47)-ROW(H$15),0),15-13*ORÇAMENTO!$AF$7),SUMPRODUCT(($Q$1:$AI$1=1)*ROUND($Q47:$AI47,15-13*ORÇAMENTO!$AF$7))))</f>
        <v>430</v>
      </c>
      <c r="I47" s="468" t="s">
        <v>1296</v>
      </c>
      <c r="J47" s="640" t="str" cm="1">
        <f t="array" aca="1" ref="J47" ca="1">IF(OR(B47&lt;&gt;"S",CÁLCULO.FrentesPreenchidas=0),"",IF(AND(ACOMPANHAMENTO="PLE",AUTOEVENTO="Manual",OR(H47&gt;0,ORÇAMENTO!AC47="QUANT."),OR(K47="",M47=0,N47="")),"►E",IF(AND(ACOMPANHAMENTO="PLE",ORÇAMENTO!AC47="QUANT."),"►Q",IF(AND(ACOMPANHAMENTO="PLE",H47&lt;&gt;SUMPRODUCT(($Q$1:$AI$1=1)*ROUND(Q47:AI47,15))),"►S",IF(AND(COUNTIF($P$11:$AI$11,"▼")=0,H47&gt;0,I47=""),"◄M","")))))</f>
        <v/>
      </c>
      <c r="K47" s="641" t="s">
        <v>1387</v>
      </c>
      <c r="L47" s="165" t="s">
        <v>764</v>
      </c>
      <c r="M47" s="166">
        <f ca="1">IF($D47&lt;&gt;"Serviço","",
          IF(AUTOEVENTO="manual",$A47,
                IF(ISERROR(MATCH($A47,$A$15:OFFSET($A47,-1,0),0)),MAX($M$15:OFFSET(M47,-1,0))+1,
                      INDEX($M$15:OFFSET(M47,-1,0),MATCH($A47,$A$15:OFFSET($A47,-1,0),0)))))</f>
        <v>2</v>
      </c>
      <c r="N47" s="167" t="str">
        <f ca="1">IF($D47&lt;&gt;"Serviço","",
         IF(AUTOEVENTO="Manual",
                IF($A47=0,"&lt;-- defina o número do agrupador",
                       OFFSET(EVENTOS!$D$15,$A47-$A$15,0)),
                OFFSET($F$15,$A47,0)))</f>
        <v>Serviços Iniciais</v>
      </c>
      <c r="O47" s="168"/>
      <c r="Q47" s="168">
        <f>180+140+110</f>
        <v>430</v>
      </c>
      <c r="R47" s="169"/>
      <c r="S47" s="169"/>
      <c r="T47" s="169"/>
      <c r="U47" s="169"/>
      <c r="V47" s="169"/>
      <c r="W47" s="169"/>
      <c r="X47" s="169"/>
      <c r="Y47" s="169"/>
      <c r="Z47" s="170"/>
      <c r="AA47" s="169"/>
      <c r="AB47" s="169"/>
      <c r="AC47" s="169"/>
      <c r="AD47" s="169"/>
      <c r="AE47" s="169"/>
      <c r="AF47" s="169"/>
      <c r="AG47" s="169"/>
      <c r="AH47" s="170"/>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L47" s="453">
        <f ca="1">IF(AND($D47="Serviço",AL$12&lt;&gt;0,$H47&gt;0,OR(AUTOEVENTO&lt;&gt;"manual",$M47&lt;&gt;$A$15)),
        IF(Import.TipoArredondamento&lt;&gt;"TransfereGOV",
              ROUND(OFFSET($P47,0,AL$13),15-13*ORÇAMENTO!$AF$7)/$H47*OFFSET(ORÇAMENTO!$X$15,ROW(AL47)-ROW(AL$15),0),
              ROUND(ROUND(OFFSET($P47,0,AL$13),15-13*ORÇAMENTO!$AF$7)*OFFSET(ORÇAMENTO!$W$15,ROW(AL47)-ROW(AL$15),0),15-13*ORÇAMENTO!$AF$11)),
         0)</f>
        <v>0</v>
      </c>
      <c r="AM47" s="453">
        <f ca="1">IF(AND($D47="Serviço",AM$12&lt;&gt;0,$H47&gt;0,OR(AUTOEVENTO&lt;&gt;"manual",$M47&lt;&gt;$A$15)),
        IF(Import.TipoArredondamento&lt;&gt;"TransfereGOV",
              ROUND(OFFSET($P47,0,AM$13),15-13*ORÇAMENTO!$AF$7)/$H47*OFFSET(ORÇAMENTO!$X$15,ROW(AM47)-ROW(AM$15),0),
              ROUND(ROUND(OFFSET($P47,0,AM$13),15-13*ORÇAMENTO!$AF$7)*OFFSET(ORÇAMENTO!$W$15,ROW(AM47)-ROW(AM$15),0),15-13*ORÇAMENTO!$AF$11)),
         0)</f>
        <v>0</v>
      </c>
      <c r="AN47" s="453">
        <f ca="1">IF(AND($D47="Serviço",AN$12&lt;&gt;0,$H47&gt;0,OR(AUTOEVENTO&lt;&gt;"manual",$M47&lt;&gt;$A$15)),
        IF(Import.TipoArredondamento&lt;&gt;"TransfereGOV",
              ROUND(OFFSET($P47,0,AN$13),15-13*ORÇAMENTO!$AF$7)/$H47*OFFSET(ORÇAMENTO!$X$15,ROW(AN47)-ROW(AN$15),0),
              ROUND(ROUND(OFFSET($P47,0,AN$13),15-13*ORÇAMENTO!$AF$7)*OFFSET(ORÇAMENTO!$W$15,ROW(AN47)-ROW(AN$15),0),15-13*ORÇAMENTO!$AF$11)),
         0)</f>
        <v>0</v>
      </c>
      <c r="AO47" s="453">
        <f ca="1">IF(AND($D47="Serviço",AO$12&lt;&gt;0,$H47&gt;0,OR(AUTOEVENTO&lt;&gt;"manual",$M47&lt;&gt;$A$15)),
        IF(Import.TipoArredondamento&lt;&gt;"TransfereGOV",
              ROUND(OFFSET($P47,0,AO$13),15-13*ORÇAMENTO!$AF$7)/$H47*OFFSET(ORÇAMENTO!$X$15,ROW(AO47)-ROW(AO$15),0),
              ROUND(ROUND(OFFSET($P47,0,AO$13),15-13*ORÇAMENTO!$AF$7)*OFFSET(ORÇAMENTO!$W$15,ROW(AO47)-ROW(AO$15),0),15-13*ORÇAMENTO!$AF$11)),
         0)</f>
        <v>0</v>
      </c>
      <c r="AP47" s="453">
        <f ca="1">IF(AND($D47="Serviço",AP$12&lt;&gt;0,$H47&gt;0,OR(AUTOEVENTO&lt;&gt;"manual",$M47&lt;&gt;$A$15)),
        IF(Import.TipoArredondamento&lt;&gt;"TransfereGOV",
              ROUND(OFFSET($P47,0,AP$13),15-13*ORÇAMENTO!$AF$7)/$H47*OFFSET(ORÇAMENTO!$X$15,ROW(AP47)-ROW(AP$15),0),
              ROUND(ROUND(OFFSET($P47,0,AP$13),15-13*ORÇAMENTO!$AF$7)*OFFSET(ORÇAMENTO!$W$15,ROW(AP47)-ROW(AP$15),0),15-13*ORÇAMENTO!$AF$11)),
         0)</f>
        <v>0</v>
      </c>
      <c r="AQ47" s="453">
        <f ca="1">IF(AND($D47="Serviço",AQ$12&lt;&gt;0,$H47&gt;0,OR(AUTOEVENTO&lt;&gt;"manual",$M47&lt;&gt;$A$15)),
        IF(Import.TipoArredondamento&lt;&gt;"TransfereGOV",
              ROUND(OFFSET($P47,0,AQ$13),15-13*ORÇAMENTO!$AF$7)/$H47*OFFSET(ORÇAMENTO!$X$15,ROW(AQ47)-ROW(AQ$15),0),
              ROUND(ROUND(OFFSET($P47,0,AQ$13),15-13*ORÇAMENTO!$AF$7)*OFFSET(ORÇAMENTO!$W$15,ROW(AQ47)-ROW(AQ$15),0),15-13*ORÇAMENTO!$AF$11)),
         0)</f>
        <v>0</v>
      </c>
      <c r="AR47" s="453">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3">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3">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3">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3">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3">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3">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3">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3">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3">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C47" s="171">
        <f ca="1">IF(OR($D47&lt;&gt;"Serviço",AND(AUTOEVENTO="Manual",$M47=$A$15)),0,
         IF(OFFSET(CRONOPLE!$F$15,$M47-$A$15,BC$13)=0,10^12,OFFSET(CRONOPLE!$F$15,$M47-$A$15,BC$13)))</f>
        <v>1</v>
      </c>
      <c r="BD47" s="171">
        <f ca="1">IF(OR($D47&lt;&gt;"Serviço",AND(AUTOEVENTO="Manual",$M47=$A$15)),0,
         IF(OFFSET(CRONOPLE!$F$15,$M47-$A$15,BD$13)=0,10^12,OFFSET(CRONOPLE!$F$15,$M47-$A$15,BD$13)))</f>
        <v>2</v>
      </c>
      <c r="BE47" s="171">
        <f ca="1">IF(OR($D47&lt;&gt;"Serviço",AND(AUTOEVENTO="Manual",$M47=$A$15)),0,
         IF(OFFSET(CRONOPLE!$F$15,$M47-$A$15,BE$13)=0,10^12,OFFSET(CRONOPLE!$F$15,$M47-$A$15,BE$13)))</f>
        <v>3</v>
      </c>
      <c r="BF47" s="171">
        <f ca="1">IF(OR($D47&lt;&gt;"Serviço",AND(AUTOEVENTO="Manual",$M47=$A$15)),0,
         IF(OFFSET(CRONOPLE!$F$15,$M47-$A$15,BF$13)=0,10^12,OFFSET(CRONOPLE!$F$15,$M47-$A$15,BF$13)))</f>
        <v>4</v>
      </c>
      <c r="BG47" s="171">
        <f ca="1">IF(OR($D47&lt;&gt;"Serviço",AND(AUTOEVENTO="Manual",$M47=$A$15)),0,
         IF(OFFSET(CRONOPLE!$F$15,$M47-$A$15,BG$13)=0,10^12,OFFSET(CRONOPLE!$F$15,$M47-$A$15,BG$13)))</f>
        <v>5</v>
      </c>
      <c r="BH47" s="171">
        <f ca="1">IF(OR($D47&lt;&gt;"Serviço",AND(AUTOEVENTO="Manual",$M47=$A$15)),0,
         IF(OFFSET(CRONOPLE!$F$15,$M47-$A$15,BH$13)=0,10^12,OFFSET(CRONOPLE!$F$15,$M47-$A$15,BH$13)))</f>
        <v>6</v>
      </c>
      <c r="BI47" s="171">
        <f ca="1">IF(OR($D47&lt;&gt;"Serviço",AND(AUTOEVENTO="Manual",$M47=$A$15)),0,
         IF(OFFSET(CRONOPLE!$F$15,$M47-$A$15,BI$13)=0,10^12,OFFSET(CRONOPLE!$F$15,$M47-$A$15,BI$13)))</f>
        <v>7</v>
      </c>
      <c r="BJ47" s="171">
        <f ca="1">IF(OR($D47&lt;&gt;"Serviço",AND(AUTOEVENTO="Manual",$M47=$A$15)),0,
         IF(OFFSET(CRONOPLE!$F$15,$M47-$A$15,BJ$13)=0,10^12,OFFSET(CRONOPLE!$F$15,$M47-$A$15,BJ$13)))</f>
        <v>8</v>
      </c>
      <c r="BK47" s="171">
        <f ca="1">IF(OR($D47&lt;&gt;"Serviço",AND(AUTOEVENTO="Manual",$M47=$A$15)),0,
         IF(OFFSET(CRONOPLE!$F$15,$M47-$A$15,BK$13)=0,10^12,OFFSET(CRONOPLE!$F$15,$M47-$A$15,BK$13)))</f>
        <v>9</v>
      </c>
      <c r="BL47" s="171">
        <f ca="1">IF(OR($D47&lt;&gt;"Serviço",AND(AUTOEVENTO="Manual",$M47=$A$15)),0,
         IF(OFFSET(CRONOPLE!$F$15,$M47-$A$15,BL$13)=0,10^12,OFFSET(CRONOPLE!$F$15,$M47-$A$15,BL$13)))</f>
        <v>10</v>
      </c>
      <c r="BM47" s="171">
        <f ca="1">IF(OR($D47&lt;&gt;"Serviço",AND(AUTOEVENTO="Manual",$M47=$A$15)),0,
         IF(OFFSET(CRONOPLE!$F$15,$M47-$A$15,BM$13)=0,10^12,OFFSET(CRONOPLE!$F$15,$M47-$A$15,BM$13)))</f>
        <v>1000000000000</v>
      </c>
      <c r="BN47" s="171">
        <f ca="1">IF(OR($D47&lt;&gt;"Serviço",AND(AUTOEVENTO="Manual",$M47=$A$15)),0,
         IF(OFFSET(CRONOPLE!$F$15,$M47-$A$15,BN$13)=0,10^12,OFFSET(CRONOPLE!$F$15,$M47-$A$15,BN$13)))</f>
        <v>1000000000000</v>
      </c>
      <c r="BO47" s="171">
        <f ca="1">IF(OR($D47&lt;&gt;"Serviço",AND(AUTOEVENTO="Manual",$M47=$A$15)),0,
         IF(OFFSET(CRONOPLE!$F$15,$M47-$A$15,BO$13)=0,10^12,OFFSET(CRONOPLE!$F$15,$M47-$A$15,BO$13)))</f>
        <v>1000000000000</v>
      </c>
      <c r="BP47" s="171">
        <f ca="1">IF(OR($D47&lt;&gt;"Serviço",AND(AUTOEVENTO="Manual",$M47=$A$15)),0,
         IF(OFFSET(CRONOPLE!$F$15,$M47-$A$15,BP$13)=0,10^12,OFFSET(CRONOPLE!$F$15,$M47-$A$15,BP$13)))</f>
        <v>1000000000000</v>
      </c>
      <c r="BQ47" s="171">
        <f ca="1">IF(OR($D47&lt;&gt;"Serviço",AND(AUTOEVENTO="Manual",$M47=$A$15)),0,
         IF(OFFSET(CRONOPLE!$F$15,$M47-$A$15,BQ$13)=0,10^12,OFFSET(CRONOPLE!$F$15,$M47-$A$15,BQ$13)))</f>
        <v>1000000000000</v>
      </c>
      <c r="BR47" s="171">
        <f ca="1">IF(OR($D47&lt;&gt;"Serviço",AND(AUTOEVENTO="Manual",$M47=$A$15)),0,
         IF(OFFSET(CRONOPLE!$F$15,$M47-$A$15,BR$13)=0,10^12,OFFSET(CRONOPLE!$F$15,$M47-$A$15,BR$13)))</f>
        <v>1000000000000</v>
      </c>
      <c r="BS47" s="171">
        <f ca="1">IF(OR($D47&lt;&gt;"Serviço",AND(AUTOEVENTO="Manual",$M47=$A$15)),0,
         IF(OFFSET(CRONOPLE!$F$15,$M47-$A$15,BS$13)=0,10^12,OFFSET(CRONOPLE!$F$15,$M47-$A$15,BS$13)))</f>
        <v>1000000000000</v>
      </c>
      <c r="BT47" s="171">
        <f ca="1">IF(OR($D47&lt;&gt;"Serviço",AND(AUTOEVENTO="Manual",$M47=$A$15)),0,
         IF(OFFSET(CRONOPLE!$F$15,$M47-$A$15,BT$13)=0,10^12,OFFSET(CRONOPLE!$F$15,$M47-$A$15,BT$13)))</f>
        <v>1000000000000</v>
      </c>
      <c r="BV47" s="172">
        <f ca="1">IF(OR($D47&lt;&gt;"Serviço",AND(AUTOEVENTO="Manual",$M47=$A$15),$M47&gt;(ROW(PLE.lastrow)-ROW(PLE.firstrow))),0,
           IF(OFFSET(PLE!$G$15,$M47-$A$15,BV$13)="",10^12,OFFSET(PLE!$G$15,$M47-$A$15,BV$13)))</f>
        <v>1000000000000</v>
      </c>
      <c r="BW47" s="172">
        <f ca="1">IF(OR($D47&lt;&gt;"Serviço",AND(AUTOEVENTO="Manual",$M47=$A$15),$M47&gt;(ROW(PLE.lastrow)-ROW(PLE.firstrow))),0,
           IF(OFFSET(PLE!$G$15,$M47-$A$15,BW$13)="",10^12,OFFSET(PLE!$G$15,$M47-$A$15,BW$13)))</f>
        <v>1000000000000</v>
      </c>
      <c r="BX47" s="172">
        <f ca="1">IF(OR($D47&lt;&gt;"Serviço",AND(AUTOEVENTO="Manual",$M47=$A$15),$M47&gt;(ROW(PLE.lastrow)-ROW(PLE.firstrow))),0,
           IF(OFFSET(PLE!$G$15,$M47-$A$15,BX$13)="",10^12,OFFSET(PLE!$G$15,$M47-$A$15,BX$13)))</f>
        <v>1000000000000</v>
      </c>
      <c r="BY47" s="172">
        <f ca="1">IF(OR($D47&lt;&gt;"Serviço",AND(AUTOEVENTO="Manual",$M47=$A$15),$M47&gt;(ROW(PLE.lastrow)-ROW(PLE.firstrow))),0,
           IF(OFFSET(PLE!$G$15,$M47-$A$15,BY$13)="",10^12,OFFSET(PLE!$G$15,$M47-$A$15,BY$13)))</f>
        <v>1000000000000</v>
      </c>
      <c r="BZ47" s="172">
        <f ca="1">IF(OR($D47&lt;&gt;"Serviço",AND(AUTOEVENTO="Manual",$M47=$A$15),$M47&gt;(ROW(PLE.lastrow)-ROW(PLE.firstrow))),0,
           IF(OFFSET(PLE!$G$15,$M47-$A$15,BZ$13)="",10^12,OFFSET(PLE!$G$15,$M47-$A$15,BZ$13)))</f>
        <v>1000000000000</v>
      </c>
      <c r="CA47" s="172">
        <f ca="1">IF(OR($D47&lt;&gt;"Serviço",AND(AUTOEVENTO="Manual",$M47=$A$15),$M47&gt;(ROW(PLE.lastrow)-ROW(PLE.firstrow))),0,
           IF(OFFSET(PLE!$G$15,$M47-$A$15,CA$13)="",10^12,OFFSET(PLE!$G$15,$M47-$A$15,CA$13)))</f>
        <v>1000000000000</v>
      </c>
      <c r="CB47" s="172">
        <f ca="1">IF(OR($D47&lt;&gt;"Serviço",AND(AUTOEVENTO="Manual",$M47=$A$15),$M47&gt;(ROW(PLE.lastrow)-ROW(PLE.firstrow))),0,
           IF(OFFSET(PLE!$G$15,$M47-$A$15,CB$13)="",10^12,OFFSET(PLE!$G$15,$M47-$A$15,CB$13)))</f>
        <v>1000000000000</v>
      </c>
      <c r="CC47" s="172">
        <f ca="1">IF(OR($D47&lt;&gt;"Serviço",AND(AUTOEVENTO="Manual",$M47=$A$15),$M47&gt;(ROW(PLE.lastrow)-ROW(PLE.firstrow))),0,
           IF(OFFSET(PLE!$G$15,$M47-$A$15,CC$13)="",10^12,OFFSET(PLE!$G$15,$M47-$A$15,CC$13)))</f>
        <v>1000000000000</v>
      </c>
      <c r="CD47" s="172">
        <f ca="1">IF(OR($D47&lt;&gt;"Serviço",AND(AUTOEVENTO="Manual",$M47=$A$15),$M47&gt;(ROW(PLE.lastrow)-ROW(PLE.firstrow))),0,
           IF(OFFSET(PLE!$G$15,$M47-$A$15,CD$13)="",10^12,OFFSET(PLE!$G$15,$M47-$A$15,CD$13)))</f>
        <v>1000000000000</v>
      </c>
      <c r="CE47" s="172">
        <f ca="1">IF(OR($D47&lt;&gt;"Serviço",AND(AUTOEVENTO="Manual",$M47=$A$15),$M47&gt;(ROW(PLE.lastrow)-ROW(PLE.firstrow))),0,
           IF(OFFSET(PLE!$G$15,$M47-$A$15,CE$13)="",10^12,OFFSET(PLE!$G$15,$M47-$A$15,CE$13)))</f>
        <v>1000000000000</v>
      </c>
      <c r="CF47" s="172">
        <f ca="1">IF(OR($D47&lt;&gt;"Serviço",AND(AUTOEVENTO="Manual",$M47=$A$15),$M47&gt;(ROW(PLE.lastrow)-ROW(PLE.firstrow))),0,
           IF(OFFSET(PLE!$G$15,$M47-$A$15,CF$13)="",10^12,OFFSET(PLE!$G$15,$M47-$A$15,CF$13)))</f>
        <v>1000000000000</v>
      </c>
      <c r="CG47" s="172">
        <f ca="1">IF(OR($D47&lt;&gt;"Serviço",AND(AUTOEVENTO="Manual",$M47=$A$15),$M47&gt;(ROW(PLE.lastrow)-ROW(PLE.firstrow))),0,
           IF(OFFSET(PLE!$G$15,$M47-$A$15,CG$13)="",10^12,OFFSET(PLE!$G$15,$M47-$A$15,CG$13)))</f>
        <v>1000000000000</v>
      </c>
      <c r="CH47" s="172">
        <f ca="1">IF(OR($D47&lt;&gt;"Serviço",AND(AUTOEVENTO="Manual",$M47=$A$15),$M47&gt;(ROW(PLE.lastrow)-ROW(PLE.firstrow))),0,
           IF(OFFSET(PLE!$G$15,$M47-$A$15,CH$13)="",10^12,OFFSET(PLE!$G$15,$M47-$A$15,CH$13)))</f>
        <v>1000000000000</v>
      </c>
      <c r="CI47" s="172">
        <f ca="1">IF(OR($D47&lt;&gt;"Serviço",AND(AUTOEVENTO="Manual",$M47=$A$15),$M47&gt;(ROW(PLE.lastrow)-ROW(PLE.firstrow))),0,
           IF(OFFSET(PLE!$G$15,$M47-$A$15,CI$13)="",10^12,OFFSET(PLE!$G$15,$M47-$A$15,CI$13)))</f>
        <v>1000000000000</v>
      </c>
      <c r="CJ47" s="172">
        <f ca="1">IF(OR($D47&lt;&gt;"Serviço",AND(AUTOEVENTO="Manual",$M47=$A$15),$M47&gt;(ROW(PLE.lastrow)-ROW(PLE.firstrow))),0,
           IF(OFFSET(PLE!$G$15,$M47-$A$15,CJ$13)="",10^12,OFFSET(PLE!$G$15,$M47-$A$15,CJ$13)))</f>
        <v>1000000000000</v>
      </c>
      <c r="CK47" s="172">
        <f ca="1">IF(OR($D47&lt;&gt;"Serviço",AND(AUTOEVENTO="Manual",$M47=$A$15),$M47&gt;(ROW(PLE.lastrow)-ROW(PLE.firstrow))),0,
           IF(OFFSET(PLE!$G$15,$M47-$A$15,CK$13)="",10^12,OFFSET(PLE!$G$15,$M47-$A$15,CK$13)))</f>
        <v>1000000000000</v>
      </c>
      <c r="CL47" s="172">
        <f ca="1">IF(OR($D47&lt;&gt;"Serviço",AND(AUTOEVENTO="Manual",$M47=$A$15),$M47&gt;(ROW(PLE.lastrow)-ROW(PLE.firstrow))),0,
           IF(OFFSET(PLE!$G$15,$M47-$A$15,CL$13)="",10^12,OFFSET(PLE!$G$15,$M47-$A$15,CL$13)))</f>
        <v>1000000000000</v>
      </c>
      <c r="CM47" s="172">
        <f ca="1">IF(OR($D47&lt;&gt;"Serviço",AND(AUTOEVENTO="Manual",$M47=$A$15),$M47&gt;(ROW(PLE.lastrow)-ROW(PLE.firstrow))),0,
           IF(OFFSET(PLE!$G$15,$M47-$A$15,CM$13)="",10^12,OFFSET(PLE!$G$15,$M47-$A$15,CM$13)))</f>
        <v>1000000000000</v>
      </c>
    </row>
    <row r="48" spans="1:91" ht="12.75" x14ac:dyDescent="0.2">
      <c r="A48" s="7">
        <f t="shared" ca="1" si="10"/>
        <v>0</v>
      </c>
      <c r="B48" s="7">
        <f ca="1">OFFSET(ORÇAMENTO!C$15,ROW(B48)-ROW(B$15),0)</f>
        <v>2</v>
      </c>
      <c r="C48" s="7" t="str">
        <f ca="1">OFFSET(ORÇAMENTO!L$15,ROW(C48)-ROW(C$15),0)</f>
        <v>F</v>
      </c>
      <c r="D48" s="116" t="str">
        <f ca="1">OFFSET(ORÇAMENTO!N$15,ROW(D48)-ROW(D$15),0)</f>
        <v>Nível 2</v>
      </c>
      <c r="E48" s="117" t="str">
        <f ca="1">OFFSET(ORÇAMENTO!O$15,ROW(E48)-ROW(E$15),0)</f>
        <v>1.4.</v>
      </c>
      <c r="F48" s="163" t="str">
        <f ca="1">OFFSET(ORÇAMENTO!R$15,ROW(F48)-ROW(F$15),0)</f>
        <v>TERRAPLENAGEM</v>
      </c>
      <c r="G48" s="164" t="str">
        <f ca="1">IF($D48&lt;&gt;"Serviço","",OFFSET(ORÇAMENTO!S$15,ROW(G48)-ROW(G$15),0))</f>
        <v/>
      </c>
      <c r="H48" s="122" cm="1">
        <f t="array" aca="1" ref="H48" ca="1">IF($D48&lt;&gt;"Serviço",0,IF(ACOMPANHAMENTO="BM",ROUND(OFFSET(ORÇAMENTO!AJ$15,ROW(H48)-ROW(H$15),0),15-13*ORÇAMENTO!$AF$7),SUMPRODUCT(($Q$1:$AI$1=1)*ROUND($Q48:$AI48,15-13*ORÇAMENTO!$AF$7))))</f>
        <v>0</v>
      </c>
      <c r="I48" s="468"/>
      <c r="J48" s="640" t="str" cm="1">
        <f t="array" aca="1" ref="J48" ca="1">IF(OR(B48&lt;&gt;"S",CÁLCULO.FrentesPreenchidas=0),"",IF(AND(ACOMPANHAMENTO="PLE",AUTOEVENTO="Manual",OR(H48&gt;0,ORÇAMENTO!AC48="QUANT."),OR(K48="",M48=0,N48="")),"►E",IF(AND(ACOMPANHAMENTO="PLE",ORÇAMENTO!AC48="QUANT."),"►Q",IF(AND(ACOMPANHAMENTO="PLE",H48&lt;&gt;SUMPRODUCT(($Q$1:$AI$1=1)*ROUND(Q48:AI48,15))),"►S",IF(AND(COUNTIF($P$11:$AI$11,"▼")=0,H48&gt;0,I48=""),"◄M","")))))</f>
        <v/>
      </c>
      <c r="K48" s="641"/>
      <c r="L48" s="165" t="s">
        <v>764</v>
      </c>
      <c r="M48" s="166" t="str">
        <f ca="1">IF($D48&lt;&gt;"Serviço","",
          IF(AUTOEVENTO="manual",$A48,
                IF(ISERROR(MATCH($A48,$A$15:OFFSET($A48,-1,0),0)),MAX($M$15:OFFSET(M48,-1,0))+1,
                      INDEX($M$15:OFFSET(M48,-1,0),MATCH($A48,$A$15:OFFSET($A48,-1,0),0)))))</f>
        <v/>
      </c>
      <c r="N48" s="167" t="str">
        <f ca="1">IF($D48&lt;&gt;"Serviço","",
         IF(AUTOEVENTO="Manual",
                IF($A48=0,"&lt;-- defina o número do agrupador",
                       OFFSET(EVENTOS!$D$15,$A48-$A$15,0)),
                OFFSET($F$15,$A48,0)))</f>
        <v/>
      </c>
      <c r="O48" s="168"/>
      <c r="Q48" s="168"/>
      <c r="R48" s="169"/>
      <c r="S48" s="169"/>
      <c r="T48" s="169"/>
      <c r="U48" s="169"/>
      <c r="V48" s="169"/>
      <c r="W48" s="169"/>
      <c r="X48" s="169"/>
      <c r="Y48" s="169"/>
      <c r="Z48" s="170"/>
      <c r="AA48" s="169"/>
      <c r="AB48" s="169"/>
      <c r="AC48" s="169"/>
      <c r="AD48" s="169"/>
      <c r="AE48" s="169"/>
      <c r="AF48" s="169"/>
      <c r="AG48" s="169"/>
      <c r="AH48" s="170"/>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L48" s="453">
        <f ca="1">IF(AND($D48="Serviço",AL$12&lt;&gt;0,$H48&gt;0,OR(AUTOEVENTO&lt;&gt;"manual",$M48&lt;&gt;$A$15)),
        IF(Import.TipoArredondamento&lt;&gt;"TransfereGOV",
              ROUND(OFFSET($P48,0,AL$13),15-13*ORÇAMENTO!$AF$7)/$H48*OFFSET(ORÇAMENTO!$X$15,ROW(AL48)-ROW(AL$15),0),
              ROUND(ROUND(OFFSET($P48,0,AL$13),15-13*ORÇAMENTO!$AF$7)*OFFSET(ORÇAMENTO!$W$15,ROW(AL48)-ROW(AL$15),0),15-13*ORÇAMENTO!$AF$11)),
         0)</f>
        <v>0</v>
      </c>
      <c r="AM48" s="453">
        <f ca="1">IF(AND($D48="Serviço",AM$12&lt;&gt;0,$H48&gt;0,OR(AUTOEVENTO&lt;&gt;"manual",$M48&lt;&gt;$A$15)),
        IF(Import.TipoArredondamento&lt;&gt;"TransfereGOV",
              ROUND(OFFSET($P48,0,AM$13),15-13*ORÇAMENTO!$AF$7)/$H48*OFFSET(ORÇAMENTO!$X$15,ROW(AM48)-ROW(AM$15),0),
              ROUND(ROUND(OFFSET($P48,0,AM$13),15-13*ORÇAMENTO!$AF$7)*OFFSET(ORÇAMENTO!$W$15,ROW(AM48)-ROW(AM$15),0),15-13*ORÇAMENTO!$AF$11)),
         0)</f>
        <v>0</v>
      </c>
      <c r="AN48" s="453">
        <f ca="1">IF(AND($D48="Serviço",AN$12&lt;&gt;0,$H48&gt;0,OR(AUTOEVENTO&lt;&gt;"manual",$M48&lt;&gt;$A$15)),
        IF(Import.TipoArredondamento&lt;&gt;"TransfereGOV",
              ROUND(OFFSET($P48,0,AN$13),15-13*ORÇAMENTO!$AF$7)/$H48*OFFSET(ORÇAMENTO!$X$15,ROW(AN48)-ROW(AN$15),0),
              ROUND(ROUND(OFFSET($P48,0,AN$13),15-13*ORÇAMENTO!$AF$7)*OFFSET(ORÇAMENTO!$W$15,ROW(AN48)-ROW(AN$15),0),15-13*ORÇAMENTO!$AF$11)),
         0)</f>
        <v>0</v>
      </c>
      <c r="AO48" s="453">
        <f ca="1">IF(AND($D48="Serviço",AO$12&lt;&gt;0,$H48&gt;0,OR(AUTOEVENTO&lt;&gt;"manual",$M48&lt;&gt;$A$15)),
        IF(Import.TipoArredondamento&lt;&gt;"TransfereGOV",
              ROUND(OFFSET($P48,0,AO$13),15-13*ORÇAMENTO!$AF$7)/$H48*OFFSET(ORÇAMENTO!$X$15,ROW(AO48)-ROW(AO$15),0),
              ROUND(ROUND(OFFSET($P48,0,AO$13),15-13*ORÇAMENTO!$AF$7)*OFFSET(ORÇAMENTO!$W$15,ROW(AO48)-ROW(AO$15),0),15-13*ORÇAMENTO!$AF$11)),
         0)</f>
        <v>0</v>
      </c>
      <c r="AP48" s="453">
        <f ca="1">IF(AND($D48="Serviço",AP$12&lt;&gt;0,$H48&gt;0,OR(AUTOEVENTO&lt;&gt;"manual",$M48&lt;&gt;$A$15)),
        IF(Import.TipoArredondamento&lt;&gt;"TransfereGOV",
              ROUND(OFFSET($P48,0,AP$13),15-13*ORÇAMENTO!$AF$7)/$H48*OFFSET(ORÇAMENTO!$X$15,ROW(AP48)-ROW(AP$15),0),
              ROUND(ROUND(OFFSET($P48,0,AP$13),15-13*ORÇAMENTO!$AF$7)*OFFSET(ORÇAMENTO!$W$15,ROW(AP48)-ROW(AP$15),0),15-13*ORÇAMENTO!$AF$11)),
         0)</f>
        <v>0</v>
      </c>
      <c r="AQ48" s="453">
        <f ca="1">IF(AND($D48="Serviço",AQ$12&lt;&gt;0,$H48&gt;0,OR(AUTOEVENTO&lt;&gt;"manual",$M48&lt;&gt;$A$15)),
        IF(Import.TipoArredondamento&lt;&gt;"TransfereGOV",
              ROUND(OFFSET($P48,0,AQ$13),15-13*ORÇAMENTO!$AF$7)/$H48*OFFSET(ORÇAMENTO!$X$15,ROW(AQ48)-ROW(AQ$15),0),
              ROUND(ROUND(OFFSET($P48,0,AQ$13),15-13*ORÇAMENTO!$AF$7)*OFFSET(ORÇAMENTO!$W$15,ROW(AQ48)-ROW(AQ$15),0),15-13*ORÇAMENTO!$AF$11)),
         0)</f>
        <v>0</v>
      </c>
      <c r="AR48" s="453">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3">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3">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3">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3">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3">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3">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3">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3">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3">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C48" s="171">
        <f ca="1">IF(OR($D48&lt;&gt;"Serviço",AND(AUTOEVENTO="Manual",$M48=$A$15)),0,
         IF(OFFSET(CRONOPLE!$F$15,$M48-$A$15,BC$13)=0,10^12,OFFSET(CRONOPLE!$F$15,$M48-$A$15,BC$13)))</f>
        <v>0</v>
      </c>
      <c r="BD48" s="171">
        <f ca="1">IF(OR($D48&lt;&gt;"Serviço",AND(AUTOEVENTO="Manual",$M48=$A$15)),0,
         IF(OFFSET(CRONOPLE!$F$15,$M48-$A$15,BD$13)=0,10^12,OFFSET(CRONOPLE!$F$15,$M48-$A$15,BD$13)))</f>
        <v>0</v>
      </c>
      <c r="BE48" s="171">
        <f ca="1">IF(OR($D48&lt;&gt;"Serviço",AND(AUTOEVENTO="Manual",$M48=$A$15)),0,
         IF(OFFSET(CRONOPLE!$F$15,$M48-$A$15,BE$13)=0,10^12,OFFSET(CRONOPLE!$F$15,$M48-$A$15,BE$13)))</f>
        <v>0</v>
      </c>
      <c r="BF48" s="171">
        <f ca="1">IF(OR($D48&lt;&gt;"Serviço",AND(AUTOEVENTO="Manual",$M48=$A$15)),0,
         IF(OFFSET(CRONOPLE!$F$15,$M48-$A$15,BF$13)=0,10^12,OFFSET(CRONOPLE!$F$15,$M48-$A$15,BF$13)))</f>
        <v>0</v>
      </c>
      <c r="BG48" s="171">
        <f ca="1">IF(OR($D48&lt;&gt;"Serviço",AND(AUTOEVENTO="Manual",$M48=$A$15)),0,
         IF(OFFSET(CRONOPLE!$F$15,$M48-$A$15,BG$13)=0,10^12,OFFSET(CRONOPLE!$F$15,$M48-$A$15,BG$13)))</f>
        <v>0</v>
      </c>
      <c r="BH48" s="171">
        <f ca="1">IF(OR($D48&lt;&gt;"Serviço",AND(AUTOEVENTO="Manual",$M48=$A$15)),0,
         IF(OFFSET(CRONOPLE!$F$15,$M48-$A$15,BH$13)=0,10^12,OFFSET(CRONOPLE!$F$15,$M48-$A$15,BH$13)))</f>
        <v>0</v>
      </c>
      <c r="BI48" s="171">
        <f ca="1">IF(OR($D48&lt;&gt;"Serviço",AND(AUTOEVENTO="Manual",$M48=$A$15)),0,
         IF(OFFSET(CRONOPLE!$F$15,$M48-$A$15,BI$13)=0,10^12,OFFSET(CRONOPLE!$F$15,$M48-$A$15,BI$13)))</f>
        <v>0</v>
      </c>
      <c r="BJ48" s="171">
        <f ca="1">IF(OR($D48&lt;&gt;"Serviço",AND(AUTOEVENTO="Manual",$M48=$A$15)),0,
         IF(OFFSET(CRONOPLE!$F$15,$M48-$A$15,BJ$13)=0,10^12,OFFSET(CRONOPLE!$F$15,$M48-$A$15,BJ$13)))</f>
        <v>0</v>
      </c>
      <c r="BK48" s="171">
        <f ca="1">IF(OR($D48&lt;&gt;"Serviço",AND(AUTOEVENTO="Manual",$M48=$A$15)),0,
         IF(OFFSET(CRONOPLE!$F$15,$M48-$A$15,BK$13)=0,10^12,OFFSET(CRONOPLE!$F$15,$M48-$A$15,BK$13)))</f>
        <v>0</v>
      </c>
      <c r="BL48" s="171">
        <f ca="1">IF(OR($D48&lt;&gt;"Serviço",AND(AUTOEVENTO="Manual",$M48=$A$15)),0,
         IF(OFFSET(CRONOPLE!$F$15,$M48-$A$15,BL$13)=0,10^12,OFFSET(CRONOPLE!$F$15,$M48-$A$15,BL$13)))</f>
        <v>0</v>
      </c>
      <c r="BM48" s="171">
        <f ca="1">IF(OR($D48&lt;&gt;"Serviço",AND(AUTOEVENTO="Manual",$M48=$A$15)),0,
         IF(OFFSET(CRONOPLE!$F$15,$M48-$A$15,BM$13)=0,10^12,OFFSET(CRONOPLE!$F$15,$M48-$A$15,BM$13)))</f>
        <v>0</v>
      </c>
      <c r="BN48" s="171">
        <f ca="1">IF(OR($D48&lt;&gt;"Serviço",AND(AUTOEVENTO="Manual",$M48=$A$15)),0,
         IF(OFFSET(CRONOPLE!$F$15,$M48-$A$15,BN$13)=0,10^12,OFFSET(CRONOPLE!$F$15,$M48-$A$15,BN$13)))</f>
        <v>0</v>
      </c>
      <c r="BO48" s="171">
        <f ca="1">IF(OR($D48&lt;&gt;"Serviço",AND(AUTOEVENTO="Manual",$M48=$A$15)),0,
         IF(OFFSET(CRONOPLE!$F$15,$M48-$A$15,BO$13)=0,10^12,OFFSET(CRONOPLE!$F$15,$M48-$A$15,BO$13)))</f>
        <v>0</v>
      </c>
      <c r="BP48" s="171">
        <f ca="1">IF(OR($D48&lt;&gt;"Serviço",AND(AUTOEVENTO="Manual",$M48=$A$15)),0,
         IF(OFFSET(CRONOPLE!$F$15,$M48-$A$15,BP$13)=0,10^12,OFFSET(CRONOPLE!$F$15,$M48-$A$15,BP$13)))</f>
        <v>0</v>
      </c>
      <c r="BQ48" s="171">
        <f ca="1">IF(OR($D48&lt;&gt;"Serviço",AND(AUTOEVENTO="Manual",$M48=$A$15)),0,
         IF(OFFSET(CRONOPLE!$F$15,$M48-$A$15,BQ$13)=0,10^12,OFFSET(CRONOPLE!$F$15,$M48-$A$15,BQ$13)))</f>
        <v>0</v>
      </c>
      <c r="BR48" s="171">
        <f ca="1">IF(OR($D48&lt;&gt;"Serviço",AND(AUTOEVENTO="Manual",$M48=$A$15)),0,
         IF(OFFSET(CRONOPLE!$F$15,$M48-$A$15,BR$13)=0,10^12,OFFSET(CRONOPLE!$F$15,$M48-$A$15,BR$13)))</f>
        <v>0</v>
      </c>
      <c r="BS48" s="171">
        <f ca="1">IF(OR($D48&lt;&gt;"Serviço",AND(AUTOEVENTO="Manual",$M48=$A$15)),0,
         IF(OFFSET(CRONOPLE!$F$15,$M48-$A$15,BS$13)=0,10^12,OFFSET(CRONOPLE!$F$15,$M48-$A$15,BS$13)))</f>
        <v>0</v>
      </c>
      <c r="BT48" s="171">
        <f ca="1">IF(OR($D48&lt;&gt;"Serviço",AND(AUTOEVENTO="Manual",$M48=$A$15)),0,
         IF(OFFSET(CRONOPLE!$F$15,$M48-$A$15,BT$13)=0,10^12,OFFSET(CRONOPLE!$F$15,$M48-$A$15,BT$13)))</f>
        <v>0</v>
      </c>
      <c r="BV48" s="172">
        <f ca="1">IF(OR($D48&lt;&gt;"Serviço",AND(AUTOEVENTO="Manual",$M48=$A$15),$M48&gt;(ROW(PLE.lastrow)-ROW(PLE.firstrow))),0,
           IF(OFFSET(PLE!$G$15,$M48-$A$15,BV$13)="",10^12,OFFSET(PLE!$G$15,$M48-$A$15,BV$13)))</f>
        <v>0</v>
      </c>
      <c r="BW48" s="172">
        <f ca="1">IF(OR($D48&lt;&gt;"Serviço",AND(AUTOEVENTO="Manual",$M48=$A$15),$M48&gt;(ROW(PLE.lastrow)-ROW(PLE.firstrow))),0,
           IF(OFFSET(PLE!$G$15,$M48-$A$15,BW$13)="",10^12,OFFSET(PLE!$G$15,$M48-$A$15,BW$13)))</f>
        <v>0</v>
      </c>
      <c r="BX48" s="172">
        <f ca="1">IF(OR($D48&lt;&gt;"Serviço",AND(AUTOEVENTO="Manual",$M48=$A$15),$M48&gt;(ROW(PLE.lastrow)-ROW(PLE.firstrow))),0,
           IF(OFFSET(PLE!$G$15,$M48-$A$15,BX$13)="",10^12,OFFSET(PLE!$G$15,$M48-$A$15,BX$13)))</f>
        <v>0</v>
      </c>
      <c r="BY48" s="172">
        <f ca="1">IF(OR($D48&lt;&gt;"Serviço",AND(AUTOEVENTO="Manual",$M48=$A$15),$M48&gt;(ROW(PLE.lastrow)-ROW(PLE.firstrow))),0,
           IF(OFFSET(PLE!$G$15,$M48-$A$15,BY$13)="",10^12,OFFSET(PLE!$G$15,$M48-$A$15,BY$13)))</f>
        <v>0</v>
      </c>
      <c r="BZ48" s="172">
        <f ca="1">IF(OR($D48&lt;&gt;"Serviço",AND(AUTOEVENTO="Manual",$M48=$A$15),$M48&gt;(ROW(PLE.lastrow)-ROW(PLE.firstrow))),0,
           IF(OFFSET(PLE!$G$15,$M48-$A$15,BZ$13)="",10^12,OFFSET(PLE!$G$15,$M48-$A$15,BZ$13)))</f>
        <v>0</v>
      </c>
      <c r="CA48" s="172">
        <f ca="1">IF(OR($D48&lt;&gt;"Serviço",AND(AUTOEVENTO="Manual",$M48=$A$15),$M48&gt;(ROW(PLE.lastrow)-ROW(PLE.firstrow))),0,
           IF(OFFSET(PLE!$G$15,$M48-$A$15,CA$13)="",10^12,OFFSET(PLE!$G$15,$M48-$A$15,CA$13)))</f>
        <v>0</v>
      </c>
      <c r="CB48" s="172">
        <f ca="1">IF(OR($D48&lt;&gt;"Serviço",AND(AUTOEVENTO="Manual",$M48=$A$15),$M48&gt;(ROW(PLE.lastrow)-ROW(PLE.firstrow))),0,
           IF(OFFSET(PLE!$G$15,$M48-$A$15,CB$13)="",10^12,OFFSET(PLE!$G$15,$M48-$A$15,CB$13)))</f>
        <v>0</v>
      </c>
      <c r="CC48" s="172">
        <f ca="1">IF(OR($D48&lt;&gt;"Serviço",AND(AUTOEVENTO="Manual",$M48=$A$15),$M48&gt;(ROW(PLE.lastrow)-ROW(PLE.firstrow))),0,
           IF(OFFSET(PLE!$G$15,$M48-$A$15,CC$13)="",10^12,OFFSET(PLE!$G$15,$M48-$A$15,CC$13)))</f>
        <v>0</v>
      </c>
      <c r="CD48" s="172">
        <f ca="1">IF(OR($D48&lt;&gt;"Serviço",AND(AUTOEVENTO="Manual",$M48=$A$15),$M48&gt;(ROW(PLE.lastrow)-ROW(PLE.firstrow))),0,
           IF(OFFSET(PLE!$G$15,$M48-$A$15,CD$13)="",10^12,OFFSET(PLE!$G$15,$M48-$A$15,CD$13)))</f>
        <v>0</v>
      </c>
      <c r="CE48" s="172">
        <f ca="1">IF(OR($D48&lt;&gt;"Serviço",AND(AUTOEVENTO="Manual",$M48=$A$15),$M48&gt;(ROW(PLE.lastrow)-ROW(PLE.firstrow))),0,
           IF(OFFSET(PLE!$G$15,$M48-$A$15,CE$13)="",10^12,OFFSET(PLE!$G$15,$M48-$A$15,CE$13)))</f>
        <v>0</v>
      </c>
      <c r="CF48" s="172">
        <f ca="1">IF(OR($D48&lt;&gt;"Serviço",AND(AUTOEVENTO="Manual",$M48=$A$15),$M48&gt;(ROW(PLE.lastrow)-ROW(PLE.firstrow))),0,
           IF(OFFSET(PLE!$G$15,$M48-$A$15,CF$13)="",10^12,OFFSET(PLE!$G$15,$M48-$A$15,CF$13)))</f>
        <v>0</v>
      </c>
      <c r="CG48" s="172">
        <f ca="1">IF(OR($D48&lt;&gt;"Serviço",AND(AUTOEVENTO="Manual",$M48=$A$15),$M48&gt;(ROW(PLE.lastrow)-ROW(PLE.firstrow))),0,
           IF(OFFSET(PLE!$G$15,$M48-$A$15,CG$13)="",10^12,OFFSET(PLE!$G$15,$M48-$A$15,CG$13)))</f>
        <v>0</v>
      </c>
      <c r="CH48" s="172">
        <f ca="1">IF(OR($D48&lt;&gt;"Serviço",AND(AUTOEVENTO="Manual",$M48=$A$15),$M48&gt;(ROW(PLE.lastrow)-ROW(PLE.firstrow))),0,
           IF(OFFSET(PLE!$G$15,$M48-$A$15,CH$13)="",10^12,OFFSET(PLE!$G$15,$M48-$A$15,CH$13)))</f>
        <v>0</v>
      </c>
      <c r="CI48" s="172">
        <f ca="1">IF(OR($D48&lt;&gt;"Serviço",AND(AUTOEVENTO="Manual",$M48=$A$15),$M48&gt;(ROW(PLE.lastrow)-ROW(PLE.firstrow))),0,
           IF(OFFSET(PLE!$G$15,$M48-$A$15,CI$13)="",10^12,OFFSET(PLE!$G$15,$M48-$A$15,CI$13)))</f>
        <v>0</v>
      </c>
      <c r="CJ48" s="172">
        <f ca="1">IF(OR($D48&lt;&gt;"Serviço",AND(AUTOEVENTO="Manual",$M48=$A$15),$M48&gt;(ROW(PLE.lastrow)-ROW(PLE.firstrow))),0,
           IF(OFFSET(PLE!$G$15,$M48-$A$15,CJ$13)="",10^12,OFFSET(PLE!$G$15,$M48-$A$15,CJ$13)))</f>
        <v>0</v>
      </c>
      <c r="CK48" s="172">
        <f ca="1">IF(OR($D48&lt;&gt;"Serviço",AND(AUTOEVENTO="Manual",$M48=$A$15),$M48&gt;(ROW(PLE.lastrow)-ROW(PLE.firstrow))),0,
           IF(OFFSET(PLE!$G$15,$M48-$A$15,CK$13)="",10^12,OFFSET(PLE!$G$15,$M48-$A$15,CK$13)))</f>
        <v>0</v>
      </c>
      <c r="CL48" s="172">
        <f ca="1">IF(OR($D48&lt;&gt;"Serviço",AND(AUTOEVENTO="Manual",$M48=$A$15),$M48&gt;(ROW(PLE.lastrow)-ROW(PLE.firstrow))),0,
           IF(OFFSET(PLE!$G$15,$M48-$A$15,CL$13)="",10^12,OFFSET(PLE!$G$15,$M48-$A$15,CL$13)))</f>
        <v>0</v>
      </c>
      <c r="CM48" s="172">
        <f ca="1">IF(OR($D48&lt;&gt;"Serviço",AND(AUTOEVENTO="Manual",$M48=$A$15),$M48&gt;(ROW(PLE.lastrow)-ROW(PLE.firstrow))),0,
           IF(OFFSET(PLE!$G$15,$M48-$A$15,CM$13)="",10^12,OFFSET(PLE!$G$15,$M48-$A$15,CM$13)))</f>
        <v>0</v>
      </c>
    </row>
    <row r="49" spans="1:91" ht="12.75" x14ac:dyDescent="0.2">
      <c r="A49" s="7">
        <f t="shared" ca="1" si="10"/>
        <v>0</v>
      </c>
      <c r="B49" s="7">
        <f ca="1">OFFSET(ORÇAMENTO!C$15,ROW(B49)-ROW(B$15),0)</f>
        <v>3</v>
      </c>
      <c r="C49" s="7" t="str">
        <f ca="1">OFFSET(ORÇAMENTO!L$15,ROW(C49)-ROW(C$15),0)</f>
        <v>F</v>
      </c>
      <c r="D49" s="116" t="str">
        <f ca="1">OFFSET(ORÇAMENTO!N$15,ROW(D49)-ROW(D$15),0)</f>
        <v>Nível 3</v>
      </c>
      <c r="E49" s="117" t="str">
        <f ca="1">OFFSET(ORÇAMENTO!O$15,ROW(E49)-ROW(E$15),0)</f>
        <v>1.4.1.</v>
      </c>
      <c r="F49" s="163" t="str">
        <f ca="1">OFFSET(ORÇAMENTO!R$15,ROW(F49)-ROW(F$15),0)</f>
        <v>CORTE E ATERRO</v>
      </c>
      <c r="G49" s="164" t="str">
        <f ca="1">IF($D49&lt;&gt;"Serviço","",OFFSET(ORÇAMENTO!S$15,ROW(G49)-ROW(G$15),0))</f>
        <v/>
      </c>
      <c r="H49" s="122" cm="1">
        <f t="array" aca="1" ref="H49" ca="1">IF($D49&lt;&gt;"Serviço",0,IF(ACOMPANHAMENTO="BM",ROUND(OFFSET(ORÇAMENTO!AJ$15,ROW(H49)-ROW(H$15),0),15-13*ORÇAMENTO!$AF$7),SUMPRODUCT(($Q$1:$AI$1=1)*ROUND($Q49:$AI49,15-13*ORÇAMENTO!$AF$7))))</f>
        <v>0</v>
      </c>
      <c r="I49" s="468"/>
      <c r="J49" s="640" t="str" cm="1">
        <f t="array" aca="1" ref="J49" ca="1">IF(OR(B49&lt;&gt;"S",CÁLCULO.FrentesPreenchidas=0),"",IF(AND(ACOMPANHAMENTO="PLE",AUTOEVENTO="Manual",OR(H49&gt;0,ORÇAMENTO!AC49="QUANT."),OR(K49="",M49=0,N49="")),"►E",IF(AND(ACOMPANHAMENTO="PLE",ORÇAMENTO!AC49="QUANT."),"►Q",IF(AND(ACOMPANHAMENTO="PLE",H49&lt;&gt;SUMPRODUCT(($Q$1:$AI$1=1)*ROUND(Q49:AI49,15))),"►S",IF(AND(COUNTIF($P$11:$AI$11,"▼")=0,H49&gt;0,I49=""),"◄M","")))))</f>
        <v/>
      </c>
      <c r="K49" s="641"/>
      <c r="L49" s="165" t="s">
        <v>764</v>
      </c>
      <c r="M49" s="166" t="str">
        <f ca="1">IF($D49&lt;&gt;"Serviço","",
          IF(AUTOEVENTO="manual",$A49,
                IF(ISERROR(MATCH($A49,$A$15:OFFSET($A49,-1,0),0)),MAX($M$15:OFFSET(M49,-1,0))+1,
                      INDEX($M$15:OFFSET(M49,-1,0),MATCH($A49,$A$15:OFFSET($A49,-1,0),0)))))</f>
        <v/>
      </c>
      <c r="N49" s="167" t="str">
        <f ca="1">IF($D49&lt;&gt;"Serviço","",
         IF(AUTOEVENTO="Manual",
                IF($A49=0,"&lt;-- defina o número do agrupador",
                       OFFSET(EVENTOS!$D$15,$A49-$A$15,0)),
                OFFSET($F$15,$A49,0)))</f>
        <v/>
      </c>
      <c r="O49" s="168"/>
      <c r="Q49" s="168"/>
      <c r="R49" s="169"/>
      <c r="S49" s="169"/>
      <c r="T49" s="169"/>
      <c r="U49" s="169"/>
      <c r="V49" s="169"/>
      <c r="W49" s="169"/>
      <c r="X49" s="169"/>
      <c r="Y49" s="169"/>
      <c r="Z49" s="170"/>
      <c r="AA49" s="169"/>
      <c r="AB49" s="169"/>
      <c r="AC49" s="169"/>
      <c r="AD49" s="169"/>
      <c r="AE49" s="169"/>
      <c r="AF49" s="169"/>
      <c r="AG49" s="169"/>
      <c r="AH49" s="170"/>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L49" s="453">
        <f ca="1">IF(AND($D49="Serviço",AL$12&lt;&gt;0,$H49&gt;0,OR(AUTOEVENTO&lt;&gt;"manual",$M49&lt;&gt;$A$15)),
        IF(Import.TipoArredondamento&lt;&gt;"TransfereGOV",
              ROUND(OFFSET($P49,0,AL$13),15-13*ORÇAMENTO!$AF$7)/$H49*OFFSET(ORÇAMENTO!$X$15,ROW(AL49)-ROW(AL$15),0),
              ROUND(ROUND(OFFSET($P49,0,AL$13),15-13*ORÇAMENTO!$AF$7)*OFFSET(ORÇAMENTO!$W$15,ROW(AL49)-ROW(AL$15),0),15-13*ORÇAMENTO!$AF$11)),
         0)</f>
        <v>0</v>
      </c>
      <c r="AM49" s="453">
        <f ca="1">IF(AND($D49="Serviço",AM$12&lt;&gt;0,$H49&gt;0,OR(AUTOEVENTO&lt;&gt;"manual",$M49&lt;&gt;$A$15)),
        IF(Import.TipoArredondamento&lt;&gt;"TransfereGOV",
              ROUND(OFFSET($P49,0,AM$13),15-13*ORÇAMENTO!$AF$7)/$H49*OFFSET(ORÇAMENTO!$X$15,ROW(AM49)-ROW(AM$15),0),
              ROUND(ROUND(OFFSET($P49,0,AM$13),15-13*ORÇAMENTO!$AF$7)*OFFSET(ORÇAMENTO!$W$15,ROW(AM49)-ROW(AM$15),0),15-13*ORÇAMENTO!$AF$11)),
         0)</f>
        <v>0</v>
      </c>
      <c r="AN49" s="453">
        <f ca="1">IF(AND($D49="Serviço",AN$12&lt;&gt;0,$H49&gt;0,OR(AUTOEVENTO&lt;&gt;"manual",$M49&lt;&gt;$A$15)),
        IF(Import.TipoArredondamento&lt;&gt;"TransfereGOV",
              ROUND(OFFSET($P49,0,AN$13),15-13*ORÇAMENTO!$AF$7)/$H49*OFFSET(ORÇAMENTO!$X$15,ROW(AN49)-ROW(AN$15),0),
              ROUND(ROUND(OFFSET($P49,0,AN$13),15-13*ORÇAMENTO!$AF$7)*OFFSET(ORÇAMENTO!$W$15,ROW(AN49)-ROW(AN$15),0),15-13*ORÇAMENTO!$AF$11)),
         0)</f>
        <v>0</v>
      </c>
      <c r="AO49" s="453">
        <f ca="1">IF(AND($D49="Serviço",AO$12&lt;&gt;0,$H49&gt;0,OR(AUTOEVENTO&lt;&gt;"manual",$M49&lt;&gt;$A$15)),
        IF(Import.TipoArredondamento&lt;&gt;"TransfereGOV",
              ROUND(OFFSET($P49,0,AO$13),15-13*ORÇAMENTO!$AF$7)/$H49*OFFSET(ORÇAMENTO!$X$15,ROW(AO49)-ROW(AO$15),0),
              ROUND(ROUND(OFFSET($P49,0,AO$13),15-13*ORÇAMENTO!$AF$7)*OFFSET(ORÇAMENTO!$W$15,ROW(AO49)-ROW(AO$15),0),15-13*ORÇAMENTO!$AF$11)),
         0)</f>
        <v>0</v>
      </c>
      <c r="AP49" s="453">
        <f ca="1">IF(AND($D49="Serviço",AP$12&lt;&gt;0,$H49&gt;0,OR(AUTOEVENTO&lt;&gt;"manual",$M49&lt;&gt;$A$15)),
        IF(Import.TipoArredondamento&lt;&gt;"TransfereGOV",
              ROUND(OFFSET($P49,0,AP$13),15-13*ORÇAMENTO!$AF$7)/$H49*OFFSET(ORÇAMENTO!$X$15,ROW(AP49)-ROW(AP$15),0),
              ROUND(ROUND(OFFSET($P49,0,AP$13),15-13*ORÇAMENTO!$AF$7)*OFFSET(ORÇAMENTO!$W$15,ROW(AP49)-ROW(AP$15),0),15-13*ORÇAMENTO!$AF$11)),
         0)</f>
        <v>0</v>
      </c>
      <c r="AQ49" s="453">
        <f ca="1">IF(AND($D49="Serviço",AQ$12&lt;&gt;0,$H49&gt;0,OR(AUTOEVENTO&lt;&gt;"manual",$M49&lt;&gt;$A$15)),
        IF(Import.TipoArredondamento&lt;&gt;"TransfereGOV",
              ROUND(OFFSET($P49,0,AQ$13),15-13*ORÇAMENTO!$AF$7)/$H49*OFFSET(ORÇAMENTO!$X$15,ROW(AQ49)-ROW(AQ$15),0),
              ROUND(ROUND(OFFSET($P49,0,AQ$13),15-13*ORÇAMENTO!$AF$7)*OFFSET(ORÇAMENTO!$W$15,ROW(AQ49)-ROW(AQ$15),0),15-13*ORÇAMENTO!$AF$11)),
         0)</f>
        <v>0</v>
      </c>
      <c r="AR49" s="453">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3">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3">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3">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3">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3">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3">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3">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3">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3">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C49" s="171">
        <f ca="1">IF(OR($D49&lt;&gt;"Serviço",AND(AUTOEVENTO="Manual",$M49=$A$15)),0,
         IF(OFFSET(CRONOPLE!$F$15,$M49-$A$15,BC$13)=0,10^12,OFFSET(CRONOPLE!$F$15,$M49-$A$15,BC$13)))</f>
        <v>0</v>
      </c>
      <c r="BD49" s="171">
        <f ca="1">IF(OR($D49&lt;&gt;"Serviço",AND(AUTOEVENTO="Manual",$M49=$A$15)),0,
         IF(OFFSET(CRONOPLE!$F$15,$M49-$A$15,BD$13)=0,10^12,OFFSET(CRONOPLE!$F$15,$M49-$A$15,BD$13)))</f>
        <v>0</v>
      </c>
      <c r="BE49" s="171">
        <f ca="1">IF(OR($D49&lt;&gt;"Serviço",AND(AUTOEVENTO="Manual",$M49=$A$15)),0,
         IF(OFFSET(CRONOPLE!$F$15,$M49-$A$15,BE$13)=0,10^12,OFFSET(CRONOPLE!$F$15,$M49-$A$15,BE$13)))</f>
        <v>0</v>
      </c>
      <c r="BF49" s="171">
        <f ca="1">IF(OR($D49&lt;&gt;"Serviço",AND(AUTOEVENTO="Manual",$M49=$A$15)),0,
         IF(OFFSET(CRONOPLE!$F$15,$M49-$A$15,BF$13)=0,10^12,OFFSET(CRONOPLE!$F$15,$M49-$A$15,BF$13)))</f>
        <v>0</v>
      </c>
      <c r="BG49" s="171">
        <f ca="1">IF(OR($D49&lt;&gt;"Serviço",AND(AUTOEVENTO="Manual",$M49=$A$15)),0,
         IF(OFFSET(CRONOPLE!$F$15,$M49-$A$15,BG$13)=0,10^12,OFFSET(CRONOPLE!$F$15,$M49-$A$15,BG$13)))</f>
        <v>0</v>
      </c>
      <c r="BH49" s="171">
        <f ca="1">IF(OR($D49&lt;&gt;"Serviço",AND(AUTOEVENTO="Manual",$M49=$A$15)),0,
         IF(OFFSET(CRONOPLE!$F$15,$M49-$A$15,BH$13)=0,10^12,OFFSET(CRONOPLE!$F$15,$M49-$A$15,BH$13)))</f>
        <v>0</v>
      </c>
      <c r="BI49" s="171">
        <f ca="1">IF(OR($D49&lt;&gt;"Serviço",AND(AUTOEVENTO="Manual",$M49=$A$15)),0,
         IF(OFFSET(CRONOPLE!$F$15,$M49-$A$15,BI$13)=0,10^12,OFFSET(CRONOPLE!$F$15,$M49-$A$15,BI$13)))</f>
        <v>0</v>
      </c>
      <c r="BJ49" s="171">
        <f ca="1">IF(OR($D49&lt;&gt;"Serviço",AND(AUTOEVENTO="Manual",$M49=$A$15)),0,
         IF(OFFSET(CRONOPLE!$F$15,$M49-$A$15,BJ$13)=0,10^12,OFFSET(CRONOPLE!$F$15,$M49-$A$15,BJ$13)))</f>
        <v>0</v>
      </c>
      <c r="BK49" s="171">
        <f ca="1">IF(OR($D49&lt;&gt;"Serviço",AND(AUTOEVENTO="Manual",$M49=$A$15)),0,
         IF(OFFSET(CRONOPLE!$F$15,$M49-$A$15,BK$13)=0,10^12,OFFSET(CRONOPLE!$F$15,$M49-$A$15,BK$13)))</f>
        <v>0</v>
      </c>
      <c r="BL49" s="171">
        <f ca="1">IF(OR($D49&lt;&gt;"Serviço",AND(AUTOEVENTO="Manual",$M49=$A$15)),0,
         IF(OFFSET(CRONOPLE!$F$15,$M49-$A$15,BL$13)=0,10^12,OFFSET(CRONOPLE!$F$15,$M49-$A$15,BL$13)))</f>
        <v>0</v>
      </c>
      <c r="BM49" s="171">
        <f ca="1">IF(OR($D49&lt;&gt;"Serviço",AND(AUTOEVENTO="Manual",$M49=$A$15)),0,
         IF(OFFSET(CRONOPLE!$F$15,$M49-$A$15,BM$13)=0,10^12,OFFSET(CRONOPLE!$F$15,$M49-$A$15,BM$13)))</f>
        <v>0</v>
      </c>
      <c r="BN49" s="171">
        <f ca="1">IF(OR($D49&lt;&gt;"Serviço",AND(AUTOEVENTO="Manual",$M49=$A$15)),0,
         IF(OFFSET(CRONOPLE!$F$15,$M49-$A$15,BN$13)=0,10^12,OFFSET(CRONOPLE!$F$15,$M49-$A$15,BN$13)))</f>
        <v>0</v>
      </c>
      <c r="BO49" s="171">
        <f ca="1">IF(OR($D49&lt;&gt;"Serviço",AND(AUTOEVENTO="Manual",$M49=$A$15)),0,
         IF(OFFSET(CRONOPLE!$F$15,$M49-$A$15,BO$13)=0,10^12,OFFSET(CRONOPLE!$F$15,$M49-$A$15,BO$13)))</f>
        <v>0</v>
      </c>
      <c r="BP49" s="171">
        <f ca="1">IF(OR($D49&lt;&gt;"Serviço",AND(AUTOEVENTO="Manual",$M49=$A$15)),0,
         IF(OFFSET(CRONOPLE!$F$15,$M49-$A$15,BP$13)=0,10^12,OFFSET(CRONOPLE!$F$15,$M49-$A$15,BP$13)))</f>
        <v>0</v>
      </c>
      <c r="BQ49" s="171">
        <f ca="1">IF(OR($D49&lt;&gt;"Serviço",AND(AUTOEVENTO="Manual",$M49=$A$15)),0,
         IF(OFFSET(CRONOPLE!$F$15,$M49-$A$15,BQ$13)=0,10^12,OFFSET(CRONOPLE!$F$15,$M49-$A$15,BQ$13)))</f>
        <v>0</v>
      </c>
      <c r="BR49" s="171">
        <f ca="1">IF(OR($D49&lt;&gt;"Serviço",AND(AUTOEVENTO="Manual",$M49=$A$15)),0,
         IF(OFFSET(CRONOPLE!$F$15,$M49-$A$15,BR$13)=0,10^12,OFFSET(CRONOPLE!$F$15,$M49-$A$15,BR$13)))</f>
        <v>0</v>
      </c>
      <c r="BS49" s="171">
        <f ca="1">IF(OR($D49&lt;&gt;"Serviço",AND(AUTOEVENTO="Manual",$M49=$A$15)),0,
         IF(OFFSET(CRONOPLE!$F$15,$M49-$A$15,BS$13)=0,10^12,OFFSET(CRONOPLE!$F$15,$M49-$A$15,BS$13)))</f>
        <v>0</v>
      </c>
      <c r="BT49" s="171">
        <f ca="1">IF(OR($D49&lt;&gt;"Serviço",AND(AUTOEVENTO="Manual",$M49=$A$15)),0,
         IF(OFFSET(CRONOPLE!$F$15,$M49-$A$15,BT$13)=0,10^12,OFFSET(CRONOPLE!$F$15,$M49-$A$15,BT$13)))</f>
        <v>0</v>
      </c>
      <c r="BV49" s="172">
        <f ca="1">IF(OR($D49&lt;&gt;"Serviço",AND(AUTOEVENTO="Manual",$M49=$A$15),$M49&gt;(ROW(PLE.lastrow)-ROW(PLE.firstrow))),0,
           IF(OFFSET(PLE!$G$15,$M49-$A$15,BV$13)="",10^12,OFFSET(PLE!$G$15,$M49-$A$15,BV$13)))</f>
        <v>0</v>
      </c>
      <c r="BW49" s="172">
        <f ca="1">IF(OR($D49&lt;&gt;"Serviço",AND(AUTOEVENTO="Manual",$M49=$A$15),$M49&gt;(ROW(PLE.lastrow)-ROW(PLE.firstrow))),0,
           IF(OFFSET(PLE!$G$15,$M49-$A$15,BW$13)="",10^12,OFFSET(PLE!$G$15,$M49-$A$15,BW$13)))</f>
        <v>0</v>
      </c>
      <c r="BX49" s="172">
        <f ca="1">IF(OR($D49&lt;&gt;"Serviço",AND(AUTOEVENTO="Manual",$M49=$A$15),$M49&gt;(ROW(PLE.lastrow)-ROW(PLE.firstrow))),0,
           IF(OFFSET(PLE!$G$15,$M49-$A$15,BX$13)="",10^12,OFFSET(PLE!$G$15,$M49-$A$15,BX$13)))</f>
        <v>0</v>
      </c>
      <c r="BY49" s="172">
        <f ca="1">IF(OR($D49&lt;&gt;"Serviço",AND(AUTOEVENTO="Manual",$M49=$A$15),$M49&gt;(ROW(PLE.lastrow)-ROW(PLE.firstrow))),0,
           IF(OFFSET(PLE!$G$15,$M49-$A$15,BY$13)="",10^12,OFFSET(PLE!$G$15,$M49-$A$15,BY$13)))</f>
        <v>0</v>
      </c>
      <c r="BZ49" s="172">
        <f ca="1">IF(OR($D49&lt;&gt;"Serviço",AND(AUTOEVENTO="Manual",$M49=$A$15),$M49&gt;(ROW(PLE.lastrow)-ROW(PLE.firstrow))),0,
           IF(OFFSET(PLE!$G$15,$M49-$A$15,BZ$13)="",10^12,OFFSET(PLE!$G$15,$M49-$A$15,BZ$13)))</f>
        <v>0</v>
      </c>
      <c r="CA49" s="172">
        <f ca="1">IF(OR($D49&lt;&gt;"Serviço",AND(AUTOEVENTO="Manual",$M49=$A$15),$M49&gt;(ROW(PLE.lastrow)-ROW(PLE.firstrow))),0,
           IF(OFFSET(PLE!$G$15,$M49-$A$15,CA$13)="",10^12,OFFSET(PLE!$G$15,$M49-$A$15,CA$13)))</f>
        <v>0</v>
      </c>
      <c r="CB49" s="172">
        <f ca="1">IF(OR($D49&lt;&gt;"Serviço",AND(AUTOEVENTO="Manual",$M49=$A$15),$M49&gt;(ROW(PLE.lastrow)-ROW(PLE.firstrow))),0,
           IF(OFFSET(PLE!$G$15,$M49-$A$15,CB$13)="",10^12,OFFSET(PLE!$G$15,$M49-$A$15,CB$13)))</f>
        <v>0</v>
      </c>
      <c r="CC49" s="172">
        <f ca="1">IF(OR($D49&lt;&gt;"Serviço",AND(AUTOEVENTO="Manual",$M49=$A$15),$M49&gt;(ROW(PLE.lastrow)-ROW(PLE.firstrow))),0,
           IF(OFFSET(PLE!$G$15,$M49-$A$15,CC$13)="",10^12,OFFSET(PLE!$G$15,$M49-$A$15,CC$13)))</f>
        <v>0</v>
      </c>
      <c r="CD49" s="172">
        <f ca="1">IF(OR($D49&lt;&gt;"Serviço",AND(AUTOEVENTO="Manual",$M49=$A$15),$M49&gt;(ROW(PLE.lastrow)-ROW(PLE.firstrow))),0,
           IF(OFFSET(PLE!$G$15,$M49-$A$15,CD$13)="",10^12,OFFSET(PLE!$G$15,$M49-$A$15,CD$13)))</f>
        <v>0</v>
      </c>
      <c r="CE49" s="172">
        <f ca="1">IF(OR($D49&lt;&gt;"Serviço",AND(AUTOEVENTO="Manual",$M49=$A$15),$M49&gt;(ROW(PLE.lastrow)-ROW(PLE.firstrow))),0,
           IF(OFFSET(PLE!$G$15,$M49-$A$15,CE$13)="",10^12,OFFSET(PLE!$G$15,$M49-$A$15,CE$13)))</f>
        <v>0</v>
      </c>
      <c r="CF49" s="172">
        <f ca="1">IF(OR($D49&lt;&gt;"Serviço",AND(AUTOEVENTO="Manual",$M49=$A$15),$M49&gt;(ROW(PLE.lastrow)-ROW(PLE.firstrow))),0,
           IF(OFFSET(PLE!$G$15,$M49-$A$15,CF$13)="",10^12,OFFSET(PLE!$G$15,$M49-$A$15,CF$13)))</f>
        <v>0</v>
      </c>
      <c r="CG49" s="172">
        <f ca="1">IF(OR($D49&lt;&gt;"Serviço",AND(AUTOEVENTO="Manual",$M49=$A$15),$M49&gt;(ROW(PLE.lastrow)-ROW(PLE.firstrow))),0,
           IF(OFFSET(PLE!$G$15,$M49-$A$15,CG$13)="",10^12,OFFSET(PLE!$G$15,$M49-$A$15,CG$13)))</f>
        <v>0</v>
      </c>
      <c r="CH49" s="172">
        <f ca="1">IF(OR($D49&lt;&gt;"Serviço",AND(AUTOEVENTO="Manual",$M49=$A$15),$M49&gt;(ROW(PLE.lastrow)-ROW(PLE.firstrow))),0,
           IF(OFFSET(PLE!$G$15,$M49-$A$15,CH$13)="",10^12,OFFSET(PLE!$G$15,$M49-$A$15,CH$13)))</f>
        <v>0</v>
      </c>
      <c r="CI49" s="172">
        <f ca="1">IF(OR($D49&lt;&gt;"Serviço",AND(AUTOEVENTO="Manual",$M49=$A$15),$M49&gt;(ROW(PLE.lastrow)-ROW(PLE.firstrow))),0,
           IF(OFFSET(PLE!$G$15,$M49-$A$15,CI$13)="",10^12,OFFSET(PLE!$G$15,$M49-$A$15,CI$13)))</f>
        <v>0</v>
      </c>
      <c r="CJ49" s="172">
        <f ca="1">IF(OR($D49&lt;&gt;"Serviço",AND(AUTOEVENTO="Manual",$M49=$A$15),$M49&gt;(ROW(PLE.lastrow)-ROW(PLE.firstrow))),0,
           IF(OFFSET(PLE!$G$15,$M49-$A$15,CJ$13)="",10^12,OFFSET(PLE!$G$15,$M49-$A$15,CJ$13)))</f>
        <v>0</v>
      </c>
      <c r="CK49" s="172">
        <f ca="1">IF(OR($D49&lt;&gt;"Serviço",AND(AUTOEVENTO="Manual",$M49=$A$15),$M49&gt;(ROW(PLE.lastrow)-ROW(PLE.firstrow))),0,
           IF(OFFSET(PLE!$G$15,$M49-$A$15,CK$13)="",10^12,OFFSET(PLE!$G$15,$M49-$A$15,CK$13)))</f>
        <v>0</v>
      </c>
      <c r="CL49" s="172">
        <f ca="1">IF(OR($D49&lt;&gt;"Serviço",AND(AUTOEVENTO="Manual",$M49=$A$15),$M49&gt;(ROW(PLE.lastrow)-ROW(PLE.firstrow))),0,
           IF(OFFSET(PLE!$G$15,$M49-$A$15,CL$13)="",10^12,OFFSET(PLE!$G$15,$M49-$A$15,CL$13)))</f>
        <v>0</v>
      </c>
      <c r="CM49" s="172">
        <f ca="1">IF(OR($D49&lt;&gt;"Serviço",AND(AUTOEVENTO="Manual",$M49=$A$15),$M49&gt;(ROW(PLE.lastrow)-ROW(PLE.firstrow))),0,
           IF(OFFSET(PLE!$G$15,$M49-$A$15,CM$13)="",10^12,OFFSET(PLE!$G$15,$M49-$A$15,CM$13)))</f>
        <v>0</v>
      </c>
    </row>
    <row r="50" spans="1:91" ht="76.5" x14ac:dyDescent="0.2">
      <c r="A50" s="7">
        <f t="shared" ca="1" si="10"/>
        <v>3</v>
      </c>
      <c r="B50" s="7" t="str">
        <f ca="1">OFFSET(ORÇAMENTO!C$15,ROW(B50)-ROW(B$15),0)</f>
        <v>S</v>
      </c>
      <c r="C50" s="7" t="str">
        <f ca="1">OFFSET(ORÇAMENTO!L$15,ROW(C50)-ROW(C$15),0)</f>
        <v>F</v>
      </c>
      <c r="D50" s="116" t="str">
        <f ca="1">OFFSET(ORÇAMENTO!N$15,ROW(D50)-ROW(D$15),0)</f>
        <v>Serviço</v>
      </c>
      <c r="E50" s="117" t="str">
        <f ca="1">OFFSET(ORÇAMENTO!O$15,ROW(E50)-ROW(E$15),0)</f>
        <v>1.4.1.0.1.</v>
      </c>
      <c r="F50" s="163" t="str">
        <f ca="1">OFFSET(ORÇAMENTO!R$15,ROW(F50)-ROW(F$15),0)</f>
        <v>ESCAVAÇÃO HORIZONTAL EM SOLO DE 1A CATEGORIA COM TRATOR DE ESTEIRAS (150HP/LÂMINA: 3,18M3). AF_07/2020</v>
      </c>
      <c r="G50" s="164" t="str">
        <f ca="1">IF($D50&lt;&gt;"Serviço","",OFFSET(ORÇAMENTO!S$15,ROW(G50)-ROW(G$15),0))</f>
        <v>M3</v>
      </c>
      <c r="H50" s="122" cm="1">
        <f t="array" aca="1" ref="H50" ca="1">IF($D50&lt;&gt;"Serviço",0,IF(ACOMPANHAMENTO="BM",ROUND(OFFSET(ORÇAMENTO!AJ$15,ROW(H50)-ROW(H$15),0),15-13*ORÇAMENTO!$AF$7),SUMPRODUCT(($Q$1:$AI$1=1)*ROUND($Q50:$AI50,15-13*ORÇAMENTO!$AF$7))))</f>
        <v>2644.16</v>
      </c>
      <c r="I50" s="468" t="s">
        <v>1297</v>
      </c>
      <c r="J50" s="640" t="str" cm="1">
        <f t="array" aca="1" ref="J50" ca="1">IF(OR(B50&lt;&gt;"S",CÁLCULO.FrentesPreenchidas=0),"",IF(AND(ACOMPANHAMENTO="PLE",AUTOEVENTO="Manual",OR(H50&gt;0,ORÇAMENTO!AC50="QUANT."),OR(K50="",M50=0,N50="")),"►E",IF(AND(ACOMPANHAMENTO="PLE",ORÇAMENTO!AC50="QUANT."),"►Q",IF(AND(ACOMPANHAMENTO="PLE",H50&lt;&gt;SUMPRODUCT(($Q$1:$AI$1=1)*ROUND(Q50:AI50,15))),"►S",IF(AND(COUNTIF($P$11:$AI$11,"▼")=0,H50&gt;0,I50=""),"◄M","")))))</f>
        <v/>
      </c>
      <c r="K50" s="641" t="s">
        <v>1388</v>
      </c>
      <c r="L50" s="165" t="s">
        <v>764</v>
      </c>
      <c r="M50" s="166">
        <f ca="1">IF($D50&lt;&gt;"Serviço","",
          IF(AUTOEVENTO="manual",$A50,
                IF(ISERROR(MATCH($A50,$A$15:OFFSET($A50,-1,0),0)),MAX($M$15:OFFSET(M50,-1,0))+1,
                      INDEX($M$15:OFFSET(M50,-1,0),MATCH($A50,$A$15:OFFSET($A50,-1,0),0)))))</f>
        <v>3</v>
      </c>
      <c r="N50" s="167" t="str">
        <f ca="1">IF($D50&lt;&gt;"Serviço","",
         IF(AUTOEVENTO="Manual",
                IF($A50=0,"&lt;-- defina o número do agrupador",
                       OFFSET(EVENTOS!$D$15,$A50-$A$15,0)),
                OFFSET($F$15,$A50,0)))</f>
        <v>Terraplenagem</v>
      </c>
      <c r="O50" s="168"/>
      <c r="Q50" s="168">
        <v>2644.16</v>
      </c>
      <c r="R50" s="169"/>
      <c r="S50" s="169"/>
      <c r="T50" s="169"/>
      <c r="U50" s="169"/>
      <c r="V50" s="169"/>
      <c r="W50" s="169"/>
      <c r="X50" s="169"/>
      <c r="Y50" s="169"/>
      <c r="Z50" s="170"/>
      <c r="AA50" s="169"/>
      <c r="AB50" s="169"/>
      <c r="AC50" s="169"/>
      <c r="AD50" s="169"/>
      <c r="AE50" s="169"/>
      <c r="AF50" s="169"/>
      <c r="AG50" s="169"/>
      <c r="AH50" s="170"/>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L50" s="453">
        <f ca="1">IF(AND($D50="Serviço",AL$12&lt;&gt;0,$H50&gt;0,OR(AUTOEVENTO&lt;&gt;"manual",$M50&lt;&gt;$A$15)),
        IF(Import.TipoArredondamento&lt;&gt;"TransfereGOV",
              ROUND(OFFSET($P50,0,AL$13),15-13*ORÇAMENTO!$AF$7)/$H50*OFFSET(ORÇAMENTO!$X$15,ROW(AL50)-ROW(AL$15),0),
              ROUND(ROUND(OFFSET($P50,0,AL$13),15-13*ORÇAMENTO!$AF$7)*OFFSET(ORÇAMENTO!$W$15,ROW(AL50)-ROW(AL$15),0),15-13*ORÇAMENTO!$AF$11)),
         0)</f>
        <v>0</v>
      </c>
      <c r="AM50" s="453">
        <f ca="1">IF(AND($D50="Serviço",AM$12&lt;&gt;0,$H50&gt;0,OR(AUTOEVENTO&lt;&gt;"manual",$M50&lt;&gt;$A$15)),
        IF(Import.TipoArredondamento&lt;&gt;"TransfereGOV",
              ROUND(OFFSET($P50,0,AM$13),15-13*ORÇAMENTO!$AF$7)/$H50*OFFSET(ORÇAMENTO!$X$15,ROW(AM50)-ROW(AM$15),0),
              ROUND(ROUND(OFFSET($P50,0,AM$13),15-13*ORÇAMENTO!$AF$7)*OFFSET(ORÇAMENTO!$W$15,ROW(AM50)-ROW(AM$15),0),15-13*ORÇAMENTO!$AF$11)),
         0)</f>
        <v>0</v>
      </c>
      <c r="AN50" s="453">
        <f ca="1">IF(AND($D50="Serviço",AN$12&lt;&gt;0,$H50&gt;0,OR(AUTOEVENTO&lt;&gt;"manual",$M50&lt;&gt;$A$15)),
        IF(Import.TipoArredondamento&lt;&gt;"TransfereGOV",
              ROUND(OFFSET($P50,0,AN$13),15-13*ORÇAMENTO!$AF$7)/$H50*OFFSET(ORÇAMENTO!$X$15,ROW(AN50)-ROW(AN$15),0),
              ROUND(ROUND(OFFSET($P50,0,AN$13),15-13*ORÇAMENTO!$AF$7)*OFFSET(ORÇAMENTO!$W$15,ROW(AN50)-ROW(AN$15),0),15-13*ORÇAMENTO!$AF$11)),
         0)</f>
        <v>0</v>
      </c>
      <c r="AO50" s="453">
        <f ca="1">IF(AND($D50="Serviço",AO$12&lt;&gt;0,$H50&gt;0,OR(AUTOEVENTO&lt;&gt;"manual",$M50&lt;&gt;$A$15)),
        IF(Import.TipoArredondamento&lt;&gt;"TransfereGOV",
              ROUND(OFFSET($P50,0,AO$13),15-13*ORÇAMENTO!$AF$7)/$H50*OFFSET(ORÇAMENTO!$X$15,ROW(AO50)-ROW(AO$15),0),
              ROUND(ROUND(OFFSET($P50,0,AO$13),15-13*ORÇAMENTO!$AF$7)*OFFSET(ORÇAMENTO!$W$15,ROW(AO50)-ROW(AO$15),0),15-13*ORÇAMENTO!$AF$11)),
         0)</f>
        <v>0</v>
      </c>
      <c r="AP50" s="453">
        <f ca="1">IF(AND($D50="Serviço",AP$12&lt;&gt;0,$H50&gt;0,OR(AUTOEVENTO&lt;&gt;"manual",$M50&lt;&gt;$A$15)),
        IF(Import.TipoArredondamento&lt;&gt;"TransfereGOV",
              ROUND(OFFSET($P50,0,AP$13),15-13*ORÇAMENTO!$AF$7)/$H50*OFFSET(ORÇAMENTO!$X$15,ROW(AP50)-ROW(AP$15),0),
              ROUND(ROUND(OFFSET($P50,0,AP$13),15-13*ORÇAMENTO!$AF$7)*OFFSET(ORÇAMENTO!$W$15,ROW(AP50)-ROW(AP$15),0),15-13*ORÇAMENTO!$AF$11)),
         0)</f>
        <v>0</v>
      </c>
      <c r="AQ50" s="453">
        <f ca="1">IF(AND($D50="Serviço",AQ$12&lt;&gt;0,$H50&gt;0,OR(AUTOEVENTO&lt;&gt;"manual",$M50&lt;&gt;$A$15)),
        IF(Import.TipoArredondamento&lt;&gt;"TransfereGOV",
              ROUND(OFFSET($P50,0,AQ$13),15-13*ORÇAMENTO!$AF$7)/$H50*OFFSET(ORÇAMENTO!$X$15,ROW(AQ50)-ROW(AQ$15),0),
              ROUND(ROUND(OFFSET($P50,0,AQ$13),15-13*ORÇAMENTO!$AF$7)*OFFSET(ORÇAMENTO!$W$15,ROW(AQ50)-ROW(AQ$15),0),15-13*ORÇAMENTO!$AF$11)),
         0)</f>
        <v>0</v>
      </c>
      <c r="AR50" s="453">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3">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3">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3">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3">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3">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3">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3">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3">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3">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C50" s="171">
        <f ca="1">IF(OR($D50&lt;&gt;"Serviço",AND(AUTOEVENTO="Manual",$M50=$A$15)),0,
         IF(OFFSET(CRONOPLE!$F$15,$M50-$A$15,BC$13)=0,10^12,OFFSET(CRONOPLE!$F$15,$M50-$A$15,BC$13)))</f>
        <v>1</v>
      </c>
      <c r="BD50" s="171">
        <f ca="1">IF(OR($D50&lt;&gt;"Serviço",AND(AUTOEVENTO="Manual",$M50=$A$15)),0,
         IF(OFFSET(CRONOPLE!$F$15,$M50-$A$15,BD$13)=0,10^12,OFFSET(CRONOPLE!$F$15,$M50-$A$15,BD$13)))</f>
        <v>2</v>
      </c>
      <c r="BE50" s="171">
        <f ca="1">IF(OR($D50&lt;&gt;"Serviço",AND(AUTOEVENTO="Manual",$M50=$A$15)),0,
         IF(OFFSET(CRONOPLE!$F$15,$M50-$A$15,BE$13)=0,10^12,OFFSET(CRONOPLE!$F$15,$M50-$A$15,BE$13)))</f>
        <v>3</v>
      </c>
      <c r="BF50" s="171">
        <f ca="1">IF(OR($D50&lt;&gt;"Serviço",AND(AUTOEVENTO="Manual",$M50=$A$15)),0,
         IF(OFFSET(CRONOPLE!$F$15,$M50-$A$15,BF$13)=0,10^12,OFFSET(CRONOPLE!$F$15,$M50-$A$15,BF$13)))</f>
        <v>4</v>
      </c>
      <c r="BG50" s="171">
        <f ca="1">IF(OR($D50&lt;&gt;"Serviço",AND(AUTOEVENTO="Manual",$M50=$A$15)),0,
         IF(OFFSET(CRONOPLE!$F$15,$M50-$A$15,BG$13)=0,10^12,OFFSET(CRONOPLE!$F$15,$M50-$A$15,BG$13)))</f>
        <v>5</v>
      </c>
      <c r="BH50" s="171">
        <f ca="1">IF(OR($D50&lt;&gt;"Serviço",AND(AUTOEVENTO="Manual",$M50=$A$15)),0,
         IF(OFFSET(CRONOPLE!$F$15,$M50-$A$15,BH$13)=0,10^12,OFFSET(CRONOPLE!$F$15,$M50-$A$15,BH$13)))</f>
        <v>6</v>
      </c>
      <c r="BI50" s="171">
        <f ca="1">IF(OR($D50&lt;&gt;"Serviço",AND(AUTOEVENTO="Manual",$M50=$A$15)),0,
         IF(OFFSET(CRONOPLE!$F$15,$M50-$A$15,BI$13)=0,10^12,OFFSET(CRONOPLE!$F$15,$M50-$A$15,BI$13)))</f>
        <v>7</v>
      </c>
      <c r="BJ50" s="171">
        <f ca="1">IF(OR($D50&lt;&gt;"Serviço",AND(AUTOEVENTO="Manual",$M50=$A$15)),0,
         IF(OFFSET(CRONOPLE!$F$15,$M50-$A$15,BJ$13)=0,10^12,OFFSET(CRONOPLE!$F$15,$M50-$A$15,BJ$13)))</f>
        <v>8</v>
      </c>
      <c r="BK50" s="171">
        <f ca="1">IF(OR($D50&lt;&gt;"Serviço",AND(AUTOEVENTO="Manual",$M50=$A$15)),0,
         IF(OFFSET(CRONOPLE!$F$15,$M50-$A$15,BK$13)=0,10^12,OFFSET(CRONOPLE!$F$15,$M50-$A$15,BK$13)))</f>
        <v>9</v>
      </c>
      <c r="BL50" s="171">
        <f ca="1">IF(OR($D50&lt;&gt;"Serviço",AND(AUTOEVENTO="Manual",$M50=$A$15)),0,
         IF(OFFSET(CRONOPLE!$F$15,$M50-$A$15,BL$13)=0,10^12,OFFSET(CRONOPLE!$F$15,$M50-$A$15,BL$13)))</f>
        <v>10</v>
      </c>
      <c r="BM50" s="171">
        <f ca="1">IF(OR($D50&lt;&gt;"Serviço",AND(AUTOEVENTO="Manual",$M50=$A$15)),0,
         IF(OFFSET(CRONOPLE!$F$15,$M50-$A$15,BM$13)=0,10^12,OFFSET(CRONOPLE!$F$15,$M50-$A$15,BM$13)))</f>
        <v>1000000000000</v>
      </c>
      <c r="BN50" s="171">
        <f ca="1">IF(OR($D50&lt;&gt;"Serviço",AND(AUTOEVENTO="Manual",$M50=$A$15)),0,
         IF(OFFSET(CRONOPLE!$F$15,$M50-$A$15,BN$13)=0,10^12,OFFSET(CRONOPLE!$F$15,$M50-$A$15,BN$13)))</f>
        <v>1000000000000</v>
      </c>
      <c r="BO50" s="171">
        <f ca="1">IF(OR($D50&lt;&gt;"Serviço",AND(AUTOEVENTO="Manual",$M50=$A$15)),0,
         IF(OFFSET(CRONOPLE!$F$15,$M50-$A$15,BO$13)=0,10^12,OFFSET(CRONOPLE!$F$15,$M50-$A$15,BO$13)))</f>
        <v>1000000000000</v>
      </c>
      <c r="BP50" s="171">
        <f ca="1">IF(OR($D50&lt;&gt;"Serviço",AND(AUTOEVENTO="Manual",$M50=$A$15)),0,
         IF(OFFSET(CRONOPLE!$F$15,$M50-$A$15,BP$13)=0,10^12,OFFSET(CRONOPLE!$F$15,$M50-$A$15,BP$13)))</f>
        <v>1000000000000</v>
      </c>
      <c r="BQ50" s="171">
        <f ca="1">IF(OR($D50&lt;&gt;"Serviço",AND(AUTOEVENTO="Manual",$M50=$A$15)),0,
         IF(OFFSET(CRONOPLE!$F$15,$M50-$A$15,BQ$13)=0,10^12,OFFSET(CRONOPLE!$F$15,$M50-$A$15,BQ$13)))</f>
        <v>1000000000000</v>
      </c>
      <c r="BR50" s="171">
        <f ca="1">IF(OR($D50&lt;&gt;"Serviço",AND(AUTOEVENTO="Manual",$M50=$A$15)),0,
         IF(OFFSET(CRONOPLE!$F$15,$M50-$A$15,BR$13)=0,10^12,OFFSET(CRONOPLE!$F$15,$M50-$A$15,BR$13)))</f>
        <v>1000000000000</v>
      </c>
      <c r="BS50" s="171">
        <f ca="1">IF(OR($D50&lt;&gt;"Serviço",AND(AUTOEVENTO="Manual",$M50=$A$15)),0,
         IF(OFFSET(CRONOPLE!$F$15,$M50-$A$15,BS$13)=0,10^12,OFFSET(CRONOPLE!$F$15,$M50-$A$15,BS$13)))</f>
        <v>1000000000000</v>
      </c>
      <c r="BT50" s="171">
        <f ca="1">IF(OR($D50&lt;&gt;"Serviço",AND(AUTOEVENTO="Manual",$M50=$A$15)),0,
         IF(OFFSET(CRONOPLE!$F$15,$M50-$A$15,BT$13)=0,10^12,OFFSET(CRONOPLE!$F$15,$M50-$A$15,BT$13)))</f>
        <v>1000000000000</v>
      </c>
      <c r="BV50" s="172">
        <f ca="1">IF(OR($D50&lt;&gt;"Serviço",AND(AUTOEVENTO="Manual",$M50=$A$15),$M50&gt;(ROW(PLE.lastrow)-ROW(PLE.firstrow))),0,
           IF(OFFSET(PLE!$G$15,$M50-$A$15,BV$13)="",10^12,OFFSET(PLE!$G$15,$M50-$A$15,BV$13)))</f>
        <v>1000000000000</v>
      </c>
      <c r="BW50" s="172">
        <f ca="1">IF(OR($D50&lt;&gt;"Serviço",AND(AUTOEVENTO="Manual",$M50=$A$15),$M50&gt;(ROW(PLE.lastrow)-ROW(PLE.firstrow))),0,
           IF(OFFSET(PLE!$G$15,$M50-$A$15,BW$13)="",10^12,OFFSET(PLE!$G$15,$M50-$A$15,BW$13)))</f>
        <v>1000000000000</v>
      </c>
      <c r="BX50" s="172">
        <f ca="1">IF(OR($D50&lt;&gt;"Serviço",AND(AUTOEVENTO="Manual",$M50=$A$15),$M50&gt;(ROW(PLE.lastrow)-ROW(PLE.firstrow))),0,
           IF(OFFSET(PLE!$G$15,$M50-$A$15,BX$13)="",10^12,OFFSET(PLE!$G$15,$M50-$A$15,BX$13)))</f>
        <v>1000000000000</v>
      </c>
      <c r="BY50" s="172">
        <f ca="1">IF(OR($D50&lt;&gt;"Serviço",AND(AUTOEVENTO="Manual",$M50=$A$15),$M50&gt;(ROW(PLE.lastrow)-ROW(PLE.firstrow))),0,
           IF(OFFSET(PLE!$G$15,$M50-$A$15,BY$13)="",10^12,OFFSET(PLE!$G$15,$M50-$A$15,BY$13)))</f>
        <v>1000000000000</v>
      </c>
      <c r="BZ50" s="172">
        <f ca="1">IF(OR($D50&lt;&gt;"Serviço",AND(AUTOEVENTO="Manual",$M50=$A$15),$M50&gt;(ROW(PLE.lastrow)-ROW(PLE.firstrow))),0,
           IF(OFFSET(PLE!$G$15,$M50-$A$15,BZ$13)="",10^12,OFFSET(PLE!$G$15,$M50-$A$15,BZ$13)))</f>
        <v>1000000000000</v>
      </c>
      <c r="CA50" s="172">
        <f ca="1">IF(OR($D50&lt;&gt;"Serviço",AND(AUTOEVENTO="Manual",$M50=$A$15),$M50&gt;(ROW(PLE.lastrow)-ROW(PLE.firstrow))),0,
           IF(OFFSET(PLE!$G$15,$M50-$A$15,CA$13)="",10^12,OFFSET(PLE!$G$15,$M50-$A$15,CA$13)))</f>
        <v>1000000000000</v>
      </c>
      <c r="CB50" s="172">
        <f ca="1">IF(OR($D50&lt;&gt;"Serviço",AND(AUTOEVENTO="Manual",$M50=$A$15),$M50&gt;(ROW(PLE.lastrow)-ROW(PLE.firstrow))),0,
           IF(OFFSET(PLE!$G$15,$M50-$A$15,CB$13)="",10^12,OFFSET(PLE!$G$15,$M50-$A$15,CB$13)))</f>
        <v>1000000000000</v>
      </c>
      <c r="CC50" s="172">
        <f ca="1">IF(OR($D50&lt;&gt;"Serviço",AND(AUTOEVENTO="Manual",$M50=$A$15),$M50&gt;(ROW(PLE.lastrow)-ROW(PLE.firstrow))),0,
           IF(OFFSET(PLE!$G$15,$M50-$A$15,CC$13)="",10^12,OFFSET(PLE!$G$15,$M50-$A$15,CC$13)))</f>
        <v>1000000000000</v>
      </c>
      <c r="CD50" s="172">
        <f ca="1">IF(OR($D50&lt;&gt;"Serviço",AND(AUTOEVENTO="Manual",$M50=$A$15),$M50&gt;(ROW(PLE.lastrow)-ROW(PLE.firstrow))),0,
           IF(OFFSET(PLE!$G$15,$M50-$A$15,CD$13)="",10^12,OFFSET(PLE!$G$15,$M50-$A$15,CD$13)))</f>
        <v>1000000000000</v>
      </c>
      <c r="CE50" s="172">
        <f ca="1">IF(OR($D50&lt;&gt;"Serviço",AND(AUTOEVENTO="Manual",$M50=$A$15),$M50&gt;(ROW(PLE.lastrow)-ROW(PLE.firstrow))),0,
           IF(OFFSET(PLE!$G$15,$M50-$A$15,CE$13)="",10^12,OFFSET(PLE!$G$15,$M50-$A$15,CE$13)))</f>
        <v>1000000000000</v>
      </c>
      <c r="CF50" s="172">
        <f ca="1">IF(OR($D50&lt;&gt;"Serviço",AND(AUTOEVENTO="Manual",$M50=$A$15),$M50&gt;(ROW(PLE.lastrow)-ROW(PLE.firstrow))),0,
           IF(OFFSET(PLE!$G$15,$M50-$A$15,CF$13)="",10^12,OFFSET(PLE!$G$15,$M50-$A$15,CF$13)))</f>
        <v>1000000000000</v>
      </c>
      <c r="CG50" s="172">
        <f ca="1">IF(OR($D50&lt;&gt;"Serviço",AND(AUTOEVENTO="Manual",$M50=$A$15),$M50&gt;(ROW(PLE.lastrow)-ROW(PLE.firstrow))),0,
           IF(OFFSET(PLE!$G$15,$M50-$A$15,CG$13)="",10^12,OFFSET(PLE!$G$15,$M50-$A$15,CG$13)))</f>
        <v>1000000000000</v>
      </c>
      <c r="CH50" s="172">
        <f ca="1">IF(OR($D50&lt;&gt;"Serviço",AND(AUTOEVENTO="Manual",$M50=$A$15),$M50&gt;(ROW(PLE.lastrow)-ROW(PLE.firstrow))),0,
           IF(OFFSET(PLE!$G$15,$M50-$A$15,CH$13)="",10^12,OFFSET(PLE!$G$15,$M50-$A$15,CH$13)))</f>
        <v>1000000000000</v>
      </c>
      <c r="CI50" s="172">
        <f ca="1">IF(OR($D50&lt;&gt;"Serviço",AND(AUTOEVENTO="Manual",$M50=$A$15),$M50&gt;(ROW(PLE.lastrow)-ROW(PLE.firstrow))),0,
           IF(OFFSET(PLE!$G$15,$M50-$A$15,CI$13)="",10^12,OFFSET(PLE!$G$15,$M50-$A$15,CI$13)))</f>
        <v>1000000000000</v>
      </c>
      <c r="CJ50" s="172">
        <f ca="1">IF(OR($D50&lt;&gt;"Serviço",AND(AUTOEVENTO="Manual",$M50=$A$15),$M50&gt;(ROW(PLE.lastrow)-ROW(PLE.firstrow))),0,
           IF(OFFSET(PLE!$G$15,$M50-$A$15,CJ$13)="",10^12,OFFSET(PLE!$G$15,$M50-$A$15,CJ$13)))</f>
        <v>1000000000000</v>
      </c>
      <c r="CK50" s="172">
        <f ca="1">IF(OR($D50&lt;&gt;"Serviço",AND(AUTOEVENTO="Manual",$M50=$A$15),$M50&gt;(ROW(PLE.lastrow)-ROW(PLE.firstrow))),0,
           IF(OFFSET(PLE!$G$15,$M50-$A$15,CK$13)="",10^12,OFFSET(PLE!$G$15,$M50-$A$15,CK$13)))</f>
        <v>1000000000000</v>
      </c>
      <c r="CL50" s="172">
        <f ca="1">IF(OR($D50&lt;&gt;"Serviço",AND(AUTOEVENTO="Manual",$M50=$A$15),$M50&gt;(ROW(PLE.lastrow)-ROW(PLE.firstrow))),0,
           IF(OFFSET(PLE!$G$15,$M50-$A$15,CL$13)="",10^12,OFFSET(PLE!$G$15,$M50-$A$15,CL$13)))</f>
        <v>1000000000000</v>
      </c>
      <c r="CM50" s="172">
        <f ca="1">IF(OR($D50&lt;&gt;"Serviço",AND(AUTOEVENTO="Manual",$M50=$A$15),$M50&gt;(ROW(PLE.lastrow)-ROW(PLE.firstrow))),0,
           IF(OFFSET(PLE!$G$15,$M50-$A$15,CM$13)="",10^12,OFFSET(PLE!$G$15,$M50-$A$15,CM$13)))</f>
        <v>1000000000000</v>
      </c>
    </row>
    <row r="51" spans="1:91" ht="76.5" x14ac:dyDescent="0.2">
      <c r="A51" s="7">
        <f t="shared" ca="1" si="10"/>
        <v>3</v>
      </c>
      <c r="B51" s="7" t="str">
        <f ca="1">OFFSET(ORÇAMENTO!C$15,ROW(B51)-ROW(B$15),0)</f>
        <v>S</v>
      </c>
      <c r="C51" s="7" t="str">
        <f ca="1">OFFSET(ORÇAMENTO!L$15,ROW(C51)-ROW(C$15),0)</f>
        <v>F</v>
      </c>
      <c r="D51" s="116" t="str">
        <f ca="1">OFFSET(ORÇAMENTO!N$15,ROW(D51)-ROW(D$15),0)</f>
        <v>Serviço</v>
      </c>
      <c r="E51" s="117" t="str">
        <f ca="1">OFFSET(ORÇAMENTO!O$15,ROW(E51)-ROW(E$15),0)</f>
        <v>1.4.1.0.2.</v>
      </c>
      <c r="F51" s="163" t="str">
        <f ca="1">OFFSET(ORÇAMENTO!R$15,ROW(F51)-ROW(F$15),0)</f>
        <v>COMPACTAÇÃO MECÂNICA DE ATERRO COM ROLO VIBRATÓRIO A 95% DO PROCTOR NORMAL, INCLUSIVE ESPALHAMENTO</v>
      </c>
      <c r="G51" s="164" t="str">
        <f ca="1">IF($D51&lt;&gt;"Serviço","",OFFSET(ORÇAMENTO!S$15,ROW(G51)-ROW(G$15),0))</f>
        <v>M3</v>
      </c>
      <c r="H51" s="122" cm="1">
        <f t="array" aca="1" ref="H51" ca="1">IF($D51&lt;&gt;"Serviço",0,IF(ACOMPANHAMENTO="BM",ROUND(OFFSET(ORÇAMENTO!AJ$15,ROW(H51)-ROW(H$15),0),15-13*ORÇAMENTO!$AF$7),SUMPRODUCT(($Q$1:$AI$1=1)*ROUND($Q51:$AI51,15-13*ORÇAMENTO!$AF$7))))</f>
        <v>316.02</v>
      </c>
      <c r="I51" s="468" t="s">
        <v>1298</v>
      </c>
      <c r="J51" s="640" t="str" cm="1">
        <f t="array" aca="1" ref="J51" ca="1">IF(OR(B51&lt;&gt;"S",CÁLCULO.FrentesPreenchidas=0),"",IF(AND(ACOMPANHAMENTO="PLE",AUTOEVENTO="Manual",OR(H51&gt;0,ORÇAMENTO!AC51="QUANT."),OR(K51="",M51=0,N51="")),"►E",IF(AND(ACOMPANHAMENTO="PLE",ORÇAMENTO!AC51="QUANT."),"►Q",IF(AND(ACOMPANHAMENTO="PLE",H51&lt;&gt;SUMPRODUCT(($Q$1:$AI$1=1)*ROUND(Q51:AI51,15))),"►S",IF(AND(COUNTIF($P$11:$AI$11,"▼")=0,H51&gt;0,I51=""),"◄M","")))))</f>
        <v/>
      </c>
      <c r="K51" s="641" t="s">
        <v>1388</v>
      </c>
      <c r="L51" s="165" t="s">
        <v>764</v>
      </c>
      <c r="M51" s="166">
        <f ca="1">IF($D51&lt;&gt;"Serviço","",
          IF(AUTOEVENTO="manual",$A51,
                IF(ISERROR(MATCH($A51,$A$15:OFFSET($A51,-1,0),0)),MAX($M$15:OFFSET(M51,-1,0))+1,
                      INDEX($M$15:OFFSET(M51,-1,0),MATCH($A51,$A$15:OFFSET($A51,-1,0),0)))))</f>
        <v>3</v>
      </c>
      <c r="N51" s="167" t="str">
        <f ca="1">IF($D51&lt;&gt;"Serviço","",
         IF(AUTOEVENTO="Manual",
                IF($A51=0,"&lt;-- defina o número do agrupador",
                       OFFSET(EVENTOS!$D$15,$A51-$A$15,0)),
                OFFSET($F$15,$A51,0)))</f>
        <v>Terraplenagem</v>
      </c>
      <c r="O51" s="168"/>
      <c r="Q51" s="168">
        <v>316.02</v>
      </c>
      <c r="R51" s="169"/>
      <c r="S51" s="169"/>
      <c r="T51" s="169"/>
      <c r="U51" s="169"/>
      <c r="V51" s="169"/>
      <c r="W51" s="169"/>
      <c r="X51" s="169"/>
      <c r="Y51" s="169"/>
      <c r="Z51" s="170"/>
      <c r="AA51" s="169"/>
      <c r="AB51" s="169"/>
      <c r="AC51" s="169"/>
      <c r="AD51" s="169"/>
      <c r="AE51" s="169"/>
      <c r="AF51" s="169"/>
      <c r="AG51" s="169"/>
      <c r="AH51" s="170"/>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L51" s="453">
        <f ca="1">IF(AND($D51="Serviço",AL$12&lt;&gt;0,$H51&gt;0,OR(AUTOEVENTO&lt;&gt;"manual",$M51&lt;&gt;$A$15)),
        IF(Import.TipoArredondamento&lt;&gt;"TransfereGOV",
              ROUND(OFFSET($P51,0,AL$13),15-13*ORÇAMENTO!$AF$7)/$H51*OFFSET(ORÇAMENTO!$X$15,ROW(AL51)-ROW(AL$15),0),
              ROUND(ROUND(OFFSET($P51,0,AL$13),15-13*ORÇAMENTO!$AF$7)*OFFSET(ORÇAMENTO!$W$15,ROW(AL51)-ROW(AL$15),0),15-13*ORÇAMENTO!$AF$11)),
         0)</f>
        <v>0</v>
      </c>
      <c r="AM51" s="453">
        <f ca="1">IF(AND($D51="Serviço",AM$12&lt;&gt;0,$H51&gt;0,OR(AUTOEVENTO&lt;&gt;"manual",$M51&lt;&gt;$A$15)),
        IF(Import.TipoArredondamento&lt;&gt;"TransfereGOV",
              ROUND(OFFSET($P51,0,AM$13),15-13*ORÇAMENTO!$AF$7)/$H51*OFFSET(ORÇAMENTO!$X$15,ROW(AM51)-ROW(AM$15),0),
              ROUND(ROUND(OFFSET($P51,0,AM$13),15-13*ORÇAMENTO!$AF$7)*OFFSET(ORÇAMENTO!$W$15,ROW(AM51)-ROW(AM$15),0),15-13*ORÇAMENTO!$AF$11)),
         0)</f>
        <v>0</v>
      </c>
      <c r="AN51" s="453">
        <f ca="1">IF(AND($D51="Serviço",AN$12&lt;&gt;0,$H51&gt;0,OR(AUTOEVENTO&lt;&gt;"manual",$M51&lt;&gt;$A$15)),
        IF(Import.TipoArredondamento&lt;&gt;"TransfereGOV",
              ROUND(OFFSET($P51,0,AN$13),15-13*ORÇAMENTO!$AF$7)/$H51*OFFSET(ORÇAMENTO!$X$15,ROW(AN51)-ROW(AN$15),0),
              ROUND(ROUND(OFFSET($P51,0,AN$13),15-13*ORÇAMENTO!$AF$7)*OFFSET(ORÇAMENTO!$W$15,ROW(AN51)-ROW(AN$15),0),15-13*ORÇAMENTO!$AF$11)),
         0)</f>
        <v>0</v>
      </c>
      <c r="AO51" s="453">
        <f ca="1">IF(AND($D51="Serviço",AO$12&lt;&gt;0,$H51&gt;0,OR(AUTOEVENTO&lt;&gt;"manual",$M51&lt;&gt;$A$15)),
        IF(Import.TipoArredondamento&lt;&gt;"TransfereGOV",
              ROUND(OFFSET($P51,0,AO$13),15-13*ORÇAMENTO!$AF$7)/$H51*OFFSET(ORÇAMENTO!$X$15,ROW(AO51)-ROW(AO$15),0),
              ROUND(ROUND(OFFSET($P51,0,AO$13),15-13*ORÇAMENTO!$AF$7)*OFFSET(ORÇAMENTO!$W$15,ROW(AO51)-ROW(AO$15),0),15-13*ORÇAMENTO!$AF$11)),
         0)</f>
        <v>0</v>
      </c>
      <c r="AP51" s="453">
        <f ca="1">IF(AND($D51="Serviço",AP$12&lt;&gt;0,$H51&gt;0,OR(AUTOEVENTO&lt;&gt;"manual",$M51&lt;&gt;$A$15)),
        IF(Import.TipoArredondamento&lt;&gt;"TransfereGOV",
              ROUND(OFFSET($P51,0,AP$13),15-13*ORÇAMENTO!$AF$7)/$H51*OFFSET(ORÇAMENTO!$X$15,ROW(AP51)-ROW(AP$15),0),
              ROUND(ROUND(OFFSET($P51,0,AP$13),15-13*ORÇAMENTO!$AF$7)*OFFSET(ORÇAMENTO!$W$15,ROW(AP51)-ROW(AP$15),0),15-13*ORÇAMENTO!$AF$11)),
         0)</f>
        <v>0</v>
      </c>
      <c r="AQ51" s="453">
        <f ca="1">IF(AND($D51="Serviço",AQ$12&lt;&gt;0,$H51&gt;0,OR(AUTOEVENTO&lt;&gt;"manual",$M51&lt;&gt;$A$15)),
        IF(Import.TipoArredondamento&lt;&gt;"TransfereGOV",
              ROUND(OFFSET($P51,0,AQ$13),15-13*ORÇAMENTO!$AF$7)/$H51*OFFSET(ORÇAMENTO!$X$15,ROW(AQ51)-ROW(AQ$15),0),
              ROUND(ROUND(OFFSET($P51,0,AQ$13),15-13*ORÇAMENTO!$AF$7)*OFFSET(ORÇAMENTO!$W$15,ROW(AQ51)-ROW(AQ$15),0),15-13*ORÇAMENTO!$AF$11)),
         0)</f>
        <v>0</v>
      </c>
      <c r="AR51" s="453">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3">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3">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3">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3">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3">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3">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3">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3">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3">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C51" s="171">
        <f ca="1">IF(OR($D51&lt;&gt;"Serviço",AND(AUTOEVENTO="Manual",$M51=$A$15)),0,
         IF(OFFSET(CRONOPLE!$F$15,$M51-$A$15,BC$13)=0,10^12,OFFSET(CRONOPLE!$F$15,$M51-$A$15,BC$13)))</f>
        <v>1</v>
      </c>
      <c r="BD51" s="171">
        <f ca="1">IF(OR($D51&lt;&gt;"Serviço",AND(AUTOEVENTO="Manual",$M51=$A$15)),0,
         IF(OFFSET(CRONOPLE!$F$15,$M51-$A$15,BD$13)=0,10^12,OFFSET(CRONOPLE!$F$15,$M51-$A$15,BD$13)))</f>
        <v>2</v>
      </c>
      <c r="BE51" s="171">
        <f ca="1">IF(OR($D51&lt;&gt;"Serviço",AND(AUTOEVENTO="Manual",$M51=$A$15)),0,
         IF(OFFSET(CRONOPLE!$F$15,$M51-$A$15,BE$13)=0,10^12,OFFSET(CRONOPLE!$F$15,$M51-$A$15,BE$13)))</f>
        <v>3</v>
      </c>
      <c r="BF51" s="171">
        <f ca="1">IF(OR($D51&lt;&gt;"Serviço",AND(AUTOEVENTO="Manual",$M51=$A$15)),0,
         IF(OFFSET(CRONOPLE!$F$15,$M51-$A$15,BF$13)=0,10^12,OFFSET(CRONOPLE!$F$15,$M51-$A$15,BF$13)))</f>
        <v>4</v>
      </c>
      <c r="BG51" s="171">
        <f ca="1">IF(OR($D51&lt;&gt;"Serviço",AND(AUTOEVENTO="Manual",$M51=$A$15)),0,
         IF(OFFSET(CRONOPLE!$F$15,$M51-$A$15,BG$13)=0,10^12,OFFSET(CRONOPLE!$F$15,$M51-$A$15,BG$13)))</f>
        <v>5</v>
      </c>
      <c r="BH51" s="171">
        <f ca="1">IF(OR($D51&lt;&gt;"Serviço",AND(AUTOEVENTO="Manual",$M51=$A$15)),0,
         IF(OFFSET(CRONOPLE!$F$15,$M51-$A$15,BH$13)=0,10^12,OFFSET(CRONOPLE!$F$15,$M51-$A$15,BH$13)))</f>
        <v>6</v>
      </c>
      <c r="BI51" s="171">
        <f ca="1">IF(OR($D51&lt;&gt;"Serviço",AND(AUTOEVENTO="Manual",$M51=$A$15)),0,
         IF(OFFSET(CRONOPLE!$F$15,$M51-$A$15,BI$13)=0,10^12,OFFSET(CRONOPLE!$F$15,$M51-$A$15,BI$13)))</f>
        <v>7</v>
      </c>
      <c r="BJ51" s="171">
        <f ca="1">IF(OR($D51&lt;&gt;"Serviço",AND(AUTOEVENTO="Manual",$M51=$A$15)),0,
         IF(OFFSET(CRONOPLE!$F$15,$M51-$A$15,BJ$13)=0,10^12,OFFSET(CRONOPLE!$F$15,$M51-$A$15,BJ$13)))</f>
        <v>8</v>
      </c>
      <c r="BK51" s="171">
        <f ca="1">IF(OR($D51&lt;&gt;"Serviço",AND(AUTOEVENTO="Manual",$M51=$A$15)),0,
         IF(OFFSET(CRONOPLE!$F$15,$M51-$A$15,BK$13)=0,10^12,OFFSET(CRONOPLE!$F$15,$M51-$A$15,BK$13)))</f>
        <v>9</v>
      </c>
      <c r="BL51" s="171">
        <f ca="1">IF(OR($D51&lt;&gt;"Serviço",AND(AUTOEVENTO="Manual",$M51=$A$15)),0,
         IF(OFFSET(CRONOPLE!$F$15,$M51-$A$15,BL$13)=0,10^12,OFFSET(CRONOPLE!$F$15,$M51-$A$15,BL$13)))</f>
        <v>10</v>
      </c>
      <c r="BM51" s="171">
        <f ca="1">IF(OR($D51&lt;&gt;"Serviço",AND(AUTOEVENTO="Manual",$M51=$A$15)),0,
         IF(OFFSET(CRONOPLE!$F$15,$M51-$A$15,BM$13)=0,10^12,OFFSET(CRONOPLE!$F$15,$M51-$A$15,BM$13)))</f>
        <v>1000000000000</v>
      </c>
      <c r="BN51" s="171">
        <f ca="1">IF(OR($D51&lt;&gt;"Serviço",AND(AUTOEVENTO="Manual",$M51=$A$15)),0,
         IF(OFFSET(CRONOPLE!$F$15,$M51-$A$15,BN$13)=0,10^12,OFFSET(CRONOPLE!$F$15,$M51-$A$15,BN$13)))</f>
        <v>1000000000000</v>
      </c>
      <c r="BO51" s="171">
        <f ca="1">IF(OR($D51&lt;&gt;"Serviço",AND(AUTOEVENTO="Manual",$M51=$A$15)),0,
         IF(OFFSET(CRONOPLE!$F$15,$M51-$A$15,BO$13)=0,10^12,OFFSET(CRONOPLE!$F$15,$M51-$A$15,BO$13)))</f>
        <v>1000000000000</v>
      </c>
      <c r="BP51" s="171">
        <f ca="1">IF(OR($D51&lt;&gt;"Serviço",AND(AUTOEVENTO="Manual",$M51=$A$15)),0,
         IF(OFFSET(CRONOPLE!$F$15,$M51-$A$15,BP$13)=0,10^12,OFFSET(CRONOPLE!$F$15,$M51-$A$15,BP$13)))</f>
        <v>1000000000000</v>
      </c>
      <c r="BQ51" s="171">
        <f ca="1">IF(OR($D51&lt;&gt;"Serviço",AND(AUTOEVENTO="Manual",$M51=$A$15)),0,
         IF(OFFSET(CRONOPLE!$F$15,$M51-$A$15,BQ$13)=0,10^12,OFFSET(CRONOPLE!$F$15,$M51-$A$15,BQ$13)))</f>
        <v>1000000000000</v>
      </c>
      <c r="BR51" s="171">
        <f ca="1">IF(OR($D51&lt;&gt;"Serviço",AND(AUTOEVENTO="Manual",$M51=$A$15)),0,
         IF(OFFSET(CRONOPLE!$F$15,$M51-$A$15,BR$13)=0,10^12,OFFSET(CRONOPLE!$F$15,$M51-$A$15,BR$13)))</f>
        <v>1000000000000</v>
      </c>
      <c r="BS51" s="171">
        <f ca="1">IF(OR($D51&lt;&gt;"Serviço",AND(AUTOEVENTO="Manual",$M51=$A$15)),0,
         IF(OFFSET(CRONOPLE!$F$15,$M51-$A$15,BS$13)=0,10^12,OFFSET(CRONOPLE!$F$15,$M51-$A$15,BS$13)))</f>
        <v>1000000000000</v>
      </c>
      <c r="BT51" s="171">
        <f ca="1">IF(OR($D51&lt;&gt;"Serviço",AND(AUTOEVENTO="Manual",$M51=$A$15)),0,
         IF(OFFSET(CRONOPLE!$F$15,$M51-$A$15,BT$13)=0,10^12,OFFSET(CRONOPLE!$F$15,$M51-$A$15,BT$13)))</f>
        <v>1000000000000</v>
      </c>
      <c r="BV51" s="172">
        <f ca="1">IF(OR($D51&lt;&gt;"Serviço",AND(AUTOEVENTO="Manual",$M51=$A$15),$M51&gt;(ROW(PLE.lastrow)-ROW(PLE.firstrow))),0,
           IF(OFFSET(PLE!$G$15,$M51-$A$15,BV$13)="",10^12,OFFSET(PLE!$G$15,$M51-$A$15,BV$13)))</f>
        <v>1000000000000</v>
      </c>
      <c r="BW51" s="172">
        <f ca="1">IF(OR($D51&lt;&gt;"Serviço",AND(AUTOEVENTO="Manual",$M51=$A$15),$M51&gt;(ROW(PLE.lastrow)-ROW(PLE.firstrow))),0,
           IF(OFFSET(PLE!$G$15,$M51-$A$15,BW$13)="",10^12,OFFSET(PLE!$G$15,$M51-$A$15,BW$13)))</f>
        <v>1000000000000</v>
      </c>
      <c r="BX51" s="172">
        <f ca="1">IF(OR($D51&lt;&gt;"Serviço",AND(AUTOEVENTO="Manual",$M51=$A$15),$M51&gt;(ROW(PLE.lastrow)-ROW(PLE.firstrow))),0,
           IF(OFFSET(PLE!$G$15,$M51-$A$15,BX$13)="",10^12,OFFSET(PLE!$G$15,$M51-$A$15,BX$13)))</f>
        <v>1000000000000</v>
      </c>
      <c r="BY51" s="172">
        <f ca="1">IF(OR($D51&lt;&gt;"Serviço",AND(AUTOEVENTO="Manual",$M51=$A$15),$M51&gt;(ROW(PLE.lastrow)-ROW(PLE.firstrow))),0,
           IF(OFFSET(PLE!$G$15,$M51-$A$15,BY$13)="",10^12,OFFSET(PLE!$G$15,$M51-$A$15,BY$13)))</f>
        <v>1000000000000</v>
      </c>
      <c r="BZ51" s="172">
        <f ca="1">IF(OR($D51&lt;&gt;"Serviço",AND(AUTOEVENTO="Manual",$M51=$A$15),$M51&gt;(ROW(PLE.lastrow)-ROW(PLE.firstrow))),0,
           IF(OFFSET(PLE!$G$15,$M51-$A$15,BZ$13)="",10^12,OFFSET(PLE!$G$15,$M51-$A$15,BZ$13)))</f>
        <v>1000000000000</v>
      </c>
      <c r="CA51" s="172">
        <f ca="1">IF(OR($D51&lt;&gt;"Serviço",AND(AUTOEVENTO="Manual",$M51=$A$15),$M51&gt;(ROW(PLE.lastrow)-ROW(PLE.firstrow))),0,
           IF(OFFSET(PLE!$G$15,$M51-$A$15,CA$13)="",10^12,OFFSET(PLE!$G$15,$M51-$A$15,CA$13)))</f>
        <v>1000000000000</v>
      </c>
      <c r="CB51" s="172">
        <f ca="1">IF(OR($D51&lt;&gt;"Serviço",AND(AUTOEVENTO="Manual",$M51=$A$15),$M51&gt;(ROW(PLE.lastrow)-ROW(PLE.firstrow))),0,
           IF(OFFSET(PLE!$G$15,$M51-$A$15,CB$13)="",10^12,OFFSET(PLE!$G$15,$M51-$A$15,CB$13)))</f>
        <v>1000000000000</v>
      </c>
      <c r="CC51" s="172">
        <f ca="1">IF(OR($D51&lt;&gt;"Serviço",AND(AUTOEVENTO="Manual",$M51=$A$15),$M51&gt;(ROW(PLE.lastrow)-ROW(PLE.firstrow))),0,
           IF(OFFSET(PLE!$G$15,$M51-$A$15,CC$13)="",10^12,OFFSET(PLE!$G$15,$M51-$A$15,CC$13)))</f>
        <v>1000000000000</v>
      </c>
      <c r="CD51" s="172">
        <f ca="1">IF(OR($D51&lt;&gt;"Serviço",AND(AUTOEVENTO="Manual",$M51=$A$15),$M51&gt;(ROW(PLE.lastrow)-ROW(PLE.firstrow))),0,
           IF(OFFSET(PLE!$G$15,$M51-$A$15,CD$13)="",10^12,OFFSET(PLE!$G$15,$M51-$A$15,CD$13)))</f>
        <v>1000000000000</v>
      </c>
      <c r="CE51" s="172">
        <f ca="1">IF(OR($D51&lt;&gt;"Serviço",AND(AUTOEVENTO="Manual",$M51=$A$15),$M51&gt;(ROW(PLE.lastrow)-ROW(PLE.firstrow))),0,
           IF(OFFSET(PLE!$G$15,$M51-$A$15,CE$13)="",10^12,OFFSET(PLE!$G$15,$M51-$A$15,CE$13)))</f>
        <v>1000000000000</v>
      </c>
      <c r="CF51" s="172">
        <f ca="1">IF(OR($D51&lt;&gt;"Serviço",AND(AUTOEVENTO="Manual",$M51=$A$15),$M51&gt;(ROW(PLE.lastrow)-ROW(PLE.firstrow))),0,
           IF(OFFSET(PLE!$G$15,$M51-$A$15,CF$13)="",10^12,OFFSET(PLE!$G$15,$M51-$A$15,CF$13)))</f>
        <v>1000000000000</v>
      </c>
      <c r="CG51" s="172">
        <f ca="1">IF(OR($D51&lt;&gt;"Serviço",AND(AUTOEVENTO="Manual",$M51=$A$15),$M51&gt;(ROW(PLE.lastrow)-ROW(PLE.firstrow))),0,
           IF(OFFSET(PLE!$G$15,$M51-$A$15,CG$13)="",10^12,OFFSET(PLE!$G$15,$M51-$A$15,CG$13)))</f>
        <v>1000000000000</v>
      </c>
      <c r="CH51" s="172">
        <f ca="1">IF(OR($D51&lt;&gt;"Serviço",AND(AUTOEVENTO="Manual",$M51=$A$15),$M51&gt;(ROW(PLE.lastrow)-ROW(PLE.firstrow))),0,
           IF(OFFSET(PLE!$G$15,$M51-$A$15,CH$13)="",10^12,OFFSET(PLE!$G$15,$M51-$A$15,CH$13)))</f>
        <v>1000000000000</v>
      </c>
      <c r="CI51" s="172">
        <f ca="1">IF(OR($D51&lt;&gt;"Serviço",AND(AUTOEVENTO="Manual",$M51=$A$15),$M51&gt;(ROW(PLE.lastrow)-ROW(PLE.firstrow))),0,
           IF(OFFSET(PLE!$G$15,$M51-$A$15,CI$13)="",10^12,OFFSET(PLE!$G$15,$M51-$A$15,CI$13)))</f>
        <v>1000000000000</v>
      </c>
      <c r="CJ51" s="172">
        <f ca="1">IF(OR($D51&lt;&gt;"Serviço",AND(AUTOEVENTO="Manual",$M51=$A$15),$M51&gt;(ROW(PLE.lastrow)-ROW(PLE.firstrow))),0,
           IF(OFFSET(PLE!$G$15,$M51-$A$15,CJ$13)="",10^12,OFFSET(PLE!$G$15,$M51-$A$15,CJ$13)))</f>
        <v>1000000000000</v>
      </c>
      <c r="CK51" s="172">
        <f ca="1">IF(OR($D51&lt;&gt;"Serviço",AND(AUTOEVENTO="Manual",$M51=$A$15),$M51&gt;(ROW(PLE.lastrow)-ROW(PLE.firstrow))),0,
           IF(OFFSET(PLE!$G$15,$M51-$A$15,CK$13)="",10^12,OFFSET(PLE!$G$15,$M51-$A$15,CK$13)))</f>
        <v>1000000000000</v>
      </c>
      <c r="CL51" s="172">
        <f ca="1">IF(OR($D51&lt;&gt;"Serviço",AND(AUTOEVENTO="Manual",$M51=$A$15),$M51&gt;(ROW(PLE.lastrow)-ROW(PLE.firstrow))),0,
           IF(OFFSET(PLE!$G$15,$M51-$A$15,CL$13)="",10^12,OFFSET(PLE!$G$15,$M51-$A$15,CL$13)))</f>
        <v>1000000000000</v>
      </c>
      <c r="CM51" s="172">
        <f ca="1">IF(OR($D51&lt;&gt;"Serviço",AND(AUTOEVENTO="Manual",$M51=$A$15),$M51&gt;(ROW(PLE.lastrow)-ROW(PLE.firstrow))),0,
           IF(OFFSET(PLE!$G$15,$M51-$A$15,CM$13)="",10^12,OFFSET(PLE!$G$15,$M51-$A$15,CM$13)))</f>
        <v>1000000000000</v>
      </c>
    </row>
    <row r="52" spans="1:91" ht="12.75" x14ac:dyDescent="0.2">
      <c r="A52" s="7">
        <f t="shared" ca="1" si="10"/>
        <v>0</v>
      </c>
      <c r="B52" s="7">
        <f ca="1">OFFSET(ORÇAMENTO!C$15,ROW(B52)-ROW(B$15),0)</f>
        <v>3</v>
      </c>
      <c r="C52" s="7" t="str">
        <f ca="1">OFFSET(ORÇAMENTO!L$15,ROW(C52)-ROW(C$15),0)</f>
        <v>F</v>
      </c>
      <c r="D52" s="116" t="str">
        <f ca="1">OFFSET(ORÇAMENTO!N$15,ROW(D52)-ROW(D$15),0)</f>
        <v>Nível 3</v>
      </c>
      <c r="E52" s="117" t="str">
        <f ca="1">OFFSET(ORÇAMENTO!O$15,ROW(E52)-ROW(E$15),0)</f>
        <v>1.4.2.</v>
      </c>
      <c r="F52" s="163" t="str">
        <f ca="1">OFFSET(ORÇAMENTO!R$15,ROW(F52)-ROW(F$15),0)</f>
        <v>BOTA FORA</v>
      </c>
      <c r="G52" s="164" t="str">
        <f ca="1">IF($D52&lt;&gt;"Serviço","",OFFSET(ORÇAMENTO!S$15,ROW(G52)-ROW(G$15),0))</f>
        <v/>
      </c>
      <c r="H52" s="122" cm="1">
        <f t="array" aca="1" ref="H52" ca="1">IF($D52&lt;&gt;"Serviço",0,IF(ACOMPANHAMENTO="BM",ROUND(OFFSET(ORÇAMENTO!AJ$15,ROW(H52)-ROW(H$15),0),15-13*ORÇAMENTO!$AF$7),SUMPRODUCT(($Q$1:$AI$1=1)*ROUND($Q52:$AI52,15-13*ORÇAMENTO!$AF$7))))</f>
        <v>0</v>
      </c>
      <c r="I52" s="468"/>
      <c r="J52" s="640" t="str" cm="1">
        <f t="array" aca="1" ref="J52" ca="1">IF(OR(B52&lt;&gt;"S",CÁLCULO.FrentesPreenchidas=0),"",IF(AND(ACOMPANHAMENTO="PLE",AUTOEVENTO="Manual",OR(H52&gt;0,ORÇAMENTO!AC52="QUANT."),OR(K52="",M52=0,N52="")),"►E",IF(AND(ACOMPANHAMENTO="PLE",ORÇAMENTO!AC52="QUANT."),"►Q",IF(AND(ACOMPANHAMENTO="PLE",H52&lt;&gt;SUMPRODUCT(($Q$1:$AI$1=1)*ROUND(Q52:AI52,15))),"►S",IF(AND(COUNTIF($P$11:$AI$11,"▼")=0,H52&gt;0,I52=""),"◄M","")))))</f>
        <v/>
      </c>
      <c r="K52" s="641"/>
      <c r="L52" s="165" t="s">
        <v>764</v>
      </c>
      <c r="M52" s="166" t="str">
        <f ca="1">IF($D52&lt;&gt;"Serviço","",
          IF(AUTOEVENTO="manual",$A52,
                IF(ISERROR(MATCH($A52,$A$15:OFFSET($A52,-1,0),0)),MAX($M$15:OFFSET(M52,-1,0))+1,
                      INDEX($M$15:OFFSET(M52,-1,0),MATCH($A52,$A$15:OFFSET($A52,-1,0),0)))))</f>
        <v/>
      </c>
      <c r="N52" s="167" t="str">
        <f ca="1">IF($D52&lt;&gt;"Serviço","",
         IF(AUTOEVENTO="Manual",
                IF($A52=0,"&lt;-- defina o número do agrupador",
                       OFFSET(EVENTOS!$D$15,$A52-$A$15,0)),
                OFFSET($F$15,$A52,0)))</f>
        <v/>
      </c>
      <c r="O52" s="168"/>
      <c r="Q52" s="168"/>
      <c r="R52" s="169"/>
      <c r="S52" s="169"/>
      <c r="T52" s="169"/>
      <c r="U52" s="169"/>
      <c r="V52" s="169"/>
      <c r="W52" s="169"/>
      <c r="X52" s="169"/>
      <c r="Y52" s="169"/>
      <c r="Z52" s="170"/>
      <c r="AA52" s="169"/>
      <c r="AB52" s="169"/>
      <c r="AC52" s="169"/>
      <c r="AD52" s="169"/>
      <c r="AE52" s="169"/>
      <c r="AF52" s="169"/>
      <c r="AG52" s="169"/>
      <c r="AH52" s="170"/>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L52" s="453">
        <f ca="1">IF(AND($D52="Serviço",AL$12&lt;&gt;0,$H52&gt;0,OR(AUTOEVENTO&lt;&gt;"manual",$M52&lt;&gt;$A$15)),
        IF(Import.TipoArredondamento&lt;&gt;"TransfereGOV",
              ROUND(OFFSET($P52,0,AL$13),15-13*ORÇAMENTO!$AF$7)/$H52*OFFSET(ORÇAMENTO!$X$15,ROW(AL52)-ROW(AL$15),0),
              ROUND(ROUND(OFFSET($P52,0,AL$13),15-13*ORÇAMENTO!$AF$7)*OFFSET(ORÇAMENTO!$W$15,ROW(AL52)-ROW(AL$15),0),15-13*ORÇAMENTO!$AF$11)),
         0)</f>
        <v>0</v>
      </c>
      <c r="AM52" s="453">
        <f ca="1">IF(AND($D52="Serviço",AM$12&lt;&gt;0,$H52&gt;0,OR(AUTOEVENTO&lt;&gt;"manual",$M52&lt;&gt;$A$15)),
        IF(Import.TipoArredondamento&lt;&gt;"TransfereGOV",
              ROUND(OFFSET($P52,0,AM$13),15-13*ORÇAMENTO!$AF$7)/$H52*OFFSET(ORÇAMENTO!$X$15,ROW(AM52)-ROW(AM$15),0),
              ROUND(ROUND(OFFSET($P52,0,AM$13),15-13*ORÇAMENTO!$AF$7)*OFFSET(ORÇAMENTO!$W$15,ROW(AM52)-ROW(AM$15),0),15-13*ORÇAMENTO!$AF$11)),
         0)</f>
        <v>0</v>
      </c>
      <c r="AN52" s="453">
        <f ca="1">IF(AND($D52="Serviço",AN$12&lt;&gt;0,$H52&gt;0,OR(AUTOEVENTO&lt;&gt;"manual",$M52&lt;&gt;$A$15)),
        IF(Import.TipoArredondamento&lt;&gt;"TransfereGOV",
              ROUND(OFFSET($P52,0,AN$13),15-13*ORÇAMENTO!$AF$7)/$H52*OFFSET(ORÇAMENTO!$X$15,ROW(AN52)-ROW(AN$15),0),
              ROUND(ROUND(OFFSET($P52,0,AN$13),15-13*ORÇAMENTO!$AF$7)*OFFSET(ORÇAMENTO!$W$15,ROW(AN52)-ROW(AN$15),0),15-13*ORÇAMENTO!$AF$11)),
         0)</f>
        <v>0</v>
      </c>
      <c r="AO52" s="453">
        <f ca="1">IF(AND($D52="Serviço",AO$12&lt;&gt;0,$H52&gt;0,OR(AUTOEVENTO&lt;&gt;"manual",$M52&lt;&gt;$A$15)),
        IF(Import.TipoArredondamento&lt;&gt;"TransfereGOV",
              ROUND(OFFSET($P52,0,AO$13),15-13*ORÇAMENTO!$AF$7)/$H52*OFFSET(ORÇAMENTO!$X$15,ROW(AO52)-ROW(AO$15),0),
              ROUND(ROUND(OFFSET($P52,0,AO$13),15-13*ORÇAMENTO!$AF$7)*OFFSET(ORÇAMENTO!$W$15,ROW(AO52)-ROW(AO$15),0),15-13*ORÇAMENTO!$AF$11)),
         0)</f>
        <v>0</v>
      </c>
      <c r="AP52" s="453">
        <f ca="1">IF(AND($D52="Serviço",AP$12&lt;&gt;0,$H52&gt;0,OR(AUTOEVENTO&lt;&gt;"manual",$M52&lt;&gt;$A$15)),
        IF(Import.TipoArredondamento&lt;&gt;"TransfereGOV",
              ROUND(OFFSET($P52,0,AP$13),15-13*ORÇAMENTO!$AF$7)/$H52*OFFSET(ORÇAMENTO!$X$15,ROW(AP52)-ROW(AP$15),0),
              ROUND(ROUND(OFFSET($P52,0,AP$13),15-13*ORÇAMENTO!$AF$7)*OFFSET(ORÇAMENTO!$W$15,ROW(AP52)-ROW(AP$15),0),15-13*ORÇAMENTO!$AF$11)),
         0)</f>
        <v>0</v>
      </c>
      <c r="AQ52" s="453">
        <f ca="1">IF(AND($D52="Serviço",AQ$12&lt;&gt;0,$H52&gt;0,OR(AUTOEVENTO&lt;&gt;"manual",$M52&lt;&gt;$A$15)),
        IF(Import.TipoArredondamento&lt;&gt;"TransfereGOV",
              ROUND(OFFSET($P52,0,AQ$13),15-13*ORÇAMENTO!$AF$7)/$H52*OFFSET(ORÇAMENTO!$X$15,ROW(AQ52)-ROW(AQ$15),0),
              ROUND(ROUND(OFFSET($P52,0,AQ$13),15-13*ORÇAMENTO!$AF$7)*OFFSET(ORÇAMENTO!$W$15,ROW(AQ52)-ROW(AQ$15),0),15-13*ORÇAMENTO!$AF$11)),
         0)</f>
        <v>0</v>
      </c>
      <c r="AR52" s="453">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3">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3">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3">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3">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3">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3">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3">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3">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3">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C52" s="171">
        <f ca="1">IF(OR($D52&lt;&gt;"Serviço",AND(AUTOEVENTO="Manual",$M52=$A$15)),0,
         IF(OFFSET(CRONOPLE!$F$15,$M52-$A$15,BC$13)=0,10^12,OFFSET(CRONOPLE!$F$15,$M52-$A$15,BC$13)))</f>
        <v>0</v>
      </c>
      <c r="BD52" s="171">
        <f ca="1">IF(OR($D52&lt;&gt;"Serviço",AND(AUTOEVENTO="Manual",$M52=$A$15)),0,
         IF(OFFSET(CRONOPLE!$F$15,$M52-$A$15,BD$13)=0,10^12,OFFSET(CRONOPLE!$F$15,$M52-$A$15,BD$13)))</f>
        <v>0</v>
      </c>
      <c r="BE52" s="171">
        <f ca="1">IF(OR($D52&lt;&gt;"Serviço",AND(AUTOEVENTO="Manual",$M52=$A$15)),0,
         IF(OFFSET(CRONOPLE!$F$15,$M52-$A$15,BE$13)=0,10^12,OFFSET(CRONOPLE!$F$15,$M52-$A$15,BE$13)))</f>
        <v>0</v>
      </c>
      <c r="BF52" s="171">
        <f ca="1">IF(OR($D52&lt;&gt;"Serviço",AND(AUTOEVENTO="Manual",$M52=$A$15)),0,
         IF(OFFSET(CRONOPLE!$F$15,$M52-$A$15,BF$13)=0,10^12,OFFSET(CRONOPLE!$F$15,$M52-$A$15,BF$13)))</f>
        <v>0</v>
      </c>
      <c r="BG52" s="171">
        <f ca="1">IF(OR($D52&lt;&gt;"Serviço",AND(AUTOEVENTO="Manual",$M52=$A$15)),0,
         IF(OFFSET(CRONOPLE!$F$15,$M52-$A$15,BG$13)=0,10^12,OFFSET(CRONOPLE!$F$15,$M52-$A$15,BG$13)))</f>
        <v>0</v>
      </c>
      <c r="BH52" s="171">
        <f ca="1">IF(OR($D52&lt;&gt;"Serviço",AND(AUTOEVENTO="Manual",$M52=$A$15)),0,
         IF(OFFSET(CRONOPLE!$F$15,$M52-$A$15,BH$13)=0,10^12,OFFSET(CRONOPLE!$F$15,$M52-$A$15,BH$13)))</f>
        <v>0</v>
      </c>
      <c r="BI52" s="171">
        <f ca="1">IF(OR($D52&lt;&gt;"Serviço",AND(AUTOEVENTO="Manual",$M52=$A$15)),0,
         IF(OFFSET(CRONOPLE!$F$15,$M52-$A$15,BI$13)=0,10^12,OFFSET(CRONOPLE!$F$15,$M52-$A$15,BI$13)))</f>
        <v>0</v>
      </c>
      <c r="BJ52" s="171">
        <f ca="1">IF(OR($D52&lt;&gt;"Serviço",AND(AUTOEVENTO="Manual",$M52=$A$15)),0,
         IF(OFFSET(CRONOPLE!$F$15,$M52-$A$15,BJ$13)=0,10^12,OFFSET(CRONOPLE!$F$15,$M52-$A$15,BJ$13)))</f>
        <v>0</v>
      </c>
      <c r="BK52" s="171">
        <f ca="1">IF(OR($D52&lt;&gt;"Serviço",AND(AUTOEVENTO="Manual",$M52=$A$15)),0,
         IF(OFFSET(CRONOPLE!$F$15,$M52-$A$15,BK$13)=0,10^12,OFFSET(CRONOPLE!$F$15,$M52-$A$15,BK$13)))</f>
        <v>0</v>
      </c>
      <c r="BL52" s="171">
        <f ca="1">IF(OR($D52&lt;&gt;"Serviço",AND(AUTOEVENTO="Manual",$M52=$A$15)),0,
         IF(OFFSET(CRONOPLE!$F$15,$M52-$A$15,BL$13)=0,10^12,OFFSET(CRONOPLE!$F$15,$M52-$A$15,BL$13)))</f>
        <v>0</v>
      </c>
      <c r="BM52" s="171">
        <f ca="1">IF(OR($D52&lt;&gt;"Serviço",AND(AUTOEVENTO="Manual",$M52=$A$15)),0,
         IF(OFFSET(CRONOPLE!$F$15,$M52-$A$15,BM$13)=0,10^12,OFFSET(CRONOPLE!$F$15,$M52-$A$15,BM$13)))</f>
        <v>0</v>
      </c>
      <c r="BN52" s="171">
        <f ca="1">IF(OR($D52&lt;&gt;"Serviço",AND(AUTOEVENTO="Manual",$M52=$A$15)),0,
         IF(OFFSET(CRONOPLE!$F$15,$M52-$A$15,BN$13)=0,10^12,OFFSET(CRONOPLE!$F$15,$M52-$A$15,BN$13)))</f>
        <v>0</v>
      </c>
      <c r="BO52" s="171">
        <f ca="1">IF(OR($D52&lt;&gt;"Serviço",AND(AUTOEVENTO="Manual",$M52=$A$15)),0,
         IF(OFFSET(CRONOPLE!$F$15,$M52-$A$15,BO$13)=0,10^12,OFFSET(CRONOPLE!$F$15,$M52-$A$15,BO$13)))</f>
        <v>0</v>
      </c>
      <c r="BP52" s="171">
        <f ca="1">IF(OR($D52&lt;&gt;"Serviço",AND(AUTOEVENTO="Manual",$M52=$A$15)),0,
         IF(OFFSET(CRONOPLE!$F$15,$M52-$A$15,BP$13)=0,10^12,OFFSET(CRONOPLE!$F$15,$M52-$A$15,BP$13)))</f>
        <v>0</v>
      </c>
      <c r="BQ52" s="171">
        <f ca="1">IF(OR($D52&lt;&gt;"Serviço",AND(AUTOEVENTO="Manual",$M52=$A$15)),0,
         IF(OFFSET(CRONOPLE!$F$15,$M52-$A$15,BQ$13)=0,10^12,OFFSET(CRONOPLE!$F$15,$M52-$A$15,BQ$13)))</f>
        <v>0</v>
      </c>
      <c r="BR52" s="171">
        <f ca="1">IF(OR($D52&lt;&gt;"Serviço",AND(AUTOEVENTO="Manual",$M52=$A$15)),0,
         IF(OFFSET(CRONOPLE!$F$15,$M52-$A$15,BR$13)=0,10^12,OFFSET(CRONOPLE!$F$15,$M52-$A$15,BR$13)))</f>
        <v>0</v>
      </c>
      <c r="BS52" s="171">
        <f ca="1">IF(OR($D52&lt;&gt;"Serviço",AND(AUTOEVENTO="Manual",$M52=$A$15)),0,
         IF(OFFSET(CRONOPLE!$F$15,$M52-$A$15,BS$13)=0,10^12,OFFSET(CRONOPLE!$F$15,$M52-$A$15,BS$13)))</f>
        <v>0</v>
      </c>
      <c r="BT52" s="171">
        <f ca="1">IF(OR($D52&lt;&gt;"Serviço",AND(AUTOEVENTO="Manual",$M52=$A$15)),0,
         IF(OFFSET(CRONOPLE!$F$15,$M52-$A$15,BT$13)=0,10^12,OFFSET(CRONOPLE!$F$15,$M52-$A$15,BT$13)))</f>
        <v>0</v>
      </c>
      <c r="BV52" s="172">
        <f ca="1">IF(OR($D52&lt;&gt;"Serviço",AND(AUTOEVENTO="Manual",$M52=$A$15),$M52&gt;(ROW(PLE.lastrow)-ROW(PLE.firstrow))),0,
           IF(OFFSET(PLE!$G$15,$M52-$A$15,BV$13)="",10^12,OFFSET(PLE!$G$15,$M52-$A$15,BV$13)))</f>
        <v>0</v>
      </c>
      <c r="BW52" s="172">
        <f ca="1">IF(OR($D52&lt;&gt;"Serviço",AND(AUTOEVENTO="Manual",$M52=$A$15),$M52&gt;(ROW(PLE.lastrow)-ROW(PLE.firstrow))),0,
           IF(OFFSET(PLE!$G$15,$M52-$A$15,BW$13)="",10^12,OFFSET(PLE!$G$15,$M52-$A$15,BW$13)))</f>
        <v>0</v>
      </c>
      <c r="BX52" s="172">
        <f ca="1">IF(OR($D52&lt;&gt;"Serviço",AND(AUTOEVENTO="Manual",$M52=$A$15),$M52&gt;(ROW(PLE.lastrow)-ROW(PLE.firstrow))),0,
           IF(OFFSET(PLE!$G$15,$M52-$A$15,BX$13)="",10^12,OFFSET(PLE!$G$15,$M52-$A$15,BX$13)))</f>
        <v>0</v>
      </c>
      <c r="BY52" s="172">
        <f ca="1">IF(OR($D52&lt;&gt;"Serviço",AND(AUTOEVENTO="Manual",$M52=$A$15),$M52&gt;(ROW(PLE.lastrow)-ROW(PLE.firstrow))),0,
           IF(OFFSET(PLE!$G$15,$M52-$A$15,BY$13)="",10^12,OFFSET(PLE!$G$15,$M52-$A$15,BY$13)))</f>
        <v>0</v>
      </c>
      <c r="BZ52" s="172">
        <f ca="1">IF(OR($D52&lt;&gt;"Serviço",AND(AUTOEVENTO="Manual",$M52=$A$15),$M52&gt;(ROW(PLE.lastrow)-ROW(PLE.firstrow))),0,
           IF(OFFSET(PLE!$G$15,$M52-$A$15,BZ$13)="",10^12,OFFSET(PLE!$G$15,$M52-$A$15,BZ$13)))</f>
        <v>0</v>
      </c>
      <c r="CA52" s="172">
        <f ca="1">IF(OR($D52&lt;&gt;"Serviço",AND(AUTOEVENTO="Manual",$M52=$A$15),$M52&gt;(ROW(PLE.lastrow)-ROW(PLE.firstrow))),0,
           IF(OFFSET(PLE!$G$15,$M52-$A$15,CA$13)="",10^12,OFFSET(PLE!$G$15,$M52-$A$15,CA$13)))</f>
        <v>0</v>
      </c>
      <c r="CB52" s="172">
        <f ca="1">IF(OR($D52&lt;&gt;"Serviço",AND(AUTOEVENTO="Manual",$M52=$A$15),$M52&gt;(ROW(PLE.lastrow)-ROW(PLE.firstrow))),0,
           IF(OFFSET(PLE!$G$15,$M52-$A$15,CB$13)="",10^12,OFFSET(PLE!$G$15,$M52-$A$15,CB$13)))</f>
        <v>0</v>
      </c>
      <c r="CC52" s="172">
        <f ca="1">IF(OR($D52&lt;&gt;"Serviço",AND(AUTOEVENTO="Manual",$M52=$A$15),$M52&gt;(ROW(PLE.lastrow)-ROW(PLE.firstrow))),0,
           IF(OFFSET(PLE!$G$15,$M52-$A$15,CC$13)="",10^12,OFFSET(PLE!$G$15,$M52-$A$15,CC$13)))</f>
        <v>0</v>
      </c>
      <c r="CD52" s="172">
        <f ca="1">IF(OR($D52&lt;&gt;"Serviço",AND(AUTOEVENTO="Manual",$M52=$A$15),$M52&gt;(ROW(PLE.lastrow)-ROW(PLE.firstrow))),0,
           IF(OFFSET(PLE!$G$15,$M52-$A$15,CD$13)="",10^12,OFFSET(PLE!$G$15,$M52-$A$15,CD$13)))</f>
        <v>0</v>
      </c>
      <c r="CE52" s="172">
        <f ca="1">IF(OR($D52&lt;&gt;"Serviço",AND(AUTOEVENTO="Manual",$M52=$A$15),$M52&gt;(ROW(PLE.lastrow)-ROW(PLE.firstrow))),0,
           IF(OFFSET(PLE!$G$15,$M52-$A$15,CE$13)="",10^12,OFFSET(PLE!$G$15,$M52-$A$15,CE$13)))</f>
        <v>0</v>
      </c>
      <c r="CF52" s="172">
        <f ca="1">IF(OR($D52&lt;&gt;"Serviço",AND(AUTOEVENTO="Manual",$M52=$A$15),$M52&gt;(ROW(PLE.lastrow)-ROW(PLE.firstrow))),0,
           IF(OFFSET(PLE!$G$15,$M52-$A$15,CF$13)="",10^12,OFFSET(PLE!$G$15,$M52-$A$15,CF$13)))</f>
        <v>0</v>
      </c>
      <c r="CG52" s="172">
        <f ca="1">IF(OR($D52&lt;&gt;"Serviço",AND(AUTOEVENTO="Manual",$M52=$A$15),$M52&gt;(ROW(PLE.lastrow)-ROW(PLE.firstrow))),0,
           IF(OFFSET(PLE!$G$15,$M52-$A$15,CG$13)="",10^12,OFFSET(PLE!$G$15,$M52-$A$15,CG$13)))</f>
        <v>0</v>
      </c>
      <c r="CH52" s="172">
        <f ca="1">IF(OR($D52&lt;&gt;"Serviço",AND(AUTOEVENTO="Manual",$M52=$A$15),$M52&gt;(ROW(PLE.lastrow)-ROW(PLE.firstrow))),0,
           IF(OFFSET(PLE!$G$15,$M52-$A$15,CH$13)="",10^12,OFFSET(PLE!$G$15,$M52-$A$15,CH$13)))</f>
        <v>0</v>
      </c>
      <c r="CI52" s="172">
        <f ca="1">IF(OR($D52&lt;&gt;"Serviço",AND(AUTOEVENTO="Manual",$M52=$A$15),$M52&gt;(ROW(PLE.lastrow)-ROW(PLE.firstrow))),0,
           IF(OFFSET(PLE!$G$15,$M52-$A$15,CI$13)="",10^12,OFFSET(PLE!$G$15,$M52-$A$15,CI$13)))</f>
        <v>0</v>
      </c>
      <c r="CJ52" s="172">
        <f ca="1">IF(OR($D52&lt;&gt;"Serviço",AND(AUTOEVENTO="Manual",$M52=$A$15),$M52&gt;(ROW(PLE.lastrow)-ROW(PLE.firstrow))),0,
           IF(OFFSET(PLE!$G$15,$M52-$A$15,CJ$13)="",10^12,OFFSET(PLE!$G$15,$M52-$A$15,CJ$13)))</f>
        <v>0</v>
      </c>
      <c r="CK52" s="172">
        <f ca="1">IF(OR($D52&lt;&gt;"Serviço",AND(AUTOEVENTO="Manual",$M52=$A$15),$M52&gt;(ROW(PLE.lastrow)-ROW(PLE.firstrow))),0,
           IF(OFFSET(PLE!$G$15,$M52-$A$15,CK$13)="",10^12,OFFSET(PLE!$G$15,$M52-$A$15,CK$13)))</f>
        <v>0</v>
      </c>
      <c r="CL52" s="172">
        <f ca="1">IF(OR($D52&lt;&gt;"Serviço",AND(AUTOEVENTO="Manual",$M52=$A$15),$M52&gt;(ROW(PLE.lastrow)-ROW(PLE.firstrow))),0,
           IF(OFFSET(PLE!$G$15,$M52-$A$15,CL$13)="",10^12,OFFSET(PLE!$G$15,$M52-$A$15,CL$13)))</f>
        <v>0</v>
      </c>
      <c r="CM52" s="172">
        <f ca="1">IF(OR($D52&lt;&gt;"Serviço",AND(AUTOEVENTO="Manual",$M52=$A$15),$M52&gt;(ROW(PLE.lastrow)-ROW(PLE.firstrow))),0,
           IF(OFFSET(PLE!$G$15,$M52-$A$15,CM$13)="",10^12,OFFSET(PLE!$G$15,$M52-$A$15,CM$13)))</f>
        <v>0</v>
      </c>
    </row>
    <row r="53" spans="1:91" ht="76.5" x14ac:dyDescent="0.2">
      <c r="A53" s="7">
        <f t="shared" ca="1" si="10"/>
        <v>3</v>
      </c>
      <c r="B53" s="7" t="str">
        <f ca="1">OFFSET(ORÇAMENTO!C$15,ROW(B53)-ROW(B$15),0)</f>
        <v>S</v>
      </c>
      <c r="C53" s="7" t="str">
        <f ca="1">OFFSET(ORÇAMENTO!L$15,ROW(C53)-ROW(C$15),0)</f>
        <v>F</v>
      </c>
      <c r="D53" s="116" t="str">
        <f ca="1">OFFSET(ORÇAMENTO!N$15,ROW(D53)-ROW(D$15),0)</f>
        <v>Serviço</v>
      </c>
      <c r="E53" s="117" t="str">
        <f ca="1">OFFSET(ORÇAMENTO!O$15,ROW(E53)-ROW(E$15),0)</f>
        <v>1.4.2.0.1.</v>
      </c>
      <c r="F53" s="163" t="str">
        <f ca="1">OFFSET(ORÇAMENTO!R$15,ROW(F53)-ROW(F$15),0)</f>
        <v>CARGA, MANOBRA E DESCARGA DE SOLOS E MATERIAIS GRANULARES EM CAMINHÃO BASCULANTE 18 M³ - CARGA COM ESCAVADEIRA HIDRÁULICA (CAÇAMBA DE 1,20 M³ / 155 HP) E DESCARGA LIVRE (UNIDADE: M3). AF_07/2020</v>
      </c>
      <c r="G53" s="164" t="str">
        <f ca="1">IF($D53&lt;&gt;"Serviço","",OFFSET(ORÇAMENTO!S$15,ROW(G53)-ROW(G$15),0))</f>
        <v>M3</v>
      </c>
      <c r="H53" s="122" cm="1">
        <f t="array" aca="1" ref="H53" ca="1">IF($D53&lt;&gt;"Serviço",0,IF(ACOMPANHAMENTO="BM",ROUND(OFFSET(ORÇAMENTO!AJ$15,ROW(H53)-ROW(H$15),0),15-13*ORÇAMENTO!$AF$7),SUMPRODUCT(($Q$1:$AI$1=1)*ROUND($Q53:$AI53,15-13*ORÇAMENTO!$AF$7))))</f>
        <v>3086.27</v>
      </c>
      <c r="I53" s="468" t="s">
        <v>1299</v>
      </c>
      <c r="J53" s="640" t="str" cm="1">
        <f t="array" aca="1" ref="J53" ca="1">IF(OR(B53&lt;&gt;"S",CÁLCULO.FrentesPreenchidas=0),"",IF(AND(ACOMPANHAMENTO="PLE",AUTOEVENTO="Manual",OR(H53&gt;0,ORÇAMENTO!AC53="QUANT."),OR(K53="",M53=0,N53="")),"►E",IF(AND(ACOMPANHAMENTO="PLE",ORÇAMENTO!AC53="QUANT."),"►Q",IF(AND(ACOMPANHAMENTO="PLE",H53&lt;&gt;SUMPRODUCT(($Q$1:$AI$1=1)*ROUND(Q53:AI53,15))),"►S",IF(AND(COUNTIF($P$11:$AI$11,"▼")=0,H53&gt;0,I53=""),"◄M","")))))</f>
        <v/>
      </c>
      <c r="K53" s="641" t="s">
        <v>1388</v>
      </c>
      <c r="L53" s="165" t="s">
        <v>764</v>
      </c>
      <c r="M53" s="166">
        <f ca="1">IF($D53&lt;&gt;"Serviço","",
          IF(AUTOEVENTO="manual",$A53,
                IF(ISERROR(MATCH($A53,$A$15:OFFSET($A53,-1,0),0)),MAX($M$15:OFFSET(M53,-1,0))+1,
                      INDEX($M$15:OFFSET(M53,-1,0),MATCH($A53,$A$15:OFFSET($A53,-1,0),0)))))</f>
        <v>3</v>
      </c>
      <c r="N53" s="167" t="str">
        <f ca="1">IF($D53&lt;&gt;"Serviço","",
         IF(AUTOEVENTO="Manual",
                IF($A53=0,"&lt;-- defina o número do agrupador",
                       OFFSET(EVENTOS!$D$15,$A53-$A$15,0)),
                OFFSET($F$15,$A53,0)))</f>
        <v>Terraplenagem</v>
      </c>
      <c r="O53" s="168"/>
      <c r="Q53" s="168">
        <f>ROUND(Q50*1.3-Q51/0.9,2)</f>
        <v>3086.27</v>
      </c>
      <c r="R53" s="169"/>
      <c r="S53" s="169"/>
      <c r="T53" s="169"/>
      <c r="U53" s="169"/>
      <c r="V53" s="169"/>
      <c r="W53" s="169"/>
      <c r="X53" s="169"/>
      <c r="Y53" s="169"/>
      <c r="Z53" s="170"/>
      <c r="AA53" s="169"/>
      <c r="AB53" s="169"/>
      <c r="AC53" s="169"/>
      <c r="AD53" s="169"/>
      <c r="AE53" s="169"/>
      <c r="AF53" s="169"/>
      <c r="AG53" s="169"/>
      <c r="AH53" s="170"/>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L53" s="453">
        <f ca="1">IF(AND($D53="Serviço",AL$12&lt;&gt;0,$H53&gt;0,OR(AUTOEVENTO&lt;&gt;"manual",$M53&lt;&gt;$A$15)),
        IF(Import.TipoArredondamento&lt;&gt;"TransfereGOV",
              ROUND(OFFSET($P53,0,AL$13),15-13*ORÇAMENTO!$AF$7)/$H53*OFFSET(ORÇAMENTO!$X$15,ROW(AL53)-ROW(AL$15),0),
              ROUND(ROUND(OFFSET($P53,0,AL$13),15-13*ORÇAMENTO!$AF$7)*OFFSET(ORÇAMENTO!$W$15,ROW(AL53)-ROW(AL$15),0),15-13*ORÇAMENTO!$AF$11)),
         0)</f>
        <v>0</v>
      </c>
      <c r="AM53" s="453">
        <f ca="1">IF(AND($D53="Serviço",AM$12&lt;&gt;0,$H53&gt;0,OR(AUTOEVENTO&lt;&gt;"manual",$M53&lt;&gt;$A$15)),
        IF(Import.TipoArredondamento&lt;&gt;"TransfereGOV",
              ROUND(OFFSET($P53,0,AM$13),15-13*ORÇAMENTO!$AF$7)/$H53*OFFSET(ORÇAMENTO!$X$15,ROW(AM53)-ROW(AM$15),0),
              ROUND(ROUND(OFFSET($P53,0,AM$13),15-13*ORÇAMENTO!$AF$7)*OFFSET(ORÇAMENTO!$W$15,ROW(AM53)-ROW(AM$15),0),15-13*ORÇAMENTO!$AF$11)),
         0)</f>
        <v>0</v>
      </c>
      <c r="AN53" s="453">
        <f ca="1">IF(AND($D53="Serviço",AN$12&lt;&gt;0,$H53&gt;0,OR(AUTOEVENTO&lt;&gt;"manual",$M53&lt;&gt;$A$15)),
        IF(Import.TipoArredondamento&lt;&gt;"TransfereGOV",
              ROUND(OFFSET($P53,0,AN$13),15-13*ORÇAMENTO!$AF$7)/$H53*OFFSET(ORÇAMENTO!$X$15,ROW(AN53)-ROW(AN$15),0),
              ROUND(ROUND(OFFSET($P53,0,AN$13),15-13*ORÇAMENTO!$AF$7)*OFFSET(ORÇAMENTO!$W$15,ROW(AN53)-ROW(AN$15),0),15-13*ORÇAMENTO!$AF$11)),
         0)</f>
        <v>0</v>
      </c>
      <c r="AO53" s="453">
        <f ca="1">IF(AND($D53="Serviço",AO$12&lt;&gt;0,$H53&gt;0,OR(AUTOEVENTO&lt;&gt;"manual",$M53&lt;&gt;$A$15)),
        IF(Import.TipoArredondamento&lt;&gt;"TransfereGOV",
              ROUND(OFFSET($P53,0,AO$13),15-13*ORÇAMENTO!$AF$7)/$H53*OFFSET(ORÇAMENTO!$X$15,ROW(AO53)-ROW(AO$15),0),
              ROUND(ROUND(OFFSET($P53,0,AO$13),15-13*ORÇAMENTO!$AF$7)*OFFSET(ORÇAMENTO!$W$15,ROW(AO53)-ROW(AO$15),0),15-13*ORÇAMENTO!$AF$11)),
         0)</f>
        <v>0</v>
      </c>
      <c r="AP53" s="453">
        <f ca="1">IF(AND($D53="Serviço",AP$12&lt;&gt;0,$H53&gt;0,OR(AUTOEVENTO&lt;&gt;"manual",$M53&lt;&gt;$A$15)),
        IF(Import.TipoArredondamento&lt;&gt;"TransfereGOV",
              ROUND(OFFSET($P53,0,AP$13),15-13*ORÇAMENTO!$AF$7)/$H53*OFFSET(ORÇAMENTO!$X$15,ROW(AP53)-ROW(AP$15),0),
              ROUND(ROUND(OFFSET($P53,0,AP$13),15-13*ORÇAMENTO!$AF$7)*OFFSET(ORÇAMENTO!$W$15,ROW(AP53)-ROW(AP$15),0),15-13*ORÇAMENTO!$AF$11)),
         0)</f>
        <v>0</v>
      </c>
      <c r="AQ53" s="453">
        <f ca="1">IF(AND($D53="Serviço",AQ$12&lt;&gt;0,$H53&gt;0,OR(AUTOEVENTO&lt;&gt;"manual",$M53&lt;&gt;$A$15)),
        IF(Import.TipoArredondamento&lt;&gt;"TransfereGOV",
              ROUND(OFFSET($P53,0,AQ$13),15-13*ORÇAMENTO!$AF$7)/$H53*OFFSET(ORÇAMENTO!$X$15,ROW(AQ53)-ROW(AQ$15),0),
              ROUND(ROUND(OFFSET($P53,0,AQ$13),15-13*ORÇAMENTO!$AF$7)*OFFSET(ORÇAMENTO!$W$15,ROW(AQ53)-ROW(AQ$15),0),15-13*ORÇAMENTO!$AF$11)),
         0)</f>
        <v>0</v>
      </c>
      <c r="AR53" s="453">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3">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3">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3">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3">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3">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3">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3">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3">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3">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C53" s="171">
        <f ca="1">IF(OR($D53&lt;&gt;"Serviço",AND(AUTOEVENTO="Manual",$M53=$A$15)),0,
         IF(OFFSET(CRONOPLE!$F$15,$M53-$A$15,BC$13)=0,10^12,OFFSET(CRONOPLE!$F$15,$M53-$A$15,BC$13)))</f>
        <v>1</v>
      </c>
      <c r="BD53" s="171">
        <f ca="1">IF(OR($D53&lt;&gt;"Serviço",AND(AUTOEVENTO="Manual",$M53=$A$15)),0,
         IF(OFFSET(CRONOPLE!$F$15,$M53-$A$15,BD$13)=0,10^12,OFFSET(CRONOPLE!$F$15,$M53-$A$15,BD$13)))</f>
        <v>2</v>
      </c>
      <c r="BE53" s="171">
        <f ca="1">IF(OR($D53&lt;&gt;"Serviço",AND(AUTOEVENTO="Manual",$M53=$A$15)),0,
         IF(OFFSET(CRONOPLE!$F$15,$M53-$A$15,BE$13)=0,10^12,OFFSET(CRONOPLE!$F$15,$M53-$A$15,BE$13)))</f>
        <v>3</v>
      </c>
      <c r="BF53" s="171">
        <f ca="1">IF(OR($D53&lt;&gt;"Serviço",AND(AUTOEVENTO="Manual",$M53=$A$15)),0,
         IF(OFFSET(CRONOPLE!$F$15,$M53-$A$15,BF$13)=0,10^12,OFFSET(CRONOPLE!$F$15,$M53-$A$15,BF$13)))</f>
        <v>4</v>
      </c>
      <c r="BG53" s="171">
        <f ca="1">IF(OR($D53&lt;&gt;"Serviço",AND(AUTOEVENTO="Manual",$M53=$A$15)),0,
         IF(OFFSET(CRONOPLE!$F$15,$M53-$A$15,BG$13)=0,10^12,OFFSET(CRONOPLE!$F$15,$M53-$A$15,BG$13)))</f>
        <v>5</v>
      </c>
      <c r="BH53" s="171">
        <f ca="1">IF(OR($D53&lt;&gt;"Serviço",AND(AUTOEVENTO="Manual",$M53=$A$15)),0,
         IF(OFFSET(CRONOPLE!$F$15,$M53-$A$15,BH$13)=0,10^12,OFFSET(CRONOPLE!$F$15,$M53-$A$15,BH$13)))</f>
        <v>6</v>
      </c>
      <c r="BI53" s="171">
        <f ca="1">IF(OR($D53&lt;&gt;"Serviço",AND(AUTOEVENTO="Manual",$M53=$A$15)),0,
         IF(OFFSET(CRONOPLE!$F$15,$M53-$A$15,BI$13)=0,10^12,OFFSET(CRONOPLE!$F$15,$M53-$A$15,BI$13)))</f>
        <v>7</v>
      </c>
      <c r="BJ53" s="171">
        <f ca="1">IF(OR($D53&lt;&gt;"Serviço",AND(AUTOEVENTO="Manual",$M53=$A$15)),0,
         IF(OFFSET(CRONOPLE!$F$15,$M53-$A$15,BJ$13)=0,10^12,OFFSET(CRONOPLE!$F$15,$M53-$A$15,BJ$13)))</f>
        <v>8</v>
      </c>
      <c r="BK53" s="171">
        <f ca="1">IF(OR($D53&lt;&gt;"Serviço",AND(AUTOEVENTO="Manual",$M53=$A$15)),0,
         IF(OFFSET(CRONOPLE!$F$15,$M53-$A$15,BK$13)=0,10^12,OFFSET(CRONOPLE!$F$15,$M53-$A$15,BK$13)))</f>
        <v>9</v>
      </c>
      <c r="BL53" s="171">
        <f ca="1">IF(OR($D53&lt;&gt;"Serviço",AND(AUTOEVENTO="Manual",$M53=$A$15)),0,
         IF(OFFSET(CRONOPLE!$F$15,$M53-$A$15,BL$13)=0,10^12,OFFSET(CRONOPLE!$F$15,$M53-$A$15,BL$13)))</f>
        <v>10</v>
      </c>
      <c r="BM53" s="171">
        <f ca="1">IF(OR($D53&lt;&gt;"Serviço",AND(AUTOEVENTO="Manual",$M53=$A$15)),0,
         IF(OFFSET(CRONOPLE!$F$15,$M53-$A$15,BM$13)=0,10^12,OFFSET(CRONOPLE!$F$15,$M53-$A$15,BM$13)))</f>
        <v>1000000000000</v>
      </c>
      <c r="BN53" s="171">
        <f ca="1">IF(OR($D53&lt;&gt;"Serviço",AND(AUTOEVENTO="Manual",$M53=$A$15)),0,
         IF(OFFSET(CRONOPLE!$F$15,$M53-$A$15,BN$13)=0,10^12,OFFSET(CRONOPLE!$F$15,$M53-$A$15,BN$13)))</f>
        <v>1000000000000</v>
      </c>
      <c r="BO53" s="171">
        <f ca="1">IF(OR($D53&lt;&gt;"Serviço",AND(AUTOEVENTO="Manual",$M53=$A$15)),0,
         IF(OFFSET(CRONOPLE!$F$15,$M53-$A$15,BO$13)=0,10^12,OFFSET(CRONOPLE!$F$15,$M53-$A$15,BO$13)))</f>
        <v>1000000000000</v>
      </c>
      <c r="BP53" s="171">
        <f ca="1">IF(OR($D53&lt;&gt;"Serviço",AND(AUTOEVENTO="Manual",$M53=$A$15)),0,
         IF(OFFSET(CRONOPLE!$F$15,$M53-$A$15,BP$13)=0,10^12,OFFSET(CRONOPLE!$F$15,$M53-$A$15,BP$13)))</f>
        <v>1000000000000</v>
      </c>
      <c r="BQ53" s="171">
        <f ca="1">IF(OR($D53&lt;&gt;"Serviço",AND(AUTOEVENTO="Manual",$M53=$A$15)),0,
         IF(OFFSET(CRONOPLE!$F$15,$M53-$A$15,BQ$13)=0,10^12,OFFSET(CRONOPLE!$F$15,$M53-$A$15,BQ$13)))</f>
        <v>1000000000000</v>
      </c>
      <c r="BR53" s="171">
        <f ca="1">IF(OR($D53&lt;&gt;"Serviço",AND(AUTOEVENTO="Manual",$M53=$A$15)),0,
         IF(OFFSET(CRONOPLE!$F$15,$M53-$A$15,BR$13)=0,10^12,OFFSET(CRONOPLE!$F$15,$M53-$A$15,BR$13)))</f>
        <v>1000000000000</v>
      </c>
      <c r="BS53" s="171">
        <f ca="1">IF(OR($D53&lt;&gt;"Serviço",AND(AUTOEVENTO="Manual",$M53=$A$15)),0,
         IF(OFFSET(CRONOPLE!$F$15,$M53-$A$15,BS$13)=0,10^12,OFFSET(CRONOPLE!$F$15,$M53-$A$15,BS$13)))</f>
        <v>1000000000000</v>
      </c>
      <c r="BT53" s="171">
        <f ca="1">IF(OR($D53&lt;&gt;"Serviço",AND(AUTOEVENTO="Manual",$M53=$A$15)),0,
         IF(OFFSET(CRONOPLE!$F$15,$M53-$A$15,BT$13)=0,10^12,OFFSET(CRONOPLE!$F$15,$M53-$A$15,BT$13)))</f>
        <v>1000000000000</v>
      </c>
      <c r="BV53" s="172">
        <f ca="1">IF(OR($D53&lt;&gt;"Serviço",AND(AUTOEVENTO="Manual",$M53=$A$15),$M53&gt;(ROW(PLE.lastrow)-ROW(PLE.firstrow))),0,
           IF(OFFSET(PLE!$G$15,$M53-$A$15,BV$13)="",10^12,OFFSET(PLE!$G$15,$M53-$A$15,BV$13)))</f>
        <v>1000000000000</v>
      </c>
      <c r="BW53" s="172">
        <f ca="1">IF(OR($D53&lt;&gt;"Serviço",AND(AUTOEVENTO="Manual",$M53=$A$15),$M53&gt;(ROW(PLE.lastrow)-ROW(PLE.firstrow))),0,
           IF(OFFSET(PLE!$G$15,$M53-$A$15,BW$13)="",10^12,OFFSET(PLE!$G$15,$M53-$A$15,BW$13)))</f>
        <v>1000000000000</v>
      </c>
      <c r="BX53" s="172">
        <f ca="1">IF(OR($D53&lt;&gt;"Serviço",AND(AUTOEVENTO="Manual",$M53=$A$15),$M53&gt;(ROW(PLE.lastrow)-ROW(PLE.firstrow))),0,
           IF(OFFSET(PLE!$G$15,$M53-$A$15,BX$13)="",10^12,OFFSET(PLE!$G$15,$M53-$A$15,BX$13)))</f>
        <v>1000000000000</v>
      </c>
      <c r="BY53" s="172">
        <f ca="1">IF(OR($D53&lt;&gt;"Serviço",AND(AUTOEVENTO="Manual",$M53=$A$15),$M53&gt;(ROW(PLE.lastrow)-ROW(PLE.firstrow))),0,
           IF(OFFSET(PLE!$G$15,$M53-$A$15,BY$13)="",10^12,OFFSET(PLE!$G$15,$M53-$A$15,BY$13)))</f>
        <v>1000000000000</v>
      </c>
      <c r="BZ53" s="172">
        <f ca="1">IF(OR($D53&lt;&gt;"Serviço",AND(AUTOEVENTO="Manual",$M53=$A$15),$M53&gt;(ROW(PLE.lastrow)-ROW(PLE.firstrow))),0,
           IF(OFFSET(PLE!$G$15,$M53-$A$15,BZ$13)="",10^12,OFFSET(PLE!$G$15,$M53-$A$15,BZ$13)))</f>
        <v>1000000000000</v>
      </c>
      <c r="CA53" s="172">
        <f ca="1">IF(OR($D53&lt;&gt;"Serviço",AND(AUTOEVENTO="Manual",$M53=$A$15),$M53&gt;(ROW(PLE.lastrow)-ROW(PLE.firstrow))),0,
           IF(OFFSET(PLE!$G$15,$M53-$A$15,CA$13)="",10^12,OFFSET(PLE!$G$15,$M53-$A$15,CA$13)))</f>
        <v>1000000000000</v>
      </c>
      <c r="CB53" s="172">
        <f ca="1">IF(OR($D53&lt;&gt;"Serviço",AND(AUTOEVENTO="Manual",$M53=$A$15),$M53&gt;(ROW(PLE.lastrow)-ROW(PLE.firstrow))),0,
           IF(OFFSET(PLE!$G$15,$M53-$A$15,CB$13)="",10^12,OFFSET(PLE!$G$15,$M53-$A$15,CB$13)))</f>
        <v>1000000000000</v>
      </c>
      <c r="CC53" s="172">
        <f ca="1">IF(OR($D53&lt;&gt;"Serviço",AND(AUTOEVENTO="Manual",$M53=$A$15),$M53&gt;(ROW(PLE.lastrow)-ROW(PLE.firstrow))),0,
           IF(OFFSET(PLE!$G$15,$M53-$A$15,CC$13)="",10^12,OFFSET(PLE!$G$15,$M53-$A$15,CC$13)))</f>
        <v>1000000000000</v>
      </c>
      <c r="CD53" s="172">
        <f ca="1">IF(OR($D53&lt;&gt;"Serviço",AND(AUTOEVENTO="Manual",$M53=$A$15),$M53&gt;(ROW(PLE.lastrow)-ROW(PLE.firstrow))),0,
           IF(OFFSET(PLE!$G$15,$M53-$A$15,CD$13)="",10^12,OFFSET(PLE!$G$15,$M53-$A$15,CD$13)))</f>
        <v>1000000000000</v>
      </c>
      <c r="CE53" s="172">
        <f ca="1">IF(OR($D53&lt;&gt;"Serviço",AND(AUTOEVENTO="Manual",$M53=$A$15),$M53&gt;(ROW(PLE.lastrow)-ROW(PLE.firstrow))),0,
           IF(OFFSET(PLE!$G$15,$M53-$A$15,CE$13)="",10^12,OFFSET(PLE!$G$15,$M53-$A$15,CE$13)))</f>
        <v>1000000000000</v>
      </c>
      <c r="CF53" s="172">
        <f ca="1">IF(OR($D53&lt;&gt;"Serviço",AND(AUTOEVENTO="Manual",$M53=$A$15),$M53&gt;(ROW(PLE.lastrow)-ROW(PLE.firstrow))),0,
           IF(OFFSET(PLE!$G$15,$M53-$A$15,CF$13)="",10^12,OFFSET(PLE!$G$15,$M53-$A$15,CF$13)))</f>
        <v>1000000000000</v>
      </c>
      <c r="CG53" s="172">
        <f ca="1">IF(OR($D53&lt;&gt;"Serviço",AND(AUTOEVENTO="Manual",$M53=$A$15),$M53&gt;(ROW(PLE.lastrow)-ROW(PLE.firstrow))),0,
           IF(OFFSET(PLE!$G$15,$M53-$A$15,CG$13)="",10^12,OFFSET(PLE!$G$15,$M53-$A$15,CG$13)))</f>
        <v>1000000000000</v>
      </c>
      <c r="CH53" s="172">
        <f ca="1">IF(OR($D53&lt;&gt;"Serviço",AND(AUTOEVENTO="Manual",$M53=$A$15),$M53&gt;(ROW(PLE.lastrow)-ROW(PLE.firstrow))),0,
           IF(OFFSET(PLE!$G$15,$M53-$A$15,CH$13)="",10^12,OFFSET(PLE!$G$15,$M53-$A$15,CH$13)))</f>
        <v>1000000000000</v>
      </c>
      <c r="CI53" s="172">
        <f ca="1">IF(OR($D53&lt;&gt;"Serviço",AND(AUTOEVENTO="Manual",$M53=$A$15),$M53&gt;(ROW(PLE.lastrow)-ROW(PLE.firstrow))),0,
           IF(OFFSET(PLE!$G$15,$M53-$A$15,CI$13)="",10^12,OFFSET(PLE!$G$15,$M53-$A$15,CI$13)))</f>
        <v>1000000000000</v>
      </c>
      <c r="CJ53" s="172">
        <f ca="1">IF(OR($D53&lt;&gt;"Serviço",AND(AUTOEVENTO="Manual",$M53=$A$15),$M53&gt;(ROW(PLE.lastrow)-ROW(PLE.firstrow))),0,
           IF(OFFSET(PLE!$G$15,$M53-$A$15,CJ$13)="",10^12,OFFSET(PLE!$G$15,$M53-$A$15,CJ$13)))</f>
        <v>1000000000000</v>
      </c>
      <c r="CK53" s="172">
        <f ca="1">IF(OR($D53&lt;&gt;"Serviço",AND(AUTOEVENTO="Manual",$M53=$A$15),$M53&gt;(ROW(PLE.lastrow)-ROW(PLE.firstrow))),0,
           IF(OFFSET(PLE!$G$15,$M53-$A$15,CK$13)="",10^12,OFFSET(PLE!$G$15,$M53-$A$15,CK$13)))</f>
        <v>1000000000000</v>
      </c>
      <c r="CL53" s="172">
        <f ca="1">IF(OR($D53&lt;&gt;"Serviço",AND(AUTOEVENTO="Manual",$M53=$A$15),$M53&gt;(ROW(PLE.lastrow)-ROW(PLE.firstrow))),0,
           IF(OFFSET(PLE!$G$15,$M53-$A$15,CL$13)="",10^12,OFFSET(PLE!$G$15,$M53-$A$15,CL$13)))</f>
        <v>1000000000000</v>
      </c>
      <c r="CM53" s="172">
        <f ca="1">IF(OR($D53&lt;&gt;"Serviço",AND(AUTOEVENTO="Manual",$M53=$A$15),$M53&gt;(ROW(PLE.lastrow)-ROW(PLE.firstrow))),0,
           IF(OFFSET(PLE!$G$15,$M53-$A$15,CM$13)="",10^12,OFFSET(PLE!$G$15,$M53-$A$15,CM$13)))</f>
        <v>1000000000000</v>
      </c>
    </row>
    <row r="54" spans="1:91" ht="63.75" x14ac:dyDescent="0.2">
      <c r="A54" s="7">
        <f t="shared" ca="1" si="10"/>
        <v>3</v>
      </c>
      <c r="B54" s="7" t="str">
        <f ca="1">OFFSET(ORÇAMENTO!C$15,ROW(B54)-ROW(B$15),0)</f>
        <v>S</v>
      </c>
      <c r="C54" s="7" t="str">
        <f ca="1">OFFSET(ORÇAMENTO!L$15,ROW(C54)-ROW(C$15),0)</f>
        <v>F</v>
      </c>
      <c r="D54" s="116" t="str">
        <f ca="1">OFFSET(ORÇAMENTO!N$15,ROW(D54)-ROW(D$15),0)</f>
        <v>Serviço</v>
      </c>
      <c r="E54" s="117" t="str">
        <f ca="1">OFFSET(ORÇAMENTO!O$15,ROW(E54)-ROW(E$15),0)</f>
        <v>1.4.2.0.2.</v>
      </c>
      <c r="F54" s="163" t="str">
        <f ca="1">OFFSET(ORÇAMENTO!R$15,ROW(F54)-ROW(F$15),0)</f>
        <v>TRANSPORTE COM CAMINHÃO BASCULANTE DE 18 M³, EM VIA URBANA PAVIMENTADA, DMT ATÉ 30 KM (UNIDADE: M3XKM). AF_07/2020</v>
      </c>
      <c r="G54" s="164" t="str">
        <f ca="1">IF($D54&lt;&gt;"Serviço","",OFFSET(ORÇAMENTO!S$15,ROW(G54)-ROW(G$15),0))</f>
        <v>M3XKM</v>
      </c>
      <c r="H54" s="122" cm="1">
        <f t="array" aca="1" ref="H54" ca="1">IF($D54&lt;&gt;"Serviço",0,IF(ACOMPANHAMENTO="BM",ROUND(OFFSET(ORÇAMENTO!AJ$15,ROW(H54)-ROW(H$15),0),15-13*ORÇAMENTO!$AF$7),SUMPRODUCT(($Q$1:$AI$1=1)*ROUND($Q54:$AI54,15-13*ORÇAMENTO!$AF$7))))</f>
        <v>23764.28</v>
      </c>
      <c r="I54" s="468" t="s">
        <v>1300</v>
      </c>
      <c r="J54" s="640" t="str" cm="1">
        <f t="array" aca="1" ref="J54" ca="1">IF(OR(B54&lt;&gt;"S",CÁLCULO.FrentesPreenchidas=0),"",IF(AND(ACOMPANHAMENTO="PLE",AUTOEVENTO="Manual",OR(H54&gt;0,ORÇAMENTO!AC54="QUANT."),OR(K54="",M54=0,N54="")),"►E",IF(AND(ACOMPANHAMENTO="PLE",ORÇAMENTO!AC54="QUANT."),"►Q",IF(AND(ACOMPANHAMENTO="PLE",H54&lt;&gt;SUMPRODUCT(($Q$1:$AI$1=1)*ROUND(Q54:AI54,15))),"►S",IF(AND(COUNTIF($P$11:$AI$11,"▼")=0,H54&gt;0,I54=""),"◄M","")))))</f>
        <v/>
      </c>
      <c r="K54" s="641" t="s">
        <v>1388</v>
      </c>
      <c r="L54" s="165" t="s">
        <v>764</v>
      </c>
      <c r="M54" s="166">
        <f ca="1">IF($D54&lt;&gt;"Serviço","",
          IF(AUTOEVENTO="manual",$A54,
                IF(ISERROR(MATCH($A54,$A$15:OFFSET($A54,-1,0),0)),MAX($M$15:OFFSET(M54,-1,0))+1,
                      INDEX($M$15:OFFSET(M54,-1,0),MATCH($A54,$A$15:OFFSET($A54,-1,0),0)))))</f>
        <v>3</v>
      </c>
      <c r="N54" s="167" t="str">
        <f ca="1">IF($D54&lt;&gt;"Serviço","",
         IF(AUTOEVENTO="Manual",
                IF($A54=0,"&lt;-- defina o número do agrupador",
                       OFFSET(EVENTOS!$D$15,$A54-$A$15,0)),
                OFFSET($F$15,$A54,0)))</f>
        <v>Terraplenagem</v>
      </c>
      <c r="O54" s="168"/>
      <c r="Q54" s="168">
        <f>ROUND(Q53*7.7,2)</f>
        <v>23764.28</v>
      </c>
      <c r="R54" s="169"/>
      <c r="S54" s="169"/>
      <c r="T54" s="169"/>
      <c r="U54" s="169"/>
      <c r="V54" s="169"/>
      <c r="W54" s="169"/>
      <c r="X54" s="169"/>
      <c r="Y54" s="169"/>
      <c r="Z54" s="170"/>
      <c r="AA54" s="169"/>
      <c r="AB54" s="169"/>
      <c r="AC54" s="169"/>
      <c r="AD54" s="169"/>
      <c r="AE54" s="169"/>
      <c r="AF54" s="169"/>
      <c r="AG54" s="169"/>
      <c r="AH54" s="170"/>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L54" s="453">
        <f ca="1">IF(AND($D54="Serviço",AL$12&lt;&gt;0,$H54&gt;0,OR(AUTOEVENTO&lt;&gt;"manual",$M54&lt;&gt;$A$15)),
        IF(Import.TipoArredondamento&lt;&gt;"TransfereGOV",
              ROUND(OFFSET($P54,0,AL$13),15-13*ORÇAMENTO!$AF$7)/$H54*OFFSET(ORÇAMENTO!$X$15,ROW(AL54)-ROW(AL$15),0),
              ROUND(ROUND(OFFSET($P54,0,AL$13),15-13*ORÇAMENTO!$AF$7)*OFFSET(ORÇAMENTO!$W$15,ROW(AL54)-ROW(AL$15),0),15-13*ORÇAMENTO!$AF$11)),
         0)</f>
        <v>0</v>
      </c>
      <c r="AM54" s="453">
        <f ca="1">IF(AND($D54="Serviço",AM$12&lt;&gt;0,$H54&gt;0,OR(AUTOEVENTO&lt;&gt;"manual",$M54&lt;&gt;$A$15)),
        IF(Import.TipoArredondamento&lt;&gt;"TransfereGOV",
              ROUND(OFFSET($P54,0,AM$13),15-13*ORÇAMENTO!$AF$7)/$H54*OFFSET(ORÇAMENTO!$X$15,ROW(AM54)-ROW(AM$15),0),
              ROUND(ROUND(OFFSET($P54,0,AM$13),15-13*ORÇAMENTO!$AF$7)*OFFSET(ORÇAMENTO!$W$15,ROW(AM54)-ROW(AM$15),0),15-13*ORÇAMENTO!$AF$11)),
         0)</f>
        <v>0</v>
      </c>
      <c r="AN54" s="453">
        <f ca="1">IF(AND($D54="Serviço",AN$12&lt;&gt;0,$H54&gt;0,OR(AUTOEVENTO&lt;&gt;"manual",$M54&lt;&gt;$A$15)),
        IF(Import.TipoArredondamento&lt;&gt;"TransfereGOV",
              ROUND(OFFSET($P54,0,AN$13),15-13*ORÇAMENTO!$AF$7)/$H54*OFFSET(ORÇAMENTO!$X$15,ROW(AN54)-ROW(AN$15),0),
              ROUND(ROUND(OFFSET($P54,0,AN$13),15-13*ORÇAMENTO!$AF$7)*OFFSET(ORÇAMENTO!$W$15,ROW(AN54)-ROW(AN$15),0),15-13*ORÇAMENTO!$AF$11)),
         0)</f>
        <v>0</v>
      </c>
      <c r="AO54" s="453">
        <f ca="1">IF(AND($D54="Serviço",AO$12&lt;&gt;0,$H54&gt;0,OR(AUTOEVENTO&lt;&gt;"manual",$M54&lt;&gt;$A$15)),
        IF(Import.TipoArredondamento&lt;&gt;"TransfereGOV",
              ROUND(OFFSET($P54,0,AO$13),15-13*ORÇAMENTO!$AF$7)/$H54*OFFSET(ORÇAMENTO!$X$15,ROW(AO54)-ROW(AO$15),0),
              ROUND(ROUND(OFFSET($P54,0,AO$13),15-13*ORÇAMENTO!$AF$7)*OFFSET(ORÇAMENTO!$W$15,ROW(AO54)-ROW(AO$15),0),15-13*ORÇAMENTO!$AF$11)),
         0)</f>
        <v>0</v>
      </c>
      <c r="AP54" s="453">
        <f ca="1">IF(AND($D54="Serviço",AP$12&lt;&gt;0,$H54&gt;0,OR(AUTOEVENTO&lt;&gt;"manual",$M54&lt;&gt;$A$15)),
        IF(Import.TipoArredondamento&lt;&gt;"TransfereGOV",
              ROUND(OFFSET($P54,0,AP$13),15-13*ORÇAMENTO!$AF$7)/$H54*OFFSET(ORÇAMENTO!$X$15,ROW(AP54)-ROW(AP$15),0),
              ROUND(ROUND(OFFSET($P54,0,AP$13),15-13*ORÇAMENTO!$AF$7)*OFFSET(ORÇAMENTO!$W$15,ROW(AP54)-ROW(AP$15),0),15-13*ORÇAMENTO!$AF$11)),
         0)</f>
        <v>0</v>
      </c>
      <c r="AQ54" s="453">
        <f ca="1">IF(AND($D54="Serviço",AQ$12&lt;&gt;0,$H54&gt;0,OR(AUTOEVENTO&lt;&gt;"manual",$M54&lt;&gt;$A$15)),
        IF(Import.TipoArredondamento&lt;&gt;"TransfereGOV",
              ROUND(OFFSET($P54,0,AQ$13),15-13*ORÇAMENTO!$AF$7)/$H54*OFFSET(ORÇAMENTO!$X$15,ROW(AQ54)-ROW(AQ$15),0),
              ROUND(ROUND(OFFSET($P54,0,AQ$13),15-13*ORÇAMENTO!$AF$7)*OFFSET(ORÇAMENTO!$W$15,ROW(AQ54)-ROW(AQ$15),0),15-13*ORÇAMENTO!$AF$11)),
         0)</f>
        <v>0</v>
      </c>
      <c r="AR54" s="453">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3">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3">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3">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3">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3">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3">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3">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3">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3">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C54" s="171">
        <f ca="1">IF(OR($D54&lt;&gt;"Serviço",AND(AUTOEVENTO="Manual",$M54=$A$15)),0,
         IF(OFFSET(CRONOPLE!$F$15,$M54-$A$15,BC$13)=0,10^12,OFFSET(CRONOPLE!$F$15,$M54-$A$15,BC$13)))</f>
        <v>1</v>
      </c>
      <c r="BD54" s="171">
        <f ca="1">IF(OR($D54&lt;&gt;"Serviço",AND(AUTOEVENTO="Manual",$M54=$A$15)),0,
         IF(OFFSET(CRONOPLE!$F$15,$M54-$A$15,BD$13)=0,10^12,OFFSET(CRONOPLE!$F$15,$M54-$A$15,BD$13)))</f>
        <v>2</v>
      </c>
      <c r="BE54" s="171">
        <f ca="1">IF(OR($D54&lt;&gt;"Serviço",AND(AUTOEVENTO="Manual",$M54=$A$15)),0,
         IF(OFFSET(CRONOPLE!$F$15,$M54-$A$15,BE$13)=0,10^12,OFFSET(CRONOPLE!$F$15,$M54-$A$15,BE$13)))</f>
        <v>3</v>
      </c>
      <c r="BF54" s="171">
        <f ca="1">IF(OR($D54&lt;&gt;"Serviço",AND(AUTOEVENTO="Manual",$M54=$A$15)),0,
         IF(OFFSET(CRONOPLE!$F$15,$M54-$A$15,BF$13)=0,10^12,OFFSET(CRONOPLE!$F$15,$M54-$A$15,BF$13)))</f>
        <v>4</v>
      </c>
      <c r="BG54" s="171">
        <f ca="1">IF(OR($D54&lt;&gt;"Serviço",AND(AUTOEVENTO="Manual",$M54=$A$15)),0,
         IF(OFFSET(CRONOPLE!$F$15,$M54-$A$15,BG$13)=0,10^12,OFFSET(CRONOPLE!$F$15,$M54-$A$15,BG$13)))</f>
        <v>5</v>
      </c>
      <c r="BH54" s="171">
        <f ca="1">IF(OR($D54&lt;&gt;"Serviço",AND(AUTOEVENTO="Manual",$M54=$A$15)),0,
         IF(OFFSET(CRONOPLE!$F$15,$M54-$A$15,BH$13)=0,10^12,OFFSET(CRONOPLE!$F$15,$M54-$A$15,BH$13)))</f>
        <v>6</v>
      </c>
      <c r="BI54" s="171">
        <f ca="1">IF(OR($D54&lt;&gt;"Serviço",AND(AUTOEVENTO="Manual",$M54=$A$15)),0,
         IF(OFFSET(CRONOPLE!$F$15,$M54-$A$15,BI$13)=0,10^12,OFFSET(CRONOPLE!$F$15,$M54-$A$15,BI$13)))</f>
        <v>7</v>
      </c>
      <c r="BJ54" s="171">
        <f ca="1">IF(OR($D54&lt;&gt;"Serviço",AND(AUTOEVENTO="Manual",$M54=$A$15)),0,
         IF(OFFSET(CRONOPLE!$F$15,$M54-$A$15,BJ$13)=0,10^12,OFFSET(CRONOPLE!$F$15,$M54-$A$15,BJ$13)))</f>
        <v>8</v>
      </c>
      <c r="BK54" s="171">
        <f ca="1">IF(OR($D54&lt;&gt;"Serviço",AND(AUTOEVENTO="Manual",$M54=$A$15)),0,
         IF(OFFSET(CRONOPLE!$F$15,$M54-$A$15,BK$13)=0,10^12,OFFSET(CRONOPLE!$F$15,$M54-$A$15,BK$13)))</f>
        <v>9</v>
      </c>
      <c r="BL54" s="171">
        <f ca="1">IF(OR($D54&lt;&gt;"Serviço",AND(AUTOEVENTO="Manual",$M54=$A$15)),0,
         IF(OFFSET(CRONOPLE!$F$15,$M54-$A$15,BL$13)=0,10^12,OFFSET(CRONOPLE!$F$15,$M54-$A$15,BL$13)))</f>
        <v>10</v>
      </c>
      <c r="BM54" s="171">
        <f ca="1">IF(OR($D54&lt;&gt;"Serviço",AND(AUTOEVENTO="Manual",$M54=$A$15)),0,
         IF(OFFSET(CRONOPLE!$F$15,$M54-$A$15,BM$13)=0,10^12,OFFSET(CRONOPLE!$F$15,$M54-$A$15,BM$13)))</f>
        <v>1000000000000</v>
      </c>
      <c r="BN54" s="171">
        <f ca="1">IF(OR($D54&lt;&gt;"Serviço",AND(AUTOEVENTO="Manual",$M54=$A$15)),0,
         IF(OFFSET(CRONOPLE!$F$15,$M54-$A$15,BN$13)=0,10^12,OFFSET(CRONOPLE!$F$15,$M54-$A$15,BN$13)))</f>
        <v>1000000000000</v>
      </c>
      <c r="BO54" s="171">
        <f ca="1">IF(OR($D54&lt;&gt;"Serviço",AND(AUTOEVENTO="Manual",$M54=$A$15)),0,
         IF(OFFSET(CRONOPLE!$F$15,$M54-$A$15,BO$13)=0,10^12,OFFSET(CRONOPLE!$F$15,$M54-$A$15,BO$13)))</f>
        <v>1000000000000</v>
      </c>
      <c r="BP54" s="171">
        <f ca="1">IF(OR($D54&lt;&gt;"Serviço",AND(AUTOEVENTO="Manual",$M54=$A$15)),0,
         IF(OFFSET(CRONOPLE!$F$15,$M54-$A$15,BP$13)=0,10^12,OFFSET(CRONOPLE!$F$15,$M54-$A$15,BP$13)))</f>
        <v>1000000000000</v>
      </c>
      <c r="BQ54" s="171">
        <f ca="1">IF(OR($D54&lt;&gt;"Serviço",AND(AUTOEVENTO="Manual",$M54=$A$15)),0,
         IF(OFFSET(CRONOPLE!$F$15,$M54-$A$15,BQ$13)=0,10^12,OFFSET(CRONOPLE!$F$15,$M54-$A$15,BQ$13)))</f>
        <v>1000000000000</v>
      </c>
      <c r="BR54" s="171">
        <f ca="1">IF(OR($D54&lt;&gt;"Serviço",AND(AUTOEVENTO="Manual",$M54=$A$15)),0,
         IF(OFFSET(CRONOPLE!$F$15,$M54-$A$15,BR$13)=0,10^12,OFFSET(CRONOPLE!$F$15,$M54-$A$15,BR$13)))</f>
        <v>1000000000000</v>
      </c>
      <c r="BS54" s="171">
        <f ca="1">IF(OR($D54&lt;&gt;"Serviço",AND(AUTOEVENTO="Manual",$M54=$A$15)),0,
         IF(OFFSET(CRONOPLE!$F$15,$M54-$A$15,BS$13)=0,10^12,OFFSET(CRONOPLE!$F$15,$M54-$A$15,BS$13)))</f>
        <v>1000000000000</v>
      </c>
      <c r="BT54" s="171">
        <f ca="1">IF(OR($D54&lt;&gt;"Serviço",AND(AUTOEVENTO="Manual",$M54=$A$15)),0,
         IF(OFFSET(CRONOPLE!$F$15,$M54-$A$15,BT$13)=0,10^12,OFFSET(CRONOPLE!$F$15,$M54-$A$15,BT$13)))</f>
        <v>1000000000000</v>
      </c>
      <c r="BV54" s="172">
        <f ca="1">IF(OR($D54&lt;&gt;"Serviço",AND(AUTOEVENTO="Manual",$M54=$A$15),$M54&gt;(ROW(PLE.lastrow)-ROW(PLE.firstrow))),0,
           IF(OFFSET(PLE!$G$15,$M54-$A$15,BV$13)="",10^12,OFFSET(PLE!$G$15,$M54-$A$15,BV$13)))</f>
        <v>1000000000000</v>
      </c>
      <c r="BW54" s="172">
        <f ca="1">IF(OR($D54&lt;&gt;"Serviço",AND(AUTOEVENTO="Manual",$M54=$A$15),$M54&gt;(ROW(PLE.lastrow)-ROW(PLE.firstrow))),0,
           IF(OFFSET(PLE!$G$15,$M54-$A$15,BW$13)="",10^12,OFFSET(PLE!$G$15,$M54-$A$15,BW$13)))</f>
        <v>1000000000000</v>
      </c>
      <c r="BX54" s="172">
        <f ca="1">IF(OR($D54&lt;&gt;"Serviço",AND(AUTOEVENTO="Manual",$M54=$A$15),$M54&gt;(ROW(PLE.lastrow)-ROW(PLE.firstrow))),0,
           IF(OFFSET(PLE!$G$15,$M54-$A$15,BX$13)="",10^12,OFFSET(PLE!$G$15,$M54-$A$15,BX$13)))</f>
        <v>1000000000000</v>
      </c>
      <c r="BY54" s="172">
        <f ca="1">IF(OR($D54&lt;&gt;"Serviço",AND(AUTOEVENTO="Manual",$M54=$A$15),$M54&gt;(ROW(PLE.lastrow)-ROW(PLE.firstrow))),0,
           IF(OFFSET(PLE!$G$15,$M54-$A$15,BY$13)="",10^12,OFFSET(PLE!$G$15,$M54-$A$15,BY$13)))</f>
        <v>1000000000000</v>
      </c>
      <c r="BZ54" s="172">
        <f ca="1">IF(OR($D54&lt;&gt;"Serviço",AND(AUTOEVENTO="Manual",$M54=$A$15),$M54&gt;(ROW(PLE.lastrow)-ROW(PLE.firstrow))),0,
           IF(OFFSET(PLE!$G$15,$M54-$A$15,BZ$13)="",10^12,OFFSET(PLE!$G$15,$M54-$A$15,BZ$13)))</f>
        <v>1000000000000</v>
      </c>
      <c r="CA54" s="172">
        <f ca="1">IF(OR($D54&lt;&gt;"Serviço",AND(AUTOEVENTO="Manual",$M54=$A$15),$M54&gt;(ROW(PLE.lastrow)-ROW(PLE.firstrow))),0,
           IF(OFFSET(PLE!$G$15,$M54-$A$15,CA$13)="",10^12,OFFSET(PLE!$G$15,$M54-$A$15,CA$13)))</f>
        <v>1000000000000</v>
      </c>
      <c r="CB54" s="172">
        <f ca="1">IF(OR($D54&lt;&gt;"Serviço",AND(AUTOEVENTO="Manual",$M54=$A$15),$M54&gt;(ROW(PLE.lastrow)-ROW(PLE.firstrow))),0,
           IF(OFFSET(PLE!$G$15,$M54-$A$15,CB$13)="",10^12,OFFSET(PLE!$G$15,$M54-$A$15,CB$13)))</f>
        <v>1000000000000</v>
      </c>
      <c r="CC54" s="172">
        <f ca="1">IF(OR($D54&lt;&gt;"Serviço",AND(AUTOEVENTO="Manual",$M54=$A$15),$M54&gt;(ROW(PLE.lastrow)-ROW(PLE.firstrow))),0,
           IF(OFFSET(PLE!$G$15,$M54-$A$15,CC$13)="",10^12,OFFSET(PLE!$G$15,$M54-$A$15,CC$13)))</f>
        <v>1000000000000</v>
      </c>
      <c r="CD54" s="172">
        <f ca="1">IF(OR($D54&lt;&gt;"Serviço",AND(AUTOEVENTO="Manual",$M54=$A$15),$M54&gt;(ROW(PLE.lastrow)-ROW(PLE.firstrow))),0,
           IF(OFFSET(PLE!$G$15,$M54-$A$15,CD$13)="",10^12,OFFSET(PLE!$G$15,$M54-$A$15,CD$13)))</f>
        <v>1000000000000</v>
      </c>
      <c r="CE54" s="172">
        <f ca="1">IF(OR($D54&lt;&gt;"Serviço",AND(AUTOEVENTO="Manual",$M54=$A$15),$M54&gt;(ROW(PLE.lastrow)-ROW(PLE.firstrow))),0,
           IF(OFFSET(PLE!$G$15,$M54-$A$15,CE$13)="",10^12,OFFSET(PLE!$G$15,$M54-$A$15,CE$13)))</f>
        <v>1000000000000</v>
      </c>
      <c r="CF54" s="172">
        <f ca="1">IF(OR($D54&lt;&gt;"Serviço",AND(AUTOEVENTO="Manual",$M54=$A$15),$M54&gt;(ROW(PLE.lastrow)-ROW(PLE.firstrow))),0,
           IF(OFFSET(PLE!$G$15,$M54-$A$15,CF$13)="",10^12,OFFSET(PLE!$G$15,$M54-$A$15,CF$13)))</f>
        <v>1000000000000</v>
      </c>
      <c r="CG54" s="172">
        <f ca="1">IF(OR($D54&lt;&gt;"Serviço",AND(AUTOEVENTO="Manual",$M54=$A$15),$M54&gt;(ROW(PLE.lastrow)-ROW(PLE.firstrow))),0,
           IF(OFFSET(PLE!$G$15,$M54-$A$15,CG$13)="",10^12,OFFSET(PLE!$G$15,$M54-$A$15,CG$13)))</f>
        <v>1000000000000</v>
      </c>
      <c r="CH54" s="172">
        <f ca="1">IF(OR($D54&lt;&gt;"Serviço",AND(AUTOEVENTO="Manual",$M54=$A$15),$M54&gt;(ROW(PLE.lastrow)-ROW(PLE.firstrow))),0,
           IF(OFFSET(PLE!$G$15,$M54-$A$15,CH$13)="",10^12,OFFSET(PLE!$G$15,$M54-$A$15,CH$13)))</f>
        <v>1000000000000</v>
      </c>
      <c r="CI54" s="172">
        <f ca="1">IF(OR($D54&lt;&gt;"Serviço",AND(AUTOEVENTO="Manual",$M54=$A$15),$M54&gt;(ROW(PLE.lastrow)-ROW(PLE.firstrow))),0,
           IF(OFFSET(PLE!$G$15,$M54-$A$15,CI$13)="",10^12,OFFSET(PLE!$G$15,$M54-$A$15,CI$13)))</f>
        <v>1000000000000</v>
      </c>
      <c r="CJ54" s="172">
        <f ca="1">IF(OR($D54&lt;&gt;"Serviço",AND(AUTOEVENTO="Manual",$M54=$A$15),$M54&gt;(ROW(PLE.lastrow)-ROW(PLE.firstrow))),0,
           IF(OFFSET(PLE!$G$15,$M54-$A$15,CJ$13)="",10^12,OFFSET(PLE!$G$15,$M54-$A$15,CJ$13)))</f>
        <v>1000000000000</v>
      </c>
      <c r="CK54" s="172">
        <f ca="1">IF(OR($D54&lt;&gt;"Serviço",AND(AUTOEVENTO="Manual",$M54=$A$15),$M54&gt;(ROW(PLE.lastrow)-ROW(PLE.firstrow))),0,
           IF(OFFSET(PLE!$G$15,$M54-$A$15,CK$13)="",10^12,OFFSET(PLE!$G$15,$M54-$A$15,CK$13)))</f>
        <v>1000000000000</v>
      </c>
      <c r="CL54" s="172">
        <f ca="1">IF(OR($D54&lt;&gt;"Serviço",AND(AUTOEVENTO="Manual",$M54=$A$15),$M54&gt;(ROW(PLE.lastrow)-ROW(PLE.firstrow))),0,
           IF(OFFSET(PLE!$G$15,$M54-$A$15,CL$13)="",10^12,OFFSET(PLE!$G$15,$M54-$A$15,CL$13)))</f>
        <v>1000000000000</v>
      </c>
      <c r="CM54" s="172">
        <f ca="1">IF(OR($D54&lt;&gt;"Serviço",AND(AUTOEVENTO="Manual",$M54=$A$15),$M54&gt;(ROW(PLE.lastrow)-ROW(PLE.firstrow))),0,
           IF(OFFSET(PLE!$G$15,$M54-$A$15,CM$13)="",10^12,OFFSET(PLE!$G$15,$M54-$A$15,CM$13)))</f>
        <v>1000000000000</v>
      </c>
    </row>
    <row r="55" spans="1:91" ht="63.75" x14ac:dyDescent="0.2">
      <c r="A55" s="7">
        <f t="shared" ca="1" si="10"/>
        <v>3</v>
      </c>
      <c r="B55" s="7" t="str">
        <f ca="1">OFFSET(ORÇAMENTO!C$15,ROW(B55)-ROW(B$15),0)</f>
        <v>S</v>
      </c>
      <c r="C55" s="7" t="str">
        <f ca="1">OFFSET(ORÇAMENTO!L$15,ROW(C55)-ROW(C$15),0)</f>
        <v>F</v>
      </c>
      <c r="D55" s="116" t="str">
        <f ca="1">OFFSET(ORÇAMENTO!N$15,ROW(D55)-ROW(D$15),0)</f>
        <v>Serviço</v>
      </c>
      <c r="E55" s="117" t="str">
        <f ca="1">OFFSET(ORÇAMENTO!O$15,ROW(E55)-ROW(E$15),0)</f>
        <v>1.4.2.0.3.</v>
      </c>
      <c r="F55" s="163" t="str">
        <f ca="1">OFFSET(ORÇAMENTO!R$15,ROW(F55)-ROW(F$15),0)</f>
        <v>TAXA ATERRO SANITÁRIO</v>
      </c>
      <c r="G55" s="164" t="str">
        <f ca="1">IF($D55&lt;&gt;"Serviço","",OFFSET(ORÇAMENTO!S$15,ROW(G55)-ROW(G$15),0))</f>
        <v>T</v>
      </c>
      <c r="H55" s="122" cm="1">
        <f t="array" aca="1" ref="H55" ca="1">IF($D55&lt;&gt;"Serviço",0,IF(ACOMPANHAMENTO="BM",ROUND(OFFSET(ORÇAMENTO!AJ$15,ROW(H55)-ROW(H$15),0),15-13*ORÇAMENTO!$AF$7),SUMPRODUCT(($Q$1:$AI$1=1)*ROUND($Q55:$AI55,15-13*ORÇAMENTO!$AF$7))))</f>
        <v>4197.33</v>
      </c>
      <c r="I55" s="468" t="s">
        <v>1412</v>
      </c>
      <c r="J55" s="640" t="str" cm="1">
        <f t="array" aca="1" ref="J55" ca="1">IF(OR(B55&lt;&gt;"S",CÁLCULO.FrentesPreenchidas=0),"",IF(AND(ACOMPANHAMENTO="PLE",AUTOEVENTO="Manual",OR(H55&gt;0,ORÇAMENTO!AC55="QUANT."),OR(K55="",M55=0,N55="")),"►E",IF(AND(ACOMPANHAMENTO="PLE",ORÇAMENTO!AC55="QUANT."),"►Q",IF(AND(ACOMPANHAMENTO="PLE",H55&lt;&gt;SUMPRODUCT(($Q$1:$AI$1=1)*ROUND(Q55:AI55,15))),"►S",IF(AND(COUNTIF($P$11:$AI$11,"▼")=0,H55&gt;0,I55=""),"◄M","")))))</f>
        <v/>
      </c>
      <c r="K55" s="641" t="s">
        <v>1388</v>
      </c>
      <c r="L55" s="165" t="s">
        <v>764</v>
      </c>
      <c r="M55" s="166">
        <f ca="1">IF($D55&lt;&gt;"Serviço","",
          IF(AUTOEVENTO="manual",$A55,
                IF(ISERROR(MATCH($A55,$A$15:OFFSET($A55,-1,0),0)),MAX($M$15:OFFSET(M55,-1,0))+1,
                      INDEX($M$15:OFFSET(M55,-1,0),MATCH($A55,$A$15:OFFSET($A55,-1,0),0)))))</f>
        <v>3</v>
      </c>
      <c r="N55" s="167" t="str">
        <f ca="1">IF($D55&lt;&gt;"Serviço","",
         IF(AUTOEVENTO="Manual",
                IF($A55=0,"&lt;-- defina o número do agrupador",
                       OFFSET(EVENTOS!$D$15,$A55-$A$15,0)),
                OFFSET($F$15,$A55,0)))</f>
        <v>Terraplenagem</v>
      </c>
      <c r="O55" s="168"/>
      <c r="Q55" s="168">
        <f>ROUND(Q53*1.36,2)</f>
        <v>4197.33</v>
      </c>
      <c r="R55" s="169"/>
      <c r="S55" s="169"/>
      <c r="T55" s="169"/>
      <c r="U55" s="169"/>
      <c r="V55" s="169"/>
      <c r="W55" s="169"/>
      <c r="X55" s="169"/>
      <c r="Y55" s="169"/>
      <c r="Z55" s="170"/>
      <c r="AA55" s="169"/>
      <c r="AB55" s="169"/>
      <c r="AC55" s="169"/>
      <c r="AD55" s="169"/>
      <c r="AE55" s="169"/>
      <c r="AF55" s="169"/>
      <c r="AG55" s="169"/>
      <c r="AH55" s="170"/>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L55" s="453">
        <f ca="1">IF(AND($D55="Serviço",AL$12&lt;&gt;0,$H55&gt;0,OR(AUTOEVENTO&lt;&gt;"manual",$M55&lt;&gt;$A$15)),
        IF(Import.TipoArredondamento&lt;&gt;"TransfereGOV",
              ROUND(OFFSET($P55,0,AL$13),15-13*ORÇAMENTO!$AF$7)/$H55*OFFSET(ORÇAMENTO!$X$15,ROW(AL55)-ROW(AL$15),0),
              ROUND(ROUND(OFFSET($P55,0,AL$13),15-13*ORÇAMENTO!$AF$7)*OFFSET(ORÇAMENTO!$W$15,ROW(AL55)-ROW(AL$15),0),15-13*ORÇAMENTO!$AF$11)),
         0)</f>
        <v>0</v>
      </c>
      <c r="AM55" s="453">
        <f ca="1">IF(AND($D55="Serviço",AM$12&lt;&gt;0,$H55&gt;0,OR(AUTOEVENTO&lt;&gt;"manual",$M55&lt;&gt;$A$15)),
        IF(Import.TipoArredondamento&lt;&gt;"TransfereGOV",
              ROUND(OFFSET($P55,0,AM$13),15-13*ORÇAMENTO!$AF$7)/$H55*OFFSET(ORÇAMENTO!$X$15,ROW(AM55)-ROW(AM$15),0),
              ROUND(ROUND(OFFSET($P55,0,AM$13),15-13*ORÇAMENTO!$AF$7)*OFFSET(ORÇAMENTO!$W$15,ROW(AM55)-ROW(AM$15),0),15-13*ORÇAMENTO!$AF$11)),
         0)</f>
        <v>0</v>
      </c>
      <c r="AN55" s="453">
        <f ca="1">IF(AND($D55="Serviço",AN$12&lt;&gt;0,$H55&gt;0,OR(AUTOEVENTO&lt;&gt;"manual",$M55&lt;&gt;$A$15)),
        IF(Import.TipoArredondamento&lt;&gt;"TransfereGOV",
              ROUND(OFFSET($P55,0,AN$13),15-13*ORÇAMENTO!$AF$7)/$H55*OFFSET(ORÇAMENTO!$X$15,ROW(AN55)-ROW(AN$15),0),
              ROUND(ROUND(OFFSET($P55,0,AN$13),15-13*ORÇAMENTO!$AF$7)*OFFSET(ORÇAMENTO!$W$15,ROW(AN55)-ROW(AN$15),0),15-13*ORÇAMENTO!$AF$11)),
         0)</f>
        <v>0</v>
      </c>
      <c r="AO55" s="453">
        <f ca="1">IF(AND($D55="Serviço",AO$12&lt;&gt;0,$H55&gt;0,OR(AUTOEVENTO&lt;&gt;"manual",$M55&lt;&gt;$A$15)),
        IF(Import.TipoArredondamento&lt;&gt;"TransfereGOV",
              ROUND(OFFSET($P55,0,AO$13),15-13*ORÇAMENTO!$AF$7)/$H55*OFFSET(ORÇAMENTO!$X$15,ROW(AO55)-ROW(AO$15),0),
              ROUND(ROUND(OFFSET($P55,0,AO$13),15-13*ORÇAMENTO!$AF$7)*OFFSET(ORÇAMENTO!$W$15,ROW(AO55)-ROW(AO$15),0),15-13*ORÇAMENTO!$AF$11)),
         0)</f>
        <v>0</v>
      </c>
      <c r="AP55" s="453">
        <f ca="1">IF(AND($D55="Serviço",AP$12&lt;&gt;0,$H55&gt;0,OR(AUTOEVENTO&lt;&gt;"manual",$M55&lt;&gt;$A$15)),
        IF(Import.TipoArredondamento&lt;&gt;"TransfereGOV",
              ROUND(OFFSET($P55,0,AP$13),15-13*ORÇAMENTO!$AF$7)/$H55*OFFSET(ORÇAMENTO!$X$15,ROW(AP55)-ROW(AP$15),0),
              ROUND(ROUND(OFFSET($P55,0,AP$13),15-13*ORÇAMENTO!$AF$7)*OFFSET(ORÇAMENTO!$W$15,ROW(AP55)-ROW(AP$15),0),15-13*ORÇAMENTO!$AF$11)),
         0)</f>
        <v>0</v>
      </c>
      <c r="AQ55" s="453">
        <f ca="1">IF(AND($D55="Serviço",AQ$12&lt;&gt;0,$H55&gt;0,OR(AUTOEVENTO&lt;&gt;"manual",$M55&lt;&gt;$A$15)),
        IF(Import.TipoArredondamento&lt;&gt;"TransfereGOV",
              ROUND(OFFSET($P55,0,AQ$13),15-13*ORÇAMENTO!$AF$7)/$H55*OFFSET(ORÇAMENTO!$X$15,ROW(AQ55)-ROW(AQ$15),0),
              ROUND(ROUND(OFFSET($P55,0,AQ$13),15-13*ORÇAMENTO!$AF$7)*OFFSET(ORÇAMENTO!$W$15,ROW(AQ55)-ROW(AQ$15),0),15-13*ORÇAMENTO!$AF$11)),
         0)</f>
        <v>0</v>
      </c>
      <c r="AR55" s="453">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3">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3">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3">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3">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3">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3">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3">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3">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3">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C55" s="171">
        <f ca="1">IF(OR($D55&lt;&gt;"Serviço",AND(AUTOEVENTO="Manual",$M55=$A$15)),0,
         IF(OFFSET(CRONOPLE!$F$15,$M55-$A$15,BC$13)=0,10^12,OFFSET(CRONOPLE!$F$15,$M55-$A$15,BC$13)))</f>
        <v>1</v>
      </c>
      <c r="BD55" s="171">
        <f ca="1">IF(OR($D55&lt;&gt;"Serviço",AND(AUTOEVENTO="Manual",$M55=$A$15)),0,
         IF(OFFSET(CRONOPLE!$F$15,$M55-$A$15,BD$13)=0,10^12,OFFSET(CRONOPLE!$F$15,$M55-$A$15,BD$13)))</f>
        <v>2</v>
      </c>
      <c r="BE55" s="171">
        <f ca="1">IF(OR($D55&lt;&gt;"Serviço",AND(AUTOEVENTO="Manual",$M55=$A$15)),0,
         IF(OFFSET(CRONOPLE!$F$15,$M55-$A$15,BE$13)=0,10^12,OFFSET(CRONOPLE!$F$15,$M55-$A$15,BE$13)))</f>
        <v>3</v>
      </c>
      <c r="BF55" s="171">
        <f ca="1">IF(OR($D55&lt;&gt;"Serviço",AND(AUTOEVENTO="Manual",$M55=$A$15)),0,
         IF(OFFSET(CRONOPLE!$F$15,$M55-$A$15,BF$13)=0,10^12,OFFSET(CRONOPLE!$F$15,$M55-$A$15,BF$13)))</f>
        <v>4</v>
      </c>
      <c r="BG55" s="171">
        <f ca="1">IF(OR($D55&lt;&gt;"Serviço",AND(AUTOEVENTO="Manual",$M55=$A$15)),0,
         IF(OFFSET(CRONOPLE!$F$15,$M55-$A$15,BG$13)=0,10^12,OFFSET(CRONOPLE!$F$15,$M55-$A$15,BG$13)))</f>
        <v>5</v>
      </c>
      <c r="BH55" s="171">
        <f ca="1">IF(OR($D55&lt;&gt;"Serviço",AND(AUTOEVENTO="Manual",$M55=$A$15)),0,
         IF(OFFSET(CRONOPLE!$F$15,$M55-$A$15,BH$13)=0,10^12,OFFSET(CRONOPLE!$F$15,$M55-$A$15,BH$13)))</f>
        <v>6</v>
      </c>
      <c r="BI55" s="171">
        <f ca="1">IF(OR($D55&lt;&gt;"Serviço",AND(AUTOEVENTO="Manual",$M55=$A$15)),0,
         IF(OFFSET(CRONOPLE!$F$15,$M55-$A$15,BI$13)=0,10^12,OFFSET(CRONOPLE!$F$15,$M55-$A$15,BI$13)))</f>
        <v>7</v>
      </c>
      <c r="BJ55" s="171">
        <f ca="1">IF(OR($D55&lt;&gt;"Serviço",AND(AUTOEVENTO="Manual",$M55=$A$15)),0,
         IF(OFFSET(CRONOPLE!$F$15,$M55-$A$15,BJ$13)=0,10^12,OFFSET(CRONOPLE!$F$15,$M55-$A$15,BJ$13)))</f>
        <v>8</v>
      </c>
      <c r="BK55" s="171">
        <f ca="1">IF(OR($D55&lt;&gt;"Serviço",AND(AUTOEVENTO="Manual",$M55=$A$15)),0,
         IF(OFFSET(CRONOPLE!$F$15,$M55-$A$15,BK$13)=0,10^12,OFFSET(CRONOPLE!$F$15,$M55-$A$15,BK$13)))</f>
        <v>9</v>
      </c>
      <c r="BL55" s="171">
        <f ca="1">IF(OR($D55&lt;&gt;"Serviço",AND(AUTOEVENTO="Manual",$M55=$A$15)),0,
         IF(OFFSET(CRONOPLE!$F$15,$M55-$A$15,BL$13)=0,10^12,OFFSET(CRONOPLE!$F$15,$M55-$A$15,BL$13)))</f>
        <v>10</v>
      </c>
      <c r="BM55" s="171">
        <f ca="1">IF(OR($D55&lt;&gt;"Serviço",AND(AUTOEVENTO="Manual",$M55=$A$15)),0,
         IF(OFFSET(CRONOPLE!$F$15,$M55-$A$15,BM$13)=0,10^12,OFFSET(CRONOPLE!$F$15,$M55-$A$15,BM$13)))</f>
        <v>1000000000000</v>
      </c>
      <c r="BN55" s="171">
        <f ca="1">IF(OR($D55&lt;&gt;"Serviço",AND(AUTOEVENTO="Manual",$M55=$A$15)),0,
         IF(OFFSET(CRONOPLE!$F$15,$M55-$A$15,BN$13)=0,10^12,OFFSET(CRONOPLE!$F$15,$M55-$A$15,BN$13)))</f>
        <v>1000000000000</v>
      </c>
      <c r="BO55" s="171">
        <f ca="1">IF(OR($D55&lt;&gt;"Serviço",AND(AUTOEVENTO="Manual",$M55=$A$15)),0,
         IF(OFFSET(CRONOPLE!$F$15,$M55-$A$15,BO$13)=0,10^12,OFFSET(CRONOPLE!$F$15,$M55-$A$15,BO$13)))</f>
        <v>1000000000000</v>
      </c>
      <c r="BP55" s="171">
        <f ca="1">IF(OR($D55&lt;&gt;"Serviço",AND(AUTOEVENTO="Manual",$M55=$A$15)),0,
         IF(OFFSET(CRONOPLE!$F$15,$M55-$A$15,BP$13)=0,10^12,OFFSET(CRONOPLE!$F$15,$M55-$A$15,BP$13)))</f>
        <v>1000000000000</v>
      </c>
      <c r="BQ55" s="171">
        <f ca="1">IF(OR($D55&lt;&gt;"Serviço",AND(AUTOEVENTO="Manual",$M55=$A$15)),0,
         IF(OFFSET(CRONOPLE!$F$15,$M55-$A$15,BQ$13)=0,10^12,OFFSET(CRONOPLE!$F$15,$M55-$A$15,BQ$13)))</f>
        <v>1000000000000</v>
      </c>
      <c r="BR55" s="171">
        <f ca="1">IF(OR($D55&lt;&gt;"Serviço",AND(AUTOEVENTO="Manual",$M55=$A$15)),0,
         IF(OFFSET(CRONOPLE!$F$15,$M55-$A$15,BR$13)=0,10^12,OFFSET(CRONOPLE!$F$15,$M55-$A$15,BR$13)))</f>
        <v>1000000000000</v>
      </c>
      <c r="BS55" s="171">
        <f ca="1">IF(OR($D55&lt;&gt;"Serviço",AND(AUTOEVENTO="Manual",$M55=$A$15)),0,
         IF(OFFSET(CRONOPLE!$F$15,$M55-$A$15,BS$13)=0,10^12,OFFSET(CRONOPLE!$F$15,$M55-$A$15,BS$13)))</f>
        <v>1000000000000</v>
      </c>
      <c r="BT55" s="171">
        <f ca="1">IF(OR($D55&lt;&gt;"Serviço",AND(AUTOEVENTO="Manual",$M55=$A$15)),0,
         IF(OFFSET(CRONOPLE!$F$15,$M55-$A$15,BT$13)=0,10^12,OFFSET(CRONOPLE!$F$15,$M55-$A$15,BT$13)))</f>
        <v>1000000000000</v>
      </c>
      <c r="BV55" s="172">
        <f ca="1">IF(OR($D55&lt;&gt;"Serviço",AND(AUTOEVENTO="Manual",$M55=$A$15),$M55&gt;(ROW(PLE.lastrow)-ROW(PLE.firstrow))),0,
           IF(OFFSET(PLE!$G$15,$M55-$A$15,BV$13)="",10^12,OFFSET(PLE!$G$15,$M55-$A$15,BV$13)))</f>
        <v>1000000000000</v>
      </c>
      <c r="BW55" s="172">
        <f ca="1">IF(OR($D55&lt;&gt;"Serviço",AND(AUTOEVENTO="Manual",$M55=$A$15),$M55&gt;(ROW(PLE.lastrow)-ROW(PLE.firstrow))),0,
           IF(OFFSET(PLE!$G$15,$M55-$A$15,BW$13)="",10^12,OFFSET(PLE!$G$15,$M55-$A$15,BW$13)))</f>
        <v>1000000000000</v>
      </c>
      <c r="BX55" s="172">
        <f ca="1">IF(OR($D55&lt;&gt;"Serviço",AND(AUTOEVENTO="Manual",$M55=$A$15),$M55&gt;(ROW(PLE.lastrow)-ROW(PLE.firstrow))),0,
           IF(OFFSET(PLE!$G$15,$M55-$A$15,BX$13)="",10^12,OFFSET(PLE!$G$15,$M55-$A$15,BX$13)))</f>
        <v>1000000000000</v>
      </c>
      <c r="BY55" s="172">
        <f ca="1">IF(OR($D55&lt;&gt;"Serviço",AND(AUTOEVENTO="Manual",$M55=$A$15),$M55&gt;(ROW(PLE.lastrow)-ROW(PLE.firstrow))),0,
           IF(OFFSET(PLE!$G$15,$M55-$A$15,BY$13)="",10^12,OFFSET(PLE!$G$15,$M55-$A$15,BY$13)))</f>
        <v>1000000000000</v>
      </c>
      <c r="BZ55" s="172">
        <f ca="1">IF(OR($D55&lt;&gt;"Serviço",AND(AUTOEVENTO="Manual",$M55=$A$15),$M55&gt;(ROW(PLE.lastrow)-ROW(PLE.firstrow))),0,
           IF(OFFSET(PLE!$G$15,$M55-$A$15,BZ$13)="",10^12,OFFSET(PLE!$G$15,$M55-$A$15,BZ$13)))</f>
        <v>1000000000000</v>
      </c>
      <c r="CA55" s="172">
        <f ca="1">IF(OR($D55&lt;&gt;"Serviço",AND(AUTOEVENTO="Manual",$M55=$A$15),$M55&gt;(ROW(PLE.lastrow)-ROW(PLE.firstrow))),0,
           IF(OFFSET(PLE!$G$15,$M55-$A$15,CA$13)="",10^12,OFFSET(PLE!$G$15,$M55-$A$15,CA$13)))</f>
        <v>1000000000000</v>
      </c>
      <c r="CB55" s="172">
        <f ca="1">IF(OR($D55&lt;&gt;"Serviço",AND(AUTOEVENTO="Manual",$M55=$A$15),$M55&gt;(ROW(PLE.lastrow)-ROW(PLE.firstrow))),0,
           IF(OFFSET(PLE!$G$15,$M55-$A$15,CB$13)="",10^12,OFFSET(PLE!$G$15,$M55-$A$15,CB$13)))</f>
        <v>1000000000000</v>
      </c>
      <c r="CC55" s="172">
        <f ca="1">IF(OR($D55&lt;&gt;"Serviço",AND(AUTOEVENTO="Manual",$M55=$A$15),$M55&gt;(ROW(PLE.lastrow)-ROW(PLE.firstrow))),0,
           IF(OFFSET(PLE!$G$15,$M55-$A$15,CC$13)="",10^12,OFFSET(PLE!$G$15,$M55-$A$15,CC$13)))</f>
        <v>1000000000000</v>
      </c>
      <c r="CD55" s="172">
        <f ca="1">IF(OR($D55&lt;&gt;"Serviço",AND(AUTOEVENTO="Manual",$M55=$A$15),$M55&gt;(ROW(PLE.lastrow)-ROW(PLE.firstrow))),0,
           IF(OFFSET(PLE!$G$15,$M55-$A$15,CD$13)="",10^12,OFFSET(PLE!$G$15,$M55-$A$15,CD$13)))</f>
        <v>1000000000000</v>
      </c>
      <c r="CE55" s="172">
        <f ca="1">IF(OR($D55&lt;&gt;"Serviço",AND(AUTOEVENTO="Manual",$M55=$A$15),$M55&gt;(ROW(PLE.lastrow)-ROW(PLE.firstrow))),0,
           IF(OFFSET(PLE!$G$15,$M55-$A$15,CE$13)="",10^12,OFFSET(PLE!$G$15,$M55-$A$15,CE$13)))</f>
        <v>1000000000000</v>
      </c>
      <c r="CF55" s="172">
        <f ca="1">IF(OR($D55&lt;&gt;"Serviço",AND(AUTOEVENTO="Manual",$M55=$A$15),$M55&gt;(ROW(PLE.lastrow)-ROW(PLE.firstrow))),0,
           IF(OFFSET(PLE!$G$15,$M55-$A$15,CF$13)="",10^12,OFFSET(PLE!$G$15,$M55-$A$15,CF$13)))</f>
        <v>1000000000000</v>
      </c>
      <c r="CG55" s="172">
        <f ca="1">IF(OR($D55&lt;&gt;"Serviço",AND(AUTOEVENTO="Manual",$M55=$A$15),$M55&gt;(ROW(PLE.lastrow)-ROW(PLE.firstrow))),0,
           IF(OFFSET(PLE!$G$15,$M55-$A$15,CG$13)="",10^12,OFFSET(PLE!$G$15,$M55-$A$15,CG$13)))</f>
        <v>1000000000000</v>
      </c>
      <c r="CH55" s="172">
        <f ca="1">IF(OR($D55&lt;&gt;"Serviço",AND(AUTOEVENTO="Manual",$M55=$A$15),$M55&gt;(ROW(PLE.lastrow)-ROW(PLE.firstrow))),0,
           IF(OFFSET(PLE!$G$15,$M55-$A$15,CH$13)="",10^12,OFFSET(PLE!$G$15,$M55-$A$15,CH$13)))</f>
        <v>1000000000000</v>
      </c>
      <c r="CI55" s="172">
        <f ca="1">IF(OR($D55&lt;&gt;"Serviço",AND(AUTOEVENTO="Manual",$M55=$A$15),$M55&gt;(ROW(PLE.lastrow)-ROW(PLE.firstrow))),0,
           IF(OFFSET(PLE!$G$15,$M55-$A$15,CI$13)="",10^12,OFFSET(PLE!$G$15,$M55-$A$15,CI$13)))</f>
        <v>1000000000000</v>
      </c>
      <c r="CJ55" s="172">
        <f ca="1">IF(OR($D55&lt;&gt;"Serviço",AND(AUTOEVENTO="Manual",$M55=$A$15),$M55&gt;(ROW(PLE.lastrow)-ROW(PLE.firstrow))),0,
           IF(OFFSET(PLE!$G$15,$M55-$A$15,CJ$13)="",10^12,OFFSET(PLE!$G$15,$M55-$A$15,CJ$13)))</f>
        <v>1000000000000</v>
      </c>
      <c r="CK55" s="172">
        <f ca="1">IF(OR($D55&lt;&gt;"Serviço",AND(AUTOEVENTO="Manual",$M55=$A$15),$M55&gt;(ROW(PLE.lastrow)-ROW(PLE.firstrow))),0,
           IF(OFFSET(PLE!$G$15,$M55-$A$15,CK$13)="",10^12,OFFSET(PLE!$G$15,$M55-$A$15,CK$13)))</f>
        <v>1000000000000</v>
      </c>
      <c r="CL55" s="172">
        <f ca="1">IF(OR($D55&lt;&gt;"Serviço",AND(AUTOEVENTO="Manual",$M55=$A$15),$M55&gt;(ROW(PLE.lastrow)-ROW(PLE.firstrow))),0,
           IF(OFFSET(PLE!$G$15,$M55-$A$15,CL$13)="",10^12,OFFSET(PLE!$G$15,$M55-$A$15,CL$13)))</f>
        <v>1000000000000</v>
      </c>
      <c r="CM55" s="172">
        <f ca="1">IF(OR($D55&lt;&gt;"Serviço",AND(AUTOEVENTO="Manual",$M55=$A$15),$M55&gt;(ROW(PLE.lastrow)-ROW(PLE.firstrow))),0,
           IF(OFFSET(PLE!$G$15,$M55-$A$15,CM$13)="",10^12,OFFSET(PLE!$G$15,$M55-$A$15,CM$13)))</f>
        <v>1000000000000</v>
      </c>
    </row>
    <row r="56" spans="1:91" ht="25.5" x14ac:dyDescent="0.2">
      <c r="A56" s="7">
        <f t="shared" ca="1" si="10"/>
        <v>3</v>
      </c>
      <c r="B56" s="7" t="str">
        <f ca="1">OFFSET(ORÇAMENTO!C$15,ROW(B56)-ROW(B$15),0)</f>
        <v>S</v>
      </c>
      <c r="C56" s="7" t="str">
        <f ca="1">OFFSET(ORÇAMENTO!L$15,ROW(C56)-ROW(C$15),0)</f>
        <v>F</v>
      </c>
      <c r="D56" s="116" t="str">
        <f ca="1">OFFSET(ORÇAMENTO!N$15,ROW(D56)-ROW(D$15),0)</f>
        <v>Serviço</v>
      </c>
      <c r="E56" s="117" t="str">
        <f ca="1">OFFSET(ORÇAMENTO!O$15,ROW(E56)-ROW(E$15),0)</f>
        <v>1.4.2.0.4.</v>
      </c>
      <c r="F56" s="163" t="str">
        <f ca="1">OFFSET(ORÇAMENTO!R$15,ROW(F56)-ROW(F$15),0)</f>
        <v>ESPALHAMENTO DE MATERIAL COM TRATOR DE ESTEIRAS. AF_09/2024</v>
      </c>
      <c r="G56" s="164" t="str">
        <f ca="1">IF($D56&lt;&gt;"Serviço","",OFFSET(ORÇAMENTO!S$15,ROW(G56)-ROW(G$15),0))</f>
        <v>M3</v>
      </c>
      <c r="H56" s="122" cm="1">
        <f t="array" aca="1" ref="H56" ca="1">IF($D56&lt;&gt;"Serviço",0,IF(ACOMPANHAMENTO="BM",ROUND(OFFSET(ORÇAMENTO!AJ$15,ROW(H56)-ROW(H$15),0),15-13*ORÇAMENTO!$AF$7),SUMPRODUCT(($Q$1:$AI$1=1)*ROUND($Q56:$AI56,15-13*ORÇAMENTO!$AF$7))))</f>
        <v>3086.27</v>
      </c>
      <c r="I56" s="468" t="s">
        <v>1302</v>
      </c>
      <c r="J56" s="640" t="str" cm="1">
        <f t="array" aca="1" ref="J56" ca="1">IF(OR(B56&lt;&gt;"S",CÁLCULO.FrentesPreenchidas=0),"",IF(AND(ACOMPANHAMENTO="PLE",AUTOEVENTO="Manual",OR(H56&gt;0,ORÇAMENTO!AC56="QUANT."),OR(K56="",M56=0,N56="")),"►E",IF(AND(ACOMPANHAMENTO="PLE",ORÇAMENTO!AC56="QUANT."),"►Q",IF(AND(ACOMPANHAMENTO="PLE",H56&lt;&gt;SUMPRODUCT(($Q$1:$AI$1=1)*ROUND(Q56:AI56,15))),"►S",IF(AND(COUNTIF($P$11:$AI$11,"▼")=0,H56&gt;0,I56=""),"◄M","")))))</f>
        <v/>
      </c>
      <c r="K56" s="641" t="s">
        <v>1388</v>
      </c>
      <c r="L56" s="165" t="s">
        <v>764</v>
      </c>
      <c r="M56" s="166">
        <f ca="1">IF($D56&lt;&gt;"Serviço","",
          IF(AUTOEVENTO="manual",$A56,
                IF(ISERROR(MATCH($A56,$A$15:OFFSET($A56,-1,0),0)),MAX($M$15:OFFSET(M56,-1,0))+1,
                      INDEX($M$15:OFFSET(M56,-1,0),MATCH($A56,$A$15:OFFSET($A56,-1,0),0)))))</f>
        <v>3</v>
      </c>
      <c r="N56" s="167" t="str">
        <f ca="1">IF($D56&lt;&gt;"Serviço","",
         IF(AUTOEVENTO="Manual",
                IF($A56=0,"&lt;-- defina o número do agrupador",
                       OFFSET(EVENTOS!$D$15,$A56-$A$15,0)),
                OFFSET($F$15,$A56,0)))</f>
        <v>Terraplenagem</v>
      </c>
      <c r="O56" s="168"/>
      <c r="Q56" s="168">
        <f>Q53</f>
        <v>3086.27</v>
      </c>
      <c r="R56" s="169"/>
      <c r="S56" s="169"/>
      <c r="T56" s="169"/>
      <c r="U56" s="169"/>
      <c r="V56" s="169"/>
      <c r="W56" s="169"/>
      <c r="X56" s="169"/>
      <c r="Y56" s="169"/>
      <c r="Z56" s="170"/>
      <c r="AA56" s="169"/>
      <c r="AB56" s="169"/>
      <c r="AC56" s="169"/>
      <c r="AD56" s="169"/>
      <c r="AE56" s="169"/>
      <c r="AF56" s="169"/>
      <c r="AG56" s="169"/>
      <c r="AH56" s="170"/>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L56" s="453">
        <f ca="1">IF(AND($D56="Serviço",AL$12&lt;&gt;0,$H56&gt;0,OR(AUTOEVENTO&lt;&gt;"manual",$M56&lt;&gt;$A$15)),
        IF(Import.TipoArredondamento&lt;&gt;"TransfereGOV",
              ROUND(OFFSET($P56,0,AL$13),15-13*ORÇAMENTO!$AF$7)/$H56*OFFSET(ORÇAMENTO!$X$15,ROW(AL56)-ROW(AL$15),0),
              ROUND(ROUND(OFFSET($P56,0,AL$13),15-13*ORÇAMENTO!$AF$7)*OFFSET(ORÇAMENTO!$W$15,ROW(AL56)-ROW(AL$15),0),15-13*ORÇAMENTO!$AF$11)),
         0)</f>
        <v>0</v>
      </c>
      <c r="AM56" s="453">
        <f ca="1">IF(AND($D56="Serviço",AM$12&lt;&gt;0,$H56&gt;0,OR(AUTOEVENTO&lt;&gt;"manual",$M56&lt;&gt;$A$15)),
        IF(Import.TipoArredondamento&lt;&gt;"TransfereGOV",
              ROUND(OFFSET($P56,0,AM$13),15-13*ORÇAMENTO!$AF$7)/$H56*OFFSET(ORÇAMENTO!$X$15,ROW(AM56)-ROW(AM$15),0),
              ROUND(ROUND(OFFSET($P56,0,AM$13),15-13*ORÇAMENTO!$AF$7)*OFFSET(ORÇAMENTO!$W$15,ROW(AM56)-ROW(AM$15),0),15-13*ORÇAMENTO!$AF$11)),
         0)</f>
        <v>0</v>
      </c>
      <c r="AN56" s="453">
        <f ca="1">IF(AND($D56="Serviço",AN$12&lt;&gt;0,$H56&gt;0,OR(AUTOEVENTO&lt;&gt;"manual",$M56&lt;&gt;$A$15)),
        IF(Import.TipoArredondamento&lt;&gt;"TransfereGOV",
              ROUND(OFFSET($P56,0,AN$13),15-13*ORÇAMENTO!$AF$7)/$H56*OFFSET(ORÇAMENTO!$X$15,ROW(AN56)-ROW(AN$15),0),
              ROUND(ROUND(OFFSET($P56,0,AN$13),15-13*ORÇAMENTO!$AF$7)*OFFSET(ORÇAMENTO!$W$15,ROW(AN56)-ROW(AN$15),0),15-13*ORÇAMENTO!$AF$11)),
         0)</f>
        <v>0</v>
      </c>
      <c r="AO56" s="453">
        <f ca="1">IF(AND($D56="Serviço",AO$12&lt;&gt;0,$H56&gt;0,OR(AUTOEVENTO&lt;&gt;"manual",$M56&lt;&gt;$A$15)),
        IF(Import.TipoArredondamento&lt;&gt;"TransfereGOV",
              ROUND(OFFSET($P56,0,AO$13),15-13*ORÇAMENTO!$AF$7)/$H56*OFFSET(ORÇAMENTO!$X$15,ROW(AO56)-ROW(AO$15),0),
              ROUND(ROUND(OFFSET($P56,0,AO$13),15-13*ORÇAMENTO!$AF$7)*OFFSET(ORÇAMENTO!$W$15,ROW(AO56)-ROW(AO$15),0),15-13*ORÇAMENTO!$AF$11)),
         0)</f>
        <v>0</v>
      </c>
      <c r="AP56" s="453">
        <f ca="1">IF(AND($D56="Serviço",AP$12&lt;&gt;0,$H56&gt;0,OR(AUTOEVENTO&lt;&gt;"manual",$M56&lt;&gt;$A$15)),
        IF(Import.TipoArredondamento&lt;&gt;"TransfereGOV",
              ROUND(OFFSET($P56,0,AP$13),15-13*ORÇAMENTO!$AF$7)/$H56*OFFSET(ORÇAMENTO!$X$15,ROW(AP56)-ROW(AP$15),0),
              ROUND(ROUND(OFFSET($P56,0,AP$13),15-13*ORÇAMENTO!$AF$7)*OFFSET(ORÇAMENTO!$W$15,ROW(AP56)-ROW(AP$15),0),15-13*ORÇAMENTO!$AF$11)),
         0)</f>
        <v>0</v>
      </c>
      <c r="AQ56" s="453">
        <f ca="1">IF(AND($D56="Serviço",AQ$12&lt;&gt;0,$H56&gt;0,OR(AUTOEVENTO&lt;&gt;"manual",$M56&lt;&gt;$A$15)),
        IF(Import.TipoArredondamento&lt;&gt;"TransfereGOV",
              ROUND(OFFSET($P56,0,AQ$13),15-13*ORÇAMENTO!$AF$7)/$H56*OFFSET(ORÇAMENTO!$X$15,ROW(AQ56)-ROW(AQ$15),0),
              ROUND(ROUND(OFFSET($P56,0,AQ$13),15-13*ORÇAMENTO!$AF$7)*OFFSET(ORÇAMENTO!$W$15,ROW(AQ56)-ROW(AQ$15),0),15-13*ORÇAMENTO!$AF$11)),
         0)</f>
        <v>0</v>
      </c>
      <c r="AR56" s="453">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3">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3">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3">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3">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3">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3">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3">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3">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3">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C56" s="171">
        <f ca="1">IF(OR($D56&lt;&gt;"Serviço",AND(AUTOEVENTO="Manual",$M56=$A$15)),0,
         IF(OFFSET(CRONOPLE!$F$15,$M56-$A$15,BC$13)=0,10^12,OFFSET(CRONOPLE!$F$15,$M56-$A$15,BC$13)))</f>
        <v>1</v>
      </c>
      <c r="BD56" s="171">
        <f ca="1">IF(OR($D56&lt;&gt;"Serviço",AND(AUTOEVENTO="Manual",$M56=$A$15)),0,
         IF(OFFSET(CRONOPLE!$F$15,$M56-$A$15,BD$13)=0,10^12,OFFSET(CRONOPLE!$F$15,$M56-$A$15,BD$13)))</f>
        <v>2</v>
      </c>
      <c r="BE56" s="171">
        <f ca="1">IF(OR($D56&lt;&gt;"Serviço",AND(AUTOEVENTO="Manual",$M56=$A$15)),0,
         IF(OFFSET(CRONOPLE!$F$15,$M56-$A$15,BE$13)=0,10^12,OFFSET(CRONOPLE!$F$15,$M56-$A$15,BE$13)))</f>
        <v>3</v>
      </c>
      <c r="BF56" s="171">
        <f ca="1">IF(OR($D56&lt;&gt;"Serviço",AND(AUTOEVENTO="Manual",$M56=$A$15)),0,
         IF(OFFSET(CRONOPLE!$F$15,$M56-$A$15,BF$13)=0,10^12,OFFSET(CRONOPLE!$F$15,$M56-$A$15,BF$13)))</f>
        <v>4</v>
      </c>
      <c r="BG56" s="171">
        <f ca="1">IF(OR($D56&lt;&gt;"Serviço",AND(AUTOEVENTO="Manual",$M56=$A$15)),0,
         IF(OFFSET(CRONOPLE!$F$15,$M56-$A$15,BG$13)=0,10^12,OFFSET(CRONOPLE!$F$15,$M56-$A$15,BG$13)))</f>
        <v>5</v>
      </c>
      <c r="BH56" s="171">
        <f ca="1">IF(OR($D56&lt;&gt;"Serviço",AND(AUTOEVENTO="Manual",$M56=$A$15)),0,
         IF(OFFSET(CRONOPLE!$F$15,$M56-$A$15,BH$13)=0,10^12,OFFSET(CRONOPLE!$F$15,$M56-$A$15,BH$13)))</f>
        <v>6</v>
      </c>
      <c r="BI56" s="171">
        <f ca="1">IF(OR($D56&lt;&gt;"Serviço",AND(AUTOEVENTO="Manual",$M56=$A$15)),0,
         IF(OFFSET(CRONOPLE!$F$15,$M56-$A$15,BI$13)=0,10^12,OFFSET(CRONOPLE!$F$15,$M56-$A$15,BI$13)))</f>
        <v>7</v>
      </c>
      <c r="BJ56" s="171">
        <f ca="1">IF(OR($D56&lt;&gt;"Serviço",AND(AUTOEVENTO="Manual",$M56=$A$15)),0,
         IF(OFFSET(CRONOPLE!$F$15,$M56-$A$15,BJ$13)=0,10^12,OFFSET(CRONOPLE!$F$15,$M56-$A$15,BJ$13)))</f>
        <v>8</v>
      </c>
      <c r="BK56" s="171">
        <f ca="1">IF(OR($D56&lt;&gt;"Serviço",AND(AUTOEVENTO="Manual",$M56=$A$15)),0,
         IF(OFFSET(CRONOPLE!$F$15,$M56-$A$15,BK$13)=0,10^12,OFFSET(CRONOPLE!$F$15,$M56-$A$15,BK$13)))</f>
        <v>9</v>
      </c>
      <c r="BL56" s="171">
        <f ca="1">IF(OR($D56&lt;&gt;"Serviço",AND(AUTOEVENTO="Manual",$M56=$A$15)),0,
         IF(OFFSET(CRONOPLE!$F$15,$M56-$A$15,BL$13)=0,10^12,OFFSET(CRONOPLE!$F$15,$M56-$A$15,BL$13)))</f>
        <v>10</v>
      </c>
      <c r="BM56" s="171">
        <f ca="1">IF(OR($D56&lt;&gt;"Serviço",AND(AUTOEVENTO="Manual",$M56=$A$15)),0,
         IF(OFFSET(CRONOPLE!$F$15,$M56-$A$15,BM$13)=0,10^12,OFFSET(CRONOPLE!$F$15,$M56-$A$15,BM$13)))</f>
        <v>1000000000000</v>
      </c>
      <c r="BN56" s="171">
        <f ca="1">IF(OR($D56&lt;&gt;"Serviço",AND(AUTOEVENTO="Manual",$M56=$A$15)),0,
         IF(OFFSET(CRONOPLE!$F$15,$M56-$A$15,BN$13)=0,10^12,OFFSET(CRONOPLE!$F$15,$M56-$A$15,BN$13)))</f>
        <v>1000000000000</v>
      </c>
      <c r="BO56" s="171">
        <f ca="1">IF(OR($D56&lt;&gt;"Serviço",AND(AUTOEVENTO="Manual",$M56=$A$15)),0,
         IF(OFFSET(CRONOPLE!$F$15,$M56-$A$15,BO$13)=0,10^12,OFFSET(CRONOPLE!$F$15,$M56-$A$15,BO$13)))</f>
        <v>1000000000000</v>
      </c>
      <c r="BP56" s="171">
        <f ca="1">IF(OR($D56&lt;&gt;"Serviço",AND(AUTOEVENTO="Manual",$M56=$A$15)),0,
         IF(OFFSET(CRONOPLE!$F$15,$M56-$A$15,BP$13)=0,10^12,OFFSET(CRONOPLE!$F$15,$M56-$A$15,BP$13)))</f>
        <v>1000000000000</v>
      </c>
      <c r="BQ56" s="171">
        <f ca="1">IF(OR($D56&lt;&gt;"Serviço",AND(AUTOEVENTO="Manual",$M56=$A$15)),0,
         IF(OFFSET(CRONOPLE!$F$15,$M56-$A$15,BQ$13)=0,10^12,OFFSET(CRONOPLE!$F$15,$M56-$A$15,BQ$13)))</f>
        <v>1000000000000</v>
      </c>
      <c r="BR56" s="171">
        <f ca="1">IF(OR($D56&lt;&gt;"Serviço",AND(AUTOEVENTO="Manual",$M56=$A$15)),0,
         IF(OFFSET(CRONOPLE!$F$15,$M56-$A$15,BR$13)=0,10^12,OFFSET(CRONOPLE!$F$15,$M56-$A$15,BR$13)))</f>
        <v>1000000000000</v>
      </c>
      <c r="BS56" s="171">
        <f ca="1">IF(OR($D56&lt;&gt;"Serviço",AND(AUTOEVENTO="Manual",$M56=$A$15)),0,
         IF(OFFSET(CRONOPLE!$F$15,$M56-$A$15,BS$13)=0,10^12,OFFSET(CRONOPLE!$F$15,$M56-$A$15,BS$13)))</f>
        <v>1000000000000</v>
      </c>
      <c r="BT56" s="171">
        <f ca="1">IF(OR($D56&lt;&gt;"Serviço",AND(AUTOEVENTO="Manual",$M56=$A$15)),0,
         IF(OFFSET(CRONOPLE!$F$15,$M56-$A$15,BT$13)=0,10^12,OFFSET(CRONOPLE!$F$15,$M56-$A$15,BT$13)))</f>
        <v>1000000000000</v>
      </c>
      <c r="BV56" s="172">
        <f ca="1">IF(OR($D56&lt;&gt;"Serviço",AND(AUTOEVENTO="Manual",$M56=$A$15),$M56&gt;(ROW(PLE.lastrow)-ROW(PLE.firstrow))),0,
           IF(OFFSET(PLE!$G$15,$M56-$A$15,BV$13)="",10^12,OFFSET(PLE!$G$15,$M56-$A$15,BV$13)))</f>
        <v>1000000000000</v>
      </c>
      <c r="BW56" s="172">
        <f ca="1">IF(OR($D56&lt;&gt;"Serviço",AND(AUTOEVENTO="Manual",$M56=$A$15),$M56&gt;(ROW(PLE.lastrow)-ROW(PLE.firstrow))),0,
           IF(OFFSET(PLE!$G$15,$M56-$A$15,BW$13)="",10^12,OFFSET(PLE!$G$15,$M56-$A$15,BW$13)))</f>
        <v>1000000000000</v>
      </c>
      <c r="BX56" s="172">
        <f ca="1">IF(OR($D56&lt;&gt;"Serviço",AND(AUTOEVENTO="Manual",$M56=$A$15),$M56&gt;(ROW(PLE.lastrow)-ROW(PLE.firstrow))),0,
           IF(OFFSET(PLE!$G$15,$M56-$A$15,BX$13)="",10^12,OFFSET(PLE!$G$15,$M56-$A$15,BX$13)))</f>
        <v>1000000000000</v>
      </c>
      <c r="BY56" s="172">
        <f ca="1">IF(OR($D56&lt;&gt;"Serviço",AND(AUTOEVENTO="Manual",$M56=$A$15),$M56&gt;(ROW(PLE.lastrow)-ROW(PLE.firstrow))),0,
           IF(OFFSET(PLE!$G$15,$M56-$A$15,BY$13)="",10^12,OFFSET(PLE!$G$15,$M56-$A$15,BY$13)))</f>
        <v>1000000000000</v>
      </c>
      <c r="BZ56" s="172">
        <f ca="1">IF(OR($D56&lt;&gt;"Serviço",AND(AUTOEVENTO="Manual",$M56=$A$15),$M56&gt;(ROW(PLE.lastrow)-ROW(PLE.firstrow))),0,
           IF(OFFSET(PLE!$G$15,$M56-$A$15,BZ$13)="",10^12,OFFSET(PLE!$G$15,$M56-$A$15,BZ$13)))</f>
        <v>1000000000000</v>
      </c>
      <c r="CA56" s="172">
        <f ca="1">IF(OR($D56&lt;&gt;"Serviço",AND(AUTOEVENTO="Manual",$M56=$A$15),$M56&gt;(ROW(PLE.lastrow)-ROW(PLE.firstrow))),0,
           IF(OFFSET(PLE!$G$15,$M56-$A$15,CA$13)="",10^12,OFFSET(PLE!$G$15,$M56-$A$15,CA$13)))</f>
        <v>1000000000000</v>
      </c>
      <c r="CB56" s="172">
        <f ca="1">IF(OR($D56&lt;&gt;"Serviço",AND(AUTOEVENTO="Manual",$M56=$A$15),$M56&gt;(ROW(PLE.lastrow)-ROW(PLE.firstrow))),0,
           IF(OFFSET(PLE!$G$15,$M56-$A$15,CB$13)="",10^12,OFFSET(PLE!$G$15,$M56-$A$15,CB$13)))</f>
        <v>1000000000000</v>
      </c>
      <c r="CC56" s="172">
        <f ca="1">IF(OR($D56&lt;&gt;"Serviço",AND(AUTOEVENTO="Manual",$M56=$A$15),$M56&gt;(ROW(PLE.lastrow)-ROW(PLE.firstrow))),0,
           IF(OFFSET(PLE!$G$15,$M56-$A$15,CC$13)="",10^12,OFFSET(PLE!$G$15,$M56-$A$15,CC$13)))</f>
        <v>1000000000000</v>
      </c>
      <c r="CD56" s="172">
        <f ca="1">IF(OR($D56&lt;&gt;"Serviço",AND(AUTOEVENTO="Manual",$M56=$A$15),$M56&gt;(ROW(PLE.lastrow)-ROW(PLE.firstrow))),0,
           IF(OFFSET(PLE!$G$15,$M56-$A$15,CD$13)="",10^12,OFFSET(PLE!$G$15,$M56-$A$15,CD$13)))</f>
        <v>1000000000000</v>
      </c>
      <c r="CE56" s="172">
        <f ca="1">IF(OR($D56&lt;&gt;"Serviço",AND(AUTOEVENTO="Manual",$M56=$A$15),$M56&gt;(ROW(PLE.lastrow)-ROW(PLE.firstrow))),0,
           IF(OFFSET(PLE!$G$15,$M56-$A$15,CE$13)="",10^12,OFFSET(PLE!$G$15,$M56-$A$15,CE$13)))</f>
        <v>1000000000000</v>
      </c>
      <c r="CF56" s="172">
        <f ca="1">IF(OR($D56&lt;&gt;"Serviço",AND(AUTOEVENTO="Manual",$M56=$A$15),$M56&gt;(ROW(PLE.lastrow)-ROW(PLE.firstrow))),0,
           IF(OFFSET(PLE!$G$15,$M56-$A$15,CF$13)="",10^12,OFFSET(PLE!$G$15,$M56-$A$15,CF$13)))</f>
        <v>1000000000000</v>
      </c>
      <c r="CG56" s="172">
        <f ca="1">IF(OR($D56&lt;&gt;"Serviço",AND(AUTOEVENTO="Manual",$M56=$A$15),$M56&gt;(ROW(PLE.lastrow)-ROW(PLE.firstrow))),0,
           IF(OFFSET(PLE!$G$15,$M56-$A$15,CG$13)="",10^12,OFFSET(PLE!$G$15,$M56-$A$15,CG$13)))</f>
        <v>1000000000000</v>
      </c>
      <c r="CH56" s="172">
        <f ca="1">IF(OR($D56&lt;&gt;"Serviço",AND(AUTOEVENTO="Manual",$M56=$A$15),$M56&gt;(ROW(PLE.lastrow)-ROW(PLE.firstrow))),0,
           IF(OFFSET(PLE!$G$15,$M56-$A$15,CH$13)="",10^12,OFFSET(PLE!$G$15,$M56-$A$15,CH$13)))</f>
        <v>1000000000000</v>
      </c>
      <c r="CI56" s="172">
        <f ca="1">IF(OR($D56&lt;&gt;"Serviço",AND(AUTOEVENTO="Manual",$M56=$A$15),$M56&gt;(ROW(PLE.lastrow)-ROW(PLE.firstrow))),0,
           IF(OFFSET(PLE!$G$15,$M56-$A$15,CI$13)="",10^12,OFFSET(PLE!$G$15,$M56-$A$15,CI$13)))</f>
        <v>1000000000000</v>
      </c>
      <c r="CJ56" s="172">
        <f ca="1">IF(OR($D56&lt;&gt;"Serviço",AND(AUTOEVENTO="Manual",$M56=$A$15),$M56&gt;(ROW(PLE.lastrow)-ROW(PLE.firstrow))),0,
           IF(OFFSET(PLE!$G$15,$M56-$A$15,CJ$13)="",10^12,OFFSET(PLE!$G$15,$M56-$A$15,CJ$13)))</f>
        <v>1000000000000</v>
      </c>
      <c r="CK56" s="172">
        <f ca="1">IF(OR($D56&lt;&gt;"Serviço",AND(AUTOEVENTO="Manual",$M56=$A$15),$M56&gt;(ROW(PLE.lastrow)-ROW(PLE.firstrow))),0,
           IF(OFFSET(PLE!$G$15,$M56-$A$15,CK$13)="",10^12,OFFSET(PLE!$G$15,$M56-$A$15,CK$13)))</f>
        <v>1000000000000</v>
      </c>
      <c r="CL56" s="172">
        <f ca="1">IF(OR($D56&lt;&gt;"Serviço",AND(AUTOEVENTO="Manual",$M56=$A$15),$M56&gt;(ROW(PLE.lastrow)-ROW(PLE.firstrow))),0,
           IF(OFFSET(PLE!$G$15,$M56-$A$15,CL$13)="",10^12,OFFSET(PLE!$G$15,$M56-$A$15,CL$13)))</f>
        <v>1000000000000</v>
      </c>
      <c r="CM56" s="172">
        <f ca="1">IF(OR($D56&lt;&gt;"Serviço",AND(AUTOEVENTO="Manual",$M56=$A$15),$M56&gt;(ROW(PLE.lastrow)-ROW(PLE.firstrow))),0,
           IF(OFFSET(PLE!$G$15,$M56-$A$15,CM$13)="",10^12,OFFSET(PLE!$G$15,$M56-$A$15,CM$13)))</f>
        <v>1000000000000</v>
      </c>
    </row>
    <row r="57" spans="1:91" ht="12.75" x14ac:dyDescent="0.2">
      <c r="A57" s="7">
        <f t="shared" ca="1" si="10"/>
        <v>0</v>
      </c>
      <c r="B57" s="7">
        <f ca="1">OFFSET(ORÇAMENTO!C$15,ROW(B57)-ROW(B$15),0)</f>
        <v>3</v>
      </c>
      <c r="C57" s="7" t="str">
        <f ca="1">OFFSET(ORÇAMENTO!L$15,ROW(C57)-ROW(C$15),0)</f>
        <v>F</v>
      </c>
      <c r="D57" s="116" t="str">
        <f ca="1">OFFSET(ORÇAMENTO!N$15,ROW(D57)-ROW(D$15),0)</f>
        <v>Nível 3</v>
      </c>
      <c r="E57" s="117" t="str">
        <f ca="1">OFFSET(ORÇAMENTO!O$15,ROW(E57)-ROW(E$15),0)</f>
        <v>1.4.3.</v>
      </c>
      <c r="F57" s="163" t="str">
        <f ca="1">OFFSET(ORÇAMENTO!R$15,ROW(F57)-ROW(F$15),0)</f>
        <v>COBERTURA VEGETAL DE TALUDES</v>
      </c>
      <c r="G57" s="164" t="str">
        <f ca="1">IF($D57&lt;&gt;"Serviço","",OFFSET(ORÇAMENTO!S$15,ROW(G57)-ROW(G$15),0))</f>
        <v/>
      </c>
      <c r="H57" s="122" cm="1">
        <f t="array" aca="1" ref="H57" ca="1">IF($D57&lt;&gt;"Serviço",0,IF(ACOMPANHAMENTO="BM",ROUND(OFFSET(ORÇAMENTO!AJ$15,ROW(H57)-ROW(H$15),0),15-13*ORÇAMENTO!$AF$7),SUMPRODUCT(($Q$1:$AI$1=1)*ROUND($Q57:$AI57,15-13*ORÇAMENTO!$AF$7))))</f>
        <v>0</v>
      </c>
      <c r="I57" s="468"/>
      <c r="J57" s="640" t="str" cm="1">
        <f t="array" aca="1" ref="J57" ca="1">IF(OR(B57&lt;&gt;"S",CÁLCULO.FrentesPreenchidas=0),"",IF(AND(ACOMPANHAMENTO="PLE",AUTOEVENTO="Manual",OR(H57&gt;0,ORÇAMENTO!AC57="QUANT."),OR(K57="",M57=0,N57="")),"►E",IF(AND(ACOMPANHAMENTO="PLE",ORÇAMENTO!AC57="QUANT."),"►Q",IF(AND(ACOMPANHAMENTO="PLE",H57&lt;&gt;SUMPRODUCT(($Q$1:$AI$1=1)*ROUND(Q57:AI57,15))),"►S",IF(AND(COUNTIF($P$11:$AI$11,"▼")=0,H57&gt;0,I57=""),"◄M","")))))</f>
        <v/>
      </c>
      <c r="K57" s="641"/>
      <c r="L57" s="165" t="s">
        <v>764</v>
      </c>
      <c r="M57" s="166" t="str">
        <f ca="1">IF($D57&lt;&gt;"Serviço","",
          IF(AUTOEVENTO="manual",$A57,
                IF(ISERROR(MATCH($A57,$A$15:OFFSET($A57,-1,0),0)),MAX($M$15:OFFSET(M57,-1,0))+1,
                      INDEX($M$15:OFFSET(M57,-1,0),MATCH($A57,$A$15:OFFSET($A57,-1,0),0)))))</f>
        <v/>
      </c>
      <c r="N57" s="167" t="str">
        <f ca="1">IF($D57&lt;&gt;"Serviço","",
         IF(AUTOEVENTO="Manual",
                IF($A57=0,"&lt;-- defina o número do agrupador",
                       OFFSET(EVENTOS!$D$15,$A57-$A$15,0)),
                OFFSET($F$15,$A57,0)))</f>
        <v/>
      </c>
      <c r="O57" s="168"/>
      <c r="Q57" s="168"/>
      <c r="R57" s="169"/>
      <c r="S57" s="169"/>
      <c r="T57" s="169"/>
      <c r="U57" s="169"/>
      <c r="V57" s="169"/>
      <c r="W57" s="169"/>
      <c r="X57" s="169"/>
      <c r="Y57" s="169"/>
      <c r="Z57" s="170"/>
      <c r="AA57" s="169"/>
      <c r="AB57" s="169"/>
      <c r="AC57" s="169"/>
      <c r="AD57" s="169"/>
      <c r="AE57" s="169"/>
      <c r="AF57" s="169"/>
      <c r="AG57" s="169"/>
      <c r="AH57" s="170"/>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L57" s="453">
        <f ca="1">IF(AND($D57="Serviço",AL$12&lt;&gt;0,$H57&gt;0,OR(AUTOEVENTO&lt;&gt;"manual",$M57&lt;&gt;$A$15)),
        IF(Import.TipoArredondamento&lt;&gt;"TransfereGOV",
              ROUND(OFFSET($P57,0,AL$13),15-13*ORÇAMENTO!$AF$7)/$H57*OFFSET(ORÇAMENTO!$X$15,ROW(AL57)-ROW(AL$15),0),
              ROUND(ROUND(OFFSET($P57,0,AL$13),15-13*ORÇAMENTO!$AF$7)*OFFSET(ORÇAMENTO!$W$15,ROW(AL57)-ROW(AL$15),0),15-13*ORÇAMENTO!$AF$11)),
         0)</f>
        <v>0</v>
      </c>
      <c r="AM57" s="453">
        <f ca="1">IF(AND($D57="Serviço",AM$12&lt;&gt;0,$H57&gt;0,OR(AUTOEVENTO&lt;&gt;"manual",$M57&lt;&gt;$A$15)),
        IF(Import.TipoArredondamento&lt;&gt;"TransfereGOV",
              ROUND(OFFSET($P57,0,AM$13),15-13*ORÇAMENTO!$AF$7)/$H57*OFFSET(ORÇAMENTO!$X$15,ROW(AM57)-ROW(AM$15),0),
              ROUND(ROUND(OFFSET($P57,0,AM$13),15-13*ORÇAMENTO!$AF$7)*OFFSET(ORÇAMENTO!$W$15,ROW(AM57)-ROW(AM$15),0),15-13*ORÇAMENTO!$AF$11)),
         0)</f>
        <v>0</v>
      </c>
      <c r="AN57" s="453">
        <f ca="1">IF(AND($D57="Serviço",AN$12&lt;&gt;0,$H57&gt;0,OR(AUTOEVENTO&lt;&gt;"manual",$M57&lt;&gt;$A$15)),
        IF(Import.TipoArredondamento&lt;&gt;"TransfereGOV",
              ROUND(OFFSET($P57,0,AN$13),15-13*ORÇAMENTO!$AF$7)/$H57*OFFSET(ORÇAMENTO!$X$15,ROW(AN57)-ROW(AN$15),0),
              ROUND(ROUND(OFFSET($P57,0,AN$13),15-13*ORÇAMENTO!$AF$7)*OFFSET(ORÇAMENTO!$W$15,ROW(AN57)-ROW(AN$15),0),15-13*ORÇAMENTO!$AF$11)),
         0)</f>
        <v>0</v>
      </c>
      <c r="AO57" s="453">
        <f ca="1">IF(AND($D57="Serviço",AO$12&lt;&gt;0,$H57&gt;0,OR(AUTOEVENTO&lt;&gt;"manual",$M57&lt;&gt;$A$15)),
        IF(Import.TipoArredondamento&lt;&gt;"TransfereGOV",
              ROUND(OFFSET($P57,0,AO$13),15-13*ORÇAMENTO!$AF$7)/$H57*OFFSET(ORÇAMENTO!$X$15,ROW(AO57)-ROW(AO$15),0),
              ROUND(ROUND(OFFSET($P57,0,AO$13),15-13*ORÇAMENTO!$AF$7)*OFFSET(ORÇAMENTO!$W$15,ROW(AO57)-ROW(AO$15),0),15-13*ORÇAMENTO!$AF$11)),
         0)</f>
        <v>0</v>
      </c>
      <c r="AP57" s="453">
        <f ca="1">IF(AND($D57="Serviço",AP$12&lt;&gt;0,$H57&gt;0,OR(AUTOEVENTO&lt;&gt;"manual",$M57&lt;&gt;$A$15)),
        IF(Import.TipoArredondamento&lt;&gt;"TransfereGOV",
              ROUND(OFFSET($P57,0,AP$13),15-13*ORÇAMENTO!$AF$7)/$H57*OFFSET(ORÇAMENTO!$X$15,ROW(AP57)-ROW(AP$15),0),
              ROUND(ROUND(OFFSET($P57,0,AP$13),15-13*ORÇAMENTO!$AF$7)*OFFSET(ORÇAMENTO!$W$15,ROW(AP57)-ROW(AP$15),0),15-13*ORÇAMENTO!$AF$11)),
         0)</f>
        <v>0</v>
      </c>
      <c r="AQ57" s="453">
        <f ca="1">IF(AND($D57="Serviço",AQ$12&lt;&gt;0,$H57&gt;0,OR(AUTOEVENTO&lt;&gt;"manual",$M57&lt;&gt;$A$15)),
        IF(Import.TipoArredondamento&lt;&gt;"TransfereGOV",
              ROUND(OFFSET($P57,0,AQ$13),15-13*ORÇAMENTO!$AF$7)/$H57*OFFSET(ORÇAMENTO!$X$15,ROW(AQ57)-ROW(AQ$15),0),
              ROUND(ROUND(OFFSET($P57,0,AQ$13),15-13*ORÇAMENTO!$AF$7)*OFFSET(ORÇAMENTO!$W$15,ROW(AQ57)-ROW(AQ$15),0),15-13*ORÇAMENTO!$AF$11)),
         0)</f>
        <v>0</v>
      </c>
      <c r="AR57" s="453">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3">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3">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3">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3">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3">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3">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3">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3">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3">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C57" s="171">
        <f ca="1">IF(OR($D57&lt;&gt;"Serviço",AND(AUTOEVENTO="Manual",$M57=$A$15)),0,
         IF(OFFSET(CRONOPLE!$F$15,$M57-$A$15,BC$13)=0,10^12,OFFSET(CRONOPLE!$F$15,$M57-$A$15,BC$13)))</f>
        <v>0</v>
      </c>
      <c r="BD57" s="171">
        <f ca="1">IF(OR($D57&lt;&gt;"Serviço",AND(AUTOEVENTO="Manual",$M57=$A$15)),0,
         IF(OFFSET(CRONOPLE!$F$15,$M57-$A$15,BD$13)=0,10^12,OFFSET(CRONOPLE!$F$15,$M57-$A$15,BD$13)))</f>
        <v>0</v>
      </c>
      <c r="BE57" s="171">
        <f ca="1">IF(OR($D57&lt;&gt;"Serviço",AND(AUTOEVENTO="Manual",$M57=$A$15)),0,
         IF(OFFSET(CRONOPLE!$F$15,$M57-$A$15,BE$13)=0,10^12,OFFSET(CRONOPLE!$F$15,$M57-$A$15,BE$13)))</f>
        <v>0</v>
      </c>
      <c r="BF57" s="171">
        <f ca="1">IF(OR($D57&lt;&gt;"Serviço",AND(AUTOEVENTO="Manual",$M57=$A$15)),0,
         IF(OFFSET(CRONOPLE!$F$15,$M57-$A$15,BF$13)=0,10^12,OFFSET(CRONOPLE!$F$15,$M57-$A$15,BF$13)))</f>
        <v>0</v>
      </c>
      <c r="BG57" s="171">
        <f ca="1">IF(OR($D57&lt;&gt;"Serviço",AND(AUTOEVENTO="Manual",$M57=$A$15)),0,
         IF(OFFSET(CRONOPLE!$F$15,$M57-$A$15,BG$13)=0,10^12,OFFSET(CRONOPLE!$F$15,$M57-$A$15,BG$13)))</f>
        <v>0</v>
      </c>
      <c r="BH57" s="171">
        <f ca="1">IF(OR($D57&lt;&gt;"Serviço",AND(AUTOEVENTO="Manual",$M57=$A$15)),0,
         IF(OFFSET(CRONOPLE!$F$15,$M57-$A$15,BH$13)=0,10^12,OFFSET(CRONOPLE!$F$15,$M57-$A$15,BH$13)))</f>
        <v>0</v>
      </c>
      <c r="BI57" s="171">
        <f ca="1">IF(OR($D57&lt;&gt;"Serviço",AND(AUTOEVENTO="Manual",$M57=$A$15)),0,
         IF(OFFSET(CRONOPLE!$F$15,$M57-$A$15,BI$13)=0,10^12,OFFSET(CRONOPLE!$F$15,$M57-$A$15,BI$13)))</f>
        <v>0</v>
      </c>
      <c r="BJ57" s="171">
        <f ca="1">IF(OR($D57&lt;&gt;"Serviço",AND(AUTOEVENTO="Manual",$M57=$A$15)),0,
         IF(OFFSET(CRONOPLE!$F$15,$M57-$A$15,BJ$13)=0,10^12,OFFSET(CRONOPLE!$F$15,$M57-$A$15,BJ$13)))</f>
        <v>0</v>
      </c>
      <c r="BK57" s="171">
        <f ca="1">IF(OR($D57&lt;&gt;"Serviço",AND(AUTOEVENTO="Manual",$M57=$A$15)),0,
         IF(OFFSET(CRONOPLE!$F$15,$M57-$A$15,BK$13)=0,10^12,OFFSET(CRONOPLE!$F$15,$M57-$A$15,BK$13)))</f>
        <v>0</v>
      </c>
      <c r="BL57" s="171">
        <f ca="1">IF(OR($D57&lt;&gt;"Serviço",AND(AUTOEVENTO="Manual",$M57=$A$15)),0,
         IF(OFFSET(CRONOPLE!$F$15,$M57-$A$15,BL$13)=0,10^12,OFFSET(CRONOPLE!$F$15,$M57-$A$15,BL$13)))</f>
        <v>0</v>
      </c>
      <c r="BM57" s="171">
        <f ca="1">IF(OR($D57&lt;&gt;"Serviço",AND(AUTOEVENTO="Manual",$M57=$A$15)),0,
         IF(OFFSET(CRONOPLE!$F$15,$M57-$A$15,BM$13)=0,10^12,OFFSET(CRONOPLE!$F$15,$M57-$A$15,BM$13)))</f>
        <v>0</v>
      </c>
      <c r="BN57" s="171">
        <f ca="1">IF(OR($D57&lt;&gt;"Serviço",AND(AUTOEVENTO="Manual",$M57=$A$15)),0,
         IF(OFFSET(CRONOPLE!$F$15,$M57-$A$15,BN$13)=0,10^12,OFFSET(CRONOPLE!$F$15,$M57-$A$15,BN$13)))</f>
        <v>0</v>
      </c>
      <c r="BO57" s="171">
        <f ca="1">IF(OR($D57&lt;&gt;"Serviço",AND(AUTOEVENTO="Manual",$M57=$A$15)),0,
         IF(OFFSET(CRONOPLE!$F$15,$M57-$A$15,BO$13)=0,10^12,OFFSET(CRONOPLE!$F$15,$M57-$A$15,BO$13)))</f>
        <v>0</v>
      </c>
      <c r="BP57" s="171">
        <f ca="1">IF(OR($D57&lt;&gt;"Serviço",AND(AUTOEVENTO="Manual",$M57=$A$15)),0,
         IF(OFFSET(CRONOPLE!$F$15,$M57-$A$15,BP$13)=0,10^12,OFFSET(CRONOPLE!$F$15,$M57-$A$15,BP$13)))</f>
        <v>0</v>
      </c>
      <c r="BQ57" s="171">
        <f ca="1">IF(OR($D57&lt;&gt;"Serviço",AND(AUTOEVENTO="Manual",$M57=$A$15)),0,
         IF(OFFSET(CRONOPLE!$F$15,$M57-$A$15,BQ$13)=0,10^12,OFFSET(CRONOPLE!$F$15,$M57-$A$15,BQ$13)))</f>
        <v>0</v>
      </c>
      <c r="BR57" s="171">
        <f ca="1">IF(OR($D57&lt;&gt;"Serviço",AND(AUTOEVENTO="Manual",$M57=$A$15)),0,
         IF(OFFSET(CRONOPLE!$F$15,$M57-$A$15,BR$13)=0,10^12,OFFSET(CRONOPLE!$F$15,$M57-$A$15,BR$13)))</f>
        <v>0</v>
      </c>
      <c r="BS57" s="171">
        <f ca="1">IF(OR($D57&lt;&gt;"Serviço",AND(AUTOEVENTO="Manual",$M57=$A$15)),0,
         IF(OFFSET(CRONOPLE!$F$15,$M57-$A$15,BS$13)=0,10^12,OFFSET(CRONOPLE!$F$15,$M57-$A$15,BS$13)))</f>
        <v>0</v>
      </c>
      <c r="BT57" s="171">
        <f ca="1">IF(OR($D57&lt;&gt;"Serviço",AND(AUTOEVENTO="Manual",$M57=$A$15)),0,
         IF(OFFSET(CRONOPLE!$F$15,$M57-$A$15,BT$13)=0,10^12,OFFSET(CRONOPLE!$F$15,$M57-$A$15,BT$13)))</f>
        <v>0</v>
      </c>
      <c r="BV57" s="172">
        <f ca="1">IF(OR($D57&lt;&gt;"Serviço",AND(AUTOEVENTO="Manual",$M57=$A$15),$M57&gt;(ROW(PLE.lastrow)-ROW(PLE.firstrow))),0,
           IF(OFFSET(PLE!$G$15,$M57-$A$15,BV$13)="",10^12,OFFSET(PLE!$G$15,$M57-$A$15,BV$13)))</f>
        <v>0</v>
      </c>
      <c r="BW57" s="172">
        <f ca="1">IF(OR($D57&lt;&gt;"Serviço",AND(AUTOEVENTO="Manual",$M57=$A$15),$M57&gt;(ROW(PLE.lastrow)-ROW(PLE.firstrow))),0,
           IF(OFFSET(PLE!$G$15,$M57-$A$15,BW$13)="",10^12,OFFSET(PLE!$G$15,$M57-$A$15,BW$13)))</f>
        <v>0</v>
      </c>
      <c r="BX57" s="172">
        <f ca="1">IF(OR($D57&lt;&gt;"Serviço",AND(AUTOEVENTO="Manual",$M57=$A$15),$M57&gt;(ROW(PLE.lastrow)-ROW(PLE.firstrow))),0,
           IF(OFFSET(PLE!$G$15,$M57-$A$15,BX$13)="",10^12,OFFSET(PLE!$G$15,$M57-$A$15,BX$13)))</f>
        <v>0</v>
      </c>
      <c r="BY57" s="172">
        <f ca="1">IF(OR($D57&lt;&gt;"Serviço",AND(AUTOEVENTO="Manual",$M57=$A$15),$M57&gt;(ROW(PLE.lastrow)-ROW(PLE.firstrow))),0,
           IF(OFFSET(PLE!$G$15,$M57-$A$15,BY$13)="",10^12,OFFSET(PLE!$G$15,$M57-$A$15,BY$13)))</f>
        <v>0</v>
      </c>
      <c r="BZ57" s="172">
        <f ca="1">IF(OR($D57&lt;&gt;"Serviço",AND(AUTOEVENTO="Manual",$M57=$A$15),$M57&gt;(ROW(PLE.lastrow)-ROW(PLE.firstrow))),0,
           IF(OFFSET(PLE!$G$15,$M57-$A$15,BZ$13)="",10^12,OFFSET(PLE!$G$15,$M57-$A$15,BZ$13)))</f>
        <v>0</v>
      </c>
      <c r="CA57" s="172">
        <f ca="1">IF(OR($D57&lt;&gt;"Serviço",AND(AUTOEVENTO="Manual",$M57=$A$15),$M57&gt;(ROW(PLE.lastrow)-ROW(PLE.firstrow))),0,
           IF(OFFSET(PLE!$G$15,$M57-$A$15,CA$13)="",10^12,OFFSET(PLE!$G$15,$M57-$A$15,CA$13)))</f>
        <v>0</v>
      </c>
      <c r="CB57" s="172">
        <f ca="1">IF(OR($D57&lt;&gt;"Serviço",AND(AUTOEVENTO="Manual",$M57=$A$15),$M57&gt;(ROW(PLE.lastrow)-ROW(PLE.firstrow))),0,
           IF(OFFSET(PLE!$G$15,$M57-$A$15,CB$13)="",10^12,OFFSET(PLE!$G$15,$M57-$A$15,CB$13)))</f>
        <v>0</v>
      </c>
      <c r="CC57" s="172">
        <f ca="1">IF(OR($D57&lt;&gt;"Serviço",AND(AUTOEVENTO="Manual",$M57=$A$15),$M57&gt;(ROW(PLE.lastrow)-ROW(PLE.firstrow))),0,
           IF(OFFSET(PLE!$G$15,$M57-$A$15,CC$13)="",10^12,OFFSET(PLE!$G$15,$M57-$A$15,CC$13)))</f>
        <v>0</v>
      </c>
      <c r="CD57" s="172">
        <f ca="1">IF(OR($D57&lt;&gt;"Serviço",AND(AUTOEVENTO="Manual",$M57=$A$15),$M57&gt;(ROW(PLE.lastrow)-ROW(PLE.firstrow))),0,
           IF(OFFSET(PLE!$G$15,$M57-$A$15,CD$13)="",10^12,OFFSET(PLE!$G$15,$M57-$A$15,CD$13)))</f>
        <v>0</v>
      </c>
      <c r="CE57" s="172">
        <f ca="1">IF(OR($D57&lt;&gt;"Serviço",AND(AUTOEVENTO="Manual",$M57=$A$15),$M57&gt;(ROW(PLE.lastrow)-ROW(PLE.firstrow))),0,
           IF(OFFSET(PLE!$G$15,$M57-$A$15,CE$13)="",10^12,OFFSET(PLE!$G$15,$M57-$A$15,CE$13)))</f>
        <v>0</v>
      </c>
      <c r="CF57" s="172">
        <f ca="1">IF(OR($D57&lt;&gt;"Serviço",AND(AUTOEVENTO="Manual",$M57=$A$15),$M57&gt;(ROW(PLE.lastrow)-ROW(PLE.firstrow))),0,
           IF(OFFSET(PLE!$G$15,$M57-$A$15,CF$13)="",10^12,OFFSET(PLE!$G$15,$M57-$A$15,CF$13)))</f>
        <v>0</v>
      </c>
      <c r="CG57" s="172">
        <f ca="1">IF(OR($D57&lt;&gt;"Serviço",AND(AUTOEVENTO="Manual",$M57=$A$15),$M57&gt;(ROW(PLE.lastrow)-ROW(PLE.firstrow))),0,
           IF(OFFSET(PLE!$G$15,$M57-$A$15,CG$13)="",10^12,OFFSET(PLE!$G$15,$M57-$A$15,CG$13)))</f>
        <v>0</v>
      </c>
      <c r="CH57" s="172">
        <f ca="1">IF(OR($D57&lt;&gt;"Serviço",AND(AUTOEVENTO="Manual",$M57=$A$15),$M57&gt;(ROW(PLE.lastrow)-ROW(PLE.firstrow))),0,
           IF(OFFSET(PLE!$G$15,$M57-$A$15,CH$13)="",10^12,OFFSET(PLE!$G$15,$M57-$A$15,CH$13)))</f>
        <v>0</v>
      </c>
      <c r="CI57" s="172">
        <f ca="1">IF(OR($D57&lt;&gt;"Serviço",AND(AUTOEVENTO="Manual",$M57=$A$15),$M57&gt;(ROW(PLE.lastrow)-ROW(PLE.firstrow))),0,
           IF(OFFSET(PLE!$G$15,$M57-$A$15,CI$13)="",10^12,OFFSET(PLE!$G$15,$M57-$A$15,CI$13)))</f>
        <v>0</v>
      </c>
      <c r="CJ57" s="172">
        <f ca="1">IF(OR($D57&lt;&gt;"Serviço",AND(AUTOEVENTO="Manual",$M57=$A$15),$M57&gt;(ROW(PLE.lastrow)-ROW(PLE.firstrow))),0,
           IF(OFFSET(PLE!$G$15,$M57-$A$15,CJ$13)="",10^12,OFFSET(PLE!$G$15,$M57-$A$15,CJ$13)))</f>
        <v>0</v>
      </c>
      <c r="CK57" s="172">
        <f ca="1">IF(OR($D57&lt;&gt;"Serviço",AND(AUTOEVENTO="Manual",$M57=$A$15),$M57&gt;(ROW(PLE.lastrow)-ROW(PLE.firstrow))),0,
           IF(OFFSET(PLE!$G$15,$M57-$A$15,CK$13)="",10^12,OFFSET(PLE!$G$15,$M57-$A$15,CK$13)))</f>
        <v>0</v>
      </c>
      <c r="CL57" s="172">
        <f ca="1">IF(OR($D57&lt;&gt;"Serviço",AND(AUTOEVENTO="Manual",$M57=$A$15),$M57&gt;(ROW(PLE.lastrow)-ROW(PLE.firstrow))),0,
           IF(OFFSET(PLE!$G$15,$M57-$A$15,CL$13)="",10^12,OFFSET(PLE!$G$15,$M57-$A$15,CL$13)))</f>
        <v>0</v>
      </c>
      <c r="CM57" s="172">
        <f ca="1">IF(OR($D57&lt;&gt;"Serviço",AND(AUTOEVENTO="Manual",$M57=$A$15),$M57&gt;(ROW(PLE.lastrow)-ROW(PLE.firstrow))),0,
           IF(OFFSET(PLE!$G$15,$M57-$A$15,CM$13)="",10^12,OFFSET(PLE!$G$15,$M57-$A$15,CM$13)))</f>
        <v>0</v>
      </c>
    </row>
    <row r="58" spans="1:91" ht="51" x14ac:dyDescent="0.2">
      <c r="A58" s="7">
        <f t="shared" ca="1" si="10"/>
        <v>3</v>
      </c>
      <c r="B58" s="7" t="str">
        <f ca="1">OFFSET(ORÇAMENTO!C$15,ROW(B58)-ROW(B$15),0)</f>
        <v>S</v>
      </c>
      <c r="C58" s="7" t="str">
        <f ca="1">OFFSET(ORÇAMENTO!L$15,ROW(C58)-ROW(C$15),0)</f>
        <v>F</v>
      </c>
      <c r="D58" s="116" t="str">
        <f ca="1">OFFSET(ORÇAMENTO!N$15,ROW(D58)-ROW(D$15),0)</f>
        <v>Serviço</v>
      </c>
      <c r="E58" s="117" t="str">
        <f ca="1">OFFSET(ORÇAMENTO!O$15,ROW(E58)-ROW(E$15),0)</f>
        <v>1.4.3.0.1.</v>
      </c>
      <c r="F58" s="163" t="str">
        <f ca="1">OFFSET(ORÇAMENTO!R$15,ROW(F58)-ROW(F$15),0)</f>
        <v>HIDROSSEMEADURA</v>
      </c>
      <c r="G58" s="164" t="str">
        <f ca="1">IF($D58&lt;&gt;"Serviço","",OFFSET(ORÇAMENTO!S$15,ROW(G58)-ROW(G$15),0))</f>
        <v>M2</v>
      </c>
      <c r="H58" s="122" cm="1">
        <f t="array" aca="1" ref="H58" ca="1">IF($D58&lt;&gt;"Serviço",0,IF(ACOMPANHAMENTO="BM",ROUND(OFFSET(ORÇAMENTO!AJ$15,ROW(H58)-ROW(H$15),0),15-13*ORÇAMENTO!$AF$7),SUMPRODUCT(($Q$1:$AI$1=1)*ROUND($Q58:$AI58,15-13*ORÇAMENTO!$AF$7))))</f>
        <v>82.18</v>
      </c>
      <c r="I58" s="468" t="s">
        <v>1303</v>
      </c>
      <c r="J58" s="640" t="str" cm="1">
        <f t="array" aca="1" ref="J58" ca="1">IF(OR(B58&lt;&gt;"S",CÁLCULO.FrentesPreenchidas=0),"",IF(AND(ACOMPANHAMENTO="PLE",AUTOEVENTO="Manual",OR(H58&gt;0,ORÇAMENTO!AC58="QUANT."),OR(K58="",M58=0,N58="")),"►E",IF(AND(ACOMPANHAMENTO="PLE",ORÇAMENTO!AC58="QUANT."),"►Q",IF(AND(ACOMPANHAMENTO="PLE",H58&lt;&gt;SUMPRODUCT(($Q$1:$AI$1=1)*ROUND(Q58:AI58,15))),"►S",IF(AND(COUNTIF($P$11:$AI$11,"▼")=0,H58&gt;0,I58=""),"◄M","")))))</f>
        <v/>
      </c>
      <c r="K58" s="641" t="s">
        <v>1388</v>
      </c>
      <c r="L58" s="165" t="s">
        <v>764</v>
      </c>
      <c r="M58" s="166">
        <f ca="1">IF($D58&lt;&gt;"Serviço","",
          IF(AUTOEVENTO="manual",$A58,
                IF(ISERROR(MATCH($A58,$A$15:OFFSET($A58,-1,0),0)),MAX($M$15:OFFSET(M58,-1,0))+1,
                      INDEX($M$15:OFFSET(M58,-1,0),MATCH($A58,$A$15:OFFSET($A58,-1,0),0)))))</f>
        <v>3</v>
      </c>
      <c r="N58" s="167" t="str">
        <f ca="1">IF($D58&lt;&gt;"Serviço","",
         IF(AUTOEVENTO="Manual",
                IF($A58=0,"&lt;-- defina o número do agrupador",
                       OFFSET(EVENTOS!$D$15,$A58-$A$15,0)),
                OFFSET($F$15,$A58,0)))</f>
        <v>Terraplenagem</v>
      </c>
      <c r="O58" s="168"/>
      <c r="Q58" s="168">
        <v>82.18</v>
      </c>
      <c r="R58" s="169"/>
      <c r="S58" s="169"/>
      <c r="T58" s="169"/>
      <c r="U58" s="169"/>
      <c r="V58" s="169"/>
      <c r="W58" s="169"/>
      <c r="X58" s="169"/>
      <c r="Y58" s="169"/>
      <c r="Z58" s="170"/>
      <c r="AA58" s="169"/>
      <c r="AB58" s="169"/>
      <c r="AC58" s="169"/>
      <c r="AD58" s="169"/>
      <c r="AE58" s="169"/>
      <c r="AF58" s="169"/>
      <c r="AG58" s="169"/>
      <c r="AH58" s="170"/>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L58" s="453">
        <f ca="1">IF(AND($D58="Serviço",AL$12&lt;&gt;0,$H58&gt;0,OR(AUTOEVENTO&lt;&gt;"manual",$M58&lt;&gt;$A$15)),
        IF(Import.TipoArredondamento&lt;&gt;"TransfereGOV",
              ROUND(OFFSET($P58,0,AL$13),15-13*ORÇAMENTO!$AF$7)/$H58*OFFSET(ORÇAMENTO!$X$15,ROW(AL58)-ROW(AL$15),0),
              ROUND(ROUND(OFFSET($P58,0,AL$13),15-13*ORÇAMENTO!$AF$7)*OFFSET(ORÇAMENTO!$W$15,ROW(AL58)-ROW(AL$15),0),15-13*ORÇAMENTO!$AF$11)),
         0)</f>
        <v>0</v>
      </c>
      <c r="AM58" s="453">
        <f ca="1">IF(AND($D58="Serviço",AM$12&lt;&gt;0,$H58&gt;0,OR(AUTOEVENTO&lt;&gt;"manual",$M58&lt;&gt;$A$15)),
        IF(Import.TipoArredondamento&lt;&gt;"TransfereGOV",
              ROUND(OFFSET($P58,0,AM$13),15-13*ORÇAMENTO!$AF$7)/$H58*OFFSET(ORÇAMENTO!$X$15,ROW(AM58)-ROW(AM$15),0),
              ROUND(ROUND(OFFSET($P58,0,AM$13),15-13*ORÇAMENTO!$AF$7)*OFFSET(ORÇAMENTO!$W$15,ROW(AM58)-ROW(AM$15),0),15-13*ORÇAMENTO!$AF$11)),
         0)</f>
        <v>0</v>
      </c>
      <c r="AN58" s="453">
        <f ca="1">IF(AND($D58="Serviço",AN$12&lt;&gt;0,$H58&gt;0,OR(AUTOEVENTO&lt;&gt;"manual",$M58&lt;&gt;$A$15)),
        IF(Import.TipoArredondamento&lt;&gt;"TransfereGOV",
              ROUND(OFFSET($P58,0,AN$13),15-13*ORÇAMENTO!$AF$7)/$H58*OFFSET(ORÇAMENTO!$X$15,ROW(AN58)-ROW(AN$15),0),
              ROUND(ROUND(OFFSET($P58,0,AN$13),15-13*ORÇAMENTO!$AF$7)*OFFSET(ORÇAMENTO!$W$15,ROW(AN58)-ROW(AN$15),0),15-13*ORÇAMENTO!$AF$11)),
         0)</f>
        <v>0</v>
      </c>
      <c r="AO58" s="453">
        <f ca="1">IF(AND($D58="Serviço",AO$12&lt;&gt;0,$H58&gt;0,OR(AUTOEVENTO&lt;&gt;"manual",$M58&lt;&gt;$A$15)),
        IF(Import.TipoArredondamento&lt;&gt;"TransfereGOV",
              ROUND(OFFSET($P58,0,AO$13),15-13*ORÇAMENTO!$AF$7)/$H58*OFFSET(ORÇAMENTO!$X$15,ROW(AO58)-ROW(AO$15),0),
              ROUND(ROUND(OFFSET($P58,0,AO$13),15-13*ORÇAMENTO!$AF$7)*OFFSET(ORÇAMENTO!$W$15,ROW(AO58)-ROW(AO$15),0),15-13*ORÇAMENTO!$AF$11)),
         0)</f>
        <v>0</v>
      </c>
      <c r="AP58" s="453">
        <f ca="1">IF(AND($D58="Serviço",AP$12&lt;&gt;0,$H58&gt;0,OR(AUTOEVENTO&lt;&gt;"manual",$M58&lt;&gt;$A$15)),
        IF(Import.TipoArredondamento&lt;&gt;"TransfereGOV",
              ROUND(OFFSET($P58,0,AP$13),15-13*ORÇAMENTO!$AF$7)/$H58*OFFSET(ORÇAMENTO!$X$15,ROW(AP58)-ROW(AP$15),0),
              ROUND(ROUND(OFFSET($P58,0,AP$13),15-13*ORÇAMENTO!$AF$7)*OFFSET(ORÇAMENTO!$W$15,ROW(AP58)-ROW(AP$15),0),15-13*ORÇAMENTO!$AF$11)),
         0)</f>
        <v>0</v>
      </c>
      <c r="AQ58" s="453">
        <f ca="1">IF(AND($D58="Serviço",AQ$12&lt;&gt;0,$H58&gt;0,OR(AUTOEVENTO&lt;&gt;"manual",$M58&lt;&gt;$A$15)),
        IF(Import.TipoArredondamento&lt;&gt;"TransfereGOV",
              ROUND(OFFSET($P58,0,AQ$13),15-13*ORÇAMENTO!$AF$7)/$H58*OFFSET(ORÇAMENTO!$X$15,ROW(AQ58)-ROW(AQ$15),0),
              ROUND(ROUND(OFFSET($P58,0,AQ$13),15-13*ORÇAMENTO!$AF$7)*OFFSET(ORÇAMENTO!$W$15,ROW(AQ58)-ROW(AQ$15),0),15-13*ORÇAMENTO!$AF$11)),
         0)</f>
        <v>0</v>
      </c>
      <c r="AR58" s="453">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3">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3">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3">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3">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3">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3">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3">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3">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3">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C58" s="171">
        <f ca="1">IF(OR($D58&lt;&gt;"Serviço",AND(AUTOEVENTO="Manual",$M58=$A$15)),0,
         IF(OFFSET(CRONOPLE!$F$15,$M58-$A$15,BC$13)=0,10^12,OFFSET(CRONOPLE!$F$15,$M58-$A$15,BC$13)))</f>
        <v>1</v>
      </c>
      <c r="BD58" s="171">
        <f ca="1">IF(OR($D58&lt;&gt;"Serviço",AND(AUTOEVENTO="Manual",$M58=$A$15)),0,
         IF(OFFSET(CRONOPLE!$F$15,$M58-$A$15,BD$13)=0,10^12,OFFSET(CRONOPLE!$F$15,$M58-$A$15,BD$13)))</f>
        <v>2</v>
      </c>
      <c r="BE58" s="171">
        <f ca="1">IF(OR($D58&lt;&gt;"Serviço",AND(AUTOEVENTO="Manual",$M58=$A$15)),0,
         IF(OFFSET(CRONOPLE!$F$15,$M58-$A$15,BE$13)=0,10^12,OFFSET(CRONOPLE!$F$15,$M58-$A$15,BE$13)))</f>
        <v>3</v>
      </c>
      <c r="BF58" s="171">
        <f ca="1">IF(OR($D58&lt;&gt;"Serviço",AND(AUTOEVENTO="Manual",$M58=$A$15)),0,
         IF(OFFSET(CRONOPLE!$F$15,$M58-$A$15,BF$13)=0,10^12,OFFSET(CRONOPLE!$F$15,$M58-$A$15,BF$13)))</f>
        <v>4</v>
      </c>
      <c r="BG58" s="171">
        <f ca="1">IF(OR($D58&lt;&gt;"Serviço",AND(AUTOEVENTO="Manual",$M58=$A$15)),0,
         IF(OFFSET(CRONOPLE!$F$15,$M58-$A$15,BG$13)=0,10^12,OFFSET(CRONOPLE!$F$15,$M58-$A$15,BG$13)))</f>
        <v>5</v>
      </c>
      <c r="BH58" s="171">
        <f ca="1">IF(OR($D58&lt;&gt;"Serviço",AND(AUTOEVENTO="Manual",$M58=$A$15)),0,
         IF(OFFSET(CRONOPLE!$F$15,$M58-$A$15,BH$13)=0,10^12,OFFSET(CRONOPLE!$F$15,$M58-$A$15,BH$13)))</f>
        <v>6</v>
      </c>
      <c r="BI58" s="171">
        <f ca="1">IF(OR($D58&lt;&gt;"Serviço",AND(AUTOEVENTO="Manual",$M58=$A$15)),0,
         IF(OFFSET(CRONOPLE!$F$15,$M58-$A$15,BI$13)=0,10^12,OFFSET(CRONOPLE!$F$15,$M58-$A$15,BI$13)))</f>
        <v>7</v>
      </c>
      <c r="BJ58" s="171">
        <f ca="1">IF(OR($D58&lt;&gt;"Serviço",AND(AUTOEVENTO="Manual",$M58=$A$15)),0,
         IF(OFFSET(CRONOPLE!$F$15,$M58-$A$15,BJ$13)=0,10^12,OFFSET(CRONOPLE!$F$15,$M58-$A$15,BJ$13)))</f>
        <v>8</v>
      </c>
      <c r="BK58" s="171">
        <f ca="1">IF(OR($D58&lt;&gt;"Serviço",AND(AUTOEVENTO="Manual",$M58=$A$15)),0,
         IF(OFFSET(CRONOPLE!$F$15,$M58-$A$15,BK$13)=0,10^12,OFFSET(CRONOPLE!$F$15,$M58-$A$15,BK$13)))</f>
        <v>9</v>
      </c>
      <c r="BL58" s="171">
        <f ca="1">IF(OR($D58&lt;&gt;"Serviço",AND(AUTOEVENTO="Manual",$M58=$A$15)),0,
         IF(OFFSET(CRONOPLE!$F$15,$M58-$A$15,BL$13)=0,10^12,OFFSET(CRONOPLE!$F$15,$M58-$A$15,BL$13)))</f>
        <v>10</v>
      </c>
      <c r="BM58" s="171">
        <f ca="1">IF(OR($D58&lt;&gt;"Serviço",AND(AUTOEVENTO="Manual",$M58=$A$15)),0,
         IF(OFFSET(CRONOPLE!$F$15,$M58-$A$15,BM$13)=0,10^12,OFFSET(CRONOPLE!$F$15,$M58-$A$15,BM$13)))</f>
        <v>1000000000000</v>
      </c>
      <c r="BN58" s="171">
        <f ca="1">IF(OR($D58&lt;&gt;"Serviço",AND(AUTOEVENTO="Manual",$M58=$A$15)),0,
         IF(OFFSET(CRONOPLE!$F$15,$M58-$A$15,BN$13)=0,10^12,OFFSET(CRONOPLE!$F$15,$M58-$A$15,BN$13)))</f>
        <v>1000000000000</v>
      </c>
      <c r="BO58" s="171">
        <f ca="1">IF(OR($D58&lt;&gt;"Serviço",AND(AUTOEVENTO="Manual",$M58=$A$15)),0,
         IF(OFFSET(CRONOPLE!$F$15,$M58-$A$15,BO$13)=0,10^12,OFFSET(CRONOPLE!$F$15,$M58-$A$15,BO$13)))</f>
        <v>1000000000000</v>
      </c>
      <c r="BP58" s="171">
        <f ca="1">IF(OR($D58&lt;&gt;"Serviço",AND(AUTOEVENTO="Manual",$M58=$A$15)),0,
         IF(OFFSET(CRONOPLE!$F$15,$M58-$A$15,BP$13)=0,10^12,OFFSET(CRONOPLE!$F$15,$M58-$A$15,BP$13)))</f>
        <v>1000000000000</v>
      </c>
      <c r="BQ58" s="171">
        <f ca="1">IF(OR($D58&lt;&gt;"Serviço",AND(AUTOEVENTO="Manual",$M58=$A$15)),0,
         IF(OFFSET(CRONOPLE!$F$15,$M58-$A$15,BQ$13)=0,10^12,OFFSET(CRONOPLE!$F$15,$M58-$A$15,BQ$13)))</f>
        <v>1000000000000</v>
      </c>
      <c r="BR58" s="171">
        <f ca="1">IF(OR($D58&lt;&gt;"Serviço",AND(AUTOEVENTO="Manual",$M58=$A$15)),0,
         IF(OFFSET(CRONOPLE!$F$15,$M58-$A$15,BR$13)=0,10^12,OFFSET(CRONOPLE!$F$15,$M58-$A$15,BR$13)))</f>
        <v>1000000000000</v>
      </c>
      <c r="BS58" s="171">
        <f ca="1">IF(OR($D58&lt;&gt;"Serviço",AND(AUTOEVENTO="Manual",$M58=$A$15)),0,
         IF(OFFSET(CRONOPLE!$F$15,$M58-$A$15,BS$13)=0,10^12,OFFSET(CRONOPLE!$F$15,$M58-$A$15,BS$13)))</f>
        <v>1000000000000</v>
      </c>
      <c r="BT58" s="171">
        <f ca="1">IF(OR($D58&lt;&gt;"Serviço",AND(AUTOEVENTO="Manual",$M58=$A$15)),0,
         IF(OFFSET(CRONOPLE!$F$15,$M58-$A$15,BT$13)=0,10^12,OFFSET(CRONOPLE!$F$15,$M58-$A$15,BT$13)))</f>
        <v>1000000000000</v>
      </c>
      <c r="BV58" s="172">
        <f ca="1">IF(OR($D58&lt;&gt;"Serviço",AND(AUTOEVENTO="Manual",$M58=$A$15),$M58&gt;(ROW(PLE.lastrow)-ROW(PLE.firstrow))),0,
           IF(OFFSET(PLE!$G$15,$M58-$A$15,BV$13)="",10^12,OFFSET(PLE!$G$15,$M58-$A$15,BV$13)))</f>
        <v>1000000000000</v>
      </c>
      <c r="BW58" s="172">
        <f ca="1">IF(OR($D58&lt;&gt;"Serviço",AND(AUTOEVENTO="Manual",$M58=$A$15),$M58&gt;(ROW(PLE.lastrow)-ROW(PLE.firstrow))),0,
           IF(OFFSET(PLE!$G$15,$M58-$A$15,BW$13)="",10^12,OFFSET(PLE!$G$15,$M58-$A$15,BW$13)))</f>
        <v>1000000000000</v>
      </c>
      <c r="BX58" s="172">
        <f ca="1">IF(OR($D58&lt;&gt;"Serviço",AND(AUTOEVENTO="Manual",$M58=$A$15),$M58&gt;(ROW(PLE.lastrow)-ROW(PLE.firstrow))),0,
           IF(OFFSET(PLE!$G$15,$M58-$A$15,BX$13)="",10^12,OFFSET(PLE!$G$15,$M58-$A$15,BX$13)))</f>
        <v>1000000000000</v>
      </c>
      <c r="BY58" s="172">
        <f ca="1">IF(OR($D58&lt;&gt;"Serviço",AND(AUTOEVENTO="Manual",$M58=$A$15),$M58&gt;(ROW(PLE.lastrow)-ROW(PLE.firstrow))),0,
           IF(OFFSET(PLE!$G$15,$M58-$A$15,BY$13)="",10^12,OFFSET(PLE!$G$15,$M58-$A$15,BY$13)))</f>
        <v>1000000000000</v>
      </c>
      <c r="BZ58" s="172">
        <f ca="1">IF(OR($D58&lt;&gt;"Serviço",AND(AUTOEVENTO="Manual",$M58=$A$15),$M58&gt;(ROW(PLE.lastrow)-ROW(PLE.firstrow))),0,
           IF(OFFSET(PLE!$G$15,$M58-$A$15,BZ$13)="",10^12,OFFSET(PLE!$G$15,$M58-$A$15,BZ$13)))</f>
        <v>1000000000000</v>
      </c>
      <c r="CA58" s="172">
        <f ca="1">IF(OR($D58&lt;&gt;"Serviço",AND(AUTOEVENTO="Manual",$M58=$A$15),$M58&gt;(ROW(PLE.lastrow)-ROW(PLE.firstrow))),0,
           IF(OFFSET(PLE!$G$15,$M58-$A$15,CA$13)="",10^12,OFFSET(PLE!$G$15,$M58-$A$15,CA$13)))</f>
        <v>1000000000000</v>
      </c>
      <c r="CB58" s="172">
        <f ca="1">IF(OR($D58&lt;&gt;"Serviço",AND(AUTOEVENTO="Manual",$M58=$A$15),$M58&gt;(ROW(PLE.lastrow)-ROW(PLE.firstrow))),0,
           IF(OFFSET(PLE!$G$15,$M58-$A$15,CB$13)="",10^12,OFFSET(PLE!$G$15,$M58-$A$15,CB$13)))</f>
        <v>1000000000000</v>
      </c>
      <c r="CC58" s="172">
        <f ca="1">IF(OR($D58&lt;&gt;"Serviço",AND(AUTOEVENTO="Manual",$M58=$A$15),$M58&gt;(ROW(PLE.lastrow)-ROW(PLE.firstrow))),0,
           IF(OFFSET(PLE!$G$15,$M58-$A$15,CC$13)="",10^12,OFFSET(PLE!$G$15,$M58-$A$15,CC$13)))</f>
        <v>1000000000000</v>
      </c>
      <c r="CD58" s="172">
        <f ca="1">IF(OR($D58&lt;&gt;"Serviço",AND(AUTOEVENTO="Manual",$M58=$A$15),$M58&gt;(ROW(PLE.lastrow)-ROW(PLE.firstrow))),0,
           IF(OFFSET(PLE!$G$15,$M58-$A$15,CD$13)="",10^12,OFFSET(PLE!$G$15,$M58-$A$15,CD$13)))</f>
        <v>1000000000000</v>
      </c>
      <c r="CE58" s="172">
        <f ca="1">IF(OR($D58&lt;&gt;"Serviço",AND(AUTOEVENTO="Manual",$M58=$A$15),$M58&gt;(ROW(PLE.lastrow)-ROW(PLE.firstrow))),0,
           IF(OFFSET(PLE!$G$15,$M58-$A$15,CE$13)="",10^12,OFFSET(PLE!$G$15,$M58-$A$15,CE$13)))</f>
        <v>1000000000000</v>
      </c>
      <c r="CF58" s="172">
        <f ca="1">IF(OR($D58&lt;&gt;"Serviço",AND(AUTOEVENTO="Manual",$M58=$A$15),$M58&gt;(ROW(PLE.lastrow)-ROW(PLE.firstrow))),0,
           IF(OFFSET(PLE!$G$15,$M58-$A$15,CF$13)="",10^12,OFFSET(PLE!$G$15,$M58-$A$15,CF$13)))</f>
        <v>1000000000000</v>
      </c>
      <c r="CG58" s="172">
        <f ca="1">IF(OR($D58&lt;&gt;"Serviço",AND(AUTOEVENTO="Manual",$M58=$A$15),$M58&gt;(ROW(PLE.lastrow)-ROW(PLE.firstrow))),0,
           IF(OFFSET(PLE!$G$15,$M58-$A$15,CG$13)="",10^12,OFFSET(PLE!$G$15,$M58-$A$15,CG$13)))</f>
        <v>1000000000000</v>
      </c>
      <c r="CH58" s="172">
        <f ca="1">IF(OR($D58&lt;&gt;"Serviço",AND(AUTOEVENTO="Manual",$M58=$A$15),$M58&gt;(ROW(PLE.lastrow)-ROW(PLE.firstrow))),0,
           IF(OFFSET(PLE!$G$15,$M58-$A$15,CH$13)="",10^12,OFFSET(PLE!$G$15,$M58-$A$15,CH$13)))</f>
        <v>1000000000000</v>
      </c>
      <c r="CI58" s="172">
        <f ca="1">IF(OR($D58&lt;&gt;"Serviço",AND(AUTOEVENTO="Manual",$M58=$A$15),$M58&gt;(ROW(PLE.lastrow)-ROW(PLE.firstrow))),0,
           IF(OFFSET(PLE!$G$15,$M58-$A$15,CI$13)="",10^12,OFFSET(PLE!$G$15,$M58-$A$15,CI$13)))</f>
        <v>1000000000000</v>
      </c>
      <c r="CJ58" s="172">
        <f ca="1">IF(OR($D58&lt;&gt;"Serviço",AND(AUTOEVENTO="Manual",$M58=$A$15),$M58&gt;(ROW(PLE.lastrow)-ROW(PLE.firstrow))),0,
           IF(OFFSET(PLE!$G$15,$M58-$A$15,CJ$13)="",10^12,OFFSET(PLE!$G$15,$M58-$A$15,CJ$13)))</f>
        <v>1000000000000</v>
      </c>
      <c r="CK58" s="172">
        <f ca="1">IF(OR($D58&lt;&gt;"Serviço",AND(AUTOEVENTO="Manual",$M58=$A$15),$M58&gt;(ROW(PLE.lastrow)-ROW(PLE.firstrow))),0,
           IF(OFFSET(PLE!$G$15,$M58-$A$15,CK$13)="",10^12,OFFSET(PLE!$G$15,$M58-$A$15,CK$13)))</f>
        <v>1000000000000</v>
      </c>
      <c r="CL58" s="172">
        <f ca="1">IF(OR($D58&lt;&gt;"Serviço",AND(AUTOEVENTO="Manual",$M58=$A$15),$M58&gt;(ROW(PLE.lastrow)-ROW(PLE.firstrow))),0,
           IF(OFFSET(PLE!$G$15,$M58-$A$15,CL$13)="",10^12,OFFSET(PLE!$G$15,$M58-$A$15,CL$13)))</f>
        <v>1000000000000</v>
      </c>
      <c r="CM58" s="172">
        <f ca="1">IF(OR($D58&lt;&gt;"Serviço",AND(AUTOEVENTO="Manual",$M58=$A$15),$M58&gt;(ROW(PLE.lastrow)-ROW(PLE.firstrow))),0,
           IF(OFFSET(PLE!$G$15,$M58-$A$15,CM$13)="",10^12,OFFSET(PLE!$G$15,$M58-$A$15,CM$13)))</f>
        <v>1000000000000</v>
      </c>
    </row>
    <row r="59" spans="1:91" ht="12.75" x14ac:dyDescent="0.2">
      <c r="A59" s="7">
        <f t="shared" ca="1" si="10"/>
        <v>0</v>
      </c>
      <c r="B59" s="7">
        <f ca="1">OFFSET(ORÇAMENTO!C$15,ROW(B59)-ROW(B$15),0)</f>
        <v>2</v>
      </c>
      <c r="C59" s="7" t="str">
        <f ca="1">OFFSET(ORÇAMENTO!L$15,ROW(C59)-ROW(C$15),0)</f>
        <v>F</v>
      </c>
      <c r="D59" s="116" t="str">
        <f ca="1">OFFSET(ORÇAMENTO!N$15,ROW(D59)-ROW(D$15),0)</f>
        <v>Nível 2</v>
      </c>
      <c r="E59" s="117" t="str">
        <f ca="1">OFFSET(ORÇAMENTO!O$15,ROW(E59)-ROW(E$15),0)</f>
        <v>1.5.</v>
      </c>
      <c r="F59" s="163" t="str">
        <f ca="1">OFFSET(ORÇAMENTO!R$15,ROW(F59)-ROW(F$15),0)</f>
        <v>ESTRUTURAS DE CONCRETO</v>
      </c>
      <c r="G59" s="164" t="str">
        <f ca="1">IF($D59&lt;&gt;"Serviço","",OFFSET(ORÇAMENTO!S$15,ROW(G59)-ROW(G$15),0))</f>
        <v/>
      </c>
      <c r="H59" s="122" cm="1">
        <f t="array" aca="1" ref="H59" ca="1">IF($D59&lt;&gt;"Serviço",0,IF(ACOMPANHAMENTO="BM",ROUND(OFFSET(ORÇAMENTO!AJ$15,ROW(H59)-ROW(H$15),0),15-13*ORÇAMENTO!$AF$7),SUMPRODUCT(($Q$1:$AI$1=1)*ROUND($Q59:$AI59,15-13*ORÇAMENTO!$AF$7))))</f>
        <v>0</v>
      </c>
      <c r="I59" s="468"/>
      <c r="J59" s="640" t="str" cm="1">
        <f t="array" aca="1" ref="J59" ca="1">IF(OR(B59&lt;&gt;"S",CÁLCULO.FrentesPreenchidas=0),"",IF(AND(ACOMPANHAMENTO="PLE",AUTOEVENTO="Manual",OR(H59&gt;0,ORÇAMENTO!AC59="QUANT."),OR(K59="",M59=0,N59="")),"►E",IF(AND(ACOMPANHAMENTO="PLE",ORÇAMENTO!AC59="QUANT."),"►Q",IF(AND(ACOMPANHAMENTO="PLE",H59&lt;&gt;SUMPRODUCT(($Q$1:$AI$1=1)*ROUND(Q59:AI59,15))),"►S",IF(AND(COUNTIF($P$11:$AI$11,"▼")=0,H59&gt;0,I59=""),"◄M","")))))</f>
        <v/>
      </c>
      <c r="K59" s="641"/>
      <c r="L59" s="165" t="s">
        <v>764</v>
      </c>
      <c r="M59" s="166" t="str">
        <f ca="1">IF($D59&lt;&gt;"Serviço","",
          IF(AUTOEVENTO="manual",$A59,
                IF(ISERROR(MATCH($A59,$A$15:OFFSET($A59,-1,0),0)),MAX($M$15:OFFSET(M59,-1,0))+1,
                      INDEX($M$15:OFFSET(M59,-1,0),MATCH($A59,$A$15:OFFSET($A59,-1,0),0)))))</f>
        <v/>
      </c>
      <c r="N59" s="167" t="str">
        <f ca="1">IF($D59&lt;&gt;"Serviço","",
         IF(AUTOEVENTO="Manual",
                IF($A59=0,"&lt;-- defina o número do agrupador",
                       OFFSET(EVENTOS!$D$15,$A59-$A$15,0)),
                OFFSET($F$15,$A59,0)))</f>
        <v/>
      </c>
      <c r="O59" s="168"/>
      <c r="Q59" s="168"/>
      <c r="R59" s="169"/>
      <c r="S59" s="169"/>
      <c r="T59" s="169"/>
      <c r="U59" s="169"/>
      <c r="V59" s="169"/>
      <c r="W59" s="169"/>
      <c r="X59" s="169"/>
      <c r="Y59" s="169"/>
      <c r="Z59" s="170"/>
      <c r="AA59" s="169"/>
      <c r="AB59" s="169"/>
      <c r="AC59" s="169"/>
      <c r="AD59" s="169"/>
      <c r="AE59" s="169"/>
      <c r="AF59" s="169"/>
      <c r="AG59" s="169"/>
      <c r="AH59" s="170"/>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L59" s="453">
        <f ca="1">IF(AND($D59="Serviço",AL$12&lt;&gt;0,$H59&gt;0,OR(AUTOEVENTO&lt;&gt;"manual",$M59&lt;&gt;$A$15)),
        IF(Import.TipoArredondamento&lt;&gt;"TransfereGOV",
              ROUND(OFFSET($P59,0,AL$13),15-13*ORÇAMENTO!$AF$7)/$H59*OFFSET(ORÇAMENTO!$X$15,ROW(AL59)-ROW(AL$15),0),
              ROUND(ROUND(OFFSET($P59,0,AL$13),15-13*ORÇAMENTO!$AF$7)*OFFSET(ORÇAMENTO!$W$15,ROW(AL59)-ROW(AL$15),0),15-13*ORÇAMENTO!$AF$11)),
         0)</f>
        <v>0</v>
      </c>
      <c r="AM59" s="453">
        <f ca="1">IF(AND($D59="Serviço",AM$12&lt;&gt;0,$H59&gt;0,OR(AUTOEVENTO&lt;&gt;"manual",$M59&lt;&gt;$A$15)),
        IF(Import.TipoArredondamento&lt;&gt;"TransfereGOV",
              ROUND(OFFSET($P59,0,AM$13),15-13*ORÇAMENTO!$AF$7)/$H59*OFFSET(ORÇAMENTO!$X$15,ROW(AM59)-ROW(AM$15),0),
              ROUND(ROUND(OFFSET($P59,0,AM$13),15-13*ORÇAMENTO!$AF$7)*OFFSET(ORÇAMENTO!$W$15,ROW(AM59)-ROW(AM$15),0),15-13*ORÇAMENTO!$AF$11)),
         0)</f>
        <v>0</v>
      </c>
      <c r="AN59" s="453">
        <f ca="1">IF(AND($D59="Serviço",AN$12&lt;&gt;0,$H59&gt;0,OR(AUTOEVENTO&lt;&gt;"manual",$M59&lt;&gt;$A$15)),
        IF(Import.TipoArredondamento&lt;&gt;"TransfereGOV",
              ROUND(OFFSET($P59,0,AN$13),15-13*ORÇAMENTO!$AF$7)/$H59*OFFSET(ORÇAMENTO!$X$15,ROW(AN59)-ROW(AN$15),0),
              ROUND(ROUND(OFFSET($P59,0,AN$13),15-13*ORÇAMENTO!$AF$7)*OFFSET(ORÇAMENTO!$W$15,ROW(AN59)-ROW(AN$15),0),15-13*ORÇAMENTO!$AF$11)),
         0)</f>
        <v>0</v>
      </c>
      <c r="AO59" s="453">
        <f ca="1">IF(AND($D59="Serviço",AO$12&lt;&gt;0,$H59&gt;0,OR(AUTOEVENTO&lt;&gt;"manual",$M59&lt;&gt;$A$15)),
        IF(Import.TipoArredondamento&lt;&gt;"TransfereGOV",
              ROUND(OFFSET($P59,0,AO$13),15-13*ORÇAMENTO!$AF$7)/$H59*OFFSET(ORÇAMENTO!$X$15,ROW(AO59)-ROW(AO$15),0),
              ROUND(ROUND(OFFSET($P59,0,AO$13),15-13*ORÇAMENTO!$AF$7)*OFFSET(ORÇAMENTO!$W$15,ROW(AO59)-ROW(AO$15),0),15-13*ORÇAMENTO!$AF$11)),
         0)</f>
        <v>0</v>
      </c>
      <c r="AP59" s="453">
        <f ca="1">IF(AND($D59="Serviço",AP$12&lt;&gt;0,$H59&gt;0,OR(AUTOEVENTO&lt;&gt;"manual",$M59&lt;&gt;$A$15)),
        IF(Import.TipoArredondamento&lt;&gt;"TransfereGOV",
              ROUND(OFFSET($P59,0,AP$13),15-13*ORÇAMENTO!$AF$7)/$H59*OFFSET(ORÇAMENTO!$X$15,ROW(AP59)-ROW(AP$15),0),
              ROUND(ROUND(OFFSET($P59,0,AP$13),15-13*ORÇAMENTO!$AF$7)*OFFSET(ORÇAMENTO!$W$15,ROW(AP59)-ROW(AP$15),0),15-13*ORÇAMENTO!$AF$11)),
         0)</f>
        <v>0</v>
      </c>
      <c r="AQ59" s="453">
        <f ca="1">IF(AND($D59="Serviço",AQ$12&lt;&gt;0,$H59&gt;0,OR(AUTOEVENTO&lt;&gt;"manual",$M59&lt;&gt;$A$15)),
        IF(Import.TipoArredondamento&lt;&gt;"TransfereGOV",
              ROUND(OFFSET($P59,0,AQ$13),15-13*ORÇAMENTO!$AF$7)/$H59*OFFSET(ORÇAMENTO!$X$15,ROW(AQ59)-ROW(AQ$15),0),
              ROUND(ROUND(OFFSET($P59,0,AQ$13),15-13*ORÇAMENTO!$AF$7)*OFFSET(ORÇAMENTO!$W$15,ROW(AQ59)-ROW(AQ$15),0),15-13*ORÇAMENTO!$AF$11)),
         0)</f>
        <v>0</v>
      </c>
      <c r="AR59" s="453">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3">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3">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3">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3">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3">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3">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3">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3">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3">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C59" s="171">
        <f ca="1">IF(OR($D59&lt;&gt;"Serviço",AND(AUTOEVENTO="Manual",$M59=$A$15)),0,
         IF(OFFSET(CRONOPLE!$F$15,$M59-$A$15,BC$13)=0,10^12,OFFSET(CRONOPLE!$F$15,$M59-$A$15,BC$13)))</f>
        <v>0</v>
      </c>
      <c r="BD59" s="171">
        <f ca="1">IF(OR($D59&lt;&gt;"Serviço",AND(AUTOEVENTO="Manual",$M59=$A$15)),0,
         IF(OFFSET(CRONOPLE!$F$15,$M59-$A$15,BD$13)=0,10^12,OFFSET(CRONOPLE!$F$15,$M59-$A$15,BD$13)))</f>
        <v>0</v>
      </c>
      <c r="BE59" s="171">
        <f ca="1">IF(OR($D59&lt;&gt;"Serviço",AND(AUTOEVENTO="Manual",$M59=$A$15)),0,
         IF(OFFSET(CRONOPLE!$F$15,$M59-$A$15,BE$13)=0,10^12,OFFSET(CRONOPLE!$F$15,$M59-$A$15,BE$13)))</f>
        <v>0</v>
      </c>
      <c r="BF59" s="171">
        <f ca="1">IF(OR($D59&lt;&gt;"Serviço",AND(AUTOEVENTO="Manual",$M59=$A$15)),0,
         IF(OFFSET(CRONOPLE!$F$15,$M59-$A$15,BF$13)=0,10^12,OFFSET(CRONOPLE!$F$15,$M59-$A$15,BF$13)))</f>
        <v>0</v>
      </c>
      <c r="BG59" s="171">
        <f ca="1">IF(OR($D59&lt;&gt;"Serviço",AND(AUTOEVENTO="Manual",$M59=$A$15)),0,
         IF(OFFSET(CRONOPLE!$F$15,$M59-$A$15,BG$13)=0,10^12,OFFSET(CRONOPLE!$F$15,$M59-$A$15,BG$13)))</f>
        <v>0</v>
      </c>
      <c r="BH59" s="171">
        <f ca="1">IF(OR($D59&lt;&gt;"Serviço",AND(AUTOEVENTO="Manual",$M59=$A$15)),0,
         IF(OFFSET(CRONOPLE!$F$15,$M59-$A$15,BH$13)=0,10^12,OFFSET(CRONOPLE!$F$15,$M59-$A$15,BH$13)))</f>
        <v>0</v>
      </c>
      <c r="BI59" s="171">
        <f ca="1">IF(OR($D59&lt;&gt;"Serviço",AND(AUTOEVENTO="Manual",$M59=$A$15)),0,
         IF(OFFSET(CRONOPLE!$F$15,$M59-$A$15,BI$13)=0,10^12,OFFSET(CRONOPLE!$F$15,$M59-$A$15,BI$13)))</f>
        <v>0</v>
      </c>
      <c r="BJ59" s="171">
        <f ca="1">IF(OR($D59&lt;&gt;"Serviço",AND(AUTOEVENTO="Manual",$M59=$A$15)),0,
         IF(OFFSET(CRONOPLE!$F$15,$M59-$A$15,BJ$13)=0,10^12,OFFSET(CRONOPLE!$F$15,$M59-$A$15,BJ$13)))</f>
        <v>0</v>
      </c>
      <c r="BK59" s="171">
        <f ca="1">IF(OR($D59&lt;&gt;"Serviço",AND(AUTOEVENTO="Manual",$M59=$A$15)),0,
         IF(OFFSET(CRONOPLE!$F$15,$M59-$A$15,BK$13)=0,10^12,OFFSET(CRONOPLE!$F$15,$M59-$A$15,BK$13)))</f>
        <v>0</v>
      </c>
      <c r="BL59" s="171">
        <f ca="1">IF(OR($D59&lt;&gt;"Serviço",AND(AUTOEVENTO="Manual",$M59=$A$15)),0,
         IF(OFFSET(CRONOPLE!$F$15,$M59-$A$15,BL$13)=0,10^12,OFFSET(CRONOPLE!$F$15,$M59-$A$15,BL$13)))</f>
        <v>0</v>
      </c>
      <c r="BM59" s="171">
        <f ca="1">IF(OR($D59&lt;&gt;"Serviço",AND(AUTOEVENTO="Manual",$M59=$A$15)),0,
         IF(OFFSET(CRONOPLE!$F$15,$M59-$A$15,BM$13)=0,10^12,OFFSET(CRONOPLE!$F$15,$M59-$A$15,BM$13)))</f>
        <v>0</v>
      </c>
      <c r="BN59" s="171">
        <f ca="1">IF(OR($D59&lt;&gt;"Serviço",AND(AUTOEVENTO="Manual",$M59=$A$15)),0,
         IF(OFFSET(CRONOPLE!$F$15,$M59-$A$15,BN$13)=0,10^12,OFFSET(CRONOPLE!$F$15,$M59-$A$15,BN$13)))</f>
        <v>0</v>
      </c>
      <c r="BO59" s="171">
        <f ca="1">IF(OR($D59&lt;&gt;"Serviço",AND(AUTOEVENTO="Manual",$M59=$A$15)),0,
         IF(OFFSET(CRONOPLE!$F$15,$M59-$A$15,BO$13)=0,10^12,OFFSET(CRONOPLE!$F$15,$M59-$A$15,BO$13)))</f>
        <v>0</v>
      </c>
      <c r="BP59" s="171">
        <f ca="1">IF(OR($D59&lt;&gt;"Serviço",AND(AUTOEVENTO="Manual",$M59=$A$15)),0,
         IF(OFFSET(CRONOPLE!$F$15,$M59-$A$15,BP$13)=0,10^12,OFFSET(CRONOPLE!$F$15,$M59-$A$15,BP$13)))</f>
        <v>0</v>
      </c>
      <c r="BQ59" s="171">
        <f ca="1">IF(OR($D59&lt;&gt;"Serviço",AND(AUTOEVENTO="Manual",$M59=$A$15)),0,
         IF(OFFSET(CRONOPLE!$F$15,$M59-$A$15,BQ$13)=0,10^12,OFFSET(CRONOPLE!$F$15,$M59-$A$15,BQ$13)))</f>
        <v>0</v>
      </c>
      <c r="BR59" s="171">
        <f ca="1">IF(OR($D59&lt;&gt;"Serviço",AND(AUTOEVENTO="Manual",$M59=$A$15)),0,
         IF(OFFSET(CRONOPLE!$F$15,$M59-$A$15,BR$13)=0,10^12,OFFSET(CRONOPLE!$F$15,$M59-$A$15,BR$13)))</f>
        <v>0</v>
      </c>
      <c r="BS59" s="171">
        <f ca="1">IF(OR($D59&lt;&gt;"Serviço",AND(AUTOEVENTO="Manual",$M59=$A$15)),0,
         IF(OFFSET(CRONOPLE!$F$15,$M59-$A$15,BS$13)=0,10^12,OFFSET(CRONOPLE!$F$15,$M59-$A$15,BS$13)))</f>
        <v>0</v>
      </c>
      <c r="BT59" s="171">
        <f ca="1">IF(OR($D59&lt;&gt;"Serviço",AND(AUTOEVENTO="Manual",$M59=$A$15)),0,
         IF(OFFSET(CRONOPLE!$F$15,$M59-$A$15,BT$13)=0,10^12,OFFSET(CRONOPLE!$F$15,$M59-$A$15,BT$13)))</f>
        <v>0</v>
      </c>
      <c r="BV59" s="172">
        <f ca="1">IF(OR($D59&lt;&gt;"Serviço",AND(AUTOEVENTO="Manual",$M59=$A$15),$M59&gt;(ROW(PLE.lastrow)-ROW(PLE.firstrow))),0,
           IF(OFFSET(PLE!$G$15,$M59-$A$15,BV$13)="",10^12,OFFSET(PLE!$G$15,$M59-$A$15,BV$13)))</f>
        <v>0</v>
      </c>
      <c r="BW59" s="172">
        <f ca="1">IF(OR($D59&lt;&gt;"Serviço",AND(AUTOEVENTO="Manual",$M59=$A$15),$M59&gt;(ROW(PLE.lastrow)-ROW(PLE.firstrow))),0,
           IF(OFFSET(PLE!$G$15,$M59-$A$15,BW$13)="",10^12,OFFSET(PLE!$G$15,$M59-$A$15,BW$13)))</f>
        <v>0</v>
      </c>
      <c r="BX59" s="172">
        <f ca="1">IF(OR($D59&lt;&gt;"Serviço",AND(AUTOEVENTO="Manual",$M59=$A$15),$M59&gt;(ROW(PLE.lastrow)-ROW(PLE.firstrow))),0,
           IF(OFFSET(PLE!$G$15,$M59-$A$15,BX$13)="",10^12,OFFSET(PLE!$G$15,$M59-$A$15,BX$13)))</f>
        <v>0</v>
      </c>
      <c r="BY59" s="172">
        <f ca="1">IF(OR($D59&lt;&gt;"Serviço",AND(AUTOEVENTO="Manual",$M59=$A$15),$M59&gt;(ROW(PLE.lastrow)-ROW(PLE.firstrow))),0,
           IF(OFFSET(PLE!$G$15,$M59-$A$15,BY$13)="",10^12,OFFSET(PLE!$G$15,$M59-$A$15,BY$13)))</f>
        <v>0</v>
      </c>
      <c r="BZ59" s="172">
        <f ca="1">IF(OR($D59&lt;&gt;"Serviço",AND(AUTOEVENTO="Manual",$M59=$A$15),$M59&gt;(ROW(PLE.lastrow)-ROW(PLE.firstrow))),0,
           IF(OFFSET(PLE!$G$15,$M59-$A$15,BZ$13)="",10^12,OFFSET(PLE!$G$15,$M59-$A$15,BZ$13)))</f>
        <v>0</v>
      </c>
      <c r="CA59" s="172">
        <f ca="1">IF(OR($D59&lt;&gt;"Serviço",AND(AUTOEVENTO="Manual",$M59=$A$15),$M59&gt;(ROW(PLE.lastrow)-ROW(PLE.firstrow))),0,
           IF(OFFSET(PLE!$G$15,$M59-$A$15,CA$13)="",10^12,OFFSET(PLE!$G$15,$M59-$A$15,CA$13)))</f>
        <v>0</v>
      </c>
      <c r="CB59" s="172">
        <f ca="1">IF(OR($D59&lt;&gt;"Serviço",AND(AUTOEVENTO="Manual",$M59=$A$15),$M59&gt;(ROW(PLE.lastrow)-ROW(PLE.firstrow))),0,
           IF(OFFSET(PLE!$G$15,$M59-$A$15,CB$13)="",10^12,OFFSET(PLE!$G$15,$M59-$A$15,CB$13)))</f>
        <v>0</v>
      </c>
      <c r="CC59" s="172">
        <f ca="1">IF(OR($D59&lt;&gt;"Serviço",AND(AUTOEVENTO="Manual",$M59=$A$15),$M59&gt;(ROW(PLE.lastrow)-ROW(PLE.firstrow))),0,
           IF(OFFSET(PLE!$G$15,$M59-$A$15,CC$13)="",10^12,OFFSET(PLE!$G$15,$M59-$A$15,CC$13)))</f>
        <v>0</v>
      </c>
      <c r="CD59" s="172">
        <f ca="1">IF(OR($D59&lt;&gt;"Serviço",AND(AUTOEVENTO="Manual",$M59=$A$15),$M59&gt;(ROW(PLE.lastrow)-ROW(PLE.firstrow))),0,
           IF(OFFSET(PLE!$G$15,$M59-$A$15,CD$13)="",10^12,OFFSET(PLE!$G$15,$M59-$A$15,CD$13)))</f>
        <v>0</v>
      </c>
      <c r="CE59" s="172">
        <f ca="1">IF(OR($D59&lt;&gt;"Serviço",AND(AUTOEVENTO="Manual",$M59=$A$15),$M59&gt;(ROW(PLE.lastrow)-ROW(PLE.firstrow))),0,
           IF(OFFSET(PLE!$G$15,$M59-$A$15,CE$13)="",10^12,OFFSET(PLE!$G$15,$M59-$A$15,CE$13)))</f>
        <v>0</v>
      </c>
      <c r="CF59" s="172">
        <f ca="1">IF(OR($D59&lt;&gt;"Serviço",AND(AUTOEVENTO="Manual",$M59=$A$15),$M59&gt;(ROW(PLE.lastrow)-ROW(PLE.firstrow))),0,
           IF(OFFSET(PLE!$G$15,$M59-$A$15,CF$13)="",10^12,OFFSET(PLE!$G$15,$M59-$A$15,CF$13)))</f>
        <v>0</v>
      </c>
      <c r="CG59" s="172">
        <f ca="1">IF(OR($D59&lt;&gt;"Serviço",AND(AUTOEVENTO="Manual",$M59=$A$15),$M59&gt;(ROW(PLE.lastrow)-ROW(PLE.firstrow))),0,
           IF(OFFSET(PLE!$G$15,$M59-$A$15,CG$13)="",10^12,OFFSET(PLE!$G$15,$M59-$A$15,CG$13)))</f>
        <v>0</v>
      </c>
      <c r="CH59" s="172">
        <f ca="1">IF(OR($D59&lt;&gt;"Serviço",AND(AUTOEVENTO="Manual",$M59=$A$15),$M59&gt;(ROW(PLE.lastrow)-ROW(PLE.firstrow))),0,
           IF(OFFSET(PLE!$G$15,$M59-$A$15,CH$13)="",10^12,OFFSET(PLE!$G$15,$M59-$A$15,CH$13)))</f>
        <v>0</v>
      </c>
      <c r="CI59" s="172">
        <f ca="1">IF(OR($D59&lt;&gt;"Serviço",AND(AUTOEVENTO="Manual",$M59=$A$15),$M59&gt;(ROW(PLE.lastrow)-ROW(PLE.firstrow))),0,
           IF(OFFSET(PLE!$G$15,$M59-$A$15,CI$13)="",10^12,OFFSET(PLE!$G$15,$M59-$A$15,CI$13)))</f>
        <v>0</v>
      </c>
      <c r="CJ59" s="172">
        <f ca="1">IF(OR($D59&lt;&gt;"Serviço",AND(AUTOEVENTO="Manual",$M59=$A$15),$M59&gt;(ROW(PLE.lastrow)-ROW(PLE.firstrow))),0,
           IF(OFFSET(PLE!$G$15,$M59-$A$15,CJ$13)="",10^12,OFFSET(PLE!$G$15,$M59-$A$15,CJ$13)))</f>
        <v>0</v>
      </c>
      <c r="CK59" s="172">
        <f ca="1">IF(OR($D59&lt;&gt;"Serviço",AND(AUTOEVENTO="Manual",$M59=$A$15),$M59&gt;(ROW(PLE.lastrow)-ROW(PLE.firstrow))),0,
           IF(OFFSET(PLE!$G$15,$M59-$A$15,CK$13)="",10^12,OFFSET(PLE!$G$15,$M59-$A$15,CK$13)))</f>
        <v>0</v>
      </c>
      <c r="CL59" s="172">
        <f ca="1">IF(OR($D59&lt;&gt;"Serviço",AND(AUTOEVENTO="Manual",$M59=$A$15),$M59&gt;(ROW(PLE.lastrow)-ROW(PLE.firstrow))),0,
           IF(OFFSET(PLE!$G$15,$M59-$A$15,CL$13)="",10^12,OFFSET(PLE!$G$15,$M59-$A$15,CL$13)))</f>
        <v>0</v>
      </c>
      <c r="CM59" s="172">
        <f ca="1">IF(OR($D59&lt;&gt;"Serviço",AND(AUTOEVENTO="Manual",$M59=$A$15),$M59&gt;(ROW(PLE.lastrow)-ROW(PLE.firstrow))),0,
           IF(OFFSET(PLE!$G$15,$M59-$A$15,CM$13)="",10^12,OFFSET(PLE!$G$15,$M59-$A$15,CM$13)))</f>
        <v>0</v>
      </c>
    </row>
    <row r="60" spans="1:91" ht="12.75" x14ac:dyDescent="0.2">
      <c r="A60" s="7">
        <f t="shared" ca="1" si="10"/>
        <v>0</v>
      </c>
      <c r="B60" s="7">
        <f ca="1">OFFSET(ORÇAMENTO!C$15,ROW(B60)-ROW(B$15),0)</f>
        <v>3</v>
      </c>
      <c r="C60" s="7" t="str">
        <f ca="1">OFFSET(ORÇAMENTO!L$15,ROW(C60)-ROW(C$15),0)</f>
        <v>F</v>
      </c>
      <c r="D60" s="116" t="str">
        <f ca="1">OFFSET(ORÇAMENTO!N$15,ROW(D60)-ROW(D$15),0)</f>
        <v>Nível 3</v>
      </c>
      <c r="E60" s="117" t="str">
        <f ca="1">OFFSET(ORÇAMENTO!O$15,ROW(E60)-ROW(E$15),0)</f>
        <v>1.5.1.</v>
      </c>
      <c r="F60" s="163" t="str">
        <f ca="1">OFFSET(ORÇAMENTO!R$15,ROW(F60)-ROW(F$15),0)</f>
        <v>FILTRO BIOLÓGICO</v>
      </c>
      <c r="G60" s="164" t="str">
        <f ca="1">IF($D60&lt;&gt;"Serviço","",OFFSET(ORÇAMENTO!S$15,ROW(G60)-ROW(G$15),0))</f>
        <v/>
      </c>
      <c r="H60" s="122" cm="1">
        <f t="array" aca="1" ref="H60" ca="1">IF($D60&lt;&gt;"Serviço",0,IF(ACOMPANHAMENTO="BM",ROUND(OFFSET(ORÇAMENTO!AJ$15,ROW(H60)-ROW(H$15),0),15-13*ORÇAMENTO!$AF$7),SUMPRODUCT(($Q$1:$AI$1=1)*ROUND($Q60:$AI60,15-13*ORÇAMENTO!$AF$7))))</f>
        <v>0</v>
      </c>
      <c r="I60" s="468"/>
      <c r="J60" s="640" t="str" cm="1">
        <f t="array" aca="1" ref="J60" ca="1">IF(OR(B60&lt;&gt;"S",CÁLCULO.FrentesPreenchidas=0),"",IF(AND(ACOMPANHAMENTO="PLE",AUTOEVENTO="Manual",OR(H60&gt;0,ORÇAMENTO!AC60="QUANT."),OR(K60="",M60=0,N60="")),"►E",IF(AND(ACOMPANHAMENTO="PLE",ORÇAMENTO!AC60="QUANT."),"►Q",IF(AND(ACOMPANHAMENTO="PLE",H60&lt;&gt;SUMPRODUCT(($Q$1:$AI$1=1)*ROUND(Q60:AI60,15))),"►S",IF(AND(COUNTIF($P$11:$AI$11,"▼")=0,H60&gt;0,I60=""),"◄M","")))))</f>
        <v/>
      </c>
      <c r="K60" s="641"/>
      <c r="L60" s="165" t="s">
        <v>764</v>
      </c>
      <c r="M60" s="166" t="str">
        <f ca="1">IF($D60&lt;&gt;"Serviço","",
          IF(AUTOEVENTO="manual",$A60,
                IF(ISERROR(MATCH($A60,$A$15:OFFSET($A60,-1,0),0)),MAX($M$15:OFFSET(M60,-1,0))+1,
                      INDEX($M$15:OFFSET(M60,-1,0),MATCH($A60,$A$15:OFFSET($A60,-1,0),0)))))</f>
        <v/>
      </c>
      <c r="N60" s="167" t="str">
        <f ca="1">IF($D60&lt;&gt;"Serviço","",
         IF(AUTOEVENTO="Manual",
                IF($A60=0,"&lt;-- defina o número do agrupador",
                       OFFSET(EVENTOS!$D$15,$A60-$A$15,0)),
                OFFSET($F$15,$A60,0)))</f>
        <v/>
      </c>
      <c r="O60" s="168"/>
      <c r="Q60" s="168"/>
      <c r="R60" s="169"/>
      <c r="S60" s="169"/>
      <c r="T60" s="169"/>
      <c r="U60" s="169"/>
      <c r="V60" s="169"/>
      <c r="W60" s="169"/>
      <c r="X60" s="169"/>
      <c r="Y60" s="169"/>
      <c r="Z60" s="170"/>
      <c r="AA60" s="169"/>
      <c r="AB60" s="169"/>
      <c r="AC60" s="169"/>
      <c r="AD60" s="169"/>
      <c r="AE60" s="169"/>
      <c r="AF60" s="169"/>
      <c r="AG60" s="169"/>
      <c r="AH60" s="170"/>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L60" s="453">
        <f ca="1">IF(AND($D60="Serviço",AL$12&lt;&gt;0,$H60&gt;0,OR(AUTOEVENTO&lt;&gt;"manual",$M60&lt;&gt;$A$15)),
        IF(Import.TipoArredondamento&lt;&gt;"TransfereGOV",
              ROUND(OFFSET($P60,0,AL$13),15-13*ORÇAMENTO!$AF$7)/$H60*OFFSET(ORÇAMENTO!$X$15,ROW(AL60)-ROW(AL$15),0),
              ROUND(ROUND(OFFSET($P60,0,AL$13),15-13*ORÇAMENTO!$AF$7)*OFFSET(ORÇAMENTO!$W$15,ROW(AL60)-ROW(AL$15),0),15-13*ORÇAMENTO!$AF$11)),
         0)</f>
        <v>0</v>
      </c>
      <c r="AM60" s="453">
        <f ca="1">IF(AND($D60="Serviço",AM$12&lt;&gt;0,$H60&gt;0,OR(AUTOEVENTO&lt;&gt;"manual",$M60&lt;&gt;$A$15)),
        IF(Import.TipoArredondamento&lt;&gt;"TransfereGOV",
              ROUND(OFFSET($P60,0,AM$13),15-13*ORÇAMENTO!$AF$7)/$H60*OFFSET(ORÇAMENTO!$X$15,ROW(AM60)-ROW(AM$15),0),
              ROUND(ROUND(OFFSET($P60,0,AM$13),15-13*ORÇAMENTO!$AF$7)*OFFSET(ORÇAMENTO!$W$15,ROW(AM60)-ROW(AM$15),0),15-13*ORÇAMENTO!$AF$11)),
         0)</f>
        <v>0</v>
      </c>
      <c r="AN60" s="453">
        <f ca="1">IF(AND($D60="Serviço",AN$12&lt;&gt;0,$H60&gt;0,OR(AUTOEVENTO&lt;&gt;"manual",$M60&lt;&gt;$A$15)),
        IF(Import.TipoArredondamento&lt;&gt;"TransfereGOV",
              ROUND(OFFSET($P60,0,AN$13),15-13*ORÇAMENTO!$AF$7)/$H60*OFFSET(ORÇAMENTO!$X$15,ROW(AN60)-ROW(AN$15),0),
              ROUND(ROUND(OFFSET($P60,0,AN$13),15-13*ORÇAMENTO!$AF$7)*OFFSET(ORÇAMENTO!$W$15,ROW(AN60)-ROW(AN$15),0),15-13*ORÇAMENTO!$AF$11)),
         0)</f>
        <v>0</v>
      </c>
      <c r="AO60" s="453">
        <f ca="1">IF(AND($D60="Serviço",AO$12&lt;&gt;0,$H60&gt;0,OR(AUTOEVENTO&lt;&gt;"manual",$M60&lt;&gt;$A$15)),
        IF(Import.TipoArredondamento&lt;&gt;"TransfereGOV",
              ROUND(OFFSET($P60,0,AO$13),15-13*ORÇAMENTO!$AF$7)/$H60*OFFSET(ORÇAMENTO!$X$15,ROW(AO60)-ROW(AO$15),0),
              ROUND(ROUND(OFFSET($P60,0,AO$13),15-13*ORÇAMENTO!$AF$7)*OFFSET(ORÇAMENTO!$W$15,ROW(AO60)-ROW(AO$15),0),15-13*ORÇAMENTO!$AF$11)),
         0)</f>
        <v>0</v>
      </c>
      <c r="AP60" s="453">
        <f ca="1">IF(AND($D60="Serviço",AP$12&lt;&gt;0,$H60&gt;0,OR(AUTOEVENTO&lt;&gt;"manual",$M60&lt;&gt;$A$15)),
        IF(Import.TipoArredondamento&lt;&gt;"TransfereGOV",
              ROUND(OFFSET($P60,0,AP$13),15-13*ORÇAMENTO!$AF$7)/$H60*OFFSET(ORÇAMENTO!$X$15,ROW(AP60)-ROW(AP$15),0),
              ROUND(ROUND(OFFSET($P60,0,AP$13),15-13*ORÇAMENTO!$AF$7)*OFFSET(ORÇAMENTO!$W$15,ROW(AP60)-ROW(AP$15),0),15-13*ORÇAMENTO!$AF$11)),
         0)</f>
        <v>0</v>
      </c>
      <c r="AQ60" s="453">
        <f ca="1">IF(AND($D60="Serviço",AQ$12&lt;&gt;0,$H60&gt;0,OR(AUTOEVENTO&lt;&gt;"manual",$M60&lt;&gt;$A$15)),
        IF(Import.TipoArredondamento&lt;&gt;"TransfereGOV",
              ROUND(OFFSET($P60,0,AQ$13),15-13*ORÇAMENTO!$AF$7)/$H60*OFFSET(ORÇAMENTO!$X$15,ROW(AQ60)-ROW(AQ$15),0),
              ROUND(ROUND(OFFSET($P60,0,AQ$13),15-13*ORÇAMENTO!$AF$7)*OFFSET(ORÇAMENTO!$W$15,ROW(AQ60)-ROW(AQ$15),0),15-13*ORÇAMENTO!$AF$11)),
         0)</f>
        <v>0</v>
      </c>
      <c r="AR60" s="453">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3">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3">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3">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3">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3">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3">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3">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3">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3">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C60" s="171">
        <f ca="1">IF(OR($D60&lt;&gt;"Serviço",AND(AUTOEVENTO="Manual",$M60=$A$15)),0,
         IF(OFFSET(CRONOPLE!$F$15,$M60-$A$15,BC$13)=0,10^12,OFFSET(CRONOPLE!$F$15,$M60-$A$15,BC$13)))</f>
        <v>0</v>
      </c>
      <c r="BD60" s="171">
        <f ca="1">IF(OR($D60&lt;&gt;"Serviço",AND(AUTOEVENTO="Manual",$M60=$A$15)),0,
         IF(OFFSET(CRONOPLE!$F$15,$M60-$A$15,BD$13)=0,10^12,OFFSET(CRONOPLE!$F$15,$M60-$A$15,BD$13)))</f>
        <v>0</v>
      </c>
      <c r="BE60" s="171">
        <f ca="1">IF(OR($D60&lt;&gt;"Serviço",AND(AUTOEVENTO="Manual",$M60=$A$15)),0,
         IF(OFFSET(CRONOPLE!$F$15,$M60-$A$15,BE$13)=0,10^12,OFFSET(CRONOPLE!$F$15,$M60-$A$15,BE$13)))</f>
        <v>0</v>
      </c>
      <c r="BF60" s="171">
        <f ca="1">IF(OR($D60&lt;&gt;"Serviço",AND(AUTOEVENTO="Manual",$M60=$A$15)),0,
         IF(OFFSET(CRONOPLE!$F$15,$M60-$A$15,BF$13)=0,10^12,OFFSET(CRONOPLE!$F$15,$M60-$A$15,BF$13)))</f>
        <v>0</v>
      </c>
      <c r="BG60" s="171">
        <f ca="1">IF(OR($D60&lt;&gt;"Serviço",AND(AUTOEVENTO="Manual",$M60=$A$15)),0,
         IF(OFFSET(CRONOPLE!$F$15,$M60-$A$15,BG$13)=0,10^12,OFFSET(CRONOPLE!$F$15,$M60-$A$15,BG$13)))</f>
        <v>0</v>
      </c>
      <c r="BH60" s="171">
        <f ca="1">IF(OR($D60&lt;&gt;"Serviço",AND(AUTOEVENTO="Manual",$M60=$A$15)),0,
         IF(OFFSET(CRONOPLE!$F$15,$M60-$A$15,BH$13)=0,10^12,OFFSET(CRONOPLE!$F$15,$M60-$A$15,BH$13)))</f>
        <v>0</v>
      </c>
      <c r="BI60" s="171">
        <f ca="1">IF(OR($D60&lt;&gt;"Serviço",AND(AUTOEVENTO="Manual",$M60=$A$15)),0,
         IF(OFFSET(CRONOPLE!$F$15,$M60-$A$15,BI$13)=0,10^12,OFFSET(CRONOPLE!$F$15,$M60-$A$15,BI$13)))</f>
        <v>0</v>
      </c>
      <c r="BJ60" s="171">
        <f ca="1">IF(OR($D60&lt;&gt;"Serviço",AND(AUTOEVENTO="Manual",$M60=$A$15)),0,
         IF(OFFSET(CRONOPLE!$F$15,$M60-$A$15,BJ$13)=0,10^12,OFFSET(CRONOPLE!$F$15,$M60-$A$15,BJ$13)))</f>
        <v>0</v>
      </c>
      <c r="BK60" s="171">
        <f ca="1">IF(OR($D60&lt;&gt;"Serviço",AND(AUTOEVENTO="Manual",$M60=$A$15)),0,
         IF(OFFSET(CRONOPLE!$F$15,$M60-$A$15,BK$13)=0,10^12,OFFSET(CRONOPLE!$F$15,$M60-$A$15,BK$13)))</f>
        <v>0</v>
      </c>
      <c r="BL60" s="171">
        <f ca="1">IF(OR($D60&lt;&gt;"Serviço",AND(AUTOEVENTO="Manual",$M60=$A$15)),0,
         IF(OFFSET(CRONOPLE!$F$15,$M60-$A$15,BL$13)=0,10^12,OFFSET(CRONOPLE!$F$15,$M60-$A$15,BL$13)))</f>
        <v>0</v>
      </c>
      <c r="BM60" s="171">
        <f ca="1">IF(OR($D60&lt;&gt;"Serviço",AND(AUTOEVENTO="Manual",$M60=$A$15)),0,
         IF(OFFSET(CRONOPLE!$F$15,$M60-$A$15,BM$13)=0,10^12,OFFSET(CRONOPLE!$F$15,$M60-$A$15,BM$13)))</f>
        <v>0</v>
      </c>
      <c r="BN60" s="171">
        <f ca="1">IF(OR($D60&lt;&gt;"Serviço",AND(AUTOEVENTO="Manual",$M60=$A$15)),0,
         IF(OFFSET(CRONOPLE!$F$15,$M60-$A$15,BN$13)=0,10^12,OFFSET(CRONOPLE!$F$15,$M60-$A$15,BN$13)))</f>
        <v>0</v>
      </c>
      <c r="BO60" s="171">
        <f ca="1">IF(OR($D60&lt;&gt;"Serviço",AND(AUTOEVENTO="Manual",$M60=$A$15)),0,
         IF(OFFSET(CRONOPLE!$F$15,$M60-$A$15,BO$13)=0,10^12,OFFSET(CRONOPLE!$F$15,$M60-$A$15,BO$13)))</f>
        <v>0</v>
      </c>
      <c r="BP60" s="171">
        <f ca="1">IF(OR($D60&lt;&gt;"Serviço",AND(AUTOEVENTO="Manual",$M60=$A$15)),0,
         IF(OFFSET(CRONOPLE!$F$15,$M60-$A$15,BP$13)=0,10^12,OFFSET(CRONOPLE!$F$15,$M60-$A$15,BP$13)))</f>
        <v>0</v>
      </c>
      <c r="BQ60" s="171">
        <f ca="1">IF(OR($D60&lt;&gt;"Serviço",AND(AUTOEVENTO="Manual",$M60=$A$15)),0,
         IF(OFFSET(CRONOPLE!$F$15,$M60-$A$15,BQ$13)=0,10^12,OFFSET(CRONOPLE!$F$15,$M60-$A$15,BQ$13)))</f>
        <v>0</v>
      </c>
      <c r="BR60" s="171">
        <f ca="1">IF(OR($D60&lt;&gt;"Serviço",AND(AUTOEVENTO="Manual",$M60=$A$15)),0,
         IF(OFFSET(CRONOPLE!$F$15,$M60-$A$15,BR$13)=0,10^12,OFFSET(CRONOPLE!$F$15,$M60-$A$15,BR$13)))</f>
        <v>0</v>
      </c>
      <c r="BS60" s="171">
        <f ca="1">IF(OR($D60&lt;&gt;"Serviço",AND(AUTOEVENTO="Manual",$M60=$A$15)),0,
         IF(OFFSET(CRONOPLE!$F$15,$M60-$A$15,BS$13)=0,10^12,OFFSET(CRONOPLE!$F$15,$M60-$A$15,BS$13)))</f>
        <v>0</v>
      </c>
      <c r="BT60" s="171">
        <f ca="1">IF(OR($D60&lt;&gt;"Serviço",AND(AUTOEVENTO="Manual",$M60=$A$15)),0,
         IF(OFFSET(CRONOPLE!$F$15,$M60-$A$15,BT$13)=0,10^12,OFFSET(CRONOPLE!$F$15,$M60-$A$15,BT$13)))</f>
        <v>0</v>
      </c>
      <c r="BV60" s="172">
        <f ca="1">IF(OR($D60&lt;&gt;"Serviço",AND(AUTOEVENTO="Manual",$M60=$A$15),$M60&gt;(ROW(PLE.lastrow)-ROW(PLE.firstrow))),0,
           IF(OFFSET(PLE!$G$15,$M60-$A$15,BV$13)="",10^12,OFFSET(PLE!$G$15,$M60-$A$15,BV$13)))</f>
        <v>0</v>
      </c>
      <c r="BW60" s="172">
        <f ca="1">IF(OR($D60&lt;&gt;"Serviço",AND(AUTOEVENTO="Manual",$M60=$A$15),$M60&gt;(ROW(PLE.lastrow)-ROW(PLE.firstrow))),0,
           IF(OFFSET(PLE!$G$15,$M60-$A$15,BW$13)="",10^12,OFFSET(PLE!$G$15,$M60-$A$15,BW$13)))</f>
        <v>0</v>
      </c>
      <c r="BX60" s="172">
        <f ca="1">IF(OR($D60&lt;&gt;"Serviço",AND(AUTOEVENTO="Manual",$M60=$A$15),$M60&gt;(ROW(PLE.lastrow)-ROW(PLE.firstrow))),0,
           IF(OFFSET(PLE!$G$15,$M60-$A$15,BX$13)="",10^12,OFFSET(PLE!$G$15,$M60-$A$15,BX$13)))</f>
        <v>0</v>
      </c>
      <c r="BY60" s="172">
        <f ca="1">IF(OR($D60&lt;&gt;"Serviço",AND(AUTOEVENTO="Manual",$M60=$A$15),$M60&gt;(ROW(PLE.lastrow)-ROW(PLE.firstrow))),0,
           IF(OFFSET(PLE!$G$15,$M60-$A$15,BY$13)="",10^12,OFFSET(PLE!$G$15,$M60-$A$15,BY$13)))</f>
        <v>0</v>
      </c>
      <c r="BZ60" s="172">
        <f ca="1">IF(OR($D60&lt;&gt;"Serviço",AND(AUTOEVENTO="Manual",$M60=$A$15),$M60&gt;(ROW(PLE.lastrow)-ROW(PLE.firstrow))),0,
           IF(OFFSET(PLE!$G$15,$M60-$A$15,BZ$13)="",10^12,OFFSET(PLE!$G$15,$M60-$A$15,BZ$13)))</f>
        <v>0</v>
      </c>
      <c r="CA60" s="172">
        <f ca="1">IF(OR($D60&lt;&gt;"Serviço",AND(AUTOEVENTO="Manual",$M60=$A$15),$M60&gt;(ROW(PLE.lastrow)-ROW(PLE.firstrow))),0,
           IF(OFFSET(PLE!$G$15,$M60-$A$15,CA$13)="",10^12,OFFSET(PLE!$G$15,$M60-$A$15,CA$13)))</f>
        <v>0</v>
      </c>
      <c r="CB60" s="172">
        <f ca="1">IF(OR($D60&lt;&gt;"Serviço",AND(AUTOEVENTO="Manual",$M60=$A$15),$M60&gt;(ROW(PLE.lastrow)-ROW(PLE.firstrow))),0,
           IF(OFFSET(PLE!$G$15,$M60-$A$15,CB$13)="",10^12,OFFSET(PLE!$G$15,$M60-$A$15,CB$13)))</f>
        <v>0</v>
      </c>
      <c r="CC60" s="172">
        <f ca="1">IF(OR($D60&lt;&gt;"Serviço",AND(AUTOEVENTO="Manual",$M60=$A$15),$M60&gt;(ROW(PLE.lastrow)-ROW(PLE.firstrow))),0,
           IF(OFFSET(PLE!$G$15,$M60-$A$15,CC$13)="",10^12,OFFSET(PLE!$G$15,$M60-$A$15,CC$13)))</f>
        <v>0</v>
      </c>
      <c r="CD60" s="172">
        <f ca="1">IF(OR($D60&lt;&gt;"Serviço",AND(AUTOEVENTO="Manual",$M60=$A$15),$M60&gt;(ROW(PLE.lastrow)-ROW(PLE.firstrow))),0,
           IF(OFFSET(PLE!$G$15,$M60-$A$15,CD$13)="",10^12,OFFSET(PLE!$G$15,$M60-$A$15,CD$13)))</f>
        <v>0</v>
      </c>
      <c r="CE60" s="172">
        <f ca="1">IF(OR($D60&lt;&gt;"Serviço",AND(AUTOEVENTO="Manual",$M60=$A$15),$M60&gt;(ROW(PLE.lastrow)-ROW(PLE.firstrow))),0,
           IF(OFFSET(PLE!$G$15,$M60-$A$15,CE$13)="",10^12,OFFSET(PLE!$G$15,$M60-$A$15,CE$13)))</f>
        <v>0</v>
      </c>
      <c r="CF60" s="172">
        <f ca="1">IF(OR($D60&lt;&gt;"Serviço",AND(AUTOEVENTO="Manual",$M60=$A$15),$M60&gt;(ROW(PLE.lastrow)-ROW(PLE.firstrow))),0,
           IF(OFFSET(PLE!$G$15,$M60-$A$15,CF$13)="",10^12,OFFSET(PLE!$G$15,$M60-$A$15,CF$13)))</f>
        <v>0</v>
      </c>
      <c r="CG60" s="172">
        <f ca="1">IF(OR($D60&lt;&gt;"Serviço",AND(AUTOEVENTO="Manual",$M60=$A$15),$M60&gt;(ROW(PLE.lastrow)-ROW(PLE.firstrow))),0,
           IF(OFFSET(PLE!$G$15,$M60-$A$15,CG$13)="",10^12,OFFSET(PLE!$G$15,$M60-$A$15,CG$13)))</f>
        <v>0</v>
      </c>
      <c r="CH60" s="172">
        <f ca="1">IF(OR($D60&lt;&gt;"Serviço",AND(AUTOEVENTO="Manual",$M60=$A$15),$M60&gt;(ROW(PLE.lastrow)-ROW(PLE.firstrow))),0,
           IF(OFFSET(PLE!$G$15,$M60-$A$15,CH$13)="",10^12,OFFSET(PLE!$G$15,$M60-$A$15,CH$13)))</f>
        <v>0</v>
      </c>
      <c r="CI60" s="172">
        <f ca="1">IF(OR($D60&lt;&gt;"Serviço",AND(AUTOEVENTO="Manual",$M60=$A$15),$M60&gt;(ROW(PLE.lastrow)-ROW(PLE.firstrow))),0,
           IF(OFFSET(PLE!$G$15,$M60-$A$15,CI$13)="",10^12,OFFSET(PLE!$G$15,$M60-$A$15,CI$13)))</f>
        <v>0</v>
      </c>
      <c r="CJ60" s="172">
        <f ca="1">IF(OR($D60&lt;&gt;"Serviço",AND(AUTOEVENTO="Manual",$M60=$A$15),$M60&gt;(ROW(PLE.lastrow)-ROW(PLE.firstrow))),0,
           IF(OFFSET(PLE!$G$15,$M60-$A$15,CJ$13)="",10^12,OFFSET(PLE!$G$15,$M60-$A$15,CJ$13)))</f>
        <v>0</v>
      </c>
      <c r="CK60" s="172">
        <f ca="1">IF(OR($D60&lt;&gt;"Serviço",AND(AUTOEVENTO="Manual",$M60=$A$15),$M60&gt;(ROW(PLE.lastrow)-ROW(PLE.firstrow))),0,
           IF(OFFSET(PLE!$G$15,$M60-$A$15,CK$13)="",10^12,OFFSET(PLE!$G$15,$M60-$A$15,CK$13)))</f>
        <v>0</v>
      </c>
      <c r="CL60" s="172">
        <f ca="1">IF(OR($D60&lt;&gt;"Serviço",AND(AUTOEVENTO="Manual",$M60=$A$15),$M60&gt;(ROW(PLE.lastrow)-ROW(PLE.firstrow))),0,
           IF(OFFSET(PLE!$G$15,$M60-$A$15,CL$13)="",10^12,OFFSET(PLE!$G$15,$M60-$A$15,CL$13)))</f>
        <v>0</v>
      </c>
      <c r="CM60" s="172">
        <f ca="1">IF(OR($D60&lt;&gt;"Serviço",AND(AUTOEVENTO="Manual",$M60=$A$15),$M60&gt;(ROW(PLE.lastrow)-ROW(PLE.firstrow))),0,
           IF(OFFSET(PLE!$G$15,$M60-$A$15,CM$13)="",10^12,OFFSET(PLE!$G$15,$M60-$A$15,CM$13)))</f>
        <v>0</v>
      </c>
    </row>
    <row r="61" spans="1:91" ht="12.75" x14ac:dyDescent="0.2">
      <c r="A61" s="7">
        <f t="shared" ca="1" si="10"/>
        <v>5</v>
      </c>
      <c r="B61" s="7">
        <f ca="1">OFFSET(ORÇAMENTO!C$15,ROW(B61)-ROW(B$15),0)</f>
        <v>4</v>
      </c>
      <c r="C61" s="7" t="str">
        <f ca="1">OFFSET(ORÇAMENTO!L$15,ROW(C61)-ROW(C$15),0)</f>
        <v>F</v>
      </c>
      <c r="D61" s="116" t="str">
        <f ca="1">OFFSET(ORÇAMENTO!N$15,ROW(D61)-ROW(D$15),0)</f>
        <v>Nível 4</v>
      </c>
      <c r="E61" s="117" t="str">
        <f ca="1">OFFSET(ORÇAMENTO!O$15,ROW(E61)-ROW(E$15),0)</f>
        <v>1.5.1.1.</v>
      </c>
      <c r="F61" s="163" t="str">
        <f ca="1">OFFSET(ORÇAMENTO!R$15,ROW(F61)-ROW(F$15),0)</f>
        <v>ESTACAS</v>
      </c>
      <c r="G61" s="164" t="str">
        <f ca="1">IF($D61&lt;&gt;"Serviço","",OFFSET(ORÇAMENTO!S$15,ROW(G61)-ROW(G$15),0))</f>
        <v/>
      </c>
      <c r="H61" s="122" cm="1">
        <f t="array" aca="1" ref="H61" ca="1">IF($D61&lt;&gt;"Serviço",0,IF(ACOMPANHAMENTO="BM",ROUND(OFFSET(ORÇAMENTO!AJ$15,ROW(H61)-ROW(H$15),0),15-13*ORÇAMENTO!$AF$7),SUMPRODUCT(($Q$1:$AI$1=1)*ROUND($Q61:$AI61,15-13*ORÇAMENTO!$AF$7))))</f>
        <v>0</v>
      </c>
      <c r="I61" s="468"/>
      <c r="J61" s="640" t="str" cm="1">
        <f t="array" aca="1" ref="J61" ca="1">IF(OR(B61&lt;&gt;"S",CÁLCULO.FrentesPreenchidas=0),"",IF(AND(ACOMPANHAMENTO="PLE",AUTOEVENTO="Manual",OR(H61&gt;0,ORÇAMENTO!AC61="QUANT."),OR(K61="",M61=0,N61="")),"►E",IF(AND(ACOMPANHAMENTO="PLE",ORÇAMENTO!AC61="QUANT."),"►Q",IF(AND(ACOMPANHAMENTO="PLE",H61&lt;&gt;SUMPRODUCT(($Q$1:$AI$1=1)*ROUND(Q61:AI61,15))),"►S",IF(AND(COUNTIF($P$11:$AI$11,"▼")=0,H61&gt;0,I61=""),"◄M","")))))</f>
        <v/>
      </c>
      <c r="K61" s="641" t="s">
        <v>1364</v>
      </c>
      <c r="L61" s="165" t="s">
        <v>764</v>
      </c>
      <c r="M61" s="166" t="str">
        <f ca="1">IF($D61&lt;&gt;"Serviço","",
          IF(AUTOEVENTO="manual",$A61,
                IF(ISERROR(MATCH($A61,$A$15:OFFSET($A61,-1,0),0)),MAX($M$15:OFFSET(M61,-1,0))+1,
                      INDEX($M$15:OFFSET(M61,-1,0),MATCH($A61,$A$15:OFFSET($A61,-1,0),0)))))</f>
        <v/>
      </c>
      <c r="N61" s="167" t="str">
        <f ca="1">IF($D61&lt;&gt;"Serviço","",
         IF(AUTOEVENTO="Manual",
                IF($A61=0,"&lt;-- defina o número do agrupador",
                       OFFSET(EVENTOS!$D$15,$A61-$A$15,0)),
                OFFSET($F$15,$A61,0)))</f>
        <v/>
      </c>
      <c r="O61" s="168"/>
      <c r="Q61" s="168"/>
      <c r="R61" s="169"/>
      <c r="S61" s="169"/>
      <c r="T61" s="169"/>
      <c r="U61" s="169"/>
      <c r="V61" s="169"/>
      <c r="W61" s="169"/>
      <c r="X61" s="169"/>
      <c r="Y61" s="169"/>
      <c r="Z61" s="170"/>
      <c r="AA61" s="169"/>
      <c r="AB61" s="169"/>
      <c r="AC61" s="169"/>
      <c r="AD61" s="169"/>
      <c r="AE61" s="169"/>
      <c r="AF61" s="169"/>
      <c r="AG61" s="169"/>
      <c r="AH61" s="170"/>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L61" s="453">
        <f ca="1">IF(AND($D61="Serviço",AL$12&lt;&gt;0,$H61&gt;0,OR(AUTOEVENTO&lt;&gt;"manual",$M61&lt;&gt;$A$15)),
        IF(Import.TipoArredondamento&lt;&gt;"TransfereGOV",
              ROUND(OFFSET($P61,0,AL$13),15-13*ORÇAMENTO!$AF$7)/$H61*OFFSET(ORÇAMENTO!$X$15,ROW(AL61)-ROW(AL$15),0),
              ROUND(ROUND(OFFSET($P61,0,AL$13),15-13*ORÇAMENTO!$AF$7)*OFFSET(ORÇAMENTO!$W$15,ROW(AL61)-ROW(AL$15),0),15-13*ORÇAMENTO!$AF$11)),
         0)</f>
        <v>0</v>
      </c>
      <c r="AM61" s="453">
        <f ca="1">IF(AND($D61="Serviço",AM$12&lt;&gt;0,$H61&gt;0,OR(AUTOEVENTO&lt;&gt;"manual",$M61&lt;&gt;$A$15)),
        IF(Import.TipoArredondamento&lt;&gt;"TransfereGOV",
              ROUND(OFFSET($P61,0,AM$13),15-13*ORÇAMENTO!$AF$7)/$H61*OFFSET(ORÇAMENTO!$X$15,ROW(AM61)-ROW(AM$15),0),
              ROUND(ROUND(OFFSET($P61,0,AM$13),15-13*ORÇAMENTO!$AF$7)*OFFSET(ORÇAMENTO!$W$15,ROW(AM61)-ROW(AM$15),0),15-13*ORÇAMENTO!$AF$11)),
         0)</f>
        <v>0</v>
      </c>
      <c r="AN61" s="453">
        <f ca="1">IF(AND($D61="Serviço",AN$12&lt;&gt;0,$H61&gt;0,OR(AUTOEVENTO&lt;&gt;"manual",$M61&lt;&gt;$A$15)),
        IF(Import.TipoArredondamento&lt;&gt;"TransfereGOV",
              ROUND(OFFSET($P61,0,AN$13),15-13*ORÇAMENTO!$AF$7)/$H61*OFFSET(ORÇAMENTO!$X$15,ROW(AN61)-ROW(AN$15),0),
              ROUND(ROUND(OFFSET($P61,0,AN$13),15-13*ORÇAMENTO!$AF$7)*OFFSET(ORÇAMENTO!$W$15,ROW(AN61)-ROW(AN$15),0),15-13*ORÇAMENTO!$AF$11)),
         0)</f>
        <v>0</v>
      </c>
      <c r="AO61" s="453">
        <f ca="1">IF(AND($D61="Serviço",AO$12&lt;&gt;0,$H61&gt;0,OR(AUTOEVENTO&lt;&gt;"manual",$M61&lt;&gt;$A$15)),
        IF(Import.TipoArredondamento&lt;&gt;"TransfereGOV",
              ROUND(OFFSET($P61,0,AO$13),15-13*ORÇAMENTO!$AF$7)/$H61*OFFSET(ORÇAMENTO!$X$15,ROW(AO61)-ROW(AO$15),0),
              ROUND(ROUND(OFFSET($P61,0,AO$13),15-13*ORÇAMENTO!$AF$7)*OFFSET(ORÇAMENTO!$W$15,ROW(AO61)-ROW(AO$15),0),15-13*ORÇAMENTO!$AF$11)),
         0)</f>
        <v>0</v>
      </c>
      <c r="AP61" s="453">
        <f ca="1">IF(AND($D61="Serviço",AP$12&lt;&gt;0,$H61&gt;0,OR(AUTOEVENTO&lt;&gt;"manual",$M61&lt;&gt;$A$15)),
        IF(Import.TipoArredondamento&lt;&gt;"TransfereGOV",
              ROUND(OFFSET($P61,0,AP$13),15-13*ORÇAMENTO!$AF$7)/$H61*OFFSET(ORÇAMENTO!$X$15,ROW(AP61)-ROW(AP$15),0),
              ROUND(ROUND(OFFSET($P61,0,AP$13),15-13*ORÇAMENTO!$AF$7)*OFFSET(ORÇAMENTO!$W$15,ROW(AP61)-ROW(AP$15),0),15-13*ORÇAMENTO!$AF$11)),
         0)</f>
        <v>0</v>
      </c>
      <c r="AQ61" s="453">
        <f ca="1">IF(AND($D61="Serviço",AQ$12&lt;&gt;0,$H61&gt;0,OR(AUTOEVENTO&lt;&gt;"manual",$M61&lt;&gt;$A$15)),
        IF(Import.TipoArredondamento&lt;&gt;"TransfereGOV",
              ROUND(OFFSET($P61,0,AQ$13),15-13*ORÇAMENTO!$AF$7)/$H61*OFFSET(ORÇAMENTO!$X$15,ROW(AQ61)-ROW(AQ$15),0),
              ROUND(ROUND(OFFSET($P61,0,AQ$13),15-13*ORÇAMENTO!$AF$7)*OFFSET(ORÇAMENTO!$W$15,ROW(AQ61)-ROW(AQ$15),0),15-13*ORÇAMENTO!$AF$11)),
         0)</f>
        <v>0</v>
      </c>
      <c r="AR61" s="453">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3">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3">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3">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3">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3">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3">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3">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3">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3">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C61" s="171">
        <f ca="1">IF(OR($D61&lt;&gt;"Serviço",AND(AUTOEVENTO="Manual",$M61=$A$15)),0,
         IF(OFFSET(CRONOPLE!$F$15,$M61-$A$15,BC$13)=0,10^12,OFFSET(CRONOPLE!$F$15,$M61-$A$15,BC$13)))</f>
        <v>0</v>
      </c>
      <c r="BD61" s="171">
        <f ca="1">IF(OR($D61&lt;&gt;"Serviço",AND(AUTOEVENTO="Manual",$M61=$A$15)),0,
         IF(OFFSET(CRONOPLE!$F$15,$M61-$A$15,BD$13)=0,10^12,OFFSET(CRONOPLE!$F$15,$M61-$A$15,BD$13)))</f>
        <v>0</v>
      </c>
      <c r="BE61" s="171">
        <f ca="1">IF(OR($D61&lt;&gt;"Serviço",AND(AUTOEVENTO="Manual",$M61=$A$15)),0,
         IF(OFFSET(CRONOPLE!$F$15,$M61-$A$15,BE$13)=0,10^12,OFFSET(CRONOPLE!$F$15,$M61-$A$15,BE$13)))</f>
        <v>0</v>
      </c>
      <c r="BF61" s="171">
        <f ca="1">IF(OR($D61&lt;&gt;"Serviço",AND(AUTOEVENTO="Manual",$M61=$A$15)),0,
         IF(OFFSET(CRONOPLE!$F$15,$M61-$A$15,BF$13)=0,10^12,OFFSET(CRONOPLE!$F$15,$M61-$A$15,BF$13)))</f>
        <v>0</v>
      </c>
      <c r="BG61" s="171">
        <f ca="1">IF(OR($D61&lt;&gt;"Serviço",AND(AUTOEVENTO="Manual",$M61=$A$15)),0,
         IF(OFFSET(CRONOPLE!$F$15,$M61-$A$15,BG$13)=0,10^12,OFFSET(CRONOPLE!$F$15,$M61-$A$15,BG$13)))</f>
        <v>0</v>
      </c>
      <c r="BH61" s="171">
        <f ca="1">IF(OR($D61&lt;&gt;"Serviço",AND(AUTOEVENTO="Manual",$M61=$A$15)),0,
         IF(OFFSET(CRONOPLE!$F$15,$M61-$A$15,BH$13)=0,10^12,OFFSET(CRONOPLE!$F$15,$M61-$A$15,BH$13)))</f>
        <v>0</v>
      </c>
      <c r="BI61" s="171">
        <f ca="1">IF(OR($D61&lt;&gt;"Serviço",AND(AUTOEVENTO="Manual",$M61=$A$15)),0,
         IF(OFFSET(CRONOPLE!$F$15,$M61-$A$15,BI$13)=0,10^12,OFFSET(CRONOPLE!$F$15,$M61-$A$15,BI$13)))</f>
        <v>0</v>
      </c>
      <c r="BJ61" s="171">
        <f ca="1">IF(OR($D61&lt;&gt;"Serviço",AND(AUTOEVENTO="Manual",$M61=$A$15)),0,
         IF(OFFSET(CRONOPLE!$F$15,$M61-$A$15,BJ$13)=0,10^12,OFFSET(CRONOPLE!$F$15,$M61-$A$15,BJ$13)))</f>
        <v>0</v>
      </c>
      <c r="BK61" s="171">
        <f ca="1">IF(OR($D61&lt;&gt;"Serviço",AND(AUTOEVENTO="Manual",$M61=$A$15)),0,
         IF(OFFSET(CRONOPLE!$F$15,$M61-$A$15,BK$13)=0,10^12,OFFSET(CRONOPLE!$F$15,$M61-$A$15,BK$13)))</f>
        <v>0</v>
      </c>
      <c r="BL61" s="171">
        <f ca="1">IF(OR($D61&lt;&gt;"Serviço",AND(AUTOEVENTO="Manual",$M61=$A$15)),0,
         IF(OFFSET(CRONOPLE!$F$15,$M61-$A$15,BL$13)=0,10^12,OFFSET(CRONOPLE!$F$15,$M61-$A$15,BL$13)))</f>
        <v>0</v>
      </c>
      <c r="BM61" s="171">
        <f ca="1">IF(OR($D61&lt;&gt;"Serviço",AND(AUTOEVENTO="Manual",$M61=$A$15)),0,
         IF(OFFSET(CRONOPLE!$F$15,$M61-$A$15,BM$13)=0,10^12,OFFSET(CRONOPLE!$F$15,$M61-$A$15,BM$13)))</f>
        <v>0</v>
      </c>
      <c r="BN61" s="171">
        <f ca="1">IF(OR($D61&lt;&gt;"Serviço",AND(AUTOEVENTO="Manual",$M61=$A$15)),0,
         IF(OFFSET(CRONOPLE!$F$15,$M61-$A$15,BN$13)=0,10^12,OFFSET(CRONOPLE!$F$15,$M61-$A$15,BN$13)))</f>
        <v>0</v>
      </c>
      <c r="BO61" s="171">
        <f ca="1">IF(OR($D61&lt;&gt;"Serviço",AND(AUTOEVENTO="Manual",$M61=$A$15)),0,
         IF(OFFSET(CRONOPLE!$F$15,$M61-$A$15,BO$13)=0,10^12,OFFSET(CRONOPLE!$F$15,$M61-$A$15,BO$13)))</f>
        <v>0</v>
      </c>
      <c r="BP61" s="171">
        <f ca="1">IF(OR($D61&lt;&gt;"Serviço",AND(AUTOEVENTO="Manual",$M61=$A$15)),0,
         IF(OFFSET(CRONOPLE!$F$15,$M61-$A$15,BP$13)=0,10^12,OFFSET(CRONOPLE!$F$15,$M61-$A$15,BP$13)))</f>
        <v>0</v>
      </c>
      <c r="BQ61" s="171">
        <f ca="1">IF(OR($D61&lt;&gt;"Serviço",AND(AUTOEVENTO="Manual",$M61=$A$15)),0,
         IF(OFFSET(CRONOPLE!$F$15,$M61-$A$15,BQ$13)=0,10^12,OFFSET(CRONOPLE!$F$15,$M61-$A$15,BQ$13)))</f>
        <v>0</v>
      </c>
      <c r="BR61" s="171">
        <f ca="1">IF(OR($D61&lt;&gt;"Serviço",AND(AUTOEVENTO="Manual",$M61=$A$15)),0,
         IF(OFFSET(CRONOPLE!$F$15,$M61-$A$15,BR$13)=0,10^12,OFFSET(CRONOPLE!$F$15,$M61-$A$15,BR$13)))</f>
        <v>0</v>
      </c>
      <c r="BS61" s="171">
        <f ca="1">IF(OR($D61&lt;&gt;"Serviço",AND(AUTOEVENTO="Manual",$M61=$A$15)),0,
         IF(OFFSET(CRONOPLE!$F$15,$M61-$A$15,BS$13)=0,10^12,OFFSET(CRONOPLE!$F$15,$M61-$A$15,BS$13)))</f>
        <v>0</v>
      </c>
      <c r="BT61" s="171">
        <f ca="1">IF(OR($D61&lt;&gt;"Serviço",AND(AUTOEVENTO="Manual",$M61=$A$15)),0,
         IF(OFFSET(CRONOPLE!$F$15,$M61-$A$15,BT$13)=0,10^12,OFFSET(CRONOPLE!$F$15,$M61-$A$15,BT$13)))</f>
        <v>0</v>
      </c>
      <c r="BV61" s="172">
        <f ca="1">IF(OR($D61&lt;&gt;"Serviço",AND(AUTOEVENTO="Manual",$M61=$A$15),$M61&gt;(ROW(PLE.lastrow)-ROW(PLE.firstrow))),0,
           IF(OFFSET(PLE!$G$15,$M61-$A$15,BV$13)="",10^12,OFFSET(PLE!$G$15,$M61-$A$15,BV$13)))</f>
        <v>0</v>
      </c>
      <c r="BW61" s="172">
        <f ca="1">IF(OR($D61&lt;&gt;"Serviço",AND(AUTOEVENTO="Manual",$M61=$A$15),$M61&gt;(ROW(PLE.lastrow)-ROW(PLE.firstrow))),0,
           IF(OFFSET(PLE!$G$15,$M61-$A$15,BW$13)="",10^12,OFFSET(PLE!$G$15,$M61-$A$15,BW$13)))</f>
        <v>0</v>
      </c>
      <c r="BX61" s="172">
        <f ca="1">IF(OR($D61&lt;&gt;"Serviço",AND(AUTOEVENTO="Manual",$M61=$A$15),$M61&gt;(ROW(PLE.lastrow)-ROW(PLE.firstrow))),0,
           IF(OFFSET(PLE!$G$15,$M61-$A$15,BX$13)="",10^12,OFFSET(PLE!$G$15,$M61-$A$15,BX$13)))</f>
        <v>0</v>
      </c>
      <c r="BY61" s="172">
        <f ca="1">IF(OR($D61&lt;&gt;"Serviço",AND(AUTOEVENTO="Manual",$M61=$A$15),$M61&gt;(ROW(PLE.lastrow)-ROW(PLE.firstrow))),0,
           IF(OFFSET(PLE!$G$15,$M61-$A$15,BY$13)="",10^12,OFFSET(PLE!$G$15,$M61-$A$15,BY$13)))</f>
        <v>0</v>
      </c>
      <c r="BZ61" s="172">
        <f ca="1">IF(OR($D61&lt;&gt;"Serviço",AND(AUTOEVENTO="Manual",$M61=$A$15),$M61&gt;(ROW(PLE.lastrow)-ROW(PLE.firstrow))),0,
           IF(OFFSET(PLE!$G$15,$M61-$A$15,BZ$13)="",10^12,OFFSET(PLE!$G$15,$M61-$A$15,BZ$13)))</f>
        <v>0</v>
      </c>
      <c r="CA61" s="172">
        <f ca="1">IF(OR($D61&lt;&gt;"Serviço",AND(AUTOEVENTO="Manual",$M61=$A$15),$M61&gt;(ROW(PLE.lastrow)-ROW(PLE.firstrow))),0,
           IF(OFFSET(PLE!$G$15,$M61-$A$15,CA$13)="",10^12,OFFSET(PLE!$G$15,$M61-$A$15,CA$13)))</f>
        <v>0</v>
      </c>
      <c r="CB61" s="172">
        <f ca="1">IF(OR($D61&lt;&gt;"Serviço",AND(AUTOEVENTO="Manual",$M61=$A$15),$M61&gt;(ROW(PLE.lastrow)-ROW(PLE.firstrow))),0,
           IF(OFFSET(PLE!$G$15,$M61-$A$15,CB$13)="",10^12,OFFSET(PLE!$G$15,$M61-$A$15,CB$13)))</f>
        <v>0</v>
      </c>
      <c r="CC61" s="172">
        <f ca="1">IF(OR($D61&lt;&gt;"Serviço",AND(AUTOEVENTO="Manual",$M61=$A$15),$M61&gt;(ROW(PLE.lastrow)-ROW(PLE.firstrow))),0,
           IF(OFFSET(PLE!$G$15,$M61-$A$15,CC$13)="",10^12,OFFSET(PLE!$G$15,$M61-$A$15,CC$13)))</f>
        <v>0</v>
      </c>
      <c r="CD61" s="172">
        <f ca="1">IF(OR($D61&lt;&gt;"Serviço",AND(AUTOEVENTO="Manual",$M61=$A$15),$M61&gt;(ROW(PLE.lastrow)-ROW(PLE.firstrow))),0,
           IF(OFFSET(PLE!$G$15,$M61-$A$15,CD$13)="",10^12,OFFSET(PLE!$G$15,$M61-$A$15,CD$13)))</f>
        <v>0</v>
      </c>
      <c r="CE61" s="172">
        <f ca="1">IF(OR($D61&lt;&gt;"Serviço",AND(AUTOEVENTO="Manual",$M61=$A$15),$M61&gt;(ROW(PLE.lastrow)-ROW(PLE.firstrow))),0,
           IF(OFFSET(PLE!$G$15,$M61-$A$15,CE$13)="",10^12,OFFSET(PLE!$G$15,$M61-$A$15,CE$13)))</f>
        <v>0</v>
      </c>
      <c r="CF61" s="172">
        <f ca="1">IF(OR($D61&lt;&gt;"Serviço",AND(AUTOEVENTO="Manual",$M61=$A$15),$M61&gt;(ROW(PLE.lastrow)-ROW(PLE.firstrow))),0,
           IF(OFFSET(PLE!$G$15,$M61-$A$15,CF$13)="",10^12,OFFSET(PLE!$G$15,$M61-$A$15,CF$13)))</f>
        <v>0</v>
      </c>
      <c r="CG61" s="172">
        <f ca="1">IF(OR($D61&lt;&gt;"Serviço",AND(AUTOEVENTO="Manual",$M61=$A$15),$M61&gt;(ROW(PLE.lastrow)-ROW(PLE.firstrow))),0,
           IF(OFFSET(PLE!$G$15,$M61-$A$15,CG$13)="",10^12,OFFSET(PLE!$G$15,$M61-$A$15,CG$13)))</f>
        <v>0</v>
      </c>
      <c r="CH61" s="172">
        <f ca="1">IF(OR($D61&lt;&gt;"Serviço",AND(AUTOEVENTO="Manual",$M61=$A$15),$M61&gt;(ROW(PLE.lastrow)-ROW(PLE.firstrow))),0,
           IF(OFFSET(PLE!$G$15,$M61-$A$15,CH$13)="",10^12,OFFSET(PLE!$G$15,$M61-$A$15,CH$13)))</f>
        <v>0</v>
      </c>
      <c r="CI61" s="172">
        <f ca="1">IF(OR($D61&lt;&gt;"Serviço",AND(AUTOEVENTO="Manual",$M61=$A$15),$M61&gt;(ROW(PLE.lastrow)-ROW(PLE.firstrow))),0,
           IF(OFFSET(PLE!$G$15,$M61-$A$15,CI$13)="",10^12,OFFSET(PLE!$G$15,$M61-$A$15,CI$13)))</f>
        <v>0</v>
      </c>
      <c r="CJ61" s="172">
        <f ca="1">IF(OR($D61&lt;&gt;"Serviço",AND(AUTOEVENTO="Manual",$M61=$A$15),$M61&gt;(ROW(PLE.lastrow)-ROW(PLE.firstrow))),0,
           IF(OFFSET(PLE!$G$15,$M61-$A$15,CJ$13)="",10^12,OFFSET(PLE!$G$15,$M61-$A$15,CJ$13)))</f>
        <v>0</v>
      </c>
      <c r="CK61" s="172">
        <f ca="1">IF(OR($D61&lt;&gt;"Serviço",AND(AUTOEVENTO="Manual",$M61=$A$15),$M61&gt;(ROW(PLE.lastrow)-ROW(PLE.firstrow))),0,
           IF(OFFSET(PLE!$G$15,$M61-$A$15,CK$13)="",10^12,OFFSET(PLE!$G$15,$M61-$A$15,CK$13)))</f>
        <v>0</v>
      </c>
      <c r="CL61" s="172">
        <f ca="1">IF(OR($D61&lt;&gt;"Serviço",AND(AUTOEVENTO="Manual",$M61=$A$15),$M61&gt;(ROW(PLE.lastrow)-ROW(PLE.firstrow))),0,
           IF(OFFSET(PLE!$G$15,$M61-$A$15,CL$13)="",10^12,OFFSET(PLE!$G$15,$M61-$A$15,CL$13)))</f>
        <v>0</v>
      </c>
      <c r="CM61" s="172">
        <f ca="1">IF(OR($D61&lt;&gt;"Serviço",AND(AUTOEVENTO="Manual",$M61=$A$15),$M61&gt;(ROW(PLE.lastrow)-ROW(PLE.firstrow))),0,
           IF(OFFSET(PLE!$G$15,$M61-$A$15,CM$13)="",10^12,OFFSET(PLE!$G$15,$M61-$A$15,CM$13)))</f>
        <v>0</v>
      </c>
    </row>
    <row r="62" spans="1:91" ht="25.5" x14ac:dyDescent="0.2">
      <c r="A62" s="7">
        <f t="shared" ca="1" si="10"/>
        <v>4</v>
      </c>
      <c r="B62" s="7" t="str">
        <f ca="1">OFFSET(ORÇAMENTO!C$15,ROW(B62)-ROW(B$15),0)</f>
        <v>S</v>
      </c>
      <c r="C62" s="7" t="str">
        <f ca="1">OFFSET(ORÇAMENTO!L$15,ROW(C62)-ROW(C$15),0)</f>
        <v>F</v>
      </c>
      <c r="D62" s="116" t="str">
        <f ca="1">OFFSET(ORÇAMENTO!N$15,ROW(D62)-ROW(D$15),0)</f>
        <v>Serviço</v>
      </c>
      <c r="E62" s="117" t="str">
        <f ca="1">OFFSET(ORÇAMENTO!O$15,ROW(E62)-ROW(E$15),0)</f>
        <v>1.5.1.1.1.</v>
      </c>
      <c r="F62" s="163" t="str">
        <f ca="1">OFFSET(ORÇAMENTO!R$15,ROW(F62)-ROW(F$15),0)</f>
        <v>MOBILIZAÇÃO E DESMOBILIZAÇÃO DE EQUIPAMENTO - HÉLICE CONTÍNUA</v>
      </c>
      <c r="G62" s="164" t="str">
        <f ca="1">IF($D62&lt;&gt;"Serviço","",OFFSET(ORÇAMENTO!S$15,ROW(G62)-ROW(G$15),0))</f>
        <v>UN</v>
      </c>
      <c r="H62" s="122" cm="1">
        <f t="array" aca="1" ref="H62" ca="1">IF($D62&lt;&gt;"Serviço",0,IF(ACOMPANHAMENTO="BM",ROUND(OFFSET(ORÇAMENTO!AJ$15,ROW(H62)-ROW(H$15),0),15-13*ORÇAMENTO!$AF$7),SUMPRODUCT(($Q$1:$AI$1=1)*ROUND($Q62:$AI62,15-13*ORÇAMENTO!$AF$7))))</f>
        <v>1</v>
      </c>
      <c r="I62" s="468" t="s">
        <v>1291</v>
      </c>
      <c r="J62" s="640" t="str" cm="1">
        <f t="array" aca="1" ref="J62" ca="1">IF(OR(B62&lt;&gt;"S",CÁLCULO.FrentesPreenchidas=0),"",IF(AND(ACOMPANHAMENTO="PLE",AUTOEVENTO="Manual",OR(H62&gt;0,ORÇAMENTO!AC62="QUANT."),OR(K62="",M62=0,N62="")),"►E",IF(AND(ACOMPANHAMENTO="PLE",ORÇAMENTO!AC62="QUANT."),"►Q",IF(AND(ACOMPANHAMENTO="PLE",H62&lt;&gt;SUMPRODUCT(($Q$1:$AI$1=1)*ROUND(Q62:AI62,15))),"►S",IF(AND(COUNTIF($P$11:$AI$11,"▼")=0,H62&gt;0,I62=""),"◄M","")))))</f>
        <v/>
      </c>
      <c r="K62" s="641" t="s">
        <v>1389</v>
      </c>
      <c r="L62" s="165" t="s">
        <v>764</v>
      </c>
      <c r="M62" s="166">
        <f ca="1">IF($D62&lt;&gt;"Serviço","",
          IF(AUTOEVENTO="manual",$A62,
                IF(ISERROR(MATCH($A62,$A$15:OFFSET($A62,-1,0),0)),MAX($M$15:OFFSET(M62,-1,0))+1,
                      INDEX($M$15:OFFSET(M62,-1,0),MATCH($A62,$A$15:OFFSET($A62,-1,0),0)))))</f>
        <v>4</v>
      </c>
      <c r="N62" s="167" t="str">
        <f ca="1">IF($D62&lt;&gt;"Serviço","",
         IF(AUTOEVENTO="Manual",
                IF($A62=0,"&lt;-- defina o número do agrupador",
                       OFFSET(EVENTOS!$D$15,$A62-$A$15,0)),
                OFFSET($F$15,$A62,0)))</f>
        <v>Estruturas de Concreto</v>
      </c>
      <c r="O62" s="168"/>
      <c r="Q62" s="168"/>
      <c r="R62" s="169">
        <v>1</v>
      </c>
      <c r="S62" s="169"/>
      <c r="T62" s="169"/>
      <c r="U62" s="169"/>
      <c r="V62" s="169"/>
      <c r="W62" s="169"/>
      <c r="X62" s="169"/>
      <c r="Y62" s="169"/>
      <c r="Z62" s="170"/>
      <c r="AA62" s="169"/>
      <c r="AB62" s="169"/>
      <c r="AC62" s="169"/>
      <c r="AD62" s="169"/>
      <c r="AE62" s="169"/>
      <c r="AF62" s="169"/>
      <c r="AG62" s="169"/>
      <c r="AH62" s="170"/>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L62" s="453">
        <f ca="1">IF(AND($D62="Serviço",AL$12&lt;&gt;0,$H62&gt;0,OR(AUTOEVENTO&lt;&gt;"manual",$M62&lt;&gt;$A$15)),
        IF(Import.TipoArredondamento&lt;&gt;"TransfereGOV",
              ROUND(OFFSET($P62,0,AL$13),15-13*ORÇAMENTO!$AF$7)/$H62*OFFSET(ORÇAMENTO!$X$15,ROW(AL62)-ROW(AL$15),0),
              ROUND(ROUND(OFFSET($P62,0,AL$13),15-13*ORÇAMENTO!$AF$7)*OFFSET(ORÇAMENTO!$W$15,ROW(AL62)-ROW(AL$15),0),15-13*ORÇAMENTO!$AF$11)),
         0)</f>
        <v>0</v>
      </c>
      <c r="AM62" s="453">
        <f ca="1">IF(AND($D62="Serviço",AM$12&lt;&gt;0,$H62&gt;0,OR(AUTOEVENTO&lt;&gt;"manual",$M62&lt;&gt;$A$15)),
        IF(Import.TipoArredondamento&lt;&gt;"TransfereGOV",
              ROUND(OFFSET($P62,0,AM$13),15-13*ORÇAMENTO!$AF$7)/$H62*OFFSET(ORÇAMENTO!$X$15,ROW(AM62)-ROW(AM$15),0),
              ROUND(ROUND(OFFSET($P62,0,AM$13),15-13*ORÇAMENTO!$AF$7)*OFFSET(ORÇAMENTO!$W$15,ROW(AM62)-ROW(AM$15),0),15-13*ORÇAMENTO!$AF$11)),
         0)</f>
        <v>0</v>
      </c>
      <c r="AN62" s="453">
        <f ca="1">IF(AND($D62="Serviço",AN$12&lt;&gt;0,$H62&gt;0,OR(AUTOEVENTO&lt;&gt;"manual",$M62&lt;&gt;$A$15)),
        IF(Import.TipoArredondamento&lt;&gt;"TransfereGOV",
              ROUND(OFFSET($P62,0,AN$13),15-13*ORÇAMENTO!$AF$7)/$H62*OFFSET(ORÇAMENTO!$X$15,ROW(AN62)-ROW(AN$15),0),
              ROUND(ROUND(OFFSET($P62,0,AN$13),15-13*ORÇAMENTO!$AF$7)*OFFSET(ORÇAMENTO!$W$15,ROW(AN62)-ROW(AN$15),0),15-13*ORÇAMENTO!$AF$11)),
         0)</f>
        <v>0</v>
      </c>
      <c r="AO62" s="453">
        <f ca="1">IF(AND($D62="Serviço",AO$12&lt;&gt;0,$H62&gt;0,OR(AUTOEVENTO&lt;&gt;"manual",$M62&lt;&gt;$A$15)),
        IF(Import.TipoArredondamento&lt;&gt;"TransfereGOV",
              ROUND(OFFSET($P62,0,AO$13),15-13*ORÇAMENTO!$AF$7)/$H62*OFFSET(ORÇAMENTO!$X$15,ROW(AO62)-ROW(AO$15),0),
              ROUND(ROUND(OFFSET($P62,0,AO$13),15-13*ORÇAMENTO!$AF$7)*OFFSET(ORÇAMENTO!$W$15,ROW(AO62)-ROW(AO$15),0),15-13*ORÇAMENTO!$AF$11)),
         0)</f>
        <v>0</v>
      </c>
      <c r="AP62" s="453">
        <f ca="1">IF(AND($D62="Serviço",AP$12&lt;&gt;0,$H62&gt;0,OR(AUTOEVENTO&lt;&gt;"manual",$M62&lt;&gt;$A$15)),
        IF(Import.TipoArredondamento&lt;&gt;"TransfereGOV",
              ROUND(OFFSET($P62,0,AP$13),15-13*ORÇAMENTO!$AF$7)/$H62*OFFSET(ORÇAMENTO!$X$15,ROW(AP62)-ROW(AP$15),0),
              ROUND(ROUND(OFFSET($P62,0,AP$13),15-13*ORÇAMENTO!$AF$7)*OFFSET(ORÇAMENTO!$W$15,ROW(AP62)-ROW(AP$15),0),15-13*ORÇAMENTO!$AF$11)),
         0)</f>
        <v>0</v>
      </c>
      <c r="AQ62" s="453">
        <f ca="1">IF(AND($D62="Serviço",AQ$12&lt;&gt;0,$H62&gt;0,OR(AUTOEVENTO&lt;&gt;"manual",$M62&lt;&gt;$A$15)),
        IF(Import.TipoArredondamento&lt;&gt;"TransfereGOV",
              ROUND(OFFSET($P62,0,AQ$13),15-13*ORÇAMENTO!$AF$7)/$H62*OFFSET(ORÇAMENTO!$X$15,ROW(AQ62)-ROW(AQ$15),0),
              ROUND(ROUND(OFFSET($P62,0,AQ$13),15-13*ORÇAMENTO!$AF$7)*OFFSET(ORÇAMENTO!$W$15,ROW(AQ62)-ROW(AQ$15),0),15-13*ORÇAMENTO!$AF$11)),
         0)</f>
        <v>0</v>
      </c>
      <c r="AR62" s="453">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3">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3">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3">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3">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3">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3">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3">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3">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3">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C62" s="171">
        <f ca="1">IF(OR($D62&lt;&gt;"Serviço",AND(AUTOEVENTO="Manual",$M62=$A$15)),0,
         IF(OFFSET(CRONOPLE!$F$15,$M62-$A$15,BC$13)=0,10^12,OFFSET(CRONOPLE!$F$15,$M62-$A$15,BC$13)))</f>
        <v>1</v>
      </c>
      <c r="BD62" s="171">
        <f ca="1">IF(OR($D62&lt;&gt;"Serviço",AND(AUTOEVENTO="Manual",$M62=$A$15)),0,
         IF(OFFSET(CRONOPLE!$F$15,$M62-$A$15,BD$13)=0,10^12,OFFSET(CRONOPLE!$F$15,$M62-$A$15,BD$13)))</f>
        <v>2</v>
      </c>
      <c r="BE62" s="171">
        <f ca="1">IF(OR($D62&lt;&gt;"Serviço",AND(AUTOEVENTO="Manual",$M62=$A$15)),0,
         IF(OFFSET(CRONOPLE!$F$15,$M62-$A$15,BE$13)=0,10^12,OFFSET(CRONOPLE!$F$15,$M62-$A$15,BE$13)))</f>
        <v>3</v>
      </c>
      <c r="BF62" s="171">
        <f ca="1">IF(OR($D62&lt;&gt;"Serviço",AND(AUTOEVENTO="Manual",$M62=$A$15)),0,
         IF(OFFSET(CRONOPLE!$F$15,$M62-$A$15,BF$13)=0,10^12,OFFSET(CRONOPLE!$F$15,$M62-$A$15,BF$13)))</f>
        <v>4</v>
      </c>
      <c r="BG62" s="171">
        <f ca="1">IF(OR($D62&lt;&gt;"Serviço",AND(AUTOEVENTO="Manual",$M62=$A$15)),0,
         IF(OFFSET(CRONOPLE!$F$15,$M62-$A$15,BG$13)=0,10^12,OFFSET(CRONOPLE!$F$15,$M62-$A$15,BG$13)))</f>
        <v>5</v>
      </c>
      <c r="BH62" s="171">
        <f ca="1">IF(OR($D62&lt;&gt;"Serviço",AND(AUTOEVENTO="Manual",$M62=$A$15)),0,
         IF(OFFSET(CRONOPLE!$F$15,$M62-$A$15,BH$13)=0,10^12,OFFSET(CRONOPLE!$F$15,$M62-$A$15,BH$13)))</f>
        <v>6</v>
      </c>
      <c r="BI62" s="171">
        <f ca="1">IF(OR($D62&lt;&gt;"Serviço",AND(AUTOEVENTO="Manual",$M62=$A$15)),0,
         IF(OFFSET(CRONOPLE!$F$15,$M62-$A$15,BI$13)=0,10^12,OFFSET(CRONOPLE!$F$15,$M62-$A$15,BI$13)))</f>
        <v>7</v>
      </c>
      <c r="BJ62" s="171">
        <f ca="1">IF(OR($D62&lt;&gt;"Serviço",AND(AUTOEVENTO="Manual",$M62=$A$15)),0,
         IF(OFFSET(CRONOPLE!$F$15,$M62-$A$15,BJ$13)=0,10^12,OFFSET(CRONOPLE!$F$15,$M62-$A$15,BJ$13)))</f>
        <v>8</v>
      </c>
      <c r="BK62" s="171">
        <f ca="1">IF(OR($D62&lt;&gt;"Serviço",AND(AUTOEVENTO="Manual",$M62=$A$15)),0,
         IF(OFFSET(CRONOPLE!$F$15,$M62-$A$15,BK$13)=0,10^12,OFFSET(CRONOPLE!$F$15,$M62-$A$15,BK$13)))</f>
        <v>9</v>
      </c>
      <c r="BL62" s="171">
        <f ca="1">IF(OR($D62&lt;&gt;"Serviço",AND(AUTOEVENTO="Manual",$M62=$A$15)),0,
         IF(OFFSET(CRONOPLE!$F$15,$M62-$A$15,BL$13)=0,10^12,OFFSET(CRONOPLE!$F$15,$M62-$A$15,BL$13)))</f>
        <v>10</v>
      </c>
      <c r="BM62" s="171">
        <f ca="1">IF(OR($D62&lt;&gt;"Serviço",AND(AUTOEVENTO="Manual",$M62=$A$15)),0,
         IF(OFFSET(CRONOPLE!$F$15,$M62-$A$15,BM$13)=0,10^12,OFFSET(CRONOPLE!$F$15,$M62-$A$15,BM$13)))</f>
        <v>1000000000000</v>
      </c>
      <c r="BN62" s="171">
        <f ca="1">IF(OR($D62&lt;&gt;"Serviço",AND(AUTOEVENTO="Manual",$M62=$A$15)),0,
         IF(OFFSET(CRONOPLE!$F$15,$M62-$A$15,BN$13)=0,10^12,OFFSET(CRONOPLE!$F$15,$M62-$A$15,BN$13)))</f>
        <v>1000000000000</v>
      </c>
      <c r="BO62" s="171">
        <f ca="1">IF(OR($D62&lt;&gt;"Serviço",AND(AUTOEVENTO="Manual",$M62=$A$15)),0,
         IF(OFFSET(CRONOPLE!$F$15,$M62-$A$15,BO$13)=0,10^12,OFFSET(CRONOPLE!$F$15,$M62-$A$15,BO$13)))</f>
        <v>1000000000000</v>
      </c>
      <c r="BP62" s="171">
        <f ca="1">IF(OR($D62&lt;&gt;"Serviço",AND(AUTOEVENTO="Manual",$M62=$A$15)),0,
         IF(OFFSET(CRONOPLE!$F$15,$M62-$A$15,BP$13)=0,10^12,OFFSET(CRONOPLE!$F$15,$M62-$A$15,BP$13)))</f>
        <v>1000000000000</v>
      </c>
      <c r="BQ62" s="171">
        <f ca="1">IF(OR($D62&lt;&gt;"Serviço",AND(AUTOEVENTO="Manual",$M62=$A$15)),0,
         IF(OFFSET(CRONOPLE!$F$15,$M62-$A$15,BQ$13)=0,10^12,OFFSET(CRONOPLE!$F$15,$M62-$A$15,BQ$13)))</f>
        <v>1000000000000</v>
      </c>
      <c r="BR62" s="171">
        <f ca="1">IF(OR($D62&lt;&gt;"Serviço",AND(AUTOEVENTO="Manual",$M62=$A$15)),0,
         IF(OFFSET(CRONOPLE!$F$15,$M62-$A$15,BR$13)=0,10^12,OFFSET(CRONOPLE!$F$15,$M62-$A$15,BR$13)))</f>
        <v>1000000000000</v>
      </c>
      <c r="BS62" s="171">
        <f ca="1">IF(OR($D62&lt;&gt;"Serviço",AND(AUTOEVENTO="Manual",$M62=$A$15)),0,
         IF(OFFSET(CRONOPLE!$F$15,$M62-$A$15,BS$13)=0,10^12,OFFSET(CRONOPLE!$F$15,$M62-$A$15,BS$13)))</f>
        <v>1000000000000</v>
      </c>
      <c r="BT62" s="171">
        <f ca="1">IF(OR($D62&lt;&gt;"Serviço",AND(AUTOEVENTO="Manual",$M62=$A$15)),0,
         IF(OFFSET(CRONOPLE!$F$15,$M62-$A$15,BT$13)=0,10^12,OFFSET(CRONOPLE!$F$15,$M62-$A$15,BT$13)))</f>
        <v>1000000000000</v>
      </c>
      <c r="BV62" s="172">
        <f ca="1">IF(OR($D62&lt;&gt;"Serviço",AND(AUTOEVENTO="Manual",$M62=$A$15),$M62&gt;(ROW(PLE.lastrow)-ROW(PLE.firstrow))),0,
           IF(OFFSET(PLE!$G$15,$M62-$A$15,BV$13)="",10^12,OFFSET(PLE!$G$15,$M62-$A$15,BV$13)))</f>
        <v>1000000000000</v>
      </c>
      <c r="BW62" s="172">
        <f ca="1">IF(OR($D62&lt;&gt;"Serviço",AND(AUTOEVENTO="Manual",$M62=$A$15),$M62&gt;(ROW(PLE.lastrow)-ROW(PLE.firstrow))),0,
           IF(OFFSET(PLE!$G$15,$M62-$A$15,BW$13)="",10^12,OFFSET(PLE!$G$15,$M62-$A$15,BW$13)))</f>
        <v>1000000000000</v>
      </c>
      <c r="BX62" s="172">
        <f ca="1">IF(OR($D62&lt;&gt;"Serviço",AND(AUTOEVENTO="Manual",$M62=$A$15),$M62&gt;(ROW(PLE.lastrow)-ROW(PLE.firstrow))),0,
           IF(OFFSET(PLE!$G$15,$M62-$A$15,BX$13)="",10^12,OFFSET(PLE!$G$15,$M62-$A$15,BX$13)))</f>
        <v>1000000000000</v>
      </c>
      <c r="BY62" s="172">
        <f ca="1">IF(OR($D62&lt;&gt;"Serviço",AND(AUTOEVENTO="Manual",$M62=$A$15),$M62&gt;(ROW(PLE.lastrow)-ROW(PLE.firstrow))),0,
           IF(OFFSET(PLE!$G$15,$M62-$A$15,BY$13)="",10^12,OFFSET(PLE!$G$15,$M62-$A$15,BY$13)))</f>
        <v>1000000000000</v>
      </c>
      <c r="BZ62" s="172">
        <f ca="1">IF(OR($D62&lt;&gt;"Serviço",AND(AUTOEVENTO="Manual",$M62=$A$15),$M62&gt;(ROW(PLE.lastrow)-ROW(PLE.firstrow))),0,
           IF(OFFSET(PLE!$G$15,$M62-$A$15,BZ$13)="",10^12,OFFSET(PLE!$G$15,$M62-$A$15,BZ$13)))</f>
        <v>1000000000000</v>
      </c>
      <c r="CA62" s="172">
        <f ca="1">IF(OR($D62&lt;&gt;"Serviço",AND(AUTOEVENTO="Manual",$M62=$A$15),$M62&gt;(ROW(PLE.lastrow)-ROW(PLE.firstrow))),0,
           IF(OFFSET(PLE!$G$15,$M62-$A$15,CA$13)="",10^12,OFFSET(PLE!$G$15,$M62-$A$15,CA$13)))</f>
        <v>1000000000000</v>
      </c>
      <c r="CB62" s="172">
        <f ca="1">IF(OR($D62&lt;&gt;"Serviço",AND(AUTOEVENTO="Manual",$M62=$A$15),$M62&gt;(ROW(PLE.lastrow)-ROW(PLE.firstrow))),0,
           IF(OFFSET(PLE!$G$15,$M62-$A$15,CB$13)="",10^12,OFFSET(PLE!$G$15,$M62-$A$15,CB$13)))</f>
        <v>1000000000000</v>
      </c>
      <c r="CC62" s="172">
        <f ca="1">IF(OR($D62&lt;&gt;"Serviço",AND(AUTOEVENTO="Manual",$M62=$A$15),$M62&gt;(ROW(PLE.lastrow)-ROW(PLE.firstrow))),0,
           IF(OFFSET(PLE!$G$15,$M62-$A$15,CC$13)="",10^12,OFFSET(PLE!$G$15,$M62-$A$15,CC$13)))</f>
        <v>1000000000000</v>
      </c>
      <c r="CD62" s="172">
        <f ca="1">IF(OR($D62&lt;&gt;"Serviço",AND(AUTOEVENTO="Manual",$M62=$A$15),$M62&gt;(ROW(PLE.lastrow)-ROW(PLE.firstrow))),0,
           IF(OFFSET(PLE!$G$15,$M62-$A$15,CD$13)="",10^12,OFFSET(PLE!$G$15,$M62-$A$15,CD$13)))</f>
        <v>1000000000000</v>
      </c>
      <c r="CE62" s="172">
        <f ca="1">IF(OR($D62&lt;&gt;"Serviço",AND(AUTOEVENTO="Manual",$M62=$A$15),$M62&gt;(ROW(PLE.lastrow)-ROW(PLE.firstrow))),0,
           IF(OFFSET(PLE!$G$15,$M62-$A$15,CE$13)="",10^12,OFFSET(PLE!$G$15,$M62-$A$15,CE$13)))</f>
        <v>1000000000000</v>
      </c>
      <c r="CF62" s="172">
        <f ca="1">IF(OR($D62&lt;&gt;"Serviço",AND(AUTOEVENTO="Manual",$M62=$A$15),$M62&gt;(ROW(PLE.lastrow)-ROW(PLE.firstrow))),0,
           IF(OFFSET(PLE!$G$15,$M62-$A$15,CF$13)="",10^12,OFFSET(PLE!$G$15,$M62-$A$15,CF$13)))</f>
        <v>1000000000000</v>
      </c>
      <c r="CG62" s="172">
        <f ca="1">IF(OR($D62&lt;&gt;"Serviço",AND(AUTOEVENTO="Manual",$M62=$A$15),$M62&gt;(ROW(PLE.lastrow)-ROW(PLE.firstrow))),0,
           IF(OFFSET(PLE!$G$15,$M62-$A$15,CG$13)="",10^12,OFFSET(PLE!$G$15,$M62-$A$15,CG$13)))</f>
        <v>1000000000000</v>
      </c>
      <c r="CH62" s="172">
        <f ca="1">IF(OR($D62&lt;&gt;"Serviço",AND(AUTOEVENTO="Manual",$M62=$A$15),$M62&gt;(ROW(PLE.lastrow)-ROW(PLE.firstrow))),0,
           IF(OFFSET(PLE!$G$15,$M62-$A$15,CH$13)="",10^12,OFFSET(PLE!$G$15,$M62-$A$15,CH$13)))</f>
        <v>1000000000000</v>
      </c>
      <c r="CI62" s="172">
        <f ca="1">IF(OR($D62&lt;&gt;"Serviço",AND(AUTOEVENTO="Manual",$M62=$A$15),$M62&gt;(ROW(PLE.lastrow)-ROW(PLE.firstrow))),0,
           IF(OFFSET(PLE!$G$15,$M62-$A$15,CI$13)="",10^12,OFFSET(PLE!$G$15,$M62-$A$15,CI$13)))</f>
        <v>1000000000000</v>
      </c>
      <c r="CJ62" s="172">
        <f ca="1">IF(OR($D62&lt;&gt;"Serviço",AND(AUTOEVENTO="Manual",$M62=$A$15),$M62&gt;(ROW(PLE.lastrow)-ROW(PLE.firstrow))),0,
           IF(OFFSET(PLE!$G$15,$M62-$A$15,CJ$13)="",10^12,OFFSET(PLE!$G$15,$M62-$A$15,CJ$13)))</f>
        <v>1000000000000</v>
      </c>
      <c r="CK62" s="172">
        <f ca="1">IF(OR($D62&lt;&gt;"Serviço",AND(AUTOEVENTO="Manual",$M62=$A$15),$M62&gt;(ROW(PLE.lastrow)-ROW(PLE.firstrow))),0,
           IF(OFFSET(PLE!$G$15,$M62-$A$15,CK$13)="",10^12,OFFSET(PLE!$G$15,$M62-$A$15,CK$13)))</f>
        <v>1000000000000</v>
      </c>
      <c r="CL62" s="172">
        <f ca="1">IF(OR($D62&lt;&gt;"Serviço",AND(AUTOEVENTO="Manual",$M62=$A$15),$M62&gt;(ROW(PLE.lastrow)-ROW(PLE.firstrow))),0,
           IF(OFFSET(PLE!$G$15,$M62-$A$15,CL$13)="",10^12,OFFSET(PLE!$G$15,$M62-$A$15,CL$13)))</f>
        <v>1000000000000</v>
      </c>
      <c r="CM62" s="172">
        <f ca="1">IF(OR($D62&lt;&gt;"Serviço",AND(AUTOEVENTO="Manual",$M62=$A$15),$M62&gt;(ROW(PLE.lastrow)-ROW(PLE.firstrow))),0,
           IF(OFFSET(PLE!$G$15,$M62-$A$15,CM$13)="",10^12,OFFSET(PLE!$G$15,$M62-$A$15,CM$13)))</f>
        <v>1000000000000</v>
      </c>
    </row>
    <row r="63" spans="1:91" ht="63.75" x14ac:dyDescent="0.2">
      <c r="A63" s="7">
        <f t="shared" ca="1" si="10"/>
        <v>4</v>
      </c>
      <c r="B63" s="7" t="str">
        <f ca="1">OFFSET(ORÇAMENTO!C$15,ROW(B63)-ROW(B$15),0)</f>
        <v>S</v>
      </c>
      <c r="C63" s="7" t="str">
        <f ca="1">OFFSET(ORÇAMENTO!L$15,ROW(C63)-ROW(C$15),0)</f>
        <v>F</v>
      </c>
      <c r="D63" s="116" t="str">
        <f ca="1">OFFSET(ORÇAMENTO!N$15,ROW(D63)-ROW(D$15),0)</f>
        <v>Serviço</v>
      </c>
      <c r="E63" s="117" t="str">
        <f ca="1">OFFSET(ORÇAMENTO!O$15,ROW(E63)-ROW(E$15),0)</f>
        <v>1.5.1.1.2.</v>
      </c>
      <c r="F63" s="163" t="str">
        <f ca="1">OFFSET(ORÇAMENTO!R$15,ROW(F63)-ROW(F$15),0)</f>
        <v>EXECUÇÃO DE ESTACA TIPO HÉLICE CONTÍNUA, DIÂMETRO 60CM, INCLUSIVE AFASTAMENTO LATERAL, EXCLUSIVE ARMAÇÃO, CONCRETO ESTRUTURAL, TRANSPORTE E RETIRADA DO MATERIAL ESCAVADO</v>
      </c>
      <c r="G63" s="164" t="str">
        <f ca="1">IF($D63&lt;&gt;"Serviço","",OFFSET(ORÇAMENTO!S$15,ROW(G63)-ROW(G$15),0))</f>
        <v>M</v>
      </c>
      <c r="H63" s="122" cm="1">
        <f t="array" aca="1" ref="H63" ca="1">IF($D63&lt;&gt;"Serviço",0,IF(ACOMPANHAMENTO="BM",ROUND(OFFSET(ORÇAMENTO!AJ$15,ROW(H63)-ROW(H$15),0),15-13*ORÇAMENTO!$AF$7),SUMPRODUCT(($Q$1:$AI$1=1)*ROUND($Q63:$AI63,15-13*ORÇAMENTO!$AF$7))))</f>
        <v>480</v>
      </c>
      <c r="I63" s="468" t="s">
        <v>1304</v>
      </c>
      <c r="J63" s="640" t="str" cm="1">
        <f t="array" aca="1" ref="J63" ca="1">IF(OR(B63&lt;&gt;"S",CÁLCULO.FrentesPreenchidas=0),"",IF(AND(ACOMPANHAMENTO="PLE",AUTOEVENTO="Manual",OR(H63&gt;0,ORÇAMENTO!AC63="QUANT."),OR(K63="",M63=0,N63="")),"►E",IF(AND(ACOMPANHAMENTO="PLE",ORÇAMENTO!AC63="QUANT."),"►Q",IF(AND(ACOMPANHAMENTO="PLE",H63&lt;&gt;SUMPRODUCT(($Q$1:$AI$1=1)*ROUND(Q63:AI63,15))),"►S",IF(AND(COUNTIF($P$11:$AI$11,"▼")=0,H63&gt;0,I63=""),"◄M","")))))</f>
        <v/>
      </c>
      <c r="K63" s="641" t="s">
        <v>1389</v>
      </c>
      <c r="L63" s="165" t="s">
        <v>764</v>
      </c>
      <c r="M63" s="166">
        <f ca="1">IF($D63&lt;&gt;"Serviço","",
          IF(AUTOEVENTO="manual",$A63,
                IF(ISERROR(MATCH($A63,$A$15:OFFSET($A63,-1,0),0)),MAX($M$15:OFFSET(M63,-1,0))+1,
                      INDEX($M$15:OFFSET(M63,-1,0),MATCH($A63,$A$15:OFFSET($A63,-1,0),0)))))</f>
        <v>4</v>
      </c>
      <c r="N63" s="167" t="str">
        <f ca="1">IF($D63&lt;&gt;"Serviço","",
         IF(AUTOEVENTO="Manual",
                IF($A63=0,"&lt;-- defina o número do agrupador",
                       OFFSET(EVENTOS!$D$15,$A63-$A$15,0)),
                OFFSET($F$15,$A63,0)))</f>
        <v>Estruturas de Concreto</v>
      </c>
      <c r="O63" s="168"/>
      <c r="Q63" s="168"/>
      <c r="R63" s="169">
        <f>10*48</f>
        <v>480</v>
      </c>
      <c r="S63" s="169"/>
      <c r="T63" s="169"/>
      <c r="U63" s="169"/>
      <c r="V63" s="169"/>
      <c r="W63" s="169"/>
      <c r="X63" s="169"/>
      <c r="Y63" s="169"/>
      <c r="Z63" s="170"/>
      <c r="AA63" s="169"/>
      <c r="AB63" s="169"/>
      <c r="AC63" s="169"/>
      <c r="AD63" s="169"/>
      <c r="AE63" s="169"/>
      <c r="AF63" s="169"/>
      <c r="AG63" s="169"/>
      <c r="AH63" s="170"/>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L63" s="453">
        <f ca="1">IF(AND($D63="Serviço",AL$12&lt;&gt;0,$H63&gt;0,OR(AUTOEVENTO&lt;&gt;"manual",$M63&lt;&gt;$A$15)),
        IF(Import.TipoArredondamento&lt;&gt;"TransfereGOV",
              ROUND(OFFSET($P63,0,AL$13),15-13*ORÇAMENTO!$AF$7)/$H63*OFFSET(ORÇAMENTO!$X$15,ROW(AL63)-ROW(AL$15),0),
              ROUND(ROUND(OFFSET($P63,0,AL$13),15-13*ORÇAMENTO!$AF$7)*OFFSET(ORÇAMENTO!$W$15,ROW(AL63)-ROW(AL$15),0),15-13*ORÇAMENTO!$AF$11)),
         0)</f>
        <v>0</v>
      </c>
      <c r="AM63" s="453">
        <f ca="1">IF(AND($D63="Serviço",AM$12&lt;&gt;0,$H63&gt;0,OR(AUTOEVENTO&lt;&gt;"manual",$M63&lt;&gt;$A$15)),
        IF(Import.TipoArredondamento&lt;&gt;"TransfereGOV",
              ROUND(OFFSET($P63,0,AM$13),15-13*ORÇAMENTO!$AF$7)/$H63*OFFSET(ORÇAMENTO!$X$15,ROW(AM63)-ROW(AM$15),0),
              ROUND(ROUND(OFFSET($P63,0,AM$13),15-13*ORÇAMENTO!$AF$7)*OFFSET(ORÇAMENTO!$W$15,ROW(AM63)-ROW(AM$15),0),15-13*ORÇAMENTO!$AF$11)),
         0)</f>
        <v>0</v>
      </c>
      <c r="AN63" s="453">
        <f ca="1">IF(AND($D63="Serviço",AN$12&lt;&gt;0,$H63&gt;0,OR(AUTOEVENTO&lt;&gt;"manual",$M63&lt;&gt;$A$15)),
        IF(Import.TipoArredondamento&lt;&gt;"TransfereGOV",
              ROUND(OFFSET($P63,0,AN$13),15-13*ORÇAMENTO!$AF$7)/$H63*OFFSET(ORÇAMENTO!$X$15,ROW(AN63)-ROW(AN$15),0),
              ROUND(ROUND(OFFSET($P63,0,AN$13),15-13*ORÇAMENTO!$AF$7)*OFFSET(ORÇAMENTO!$W$15,ROW(AN63)-ROW(AN$15),0),15-13*ORÇAMENTO!$AF$11)),
         0)</f>
        <v>0</v>
      </c>
      <c r="AO63" s="453">
        <f ca="1">IF(AND($D63="Serviço",AO$12&lt;&gt;0,$H63&gt;0,OR(AUTOEVENTO&lt;&gt;"manual",$M63&lt;&gt;$A$15)),
        IF(Import.TipoArredondamento&lt;&gt;"TransfereGOV",
              ROUND(OFFSET($P63,0,AO$13),15-13*ORÇAMENTO!$AF$7)/$H63*OFFSET(ORÇAMENTO!$X$15,ROW(AO63)-ROW(AO$15),0),
              ROUND(ROUND(OFFSET($P63,0,AO$13),15-13*ORÇAMENTO!$AF$7)*OFFSET(ORÇAMENTO!$W$15,ROW(AO63)-ROW(AO$15),0),15-13*ORÇAMENTO!$AF$11)),
         0)</f>
        <v>0</v>
      </c>
      <c r="AP63" s="453">
        <f ca="1">IF(AND($D63="Serviço",AP$12&lt;&gt;0,$H63&gt;0,OR(AUTOEVENTO&lt;&gt;"manual",$M63&lt;&gt;$A$15)),
        IF(Import.TipoArredondamento&lt;&gt;"TransfereGOV",
              ROUND(OFFSET($P63,0,AP$13),15-13*ORÇAMENTO!$AF$7)/$H63*OFFSET(ORÇAMENTO!$X$15,ROW(AP63)-ROW(AP$15),0),
              ROUND(ROUND(OFFSET($P63,0,AP$13),15-13*ORÇAMENTO!$AF$7)*OFFSET(ORÇAMENTO!$W$15,ROW(AP63)-ROW(AP$15),0),15-13*ORÇAMENTO!$AF$11)),
         0)</f>
        <v>0</v>
      </c>
      <c r="AQ63" s="453">
        <f ca="1">IF(AND($D63="Serviço",AQ$12&lt;&gt;0,$H63&gt;0,OR(AUTOEVENTO&lt;&gt;"manual",$M63&lt;&gt;$A$15)),
        IF(Import.TipoArredondamento&lt;&gt;"TransfereGOV",
              ROUND(OFFSET($P63,0,AQ$13),15-13*ORÇAMENTO!$AF$7)/$H63*OFFSET(ORÇAMENTO!$X$15,ROW(AQ63)-ROW(AQ$15),0),
              ROUND(ROUND(OFFSET($P63,0,AQ$13),15-13*ORÇAMENTO!$AF$7)*OFFSET(ORÇAMENTO!$W$15,ROW(AQ63)-ROW(AQ$15),0),15-13*ORÇAMENTO!$AF$11)),
         0)</f>
        <v>0</v>
      </c>
      <c r="AR63" s="453">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3">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3">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3">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3">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3">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3">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3">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3">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3">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C63" s="171">
        <f ca="1">IF(OR($D63&lt;&gt;"Serviço",AND(AUTOEVENTO="Manual",$M63=$A$15)),0,
         IF(OFFSET(CRONOPLE!$F$15,$M63-$A$15,BC$13)=0,10^12,OFFSET(CRONOPLE!$F$15,$M63-$A$15,BC$13)))</f>
        <v>1</v>
      </c>
      <c r="BD63" s="171">
        <f ca="1">IF(OR($D63&lt;&gt;"Serviço",AND(AUTOEVENTO="Manual",$M63=$A$15)),0,
         IF(OFFSET(CRONOPLE!$F$15,$M63-$A$15,BD$13)=0,10^12,OFFSET(CRONOPLE!$F$15,$M63-$A$15,BD$13)))</f>
        <v>2</v>
      </c>
      <c r="BE63" s="171">
        <f ca="1">IF(OR($D63&lt;&gt;"Serviço",AND(AUTOEVENTO="Manual",$M63=$A$15)),0,
         IF(OFFSET(CRONOPLE!$F$15,$M63-$A$15,BE$13)=0,10^12,OFFSET(CRONOPLE!$F$15,$M63-$A$15,BE$13)))</f>
        <v>3</v>
      </c>
      <c r="BF63" s="171">
        <f ca="1">IF(OR($D63&lt;&gt;"Serviço",AND(AUTOEVENTO="Manual",$M63=$A$15)),0,
         IF(OFFSET(CRONOPLE!$F$15,$M63-$A$15,BF$13)=0,10^12,OFFSET(CRONOPLE!$F$15,$M63-$A$15,BF$13)))</f>
        <v>4</v>
      </c>
      <c r="BG63" s="171">
        <f ca="1">IF(OR($D63&lt;&gt;"Serviço",AND(AUTOEVENTO="Manual",$M63=$A$15)),0,
         IF(OFFSET(CRONOPLE!$F$15,$M63-$A$15,BG$13)=0,10^12,OFFSET(CRONOPLE!$F$15,$M63-$A$15,BG$13)))</f>
        <v>5</v>
      </c>
      <c r="BH63" s="171">
        <f ca="1">IF(OR($D63&lt;&gt;"Serviço",AND(AUTOEVENTO="Manual",$M63=$A$15)),0,
         IF(OFFSET(CRONOPLE!$F$15,$M63-$A$15,BH$13)=0,10^12,OFFSET(CRONOPLE!$F$15,$M63-$A$15,BH$13)))</f>
        <v>6</v>
      </c>
      <c r="BI63" s="171">
        <f ca="1">IF(OR($D63&lt;&gt;"Serviço",AND(AUTOEVENTO="Manual",$M63=$A$15)),0,
         IF(OFFSET(CRONOPLE!$F$15,$M63-$A$15,BI$13)=0,10^12,OFFSET(CRONOPLE!$F$15,$M63-$A$15,BI$13)))</f>
        <v>7</v>
      </c>
      <c r="BJ63" s="171">
        <f ca="1">IF(OR($D63&lt;&gt;"Serviço",AND(AUTOEVENTO="Manual",$M63=$A$15)),0,
         IF(OFFSET(CRONOPLE!$F$15,$M63-$A$15,BJ$13)=0,10^12,OFFSET(CRONOPLE!$F$15,$M63-$A$15,BJ$13)))</f>
        <v>8</v>
      </c>
      <c r="BK63" s="171">
        <f ca="1">IF(OR($D63&lt;&gt;"Serviço",AND(AUTOEVENTO="Manual",$M63=$A$15)),0,
         IF(OFFSET(CRONOPLE!$F$15,$M63-$A$15,BK$13)=0,10^12,OFFSET(CRONOPLE!$F$15,$M63-$A$15,BK$13)))</f>
        <v>9</v>
      </c>
      <c r="BL63" s="171">
        <f ca="1">IF(OR($D63&lt;&gt;"Serviço",AND(AUTOEVENTO="Manual",$M63=$A$15)),0,
         IF(OFFSET(CRONOPLE!$F$15,$M63-$A$15,BL$13)=0,10^12,OFFSET(CRONOPLE!$F$15,$M63-$A$15,BL$13)))</f>
        <v>10</v>
      </c>
      <c r="BM63" s="171">
        <f ca="1">IF(OR($D63&lt;&gt;"Serviço",AND(AUTOEVENTO="Manual",$M63=$A$15)),0,
         IF(OFFSET(CRONOPLE!$F$15,$M63-$A$15,BM$13)=0,10^12,OFFSET(CRONOPLE!$F$15,$M63-$A$15,BM$13)))</f>
        <v>1000000000000</v>
      </c>
      <c r="BN63" s="171">
        <f ca="1">IF(OR($D63&lt;&gt;"Serviço",AND(AUTOEVENTO="Manual",$M63=$A$15)),0,
         IF(OFFSET(CRONOPLE!$F$15,$M63-$A$15,BN$13)=0,10^12,OFFSET(CRONOPLE!$F$15,$M63-$A$15,BN$13)))</f>
        <v>1000000000000</v>
      </c>
      <c r="BO63" s="171">
        <f ca="1">IF(OR($D63&lt;&gt;"Serviço",AND(AUTOEVENTO="Manual",$M63=$A$15)),0,
         IF(OFFSET(CRONOPLE!$F$15,$M63-$A$15,BO$13)=0,10^12,OFFSET(CRONOPLE!$F$15,$M63-$A$15,BO$13)))</f>
        <v>1000000000000</v>
      </c>
      <c r="BP63" s="171">
        <f ca="1">IF(OR($D63&lt;&gt;"Serviço",AND(AUTOEVENTO="Manual",$M63=$A$15)),0,
         IF(OFFSET(CRONOPLE!$F$15,$M63-$A$15,BP$13)=0,10^12,OFFSET(CRONOPLE!$F$15,$M63-$A$15,BP$13)))</f>
        <v>1000000000000</v>
      </c>
      <c r="BQ63" s="171">
        <f ca="1">IF(OR($D63&lt;&gt;"Serviço",AND(AUTOEVENTO="Manual",$M63=$A$15)),0,
         IF(OFFSET(CRONOPLE!$F$15,$M63-$A$15,BQ$13)=0,10^12,OFFSET(CRONOPLE!$F$15,$M63-$A$15,BQ$13)))</f>
        <v>1000000000000</v>
      </c>
      <c r="BR63" s="171">
        <f ca="1">IF(OR($D63&lt;&gt;"Serviço",AND(AUTOEVENTO="Manual",$M63=$A$15)),0,
         IF(OFFSET(CRONOPLE!$F$15,$M63-$A$15,BR$13)=0,10^12,OFFSET(CRONOPLE!$F$15,$M63-$A$15,BR$13)))</f>
        <v>1000000000000</v>
      </c>
      <c r="BS63" s="171">
        <f ca="1">IF(OR($D63&lt;&gt;"Serviço",AND(AUTOEVENTO="Manual",$M63=$A$15)),0,
         IF(OFFSET(CRONOPLE!$F$15,$M63-$A$15,BS$13)=0,10^12,OFFSET(CRONOPLE!$F$15,$M63-$A$15,BS$13)))</f>
        <v>1000000000000</v>
      </c>
      <c r="BT63" s="171">
        <f ca="1">IF(OR($D63&lt;&gt;"Serviço",AND(AUTOEVENTO="Manual",$M63=$A$15)),0,
         IF(OFFSET(CRONOPLE!$F$15,$M63-$A$15,BT$13)=0,10^12,OFFSET(CRONOPLE!$F$15,$M63-$A$15,BT$13)))</f>
        <v>1000000000000</v>
      </c>
      <c r="BV63" s="172">
        <f ca="1">IF(OR($D63&lt;&gt;"Serviço",AND(AUTOEVENTO="Manual",$M63=$A$15),$M63&gt;(ROW(PLE.lastrow)-ROW(PLE.firstrow))),0,
           IF(OFFSET(PLE!$G$15,$M63-$A$15,BV$13)="",10^12,OFFSET(PLE!$G$15,$M63-$A$15,BV$13)))</f>
        <v>1000000000000</v>
      </c>
      <c r="BW63" s="172">
        <f ca="1">IF(OR($D63&lt;&gt;"Serviço",AND(AUTOEVENTO="Manual",$M63=$A$15),$M63&gt;(ROW(PLE.lastrow)-ROW(PLE.firstrow))),0,
           IF(OFFSET(PLE!$G$15,$M63-$A$15,BW$13)="",10^12,OFFSET(PLE!$G$15,$M63-$A$15,BW$13)))</f>
        <v>1000000000000</v>
      </c>
      <c r="BX63" s="172">
        <f ca="1">IF(OR($D63&lt;&gt;"Serviço",AND(AUTOEVENTO="Manual",$M63=$A$15),$M63&gt;(ROW(PLE.lastrow)-ROW(PLE.firstrow))),0,
           IF(OFFSET(PLE!$G$15,$M63-$A$15,BX$13)="",10^12,OFFSET(PLE!$G$15,$M63-$A$15,BX$13)))</f>
        <v>1000000000000</v>
      </c>
      <c r="BY63" s="172">
        <f ca="1">IF(OR($D63&lt;&gt;"Serviço",AND(AUTOEVENTO="Manual",$M63=$A$15),$M63&gt;(ROW(PLE.lastrow)-ROW(PLE.firstrow))),0,
           IF(OFFSET(PLE!$G$15,$M63-$A$15,BY$13)="",10^12,OFFSET(PLE!$G$15,$M63-$A$15,BY$13)))</f>
        <v>1000000000000</v>
      </c>
      <c r="BZ63" s="172">
        <f ca="1">IF(OR($D63&lt;&gt;"Serviço",AND(AUTOEVENTO="Manual",$M63=$A$15),$M63&gt;(ROW(PLE.lastrow)-ROW(PLE.firstrow))),0,
           IF(OFFSET(PLE!$G$15,$M63-$A$15,BZ$13)="",10^12,OFFSET(PLE!$G$15,$M63-$A$15,BZ$13)))</f>
        <v>1000000000000</v>
      </c>
      <c r="CA63" s="172">
        <f ca="1">IF(OR($D63&lt;&gt;"Serviço",AND(AUTOEVENTO="Manual",$M63=$A$15),$M63&gt;(ROW(PLE.lastrow)-ROW(PLE.firstrow))),0,
           IF(OFFSET(PLE!$G$15,$M63-$A$15,CA$13)="",10^12,OFFSET(PLE!$G$15,$M63-$A$15,CA$13)))</f>
        <v>1000000000000</v>
      </c>
      <c r="CB63" s="172">
        <f ca="1">IF(OR($D63&lt;&gt;"Serviço",AND(AUTOEVENTO="Manual",$M63=$A$15),$M63&gt;(ROW(PLE.lastrow)-ROW(PLE.firstrow))),0,
           IF(OFFSET(PLE!$G$15,$M63-$A$15,CB$13)="",10^12,OFFSET(PLE!$G$15,$M63-$A$15,CB$13)))</f>
        <v>1000000000000</v>
      </c>
      <c r="CC63" s="172">
        <f ca="1">IF(OR($D63&lt;&gt;"Serviço",AND(AUTOEVENTO="Manual",$M63=$A$15),$M63&gt;(ROW(PLE.lastrow)-ROW(PLE.firstrow))),0,
           IF(OFFSET(PLE!$G$15,$M63-$A$15,CC$13)="",10^12,OFFSET(PLE!$G$15,$M63-$A$15,CC$13)))</f>
        <v>1000000000000</v>
      </c>
      <c r="CD63" s="172">
        <f ca="1">IF(OR($D63&lt;&gt;"Serviço",AND(AUTOEVENTO="Manual",$M63=$A$15),$M63&gt;(ROW(PLE.lastrow)-ROW(PLE.firstrow))),0,
           IF(OFFSET(PLE!$G$15,$M63-$A$15,CD$13)="",10^12,OFFSET(PLE!$G$15,$M63-$A$15,CD$13)))</f>
        <v>1000000000000</v>
      </c>
      <c r="CE63" s="172">
        <f ca="1">IF(OR($D63&lt;&gt;"Serviço",AND(AUTOEVENTO="Manual",$M63=$A$15),$M63&gt;(ROW(PLE.lastrow)-ROW(PLE.firstrow))),0,
           IF(OFFSET(PLE!$G$15,$M63-$A$15,CE$13)="",10^12,OFFSET(PLE!$G$15,$M63-$A$15,CE$13)))</f>
        <v>1000000000000</v>
      </c>
      <c r="CF63" s="172">
        <f ca="1">IF(OR($D63&lt;&gt;"Serviço",AND(AUTOEVENTO="Manual",$M63=$A$15),$M63&gt;(ROW(PLE.lastrow)-ROW(PLE.firstrow))),0,
           IF(OFFSET(PLE!$G$15,$M63-$A$15,CF$13)="",10^12,OFFSET(PLE!$G$15,$M63-$A$15,CF$13)))</f>
        <v>1000000000000</v>
      </c>
      <c r="CG63" s="172">
        <f ca="1">IF(OR($D63&lt;&gt;"Serviço",AND(AUTOEVENTO="Manual",$M63=$A$15),$M63&gt;(ROW(PLE.lastrow)-ROW(PLE.firstrow))),0,
           IF(OFFSET(PLE!$G$15,$M63-$A$15,CG$13)="",10^12,OFFSET(PLE!$G$15,$M63-$A$15,CG$13)))</f>
        <v>1000000000000</v>
      </c>
      <c r="CH63" s="172">
        <f ca="1">IF(OR($D63&lt;&gt;"Serviço",AND(AUTOEVENTO="Manual",$M63=$A$15),$M63&gt;(ROW(PLE.lastrow)-ROW(PLE.firstrow))),0,
           IF(OFFSET(PLE!$G$15,$M63-$A$15,CH$13)="",10^12,OFFSET(PLE!$G$15,$M63-$A$15,CH$13)))</f>
        <v>1000000000000</v>
      </c>
      <c r="CI63" s="172">
        <f ca="1">IF(OR($D63&lt;&gt;"Serviço",AND(AUTOEVENTO="Manual",$M63=$A$15),$M63&gt;(ROW(PLE.lastrow)-ROW(PLE.firstrow))),0,
           IF(OFFSET(PLE!$G$15,$M63-$A$15,CI$13)="",10^12,OFFSET(PLE!$G$15,$M63-$A$15,CI$13)))</f>
        <v>1000000000000</v>
      </c>
      <c r="CJ63" s="172">
        <f ca="1">IF(OR($D63&lt;&gt;"Serviço",AND(AUTOEVENTO="Manual",$M63=$A$15),$M63&gt;(ROW(PLE.lastrow)-ROW(PLE.firstrow))),0,
           IF(OFFSET(PLE!$G$15,$M63-$A$15,CJ$13)="",10^12,OFFSET(PLE!$G$15,$M63-$A$15,CJ$13)))</f>
        <v>1000000000000</v>
      </c>
      <c r="CK63" s="172">
        <f ca="1">IF(OR($D63&lt;&gt;"Serviço",AND(AUTOEVENTO="Manual",$M63=$A$15),$M63&gt;(ROW(PLE.lastrow)-ROW(PLE.firstrow))),0,
           IF(OFFSET(PLE!$G$15,$M63-$A$15,CK$13)="",10^12,OFFSET(PLE!$G$15,$M63-$A$15,CK$13)))</f>
        <v>1000000000000</v>
      </c>
      <c r="CL63" s="172">
        <f ca="1">IF(OR($D63&lt;&gt;"Serviço",AND(AUTOEVENTO="Manual",$M63=$A$15),$M63&gt;(ROW(PLE.lastrow)-ROW(PLE.firstrow))),0,
           IF(OFFSET(PLE!$G$15,$M63-$A$15,CL$13)="",10^12,OFFSET(PLE!$G$15,$M63-$A$15,CL$13)))</f>
        <v>1000000000000</v>
      </c>
      <c r="CM63" s="172">
        <f ca="1">IF(OR($D63&lt;&gt;"Serviço",AND(AUTOEVENTO="Manual",$M63=$A$15),$M63&gt;(ROW(PLE.lastrow)-ROW(PLE.firstrow))),0,
           IF(OFFSET(PLE!$G$15,$M63-$A$15,CM$13)="",10^12,OFFSET(PLE!$G$15,$M63-$A$15,CM$13)))</f>
        <v>1000000000000</v>
      </c>
    </row>
    <row r="64" spans="1:91" ht="63.75" x14ac:dyDescent="0.2">
      <c r="A64" s="7">
        <f t="shared" ca="1" si="10"/>
        <v>4</v>
      </c>
      <c r="B64" s="7" t="str">
        <f ca="1">OFFSET(ORÇAMENTO!C$15,ROW(B64)-ROW(B$15),0)</f>
        <v>S</v>
      </c>
      <c r="C64" s="7" t="str">
        <f ca="1">OFFSET(ORÇAMENTO!L$15,ROW(C64)-ROW(C$15),0)</f>
        <v>F</v>
      </c>
      <c r="D64" s="116" t="str">
        <f ca="1">OFFSET(ORÇAMENTO!N$15,ROW(D64)-ROW(D$15),0)</f>
        <v>Serviço</v>
      </c>
      <c r="E64" s="117" t="str">
        <f ca="1">OFFSET(ORÇAMENTO!O$15,ROW(E64)-ROW(E$15),0)</f>
        <v>1.5.1.1.3.</v>
      </c>
      <c r="F64" s="163" t="str">
        <f ca="1">OFFSET(ORÇAMENTO!R$15,ROW(F64)-ROW(F$15),0)</f>
        <v>CONCRETO FCK = 40MPA, TRAÇO 1:1,6:1,9 (EM MASSA SECA DE CIMENTO/ AREIA MÉDIA/ BRITA 1) - PREPARO MECÂNICO COM BETONEIRA 600 L. AF_05/2021</v>
      </c>
      <c r="G64" s="164" t="str">
        <f ca="1">IF($D64&lt;&gt;"Serviço","",OFFSET(ORÇAMENTO!S$15,ROW(G64)-ROW(G$15),0))</f>
        <v>M3</v>
      </c>
      <c r="H64" s="122" cm="1">
        <f t="array" aca="1" ref="H64" ca="1">IF($D64&lt;&gt;"Serviço",0,IF(ACOMPANHAMENTO="BM",ROUND(OFFSET(ORÇAMENTO!AJ$15,ROW(H64)-ROW(H$15),0),15-13*ORÇAMENTO!$AF$7),SUMPRODUCT(($Q$1:$AI$1=1)*ROUND($Q64:$AI64,15-13*ORÇAMENTO!$AF$7))))</f>
        <v>137.19</v>
      </c>
      <c r="I64" s="468" t="s">
        <v>1305</v>
      </c>
      <c r="J64" s="640" t="str" cm="1">
        <f t="array" aca="1" ref="J64" ca="1">IF(OR(B64&lt;&gt;"S",CÁLCULO.FrentesPreenchidas=0),"",IF(AND(ACOMPANHAMENTO="PLE",AUTOEVENTO="Manual",OR(H64&gt;0,ORÇAMENTO!AC64="QUANT."),OR(K64="",M64=0,N64="")),"►E",IF(AND(ACOMPANHAMENTO="PLE",ORÇAMENTO!AC64="QUANT."),"►Q",IF(AND(ACOMPANHAMENTO="PLE",H64&lt;&gt;SUMPRODUCT(($Q$1:$AI$1=1)*ROUND(Q64:AI64,15))),"►S",IF(AND(COUNTIF($P$11:$AI$11,"▼")=0,H64&gt;0,I64=""),"◄M","")))))</f>
        <v/>
      </c>
      <c r="K64" s="641" t="s">
        <v>1389</v>
      </c>
      <c r="L64" s="165" t="s">
        <v>764</v>
      </c>
      <c r="M64" s="166">
        <f ca="1">IF($D64&lt;&gt;"Serviço","",
          IF(AUTOEVENTO="manual",$A64,
                IF(ISERROR(MATCH($A64,$A$15:OFFSET($A64,-1,0),0)),MAX($M$15:OFFSET(M64,-1,0))+1,
                      INDEX($M$15:OFFSET(M64,-1,0),MATCH($A64,$A$15:OFFSET($A64,-1,0),0)))))</f>
        <v>4</v>
      </c>
      <c r="N64" s="167" t="str">
        <f ca="1">IF($D64&lt;&gt;"Serviço","",
         IF(AUTOEVENTO="Manual",
                IF($A64=0,"&lt;-- defina o número do agrupador",
                       OFFSET(EVENTOS!$D$15,$A64-$A$15,0)),
                OFFSET($F$15,$A64,0)))</f>
        <v>Estruturas de Concreto</v>
      </c>
      <c r="O64" s="168"/>
      <c r="Q64" s="168"/>
      <c r="R64" s="169">
        <f>135.84+1.35</f>
        <v>137.19</v>
      </c>
      <c r="S64" s="169"/>
      <c r="T64" s="169"/>
      <c r="U64" s="169"/>
      <c r="V64" s="169"/>
      <c r="W64" s="169"/>
      <c r="X64" s="169"/>
      <c r="Y64" s="169"/>
      <c r="Z64" s="170"/>
      <c r="AA64" s="169"/>
      <c r="AB64" s="169"/>
      <c r="AC64" s="169"/>
      <c r="AD64" s="169"/>
      <c r="AE64" s="169"/>
      <c r="AF64" s="169"/>
      <c r="AG64" s="169"/>
      <c r="AH64" s="170"/>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L64" s="453">
        <f ca="1">IF(AND($D64="Serviço",AL$12&lt;&gt;0,$H64&gt;0,OR(AUTOEVENTO&lt;&gt;"manual",$M64&lt;&gt;$A$15)),
        IF(Import.TipoArredondamento&lt;&gt;"TransfereGOV",
              ROUND(OFFSET($P64,0,AL$13),15-13*ORÇAMENTO!$AF$7)/$H64*OFFSET(ORÇAMENTO!$X$15,ROW(AL64)-ROW(AL$15),0),
              ROUND(ROUND(OFFSET($P64,0,AL$13),15-13*ORÇAMENTO!$AF$7)*OFFSET(ORÇAMENTO!$W$15,ROW(AL64)-ROW(AL$15),0),15-13*ORÇAMENTO!$AF$11)),
         0)</f>
        <v>0</v>
      </c>
      <c r="AM64" s="453">
        <f ca="1">IF(AND($D64="Serviço",AM$12&lt;&gt;0,$H64&gt;0,OR(AUTOEVENTO&lt;&gt;"manual",$M64&lt;&gt;$A$15)),
        IF(Import.TipoArredondamento&lt;&gt;"TransfereGOV",
              ROUND(OFFSET($P64,0,AM$13),15-13*ORÇAMENTO!$AF$7)/$H64*OFFSET(ORÇAMENTO!$X$15,ROW(AM64)-ROW(AM$15),0),
              ROUND(ROUND(OFFSET($P64,0,AM$13),15-13*ORÇAMENTO!$AF$7)*OFFSET(ORÇAMENTO!$W$15,ROW(AM64)-ROW(AM$15),0),15-13*ORÇAMENTO!$AF$11)),
         0)</f>
        <v>0</v>
      </c>
      <c r="AN64" s="453">
        <f ca="1">IF(AND($D64="Serviço",AN$12&lt;&gt;0,$H64&gt;0,OR(AUTOEVENTO&lt;&gt;"manual",$M64&lt;&gt;$A$15)),
        IF(Import.TipoArredondamento&lt;&gt;"TransfereGOV",
              ROUND(OFFSET($P64,0,AN$13),15-13*ORÇAMENTO!$AF$7)/$H64*OFFSET(ORÇAMENTO!$X$15,ROW(AN64)-ROW(AN$15),0),
              ROUND(ROUND(OFFSET($P64,0,AN$13),15-13*ORÇAMENTO!$AF$7)*OFFSET(ORÇAMENTO!$W$15,ROW(AN64)-ROW(AN$15),0),15-13*ORÇAMENTO!$AF$11)),
         0)</f>
        <v>0</v>
      </c>
      <c r="AO64" s="453">
        <f ca="1">IF(AND($D64="Serviço",AO$12&lt;&gt;0,$H64&gt;0,OR(AUTOEVENTO&lt;&gt;"manual",$M64&lt;&gt;$A$15)),
        IF(Import.TipoArredondamento&lt;&gt;"TransfereGOV",
              ROUND(OFFSET($P64,0,AO$13),15-13*ORÇAMENTO!$AF$7)/$H64*OFFSET(ORÇAMENTO!$X$15,ROW(AO64)-ROW(AO$15),0),
              ROUND(ROUND(OFFSET($P64,0,AO$13),15-13*ORÇAMENTO!$AF$7)*OFFSET(ORÇAMENTO!$W$15,ROW(AO64)-ROW(AO$15),0),15-13*ORÇAMENTO!$AF$11)),
         0)</f>
        <v>0</v>
      </c>
      <c r="AP64" s="453">
        <f ca="1">IF(AND($D64="Serviço",AP$12&lt;&gt;0,$H64&gt;0,OR(AUTOEVENTO&lt;&gt;"manual",$M64&lt;&gt;$A$15)),
        IF(Import.TipoArredondamento&lt;&gt;"TransfereGOV",
              ROUND(OFFSET($P64,0,AP$13),15-13*ORÇAMENTO!$AF$7)/$H64*OFFSET(ORÇAMENTO!$X$15,ROW(AP64)-ROW(AP$15),0),
              ROUND(ROUND(OFFSET($P64,0,AP$13),15-13*ORÇAMENTO!$AF$7)*OFFSET(ORÇAMENTO!$W$15,ROW(AP64)-ROW(AP$15),0),15-13*ORÇAMENTO!$AF$11)),
         0)</f>
        <v>0</v>
      </c>
      <c r="AQ64" s="453">
        <f ca="1">IF(AND($D64="Serviço",AQ$12&lt;&gt;0,$H64&gt;0,OR(AUTOEVENTO&lt;&gt;"manual",$M64&lt;&gt;$A$15)),
        IF(Import.TipoArredondamento&lt;&gt;"TransfereGOV",
              ROUND(OFFSET($P64,0,AQ$13),15-13*ORÇAMENTO!$AF$7)/$H64*OFFSET(ORÇAMENTO!$X$15,ROW(AQ64)-ROW(AQ$15),0),
              ROUND(ROUND(OFFSET($P64,0,AQ$13),15-13*ORÇAMENTO!$AF$7)*OFFSET(ORÇAMENTO!$W$15,ROW(AQ64)-ROW(AQ$15),0),15-13*ORÇAMENTO!$AF$11)),
         0)</f>
        <v>0</v>
      </c>
      <c r="AR64" s="453">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3">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3">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3">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3">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3">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3">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3">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3">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3">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C64" s="171">
        <f ca="1">IF(OR($D64&lt;&gt;"Serviço",AND(AUTOEVENTO="Manual",$M64=$A$15)),0,
         IF(OFFSET(CRONOPLE!$F$15,$M64-$A$15,BC$13)=0,10^12,OFFSET(CRONOPLE!$F$15,$M64-$A$15,BC$13)))</f>
        <v>1</v>
      </c>
      <c r="BD64" s="171">
        <f ca="1">IF(OR($D64&lt;&gt;"Serviço",AND(AUTOEVENTO="Manual",$M64=$A$15)),0,
         IF(OFFSET(CRONOPLE!$F$15,$M64-$A$15,BD$13)=0,10^12,OFFSET(CRONOPLE!$F$15,$M64-$A$15,BD$13)))</f>
        <v>2</v>
      </c>
      <c r="BE64" s="171">
        <f ca="1">IF(OR($D64&lt;&gt;"Serviço",AND(AUTOEVENTO="Manual",$M64=$A$15)),0,
         IF(OFFSET(CRONOPLE!$F$15,$M64-$A$15,BE$13)=0,10^12,OFFSET(CRONOPLE!$F$15,$M64-$A$15,BE$13)))</f>
        <v>3</v>
      </c>
      <c r="BF64" s="171">
        <f ca="1">IF(OR($D64&lt;&gt;"Serviço",AND(AUTOEVENTO="Manual",$M64=$A$15)),0,
         IF(OFFSET(CRONOPLE!$F$15,$M64-$A$15,BF$13)=0,10^12,OFFSET(CRONOPLE!$F$15,$M64-$A$15,BF$13)))</f>
        <v>4</v>
      </c>
      <c r="BG64" s="171">
        <f ca="1">IF(OR($D64&lt;&gt;"Serviço",AND(AUTOEVENTO="Manual",$M64=$A$15)),0,
         IF(OFFSET(CRONOPLE!$F$15,$M64-$A$15,BG$13)=0,10^12,OFFSET(CRONOPLE!$F$15,$M64-$A$15,BG$13)))</f>
        <v>5</v>
      </c>
      <c r="BH64" s="171">
        <f ca="1">IF(OR($D64&lt;&gt;"Serviço",AND(AUTOEVENTO="Manual",$M64=$A$15)),0,
         IF(OFFSET(CRONOPLE!$F$15,$M64-$A$15,BH$13)=0,10^12,OFFSET(CRONOPLE!$F$15,$M64-$A$15,BH$13)))</f>
        <v>6</v>
      </c>
      <c r="BI64" s="171">
        <f ca="1">IF(OR($D64&lt;&gt;"Serviço",AND(AUTOEVENTO="Manual",$M64=$A$15)),0,
         IF(OFFSET(CRONOPLE!$F$15,$M64-$A$15,BI$13)=0,10^12,OFFSET(CRONOPLE!$F$15,$M64-$A$15,BI$13)))</f>
        <v>7</v>
      </c>
      <c r="BJ64" s="171">
        <f ca="1">IF(OR($D64&lt;&gt;"Serviço",AND(AUTOEVENTO="Manual",$M64=$A$15)),0,
         IF(OFFSET(CRONOPLE!$F$15,$M64-$A$15,BJ$13)=0,10^12,OFFSET(CRONOPLE!$F$15,$M64-$A$15,BJ$13)))</f>
        <v>8</v>
      </c>
      <c r="BK64" s="171">
        <f ca="1">IF(OR($D64&lt;&gt;"Serviço",AND(AUTOEVENTO="Manual",$M64=$A$15)),0,
         IF(OFFSET(CRONOPLE!$F$15,$M64-$A$15,BK$13)=0,10^12,OFFSET(CRONOPLE!$F$15,$M64-$A$15,BK$13)))</f>
        <v>9</v>
      </c>
      <c r="BL64" s="171">
        <f ca="1">IF(OR($D64&lt;&gt;"Serviço",AND(AUTOEVENTO="Manual",$M64=$A$15)),0,
         IF(OFFSET(CRONOPLE!$F$15,$M64-$A$15,BL$13)=0,10^12,OFFSET(CRONOPLE!$F$15,$M64-$A$15,BL$13)))</f>
        <v>10</v>
      </c>
      <c r="BM64" s="171">
        <f ca="1">IF(OR($D64&lt;&gt;"Serviço",AND(AUTOEVENTO="Manual",$M64=$A$15)),0,
         IF(OFFSET(CRONOPLE!$F$15,$M64-$A$15,BM$13)=0,10^12,OFFSET(CRONOPLE!$F$15,$M64-$A$15,BM$13)))</f>
        <v>1000000000000</v>
      </c>
      <c r="BN64" s="171">
        <f ca="1">IF(OR($D64&lt;&gt;"Serviço",AND(AUTOEVENTO="Manual",$M64=$A$15)),0,
         IF(OFFSET(CRONOPLE!$F$15,$M64-$A$15,BN$13)=0,10^12,OFFSET(CRONOPLE!$F$15,$M64-$A$15,BN$13)))</f>
        <v>1000000000000</v>
      </c>
      <c r="BO64" s="171">
        <f ca="1">IF(OR($D64&lt;&gt;"Serviço",AND(AUTOEVENTO="Manual",$M64=$A$15)),0,
         IF(OFFSET(CRONOPLE!$F$15,$M64-$A$15,BO$13)=0,10^12,OFFSET(CRONOPLE!$F$15,$M64-$A$15,BO$13)))</f>
        <v>1000000000000</v>
      </c>
      <c r="BP64" s="171">
        <f ca="1">IF(OR($D64&lt;&gt;"Serviço",AND(AUTOEVENTO="Manual",$M64=$A$15)),0,
         IF(OFFSET(CRONOPLE!$F$15,$M64-$A$15,BP$13)=0,10^12,OFFSET(CRONOPLE!$F$15,$M64-$A$15,BP$13)))</f>
        <v>1000000000000</v>
      </c>
      <c r="BQ64" s="171">
        <f ca="1">IF(OR($D64&lt;&gt;"Serviço",AND(AUTOEVENTO="Manual",$M64=$A$15)),0,
         IF(OFFSET(CRONOPLE!$F$15,$M64-$A$15,BQ$13)=0,10^12,OFFSET(CRONOPLE!$F$15,$M64-$A$15,BQ$13)))</f>
        <v>1000000000000</v>
      </c>
      <c r="BR64" s="171">
        <f ca="1">IF(OR($D64&lt;&gt;"Serviço",AND(AUTOEVENTO="Manual",$M64=$A$15)),0,
         IF(OFFSET(CRONOPLE!$F$15,$M64-$A$15,BR$13)=0,10^12,OFFSET(CRONOPLE!$F$15,$M64-$A$15,BR$13)))</f>
        <v>1000000000000</v>
      </c>
      <c r="BS64" s="171">
        <f ca="1">IF(OR($D64&lt;&gt;"Serviço",AND(AUTOEVENTO="Manual",$M64=$A$15)),0,
         IF(OFFSET(CRONOPLE!$F$15,$M64-$A$15,BS$13)=0,10^12,OFFSET(CRONOPLE!$F$15,$M64-$A$15,BS$13)))</f>
        <v>1000000000000</v>
      </c>
      <c r="BT64" s="171">
        <f ca="1">IF(OR($D64&lt;&gt;"Serviço",AND(AUTOEVENTO="Manual",$M64=$A$15)),0,
         IF(OFFSET(CRONOPLE!$F$15,$M64-$A$15,BT$13)=0,10^12,OFFSET(CRONOPLE!$F$15,$M64-$A$15,BT$13)))</f>
        <v>1000000000000</v>
      </c>
      <c r="BV64" s="172">
        <f ca="1">IF(OR($D64&lt;&gt;"Serviço",AND(AUTOEVENTO="Manual",$M64=$A$15),$M64&gt;(ROW(PLE.lastrow)-ROW(PLE.firstrow))),0,
           IF(OFFSET(PLE!$G$15,$M64-$A$15,BV$13)="",10^12,OFFSET(PLE!$G$15,$M64-$A$15,BV$13)))</f>
        <v>1000000000000</v>
      </c>
      <c r="BW64" s="172">
        <f ca="1">IF(OR($D64&lt;&gt;"Serviço",AND(AUTOEVENTO="Manual",$M64=$A$15),$M64&gt;(ROW(PLE.lastrow)-ROW(PLE.firstrow))),0,
           IF(OFFSET(PLE!$G$15,$M64-$A$15,BW$13)="",10^12,OFFSET(PLE!$G$15,$M64-$A$15,BW$13)))</f>
        <v>1000000000000</v>
      </c>
      <c r="BX64" s="172">
        <f ca="1">IF(OR($D64&lt;&gt;"Serviço",AND(AUTOEVENTO="Manual",$M64=$A$15),$M64&gt;(ROW(PLE.lastrow)-ROW(PLE.firstrow))),0,
           IF(OFFSET(PLE!$G$15,$M64-$A$15,BX$13)="",10^12,OFFSET(PLE!$G$15,$M64-$A$15,BX$13)))</f>
        <v>1000000000000</v>
      </c>
      <c r="BY64" s="172">
        <f ca="1">IF(OR($D64&lt;&gt;"Serviço",AND(AUTOEVENTO="Manual",$M64=$A$15),$M64&gt;(ROW(PLE.lastrow)-ROW(PLE.firstrow))),0,
           IF(OFFSET(PLE!$G$15,$M64-$A$15,BY$13)="",10^12,OFFSET(PLE!$G$15,$M64-$A$15,BY$13)))</f>
        <v>1000000000000</v>
      </c>
      <c r="BZ64" s="172">
        <f ca="1">IF(OR($D64&lt;&gt;"Serviço",AND(AUTOEVENTO="Manual",$M64=$A$15),$M64&gt;(ROW(PLE.lastrow)-ROW(PLE.firstrow))),0,
           IF(OFFSET(PLE!$G$15,$M64-$A$15,BZ$13)="",10^12,OFFSET(PLE!$G$15,$M64-$A$15,BZ$13)))</f>
        <v>1000000000000</v>
      </c>
      <c r="CA64" s="172">
        <f ca="1">IF(OR($D64&lt;&gt;"Serviço",AND(AUTOEVENTO="Manual",$M64=$A$15),$M64&gt;(ROW(PLE.lastrow)-ROW(PLE.firstrow))),0,
           IF(OFFSET(PLE!$G$15,$M64-$A$15,CA$13)="",10^12,OFFSET(PLE!$G$15,$M64-$A$15,CA$13)))</f>
        <v>1000000000000</v>
      </c>
      <c r="CB64" s="172">
        <f ca="1">IF(OR($D64&lt;&gt;"Serviço",AND(AUTOEVENTO="Manual",$M64=$A$15),$M64&gt;(ROW(PLE.lastrow)-ROW(PLE.firstrow))),0,
           IF(OFFSET(PLE!$G$15,$M64-$A$15,CB$13)="",10^12,OFFSET(PLE!$G$15,$M64-$A$15,CB$13)))</f>
        <v>1000000000000</v>
      </c>
      <c r="CC64" s="172">
        <f ca="1">IF(OR($D64&lt;&gt;"Serviço",AND(AUTOEVENTO="Manual",$M64=$A$15),$M64&gt;(ROW(PLE.lastrow)-ROW(PLE.firstrow))),0,
           IF(OFFSET(PLE!$G$15,$M64-$A$15,CC$13)="",10^12,OFFSET(PLE!$G$15,$M64-$A$15,CC$13)))</f>
        <v>1000000000000</v>
      </c>
      <c r="CD64" s="172">
        <f ca="1">IF(OR($D64&lt;&gt;"Serviço",AND(AUTOEVENTO="Manual",$M64=$A$15),$M64&gt;(ROW(PLE.lastrow)-ROW(PLE.firstrow))),0,
           IF(OFFSET(PLE!$G$15,$M64-$A$15,CD$13)="",10^12,OFFSET(PLE!$G$15,$M64-$A$15,CD$13)))</f>
        <v>1000000000000</v>
      </c>
      <c r="CE64" s="172">
        <f ca="1">IF(OR($D64&lt;&gt;"Serviço",AND(AUTOEVENTO="Manual",$M64=$A$15),$M64&gt;(ROW(PLE.lastrow)-ROW(PLE.firstrow))),0,
           IF(OFFSET(PLE!$G$15,$M64-$A$15,CE$13)="",10^12,OFFSET(PLE!$G$15,$M64-$A$15,CE$13)))</f>
        <v>1000000000000</v>
      </c>
      <c r="CF64" s="172">
        <f ca="1">IF(OR($D64&lt;&gt;"Serviço",AND(AUTOEVENTO="Manual",$M64=$A$15),$M64&gt;(ROW(PLE.lastrow)-ROW(PLE.firstrow))),0,
           IF(OFFSET(PLE!$G$15,$M64-$A$15,CF$13)="",10^12,OFFSET(PLE!$G$15,$M64-$A$15,CF$13)))</f>
        <v>1000000000000</v>
      </c>
      <c r="CG64" s="172">
        <f ca="1">IF(OR($D64&lt;&gt;"Serviço",AND(AUTOEVENTO="Manual",$M64=$A$15),$M64&gt;(ROW(PLE.lastrow)-ROW(PLE.firstrow))),0,
           IF(OFFSET(PLE!$G$15,$M64-$A$15,CG$13)="",10^12,OFFSET(PLE!$G$15,$M64-$A$15,CG$13)))</f>
        <v>1000000000000</v>
      </c>
      <c r="CH64" s="172">
        <f ca="1">IF(OR($D64&lt;&gt;"Serviço",AND(AUTOEVENTO="Manual",$M64=$A$15),$M64&gt;(ROW(PLE.lastrow)-ROW(PLE.firstrow))),0,
           IF(OFFSET(PLE!$G$15,$M64-$A$15,CH$13)="",10^12,OFFSET(PLE!$G$15,$M64-$A$15,CH$13)))</f>
        <v>1000000000000</v>
      </c>
      <c r="CI64" s="172">
        <f ca="1">IF(OR($D64&lt;&gt;"Serviço",AND(AUTOEVENTO="Manual",$M64=$A$15),$M64&gt;(ROW(PLE.lastrow)-ROW(PLE.firstrow))),0,
           IF(OFFSET(PLE!$G$15,$M64-$A$15,CI$13)="",10^12,OFFSET(PLE!$G$15,$M64-$A$15,CI$13)))</f>
        <v>1000000000000</v>
      </c>
      <c r="CJ64" s="172">
        <f ca="1">IF(OR($D64&lt;&gt;"Serviço",AND(AUTOEVENTO="Manual",$M64=$A$15),$M64&gt;(ROW(PLE.lastrow)-ROW(PLE.firstrow))),0,
           IF(OFFSET(PLE!$G$15,$M64-$A$15,CJ$13)="",10^12,OFFSET(PLE!$G$15,$M64-$A$15,CJ$13)))</f>
        <v>1000000000000</v>
      </c>
      <c r="CK64" s="172">
        <f ca="1">IF(OR($D64&lt;&gt;"Serviço",AND(AUTOEVENTO="Manual",$M64=$A$15),$M64&gt;(ROW(PLE.lastrow)-ROW(PLE.firstrow))),0,
           IF(OFFSET(PLE!$G$15,$M64-$A$15,CK$13)="",10^12,OFFSET(PLE!$G$15,$M64-$A$15,CK$13)))</f>
        <v>1000000000000</v>
      </c>
      <c r="CL64" s="172">
        <f ca="1">IF(OR($D64&lt;&gt;"Serviço",AND(AUTOEVENTO="Manual",$M64=$A$15),$M64&gt;(ROW(PLE.lastrow)-ROW(PLE.firstrow))),0,
           IF(OFFSET(PLE!$G$15,$M64-$A$15,CL$13)="",10^12,OFFSET(PLE!$G$15,$M64-$A$15,CL$13)))</f>
        <v>1000000000000</v>
      </c>
      <c r="CM64" s="172">
        <f ca="1">IF(OR($D64&lt;&gt;"Serviço",AND(AUTOEVENTO="Manual",$M64=$A$15),$M64&gt;(ROW(PLE.lastrow)-ROW(PLE.firstrow))),0,
           IF(OFFSET(PLE!$G$15,$M64-$A$15,CM$13)="",10^12,OFFSET(PLE!$G$15,$M64-$A$15,CM$13)))</f>
        <v>1000000000000</v>
      </c>
    </row>
    <row r="65" spans="1:91" ht="63.75" x14ac:dyDescent="0.2">
      <c r="A65" s="7">
        <f t="shared" ca="1" si="10"/>
        <v>4</v>
      </c>
      <c r="B65" s="7" t="str">
        <f ca="1">OFFSET(ORÇAMENTO!C$15,ROW(B65)-ROW(B$15),0)</f>
        <v>S</v>
      </c>
      <c r="C65" s="7" t="str">
        <f ca="1">OFFSET(ORÇAMENTO!L$15,ROW(C65)-ROW(C$15),0)</f>
        <v>F</v>
      </c>
      <c r="D65" s="116" t="str">
        <f ca="1">OFFSET(ORÇAMENTO!N$15,ROW(D65)-ROW(D$15),0)</f>
        <v>Serviço</v>
      </c>
      <c r="E65" s="117" t="str">
        <f ca="1">OFFSET(ORÇAMENTO!O$15,ROW(E65)-ROW(E$15),0)</f>
        <v>1.5.1.1.4.</v>
      </c>
      <c r="F65" s="163" t="str">
        <f ca="1">OFFSET(ORÇAMENTO!R$15,ROW(F65)-ROW(F$15),0)</f>
        <v>LANÇAMENTO COM USO DE BOMBA, ADENSAMENTO E ACABAMENTO DE CONCRETO EM ESTRUTURAS. AF_02/2022</v>
      </c>
      <c r="G65" s="164" t="str">
        <f ca="1">IF($D65&lt;&gt;"Serviço","",OFFSET(ORÇAMENTO!S$15,ROW(G65)-ROW(G$15),0))</f>
        <v>M3</v>
      </c>
      <c r="H65" s="122" cm="1">
        <f t="array" aca="1" ref="H65" ca="1">IF($D65&lt;&gt;"Serviço",0,IF(ACOMPANHAMENTO="BM",ROUND(OFFSET(ORÇAMENTO!AJ$15,ROW(H65)-ROW(H$15),0),15-13*ORÇAMENTO!$AF$7),SUMPRODUCT(($Q$1:$AI$1=1)*ROUND($Q65:$AI65,15-13*ORÇAMENTO!$AF$7))))</f>
        <v>137.19</v>
      </c>
      <c r="I65" s="468" t="s">
        <v>1305</v>
      </c>
      <c r="J65" s="640" t="str" cm="1">
        <f t="array" aca="1" ref="J65" ca="1">IF(OR(B65&lt;&gt;"S",CÁLCULO.FrentesPreenchidas=0),"",IF(AND(ACOMPANHAMENTO="PLE",AUTOEVENTO="Manual",OR(H65&gt;0,ORÇAMENTO!AC65="QUANT."),OR(K65="",M65=0,N65="")),"►E",IF(AND(ACOMPANHAMENTO="PLE",ORÇAMENTO!AC65="QUANT."),"►Q",IF(AND(ACOMPANHAMENTO="PLE",H65&lt;&gt;SUMPRODUCT(($Q$1:$AI$1=1)*ROUND(Q65:AI65,15))),"►S",IF(AND(COUNTIF($P$11:$AI$11,"▼")=0,H65&gt;0,I65=""),"◄M","")))))</f>
        <v/>
      </c>
      <c r="K65" s="641" t="s">
        <v>1389</v>
      </c>
      <c r="L65" s="165" t="s">
        <v>764</v>
      </c>
      <c r="M65" s="166">
        <f ca="1">IF($D65&lt;&gt;"Serviço","",
          IF(AUTOEVENTO="manual",$A65,
                IF(ISERROR(MATCH($A65,$A$15:OFFSET($A65,-1,0),0)),MAX($M$15:OFFSET(M65,-1,0))+1,
                      INDEX($M$15:OFFSET(M65,-1,0),MATCH($A65,$A$15:OFFSET($A65,-1,0),0)))))</f>
        <v>4</v>
      </c>
      <c r="N65" s="167" t="str">
        <f ca="1">IF($D65&lt;&gt;"Serviço","",
         IF(AUTOEVENTO="Manual",
                IF($A65=0,"&lt;-- defina o número do agrupador",
                       OFFSET(EVENTOS!$D$15,$A65-$A$15,0)),
                OFFSET($F$15,$A65,0)))</f>
        <v>Estruturas de Concreto</v>
      </c>
      <c r="O65" s="168"/>
      <c r="Q65" s="168"/>
      <c r="R65" s="169">
        <f>R64</f>
        <v>137.19</v>
      </c>
      <c r="S65" s="169"/>
      <c r="T65" s="169"/>
      <c r="U65" s="169"/>
      <c r="V65" s="169"/>
      <c r="W65" s="169"/>
      <c r="X65" s="169"/>
      <c r="Y65" s="169"/>
      <c r="Z65" s="170"/>
      <c r="AA65" s="169"/>
      <c r="AB65" s="169"/>
      <c r="AC65" s="169"/>
      <c r="AD65" s="169"/>
      <c r="AE65" s="169"/>
      <c r="AF65" s="169"/>
      <c r="AG65" s="169"/>
      <c r="AH65" s="170"/>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L65" s="453">
        <f ca="1">IF(AND($D65="Serviço",AL$12&lt;&gt;0,$H65&gt;0,OR(AUTOEVENTO&lt;&gt;"manual",$M65&lt;&gt;$A$15)),
        IF(Import.TipoArredondamento&lt;&gt;"TransfereGOV",
              ROUND(OFFSET($P65,0,AL$13),15-13*ORÇAMENTO!$AF$7)/$H65*OFFSET(ORÇAMENTO!$X$15,ROW(AL65)-ROW(AL$15),0),
              ROUND(ROUND(OFFSET($P65,0,AL$13),15-13*ORÇAMENTO!$AF$7)*OFFSET(ORÇAMENTO!$W$15,ROW(AL65)-ROW(AL$15),0),15-13*ORÇAMENTO!$AF$11)),
         0)</f>
        <v>0</v>
      </c>
      <c r="AM65" s="453">
        <f ca="1">IF(AND($D65="Serviço",AM$12&lt;&gt;0,$H65&gt;0,OR(AUTOEVENTO&lt;&gt;"manual",$M65&lt;&gt;$A$15)),
        IF(Import.TipoArredondamento&lt;&gt;"TransfereGOV",
              ROUND(OFFSET($P65,0,AM$13),15-13*ORÇAMENTO!$AF$7)/$H65*OFFSET(ORÇAMENTO!$X$15,ROW(AM65)-ROW(AM$15),0),
              ROUND(ROUND(OFFSET($P65,0,AM$13),15-13*ORÇAMENTO!$AF$7)*OFFSET(ORÇAMENTO!$W$15,ROW(AM65)-ROW(AM$15),0),15-13*ORÇAMENTO!$AF$11)),
         0)</f>
        <v>0</v>
      </c>
      <c r="AN65" s="453">
        <f ca="1">IF(AND($D65="Serviço",AN$12&lt;&gt;0,$H65&gt;0,OR(AUTOEVENTO&lt;&gt;"manual",$M65&lt;&gt;$A$15)),
        IF(Import.TipoArredondamento&lt;&gt;"TransfereGOV",
              ROUND(OFFSET($P65,0,AN$13),15-13*ORÇAMENTO!$AF$7)/$H65*OFFSET(ORÇAMENTO!$X$15,ROW(AN65)-ROW(AN$15),0),
              ROUND(ROUND(OFFSET($P65,0,AN$13),15-13*ORÇAMENTO!$AF$7)*OFFSET(ORÇAMENTO!$W$15,ROW(AN65)-ROW(AN$15),0),15-13*ORÇAMENTO!$AF$11)),
         0)</f>
        <v>0</v>
      </c>
      <c r="AO65" s="453">
        <f ca="1">IF(AND($D65="Serviço",AO$12&lt;&gt;0,$H65&gt;0,OR(AUTOEVENTO&lt;&gt;"manual",$M65&lt;&gt;$A$15)),
        IF(Import.TipoArredondamento&lt;&gt;"TransfereGOV",
              ROUND(OFFSET($P65,0,AO$13),15-13*ORÇAMENTO!$AF$7)/$H65*OFFSET(ORÇAMENTO!$X$15,ROW(AO65)-ROW(AO$15),0),
              ROUND(ROUND(OFFSET($P65,0,AO$13),15-13*ORÇAMENTO!$AF$7)*OFFSET(ORÇAMENTO!$W$15,ROW(AO65)-ROW(AO$15),0),15-13*ORÇAMENTO!$AF$11)),
         0)</f>
        <v>0</v>
      </c>
      <c r="AP65" s="453">
        <f ca="1">IF(AND($D65="Serviço",AP$12&lt;&gt;0,$H65&gt;0,OR(AUTOEVENTO&lt;&gt;"manual",$M65&lt;&gt;$A$15)),
        IF(Import.TipoArredondamento&lt;&gt;"TransfereGOV",
              ROUND(OFFSET($P65,0,AP$13),15-13*ORÇAMENTO!$AF$7)/$H65*OFFSET(ORÇAMENTO!$X$15,ROW(AP65)-ROW(AP$15),0),
              ROUND(ROUND(OFFSET($P65,0,AP$13),15-13*ORÇAMENTO!$AF$7)*OFFSET(ORÇAMENTO!$W$15,ROW(AP65)-ROW(AP$15),0),15-13*ORÇAMENTO!$AF$11)),
         0)</f>
        <v>0</v>
      </c>
      <c r="AQ65" s="453">
        <f ca="1">IF(AND($D65="Serviço",AQ$12&lt;&gt;0,$H65&gt;0,OR(AUTOEVENTO&lt;&gt;"manual",$M65&lt;&gt;$A$15)),
        IF(Import.TipoArredondamento&lt;&gt;"TransfereGOV",
              ROUND(OFFSET($P65,0,AQ$13),15-13*ORÇAMENTO!$AF$7)/$H65*OFFSET(ORÇAMENTO!$X$15,ROW(AQ65)-ROW(AQ$15),0),
              ROUND(ROUND(OFFSET($P65,0,AQ$13),15-13*ORÇAMENTO!$AF$7)*OFFSET(ORÇAMENTO!$W$15,ROW(AQ65)-ROW(AQ$15),0),15-13*ORÇAMENTO!$AF$11)),
         0)</f>
        <v>0</v>
      </c>
      <c r="AR65" s="453">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3">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3">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3">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3">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3">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3">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3">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3">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3">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C65" s="171">
        <f ca="1">IF(OR($D65&lt;&gt;"Serviço",AND(AUTOEVENTO="Manual",$M65=$A$15)),0,
         IF(OFFSET(CRONOPLE!$F$15,$M65-$A$15,BC$13)=0,10^12,OFFSET(CRONOPLE!$F$15,$M65-$A$15,BC$13)))</f>
        <v>1</v>
      </c>
      <c r="BD65" s="171">
        <f ca="1">IF(OR($D65&lt;&gt;"Serviço",AND(AUTOEVENTO="Manual",$M65=$A$15)),0,
         IF(OFFSET(CRONOPLE!$F$15,$M65-$A$15,BD$13)=0,10^12,OFFSET(CRONOPLE!$F$15,$M65-$A$15,BD$13)))</f>
        <v>2</v>
      </c>
      <c r="BE65" s="171">
        <f ca="1">IF(OR($D65&lt;&gt;"Serviço",AND(AUTOEVENTO="Manual",$M65=$A$15)),0,
         IF(OFFSET(CRONOPLE!$F$15,$M65-$A$15,BE$13)=0,10^12,OFFSET(CRONOPLE!$F$15,$M65-$A$15,BE$13)))</f>
        <v>3</v>
      </c>
      <c r="BF65" s="171">
        <f ca="1">IF(OR($D65&lt;&gt;"Serviço",AND(AUTOEVENTO="Manual",$M65=$A$15)),0,
         IF(OFFSET(CRONOPLE!$F$15,$M65-$A$15,BF$13)=0,10^12,OFFSET(CRONOPLE!$F$15,$M65-$A$15,BF$13)))</f>
        <v>4</v>
      </c>
      <c r="BG65" s="171">
        <f ca="1">IF(OR($D65&lt;&gt;"Serviço",AND(AUTOEVENTO="Manual",$M65=$A$15)),0,
         IF(OFFSET(CRONOPLE!$F$15,$M65-$A$15,BG$13)=0,10^12,OFFSET(CRONOPLE!$F$15,$M65-$A$15,BG$13)))</f>
        <v>5</v>
      </c>
      <c r="BH65" s="171">
        <f ca="1">IF(OR($D65&lt;&gt;"Serviço",AND(AUTOEVENTO="Manual",$M65=$A$15)),0,
         IF(OFFSET(CRONOPLE!$F$15,$M65-$A$15,BH$13)=0,10^12,OFFSET(CRONOPLE!$F$15,$M65-$A$15,BH$13)))</f>
        <v>6</v>
      </c>
      <c r="BI65" s="171">
        <f ca="1">IF(OR($D65&lt;&gt;"Serviço",AND(AUTOEVENTO="Manual",$M65=$A$15)),0,
         IF(OFFSET(CRONOPLE!$F$15,$M65-$A$15,BI$13)=0,10^12,OFFSET(CRONOPLE!$F$15,$M65-$A$15,BI$13)))</f>
        <v>7</v>
      </c>
      <c r="BJ65" s="171">
        <f ca="1">IF(OR($D65&lt;&gt;"Serviço",AND(AUTOEVENTO="Manual",$M65=$A$15)),0,
         IF(OFFSET(CRONOPLE!$F$15,$M65-$A$15,BJ$13)=0,10^12,OFFSET(CRONOPLE!$F$15,$M65-$A$15,BJ$13)))</f>
        <v>8</v>
      </c>
      <c r="BK65" s="171">
        <f ca="1">IF(OR($D65&lt;&gt;"Serviço",AND(AUTOEVENTO="Manual",$M65=$A$15)),0,
         IF(OFFSET(CRONOPLE!$F$15,$M65-$A$15,BK$13)=0,10^12,OFFSET(CRONOPLE!$F$15,$M65-$A$15,BK$13)))</f>
        <v>9</v>
      </c>
      <c r="BL65" s="171">
        <f ca="1">IF(OR($D65&lt;&gt;"Serviço",AND(AUTOEVENTO="Manual",$M65=$A$15)),0,
         IF(OFFSET(CRONOPLE!$F$15,$M65-$A$15,BL$13)=0,10^12,OFFSET(CRONOPLE!$F$15,$M65-$A$15,BL$13)))</f>
        <v>10</v>
      </c>
      <c r="BM65" s="171">
        <f ca="1">IF(OR($D65&lt;&gt;"Serviço",AND(AUTOEVENTO="Manual",$M65=$A$15)),0,
         IF(OFFSET(CRONOPLE!$F$15,$M65-$A$15,BM$13)=0,10^12,OFFSET(CRONOPLE!$F$15,$M65-$A$15,BM$13)))</f>
        <v>1000000000000</v>
      </c>
      <c r="BN65" s="171">
        <f ca="1">IF(OR($D65&lt;&gt;"Serviço",AND(AUTOEVENTO="Manual",$M65=$A$15)),0,
         IF(OFFSET(CRONOPLE!$F$15,$M65-$A$15,BN$13)=0,10^12,OFFSET(CRONOPLE!$F$15,$M65-$A$15,BN$13)))</f>
        <v>1000000000000</v>
      </c>
      <c r="BO65" s="171">
        <f ca="1">IF(OR($D65&lt;&gt;"Serviço",AND(AUTOEVENTO="Manual",$M65=$A$15)),0,
         IF(OFFSET(CRONOPLE!$F$15,$M65-$A$15,BO$13)=0,10^12,OFFSET(CRONOPLE!$F$15,$M65-$A$15,BO$13)))</f>
        <v>1000000000000</v>
      </c>
      <c r="BP65" s="171">
        <f ca="1">IF(OR($D65&lt;&gt;"Serviço",AND(AUTOEVENTO="Manual",$M65=$A$15)),0,
         IF(OFFSET(CRONOPLE!$F$15,$M65-$A$15,BP$13)=0,10^12,OFFSET(CRONOPLE!$F$15,$M65-$A$15,BP$13)))</f>
        <v>1000000000000</v>
      </c>
      <c r="BQ65" s="171">
        <f ca="1">IF(OR($D65&lt;&gt;"Serviço",AND(AUTOEVENTO="Manual",$M65=$A$15)),0,
         IF(OFFSET(CRONOPLE!$F$15,$M65-$A$15,BQ$13)=0,10^12,OFFSET(CRONOPLE!$F$15,$M65-$A$15,BQ$13)))</f>
        <v>1000000000000</v>
      </c>
      <c r="BR65" s="171">
        <f ca="1">IF(OR($D65&lt;&gt;"Serviço",AND(AUTOEVENTO="Manual",$M65=$A$15)),0,
         IF(OFFSET(CRONOPLE!$F$15,$M65-$A$15,BR$13)=0,10^12,OFFSET(CRONOPLE!$F$15,$M65-$A$15,BR$13)))</f>
        <v>1000000000000</v>
      </c>
      <c r="BS65" s="171">
        <f ca="1">IF(OR($D65&lt;&gt;"Serviço",AND(AUTOEVENTO="Manual",$M65=$A$15)),0,
         IF(OFFSET(CRONOPLE!$F$15,$M65-$A$15,BS$13)=0,10^12,OFFSET(CRONOPLE!$F$15,$M65-$A$15,BS$13)))</f>
        <v>1000000000000</v>
      </c>
      <c r="BT65" s="171">
        <f ca="1">IF(OR($D65&lt;&gt;"Serviço",AND(AUTOEVENTO="Manual",$M65=$A$15)),0,
         IF(OFFSET(CRONOPLE!$F$15,$M65-$A$15,BT$13)=0,10^12,OFFSET(CRONOPLE!$F$15,$M65-$A$15,BT$13)))</f>
        <v>1000000000000</v>
      </c>
      <c r="BV65" s="172">
        <f ca="1">IF(OR($D65&lt;&gt;"Serviço",AND(AUTOEVENTO="Manual",$M65=$A$15),$M65&gt;(ROW(PLE.lastrow)-ROW(PLE.firstrow))),0,
           IF(OFFSET(PLE!$G$15,$M65-$A$15,BV$13)="",10^12,OFFSET(PLE!$G$15,$M65-$A$15,BV$13)))</f>
        <v>1000000000000</v>
      </c>
      <c r="BW65" s="172">
        <f ca="1">IF(OR($D65&lt;&gt;"Serviço",AND(AUTOEVENTO="Manual",$M65=$A$15),$M65&gt;(ROW(PLE.lastrow)-ROW(PLE.firstrow))),0,
           IF(OFFSET(PLE!$G$15,$M65-$A$15,BW$13)="",10^12,OFFSET(PLE!$G$15,$M65-$A$15,BW$13)))</f>
        <v>1000000000000</v>
      </c>
      <c r="BX65" s="172">
        <f ca="1">IF(OR($D65&lt;&gt;"Serviço",AND(AUTOEVENTO="Manual",$M65=$A$15),$M65&gt;(ROW(PLE.lastrow)-ROW(PLE.firstrow))),0,
           IF(OFFSET(PLE!$G$15,$M65-$A$15,BX$13)="",10^12,OFFSET(PLE!$G$15,$M65-$A$15,BX$13)))</f>
        <v>1000000000000</v>
      </c>
      <c r="BY65" s="172">
        <f ca="1">IF(OR($D65&lt;&gt;"Serviço",AND(AUTOEVENTO="Manual",$M65=$A$15),$M65&gt;(ROW(PLE.lastrow)-ROW(PLE.firstrow))),0,
           IF(OFFSET(PLE!$G$15,$M65-$A$15,BY$13)="",10^12,OFFSET(PLE!$G$15,$M65-$A$15,BY$13)))</f>
        <v>1000000000000</v>
      </c>
      <c r="BZ65" s="172">
        <f ca="1">IF(OR($D65&lt;&gt;"Serviço",AND(AUTOEVENTO="Manual",$M65=$A$15),$M65&gt;(ROW(PLE.lastrow)-ROW(PLE.firstrow))),0,
           IF(OFFSET(PLE!$G$15,$M65-$A$15,BZ$13)="",10^12,OFFSET(PLE!$G$15,$M65-$A$15,BZ$13)))</f>
        <v>1000000000000</v>
      </c>
      <c r="CA65" s="172">
        <f ca="1">IF(OR($D65&lt;&gt;"Serviço",AND(AUTOEVENTO="Manual",$M65=$A$15),$M65&gt;(ROW(PLE.lastrow)-ROW(PLE.firstrow))),0,
           IF(OFFSET(PLE!$G$15,$M65-$A$15,CA$13)="",10^12,OFFSET(PLE!$G$15,$M65-$A$15,CA$13)))</f>
        <v>1000000000000</v>
      </c>
      <c r="CB65" s="172">
        <f ca="1">IF(OR($D65&lt;&gt;"Serviço",AND(AUTOEVENTO="Manual",$M65=$A$15),$M65&gt;(ROW(PLE.lastrow)-ROW(PLE.firstrow))),0,
           IF(OFFSET(PLE!$G$15,$M65-$A$15,CB$13)="",10^12,OFFSET(PLE!$G$15,$M65-$A$15,CB$13)))</f>
        <v>1000000000000</v>
      </c>
      <c r="CC65" s="172">
        <f ca="1">IF(OR($D65&lt;&gt;"Serviço",AND(AUTOEVENTO="Manual",$M65=$A$15),$M65&gt;(ROW(PLE.lastrow)-ROW(PLE.firstrow))),0,
           IF(OFFSET(PLE!$G$15,$M65-$A$15,CC$13)="",10^12,OFFSET(PLE!$G$15,$M65-$A$15,CC$13)))</f>
        <v>1000000000000</v>
      </c>
      <c r="CD65" s="172">
        <f ca="1">IF(OR($D65&lt;&gt;"Serviço",AND(AUTOEVENTO="Manual",$M65=$A$15),$M65&gt;(ROW(PLE.lastrow)-ROW(PLE.firstrow))),0,
           IF(OFFSET(PLE!$G$15,$M65-$A$15,CD$13)="",10^12,OFFSET(PLE!$G$15,$M65-$A$15,CD$13)))</f>
        <v>1000000000000</v>
      </c>
      <c r="CE65" s="172">
        <f ca="1">IF(OR($D65&lt;&gt;"Serviço",AND(AUTOEVENTO="Manual",$M65=$A$15),$M65&gt;(ROW(PLE.lastrow)-ROW(PLE.firstrow))),0,
           IF(OFFSET(PLE!$G$15,$M65-$A$15,CE$13)="",10^12,OFFSET(PLE!$G$15,$M65-$A$15,CE$13)))</f>
        <v>1000000000000</v>
      </c>
      <c r="CF65" s="172">
        <f ca="1">IF(OR($D65&lt;&gt;"Serviço",AND(AUTOEVENTO="Manual",$M65=$A$15),$M65&gt;(ROW(PLE.lastrow)-ROW(PLE.firstrow))),0,
           IF(OFFSET(PLE!$G$15,$M65-$A$15,CF$13)="",10^12,OFFSET(PLE!$G$15,$M65-$A$15,CF$13)))</f>
        <v>1000000000000</v>
      </c>
      <c r="CG65" s="172">
        <f ca="1">IF(OR($D65&lt;&gt;"Serviço",AND(AUTOEVENTO="Manual",$M65=$A$15),$M65&gt;(ROW(PLE.lastrow)-ROW(PLE.firstrow))),0,
           IF(OFFSET(PLE!$G$15,$M65-$A$15,CG$13)="",10^12,OFFSET(PLE!$G$15,$M65-$A$15,CG$13)))</f>
        <v>1000000000000</v>
      </c>
      <c r="CH65" s="172">
        <f ca="1">IF(OR($D65&lt;&gt;"Serviço",AND(AUTOEVENTO="Manual",$M65=$A$15),$M65&gt;(ROW(PLE.lastrow)-ROW(PLE.firstrow))),0,
           IF(OFFSET(PLE!$G$15,$M65-$A$15,CH$13)="",10^12,OFFSET(PLE!$G$15,$M65-$A$15,CH$13)))</f>
        <v>1000000000000</v>
      </c>
      <c r="CI65" s="172">
        <f ca="1">IF(OR($D65&lt;&gt;"Serviço",AND(AUTOEVENTO="Manual",$M65=$A$15),$M65&gt;(ROW(PLE.lastrow)-ROW(PLE.firstrow))),0,
           IF(OFFSET(PLE!$G$15,$M65-$A$15,CI$13)="",10^12,OFFSET(PLE!$G$15,$M65-$A$15,CI$13)))</f>
        <v>1000000000000</v>
      </c>
      <c r="CJ65" s="172">
        <f ca="1">IF(OR($D65&lt;&gt;"Serviço",AND(AUTOEVENTO="Manual",$M65=$A$15),$M65&gt;(ROW(PLE.lastrow)-ROW(PLE.firstrow))),0,
           IF(OFFSET(PLE!$G$15,$M65-$A$15,CJ$13)="",10^12,OFFSET(PLE!$G$15,$M65-$A$15,CJ$13)))</f>
        <v>1000000000000</v>
      </c>
      <c r="CK65" s="172">
        <f ca="1">IF(OR($D65&lt;&gt;"Serviço",AND(AUTOEVENTO="Manual",$M65=$A$15),$M65&gt;(ROW(PLE.lastrow)-ROW(PLE.firstrow))),0,
           IF(OFFSET(PLE!$G$15,$M65-$A$15,CK$13)="",10^12,OFFSET(PLE!$G$15,$M65-$A$15,CK$13)))</f>
        <v>1000000000000</v>
      </c>
      <c r="CL65" s="172">
        <f ca="1">IF(OR($D65&lt;&gt;"Serviço",AND(AUTOEVENTO="Manual",$M65=$A$15),$M65&gt;(ROW(PLE.lastrow)-ROW(PLE.firstrow))),0,
           IF(OFFSET(PLE!$G$15,$M65-$A$15,CL$13)="",10^12,OFFSET(PLE!$G$15,$M65-$A$15,CL$13)))</f>
        <v>1000000000000</v>
      </c>
      <c r="CM65" s="172">
        <f ca="1">IF(OR($D65&lt;&gt;"Serviço",AND(AUTOEVENTO="Manual",$M65=$A$15),$M65&gt;(ROW(PLE.lastrow)-ROW(PLE.firstrow))),0,
           IF(OFFSET(PLE!$G$15,$M65-$A$15,CM$13)="",10^12,OFFSET(PLE!$G$15,$M65-$A$15,CM$13)))</f>
        <v>1000000000000</v>
      </c>
    </row>
    <row r="66" spans="1:91" ht="89.25" x14ac:dyDescent="0.2">
      <c r="A66" s="7">
        <f t="shared" ca="1" si="10"/>
        <v>4</v>
      </c>
      <c r="B66" s="7" t="str">
        <f ca="1">OFFSET(ORÇAMENTO!C$15,ROW(B66)-ROW(B$15),0)</f>
        <v>S</v>
      </c>
      <c r="C66" s="7" t="str">
        <f ca="1">OFFSET(ORÇAMENTO!L$15,ROW(C66)-ROW(C$15),0)</f>
        <v>F</v>
      </c>
      <c r="D66" s="116" t="str">
        <f ca="1">OFFSET(ORÇAMENTO!N$15,ROW(D66)-ROW(D$15),0)</f>
        <v>Serviço</v>
      </c>
      <c r="E66" s="117" t="str">
        <f ca="1">OFFSET(ORÇAMENTO!O$15,ROW(E66)-ROW(E$15),0)</f>
        <v>1.5.1.1.5.</v>
      </c>
      <c r="F66" s="163" t="str">
        <f ca="1">OFFSET(ORÇAMENTO!R$15,ROW(F66)-ROW(F$15),0)</f>
        <v>ARMAÇÃO EM AÇO CA-50 - FORNECIMENTO, PREPARO E COLOCAÇÃO</v>
      </c>
      <c r="G66" s="164" t="str">
        <f ca="1">IF($D66&lt;&gt;"Serviço","",OFFSET(ORÇAMENTO!S$15,ROW(G66)-ROW(G$15),0))</f>
        <v>KG</v>
      </c>
      <c r="H66" s="122" cm="1">
        <f t="array" aca="1" ref="H66" ca="1">IF($D66&lt;&gt;"Serviço",0,IF(ACOMPANHAMENTO="BM",ROUND(OFFSET(ORÇAMENTO!AJ$15,ROW(H66)-ROW(H$15),0),15-13*ORÇAMENTO!$AF$7),SUMPRODUCT(($Q$1:$AI$1=1)*ROUND($Q66:$AI66,15-13*ORÇAMENTO!$AF$7))))</f>
        <v>3137.87</v>
      </c>
      <c r="I66" s="468" t="s">
        <v>1306</v>
      </c>
      <c r="J66" s="640" t="str" cm="1">
        <f t="array" aca="1" ref="J66" ca="1">IF(OR(B66&lt;&gt;"S",CÁLCULO.FrentesPreenchidas=0),"",IF(AND(ACOMPANHAMENTO="PLE",AUTOEVENTO="Manual",OR(H66&gt;0,ORÇAMENTO!AC66="QUANT."),OR(K66="",M66=0,N66="")),"►E",IF(AND(ACOMPANHAMENTO="PLE",ORÇAMENTO!AC66="QUANT."),"►Q",IF(AND(ACOMPANHAMENTO="PLE",H66&lt;&gt;SUMPRODUCT(($Q$1:$AI$1=1)*ROUND(Q66:AI66,15))),"►S",IF(AND(COUNTIF($P$11:$AI$11,"▼")=0,H66&gt;0,I66=""),"◄M","")))))</f>
        <v/>
      </c>
      <c r="K66" s="641" t="s">
        <v>1389</v>
      </c>
      <c r="L66" s="165" t="s">
        <v>764</v>
      </c>
      <c r="M66" s="166">
        <f ca="1">IF($D66&lt;&gt;"Serviço","",
          IF(AUTOEVENTO="manual",$A66,
                IF(ISERROR(MATCH($A66,$A$15:OFFSET($A66,-1,0),0)),MAX($M$15:OFFSET(M66,-1,0))+1,
                      INDEX($M$15:OFFSET(M66,-1,0),MATCH($A66,$A$15:OFFSET($A66,-1,0),0)))))</f>
        <v>4</v>
      </c>
      <c r="N66" s="167" t="str">
        <f ca="1">IF($D66&lt;&gt;"Serviço","",
         IF(AUTOEVENTO="Manual",
                IF($A66=0,"&lt;-- defina o número do agrupador",
                       OFFSET(EVENTOS!$D$15,$A66-$A$15,0)),
                OFFSET($F$15,$A66,0)))</f>
        <v>Estruturas de Concreto</v>
      </c>
      <c r="O66" s="168"/>
      <c r="Q66" s="168"/>
      <c r="R66" s="169">
        <f>ROUND(1886.03+644.64+200.704+406.5,2)</f>
        <v>3137.87</v>
      </c>
      <c r="S66" s="169"/>
      <c r="T66" s="169"/>
      <c r="U66" s="169"/>
      <c r="V66" s="169"/>
      <c r="W66" s="169"/>
      <c r="X66" s="169"/>
      <c r="Y66" s="169"/>
      <c r="Z66" s="170"/>
      <c r="AA66" s="169"/>
      <c r="AB66" s="169"/>
      <c r="AC66" s="169"/>
      <c r="AD66" s="169"/>
      <c r="AE66" s="169"/>
      <c r="AF66" s="169"/>
      <c r="AG66" s="169"/>
      <c r="AH66" s="170"/>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L66" s="453">
        <f ca="1">IF(AND($D66="Serviço",AL$12&lt;&gt;0,$H66&gt;0,OR(AUTOEVENTO&lt;&gt;"manual",$M66&lt;&gt;$A$15)),
        IF(Import.TipoArredondamento&lt;&gt;"TransfereGOV",
              ROUND(OFFSET($P66,0,AL$13),15-13*ORÇAMENTO!$AF$7)/$H66*OFFSET(ORÇAMENTO!$X$15,ROW(AL66)-ROW(AL$15),0),
              ROUND(ROUND(OFFSET($P66,0,AL$13),15-13*ORÇAMENTO!$AF$7)*OFFSET(ORÇAMENTO!$W$15,ROW(AL66)-ROW(AL$15),0),15-13*ORÇAMENTO!$AF$11)),
         0)</f>
        <v>0</v>
      </c>
      <c r="AM66" s="453">
        <f ca="1">IF(AND($D66="Serviço",AM$12&lt;&gt;0,$H66&gt;0,OR(AUTOEVENTO&lt;&gt;"manual",$M66&lt;&gt;$A$15)),
        IF(Import.TipoArredondamento&lt;&gt;"TransfereGOV",
              ROUND(OFFSET($P66,0,AM$13),15-13*ORÇAMENTO!$AF$7)/$H66*OFFSET(ORÇAMENTO!$X$15,ROW(AM66)-ROW(AM$15),0),
              ROUND(ROUND(OFFSET($P66,0,AM$13),15-13*ORÇAMENTO!$AF$7)*OFFSET(ORÇAMENTO!$W$15,ROW(AM66)-ROW(AM$15),0),15-13*ORÇAMENTO!$AF$11)),
         0)</f>
        <v>0</v>
      </c>
      <c r="AN66" s="453">
        <f ca="1">IF(AND($D66="Serviço",AN$12&lt;&gt;0,$H66&gt;0,OR(AUTOEVENTO&lt;&gt;"manual",$M66&lt;&gt;$A$15)),
        IF(Import.TipoArredondamento&lt;&gt;"TransfereGOV",
              ROUND(OFFSET($P66,0,AN$13),15-13*ORÇAMENTO!$AF$7)/$H66*OFFSET(ORÇAMENTO!$X$15,ROW(AN66)-ROW(AN$15),0),
              ROUND(ROUND(OFFSET($P66,0,AN$13),15-13*ORÇAMENTO!$AF$7)*OFFSET(ORÇAMENTO!$W$15,ROW(AN66)-ROW(AN$15),0),15-13*ORÇAMENTO!$AF$11)),
         0)</f>
        <v>0</v>
      </c>
      <c r="AO66" s="453">
        <f ca="1">IF(AND($D66="Serviço",AO$12&lt;&gt;0,$H66&gt;0,OR(AUTOEVENTO&lt;&gt;"manual",$M66&lt;&gt;$A$15)),
        IF(Import.TipoArredondamento&lt;&gt;"TransfereGOV",
              ROUND(OFFSET($P66,0,AO$13),15-13*ORÇAMENTO!$AF$7)/$H66*OFFSET(ORÇAMENTO!$X$15,ROW(AO66)-ROW(AO$15),0),
              ROUND(ROUND(OFFSET($P66,0,AO$13),15-13*ORÇAMENTO!$AF$7)*OFFSET(ORÇAMENTO!$W$15,ROW(AO66)-ROW(AO$15),0),15-13*ORÇAMENTO!$AF$11)),
         0)</f>
        <v>0</v>
      </c>
      <c r="AP66" s="453">
        <f ca="1">IF(AND($D66="Serviço",AP$12&lt;&gt;0,$H66&gt;0,OR(AUTOEVENTO&lt;&gt;"manual",$M66&lt;&gt;$A$15)),
        IF(Import.TipoArredondamento&lt;&gt;"TransfereGOV",
              ROUND(OFFSET($P66,0,AP$13),15-13*ORÇAMENTO!$AF$7)/$H66*OFFSET(ORÇAMENTO!$X$15,ROW(AP66)-ROW(AP$15),0),
              ROUND(ROUND(OFFSET($P66,0,AP$13),15-13*ORÇAMENTO!$AF$7)*OFFSET(ORÇAMENTO!$W$15,ROW(AP66)-ROW(AP$15),0),15-13*ORÇAMENTO!$AF$11)),
         0)</f>
        <v>0</v>
      </c>
      <c r="AQ66" s="453">
        <f ca="1">IF(AND($D66="Serviço",AQ$12&lt;&gt;0,$H66&gt;0,OR(AUTOEVENTO&lt;&gt;"manual",$M66&lt;&gt;$A$15)),
        IF(Import.TipoArredondamento&lt;&gt;"TransfereGOV",
              ROUND(OFFSET($P66,0,AQ$13),15-13*ORÇAMENTO!$AF$7)/$H66*OFFSET(ORÇAMENTO!$X$15,ROW(AQ66)-ROW(AQ$15),0),
              ROUND(ROUND(OFFSET($P66,0,AQ$13),15-13*ORÇAMENTO!$AF$7)*OFFSET(ORÇAMENTO!$W$15,ROW(AQ66)-ROW(AQ$15),0),15-13*ORÇAMENTO!$AF$11)),
         0)</f>
        <v>0</v>
      </c>
      <c r="AR66" s="453">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3">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3">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3">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3">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3">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3">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3">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3">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3">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C66" s="171">
        <f ca="1">IF(OR($D66&lt;&gt;"Serviço",AND(AUTOEVENTO="Manual",$M66=$A$15)),0,
         IF(OFFSET(CRONOPLE!$F$15,$M66-$A$15,BC$13)=0,10^12,OFFSET(CRONOPLE!$F$15,$M66-$A$15,BC$13)))</f>
        <v>1</v>
      </c>
      <c r="BD66" s="171">
        <f ca="1">IF(OR($D66&lt;&gt;"Serviço",AND(AUTOEVENTO="Manual",$M66=$A$15)),0,
         IF(OFFSET(CRONOPLE!$F$15,$M66-$A$15,BD$13)=0,10^12,OFFSET(CRONOPLE!$F$15,$M66-$A$15,BD$13)))</f>
        <v>2</v>
      </c>
      <c r="BE66" s="171">
        <f ca="1">IF(OR($D66&lt;&gt;"Serviço",AND(AUTOEVENTO="Manual",$M66=$A$15)),0,
         IF(OFFSET(CRONOPLE!$F$15,$M66-$A$15,BE$13)=0,10^12,OFFSET(CRONOPLE!$F$15,$M66-$A$15,BE$13)))</f>
        <v>3</v>
      </c>
      <c r="BF66" s="171">
        <f ca="1">IF(OR($D66&lt;&gt;"Serviço",AND(AUTOEVENTO="Manual",$M66=$A$15)),0,
         IF(OFFSET(CRONOPLE!$F$15,$M66-$A$15,BF$13)=0,10^12,OFFSET(CRONOPLE!$F$15,$M66-$A$15,BF$13)))</f>
        <v>4</v>
      </c>
      <c r="BG66" s="171">
        <f ca="1">IF(OR($D66&lt;&gt;"Serviço",AND(AUTOEVENTO="Manual",$M66=$A$15)),0,
         IF(OFFSET(CRONOPLE!$F$15,$M66-$A$15,BG$13)=0,10^12,OFFSET(CRONOPLE!$F$15,$M66-$A$15,BG$13)))</f>
        <v>5</v>
      </c>
      <c r="BH66" s="171">
        <f ca="1">IF(OR($D66&lt;&gt;"Serviço",AND(AUTOEVENTO="Manual",$M66=$A$15)),0,
         IF(OFFSET(CRONOPLE!$F$15,$M66-$A$15,BH$13)=0,10^12,OFFSET(CRONOPLE!$F$15,$M66-$A$15,BH$13)))</f>
        <v>6</v>
      </c>
      <c r="BI66" s="171">
        <f ca="1">IF(OR($D66&lt;&gt;"Serviço",AND(AUTOEVENTO="Manual",$M66=$A$15)),0,
         IF(OFFSET(CRONOPLE!$F$15,$M66-$A$15,BI$13)=0,10^12,OFFSET(CRONOPLE!$F$15,$M66-$A$15,BI$13)))</f>
        <v>7</v>
      </c>
      <c r="BJ66" s="171">
        <f ca="1">IF(OR($D66&lt;&gt;"Serviço",AND(AUTOEVENTO="Manual",$M66=$A$15)),0,
         IF(OFFSET(CRONOPLE!$F$15,$M66-$A$15,BJ$13)=0,10^12,OFFSET(CRONOPLE!$F$15,$M66-$A$15,BJ$13)))</f>
        <v>8</v>
      </c>
      <c r="BK66" s="171">
        <f ca="1">IF(OR($D66&lt;&gt;"Serviço",AND(AUTOEVENTO="Manual",$M66=$A$15)),0,
         IF(OFFSET(CRONOPLE!$F$15,$M66-$A$15,BK$13)=0,10^12,OFFSET(CRONOPLE!$F$15,$M66-$A$15,BK$13)))</f>
        <v>9</v>
      </c>
      <c r="BL66" s="171">
        <f ca="1">IF(OR($D66&lt;&gt;"Serviço",AND(AUTOEVENTO="Manual",$M66=$A$15)),0,
         IF(OFFSET(CRONOPLE!$F$15,$M66-$A$15,BL$13)=0,10^12,OFFSET(CRONOPLE!$F$15,$M66-$A$15,BL$13)))</f>
        <v>10</v>
      </c>
      <c r="BM66" s="171">
        <f ca="1">IF(OR($D66&lt;&gt;"Serviço",AND(AUTOEVENTO="Manual",$M66=$A$15)),0,
         IF(OFFSET(CRONOPLE!$F$15,$M66-$A$15,BM$13)=0,10^12,OFFSET(CRONOPLE!$F$15,$M66-$A$15,BM$13)))</f>
        <v>1000000000000</v>
      </c>
      <c r="BN66" s="171">
        <f ca="1">IF(OR($D66&lt;&gt;"Serviço",AND(AUTOEVENTO="Manual",$M66=$A$15)),0,
         IF(OFFSET(CRONOPLE!$F$15,$M66-$A$15,BN$13)=0,10^12,OFFSET(CRONOPLE!$F$15,$M66-$A$15,BN$13)))</f>
        <v>1000000000000</v>
      </c>
      <c r="BO66" s="171">
        <f ca="1">IF(OR($D66&lt;&gt;"Serviço",AND(AUTOEVENTO="Manual",$M66=$A$15)),0,
         IF(OFFSET(CRONOPLE!$F$15,$M66-$A$15,BO$13)=0,10^12,OFFSET(CRONOPLE!$F$15,$M66-$A$15,BO$13)))</f>
        <v>1000000000000</v>
      </c>
      <c r="BP66" s="171">
        <f ca="1">IF(OR($D66&lt;&gt;"Serviço",AND(AUTOEVENTO="Manual",$M66=$A$15)),0,
         IF(OFFSET(CRONOPLE!$F$15,$M66-$A$15,BP$13)=0,10^12,OFFSET(CRONOPLE!$F$15,$M66-$A$15,BP$13)))</f>
        <v>1000000000000</v>
      </c>
      <c r="BQ66" s="171">
        <f ca="1">IF(OR($D66&lt;&gt;"Serviço",AND(AUTOEVENTO="Manual",$M66=$A$15)),0,
         IF(OFFSET(CRONOPLE!$F$15,$M66-$A$15,BQ$13)=0,10^12,OFFSET(CRONOPLE!$F$15,$M66-$A$15,BQ$13)))</f>
        <v>1000000000000</v>
      </c>
      <c r="BR66" s="171">
        <f ca="1">IF(OR($D66&lt;&gt;"Serviço",AND(AUTOEVENTO="Manual",$M66=$A$15)),0,
         IF(OFFSET(CRONOPLE!$F$15,$M66-$A$15,BR$13)=0,10^12,OFFSET(CRONOPLE!$F$15,$M66-$A$15,BR$13)))</f>
        <v>1000000000000</v>
      </c>
      <c r="BS66" s="171">
        <f ca="1">IF(OR($D66&lt;&gt;"Serviço",AND(AUTOEVENTO="Manual",$M66=$A$15)),0,
         IF(OFFSET(CRONOPLE!$F$15,$M66-$A$15,BS$13)=0,10^12,OFFSET(CRONOPLE!$F$15,$M66-$A$15,BS$13)))</f>
        <v>1000000000000</v>
      </c>
      <c r="BT66" s="171">
        <f ca="1">IF(OR($D66&lt;&gt;"Serviço",AND(AUTOEVENTO="Manual",$M66=$A$15)),0,
         IF(OFFSET(CRONOPLE!$F$15,$M66-$A$15,BT$13)=0,10^12,OFFSET(CRONOPLE!$F$15,$M66-$A$15,BT$13)))</f>
        <v>1000000000000</v>
      </c>
      <c r="BV66" s="172">
        <f ca="1">IF(OR($D66&lt;&gt;"Serviço",AND(AUTOEVENTO="Manual",$M66=$A$15),$M66&gt;(ROW(PLE.lastrow)-ROW(PLE.firstrow))),0,
           IF(OFFSET(PLE!$G$15,$M66-$A$15,BV$13)="",10^12,OFFSET(PLE!$G$15,$M66-$A$15,BV$13)))</f>
        <v>1000000000000</v>
      </c>
      <c r="BW66" s="172">
        <f ca="1">IF(OR($D66&lt;&gt;"Serviço",AND(AUTOEVENTO="Manual",$M66=$A$15),$M66&gt;(ROW(PLE.lastrow)-ROW(PLE.firstrow))),0,
           IF(OFFSET(PLE!$G$15,$M66-$A$15,BW$13)="",10^12,OFFSET(PLE!$G$15,$M66-$A$15,BW$13)))</f>
        <v>1000000000000</v>
      </c>
      <c r="BX66" s="172">
        <f ca="1">IF(OR($D66&lt;&gt;"Serviço",AND(AUTOEVENTO="Manual",$M66=$A$15),$M66&gt;(ROW(PLE.lastrow)-ROW(PLE.firstrow))),0,
           IF(OFFSET(PLE!$G$15,$M66-$A$15,BX$13)="",10^12,OFFSET(PLE!$G$15,$M66-$A$15,BX$13)))</f>
        <v>1000000000000</v>
      </c>
      <c r="BY66" s="172">
        <f ca="1">IF(OR($D66&lt;&gt;"Serviço",AND(AUTOEVENTO="Manual",$M66=$A$15),$M66&gt;(ROW(PLE.lastrow)-ROW(PLE.firstrow))),0,
           IF(OFFSET(PLE!$G$15,$M66-$A$15,BY$13)="",10^12,OFFSET(PLE!$G$15,$M66-$A$15,BY$13)))</f>
        <v>1000000000000</v>
      </c>
      <c r="BZ66" s="172">
        <f ca="1">IF(OR($D66&lt;&gt;"Serviço",AND(AUTOEVENTO="Manual",$M66=$A$15),$M66&gt;(ROW(PLE.lastrow)-ROW(PLE.firstrow))),0,
           IF(OFFSET(PLE!$G$15,$M66-$A$15,BZ$13)="",10^12,OFFSET(PLE!$G$15,$M66-$A$15,BZ$13)))</f>
        <v>1000000000000</v>
      </c>
      <c r="CA66" s="172">
        <f ca="1">IF(OR($D66&lt;&gt;"Serviço",AND(AUTOEVENTO="Manual",$M66=$A$15),$M66&gt;(ROW(PLE.lastrow)-ROW(PLE.firstrow))),0,
           IF(OFFSET(PLE!$G$15,$M66-$A$15,CA$13)="",10^12,OFFSET(PLE!$G$15,$M66-$A$15,CA$13)))</f>
        <v>1000000000000</v>
      </c>
      <c r="CB66" s="172">
        <f ca="1">IF(OR($D66&lt;&gt;"Serviço",AND(AUTOEVENTO="Manual",$M66=$A$15),$M66&gt;(ROW(PLE.lastrow)-ROW(PLE.firstrow))),0,
           IF(OFFSET(PLE!$G$15,$M66-$A$15,CB$13)="",10^12,OFFSET(PLE!$G$15,$M66-$A$15,CB$13)))</f>
        <v>1000000000000</v>
      </c>
      <c r="CC66" s="172">
        <f ca="1">IF(OR($D66&lt;&gt;"Serviço",AND(AUTOEVENTO="Manual",$M66=$A$15),$M66&gt;(ROW(PLE.lastrow)-ROW(PLE.firstrow))),0,
           IF(OFFSET(PLE!$G$15,$M66-$A$15,CC$13)="",10^12,OFFSET(PLE!$G$15,$M66-$A$15,CC$13)))</f>
        <v>1000000000000</v>
      </c>
      <c r="CD66" s="172">
        <f ca="1">IF(OR($D66&lt;&gt;"Serviço",AND(AUTOEVENTO="Manual",$M66=$A$15),$M66&gt;(ROW(PLE.lastrow)-ROW(PLE.firstrow))),0,
           IF(OFFSET(PLE!$G$15,$M66-$A$15,CD$13)="",10^12,OFFSET(PLE!$G$15,$M66-$A$15,CD$13)))</f>
        <v>1000000000000</v>
      </c>
      <c r="CE66" s="172">
        <f ca="1">IF(OR($D66&lt;&gt;"Serviço",AND(AUTOEVENTO="Manual",$M66=$A$15),$M66&gt;(ROW(PLE.lastrow)-ROW(PLE.firstrow))),0,
           IF(OFFSET(PLE!$G$15,$M66-$A$15,CE$13)="",10^12,OFFSET(PLE!$G$15,$M66-$A$15,CE$13)))</f>
        <v>1000000000000</v>
      </c>
      <c r="CF66" s="172">
        <f ca="1">IF(OR($D66&lt;&gt;"Serviço",AND(AUTOEVENTO="Manual",$M66=$A$15),$M66&gt;(ROW(PLE.lastrow)-ROW(PLE.firstrow))),0,
           IF(OFFSET(PLE!$G$15,$M66-$A$15,CF$13)="",10^12,OFFSET(PLE!$G$15,$M66-$A$15,CF$13)))</f>
        <v>1000000000000</v>
      </c>
      <c r="CG66" s="172">
        <f ca="1">IF(OR($D66&lt;&gt;"Serviço",AND(AUTOEVENTO="Manual",$M66=$A$15),$M66&gt;(ROW(PLE.lastrow)-ROW(PLE.firstrow))),0,
           IF(OFFSET(PLE!$G$15,$M66-$A$15,CG$13)="",10^12,OFFSET(PLE!$G$15,$M66-$A$15,CG$13)))</f>
        <v>1000000000000</v>
      </c>
      <c r="CH66" s="172">
        <f ca="1">IF(OR($D66&lt;&gt;"Serviço",AND(AUTOEVENTO="Manual",$M66=$A$15),$M66&gt;(ROW(PLE.lastrow)-ROW(PLE.firstrow))),0,
           IF(OFFSET(PLE!$G$15,$M66-$A$15,CH$13)="",10^12,OFFSET(PLE!$G$15,$M66-$A$15,CH$13)))</f>
        <v>1000000000000</v>
      </c>
      <c r="CI66" s="172">
        <f ca="1">IF(OR($D66&lt;&gt;"Serviço",AND(AUTOEVENTO="Manual",$M66=$A$15),$M66&gt;(ROW(PLE.lastrow)-ROW(PLE.firstrow))),0,
           IF(OFFSET(PLE!$G$15,$M66-$A$15,CI$13)="",10^12,OFFSET(PLE!$G$15,$M66-$A$15,CI$13)))</f>
        <v>1000000000000</v>
      </c>
      <c r="CJ66" s="172">
        <f ca="1">IF(OR($D66&lt;&gt;"Serviço",AND(AUTOEVENTO="Manual",$M66=$A$15),$M66&gt;(ROW(PLE.lastrow)-ROW(PLE.firstrow))),0,
           IF(OFFSET(PLE!$G$15,$M66-$A$15,CJ$13)="",10^12,OFFSET(PLE!$G$15,$M66-$A$15,CJ$13)))</f>
        <v>1000000000000</v>
      </c>
      <c r="CK66" s="172">
        <f ca="1">IF(OR($D66&lt;&gt;"Serviço",AND(AUTOEVENTO="Manual",$M66=$A$15),$M66&gt;(ROW(PLE.lastrow)-ROW(PLE.firstrow))),0,
           IF(OFFSET(PLE!$G$15,$M66-$A$15,CK$13)="",10^12,OFFSET(PLE!$G$15,$M66-$A$15,CK$13)))</f>
        <v>1000000000000</v>
      </c>
      <c r="CL66" s="172">
        <f ca="1">IF(OR($D66&lt;&gt;"Serviço",AND(AUTOEVENTO="Manual",$M66=$A$15),$M66&gt;(ROW(PLE.lastrow)-ROW(PLE.firstrow))),0,
           IF(OFFSET(PLE!$G$15,$M66-$A$15,CL$13)="",10^12,OFFSET(PLE!$G$15,$M66-$A$15,CL$13)))</f>
        <v>1000000000000</v>
      </c>
      <c r="CM66" s="172">
        <f ca="1">IF(OR($D66&lt;&gt;"Serviço",AND(AUTOEVENTO="Manual",$M66=$A$15),$M66&gt;(ROW(PLE.lastrow)-ROW(PLE.firstrow))),0,
           IF(OFFSET(PLE!$G$15,$M66-$A$15,CM$13)="",10^12,OFFSET(PLE!$G$15,$M66-$A$15,CM$13)))</f>
        <v>1000000000000</v>
      </c>
    </row>
    <row r="67" spans="1:91" ht="102" x14ac:dyDescent="0.2">
      <c r="A67" s="7">
        <f t="shared" ca="1" si="10"/>
        <v>4</v>
      </c>
      <c r="B67" s="7" t="str">
        <f ca="1">OFFSET(ORÇAMENTO!C$15,ROW(B67)-ROW(B$15),0)</f>
        <v>S</v>
      </c>
      <c r="C67" s="7" t="str">
        <f ca="1">OFFSET(ORÇAMENTO!L$15,ROW(C67)-ROW(C$15),0)</f>
        <v>F</v>
      </c>
      <c r="D67" s="116" t="str">
        <f ca="1">OFFSET(ORÇAMENTO!N$15,ROW(D67)-ROW(D$15),0)</f>
        <v>Serviço</v>
      </c>
      <c r="E67" s="117" t="str">
        <f ca="1">OFFSET(ORÇAMENTO!O$15,ROW(E67)-ROW(E$15),0)</f>
        <v>1.5.1.1.6.</v>
      </c>
      <c r="F67" s="163" t="str">
        <f ca="1">OFFSET(ORÇAMENTO!R$15,ROW(F67)-ROW(F$15),0)</f>
        <v>CARGA, MANOBRA E DESCARGA DE SOLOS E MATERIAIS GRANULARES EM CAMINHÃO BASCULANTE 18 M³ - CARGA COM ESCAVADEIRA HIDRÁULICA (CAÇAMBA DE 1,20 M³ / 155 HP) E DESCARGA LIVRE (UNIDADE: M3). AF_07/2020</v>
      </c>
      <c r="G67" s="164" t="str">
        <f ca="1">IF($D67&lt;&gt;"Serviço","",OFFSET(ORÇAMENTO!S$15,ROW(G67)-ROW(G$15),0))</f>
        <v>M3</v>
      </c>
      <c r="H67" s="122" cm="1">
        <f t="array" aca="1" ref="H67" ca="1">IF($D67&lt;&gt;"Serviço",0,IF(ACOMPANHAMENTO="BM",ROUND(OFFSET(ORÇAMENTO!AJ$15,ROW(H67)-ROW(H$15),0),15-13*ORÇAMENTO!$AF$7),SUMPRODUCT(($Q$1:$AI$1=1)*ROUND($Q67:$AI67,15-13*ORÇAMENTO!$AF$7))))</f>
        <v>176.43</v>
      </c>
      <c r="I67" s="468" t="s">
        <v>1413</v>
      </c>
      <c r="J67" s="640" t="str" cm="1">
        <f t="array" aca="1" ref="J67" ca="1">IF(OR(B67&lt;&gt;"S",CÁLCULO.FrentesPreenchidas=0),"",IF(AND(ACOMPANHAMENTO="PLE",AUTOEVENTO="Manual",OR(H67&gt;0,ORÇAMENTO!AC67="QUANT."),OR(K67="",M67=0,N67="")),"►E",IF(AND(ACOMPANHAMENTO="PLE",ORÇAMENTO!AC67="QUANT."),"►Q",IF(AND(ACOMPANHAMENTO="PLE",H67&lt;&gt;SUMPRODUCT(($Q$1:$AI$1=1)*ROUND(Q67:AI67,15))),"►S",IF(AND(COUNTIF($P$11:$AI$11,"▼")=0,H67&gt;0,I67=""),"◄M","")))))</f>
        <v/>
      </c>
      <c r="K67" s="641" t="s">
        <v>1389</v>
      </c>
      <c r="L67" s="165" t="s">
        <v>764</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Estruturas de Concreto</v>
      </c>
      <c r="O67" s="168"/>
      <c r="Q67" s="168"/>
      <c r="R67" s="169">
        <f>ROUND(((PI()*0.6^2)/4)*10*48*1.3,2)</f>
        <v>176.43</v>
      </c>
      <c r="S67" s="169"/>
      <c r="T67" s="169"/>
      <c r="U67" s="169"/>
      <c r="V67" s="169"/>
      <c r="W67" s="169"/>
      <c r="X67" s="169"/>
      <c r="Y67" s="169"/>
      <c r="Z67" s="170"/>
      <c r="AA67" s="169"/>
      <c r="AB67" s="169"/>
      <c r="AC67" s="169"/>
      <c r="AD67" s="169"/>
      <c r="AE67" s="169"/>
      <c r="AF67" s="169"/>
      <c r="AG67" s="169"/>
      <c r="AH67" s="170"/>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L67" s="453">
        <f ca="1">IF(AND($D67="Serviço",AL$12&lt;&gt;0,$H67&gt;0,OR(AUTOEVENTO&lt;&gt;"manual",$M67&lt;&gt;$A$15)),
        IF(Import.TipoArredondamento&lt;&gt;"TransfereGOV",
              ROUND(OFFSET($P67,0,AL$13),15-13*ORÇAMENTO!$AF$7)/$H67*OFFSET(ORÇAMENTO!$X$15,ROW(AL67)-ROW(AL$15),0),
              ROUND(ROUND(OFFSET($P67,0,AL$13),15-13*ORÇAMENTO!$AF$7)*OFFSET(ORÇAMENTO!$W$15,ROW(AL67)-ROW(AL$15),0),15-13*ORÇAMENTO!$AF$11)),
         0)</f>
        <v>0</v>
      </c>
      <c r="AM67" s="453">
        <f ca="1">IF(AND($D67="Serviço",AM$12&lt;&gt;0,$H67&gt;0,OR(AUTOEVENTO&lt;&gt;"manual",$M67&lt;&gt;$A$15)),
        IF(Import.TipoArredondamento&lt;&gt;"TransfereGOV",
              ROUND(OFFSET($P67,0,AM$13),15-13*ORÇAMENTO!$AF$7)/$H67*OFFSET(ORÇAMENTO!$X$15,ROW(AM67)-ROW(AM$15),0),
              ROUND(ROUND(OFFSET($P67,0,AM$13),15-13*ORÇAMENTO!$AF$7)*OFFSET(ORÇAMENTO!$W$15,ROW(AM67)-ROW(AM$15),0),15-13*ORÇAMENTO!$AF$11)),
         0)</f>
        <v>0</v>
      </c>
      <c r="AN67" s="453">
        <f ca="1">IF(AND($D67="Serviço",AN$12&lt;&gt;0,$H67&gt;0,OR(AUTOEVENTO&lt;&gt;"manual",$M67&lt;&gt;$A$15)),
        IF(Import.TipoArredondamento&lt;&gt;"TransfereGOV",
              ROUND(OFFSET($P67,0,AN$13),15-13*ORÇAMENTO!$AF$7)/$H67*OFFSET(ORÇAMENTO!$X$15,ROW(AN67)-ROW(AN$15),0),
              ROUND(ROUND(OFFSET($P67,0,AN$13),15-13*ORÇAMENTO!$AF$7)*OFFSET(ORÇAMENTO!$W$15,ROW(AN67)-ROW(AN$15),0),15-13*ORÇAMENTO!$AF$11)),
         0)</f>
        <v>0</v>
      </c>
      <c r="AO67" s="453">
        <f ca="1">IF(AND($D67="Serviço",AO$12&lt;&gt;0,$H67&gt;0,OR(AUTOEVENTO&lt;&gt;"manual",$M67&lt;&gt;$A$15)),
        IF(Import.TipoArredondamento&lt;&gt;"TransfereGOV",
              ROUND(OFFSET($P67,0,AO$13),15-13*ORÇAMENTO!$AF$7)/$H67*OFFSET(ORÇAMENTO!$X$15,ROW(AO67)-ROW(AO$15),0),
              ROUND(ROUND(OFFSET($P67,0,AO$13),15-13*ORÇAMENTO!$AF$7)*OFFSET(ORÇAMENTO!$W$15,ROW(AO67)-ROW(AO$15),0),15-13*ORÇAMENTO!$AF$11)),
         0)</f>
        <v>0</v>
      </c>
      <c r="AP67" s="453">
        <f ca="1">IF(AND($D67="Serviço",AP$12&lt;&gt;0,$H67&gt;0,OR(AUTOEVENTO&lt;&gt;"manual",$M67&lt;&gt;$A$15)),
        IF(Import.TipoArredondamento&lt;&gt;"TransfereGOV",
              ROUND(OFFSET($P67,0,AP$13),15-13*ORÇAMENTO!$AF$7)/$H67*OFFSET(ORÇAMENTO!$X$15,ROW(AP67)-ROW(AP$15),0),
              ROUND(ROUND(OFFSET($P67,0,AP$13),15-13*ORÇAMENTO!$AF$7)*OFFSET(ORÇAMENTO!$W$15,ROW(AP67)-ROW(AP$15),0),15-13*ORÇAMENTO!$AF$11)),
         0)</f>
        <v>0</v>
      </c>
      <c r="AQ67" s="453">
        <f ca="1">IF(AND($D67="Serviço",AQ$12&lt;&gt;0,$H67&gt;0,OR(AUTOEVENTO&lt;&gt;"manual",$M67&lt;&gt;$A$15)),
        IF(Import.TipoArredondamento&lt;&gt;"TransfereGOV",
              ROUND(OFFSET($P67,0,AQ$13),15-13*ORÇAMENTO!$AF$7)/$H67*OFFSET(ORÇAMENTO!$X$15,ROW(AQ67)-ROW(AQ$15),0),
              ROUND(ROUND(OFFSET($P67,0,AQ$13),15-13*ORÇAMENTO!$AF$7)*OFFSET(ORÇAMENTO!$W$15,ROW(AQ67)-ROW(AQ$15),0),15-13*ORÇAMENTO!$AF$11)),
         0)</f>
        <v>0</v>
      </c>
      <c r="AR67" s="453">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3">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3">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3">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3">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3">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3">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3">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3">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3">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C67" s="171">
        <f ca="1">IF(OR($D67&lt;&gt;"Serviço",AND(AUTOEVENTO="Manual",$M67=$A$15)),0,
         IF(OFFSET(CRONOPLE!$F$15,$M67-$A$15,BC$13)=0,10^12,OFFSET(CRONOPLE!$F$15,$M67-$A$15,BC$13)))</f>
        <v>1</v>
      </c>
      <c r="BD67" s="171">
        <f ca="1">IF(OR($D67&lt;&gt;"Serviço",AND(AUTOEVENTO="Manual",$M67=$A$15)),0,
         IF(OFFSET(CRONOPLE!$F$15,$M67-$A$15,BD$13)=0,10^12,OFFSET(CRONOPLE!$F$15,$M67-$A$15,BD$13)))</f>
        <v>2</v>
      </c>
      <c r="BE67" s="171">
        <f ca="1">IF(OR($D67&lt;&gt;"Serviço",AND(AUTOEVENTO="Manual",$M67=$A$15)),0,
         IF(OFFSET(CRONOPLE!$F$15,$M67-$A$15,BE$13)=0,10^12,OFFSET(CRONOPLE!$F$15,$M67-$A$15,BE$13)))</f>
        <v>3</v>
      </c>
      <c r="BF67" s="171">
        <f ca="1">IF(OR($D67&lt;&gt;"Serviço",AND(AUTOEVENTO="Manual",$M67=$A$15)),0,
         IF(OFFSET(CRONOPLE!$F$15,$M67-$A$15,BF$13)=0,10^12,OFFSET(CRONOPLE!$F$15,$M67-$A$15,BF$13)))</f>
        <v>4</v>
      </c>
      <c r="BG67" s="171">
        <f ca="1">IF(OR($D67&lt;&gt;"Serviço",AND(AUTOEVENTO="Manual",$M67=$A$15)),0,
         IF(OFFSET(CRONOPLE!$F$15,$M67-$A$15,BG$13)=0,10^12,OFFSET(CRONOPLE!$F$15,$M67-$A$15,BG$13)))</f>
        <v>5</v>
      </c>
      <c r="BH67" s="171">
        <f ca="1">IF(OR($D67&lt;&gt;"Serviço",AND(AUTOEVENTO="Manual",$M67=$A$15)),0,
         IF(OFFSET(CRONOPLE!$F$15,$M67-$A$15,BH$13)=0,10^12,OFFSET(CRONOPLE!$F$15,$M67-$A$15,BH$13)))</f>
        <v>6</v>
      </c>
      <c r="BI67" s="171">
        <f ca="1">IF(OR($D67&lt;&gt;"Serviço",AND(AUTOEVENTO="Manual",$M67=$A$15)),0,
         IF(OFFSET(CRONOPLE!$F$15,$M67-$A$15,BI$13)=0,10^12,OFFSET(CRONOPLE!$F$15,$M67-$A$15,BI$13)))</f>
        <v>7</v>
      </c>
      <c r="BJ67" s="171">
        <f ca="1">IF(OR($D67&lt;&gt;"Serviço",AND(AUTOEVENTO="Manual",$M67=$A$15)),0,
         IF(OFFSET(CRONOPLE!$F$15,$M67-$A$15,BJ$13)=0,10^12,OFFSET(CRONOPLE!$F$15,$M67-$A$15,BJ$13)))</f>
        <v>8</v>
      </c>
      <c r="BK67" s="171">
        <f ca="1">IF(OR($D67&lt;&gt;"Serviço",AND(AUTOEVENTO="Manual",$M67=$A$15)),0,
         IF(OFFSET(CRONOPLE!$F$15,$M67-$A$15,BK$13)=0,10^12,OFFSET(CRONOPLE!$F$15,$M67-$A$15,BK$13)))</f>
        <v>9</v>
      </c>
      <c r="BL67" s="171">
        <f ca="1">IF(OR($D67&lt;&gt;"Serviço",AND(AUTOEVENTO="Manual",$M67=$A$15)),0,
         IF(OFFSET(CRONOPLE!$F$15,$M67-$A$15,BL$13)=0,10^12,OFFSET(CRONOPLE!$F$15,$M67-$A$15,BL$13)))</f>
        <v>10</v>
      </c>
      <c r="BM67" s="171">
        <f ca="1">IF(OR($D67&lt;&gt;"Serviço",AND(AUTOEVENTO="Manual",$M67=$A$15)),0,
         IF(OFFSET(CRONOPLE!$F$15,$M67-$A$15,BM$13)=0,10^12,OFFSET(CRONOPLE!$F$15,$M67-$A$15,BM$13)))</f>
        <v>1000000000000</v>
      </c>
      <c r="BN67" s="171">
        <f ca="1">IF(OR($D67&lt;&gt;"Serviço",AND(AUTOEVENTO="Manual",$M67=$A$15)),0,
         IF(OFFSET(CRONOPLE!$F$15,$M67-$A$15,BN$13)=0,10^12,OFFSET(CRONOPLE!$F$15,$M67-$A$15,BN$13)))</f>
        <v>1000000000000</v>
      </c>
      <c r="BO67" s="171">
        <f ca="1">IF(OR($D67&lt;&gt;"Serviço",AND(AUTOEVENTO="Manual",$M67=$A$15)),0,
         IF(OFFSET(CRONOPLE!$F$15,$M67-$A$15,BO$13)=0,10^12,OFFSET(CRONOPLE!$F$15,$M67-$A$15,BO$13)))</f>
        <v>1000000000000</v>
      </c>
      <c r="BP67" s="171">
        <f ca="1">IF(OR($D67&lt;&gt;"Serviço",AND(AUTOEVENTO="Manual",$M67=$A$15)),0,
         IF(OFFSET(CRONOPLE!$F$15,$M67-$A$15,BP$13)=0,10^12,OFFSET(CRONOPLE!$F$15,$M67-$A$15,BP$13)))</f>
        <v>1000000000000</v>
      </c>
      <c r="BQ67" s="171">
        <f ca="1">IF(OR($D67&lt;&gt;"Serviço",AND(AUTOEVENTO="Manual",$M67=$A$15)),0,
         IF(OFFSET(CRONOPLE!$F$15,$M67-$A$15,BQ$13)=0,10^12,OFFSET(CRONOPLE!$F$15,$M67-$A$15,BQ$13)))</f>
        <v>1000000000000</v>
      </c>
      <c r="BR67" s="171">
        <f ca="1">IF(OR($D67&lt;&gt;"Serviço",AND(AUTOEVENTO="Manual",$M67=$A$15)),0,
         IF(OFFSET(CRONOPLE!$F$15,$M67-$A$15,BR$13)=0,10^12,OFFSET(CRONOPLE!$F$15,$M67-$A$15,BR$13)))</f>
        <v>1000000000000</v>
      </c>
      <c r="BS67" s="171">
        <f ca="1">IF(OR($D67&lt;&gt;"Serviço",AND(AUTOEVENTO="Manual",$M67=$A$15)),0,
         IF(OFFSET(CRONOPLE!$F$15,$M67-$A$15,BS$13)=0,10^12,OFFSET(CRONOPLE!$F$15,$M67-$A$15,BS$13)))</f>
        <v>1000000000000</v>
      </c>
      <c r="BT67" s="171">
        <f ca="1">IF(OR($D67&lt;&gt;"Serviço",AND(AUTOEVENTO="Manual",$M67=$A$15)),0,
         IF(OFFSET(CRONOPLE!$F$15,$M67-$A$15,BT$13)=0,10^12,OFFSET(CRONOPLE!$F$15,$M67-$A$15,BT$13)))</f>
        <v>1000000000000</v>
      </c>
      <c r="BV67" s="172">
        <f ca="1">IF(OR($D67&lt;&gt;"Serviço",AND(AUTOEVENTO="Manual",$M67=$A$15),$M67&gt;(ROW(PLE.lastrow)-ROW(PLE.firstrow))),0,
           IF(OFFSET(PLE!$G$15,$M67-$A$15,BV$13)="",10^12,OFFSET(PLE!$G$15,$M67-$A$15,BV$13)))</f>
        <v>1000000000000</v>
      </c>
      <c r="BW67" s="172">
        <f ca="1">IF(OR($D67&lt;&gt;"Serviço",AND(AUTOEVENTO="Manual",$M67=$A$15),$M67&gt;(ROW(PLE.lastrow)-ROW(PLE.firstrow))),0,
           IF(OFFSET(PLE!$G$15,$M67-$A$15,BW$13)="",10^12,OFFSET(PLE!$G$15,$M67-$A$15,BW$13)))</f>
        <v>1000000000000</v>
      </c>
      <c r="BX67" s="172">
        <f ca="1">IF(OR($D67&lt;&gt;"Serviço",AND(AUTOEVENTO="Manual",$M67=$A$15),$M67&gt;(ROW(PLE.lastrow)-ROW(PLE.firstrow))),0,
           IF(OFFSET(PLE!$G$15,$M67-$A$15,BX$13)="",10^12,OFFSET(PLE!$G$15,$M67-$A$15,BX$13)))</f>
        <v>1000000000000</v>
      </c>
      <c r="BY67" s="172">
        <f ca="1">IF(OR($D67&lt;&gt;"Serviço",AND(AUTOEVENTO="Manual",$M67=$A$15),$M67&gt;(ROW(PLE.lastrow)-ROW(PLE.firstrow))),0,
           IF(OFFSET(PLE!$G$15,$M67-$A$15,BY$13)="",10^12,OFFSET(PLE!$G$15,$M67-$A$15,BY$13)))</f>
        <v>1000000000000</v>
      </c>
      <c r="BZ67" s="172">
        <f ca="1">IF(OR($D67&lt;&gt;"Serviço",AND(AUTOEVENTO="Manual",$M67=$A$15),$M67&gt;(ROW(PLE.lastrow)-ROW(PLE.firstrow))),0,
           IF(OFFSET(PLE!$G$15,$M67-$A$15,BZ$13)="",10^12,OFFSET(PLE!$G$15,$M67-$A$15,BZ$13)))</f>
        <v>1000000000000</v>
      </c>
      <c r="CA67" s="172">
        <f ca="1">IF(OR($D67&lt;&gt;"Serviço",AND(AUTOEVENTO="Manual",$M67=$A$15),$M67&gt;(ROW(PLE.lastrow)-ROW(PLE.firstrow))),0,
           IF(OFFSET(PLE!$G$15,$M67-$A$15,CA$13)="",10^12,OFFSET(PLE!$G$15,$M67-$A$15,CA$13)))</f>
        <v>1000000000000</v>
      </c>
      <c r="CB67" s="172">
        <f ca="1">IF(OR($D67&lt;&gt;"Serviço",AND(AUTOEVENTO="Manual",$M67=$A$15),$M67&gt;(ROW(PLE.lastrow)-ROW(PLE.firstrow))),0,
           IF(OFFSET(PLE!$G$15,$M67-$A$15,CB$13)="",10^12,OFFSET(PLE!$G$15,$M67-$A$15,CB$13)))</f>
        <v>1000000000000</v>
      </c>
      <c r="CC67" s="172">
        <f ca="1">IF(OR($D67&lt;&gt;"Serviço",AND(AUTOEVENTO="Manual",$M67=$A$15),$M67&gt;(ROW(PLE.lastrow)-ROW(PLE.firstrow))),0,
           IF(OFFSET(PLE!$G$15,$M67-$A$15,CC$13)="",10^12,OFFSET(PLE!$G$15,$M67-$A$15,CC$13)))</f>
        <v>1000000000000</v>
      </c>
      <c r="CD67" s="172">
        <f ca="1">IF(OR($D67&lt;&gt;"Serviço",AND(AUTOEVENTO="Manual",$M67=$A$15),$M67&gt;(ROW(PLE.lastrow)-ROW(PLE.firstrow))),0,
           IF(OFFSET(PLE!$G$15,$M67-$A$15,CD$13)="",10^12,OFFSET(PLE!$G$15,$M67-$A$15,CD$13)))</f>
        <v>1000000000000</v>
      </c>
      <c r="CE67" s="172">
        <f ca="1">IF(OR($D67&lt;&gt;"Serviço",AND(AUTOEVENTO="Manual",$M67=$A$15),$M67&gt;(ROW(PLE.lastrow)-ROW(PLE.firstrow))),0,
           IF(OFFSET(PLE!$G$15,$M67-$A$15,CE$13)="",10^12,OFFSET(PLE!$G$15,$M67-$A$15,CE$13)))</f>
        <v>1000000000000</v>
      </c>
      <c r="CF67" s="172">
        <f ca="1">IF(OR($D67&lt;&gt;"Serviço",AND(AUTOEVENTO="Manual",$M67=$A$15),$M67&gt;(ROW(PLE.lastrow)-ROW(PLE.firstrow))),0,
           IF(OFFSET(PLE!$G$15,$M67-$A$15,CF$13)="",10^12,OFFSET(PLE!$G$15,$M67-$A$15,CF$13)))</f>
        <v>1000000000000</v>
      </c>
      <c r="CG67" s="172">
        <f ca="1">IF(OR($D67&lt;&gt;"Serviço",AND(AUTOEVENTO="Manual",$M67=$A$15),$M67&gt;(ROW(PLE.lastrow)-ROW(PLE.firstrow))),0,
           IF(OFFSET(PLE!$G$15,$M67-$A$15,CG$13)="",10^12,OFFSET(PLE!$G$15,$M67-$A$15,CG$13)))</f>
        <v>1000000000000</v>
      </c>
      <c r="CH67" s="172">
        <f ca="1">IF(OR($D67&lt;&gt;"Serviço",AND(AUTOEVENTO="Manual",$M67=$A$15),$M67&gt;(ROW(PLE.lastrow)-ROW(PLE.firstrow))),0,
           IF(OFFSET(PLE!$G$15,$M67-$A$15,CH$13)="",10^12,OFFSET(PLE!$G$15,$M67-$A$15,CH$13)))</f>
        <v>1000000000000</v>
      </c>
      <c r="CI67" s="172">
        <f ca="1">IF(OR($D67&lt;&gt;"Serviço",AND(AUTOEVENTO="Manual",$M67=$A$15),$M67&gt;(ROW(PLE.lastrow)-ROW(PLE.firstrow))),0,
           IF(OFFSET(PLE!$G$15,$M67-$A$15,CI$13)="",10^12,OFFSET(PLE!$G$15,$M67-$A$15,CI$13)))</f>
        <v>1000000000000</v>
      </c>
      <c r="CJ67" s="172">
        <f ca="1">IF(OR($D67&lt;&gt;"Serviço",AND(AUTOEVENTO="Manual",$M67=$A$15),$M67&gt;(ROW(PLE.lastrow)-ROW(PLE.firstrow))),0,
           IF(OFFSET(PLE!$G$15,$M67-$A$15,CJ$13)="",10^12,OFFSET(PLE!$G$15,$M67-$A$15,CJ$13)))</f>
        <v>1000000000000</v>
      </c>
      <c r="CK67" s="172">
        <f ca="1">IF(OR($D67&lt;&gt;"Serviço",AND(AUTOEVENTO="Manual",$M67=$A$15),$M67&gt;(ROW(PLE.lastrow)-ROW(PLE.firstrow))),0,
           IF(OFFSET(PLE!$G$15,$M67-$A$15,CK$13)="",10^12,OFFSET(PLE!$G$15,$M67-$A$15,CK$13)))</f>
        <v>1000000000000</v>
      </c>
      <c r="CL67" s="172">
        <f ca="1">IF(OR($D67&lt;&gt;"Serviço",AND(AUTOEVENTO="Manual",$M67=$A$15),$M67&gt;(ROW(PLE.lastrow)-ROW(PLE.firstrow))),0,
           IF(OFFSET(PLE!$G$15,$M67-$A$15,CL$13)="",10^12,OFFSET(PLE!$G$15,$M67-$A$15,CL$13)))</f>
        <v>1000000000000</v>
      </c>
      <c r="CM67" s="172">
        <f ca="1">IF(OR($D67&lt;&gt;"Serviço",AND(AUTOEVENTO="Manual",$M67=$A$15),$M67&gt;(ROW(PLE.lastrow)-ROW(PLE.firstrow))),0,
           IF(OFFSET(PLE!$G$15,$M67-$A$15,CM$13)="",10^12,OFFSET(PLE!$G$15,$M67-$A$15,CM$13)))</f>
        <v>1000000000000</v>
      </c>
    </row>
    <row r="68" spans="1:91" ht="76.5" x14ac:dyDescent="0.2">
      <c r="A68" s="7">
        <f t="shared" ca="1" si="10"/>
        <v>4</v>
      </c>
      <c r="B68" s="7" t="str">
        <f ca="1">OFFSET(ORÇAMENTO!C$15,ROW(B68)-ROW(B$15),0)</f>
        <v>S</v>
      </c>
      <c r="C68" s="7" t="str">
        <f ca="1">OFFSET(ORÇAMENTO!L$15,ROW(C68)-ROW(C$15),0)</f>
        <v>F</v>
      </c>
      <c r="D68" s="116" t="str">
        <f ca="1">OFFSET(ORÇAMENTO!N$15,ROW(D68)-ROW(D$15),0)</f>
        <v>Serviço</v>
      </c>
      <c r="E68" s="117" t="str">
        <f ca="1">OFFSET(ORÇAMENTO!O$15,ROW(E68)-ROW(E$15),0)</f>
        <v>1.5.1.1.7.</v>
      </c>
      <c r="F68" s="163" t="str">
        <f ca="1">OFFSET(ORÇAMENTO!R$15,ROW(F68)-ROW(F$15),0)</f>
        <v>TRANSPORTE COM CAMINHÃO BASCULANTE DE 18 M³, EM VIA URBANA PAVIMENTADA, DMT ATÉ 30 KM (UNIDADE: M3XKM). AF_07/2020</v>
      </c>
      <c r="G68" s="164" t="str">
        <f ca="1">IF($D68&lt;&gt;"Serviço","",OFFSET(ORÇAMENTO!S$15,ROW(G68)-ROW(G$15),0))</f>
        <v>M3XKM</v>
      </c>
      <c r="H68" s="122" cm="1">
        <f t="array" aca="1" ref="H68" ca="1">IF($D68&lt;&gt;"Serviço",0,IF(ACOMPANHAMENTO="BM",ROUND(OFFSET(ORÇAMENTO!AJ$15,ROW(H68)-ROW(H$15),0),15-13*ORÇAMENTO!$AF$7),SUMPRODUCT(($Q$1:$AI$1=1)*ROUND($Q68:$AI68,15-13*ORÇAMENTO!$AF$7))))</f>
        <v>1358.51</v>
      </c>
      <c r="I68" s="468" t="s">
        <v>1414</v>
      </c>
      <c r="J68" s="640" t="str" cm="1">
        <f t="array" aca="1" ref="J68" ca="1">IF(OR(B68&lt;&gt;"S",CÁLCULO.FrentesPreenchidas=0),"",IF(AND(ACOMPANHAMENTO="PLE",AUTOEVENTO="Manual",OR(H68&gt;0,ORÇAMENTO!AC68="QUANT."),OR(K68="",M68=0,N68="")),"►E",IF(AND(ACOMPANHAMENTO="PLE",ORÇAMENTO!AC68="QUANT."),"►Q",IF(AND(ACOMPANHAMENTO="PLE",H68&lt;&gt;SUMPRODUCT(($Q$1:$AI$1=1)*ROUND(Q68:AI68,15))),"►S",IF(AND(COUNTIF($P$11:$AI$11,"▼")=0,H68&gt;0,I68=""),"◄M","")))))</f>
        <v/>
      </c>
      <c r="K68" s="641" t="s">
        <v>1389</v>
      </c>
      <c r="L68" s="165" t="s">
        <v>764</v>
      </c>
      <c r="M68" s="166">
        <f ca="1">IF($D68&lt;&gt;"Serviço","",
          IF(AUTOEVENTO="manual",$A68,
                IF(ISERROR(MATCH($A68,$A$15:OFFSET($A68,-1,0),0)),MAX($M$15:OFFSET(M68,-1,0))+1,
                      INDEX($M$15:OFFSET(M68,-1,0),MATCH($A68,$A$15:OFFSET($A68,-1,0),0)))))</f>
        <v>4</v>
      </c>
      <c r="N68" s="167" t="str">
        <f ca="1">IF($D68&lt;&gt;"Serviço","",
         IF(AUTOEVENTO="Manual",
                IF($A68=0,"&lt;-- defina o número do agrupador",
                       OFFSET(EVENTOS!$D$15,$A68-$A$15,0)),
                OFFSET($F$15,$A68,0)))</f>
        <v>Estruturas de Concreto</v>
      </c>
      <c r="O68" s="168"/>
      <c r="Q68" s="168"/>
      <c r="R68" s="169">
        <f>ROUND(R67*7.7,2)</f>
        <v>1358.51</v>
      </c>
      <c r="S68" s="169"/>
      <c r="T68" s="169"/>
      <c r="U68" s="169"/>
      <c r="V68" s="169"/>
      <c r="W68" s="169"/>
      <c r="X68" s="169"/>
      <c r="Y68" s="169"/>
      <c r="Z68" s="170"/>
      <c r="AA68" s="169"/>
      <c r="AB68" s="169"/>
      <c r="AC68" s="169"/>
      <c r="AD68" s="169"/>
      <c r="AE68" s="169"/>
      <c r="AF68" s="169"/>
      <c r="AG68" s="169"/>
      <c r="AH68" s="170"/>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L68" s="453">
        <f ca="1">IF(AND($D68="Serviço",AL$12&lt;&gt;0,$H68&gt;0,OR(AUTOEVENTO&lt;&gt;"manual",$M68&lt;&gt;$A$15)),
        IF(Import.TipoArredondamento&lt;&gt;"TransfereGOV",
              ROUND(OFFSET($P68,0,AL$13),15-13*ORÇAMENTO!$AF$7)/$H68*OFFSET(ORÇAMENTO!$X$15,ROW(AL68)-ROW(AL$15),0),
              ROUND(ROUND(OFFSET($P68,0,AL$13),15-13*ORÇAMENTO!$AF$7)*OFFSET(ORÇAMENTO!$W$15,ROW(AL68)-ROW(AL$15),0),15-13*ORÇAMENTO!$AF$11)),
         0)</f>
        <v>0</v>
      </c>
      <c r="AM68" s="453">
        <f ca="1">IF(AND($D68="Serviço",AM$12&lt;&gt;0,$H68&gt;0,OR(AUTOEVENTO&lt;&gt;"manual",$M68&lt;&gt;$A$15)),
        IF(Import.TipoArredondamento&lt;&gt;"TransfereGOV",
              ROUND(OFFSET($P68,0,AM$13),15-13*ORÇAMENTO!$AF$7)/$H68*OFFSET(ORÇAMENTO!$X$15,ROW(AM68)-ROW(AM$15),0),
              ROUND(ROUND(OFFSET($P68,0,AM$13),15-13*ORÇAMENTO!$AF$7)*OFFSET(ORÇAMENTO!$W$15,ROW(AM68)-ROW(AM$15),0),15-13*ORÇAMENTO!$AF$11)),
         0)</f>
        <v>0</v>
      </c>
      <c r="AN68" s="453">
        <f ca="1">IF(AND($D68="Serviço",AN$12&lt;&gt;0,$H68&gt;0,OR(AUTOEVENTO&lt;&gt;"manual",$M68&lt;&gt;$A$15)),
        IF(Import.TipoArredondamento&lt;&gt;"TransfereGOV",
              ROUND(OFFSET($P68,0,AN$13),15-13*ORÇAMENTO!$AF$7)/$H68*OFFSET(ORÇAMENTO!$X$15,ROW(AN68)-ROW(AN$15),0),
              ROUND(ROUND(OFFSET($P68,0,AN$13),15-13*ORÇAMENTO!$AF$7)*OFFSET(ORÇAMENTO!$W$15,ROW(AN68)-ROW(AN$15),0),15-13*ORÇAMENTO!$AF$11)),
         0)</f>
        <v>0</v>
      </c>
      <c r="AO68" s="453">
        <f ca="1">IF(AND($D68="Serviço",AO$12&lt;&gt;0,$H68&gt;0,OR(AUTOEVENTO&lt;&gt;"manual",$M68&lt;&gt;$A$15)),
        IF(Import.TipoArredondamento&lt;&gt;"TransfereGOV",
              ROUND(OFFSET($P68,0,AO$13),15-13*ORÇAMENTO!$AF$7)/$H68*OFFSET(ORÇAMENTO!$X$15,ROW(AO68)-ROW(AO$15),0),
              ROUND(ROUND(OFFSET($P68,0,AO$13),15-13*ORÇAMENTO!$AF$7)*OFFSET(ORÇAMENTO!$W$15,ROW(AO68)-ROW(AO$15),0),15-13*ORÇAMENTO!$AF$11)),
         0)</f>
        <v>0</v>
      </c>
      <c r="AP68" s="453">
        <f ca="1">IF(AND($D68="Serviço",AP$12&lt;&gt;0,$H68&gt;0,OR(AUTOEVENTO&lt;&gt;"manual",$M68&lt;&gt;$A$15)),
        IF(Import.TipoArredondamento&lt;&gt;"TransfereGOV",
              ROUND(OFFSET($P68,0,AP$13),15-13*ORÇAMENTO!$AF$7)/$H68*OFFSET(ORÇAMENTO!$X$15,ROW(AP68)-ROW(AP$15),0),
              ROUND(ROUND(OFFSET($P68,0,AP$13),15-13*ORÇAMENTO!$AF$7)*OFFSET(ORÇAMENTO!$W$15,ROW(AP68)-ROW(AP$15),0),15-13*ORÇAMENTO!$AF$11)),
         0)</f>
        <v>0</v>
      </c>
      <c r="AQ68" s="453">
        <f ca="1">IF(AND($D68="Serviço",AQ$12&lt;&gt;0,$H68&gt;0,OR(AUTOEVENTO&lt;&gt;"manual",$M68&lt;&gt;$A$15)),
        IF(Import.TipoArredondamento&lt;&gt;"TransfereGOV",
              ROUND(OFFSET($P68,0,AQ$13),15-13*ORÇAMENTO!$AF$7)/$H68*OFFSET(ORÇAMENTO!$X$15,ROW(AQ68)-ROW(AQ$15),0),
              ROUND(ROUND(OFFSET($P68,0,AQ$13),15-13*ORÇAMENTO!$AF$7)*OFFSET(ORÇAMENTO!$W$15,ROW(AQ68)-ROW(AQ$15),0),15-13*ORÇAMENTO!$AF$11)),
         0)</f>
        <v>0</v>
      </c>
      <c r="AR68" s="453">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3">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3">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3">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3">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3">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3">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3">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3">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3">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C68" s="171">
        <f ca="1">IF(OR($D68&lt;&gt;"Serviço",AND(AUTOEVENTO="Manual",$M68=$A$15)),0,
         IF(OFFSET(CRONOPLE!$F$15,$M68-$A$15,BC$13)=0,10^12,OFFSET(CRONOPLE!$F$15,$M68-$A$15,BC$13)))</f>
        <v>1</v>
      </c>
      <c r="BD68" s="171">
        <f ca="1">IF(OR($D68&lt;&gt;"Serviço",AND(AUTOEVENTO="Manual",$M68=$A$15)),0,
         IF(OFFSET(CRONOPLE!$F$15,$M68-$A$15,BD$13)=0,10^12,OFFSET(CRONOPLE!$F$15,$M68-$A$15,BD$13)))</f>
        <v>2</v>
      </c>
      <c r="BE68" s="171">
        <f ca="1">IF(OR($D68&lt;&gt;"Serviço",AND(AUTOEVENTO="Manual",$M68=$A$15)),0,
         IF(OFFSET(CRONOPLE!$F$15,$M68-$A$15,BE$13)=0,10^12,OFFSET(CRONOPLE!$F$15,$M68-$A$15,BE$13)))</f>
        <v>3</v>
      </c>
      <c r="BF68" s="171">
        <f ca="1">IF(OR($D68&lt;&gt;"Serviço",AND(AUTOEVENTO="Manual",$M68=$A$15)),0,
         IF(OFFSET(CRONOPLE!$F$15,$M68-$A$15,BF$13)=0,10^12,OFFSET(CRONOPLE!$F$15,$M68-$A$15,BF$13)))</f>
        <v>4</v>
      </c>
      <c r="BG68" s="171">
        <f ca="1">IF(OR($D68&lt;&gt;"Serviço",AND(AUTOEVENTO="Manual",$M68=$A$15)),0,
         IF(OFFSET(CRONOPLE!$F$15,$M68-$A$15,BG$13)=0,10^12,OFFSET(CRONOPLE!$F$15,$M68-$A$15,BG$13)))</f>
        <v>5</v>
      </c>
      <c r="BH68" s="171">
        <f ca="1">IF(OR($D68&lt;&gt;"Serviço",AND(AUTOEVENTO="Manual",$M68=$A$15)),0,
         IF(OFFSET(CRONOPLE!$F$15,$M68-$A$15,BH$13)=0,10^12,OFFSET(CRONOPLE!$F$15,$M68-$A$15,BH$13)))</f>
        <v>6</v>
      </c>
      <c r="BI68" s="171">
        <f ca="1">IF(OR($D68&lt;&gt;"Serviço",AND(AUTOEVENTO="Manual",$M68=$A$15)),0,
         IF(OFFSET(CRONOPLE!$F$15,$M68-$A$15,BI$13)=0,10^12,OFFSET(CRONOPLE!$F$15,$M68-$A$15,BI$13)))</f>
        <v>7</v>
      </c>
      <c r="BJ68" s="171">
        <f ca="1">IF(OR($D68&lt;&gt;"Serviço",AND(AUTOEVENTO="Manual",$M68=$A$15)),0,
         IF(OFFSET(CRONOPLE!$F$15,$M68-$A$15,BJ$13)=0,10^12,OFFSET(CRONOPLE!$F$15,$M68-$A$15,BJ$13)))</f>
        <v>8</v>
      </c>
      <c r="BK68" s="171">
        <f ca="1">IF(OR($D68&lt;&gt;"Serviço",AND(AUTOEVENTO="Manual",$M68=$A$15)),0,
         IF(OFFSET(CRONOPLE!$F$15,$M68-$A$15,BK$13)=0,10^12,OFFSET(CRONOPLE!$F$15,$M68-$A$15,BK$13)))</f>
        <v>9</v>
      </c>
      <c r="BL68" s="171">
        <f ca="1">IF(OR($D68&lt;&gt;"Serviço",AND(AUTOEVENTO="Manual",$M68=$A$15)),0,
         IF(OFFSET(CRONOPLE!$F$15,$M68-$A$15,BL$13)=0,10^12,OFFSET(CRONOPLE!$F$15,$M68-$A$15,BL$13)))</f>
        <v>10</v>
      </c>
      <c r="BM68" s="171">
        <f ca="1">IF(OR($D68&lt;&gt;"Serviço",AND(AUTOEVENTO="Manual",$M68=$A$15)),0,
         IF(OFFSET(CRONOPLE!$F$15,$M68-$A$15,BM$13)=0,10^12,OFFSET(CRONOPLE!$F$15,$M68-$A$15,BM$13)))</f>
        <v>1000000000000</v>
      </c>
      <c r="BN68" s="171">
        <f ca="1">IF(OR($D68&lt;&gt;"Serviço",AND(AUTOEVENTO="Manual",$M68=$A$15)),0,
         IF(OFFSET(CRONOPLE!$F$15,$M68-$A$15,BN$13)=0,10^12,OFFSET(CRONOPLE!$F$15,$M68-$A$15,BN$13)))</f>
        <v>1000000000000</v>
      </c>
      <c r="BO68" s="171">
        <f ca="1">IF(OR($D68&lt;&gt;"Serviço",AND(AUTOEVENTO="Manual",$M68=$A$15)),0,
         IF(OFFSET(CRONOPLE!$F$15,$M68-$A$15,BO$13)=0,10^12,OFFSET(CRONOPLE!$F$15,$M68-$A$15,BO$13)))</f>
        <v>1000000000000</v>
      </c>
      <c r="BP68" s="171">
        <f ca="1">IF(OR($D68&lt;&gt;"Serviço",AND(AUTOEVENTO="Manual",$M68=$A$15)),0,
         IF(OFFSET(CRONOPLE!$F$15,$M68-$A$15,BP$13)=0,10^12,OFFSET(CRONOPLE!$F$15,$M68-$A$15,BP$13)))</f>
        <v>1000000000000</v>
      </c>
      <c r="BQ68" s="171">
        <f ca="1">IF(OR($D68&lt;&gt;"Serviço",AND(AUTOEVENTO="Manual",$M68=$A$15)),0,
         IF(OFFSET(CRONOPLE!$F$15,$M68-$A$15,BQ$13)=0,10^12,OFFSET(CRONOPLE!$F$15,$M68-$A$15,BQ$13)))</f>
        <v>1000000000000</v>
      </c>
      <c r="BR68" s="171">
        <f ca="1">IF(OR($D68&lt;&gt;"Serviço",AND(AUTOEVENTO="Manual",$M68=$A$15)),0,
         IF(OFFSET(CRONOPLE!$F$15,$M68-$A$15,BR$13)=0,10^12,OFFSET(CRONOPLE!$F$15,$M68-$A$15,BR$13)))</f>
        <v>1000000000000</v>
      </c>
      <c r="BS68" s="171">
        <f ca="1">IF(OR($D68&lt;&gt;"Serviço",AND(AUTOEVENTO="Manual",$M68=$A$15)),0,
         IF(OFFSET(CRONOPLE!$F$15,$M68-$A$15,BS$13)=0,10^12,OFFSET(CRONOPLE!$F$15,$M68-$A$15,BS$13)))</f>
        <v>1000000000000</v>
      </c>
      <c r="BT68" s="171">
        <f ca="1">IF(OR($D68&lt;&gt;"Serviço",AND(AUTOEVENTO="Manual",$M68=$A$15)),0,
         IF(OFFSET(CRONOPLE!$F$15,$M68-$A$15,BT$13)=0,10^12,OFFSET(CRONOPLE!$F$15,$M68-$A$15,BT$13)))</f>
        <v>1000000000000</v>
      </c>
      <c r="BV68" s="172">
        <f ca="1">IF(OR($D68&lt;&gt;"Serviço",AND(AUTOEVENTO="Manual",$M68=$A$15),$M68&gt;(ROW(PLE.lastrow)-ROW(PLE.firstrow))),0,
           IF(OFFSET(PLE!$G$15,$M68-$A$15,BV$13)="",10^12,OFFSET(PLE!$G$15,$M68-$A$15,BV$13)))</f>
        <v>1000000000000</v>
      </c>
      <c r="BW68" s="172">
        <f ca="1">IF(OR($D68&lt;&gt;"Serviço",AND(AUTOEVENTO="Manual",$M68=$A$15),$M68&gt;(ROW(PLE.lastrow)-ROW(PLE.firstrow))),0,
           IF(OFFSET(PLE!$G$15,$M68-$A$15,BW$13)="",10^12,OFFSET(PLE!$G$15,$M68-$A$15,BW$13)))</f>
        <v>1000000000000</v>
      </c>
      <c r="BX68" s="172">
        <f ca="1">IF(OR($D68&lt;&gt;"Serviço",AND(AUTOEVENTO="Manual",$M68=$A$15),$M68&gt;(ROW(PLE.lastrow)-ROW(PLE.firstrow))),0,
           IF(OFFSET(PLE!$G$15,$M68-$A$15,BX$13)="",10^12,OFFSET(PLE!$G$15,$M68-$A$15,BX$13)))</f>
        <v>1000000000000</v>
      </c>
      <c r="BY68" s="172">
        <f ca="1">IF(OR($D68&lt;&gt;"Serviço",AND(AUTOEVENTO="Manual",$M68=$A$15),$M68&gt;(ROW(PLE.lastrow)-ROW(PLE.firstrow))),0,
           IF(OFFSET(PLE!$G$15,$M68-$A$15,BY$13)="",10^12,OFFSET(PLE!$G$15,$M68-$A$15,BY$13)))</f>
        <v>1000000000000</v>
      </c>
      <c r="BZ68" s="172">
        <f ca="1">IF(OR($D68&lt;&gt;"Serviço",AND(AUTOEVENTO="Manual",$M68=$A$15),$M68&gt;(ROW(PLE.lastrow)-ROW(PLE.firstrow))),0,
           IF(OFFSET(PLE!$G$15,$M68-$A$15,BZ$13)="",10^12,OFFSET(PLE!$G$15,$M68-$A$15,BZ$13)))</f>
        <v>1000000000000</v>
      </c>
      <c r="CA68" s="172">
        <f ca="1">IF(OR($D68&lt;&gt;"Serviço",AND(AUTOEVENTO="Manual",$M68=$A$15),$M68&gt;(ROW(PLE.lastrow)-ROW(PLE.firstrow))),0,
           IF(OFFSET(PLE!$G$15,$M68-$A$15,CA$13)="",10^12,OFFSET(PLE!$G$15,$M68-$A$15,CA$13)))</f>
        <v>1000000000000</v>
      </c>
      <c r="CB68" s="172">
        <f ca="1">IF(OR($D68&lt;&gt;"Serviço",AND(AUTOEVENTO="Manual",$M68=$A$15),$M68&gt;(ROW(PLE.lastrow)-ROW(PLE.firstrow))),0,
           IF(OFFSET(PLE!$G$15,$M68-$A$15,CB$13)="",10^12,OFFSET(PLE!$G$15,$M68-$A$15,CB$13)))</f>
        <v>1000000000000</v>
      </c>
      <c r="CC68" s="172">
        <f ca="1">IF(OR($D68&lt;&gt;"Serviço",AND(AUTOEVENTO="Manual",$M68=$A$15),$M68&gt;(ROW(PLE.lastrow)-ROW(PLE.firstrow))),0,
           IF(OFFSET(PLE!$G$15,$M68-$A$15,CC$13)="",10^12,OFFSET(PLE!$G$15,$M68-$A$15,CC$13)))</f>
        <v>1000000000000</v>
      </c>
      <c r="CD68" s="172">
        <f ca="1">IF(OR($D68&lt;&gt;"Serviço",AND(AUTOEVENTO="Manual",$M68=$A$15),$M68&gt;(ROW(PLE.lastrow)-ROW(PLE.firstrow))),0,
           IF(OFFSET(PLE!$G$15,$M68-$A$15,CD$13)="",10^12,OFFSET(PLE!$G$15,$M68-$A$15,CD$13)))</f>
        <v>1000000000000</v>
      </c>
      <c r="CE68" s="172">
        <f ca="1">IF(OR($D68&lt;&gt;"Serviço",AND(AUTOEVENTO="Manual",$M68=$A$15),$M68&gt;(ROW(PLE.lastrow)-ROW(PLE.firstrow))),0,
           IF(OFFSET(PLE!$G$15,$M68-$A$15,CE$13)="",10^12,OFFSET(PLE!$G$15,$M68-$A$15,CE$13)))</f>
        <v>1000000000000</v>
      </c>
      <c r="CF68" s="172">
        <f ca="1">IF(OR($D68&lt;&gt;"Serviço",AND(AUTOEVENTO="Manual",$M68=$A$15),$M68&gt;(ROW(PLE.lastrow)-ROW(PLE.firstrow))),0,
           IF(OFFSET(PLE!$G$15,$M68-$A$15,CF$13)="",10^12,OFFSET(PLE!$G$15,$M68-$A$15,CF$13)))</f>
        <v>1000000000000</v>
      </c>
      <c r="CG68" s="172">
        <f ca="1">IF(OR($D68&lt;&gt;"Serviço",AND(AUTOEVENTO="Manual",$M68=$A$15),$M68&gt;(ROW(PLE.lastrow)-ROW(PLE.firstrow))),0,
           IF(OFFSET(PLE!$G$15,$M68-$A$15,CG$13)="",10^12,OFFSET(PLE!$G$15,$M68-$A$15,CG$13)))</f>
        <v>1000000000000</v>
      </c>
      <c r="CH68" s="172">
        <f ca="1">IF(OR($D68&lt;&gt;"Serviço",AND(AUTOEVENTO="Manual",$M68=$A$15),$M68&gt;(ROW(PLE.lastrow)-ROW(PLE.firstrow))),0,
           IF(OFFSET(PLE!$G$15,$M68-$A$15,CH$13)="",10^12,OFFSET(PLE!$G$15,$M68-$A$15,CH$13)))</f>
        <v>1000000000000</v>
      </c>
      <c r="CI68" s="172">
        <f ca="1">IF(OR($D68&lt;&gt;"Serviço",AND(AUTOEVENTO="Manual",$M68=$A$15),$M68&gt;(ROW(PLE.lastrow)-ROW(PLE.firstrow))),0,
           IF(OFFSET(PLE!$G$15,$M68-$A$15,CI$13)="",10^12,OFFSET(PLE!$G$15,$M68-$A$15,CI$13)))</f>
        <v>1000000000000</v>
      </c>
      <c r="CJ68" s="172">
        <f ca="1">IF(OR($D68&lt;&gt;"Serviço",AND(AUTOEVENTO="Manual",$M68=$A$15),$M68&gt;(ROW(PLE.lastrow)-ROW(PLE.firstrow))),0,
           IF(OFFSET(PLE!$G$15,$M68-$A$15,CJ$13)="",10^12,OFFSET(PLE!$G$15,$M68-$A$15,CJ$13)))</f>
        <v>1000000000000</v>
      </c>
      <c r="CK68" s="172">
        <f ca="1">IF(OR($D68&lt;&gt;"Serviço",AND(AUTOEVENTO="Manual",$M68=$A$15),$M68&gt;(ROW(PLE.lastrow)-ROW(PLE.firstrow))),0,
           IF(OFFSET(PLE!$G$15,$M68-$A$15,CK$13)="",10^12,OFFSET(PLE!$G$15,$M68-$A$15,CK$13)))</f>
        <v>1000000000000</v>
      </c>
      <c r="CL68" s="172">
        <f ca="1">IF(OR($D68&lt;&gt;"Serviço",AND(AUTOEVENTO="Manual",$M68=$A$15),$M68&gt;(ROW(PLE.lastrow)-ROW(PLE.firstrow))),0,
           IF(OFFSET(PLE!$G$15,$M68-$A$15,CL$13)="",10^12,OFFSET(PLE!$G$15,$M68-$A$15,CL$13)))</f>
        <v>1000000000000</v>
      </c>
      <c r="CM68" s="172">
        <f ca="1">IF(OR($D68&lt;&gt;"Serviço",AND(AUTOEVENTO="Manual",$M68=$A$15),$M68&gt;(ROW(PLE.lastrow)-ROW(PLE.firstrow))),0,
           IF(OFFSET(PLE!$G$15,$M68-$A$15,CM$13)="",10^12,OFFSET(PLE!$G$15,$M68-$A$15,CM$13)))</f>
        <v>1000000000000</v>
      </c>
    </row>
    <row r="69" spans="1:91" ht="38.25" x14ac:dyDescent="0.2">
      <c r="A69" s="7">
        <f t="shared" ca="1" si="10"/>
        <v>4</v>
      </c>
      <c r="B69" s="7" t="str">
        <f ca="1">OFFSET(ORÇAMENTO!C$15,ROW(B69)-ROW(B$15),0)</f>
        <v>S</v>
      </c>
      <c r="C69" s="7" t="str">
        <f ca="1">OFFSET(ORÇAMENTO!L$15,ROW(C69)-ROW(C$15),0)</f>
        <v>F</v>
      </c>
      <c r="D69" s="116" t="str">
        <f ca="1">OFFSET(ORÇAMENTO!N$15,ROW(D69)-ROW(D$15),0)</f>
        <v>Serviço</v>
      </c>
      <c r="E69" s="117" t="str">
        <f ca="1">OFFSET(ORÇAMENTO!O$15,ROW(E69)-ROW(E$15),0)</f>
        <v>1.5.1.1.8.</v>
      </c>
      <c r="F69" s="163" t="str">
        <f ca="1">OFFSET(ORÇAMENTO!R$15,ROW(F69)-ROW(F$15),0)</f>
        <v>ESPALHAMENTO DE MATERIAL COM TRATOR DE ESTEIRAS. AF_09/2024</v>
      </c>
      <c r="G69" s="164" t="str">
        <f ca="1">IF($D69&lt;&gt;"Serviço","",OFFSET(ORÇAMENTO!S$15,ROW(G69)-ROW(G$15),0))</f>
        <v>M3</v>
      </c>
      <c r="H69" s="122" cm="1">
        <f t="array" aca="1" ref="H69" ca="1">IF($D69&lt;&gt;"Serviço",0,IF(ACOMPANHAMENTO="BM",ROUND(OFFSET(ORÇAMENTO!AJ$15,ROW(H69)-ROW(H$15),0),15-13*ORÇAMENTO!$AF$7),SUMPRODUCT(($Q$1:$AI$1=1)*ROUND($Q69:$AI69,15-13*ORÇAMENTO!$AF$7))))</f>
        <v>176.43</v>
      </c>
      <c r="I69" s="468" t="s">
        <v>1415</v>
      </c>
      <c r="J69" s="640" t="str" cm="1">
        <f t="array" aca="1" ref="J69" ca="1">IF(OR(B69&lt;&gt;"S",CÁLCULO.FrentesPreenchidas=0),"",IF(AND(ACOMPANHAMENTO="PLE",AUTOEVENTO="Manual",OR(H69&gt;0,ORÇAMENTO!AC69="QUANT."),OR(K69="",M69=0,N69="")),"►E",IF(AND(ACOMPANHAMENTO="PLE",ORÇAMENTO!AC69="QUANT."),"►Q",IF(AND(ACOMPANHAMENTO="PLE",H69&lt;&gt;SUMPRODUCT(($Q$1:$AI$1=1)*ROUND(Q69:AI69,15))),"►S",IF(AND(COUNTIF($P$11:$AI$11,"▼")=0,H69&gt;0,I69=""),"◄M","")))))</f>
        <v/>
      </c>
      <c r="K69" s="641" t="s">
        <v>1389</v>
      </c>
      <c r="L69" s="165" t="s">
        <v>764</v>
      </c>
      <c r="M69" s="166">
        <f ca="1">IF($D69&lt;&gt;"Serviço","",
          IF(AUTOEVENTO="manual",$A69,
                IF(ISERROR(MATCH($A69,$A$15:OFFSET($A69,-1,0),0)),MAX($M$15:OFFSET(M69,-1,0))+1,
                      INDEX($M$15:OFFSET(M69,-1,0),MATCH($A69,$A$15:OFFSET($A69,-1,0),0)))))</f>
        <v>4</v>
      </c>
      <c r="N69" s="167" t="str">
        <f ca="1">IF($D69&lt;&gt;"Serviço","",
         IF(AUTOEVENTO="Manual",
                IF($A69=0,"&lt;-- defina o número do agrupador",
                       OFFSET(EVENTOS!$D$15,$A69-$A$15,0)),
                OFFSET($F$15,$A69,0)))</f>
        <v>Estruturas de Concreto</v>
      </c>
      <c r="O69" s="168"/>
      <c r="Q69" s="168"/>
      <c r="R69" s="169">
        <f>R67</f>
        <v>176.43</v>
      </c>
      <c r="S69" s="169"/>
      <c r="T69" s="169"/>
      <c r="U69" s="169"/>
      <c r="V69" s="169"/>
      <c r="W69" s="169"/>
      <c r="X69" s="169"/>
      <c r="Y69" s="169"/>
      <c r="Z69" s="170"/>
      <c r="AA69" s="169"/>
      <c r="AB69" s="169"/>
      <c r="AC69" s="169"/>
      <c r="AD69" s="169"/>
      <c r="AE69" s="169"/>
      <c r="AF69" s="169"/>
      <c r="AG69" s="169"/>
      <c r="AH69" s="170"/>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L69" s="453">
        <f ca="1">IF(AND($D69="Serviço",AL$12&lt;&gt;0,$H69&gt;0,OR(AUTOEVENTO&lt;&gt;"manual",$M69&lt;&gt;$A$15)),
        IF(Import.TipoArredondamento&lt;&gt;"TransfereGOV",
              ROUND(OFFSET($P69,0,AL$13),15-13*ORÇAMENTO!$AF$7)/$H69*OFFSET(ORÇAMENTO!$X$15,ROW(AL69)-ROW(AL$15),0),
              ROUND(ROUND(OFFSET($P69,0,AL$13),15-13*ORÇAMENTO!$AF$7)*OFFSET(ORÇAMENTO!$W$15,ROW(AL69)-ROW(AL$15),0),15-13*ORÇAMENTO!$AF$11)),
         0)</f>
        <v>0</v>
      </c>
      <c r="AM69" s="453">
        <f ca="1">IF(AND($D69="Serviço",AM$12&lt;&gt;0,$H69&gt;0,OR(AUTOEVENTO&lt;&gt;"manual",$M69&lt;&gt;$A$15)),
        IF(Import.TipoArredondamento&lt;&gt;"TransfereGOV",
              ROUND(OFFSET($P69,0,AM$13),15-13*ORÇAMENTO!$AF$7)/$H69*OFFSET(ORÇAMENTO!$X$15,ROW(AM69)-ROW(AM$15),0),
              ROUND(ROUND(OFFSET($P69,0,AM$13),15-13*ORÇAMENTO!$AF$7)*OFFSET(ORÇAMENTO!$W$15,ROW(AM69)-ROW(AM$15),0),15-13*ORÇAMENTO!$AF$11)),
         0)</f>
        <v>0</v>
      </c>
      <c r="AN69" s="453">
        <f ca="1">IF(AND($D69="Serviço",AN$12&lt;&gt;0,$H69&gt;0,OR(AUTOEVENTO&lt;&gt;"manual",$M69&lt;&gt;$A$15)),
        IF(Import.TipoArredondamento&lt;&gt;"TransfereGOV",
              ROUND(OFFSET($P69,0,AN$13),15-13*ORÇAMENTO!$AF$7)/$H69*OFFSET(ORÇAMENTO!$X$15,ROW(AN69)-ROW(AN$15),0),
              ROUND(ROUND(OFFSET($P69,0,AN$13),15-13*ORÇAMENTO!$AF$7)*OFFSET(ORÇAMENTO!$W$15,ROW(AN69)-ROW(AN$15),0),15-13*ORÇAMENTO!$AF$11)),
         0)</f>
        <v>0</v>
      </c>
      <c r="AO69" s="453">
        <f ca="1">IF(AND($D69="Serviço",AO$12&lt;&gt;0,$H69&gt;0,OR(AUTOEVENTO&lt;&gt;"manual",$M69&lt;&gt;$A$15)),
        IF(Import.TipoArredondamento&lt;&gt;"TransfereGOV",
              ROUND(OFFSET($P69,0,AO$13),15-13*ORÇAMENTO!$AF$7)/$H69*OFFSET(ORÇAMENTO!$X$15,ROW(AO69)-ROW(AO$15),0),
              ROUND(ROUND(OFFSET($P69,0,AO$13),15-13*ORÇAMENTO!$AF$7)*OFFSET(ORÇAMENTO!$W$15,ROW(AO69)-ROW(AO$15),0),15-13*ORÇAMENTO!$AF$11)),
         0)</f>
        <v>0</v>
      </c>
      <c r="AP69" s="453">
        <f ca="1">IF(AND($D69="Serviço",AP$12&lt;&gt;0,$H69&gt;0,OR(AUTOEVENTO&lt;&gt;"manual",$M69&lt;&gt;$A$15)),
        IF(Import.TipoArredondamento&lt;&gt;"TransfereGOV",
              ROUND(OFFSET($P69,0,AP$13),15-13*ORÇAMENTO!$AF$7)/$H69*OFFSET(ORÇAMENTO!$X$15,ROW(AP69)-ROW(AP$15),0),
              ROUND(ROUND(OFFSET($P69,0,AP$13),15-13*ORÇAMENTO!$AF$7)*OFFSET(ORÇAMENTO!$W$15,ROW(AP69)-ROW(AP$15),0),15-13*ORÇAMENTO!$AF$11)),
         0)</f>
        <v>0</v>
      </c>
      <c r="AQ69" s="453">
        <f ca="1">IF(AND($D69="Serviço",AQ$12&lt;&gt;0,$H69&gt;0,OR(AUTOEVENTO&lt;&gt;"manual",$M69&lt;&gt;$A$15)),
        IF(Import.TipoArredondamento&lt;&gt;"TransfereGOV",
              ROUND(OFFSET($P69,0,AQ$13),15-13*ORÇAMENTO!$AF$7)/$H69*OFFSET(ORÇAMENTO!$X$15,ROW(AQ69)-ROW(AQ$15),0),
              ROUND(ROUND(OFFSET($P69,0,AQ$13),15-13*ORÇAMENTO!$AF$7)*OFFSET(ORÇAMENTO!$W$15,ROW(AQ69)-ROW(AQ$15),0),15-13*ORÇAMENTO!$AF$11)),
         0)</f>
        <v>0</v>
      </c>
      <c r="AR69" s="453">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3">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3">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3">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3">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3">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3">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3">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3">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3">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C69" s="171">
        <f ca="1">IF(OR($D69&lt;&gt;"Serviço",AND(AUTOEVENTO="Manual",$M69=$A$15)),0,
         IF(OFFSET(CRONOPLE!$F$15,$M69-$A$15,BC$13)=0,10^12,OFFSET(CRONOPLE!$F$15,$M69-$A$15,BC$13)))</f>
        <v>1</v>
      </c>
      <c r="BD69" s="171">
        <f ca="1">IF(OR($D69&lt;&gt;"Serviço",AND(AUTOEVENTO="Manual",$M69=$A$15)),0,
         IF(OFFSET(CRONOPLE!$F$15,$M69-$A$15,BD$13)=0,10^12,OFFSET(CRONOPLE!$F$15,$M69-$A$15,BD$13)))</f>
        <v>2</v>
      </c>
      <c r="BE69" s="171">
        <f ca="1">IF(OR($D69&lt;&gt;"Serviço",AND(AUTOEVENTO="Manual",$M69=$A$15)),0,
         IF(OFFSET(CRONOPLE!$F$15,$M69-$A$15,BE$13)=0,10^12,OFFSET(CRONOPLE!$F$15,$M69-$A$15,BE$13)))</f>
        <v>3</v>
      </c>
      <c r="BF69" s="171">
        <f ca="1">IF(OR($D69&lt;&gt;"Serviço",AND(AUTOEVENTO="Manual",$M69=$A$15)),0,
         IF(OFFSET(CRONOPLE!$F$15,$M69-$A$15,BF$13)=0,10^12,OFFSET(CRONOPLE!$F$15,$M69-$A$15,BF$13)))</f>
        <v>4</v>
      </c>
      <c r="BG69" s="171">
        <f ca="1">IF(OR($D69&lt;&gt;"Serviço",AND(AUTOEVENTO="Manual",$M69=$A$15)),0,
         IF(OFFSET(CRONOPLE!$F$15,$M69-$A$15,BG$13)=0,10^12,OFFSET(CRONOPLE!$F$15,$M69-$A$15,BG$13)))</f>
        <v>5</v>
      </c>
      <c r="BH69" s="171">
        <f ca="1">IF(OR($D69&lt;&gt;"Serviço",AND(AUTOEVENTO="Manual",$M69=$A$15)),0,
         IF(OFFSET(CRONOPLE!$F$15,$M69-$A$15,BH$13)=0,10^12,OFFSET(CRONOPLE!$F$15,$M69-$A$15,BH$13)))</f>
        <v>6</v>
      </c>
      <c r="BI69" s="171">
        <f ca="1">IF(OR($D69&lt;&gt;"Serviço",AND(AUTOEVENTO="Manual",$M69=$A$15)),0,
         IF(OFFSET(CRONOPLE!$F$15,$M69-$A$15,BI$13)=0,10^12,OFFSET(CRONOPLE!$F$15,$M69-$A$15,BI$13)))</f>
        <v>7</v>
      </c>
      <c r="BJ69" s="171">
        <f ca="1">IF(OR($D69&lt;&gt;"Serviço",AND(AUTOEVENTO="Manual",$M69=$A$15)),0,
         IF(OFFSET(CRONOPLE!$F$15,$M69-$A$15,BJ$13)=0,10^12,OFFSET(CRONOPLE!$F$15,$M69-$A$15,BJ$13)))</f>
        <v>8</v>
      </c>
      <c r="BK69" s="171">
        <f ca="1">IF(OR($D69&lt;&gt;"Serviço",AND(AUTOEVENTO="Manual",$M69=$A$15)),0,
         IF(OFFSET(CRONOPLE!$F$15,$M69-$A$15,BK$13)=0,10^12,OFFSET(CRONOPLE!$F$15,$M69-$A$15,BK$13)))</f>
        <v>9</v>
      </c>
      <c r="BL69" s="171">
        <f ca="1">IF(OR($D69&lt;&gt;"Serviço",AND(AUTOEVENTO="Manual",$M69=$A$15)),0,
         IF(OFFSET(CRONOPLE!$F$15,$M69-$A$15,BL$13)=0,10^12,OFFSET(CRONOPLE!$F$15,$M69-$A$15,BL$13)))</f>
        <v>10</v>
      </c>
      <c r="BM69" s="171">
        <f ca="1">IF(OR($D69&lt;&gt;"Serviço",AND(AUTOEVENTO="Manual",$M69=$A$15)),0,
         IF(OFFSET(CRONOPLE!$F$15,$M69-$A$15,BM$13)=0,10^12,OFFSET(CRONOPLE!$F$15,$M69-$A$15,BM$13)))</f>
        <v>1000000000000</v>
      </c>
      <c r="BN69" s="171">
        <f ca="1">IF(OR($D69&lt;&gt;"Serviço",AND(AUTOEVENTO="Manual",$M69=$A$15)),0,
         IF(OFFSET(CRONOPLE!$F$15,$M69-$A$15,BN$13)=0,10^12,OFFSET(CRONOPLE!$F$15,$M69-$A$15,BN$13)))</f>
        <v>1000000000000</v>
      </c>
      <c r="BO69" s="171">
        <f ca="1">IF(OR($D69&lt;&gt;"Serviço",AND(AUTOEVENTO="Manual",$M69=$A$15)),0,
         IF(OFFSET(CRONOPLE!$F$15,$M69-$A$15,BO$13)=0,10^12,OFFSET(CRONOPLE!$F$15,$M69-$A$15,BO$13)))</f>
        <v>1000000000000</v>
      </c>
      <c r="BP69" s="171">
        <f ca="1">IF(OR($D69&lt;&gt;"Serviço",AND(AUTOEVENTO="Manual",$M69=$A$15)),0,
         IF(OFFSET(CRONOPLE!$F$15,$M69-$A$15,BP$13)=0,10^12,OFFSET(CRONOPLE!$F$15,$M69-$A$15,BP$13)))</f>
        <v>1000000000000</v>
      </c>
      <c r="BQ69" s="171">
        <f ca="1">IF(OR($D69&lt;&gt;"Serviço",AND(AUTOEVENTO="Manual",$M69=$A$15)),0,
         IF(OFFSET(CRONOPLE!$F$15,$M69-$A$15,BQ$13)=0,10^12,OFFSET(CRONOPLE!$F$15,$M69-$A$15,BQ$13)))</f>
        <v>1000000000000</v>
      </c>
      <c r="BR69" s="171">
        <f ca="1">IF(OR($D69&lt;&gt;"Serviço",AND(AUTOEVENTO="Manual",$M69=$A$15)),0,
         IF(OFFSET(CRONOPLE!$F$15,$M69-$A$15,BR$13)=0,10^12,OFFSET(CRONOPLE!$F$15,$M69-$A$15,BR$13)))</f>
        <v>1000000000000</v>
      </c>
      <c r="BS69" s="171">
        <f ca="1">IF(OR($D69&lt;&gt;"Serviço",AND(AUTOEVENTO="Manual",$M69=$A$15)),0,
         IF(OFFSET(CRONOPLE!$F$15,$M69-$A$15,BS$13)=0,10^12,OFFSET(CRONOPLE!$F$15,$M69-$A$15,BS$13)))</f>
        <v>1000000000000</v>
      </c>
      <c r="BT69" s="171">
        <f ca="1">IF(OR($D69&lt;&gt;"Serviço",AND(AUTOEVENTO="Manual",$M69=$A$15)),0,
         IF(OFFSET(CRONOPLE!$F$15,$M69-$A$15,BT$13)=0,10^12,OFFSET(CRONOPLE!$F$15,$M69-$A$15,BT$13)))</f>
        <v>1000000000000</v>
      </c>
      <c r="BV69" s="172">
        <f ca="1">IF(OR($D69&lt;&gt;"Serviço",AND(AUTOEVENTO="Manual",$M69=$A$15),$M69&gt;(ROW(PLE.lastrow)-ROW(PLE.firstrow))),0,
           IF(OFFSET(PLE!$G$15,$M69-$A$15,BV$13)="",10^12,OFFSET(PLE!$G$15,$M69-$A$15,BV$13)))</f>
        <v>1000000000000</v>
      </c>
      <c r="BW69" s="172">
        <f ca="1">IF(OR($D69&lt;&gt;"Serviço",AND(AUTOEVENTO="Manual",$M69=$A$15),$M69&gt;(ROW(PLE.lastrow)-ROW(PLE.firstrow))),0,
           IF(OFFSET(PLE!$G$15,$M69-$A$15,BW$13)="",10^12,OFFSET(PLE!$G$15,$M69-$A$15,BW$13)))</f>
        <v>1000000000000</v>
      </c>
      <c r="BX69" s="172">
        <f ca="1">IF(OR($D69&lt;&gt;"Serviço",AND(AUTOEVENTO="Manual",$M69=$A$15),$M69&gt;(ROW(PLE.lastrow)-ROW(PLE.firstrow))),0,
           IF(OFFSET(PLE!$G$15,$M69-$A$15,BX$13)="",10^12,OFFSET(PLE!$G$15,$M69-$A$15,BX$13)))</f>
        <v>1000000000000</v>
      </c>
      <c r="BY69" s="172">
        <f ca="1">IF(OR($D69&lt;&gt;"Serviço",AND(AUTOEVENTO="Manual",$M69=$A$15),$M69&gt;(ROW(PLE.lastrow)-ROW(PLE.firstrow))),0,
           IF(OFFSET(PLE!$G$15,$M69-$A$15,BY$13)="",10^12,OFFSET(PLE!$G$15,$M69-$A$15,BY$13)))</f>
        <v>1000000000000</v>
      </c>
      <c r="BZ69" s="172">
        <f ca="1">IF(OR($D69&lt;&gt;"Serviço",AND(AUTOEVENTO="Manual",$M69=$A$15),$M69&gt;(ROW(PLE.lastrow)-ROW(PLE.firstrow))),0,
           IF(OFFSET(PLE!$G$15,$M69-$A$15,BZ$13)="",10^12,OFFSET(PLE!$G$15,$M69-$A$15,BZ$13)))</f>
        <v>1000000000000</v>
      </c>
      <c r="CA69" s="172">
        <f ca="1">IF(OR($D69&lt;&gt;"Serviço",AND(AUTOEVENTO="Manual",$M69=$A$15),$M69&gt;(ROW(PLE.lastrow)-ROW(PLE.firstrow))),0,
           IF(OFFSET(PLE!$G$15,$M69-$A$15,CA$13)="",10^12,OFFSET(PLE!$G$15,$M69-$A$15,CA$13)))</f>
        <v>1000000000000</v>
      </c>
      <c r="CB69" s="172">
        <f ca="1">IF(OR($D69&lt;&gt;"Serviço",AND(AUTOEVENTO="Manual",$M69=$A$15),$M69&gt;(ROW(PLE.lastrow)-ROW(PLE.firstrow))),0,
           IF(OFFSET(PLE!$G$15,$M69-$A$15,CB$13)="",10^12,OFFSET(PLE!$G$15,$M69-$A$15,CB$13)))</f>
        <v>1000000000000</v>
      </c>
      <c r="CC69" s="172">
        <f ca="1">IF(OR($D69&lt;&gt;"Serviço",AND(AUTOEVENTO="Manual",$M69=$A$15),$M69&gt;(ROW(PLE.lastrow)-ROW(PLE.firstrow))),0,
           IF(OFFSET(PLE!$G$15,$M69-$A$15,CC$13)="",10^12,OFFSET(PLE!$G$15,$M69-$A$15,CC$13)))</f>
        <v>1000000000000</v>
      </c>
      <c r="CD69" s="172">
        <f ca="1">IF(OR($D69&lt;&gt;"Serviço",AND(AUTOEVENTO="Manual",$M69=$A$15),$M69&gt;(ROW(PLE.lastrow)-ROW(PLE.firstrow))),0,
           IF(OFFSET(PLE!$G$15,$M69-$A$15,CD$13)="",10^12,OFFSET(PLE!$G$15,$M69-$A$15,CD$13)))</f>
        <v>1000000000000</v>
      </c>
      <c r="CE69" s="172">
        <f ca="1">IF(OR($D69&lt;&gt;"Serviço",AND(AUTOEVENTO="Manual",$M69=$A$15),$M69&gt;(ROW(PLE.lastrow)-ROW(PLE.firstrow))),0,
           IF(OFFSET(PLE!$G$15,$M69-$A$15,CE$13)="",10^12,OFFSET(PLE!$G$15,$M69-$A$15,CE$13)))</f>
        <v>1000000000000</v>
      </c>
      <c r="CF69" s="172">
        <f ca="1">IF(OR($D69&lt;&gt;"Serviço",AND(AUTOEVENTO="Manual",$M69=$A$15),$M69&gt;(ROW(PLE.lastrow)-ROW(PLE.firstrow))),0,
           IF(OFFSET(PLE!$G$15,$M69-$A$15,CF$13)="",10^12,OFFSET(PLE!$G$15,$M69-$A$15,CF$13)))</f>
        <v>1000000000000</v>
      </c>
      <c r="CG69" s="172">
        <f ca="1">IF(OR($D69&lt;&gt;"Serviço",AND(AUTOEVENTO="Manual",$M69=$A$15),$M69&gt;(ROW(PLE.lastrow)-ROW(PLE.firstrow))),0,
           IF(OFFSET(PLE!$G$15,$M69-$A$15,CG$13)="",10^12,OFFSET(PLE!$G$15,$M69-$A$15,CG$13)))</f>
        <v>1000000000000</v>
      </c>
      <c r="CH69" s="172">
        <f ca="1">IF(OR($D69&lt;&gt;"Serviço",AND(AUTOEVENTO="Manual",$M69=$A$15),$M69&gt;(ROW(PLE.lastrow)-ROW(PLE.firstrow))),0,
           IF(OFFSET(PLE!$G$15,$M69-$A$15,CH$13)="",10^12,OFFSET(PLE!$G$15,$M69-$A$15,CH$13)))</f>
        <v>1000000000000</v>
      </c>
      <c r="CI69" s="172">
        <f ca="1">IF(OR($D69&lt;&gt;"Serviço",AND(AUTOEVENTO="Manual",$M69=$A$15),$M69&gt;(ROW(PLE.lastrow)-ROW(PLE.firstrow))),0,
           IF(OFFSET(PLE!$G$15,$M69-$A$15,CI$13)="",10^12,OFFSET(PLE!$G$15,$M69-$A$15,CI$13)))</f>
        <v>1000000000000</v>
      </c>
      <c r="CJ69" s="172">
        <f ca="1">IF(OR($D69&lt;&gt;"Serviço",AND(AUTOEVENTO="Manual",$M69=$A$15),$M69&gt;(ROW(PLE.lastrow)-ROW(PLE.firstrow))),0,
           IF(OFFSET(PLE!$G$15,$M69-$A$15,CJ$13)="",10^12,OFFSET(PLE!$G$15,$M69-$A$15,CJ$13)))</f>
        <v>1000000000000</v>
      </c>
      <c r="CK69" s="172">
        <f ca="1">IF(OR($D69&lt;&gt;"Serviço",AND(AUTOEVENTO="Manual",$M69=$A$15),$M69&gt;(ROW(PLE.lastrow)-ROW(PLE.firstrow))),0,
           IF(OFFSET(PLE!$G$15,$M69-$A$15,CK$13)="",10^12,OFFSET(PLE!$G$15,$M69-$A$15,CK$13)))</f>
        <v>1000000000000</v>
      </c>
      <c r="CL69" s="172">
        <f ca="1">IF(OR($D69&lt;&gt;"Serviço",AND(AUTOEVENTO="Manual",$M69=$A$15),$M69&gt;(ROW(PLE.lastrow)-ROW(PLE.firstrow))),0,
           IF(OFFSET(PLE!$G$15,$M69-$A$15,CL$13)="",10^12,OFFSET(PLE!$G$15,$M69-$A$15,CL$13)))</f>
        <v>1000000000000</v>
      </c>
      <c r="CM69" s="172">
        <f ca="1">IF(OR($D69&lt;&gt;"Serviço",AND(AUTOEVENTO="Manual",$M69=$A$15),$M69&gt;(ROW(PLE.lastrow)-ROW(PLE.firstrow))),0,
           IF(OFFSET(PLE!$G$15,$M69-$A$15,CM$13)="",10^12,OFFSET(PLE!$G$15,$M69-$A$15,CM$13)))</f>
        <v>1000000000000</v>
      </c>
    </row>
    <row r="70" spans="1:91" ht="63.75" x14ac:dyDescent="0.2">
      <c r="A70" s="7">
        <f t="shared" ca="1" si="10"/>
        <v>4</v>
      </c>
      <c r="B70" s="7" t="str">
        <f ca="1">OFFSET(ORÇAMENTO!C$15,ROW(B70)-ROW(B$15),0)</f>
        <v>S</v>
      </c>
      <c r="C70" s="7" t="str">
        <f ca="1">OFFSET(ORÇAMENTO!L$15,ROW(C70)-ROW(C$15),0)</f>
        <v>F</v>
      </c>
      <c r="D70" s="116" t="str">
        <f ca="1">OFFSET(ORÇAMENTO!N$15,ROW(D70)-ROW(D$15),0)</f>
        <v>Serviço</v>
      </c>
      <c r="E70" s="117" t="str">
        <f ca="1">OFFSET(ORÇAMENTO!O$15,ROW(E70)-ROW(E$15),0)</f>
        <v>1.5.1.1.9.</v>
      </c>
      <c r="F70" s="163" t="str">
        <f ca="1">OFFSET(ORÇAMENTO!R$15,ROW(F70)-ROW(F$15),0)</f>
        <v>ARRASAMENTO MECANICO DE ESTACA DE CONCRETO ARMADO, DIAMETROS DE 41 CM A 60 CM. AF_05/2021</v>
      </c>
      <c r="G70" s="164" t="str">
        <f ca="1">IF($D70&lt;&gt;"Serviço","",OFFSET(ORÇAMENTO!S$15,ROW(G70)-ROW(G$15),0))</f>
        <v>UN</v>
      </c>
      <c r="H70" s="122" cm="1">
        <f t="array" aca="1" ref="H70" ca="1">IF($D70&lt;&gt;"Serviço",0,IF(ACOMPANHAMENTO="BM",ROUND(OFFSET(ORÇAMENTO!AJ$15,ROW(H70)-ROW(H$15),0),15-13*ORÇAMENTO!$AF$7),SUMPRODUCT(($Q$1:$AI$1=1)*ROUND($Q70:$AI70,15-13*ORÇAMENTO!$AF$7))))</f>
        <v>48</v>
      </c>
      <c r="I70" s="468" t="s">
        <v>1304</v>
      </c>
      <c r="J70" s="640" t="str" cm="1">
        <f t="array" aca="1" ref="J70" ca="1">IF(OR(B70&lt;&gt;"S",CÁLCULO.FrentesPreenchidas=0),"",IF(AND(ACOMPANHAMENTO="PLE",AUTOEVENTO="Manual",OR(H70&gt;0,ORÇAMENTO!AC70="QUANT."),OR(K70="",M70=0,N70="")),"►E",IF(AND(ACOMPANHAMENTO="PLE",ORÇAMENTO!AC70="QUANT."),"►Q",IF(AND(ACOMPANHAMENTO="PLE",H70&lt;&gt;SUMPRODUCT(($Q$1:$AI$1=1)*ROUND(Q70:AI70,15))),"►S",IF(AND(COUNTIF($P$11:$AI$11,"▼")=0,H70&gt;0,I70=""),"◄M","")))))</f>
        <v/>
      </c>
      <c r="K70" s="641" t="s">
        <v>1389</v>
      </c>
      <c r="L70" s="165" t="s">
        <v>764</v>
      </c>
      <c r="M70" s="166">
        <f ca="1">IF($D70&lt;&gt;"Serviço","",
          IF(AUTOEVENTO="manual",$A70,
                IF(ISERROR(MATCH($A70,$A$15:OFFSET($A70,-1,0),0)),MAX($M$15:OFFSET(M70,-1,0))+1,
                      INDEX($M$15:OFFSET(M70,-1,0),MATCH($A70,$A$15:OFFSET($A70,-1,0),0)))))</f>
        <v>4</v>
      </c>
      <c r="N70" s="167" t="str">
        <f ca="1">IF($D70&lt;&gt;"Serviço","",
         IF(AUTOEVENTO="Manual",
                IF($A70=0,"&lt;-- defina o número do agrupador",
                       OFFSET(EVENTOS!$D$15,$A70-$A$15,0)),
                OFFSET($F$15,$A70,0)))</f>
        <v>Estruturas de Concreto</v>
      </c>
      <c r="O70" s="168"/>
      <c r="Q70" s="168"/>
      <c r="R70" s="169">
        <v>48</v>
      </c>
      <c r="S70" s="169"/>
      <c r="T70" s="169"/>
      <c r="U70" s="169"/>
      <c r="V70" s="169"/>
      <c r="W70" s="169"/>
      <c r="X70" s="169"/>
      <c r="Y70" s="169"/>
      <c r="Z70" s="170"/>
      <c r="AA70" s="169"/>
      <c r="AB70" s="169"/>
      <c r="AC70" s="169"/>
      <c r="AD70" s="169"/>
      <c r="AE70" s="169"/>
      <c r="AF70" s="169"/>
      <c r="AG70" s="169"/>
      <c r="AH70" s="170"/>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L70" s="453">
        <f ca="1">IF(AND($D70="Serviço",AL$12&lt;&gt;0,$H70&gt;0,OR(AUTOEVENTO&lt;&gt;"manual",$M70&lt;&gt;$A$15)),
        IF(Import.TipoArredondamento&lt;&gt;"TransfereGOV",
              ROUND(OFFSET($P70,0,AL$13),15-13*ORÇAMENTO!$AF$7)/$H70*OFFSET(ORÇAMENTO!$X$15,ROW(AL70)-ROW(AL$15),0),
              ROUND(ROUND(OFFSET($P70,0,AL$13),15-13*ORÇAMENTO!$AF$7)*OFFSET(ORÇAMENTO!$W$15,ROW(AL70)-ROW(AL$15),0),15-13*ORÇAMENTO!$AF$11)),
         0)</f>
        <v>0</v>
      </c>
      <c r="AM70" s="453">
        <f ca="1">IF(AND($D70="Serviço",AM$12&lt;&gt;0,$H70&gt;0,OR(AUTOEVENTO&lt;&gt;"manual",$M70&lt;&gt;$A$15)),
        IF(Import.TipoArredondamento&lt;&gt;"TransfereGOV",
              ROUND(OFFSET($P70,0,AM$13),15-13*ORÇAMENTO!$AF$7)/$H70*OFFSET(ORÇAMENTO!$X$15,ROW(AM70)-ROW(AM$15),0),
              ROUND(ROUND(OFFSET($P70,0,AM$13),15-13*ORÇAMENTO!$AF$7)*OFFSET(ORÇAMENTO!$W$15,ROW(AM70)-ROW(AM$15),0),15-13*ORÇAMENTO!$AF$11)),
         0)</f>
        <v>0</v>
      </c>
      <c r="AN70" s="453">
        <f ca="1">IF(AND($D70="Serviço",AN$12&lt;&gt;0,$H70&gt;0,OR(AUTOEVENTO&lt;&gt;"manual",$M70&lt;&gt;$A$15)),
        IF(Import.TipoArredondamento&lt;&gt;"TransfereGOV",
              ROUND(OFFSET($P70,0,AN$13),15-13*ORÇAMENTO!$AF$7)/$H70*OFFSET(ORÇAMENTO!$X$15,ROW(AN70)-ROW(AN$15),0),
              ROUND(ROUND(OFFSET($P70,0,AN$13),15-13*ORÇAMENTO!$AF$7)*OFFSET(ORÇAMENTO!$W$15,ROW(AN70)-ROW(AN$15),0),15-13*ORÇAMENTO!$AF$11)),
         0)</f>
        <v>0</v>
      </c>
      <c r="AO70" s="453">
        <f ca="1">IF(AND($D70="Serviço",AO$12&lt;&gt;0,$H70&gt;0,OR(AUTOEVENTO&lt;&gt;"manual",$M70&lt;&gt;$A$15)),
        IF(Import.TipoArredondamento&lt;&gt;"TransfereGOV",
              ROUND(OFFSET($P70,0,AO$13),15-13*ORÇAMENTO!$AF$7)/$H70*OFFSET(ORÇAMENTO!$X$15,ROW(AO70)-ROW(AO$15),0),
              ROUND(ROUND(OFFSET($P70,0,AO$13),15-13*ORÇAMENTO!$AF$7)*OFFSET(ORÇAMENTO!$W$15,ROW(AO70)-ROW(AO$15),0),15-13*ORÇAMENTO!$AF$11)),
         0)</f>
        <v>0</v>
      </c>
      <c r="AP70" s="453">
        <f ca="1">IF(AND($D70="Serviço",AP$12&lt;&gt;0,$H70&gt;0,OR(AUTOEVENTO&lt;&gt;"manual",$M70&lt;&gt;$A$15)),
        IF(Import.TipoArredondamento&lt;&gt;"TransfereGOV",
              ROUND(OFFSET($P70,0,AP$13),15-13*ORÇAMENTO!$AF$7)/$H70*OFFSET(ORÇAMENTO!$X$15,ROW(AP70)-ROW(AP$15),0),
              ROUND(ROUND(OFFSET($P70,0,AP$13),15-13*ORÇAMENTO!$AF$7)*OFFSET(ORÇAMENTO!$W$15,ROW(AP70)-ROW(AP$15),0),15-13*ORÇAMENTO!$AF$11)),
         0)</f>
        <v>0</v>
      </c>
      <c r="AQ70" s="453">
        <f ca="1">IF(AND($D70="Serviço",AQ$12&lt;&gt;0,$H70&gt;0,OR(AUTOEVENTO&lt;&gt;"manual",$M70&lt;&gt;$A$15)),
        IF(Import.TipoArredondamento&lt;&gt;"TransfereGOV",
              ROUND(OFFSET($P70,0,AQ$13),15-13*ORÇAMENTO!$AF$7)/$H70*OFFSET(ORÇAMENTO!$X$15,ROW(AQ70)-ROW(AQ$15),0),
              ROUND(ROUND(OFFSET($P70,0,AQ$13),15-13*ORÇAMENTO!$AF$7)*OFFSET(ORÇAMENTO!$W$15,ROW(AQ70)-ROW(AQ$15),0),15-13*ORÇAMENTO!$AF$11)),
         0)</f>
        <v>0</v>
      </c>
      <c r="AR70" s="453">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3">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3">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3">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3">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3">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3">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3">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3">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3">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C70" s="171">
        <f ca="1">IF(OR($D70&lt;&gt;"Serviço",AND(AUTOEVENTO="Manual",$M70=$A$15)),0,
         IF(OFFSET(CRONOPLE!$F$15,$M70-$A$15,BC$13)=0,10^12,OFFSET(CRONOPLE!$F$15,$M70-$A$15,BC$13)))</f>
        <v>1</v>
      </c>
      <c r="BD70" s="171">
        <f ca="1">IF(OR($D70&lt;&gt;"Serviço",AND(AUTOEVENTO="Manual",$M70=$A$15)),0,
         IF(OFFSET(CRONOPLE!$F$15,$M70-$A$15,BD$13)=0,10^12,OFFSET(CRONOPLE!$F$15,$M70-$A$15,BD$13)))</f>
        <v>2</v>
      </c>
      <c r="BE70" s="171">
        <f ca="1">IF(OR($D70&lt;&gt;"Serviço",AND(AUTOEVENTO="Manual",$M70=$A$15)),0,
         IF(OFFSET(CRONOPLE!$F$15,$M70-$A$15,BE$13)=0,10^12,OFFSET(CRONOPLE!$F$15,$M70-$A$15,BE$13)))</f>
        <v>3</v>
      </c>
      <c r="BF70" s="171">
        <f ca="1">IF(OR($D70&lt;&gt;"Serviço",AND(AUTOEVENTO="Manual",$M70=$A$15)),0,
         IF(OFFSET(CRONOPLE!$F$15,$M70-$A$15,BF$13)=0,10^12,OFFSET(CRONOPLE!$F$15,$M70-$A$15,BF$13)))</f>
        <v>4</v>
      </c>
      <c r="BG70" s="171">
        <f ca="1">IF(OR($D70&lt;&gt;"Serviço",AND(AUTOEVENTO="Manual",$M70=$A$15)),0,
         IF(OFFSET(CRONOPLE!$F$15,$M70-$A$15,BG$13)=0,10^12,OFFSET(CRONOPLE!$F$15,$M70-$A$15,BG$13)))</f>
        <v>5</v>
      </c>
      <c r="BH70" s="171">
        <f ca="1">IF(OR($D70&lt;&gt;"Serviço",AND(AUTOEVENTO="Manual",$M70=$A$15)),0,
         IF(OFFSET(CRONOPLE!$F$15,$M70-$A$15,BH$13)=0,10^12,OFFSET(CRONOPLE!$F$15,$M70-$A$15,BH$13)))</f>
        <v>6</v>
      </c>
      <c r="BI70" s="171">
        <f ca="1">IF(OR($D70&lt;&gt;"Serviço",AND(AUTOEVENTO="Manual",$M70=$A$15)),0,
         IF(OFFSET(CRONOPLE!$F$15,$M70-$A$15,BI$13)=0,10^12,OFFSET(CRONOPLE!$F$15,$M70-$A$15,BI$13)))</f>
        <v>7</v>
      </c>
      <c r="BJ70" s="171">
        <f ca="1">IF(OR($D70&lt;&gt;"Serviço",AND(AUTOEVENTO="Manual",$M70=$A$15)),0,
         IF(OFFSET(CRONOPLE!$F$15,$M70-$A$15,BJ$13)=0,10^12,OFFSET(CRONOPLE!$F$15,$M70-$A$15,BJ$13)))</f>
        <v>8</v>
      </c>
      <c r="BK70" s="171">
        <f ca="1">IF(OR($D70&lt;&gt;"Serviço",AND(AUTOEVENTO="Manual",$M70=$A$15)),0,
         IF(OFFSET(CRONOPLE!$F$15,$M70-$A$15,BK$13)=0,10^12,OFFSET(CRONOPLE!$F$15,$M70-$A$15,BK$13)))</f>
        <v>9</v>
      </c>
      <c r="BL70" s="171">
        <f ca="1">IF(OR($D70&lt;&gt;"Serviço",AND(AUTOEVENTO="Manual",$M70=$A$15)),0,
         IF(OFFSET(CRONOPLE!$F$15,$M70-$A$15,BL$13)=0,10^12,OFFSET(CRONOPLE!$F$15,$M70-$A$15,BL$13)))</f>
        <v>10</v>
      </c>
      <c r="BM70" s="171">
        <f ca="1">IF(OR($D70&lt;&gt;"Serviço",AND(AUTOEVENTO="Manual",$M70=$A$15)),0,
         IF(OFFSET(CRONOPLE!$F$15,$M70-$A$15,BM$13)=0,10^12,OFFSET(CRONOPLE!$F$15,$M70-$A$15,BM$13)))</f>
        <v>1000000000000</v>
      </c>
      <c r="BN70" s="171">
        <f ca="1">IF(OR($D70&lt;&gt;"Serviço",AND(AUTOEVENTO="Manual",$M70=$A$15)),0,
         IF(OFFSET(CRONOPLE!$F$15,$M70-$A$15,BN$13)=0,10^12,OFFSET(CRONOPLE!$F$15,$M70-$A$15,BN$13)))</f>
        <v>1000000000000</v>
      </c>
      <c r="BO70" s="171">
        <f ca="1">IF(OR($D70&lt;&gt;"Serviço",AND(AUTOEVENTO="Manual",$M70=$A$15)),0,
         IF(OFFSET(CRONOPLE!$F$15,$M70-$A$15,BO$13)=0,10^12,OFFSET(CRONOPLE!$F$15,$M70-$A$15,BO$13)))</f>
        <v>1000000000000</v>
      </c>
      <c r="BP70" s="171">
        <f ca="1">IF(OR($D70&lt;&gt;"Serviço",AND(AUTOEVENTO="Manual",$M70=$A$15)),0,
         IF(OFFSET(CRONOPLE!$F$15,$M70-$A$15,BP$13)=0,10^12,OFFSET(CRONOPLE!$F$15,$M70-$A$15,BP$13)))</f>
        <v>1000000000000</v>
      </c>
      <c r="BQ70" s="171">
        <f ca="1">IF(OR($D70&lt;&gt;"Serviço",AND(AUTOEVENTO="Manual",$M70=$A$15)),0,
         IF(OFFSET(CRONOPLE!$F$15,$M70-$A$15,BQ$13)=0,10^12,OFFSET(CRONOPLE!$F$15,$M70-$A$15,BQ$13)))</f>
        <v>1000000000000</v>
      </c>
      <c r="BR70" s="171">
        <f ca="1">IF(OR($D70&lt;&gt;"Serviço",AND(AUTOEVENTO="Manual",$M70=$A$15)),0,
         IF(OFFSET(CRONOPLE!$F$15,$M70-$A$15,BR$13)=0,10^12,OFFSET(CRONOPLE!$F$15,$M70-$A$15,BR$13)))</f>
        <v>1000000000000</v>
      </c>
      <c r="BS70" s="171">
        <f ca="1">IF(OR($D70&lt;&gt;"Serviço",AND(AUTOEVENTO="Manual",$M70=$A$15)),0,
         IF(OFFSET(CRONOPLE!$F$15,$M70-$A$15,BS$13)=0,10^12,OFFSET(CRONOPLE!$F$15,$M70-$A$15,BS$13)))</f>
        <v>1000000000000</v>
      </c>
      <c r="BT70" s="171">
        <f ca="1">IF(OR($D70&lt;&gt;"Serviço",AND(AUTOEVENTO="Manual",$M70=$A$15)),0,
         IF(OFFSET(CRONOPLE!$F$15,$M70-$A$15,BT$13)=0,10^12,OFFSET(CRONOPLE!$F$15,$M70-$A$15,BT$13)))</f>
        <v>1000000000000</v>
      </c>
      <c r="BV70" s="172">
        <f ca="1">IF(OR($D70&lt;&gt;"Serviço",AND(AUTOEVENTO="Manual",$M70=$A$15),$M70&gt;(ROW(PLE.lastrow)-ROW(PLE.firstrow))),0,
           IF(OFFSET(PLE!$G$15,$M70-$A$15,BV$13)="",10^12,OFFSET(PLE!$G$15,$M70-$A$15,BV$13)))</f>
        <v>1000000000000</v>
      </c>
      <c r="BW70" s="172">
        <f ca="1">IF(OR($D70&lt;&gt;"Serviço",AND(AUTOEVENTO="Manual",$M70=$A$15),$M70&gt;(ROW(PLE.lastrow)-ROW(PLE.firstrow))),0,
           IF(OFFSET(PLE!$G$15,$M70-$A$15,BW$13)="",10^12,OFFSET(PLE!$G$15,$M70-$A$15,BW$13)))</f>
        <v>1000000000000</v>
      </c>
      <c r="BX70" s="172">
        <f ca="1">IF(OR($D70&lt;&gt;"Serviço",AND(AUTOEVENTO="Manual",$M70=$A$15),$M70&gt;(ROW(PLE.lastrow)-ROW(PLE.firstrow))),0,
           IF(OFFSET(PLE!$G$15,$M70-$A$15,BX$13)="",10^12,OFFSET(PLE!$G$15,$M70-$A$15,BX$13)))</f>
        <v>1000000000000</v>
      </c>
      <c r="BY70" s="172">
        <f ca="1">IF(OR($D70&lt;&gt;"Serviço",AND(AUTOEVENTO="Manual",$M70=$A$15),$M70&gt;(ROW(PLE.lastrow)-ROW(PLE.firstrow))),0,
           IF(OFFSET(PLE!$G$15,$M70-$A$15,BY$13)="",10^12,OFFSET(PLE!$G$15,$M70-$A$15,BY$13)))</f>
        <v>1000000000000</v>
      </c>
      <c r="BZ70" s="172">
        <f ca="1">IF(OR($D70&lt;&gt;"Serviço",AND(AUTOEVENTO="Manual",$M70=$A$15),$M70&gt;(ROW(PLE.lastrow)-ROW(PLE.firstrow))),0,
           IF(OFFSET(PLE!$G$15,$M70-$A$15,BZ$13)="",10^12,OFFSET(PLE!$G$15,$M70-$A$15,BZ$13)))</f>
        <v>1000000000000</v>
      </c>
      <c r="CA70" s="172">
        <f ca="1">IF(OR($D70&lt;&gt;"Serviço",AND(AUTOEVENTO="Manual",$M70=$A$15),$M70&gt;(ROW(PLE.lastrow)-ROW(PLE.firstrow))),0,
           IF(OFFSET(PLE!$G$15,$M70-$A$15,CA$13)="",10^12,OFFSET(PLE!$G$15,$M70-$A$15,CA$13)))</f>
        <v>1000000000000</v>
      </c>
      <c r="CB70" s="172">
        <f ca="1">IF(OR($D70&lt;&gt;"Serviço",AND(AUTOEVENTO="Manual",$M70=$A$15),$M70&gt;(ROW(PLE.lastrow)-ROW(PLE.firstrow))),0,
           IF(OFFSET(PLE!$G$15,$M70-$A$15,CB$13)="",10^12,OFFSET(PLE!$G$15,$M70-$A$15,CB$13)))</f>
        <v>1000000000000</v>
      </c>
      <c r="CC70" s="172">
        <f ca="1">IF(OR($D70&lt;&gt;"Serviço",AND(AUTOEVENTO="Manual",$M70=$A$15),$M70&gt;(ROW(PLE.lastrow)-ROW(PLE.firstrow))),0,
           IF(OFFSET(PLE!$G$15,$M70-$A$15,CC$13)="",10^12,OFFSET(PLE!$G$15,$M70-$A$15,CC$13)))</f>
        <v>1000000000000</v>
      </c>
      <c r="CD70" s="172">
        <f ca="1">IF(OR($D70&lt;&gt;"Serviço",AND(AUTOEVENTO="Manual",$M70=$A$15),$M70&gt;(ROW(PLE.lastrow)-ROW(PLE.firstrow))),0,
           IF(OFFSET(PLE!$G$15,$M70-$A$15,CD$13)="",10^12,OFFSET(PLE!$G$15,$M70-$A$15,CD$13)))</f>
        <v>1000000000000</v>
      </c>
      <c r="CE70" s="172">
        <f ca="1">IF(OR($D70&lt;&gt;"Serviço",AND(AUTOEVENTO="Manual",$M70=$A$15),$M70&gt;(ROW(PLE.lastrow)-ROW(PLE.firstrow))),0,
           IF(OFFSET(PLE!$G$15,$M70-$A$15,CE$13)="",10^12,OFFSET(PLE!$G$15,$M70-$A$15,CE$13)))</f>
        <v>1000000000000</v>
      </c>
      <c r="CF70" s="172">
        <f ca="1">IF(OR($D70&lt;&gt;"Serviço",AND(AUTOEVENTO="Manual",$M70=$A$15),$M70&gt;(ROW(PLE.lastrow)-ROW(PLE.firstrow))),0,
           IF(OFFSET(PLE!$G$15,$M70-$A$15,CF$13)="",10^12,OFFSET(PLE!$G$15,$M70-$A$15,CF$13)))</f>
        <v>1000000000000</v>
      </c>
      <c r="CG70" s="172">
        <f ca="1">IF(OR($D70&lt;&gt;"Serviço",AND(AUTOEVENTO="Manual",$M70=$A$15),$M70&gt;(ROW(PLE.lastrow)-ROW(PLE.firstrow))),0,
           IF(OFFSET(PLE!$G$15,$M70-$A$15,CG$13)="",10^12,OFFSET(PLE!$G$15,$M70-$A$15,CG$13)))</f>
        <v>1000000000000</v>
      </c>
      <c r="CH70" s="172">
        <f ca="1">IF(OR($D70&lt;&gt;"Serviço",AND(AUTOEVENTO="Manual",$M70=$A$15),$M70&gt;(ROW(PLE.lastrow)-ROW(PLE.firstrow))),0,
           IF(OFFSET(PLE!$G$15,$M70-$A$15,CH$13)="",10^12,OFFSET(PLE!$G$15,$M70-$A$15,CH$13)))</f>
        <v>1000000000000</v>
      </c>
      <c r="CI70" s="172">
        <f ca="1">IF(OR($D70&lt;&gt;"Serviço",AND(AUTOEVENTO="Manual",$M70=$A$15),$M70&gt;(ROW(PLE.lastrow)-ROW(PLE.firstrow))),0,
           IF(OFFSET(PLE!$G$15,$M70-$A$15,CI$13)="",10^12,OFFSET(PLE!$G$15,$M70-$A$15,CI$13)))</f>
        <v>1000000000000</v>
      </c>
      <c r="CJ70" s="172">
        <f ca="1">IF(OR($D70&lt;&gt;"Serviço",AND(AUTOEVENTO="Manual",$M70=$A$15),$M70&gt;(ROW(PLE.lastrow)-ROW(PLE.firstrow))),0,
           IF(OFFSET(PLE!$G$15,$M70-$A$15,CJ$13)="",10^12,OFFSET(PLE!$G$15,$M70-$A$15,CJ$13)))</f>
        <v>1000000000000</v>
      </c>
      <c r="CK70" s="172">
        <f ca="1">IF(OR($D70&lt;&gt;"Serviço",AND(AUTOEVENTO="Manual",$M70=$A$15),$M70&gt;(ROW(PLE.lastrow)-ROW(PLE.firstrow))),0,
           IF(OFFSET(PLE!$G$15,$M70-$A$15,CK$13)="",10^12,OFFSET(PLE!$G$15,$M70-$A$15,CK$13)))</f>
        <v>1000000000000</v>
      </c>
      <c r="CL70" s="172">
        <f ca="1">IF(OR($D70&lt;&gt;"Serviço",AND(AUTOEVENTO="Manual",$M70=$A$15),$M70&gt;(ROW(PLE.lastrow)-ROW(PLE.firstrow))),0,
           IF(OFFSET(PLE!$G$15,$M70-$A$15,CL$13)="",10^12,OFFSET(PLE!$G$15,$M70-$A$15,CL$13)))</f>
        <v>1000000000000</v>
      </c>
      <c r="CM70" s="172">
        <f ca="1">IF(OR($D70&lt;&gt;"Serviço",AND(AUTOEVENTO="Manual",$M70=$A$15),$M70&gt;(ROW(PLE.lastrow)-ROW(PLE.firstrow))),0,
           IF(OFFSET(PLE!$G$15,$M70-$A$15,CM$13)="",10^12,OFFSET(PLE!$G$15,$M70-$A$15,CM$13)))</f>
        <v>1000000000000</v>
      </c>
    </row>
    <row r="71" spans="1:91" ht="12.75" x14ac:dyDescent="0.2">
      <c r="A71" s="7">
        <f t="shared" ca="1" si="10"/>
        <v>4</v>
      </c>
      <c r="B71" s="7" t="str">
        <f ca="1">OFFSET(ORÇAMENTO!C$15,ROW(B71)-ROW(B$15),0)</f>
        <v>S</v>
      </c>
      <c r="C71" s="7" t="str">
        <f ca="1">OFFSET(ORÇAMENTO!L$15,ROW(C71)-ROW(C$15),0)</f>
        <v>F</v>
      </c>
      <c r="D71" s="116" t="str">
        <f ca="1">OFFSET(ORÇAMENTO!N$15,ROW(D71)-ROW(D$15),0)</f>
        <v>Serviço</v>
      </c>
      <c r="E71" s="117" t="str">
        <f ca="1">OFFSET(ORÇAMENTO!O$15,ROW(E71)-ROW(E$15),0)</f>
        <v>1.5.1.1.10.</v>
      </c>
      <c r="F71" s="163" t="str">
        <f ca="1">OFFSET(ORÇAMENTO!R$15,ROW(F71)-ROW(F$15),0)</f>
        <v>ENSAIO DE RESISTENCIA A COMPRESSAO SIMPLES - CONCRETO</v>
      </c>
      <c r="G71" s="164" t="str">
        <f ca="1">IF($D71&lt;&gt;"Serviço","",OFFSET(ORÇAMENTO!S$15,ROW(G71)-ROW(G$15),0))</f>
        <v>UN</v>
      </c>
      <c r="H71" s="122" cm="1">
        <f t="array" aca="1" ref="H71" ca="1">IF($D71&lt;&gt;"Serviço",0,IF(ACOMPANHAMENTO="BM",ROUND(OFFSET(ORÇAMENTO!AJ$15,ROW(H71)-ROW(H$15),0),15-13*ORÇAMENTO!$AF$7),SUMPRODUCT(($Q$1:$AI$1=1)*ROUND($Q71:$AI71,15-13*ORÇAMENTO!$AF$7))))</f>
        <v>69</v>
      </c>
      <c r="I71" s="468" t="s">
        <v>1307</v>
      </c>
      <c r="J71" s="640" t="str" cm="1">
        <f t="array" aca="1" ref="J71" ca="1">IF(OR(B71&lt;&gt;"S",CÁLCULO.FrentesPreenchidas=0),"",IF(AND(ACOMPANHAMENTO="PLE",AUTOEVENTO="Manual",OR(H71&gt;0,ORÇAMENTO!AC71="QUANT."),OR(K71="",M71=0,N71="")),"►E",IF(AND(ACOMPANHAMENTO="PLE",ORÇAMENTO!AC71="QUANT."),"►Q",IF(AND(ACOMPANHAMENTO="PLE",H71&lt;&gt;SUMPRODUCT(($Q$1:$AI$1=1)*ROUND(Q71:AI71,15))),"►S",IF(AND(COUNTIF($P$11:$AI$11,"▼")=0,H71&gt;0,I71=""),"◄M","")))))</f>
        <v/>
      </c>
      <c r="K71" s="641" t="s">
        <v>1389</v>
      </c>
      <c r="L71" s="165" t="s">
        <v>764</v>
      </c>
      <c r="M71" s="166">
        <f ca="1">IF($D71&lt;&gt;"Serviço","",
          IF(AUTOEVENTO="manual",$A71,
                IF(ISERROR(MATCH($A71,$A$15:OFFSET($A71,-1,0),0)),MAX($M$15:OFFSET(M71,-1,0))+1,
                      INDEX($M$15:OFFSET(M71,-1,0),MATCH($A71,$A$15:OFFSET($A71,-1,0),0)))))</f>
        <v>4</v>
      </c>
      <c r="N71" s="167" t="str">
        <f ca="1">IF($D71&lt;&gt;"Serviço","",
         IF(AUTOEVENTO="Manual",
                IF($A71=0,"&lt;-- defina o número do agrupador",
                       OFFSET(EVENTOS!$D$15,$A71-$A$15,0)),
                OFFSET($F$15,$A71,0)))</f>
        <v>Estruturas de Concreto</v>
      </c>
      <c r="O71" s="168"/>
      <c r="Q71" s="168"/>
      <c r="R71" s="169">
        <f>ROUND(R64/8*4,0)</f>
        <v>69</v>
      </c>
      <c r="S71" s="169"/>
      <c r="T71" s="169"/>
      <c r="U71" s="169"/>
      <c r="V71" s="169"/>
      <c r="W71" s="169"/>
      <c r="X71" s="169"/>
      <c r="Y71" s="169"/>
      <c r="Z71" s="170"/>
      <c r="AA71" s="169"/>
      <c r="AB71" s="169"/>
      <c r="AC71" s="169"/>
      <c r="AD71" s="169"/>
      <c r="AE71" s="169"/>
      <c r="AF71" s="169"/>
      <c r="AG71" s="169"/>
      <c r="AH71" s="170"/>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L71" s="453">
        <f ca="1">IF(AND($D71="Serviço",AL$12&lt;&gt;0,$H71&gt;0,OR(AUTOEVENTO&lt;&gt;"manual",$M71&lt;&gt;$A$15)),
        IF(Import.TipoArredondamento&lt;&gt;"TransfereGOV",
              ROUND(OFFSET($P71,0,AL$13),15-13*ORÇAMENTO!$AF$7)/$H71*OFFSET(ORÇAMENTO!$X$15,ROW(AL71)-ROW(AL$15),0),
              ROUND(ROUND(OFFSET($P71,0,AL$13),15-13*ORÇAMENTO!$AF$7)*OFFSET(ORÇAMENTO!$W$15,ROW(AL71)-ROW(AL$15),0),15-13*ORÇAMENTO!$AF$11)),
         0)</f>
        <v>0</v>
      </c>
      <c r="AM71" s="453">
        <f ca="1">IF(AND($D71="Serviço",AM$12&lt;&gt;0,$H71&gt;0,OR(AUTOEVENTO&lt;&gt;"manual",$M71&lt;&gt;$A$15)),
        IF(Import.TipoArredondamento&lt;&gt;"TransfereGOV",
              ROUND(OFFSET($P71,0,AM$13),15-13*ORÇAMENTO!$AF$7)/$H71*OFFSET(ORÇAMENTO!$X$15,ROW(AM71)-ROW(AM$15),0),
              ROUND(ROUND(OFFSET($P71,0,AM$13),15-13*ORÇAMENTO!$AF$7)*OFFSET(ORÇAMENTO!$W$15,ROW(AM71)-ROW(AM$15),0),15-13*ORÇAMENTO!$AF$11)),
         0)</f>
        <v>0</v>
      </c>
      <c r="AN71" s="453">
        <f ca="1">IF(AND($D71="Serviço",AN$12&lt;&gt;0,$H71&gt;0,OR(AUTOEVENTO&lt;&gt;"manual",$M71&lt;&gt;$A$15)),
        IF(Import.TipoArredondamento&lt;&gt;"TransfereGOV",
              ROUND(OFFSET($P71,0,AN$13),15-13*ORÇAMENTO!$AF$7)/$H71*OFFSET(ORÇAMENTO!$X$15,ROW(AN71)-ROW(AN$15),0),
              ROUND(ROUND(OFFSET($P71,0,AN$13),15-13*ORÇAMENTO!$AF$7)*OFFSET(ORÇAMENTO!$W$15,ROW(AN71)-ROW(AN$15),0),15-13*ORÇAMENTO!$AF$11)),
         0)</f>
        <v>0</v>
      </c>
      <c r="AO71" s="453">
        <f ca="1">IF(AND($D71="Serviço",AO$12&lt;&gt;0,$H71&gt;0,OR(AUTOEVENTO&lt;&gt;"manual",$M71&lt;&gt;$A$15)),
        IF(Import.TipoArredondamento&lt;&gt;"TransfereGOV",
              ROUND(OFFSET($P71,0,AO$13),15-13*ORÇAMENTO!$AF$7)/$H71*OFFSET(ORÇAMENTO!$X$15,ROW(AO71)-ROW(AO$15),0),
              ROUND(ROUND(OFFSET($P71,0,AO$13),15-13*ORÇAMENTO!$AF$7)*OFFSET(ORÇAMENTO!$W$15,ROW(AO71)-ROW(AO$15),0),15-13*ORÇAMENTO!$AF$11)),
         0)</f>
        <v>0</v>
      </c>
      <c r="AP71" s="453">
        <f ca="1">IF(AND($D71="Serviço",AP$12&lt;&gt;0,$H71&gt;0,OR(AUTOEVENTO&lt;&gt;"manual",$M71&lt;&gt;$A$15)),
        IF(Import.TipoArredondamento&lt;&gt;"TransfereGOV",
              ROUND(OFFSET($P71,0,AP$13),15-13*ORÇAMENTO!$AF$7)/$H71*OFFSET(ORÇAMENTO!$X$15,ROW(AP71)-ROW(AP$15),0),
              ROUND(ROUND(OFFSET($P71,0,AP$13),15-13*ORÇAMENTO!$AF$7)*OFFSET(ORÇAMENTO!$W$15,ROW(AP71)-ROW(AP$15),0),15-13*ORÇAMENTO!$AF$11)),
         0)</f>
        <v>0</v>
      </c>
      <c r="AQ71" s="453">
        <f ca="1">IF(AND($D71="Serviço",AQ$12&lt;&gt;0,$H71&gt;0,OR(AUTOEVENTO&lt;&gt;"manual",$M71&lt;&gt;$A$15)),
        IF(Import.TipoArredondamento&lt;&gt;"TransfereGOV",
              ROUND(OFFSET($P71,0,AQ$13),15-13*ORÇAMENTO!$AF$7)/$H71*OFFSET(ORÇAMENTO!$X$15,ROW(AQ71)-ROW(AQ$15),0),
              ROUND(ROUND(OFFSET($P71,0,AQ$13),15-13*ORÇAMENTO!$AF$7)*OFFSET(ORÇAMENTO!$W$15,ROW(AQ71)-ROW(AQ$15),0),15-13*ORÇAMENTO!$AF$11)),
         0)</f>
        <v>0</v>
      </c>
      <c r="AR71" s="453">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3">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3">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3">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3">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3">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3">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3">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3">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3">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C71" s="171">
        <f ca="1">IF(OR($D71&lt;&gt;"Serviço",AND(AUTOEVENTO="Manual",$M71=$A$15)),0,
         IF(OFFSET(CRONOPLE!$F$15,$M71-$A$15,BC$13)=0,10^12,OFFSET(CRONOPLE!$F$15,$M71-$A$15,BC$13)))</f>
        <v>1</v>
      </c>
      <c r="BD71" s="171">
        <f ca="1">IF(OR($D71&lt;&gt;"Serviço",AND(AUTOEVENTO="Manual",$M71=$A$15)),0,
         IF(OFFSET(CRONOPLE!$F$15,$M71-$A$15,BD$13)=0,10^12,OFFSET(CRONOPLE!$F$15,$M71-$A$15,BD$13)))</f>
        <v>2</v>
      </c>
      <c r="BE71" s="171">
        <f ca="1">IF(OR($D71&lt;&gt;"Serviço",AND(AUTOEVENTO="Manual",$M71=$A$15)),0,
         IF(OFFSET(CRONOPLE!$F$15,$M71-$A$15,BE$13)=0,10^12,OFFSET(CRONOPLE!$F$15,$M71-$A$15,BE$13)))</f>
        <v>3</v>
      </c>
      <c r="BF71" s="171">
        <f ca="1">IF(OR($D71&lt;&gt;"Serviço",AND(AUTOEVENTO="Manual",$M71=$A$15)),0,
         IF(OFFSET(CRONOPLE!$F$15,$M71-$A$15,BF$13)=0,10^12,OFFSET(CRONOPLE!$F$15,$M71-$A$15,BF$13)))</f>
        <v>4</v>
      </c>
      <c r="BG71" s="171">
        <f ca="1">IF(OR($D71&lt;&gt;"Serviço",AND(AUTOEVENTO="Manual",$M71=$A$15)),0,
         IF(OFFSET(CRONOPLE!$F$15,$M71-$A$15,BG$13)=0,10^12,OFFSET(CRONOPLE!$F$15,$M71-$A$15,BG$13)))</f>
        <v>5</v>
      </c>
      <c r="BH71" s="171">
        <f ca="1">IF(OR($D71&lt;&gt;"Serviço",AND(AUTOEVENTO="Manual",$M71=$A$15)),0,
         IF(OFFSET(CRONOPLE!$F$15,$M71-$A$15,BH$13)=0,10^12,OFFSET(CRONOPLE!$F$15,$M71-$A$15,BH$13)))</f>
        <v>6</v>
      </c>
      <c r="BI71" s="171">
        <f ca="1">IF(OR($D71&lt;&gt;"Serviço",AND(AUTOEVENTO="Manual",$M71=$A$15)),0,
         IF(OFFSET(CRONOPLE!$F$15,$M71-$A$15,BI$13)=0,10^12,OFFSET(CRONOPLE!$F$15,$M71-$A$15,BI$13)))</f>
        <v>7</v>
      </c>
      <c r="BJ71" s="171">
        <f ca="1">IF(OR($D71&lt;&gt;"Serviço",AND(AUTOEVENTO="Manual",$M71=$A$15)),0,
         IF(OFFSET(CRONOPLE!$F$15,$M71-$A$15,BJ$13)=0,10^12,OFFSET(CRONOPLE!$F$15,$M71-$A$15,BJ$13)))</f>
        <v>8</v>
      </c>
      <c r="BK71" s="171">
        <f ca="1">IF(OR($D71&lt;&gt;"Serviço",AND(AUTOEVENTO="Manual",$M71=$A$15)),0,
         IF(OFFSET(CRONOPLE!$F$15,$M71-$A$15,BK$13)=0,10^12,OFFSET(CRONOPLE!$F$15,$M71-$A$15,BK$13)))</f>
        <v>9</v>
      </c>
      <c r="BL71" s="171">
        <f ca="1">IF(OR($D71&lt;&gt;"Serviço",AND(AUTOEVENTO="Manual",$M71=$A$15)),0,
         IF(OFFSET(CRONOPLE!$F$15,$M71-$A$15,BL$13)=0,10^12,OFFSET(CRONOPLE!$F$15,$M71-$A$15,BL$13)))</f>
        <v>10</v>
      </c>
      <c r="BM71" s="171">
        <f ca="1">IF(OR($D71&lt;&gt;"Serviço",AND(AUTOEVENTO="Manual",$M71=$A$15)),0,
         IF(OFFSET(CRONOPLE!$F$15,$M71-$A$15,BM$13)=0,10^12,OFFSET(CRONOPLE!$F$15,$M71-$A$15,BM$13)))</f>
        <v>1000000000000</v>
      </c>
      <c r="BN71" s="171">
        <f ca="1">IF(OR($D71&lt;&gt;"Serviço",AND(AUTOEVENTO="Manual",$M71=$A$15)),0,
         IF(OFFSET(CRONOPLE!$F$15,$M71-$A$15,BN$13)=0,10^12,OFFSET(CRONOPLE!$F$15,$M71-$A$15,BN$13)))</f>
        <v>1000000000000</v>
      </c>
      <c r="BO71" s="171">
        <f ca="1">IF(OR($D71&lt;&gt;"Serviço",AND(AUTOEVENTO="Manual",$M71=$A$15)),0,
         IF(OFFSET(CRONOPLE!$F$15,$M71-$A$15,BO$13)=0,10^12,OFFSET(CRONOPLE!$F$15,$M71-$A$15,BO$13)))</f>
        <v>1000000000000</v>
      </c>
      <c r="BP71" s="171">
        <f ca="1">IF(OR($D71&lt;&gt;"Serviço",AND(AUTOEVENTO="Manual",$M71=$A$15)),0,
         IF(OFFSET(CRONOPLE!$F$15,$M71-$A$15,BP$13)=0,10^12,OFFSET(CRONOPLE!$F$15,$M71-$A$15,BP$13)))</f>
        <v>1000000000000</v>
      </c>
      <c r="BQ71" s="171">
        <f ca="1">IF(OR($D71&lt;&gt;"Serviço",AND(AUTOEVENTO="Manual",$M71=$A$15)),0,
         IF(OFFSET(CRONOPLE!$F$15,$M71-$A$15,BQ$13)=0,10^12,OFFSET(CRONOPLE!$F$15,$M71-$A$15,BQ$13)))</f>
        <v>1000000000000</v>
      </c>
      <c r="BR71" s="171">
        <f ca="1">IF(OR($D71&lt;&gt;"Serviço",AND(AUTOEVENTO="Manual",$M71=$A$15)),0,
         IF(OFFSET(CRONOPLE!$F$15,$M71-$A$15,BR$13)=0,10^12,OFFSET(CRONOPLE!$F$15,$M71-$A$15,BR$13)))</f>
        <v>1000000000000</v>
      </c>
      <c r="BS71" s="171">
        <f ca="1">IF(OR($D71&lt;&gt;"Serviço",AND(AUTOEVENTO="Manual",$M71=$A$15)),0,
         IF(OFFSET(CRONOPLE!$F$15,$M71-$A$15,BS$13)=0,10^12,OFFSET(CRONOPLE!$F$15,$M71-$A$15,BS$13)))</f>
        <v>1000000000000</v>
      </c>
      <c r="BT71" s="171">
        <f ca="1">IF(OR($D71&lt;&gt;"Serviço",AND(AUTOEVENTO="Manual",$M71=$A$15)),0,
         IF(OFFSET(CRONOPLE!$F$15,$M71-$A$15,BT$13)=0,10^12,OFFSET(CRONOPLE!$F$15,$M71-$A$15,BT$13)))</f>
        <v>1000000000000</v>
      </c>
      <c r="BV71" s="172">
        <f ca="1">IF(OR($D71&lt;&gt;"Serviço",AND(AUTOEVENTO="Manual",$M71=$A$15),$M71&gt;(ROW(PLE.lastrow)-ROW(PLE.firstrow))),0,
           IF(OFFSET(PLE!$G$15,$M71-$A$15,BV$13)="",10^12,OFFSET(PLE!$G$15,$M71-$A$15,BV$13)))</f>
        <v>1000000000000</v>
      </c>
      <c r="BW71" s="172">
        <f ca="1">IF(OR($D71&lt;&gt;"Serviço",AND(AUTOEVENTO="Manual",$M71=$A$15),$M71&gt;(ROW(PLE.lastrow)-ROW(PLE.firstrow))),0,
           IF(OFFSET(PLE!$G$15,$M71-$A$15,BW$13)="",10^12,OFFSET(PLE!$G$15,$M71-$A$15,BW$13)))</f>
        <v>1000000000000</v>
      </c>
      <c r="BX71" s="172">
        <f ca="1">IF(OR($D71&lt;&gt;"Serviço",AND(AUTOEVENTO="Manual",$M71=$A$15),$M71&gt;(ROW(PLE.lastrow)-ROW(PLE.firstrow))),0,
           IF(OFFSET(PLE!$G$15,$M71-$A$15,BX$13)="",10^12,OFFSET(PLE!$G$15,$M71-$A$15,BX$13)))</f>
        <v>1000000000000</v>
      </c>
      <c r="BY71" s="172">
        <f ca="1">IF(OR($D71&lt;&gt;"Serviço",AND(AUTOEVENTO="Manual",$M71=$A$15),$M71&gt;(ROW(PLE.lastrow)-ROW(PLE.firstrow))),0,
           IF(OFFSET(PLE!$G$15,$M71-$A$15,BY$13)="",10^12,OFFSET(PLE!$G$15,$M71-$A$15,BY$13)))</f>
        <v>1000000000000</v>
      </c>
      <c r="BZ71" s="172">
        <f ca="1">IF(OR($D71&lt;&gt;"Serviço",AND(AUTOEVENTO="Manual",$M71=$A$15),$M71&gt;(ROW(PLE.lastrow)-ROW(PLE.firstrow))),0,
           IF(OFFSET(PLE!$G$15,$M71-$A$15,BZ$13)="",10^12,OFFSET(PLE!$G$15,$M71-$A$15,BZ$13)))</f>
        <v>1000000000000</v>
      </c>
      <c r="CA71" s="172">
        <f ca="1">IF(OR($D71&lt;&gt;"Serviço",AND(AUTOEVENTO="Manual",$M71=$A$15),$M71&gt;(ROW(PLE.lastrow)-ROW(PLE.firstrow))),0,
           IF(OFFSET(PLE!$G$15,$M71-$A$15,CA$13)="",10^12,OFFSET(PLE!$G$15,$M71-$A$15,CA$13)))</f>
        <v>1000000000000</v>
      </c>
      <c r="CB71" s="172">
        <f ca="1">IF(OR($D71&lt;&gt;"Serviço",AND(AUTOEVENTO="Manual",$M71=$A$15),$M71&gt;(ROW(PLE.lastrow)-ROW(PLE.firstrow))),0,
           IF(OFFSET(PLE!$G$15,$M71-$A$15,CB$13)="",10^12,OFFSET(PLE!$G$15,$M71-$A$15,CB$13)))</f>
        <v>1000000000000</v>
      </c>
      <c r="CC71" s="172">
        <f ca="1">IF(OR($D71&lt;&gt;"Serviço",AND(AUTOEVENTO="Manual",$M71=$A$15),$M71&gt;(ROW(PLE.lastrow)-ROW(PLE.firstrow))),0,
           IF(OFFSET(PLE!$G$15,$M71-$A$15,CC$13)="",10^12,OFFSET(PLE!$G$15,$M71-$A$15,CC$13)))</f>
        <v>1000000000000</v>
      </c>
      <c r="CD71" s="172">
        <f ca="1">IF(OR($D71&lt;&gt;"Serviço",AND(AUTOEVENTO="Manual",$M71=$A$15),$M71&gt;(ROW(PLE.lastrow)-ROW(PLE.firstrow))),0,
           IF(OFFSET(PLE!$G$15,$M71-$A$15,CD$13)="",10^12,OFFSET(PLE!$G$15,$M71-$A$15,CD$13)))</f>
        <v>1000000000000</v>
      </c>
      <c r="CE71" s="172">
        <f ca="1">IF(OR($D71&lt;&gt;"Serviço",AND(AUTOEVENTO="Manual",$M71=$A$15),$M71&gt;(ROW(PLE.lastrow)-ROW(PLE.firstrow))),0,
           IF(OFFSET(PLE!$G$15,$M71-$A$15,CE$13)="",10^12,OFFSET(PLE!$G$15,$M71-$A$15,CE$13)))</f>
        <v>1000000000000</v>
      </c>
      <c r="CF71" s="172">
        <f ca="1">IF(OR($D71&lt;&gt;"Serviço",AND(AUTOEVENTO="Manual",$M71=$A$15),$M71&gt;(ROW(PLE.lastrow)-ROW(PLE.firstrow))),0,
           IF(OFFSET(PLE!$G$15,$M71-$A$15,CF$13)="",10^12,OFFSET(PLE!$G$15,$M71-$A$15,CF$13)))</f>
        <v>1000000000000</v>
      </c>
      <c r="CG71" s="172">
        <f ca="1">IF(OR($D71&lt;&gt;"Serviço",AND(AUTOEVENTO="Manual",$M71=$A$15),$M71&gt;(ROW(PLE.lastrow)-ROW(PLE.firstrow))),0,
           IF(OFFSET(PLE!$G$15,$M71-$A$15,CG$13)="",10^12,OFFSET(PLE!$G$15,$M71-$A$15,CG$13)))</f>
        <v>1000000000000</v>
      </c>
      <c r="CH71" s="172">
        <f ca="1">IF(OR($D71&lt;&gt;"Serviço",AND(AUTOEVENTO="Manual",$M71=$A$15),$M71&gt;(ROW(PLE.lastrow)-ROW(PLE.firstrow))),0,
           IF(OFFSET(PLE!$G$15,$M71-$A$15,CH$13)="",10^12,OFFSET(PLE!$G$15,$M71-$A$15,CH$13)))</f>
        <v>1000000000000</v>
      </c>
      <c r="CI71" s="172">
        <f ca="1">IF(OR($D71&lt;&gt;"Serviço",AND(AUTOEVENTO="Manual",$M71=$A$15),$M71&gt;(ROW(PLE.lastrow)-ROW(PLE.firstrow))),0,
           IF(OFFSET(PLE!$G$15,$M71-$A$15,CI$13)="",10^12,OFFSET(PLE!$G$15,$M71-$A$15,CI$13)))</f>
        <v>1000000000000</v>
      </c>
      <c r="CJ71" s="172">
        <f ca="1">IF(OR($D71&lt;&gt;"Serviço",AND(AUTOEVENTO="Manual",$M71=$A$15),$M71&gt;(ROW(PLE.lastrow)-ROW(PLE.firstrow))),0,
           IF(OFFSET(PLE!$G$15,$M71-$A$15,CJ$13)="",10^12,OFFSET(PLE!$G$15,$M71-$A$15,CJ$13)))</f>
        <v>1000000000000</v>
      </c>
      <c r="CK71" s="172">
        <f ca="1">IF(OR($D71&lt;&gt;"Serviço",AND(AUTOEVENTO="Manual",$M71=$A$15),$M71&gt;(ROW(PLE.lastrow)-ROW(PLE.firstrow))),0,
           IF(OFFSET(PLE!$G$15,$M71-$A$15,CK$13)="",10^12,OFFSET(PLE!$G$15,$M71-$A$15,CK$13)))</f>
        <v>1000000000000</v>
      </c>
      <c r="CL71" s="172">
        <f ca="1">IF(OR($D71&lt;&gt;"Serviço",AND(AUTOEVENTO="Manual",$M71=$A$15),$M71&gt;(ROW(PLE.lastrow)-ROW(PLE.firstrow))),0,
           IF(OFFSET(PLE!$G$15,$M71-$A$15,CL$13)="",10^12,OFFSET(PLE!$G$15,$M71-$A$15,CL$13)))</f>
        <v>1000000000000</v>
      </c>
      <c r="CM71" s="172">
        <f ca="1">IF(OR($D71&lt;&gt;"Serviço",AND(AUTOEVENTO="Manual",$M71=$A$15),$M71&gt;(ROW(PLE.lastrow)-ROW(PLE.firstrow))),0,
           IF(OFFSET(PLE!$G$15,$M71-$A$15,CM$13)="",10^12,OFFSET(PLE!$G$15,$M71-$A$15,CM$13)))</f>
        <v>1000000000000</v>
      </c>
    </row>
    <row r="72" spans="1:91" ht="12.75" x14ac:dyDescent="0.2">
      <c r="A72" s="7">
        <f t="shared" ca="1" si="10"/>
        <v>5</v>
      </c>
      <c r="B72" s="7">
        <f ca="1">OFFSET(ORÇAMENTO!C$15,ROW(B72)-ROW(B$15),0)</f>
        <v>4</v>
      </c>
      <c r="C72" s="7" t="str">
        <f ca="1">OFFSET(ORÇAMENTO!L$15,ROW(C72)-ROW(C$15),0)</f>
        <v>F</v>
      </c>
      <c r="D72" s="116" t="str">
        <f ca="1">OFFSET(ORÇAMENTO!N$15,ROW(D72)-ROW(D$15),0)</f>
        <v>Nível 4</v>
      </c>
      <c r="E72" s="117" t="str">
        <f ca="1">OFFSET(ORÇAMENTO!O$15,ROW(E72)-ROW(E$15),0)</f>
        <v>1.5.1.2.</v>
      </c>
      <c r="F72" s="163" t="str">
        <f ca="1">OFFSET(ORÇAMENTO!R$15,ROW(F72)-ROW(F$15),0)</f>
        <v>BALDRAME ESCADA</v>
      </c>
      <c r="G72" s="164" t="str">
        <f ca="1">IF($D72&lt;&gt;"Serviço","",OFFSET(ORÇAMENTO!S$15,ROW(G72)-ROW(G$15),0))</f>
        <v/>
      </c>
      <c r="H72" s="122" cm="1">
        <f t="array" aca="1" ref="H72" ca="1">IF($D72&lt;&gt;"Serviço",0,IF(ACOMPANHAMENTO="BM",ROUND(OFFSET(ORÇAMENTO!AJ$15,ROW(H72)-ROW(H$15),0),15-13*ORÇAMENTO!$AF$7),SUMPRODUCT(($Q$1:$AI$1=1)*ROUND($Q72:$AI72,15-13*ORÇAMENTO!$AF$7))))</f>
        <v>0</v>
      </c>
      <c r="I72" s="468"/>
      <c r="J72" s="640" t="str" cm="1">
        <f t="array" aca="1" ref="J72" ca="1">IF(OR(B72&lt;&gt;"S",CÁLCULO.FrentesPreenchidas=0),"",IF(AND(ACOMPANHAMENTO="PLE",AUTOEVENTO="Manual",OR(H72&gt;0,ORÇAMENTO!AC72="QUANT."),OR(K72="",M72=0,N72="")),"►E",IF(AND(ACOMPANHAMENTO="PLE",ORÇAMENTO!AC72="QUANT."),"►Q",IF(AND(ACOMPANHAMENTO="PLE",H72&lt;&gt;SUMPRODUCT(($Q$1:$AI$1=1)*ROUND(Q72:AI72,15))),"►S",IF(AND(COUNTIF($P$11:$AI$11,"▼")=0,H72&gt;0,I72=""),"◄M","")))))</f>
        <v/>
      </c>
      <c r="K72" s="641" t="s">
        <v>1364</v>
      </c>
      <c r="L72" s="165" t="s">
        <v>764</v>
      </c>
      <c r="M72" s="166" t="str">
        <f ca="1">IF($D72&lt;&gt;"Serviço","",
          IF(AUTOEVENTO="manual",$A72,
                IF(ISERROR(MATCH($A72,$A$15:OFFSET($A72,-1,0),0)),MAX($M$15:OFFSET(M72,-1,0))+1,
                      INDEX($M$15:OFFSET(M72,-1,0),MATCH($A72,$A$15:OFFSET($A72,-1,0),0)))))</f>
        <v/>
      </c>
      <c r="N72" s="167" t="str">
        <f ca="1">IF($D72&lt;&gt;"Serviço","",
         IF(AUTOEVENTO="Manual",
                IF($A72=0,"&lt;-- defina o número do agrupador",
                       OFFSET(EVENTOS!$D$15,$A72-$A$15,0)),
                OFFSET($F$15,$A72,0)))</f>
        <v/>
      </c>
      <c r="O72" s="168"/>
      <c r="Q72" s="168"/>
      <c r="R72" s="169"/>
      <c r="S72" s="169"/>
      <c r="T72" s="169"/>
      <c r="U72" s="169"/>
      <c r="V72" s="169"/>
      <c r="W72" s="169"/>
      <c r="X72" s="169"/>
      <c r="Y72" s="169"/>
      <c r="Z72" s="170"/>
      <c r="AA72" s="169"/>
      <c r="AB72" s="169"/>
      <c r="AC72" s="169"/>
      <c r="AD72" s="169"/>
      <c r="AE72" s="169"/>
      <c r="AF72" s="169"/>
      <c r="AG72" s="169"/>
      <c r="AH72" s="170"/>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L72" s="453">
        <f ca="1">IF(AND($D72="Serviço",AL$12&lt;&gt;0,$H72&gt;0,OR(AUTOEVENTO&lt;&gt;"manual",$M72&lt;&gt;$A$15)),
        IF(Import.TipoArredondamento&lt;&gt;"TransfereGOV",
              ROUND(OFFSET($P72,0,AL$13),15-13*ORÇAMENTO!$AF$7)/$H72*OFFSET(ORÇAMENTO!$X$15,ROW(AL72)-ROW(AL$15),0),
              ROUND(ROUND(OFFSET($P72,0,AL$13),15-13*ORÇAMENTO!$AF$7)*OFFSET(ORÇAMENTO!$W$15,ROW(AL72)-ROW(AL$15),0),15-13*ORÇAMENTO!$AF$11)),
         0)</f>
        <v>0</v>
      </c>
      <c r="AM72" s="453">
        <f ca="1">IF(AND($D72="Serviço",AM$12&lt;&gt;0,$H72&gt;0,OR(AUTOEVENTO&lt;&gt;"manual",$M72&lt;&gt;$A$15)),
        IF(Import.TipoArredondamento&lt;&gt;"TransfereGOV",
              ROUND(OFFSET($P72,0,AM$13),15-13*ORÇAMENTO!$AF$7)/$H72*OFFSET(ORÇAMENTO!$X$15,ROW(AM72)-ROW(AM$15),0),
              ROUND(ROUND(OFFSET($P72,0,AM$13),15-13*ORÇAMENTO!$AF$7)*OFFSET(ORÇAMENTO!$W$15,ROW(AM72)-ROW(AM$15),0),15-13*ORÇAMENTO!$AF$11)),
         0)</f>
        <v>0</v>
      </c>
      <c r="AN72" s="453">
        <f ca="1">IF(AND($D72="Serviço",AN$12&lt;&gt;0,$H72&gt;0,OR(AUTOEVENTO&lt;&gt;"manual",$M72&lt;&gt;$A$15)),
        IF(Import.TipoArredondamento&lt;&gt;"TransfereGOV",
              ROUND(OFFSET($P72,0,AN$13),15-13*ORÇAMENTO!$AF$7)/$H72*OFFSET(ORÇAMENTO!$X$15,ROW(AN72)-ROW(AN$15),0),
              ROUND(ROUND(OFFSET($P72,0,AN$13),15-13*ORÇAMENTO!$AF$7)*OFFSET(ORÇAMENTO!$W$15,ROW(AN72)-ROW(AN$15),0),15-13*ORÇAMENTO!$AF$11)),
         0)</f>
        <v>0</v>
      </c>
      <c r="AO72" s="453">
        <f ca="1">IF(AND($D72="Serviço",AO$12&lt;&gt;0,$H72&gt;0,OR(AUTOEVENTO&lt;&gt;"manual",$M72&lt;&gt;$A$15)),
        IF(Import.TipoArredondamento&lt;&gt;"TransfereGOV",
              ROUND(OFFSET($P72,0,AO$13),15-13*ORÇAMENTO!$AF$7)/$H72*OFFSET(ORÇAMENTO!$X$15,ROW(AO72)-ROW(AO$15),0),
              ROUND(ROUND(OFFSET($P72,0,AO$13),15-13*ORÇAMENTO!$AF$7)*OFFSET(ORÇAMENTO!$W$15,ROW(AO72)-ROW(AO$15),0),15-13*ORÇAMENTO!$AF$11)),
         0)</f>
        <v>0</v>
      </c>
      <c r="AP72" s="453">
        <f ca="1">IF(AND($D72="Serviço",AP$12&lt;&gt;0,$H72&gt;0,OR(AUTOEVENTO&lt;&gt;"manual",$M72&lt;&gt;$A$15)),
        IF(Import.TipoArredondamento&lt;&gt;"TransfereGOV",
              ROUND(OFFSET($P72,0,AP$13),15-13*ORÇAMENTO!$AF$7)/$H72*OFFSET(ORÇAMENTO!$X$15,ROW(AP72)-ROW(AP$15),0),
              ROUND(ROUND(OFFSET($P72,0,AP$13),15-13*ORÇAMENTO!$AF$7)*OFFSET(ORÇAMENTO!$W$15,ROW(AP72)-ROW(AP$15),0),15-13*ORÇAMENTO!$AF$11)),
         0)</f>
        <v>0</v>
      </c>
      <c r="AQ72" s="453">
        <f ca="1">IF(AND($D72="Serviço",AQ$12&lt;&gt;0,$H72&gt;0,OR(AUTOEVENTO&lt;&gt;"manual",$M72&lt;&gt;$A$15)),
        IF(Import.TipoArredondamento&lt;&gt;"TransfereGOV",
              ROUND(OFFSET($P72,0,AQ$13),15-13*ORÇAMENTO!$AF$7)/$H72*OFFSET(ORÇAMENTO!$X$15,ROW(AQ72)-ROW(AQ$15),0),
              ROUND(ROUND(OFFSET($P72,0,AQ$13),15-13*ORÇAMENTO!$AF$7)*OFFSET(ORÇAMENTO!$W$15,ROW(AQ72)-ROW(AQ$15),0),15-13*ORÇAMENTO!$AF$11)),
         0)</f>
        <v>0</v>
      </c>
      <c r="AR72" s="453">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3">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3">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3">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3">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3">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3">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3">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3">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3">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C72" s="171">
        <f ca="1">IF(OR($D72&lt;&gt;"Serviço",AND(AUTOEVENTO="Manual",$M72=$A$15)),0,
         IF(OFFSET(CRONOPLE!$F$15,$M72-$A$15,BC$13)=0,10^12,OFFSET(CRONOPLE!$F$15,$M72-$A$15,BC$13)))</f>
        <v>0</v>
      </c>
      <c r="BD72" s="171">
        <f ca="1">IF(OR($D72&lt;&gt;"Serviço",AND(AUTOEVENTO="Manual",$M72=$A$15)),0,
         IF(OFFSET(CRONOPLE!$F$15,$M72-$A$15,BD$13)=0,10^12,OFFSET(CRONOPLE!$F$15,$M72-$A$15,BD$13)))</f>
        <v>0</v>
      </c>
      <c r="BE72" s="171">
        <f ca="1">IF(OR($D72&lt;&gt;"Serviço",AND(AUTOEVENTO="Manual",$M72=$A$15)),0,
         IF(OFFSET(CRONOPLE!$F$15,$M72-$A$15,BE$13)=0,10^12,OFFSET(CRONOPLE!$F$15,$M72-$A$15,BE$13)))</f>
        <v>0</v>
      </c>
      <c r="BF72" s="171">
        <f ca="1">IF(OR($D72&lt;&gt;"Serviço",AND(AUTOEVENTO="Manual",$M72=$A$15)),0,
         IF(OFFSET(CRONOPLE!$F$15,$M72-$A$15,BF$13)=0,10^12,OFFSET(CRONOPLE!$F$15,$M72-$A$15,BF$13)))</f>
        <v>0</v>
      </c>
      <c r="BG72" s="171">
        <f ca="1">IF(OR($D72&lt;&gt;"Serviço",AND(AUTOEVENTO="Manual",$M72=$A$15)),0,
         IF(OFFSET(CRONOPLE!$F$15,$M72-$A$15,BG$13)=0,10^12,OFFSET(CRONOPLE!$F$15,$M72-$A$15,BG$13)))</f>
        <v>0</v>
      </c>
      <c r="BH72" s="171">
        <f ca="1">IF(OR($D72&lt;&gt;"Serviço",AND(AUTOEVENTO="Manual",$M72=$A$15)),0,
         IF(OFFSET(CRONOPLE!$F$15,$M72-$A$15,BH$13)=0,10^12,OFFSET(CRONOPLE!$F$15,$M72-$A$15,BH$13)))</f>
        <v>0</v>
      </c>
      <c r="BI72" s="171">
        <f ca="1">IF(OR($D72&lt;&gt;"Serviço",AND(AUTOEVENTO="Manual",$M72=$A$15)),0,
         IF(OFFSET(CRONOPLE!$F$15,$M72-$A$15,BI$13)=0,10^12,OFFSET(CRONOPLE!$F$15,$M72-$A$15,BI$13)))</f>
        <v>0</v>
      </c>
      <c r="BJ72" s="171">
        <f ca="1">IF(OR($D72&lt;&gt;"Serviço",AND(AUTOEVENTO="Manual",$M72=$A$15)),0,
         IF(OFFSET(CRONOPLE!$F$15,$M72-$A$15,BJ$13)=0,10^12,OFFSET(CRONOPLE!$F$15,$M72-$A$15,BJ$13)))</f>
        <v>0</v>
      </c>
      <c r="BK72" s="171">
        <f ca="1">IF(OR($D72&lt;&gt;"Serviço",AND(AUTOEVENTO="Manual",$M72=$A$15)),0,
         IF(OFFSET(CRONOPLE!$F$15,$M72-$A$15,BK$13)=0,10^12,OFFSET(CRONOPLE!$F$15,$M72-$A$15,BK$13)))</f>
        <v>0</v>
      </c>
      <c r="BL72" s="171">
        <f ca="1">IF(OR($D72&lt;&gt;"Serviço",AND(AUTOEVENTO="Manual",$M72=$A$15)),0,
         IF(OFFSET(CRONOPLE!$F$15,$M72-$A$15,BL$13)=0,10^12,OFFSET(CRONOPLE!$F$15,$M72-$A$15,BL$13)))</f>
        <v>0</v>
      </c>
      <c r="BM72" s="171">
        <f ca="1">IF(OR($D72&lt;&gt;"Serviço",AND(AUTOEVENTO="Manual",$M72=$A$15)),0,
         IF(OFFSET(CRONOPLE!$F$15,$M72-$A$15,BM$13)=0,10^12,OFFSET(CRONOPLE!$F$15,$M72-$A$15,BM$13)))</f>
        <v>0</v>
      </c>
      <c r="BN72" s="171">
        <f ca="1">IF(OR($D72&lt;&gt;"Serviço",AND(AUTOEVENTO="Manual",$M72=$A$15)),0,
         IF(OFFSET(CRONOPLE!$F$15,$M72-$A$15,BN$13)=0,10^12,OFFSET(CRONOPLE!$F$15,$M72-$A$15,BN$13)))</f>
        <v>0</v>
      </c>
      <c r="BO72" s="171">
        <f ca="1">IF(OR($D72&lt;&gt;"Serviço",AND(AUTOEVENTO="Manual",$M72=$A$15)),0,
         IF(OFFSET(CRONOPLE!$F$15,$M72-$A$15,BO$13)=0,10^12,OFFSET(CRONOPLE!$F$15,$M72-$A$15,BO$13)))</f>
        <v>0</v>
      </c>
      <c r="BP72" s="171">
        <f ca="1">IF(OR($D72&lt;&gt;"Serviço",AND(AUTOEVENTO="Manual",$M72=$A$15)),0,
         IF(OFFSET(CRONOPLE!$F$15,$M72-$A$15,BP$13)=0,10^12,OFFSET(CRONOPLE!$F$15,$M72-$A$15,BP$13)))</f>
        <v>0</v>
      </c>
      <c r="BQ72" s="171">
        <f ca="1">IF(OR($D72&lt;&gt;"Serviço",AND(AUTOEVENTO="Manual",$M72=$A$15)),0,
         IF(OFFSET(CRONOPLE!$F$15,$M72-$A$15,BQ$13)=0,10^12,OFFSET(CRONOPLE!$F$15,$M72-$A$15,BQ$13)))</f>
        <v>0</v>
      </c>
      <c r="BR72" s="171">
        <f ca="1">IF(OR($D72&lt;&gt;"Serviço",AND(AUTOEVENTO="Manual",$M72=$A$15)),0,
         IF(OFFSET(CRONOPLE!$F$15,$M72-$A$15,BR$13)=0,10^12,OFFSET(CRONOPLE!$F$15,$M72-$A$15,BR$13)))</f>
        <v>0</v>
      </c>
      <c r="BS72" s="171">
        <f ca="1">IF(OR($D72&lt;&gt;"Serviço",AND(AUTOEVENTO="Manual",$M72=$A$15)),0,
         IF(OFFSET(CRONOPLE!$F$15,$M72-$A$15,BS$13)=0,10^12,OFFSET(CRONOPLE!$F$15,$M72-$A$15,BS$13)))</f>
        <v>0</v>
      </c>
      <c r="BT72" s="171">
        <f ca="1">IF(OR($D72&lt;&gt;"Serviço",AND(AUTOEVENTO="Manual",$M72=$A$15)),0,
         IF(OFFSET(CRONOPLE!$F$15,$M72-$A$15,BT$13)=0,10^12,OFFSET(CRONOPLE!$F$15,$M72-$A$15,BT$13)))</f>
        <v>0</v>
      </c>
      <c r="BV72" s="172">
        <f ca="1">IF(OR($D72&lt;&gt;"Serviço",AND(AUTOEVENTO="Manual",$M72=$A$15),$M72&gt;(ROW(PLE.lastrow)-ROW(PLE.firstrow))),0,
           IF(OFFSET(PLE!$G$15,$M72-$A$15,BV$13)="",10^12,OFFSET(PLE!$G$15,$M72-$A$15,BV$13)))</f>
        <v>0</v>
      </c>
      <c r="BW72" s="172">
        <f ca="1">IF(OR($D72&lt;&gt;"Serviço",AND(AUTOEVENTO="Manual",$M72=$A$15),$M72&gt;(ROW(PLE.lastrow)-ROW(PLE.firstrow))),0,
           IF(OFFSET(PLE!$G$15,$M72-$A$15,BW$13)="",10^12,OFFSET(PLE!$G$15,$M72-$A$15,BW$13)))</f>
        <v>0</v>
      </c>
      <c r="BX72" s="172">
        <f ca="1">IF(OR($D72&lt;&gt;"Serviço",AND(AUTOEVENTO="Manual",$M72=$A$15),$M72&gt;(ROW(PLE.lastrow)-ROW(PLE.firstrow))),0,
           IF(OFFSET(PLE!$G$15,$M72-$A$15,BX$13)="",10^12,OFFSET(PLE!$G$15,$M72-$A$15,BX$13)))</f>
        <v>0</v>
      </c>
      <c r="BY72" s="172">
        <f ca="1">IF(OR($D72&lt;&gt;"Serviço",AND(AUTOEVENTO="Manual",$M72=$A$15),$M72&gt;(ROW(PLE.lastrow)-ROW(PLE.firstrow))),0,
           IF(OFFSET(PLE!$G$15,$M72-$A$15,BY$13)="",10^12,OFFSET(PLE!$G$15,$M72-$A$15,BY$13)))</f>
        <v>0</v>
      </c>
      <c r="BZ72" s="172">
        <f ca="1">IF(OR($D72&lt;&gt;"Serviço",AND(AUTOEVENTO="Manual",$M72=$A$15),$M72&gt;(ROW(PLE.lastrow)-ROW(PLE.firstrow))),0,
           IF(OFFSET(PLE!$G$15,$M72-$A$15,BZ$13)="",10^12,OFFSET(PLE!$G$15,$M72-$A$15,BZ$13)))</f>
        <v>0</v>
      </c>
      <c r="CA72" s="172">
        <f ca="1">IF(OR($D72&lt;&gt;"Serviço",AND(AUTOEVENTO="Manual",$M72=$A$15),$M72&gt;(ROW(PLE.lastrow)-ROW(PLE.firstrow))),0,
           IF(OFFSET(PLE!$G$15,$M72-$A$15,CA$13)="",10^12,OFFSET(PLE!$G$15,$M72-$A$15,CA$13)))</f>
        <v>0</v>
      </c>
      <c r="CB72" s="172">
        <f ca="1">IF(OR($D72&lt;&gt;"Serviço",AND(AUTOEVENTO="Manual",$M72=$A$15),$M72&gt;(ROW(PLE.lastrow)-ROW(PLE.firstrow))),0,
           IF(OFFSET(PLE!$G$15,$M72-$A$15,CB$13)="",10^12,OFFSET(PLE!$G$15,$M72-$A$15,CB$13)))</f>
        <v>0</v>
      </c>
      <c r="CC72" s="172">
        <f ca="1">IF(OR($D72&lt;&gt;"Serviço",AND(AUTOEVENTO="Manual",$M72=$A$15),$M72&gt;(ROW(PLE.lastrow)-ROW(PLE.firstrow))),0,
           IF(OFFSET(PLE!$G$15,$M72-$A$15,CC$13)="",10^12,OFFSET(PLE!$G$15,$M72-$A$15,CC$13)))</f>
        <v>0</v>
      </c>
      <c r="CD72" s="172">
        <f ca="1">IF(OR($D72&lt;&gt;"Serviço",AND(AUTOEVENTO="Manual",$M72=$A$15),$M72&gt;(ROW(PLE.lastrow)-ROW(PLE.firstrow))),0,
           IF(OFFSET(PLE!$G$15,$M72-$A$15,CD$13)="",10^12,OFFSET(PLE!$G$15,$M72-$A$15,CD$13)))</f>
        <v>0</v>
      </c>
      <c r="CE72" s="172">
        <f ca="1">IF(OR($D72&lt;&gt;"Serviço",AND(AUTOEVENTO="Manual",$M72=$A$15),$M72&gt;(ROW(PLE.lastrow)-ROW(PLE.firstrow))),0,
           IF(OFFSET(PLE!$G$15,$M72-$A$15,CE$13)="",10^12,OFFSET(PLE!$G$15,$M72-$A$15,CE$13)))</f>
        <v>0</v>
      </c>
      <c r="CF72" s="172">
        <f ca="1">IF(OR($D72&lt;&gt;"Serviço",AND(AUTOEVENTO="Manual",$M72=$A$15),$M72&gt;(ROW(PLE.lastrow)-ROW(PLE.firstrow))),0,
           IF(OFFSET(PLE!$G$15,$M72-$A$15,CF$13)="",10^12,OFFSET(PLE!$G$15,$M72-$A$15,CF$13)))</f>
        <v>0</v>
      </c>
      <c r="CG72" s="172">
        <f ca="1">IF(OR($D72&lt;&gt;"Serviço",AND(AUTOEVENTO="Manual",$M72=$A$15),$M72&gt;(ROW(PLE.lastrow)-ROW(PLE.firstrow))),0,
           IF(OFFSET(PLE!$G$15,$M72-$A$15,CG$13)="",10^12,OFFSET(PLE!$G$15,$M72-$A$15,CG$13)))</f>
        <v>0</v>
      </c>
      <c r="CH72" s="172">
        <f ca="1">IF(OR($D72&lt;&gt;"Serviço",AND(AUTOEVENTO="Manual",$M72=$A$15),$M72&gt;(ROW(PLE.lastrow)-ROW(PLE.firstrow))),0,
           IF(OFFSET(PLE!$G$15,$M72-$A$15,CH$13)="",10^12,OFFSET(PLE!$G$15,$M72-$A$15,CH$13)))</f>
        <v>0</v>
      </c>
      <c r="CI72" s="172">
        <f ca="1">IF(OR($D72&lt;&gt;"Serviço",AND(AUTOEVENTO="Manual",$M72=$A$15),$M72&gt;(ROW(PLE.lastrow)-ROW(PLE.firstrow))),0,
           IF(OFFSET(PLE!$G$15,$M72-$A$15,CI$13)="",10^12,OFFSET(PLE!$G$15,$M72-$A$15,CI$13)))</f>
        <v>0</v>
      </c>
      <c r="CJ72" s="172">
        <f ca="1">IF(OR($D72&lt;&gt;"Serviço",AND(AUTOEVENTO="Manual",$M72=$A$15),$M72&gt;(ROW(PLE.lastrow)-ROW(PLE.firstrow))),0,
           IF(OFFSET(PLE!$G$15,$M72-$A$15,CJ$13)="",10^12,OFFSET(PLE!$G$15,$M72-$A$15,CJ$13)))</f>
        <v>0</v>
      </c>
      <c r="CK72" s="172">
        <f ca="1">IF(OR($D72&lt;&gt;"Serviço",AND(AUTOEVENTO="Manual",$M72=$A$15),$M72&gt;(ROW(PLE.lastrow)-ROW(PLE.firstrow))),0,
           IF(OFFSET(PLE!$G$15,$M72-$A$15,CK$13)="",10^12,OFFSET(PLE!$G$15,$M72-$A$15,CK$13)))</f>
        <v>0</v>
      </c>
      <c r="CL72" s="172">
        <f ca="1">IF(OR($D72&lt;&gt;"Serviço",AND(AUTOEVENTO="Manual",$M72=$A$15),$M72&gt;(ROW(PLE.lastrow)-ROW(PLE.firstrow))),0,
           IF(OFFSET(PLE!$G$15,$M72-$A$15,CL$13)="",10^12,OFFSET(PLE!$G$15,$M72-$A$15,CL$13)))</f>
        <v>0</v>
      </c>
      <c r="CM72" s="172">
        <f ca="1">IF(OR($D72&lt;&gt;"Serviço",AND(AUTOEVENTO="Manual",$M72=$A$15),$M72&gt;(ROW(PLE.lastrow)-ROW(PLE.firstrow))),0,
           IF(OFFSET(PLE!$G$15,$M72-$A$15,CM$13)="",10^12,OFFSET(PLE!$G$15,$M72-$A$15,CM$13)))</f>
        <v>0</v>
      </c>
    </row>
    <row r="73" spans="1:91" ht="38.25" x14ac:dyDescent="0.2">
      <c r="A73" s="7">
        <f t="shared" ca="1" si="10"/>
        <v>4</v>
      </c>
      <c r="B73" s="7" t="str">
        <f ca="1">OFFSET(ORÇAMENTO!C$15,ROW(B73)-ROW(B$15),0)</f>
        <v>S</v>
      </c>
      <c r="C73" s="7" t="str">
        <f ca="1">OFFSET(ORÇAMENTO!L$15,ROW(C73)-ROW(C$15),0)</f>
        <v>F</v>
      </c>
      <c r="D73" s="116" t="str">
        <f ca="1">OFFSET(ORÇAMENTO!N$15,ROW(D73)-ROW(D$15),0)</f>
        <v>Serviço</v>
      </c>
      <c r="E73" s="117" t="str">
        <f ca="1">OFFSET(ORÇAMENTO!O$15,ROW(E73)-ROW(E$15),0)</f>
        <v>1.5.1.2.1.</v>
      </c>
      <c r="F73" s="163" t="str">
        <f ca="1">OFFSET(ORÇAMENTO!R$15,ROW(F73)-ROW(F$15),0)</f>
        <v>ESCAVAÇÃO MANUAL PARA VIGA BALDRAME OU SAPATA CORRIDA (INCLUINDO ESCAVAÇÃO PARA COLOCAÇÃO DE FÔRMAS). AF_01/2024</v>
      </c>
      <c r="G73" s="164" t="str">
        <f ca="1">IF($D73&lt;&gt;"Serviço","",OFFSET(ORÇAMENTO!S$15,ROW(G73)-ROW(G$15),0))</f>
        <v>M3</v>
      </c>
      <c r="H73" s="122" cm="1">
        <f t="array" aca="1" ref="H73" ca="1">IF($D73&lt;&gt;"Serviço",0,IF(ACOMPANHAMENTO="BM",ROUND(OFFSET(ORÇAMENTO!AJ$15,ROW(H73)-ROW(H$15),0),15-13*ORÇAMENTO!$AF$7),SUMPRODUCT(($Q$1:$AI$1=1)*ROUND($Q73:$AI73,15-13*ORÇAMENTO!$AF$7))))</f>
        <v>5.91</v>
      </c>
      <c r="I73" s="468" t="s">
        <v>1308</v>
      </c>
      <c r="J73" s="640" t="str" cm="1">
        <f t="array" aca="1" ref="J73" ca="1">IF(OR(B73&lt;&gt;"S",CÁLCULO.FrentesPreenchidas=0),"",IF(AND(ACOMPANHAMENTO="PLE",AUTOEVENTO="Manual",OR(H73&gt;0,ORÇAMENTO!AC73="QUANT."),OR(K73="",M73=0,N73="")),"►E",IF(AND(ACOMPANHAMENTO="PLE",ORÇAMENTO!AC73="QUANT."),"►Q",IF(AND(ACOMPANHAMENTO="PLE",H73&lt;&gt;SUMPRODUCT(($Q$1:$AI$1=1)*ROUND(Q73:AI73,15))),"►S",IF(AND(COUNTIF($P$11:$AI$11,"▼")=0,H73&gt;0,I73=""),"◄M","")))))</f>
        <v/>
      </c>
      <c r="K73" s="641" t="s">
        <v>1389</v>
      </c>
      <c r="L73" s="165" t="s">
        <v>764</v>
      </c>
      <c r="M73" s="166">
        <f ca="1">IF($D73&lt;&gt;"Serviço","",
          IF(AUTOEVENTO="manual",$A73,
                IF(ISERROR(MATCH($A73,$A$15:OFFSET($A73,-1,0),0)),MAX($M$15:OFFSET(M73,-1,0))+1,
                      INDEX($M$15:OFFSET(M73,-1,0),MATCH($A73,$A$15:OFFSET($A73,-1,0),0)))))</f>
        <v>4</v>
      </c>
      <c r="N73" s="167" t="str">
        <f ca="1">IF($D73&lt;&gt;"Serviço","",
         IF(AUTOEVENTO="Manual",
                IF($A73=0,"&lt;-- defina o número do agrupador",
                       OFFSET(EVENTOS!$D$15,$A73-$A$15,0)),
                OFFSET($F$15,$A73,0)))</f>
        <v>Estruturas de Concreto</v>
      </c>
      <c r="O73" s="168"/>
      <c r="Q73" s="168"/>
      <c r="R73" s="169">
        <f>ROUND(R74*1.25,2)</f>
        <v>5.91</v>
      </c>
      <c r="S73" s="169"/>
      <c r="T73" s="169"/>
      <c r="U73" s="169"/>
      <c r="V73" s="169"/>
      <c r="W73" s="169"/>
      <c r="X73" s="169"/>
      <c r="Y73" s="169"/>
      <c r="Z73" s="170"/>
      <c r="AA73" s="169"/>
      <c r="AB73" s="169"/>
      <c r="AC73" s="169"/>
      <c r="AD73" s="169"/>
      <c r="AE73" s="169"/>
      <c r="AF73" s="169"/>
      <c r="AG73" s="169"/>
      <c r="AH73" s="170"/>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L73" s="453">
        <f ca="1">IF(AND($D73="Serviço",AL$12&lt;&gt;0,$H73&gt;0,OR(AUTOEVENTO&lt;&gt;"manual",$M73&lt;&gt;$A$15)),
        IF(Import.TipoArredondamento&lt;&gt;"TransfereGOV",
              ROUND(OFFSET($P73,0,AL$13),15-13*ORÇAMENTO!$AF$7)/$H73*OFFSET(ORÇAMENTO!$X$15,ROW(AL73)-ROW(AL$15),0),
              ROUND(ROUND(OFFSET($P73,0,AL$13),15-13*ORÇAMENTO!$AF$7)*OFFSET(ORÇAMENTO!$W$15,ROW(AL73)-ROW(AL$15),0),15-13*ORÇAMENTO!$AF$11)),
         0)</f>
        <v>0</v>
      </c>
      <c r="AM73" s="453">
        <f ca="1">IF(AND($D73="Serviço",AM$12&lt;&gt;0,$H73&gt;0,OR(AUTOEVENTO&lt;&gt;"manual",$M73&lt;&gt;$A$15)),
        IF(Import.TipoArredondamento&lt;&gt;"TransfereGOV",
              ROUND(OFFSET($P73,0,AM$13),15-13*ORÇAMENTO!$AF$7)/$H73*OFFSET(ORÇAMENTO!$X$15,ROW(AM73)-ROW(AM$15),0),
              ROUND(ROUND(OFFSET($P73,0,AM$13),15-13*ORÇAMENTO!$AF$7)*OFFSET(ORÇAMENTO!$W$15,ROW(AM73)-ROW(AM$15),0),15-13*ORÇAMENTO!$AF$11)),
         0)</f>
        <v>0</v>
      </c>
      <c r="AN73" s="453">
        <f ca="1">IF(AND($D73="Serviço",AN$12&lt;&gt;0,$H73&gt;0,OR(AUTOEVENTO&lt;&gt;"manual",$M73&lt;&gt;$A$15)),
        IF(Import.TipoArredondamento&lt;&gt;"TransfereGOV",
              ROUND(OFFSET($P73,0,AN$13),15-13*ORÇAMENTO!$AF$7)/$H73*OFFSET(ORÇAMENTO!$X$15,ROW(AN73)-ROW(AN$15),0),
              ROUND(ROUND(OFFSET($P73,0,AN$13),15-13*ORÇAMENTO!$AF$7)*OFFSET(ORÇAMENTO!$W$15,ROW(AN73)-ROW(AN$15),0),15-13*ORÇAMENTO!$AF$11)),
         0)</f>
        <v>0</v>
      </c>
      <c r="AO73" s="453">
        <f ca="1">IF(AND($D73="Serviço",AO$12&lt;&gt;0,$H73&gt;0,OR(AUTOEVENTO&lt;&gt;"manual",$M73&lt;&gt;$A$15)),
        IF(Import.TipoArredondamento&lt;&gt;"TransfereGOV",
              ROUND(OFFSET($P73,0,AO$13),15-13*ORÇAMENTO!$AF$7)/$H73*OFFSET(ORÇAMENTO!$X$15,ROW(AO73)-ROW(AO$15),0),
              ROUND(ROUND(OFFSET($P73,0,AO$13),15-13*ORÇAMENTO!$AF$7)*OFFSET(ORÇAMENTO!$W$15,ROW(AO73)-ROW(AO$15),0),15-13*ORÇAMENTO!$AF$11)),
         0)</f>
        <v>0</v>
      </c>
      <c r="AP73" s="453">
        <f ca="1">IF(AND($D73="Serviço",AP$12&lt;&gt;0,$H73&gt;0,OR(AUTOEVENTO&lt;&gt;"manual",$M73&lt;&gt;$A$15)),
        IF(Import.TipoArredondamento&lt;&gt;"TransfereGOV",
              ROUND(OFFSET($P73,0,AP$13),15-13*ORÇAMENTO!$AF$7)/$H73*OFFSET(ORÇAMENTO!$X$15,ROW(AP73)-ROW(AP$15),0),
              ROUND(ROUND(OFFSET($P73,0,AP$13),15-13*ORÇAMENTO!$AF$7)*OFFSET(ORÇAMENTO!$W$15,ROW(AP73)-ROW(AP$15),0),15-13*ORÇAMENTO!$AF$11)),
         0)</f>
        <v>0</v>
      </c>
      <c r="AQ73" s="453">
        <f ca="1">IF(AND($D73="Serviço",AQ$12&lt;&gt;0,$H73&gt;0,OR(AUTOEVENTO&lt;&gt;"manual",$M73&lt;&gt;$A$15)),
        IF(Import.TipoArredondamento&lt;&gt;"TransfereGOV",
              ROUND(OFFSET($P73,0,AQ$13),15-13*ORÇAMENTO!$AF$7)/$H73*OFFSET(ORÇAMENTO!$X$15,ROW(AQ73)-ROW(AQ$15),0),
              ROUND(ROUND(OFFSET($P73,0,AQ$13),15-13*ORÇAMENTO!$AF$7)*OFFSET(ORÇAMENTO!$W$15,ROW(AQ73)-ROW(AQ$15),0),15-13*ORÇAMENTO!$AF$11)),
         0)</f>
        <v>0</v>
      </c>
      <c r="AR73" s="453">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3">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3">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3">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3">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3">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3">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3">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3">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3">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C73" s="171">
        <f ca="1">IF(OR($D73&lt;&gt;"Serviço",AND(AUTOEVENTO="Manual",$M73=$A$15)),0,
         IF(OFFSET(CRONOPLE!$F$15,$M73-$A$15,BC$13)=0,10^12,OFFSET(CRONOPLE!$F$15,$M73-$A$15,BC$13)))</f>
        <v>1</v>
      </c>
      <c r="BD73" s="171">
        <f ca="1">IF(OR($D73&lt;&gt;"Serviço",AND(AUTOEVENTO="Manual",$M73=$A$15)),0,
         IF(OFFSET(CRONOPLE!$F$15,$M73-$A$15,BD$13)=0,10^12,OFFSET(CRONOPLE!$F$15,$M73-$A$15,BD$13)))</f>
        <v>2</v>
      </c>
      <c r="BE73" s="171">
        <f ca="1">IF(OR($D73&lt;&gt;"Serviço",AND(AUTOEVENTO="Manual",$M73=$A$15)),0,
         IF(OFFSET(CRONOPLE!$F$15,$M73-$A$15,BE$13)=0,10^12,OFFSET(CRONOPLE!$F$15,$M73-$A$15,BE$13)))</f>
        <v>3</v>
      </c>
      <c r="BF73" s="171">
        <f ca="1">IF(OR($D73&lt;&gt;"Serviço",AND(AUTOEVENTO="Manual",$M73=$A$15)),0,
         IF(OFFSET(CRONOPLE!$F$15,$M73-$A$15,BF$13)=0,10^12,OFFSET(CRONOPLE!$F$15,$M73-$A$15,BF$13)))</f>
        <v>4</v>
      </c>
      <c r="BG73" s="171">
        <f ca="1">IF(OR($D73&lt;&gt;"Serviço",AND(AUTOEVENTO="Manual",$M73=$A$15)),0,
         IF(OFFSET(CRONOPLE!$F$15,$M73-$A$15,BG$13)=0,10^12,OFFSET(CRONOPLE!$F$15,$M73-$A$15,BG$13)))</f>
        <v>5</v>
      </c>
      <c r="BH73" s="171">
        <f ca="1">IF(OR($D73&lt;&gt;"Serviço",AND(AUTOEVENTO="Manual",$M73=$A$15)),0,
         IF(OFFSET(CRONOPLE!$F$15,$M73-$A$15,BH$13)=0,10^12,OFFSET(CRONOPLE!$F$15,$M73-$A$15,BH$13)))</f>
        <v>6</v>
      </c>
      <c r="BI73" s="171">
        <f ca="1">IF(OR($D73&lt;&gt;"Serviço",AND(AUTOEVENTO="Manual",$M73=$A$15)),0,
         IF(OFFSET(CRONOPLE!$F$15,$M73-$A$15,BI$13)=0,10^12,OFFSET(CRONOPLE!$F$15,$M73-$A$15,BI$13)))</f>
        <v>7</v>
      </c>
      <c r="BJ73" s="171">
        <f ca="1">IF(OR($D73&lt;&gt;"Serviço",AND(AUTOEVENTO="Manual",$M73=$A$15)),0,
         IF(OFFSET(CRONOPLE!$F$15,$M73-$A$15,BJ$13)=0,10^12,OFFSET(CRONOPLE!$F$15,$M73-$A$15,BJ$13)))</f>
        <v>8</v>
      </c>
      <c r="BK73" s="171">
        <f ca="1">IF(OR($D73&lt;&gt;"Serviço",AND(AUTOEVENTO="Manual",$M73=$A$15)),0,
         IF(OFFSET(CRONOPLE!$F$15,$M73-$A$15,BK$13)=0,10^12,OFFSET(CRONOPLE!$F$15,$M73-$A$15,BK$13)))</f>
        <v>9</v>
      </c>
      <c r="BL73" s="171">
        <f ca="1">IF(OR($D73&lt;&gt;"Serviço",AND(AUTOEVENTO="Manual",$M73=$A$15)),0,
         IF(OFFSET(CRONOPLE!$F$15,$M73-$A$15,BL$13)=0,10^12,OFFSET(CRONOPLE!$F$15,$M73-$A$15,BL$13)))</f>
        <v>10</v>
      </c>
      <c r="BM73" s="171">
        <f ca="1">IF(OR($D73&lt;&gt;"Serviço",AND(AUTOEVENTO="Manual",$M73=$A$15)),0,
         IF(OFFSET(CRONOPLE!$F$15,$M73-$A$15,BM$13)=0,10^12,OFFSET(CRONOPLE!$F$15,$M73-$A$15,BM$13)))</f>
        <v>1000000000000</v>
      </c>
      <c r="BN73" s="171">
        <f ca="1">IF(OR($D73&lt;&gt;"Serviço",AND(AUTOEVENTO="Manual",$M73=$A$15)),0,
         IF(OFFSET(CRONOPLE!$F$15,$M73-$A$15,BN$13)=0,10^12,OFFSET(CRONOPLE!$F$15,$M73-$A$15,BN$13)))</f>
        <v>1000000000000</v>
      </c>
      <c r="BO73" s="171">
        <f ca="1">IF(OR($D73&lt;&gt;"Serviço",AND(AUTOEVENTO="Manual",$M73=$A$15)),0,
         IF(OFFSET(CRONOPLE!$F$15,$M73-$A$15,BO$13)=0,10^12,OFFSET(CRONOPLE!$F$15,$M73-$A$15,BO$13)))</f>
        <v>1000000000000</v>
      </c>
      <c r="BP73" s="171">
        <f ca="1">IF(OR($D73&lt;&gt;"Serviço",AND(AUTOEVENTO="Manual",$M73=$A$15)),0,
         IF(OFFSET(CRONOPLE!$F$15,$M73-$A$15,BP$13)=0,10^12,OFFSET(CRONOPLE!$F$15,$M73-$A$15,BP$13)))</f>
        <v>1000000000000</v>
      </c>
      <c r="BQ73" s="171">
        <f ca="1">IF(OR($D73&lt;&gt;"Serviço",AND(AUTOEVENTO="Manual",$M73=$A$15)),0,
         IF(OFFSET(CRONOPLE!$F$15,$M73-$A$15,BQ$13)=0,10^12,OFFSET(CRONOPLE!$F$15,$M73-$A$15,BQ$13)))</f>
        <v>1000000000000</v>
      </c>
      <c r="BR73" s="171">
        <f ca="1">IF(OR($D73&lt;&gt;"Serviço",AND(AUTOEVENTO="Manual",$M73=$A$15)),0,
         IF(OFFSET(CRONOPLE!$F$15,$M73-$A$15,BR$13)=0,10^12,OFFSET(CRONOPLE!$F$15,$M73-$A$15,BR$13)))</f>
        <v>1000000000000</v>
      </c>
      <c r="BS73" s="171">
        <f ca="1">IF(OR($D73&lt;&gt;"Serviço",AND(AUTOEVENTO="Manual",$M73=$A$15)),0,
         IF(OFFSET(CRONOPLE!$F$15,$M73-$A$15,BS$13)=0,10^12,OFFSET(CRONOPLE!$F$15,$M73-$A$15,BS$13)))</f>
        <v>1000000000000</v>
      </c>
      <c r="BT73" s="171">
        <f ca="1">IF(OR($D73&lt;&gt;"Serviço",AND(AUTOEVENTO="Manual",$M73=$A$15)),0,
         IF(OFFSET(CRONOPLE!$F$15,$M73-$A$15,BT$13)=0,10^12,OFFSET(CRONOPLE!$F$15,$M73-$A$15,BT$13)))</f>
        <v>1000000000000</v>
      </c>
      <c r="BV73" s="172">
        <f ca="1">IF(OR($D73&lt;&gt;"Serviço",AND(AUTOEVENTO="Manual",$M73=$A$15),$M73&gt;(ROW(PLE.lastrow)-ROW(PLE.firstrow))),0,
           IF(OFFSET(PLE!$G$15,$M73-$A$15,BV$13)="",10^12,OFFSET(PLE!$G$15,$M73-$A$15,BV$13)))</f>
        <v>1000000000000</v>
      </c>
      <c r="BW73" s="172">
        <f ca="1">IF(OR($D73&lt;&gt;"Serviço",AND(AUTOEVENTO="Manual",$M73=$A$15),$M73&gt;(ROW(PLE.lastrow)-ROW(PLE.firstrow))),0,
           IF(OFFSET(PLE!$G$15,$M73-$A$15,BW$13)="",10^12,OFFSET(PLE!$G$15,$M73-$A$15,BW$13)))</f>
        <v>1000000000000</v>
      </c>
      <c r="BX73" s="172">
        <f ca="1">IF(OR($D73&lt;&gt;"Serviço",AND(AUTOEVENTO="Manual",$M73=$A$15),$M73&gt;(ROW(PLE.lastrow)-ROW(PLE.firstrow))),0,
           IF(OFFSET(PLE!$G$15,$M73-$A$15,BX$13)="",10^12,OFFSET(PLE!$G$15,$M73-$A$15,BX$13)))</f>
        <v>1000000000000</v>
      </c>
      <c r="BY73" s="172">
        <f ca="1">IF(OR($D73&lt;&gt;"Serviço",AND(AUTOEVENTO="Manual",$M73=$A$15),$M73&gt;(ROW(PLE.lastrow)-ROW(PLE.firstrow))),0,
           IF(OFFSET(PLE!$G$15,$M73-$A$15,BY$13)="",10^12,OFFSET(PLE!$G$15,$M73-$A$15,BY$13)))</f>
        <v>1000000000000</v>
      </c>
      <c r="BZ73" s="172">
        <f ca="1">IF(OR($D73&lt;&gt;"Serviço",AND(AUTOEVENTO="Manual",$M73=$A$15),$M73&gt;(ROW(PLE.lastrow)-ROW(PLE.firstrow))),0,
           IF(OFFSET(PLE!$G$15,$M73-$A$15,BZ$13)="",10^12,OFFSET(PLE!$G$15,$M73-$A$15,BZ$13)))</f>
        <v>1000000000000</v>
      </c>
      <c r="CA73" s="172">
        <f ca="1">IF(OR($D73&lt;&gt;"Serviço",AND(AUTOEVENTO="Manual",$M73=$A$15),$M73&gt;(ROW(PLE.lastrow)-ROW(PLE.firstrow))),0,
           IF(OFFSET(PLE!$G$15,$M73-$A$15,CA$13)="",10^12,OFFSET(PLE!$G$15,$M73-$A$15,CA$13)))</f>
        <v>1000000000000</v>
      </c>
      <c r="CB73" s="172">
        <f ca="1">IF(OR($D73&lt;&gt;"Serviço",AND(AUTOEVENTO="Manual",$M73=$A$15),$M73&gt;(ROW(PLE.lastrow)-ROW(PLE.firstrow))),0,
           IF(OFFSET(PLE!$G$15,$M73-$A$15,CB$13)="",10^12,OFFSET(PLE!$G$15,$M73-$A$15,CB$13)))</f>
        <v>1000000000000</v>
      </c>
      <c r="CC73" s="172">
        <f ca="1">IF(OR($D73&lt;&gt;"Serviço",AND(AUTOEVENTO="Manual",$M73=$A$15),$M73&gt;(ROW(PLE.lastrow)-ROW(PLE.firstrow))),0,
           IF(OFFSET(PLE!$G$15,$M73-$A$15,CC$13)="",10^12,OFFSET(PLE!$G$15,$M73-$A$15,CC$13)))</f>
        <v>1000000000000</v>
      </c>
      <c r="CD73" s="172">
        <f ca="1">IF(OR($D73&lt;&gt;"Serviço",AND(AUTOEVENTO="Manual",$M73=$A$15),$M73&gt;(ROW(PLE.lastrow)-ROW(PLE.firstrow))),0,
           IF(OFFSET(PLE!$G$15,$M73-$A$15,CD$13)="",10^12,OFFSET(PLE!$G$15,$M73-$A$15,CD$13)))</f>
        <v>1000000000000</v>
      </c>
      <c r="CE73" s="172">
        <f ca="1">IF(OR($D73&lt;&gt;"Serviço",AND(AUTOEVENTO="Manual",$M73=$A$15),$M73&gt;(ROW(PLE.lastrow)-ROW(PLE.firstrow))),0,
           IF(OFFSET(PLE!$G$15,$M73-$A$15,CE$13)="",10^12,OFFSET(PLE!$G$15,$M73-$A$15,CE$13)))</f>
        <v>1000000000000</v>
      </c>
      <c r="CF73" s="172">
        <f ca="1">IF(OR($D73&lt;&gt;"Serviço",AND(AUTOEVENTO="Manual",$M73=$A$15),$M73&gt;(ROW(PLE.lastrow)-ROW(PLE.firstrow))),0,
           IF(OFFSET(PLE!$G$15,$M73-$A$15,CF$13)="",10^12,OFFSET(PLE!$G$15,$M73-$A$15,CF$13)))</f>
        <v>1000000000000</v>
      </c>
      <c r="CG73" s="172">
        <f ca="1">IF(OR($D73&lt;&gt;"Serviço",AND(AUTOEVENTO="Manual",$M73=$A$15),$M73&gt;(ROW(PLE.lastrow)-ROW(PLE.firstrow))),0,
           IF(OFFSET(PLE!$G$15,$M73-$A$15,CG$13)="",10^12,OFFSET(PLE!$G$15,$M73-$A$15,CG$13)))</f>
        <v>1000000000000</v>
      </c>
      <c r="CH73" s="172">
        <f ca="1">IF(OR($D73&lt;&gt;"Serviço",AND(AUTOEVENTO="Manual",$M73=$A$15),$M73&gt;(ROW(PLE.lastrow)-ROW(PLE.firstrow))),0,
           IF(OFFSET(PLE!$G$15,$M73-$A$15,CH$13)="",10^12,OFFSET(PLE!$G$15,$M73-$A$15,CH$13)))</f>
        <v>1000000000000</v>
      </c>
      <c r="CI73" s="172">
        <f ca="1">IF(OR($D73&lt;&gt;"Serviço",AND(AUTOEVENTO="Manual",$M73=$A$15),$M73&gt;(ROW(PLE.lastrow)-ROW(PLE.firstrow))),0,
           IF(OFFSET(PLE!$G$15,$M73-$A$15,CI$13)="",10^12,OFFSET(PLE!$G$15,$M73-$A$15,CI$13)))</f>
        <v>1000000000000</v>
      </c>
      <c r="CJ73" s="172">
        <f ca="1">IF(OR($D73&lt;&gt;"Serviço",AND(AUTOEVENTO="Manual",$M73=$A$15),$M73&gt;(ROW(PLE.lastrow)-ROW(PLE.firstrow))),0,
           IF(OFFSET(PLE!$G$15,$M73-$A$15,CJ$13)="",10^12,OFFSET(PLE!$G$15,$M73-$A$15,CJ$13)))</f>
        <v>1000000000000</v>
      </c>
      <c r="CK73" s="172">
        <f ca="1">IF(OR($D73&lt;&gt;"Serviço",AND(AUTOEVENTO="Manual",$M73=$A$15),$M73&gt;(ROW(PLE.lastrow)-ROW(PLE.firstrow))),0,
           IF(OFFSET(PLE!$G$15,$M73-$A$15,CK$13)="",10^12,OFFSET(PLE!$G$15,$M73-$A$15,CK$13)))</f>
        <v>1000000000000</v>
      </c>
      <c r="CL73" s="172">
        <f ca="1">IF(OR($D73&lt;&gt;"Serviço",AND(AUTOEVENTO="Manual",$M73=$A$15),$M73&gt;(ROW(PLE.lastrow)-ROW(PLE.firstrow))),0,
           IF(OFFSET(PLE!$G$15,$M73-$A$15,CL$13)="",10^12,OFFSET(PLE!$G$15,$M73-$A$15,CL$13)))</f>
        <v>1000000000000</v>
      </c>
      <c r="CM73" s="172">
        <f ca="1">IF(OR($D73&lt;&gt;"Serviço",AND(AUTOEVENTO="Manual",$M73=$A$15),$M73&gt;(ROW(PLE.lastrow)-ROW(PLE.firstrow))),0,
           IF(OFFSET(PLE!$G$15,$M73-$A$15,CM$13)="",10^12,OFFSET(PLE!$G$15,$M73-$A$15,CM$13)))</f>
        <v>1000000000000</v>
      </c>
    </row>
    <row r="74" spans="1:91" ht="25.5" x14ac:dyDescent="0.2">
      <c r="A74" s="7">
        <f t="shared" ca="1" si="10"/>
        <v>4</v>
      </c>
      <c r="B74" s="7" t="str">
        <f ca="1">OFFSET(ORÇAMENTO!C$15,ROW(B74)-ROW(B$15),0)</f>
        <v>S</v>
      </c>
      <c r="C74" s="7" t="str">
        <f ca="1">OFFSET(ORÇAMENTO!L$15,ROW(C74)-ROW(C$15),0)</f>
        <v>F</v>
      </c>
      <c r="D74" s="116" t="str">
        <f ca="1">OFFSET(ORÇAMENTO!N$15,ROW(D74)-ROW(D$15),0)</f>
        <v>Serviço</v>
      </c>
      <c r="E74" s="117" t="str">
        <f ca="1">OFFSET(ORÇAMENTO!O$15,ROW(E74)-ROW(E$15),0)</f>
        <v>1.5.1.2.2.</v>
      </c>
      <c r="F74" s="163" t="str">
        <f ca="1">OFFSET(ORÇAMENTO!R$15,ROW(F74)-ROW(F$15),0)</f>
        <v>PREPARO DE FUNDO DE VALA COM LARGURA MENOR QUE 1,5 M (ACERTO DO SOLO NATURAL). AF_08/2020</v>
      </c>
      <c r="G74" s="164" t="str">
        <f ca="1">IF($D74&lt;&gt;"Serviço","",OFFSET(ORÇAMENTO!S$15,ROW(G74)-ROW(G$15),0))</f>
        <v>M2</v>
      </c>
      <c r="H74" s="122" cm="1">
        <f t="array" aca="1" ref="H74" ca="1">IF($D74&lt;&gt;"Serviço",0,IF(ACOMPANHAMENTO="BM",ROUND(OFFSET(ORÇAMENTO!AJ$15,ROW(H74)-ROW(H$15),0),15-13*ORÇAMENTO!$AF$7),SUMPRODUCT(($Q$1:$AI$1=1)*ROUND($Q74:$AI74,15-13*ORÇAMENTO!$AF$7))))</f>
        <v>4.7300000000000004</v>
      </c>
      <c r="I74" s="468" t="s">
        <v>1309</v>
      </c>
      <c r="J74" s="640" t="str" cm="1">
        <f t="array" aca="1" ref="J74" ca="1">IF(OR(B74&lt;&gt;"S",CÁLCULO.FrentesPreenchidas=0),"",IF(AND(ACOMPANHAMENTO="PLE",AUTOEVENTO="Manual",OR(H74&gt;0,ORÇAMENTO!AC74="QUANT."),OR(K74="",M74=0,N74="")),"►E",IF(AND(ACOMPANHAMENTO="PLE",ORÇAMENTO!AC74="QUANT."),"►Q",IF(AND(ACOMPANHAMENTO="PLE",H74&lt;&gt;SUMPRODUCT(($Q$1:$AI$1=1)*ROUND(Q74:AI74,15))),"►S",IF(AND(COUNTIF($P$11:$AI$11,"▼")=0,H74&gt;0,I74=""),"◄M","")))))</f>
        <v/>
      </c>
      <c r="K74" s="641" t="s">
        <v>1389</v>
      </c>
      <c r="L74" s="165" t="s">
        <v>764</v>
      </c>
      <c r="M74" s="166">
        <f ca="1">IF($D74&lt;&gt;"Serviço","",
          IF(AUTOEVENTO="manual",$A74,
                IF(ISERROR(MATCH($A74,$A$15:OFFSET($A74,-1,0),0)),MAX($M$15:OFFSET(M74,-1,0))+1,
                      INDEX($M$15:OFFSET(M74,-1,0),MATCH($A74,$A$15:OFFSET($A74,-1,0),0)))))</f>
        <v>4</v>
      </c>
      <c r="N74" s="167" t="str">
        <f ca="1">IF($D74&lt;&gt;"Serviço","",
         IF(AUTOEVENTO="Manual",
                IF($A74=0,"&lt;-- defina o número do agrupador",
                       OFFSET(EVENTOS!$D$15,$A74-$A$15,0)),
                OFFSET($F$15,$A74,0)))</f>
        <v>Estruturas de Concreto</v>
      </c>
      <c r="O74" s="168"/>
      <c r="Q74" s="168"/>
      <c r="R74" s="169">
        <f>ROUND(3.5*1.35,2)</f>
        <v>4.7300000000000004</v>
      </c>
      <c r="S74" s="169"/>
      <c r="T74" s="169"/>
      <c r="U74" s="169"/>
      <c r="V74" s="169"/>
      <c r="W74" s="169"/>
      <c r="X74" s="169"/>
      <c r="Y74" s="169"/>
      <c r="Z74" s="170"/>
      <c r="AA74" s="169"/>
      <c r="AB74" s="169"/>
      <c r="AC74" s="169"/>
      <c r="AD74" s="169"/>
      <c r="AE74" s="169"/>
      <c r="AF74" s="169"/>
      <c r="AG74" s="169"/>
      <c r="AH74" s="170"/>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L74" s="453">
        <f ca="1">IF(AND($D74="Serviço",AL$12&lt;&gt;0,$H74&gt;0,OR(AUTOEVENTO&lt;&gt;"manual",$M74&lt;&gt;$A$15)),
        IF(Import.TipoArredondamento&lt;&gt;"TransfereGOV",
              ROUND(OFFSET($P74,0,AL$13),15-13*ORÇAMENTO!$AF$7)/$H74*OFFSET(ORÇAMENTO!$X$15,ROW(AL74)-ROW(AL$15),0),
              ROUND(ROUND(OFFSET($P74,0,AL$13),15-13*ORÇAMENTO!$AF$7)*OFFSET(ORÇAMENTO!$W$15,ROW(AL74)-ROW(AL$15),0),15-13*ORÇAMENTO!$AF$11)),
         0)</f>
        <v>0</v>
      </c>
      <c r="AM74" s="453">
        <f ca="1">IF(AND($D74="Serviço",AM$12&lt;&gt;0,$H74&gt;0,OR(AUTOEVENTO&lt;&gt;"manual",$M74&lt;&gt;$A$15)),
        IF(Import.TipoArredondamento&lt;&gt;"TransfereGOV",
              ROUND(OFFSET($P74,0,AM$13),15-13*ORÇAMENTO!$AF$7)/$H74*OFFSET(ORÇAMENTO!$X$15,ROW(AM74)-ROW(AM$15),0),
              ROUND(ROUND(OFFSET($P74,0,AM$13),15-13*ORÇAMENTO!$AF$7)*OFFSET(ORÇAMENTO!$W$15,ROW(AM74)-ROW(AM$15),0),15-13*ORÇAMENTO!$AF$11)),
         0)</f>
        <v>0</v>
      </c>
      <c r="AN74" s="453">
        <f ca="1">IF(AND($D74="Serviço",AN$12&lt;&gt;0,$H74&gt;0,OR(AUTOEVENTO&lt;&gt;"manual",$M74&lt;&gt;$A$15)),
        IF(Import.TipoArredondamento&lt;&gt;"TransfereGOV",
              ROUND(OFFSET($P74,0,AN$13),15-13*ORÇAMENTO!$AF$7)/$H74*OFFSET(ORÇAMENTO!$X$15,ROW(AN74)-ROW(AN$15),0),
              ROUND(ROUND(OFFSET($P74,0,AN$13),15-13*ORÇAMENTO!$AF$7)*OFFSET(ORÇAMENTO!$W$15,ROW(AN74)-ROW(AN$15),0),15-13*ORÇAMENTO!$AF$11)),
         0)</f>
        <v>0</v>
      </c>
      <c r="AO74" s="453">
        <f ca="1">IF(AND($D74="Serviço",AO$12&lt;&gt;0,$H74&gt;0,OR(AUTOEVENTO&lt;&gt;"manual",$M74&lt;&gt;$A$15)),
        IF(Import.TipoArredondamento&lt;&gt;"TransfereGOV",
              ROUND(OFFSET($P74,0,AO$13),15-13*ORÇAMENTO!$AF$7)/$H74*OFFSET(ORÇAMENTO!$X$15,ROW(AO74)-ROW(AO$15),0),
              ROUND(ROUND(OFFSET($P74,0,AO$13),15-13*ORÇAMENTO!$AF$7)*OFFSET(ORÇAMENTO!$W$15,ROW(AO74)-ROW(AO$15),0),15-13*ORÇAMENTO!$AF$11)),
         0)</f>
        <v>0</v>
      </c>
      <c r="AP74" s="453">
        <f ca="1">IF(AND($D74="Serviço",AP$12&lt;&gt;0,$H74&gt;0,OR(AUTOEVENTO&lt;&gt;"manual",$M74&lt;&gt;$A$15)),
        IF(Import.TipoArredondamento&lt;&gt;"TransfereGOV",
              ROUND(OFFSET($P74,0,AP$13),15-13*ORÇAMENTO!$AF$7)/$H74*OFFSET(ORÇAMENTO!$X$15,ROW(AP74)-ROW(AP$15),0),
              ROUND(ROUND(OFFSET($P74,0,AP$13),15-13*ORÇAMENTO!$AF$7)*OFFSET(ORÇAMENTO!$W$15,ROW(AP74)-ROW(AP$15),0),15-13*ORÇAMENTO!$AF$11)),
         0)</f>
        <v>0</v>
      </c>
      <c r="AQ74" s="453">
        <f ca="1">IF(AND($D74="Serviço",AQ$12&lt;&gt;0,$H74&gt;0,OR(AUTOEVENTO&lt;&gt;"manual",$M74&lt;&gt;$A$15)),
        IF(Import.TipoArredondamento&lt;&gt;"TransfereGOV",
              ROUND(OFFSET($P74,0,AQ$13),15-13*ORÇAMENTO!$AF$7)/$H74*OFFSET(ORÇAMENTO!$X$15,ROW(AQ74)-ROW(AQ$15),0),
              ROUND(ROUND(OFFSET($P74,0,AQ$13),15-13*ORÇAMENTO!$AF$7)*OFFSET(ORÇAMENTO!$W$15,ROW(AQ74)-ROW(AQ$15),0),15-13*ORÇAMENTO!$AF$11)),
         0)</f>
        <v>0</v>
      </c>
      <c r="AR74" s="453">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3">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3">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3">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3">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3">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3">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3">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3">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3">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C74" s="171">
        <f ca="1">IF(OR($D74&lt;&gt;"Serviço",AND(AUTOEVENTO="Manual",$M74=$A$15)),0,
         IF(OFFSET(CRONOPLE!$F$15,$M74-$A$15,BC$13)=0,10^12,OFFSET(CRONOPLE!$F$15,$M74-$A$15,BC$13)))</f>
        <v>1</v>
      </c>
      <c r="BD74" s="171">
        <f ca="1">IF(OR($D74&lt;&gt;"Serviço",AND(AUTOEVENTO="Manual",$M74=$A$15)),0,
         IF(OFFSET(CRONOPLE!$F$15,$M74-$A$15,BD$13)=0,10^12,OFFSET(CRONOPLE!$F$15,$M74-$A$15,BD$13)))</f>
        <v>2</v>
      </c>
      <c r="BE74" s="171">
        <f ca="1">IF(OR($D74&lt;&gt;"Serviço",AND(AUTOEVENTO="Manual",$M74=$A$15)),0,
         IF(OFFSET(CRONOPLE!$F$15,$M74-$A$15,BE$13)=0,10^12,OFFSET(CRONOPLE!$F$15,$M74-$A$15,BE$13)))</f>
        <v>3</v>
      </c>
      <c r="BF74" s="171">
        <f ca="1">IF(OR($D74&lt;&gt;"Serviço",AND(AUTOEVENTO="Manual",$M74=$A$15)),0,
         IF(OFFSET(CRONOPLE!$F$15,$M74-$A$15,BF$13)=0,10^12,OFFSET(CRONOPLE!$F$15,$M74-$A$15,BF$13)))</f>
        <v>4</v>
      </c>
      <c r="BG74" s="171">
        <f ca="1">IF(OR($D74&lt;&gt;"Serviço",AND(AUTOEVENTO="Manual",$M74=$A$15)),0,
         IF(OFFSET(CRONOPLE!$F$15,$M74-$A$15,BG$13)=0,10^12,OFFSET(CRONOPLE!$F$15,$M74-$A$15,BG$13)))</f>
        <v>5</v>
      </c>
      <c r="BH74" s="171">
        <f ca="1">IF(OR($D74&lt;&gt;"Serviço",AND(AUTOEVENTO="Manual",$M74=$A$15)),0,
         IF(OFFSET(CRONOPLE!$F$15,$M74-$A$15,BH$13)=0,10^12,OFFSET(CRONOPLE!$F$15,$M74-$A$15,BH$13)))</f>
        <v>6</v>
      </c>
      <c r="BI74" s="171">
        <f ca="1">IF(OR($D74&lt;&gt;"Serviço",AND(AUTOEVENTO="Manual",$M74=$A$15)),0,
         IF(OFFSET(CRONOPLE!$F$15,$M74-$A$15,BI$13)=0,10^12,OFFSET(CRONOPLE!$F$15,$M74-$A$15,BI$13)))</f>
        <v>7</v>
      </c>
      <c r="BJ74" s="171">
        <f ca="1">IF(OR($D74&lt;&gt;"Serviço",AND(AUTOEVENTO="Manual",$M74=$A$15)),0,
         IF(OFFSET(CRONOPLE!$F$15,$M74-$A$15,BJ$13)=0,10^12,OFFSET(CRONOPLE!$F$15,$M74-$A$15,BJ$13)))</f>
        <v>8</v>
      </c>
      <c r="BK74" s="171">
        <f ca="1">IF(OR($D74&lt;&gt;"Serviço",AND(AUTOEVENTO="Manual",$M74=$A$15)),0,
         IF(OFFSET(CRONOPLE!$F$15,$M74-$A$15,BK$13)=0,10^12,OFFSET(CRONOPLE!$F$15,$M74-$A$15,BK$13)))</f>
        <v>9</v>
      </c>
      <c r="BL74" s="171">
        <f ca="1">IF(OR($D74&lt;&gt;"Serviço",AND(AUTOEVENTO="Manual",$M74=$A$15)),0,
         IF(OFFSET(CRONOPLE!$F$15,$M74-$A$15,BL$13)=0,10^12,OFFSET(CRONOPLE!$F$15,$M74-$A$15,BL$13)))</f>
        <v>10</v>
      </c>
      <c r="BM74" s="171">
        <f ca="1">IF(OR($D74&lt;&gt;"Serviço",AND(AUTOEVENTO="Manual",$M74=$A$15)),0,
         IF(OFFSET(CRONOPLE!$F$15,$M74-$A$15,BM$13)=0,10^12,OFFSET(CRONOPLE!$F$15,$M74-$A$15,BM$13)))</f>
        <v>1000000000000</v>
      </c>
      <c r="BN74" s="171">
        <f ca="1">IF(OR($D74&lt;&gt;"Serviço",AND(AUTOEVENTO="Manual",$M74=$A$15)),0,
         IF(OFFSET(CRONOPLE!$F$15,$M74-$A$15,BN$13)=0,10^12,OFFSET(CRONOPLE!$F$15,$M74-$A$15,BN$13)))</f>
        <v>1000000000000</v>
      </c>
      <c r="BO74" s="171">
        <f ca="1">IF(OR($D74&lt;&gt;"Serviço",AND(AUTOEVENTO="Manual",$M74=$A$15)),0,
         IF(OFFSET(CRONOPLE!$F$15,$M74-$A$15,BO$13)=0,10^12,OFFSET(CRONOPLE!$F$15,$M74-$A$15,BO$13)))</f>
        <v>1000000000000</v>
      </c>
      <c r="BP74" s="171">
        <f ca="1">IF(OR($D74&lt;&gt;"Serviço",AND(AUTOEVENTO="Manual",$M74=$A$15)),0,
         IF(OFFSET(CRONOPLE!$F$15,$M74-$A$15,BP$13)=0,10^12,OFFSET(CRONOPLE!$F$15,$M74-$A$15,BP$13)))</f>
        <v>1000000000000</v>
      </c>
      <c r="BQ74" s="171">
        <f ca="1">IF(OR($D74&lt;&gt;"Serviço",AND(AUTOEVENTO="Manual",$M74=$A$15)),0,
         IF(OFFSET(CRONOPLE!$F$15,$M74-$A$15,BQ$13)=0,10^12,OFFSET(CRONOPLE!$F$15,$M74-$A$15,BQ$13)))</f>
        <v>1000000000000</v>
      </c>
      <c r="BR74" s="171">
        <f ca="1">IF(OR($D74&lt;&gt;"Serviço",AND(AUTOEVENTO="Manual",$M74=$A$15)),0,
         IF(OFFSET(CRONOPLE!$F$15,$M74-$A$15,BR$13)=0,10^12,OFFSET(CRONOPLE!$F$15,$M74-$A$15,BR$13)))</f>
        <v>1000000000000</v>
      </c>
      <c r="BS74" s="171">
        <f ca="1">IF(OR($D74&lt;&gt;"Serviço",AND(AUTOEVENTO="Manual",$M74=$A$15)),0,
         IF(OFFSET(CRONOPLE!$F$15,$M74-$A$15,BS$13)=0,10^12,OFFSET(CRONOPLE!$F$15,$M74-$A$15,BS$13)))</f>
        <v>1000000000000</v>
      </c>
      <c r="BT74" s="171">
        <f ca="1">IF(OR($D74&lt;&gt;"Serviço",AND(AUTOEVENTO="Manual",$M74=$A$15)),0,
         IF(OFFSET(CRONOPLE!$F$15,$M74-$A$15,BT$13)=0,10^12,OFFSET(CRONOPLE!$F$15,$M74-$A$15,BT$13)))</f>
        <v>1000000000000</v>
      </c>
      <c r="BV74" s="172">
        <f ca="1">IF(OR($D74&lt;&gt;"Serviço",AND(AUTOEVENTO="Manual",$M74=$A$15),$M74&gt;(ROW(PLE.lastrow)-ROW(PLE.firstrow))),0,
           IF(OFFSET(PLE!$G$15,$M74-$A$15,BV$13)="",10^12,OFFSET(PLE!$G$15,$M74-$A$15,BV$13)))</f>
        <v>1000000000000</v>
      </c>
      <c r="BW74" s="172">
        <f ca="1">IF(OR($D74&lt;&gt;"Serviço",AND(AUTOEVENTO="Manual",$M74=$A$15),$M74&gt;(ROW(PLE.lastrow)-ROW(PLE.firstrow))),0,
           IF(OFFSET(PLE!$G$15,$M74-$A$15,BW$13)="",10^12,OFFSET(PLE!$G$15,$M74-$A$15,BW$13)))</f>
        <v>1000000000000</v>
      </c>
      <c r="BX74" s="172">
        <f ca="1">IF(OR($D74&lt;&gt;"Serviço",AND(AUTOEVENTO="Manual",$M74=$A$15),$M74&gt;(ROW(PLE.lastrow)-ROW(PLE.firstrow))),0,
           IF(OFFSET(PLE!$G$15,$M74-$A$15,BX$13)="",10^12,OFFSET(PLE!$G$15,$M74-$A$15,BX$13)))</f>
        <v>1000000000000</v>
      </c>
      <c r="BY74" s="172">
        <f ca="1">IF(OR($D74&lt;&gt;"Serviço",AND(AUTOEVENTO="Manual",$M74=$A$15),$M74&gt;(ROW(PLE.lastrow)-ROW(PLE.firstrow))),0,
           IF(OFFSET(PLE!$G$15,$M74-$A$15,BY$13)="",10^12,OFFSET(PLE!$G$15,$M74-$A$15,BY$13)))</f>
        <v>1000000000000</v>
      </c>
      <c r="BZ74" s="172">
        <f ca="1">IF(OR($D74&lt;&gt;"Serviço",AND(AUTOEVENTO="Manual",$M74=$A$15),$M74&gt;(ROW(PLE.lastrow)-ROW(PLE.firstrow))),0,
           IF(OFFSET(PLE!$G$15,$M74-$A$15,BZ$13)="",10^12,OFFSET(PLE!$G$15,$M74-$A$15,BZ$13)))</f>
        <v>1000000000000</v>
      </c>
      <c r="CA74" s="172">
        <f ca="1">IF(OR($D74&lt;&gt;"Serviço",AND(AUTOEVENTO="Manual",$M74=$A$15),$M74&gt;(ROW(PLE.lastrow)-ROW(PLE.firstrow))),0,
           IF(OFFSET(PLE!$G$15,$M74-$A$15,CA$13)="",10^12,OFFSET(PLE!$G$15,$M74-$A$15,CA$13)))</f>
        <v>1000000000000</v>
      </c>
      <c r="CB74" s="172">
        <f ca="1">IF(OR($D74&lt;&gt;"Serviço",AND(AUTOEVENTO="Manual",$M74=$A$15),$M74&gt;(ROW(PLE.lastrow)-ROW(PLE.firstrow))),0,
           IF(OFFSET(PLE!$G$15,$M74-$A$15,CB$13)="",10^12,OFFSET(PLE!$G$15,$M74-$A$15,CB$13)))</f>
        <v>1000000000000</v>
      </c>
      <c r="CC74" s="172">
        <f ca="1">IF(OR($D74&lt;&gt;"Serviço",AND(AUTOEVENTO="Manual",$M74=$A$15),$M74&gt;(ROW(PLE.lastrow)-ROW(PLE.firstrow))),0,
           IF(OFFSET(PLE!$G$15,$M74-$A$15,CC$13)="",10^12,OFFSET(PLE!$G$15,$M74-$A$15,CC$13)))</f>
        <v>1000000000000</v>
      </c>
      <c r="CD74" s="172">
        <f ca="1">IF(OR($D74&lt;&gt;"Serviço",AND(AUTOEVENTO="Manual",$M74=$A$15),$M74&gt;(ROW(PLE.lastrow)-ROW(PLE.firstrow))),0,
           IF(OFFSET(PLE!$G$15,$M74-$A$15,CD$13)="",10^12,OFFSET(PLE!$G$15,$M74-$A$15,CD$13)))</f>
        <v>1000000000000</v>
      </c>
      <c r="CE74" s="172">
        <f ca="1">IF(OR($D74&lt;&gt;"Serviço",AND(AUTOEVENTO="Manual",$M74=$A$15),$M74&gt;(ROW(PLE.lastrow)-ROW(PLE.firstrow))),0,
           IF(OFFSET(PLE!$G$15,$M74-$A$15,CE$13)="",10^12,OFFSET(PLE!$G$15,$M74-$A$15,CE$13)))</f>
        <v>1000000000000</v>
      </c>
      <c r="CF74" s="172">
        <f ca="1">IF(OR($D74&lt;&gt;"Serviço",AND(AUTOEVENTO="Manual",$M74=$A$15),$M74&gt;(ROW(PLE.lastrow)-ROW(PLE.firstrow))),0,
           IF(OFFSET(PLE!$G$15,$M74-$A$15,CF$13)="",10^12,OFFSET(PLE!$G$15,$M74-$A$15,CF$13)))</f>
        <v>1000000000000</v>
      </c>
      <c r="CG74" s="172">
        <f ca="1">IF(OR($D74&lt;&gt;"Serviço",AND(AUTOEVENTO="Manual",$M74=$A$15),$M74&gt;(ROW(PLE.lastrow)-ROW(PLE.firstrow))),0,
           IF(OFFSET(PLE!$G$15,$M74-$A$15,CG$13)="",10^12,OFFSET(PLE!$G$15,$M74-$A$15,CG$13)))</f>
        <v>1000000000000</v>
      </c>
      <c r="CH74" s="172">
        <f ca="1">IF(OR($D74&lt;&gt;"Serviço",AND(AUTOEVENTO="Manual",$M74=$A$15),$M74&gt;(ROW(PLE.lastrow)-ROW(PLE.firstrow))),0,
           IF(OFFSET(PLE!$G$15,$M74-$A$15,CH$13)="",10^12,OFFSET(PLE!$G$15,$M74-$A$15,CH$13)))</f>
        <v>1000000000000</v>
      </c>
      <c r="CI74" s="172">
        <f ca="1">IF(OR($D74&lt;&gt;"Serviço",AND(AUTOEVENTO="Manual",$M74=$A$15),$M74&gt;(ROW(PLE.lastrow)-ROW(PLE.firstrow))),0,
           IF(OFFSET(PLE!$G$15,$M74-$A$15,CI$13)="",10^12,OFFSET(PLE!$G$15,$M74-$A$15,CI$13)))</f>
        <v>1000000000000</v>
      </c>
      <c r="CJ74" s="172">
        <f ca="1">IF(OR($D74&lt;&gt;"Serviço",AND(AUTOEVENTO="Manual",$M74=$A$15),$M74&gt;(ROW(PLE.lastrow)-ROW(PLE.firstrow))),0,
           IF(OFFSET(PLE!$G$15,$M74-$A$15,CJ$13)="",10^12,OFFSET(PLE!$G$15,$M74-$A$15,CJ$13)))</f>
        <v>1000000000000</v>
      </c>
      <c r="CK74" s="172">
        <f ca="1">IF(OR($D74&lt;&gt;"Serviço",AND(AUTOEVENTO="Manual",$M74=$A$15),$M74&gt;(ROW(PLE.lastrow)-ROW(PLE.firstrow))),0,
           IF(OFFSET(PLE!$G$15,$M74-$A$15,CK$13)="",10^12,OFFSET(PLE!$G$15,$M74-$A$15,CK$13)))</f>
        <v>1000000000000</v>
      </c>
      <c r="CL74" s="172">
        <f ca="1">IF(OR($D74&lt;&gt;"Serviço",AND(AUTOEVENTO="Manual",$M74=$A$15),$M74&gt;(ROW(PLE.lastrow)-ROW(PLE.firstrow))),0,
           IF(OFFSET(PLE!$G$15,$M74-$A$15,CL$13)="",10^12,OFFSET(PLE!$G$15,$M74-$A$15,CL$13)))</f>
        <v>1000000000000</v>
      </c>
      <c r="CM74" s="172">
        <f ca="1">IF(OR($D74&lt;&gt;"Serviço",AND(AUTOEVENTO="Manual",$M74=$A$15),$M74&gt;(ROW(PLE.lastrow)-ROW(PLE.firstrow))),0,
           IF(OFFSET(PLE!$G$15,$M74-$A$15,CM$13)="",10^12,OFFSET(PLE!$G$15,$M74-$A$15,CM$13)))</f>
        <v>1000000000000</v>
      </c>
    </row>
    <row r="75" spans="1:91" ht="63.75" x14ac:dyDescent="0.2">
      <c r="A75" s="7">
        <f t="shared" ca="1" si="10"/>
        <v>4</v>
      </c>
      <c r="B75" s="7" t="str">
        <f ca="1">OFFSET(ORÇAMENTO!C$15,ROW(B75)-ROW(B$15),0)</f>
        <v>S</v>
      </c>
      <c r="C75" s="7" t="str">
        <f ca="1">OFFSET(ORÇAMENTO!L$15,ROW(C75)-ROW(C$15),0)</f>
        <v>F</v>
      </c>
      <c r="D75" s="116" t="str">
        <f ca="1">OFFSET(ORÇAMENTO!N$15,ROW(D75)-ROW(D$15),0)</f>
        <v>Serviço</v>
      </c>
      <c r="E75" s="117" t="str">
        <f ca="1">OFFSET(ORÇAMENTO!O$15,ROW(E75)-ROW(E$15),0)</f>
        <v>1.5.1.2.3.</v>
      </c>
      <c r="F75" s="163" t="str">
        <f ca="1">OFFSET(ORÇAMENTO!R$15,ROW(F75)-ROW(F$15),0)</f>
        <v>FÔRMAS DE COMPENSADO RESINADO 10 MM - USO GERAL - UTILIZAÇÃO DE 3 VEZES - CONFECÇÃO, INSTALAÇÃO E RETIRADA</v>
      </c>
      <c r="G75" s="164" t="str">
        <f ca="1">IF($D75&lt;&gt;"Serviço","",OFFSET(ORÇAMENTO!S$15,ROW(G75)-ROW(G$15),0))</f>
        <v>M2</v>
      </c>
      <c r="H75" s="122" cm="1">
        <f t="array" aca="1" ref="H75" ca="1">IF($D75&lt;&gt;"Serviço",0,IF(ACOMPANHAMENTO="BM",ROUND(OFFSET(ORÇAMENTO!AJ$15,ROW(H75)-ROW(H$15),0),15-13*ORÇAMENTO!$AF$7),SUMPRODUCT(($Q$1:$AI$1=1)*ROUND($Q75:$AI75,15-13*ORÇAMENTO!$AF$7))))</f>
        <v>2.96</v>
      </c>
      <c r="I75" s="468" t="s">
        <v>1310</v>
      </c>
      <c r="J75" s="640" t="str" cm="1">
        <f t="array" aca="1" ref="J75" ca="1">IF(OR(B75&lt;&gt;"S",CÁLCULO.FrentesPreenchidas=0),"",IF(AND(ACOMPANHAMENTO="PLE",AUTOEVENTO="Manual",OR(H75&gt;0,ORÇAMENTO!AC75="QUANT."),OR(K75="",M75=0,N75="")),"►E",IF(AND(ACOMPANHAMENTO="PLE",ORÇAMENTO!AC75="QUANT."),"►Q",IF(AND(ACOMPANHAMENTO="PLE",H75&lt;&gt;SUMPRODUCT(($Q$1:$AI$1=1)*ROUND(Q75:AI75,15))),"►S",IF(AND(COUNTIF($P$11:$AI$11,"▼")=0,H75&gt;0,I75=""),"◄M","")))))</f>
        <v/>
      </c>
      <c r="K75" s="641" t="s">
        <v>1389</v>
      </c>
      <c r="L75" s="165" t="s">
        <v>764</v>
      </c>
      <c r="M75" s="166">
        <f ca="1">IF($D75&lt;&gt;"Serviço","",
          IF(AUTOEVENTO="manual",$A75,
                IF(ISERROR(MATCH($A75,$A$15:OFFSET($A75,-1,0),0)),MAX($M$15:OFFSET(M75,-1,0))+1,
                      INDEX($M$15:OFFSET(M75,-1,0),MATCH($A75,$A$15:OFFSET($A75,-1,0),0)))))</f>
        <v>4</v>
      </c>
      <c r="N75" s="167" t="str">
        <f ca="1">IF($D75&lt;&gt;"Serviço","",
         IF(AUTOEVENTO="Manual",
                IF($A75=0,"&lt;-- defina o número do agrupador",
                       OFFSET(EVENTOS!$D$15,$A75-$A$15,0)),
                OFFSET($F$15,$A75,0)))</f>
        <v>Estruturas de Concreto</v>
      </c>
      <c r="O75" s="168"/>
      <c r="Q75" s="168"/>
      <c r="R75" s="169">
        <v>2.96</v>
      </c>
      <c r="S75" s="169"/>
      <c r="T75" s="169"/>
      <c r="U75" s="169"/>
      <c r="V75" s="169"/>
      <c r="W75" s="169"/>
      <c r="X75" s="169"/>
      <c r="Y75" s="169"/>
      <c r="Z75" s="170"/>
      <c r="AA75" s="169"/>
      <c r="AB75" s="169"/>
      <c r="AC75" s="169"/>
      <c r="AD75" s="169"/>
      <c r="AE75" s="169"/>
      <c r="AF75" s="169"/>
      <c r="AG75" s="169"/>
      <c r="AH75" s="170"/>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L75" s="453">
        <f ca="1">IF(AND($D75="Serviço",AL$12&lt;&gt;0,$H75&gt;0,OR(AUTOEVENTO&lt;&gt;"manual",$M75&lt;&gt;$A$15)),
        IF(Import.TipoArredondamento&lt;&gt;"TransfereGOV",
              ROUND(OFFSET($P75,0,AL$13),15-13*ORÇAMENTO!$AF$7)/$H75*OFFSET(ORÇAMENTO!$X$15,ROW(AL75)-ROW(AL$15),0),
              ROUND(ROUND(OFFSET($P75,0,AL$13),15-13*ORÇAMENTO!$AF$7)*OFFSET(ORÇAMENTO!$W$15,ROW(AL75)-ROW(AL$15),0),15-13*ORÇAMENTO!$AF$11)),
         0)</f>
        <v>0</v>
      </c>
      <c r="AM75" s="453">
        <f ca="1">IF(AND($D75="Serviço",AM$12&lt;&gt;0,$H75&gt;0,OR(AUTOEVENTO&lt;&gt;"manual",$M75&lt;&gt;$A$15)),
        IF(Import.TipoArredondamento&lt;&gt;"TransfereGOV",
              ROUND(OFFSET($P75,0,AM$13),15-13*ORÇAMENTO!$AF$7)/$H75*OFFSET(ORÇAMENTO!$X$15,ROW(AM75)-ROW(AM$15),0),
              ROUND(ROUND(OFFSET($P75,0,AM$13),15-13*ORÇAMENTO!$AF$7)*OFFSET(ORÇAMENTO!$W$15,ROW(AM75)-ROW(AM$15),0),15-13*ORÇAMENTO!$AF$11)),
         0)</f>
        <v>0</v>
      </c>
      <c r="AN75" s="453">
        <f ca="1">IF(AND($D75="Serviço",AN$12&lt;&gt;0,$H75&gt;0,OR(AUTOEVENTO&lt;&gt;"manual",$M75&lt;&gt;$A$15)),
        IF(Import.TipoArredondamento&lt;&gt;"TransfereGOV",
              ROUND(OFFSET($P75,0,AN$13),15-13*ORÇAMENTO!$AF$7)/$H75*OFFSET(ORÇAMENTO!$X$15,ROW(AN75)-ROW(AN$15),0),
              ROUND(ROUND(OFFSET($P75,0,AN$13),15-13*ORÇAMENTO!$AF$7)*OFFSET(ORÇAMENTO!$W$15,ROW(AN75)-ROW(AN$15),0),15-13*ORÇAMENTO!$AF$11)),
         0)</f>
        <v>0</v>
      </c>
      <c r="AO75" s="453">
        <f ca="1">IF(AND($D75="Serviço",AO$12&lt;&gt;0,$H75&gt;0,OR(AUTOEVENTO&lt;&gt;"manual",$M75&lt;&gt;$A$15)),
        IF(Import.TipoArredondamento&lt;&gt;"TransfereGOV",
              ROUND(OFFSET($P75,0,AO$13),15-13*ORÇAMENTO!$AF$7)/$H75*OFFSET(ORÇAMENTO!$X$15,ROW(AO75)-ROW(AO$15),0),
              ROUND(ROUND(OFFSET($P75,0,AO$13),15-13*ORÇAMENTO!$AF$7)*OFFSET(ORÇAMENTO!$W$15,ROW(AO75)-ROW(AO$15),0),15-13*ORÇAMENTO!$AF$11)),
         0)</f>
        <v>0</v>
      </c>
      <c r="AP75" s="453">
        <f ca="1">IF(AND($D75="Serviço",AP$12&lt;&gt;0,$H75&gt;0,OR(AUTOEVENTO&lt;&gt;"manual",$M75&lt;&gt;$A$15)),
        IF(Import.TipoArredondamento&lt;&gt;"TransfereGOV",
              ROUND(OFFSET($P75,0,AP$13),15-13*ORÇAMENTO!$AF$7)/$H75*OFFSET(ORÇAMENTO!$X$15,ROW(AP75)-ROW(AP$15),0),
              ROUND(ROUND(OFFSET($P75,0,AP$13),15-13*ORÇAMENTO!$AF$7)*OFFSET(ORÇAMENTO!$W$15,ROW(AP75)-ROW(AP$15),0),15-13*ORÇAMENTO!$AF$11)),
         0)</f>
        <v>0</v>
      </c>
      <c r="AQ75" s="453">
        <f ca="1">IF(AND($D75="Serviço",AQ$12&lt;&gt;0,$H75&gt;0,OR(AUTOEVENTO&lt;&gt;"manual",$M75&lt;&gt;$A$15)),
        IF(Import.TipoArredondamento&lt;&gt;"TransfereGOV",
              ROUND(OFFSET($P75,0,AQ$13),15-13*ORÇAMENTO!$AF$7)/$H75*OFFSET(ORÇAMENTO!$X$15,ROW(AQ75)-ROW(AQ$15),0),
              ROUND(ROUND(OFFSET($P75,0,AQ$13),15-13*ORÇAMENTO!$AF$7)*OFFSET(ORÇAMENTO!$W$15,ROW(AQ75)-ROW(AQ$15),0),15-13*ORÇAMENTO!$AF$11)),
         0)</f>
        <v>0</v>
      </c>
      <c r="AR75" s="453">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3">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3">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3">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3">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3">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3">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3">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3">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3">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C75" s="171">
        <f ca="1">IF(OR($D75&lt;&gt;"Serviço",AND(AUTOEVENTO="Manual",$M75=$A$15)),0,
         IF(OFFSET(CRONOPLE!$F$15,$M75-$A$15,BC$13)=0,10^12,OFFSET(CRONOPLE!$F$15,$M75-$A$15,BC$13)))</f>
        <v>1</v>
      </c>
      <c r="BD75" s="171">
        <f ca="1">IF(OR($D75&lt;&gt;"Serviço",AND(AUTOEVENTO="Manual",$M75=$A$15)),0,
         IF(OFFSET(CRONOPLE!$F$15,$M75-$A$15,BD$13)=0,10^12,OFFSET(CRONOPLE!$F$15,$M75-$A$15,BD$13)))</f>
        <v>2</v>
      </c>
      <c r="BE75" s="171">
        <f ca="1">IF(OR($D75&lt;&gt;"Serviço",AND(AUTOEVENTO="Manual",$M75=$A$15)),0,
         IF(OFFSET(CRONOPLE!$F$15,$M75-$A$15,BE$13)=0,10^12,OFFSET(CRONOPLE!$F$15,$M75-$A$15,BE$13)))</f>
        <v>3</v>
      </c>
      <c r="BF75" s="171">
        <f ca="1">IF(OR($D75&lt;&gt;"Serviço",AND(AUTOEVENTO="Manual",$M75=$A$15)),0,
         IF(OFFSET(CRONOPLE!$F$15,$M75-$A$15,BF$13)=0,10^12,OFFSET(CRONOPLE!$F$15,$M75-$A$15,BF$13)))</f>
        <v>4</v>
      </c>
      <c r="BG75" s="171">
        <f ca="1">IF(OR($D75&lt;&gt;"Serviço",AND(AUTOEVENTO="Manual",$M75=$A$15)),0,
         IF(OFFSET(CRONOPLE!$F$15,$M75-$A$15,BG$13)=0,10^12,OFFSET(CRONOPLE!$F$15,$M75-$A$15,BG$13)))</f>
        <v>5</v>
      </c>
      <c r="BH75" s="171">
        <f ca="1">IF(OR($D75&lt;&gt;"Serviço",AND(AUTOEVENTO="Manual",$M75=$A$15)),0,
         IF(OFFSET(CRONOPLE!$F$15,$M75-$A$15,BH$13)=0,10^12,OFFSET(CRONOPLE!$F$15,$M75-$A$15,BH$13)))</f>
        <v>6</v>
      </c>
      <c r="BI75" s="171">
        <f ca="1">IF(OR($D75&lt;&gt;"Serviço",AND(AUTOEVENTO="Manual",$M75=$A$15)),0,
         IF(OFFSET(CRONOPLE!$F$15,$M75-$A$15,BI$13)=0,10^12,OFFSET(CRONOPLE!$F$15,$M75-$A$15,BI$13)))</f>
        <v>7</v>
      </c>
      <c r="BJ75" s="171">
        <f ca="1">IF(OR($D75&lt;&gt;"Serviço",AND(AUTOEVENTO="Manual",$M75=$A$15)),0,
         IF(OFFSET(CRONOPLE!$F$15,$M75-$A$15,BJ$13)=0,10^12,OFFSET(CRONOPLE!$F$15,$M75-$A$15,BJ$13)))</f>
        <v>8</v>
      </c>
      <c r="BK75" s="171">
        <f ca="1">IF(OR($D75&lt;&gt;"Serviço",AND(AUTOEVENTO="Manual",$M75=$A$15)),0,
         IF(OFFSET(CRONOPLE!$F$15,$M75-$A$15,BK$13)=0,10^12,OFFSET(CRONOPLE!$F$15,$M75-$A$15,BK$13)))</f>
        <v>9</v>
      </c>
      <c r="BL75" s="171">
        <f ca="1">IF(OR($D75&lt;&gt;"Serviço",AND(AUTOEVENTO="Manual",$M75=$A$15)),0,
         IF(OFFSET(CRONOPLE!$F$15,$M75-$A$15,BL$13)=0,10^12,OFFSET(CRONOPLE!$F$15,$M75-$A$15,BL$13)))</f>
        <v>10</v>
      </c>
      <c r="BM75" s="171">
        <f ca="1">IF(OR($D75&lt;&gt;"Serviço",AND(AUTOEVENTO="Manual",$M75=$A$15)),0,
         IF(OFFSET(CRONOPLE!$F$15,$M75-$A$15,BM$13)=0,10^12,OFFSET(CRONOPLE!$F$15,$M75-$A$15,BM$13)))</f>
        <v>1000000000000</v>
      </c>
      <c r="BN75" s="171">
        <f ca="1">IF(OR($D75&lt;&gt;"Serviço",AND(AUTOEVENTO="Manual",$M75=$A$15)),0,
         IF(OFFSET(CRONOPLE!$F$15,$M75-$A$15,BN$13)=0,10^12,OFFSET(CRONOPLE!$F$15,$M75-$A$15,BN$13)))</f>
        <v>1000000000000</v>
      </c>
      <c r="BO75" s="171">
        <f ca="1">IF(OR($D75&lt;&gt;"Serviço",AND(AUTOEVENTO="Manual",$M75=$A$15)),0,
         IF(OFFSET(CRONOPLE!$F$15,$M75-$A$15,BO$13)=0,10^12,OFFSET(CRONOPLE!$F$15,$M75-$A$15,BO$13)))</f>
        <v>1000000000000</v>
      </c>
      <c r="BP75" s="171">
        <f ca="1">IF(OR($D75&lt;&gt;"Serviço",AND(AUTOEVENTO="Manual",$M75=$A$15)),0,
         IF(OFFSET(CRONOPLE!$F$15,$M75-$A$15,BP$13)=0,10^12,OFFSET(CRONOPLE!$F$15,$M75-$A$15,BP$13)))</f>
        <v>1000000000000</v>
      </c>
      <c r="BQ75" s="171">
        <f ca="1">IF(OR($D75&lt;&gt;"Serviço",AND(AUTOEVENTO="Manual",$M75=$A$15)),0,
         IF(OFFSET(CRONOPLE!$F$15,$M75-$A$15,BQ$13)=0,10^12,OFFSET(CRONOPLE!$F$15,$M75-$A$15,BQ$13)))</f>
        <v>1000000000000</v>
      </c>
      <c r="BR75" s="171">
        <f ca="1">IF(OR($D75&lt;&gt;"Serviço",AND(AUTOEVENTO="Manual",$M75=$A$15)),0,
         IF(OFFSET(CRONOPLE!$F$15,$M75-$A$15,BR$13)=0,10^12,OFFSET(CRONOPLE!$F$15,$M75-$A$15,BR$13)))</f>
        <v>1000000000000</v>
      </c>
      <c r="BS75" s="171">
        <f ca="1">IF(OR($D75&lt;&gt;"Serviço",AND(AUTOEVENTO="Manual",$M75=$A$15)),0,
         IF(OFFSET(CRONOPLE!$F$15,$M75-$A$15,BS$13)=0,10^12,OFFSET(CRONOPLE!$F$15,$M75-$A$15,BS$13)))</f>
        <v>1000000000000</v>
      </c>
      <c r="BT75" s="171">
        <f ca="1">IF(OR($D75&lt;&gt;"Serviço",AND(AUTOEVENTO="Manual",$M75=$A$15)),0,
         IF(OFFSET(CRONOPLE!$F$15,$M75-$A$15,BT$13)=0,10^12,OFFSET(CRONOPLE!$F$15,$M75-$A$15,BT$13)))</f>
        <v>1000000000000</v>
      </c>
      <c r="BV75" s="172">
        <f ca="1">IF(OR($D75&lt;&gt;"Serviço",AND(AUTOEVENTO="Manual",$M75=$A$15),$M75&gt;(ROW(PLE.lastrow)-ROW(PLE.firstrow))),0,
           IF(OFFSET(PLE!$G$15,$M75-$A$15,BV$13)="",10^12,OFFSET(PLE!$G$15,$M75-$A$15,BV$13)))</f>
        <v>1000000000000</v>
      </c>
      <c r="BW75" s="172">
        <f ca="1">IF(OR($D75&lt;&gt;"Serviço",AND(AUTOEVENTO="Manual",$M75=$A$15),$M75&gt;(ROW(PLE.lastrow)-ROW(PLE.firstrow))),0,
           IF(OFFSET(PLE!$G$15,$M75-$A$15,BW$13)="",10^12,OFFSET(PLE!$G$15,$M75-$A$15,BW$13)))</f>
        <v>1000000000000</v>
      </c>
      <c r="BX75" s="172">
        <f ca="1">IF(OR($D75&lt;&gt;"Serviço",AND(AUTOEVENTO="Manual",$M75=$A$15),$M75&gt;(ROW(PLE.lastrow)-ROW(PLE.firstrow))),0,
           IF(OFFSET(PLE!$G$15,$M75-$A$15,BX$13)="",10^12,OFFSET(PLE!$G$15,$M75-$A$15,BX$13)))</f>
        <v>1000000000000</v>
      </c>
      <c r="BY75" s="172">
        <f ca="1">IF(OR($D75&lt;&gt;"Serviço",AND(AUTOEVENTO="Manual",$M75=$A$15),$M75&gt;(ROW(PLE.lastrow)-ROW(PLE.firstrow))),0,
           IF(OFFSET(PLE!$G$15,$M75-$A$15,BY$13)="",10^12,OFFSET(PLE!$G$15,$M75-$A$15,BY$13)))</f>
        <v>1000000000000</v>
      </c>
      <c r="BZ75" s="172">
        <f ca="1">IF(OR($D75&lt;&gt;"Serviço",AND(AUTOEVENTO="Manual",$M75=$A$15),$M75&gt;(ROW(PLE.lastrow)-ROW(PLE.firstrow))),0,
           IF(OFFSET(PLE!$G$15,$M75-$A$15,BZ$13)="",10^12,OFFSET(PLE!$G$15,$M75-$A$15,BZ$13)))</f>
        <v>1000000000000</v>
      </c>
      <c r="CA75" s="172">
        <f ca="1">IF(OR($D75&lt;&gt;"Serviço",AND(AUTOEVENTO="Manual",$M75=$A$15),$M75&gt;(ROW(PLE.lastrow)-ROW(PLE.firstrow))),0,
           IF(OFFSET(PLE!$G$15,$M75-$A$15,CA$13)="",10^12,OFFSET(PLE!$G$15,$M75-$A$15,CA$13)))</f>
        <v>1000000000000</v>
      </c>
      <c r="CB75" s="172">
        <f ca="1">IF(OR($D75&lt;&gt;"Serviço",AND(AUTOEVENTO="Manual",$M75=$A$15),$M75&gt;(ROW(PLE.lastrow)-ROW(PLE.firstrow))),0,
           IF(OFFSET(PLE!$G$15,$M75-$A$15,CB$13)="",10^12,OFFSET(PLE!$G$15,$M75-$A$15,CB$13)))</f>
        <v>1000000000000</v>
      </c>
      <c r="CC75" s="172">
        <f ca="1">IF(OR($D75&lt;&gt;"Serviço",AND(AUTOEVENTO="Manual",$M75=$A$15),$M75&gt;(ROW(PLE.lastrow)-ROW(PLE.firstrow))),0,
           IF(OFFSET(PLE!$G$15,$M75-$A$15,CC$13)="",10^12,OFFSET(PLE!$G$15,$M75-$A$15,CC$13)))</f>
        <v>1000000000000</v>
      </c>
      <c r="CD75" s="172">
        <f ca="1">IF(OR($D75&lt;&gt;"Serviço",AND(AUTOEVENTO="Manual",$M75=$A$15),$M75&gt;(ROW(PLE.lastrow)-ROW(PLE.firstrow))),0,
           IF(OFFSET(PLE!$G$15,$M75-$A$15,CD$13)="",10^12,OFFSET(PLE!$G$15,$M75-$A$15,CD$13)))</f>
        <v>1000000000000</v>
      </c>
      <c r="CE75" s="172">
        <f ca="1">IF(OR($D75&lt;&gt;"Serviço",AND(AUTOEVENTO="Manual",$M75=$A$15),$M75&gt;(ROW(PLE.lastrow)-ROW(PLE.firstrow))),0,
           IF(OFFSET(PLE!$G$15,$M75-$A$15,CE$13)="",10^12,OFFSET(PLE!$G$15,$M75-$A$15,CE$13)))</f>
        <v>1000000000000</v>
      </c>
      <c r="CF75" s="172">
        <f ca="1">IF(OR($D75&lt;&gt;"Serviço",AND(AUTOEVENTO="Manual",$M75=$A$15),$M75&gt;(ROW(PLE.lastrow)-ROW(PLE.firstrow))),0,
           IF(OFFSET(PLE!$G$15,$M75-$A$15,CF$13)="",10^12,OFFSET(PLE!$G$15,$M75-$A$15,CF$13)))</f>
        <v>1000000000000</v>
      </c>
      <c r="CG75" s="172">
        <f ca="1">IF(OR($D75&lt;&gt;"Serviço",AND(AUTOEVENTO="Manual",$M75=$A$15),$M75&gt;(ROW(PLE.lastrow)-ROW(PLE.firstrow))),0,
           IF(OFFSET(PLE!$G$15,$M75-$A$15,CG$13)="",10^12,OFFSET(PLE!$G$15,$M75-$A$15,CG$13)))</f>
        <v>1000000000000</v>
      </c>
      <c r="CH75" s="172">
        <f ca="1">IF(OR($D75&lt;&gt;"Serviço",AND(AUTOEVENTO="Manual",$M75=$A$15),$M75&gt;(ROW(PLE.lastrow)-ROW(PLE.firstrow))),0,
           IF(OFFSET(PLE!$G$15,$M75-$A$15,CH$13)="",10^12,OFFSET(PLE!$G$15,$M75-$A$15,CH$13)))</f>
        <v>1000000000000</v>
      </c>
      <c r="CI75" s="172">
        <f ca="1">IF(OR($D75&lt;&gt;"Serviço",AND(AUTOEVENTO="Manual",$M75=$A$15),$M75&gt;(ROW(PLE.lastrow)-ROW(PLE.firstrow))),0,
           IF(OFFSET(PLE!$G$15,$M75-$A$15,CI$13)="",10^12,OFFSET(PLE!$G$15,$M75-$A$15,CI$13)))</f>
        <v>1000000000000</v>
      </c>
      <c r="CJ75" s="172">
        <f ca="1">IF(OR($D75&lt;&gt;"Serviço",AND(AUTOEVENTO="Manual",$M75=$A$15),$M75&gt;(ROW(PLE.lastrow)-ROW(PLE.firstrow))),0,
           IF(OFFSET(PLE!$G$15,$M75-$A$15,CJ$13)="",10^12,OFFSET(PLE!$G$15,$M75-$A$15,CJ$13)))</f>
        <v>1000000000000</v>
      </c>
      <c r="CK75" s="172">
        <f ca="1">IF(OR($D75&lt;&gt;"Serviço",AND(AUTOEVENTO="Manual",$M75=$A$15),$M75&gt;(ROW(PLE.lastrow)-ROW(PLE.firstrow))),0,
           IF(OFFSET(PLE!$G$15,$M75-$A$15,CK$13)="",10^12,OFFSET(PLE!$G$15,$M75-$A$15,CK$13)))</f>
        <v>1000000000000</v>
      </c>
      <c r="CL75" s="172">
        <f ca="1">IF(OR($D75&lt;&gt;"Serviço",AND(AUTOEVENTO="Manual",$M75=$A$15),$M75&gt;(ROW(PLE.lastrow)-ROW(PLE.firstrow))),0,
           IF(OFFSET(PLE!$G$15,$M75-$A$15,CL$13)="",10^12,OFFSET(PLE!$G$15,$M75-$A$15,CL$13)))</f>
        <v>1000000000000</v>
      </c>
      <c r="CM75" s="172">
        <f ca="1">IF(OR($D75&lt;&gt;"Serviço",AND(AUTOEVENTO="Manual",$M75=$A$15),$M75&gt;(ROW(PLE.lastrow)-ROW(PLE.firstrow))),0,
           IF(OFFSET(PLE!$G$15,$M75-$A$15,CM$13)="",10^12,OFFSET(PLE!$G$15,$M75-$A$15,CM$13)))</f>
        <v>1000000000000</v>
      </c>
    </row>
    <row r="76" spans="1:91" ht="25.5" x14ac:dyDescent="0.2">
      <c r="A76" s="7">
        <f t="shared" ca="1" si="10"/>
        <v>4</v>
      </c>
      <c r="B76" s="7" t="str">
        <f ca="1">OFFSET(ORÇAMENTO!C$15,ROW(B76)-ROW(B$15),0)</f>
        <v>S</v>
      </c>
      <c r="C76" s="7" t="str">
        <f ca="1">OFFSET(ORÇAMENTO!L$15,ROW(C76)-ROW(C$15),0)</f>
        <v>F</v>
      </c>
      <c r="D76" s="116" t="str">
        <f ca="1">OFFSET(ORÇAMENTO!N$15,ROW(D76)-ROW(D$15),0)</f>
        <v>Serviço</v>
      </c>
      <c r="E76" s="117" t="str">
        <f ca="1">OFFSET(ORÇAMENTO!O$15,ROW(E76)-ROW(E$15),0)</f>
        <v>1.5.1.2.4.</v>
      </c>
      <c r="F76" s="163" t="str">
        <f ca="1">OFFSET(ORÇAMENTO!R$15,ROW(F76)-ROW(F$15),0)</f>
        <v>LASTRO DE CONCRETO MAGRO, APLICADO EM BLOCOS DE COROAMENTO OU SAPATAS. AF_01/2024</v>
      </c>
      <c r="G76" s="164" t="str">
        <f ca="1">IF($D76&lt;&gt;"Serviço","",OFFSET(ORÇAMENTO!S$15,ROW(G76)-ROW(G$15),0))</f>
        <v>M3</v>
      </c>
      <c r="H76" s="122" cm="1">
        <f t="array" aca="1" ref="H76" ca="1">IF($D76&lt;&gt;"Serviço",0,IF(ACOMPANHAMENTO="BM",ROUND(OFFSET(ORÇAMENTO!AJ$15,ROW(H76)-ROW(H$15),0),15-13*ORÇAMENTO!$AF$7),SUMPRODUCT(($Q$1:$AI$1=1)*ROUND($Q76:$AI76,15-13*ORÇAMENTO!$AF$7))))</f>
        <v>0.24</v>
      </c>
      <c r="I76" s="468" t="s">
        <v>1311</v>
      </c>
      <c r="J76" s="640" t="str" cm="1">
        <f t="array" aca="1" ref="J76" ca="1">IF(OR(B76&lt;&gt;"S",CÁLCULO.FrentesPreenchidas=0),"",IF(AND(ACOMPANHAMENTO="PLE",AUTOEVENTO="Manual",OR(H76&gt;0,ORÇAMENTO!AC76="QUANT."),OR(K76="",M76=0,N76="")),"►E",IF(AND(ACOMPANHAMENTO="PLE",ORÇAMENTO!AC76="QUANT."),"►Q",IF(AND(ACOMPANHAMENTO="PLE",H76&lt;&gt;SUMPRODUCT(($Q$1:$AI$1=1)*ROUND(Q76:AI76,15))),"►S",IF(AND(COUNTIF($P$11:$AI$11,"▼")=0,H76&gt;0,I76=""),"◄M","")))))</f>
        <v/>
      </c>
      <c r="K76" s="641" t="s">
        <v>1389</v>
      </c>
      <c r="L76" s="165" t="s">
        <v>764</v>
      </c>
      <c r="M76" s="166">
        <f ca="1">IF($D76&lt;&gt;"Serviço","",
          IF(AUTOEVENTO="manual",$A76,
                IF(ISERROR(MATCH($A76,$A$15:OFFSET($A76,-1,0),0)),MAX($M$15:OFFSET(M76,-1,0))+1,
                      INDEX($M$15:OFFSET(M76,-1,0),MATCH($A76,$A$15:OFFSET($A76,-1,0),0)))))</f>
        <v>4</v>
      </c>
      <c r="N76" s="167" t="str">
        <f ca="1">IF($D76&lt;&gt;"Serviço","",
         IF(AUTOEVENTO="Manual",
                IF($A76=0,"&lt;-- defina o número do agrupador",
                       OFFSET(EVENTOS!$D$15,$A76-$A$15,0)),
                OFFSET($F$15,$A76,0)))</f>
        <v>Estruturas de Concreto</v>
      </c>
      <c r="O76" s="168"/>
      <c r="Q76" s="168"/>
      <c r="R76" s="169">
        <f>ROUND(R74*0.05,2)</f>
        <v>0.24</v>
      </c>
      <c r="S76" s="169"/>
      <c r="T76" s="169"/>
      <c r="U76" s="169"/>
      <c r="V76" s="169"/>
      <c r="W76" s="169"/>
      <c r="X76" s="169"/>
      <c r="Y76" s="169"/>
      <c r="Z76" s="170"/>
      <c r="AA76" s="169"/>
      <c r="AB76" s="169"/>
      <c r="AC76" s="169"/>
      <c r="AD76" s="169"/>
      <c r="AE76" s="169"/>
      <c r="AF76" s="169"/>
      <c r="AG76" s="169"/>
      <c r="AH76" s="170"/>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L76" s="453">
        <f ca="1">IF(AND($D76="Serviço",AL$12&lt;&gt;0,$H76&gt;0,OR(AUTOEVENTO&lt;&gt;"manual",$M76&lt;&gt;$A$15)),
        IF(Import.TipoArredondamento&lt;&gt;"TransfereGOV",
              ROUND(OFFSET($P76,0,AL$13),15-13*ORÇAMENTO!$AF$7)/$H76*OFFSET(ORÇAMENTO!$X$15,ROW(AL76)-ROW(AL$15),0),
              ROUND(ROUND(OFFSET($P76,0,AL$13),15-13*ORÇAMENTO!$AF$7)*OFFSET(ORÇAMENTO!$W$15,ROW(AL76)-ROW(AL$15),0),15-13*ORÇAMENTO!$AF$11)),
         0)</f>
        <v>0</v>
      </c>
      <c r="AM76" s="453">
        <f ca="1">IF(AND($D76="Serviço",AM$12&lt;&gt;0,$H76&gt;0,OR(AUTOEVENTO&lt;&gt;"manual",$M76&lt;&gt;$A$15)),
        IF(Import.TipoArredondamento&lt;&gt;"TransfereGOV",
              ROUND(OFFSET($P76,0,AM$13),15-13*ORÇAMENTO!$AF$7)/$H76*OFFSET(ORÇAMENTO!$X$15,ROW(AM76)-ROW(AM$15),0),
              ROUND(ROUND(OFFSET($P76,0,AM$13),15-13*ORÇAMENTO!$AF$7)*OFFSET(ORÇAMENTO!$W$15,ROW(AM76)-ROW(AM$15),0),15-13*ORÇAMENTO!$AF$11)),
         0)</f>
        <v>0</v>
      </c>
      <c r="AN76" s="453">
        <f ca="1">IF(AND($D76="Serviço",AN$12&lt;&gt;0,$H76&gt;0,OR(AUTOEVENTO&lt;&gt;"manual",$M76&lt;&gt;$A$15)),
        IF(Import.TipoArredondamento&lt;&gt;"TransfereGOV",
              ROUND(OFFSET($P76,0,AN$13),15-13*ORÇAMENTO!$AF$7)/$H76*OFFSET(ORÇAMENTO!$X$15,ROW(AN76)-ROW(AN$15),0),
              ROUND(ROUND(OFFSET($P76,0,AN$13),15-13*ORÇAMENTO!$AF$7)*OFFSET(ORÇAMENTO!$W$15,ROW(AN76)-ROW(AN$15),0),15-13*ORÇAMENTO!$AF$11)),
         0)</f>
        <v>0</v>
      </c>
      <c r="AO76" s="453">
        <f ca="1">IF(AND($D76="Serviço",AO$12&lt;&gt;0,$H76&gt;0,OR(AUTOEVENTO&lt;&gt;"manual",$M76&lt;&gt;$A$15)),
        IF(Import.TipoArredondamento&lt;&gt;"TransfereGOV",
              ROUND(OFFSET($P76,0,AO$13),15-13*ORÇAMENTO!$AF$7)/$H76*OFFSET(ORÇAMENTO!$X$15,ROW(AO76)-ROW(AO$15),0),
              ROUND(ROUND(OFFSET($P76,0,AO$13),15-13*ORÇAMENTO!$AF$7)*OFFSET(ORÇAMENTO!$W$15,ROW(AO76)-ROW(AO$15),0),15-13*ORÇAMENTO!$AF$11)),
         0)</f>
        <v>0</v>
      </c>
      <c r="AP76" s="453">
        <f ca="1">IF(AND($D76="Serviço",AP$12&lt;&gt;0,$H76&gt;0,OR(AUTOEVENTO&lt;&gt;"manual",$M76&lt;&gt;$A$15)),
        IF(Import.TipoArredondamento&lt;&gt;"TransfereGOV",
              ROUND(OFFSET($P76,0,AP$13),15-13*ORÇAMENTO!$AF$7)/$H76*OFFSET(ORÇAMENTO!$X$15,ROW(AP76)-ROW(AP$15),0),
              ROUND(ROUND(OFFSET($P76,0,AP$13),15-13*ORÇAMENTO!$AF$7)*OFFSET(ORÇAMENTO!$W$15,ROW(AP76)-ROW(AP$15),0),15-13*ORÇAMENTO!$AF$11)),
         0)</f>
        <v>0</v>
      </c>
      <c r="AQ76" s="453">
        <f ca="1">IF(AND($D76="Serviço",AQ$12&lt;&gt;0,$H76&gt;0,OR(AUTOEVENTO&lt;&gt;"manual",$M76&lt;&gt;$A$15)),
        IF(Import.TipoArredondamento&lt;&gt;"TransfereGOV",
              ROUND(OFFSET($P76,0,AQ$13),15-13*ORÇAMENTO!$AF$7)/$H76*OFFSET(ORÇAMENTO!$X$15,ROW(AQ76)-ROW(AQ$15),0),
              ROUND(ROUND(OFFSET($P76,0,AQ$13),15-13*ORÇAMENTO!$AF$7)*OFFSET(ORÇAMENTO!$W$15,ROW(AQ76)-ROW(AQ$15),0),15-13*ORÇAMENTO!$AF$11)),
         0)</f>
        <v>0</v>
      </c>
      <c r="AR76" s="453">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3">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3">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3">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3">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3">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3">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3">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3">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3">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C76" s="171">
        <f ca="1">IF(OR($D76&lt;&gt;"Serviço",AND(AUTOEVENTO="Manual",$M76=$A$15)),0,
         IF(OFFSET(CRONOPLE!$F$15,$M76-$A$15,BC$13)=0,10^12,OFFSET(CRONOPLE!$F$15,$M76-$A$15,BC$13)))</f>
        <v>1</v>
      </c>
      <c r="BD76" s="171">
        <f ca="1">IF(OR($D76&lt;&gt;"Serviço",AND(AUTOEVENTO="Manual",$M76=$A$15)),0,
         IF(OFFSET(CRONOPLE!$F$15,$M76-$A$15,BD$13)=0,10^12,OFFSET(CRONOPLE!$F$15,$M76-$A$15,BD$13)))</f>
        <v>2</v>
      </c>
      <c r="BE76" s="171">
        <f ca="1">IF(OR($D76&lt;&gt;"Serviço",AND(AUTOEVENTO="Manual",$M76=$A$15)),0,
         IF(OFFSET(CRONOPLE!$F$15,$M76-$A$15,BE$13)=0,10^12,OFFSET(CRONOPLE!$F$15,$M76-$A$15,BE$13)))</f>
        <v>3</v>
      </c>
      <c r="BF76" s="171">
        <f ca="1">IF(OR($D76&lt;&gt;"Serviço",AND(AUTOEVENTO="Manual",$M76=$A$15)),0,
         IF(OFFSET(CRONOPLE!$F$15,$M76-$A$15,BF$13)=0,10^12,OFFSET(CRONOPLE!$F$15,$M76-$A$15,BF$13)))</f>
        <v>4</v>
      </c>
      <c r="BG76" s="171">
        <f ca="1">IF(OR($D76&lt;&gt;"Serviço",AND(AUTOEVENTO="Manual",$M76=$A$15)),0,
         IF(OFFSET(CRONOPLE!$F$15,$M76-$A$15,BG$13)=0,10^12,OFFSET(CRONOPLE!$F$15,$M76-$A$15,BG$13)))</f>
        <v>5</v>
      </c>
      <c r="BH76" s="171">
        <f ca="1">IF(OR($D76&lt;&gt;"Serviço",AND(AUTOEVENTO="Manual",$M76=$A$15)),0,
         IF(OFFSET(CRONOPLE!$F$15,$M76-$A$15,BH$13)=0,10^12,OFFSET(CRONOPLE!$F$15,$M76-$A$15,BH$13)))</f>
        <v>6</v>
      </c>
      <c r="BI76" s="171">
        <f ca="1">IF(OR($D76&lt;&gt;"Serviço",AND(AUTOEVENTO="Manual",$M76=$A$15)),0,
         IF(OFFSET(CRONOPLE!$F$15,$M76-$A$15,BI$13)=0,10^12,OFFSET(CRONOPLE!$F$15,$M76-$A$15,BI$13)))</f>
        <v>7</v>
      </c>
      <c r="BJ76" s="171">
        <f ca="1">IF(OR($D76&lt;&gt;"Serviço",AND(AUTOEVENTO="Manual",$M76=$A$15)),0,
         IF(OFFSET(CRONOPLE!$F$15,$M76-$A$15,BJ$13)=0,10^12,OFFSET(CRONOPLE!$F$15,$M76-$A$15,BJ$13)))</f>
        <v>8</v>
      </c>
      <c r="BK76" s="171">
        <f ca="1">IF(OR($D76&lt;&gt;"Serviço",AND(AUTOEVENTO="Manual",$M76=$A$15)),0,
         IF(OFFSET(CRONOPLE!$F$15,$M76-$A$15,BK$13)=0,10^12,OFFSET(CRONOPLE!$F$15,$M76-$A$15,BK$13)))</f>
        <v>9</v>
      </c>
      <c r="BL76" s="171">
        <f ca="1">IF(OR($D76&lt;&gt;"Serviço",AND(AUTOEVENTO="Manual",$M76=$A$15)),0,
         IF(OFFSET(CRONOPLE!$F$15,$M76-$A$15,BL$13)=0,10^12,OFFSET(CRONOPLE!$F$15,$M76-$A$15,BL$13)))</f>
        <v>10</v>
      </c>
      <c r="BM76" s="171">
        <f ca="1">IF(OR($D76&lt;&gt;"Serviço",AND(AUTOEVENTO="Manual",$M76=$A$15)),0,
         IF(OFFSET(CRONOPLE!$F$15,$M76-$A$15,BM$13)=0,10^12,OFFSET(CRONOPLE!$F$15,$M76-$A$15,BM$13)))</f>
        <v>1000000000000</v>
      </c>
      <c r="BN76" s="171">
        <f ca="1">IF(OR($D76&lt;&gt;"Serviço",AND(AUTOEVENTO="Manual",$M76=$A$15)),0,
         IF(OFFSET(CRONOPLE!$F$15,$M76-$A$15,BN$13)=0,10^12,OFFSET(CRONOPLE!$F$15,$M76-$A$15,BN$13)))</f>
        <v>1000000000000</v>
      </c>
      <c r="BO76" s="171">
        <f ca="1">IF(OR($D76&lt;&gt;"Serviço",AND(AUTOEVENTO="Manual",$M76=$A$15)),0,
         IF(OFFSET(CRONOPLE!$F$15,$M76-$A$15,BO$13)=0,10^12,OFFSET(CRONOPLE!$F$15,$M76-$A$15,BO$13)))</f>
        <v>1000000000000</v>
      </c>
      <c r="BP76" s="171">
        <f ca="1">IF(OR($D76&lt;&gt;"Serviço",AND(AUTOEVENTO="Manual",$M76=$A$15)),0,
         IF(OFFSET(CRONOPLE!$F$15,$M76-$A$15,BP$13)=0,10^12,OFFSET(CRONOPLE!$F$15,$M76-$A$15,BP$13)))</f>
        <v>1000000000000</v>
      </c>
      <c r="BQ76" s="171">
        <f ca="1">IF(OR($D76&lt;&gt;"Serviço",AND(AUTOEVENTO="Manual",$M76=$A$15)),0,
         IF(OFFSET(CRONOPLE!$F$15,$M76-$A$15,BQ$13)=0,10^12,OFFSET(CRONOPLE!$F$15,$M76-$A$15,BQ$13)))</f>
        <v>1000000000000</v>
      </c>
      <c r="BR76" s="171">
        <f ca="1">IF(OR($D76&lt;&gt;"Serviço",AND(AUTOEVENTO="Manual",$M76=$A$15)),0,
         IF(OFFSET(CRONOPLE!$F$15,$M76-$A$15,BR$13)=0,10^12,OFFSET(CRONOPLE!$F$15,$M76-$A$15,BR$13)))</f>
        <v>1000000000000</v>
      </c>
      <c r="BS76" s="171">
        <f ca="1">IF(OR($D76&lt;&gt;"Serviço",AND(AUTOEVENTO="Manual",$M76=$A$15)),0,
         IF(OFFSET(CRONOPLE!$F$15,$M76-$A$15,BS$13)=0,10^12,OFFSET(CRONOPLE!$F$15,$M76-$A$15,BS$13)))</f>
        <v>1000000000000</v>
      </c>
      <c r="BT76" s="171">
        <f ca="1">IF(OR($D76&lt;&gt;"Serviço",AND(AUTOEVENTO="Manual",$M76=$A$15)),0,
         IF(OFFSET(CRONOPLE!$F$15,$M76-$A$15,BT$13)=0,10^12,OFFSET(CRONOPLE!$F$15,$M76-$A$15,BT$13)))</f>
        <v>1000000000000</v>
      </c>
      <c r="BV76" s="172">
        <f ca="1">IF(OR($D76&lt;&gt;"Serviço",AND(AUTOEVENTO="Manual",$M76=$A$15),$M76&gt;(ROW(PLE.lastrow)-ROW(PLE.firstrow))),0,
           IF(OFFSET(PLE!$G$15,$M76-$A$15,BV$13)="",10^12,OFFSET(PLE!$G$15,$M76-$A$15,BV$13)))</f>
        <v>1000000000000</v>
      </c>
      <c r="BW76" s="172">
        <f ca="1">IF(OR($D76&lt;&gt;"Serviço",AND(AUTOEVENTO="Manual",$M76=$A$15),$M76&gt;(ROW(PLE.lastrow)-ROW(PLE.firstrow))),0,
           IF(OFFSET(PLE!$G$15,$M76-$A$15,BW$13)="",10^12,OFFSET(PLE!$G$15,$M76-$A$15,BW$13)))</f>
        <v>1000000000000</v>
      </c>
      <c r="BX76" s="172">
        <f ca="1">IF(OR($D76&lt;&gt;"Serviço",AND(AUTOEVENTO="Manual",$M76=$A$15),$M76&gt;(ROW(PLE.lastrow)-ROW(PLE.firstrow))),0,
           IF(OFFSET(PLE!$G$15,$M76-$A$15,BX$13)="",10^12,OFFSET(PLE!$G$15,$M76-$A$15,BX$13)))</f>
        <v>1000000000000</v>
      </c>
      <c r="BY76" s="172">
        <f ca="1">IF(OR($D76&lt;&gt;"Serviço",AND(AUTOEVENTO="Manual",$M76=$A$15),$M76&gt;(ROW(PLE.lastrow)-ROW(PLE.firstrow))),0,
           IF(OFFSET(PLE!$G$15,$M76-$A$15,BY$13)="",10^12,OFFSET(PLE!$G$15,$M76-$A$15,BY$13)))</f>
        <v>1000000000000</v>
      </c>
      <c r="BZ76" s="172">
        <f ca="1">IF(OR($D76&lt;&gt;"Serviço",AND(AUTOEVENTO="Manual",$M76=$A$15),$M76&gt;(ROW(PLE.lastrow)-ROW(PLE.firstrow))),0,
           IF(OFFSET(PLE!$G$15,$M76-$A$15,BZ$13)="",10^12,OFFSET(PLE!$G$15,$M76-$A$15,BZ$13)))</f>
        <v>1000000000000</v>
      </c>
      <c r="CA76" s="172">
        <f ca="1">IF(OR($D76&lt;&gt;"Serviço",AND(AUTOEVENTO="Manual",$M76=$A$15),$M76&gt;(ROW(PLE.lastrow)-ROW(PLE.firstrow))),0,
           IF(OFFSET(PLE!$G$15,$M76-$A$15,CA$13)="",10^12,OFFSET(PLE!$G$15,$M76-$A$15,CA$13)))</f>
        <v>1000000000000</v>
      </c>
      <c r="CB76" s="172">
        <f ca="1">IF(OR($D76&lt;&gt;"Serviço",AND(AUTOEVENTO="Manual",$M76=$A$15),$M76&gt;(ROW(PLE.lastrow)-ROW(PLE.firstrow))),0,
           IF(OFFSET(PLE!$G$15,$M76-$A$15,CB$13)="",10^12,OFFSET(PLE!$G$15,$M76-$A$15,CB$13)))</f>
        <v>1000000000000</v>
      </c>
      <c r="CC76" s="172">
        <f ca="1">IF(OR($D76&lt;&gt;"Serviço",AND(AUTOEVENTO="Manual",$M76=$A$15),$M76&gt;(ROW(PLE.lastrow)-ROW(PLE.firstrow))),0,
           IF(OFFSET(PLE!$G$15,$M76-$A$15,CC$13)="",10^12,OFFSET(PLE!$G$15,$M76-$A$15,CC$13)))</f>
        <v>1000000000000</v>
      </c>
      <c r="CD76" s="172">
        <f ca="1">IF(OR($D76&lt;&gt;"Serviço",AND(AUTOEVENTO="Manual",$M76=$A$15),$M76&gt;(ROW(PLE.lastrow)-ROW(PLE.firstrow))),0,
           IF(OFFSET(PLE!$G$15,$M76-$A$15,CD$13)="",10^12,OFFSET(PLE!$G$15,$M76-$A$15,CD$13)))</f>
        <v>1000000000000</v>
      </c>
      <c r="CE76" s="172">
        <f ca="1">IF(OR($D76&lt;&gt;"Serviço",AND(AUTOEVENTO="Manual",$M76=$A$15),$M76&gt;(ROW(PLE.lastrow)-ROW(PLE.firstrow))),0,
           IF(OFFSET(PLE!$G$15,$M76-$A$15,CE$13)="",10^12,OFFSET(PLE!$G$15,$M76-$A$15,CE$13)))</f>
        <v>1000000000000</v>
      </c>
      <c r="CF76" s="172">
        <f ca="1">IF(OR($D76&lt;&gt;"Serviço",AND(AUTOEVENTO="Manual",$M76=$A$15),$M76&gt;(ROW(PLE.lastrow)-ROW(PLE.firstrow))),0,
           IF(OFFSET(PLE!$G$15,$M76-$A$15,CF$13)="",10^12,OFFSET(PLE!$G$15,$M76-$A$15,CF$13)))</f>
        <v>1000000000000</v>
      </c>
      <c r="CG76" s="172">
        <f ca="1">IF(OR($D76&lt;&gt;"Serviço",AND(AUTOEVENTO="Manual",$M76=$A$15),$M76&gt;(ROW(PLE.lastrow)-ROW(PLE.firstrow))),0,
           IF(OFFSET(PLE!$G$15,$M76-$A$15,CG$13)="",10^12,OFFSET(PLE!$G$15,$M76-$A$15,CG$13)))</f>
        <v>1000000000000</v>
      </c>
      <c r="CH76" s="172">
        <f ca="1">IF(OR($D76&lt;&gt;"Serviço",AND(AUTOEVENTO="Manual",$M76=$A$15),$M76&gt;(ROW(PLE.lastrow)-ROW(PLE.firstrow))),0,
           IF(OFFSET(PLE!$G$15,$M76-$A$15,CH$13)="",10^12,OFFSET(PLE!$G$15,$M76-$A$15,CH$13)))</f>
        <v>1000000000000</v>
      </c>
      <c r="CI76" s="172">
        <f ca="1">IF(OR($D76&lt;&gt;"Serviço",AND(AUTOEVENTO="Manual",$M76=$A$15),$M76&gt;(ROW(PLE.lastrow)-ROW(PLE.firstrow))),0,
           IF(OFFSET(PLE!$G$15,$M76-$A$15,CI$13)="",10^12,OFFSET(PLE!$G$15,$M76-$A$15,CI$13)))</f>
        <v>1000000000000</v>
      </c>
      <c r="CJ76" s="172">
        <f ca="1">IF(OR($D76&lt;&gt;"Serviço",AND(AUTOEVENTO="Manual",$M76=$A$15),$M76&gt;(ROW(PLE.lastrow)-ROW(PLE.firstrow))),0,
           IF(OFFSET(PLE!$G$15,$M76-$A$15,CJ$13)="",10^12,OFFSET(PLE!$G$15,$M76-$A$15,CJ$13)))</f>
        <v>1000000000000</v>
      </c>
      <c r="CK76" s="172">
        <f ca="1">IF(OR($D76&lt;&gt;"Serviço",AND(AUTOEVENTO="Manual",$M76=$A$15),$M76&gt;(ROW(PLE.lastrow)-ROW(PLE.firstrow))),0,
           IF(OFFSET(PLE!$G$15,$M76-$A$15,CK$13)="",10^12,OFFSET(PLE!$G$15,$M76-$A$15,CK$13)))</f>
        <v>1000000000000</v>
      </c>
      <c r="CL76" s="172">
        <f ca="1">IF(OR($D76&lt;&gt;"Serviço",AND(AUTOEVENTO="Manual",$M76=$A$15),$M76&gt;(ROW(PLE.lastrow)-ROW(PLE.firstrow))),0,
           IF(OFFSET(PLE!$G$15,$M76-$A$15,CL$13)="",10^12,OFFSET(PLE!$G$15,$M76-$A$15,CL$13)))</f>
        <v>1000000000000</v>
      </c>
      <c r="CM76" s="172">
        <f ca="1">IF(OR($D76&lt;&gt;"Serviço",AND(AUTOEVENTO="Manual",$M76=$A$15),$M76&gt;(ROW(PLE.lastrow)-ROW(PLE.firstrow))),0,
           IF(OFFSET(PLE!$G$15,$M76-$A$15,CM$13)="",10^12,OFFSET(PLE!$G$15,$M76-$A$15,CM$13)))</f>
        <v>1000000000000</v>
      </c>
    </row>
    <row r="77" spans="1:91" ht="25.5" x14ac:dyDescent="0.2">
      <c r="A77" s="7">
        <f t="shared" ca="1" si="10"/>
        <v>4</v>
      </c>
      <c r="B77" s="7" t="str">
        <f ca="1">OFFSET(ORÇAMENTO!C$15,ROW(B77)-ROW(B$15),0)</f>
        <v>S</v>
      </c>
      <c r="C77" s="7" t="str">
        <f ca="1">OFFSET(ORÇAMENTO!L$15,ROW(C77)-ROW(C$15),0)</f>
        <v>F</v>
      </c>
      <c r="D77" s="116" t="str">
        <f ca="1">OFFSET(ORÇAMENTO!N$15,ROW(D77)-ROW(D$15),0)</f>
        <v>Serviço</v>
      </c>
      <c r="E77" s="117" t="str">
        <f ca="1">OFFSET(ORÇAMENTO!O$15,ROW(E77)-ROW(E$15),0)</f>
        <v>1.5.1.2.5.</v>
      </c>
      <c r="F77" s="163" t="str">
        <f ca="1">OFFSET(ORÇAMENTO!R$15,ROW(F77)-ROW(F$15),0)</f>
        <v>IMPERMEABILIZAÇÃO DE SUPERFÍCIE COM EMULSÃO ASFÁLTICA, 2 DEMÃOS. AF_09/2023</v>
      </c>
      <c r="G77" s="164" t="str">
        <f ca="1">IF($D77&lt;&gt;"Serviço","",OFFSET(ORÇAMENTO!S$15,ROW(G77)-ROW(G$15),0))</f>
        <v>M2</v>
      </c>
      <c r="H77" s="122" cm="1">
        <f t="array" aca="1" ref="H77" ca="1">IF($D77&lt;&gt;"Serviço",0,IF(ACOMPANHAMENTO="BM",ROUND(OFFSET(ORÇAMENTO!AJ$15,ROW(H77)-ROW(H$15),0),15-13*ORÇAMENTO!$AF$7),SUMPRODUCT(($Q$1:$AI$1=1)*ROUND($Q77:$AI77,15-13*ORÇAMENTO!$AF$7))))</f>
        <v>2.2400000000000002</v>
      </c>
      <c r="I77" s="468" t="s">
        <v>1312</v>
      </c>
      <c r="J77" s="640" t="str" cm="1">
        <f t="array" aca="1" ref="J77" ca="1">IF(OR(B77&lt;&gt;"S",CÁLCULO.FrentesPreenchidas=0),"",IF(AND(ACOMPANHAMENTO="PLE",AUTOEVENTO="Manual",OR(H77&gt;0,ORÇAMENTO!AC77="QUANT."),OR(K77="",M77=0,N77="")),"►E",IF(AND(ACOMPANHAMENTO="PLE",ORÇAMENTO!AC77="QUANT."),"►Q",IF(AND(ACOMPANHAMENTO="PLE",H77&lt;&gt;SUMPRODUCT(($Q$1:$AI$1=1)*ROUND(Q77:AI77,15))),"►S",IF(AND(COUNTIF($P$11:$AI$11,"▼")=0,H77&gt;0,I77=""),"◄M","")))))</f>
        <v/>
      </c>
      <c r="K77" s="641" t="s">
        <v>1389</v>
      </c>
      <c r="L77" s="165" t="s">
        <v>764</v>
      </c>
      <c r="M77" s="166">
        <f ca="1">IF($D77&lt;&gt;"Serviço","",
          IF(AUTOEVENTO="manual",$A77,
                IF(ISERROR(MATCH($A77,$A$15:OFFSET($A77,-1,0),0)),MAX($M$15:OFFSET(M77,-1,0))+1,
                      INDEX($M$15:OFFSET(M77,-1,0),MATCH($A77,$A$15:OFFSET($A77,-1,0),0)))))</f>
        <v>4</v>
      </c>
      <c r="N77" s="167" t="str">
        <f ca="1">IF($D77&lt;&gt;"Serviço","",
         IF(AUTOEVENTO="Manual",
                IF($A77=0,"&lt;-- defina o número do agrupador",
                       OFFSET(EVENTOS!$D$15,$A77-$A$15,0)),
                OFFSET($F$15,$A77,0)))</f>
        <v>Estruturas de Concreto</v>
      </c>
      <c r="O77" s="168"/>
      <c r="Q77" s="168"/>
      <c r="R77" s="169">
        <f>(0.6+0.5*2)*1.4*1</f>
        <v>2.2399999999999998</v>
      </c>
      <c r="S77" s="169"/>
      <c r="T77" s="169"/>
      <c r="U77" s="169"/>
      <c r="V77" s="169"/>
      <c r="W77" s="169"/>
      <c r="X77" s="169"/>
      <c r="Y77" s="169"/>
      <c r="Z77" s="170"/>
      <c r="AA77" s="169"/>
      <c r="AB77" s="169"/>
      <c r="AC77" s="169"/>
      <c r="AD77" s="169"/>
      <c r="AE77" s="169"/>
      <c r="AF77" s="169"/>
      <c r="AG77" s="169"/>
      <c r="AH77" s="170"/>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L77" s="453">
        <f ca="1">IF(AND($D77="Serviço",AL$12&lt;&gt;0,$H77&gt;0,OR(AUTOEVENTO&lt;&gt;"manual",$M77&lt;&gt;$A$15)),
        IF(Import.TipoArredondamento&lt;&gt;"TransfereGOV",
              ROUND(OFFSET($P77,0,AL$13),15-13*ORÇAMENTO!$AF$7)/$H77*OFFSET(ORÇAMENTO!$X$15,ROW(AL77)-ROW(AL$15),0),
              ROUND(ROUND(OFFSET($P77,0,AL$13),15-13*ORÇAMENTO!$AF$7)*OFFSET(ORÇAMENTO!$W$15,ROW(AL77)-ROW(AL$15),0),15-13*ORÇAMENTO!$AF$11)),
         0)</f>
        <v>0</v>
      </c>
      <c r="AM77" s="453">
        <f ca="1">IF(AND($D77="Serviço",AM$12&lt;&gt;0,$H77&gt;0,OR(AUTOEVENTO&lt;&gt;"manual",$M77&lt;&gt;$A$15)),
        IF(Import.TipoArredondamento&lt;&gt;"TransfereGOV",
              ROUND(OFFSET($P77,0,AM$13),15-13*ORÇAMENTO!$AF$7)/$H77*OFFSET(ORÇAMENTO!$X$15,ROW(AM77)-ROW(AM$15),0),
              ROUND(ROUND(OFFSET($P77,0,AM$13),15-13*ORÇAMENTO!$AF$7)*OFFSET(ORÇAMENTO!$W$15,ROW(AM77)-ROW(AM$15),0),15-13*ORÇAMENTO!$AF$11)),
         0)</f>
        <v>0</v>
      </c>
      <c r="AN77" s="453">
        <f ca="1">IF(AND($D77="Serviço",AN$12&lt;&gt;0,$H77&gt;0,OR(AUTOEVENTO&lt;&gt;"manual",$M77&lt;&gt;$A$15)),
        IF(Import.TipoArredondamento&lt;&gt;"TransfereGOV",
              ROUND(OFFSET($P77,0,AN$13),15-13*ORÇAMENTO!$AF$7)/$H77*OFFSET(ORÇAMENTO!$X$15,ROW(AN77)-ROW(AN$15),0),
              ROUND(ROUND(OFFSET($P77,0,AN$13),15-13*ORÇAMENTO!$AF$7)*OFFSET(ORÇAMENTO!$W$15,ROW(AN77)-ROW(AN$15),0),15-13*ORÇAMENTO!$AF$11)),
         0)</f>
        <v>0</v>
      </c>
      <c r="AO77" s="453">
        <f ca="1">IF(AND($D77="Serviço",AO$12&lt;&gt;0,$H77&gt;0,OR(AUTOEVENTO&lt;&gt;"manual",$M77&lt;&gt;$A$15)),
        IF(Import.TipoArredondamento&lt;&gt;"TransfereGOV",
              ROUND(OFFSET($P77,0,AO$13),15-13*ORÇAMENTO!$AF$7)/$H77*OFFSET(ORÇAMENTO!$X$15,ROW(AO77)-ROW(AO$15),0),
              ROUND(ROUND(OFFSET($P77,0,AO$13),15-13*ORÇAMENTO!$AF$7)*OFFSET(ORÇAMENTO!$W$15,ROW(AO77)-ROW(AO$15),0),15-13*ORÇAMENTO!$AF$11)),
         0)</f>
        <v>0</v>
      </c>
      <c r="AP77" s="453">
        <f ca="1">IF(AND($D77="Serviço",AP$12&lt;&gt;0,$H77&gt;0,OR(AUTOEVENTO&lt;&gt;"manual",$M77&lt;&gt;$A$15)),
        IF(Import.TipoArredondamento&lt;&gt;"TransfereGOV",
              ROUND(OFFSET($P77,0,AP$13),15-13*ORÇAMENTO!$AF$7)/$H77*OFFSET(ORÇAMENTO!$X$15,ROW(AP77)-ROW(AP$15),0),
              ROUND(ROUND(OFFSET($P77,0,AP$13),15-13*ORÇAMENTO!$AF$7)*OFFSET(ORÇAMENTO!$W$15,ROW(AP77)-ROW(AP$15),0),15-13*ORÇAMENTO!$AF$11)),
         0)</f>
        <v>0</v>
      </c>
      <c r="AQ77" s="453">
        <f ca="1">IF(AND($D77="Serviço",AQ$12&lt;&gt;0,$H77&gt;0,OR(AUTOEVENTO&lt;&gt;"manual",$M77&lt;&gt;$A$15)),
        IF(Import.TipoArredondamento&lt;&gt;"TransfereGOV",
              ROUND(OFFSET($P77,0,AQ$13),15-13*ORÇAMENTO!$AF$7)/$H77*OFFSET(ORÇAMENTO!$X$15,ROW(AQ77)-ROW(AQ$15),0),
              ROUND(ROUND(OFFSET($P77,0,AQ$13),15-13*ORÇAMENTO!$AF$7)*OFFSET(ORÇAMENTO!$W$15,ROW(AQ77)-ROW(AQ$15),0),15-13*ORÇAMENTO!$AF$11)),
         0)</f>
        <v>0</v>
      </c>
      <c r="AR77" s="453">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3">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3">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3">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3">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3">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3">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3">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3">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3">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C77" s="171">
        <f ca="1">IF(OR($D77&lt;&gt;"Serviço",AND(AUTOEVENTO="Manual",$M77=$A$15)),0,
         IF(OFFSET(CRONOPLE!$F$15,$M77-$A$15,BC$13)=0,10^12,OFFSET(CRONOPLE!$F$15,$M77-$A$15,BC$13)))</f>
        <v>1</v>
      </c>
      <c r="BD77" s="171">
        <f ca="1">IF(OR($D77&lt;&gt;"Serviço",AND(AUTOEVENTO="Manual",$M77=$A$15)),0,
         IF(OFFSET(CRONOPLE!$F$15,$M77-$A$15,BD$13)=0,10^12,OFFSET(CRONOPLE!$F$15,$M77-$A$15,BD$13)))</f>
        <v>2</v>
      </c>
      <c r="BE77" s="171">
        <f ca="1">IF(OR($D77&lt;&gt;"Serviço",AND(AUTOEVENTO="Manual",$M77=$A$15)),0,
         IF(OFFSET(CRONOPLE!$F$15,$M77-$A$15,BE$13)=0,10^12,OFFSET(CRONOPLE!$F$15,$M77-$A$15,BE$13)))</f>
        <v>3</v>
      </c>
      <c r="BF77" s="171">
        <f ca="1">IF(OR($D77&lt;&gt;"Serviço",AND(AUTOEVENTO="Manual",$M77=$A$15)),0,
         IF(OFFSET(CRONOPLE!$F$15,$M77-$A$15,BF$13)=0,10^12,OFFSET(CRONOPLE!$F$15,$M77-$A$15,BF$13)))</f>
        <v>4</v>
      </c>
      <c r="BG77" s="171">
        <f ca="1">IF(OR($D77&lt;&gt;"Serviço",AND(AUTOEVENTO="Manual",$M77=$A$15)),0,
         IF(OFFSET(CRONOPLE!$F$15,$M77-$A$15,BG$13)=0,10^12,OFFSET(CRONOPLE!$F$15,$M77-$A$15,BG$13)))</f>
        <v>5</v>
      </c>
      <c r="BH77" s="171">
        <f ca="1">IF(OR($D77&lt;&gt;"Serviço",AND(AUTOEVENTO="Manual",$M77=$A$15)),0,
         IF(OFFSET(CRONOPLE!$F$15,$M77-$A$15,BH$13)=0,10^12,OFFSET(CRONOPLE!$F$15,$M77-$A$15,BH$13)))</f>
        <v>6</v>
      </c>
      <c r="BI77" s="171">
        <f ca="1">IF(OR($D77&lt;&gt;"Serviço",AND(AUTOEVENTO="Manual",$M77=$A$15)),0,
         IF(OFFSET(CRONOPLE!$F$15,$M77-$A$15,BI$13)=0,10^12,OFFSET(CRONOPLE!$F$15,$M77-$A$15,BI$13)))</f>
        <v>7</v>
      </c>
      <c r="BJ77" s="171">
        <f ca="1">IF(OR($D77&lt;&gt;"Serviço",AND(AUTOEVENTO="Manual",$M77=$A$15)),0,
         IF(OFFSET(CRONOPLE!$F$15,$M77-$A$15,BJ$13)=0,10^12,OFFSET(CRONOPLE!$F$15,$M77-$A$15,BJ$13)))</f>
        <v>8</v>
      </c>
      <c r="BK77" s="171">
        <f ca="1">IF(OR($D77&lt;&gt;"Serviço",AND(AUTOEVENTO="Manual",$M77=$A$15)),0,
         IF(OFFSET(CRONOPLE!$F$15,$M77-$A$15,BK$13)=0,10^12,OFFSET(CRONOPLE!$F$15,$M77-$A$15,BK$13)))</f>
        <v>9</v>
      </c>
      <c r="BL77" s="171">
        <f ca="1">IF(OR($D77&lt;&gt;"Serviço",AND(AUTOEVENTO="Manual",$M77=$A$15)),0,
         IF(OFFSET(CRONOPLE!$F$15,$M77-$A$15,BL$13)=0,10^12,OFFSET(CRONOPLE!$F$15,$M77-$A$15,BL$13)))</f>
        <v>10</v>
      </c>
      <c r="BM77" s="171">
        <f ca="1">IF(OR($D77&lt;&gt;"Serviço",AND(AUTOEVENTO="Manual",$M77=$A$15)),0,
         IF(OFFSET(CRONOPLE!$F$15,$M77-$A$15,BM$13)=0,10^12,OFFSET(CRONOPLE!$F$15,$M77-$A$15,BM$13)))</f>
        <v>1000000000000</v>
      </c>
      <c r="BN77" s="171">
        <f ca="1">IF(OR($D77&lt;&gt;"Serviço",AND(AUTOEVENTO="Manual",$M77=$A$15)),0,
         IF(OFFSET(CRONOPLE!$F$15,$M77-$A$15,BN$13)=0,10^12,OFFSET(CRONOPLE!$F$15,$M77-$A$15,BN$13)))</f>
        <v>1000000000000</v>
      </c>
      <c r="BO77" s="171">
        <f ca="1">IF(OR($D77&lt;&gt;"Serviço",AND(AUTOEVENTO="Manual",$M77=$A$15)),0,
         IF(OFFSET(CRONOPLE!$F$15,$M77-$A$15,BO$13)=0,10^12,OFFSET(CRONOPLE!$F$15,$M77-$A$15,BO$13)))</f>
        <v>1000000000000</v>
      </c>
      <c r="BP77" s="171">
        <f ca="1">IF(OR($D77&lt;&gt;"Serviço",AND(AUTOEVENTO="Manual",$M77=$A$15)),0,
         IF(OFFSET(CRONOPLE!$F$15,$M77-$A$15,BP$13)=0,10^12,OFFSET(CRONOPLE!$F$15,$M77-$A$15,BP$13)))</f>
        <v>1000000000000</v>
      </c>
      <c r="BQ77" s="171">
        <f ca="1">IF(OR($D77&lt;&gt;"Serviço",AND(AUTOEVENTO="Manual",$M77=$A$15)),0,
         IF(OFFSET(CRONOPLE!$F$15,$M77-$A$15,BQ$13)=0,10^12,OFFSET(CRONOPLE!$F$15,$M77-$A$15,BQ$13)))</f>
        <v>1000000000000</v>
      </c>
      <c r="BR77" s="171">
        <f ca="1">IF(OR($D77&lt;&gt;"Serviço",AND(AUTOEVENTO="Manual",$M77=$A$15)),0,
         IF(OFFSET(CRONOPLE!$F$15,$M77-$A$15,BR$13)=0,10^12,OFFSET(CRONOPLE!$F$15,$M77-$A$15,BR$13)))</f>
        <v>1000000000000</v>
      </c>
      <c r="BS77" s="171">
        <f ca="1">IF(OR($D77&lt;&gt;"Serviço",AND(AUTOEVENTO="Manual",$M77=$A$15)),0,
         IF(OFFSET(CRONOPLE!$F$15,$M77-$A$15,BS$13)=0,10^12,OFFSET(CRONOPLE!$F$15,$M77-$A$15,BS$13)))</f>
        <v>1000000000000</v>
      </c>
      <c r="BT77" s="171">
        <f ca="1">IF(OR($D77&lt;&gt;"Serviço",AND(AUTOEVENTO="Manual",$M77=$A$15)),0,
         IF(OFFSET(CRONOPLE!$F$15,$M77-$A$15,BT$13)=0,10^12,OFFSET(CRONOPLE!$F$15,$M77-$A$15,BT$13)))</f>
        <v>1000000000000</v>
      </c>
      <c r="BV77" s="172">
        <f ca="1">IF(OR($D77&lt;&gt;"Serviço",AND(AUTOEVENTO="Manual",$M77=$A$15),$M77&gt;(ROW(PLE.lastrow)-ROW(PLE.firstrow))),0,
           IF(OFFSET(PLE!$G$15,$M77-$A$15,BV$13)="",10^12,OFFSET(PLE!$G$15,$M77-$A$15,BV$13)))</f>
        <v>1000000000000</v>
      </c>
      <c r="BW77" s="172">
        <f ca="1">IF(OR($D77&lt;&gt;"Serviço",AND(AUTOEVENTO="Manual",$M77=$A$15),$M77&gt;(ROW(PLE.lastrow)-ROW(PLE.firstrow))),0,
           IF(OFFSET(PLE!$G$15,$M77-$A$15,BW$13)="",10^12,OFFSET(PLE!$G$15,$M77-$A$15,BW$13)))</f>
        <v>1000000000000</v>
      </c>
      <c r="BX77" s="172">
        <f ca="1">IF(OR($D77&lt;&gt;"Serviço",AND(AUTOEVENTO="Manual",$M77=$A$15),$M77&gt;(ROW(PLE.lastrow)-ROW(PLE.firstrow))),0,
           IF(OFFSET(PLE!$G$15,$M77-$A$15,BX$13)="",10^12,OFFSET(PLE!$G$15,$M77-$A$15,BX$13)))</f>
        <v>1000000000000</v>
      </c>
      <c r="BY77" s="172">
        <f ca="1">IF(OR($D77&lt;&gt;"Serviço",AND(AUTOEVENTO="Manual",$M77=$A$15),$M77&gt;(ROW(PLE.lastrow)-ROW(PLE.firstrow))),0,
           IF(OFFSET(PLE!$G$15,$M77-$A$15,BY$13)="",10^12,OFFSET(PLE!$G$15,$M77-$A$15,BY$13)))</f>
        <v>1000000000000</v>
      </c>
      <c r="BZ77" s="172">
        <f ca="1">IF(OR($D77&lt;&gt;"Serviço",AND(AUTOEVENTO="Manual",$M77=$A$15),$M77&gt;(ROW(PLE.lastrow)-ROW(PLE.firstrow))),0,
           IF(OFFSET(PLE!$G$15,$M77-$A$15,BZ$13)="",10^12,OFFSET(PLE!$G$15,$M77-$A$15,BZ$13)))</f>
        <v>1000000000000</v>
      </c>
      <c r="CA77" s="172">
        <f ca="1">IF(OR($D77&lt;&gt;"Serviço",AND(AUTOEVENTO="Manual",$M77=$A$15),$M77&gt;(ROW(PLE.lastrow)-ROW(PLE.firstrow))),0,
           IF(OFFSET(PLE!$G$15,$M77-$A$15,CA$13)="",10^12,OFFSET(PLE!$G$15,$M77-$A$15,CA$13)))</f>
        <v>1000000000000</v>
      </c>
      <c r="CB77" s="172">
        <f ca="1">IF(OR($D77&lt;&gt;"Serviço",AND(AUTOEVENTO="Manual",$M77=$A$15),$M77&gt;(ROW(PLE.lastrow)-ROW(PLE.firstrow))),0,
           IF(OFFSET(PLE!$G$15,$M77-$A$15,CB$13)="",10^12,OFFSET(PLE!$G$15,$M77-$A$15,CB$13)))</f>
        <v>1000000000000</v>
      </c>
      <c r="CC77" s="172">
        <f ca="1">IF(OR($D77&lt;&gt;"Serviço",AND(AUTOEVENTO="Manual",$M77=$A$15),$M77&gt;(ROW(PLE.lastrow)-ROW(PLE.firstrow))),0,
           IF(OFFSET(PLE!$G$15,$M77-$A$15,CC$13)="",10^12,OFFSET(PLE!$G$15,$M77-$A$15,CC$13)))</f>
        <v>1000000000000</v>
      </c>
      <c r="CD77" s="172">
        <f ca="1">IF(OR($D77&lt;&gt;"Serviço",AND(AUTOEVENTO="Manual",$M77=$A$15),$M77&gt;(ROW(PLE.lastrow)-ROW(PLE.firstrow))),0,
           IF(OFFSET(PLE!$G$15,$M77-$A$15,CD$13)="",10^12,OFFSET(PLE!$G$15,$M77-$A$15,CD$13)))</f>
        <v>1000000000000</v>
      </c>
      <c r="CE77" s="172">
        <f ca="1">IF(OR($D77&lt;&gt;"Serviço",AND(AUTOEVENTO="Manual",$M77=$A$15),$M77&gt;(ROW(PLE.lastrow)-ROW(PLE.firstrow))),0,
           IF(OFFSET(PLE!$G$15,$M77-$A$15,CE$13)="",10^12,OFFSET(PLE!$G$15,$M77-$A$15,CE$13)))</f>
        <v>1000000000000</v>
      </c>
      <c r="CF77" s="172">
        <f ca="1">IF(OR($D77&lt;&gt;"Serviço",AND(AUTOEVENTO="Manual",$M77=$A$15),$M77&gt;(ROW(PLE.lastrow)-ROW(PLE.firstrow))),0,
           IF(OFFSET(PLE!$G$15,$M77-$A$15,CF$13)="",10^12,OFFSET(PLE!$G$15,$M77-$A$15,CF$13)))</f>
        <v>1000000000000</v>
      </c>
      <c r="CG77" s="172">
        <f ca="1">IF(OR($D77&lt;&gt;"Serviço",AND(AUTOEVENTO="Manual",$M77=$A$15),$M77&gt;(ROW(PLE.lastrow)-ROW(PLE.firstrow))),0,
           IF(OFFSET(PLE!$G$15,$M77-$A$15,CG$13)="",10^12,OFFSET(PLE!$G$15,$M77-$A$15,CG$13)))</f>
        <v>1000000000000</v>
      </c>
      <c r="CH77" s="172">
        <f ca="1">IF(OR($D77&lt;&gt;"Serviço",AND(AUTOEVENTO="Manual",$M77=$A$15),$M77&gt;(ROW(PLE.lastrow)-ROW(PLE.firstrow))),0,
           IF(OFFSET(PLE!$G$15,$M77-$A$15,CH$13)="",10^12,OFFSET(PLE!$G$15,$M77-$A$15,CH$13)))</f>
        <v>1000000000000</v>
      </c>
      <c r="CI77" s="172">
        <f ca="1">IF(OR($D77&lt;&gt;"Serviço",AND(AUTOEVENTO="Manual",$M77=$A$15),$M77&gt;(ROW(PLE.lastrow)-ROW(PLE.firstrow))),0,
           IF(OFFSET(PLE!$G$15,$M77-$A$15,CI$13)="",10^12,OFFSET(PLE!$G$15,$M77-$A$15,CI$13)))</f>
        <v>1000000000000</v>
      </c>
      <c r="CJ77" s="172">
        <f ca="1">IF(OR($D77&lt;&gt;"Serviço",AND(AUTOEVENTO="Manual",$M77=$A$15),$M77&gt;(ROW(PLE.lastrow)-ROW(PLE.firstrow))),0,
           IF(OFFSET(PLE!$G$15,$M77-$A$15,CJ$13)="",10^12,OFFSET(PLE!$G$15,$M77-$A$15,CJ$13)))</f>
        <v>1000000000000</v>
      </c>
      <c r="CK77" s="172">
        <f ca="1">IF(OR($D77&lt;&gt;"Serviço",AND(AUTOEVENTO="Manual",$M77=$A$15),$M77&gt;(ROW(PLE.lastrow)-ROW(PLE.firstrow))),0,
           IF(OFFSET(PLE!$G$15,$M77-$A$15,CK$13)="",10^12,OFFSET(PLE!$G$15,$M77-$A$15,CK$13)))</f>
        <v>1000000000000</v>
      </c>
      <c r="CL77" s="172">
        <f ca="1">IF(OR($D77&lt;&gt;"Serviço",AND(AUTOEVENTO="Manual",$M77=$A$15),$M77&gt;(ROW(PLE.lastrow)-ROW(PLE.firstrow))),0,
           IF(OFFSET(PLE!$G$15,$M77-$A$15,CL$13)="",10^12,OFFSET(PLE!$G$15,$M77-$A$15,CL$13)))</f>
        <v>1000000000000</v>
      </c>
      <c r="CM77" s="172">
        <f ca="1">IF(OR($D77&lt;&gt;"Serviço",AND(AUTOEVENTO="Manual",$M77=$A$15),$M77&gt;(ROW(PLE.lastrow)-ROW(PLE.firstrow))),0,
           IF(OFFSET(PLE!$G$15,$M77-$A$15,CM$13)="",10^12,OFFSET(PLE!$G$15,$M77-$A$15,CM$13)))</f>
        <v>1000000000000</v>
      </c>
    </row>
    <row r="78" spans="1:91" ht="63.75" x14ac:dyDescent="0.2">
      <c r="A78" s="7">
        <f t="shared" ca="1" si="10"/>
        <v>4</v>
      </c>
      <c r="B78" s="7" t="str">
        <f ca="1">OFFSET(ORÇAMENTO!C$15,ROW(B78)-ROW(B$15),0)</f>
        <v>S</v>
      </c>
      <c r="C78" s="7" t="str">
        <f ca="1">OFFSET(ORÇAMENTO!L$15,ROW(C78)-ROW(C$15),0)</f>
        <v>F</v>
      </c>
      <c r="D78" s="116" t="str">
        <f ca="1">OFFSET(ORÇAMENTO!N$15,ROW(D78)-ROW(D$15),0)</f>
        <v>Serviço</v>
      </c>
      <c r="E78" s="117" t="str">
        <f ca="1">OFFSET(ORÇAMENTO!O$15,ROW(E78)-ROW(E$15),0)</f>
        <v>1.5.1.2.6.</v>
      </c>
      <c r="F78" s="163" t="str">
        <f ca="1">OFFSET(ORÇAMENTO!R$15,ROW(F78)-ROW(F$15),0)</f>
        <v>CONCRETO FCK = 40MPA, TRAÇO 1:1,6:1,9 (EM MASSA SECA DE CIMENTO/ AREIA MÉDIA/ BRITA 1) - PREPARO MECÂNICO COM BETONEIRA 600 L. AF_05/2021</v>
      </c>
      <c r="G78" s="164" t="str">
        <f ca="1">IF($D78&lt;&gt;"Serviço","",OFFSET(ORÇAMENTO!S$15,ROW(G78)-ROW(G$15),0))</f>
        <v>M3</v>
      </c>
      <c r="H78" s="122" cm="1">
        <f t="array" aca="1" ref="H78" ca="1">IF($D78&lt;&gt;"Serviço",0,IF(ACOMPANHAMENTO="BM",ROUND(OFFSET(ORÇAMENTO!AJ$15,ROW(H78)-ROW(H$15),0),15-13*ORÇAMENTO!$AF$7),SUMPRODUCT(($Q$1:$AI$1=1)*ROUND($Q78:$AI78,15-13*ORÇAMENTO!$AF$7))))</f>
        <v>0.41</v>
      </c>
      <c r="I78" s="468" t="s">
        <v>1310</v>
      </c>
      <c r="J78" s="640" t="str" cm="1">
        <f t="array" aca="1" ref="J78" ca="1">IF(OR(B78&lt;&gt;"S",CÁLCULO.FrentesPreenchidas=0),"",IF(AND(ACOMPANHAMENTO="PLE",AUTOEVENTO="Manual",OR(H78&gt;0,ORÇAMENTO!AC78="QUANT."),OR(K78="",M78=0,N78="")),"►E",IF(AND(ACOMPANHAMENTO="PLE",ORÇAMENTO!AC78="QUANT."),"►Q",IF(AND(ACOMPANHAMENTO="PLE",H78&lt;&gt;SUMPRODUCT(($Q$1:$AI$1=1)*ROUND(Q78:AI78,15))),"►S",IF(AND(COUNTIF($P$11:$AI$11,"▼")=0,H78&gt;0,I78=""),"◄M","")))))</f>
        <v/>
      </c>
      <c r="K78" s="641" t="s">
        <v>1389</v>
      </c>
      <c r="L78" s="165" t="s">
        <v>764</v>
      </c>
      <c r="M78" s="166">
        <f ca="1">IF($D78&lt;&gt;"Serviço","",
          IF(AUTOEVENTO="manual",$A78,
                IF(ISERROR(MATCH($A78,$A$15:OFFSET($A78,-1,0),0)),MAX($M$15:OFFSET(M78,-1,0))+1,
                      INDEX($M$15:OFFSET(M78,-1,0),MATCH($A78,$A$15:OFFSET($A78,-1,0),0)))))</f>
        <v>4</v>
      </c>
      <c r="N78" s="167" t="str">
        <f ca="1">IF($D78&lt;&gt;"Serviço","",
         IF(AUTOEVENTO="Manual",
                IF($A78=0,"&lt;-- defina o número do agrupador",
                       OFFSET(EVENTOS!$D$15,$A78-$A$15,0)),
                OFFSET($F$15,$A78,0)))</f>
        <v>Estruturas de Concreto</v>
      </c>
      <c r="O78" s="168"/>
      <c r="Q78" s="168"/>
      <c r="R78" s="169">
        <v>0.41</v>
      </c>
      <c r="S78" s="169"/>
      <c r="T78" s="169"/>
      <c r="U78" s="169"/>
      <c r="V78" s="169"/>
      <c r="W78" s="169"/>
      <c r="X78" s="169"/>
      <c r="Y78" s="169"/>
      <c r="Z78" s="170"/>
      <c r="AA78" s="169"/>
      <c r="AB78" s="169"/>
      <c r="AC78" s="169"/>
      <c r="AD78" s="169"/>
      <c r="AE78" s="169"/>
      <c r="AF78" s="169"/>
      <c r="AG78" s="169"/>
      <c r="AH78" s="170"/>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L78" s="453">
        <f ca="1">IF(AND($D78="Serviço",AL$12&lt;&gt;0,$H78&gt;0,OR(AUTOEVENTO&lt;&gt;"manual",$M78&lt;&gt;$A$15)),
        IF(Import.TipoArredondamento&lt;&gt;"TransfereGOV",
              ROUND(OFFSET($P78,0,AL$13),15-13*ORÇAMENTO!$AF$7)/$H78*OFFSET(ORÇAMENTO!$X$15,ROW(AL78)-ROW(AL$15),0),
              ROUND(ROUND(OFFSET($P78,0,AL$13),15-13*ORÇAMENTO!$AF$7)*OFFSET(ORÇAMENTO!$W$15,ROW(AL78)-ROW(AL$15),0),15-13*ORÇAMENTO!$AF$11)),
         0)</f>
        <v>0</v>
      </c>
      <c r="AM78" s="453">
        <f ca="1">IF(AND($D78="Serviço",AM$12&lt;&gt;0,$H78&gt;0,OR(AUTOEVENTO&lt;&gt;"manual",$M78&lt;&gt;$A$15)),
        IF(Import.TipoArredondamento&lt;&gt;"TransfereGOV",
              ROUND(OFFSET($P78,0,AM$13),15-13*ORÇAMENTO!$AF$7)/$H78*OFFSET(ORÇAMENTO!$X$15,ROW(AM78)-ROW(AM$15),0),
              ROUND(ROUND(OFFSET($P78,0,AM$13),15-13*ORÇAMENTO!$AF$7)*OFFSET(ORÇAMENTO!$W$15,ROW(AM78)-ROW(AM$15),0),15-13*ORÇAMENTO!$AF$11)),
         0)</f>
        <v>0</v>
      </c>
      <c r="AN78" s="453">
        <f ca="1">IF(AND($D78="Serviço",AN$12&lt;&gt;0,$H78&gt;0,OR(AUTOEVENTO&lt;&gt;"manual",$M78&lt;&gt;$A$15)),
        IF(Import.TipoArredondamento&lt;&gt;"TransfereGOV",
              ROUND(OFFSET($P78,0,AN$13),15-13*ORÇAMENTO!$AF$7)/$H78*OFFSET(ORÇAMENTO!$X$15,ROW(AN78)-ROW(AN$15),0),
              ROUND(ROUND(OFFSET($P78,0,AN$13),15-13*ORÇAMENTO!$AF$7)*OFFSET(ORÇAMENTO!$W$15,ROW(AN78)-ROW(AN$15),0),15-13*ORÇAMENTO!$AF$11)),
         0)</f>
        <v>0</v>
      </c>
      <c r="AO78" s="453">
        <f ca="1">IF(AND($D78="Serviço",AO$12&lt;&gt;0,$H78&gt;0,OR(AUTOEVENTO&lt;&gt;"manual",$M78&lt;&gt;$A$15)),
        IF(Import.TipoArredondamento&lt;&gt;"TransfereGOV",
              ROUND(OFFSET($P78,0,AO$13),15-13*ORÇAMENTO!$AF$7)/$H78*OFFSET(ORÇAMENTO!$X$15,ROW(AO78)-ROW(AO$15),0),
              ROUND(ROUND(OFFSET($P78,0,AO$13),15-13*ORÇAMENTO!$AF$7)*OFFSET(ORÇAMENTO!$W$15,ROW(AO78)-ROW(AO$15),0),15-13*ORÇAMENTO!$AF$11)),
         0)</f>
        <v>0</v>
      </c>
      <c r="AP78" s="453">
        <f ca="1">IF(AND($D78="Serviço",AP$12&lt;&gt;0,$H78&gt;0,OR(AUTOEVENTO&lt;&gt;"manual",$M78&lt;&gt;$A$15)),
        IF(Import.TipoArredondamento&lt;&gt;"TransfereGOV",
              ROUND(OFFSET($P78,0,AP$13),15-13*ORÇAMENTO!$AF$7)/$H78*OFFSET(ORÇAMENTO!$X$15,ROW(AP78)-ROW(AP$15),0),
              ROUND(ROUND(OFFSET($P78,0,AP$13),15-13*ORÇAMENTO!$AF$7)*OFFSET(ORÇAMENTO!$W$15,ROW(AP78)-ROW(AP$15),0),15-13*ORÇAMENTO!$AF$11)),
         0)</f>
        <v>0</v>
      </c>
      <c r="AQ78" s="453">
        <f ca="1">IF(AND($D78="Serviço",AQ$12&lt;&gt;0,$H78&gt;0,OR(AUTOEVENTO&lt;&gt;"manual",$M78&lt;&gt;$A$15)),
        IF(Import.TipoArredondamento&lt;&gt;"TransfereGOV",
              ROUND(OFFSET($P78,0,AQ$13),15-13*ORÇAMENTO!$AF$7)/$H78*OFFSET(ORÇAMENTO!$X$15,ROW(AQ78)-ROW(AQ$15),0),
              ROUND(ROUND(OFFSET($P78,0,AQ$13),15-13*ORÇAMENTO!$AF$7)*OFFSET(ORÇAMENTO!$W$15,ROW(AQ78)-ROW(AQ$15),0),15-13*ORÇAMENTO!$AF$11)),
         0)</f>
        <v>0</v>
      </c>
      <c r="AR78" s="453">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3">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3">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3">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3">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3">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3">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3">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3">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3">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C78" s="171">
        <f ca="1">IF(OR($D78&lt;&gt;"Serviço",AND(AUTOEVENTO="Manual",$M78=$A$15)),0,
         IF(OFFSET(CRONOPLE!$F$15,$M78-$A$15,BC$13)=0,10^12,OFFSET(CRONOPLE!$F$15,$M78-$A$15,BC$13)))</f>
        <v>1</v>
      </c>
      <c r="BD78" s="171">
        <f ca="1">IF(OR($D78&lt;&gt;"Serviço",AND(AUTOEVENTO="Manual",$M78=$A$15)),0,
         IF(OFFSET(CRONOPLE!$F$15,$M78-$A$15,BD$13)=0,10^12,OFFSET(CRONOPLE!$F$15,$M78-$A$15,BD$13)))</f>
        <v>2</v>
      </c>
      <c r="BE78" s="171">
        <f ca="1">IF(OR($D78&lt;&gt;"Serviço",AND(AUTOEVENTO="Manual",$M78=$A$15)),0,
         IF(OFFSET(CRONOPLE!$F$15,$M78-$A$15,BE$13)=0,10^12,OFFSET(CRONOPLE!$F$15,$M78-$A$15,BE$13)))</f>
        <v>3</v>
      </c>
      <c r="BF78" s="171">
        <f ca="1">IF(OR($D78&lt;&gt;"Serviço",AND(AUTOEVENTO="Manual",$M78=$A$15)),0,
         IF(OFFSET(CRONOPLE!$F$15,$M78-$A$15,BF$13)=0,10^12,OFFSET(CRONOPLE!$F$15,$M78-$A$15,BF$13)))</f>
        <v>4</v>
      </c>
      <c r="BG78" s="171">
        <f ca="1">IF(OR($D78&lt;&gt;"Serviço",AND(AUTOEVENTO="Manual",$M78=$A$15)),0,
         IF(OFFSET(CRONOPLE!$F$15,$M78-$A$15,BG$13)=0,10^12,OFFSET(CRONOPLE!$F$15,$M78-$A$15,BG$13)))</f>
        <v>5</v>
      </c>
      <c r="BH78" s="171">
        <f ca="1">IF(OR($D78&lt;&gt;"Serviço",AND(AUTOEVENTO="Manual",$M78=$A$15)),0,
         IF(OFFSET(CRONOPLE!$F$15,$M78-$A$15,BH$13)=0,10^12,OFFSET(CRONOPLE!$F$15,$M78-$A$15,BH$13)))</f>
        <v>6</v>
      </c>
      <c r="BI78" s="171">
        <f ca="1">IF(OR($D78&lt;&gt;"Serviço",AND(AUTOEVENTO="Manual",$M78=$A$15)),0,
         IF(OFFSET(CRONOPLE!$F$15,$M78-$A$15,BI$13)=0,10^12,OFFSET(CRONOPLE!$F$15,$M78-$A$15,BI$13)))</f>
        <v>7</v>
      </c>
      <c r="BJ78" s="171">
        <f ca="1">IF(OR($D78&lt;&gt;"Serviço",AND(AUTOEVENTO="Manual",$M78=$A$15)),0,
         IF(OFFSET(CRONOPLE!$F$15,$M78-$A$15,BJ$13)=0,10^12,OFFSET(CRONOPLE!$F$15,$M78-$A$15,BJ$13)))</f>
        <v>8</v>
      </c>
      <c r="BK78" s="171">
        <f ca="1">IF(OR($D78&lt;&gt;"Serviço",AND(AUTOEVENTO="Manual",$M78=$A$15)),0,
         IF(OFFSET(CRONOPLE!$F$15,$M78-$A$15,BK$13)=0,10^12,OFFSET(CRONOPLE!$F$15,$M78-$A$15,BK$13)))</f>
        <v>9</v>
      </c>
      <c r="BL78" s="171">
        <f ca="1">IF(OR($D78&lt;&gt;"Serviço",AND(AUTOEVENTO="Manual",$M78=$A$15)),0,
         IF(OFFSET(CRONOPLE!$F$15,$M78-$A$15,BL$13)=0,10^12,OFFSET(CRONOPLE!$F$15,$M78-$A$15,BL$13)))</f>
        <v>10</v>
      </c>
      <c r="BM78" s="171">
        <f ca="1">IF(OR($D78&lt;&gt;"Serviço",AND(AUTOEVENTO="Manual",$M78=$A$15)),0,
         IF(OFFSET(CRONOPLE!$F$15,$M78-$A$15,BM$13)=0,10^12,OFFSET(CRONOPLE!$F$15,$M78-$A$15,BM$13)))</f>
        <v>1000000000000</v>
      </c>
      <c r="BN78" s="171">
        <f ca="1">IF(OR($D78&lt;&gt;"Serviço",AND(AUTOEVENTO="Manual",$M78=$A$15)),0,
         IF(OFFSET(CRONOPLE!$F$15,$M78-$A$15,BN$13)=0,10^12,OFFSET(CRONOPLE!$F$15,$M78-$A$15,BN$13)))</f>
        <v>1000000000000</v>
      </c>
      <c r="BO78" s="171">
        <f ca="1">IF(OR($D78&lt;&gt;"Serviço",AND(AUTOEVENTO="Manual",$M78=$A$15)),0,
         IF(OFFSET(CRONOPLE!$F$15,$M78-$A$15,BO$13)=0,10^12,OFFSET(CRONOPLE!$F$15,$M78-$A$15,BO$13)))</f>
        <v>1000000000000</v>
      </c>
      <c r="BP78" s="171">
        <f ca="1">IF(OR($D78&lt;&gt;"Serviço",AND(AUTOEVENTO="Manual",$M78=$A$15)),0,
         IF(OFFSET(CRONOPLE!$F$15,$M78-$A$15,BP$13)=0,10^12,OFFSET(CRONOPLE!$F$15,$M78-$A$15,BP$13)))</f>
        <v>1000000000000</v>
      </c>
      <c r="BQ78" s="171">
        <f ca="1">IF(OR($D78&lt;&gt;"Serviço",AND(AUTOEVENTO="Manual",$M78=$A$15)),0,
         IF(OFFSET(CRONOPLE!$F$15,$M78-$A$15,BQ$13)=0,10^12,OFFSET(CRONOPLE!$F$15,$M78-$A$15,BQ$13)))</f>
        <v>1000000000000</v>
      </c>
      <c r="BR78" s="171">
        <f ca="1">IF(OR($D78&lt;&gt;"Serviço",AND(AUTOEVENTO="Manual",$M78=$A$15)),0,
         IF(OFFSET(CRONOPLE!$F$15,$M78-$A$15,BR$13)=0,10^12,OFFSET(CRONOPLE!$F$15,$M78-$A$15,BR$13)))</f>
        <v>1000000000000</v>
      </c>
      <c r="BS78" s="171">
        <f ca="1">IF(OR($D78&lt;&gt;"Serviço",AND(AUTOEVENTO="Manual",$M78=$A$15)),0,
         IF(OFFSET(CRONOPLE!$F$15,$M78-$A$15,BS$13)=0,10^12,OFFSET(CRONOPLE!$F$15,$M78-$A$15,BS$13)))</f>
        <v>1000000000000</v>
      </c>
      <c r="BT78" s="171">
        <f ca="1">IF(OR($D78&lt;&gt;"Serviço",AND(AUTOEVENTO="Manual",$M78=$A$15)),0,
         IF(OFFSET(CRONOPLE!$F$15,$M78-$A$15,BT$13)=0,10^12,OFFSET(CRONOPLE!$F$15,$M78-$A$15,BT$13)))</f>
        <v>1000000000000</v>
      </c>
      <c r="BV78" s="172">
        <f ca="1">IF(OR($D78&lt;&gt;"Serviço",AND(AUTOEVENTO="Manual",$M78=$A$15),$M78&gt;(ROW(PLE.lastrow)-ROW(PLE.firstrow))),0,
           IF(OFFSET(PLE!$G$15,$M78-$A$15,BV$13)="",10^12,OFFSET(PLE!$G$15,$M78-$A$15,BV$13)))</f>
        <v>1000000000000</v>
      </c>
      <c r="BW78" s="172">
        <f ca="1">IF(OR($D78&lt;&gt;"Serviço",AND(AUTOEVENTO="Manual",$M78=$A$15),$M78&gt;(ROW(PLE.lastrow)-ROW(PLE.firstrow))),0,
           IF(OFFSET(PLE!$G$15,$M78-$A$15,BW$13)="",10^12,OFFSET(PLE!$G$15,$M78-$A$15,BW$13)))</f>
        <v>1000000000000</v>
      </c>
      <c r="BX78" s="172">
        <f ca="1">IF(OR($D78&lt;&gt;"Serviço",AND(AUTOEVENTO="Manual",$M78=$A$15),$M78&gt;(ROW(PLE.lastrow)-ROW(PLE.firstrow))),0,
           IF(OFFSET(PLE!$G$15,$M78-$A$15,BX$13)="",10^12,OFFSET(PLE!$G$15,$M78-$A$15,BX$13)))</f>
        <v>1000000000000</v>
      </c>
      <c r="BY78" s="172">
        <f ca="1">IF(OR($D78&lt;&gt;"Serviço",AND(AUTOEVENTO="Manual",$M78=$A$15),$M78&gt;(ROW(PLE.lastrow)-ROW(PLE.firstrow))),0,
           IF(OFFSET(PLE!$G$15,$M78-$A$15,BY$13)="",10^12,OFFSET(PLE!$G$15,$M78-$A$15,BY$13)))</f>
        <v>1000000000000</v>
      </c>
      <c r="BZ78" s="172">
        <f ca="1">IF(OR($D78&lt;&gt;"Serviço",AND(AUTOEVENTO="Manual",$M78=$A$15),$M78&gt;(ROW(PLE.lastrow)-ROW(PLE.firstrow))),0,
           IF(OFFSET(PLE!$G$15,$M78-$A$15,BZ$13)="",10^12,OFFSET(PLE!$G$15,$M78-$A$15,BZ$13)))</f>
        <v>1000000000000</v>
      </c>
      <c r="CA78" s="172">
        <f ca="1">IF(OR($D78&lt;&gt;"Serviço",AND(AUTOEVENTO="Manual",$M78=$A$15),$M78&gt;(ROW(PLE.lastrow)-ROW(PLE.firstrow))),0,
           IF(OFFSET(PLE!$G$15,$M78-$A$15,CA$13)="",10^12,OFFSET(PLE!$G$15,$M78-$A$15,CA$13)))</f>
        <v>1000000000000</v>
      </c>
      <c r="CB78" s="172">
        <f ca="1">IF(OR($D78&lt;&gt;"Serviço",AND(AUTOEVENTO="Manual",$M78=$A$15),$M78&gt;(ROW(PLE.lastrow)-ROW(PLE.firstrow))),0,
           IF(OFFSET(PLE!$G$15,$M78-$A$15,CB$13)="",10^12,OFFSET(PLE!$G$15,$M78-$A$15,CB$13)))</f>
        <v>1000000000000</v>
      </c>
      <c r="CC78" s="172">
        <f ca="1">IF(OR($D78&lt;&gt;"Serviço",AND(AUTOEVENTO="Manual",$M78=$A$15),$M78&gt;(ROW(PLE.lastrow)-ROW(PLE.firstrow))),0,
           IF(OFFSET(PLE!$G$15,$M78-$A$15,CC$13)="",10^12,OFFSET(PLE!$G$15,$M78-$A$15,CC$13)))</f>
        <v>1000000000000</v>
      </c>
      <c r="CD78" s="172">
        <f ca="1">IF(OR($D78&lt;&gt;"Serviço",AND(AUTOEVENTO="Manual",$M78=$A$15),$M78&gt;(ROW(PLE.lastrow)-ROW(PLE.firstrow))),0,
           IF(OFFSET(PLE!$G$15,$M78-$A$15,CD$13)="",10^12,OFFSET(PLE!$G$15,$M78-$A$15,CD$13)))</f>
        <v>1000000000000</v>
      </c>
      <c r="CE78" s="172">
        <f ca="1">IF(OR($D78&lt;&gt;"Serviço",AND(AUTOEVENTO="Manual",$M78=$A$15),$M78&gt;(ROW(PLE.lastrow)-ROW(PLE.firstrow))),0,
           IF(OFFSET(PLE!$G$15,$M78-$A$15,CE$13)="",10^12,OFFSET(PLE!$G$15,$M78-$A$15,CE$13)))</f>
        <v>1000000000000</v>
      </c>
      <c r="CF78" s="172">
        <f ca="1">IF(OR($D78&lt;&gt;"Serviço",AND(AUTOEVENTO="Manual",$M78=$A$15),$M78&gt;(ROW(PLE.lastrow)-ROW(PLE.firstrow))),0,
           IF(OFFSET(PLE!$G$15,$M78-$A$15,CF$13)="",10^12,OFFSET(PLE!$G$15,$M78-$A$15,CF$13)))</f>
        <v>1000000000000</v>
      </c>
      <c r="CG78" s="172">
        <f ca="1">IF(OR($D78&lt;&gt;"Serviço",AND(AUTOEVENTO="Manual",$M78=$A$15),$M78&gt;(ROW(PLE.lastrow)-ROW(PLE.firstrow))),0,
           IF(OFFSET(PLE!$G$15,$M78-$A$15,CG$13)="",10^12,OFFSET(PLE!$G$15,$M78-$A$15,CG$13)))</f>
        <v>1000000000000</v>
      </c>
      <c r="CH78" s="172">
        <f ca="1">IF(OR($D78&lt;&gt;"Serviço",AND(AUTOEVENTO="Manual",$M78=$A$15),$M78&gt;(ROW(PLE.lastrow)-ROW(PLE.firstrow))),0,
           IF(OFFSET(PLE!$G$15,$M78-$A$15,CH$13)="",10^12,OFFSET(PLE!$G$15,$M78-$A$15,CH$13)))</f>
        <v>1000000000000</v>
      </c>
      <c r="CI78" s="172">
        <f ca="1">IF(OR($D78&lt;&gt;"Serviço",AND(AUTOEVENTO="Manual",$M78=$A$15),$M78&gt;(ROW(PLE.lastrow)-ROW(PLE.firstrow))),0,
           IF(OFFSET(PLE!$G$15,$M78-$A$15,CI$13)="",10^12,OFFSET(PLE!$G$15,$M78-$A$15,CI$13)))</f>
        <v>1000000000000</v>
      </c>
      <c r="CJ78" s="172">
        <f ca="1">IF(OR($D78&lt;&gt;"Serviço",AND(AUTOEVENTO="Manual",$M78=$A$15),$M78&gt;(ROW(PLE.lastrow)-ROW(PLE.firstrow))),0,
           IF(OFFSET(PLE!$G$15,$M78-$A$15,CJ$13)="",10^12,OFFSET(PLE!$G$15,$M78-$A$15,CJ$13)))</f>
        <v>1000000000000</v>
      </c>
      <c r="CK78" s="172">
        <f ca="1">IF(OR($D78&lt;&gt;"Serviço",AND(AUTOEVENTO="Manual",$M78=$A$15),$M78&gt;(ROW(PLE.lastrow)-ROW(PLE.firstrow))),0,
           IF(OFFSET(PLE!$G$15,$M78-$A$15,CK$13)="",10^12,OFFSET(PLE!$G$15,$M78-$A$15,CK$13)))</f>
        <v>1000000000000</v>
      </c>
      <c r="CL78" s="172">
        <f ca="1">IF(OR($D78&lt;&gt;"Serviço",AND(AUTOEVENTO="Manual",$M78=$A$15),$M78&gt;(ROW(PLE.lastrow)-ROW(PLE.firstrow))),0,
           IF(OFFSET(PLE!$G$15,$M78-$A$15,CL$13)="",10^12,OFFSET(PLE!$G$15,$M78-$A$15,CL$13)))</f>
        <v>1000000000000</v>
      </c>
      <c r="CM78" s="172">
        <f ca="1">IF(OR($D78&lt;&gt;"Serviço",AND(AUTOEVENTO="Manual",$M78=$A$15),$M78&gt;(ROW(PLE.lastrow)-ROW(PLE.firstrow))),0,
           IF(OFFSET(PLE!$G$15,$M78-$A$15,CM$13)="",10^12,OFFSET(PLE!$G$15,$M78-$A$15,CM$13)))</f>
        <v>1000000000000</v>
      </c>
    </row>
    <row r="79" spans="1:91" ht="63.75" x14ac:dyDescent="0.2">
      <c r="A79" s="7">
        <f t="shared" ca="1" si="10"/>
        <v>4</v>
      </c>
      <c r="B79" s="7" t="str">
        <f ca="1">OFFSET(ORÇAMENTO!C$15,ROW(B79)-ROW(B$15),0)</f>
        <v>S</v>
      </c>
      <c r="C79" s="7" t="str">
        <f ca="1">OFFSET(ORÇAMENTO!L$15,ROW(C79)-ROW(C$15),0)</f>
        <v>F</v>
      </c>
      <c r="D79" s="116" t="str">
        <f ca="1">OFFSET(ORÇAMENTO!N$15,ROW(D79)-ROW(D$15),0)</f>
        <v>Serviço</v>
      </c>
      <c r="E79" s="117" t="str">
        <f ca="1">OFFSET(ORÇAMENTO!O$15,ROW(E79)-ROW(E$15),0)</f>
        <v>1.5.1.2.7.</v>
      </c>
      <c r="F79" s="163" t="str">
        <f ca="1">OFFSET(ORÇAMENTO!R$15,ROW(F79)-ROW(F$15),0)</f>
        <v>LANÇAMENTO COM USO DE BOMBA, ADENSAMENTO E ACABAMENTO DE CONCRETO EM ESTRUTURAS. AF_02/2022</v>
      </c>
      <c r="G79" s="164" t="str">
        <f ca="1">IF($D79&lt;&gt;"Serviço","",OFFSET(ORÇAMENTO!S$15,ROW(G79)-ROW(G$15),0))</f>
        <v>M3</v>
      </c>
      <c r="H79" s="122" cm="1">
        <f t="array" aca="1" ref="H79" ca="1">IF($D79&lt;&gt;"Serviço",0,IF(ACOMPANHAMENTO="BM",ROUND(OFFSET(ORÇAMENTO!AJ$15,ROW(H79)-ROW(H$15),0),15-13*ORÇAMENTO!$AF$7),SUMPRODUCT(($Q$1:$AI$1=1)*ROUND($Q79:$AI79,15-13*ORÇAMENTO!$AF$7))))</f>
        <v>0.41</v>
      </c>
      <c r="I79" s="468" t="s">
        <v>1310</v>
      </c>
      <c r="J79" s="640" t="str" cm="1">
        <f t="array" aca="1" ref="J79" ca="1">IF(OR(B79&lt;&gt;"S",CÁLCULO.FrentesPreenchidas=0),"",IF(AND(ACOMPANHAMENTO="PLE",AUTOEVENTO="Manual",OR(H79&gt;0,ORÇAMENTO!AC79="QUANT."),OR(K79="",M79=0,N79="")),"►E",IF(AND(ACOMPANHAMENTO="PLE",ORÇAMENTO!AC79="QUANT."),"►Q",IF(AND(ACOMPANHAMENTO="PLE",H79&lt;&gt;SUMPRODUCT(($Q$1:$AI$1=1)*ROUND(Q79:AI79,15))),"►S",IF(AND(COUNTIF($P$11:$AI$11,"▼")=0,H79&gt;0,I79=""),"◄M","")))))</f>
        <v/>
      </c>
      <c r="K79" s="641" t="s">
        <v>1389</v>
      </c>
      <c r="L79" s="165" t="s">
        <v>764</v>
      </c>
      <c r="M79" s="166">
        <f ca="1">IF($D79&lt;&gt;"Serviço","",
          IF(AUTOEVENTO="manual",$A79,
                IF(ISERROR(MATCH($A79,$A$15:OFFSET($A79,-1,0),0)),MAX($M$15:OFFSET(M79,-1,0))+1,
                      INDEX($M$15:OFFSET(M79,-1,0),MATCH($A79,$A$15:OFFSET($A79,-1,0),0)))))</f>
        <v>4</v>
      </c>
      <c r="N79" s="167" t="str">
        <f ca="1">IF($D79&lt;&gt;"Serviço","",
         IF(AUTOEVENTO="Manual",
                IF($A79=0,"&lt;-- defina o número do agrupador",
                       OFFSET(EVENTOS!$D$15,$A79-$A$15,0)),
                OFFSET($F$15,$A79,0)))</f>
        <v>Estruturas de Concreto</v>
      </c>
      <c r="O79" s="168"/>
      <c r="Q79" s="168"/>
      <c r="R79" s="169">
        <f>R78</f>
        <v>0.41</v>
      </c>
      <c r="S79" s="169"/>
      <c r="T79" s="169"/>
      <c r="U79" s="169"/>
      <c r="V79" s="169"/>
      <c r="W79" s="169"/>
      <c r="X79" s="169"/>
      <c r="Y79" s="169"/>
      <c r="Z79" s="170"/>
      <c r="AA79" s="169"/>
      <c r="AB79" s="169"/>
      <c r="AC79" s="169"/>
      <c r="AD79" s="169"/>
      <c r="AE79" s="169"/>
      <c r="AF79" s="169"/>
      <c r="AG79" s="169"/>
      <c r="AH79" s="170"/>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L79" s="453">
        <f ca="1">IF(AND($D79="Serviço",AL$12&lt;&gt;0,$H79&gt;0,OR(AUTOEVENTO&lt;&gt;"manual",$M79&lt;&gt;$A$15)),
        IF(Import.TipoArredondamento&lt;&gt;"TransfereGOV",
              ROUND(OFFSET($P79,0,AL$13),15-13*ORÇAMENTO!$AF$7)/$H79*OFFSET(ORÇAMENTO!$X$15,ROW(AL79)-ROW(AL$15),0),
              ROUND(ROUND(OFFSET($P79,0,AL$13),15-13*ORÇAMENTO!$AF$7)*OFFSET(ORÇAMENTO!$W$15,ROW(AL79)-ROW(AL$15),0),15-13*ORÇAMENTO!$AF$11)),
         0)</f>
        <v>0</v>
      </c>
      <c r="AM79" s="453">
        <f ca="1">IF(AND($D79="Serviço",AM$12&lt;&gt;0,$H79&gt;0,OR(AUTOEVENTO&lt;&gt;"manual",$M79&lt;&gt;$A$15)),
        IF(Import.TipoArredondamento&lt;&gt;"TransfereGOV",
              ROUND(OFFSET($P79,0,AM$13),15-13*ORÇAMENTO!$AF$7)/$H79*OFFSET(ORÇAMENTO!$X$15,ROW(AM79)-ROW(AM$15),0),
              ROUND(ROUND(OFFSET($P79,0,AM$13),15-13*ORÇAMENTO!$AF$7)*OFFSET(ORÇAMENTO!$W$15,ROW(AM79)-ROW(AM$15),0),15-13*ORÇAMENTO!$AF$11)),
         0)</f>
        <v>0</v>
      </c>
      <c r="AN79" s="453">
        <f ca="1">IF(AND($D79="Serviço",AN$12&lt;&gt;0,$H79&gt;0,OR(AUTOEVENTO&lt;&gt;"manual",$M79&lt;&gt;$A$15)),
        IF(Import.TipoArredondamento&lt;&gt;"TransfereGOV",
              ROUND(OFFSET($P79,0,AN$13),15-13*ORÇAMENTO!$AF$7)/$H79*OFFSET(ORÇAMENTO!$X$15,ROW(AN79)-ROW(AN$15),0),
              ROUND(ROUND(OFFSET($P79,0,AN$13),15-13*ORÇAMENTO!$AF$7)*OFFSET(ORÇAMENTO!$W$15,ROW(AN79)-ROW(AN$15),0),15-13*ORÇAMENTO!$AF$11)),
         0)</f>
        <v>0</v>
      </c>
      <c r="AO79" s="453">
        <f ca="1">IF(AND($D79="Serviço",AO$12&lt;&gt;0,$H79&gt;0,OR(AUTOEVENTO&lt;&gt;"manual",$M79&lt;&gt;$A$15)),
        IF(Import.TipoArredondamento&lt;&gt;"TransfereGOV",
              ROUND(OFFSET($P79,0,AO$13),15-13*ORÇAMENTO!$AF$7)/$H79*OFFSET(ORÇAMENTO!$X$15,ROW(AO79)-ROW(AO$15),0),
              ROUND(ROUND(OFFSET($P79,0,AO$13),15-13*ORÇAMENTO!$AF$7)*OFFSET(ORÇAMENTO!$W$15,ROW(AO79)-ROW(AO$15),0),15-13*ORÇAMENTO!$AF$11)),
         0)</f>
        <v>0</v>
      </c>
      <c r="AP79" s="453">
        <f ca="1">IF(AND($D79="Serviço",AP$12&lt;&gt;0,$H79&gt;0,OR(AUTOEVENTO&lt;&gt;"manual",$M79&lt;&gt;$A$15)),
        IF(Import.TipoArredondamento&lt;&gt;"TransfereGOV",
              ROUND(OFFSET($P79,0,AP$13),15-13*ORÇAMENTO!$AF$7)/$H79*OFFSET(ORÇAMENTO!$X$15,ROW(AP79)-ROW(AP$15),0),
              ROUND(ROUND(OFFSET($P79,0,AP$13),15-13*ORÇAMENTO!$AF$7)*OFFSET(ORÇAMENTO!$W$15,ROW(AP79)-ROW(AP$15),0),15-13*ORÇAMENTO!$AF$11)),
         0)</f>
        <v>0</v>
      </c>
      <c r="AQ79" s="453">
        <f ca="1">IF(AND($D79="Serviço",AQ$12&lt;&gt;0,$H79&gt;0,OR(AUTOEVENTO&lt;&gt;"manual",$M79&lt;&gt;$A$15)),
        IF(Import.TipoArredondamento&lt;&gt;"TransfereGOV",
              ROUND(OFFSET($P79,0,AQ$13),15-13*ORÇAMENTO!$AF$7)/$H79*OFFSET(ORÇAMENTO!$X$15,ROW(AQ79)-ROW(AQ$15),0),
              ROUND(ROUND(OFFSET($P79,0,AQ$13),15-13*ORÇAMENTO!$AF$7)*OFFSET(ORÇAMENTO!$W$15,ROW(AQ79)-ROW(AQ$15),0),15-13*ORÇAMENTO!$AF$11)),
         0)</f>
        <v>0</v>
      </c>
      <c r="AR79" s="453">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3">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3">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3">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3">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3">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3">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3">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3">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3">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C79" s="171">
        <f ca="1">IF(OR($D79&lt;&gt;"Serviço",AND(AUTOEVENTO="Manual",$M79=$A$15)),0,
         IF(OFFSET(CRONOPLE!$F$15,$M79-$A$15,BC$13)=0,10^12,OFFSET(CRONOPLE!$F$15,$M79-$A$15,BC$13)))</f>
        <v>1</v>
      </c>
      <c r="BD79" s="171">
        <f ca="1">IF(OR($D79&lt;&gt;"Serviço",AND(AUTOEVENTO="Manual",$M79=$A$15)),0,
         IF(OFFSET(CRONOPLE!$F$15,$M79-$A$15,BD$13)=0,10^12,OFFSET(CRONOPLE!$F$15,$M79-$A$15,BD$13)))</f>
        <v>2</v>
      </c>
      <c r="BE79" s="171">
        <f ca="1">IF(OR($D79&lt;&gt;"Serviço",AND(AUTOEVENTO="Manual",$M79=$A$15)),0,
         IF(OFFSET(CRONOPLE!$F$15,$M79-$A$15,BE$13)=0,10^12,OFFSET(CRONOPLE!$F$15,$M79-$A$15,BE$13)))</f>
        <v>3</v>
      </c>
      <c r="BF79" s="171">
        <f ca="1">IF(OR($D79&lt;&gt;"Serviço",AND(AUTOEVENTO="Manual",$M79=$A$15)),0,
         IF(OFFSET(CRONOPLE!$F$15,$M79-$A$15,BF$13)=0,10^12,OFFSET(CRONOPLE!$F$15,$M79-$A$15,BF$13)))</f>
        <v>4</v>
      </c>
      <c r="BG79" s="171">
        <f ca="1">IF(OR($D79&lt;&gt;"Serviço",AND(AUTOEVENTO="Manual",$M79=$A$15)),0,
         IF(OFFSET(CRONOPLE!$F$15,$M79-$A$15,BG$13)=0,10^12,OFFSET(CRONOPLE!$F$15,$M79-$A$15,BG$13)))</f>
        <v>5</v>
      </c>
      <c r="BH79" s="171">
        <f ca="1">IF(OR($D79&lt;&gt;"Serviço",AND(AUTOEVENTO="Manual",$M79=$A$15)),0,
         IF(OFFSET(CRONOPLE!$F$15,$M79-$A$15,BH$13)=0,10^12,OFFSET(CRONOPLE!$F$15,$M79-$A$15,BH$13)))</f>
        <v>6</v>
      </c>
      <c r="BI79" s="171">
        <f ca="1">IF(OR($D79&lt;&gt;"Serviço",AND(AUTOEVENTO="Manual",$M79=$A$15)),0,
         IF(OFFSET(CRONOPLE!$F$15,$M79-$A$15,BI$13)=0,10^12,OFFSET(CRONOPLE!$F$15,$M79-$A$15,BI$13)))</f>
        <v>7</v>
      </c>
      <c r="BJ79" s="171">
        <f ca="1">IF(OR($D79&lt;&gt;"Serviço",AND(AUTOEVENTO="Manual",$M79=$A$15)),0,
         IF(OFFSET(CRONOPLE!$F$15,$M79-$A$15,BJ$13)=0,10^12,OFFSET(CRONOPLE!$F$15,$M79-$A$15,BJ$13)))</f>
        <v>8</v>
      </c>
      <c r="BK79" s="171">
        <f ca="1">IF(OR($D79&lt;&gt;"Serviço",AND(AUTOEVENTO="Manual",$M79=$A$15)),0,
         IF(OFFSET(CRONOPLE!$F$15,$M79-$A$15,BK$13)=0,10^12,OFFSET(CRONOPLE!$F$15,$M79-$A$15,BK$13)))</f>
        <v>9</v>
      </c>
      <c r="BL79" s="171">
        <f ca="1">IF(OR($D79&lt;&gt;"Serviço",AND(AUTOEVENTO="Manual",$M79=$A$15)),0,
         IF(OFFSET(CRONOPLE!$F$15,$M79-$A$15,BL$13)=0,10^12,OFFSET(CRONOPLE!$F$15,$M79-$A$15,BL$13)))</f>
        <v>10</v>
      </c>
      <c r="BM79" s="171">
        <f ca="1">IF(OR($D79&lt;&gt;"Serviço",AND(AUTOEVENTO="Manual",$M79=$A$15)),0,
         IF(OFFSET(CRONOPLE!$F$15,$M79-$A$15,BM$13)=0,10^12,OFFSET(CRONOPLE!$F$15,$M79-$A$15,BM$13)))</f>
        <v>1000000000000</v>
      </c>
      <c r="BN79" s="171">
        <f ca="1">IF(OR($D79&lt;&gt;"Serviço",AND(AUTOEVENTO="Manual",$M79=$A$15)),0,
         IF(OFFSET(CRONOPLE!$F$15,$M79-$A$15,BN$13)=0,10^12,OFFSET(CRONOPLE!$F$15,$M79-$A$15,BN$13)))</f>
        <v>1000000000000</v>
      </c>
      <c r="BO79" s="171">
        <f ca="1">IF(OR($D79&lt;&gt;"Serviço",AND(AUTOEVENTO="Manual",$M79=$A$15)),0,
         IF(OFFSET(CRONOPLE!$F$15,$M79-$A$15,BO$13)=0,10^12,OFFSET(CRONOPLE!$F$15,$M79-$A$15,BO$13)))</f>
        <v>1000000000000</v>
      </c>
      <c r="BP79" s="171">
        <f ca="1">IF(OR($D79&lt;&gt;"Serviço",AND(AUTOEVENTO="Manual",$M79=$A$15)),0,
         IF(OFFSET(CRONOPLE!$F$15,$M79-$A$15,BP$13)=0,10^12,OFFSET(CRONOPLE!$F$15,$M79-$A$15,BP$13)))</f>
        <v>1000000000000</v>
      </c>
      <c r="BQ79" s="171">
        <f ca="1">IF(OR($D79&lt;&gt;"Serviço",AND(AUTOEVENTO="Manual",$M79=$A$15)),0,
         IF(OFFSET(CRONOPLE!$F$15,$M79-$A$15,BQ$13)=0,10^12,OFFSET(CRONOPLE!$F$15,$M79-$A$15,BQ$13)))</f>
        <v>1000000000000</v>
      </c>
      <c r="BR79" s="171">
        <f ca="1">IF(OR($D79&lt;&gt;"Serviço",AND(AUTOEVENTO="Manual",$M79=$A$15)),0,
         IF(OFFSET(CRONOPLE!$F$15,$M79-$A$15,BR$13)=0,10^12,OFFSET(CRONOPLE!$F$15,$M79-$A$15,BR$13)))</f>
        <v>1000000000000</v>
      </c>
      <c r="BS79" s="171">
        <f ca="1">IF(OR($D79&lt;&gt;"Serviço",AND(AUTOEVENTO="Manual",$M79=$A$15)),0,
         IF(OFFSET(CRONOPLE!$F$15,$M79-$A$15,BS$13)=0,10^12,OFFSET(CRONOPLE!$F$15,$M79-$A$15,BS$13)))</f>
        <v>1000000000000</v>
      </c>
      <c r="BT79" s="171">
        <f ca="1">IF(OR($D79&lt;&gt;"Serviço",AND(AUTOEVENTO="Manual",$M79=$A$15)),0,
         IF(OFFSET(CRONOPLE!$F$15,$M79-$A$15,BT$13)=0,10^12,OFFSET(CRONOPLE!$F$15,$M79-$A$15,BT$13)))</f>
        <v>1000000000000</v>
      </c>
      <c r="BV79" s="172">
        <f ca="1">IF(OR($D79&lt;&gt;"Serviço",AND(AUTOEVENTO="Manual",$M79=$A$15),$M79&gt;(ROW(PLE.lastrow)-ROW(PLE.firstrow))),0,
           IF(OFFSET(PLE!$G$15,$M79-$A$15,BV$13)="",10^12,OFFSET(PLE!$G$15,$M79-$A$15,BV$13)))</f>
        <v>1000000000000</v>
      </c>
      <c r="BW79" s="172">
        <f ca="1">IF(OR($D79&lt;&gt;"Serviço",AND(AUTOEVENTO="Manual",$M79=$A$15),$M79&gt;(ROW(PLE.lastrow)-ROW(PLE.firstrow))),0,
           IF(OFFSET(PLE!$G$15,$M79-$A$15,BW$13)="",10^12,OFFSET(PLE!$G$15,$M79-$A$15,BW$13)))</f>
        <v>1000000000000</v>
      </c>
      <c r="BX79" s="172">
        <f ca="1">IF(OR($D79&lt;&gt;"Serviço",AND(AUTOEVENTO="Manual",$M79=$A$15),$M79&gt;(ROW(PLE.lastrow)-ROW(PLE.firstrow))),0,
           IF(OFFSET(PLE!$G$15,$M79-$A$15,BX$13)="",10^12,OFFSET(PLE!$G$15,$M79-$A$15,BX$13)))</f>
        <v>1000000000000</v>
      </c>
      <c r="BY79" s="172">
        <f ca="1">IF(OR($D79&lt;&gt;"Serviço",AND(AUTOEVENTO="Manual",$M79=$A$15),$M79&gt;(ROW(PLE.lastrow)-ROW(PLE.firstrow))),0,
           IF(OFFSET(PLE!$G$15,$M79-$A$15,BY$13)="",10^12,OFFSET(PLE!$G$15,$M79-$A$15,BY$13)))</f>
        <v>1000000000000</v>
      </c>
      <c r="BZ79" s="172">
        <f ca="1">IF(OR($D79&lt;&gt;"Serviço",AND(AUTOEVENTO="Manual",$M79=$A$15),$M79&gt;(ROW(PLE.lastrow)-ROW(PLE.firstrow))),0,
           IF(OFFSET(PLE!$G$15,$M79-$A$15,BZ$13)="",10^12,OFFSET(PLE!$G$15,$M79-$A$15,BZ$13)))</f>
        <v>1000000000000</v>
      </c>
      <c r="CA79" s="172">
        <f ca="1">IF(OR($D79&lt;&gt;"Serviço",AND(AUTOEVENTO="Manual",$M79=$A$15),$M79&gt;(ROW(PLE.lastrow)-ROW(PLE.firstrow))),0,
           IF(OFFSET(PLE!$G$15,$M79-$A$15,CA$13)="",10^12,OFFSET(PLE!$G$15,$M79-$A$15,CA$13)))</f>
        <v>1000000000000</v>
      </c>
      <c r="CB79" s="172">
        <f ca="1">IF(OR($D79&lt;&gt;"Serviço",AND(AUTOEVENTO="Manual",$M79=$A$15),$M79&gt;(ROW(PLE.lastrow)-ROW(PLE.firstrow))),0,
           IF(OFFSET(PLE!$G$15,$M79-$A$15,CB$13)="",10^12,OFFSET(PLE!$G$15,$M79-$A$15,CB$13)))</f>
        <v>1000000000000</v>
      </c>
      <c r="CC79" s="172">
        <f ca="1">IF(OR($D79&lt;&gt;"Serviço",AND(AUTOEVENTO="Manual",$M79=$A$15),$M79&gt;(ROW(PLE.lastrow)-ROW(PLE.firstrow))),0,
           IF(OFFSET(PLE!$G$15,$M79-$A$15,CC$13)="",10^12,OFFSET(PLE!$G$15,$M79-$A$15,CC$13)))</f>
        <v>1000000000000</v>
      </c>
      <c r="CD79" s="172">
        <f ca="1">IF(OR($D79&lt;&gt;"Serviço",AND(AUTOEVENTO="Manual",$M79=$A$15),$M79&gt;(ROW(PLE.lastrow)-ROW(PLE.firstrow))),0,
           IF(OFFSET(PLE!$G$15,$M79-$A$15,CD$13)="",10^12,OFFSET(PLE!$G$15,$M79-$A$15,CD$13)))</f>
        <v>1000000000000</v>
      </c>
      <c r="CE79" s="172">
        <f ca="1">IF(OR($D79&lt;&gt;"Serviço",AND(AUTOEVENTO="Manual",$M79=$A$15),$M79&gt;(ROW(PLE.lastrow)-ROW(PLE.firstrow))),0,
           IF(OFFSET(PLE!$G$15,$M79-$A$15,CE$13)="",10^12,OFFSET(PLE!$G$15,$M79-$A$15,CE$13)))</f>
        <v>1000000000000</v>
      </c>
      <c r="CF79" s="172">
        <f ca="1">IF(OR($D79&lt;&gt;"Serviço",AND(AUTOEVENTO="Manual",$M79=$A$15),$M79&gt;(ROW(PLE.lastrow)-ROW(PLE.firstrow))),0,
           IF(OFFSET(PLE!$G$15,$M79-$A$15,CF$13)="",10^12,OFFSET(PLE!$G$15,$M79-$A$15,CF$13)))</f>
        <v>1000000000000</v>
      </c>
      <c r="CG79" s="172">
        <f ca="1">IF(OR($D79&lt;&gt;"Serviço",AND(AUTOEVENTO="Manual",$M79=$A$15),$M79&gt;(ROW(PLE.lastrow)-ROW(PLE.firstrow))),0,
           IF(OFFSET(PLE!$G$15,$M79-$A$15,CG$13)="",10^12,OFFSET(PLE!$G$15,$M79-$A$15,CG$13)))</f>
        <v>1000000000000</v>
      </c>
      <c r="CH79" s="172">
        <f ca="1">IF(OR($D79&lt;&gt;"Serviço",AND(AUTOEVENTO="Manual",$M79=$A$15),$M79&gt;(ROW(PLE.lastrow)-ROW(PLE.firstrow))),0,
           IF(OFFSET(PLE!$G$15,$M79-$A$15,CH$13)="",10^12,OFFSET(PLE!$G$15,$M79-$A$15,CH$13)))</f>
        <v>1000000000000</v>
      </c>
      <c r="CI79" s="172">
        <f ca="1">IF(OR($D79&lt;&gt;"Serviço",AND(AUTOEVENTO="Manual",$M79=$A$15),$M79&gt;(ROW(PLE.lastrow)-ROW(PLE.firstrow))),0,
           IF(OFFSET(PLE!$G$15,$M79-$A$15,CI$13)="",10^12,OFFSET(PLE!$G$15,$M79-$A$15,CI$13)))</f>
        <v>1000000000000</v>
      </c>
      <c r="CJ79" s="172">
        <f ca="1">IF(OR($D79&lt;&gt;"Serviço",AND(AUTOEVENTO="Manual",$M79=$A$15),$M79&gt;(ROW(PLE.lastrow)-ROW(PLE.firstrow))),0,
           IF(OFFSET(PLE!$G$15,$M79-$A$15,CJ$13)="",10^12,OFFSET(PLE!$G$15,$M79-$A$15,CJ$13)))</f>
        <v>1000000000000</v>
      </c>
      <c r="CK79" s="172">
        <f ca="1">IF(OR($D79&lt;&gt;"Serviço",AND(AUTOEVENTO="Manual",$M79=$A$15),$M79&gt;(ROW(PLE.lastrow)-ROW(PLE.firstrow))),0,
           IF(OFFSET(PLE!$G$15,$M79-$A$15,CK$13)="",10^12,OFFSET(PLE!$G$15,$M79-$A$15,CK$13)))</f>
        <v>1000000000000</v>
      </c>
      <c r="CL79" s="172">
        <f ca="1">IF(OR($D79&lt;&gt;"Serviço",AND(AUTOEVENTO="Manual",$M79=$A$15),$M79&gt;(ROW(PLE.lastrow)-ROW(PLE.firstrow))),0,
           IF(OFFSET(PLE!$G$15,$M79-$A$15,CL$13)="",10^12,OFFSET(PLE!$G$15,$M79-$A$15,CL$13)))</f>
        <v>1000000000000</v>
      </c>
      <c r="CM79" s="172">
        <f ca="1">IF(OR($D79&lt;&gt;"Serviço",AND(AUTOEVENTO="Manual",$M79=$A$15),$M79&gt;(ROW(PLE.lastrow)-ROW(PLE.firstrow))),0,
           IF(OFFSET(PLE!$G$15,$M79-$A$15,CM$13)="",10^12,OFFSET(PLE!$G$15,$M79-$A$15,CM$13)))</f>
        <v>1000000000000</v>
      </c>
    </row>
    <row r="80" spans="1:91" ht="89.25" x14ac:dyDescent="0.2">
      <c r="A80" s="7">
        <f t="shared" ca="1" si="10"/>
        <v>4</v>
      </c>
      <c r="B80" s="7" t="str">
        <f ca="1">OFFSET(ORÇAMENTO!C$15,ROW(B80)-ROW(B$15),0)</f>
        <v>S</v>
      </c>
      <c r="C80" s="7" t="str">
        <f ca="1">OFFSET(ORÇAMENTO!L$15,ROW(C80)-ROW(C$15),0)</f>
        <v>F</v>
      </c>
      <c r="D80" s="116" t="str">
        <f ca="1">OFFSET(ORÇAMENTO!N$15,ROW(D80)-ROW(D$15),0)</f>
        <v>Serviço</v>
      </c>
      <c r="E80" s="117" t="str">
        <f ca="1">OFFSET(ORÇAMENTO!O$15,ROW(E80)-ROW(E$15),0)</f>
        <v>1.5.1.2.8.</v>
      </c>
      <c r="F80" s="163" t="str">
        <f ca="1">OFFSET(ORÇAMENTO!R$15,ROW(F80)-ROW(F$15),0)</f>
        <v>ARMAÇÃO EM AÇO CA-50 - FORNECIMENTO, PREPARO E COLOCAÇÃO</v>
      </c>
      <c r="G80" s="164" t="str">
        <f ca="1">IF($D80&lt;&gt;"Serviço","",OFFSET(ORÇAMENTO!S$15,ROW(G80)-ROW(G$15),0))</f>
        <v>KG</v>
      </c>
      <c r="H80" s="122" cm="1">
        <f t="array" aca="1" ref="H80" ca="1">IF($D80&lt;&gt;"Serviço",0,IF(ACOMPANHAMENTO="BM",ROUND(OFFSET(ORÇAMENTO!AJ$15,ROW(H80)-ROW(H$15),0),15-13*ORÇAMENTO!$AF$7),SUMPRODUCT(($Q$1:$AI$1=1)*ROUND($Q80:$AI80,15-13*ORÇAMENTO!$AF$7))))</f>
        <v>9.41</v>
      </c>
      <c r="I80" s="468" t="s">
        <v>1313</v>
      </c>
      <c r="J80" s="640" t="str" cm="1">
        <f t="array" aca="1" ref="J80" ca="1">IF(OR(B80&lt;&gt;"S",CÁLCULO.FrentesPreenchidas=0),"",IF(AND(ACOMPANHAMENTO="PLE",AUTOEVENTO="Manual",OR(H80&gt;0,ORÇAMENTO!AC80="QUANT."),OR(K80="",M80=0,N80="")),"►E",IF(AND(ACOMPANHAMENTO="PLE",ORÇAMENTO!AC80="QUANT."),"►Q",IF(AND(ACOMPANHAMENTO="PLE",H80&lt;&gt;SUMPRODUCT(($Q$1:$AI$1=1)*ROUND(Q80:AI80,15))),"►S",IF(AND(COUNTIF($P$11:$AI$11,"▼")=0,H80&gt;0,I80=""),"◄M","")))))</f>
        <v/>
      </c>
      <c r="K80" s="641" t="s">
        <v>1389</v>
      </c>
      <c r="L80" s="165" t="s">
        <v>764</v>
      </c>
      <c r="M80" s="166">
        <f ca="1">IF($D80&lt;&gt;"Serviço","",
          IF(AUTOEVENTO="manual",$A80,
                IF(ISERROR(MATCH($A80,$A$15:OFFSET($A80,-1,0),0)),MAX($M$15:OFFSET(M80,-1,0))+1,
                      INDEX($M$15:OFFSET(M80,-1,0),MATCH($A80,$A$15:OFFSET($A80,-1,0),0)))))</f>
        <v>4</v>
      </c>
      <c r="N80" s="167" t="str">
        <f ca="1">IF($D80&lt;&gt;"Serviço","",
         IF(AUTOEVENTO="Manual",
                IF($A80=0,"&lt;-- defina o número do agrupador",
                       OFFSET(EVENTOS!$D$15,$A80-$A$15,0)),
                OFFSET($F$15,$A80,0)))</f>
        <v>Estruturas de Concreto</v>
      </c>
      <c r="O80" s="168"/>
      <c r="Q80" s="168"/>
      <c r="R80" s="169">
        <f>4.74+4.67</f>
        <v>9.41</v>
      </c>
      <c r="S80" s="169"/>
      <c r="T80" s="169"/>
      <c r="U80" s="169"/>
      <c r="V80" s="169"/>
      <c r="W80" s="169"/>
      <c r="X80" s="169"/>
      <c r="Y80" s="169"/>
      <c r="Z80" s="170"/>
      <c r="AA80" s="169"/>
      <c r="AB80" s="169"/>
      <c r="AC80" s="169"/>
      <c r="AD80" s="169"/>
      <c r="AE80" s="169"/>
      <c r="AF80" s="169"/>
      <c r="AG80" s="169"/>
      <c r="AH80" s="170"/>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L80" s="453">
        <f ca="1">IF(AND($D80="Serviço",AL$12&lt;&gt;0,$H80&gt;0,OR(AUTOEVENTO&lt;&gt;"manual",$M80&lt;&gt;$A$15)),
        IF(Import.TipoArredondamento&lt;&gt;"TransfereGOV",
              ROUND(OFFSET($P80,0,AL$13),15-13*ORÇAMENTO!$AF$7)/$H80*OFFSET(ORÇAMENTO!$X$15,ROW(AL80)-ROW(AL$15),0),
              ROUND(ROUND(OFFSET($P80,0,AL$13),15-13*ORÇAMENTO!$AF$7)*OFFSET(ORÇAMENTO!$W$15,ROW(AL80)-ROW(AL$15),0),15-13*ORÇAMENTO!$AF$11)),
         0)</f>
        <v>0</v>
      </c>
      <c r="AM80" s="453">
        <f ca="1">IF(AND($D80="Serviço",AM$12&lt;&gt;0,$H80&gt;0,OR(AUTOEVENTO&lt;&gt;"manual",$M80&lt;&gt;$A$15)),
        IF(Import.TipoArredondamento&lt;&gt;"TransfereGOV",
              ROUND(OFFSET($P80,0,AM$13),15-13*ORÇAMENTO!$AF$7)/$H80*OFFSET(ORÇAMENTO!$X$15,ROW(AM80)-ROW(AM$15),0),
              ROUND(ROUND(OFFSET($P80,0,AM$13),15-13*ORÇAMENTO!$AF$7)*OFFSET(ORÇAMENTO!$W$15,ROW(AM80)-ROW(AM$15),0),15-13*ORÇAMENTO!$AF$11)),
         0)</f>
        <v>0</v>
      </c>
      <c r="AN80" s="453">
        <f ca="1">IF(AND($D80="Serviço",AN$12&lt;&gt;0,$H80&gt;0,OR(AUTOEVENTO&lt;&gt;"manual",$M80&lt;&gt;$A$15)),
        IF(Import.TipoArredondamento&lt;&gt;"TransfereGOV",
              ROUND(OFFSET($P80,0,AN$13),15-13*ORÇAMENTO!$AF$7)/$H80*OFFSET(ORÇAMENTO!$X$15,ROW(AN80)-ROW(AN$15),0),
              ROUND(ROUND(OFFSET($P80,0,AN$13),15-13*ORÇAMENTO!$AF$7)*OFFSET(ORÇAMENTO!$W$15,ROW(AN80)-ROW(AN$15),0),15-13*ORÇAMENTO!$AF$11)),
         0)</f>
        <v>0</v>
      </c>
      <c r="AO80" s="453">
        <f ca="1">IF(AND($D80="Serviço",AO$12&lt;&gt;0,$H80&gt;0,OR(AUTOEVENTO&lt;&gt;"manual",$M80&lt;&gt;$A$15)),
        IF(Import.TipoArredondamento&lt;&gt;"TransfereGOV",
              ROUND(OFFSET($P80,0,AO$13),15-13*ORÇAMENTO!$AF$7)/$H80*OFFSET(ORÇAMENTO!$X$15,ROW(AO80)-ROW(AO$15),0),
              ROUND(ROUND(OFFSET($P80,0,AO$13),15-13*ORÇAMENTO!$AF$7)*OFFSET(ORÇAMENTO!$W$15,ROW(AO80)-ROW(AO$15),0),15-13*ORÇAMENTO!$AF$11)),
         0)</f>
        <v>0</v>
      </c>
      <c r="AP80" s="453">
        <f ca="1">IF(AND($D80="Serviço",AP$12&lt;&gt;0,$H80&gt;0,OR(AUTOEVENTO&lt;&gt;"manual",$M80&lt;&gt;$A$15)),
        IF(Import.TipoArredondamento&lt;&gt;"TransfereGOV",
              ROUND(OFFSET($P80,0,AP$13),15-13*ORÇAMENTO!$AF$7)/$H80*OFFSET(ORÇAMENTO!$X$15,ROW(AP80)-ROW(AP$15),0),
              ROUND(ROUND(OFFSET($P80,0,AP$13),15-13*ORÇAMENTO!$AF$7)*OFFSET(ORÇAMENTO!$W$15,ROW(AP80)-ROW(AP$15),0),15-13*ORÇAMENTO!$AF$11)),
         0)</f>
        <v>0</v>
      </c>
      <c r="AQ80" s="453">
        <f ca="1">IF(AND($D80="Serviço",AQ$12&lt;&gt;0,$H80&gt;0,OR(AUTOEVENTO&lt;&gt;"manual",$M80&lt;&gt;$A$15)),
        IF(Import.TipoArredondamento&lt;&gt;"TransfereGOV",
              ROUND(OFFSET($P80,0,AQ$13),15-13*ORÇAMENTO!$AF$7)/$H80*OFFSET(ORÇAMENTO!$X$15,ROW(AQ80)-ROW(AQ$15),0),
              ROUND(ROUND(OFFSET($P80,0,AQ$13),15-13*ORÇAMENTO!$AF$7)*OFFSET(ORÇAMENTO!$W$15,ROW(AQ80)-ROW(AQ$15),0),15-13*ORÇAMENTO!$AF$11)),
         0)</f>
        <v>0</v>
      </c>
      <c r="AR80" s="453">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3">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3">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3">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3">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3">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3">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3">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3">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3">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C80" s="171">
        <f ca="1">IF(OR($D80&lt;&gt;"Serviço",AND(AUTOEVENTO="Manual",$M80=$A$15)),0,
         IF(OFFSET(CRONOPLE!$F$15,$M80-$A$15,BC$13)=0,10^12,OFFSET(CRONOPLE!$F$15,$M80-$A$15,BC$13)))</f>
        <v>1</v>
      </c>
      <c r="BD80" s="171">
        <f ca="1">IF(OR($D80&lt;&gt;"Serviço",AND(AUTOEVENTO="Manual",$M80=$A$15)),0,
         IF(OFFSET(CRONOPLE!$F$15,$M80-$A$15,BD$13)=0,10^12,OFFSET(CRONOPLE!$F$15,$M80-$A$15,BD$13)))</f>
        <v>2</v>
      </c>
      <c r="BE80" s="171">
        <f ca="1">IF(OR($D80&lt;&gt;"Serviço",AND(AUTOEVENTO="Manual",$M80=$A$15)),0,
         IF(OFFSET(CRONOPLE!$F$15,$M80-$A$15,BE$13)=0,10^12,OFFSET(CRONOPLE!$F$15,$M80-$A$15,BE$13)))</f>
        <v>3</v>
      </c>
      <c r="BF80" s="171">
        <f ca="1">IF(OR($D80&lt;&gt;"Serviço",AND(AUTOEVENTO="Manual",$M80=$A$15)),0,
         IF(OFFSET(CRONOPLE!$F$15,$M80-$A$15,BF$13)=0,10^12,OFFSET(CRONOPLE!$F$15,$M80-$A$15,BF$13)))</f>
        <v>4</v>
      </c>
      <c r="BG80" s="171">
        <f ca="1">IF(OR($D80&lt;&gt;"Serviço",AND(AUTOEVENTO="Manual",$M80=$A$15)),0,
         IF(OFFSET(CRONOPLE!$F$15,$M80-$A$15,BG$13)=0,10^12,OFFSET(CRONOPLE!$F$15,$M80-$A$15,BG$13)))</f>
        <v>5</v>
      </c>
      <c r="BH80" s="171">
        <f ca="1">IF(OR($D80&lt;&gt;"Serviço",AND(AUTOEVENTO="Manual",$M80=$A$15)),0,
         IF(OFFSET(CRONOPLE!$F$15,$M80-$A$15,BH$13)=0,10^12,OFFSET(CRONOPLE!$F$15,$M80-$A$15,BH$13)))</f>
        <v>6</v>
      </c>
      <c r="BI80" s="171">
        <f ca="1">IF(OR($D80&lt;&gt;"Serviço",AND(AUTOEVENTO="Manual",$M80=$A$15)),0,
         IF(OFFSET(CRONOPLE!$F$15,$M80-$A$15,BI$13)=0,10^12,OFFSET(CRONOPLE!$F$15,$M80-$A$15,BI$13)))</f>
        <v>7</v>
      </c>
      <c r="BJ80" s="171">
        <f ca="1">IF(OR($D80&lt;&gt;"Serviço",AND(AUTOEVENTO="Manual",$M80=$A$15)),0,
         IF(OFFSET(CRONOPLE!$F$15,$M80-$A$15,BJ$13)=0,10^12,OFFSET(CRONOPLE!$F$15,$M80-$A$15,BJ$13)))</f>
        <v>8</v>
      </c>
      <c r="BK80" s="171">
        <f ca="1">IF(OR($D80&lt;&gt;"Serviço",AND(AUTOEVENTO="Manual",$M80=$A$15)),0,
         IF(OFFSET(CRONOPLE!$F$15,$M80-$A$15,BK$13)=0,10^12,OFFSET(CRONOPLE!$F$15,$M80-$A$15,BK$13)))</f>
        <v>9</v>
      </c>
      <c r="BL80" s="171">
        <f ca="1">IF(OR($D80&lt;&gt;"Serviço",AND(AUTOEVENTO="Manual",$M80=$A$15)),0,
         IF(OFFSET(CRONOPLE!$F$15,$M80-$A$15,BL$13)=0,10^12,OFFSET(CRONOPLE!$F$15,$M80-$A$15,BL$13)))</f>
        <v>10</v>
      </c>
      <c r="BM80" s="171">
        <f ca="1">IF(OR($D80&lt;&gt;"Serviço",AND(AUTOEVENTO="Manual",$M80=$A$15)),0,
         IF(OFFSET(CRONOPLE!$F$15,$M80-$A$15,BM$13)=0,10^12,OFFSET(CRONOPLE!$F$15,$M80-$A$15,BM$13)))</f>
        <v>1000000000000</v>
      </c>
      <c r="BN80" s="171">
        <f ca="1">IF(OR($D80&lt;&gt;"Serviço",AND(AUTOEVENTO="Manual",$M80=$A$15)),0,
         IF(OFFSET(CRONOPLE!$F$15,$M80-$A$15,BN$13)=0,10^12,OFFSET(CRONOPLE!$F$15,$M80-$A$15,BN$13)))</f>
        <v>1000000000000</v>
      </c>
      <c r="BO80" s="171">
        <f ca="1">IF(OR($D80&lt;&gt;"Serviço",AND(AUTOEVENTO="Manual",$M80=$A$15)),0,
         IF(OFFSET(CRONOPLE!$F$15,$M80-$A$15,BO$13)=0,10^12,OFFSET(CRONOPLE!$F$15,$M80-$A$15,BO$13)))</f>
        <v>1000000000000</v>
      </c>
      <c r="BP80" s="171">
        <f ca="1">IF(OR($D80&lt;&gt;"Serviço",AND(AUTOEVENTO="Manual",$M80=$A$15)),0,
         IF(OFFSET(CRONOPLE!$F$15,$M80-$A$15,BP$13)=0,10^12,OFFSET(CRONOPLE!$F$15,$M80-$A$15,BP$13)))</f>
        <v>1000000000000</v>
      </c>
      <c r="BQ80" s="171">
        <f ca="1">IF(OR($D80&lt;&gt;"Serviço",AND(AUTOEVENTO="Manual",$M80=$A$15)),0,
         IF(OFFSET(CRONOPLE!$F$15,$M80-$A$15,BQ$13)=0,10^12,OFFSET(CRONOPLE!$F$15,$M80-$A$15,BQ$13)))</f>
        <v>1000000000000</v>
      </c>
      <c r="BR80" s="171">
        <f ca="1">IF(OR($D80&lt;&gt;"Serviço",AND(AUTOEVENTO="Manual",$M80=$A$15)),0,
         IF(OFFSET(CRONOPLE!$F$15,$M80-$A$15,BR$13)=0,10^12,OFFSET(CRONOPLE!$F$15,$M80-$A$15,BR$13)))</f>
        <v>1000000000000</v>
      </c>
      <c r="BS80" s="171">
        <f ca="1">IF(OR($D80&lt;&gt;"Serviço",AND(AUTOEVENTO="Manual",$M80=$A$15)),0,
         IF(OFFSET(CRONOPLE!$F$15,$M80-$A$15,BS$13)=0,10^12,OFFSET(CRONOPLE!$F$15,$M80-$A$15,BS$13)))</f>
        <v>1000000000000</v>
      </c>
      <c r="BT80" s="171">
        <f ca="1">IF(OR($D80&lt;&gt;"Serviço",AND(AUTOEVENTO="Manual",$M80=$A$15)),0,
         IF(OFFSET(CRONOPLE!$F$15,$M80-$A$15,BT$13)=0,10^12,OFFSET(CRONOPLE!$F$15,$M80-$A$15,BT$13)))</f>
        <v>1000000000000</v>
      </c>
      <c r="BV80" s="172">
        <f ca="1">IF(OR($D80&lt;&gt;"Serviço",AND(AUTOEVENTO="Manual",$M80=$A$15),$M80&gt;(ROW(PLE.lastrow)-ROW(PLE.firstrow))),0,
           IF(OFFSET(PLE!$G$15,$M80-$A$15,BV$13)="",10^12,OFFSET(PLE!$G$15,$M80-$A$15,BV$13)))</f>
        <v>1000000000000</v>
      </c>
      <c r="BW80" s="172">
        <f ca="1">IF(OR($D80&lt;&gt;"Serviço",AND(AUTOEVENTO="Manual",$M80=$A$15),$M80&gt;(ROW(PLE.lastrow)-ROW(PLE.firstrow))),0,
           IF(OFFSET(PLE!$G$15,$M80-$A$15,BW$13)="",10^12,OFFSET(PLE!$G$15,$M80-$A$15,BW$13)))</f>
        <v>1000000000000</v>
      </c>
      <c r="BX80" s="172">
        <f ca="1">IF(OR($D80&lt;&gt;"Serviço",AND(AUTOEVENTO="Manual",$M80=$A$15),$M80&gt;(ROW(PLE.lastrow)-ROW(PLE.firstrow))),0,
           IF(OFFSET(PLE!$G$15,$M80-$A$15,BX$13)="",10^12,OFFSET(PLE!$G$15,$M80-$A$15,BX$13)))</f>
        <v>1000000000000</v>
      </c>
      <c r="BY80" s="172">
        <f ca="1">IF(OR($D80&lt;&gt;"Serviço",AND(AUTOEVENTO="Manual",$M80=$A$15),$M80&gt;(ROW(PLE.lastrow)-ROW(PLE.firstrow))),0,
           IF(OFFSET(PLE!$G$15,$M80-$A$15,BY$13)="",10^12,OFFSET(PLE!$G$15,$M80-$A$15,BY$13)))</f>
        <v>1000000000000</v>
      </c>
      <c r="BZ80" s="172">
        <f ca="1">IF(OR($D80&lt;&gt;"Serviço",AND(AUTOEVENTO="Manual",$M80=$A$15),$M80&gt;(ROW(PLE.lastrow)-ROW(PLE.firstrow))),0,
           IF(OFFSET(PLE!$G$15,$M80-$A$15,BZ$13)="",10^12,OFFSET(PLE!$G$15,$M80-$A$15,BZ$13)))</f>
        <v>1000000000000</v>
      </c>
      <c r="CA80" s="172">
        <f ca="1">IF(OR($D80&lt;&gt;"Serviço",AND(AUTOEVENTO="Manual",$M80=$A$15),$M80&gt;(ROW(PLE.lastrow)-ROW(PLE.firstrow))),0,
           IF(OFFSET(PLE!$G$15,$M80-$A$15,CA$13)="",10^12,OFFSET(PLE!$G$15,$M80-$A$15,CA$13)))</f>
        <v>1000000000000</v>
      </c>
      <c r="CB80" s="172">
        <f ca="1">IF(OR($D80&lt;&gt;"Serviço",AND(AUTOEVENTO="Manual",$M80=$A$15),$M80&gt;(ROW(PLE.lastrow)-ROW(PLE.firstrow))),0,
           IF(OFFSET(PLE!$G$15,$M80-$A$15,CB$13)="",10^12,OFFSET(PLE!$G$15,$M80-$A$15,CB$13)))</f>
        <v>1000000000000</v>
      </c>
      <c r="CC80" s="172">
        <f ca="1">IF(OR($D80&lt;&gt;"Serviço",AND(AUTOEVENTO="Manual",$M80=$A$15),$M80&gt;(ROW(PLE.lastrow)-ROW(PLE.firstrow))),0,
           IF(OFFSET(PLE!$G$15,$M80-$A$15,CC$13)="",10^12,OFFSET(PLE!$G$15,$M80-$A$15,CC$13)))</f>
        <v>1000000000000</v>
      </c>
      <c r="CD80" s="172">
        <f ca="1">IF(OR($D80&lt;&gt;"Serviço",AND(AUTOEVENTO="Manual",$M80=$A$15),$M80&gt;(ROW(PLE.lastrow)-ROW(PLE.firstrow))),0,
           IF(OFFSET(PLE!$G$15,$M80-$A$15,CD$13)="",10^12,OFFSET(PLE!$G$15,$M80-$A$15,CD$13)))</f>
        <v>1000000000000</v>
      </c>
      <c r="CE80" s="172">
        <f ca="1">IF(OR($D80&lt;&gt;"Serviço",AND(AUTOEVENTO="Manual",$M80=$A$15),$M80&gt;(ROW(PLE.lastrow)-ROW(PLE.firstrow))),0,
           IF(OFFSET(PLE!$G$15,$M80-$A$15,CE$13)="",10^12,OFFSET(PLE!$G$15,$M80-$A$15,CE$13)))</f>
        <v>1000000000000</v>
      </c>
      <c r="CF80" s="172">
        <f ca="1">IF(OR($D80&lt;&gt;"Serviço",AND(AUTOEVENTO="Manual",$M80=$A$15),$M80&gt;(ROW(PLE.lastrow)-ROW(PLE.firstrow))),0,
           IF(OFFSET(PLE!$G$15,$M80-$A$15,CF$13)="",10^12,OFFSET(PLE!$G$15,$M80-$A$15,CF$13)))</f>
        <v>1000000000000</v>
      </c>
      <c r="CG80" s="172">
        <f ca="1">IF(OR($D80&lt;&gt;"Serviço",AND(AUTOEVENTO="Manual",$M80=$A$15),$M80&gt;(ROW(PLE.lastrow)-ROW(PLE.firstrow))),0,
           IF(OFFSET(PLE!$G$15,$M80-$A$15,CG$13)="",10^12,OFFSET(PLE!$G$15,$M80-$A$15,CG$13)))</f>
        <v>1000000000000</v>
      </c>
      <c r="CH80" s="172">
        <f ca="1">IF(OR($D80&lt;&gt;"Serviço",AND(AUTOEVENTO="Manual",$M80=$A$15),$M80&gt;(ROW(PLE.lastrow)-ROW(PLE.firstrow))),0,
           IF(OFFSET(PLE!$G$15,$M80-$A$15,CH$13)="",10^12,OFFSET(PLE!$G$15,$M80-$A$15,CH$13)))</f>
        <v>1000000000000</v>
      </c>
      <c r="CI80" s="172">
        <f ca="1">IF(OR($D80&lt;&gt;"Serviço",AND(AUTOEVENTO="Manual",$M80=$A$15),$M80&gt;(ROW(PLE.lastrow)-ROW(PLE.firstrow))),0,
           IF(OFFSET(PLE!$G$15,$M80-$A$15,CI$13)="",10^12,OFFSET(PLE!$G$15,$M80-$A$15,CI$13)))</f>
        <v>1000000000000</v>
      </c>
      <c r="CJ80" s="172">
        <f ca="1">IF(OR($D80&lt;&gt;"Serviço",AND(AUTOEVENTO="Manual",$M80=$A$15),$M80&gt;(ROW(PLE.lastrow)-ROW(PLE.firstrow))),0,
           IF(OFFSET(PLE!$G$15,$M80-$A$15,CJ$13)="",10^12,OFFSET(PLE!$G$15,$M80-$A$15,CJ$13)))</f>
        <v>1000000000000</v>
      </c>
      <c r="CK80" s="172">
        <f ca="1">IF(OR($D80&lt;&gt;"Serviço",AND(AUTOEVENTO="Manual",$M80=$A$15),$M80&gt;(ROW(PLE.lastrow)-ROW(PLE.firstrow))),0,
           IF(OFFSET(PLE!$G$15,$M80-$A$15,CK$13)="",10^12,OFFSET(PLE!$G$15,$M80-$A$15,CK$13)))</f>
        <v>1000000000000</v>
      </c>
      <c r="CL80" s="172">
        <f ca="1">IF(OR($D80&lt;&gt;"Serviço",AND(AUTOEVENTO="Manual",$M80=$A$15),$M80&gt;(ROW(PLE.lastrow)-ROW(PLE.firstrow))),0,
           IF(OFFSET(PLE!$G$15,$M80-$A$15,CL$13)="",10^12,OFFSET(PLE!$G$15,$M80-$A$15,CL$13)))</f>
        <v>1000000000000</v>
      </c>
      <c r="CM80" s="172">
        <f ca="1">IF(OR($D80&lt;&gt;"Serviço",AND(AUTOEVENTO="Manual",$M80=$A$15),$M80&gt;(ROW(PLE.lastrow)-ROW(PLE.firstrow))),0,
           IF(OFFSET(PLE!$G$15,$M80-$A$15,CM$13)="",10^12,OFFSET(PLE!$G$15,$M80-$A$15,CM$13)))</f>
        <v>1000000000000</v>
      </c>
    </row>
    <row r="81" spans="1:91" ht="25.5" x14ac:dyDescent="0.2">
      <c r="A81" s="7">
        <f t="shared" ca="1" si="10"/>
        <v>4</v>
      </c>
      <c r="B81" s="7" t="str">
        <f ca="1">OFFSET(ORÇAMENTO!C$15,ROW(B81)-ROW(B$15),0)</f>
        <v>S</v>
      </c>
      <c r="C81" s="7" t="str">
        <f ca="1">OFFSET(ORÇAMENTO!L$15,ROW(C81)-ROW(C$15),0)</f>
        <v>F</v>
      </c>
      <c r="D81" s="116" t="str">
        <f ca="1">OFFSET(ORÇAMENTO!N$15,ROW(D81)-ROW(D$15),0)</f>
        <v>Serviço</v>
      </c>
      <c r="E81" s="117" t="str">
        <f ca="1">OFFSET(ORÇAMENTO!O$15,ROW(E81)-ROW(E$15),0)</f>
        <v>1.5.1.2.9.</v>
      </c>
      <c r="F81" s="163" t="str">
        <f ca="1">OFFSET(ORÇAMENTO!R$15,ROW(F81)-ROW(F$15),0)</f>
        <v>REATERRO MANUAL DE VALAS, COM COMPACTADOR DE SOLOS DE PERCUSSÃO. AF_08/2023</v>
      </c>
      <c r="G81" s="164" t="str">
        <f ca="1">IF($D81&lt;&gt;"Serviço","",OFFSET(ORÇAMENTO!S$15,ROW(G81)-ROW(G$15),0))</f>
        <v>M3</v>
      </c>
      <c r="H81" s="122" cm="1">
        <f t="array" aca="1" ref="H81" ca="1">IF($D81&lt;&gt;"Serviço",0,IF(ACOMPANHAMENTO="BM",ROUND(OFFSET(ORÇAMENTO!AJ$15,ROW(H81)-ROW(H$15),0),15-13*ORÇAMENTO!$AF$7),SUMPRODUCT(($Q$1:$AI$1=1)*ROUND($Q81:$AI81,15-13*ORÇAMENTO!$AF$7))))</f>
        <v>5.26</v>
      </c>
      <c r="I81" s="468" t="s">
        <v>1314</v>
      </c>
      <c r="J81" s="640" t="str" cm="1">
        <f t="array" aca="1" ref="J81" ca="1">IF(OR(B81&lt;&gt;"S",CÁLCULO.FrentesPreenchidas=0),"",IF(AND(ACOMPANHAMENTO="PLE",AUTOEVENTO="Manual",OR(H81&gt;0,ORÇAMENTO!AC81="QUANT."),OR(K81="",M81=0,N81="")),"►E",IF(AND(ACOMPANHAMENTO="PLE",ORÇAMENTO!AC81="QUANT."),"►Q",IF(AND(ACOMPANHAMENTO="PLE",H81&lt;&gt;SUMPRODUCT(($Q$1:$AI$1=1)*ROUND(Q81:AI81,15))),"►S",IF(AND(COUNTIF($P$11:$AI$11,"▼")=0,H81&gt;0,I81=""),"◄M","")))))</f>
        <v/>
      </c>
      <c r="K81" s="641" t="s">
        <v>1389</v>
      </c>
      <c r="L81" s="165" t="s">
        <v>764</v>
      </c>
      <c r="M81" s="166">
        <f ca="1">IF($D81&lt;&gt;"Serviço","",
          IF(AUTOEVENTO="manual",$A81,
                IF(ISERROR(MATCH($A81,$A$15:OFFSET($A81,-1,0),0)),MAX($M$15:OFFSET(M81,-1,0))+1,
                      INDEX($M$15:OFFSET(M81,-1,0),MATCH($A81,$A$15:OFFSET($A81,-1,0),0)))))</f>
        <v>4</v>
      </c>
      <c r="N81" s="167" t="str">
        <f ca="1">IF($D81&lt;&gt;"Serviço","",
         IF(AUTOEVENTO="Manual",
                IF($A81=0,"&lt;-- defina o número do agrupador",
                       OFFSET(EVENTOS!$D$15,$A81-$A$15,0)),
                OFFSET($F$15,$A81,0)))</f>
        <v>Estruturas de Concreto</v>
      </c>
      <c r="O81" s="168"/>
      <c r="Q81" s="168"/>
      <c r="R81" s="169">
        <f>R73-(R76+R78)</f>
        <v>5.26</v>
      </c>
      <c r="S81" s="169"/>
      <c r="T81" s="169"/>
      <c r="U81" s="169"/>
      <c r="V81" s="169"/>
      <c r="W81" s="169"/>
      <c r="X81" s="169"/>
      <c r="Y81" s="169"/>
      <c r="Z81" s="170"/>
      <c r="AA81" s="169"/>
      <c r="AB81" s="169"/>
      <c r="AC81" s="169"/>
      <c r="AD81" s="169"/>
      <c r="AE81" s="169"/>
      <c r="AF81" s="169"/>
      <c r="AG81" s="169"/>
      <c r="AH81" s="170"/>
      <c r="AJ81" s="453">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0</v>
      </c>
      <c r="AK81" s="453">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0</v>
      </c>
      <c r="AL81" s="453">
        <f ca="1">IF(AND($D81="Serviço",AL$12&lt;&gt;0,$H81&gt;0,OR(AUTOEVENTO&lt;&gt;"manual",$M81&lt;&gt;$A$15)),
        IF(Import.TipoArredondamento&lt;&gt;"TransfereGOV",
              ROUND(OFFSET($P81,0,AL$13),15-13*ORÇAMENTO!$AF$7)/$H81*OFFSET(ORÇAMENTO!$X$15,ROW(AL81)-ROW(AL$15),0),
              ROUND(ROUND(OFFSET($P81,0,AL$13),15-13*ORÇAMENTO!$AF$7)*OFFSET(ORÇAMENTO!$W$15,ROW(AL81)-ROW(AL$15),0),15-13*ORÇAMENTO!$AF$11)),
         0)</f>
        <v>0</v>
      </c>
      <c r="AM81" s="453">
        <f ca="1">IF(AND($D81="Serviço",AM$12&lt;&gt;0,$H81&gt;0,OR(AUTOEVENTO&lt;&gt;"manual",$M81&lt;&gt;$A$15)),
        IF(Import.TipoArredondamento&lt;&gt;"TransfereGOV",
              ROUND(OFFSET($P81,0,AM$13),15-13*ORÇAMENTO!$AF$7)/$H81*OFFSET(ORÇAMENTO!$X$15,ROW(AM81)-ROW(AM$15),0),
              ROUND(ROUND(OFFSET($P81,0,AM$13),15-13*ORÇAMENTO!$AF$7)*OFFSET(ORÇAMENTO!$W$15,ROW(AM81)-ROW(AM$15),0),15-13*ORÇAMENTO!$AF$11)),
         0)</f>
        <v>0</v>
      </c>
      <c r="AN81" s="453">
        <f ca="1">IF(AND($D81="Serviço",AN$12&lt;&gt;0,$H81&gt;0,OR(AUTOEVENTO&lt;&gt;"manual",$M81&lt;&gt;$A$15)),
        IF(Import.TipoArredondamento&lt;&gt;"TransfereGOV",
              ROUND(OFFSET($P81,0,AN$13),15-13*ORÇAMENTO!$AF$7)/$H81*OFFSET(ORÇAMENTO!$X$15,ROW(AN81)-ROW(AN$15),0),
              ROUND(ROUND(OFFSET($P81,0,AN$13),15-13*ORÇAMENTO!$AF$7)*OFFSET(ORÇAMENTO!$W$15,ROW(AN81)-ROW(AN$15),0),15-13*ORÇAMENTO!$AF$11)),
         0)</f>
        <v>0</v>
      </c>
      <c r="AO81" s="453">
        <f ca="1">IF(AND($D81="Serviço",AO$12&lt;&gt;0,$H81&gt;0,OR(AUTOEVENTO&lt;&gt;"manual",$M81&lt;&gt;$A$15)),
        IF(Import.TipoArredondamento&lt;&gt;"TransfereGOV",
              ROUND(OFFSET($P81,0,AO$13),15-13*ORÇAMENTO!$AF$7)/$H81*OFFSET(ORÇAMENTO!$X$15,ROW(AO81)-ROW(AO$15),0),
              ROUND(ROUND(OFFSET($P81,0,AO$13),15-13*ORÇAMENTO!$AF$7)*OFFSET(ORÇAMENTO!$W$15,ROW(AO81)-ROW(AO$15),0),15-13*ORÇAMENTO!$AF$11)),
         0)</f>
        <v>0</v>
      </c>
      <c r="AP81" s="453">
        <f ca="1">IF(AND($D81="Serviço",AP$12&lt;&gt;0,$H81&gt;0,OR(AUTOEVENTO&lt;&gt;"manual",$M81&lt;&gt;$A$15)),
        IF(Import.TipoArredondamento&lt;&gt;"TransfereGOV",
              ROUND(OFFSET($P81,0,AP$13),15-13*ORÇAMENTO!$AF$7)/$H81*OFFSET(ORÇAMENTO!$X$15,ROW(AP81)-ROW(AP$15),0),
              ROUND(ROUND(OFFSET($P81,0,AP$13),15-13*ORÇAMENTO!$AF$7)*OFFSET(ORÇAMENTO!$W$15,ROW(AP81)-ROW(AP$15),0),15-13*ORÇAMENTO!$AF$11)),
         0)</f>
        <v>0</v>
      </c>
      <c r="AQ81" s="453">
        <f ca="1">IF(AND($D81="Serviço",AQ$12&lt;&gt;0,$H81&gt;0,OR(AUTOEVENTO&lt;&gt;"manual",$M81&lt;&gt;$A$15)),
        IF(Import.TipoArredondamento&lt;&gt;"TransfereGOV",
              ROUND(OFFSET($P81,0,AQ$13),15-13*ORÇAMENTO!$AF$7)/$H81*OFFSET(ORÇAMENTO!$X$15,ROW(AQ81)-ROW(AQ$15),0),
              ROUND(ROUND(OFFSET($P81,0,AQ$13),15-13*ORÇAMENTO!$AF$7)*OFFSET(ORÇAMENTO!$W$15,ROW(AQ81)-ROW(AQ$15),0),15-13*ORÇAMENTO!$AF$11)),
         0)</f>
        <v>0</v>
      </c>
      <c r="AR81" s="453">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3">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3">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3">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3">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3">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3">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3">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3">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3">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C81" s="171">
        <f ca="1">IF(OR($D81&lt;&gt;"Serviço",AND(AUTOEVENTO="Manual",$M81=$A$15)),0,
         IF(OFFSET(CRONOPLE!$F$15,$M81-$A$15,BC$13)=0,10^12,OFFSET(CRONOPLE!$F$15,$M81-$A$15,BC$13)))</f>
        <v>1</v>
      </c>
      <c r="BD81" s="171">
        <f ca="1">IF(OR($D81&lt;&gt;"Serviço",AND(AUTOEVENTO="Manual",$M81=$A$15)),0,
         IF(OFFSET(CRONOPLE!$F$15,$M81-$A$15,BD$13)=0,10^12,OFFSET(CRONOPLE!$F$15,$M81-$A$15,BD$13)))</f>
        <v>2</v>
      </c>
      <c r="BE81" s="171">
        <f ca="1">IF(OR($D81&lt;&gt;"Serviço",AND(AUTOEVENTO="Manual",$M81=$A$15)),0,
         IF(OFFSET(CRONOPLE!$F$15,$M81-$A$15,BE$13)=0,10^12,OFFSET(CRONOPLE!$F$15,$M81-$A$15,BE$13)))</f>
        <v>3</v>
      </c>
      <c r="BF81" s="171">
        <f ca="1">IF(OR($D81&lt;&gt;"Serviço",AND(AUTOEVENTO="Manual",$M81=$A$15)),0,
         IF(OFFSET(CRONOPLE!$F$15,$M81-$A$15,BF$13)=0,10^12,OFFSET(CRONOPLE!$F$15,$M81-$A$15,BF$13)))</f>
        <v>4</v>
      </c>
      <c r="BG81" s="171">
        <f ca="1">IF(OR($D81&lt;&gt;"Serviço",AND(AUTOEVENTO="Manual",$M81=$A$15)),0,
         IF(OFFSET(CRONOPLE!$F$15,$M81-$A$15,BG$13)=0,10^12,OFFSET(CRONOPLE!$F$15,$M81-$A$15,BG$13)))</f>
        <v>5</v>
      </c>
      <c r="BH81" s="171">
        <f ca="1">IF(OR($D81&lt;&gt;"Serviço",AND(AUTOEVENTO="Manual",$M81=$A$15)),0,
         IF(OFFSET(CRONOPLE!$F$15,$M81-$A$15,BH$13)=0,10^12,OFFSET(CRONOPLE!$F$15,$M81-$A$15,BH$13)))</f>
        <v>6</v>
      </c>
      <c r="BI81" s="171">
        <f ca="1">IF(OR($D81&lt;&gt;"Serviço",AND(AUTOEVENTO="Manual",$M81=$A$15)),0,
         IF(OFFSET(CRONOPLE!$F$15,$M81-$A$15,BI$13)=0,10^12,OFFSET(CRONOPLE!$F$15,$M81-$A$15,BI$13)))</f>
        <v>7</v>
      </c>
      <c r="BJ81" s="171">
        <f ca="1">IF(OR($D81&lt;&gt;"Serviço",AND(AUTOEVENTO="Manual",$M81=$A$15)),0,
         IF(OFFSET(CRONOPLE!$F$15,$M81-$A$15,BJ$13)=0,10^12,OFFSET(CRONOPLE!$F$15,$M81-$A$15,BJ$13)))</f>
        <v>8</v>
      </c>
      <c r="BK81" s="171">
        <f ca="1">IF(OR($D81&lt;&gt;"Serviço",AND(AUTOEVENTO="Manual",$M81=$A$15)),0,
         IF(OFFSET(CRONOPLE!$F$15,$M81-$A$15,BK$13)=0,10^12,OFFSET(CRONOPLE!$F$15,$M81-$A$15,BK$13)))</f>
        <v>9</v>
      </c>
      <c r="BL81" s="171">
        <f ca="1">IF(OR($D81&lt;&gt;"Serviço",AND(AUTOEVENTO="Manual",$M81=$A$15)),0,
         IF(OFFSET(CRONOPLE!$F$15,$M81-$A$15,BL$13)=0,10^12,OFFSET(CRONOPLE!$F$15,$M81-$A$15,BL$13)))</f>
        <v>10</v>
      </c>
      <c r="BM81" s="171">
        <f ca="1">IF(OR($D81&lt;&gt;"Serviço",AND(AUTOEVENTO="Manual",$M81=$A$15)),0,
         IF(OFFSET(CRONOPLE!$F$15,$M81-$A$15,BM$13)=0,10^12,OFFSET(CRONOPLE!$F$15,$M81-$A$15,BM$13)))</f>
        <v>1000000000000</v>
      </c>
      <c r="BN81" s="171">
        <f ca="1">IF(OR($D81&lt;&gt;"Serviço",AND(AUTOEVENTO="Manual",$M81=$A$15)),0,
         IF(OFFSET(CRONOPLE!$F$15,$M81-$A$15,BN$13)=0,10^12,OFFSET(CRONOPLE!$F$15,$M81-$A$15,BN$13)))</f>
        <v>1000000000000</v>
      </c>
      <c r="BO81" s="171">
        <f ca="1">IF(OR($D81&lt;&gt;"Serviço",AND(AUTOEVENTO="Manual",$M81=$A$15)),0,
         IF(OFFSET(CRONOPLE!$F$15,$M81-$A$15,BO$13)=0,10^12,OFFSET(CRONOPLE!$F$15,$M81-$A$15,BO$13)))</f>
        <v>1000000000000</v>
      </c>
      <c r="BP81" s="171">
        <f ca="1">IF(OR($D81&lt;&gt;"Serviço",AND(AUTOEVENTO="Manual",$M81=$A$15)),0,
         IF(OFFSET(CRONOPLE!$F$15,$M81-$A$15,BP$13)=0,10^12,OFFSET(CRONOPLE!$F$15,$M81-$A$15,BP$13)))</f>
        <v>1000000000000</v>
      </c>
      <c r="BQ81" s="171">
        <f ca="1">IF(OR($D81&lt;&gt;"Serviço",AND(AUTOEVENTO="Manual",$M81=$A$15)),0,
         IF(OFFSET(CRONOPLE!$F$15,$M81-$A$15,BQ$13)=0,10^12,OFFSET(CRONOPLE!$F$15,$M81-$A$15,BQ$13)))</f>
        <v>1000000000000</v>
      </c>
      <c r="BR81" s="171">
        <f ca="1">IF(OR($D81&lt;&gt;"Serviço",AND(AUTOEVENTO="Manual",$M81=$A$15)),0,
         IF(OFFSET(CRONOPLE!$F$15,$M81-$A$15,BR$13)=0,10^12,OFFSET(CRONOPLE!$F$15,$M81-$A$15,BR$13)))</f>
        <v>1000000000000</v>
      </c>
      <c r="BS81" s="171">
        <f ca="1">IF(OR($D81&lt;&gt;"Serviço",AND(AUTOEVENTO="Manual",$M81=$A$15)),0,
         IF(OFFSET(CRONOPLE!$F$15,$M81-$A$15,BS$13)=0,10^12,OFFSET(CRONOPLE!$F$15,$M81-$A$15,BS$13)))</f>
        <v>1000000000000</v>
      </c>
      <c r="BT81" s="171">
        <f ca="1">IF(OR($D81&lt;&gt;"Serviço",AND(AUTOEVENTO="Manual",$M81=$A$15)),0,
         IF(OFFSET(CRONOPLE!$F$15,$M81-$A$15,BT$13)=0,10^12,OFFSET(CRONOPLE!$F$15,$M81-$A$15,BT$13)))</f>
        <v>1000000000000</v>
      </c>
      <c r="BV81" s="172">
        <f ca="1">IF(OR($D81&lt;&gt;"Serviço",AND(AUTOEVENTO="Manual",$M81=$A$15),$M81&gt;(ROW(PLE.lastrow)-ROW(PLE.firstrow))),0,
           IF(OFFSET(PLE!$G$15,$M81-$A$15,BV$13)="",10^12,OFFSET(PLE!$G$15,$M81-$A$15,BV$13)))</f>
        <v>1000000000000</v>
      </c>
      <c r="BW81" s="172">
        <f ca="1">IF(OR($D81&lt;&gt;"Serviço",AND(AUTOEVENTO="Manual",$M81=$A$15),$M81&gt;(ROW(PLE.lastrow)-ROW(PLE.firstrow))),0,
           IF(OFFSET(PLE!$G$15,$M81-$A$15,BW$13)="",10^12,OFFSET(PLE!$G$15,$M81-$A$15,BW$13)))</f>
        <v>1000000000000</v>
      </c>
      <c r="BX81" s="172">
        <f ca="1">IF(OR($D81&lt;&gt;"Serviço",AND(AUTOEVENTO="Manual",$M81=$A$15),$M81&gt;(ROW(PLE.lastrow)-ROW(PLE.firstrow))),0,
           IF(OFFSET(PLE!$G$15,$M81-$A$15,BX$13)="",10^12,OFFSET(PLE!$G$15,$M81-$A$15,BX$13)))</f>
        <v>1000000000000</v>
      </c>
      <c r="BY81" s="172">
        <f ca="1">IF(OR($D81&lt;&gt;"Serviço",AND(AUTOEVENTO="Manual",$M81=$A$15),$M81&gt;(ROW(PLE.lastrow)-ROW(PLE.firstrow))),0,
           IF(OFFSET(PLE!$G$15,$M81-$A$15,BY$13)="",10^12,OFFSET(PLE!$G$15,$M81-$A$15,BY$13)))</f>
        <v>1000000000000</v>
      </c>
      <c r="BZ81" s="172">
        <f ca="1">IF(OR($D81&lt;&gt;"Serviço",AND(AUTOEVENTO="Manual",$M81=$A$15),$M81&gt;(ROW(PLE.lastrow)-ROW(PLE.firstrow))),0,
           IF(OFFSET(PLE!$G$15,$M81-$A$15,BZ$13)="",10^12,OFFSET(PLE!$G$15,$M81-$A$15,BZ$13)))</f>
        <v>1000000000000</v>
      </c>
      <c r="CA81" s="172">
        <f ca="1">IF(OR($D81&lt;&gt;"Serviço",AND(AUTOEVENTO="Manual",$M81=$A$15),$M81&gt;(ROW(PLE.lastrow)-ROW(PLE.firstrow))),0,
           IF(OFFSET(PLE!$G$15,$M81-$A$15,CA$13)="",10^12,OFFSET(PLE!$G$15,$M81-$A$15,CA$13)))</f>
        <v>1000000000000</v>
      </c>
      <c r="CB81" s="172">
        <f ca="1">IF(OR($D81&lt;&gt;"Serviço",AND(AUTOEVENTO="Manual",$M81=$A$15),$M81&gt;(ROW(PLE.lastrow)-ROW(PLE.firstrow))),0,
           IF(OFFSET(PLE!$G$15,$M81-$A$15,CB$13)="",10^12,OFFSET(PLE!$G$15,$M81-$A$15,CB$13)))</f>
        <v>1000000000000</v>
      </c>
      <c r="CC81" s="172">
        <f ca="1">IF(OR($D81&lt;&gt;"Serviço",AND(AUTOEVENTO="Manual",$M81=$A$15),$M81&gt;(ROW(PLE.lastrow)-ROW(PLE.firstrow))),0,
           IF(OFFSET(PLE!$G$15,$M81-$A$15,CC$13)="",10^12,OFFSET(PLE!$G$15,$M81-$A$15,CC$13)))</f>
        <v>1000000000000</v>
      </c>
      <c r="CD81" s="172">
        <f ca="1">IF(OR($D81&lt;&gt;"Serviço",AND(AUTOEVENTO="Manual",$M81=$A$15),$M81&gt;(ROW(PLE.lastrow)-ROW(PLE.firstrow))),0,
           IF(OFFSET(PLE!$G$15,$M81-$A$15,CD$13)="",10^12,OFFSET(PLE!$G$15,$M81-$A$15,CD$13)))</f>
        <v>1000000000000</v>
      </c>
      <c r="CE81" s="172">
        <f ca="1">IF(OR($D81&lt;&gt;"Serviço",AND(AUTOEVENTO="Manual",$M81=$A$15),$M81&gt;(ROW(PLE.lastrow)-ROW(PLE.firstrow))),0,
           IF(OFFSET(PLE!$G$15,$M81-$A$15,CE$13)="",10^12,OFFSET(PLE!$G$15,$M81-$A$15,CE$13)))</f>
        <v>1000000000000</v>
      </c>
      <c r="CF81" s="172">
        <f ca="1">IF(OR($D81&lt;&gt;"Serviço",AND(AUTOEVENTO="Manual",$M81=$A$15),$M81&gt;(ROW(PLE.lastrow)-ROW(PLE.firstrow))),0,
           IF(OFFSET(PLE!$G$15,$M81-$A$15,CF$13)="",10^12,OFFSET(PLE!$G$15,$M81-$A$15,CF$13)))</f>
        <v>1000000000000</v>
      </c>
      <c r="CG81" s="172">
        <f ca="1">IF(OR($D81&lt;&gt;"Serviço",AND(AUTOEVENTO="Manual",$M81=$A$15),$M81&gt;(ROW(PLE.lastrow)-ROW(PLE.firstrow))),0,
           IF(OFFSET(PLE!$G$15,$M81-$A$15,CG$13)="",10^12,OFFSET(PLE!$G$15,$M81-$A$15,CG$13)))</f>
        <v>1000000000000</v>
      </c>
      <c r="CH81" s="172">
        <f ca="1">IF(OR($D81&lt;&gt;"Serviço",AND(AUTOEVENTO="Manual",$M81=$A$15),$M81&gt;(ROW(PLE.lastrow)-ROW(PLE.firstrow))),0,
           IF(OFFSET(PLE!$G$15,$M81-$A$15,CH$13)="",10^12,OFFSET(PLE!$G$15,$M81-$A$15,CH$13)))</f>
        <v>1000000000000</v>
      </c>
      <c r="CI81" s="172">
        <f ca="1">IF(OR($D81&lt;&gt;"Serviço",AND(AUTOEVENTO="Manual",$M81=$A$15),$M81&gt;(ROW(PLE.lastrow)-ROW(PLE.firstrow))),0,
           IF(OFFSET(PLE!$G$15,$M81-$A$15,CI$13)="",10^12,OFFSET(PLE!$G$15,$M81-$A$15,CI$13)))</f>
        <v>1000000000000</v>
      </c>
      <c r="CJ81" s="172">
        <f ca="1">IF(OR($D81&lt;&gt;"Serviço",AND(AUTOEVENTO="Manual",$M81=$A$15),$M81&gt;(ROW(PLE.lastrow)-ROW(PLE.firstrow))),0,
           IF(OFFSET(PLE!$G$15,$M81-$A$15,CJ$13)="",10^12,OFFSET(PLE!$G$15,$M81-$A$15,CJ$13)))</f>
        <v>1000000000000</v>
      </c>
      <c r="CK81" s="172">
        <f ca="1">IF(OR($D81&lt;&gt;"Serviço",AND(AUTOEVENTO="Manual",$M81=$A$15),$M81&gt;(ROW(PLE.lastrow)-ROW(PLE.firstrow))),0,
           IF(OFFSET(PLE!$G$15,$M81-$A$15,CK$13)="",10^12,OFFSET(PLE!$G$15,$M81-$A$15,CK$13)))</f>
        <v>1000000000000</v>
      </c>
      <c r="CL81" s="172">
        <f ca="1">IF(OR($D81&lt;&gt;"Serviço",AND(AUTOEVENTO="Manual",$M81=$A$15),$M81&gt;(ROW(PLE.lastrow)-ROW(PLE.firstrow))),0,
           IF(OFFSET(PLE!$G$15,$M81-$A$15,CL$13)="",10^12,OFFSET(PLE!$G$15,$M81-$A$15,CL$13)))</f>
        <v>1000000000000</v>
      </c>
      <c r="CM81" s="172">
        <f ca="1">IF(OR($D81&lt;&gt;"Serviço",AND(AUTOEVENTO="Manual",$M81=$A$15),$M81&gt;(ROW(PLE.lastrow)-ROW(PLE.firstrow))),0,
           IF(OFFSET(PLE!$G$15,$M81-$A$15,CM$13)="",10^12,OFFSET(PLE!$G$15,$M81-$A$15,CM$13)))</f>
        <v>1000000000000</v>
      </c>
    </row>
    <row r="82" spans="1:91" ht="102" x14ac:dyDescent="0.2">
      <c r="A82" s="7">
        <f t="shared" ca="1" si="10"/>
        <v>4</v>
      </c>
      <c r="B82" s="7" t="str">
        <f ca="1">OFFSET(ORÇAMENTO!C$15,ROW(B82)-ROW(B$15),0)</f>
        <v>S</v>
      </c>
      <c r="C82" s="7" t="str">
        <f ca="1">OFFSET(ORÇAMENTO!L$15,ROW(C82)-ROW(C$15),0)</f>
        <v>F</v>
      </c>
      <c r="D82" s="116" t="str">
        <f ca="1">OFFSET(ORÇAMENTO!N$15,ROW(D82)-ROW(D$15),0)</f>
        <v>Serviço</v>
      </c>
      <c r="E82" s="117" t="str">
        <f ca="1">OFFSET(ORÇAMENTO!O$15,ROW(E82)-ROW(E$15),0)</f>
        <v>1.5.1.2.10.</v>
      </c>
      <c r="F82" s="163" t="str">
        <f ca="1">OFFSET(ORÇAMENTO!R$15,ROW(F82)-ROW(F$15),0)</f>
        <v>CARGA, MANOBRA E DESCARGA DE SOLOS E MATERIAIS GRANULARES EM CAMINHÃO BASCULANTE 18 M³ - CARGA COM ESCAVADEIRA HIDRÁULICA (CAÇAMBA DE 1,20 M³ / 155 HP) E DESCARGA LIVRE (UNIDADE: M3). AF_07/2020</v>
      </c>
      <c r="G82" s="164" t="str">
        <f ca="1">IF($D82&lt;&gt;"Serviço","",OFFSET(ORÇAMENTO!S$15,ROW(G82)-ROW(G$15),0))</f>
        <v>M3</v>
      </c>
      <c r="H82" s="122" cm="1">
        <f t="array" aca="1" ref="H82" ca="1">IF($D82&lt;&gt;"Serviço",0,IF(ACOMPANHAMENTO="BM",ROUND(OFFSET(ORÇAMENTO!AJ$15,ROW(H82)-ROW(H$15),0),15-13*ORÇAMENTO!$AF$7),SUMPRODUCT(($Q$1:$AI$1=1)*ROUND($Q82:$AI82,15-13*ORÇAMENTO!$AF$7))))</f>
        <v>0.85</v>
      </c>
      <c r="I82" s="468" t="s">
        <v>1420</v>
      </c>
      <c r="J82" s="640" t="str" cm="1">
        <f t="array" aca="1" ref="J82" ca="1">IF(OR(B82&lt;&gt;"S",CÁLCULO.FrentesPreenchidas=0),"",IF(AND(ACOMPANHAMENTO="PLE",AUTOEVENTO="Manual",OR(H82&gt;0,ORÇAMENTO!AC82="QUANT."),OR(K82="",M82=0,N82="")),"►E",IF(AND(ACOMPANHAMENTO="PLE",ORÇAMENTO!AC82="QUANT."),"►Q",IF(AND(ACOMPANHAMENTO="PLE",H82&lt;&gt;SUMPRODUCT(($Q$1:$AI$1=1)*ROUND(Q82:AI82,15))),"►S",IF(AND(COUNTIF($P$11:$AI$11,"▼")=0,H82&gt;0,I82=""),"◄M","")))))</f>
        <v/>
      </c>
      <c r="K82" s="641" t="s">
        <v>1389</v>
      </c>
      <c r="L82" s="165" t="s">
        <v>764</v>
      </c>
      <c r="M82" s="166">
        <f ca="1">IF($D82&lt;&gt;"Serviço","",
          IF(AUTOEVENTO="manual",$A82,
                IF(ISERROR(MATCH($A82,$A$15:OFFSET($A82,-1,0),0)),MAX($M$15:OFFSET(M82,-1,0))+1,
                      INDEX($M$15:OFFSET(M82,-1,0),MATCH($A82,$A$15:OFFSET($A82,-1,0),0)))))</f>
        <v>4</v>
      </c>
      <c r="N82" s="167" t="str">
        <f ca="1">IF($D82&lt;&gt;"Serviço","",
         IF(AUTOEVENTO="Manual",
                IF($A82=0,"&lt;-- defina o número do agrupador",
                       OFFSET(EVENTOS!$D$15,$A82-$A$15,0)),
                OFFSET($F$15,$A82,0)))</f>
        <v>Estruturas de Concreto</v>
      </c>
      <c r="O82" s="168"/>
      <c r="Q82" s="168"/>
      <c r="R82" s="169">
        <f>ROUND((5.91-5.26)*1.3,2)</f>
        <v>0.85</v>
      </c>
      <c r="S82" s="169"/>
      <c r="T82" s="169"/>
      <c r="U82" s="169"/>
      <c r="V82" s="169"/>
      <c r="W82" s="169"/>
      <c r="X82" s="169"/>
      <c r="Y82" s="169"/>
      <c r="Z82" s="170"/>
      <c r="AA82" s="169"/>
      <c r="AB82" s="169"/>
      <c r="AC82" s="169"/>
      <c r="AD82" s="169"/>
      <c r="AE82" s="169"/>
      <c r="AF82" s="169"/>
      <c r="AG82" s="169"/>
      <c r="AH82" s="170"/>
      <c r="AJ82" s="453">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0</v>
      </c>
      <c r="AK82" s="453">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0</v>
      </c>
      <c r="AL82" s="453">
        <f ca="1">IF(AND($D82="Serviço",AL$12&lt;&gt;0,$H82&gt;0,OR(AUTOEVENTO&lt;&gt;"manual",$M82&lt;&gt;$A$15)),
        IF(Import.TipoArredondamento&lt;&gt;"TransfereGOV",
              ROUND(OFFSET($P82,0,AL$13),15-13*ORÇAMENTO!$AF$7)/$H82*OFFSET(ORÇAMENTO!$X$15,ROW(AL82)-ROW(AL$15),0),
              ROUND(ROUND(OFFSET($P82,0,AL$13),15-13*ORÇAMENTO!$AF$7)*OFFSET(ORÇAMENTO!$W$15,ROW(AL82)-ROW(AL$15),0),15-13*ORÇAMENTO!$AF$11)),
         0)</f>
        <v>0</v>
      </c>
      <c r="AM82" s="453">
        <f ca="1">IF(AND($D82="Serviço",AM$12&lt;&gt;0,$H82&gt;0,OR(AUTOEVENTO&lt;&gt;"manual",$M82&lt;&gt;$A$15)),
        IF(Import.TipoArredondamento&lt;&gt;"TransfereGOV",
              ROUND(OFFSET($P82,0,AM$13),15-13*ORÇAMENTO!$AF$7)/$H82*OFFSET(ORÇAMENTO!$X$15,ROW(AM82)-ROW(AM$15),0),
              ROUND(ROUND(OFFSET($P82,0,AM$13),15-13*ORÇAMENTO!$AF$7)*OFFSET(ORÇAMENTO!$W$15,ROW(AM82)-ROW(AM$15),0),15-13*ORÇAMENTO!$AF$11)),
         0)</f>
        <v>0</v>
      </c>
      <c r="AN82" s="453">
        <f ca="1">IF(AND($D82="Serviço",AN$12&lt;&gt;0,$H82&gt;0,OR(AUTOEVENTO&lt;&gt;"manual",$M82&lt;&gt;$A$15)),
        IF(Import.TipoArredondamento&lt;&gt;"TransfereGOV",
              ROUND(OFFSET($P82,0,AN$13),15-13*ORÇAMENTO!$AF$7)/$H82*OFFSET(ORÇAMENTO!$X$15,ROW(AN82)-ROW(AN$15),0),
              ROUND(ROUND(OFFSET($P82,0,AN$13),15-13*ORÇAMENTO!$AF$7)*OFFSET(ORÇAMENTO!$W$15,ROW(AN82)-ROW(AN$15),0),15-13*ORÇAMENTO!$AF$11)),
         0)</f>
        <v>0</v>
      </c>
      <c r="AO82" s="453">
        <f ca="1">IF(AND($D82="Serviço",AO$12&lt;&gt;0,$H82&gt;0,OR(AUTOEVENTO&lt;&gt;"manual",$M82&lt;&gt;$A$15)),
        IF(Import.TipoArredondamento&lt;&gt;"TransfereGOV",
              ROUND(OFFSET($P82,0,AO$13),15-13*ORÇAMENTO!$AF$7)/$H82*OFFSET(ORÇAMENTO!$X$15,ROW(AO82)-ROW(AO$15),0),
              ROUND(ROUND(OFFSET($P82,0,AO$13),15-13*ORÇAMENTO!$AF$7)*OFFSET(ORÇAMENTO!$W$15,ROW(AO82)-ROW(AO$15),0),15-13*ORÇAMENTO!$AF$11)),
         0)</f>
        <v>0</v>
      </c>
      <c r="AP82" s="453">
        <f ca="1">IF(AND($D82="Serviço",AP$12&lt;&gt;0,$H82&gt;0,OR(AUTOEVENTO&lt;&gt;"manual",$M82&lt;&gt;$A$15)),
        IF(Import.TipoArredondamento&lt;&gt;"TransfereGOV",
              ROUND(OFFSET($P82,0,AP$13),15-13*ORÇAMENTO!$AF$7)/$H82*OFFSET(ORÇAMENTO!$X$15,ROW(AP82)-ROW(AP$15),0),
              ROUND(ROUND(OFFSET($P82,0,AP$13),15-13*ORÇAMENTO!$AF$7)*OFFSET(ORÇAMENTO!$W$15,ROW(AP82)-ROW(AP$15),0),15-13*ORÇAMENTO!$AF$11)),
         0)</f>
        <v>0</v>
      </c>
      <c r="AQ82" s="453">
        <f ca="1">IF(AND($D82="Serviço",AQ$12&lt;&gt;0,$H82&gt;0,OR(AUTOEVENTO&lt;&gt;"manual",$M82&lt;&gt;$A$15)),
        IF(Import.TipoArredondamento&lt;&gt;"TransfereGOV",
              ROUND(OFFSET($P82,0,AQ$13),15-13*ORÇAMENTO!$AF$7)/$H82*OFFSET(ORÇAMENTO!$X$15,ROW(AQ82)-ROW(AQ$15),0),
              ROUND(ROUND(OFFSET($P82,0,AQ$13),15-13*ORÇAMENTO!$AF$7)*OFFSET(ORÇAMENTO!$W$15,ROW(AQ82)-ROW(AQ$15),0),15-13*ORÇAMENTO!$AF$11)),
         0)</f>
        <v>0</v>
      </c>
      <c r="AR82" s="453">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3">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3">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3">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3">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3">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3">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3">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3">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3">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C82" s="171">
        <f ca="1">IF(OR($D82&lt;&gt;"Serviço",AND(AUTOEVENTO="Manual",$M82=$A$15)),0,
         IF(OFFSET(CRONOPLE!$F$15,$M82-$A$15,BC$13)=0,10^12,OFFSET(CRONOPLE!$F$15,$M82-$A$15,BC$13)))</f>
        <v>1</v>
      </c>
      <c r="BD82" s="171">
        <f ca="1">IF(OR($D82&lt;&gt;"Serviço",AND(AUTOEVENTO="Manual",$M82=$A$15)),0,
         IF(OFFSET(CRONOPLE!$F$15,$M82-$A$15,BD$13)=0,10^12,OFFSET(CRONOPLE!$F$15,$M82-$A$15,BD$13)))</f>
        <v>2</v>
      </c>
      <c r="BE82" s="171">
        <f ca="1">IF(OR($D82&lt;&gt;"Serviço",AND(AUTOEVENTO="Manual",$M82=$A$15)),0,
         IF(OFFSET(CRONOPLE!$F$15,$M82-$A$15,BE$13)=0,10^12,OFFSET(CRONOPLE!$F$15,$M82-$A$15,BE$13)))</f>
        <v>3</v>
      </c>
      <c r="BF82" s="171">
        <f ca="1">IF(OR($D82&lt;&gt;"Serviço",AND(AUTOEVENTO="Manual",$M82=$A$15)),0,
         IF(OFFSET(CRONOPLE!$F$15,$M82-$A$15,BF$13)=0,10^12,OFFSET(CRONOPLE!$F$15,$M82-$A$15,BF$13)))</f>
        <v>4</v>
      </c>
      <c r="BG82" s="171">
        <f ca="1">IF(OR($D82&lt;&gt;"Serviço",AND(AUTOEVENTO="Manual",$M82=$A$15)),0,
         IF(OFFSET(CRONOPLE!$F$15,$M82-$A$15,BG$13)=0,10^12,OFFSET(CRONOPLE!$F$15,$M82-$A$15,BG$13)))</f>
        <v>5</v>
      </c>
      <c r="BH82" s="171">
        <f ca="1">IF(OR($D82&lt;&gt;"Serviço",AND(AUTOEVENTO="Manual",$M82=$A$15)),0,
         IF(OFFSET(CRONOPLE!$F$15,$M82-$A$15,BH$13)=0,10^12,OFFSET(CRONOPLE!$F$15,$M82-$A$15,BH$13)))</f>
        <v>6</v>
      </c>
      <c r="BI82" s="171">
        <f ca="1">IF(OR($D82&lt;&gt;"Serviço",AND(AUTOEVENTO="Manual",$M82=$A$15)),0,
         IF(OFFSET(CRONOPLE!$F$15,$M82-$A$15,BI$13)=0,10^12,OFFSET(CRONOPLE!$F$15,$M82-$A$15,BI$13)))</f>
        <v>7</v>
      </c>
      <c r="BJ82" s="171">
        <f ca="1">IF(OR($D82&lt;&gt;"Serviço",AND(AUTOEVENTO="Manual",$M82=$A$15)),0,
         IF(OFFSET(CRONOPLE!$F$15,$M82-$A$15,BJ$13)=0,10^12,OFFSET(CRONOPLE!$F$15,$M82-$A$15,BJ$13)))</f>
        <v>8</v>
      </c>
      <c r="BK82" s="171">
        <f ca="1">IF(OR($D82&lt;&gt;"Serviço",AND(AUTOEVENTO="Manual",$M82=$A$15)),0,
         IF(OFFSET(CRONOPLE!$F$15,$M82-$A$15,BK$13)=0,10^12,OFFSET(CRONOPLE!$F$15,$M82-$A$15,BK$13)))</f>
        <v>9</v>
      </c>
      <c r="BL82" s="171">
        <f ca="1">IF(OR($D82&lt;&gt;"Serviço",AND(AUTOEVENTO="Manual",$M82=$A$15)),0,
         IF(OFFSET(CRONOPLE!$F$15,$M82-$A$15,BL$13)=0,10^12,OFFSET(CRONOPLE!$F$15,$M82-$A$15,BL$13)))</f>
        <v>10</v>
      </c>
      <c r="BM82" s="171">
        <f ca="1">IF(OR($D82&lt;&gt;"Serviço",AND(AUTOEVENTO="Manual",$M82=$A$15)),0,
         IF(OFFSET(CRONOPLE!$F$15,$M82-$A$15,BM$13)=0,10^12,OFFSET(CRONOPLE!$F$15,$M82-$A$15,BM$13)))</f>
        <v>1000000000000</v>
      </c>
      <c r="BN82" s="171">
        <f ca="1">IF(OR($D82&lt;&gt;"Serviço",AND(AUTOEVENTO="Manual",$M82=$A$15)),0,
         IF(OFFSET(CRONOPLE!$F$15,$M82-$A$15,BN$13)=0,10^12,OFFSET(CRONOPLE!$F$15,$M82-$A$15,BN$13)))</f>
        <v>1000000000000</v>
      </c>
      <c r="BO82" s="171">
        <f ca="1">IF(OR($D82&lt;&gt;"Serviço",AND(AUTOEVENTO="Manual",$M82=$A$15)),0,
         IF(OFFSET(CRONOPLE!$F$15,$M82-$A$15,BO$13)=0,10^12,OFFSET(CRONOPLE!$F$15,$M82-$A$15,BO$13)))</f>
        <v>1000000000000</v>
      </c>
      <c r="BP82" s="171">
        <f ca="1">IF(OR($D82&lt;&gt;"Serviço",AND(AUTOEVENTO="Manual",$M82=$A$15)),0,
         IF(OFFSET(CRONOPLE!$F$15,$M82-$A$15,BP$13)=0,10^12,OFFSET(CRONOPLE!$F$15,$M82-$A$15,BP$13)))</f>
        <v>1000000000000</v>
      </c>
      <c r="BQ82" s="171">
        <f ca="1">IF(OR($D82&lt;&gt;"Serviço",AND(AUTOEVENTO="Manual",$M82=$A$15)),0,
         IF(OFFSET(CRONOPLE!$F$15,$M82-$A$15,BQ$13)=0,10^12,OFFSET(CRONOPLE!$F$15,$M82-$A$15,BQ$13)))</f>
        <v>1000000000000</v>
      </c>
      <c r="BR82" s="171">
        <f ca="1">IF(OR($D82&lt;&gt;"Serviço",AND(AUTOEVENTO="Manual",$M82=$A$15)),0,
         IF(OFFSET(CRONOPLE!$F$15,$M82-$A$15,BR$13)=0,10^12,OFFSET(CRONOPLE!$F$15,$M82-$A$15,BR$13)))</f>
        <v>1000000000000</v>
      </c>
      <c r="BS82" s="171">
        <f ca="1">IF(OR($D82&lt;&gt;"Serviço",AND(AUTOEVENTO="Manual",$M82=$A$15)),0,
         IF(OFFSET(CRONOPLE!$F$15,$M82-$A$15,BS$13)=0,10^12,OFFSET(CRONOPLE!$F$15,$M82-$A$15,BS$13)))</f>
        <v>1000000000000</v>
      </c>
      <c r="BT82" s="171">
        <f ca="1">IF(OR($D82&lt;&gt;"Serviço",AND(AUTOEVENTO="Manual",$M82=$A$15)),0,
         IF(OFFSET(CRONOPLE!$F$15,$M82-$A$15,BT$13)=0,10^12,OFFSET(CRONOPLE!$F$15,$M82-$A$15,BT$13)))</f>
        <v>1000000000000</v>
      </c>
      <c r="BV82" s="172">
        <f ca="1">IF(OR($D82&lt;&gt;"Serviço",AND(AUTOEVENTO="Manual",$M82=$A$15),$M82&gt;(ROW(PLE.lastrow)-ROW(PLE.firstrow))),0,
           IF(OFFSET(PLE!$G$15,$M82-$A$15,BV$13)="",10^12,OFFSET(PLE!$G$15,$M82-$A$15,BV$13)))</f>
        <v>1000000000000</v>
      </c>
      <c r="BW82" s="172">
        <f ca="1">IF(OR($D82&lt;&gt;"Serviço",AND(AUTOEVENTO="Manual",$M82=$A$15),$M82&gt;(ROW(PLE.lastrow)-ROW(PLE.firstrow))),0,
           IF(OFFSET(PLE!$G$15,$M82-$A$15,BW$13)="",10^12,OFFSET(PLE!$G$15,$M82-$A$15,BW$13)))</f>
        <v>1000000000000</v>
      </c>
      <c r="BX82" s="172">
        <f ca="1">IF(OR($D82&lt;&gt;"Serviço",AND(AUTOEVENTO="Manual",$M82=$A$15),$M82&gt;(ROW(PLE.lastrow)-ROW(PLE.firstrow))),0,
           IF(OFFSET(PLE!$G$15,$M82-$A$15,BX$13)="",10^12,OFFSET(PLE!$G$15,$M82-$A$15,BX$13)))</f>
        <v>1000000000000</v>
      </c>
      <c r="BY82" s="172">
        <f ca="1">IF(OR($D82&lt;&gt;"Serviço",AND(AUTOEVENTO="Manual",$M82=$A$15),$M82&gt;(ROW(PLE.lastrow)-ROW(PLE.firstrow))),0,
           IF(OFFSET(PLE!$G$15,$M82-$A$15,BY$13)="",10^12,OFFSET(PLE!$G$15,$M82-$A$15,BY$13)))</f>
        <v>1000000000000</v>
      </c>
      <c r="BZ82" s="172">
        <f ca="1">IF(OR($D82&lt;&gt;"Serviço",AND(AUTOEVENTO="Manual",$M82=$A$15),$M82&gt;(ROW(PLE.lastrow)-ROW(PLE.firstrow))),0,
           IF(OFFSET(PLE!$G$15,$M82-$A$15,BZ$13)="",10^12,OFFSET(PLE!$G$15,$M82-$A$15,BZ$13)))</f>
        <v>1000000000000</v>
      </c>
      <c r="CA82" s="172">
        <f ca="1">IF(OR($D82&lt;&gt;"Serviço",AND(AUTOEVENTO="Manual",$M82=$A$15),$M82&gt;(ROW(PLE.lastrow)-ROW(PLE.firstrow))),0,
           IF(OFFSET(PLE!$G$15,$M82-$A$15,CA$13)="",10^12,OFFSET(PLE!$G$15,$M82-$A$15,CA$13)))</f>
        <v>1000000000000</v>
      </c>
      <c r="CB82" s="172">
        <f ca="1">IF(OR($D82&lt;&gt;"Serviço",AND(AUTOEVENTO="Manual",$M82=$A$15),$M82&gt;(ROW(PLE.lastrow)-ROW(PLE.firstrow))),0,
           IF(OFFSET(PLE!$G$15,$M82-$A$15,CB$13)="",10^12,OFFSET(PLE!$G$15,$M82-$A$15,CB$13)))</f>
        <v>1000000000000</v>
      </c>
      <c r="CC82" s="172">
        <f ca="1">IF(OR($D82&lt;&gt;"Serviço",AND(AUTOEVENTO="Manual",$M82=$A$15),$M82&gt;(ROW(PLE.lastrow)-ROW(PLE.firstrow))),0,
           IF(OFFSET(PLE!$G$15,$M82-$A$15,CC$13)="",10^12,OFFSET(PLE!$G$15,$M82-$A$15,CC$13)))</f>
        <v>1000000000000</v>
      </c>
      <c r="CD82" s="172">
        <f ca="1">IF(OR($D82&lt;&gt;"Serviço",AND(AUTOEVENTO="Manual",$M82=$A$15),$M82&gt;(ROW(PLE.lastrow)-ROW(PLE.firstrow))),0,
           IF(OFFSET(PLE!$G$15,$M82-$A$15,CD$13)="",10^12,OFFSET(PLE!$G$15,$M82-$A$15,CD$13)))</f>
        <v>1000000000000</v>
      </c>
      <c r="CE82" s="172">
        <f ca="1">IF(OR($D82&lt;&gt;"Serviço",AND(AUTOEVENTO="Manual",$M82=$A$15),$M82&gt;(ROW(PLE.lastrow)-ROW(PLE.firstrow))),0,
           IF(OFFSET(PLE!$G$15,$M82-$A$15,CE$13)="",10^12,OFFSET(PLE!$G$15,$M82-$A$15,CE$13)))</f>
        <v>1000000000000</v>
      </c>
      <c r="CF82" s="172">
        <f ca="1">IF(OR($D82&lt;&gt;"Serviço",AND(AUTOEVENTO="Manual",$M82=$A$15),$M82&gt;(ROW(PLE.lastrow)-ROW(PLE.firstrow))),0,
           IF(OFFSET(PLE!$G$15,$M82-$A$15,CF$13)="",10^12,OFFSET(PLE!$G$15,$M82-$A$15,CF$13)))</f>
        <v>1000000000000</v>
      </c>
      <c r="CG82" s="172">
        <f ca="1">IF(OR($D82&lt;&gt;"Serviço",AND(AUTOEVENTO="Manual",$M82=$A$15),$M82&gt;(ROW(PLE.lastrow)-ROW(PLE.firstrow))),0,
           IF(OFFSET(PLE!$G$15,$M82-$A$15,CG$13)="",10^12,OFFSET(PLE!$G$15,$M82-$A$15,CG$13)))</f>
        <v>1000000000000</v>
      </c>
      <c r="CH82" s="172">
        <f ca="1">IF(OR($D82&lt;&gt;"Serviço",AND(AUTOEVENTO="Manual",$M82=$A$15),$M82&gt;(ROW(PLE.lastrow)-ROW(PLE.firstrow))),0,
           IF(OFFSET(PLE!$G$15,$M82-$A$15,CH$13)="",10^12,OFFSET(PLE!$G$15,$M82-$A$15,CH$13)))</f>
        <v>1000000000000</v>
      </c>
      <c r="CI82" s="172">
        <f ca="1">IF(OR($D82&lt;&gt;"Serviço",AND(AUTOEVENTO="Manual",$M82=$A$15),$M82&gt;(ROW(PLE.lastrow)-ROW(PLE.firstrow))),0,
           IF(OFFSET(PLE!$G$15,$M82-$A$15,CI$13)="",10^12,OFFSET(PLE!$G$15,$M82-$A$15,CI$13)))</f>
        <v>1000000000000</v>
      </c>
      <c r="CJ82" s="172">
        <f ca="1">IF(OR($D82&lt;&gt;"Serviço",AND(AUTOEVENTO="Manual",$M82=$A$15),$M82&gt;(ROW(PLE.lastrow)-ROW(PLE.firstrow))),0,
           IF(OFFSET(PLE!$G$15,$M82-$A$15,CJ$13)="",10^12,OFFSET(PLE!$G$15,$M82-$A$15,CJ$13)))</f>
        <v>1000000000000</v>
      </c>
      <c r="CK82" s="172">
        <f ca="1">IF(OR($D82&lt;&gt;"Serviço",AND(AUTOEVENTO="Manual",$M82=$A$15),$M82&gt;(ROW(PLE.lastrow)-ROW(PLE.firstrow))),0,
           IF(OFFSET(PLE!$G$15,$M82-$A$15,CK$13)="",10^12,OFFSET(PLE!$G$15,$M82-$A$15,CK$13)))</f>
        <v>1000000000000</v>
      </c>
      <c r="CL82" s="172">
        <f ca="1">IF(OR($D82&lt;&gt;"Serviço",AND(AUTOEVENTO="Manual",$M82=$A$15),$M82&gt;(ROW(PLE.lastrow)-ROW(PLE.firstrow))),0,
           IF(OFFSET(PLE!$G$15,$M82-$A$15,CL$13)="",10^12,OFFSET(PLE!$G$15,$M82-$A$15,CL$13)))</f>
        <v>1000000000000</v>
      </c>
      <c r="CM82" s="172">
        <f ca="1">IF(OR($D82&lt;&gt;"Serviço",AND(AUTOEVENTO="Manual",$M82=$A$15),$M82&gt;(ROW(PLE.lastrow)-ROW(PLE.firstrow))),0,
           IF(OFFSET(PLE!$G$15,$M82-$A$15,CM$13)="",10^12,OFFSET(PLE!$G$15,$M82-$A$15,CM$13)))</f>
        <v>1000000000000</v>
      </c>
    </row>
    <row r="83" spans="1:91" ht="38.25" x14ac:dyDescent="0.2">
      <c r="A83" s="7">
        <f t="shared" ca="1" si="10"/>
        <v>4</v>
      </c>
      <c r="B83" s="7" t="str">
        <f ca="1">OFFSET(ORÇAMENTO!C$15,ROW(B83)-ROW(B$15),0)</f>
        <v>S</v>
      </c>
      <c r="C83" s="7" t="str">
        <f ca="1">OFFSET(ORÇAMENTO!L$15,ROW(C83)-ROW(C$15),0)</f>
        <v>F</v>
      </c>
      <c r="D83" s="116" t="str">
        <f ca="1">OFFSET(ORÇAMENTO!N$15,ROW(D83)-ROW(D$15),0)</f>
        <v>Serviço</v>
      </c>
      <c r="E83" s="117" t="str">
        <f ca="1">OFFSET(ORÇAMENTO!O$15,ROW(E83)-ROW(E$15),0)</f>
        <v>1.5.1.2.11.</v>
      </c>
      <c r="F83" s="163" t="str">
        <f ca="1">OFFSET(ORÇAMENTO!R$15,ROW(F83)-ROW(F$15),0)</f>
        <v>TRANSPORTE COM CAMINHÃO BASCULANTE DE 18 M³, EM VIA URBANA PAVIMENTADA, DMT ATÉ 30 KM (UNIDADE: M3XKM). AF_07/2020</v>
      </c>
      <c r="G83" s="164" t="str">
        <f ca="1">IF($D83&lt;&gt;"Serviço","",OFFSET(ORÇAMENTO!S$15,ROW(G83)-ROW(G$15),0))</f>
        <v>M3XKM</v>
      </c>
      <c r="H83" s="122" cm="1">
        <f t="array" aca="1" ref="H83" ca="1">IF($D83&lt;&gt;"Serviço",0,IF(ACOMPANHAMENTO="BM",ROUND(OFFSET(ORÇAMENTO!AJ$15,ROW(H83)-ROW(H$15),0),15-13*ORÇAMENTO!$AF$7),SUMPRODUCT(($Q$1:$AI$1=1)*ROUND($Q83:$AI83,15-13*ORÇAMENTO!$AF$7))))</f>
        <v>6.55</v>
      </c>
      <c r="I83" s="468" t="s">
        <v>1375</v>
      </c>
      <c r="J83" s="640" t="str" cm="1">
        <f t="array" aca="1" ref="J83" ca="1">IF(OR(B83&lt;&gt;"S",CÁLCULO.FrentesPreenchidas=0),"",IF(AND(ACOMPANHAMENTO="PLE",AUTOEVENTO="Manual",OR(H83&gt;0,ORÇAMENTO!AC83="QUANT."),OR(K83="",M83=0,N83="")),"►E",IF(AND(ACOMPANHAMENTO="PLE",ORÇAMENTO!AC83="QUANT."),"►Q",IF(AND(ACOMPANHAMENTO="PLE",H83&lt;&gt;SUMPRODUCT(($Q$1:$AI$1=1)*ROUND(Q83:AI83,15))),"►S",IF(AND(COUNTIF($P$11:$AI$11,"▼")=0,H83&gt;0,I83=""),"◄M","")))))</f>
        <v/>
      </c>
      <c r="K83" s="641" t="s">
        <v>1389</v>
      </c>
      <c r="L83" s="165" t="s">
        <v>764</v>
      </c>
      <c r="M83" s="166">
        <f ca="1">IF($D83&lt;&gt;"Serviço","",
          IF(AUTOEVENTO="manual",$A83,
                IF(ISERROR(MATCH($A83,$A$15:OFFSET($A83,-1,0),0)),MAX($M$15:OFFSET(M83,-1,0))+1,
                      INDEX($M$15:OFFSET(M83,-1,0),MATCH($A83,$A$15:OFFSET($A83,-1,0),0)))))</f>
        <v>4</v>
      </c>
      <c r="N83" s="167" t="str">
        <f ca="1">IF($D83&lt;&gt;"Serviço","",
         IF(AUTOEVENTO="Manual",
                IF($A83=0,"&lt;-- defina o número do agrupador",
                       OFFSET(EVENTOS!$D$15,$A83-$A$15,0)),
                OFFSET($F$15,$A83,0)))</f>
        <v>Estruturas de Concreto</v>
      </c>
      <c r="O83" s="168"/>
      <c r="Q83" s="168"/>
      <c r="R83" s="169">
        <f>ROUND(R82*7.7,2)</f>
        <v>6.55</v>
      </c>
      <c r="S83" s="169"/>
      <c r="T83" s="169"/>
      <c r="U83" s="169"/>
      <c r="V83" s="169"/>
      <c r="W83" s="169"/>
      <c r="X83" s="169"/>
      <c r="Y83" s="169"/>
      <c r="Z83" s="170"/>
      <c r="AA83" s="169"/>
      <c r="AB83" s="169"/>
      <c r="AC83" s="169"/>
      <c r="AD83" s="169"/>
      <c r="AE83" s="169"/>
      <c r="AF83" s="169"/>
      <c r="AG83" s="169"/>
      <c r="AH83" s="170"/>
      <c r="AJ83" s="453">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0</v>
      </c>
      <c r="AK83" s="453">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0</v>
      </c>
      <c r="AL83" s="453">
        <f ca="1">IF(AND($D83="Serviço",AL$12&lt;&gt;0,$H83&gt;0,OR(AUTOEVENTO&lt;&gt;"manual",$M83&lt;&gt;$A$15)),
        IF(Import.TipoArredondamento&lt;&gt;"TransfereGOV",
              ROUND(OFFSET($P83,0,AL$13),15-13*ORÇAMENTO!$AF$7)/$H83*OFFSET(ORÇAMENTO!$X$15,ROW(AL83)-ROW(AL$15),0),
              ROUND(ROUND(OFFSET($P83,0,AL$13),15-13*ORÇAMENTO!$AF$7)*OFFSET(ORÇAMENTO!$W$15,ROW(AL83)-ROW(AL$15),0),15-13*ORÇAMENTO!$AF$11)),
         0)</f>
        <v>0</v>
      </c>
      <c r="AM83" s="453">
        <f ca="1">IF(AND($D83="Serviço",AM$12&lt;&gt;0,$H83&gt;0,OR(AUTOEVENTO&lt;&gt;"manual",$M83&lt;&gt;$A$15)),
        IF(Import.TipoArredondamento&lt;&gt;"TransfereGOV",
              ROUND(OFFSET($P83,0,AM$13),15-13*ORÇAMENTO!$AF$7)/$H83*OFFSET(ORÇAMENTO!$X$15,ROW(AM83)-ROW(AM$15),0),
              ROUND(ROUND(OFFSET($P83,0,AM$13),15-13*ORÇAMENTO!$AF$7)*OFFSET(ORÇAMENTO!$W$15,ROW(AM83)-ROW(AM$15),0),15-13*ORÇAMENTO!$AF$11)),
         0)</f>
        <v>0</v>
      </c>
      <c r="AN83" s="453">
        <f ca="1">IF(AND($D83="Serviço",AN$12&lt;&gt;0,$H83&gt;0,OR(AUTOEVENTO&lt;&gt;"manual",$M83&lt;&gt;$A$15)),
        IF(Import.TipoArredondamento&lt;&gt;"TransfereGOV",
              ROUND(OFFSET($P83,0,AN$13),15-13*ORÇAMENTO!$AF$7)/$H83*OFFSET(ORÇAMENTO!$X$15,ROW(AN83)-ROW(AN$15),0),
              ROUND(ROUND(OFFSET($P83,0,AN$13),15-13*ORÇAMENTO!$AF$7)*OFFSET(ORÇAMENTO!$W$15,ROW(AN83)-ROW(AN$15),0),15-13*ORÇAMENTO!$AF$11)),
         0)</f>
        <v>0</v>
      </c>
      <c r="AO83" s="453">
        <f ca="1">IF(AND($D83="Serviço",AO$12&lt;&gt;0,$H83&gt;0,OR(AUTOEVENTO&lt;&gt;"manual",$M83&lt;&gt;$A$15)),
        IF(Import.TipoArredondamento&lt;&gt;"TransfereGOV",
              ROUND(OFFSET($P83,0,AO$13),15-13*ORÇAMENTO!$AF$7)/$H83*OFFSET(ORÇAMENTO!$X$15,ROW(AO83)-ROW(AO$15),0),
              ROUND(ROUND(OFFSET($P83,0,AO$13),15-13*ORÇAMENTO!$AF$7)*OFFSET(ORÇAMENTO!$W$15,ROW(AO83)-ROW(AO$15),0),15-13*ORÇAMENTO!$AF$11)),
         0)</f>
        <v>0</v>
      </c>
      <c r="AP83" s="453">
        <f ca="1">IF(AND($D83="Serviço",AP$12&lt;&gt;0,$H83&gt;0,OR(AUTOEVENTO&lt;&gt;"manual",$M83&lt;&gt;$A$15)),
        IF(Import.TipoArredondamento&lt;&gt;"TransfereGOV",
              ROUND(OFFSET($P83,0,AP$13),15-13*ORÇAMENTO!$AF$7)/$H83*OFFSET(ORÇAMENTO!$X$15,ROW(AP83)-ROW(AP$15),0),
              ROUND(ROUND(OFFSET($P83,0,AP$13),15-13*ORÇAMENTO!$AF$7)*OFFSET(ORÇAMENTO!$W$15,ROW(AP83)-ROW(AP$15),0),15-13*ORÇAMENTO!$AF$11)),
         0)</f>
        <v>0</v>
      </c>
      <c r="AQ83" s="453">
        <f ca="1">IF(AND($D83="Serviço",AQ$12&lt;&gt;0,$H83&gt;0,OR(AUTOEVENTO&lt;&gt;"manual",$M83&lt;&gt;$A$15)),
        IF(Import.TipoArredondamento&lt;&gt;"TransfereGOV",
              ROUND(OFFSET($P83,0,AQ$13),15-13*ORÇAMENTO!$AF$7)/$H83*OFFSET(ORÇAMENTO!$X$15,ROW(AQ83)-ROW(AQ$15),0),
              ROUND(ROUND(OFFSET($P83,0,AQ$13),15-13*ORÇAMENTO!$AF$7)*OFFSET(ORÇAMENTO!$W$15,ROW(AQ83)-ROW(AQ$15),0),15-13*ORÇAMENTO!$AF$11)),
         0)</f>
        <v>0</v>
      </c>
      <c r="AR83" s="453">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3">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3">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3">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3">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3">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3">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3">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3">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3">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C83" s="171">
        <f ca="1">IF(OR($D83&lt;&gt;"Serviço",AND(AUTOEVENTO="Manual",$M83=$A$15)),0,
         IF(OFFSET(CRONOPLE!$F$15,$M83-$A$15,BC$13)=0,10^12,OFFSET(CRONOPLE!$F$15,$M83-$A$15,BC$13)))</f>
        <v>1</v>
      </c>
      <c r="BD83" s="171">
        <f ca="1">IF(OR($D83&lt;&gt;"Serviço",AND(AUTOEVENTO="Manual",$M83=$A$15)),0,
         IF(OFFSET(CRONOPLE!$F$15,$M83-$A$15,BD$13)=0,10^12,OFFSET(CRONOPLE!$F$15,$M83-$A$15,BD$13)))</f>
        <v>2</v>
      </c>
      <c r="BE83" s="171">
        <f ca="1">IF(OR($D83&lt;&gt;"Serviço",AND(AUTOEVENTO="Manual",$M83=$A$15)),0,
         IF(OFFSET(CRONOPLE!$F$15,$M83-$A$15,BE$13)=0,10^12,OFFSET(CRONOPLE!$F$15,$M83-$A$15,BE$13)))</f>
        <v>3</v>
      </c>
      <c r="BF83" s="171">
        <f ca="1">IF(OR($D83&lt;&gt;"Serviço",AND(AUTOEVENTO="Manual",$M83=$A$15)),0,
         IF(OFFSET(CRONOPLE!$F$15,$M83-$A$15,BF$13)=0,10^12,OFFSET(CRONOPLE!$F$15,$M83-$A$15,BF$13)))</f>
        <v>4</v>
      </c>
      <c r="BG83" s="171">
        <f ca="1">IF(OR($D83&lt;&gt;"Serviço",AND(AUTOEVENTO="Manual",$M83=$A$15)),0,
         IF(OFFSET(CRONOPLE!$F$15,$M83-$A$15,BG$13)=0,10^12,OFFSET(CRONOPLE!$F$15,$M83-$A$15,BG$13)))</f>
        <v>5</v>
      </c>
      <c r="BH83" s="171">
        <f ca="1">IF(OR($D83&lt;&gt;"Serviço",AND(AUTOEVENTO="Manual",$M83=$A$15)),0,
         IF(OFFSET(CRONOPLE!$F$15,$M83-$A$15,BH$13)=0,10^12,OFFSET(CRONOPLE!$F$15,$M83-$A$15,BH$13)))</f>
        <v>6</v>
      </c>
      <c r="BI83" s="171">
        <f ca="1">IF(OR($D83&lt;&gt;"Serviço",AND(AUTOEVENTO="Manual",$M83=$A$15)),0,
         IF(OFFSET(CRONOPLE!$F$15,$M83-$A$15,BI$13)=0,10^12,OFFSET(CRONOPLE!$F$15,$M83-$A$15,BI$13)))</f>
        <v>7</v>
      </c>
      <c r="BJ83" s="171">
        <f ca="1">IF(OR($D83&lt;&gt;"Serviço",AND(AUTOEVENTO="Manual",$M83=$A$15)),0,
         IF(OFFSET(CRONOPLE!$F$15,$M83-$A$15,BJ$13)=0,10^12,OFFSET(CRONOPLE!$F$15,$M83-$A$15,BJ$13)))</f>
        <v>8</v>
      </c>
      <c r="BK83" s="171">
        <f ca="1">IF(OR($D83&lt;&gt;"Serviço",AND(AUTOEVENTO="Manual",$M83=$A$15)),0,
         IF(OFFSET(CRONOPLE!$F$15,$M83-$A$15,BK$13)=0,10^12,OFFSET(CRONOPLE!$F$15,$M83-$A$15,BK$13)))</f>
        <v>9</v>
      </c>
      <c r="BL83" s="171">
        <f ca="1">IF(OR($D83&lt;&gt;"Serviço",AND(AUTOEVENTO="Manual",$M83=$A$15)),0,
         IF(OFFSET(CRONOPLE!$F$15,$M83-$A$15,BL$13)=0,10^12,OFFSET(CRONOPLE!$F$15,$M83-$A$15,BL$13)))</f>
        <v>10</v>
      </c>
      <c r="BM83" s="171">
        <f ca="1">IF(OR($D83&lt;&gt;"Serviço",AND(AUTOEVENTO="Manual",$M83=$A$15)),0,
         IF(OFFSET(CRONOPLE!$F$15,$M83-$A$15,BM$13)=0,10^12,OFFSET(CRONOPLE!$F$15,$M83-$A$15,BM$13)))</f>
        <v>1000000000000</v>
      </c>
      <c r="BN83" s="171">
        <f ca="1">IF(OR($D83&lt;&gt;"Serviço",AND(AUTOEVENTO="Manual",$M83=$A$15)),0,
         IF(OFFSET(CRONOPLE!$F$15,$M83-$A$15,BN$13)=0,10^12,OFFSET(CRONOPLE!$F$15,$M83-$A$15,BN$13)))</f>
        <v>1000000000000</v>
      </c>
      <c r="BO83" s="171">
        <f ca="1">IF(OR($D83&lt;&gt;"Serviço",AND(AUTOEVENTO="Manual",$M83=$A$15)),0,
         IF(OFFSET(CRONOPLE!$F$15,$M83-$A$15,BO$13)=0,10^12,OFFSET(CRONOPLE!$F$15,$M83-$A$15,BO$13)))</f>
        <v>1000000000000</v>
      </c>
      <c r="BP83" s="171">
        <f ca="1">IF(OR($D83&lt;&gt;"Serviço",AND(AUTOEVENTO="Manual",$M83=$A$15)),0,
         IF(OFFSET(CRONOPLE!$F$15,$M83-$A$15,BP$13)=0,10^12,OFFSET(CRONOPLE!$F$15,$M83-$A$15,BP$13)))</f>
        <v>1000000000000</v>
      </c>
      <c r="BQ83" s="171">
        <f ca="1">IF(OR($D83&lt;&gt;"Serviço",AND(AUTOEVENTO="Manual",$M83=$A$15)),0,
         IF(OFFSET(CRONOPLE!$F$15,$M83-$A$15,BQ$13)=0,10^12,OFFSET(CRONOPLE!$F$15,$M83-$A$15,BQ$13)))</f>
        <v>1000000000000</v>
      </c>
      <c r="BR83" s="171">
        <f ca="1">IF(OR($D83&lt;&gt;"Serviço",AND(AUTOEVENTO="Manual",$M83=$A$15)),0,
         IF(OFFSET(CRONOPLE!$F$15,$M83-$A$15,BR$13)=0,10^12,OFFSET(CRONOPLE!$F$15,$M83-$A$15,BR$13)))</f>
        <v>1000000000000</v>
      </c>
      <c r="BS83" s="171">
        <f ca="1">IF(OR($D83&lt;&gt;"Serviço",AND(AUTOEVENTO="Manual",$M83=$A$15)),0,
         IF(OFFSET(CRONOPLE!$F$15,$M83-$A$15,BS$13)=0,10^12,OFFSET(CRONOPLE!$F$15,$M83-$A$15,BS$13)))</f>
        <v>1000000000000</v>
      </c>
      <c r="BT83" s="171">
        <f ca="1">IF(OR($D83&lt;&gt;"Serviço",AND(AUTOEVENTO="Manual",$M83=$A$15)),0,
         IF(OFFSET(CRONOPLE!$F$15,$M83-$A$15,BT$13)=0,10^12,OFFSET(CRONOPLE!$F$15,$M83-$A$15,BT$13)))</f>
        <v>1000000000000</v>
      </c>
      <c r="BV83" s="172">
        <f ca="1">IF(OR($D83&lt;&gt;"Serviço",AND(AUTOEVENTO="Manual",$M83=$A$15),$M83&gt;(ROW(PLE.lastrow)-ROW(PLE.firstrow))),0,
           IF(OFFSET(PLE!$G$15,$M83-$A$15,BV$13)="",10^12,OFFSET(PLE!$G$15,$M83-$A$15,BV$13)))</f>
        <v>1000000000000</v>
      </c>
      <c r="BW83" s="172">
        <f ca="1">IF(OR($D83&lt;&gt;"Serviço",AND(AUTOEVENTO="Manual",$M83=$A$15),$M83&gt;(ROW(PLE.lastrow)-ROW(PLE.firstrow))),0,
           IF(OFFSET(PLE!$G$15,$M83-$A$15,BW$13)="",10^12,OFFSET(PLE!$G$15,$M83-$A$15,BW$13)))</f>
        <v>1000000000000</v>
      </c>
      <c r="BX83" s="172">
        <f ca="1">IF(OR($D83&lt;&gt;"Serviço",AND(AUTOEVENTO="Manual",$M83=$A$15),$M83&gt;(ROW(PLE.lastrow)-ROW(PLE.firstrow))),0,
           IF(OFFSET(PLE!$G$15,$M83-$A$15,BX$13)="",10^12,OFFSET(PLE!$G$15,$M83-$A$15,BX$13)))</f>
        <v>1000000000000</v>
      </c>
      <c r="BY83" s="172">
        <f ca="1">IF(OR($D83&lt;&gt;"Serviço",AND(AUTOEVENTO="Manual",$M83=$A$15),$M83&gt;(ROW(PLE.lastrow)-ROW(PLE.firstrow))),0,
           IF(OFFSET(PLE!$G$15,$M83-$A$15,BY$13)="",10^12,OFFSET(PLE!$G$15,$M83-$A$15,BY$13)))</f>
        <v>1000000000000</v>
      </c>
      <c r="BZ83" s="172">
        <f ca="1">IF(OR($D83&lt;&gt;"Serviço",AND(AUTOEVENTO="Manual",$M83=$A$15),$M83&gt;(ROW(PLE.lastrow)-ROW(PLE.firstrow))),0,
           IF(OFFSET(PLE!$G$15,$M83-$A$15,BZ$13)="",10^12,OFFSET(PLE!$G$15,$M83-$A$15,BZ$13)))</f>
        <v>1000000000000</v>
      </c>
      <c r="CA83" s="172">
        <f ca="1">IF(OR($D83&lt;&gt;"Serviço",AND(AUTOEVENTO="Manual",$M83=$A$15),$M83&gt;(ROW(PLE.lastrow)-ROW(PLE.firstrow))),0,
           IF(OFFSET(PLE!$G$15,$M83-$A$15,CA$13)="",10^12,OFFSET(PLE!$G$15,$M83-$A$15,CA$13)))</f>
        <v>1000000000000</v>
      </c>
      <c r="CB83" s="172">
        <f ca="1">IF(OR($D83&lt;&gt;"Serviço",AND(AUTOEVENTO="Manual",$M83=$A$15),$M83&gt;(ROW(PLE.lastrow)-ROW(PLE.firstrow))),0,
           IF(OFFSET(PLE!$G$15,$M83-$A$15,CB$13)="",10^12,OFFSET(PLE!$G$15,$M83-$A$15,CB$13)))</f>
        <v>1000000000000</v>
      </c>
      <c r="CC83" s="172">
        <f ca="1">IF(OR($D83&lt;&gt;"Serviço",AND(AUTOEVENTO="Manual",$M83=$A$15),$M83&gt;(ROW(PLE.lastrow)-ROW(PLE.firstrow))),0,
           IF(OFFSET(PLE!$G$15,$M83-$A$15,CC$13)="",10^12,OFFSET(PLE!$G$15,$M83-$A$15,CC$13)))</f>
        <v>1000000000000</v>
      </c>
      <c r="CD83" s="172">
        <f ca="1">IF(OR($D83&lt;&gt;"Serviço",AND(AUTOEVENTO="Manual",$M83=$A$15),$M83&gt;(ROW(PLE.lastrow)-ROW(PLE.firstrow))),0,
           IF(OFFSET(PLE!$G$15,$M83-$A$15,CD$13)="",10^12,OFFSET(PLE!$G$15,$M83-$A$15,CD$13)))</f>
        <v>1000000000000</v>
      </c>
      <c r="CE83" s="172">
        <f ca="1">IF(OR($D83&lt;&gt;"Serviço",AND(AUTOEVENTO="Manual",$M83=$A$15),$M83&gt;(ROW(PLE.lastrow)-ROW(PLE.firstrow))),0,
           IF(OFFSET(PLE!$G$15,$M83-$A$15,CE$13)="",10^12,OFFSET(PLE!$G$15,$M83-$A$15,CE$13)))</f>
        <v>1000000000000</v>
      </c>
      <c r="CF83" s="172">
        <f ca="1">IF(OR($D83&lt;&gt;"Serviço",AND(AUTOEVENTO="Manual",$M83=$A$15),$M83&gt;(ROW(PLE.lastrow)-ROW(PLE.firstrow))),0,
           IF(OFFSET(PLE!$G$15,$M83-$A$15,CF$13)="",10^12,OFFSET(PLE!$G$15,$M83-$A$15,CF$13)))</f>
        <v>1000000000000</v>
      </c>
      <c r="CG83" s="172">
        <f ca="1">IF(OR($D83&lt;&gt;"Serviço",AND(AUTOEVENTO="Manual",$M83=$A$15),$M83&gt;(ROW(PLE.lastrow)-ROW(PLE.firstrow))),0,
           IF(OFFSET(PLE!$G$15,$M83-$A$15,CG$13)="",10^12,OFFSET(PLE!$G$15,$M83-$A$15,CG$13)))</f>
        <v>1000000000000</v>
      </c>
      <c r="CH83" s="172">
        <f ca="1">IF(OR($D83&lt;&gt;"Serviço",AND(AUTOEVENTO="Manual",$M83=$A$15),$M83&gt;(ROW(PLE.lastrow)-ROW(PLE.firstrow))),0,
           IF(OFFSET(PLE!$G$15,$M83-$A$15,CH$13)="",10^12,OFFSET(PLE!$G$15,$M83-$A$15,CH$13)))</f>
        <v>1000000000000</v>
      </c>
      <c r="CI83" s="172">
        <f ca="1">IF(OR($D83&lt;&gt;"Serviço",AND(AUTOEVENTO="Manual",$M83=$A$15),$M83&gt;(ROW(PLE.lastrow)-ROW(PLE.firstrow))),0,
           IF(OFFSET(PLE!$G$15,$M83-$A$15,CI$13)="",10^12,OFFSET(PLE!$G$15,$M83-$A$15,CI$13)))</f>
        <v>1000000000000</v>
      </c>
      <c r="CJ83" s="172">
        <f ca="1">IF(OR($D83&lt;&gt;"Serviço",AND(AUTOEVENTO="Manual",$M83=$A$15),$M83&gt;(ROW(PLE.lastrow)-ROW(PLE.firstrow))),0,
           IF(OFFSET(PLE!$G$15,$M83-$A$15,CJ$13)="",10^12,OFFSET(PLE!$G$15,$M83-$A$15,CJ$13)))</f>
        <v>1000000000000</v>
      </c>
      <c r="CK83" s="172">
        <f ca="1">IF(OR($D83&lt;&gt;"Serviço",AND(AUTOEVENTO="Manual",$M83=$A$15),$M83&gt;(ROW(PLE.lastrow)-ROW(PLE.firstrow))),0,
           IF(OFFSET(PLE!$G$15,$M83-$A$15,CK$13)="",10^12,OFFSET(PLE!$G$15,$M83-$A$15,CK$13)))</f>
        <v>1000000000000</v>
      </c>
      <c r="CL83" s="172">
        <f ca="1">IF(OR($D83&lt;&gt;"Serviço",AND(AUTOEVENTO="Manual",$M83=$A$15),$M83&gt;(ROW(PLE.lastrow)-ROW(PLE.firstrow))),0,
           IF(OFFSET(PLE!$G$15,$M83-$A$15,CL$13)="",10^12,OFFSET(PLE!$G$15,$M83-$A$15,CL$13)))</f>
        <v>1000000000000</v>
      </c>
      <c r="CM83" s="172">
        <f ca="1">IF(OR($D83&lt;&gt;"Serviço",AND(AUTOEVENTO="Manual",$M83=$A$15),$M83&gt;(ROW(PLE.lastrow)-ROW(PLE.firstrow))),0,
           IF(OFFSET(PLE!$G$15,$M83-$A$15,CM$13)="",10^12,OFFSET(PLE!$G$15,$M83-$A$15,CM$13)))</f>
        <v>1000000000000</v>
      </c>
    </row>
    <row r="84" spans="1:91" ht="63.75" x14ac:dyDescent="0.2">
      <c r="A84" s="7">
        <f t="shared" ca="1" si="10"/>
        <v>4</v>
      </c>
      <c r="B84" s="7" t="str">
        <f ca="1">OFFSET(ORÇAMENTO!C$15,ROW(B84)-ROW(B$15),0)</f>
        <v>S</v>
      </c>
      <c r="C84" s="7" t="str">
        <f ca="1">OFFSET(ORÇAMENTO!L$15,ROW(C84)-ROW(C$15),0)</f>
        <v>F</v>
      </c>
      <c r="D84" s="116" t="str">
        <f ca="1">OFFSET(ORÇAMENTO!N$15,ROW(D84)-ROW(D$15),0)</f>
        <v>Serviço</v>
      </c>
      <c r="E84" s="117" t="str">
        <f ca="1">OFFSET(ORÇAMENTO!O$15,ROW(E84)-ROW(E$15),0)</f>
        <v>1.5.1.2.12.</v>
      </c>
      <c r="F84" s="163" t="str">
        <f ca="1">OFFSET(ORÇAMENTO!R$15,ROW(F84)-ROW(F$15),0)</f>
        <v>TAXA ATERRO SANITÁRIO</v>
      </c>
      <c r="G84" s="164" t="str">
        <f ca="1">IF($D84&lt;&gt;"Serviço","",OFFSET(ORÇAMENTO!S$15,ROW(G84)-ROW(G$15),0))</f>
        <v>T</v>
      </c>
      <c r="H84" s="122" cm="1">
        <f t="array" aca="1" ref="H84" ca="1">IF($D84&lt;&gt;"Serviço",0,IF(ACOMPANHAMENTO="BM",ROUND(OFFSET(ORÇAMENTO!AJ$15,ROW(H84)-ROW(H$15),0),15-13*ORÇAMENTO!$AF$7),SUMPRODUCT(($Q$1:$AI$1=1)*ROUND($Q84:$AI84,15-13*ORÇAMENTO!$AF$7))))</f>
        <v>1.1599999999999999</v>
      </c>
      <c r="I84" s="468" t="s">
        <v>1416</v>
      </c>
      <c r="J84" s="640" t="str" cm="1">
        <f t="array" aca="1" ref="J84" ca="1">IF(OR(B84&lt;&gt;"S",CÁLCULO.FrentesPreenchidas=0),"",IF(AND(ACOMPANHAMENTO="PLE",AUTOEVENTO="Manual",OR(H84&gt;0,ORÇAMENTO!AC84="QUANT."),OR(K84="",M84=0,N84="")),"►E",IF(AND(ACOMPANHAMENTO="PLE",ORÇAMENTO!AC84="QUANT."),"►Q",IF(AND(ACOMPANHAMENTO="PLE",H84&lt;&gt;SUMPRODUCT(($Q$1:$AI$1=1)*ROUND(Q84:AI84,15))),"►S",IF(AND(COUNTIF($P$11:$AI$11,"▼")=0,H84&gt;0,I84=""),"◄M","")))))</f>
        <v/>
      </c>
      <c r="K84" s="641" t="s">
        <v>1389</v>
      </c>
      <c r="L84" s="165" t="s">
        <v>764</v>
      </c>
      <c r="M84" s="166">
        <f ca="1">IF($D84&lt;&gt;"Serviço","",
          IF(AUTOEVENTO="manual",$A84,
                IF(ISERROR(MATCH($A84,$A$15:OFFSET($A84,-1,0),0)),MAX($M$15:OFFSET(M84,-1,0))+1,
                      INDEX($M$15:OFFSET(M84,-1,0),MATCH($A84,$A$15:OFFSET($A84,-1,0),0)))))</f>
        <v>4</v>
      </c>
      <c r="N84" s="167" t="str">
        <f ca="1">IF($D84&lt;&gt;"Serviço","",
         IF(AUTOEVENTO="Manual",
                IF($A84=0,"&lt;-- defina o número do agrupador",
                       OFFSET(EVENTOS!$D$15,$A84-$A$15,0)),
                OFFSET($F$15,$A84,0)))</f>
        <v>Estruturas de Concreto</v>
      </c>
      <c r="O84" s="168"/>
      <c r="Q84" s="168"/>
      <c r="R84" s="169">
        <f>ROUND(R82*1.36,2)</f>
        <v>1.1599999999999999</v>
      </c>
      <c r="S84" s="169"/>
      <c r="T84" s="169"/>
      <c r="U84" s="169"/>
      <c r="V84" s="169"/>
      <c r="W84" s="169"/>
      <c r="X84" s="169"/>
      <c r="Y84" s="169"/>
      <c r="Z84" s="170"/>
      <c r="AA84" s="169"/>
      <c r="AB84" s="169"/>
      <c r="AC84" s="169"/>
      <c r="AD84" s="169"/>
      <c r="AE84" s="169"/>
      <c r="AF84" s="169"/>
      <c r="AG84" s="169"/>
      <c r="AH84" s="170"/>
      <c r="AJ84" s="453">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3">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L84" s="453">
        <f ca="1">IF(AND($D84="Serviço",AL$12&lt;&gt;0,$H84&gt;0,OR(AUTOEVENTO&lt;&gt;"manual",$M84&lt;&gt;$A$15)),
        IF(Import.TipoArredondamento&lt;&gt;"TransfereGOV",
              ROUND(OFFSET($P84,0,AL$13),15-13*ORÇAMENTO!$AF$7)/$H84*OFFSET(ORÇAMENTO!$X$15,ROW(AL84)-ROW(AL$15),0),
              ROUND(ROUND(OFFSET($P84,0,AL$13),15-13*ORÇAMENTO!$AF$7)*OFFSET(ORÇAMENTO!$W$15,ROW(AL84)-ROW(AL$15),0),15-13*ORÇAMENTO!$AF$11)),
         0)</f>
        <v>0</v>
      </c>
      <c r="AM84" s="453">
        <f ca="1">IF(AND($D84="Serviço",AM$12&lt;&gt;0,$H84&gt;0,OR(AUTOEVENTO&lt;&gt;"manual",$M84&lt;&gt;$A$15)),
        IF(Import.TipoArredondamento&lt;&gt;"TransfereGOV",
              ROUND(OFFSET($P84,0,AM$13),15-13*ORÇAMENTO!$AF$7)/$H84*OFFSET(ORÇAMENTO!$X$15,ROW(AM84)-ROW(AM$15),0),
              ROUND(ROUND(OFFSET($P84,0,AM$13),15-13*ORÇAMENTO!$AF$7)*OFFSET(ORÇAMENTO!$W$15,ROW(AM84)-ROW(AM$15),0),15-13*ORÇAMENTO!$AF$11)),
         0)</f>
        <v>0</v>
      </c>
      <c r="AN84" s="453">
        <f ca="1">IF(AND($D84="Serviço",AN$12&lt;&gt;0,$H84&gt;0,OR(AUTOEVENTO&lt;&gt;"manual",$M84&lt;&gt;$A$15)),
        IF(Import.TipoArredondamento&lt;&gt;"TransfereGOV",
              ROUND(OFFSET($P84,0,AN$13),15-13*ORÇAMENTO!$AF$7)/$H84*OFFSET(ORÇAMENTO!$X$15,ROW(AN84)-ROW(AN$15),0),
              ROUND(ROUND(OFFSET($P84,0,AN$13),15-13*ORÇAMENTO!$AF$7)*OFFSET(ORÇAMENTO!$W$15,ROW(AN84)-ROW(AN$15),0),15-13*ORÇAMENTO!$AF$11)),
         0)</f>
        <v>0</v>
      </c>
      <c r="AO84" s="453">
        <f ca="1">IF(AND($D84="Serviço",AO$12&lt;&gt;0,$H84&gt;0,OR(AUTOEVENTO&lt;&gt;"manual",$M84&lt;&gt;$A$15)),
        IF(Import.TipoArredondamento&lt;&gt;"TransfereGOV",
              ROUND(OFFSET($P84,0,AO$13),15-13*ORÇAMENTO!$AF$7)/$H84*OFFSET(ORÇAMENTO!$X$15,ROW(AO84)-ROW(AO$15),0),
              ROUND(ROUND(OFFSET($P84,0,AO$13),15-13*ORÇAMENTO!$AF$7)*OFFSET(ORÇAMENTO!$W$15,ROW(AO84)-ROW(AO$15),0),15-13*ORÇAMENTO!$AF$11)),
         0)</f>
        <v>0</v>
      </c>
      <c r="AP84" s="453">
        <f ca="1">IF(AND($D84="Serviço",AP$12&lt;&gt;0,$H84&gt;0,OR(AUTOEVENTO&lt;&gt;"manual",$M84&lt;&gt;$A$15)),
        IF(Import.TipoArredondamento&lt;&gt;"TransfereGOV",
              ROUND(OFFSET($P84,0,AP$13),15-13*ORÇAMENTO!$AF$7)/$H84*OFFSET(ORÇAMENTO!$X$15,ROW(AP84)-ROW(AP$15),0),
              ROUND(ROUND(OFFSET($P84,0,AP$13),15-13*ORÇAMENTO!$AF$7)*OFFSET(ORÇAMENTO!$W$15,ROW(AP84)-ROW(AP$15),0),15-13*ORÇAMENTO!$AF$11)),
         0)</f>
        <v>0</v>
      </c>
      <c r="AQ84" s="453">
        <f ca="1">IF(AND($D84="Serviço",AQ$12&lt;&gt;0,$H84&gt;0,OR(AUTOEVENTO&lt;&gt;"manual",$M84&lt;&gt;$A$15)),
        IF(Import.TipoArredondamento&lt;&gt;"TransfereGOV",
              ROUND(OFFSET($P84,0,AQ$13),15-13*ORÇAMENTO!$AF$7)/$H84*OFFSET(ORÇAMENTO!$X$15,ROW(AQ84)-ROW(AQ$15),0),
              ROUND(ROUND(OFFSET($P84,0,AQ$13),15-13*ORÇAMENTO!$AF$7)*OFFSET(ORÇAMENTO!$W$15,ROW(AQ84)-ROW(AQ$15),0),15-13*ORÇAMENTO!$AF$11)),
         0)</f>
        <v>0</v>
      </c>
      <c r="AR84" s="453">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3">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3">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3">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3">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3">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3">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3">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3">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3">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C84" s="171">
        <f ca="1">IF(OR($D84&lt;&gt;"Serviço",AND(AUTOEVENTO="Manual",$M84=$A$15)),0,
         IF(OFFSET(CRONOPLE!$F$15,$M84-$A$15,BC$13)=0,10^12,OFFSET(CRONOPLE!$F$15,$M84-$A$15,BC$13)))</f>
        <v>1</v>
      </c>
      <c r="BD84" s="171">
        <f ca="1">IF(OR($D84&lt;&gt;"Serviço",AND(AUTOEVENTO="Manual",$M84=$A$15)),0,
         IF(OFFSET(CRONOPLE!$F$15,$M84-$A$15,BD$13)=0,10^12,OFFSET(CRONOPLE!$F$15,$M84-$A$15,BD$13)))</f>
        <v>2</v>
      </c>
      <c r="BE84" s="171">
        <f ca="1">IF(OR($D84&lt;&gt;"Serviço",AND(AUTOEVENTO="Manual",$M84=$A$15)),0,
         IF(OFFSET(CRONOPLE!$F$15,$M84-$A$15,BE$13)=0,10^12,OFFSET(CRONOPLE!$F$15,$M84-$A$15,BE$13)))</f>
        <v>3</v>
      </c>
      <c r="BF84" s="171">
        <f ca="1">IF(OR($D84&lt;&gt;"Serviço",AND(AUTOEVENTO="Manual",$M84=$A$15)),0,
         IF(OFFSET(CRONOPLE!$F$15,$M84-$A$15,BF$13)=0,10^12,OFFSET(CRONOPLE!$F$15,$M84-$A$15,BF$13)))</f>
        <v>4</v>
      </c>
      <c r="BG84" s="171">
        <f ca="1">IF(OR($D84&lt;&gt;"Serviço",AND(AUTOEVENTO="Manual",$M84=$A$15)),0,
         IF(OFFSET(CRONOPLE!$F$15,$M84-$A$15,BG$13)=0,10^12,OFFSET(CRONOPLE!$F$15,$M84-$A$15,BG$13)))</f>
        <v>5</v>
      </c>
      <c r="BH84" s="171">
        <f ca="1">IF(OR($D84&lt;&gt;"Serviço",AND(AUTOEVENTO="Manual",$M84=$A$15)),0,
         IF(OFFSET(CRONOPLE!$F$15,$M84-$A$15,BH$13)=0,10^12,OFFSET(CRONOPLE!$F$15,$M84-$A$15,BH$13)))</f>
        <v>6</v>
      </c>
      <c r="BI84" s="171">
        <f ca="1">IF(OR($D84&lt;&gt;"Serviço",AND(AUTOEVENTO="Manual",$M84=$A$15)),0,
         IF(OFFSET(CRONOPLE!$F$15,$M84-$A$15,BI$13)=0,10^12,OFFSET(CRONOPLE!$F$15,$M84-$A$15,BI$13)))</f>
        <v>7</v>
      </c>
      <c r="BJ84" s="171">
        <f ca="1">IF(OR($D84&lt;&gt;"Serviço",AND(AUTOEVENTO="Manual",$M84=$A$15)),0,
         IF(OFFSET(CRONOPLE!$F$15,$M84-$A$15,BJ$13)=0,10^12,OFFSET(CRONOPLE!$F$15,$M84-$A$15,BJ$13)))</f>
        <v>8</v>
      </c>
      <c r="BK84" s="171">
        <f ca="1">IF(OR($D84&lt;&gt;"Serviço",AND(AUTOEVENTO="Manual",$M84=$A$15)),0,
         IF(OFFSET(CRONOPLE!$F$15,$M84-$A$15,BK$13)=0,10^12,OFFSET(CRONOPLE!$F$15,$M84-$A$15,BK$13)))</f>
        <v>9</v>
      </c>
      <c r="BL84" s="171">
        <f ca="1">IF(OR($D84&lt;&gt;"Serviço",AND(AUTOEVENTO="Manual",$M84=$A$15)),0,
         IF(OFFSET(CRONOPLE!$F$15,$M84-$A$15,BL$13)=0,10^12,OFFSET(CRONOPLE!$F$15,$M84-$A$15,BL$13)))</f>
        <v>10</v>
      </c>
      <c r="BM84" s="171">
        <f ca="1">IF(OR($D84&lt;&gt;"Serviço",AND(AUTOEVENTO="Manual",$M84=$A$15)),0,
         IF(OFFSET(CRONOPLE!$F$15,$M84-$A$15,BM$13)=0,10^12,OFFSET(CRONOPLE!$F$15,$M84-$A$15,BM$13)))</f>
        <v>1000000000000</v>
      </c>
      <c r="BN84" s="171">
        <f ca="1">IF(OR($D84&lt;&gt;"Serviço",AND(AUTOEVENTO="Manual",$M84=$A$15)),0,
         IF(OFFSET(CRONOPLE!$F$15,$M84-$A$15,BN$13)=0,10^12,OFFSET(CRONOPLE!$F$15,$M84-$A$15,BN$13)))</f>
        <v>1000000000000</v>
      </c>
      <c r="BO84" s="171">
        <f ca="1">IF(OR($D84&lt;&gt;"Serviço",AND(AUTOEVENTO="Manual",$M84=$A$15)),0,
         IF(OFFSET(CRONOPLE!$F$15,$M84-$A$15,BO$13)=0,10^12,OFFSET(CRONOPLE!$F$15,$M84-$A$15,BO$13)))</f>
        <v>1000000000000</v>
      </c>
      <c r="BP84" s="171">
        <f ca="1">IF(OR($D84&lt;&gt;"Serviço",AND(AUTOEVENTO="Manual",$M84=$A$15)),0,
         IF(OFFSET(CRONOPLE!$F$15,$M84-$A$15,BP$13)=0,10^12,OFFSET(CRONOPLE!$F$15,$M84-$A$15,BP$13)))</f>
        <v>1000000000000</v>
      </c>
      <c r="BQ84" s="171">
        <f ca="1">IF(OR($D84&lt;&gt;"Serviço",AND(AUTOEVENTO="Manual",$M84=$A$15)),0,
         IF(OFFSET(CRONOPLE!$F$15,$M84-$A$15,BQ$13)=0,10^12,OFFSET(CRONOPLE!$F$15,$M84-$A$15,BQ$13)))</f>
        <v>1000000000000</v>
      </c>
      <c r="BR84" s="171">
        <f ca="1">IF(OR($D84&lt;&gt;"Serviço",AND(AUTOEVENTO="Manual",$M84=$A$15)),0,
         IF(OFFSET(CRONOPLE!$F$15,$M84-$A$15,BR$13)=0,10^12,OFFSET(CRONOPLE!$F$15,$M84-$A$15,BR$13)))</f>
        <v>1000000000000</v>
      </c>
      <c r="BS84" s="171">
        <f ca="1">IF(OR($D84&lt;&gt;"Serviço",AND(AUTOEVENTO="Manual",$M84=$A$15)),0,
         IF(OFFSET(CRONOPLE!$F$15,$M84-$A$15,BS$13)=0,10^12,OFFSET(CRONOPLE!$F$15,$M84-$A$15,BS$13)))</f>
        <v>1000000000000</v>
      </c>
      <c r="BT84" s="171">
        <f ca="1">IF(OR($D84&lt;&gt;"Serviço",AND(AUTOEVENTO="Manual",$M84=$A$15)),0,
         IF(OFFSET(CRONOPLE!$F$15,$M84-$A$15,BT$13)=0,10^12,OFFSET(CRONOPLE!$F$15,$M84-$A$15,BT$13)))</f>
        <v>1000000000000</v>
      </c>
      <c r="BV84" s="172">
        <f ca="1">IF(OR($D84&lt;&gt;"Serviço",AND(AUTOEVENTO="Manual",$M84=$A$15),$M84&gt;(ROW(PLE.lastrow)-ROW(PLE.firstrow))),0,
           IF(OFFSET(PLE!$G$15,$M84-$A$15,BV$13)="",10^12,OFFSET(PLE!$G$15,$M84-$A$15,BV$13)))</f>
        <v>1000000000000</v>
      </c>
      <c r="BW84" s="172">
        <f ca="1">IF(OR($D84&lt;&gt;"Serviço",AND(AUTOEVENTO="Manual",$M84=$A$15),$M84&gt;(ROW(PLE.lastrow)-ROW(PLE.firstrow))),0,
           IF(OFFSET(PLE!$G$15,$M84-$A$15,BW$13)="",10^12,OFFSET(PLE!$G$15,$M84-$A$15,BW$13)))</f>
        <v>1000000000000</v>
      </c>
      <c r="BX84" s="172">
        <f ca="1">IF(OR($D84&lt;&gt;"Serviço",AND(AUTOEVENTO="Manual",$M84=$A$15),$M84&gt;(ROW(PLE.lastrow)-ROW(PLE.firstrow))),0,
           IF(OFFSET(PLE!$G$15,$M84-$A$15,BX$13)="",10^12,OFFSET(PLE!$G$15,$M84-$A$15,BX$13)))</f>
        <v>1000000000000</v>
      </c>
      <c r="BY84" s="172">
        <f ca="1">IF(OR($D84&lt;&gt;"Serviço",AND(AUTOEVENTO="Manual",$M84=$A$15),$M84&gt;(ROW(PLE.lastrow)-ROW(PLE.firstrow))),0,
           IF(OFFSET(PLE!$G$15,$M84-$A$15,BY$13)="",10^12,OFFSET(PLE!$G$15,$M84-$A$15,BY$13)))</f>
        <v>1000000000000</v>
      </c>
      <c r="BZ84" s="172">
        <f ca="1">IF(OR($D84&lt;&gt;"Serviço",AND(AUTOEVENTO="Manual",$M84=$A$15),$M84&gt;(ROW(PLE.lastrow)-ROW(PLE.firstrow))),0,
           IF(OFFSET(PLE!$G$15,$M84-$A$15,BZ$13)="",10^12,OFFSET(PLE!$G$15,$M84-$A$15,BZ$13)))</f>
        <v>1000000000000</v>
      </c>
      <c r="CA84" s="172">
        <f ca="1">IF(OR($D84&lt;&gt;"Serviço",AND(AUTOEVENTO="Manual",$M84=$A$15),$M84&gt;(ROW(PLE.lastrow)-ROW(PLE.firstrow))),0,
           IF(OFFSET(PLE!$G$15,$M84-$A$15,CA$13)="",10^12,OFFSET(PLE!$G$15,$M84-$A$15,CA$13)))</f>
        <v>1000000000000</v>
      </c>
      <c r="CB84" s="172">
        <f ca="1">IF(OR($D84&lt;&gt;"Serviço",AND(AUTOEVENTO="Manual",$M84=$A$15),$M84&gt;(ROW(PLE.lastrow)-ROW(PLE.firstrow))),0,
           IF(OFFSET(PLE!$G$15,$M84-$A$15,CB$13)="",10^12,OFFSET(PLE!$G$15,$M84-$A$15,CB$13)))</f>
        <v>1000000000000</v>
      </c>
      <c r="CC84" s="172">
        <f ca="1">IF(OR($D84&lt;&gt;"Serviço",AND(AUTOEVENTO="Manual",$M84=$A$15),$M84&gt;(ROW(PLE.lastrow)-ROW(PLE.firstrow))),0,
           IF(OFFSET(PLE!$G$15,$M84-$A$15,CC$13)="",10^12,OFFSET(PLE!$G$15,$M84-$A$15,CC$13)))</f>
        <v>1000000000000</v>
      </c>
      <c r="CD84" s="172">
        <f ca="1">IF(OR($D84&lt;&gt;"Serviço",AND(AUTOEVENTO="Manual",$M84=$A$15),$M84&gt;(ROW(PLE.lastrow)-ROW(PLE.firstrow))),0,
           IF(OFFSET(PLE!$G$15,$M84-$A$15,CD$13)="",10^12,OFFSET(PLE!$G$15,$M84-$A$15,CD$13)))</f>
        <v>1000000000000</v>
      </c>
      <c r="CE84" s="172">
        <f ca="1">IF(OR($D84&lt;&gt;"Serviço",AND(AUTOEVENTO="Manual",$M84=$A$15),$M84&gt;(ROW(PLE.lastrow)-ROW(PLE.firstrow))),0,
           IF(OFFSET(PLE!$G$15,$M84-$A$15,CE$13)="",10^12,OFFSET(PLE!$G$15,$M84-$A$15,CE$13)))</f>
        <v>1000000000000</v>
      </c>
      <c r="CF84" s="172">
        <f ca="1">IF(OR($D84&lt;&gt;"Serviço",AND(AUTOEVENTO="Manual",$M84=$A$15),$M84&gt;(ROW(PLE.lastrow)-ROW(PLE.firstrow))),0,
           IF(OFFSET(PLE!$G$15,$M84-$A$15,CF$13)="",10^12,OFFSET(PLE!$G$15,$M84-$A$15,CF$13)))</f>
        <v>1000000000000</v>
      </c>
      <c r="CG84" s="172">
        <f ca="1">IF(OR($D84&lt;&gt;"Serviço",AND(AUTOEVENTO="Manual",$M84=$A$15),$M84&gt;(ROW(PLE.lastrow)-ROW(PLE.firstrow))),0,
           IF(OFFSET(PLE!$G$15,$M84-$A$15,CG$13)="",10^12,OFFSET(PLE!$G$15,$M84-$A$15,CG$13)))</f>
        <v>1000000000000</v>
      </c>
      <c r="CH84" s="172">
        <f ca="1">IF(OR($D84&lt;&gt;"Serviço",AND(AUTOEVENTO="Manual",$M84=$A$15),$M84&gt;(ROW(PLE.lastrow)-ROW(PLE.firstrow))),0,
           IF(OFFSET(PLE!$G$15,$M84-$A$15,CH$13)="",10^12,OFFSET(PLE!$G$15,$M84-$A$15,CH$13)))</f>
        <v>1000000000000</v>
      </c>
      <c r="CI84" s="172">
        <f ca="1">IF(OR($D84&lt;&gt;"Serviço",AND(AUTOEVENTO="Manual",$M84=$A$15),$M84&gt;(ROW(PLE.lastrow)-ROW(PLE.firstrow))),0,
           IF(OFFSET(PLE!$G$15,$M84-$A$15,CI$13)="",10^12,OFFSET(PLE!$G$15,$M84-$A$15,CI$13)))</f>
        <v>1000000000000</v>
      </c>
      <c r="CJ84" s="172">
        <f ca="1">IF(OR($D84&lt;&gt;"Serviço",AND(AUTOEVENTO="Manual",$M84=$A$15),$M84&gt;(ROW(PLE.lastrow)-ROW(PLE.firstrow))),0,
           IF(OFFSET(PLE!$G$15,$M84-$A$15,CJ$13)="",10^12,OFFSET(PLE!$G$15,$M84-$A$15,CJ$13)))</f>
        <v>1000000000000</v>
      </c>
      <c r="CK84" s="172">
        <f ca="1">IF(OR($D84&lt;&gt;"Serviço",AND(AUTOEVENTO="Manual",$M84=$A$15),$M84&gt;(ROW(PLE.lastrow)-ROW(PLE.firstrow))),0,
           IF(OFFSET(PLE!$G$15,$M84-$A$15,CK$13)="",10^12,OFFSET(PLE!$G$15,$M84-$A$15,CK$13)))</f>
        <v>1000000000000</v>
      </c>
      <c r="CL84" s="172">
        <f ca="1">IF(OR($D84&lt;&gt;"Serviço",AND(AUTOEVENTO="Manual",$M84=$A$15),$M84&gt;(ROW(PLE.lastrow)-ROW(PLE.firstrow))),0,
           IF(OFFSET(PLE!$G$15,$M84-$A$15,CL$13)="",10^12,OFFSET(PLE!$G$15,$M84-$A$15,CL$13)))</f>
        <v>1000000000000</v>
      </c>
      <c r="CM84" s="172">
        <f ca="1">IF(OR($D84&lt;&gt;"Serviço",AND(AUTOEVENTO="Manual",$M84=$A$15),$M84&gt;(ROW(PLE.lastrow)-ROW(PLE.firstrow))),0,
           IF(OFFSET(PLE!$G$15,$M84-$A$15,CM$13)="",10^12,OFFSET(PLE!$G$15,$M84-$A$15,CM$13)))</f>
        <v>1000000000000</v>
      </c>
    </row>
    <row r="85" spans="1:91" ht="38.25" x14ac:dyDescent="0.2">
      <c r="A85" s="7">
        <f t="shared" ref="A85:A148" ca="1" si="11">IFERROR(IF(AUTOEVENTO="Manual",IF(K85&lt;&gt;"",MIN(VALUE(LEFT(K85,FIND(".",K85)-1)),COUNTA(EVENTOS.Lista)),0),IF(OR($B85&gt;AUTOEVENTO,$B85="S",$B85=0),SUBSTITUTE(OFFSET($A85,-1,0),IF($D85="Serviço",".",""),""),ROW(A85)-ROW($A$15)&amp;".")),0)</f>
        <v>4</v>
      </c>
      <c r="B85" s="7" t="str">
        <f ca="1">OFFSET(ORÇAMENTO!C$15,ROW(B85)-ROW(B$15),0)</f>
        <v>S</v>
      </c>
      <c r="C85" s="7" t="str">
        <f ca="1">OFFSET(ORÇAMENTO!L$15,ROW(C85)-ROW(C$15),0)</f>
        <v>F</v>
      </c>
      <c r="D85" s="116" t="str">
        <f ca="1">OFFSET(ORÇAMENTO!N$15,ROW(D85)-ROW(D$15),0)</f>
        <v>Serviço</v>
      </c>
      <c r="E85" s="117" t="str">
        <f ca="1">OFFSET(ORÇAMENTO!O$15,ROW(E85)-ROW(E$15),0)</f>
        <v>1.5.1.2.13.</v>
      </c>
      <c r="F85" s="163" t="str">
        <f ca="1">OFFSET(ORÇAMENTO!R$15,ROW(F85)-ROW(F$15),0)</f>
        <v>ESPALHAMENTO DE MATERIAL COM TRATOR DE ESTEIRAS. AF_09/2024</v>
      </c>
      <c r="G85" s="164" t="str">
        <f ca="1">IF($D85&lt;&gt;"Serviço","",OFFSET(ORÇAMENTO!S$15,ROW(G85)-ROW(G$15),0))</f>
        <v>M3</v>
      </c>
      <c r="H85" s="122" cm="1">
        <f t="array" aca="1" ref="H85" ca="1">IF($D85&lt;&gt;"Serviço",0,IF(ACOMPANHAMENTO="BM",ROUND(OFFSET(ORÇAMENTO!AJ$15,ROW(H85)-ROW(H$15),0),15-13*ORÇAMENTO!$AF$7),SUMPRODUCT(($Q$1:$AI$1=1)*ROUND($Q85:$AI85,15-13*ORÇAMENTO!$AF$7))))</f>
        <v>0.85</v>
      </c>
      <c r="I85" s="468" t="s">
        <v>1417</v>
      </c>
      <c r="J85" s="640" t="str" cm="1">
        <f t="array" aca="1" ref="J85" ca="1">IF(OR(B85&lt;&gt;"S",CÁLCULO.FrentesPreenchidas=0),"",IF(AND(ACOMPANHAMENTO="PLE",AUTOEVENTO="Manual",OR(H85&gt;0,ORÇAMENTO!AC85="QUANT."),OR(K85="",M85=0,N85="")),"►E",IF(AND(ACOMPANHAMENTO="PLE",ORÇAMENTO!AC85="QUANT."),"►Q",IF(AND(ACOMPANHAMENTO="PLE",H85&lt;&gt;SUMPRODUCT(($Q$1:$AI$1=1)*ROUND(Q85:AI85,15))),"►S",IF(AND(COUNTIF($P$11:$AI$11,"▼")=0,H85&gt;0,I85=""),"◄M","")))))</f>
        <v/>
      </c>
      <c r="K85" s="641" t="s">
        <v>1389</v>
      </c>
      <c r="L85" s="165" t="s">
        <v>764</v>
      </c>
      <c r="M85" s="166">
        <f ca="1">IF($D85&lt;&gt;"Serviço","",
          IF(AUTOEVENTO="manual",$A85,
                IF(ISERROR(MATCH($A85,$A$15:OFFSET($A85,-1,0),0)),MAX($M$15:OFFSET(M85,-1,0))+1,
                      INDEX($M$15:OFFSET(M85,-1,0),MATCH($A85,$A$15:OFFSET($A85,-1,0),0)))))</f>
        <v>4</v>
      </c>
      <c r="N85" s="167" t="str">
        <f ca="1">IF($D85&lt;&gt;"Serviço","",
         IF(AUTOEVENTO="Manual",
                IF($A85=0,"&lt;-- defina o número do agrupador",
                       OFFSET(EVENTOS!$D$15,$A85-$A$15,0)),
                OFFSET($F$15,$A85,0)))</f>
        <v>Estruturas de Concreto</v>
      </c>
      <c r="O85" s="168"/>
      <c r="Q85" s="168"/>
      <c r="R85" s="169">
        <f>R82</f>
        <v>0.85</v>
      </c>
      <c r="S85" s="169"/>
      <c r="T85" s="169"/>
      <c r="U85" s="169"/>
      <c r="V85" s="169"/>
      <c r="W85" s="169"/>
      <c r="X85" s="169"/>
      <c r="Y85" s="169"/>
      <c r="Z85" s="170"/>
      <c r="AA85" s="169"/>
      <c r="AB85" s="169"/>
      <c r="AC85" s="169"/>
      <c r="AD85" s="169"/>
      <c r="AE85" s="169"/>
      <c r="AF85" s="169"/>
      <c r="AG85" s="169"/>
      <c r="AH85" s="170"/>
      <c r="AJ85" s="453">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0</v>
      </c>
      <c r="AK85" s="453">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0</v>
      </c>
      <c r="AL85" s="453">
        <f ca="1">IF(AND($D85="Serviço",AL$12&lt;&gt;0,$H85&gt;0,OR(AUTOEVENTO&lt;&gt;"manual",$M85&lt;&gt;$A$15)),
        IF(Import.TipoArredondamento&lt;&gt;"TransfereGOV",
              ROUND(OFFSET($P85,0,AL$13),15-13*ORÇAMENTO!$AF$7)/$H85*OFFSET(ORÇAMENTO!$X$15,ROW(AL85)-ROW(AL$15),0),
              ROUND(ROUND(OFFSET($P85,0,AL$13),15-13*ORÇAMENTO!$AF$7)*OFFSET(ORÇAMENTO!$W$15,ROW(AL85)-ROW(AL$15),0),15-13*ORÇAMENTO!$AF$11)),
         0)</f>
        <v>0</v>
      </c>
      <c r="AM85" s="453">
        <f ca="1">IF(AND($D85="Serviço",AM$12&lt;&gt;0,$H85&gt;0,OR(AUTOEVENTO&lt;&gt;"manual",$M85&lt;&gt;$A$15)),
        IF(Import.TipoArredondamento&lt;&gt;"TransfereGOV",
              ROUND(OFFSET($P85,0,AM$13),15-13*ORÇAMENTO!$AF$7)/$H85*OFFSET(ORÇAMENTO!$X$15,ROW(AM85)-ROW(AM$15),0),
              ROUND(ROUND(OFFSET($P85,0,AM$13),15-13*ORÇAMENTO!$AF$7)*OFFSET(ORÇAMENTO!$W$15,ROW(AM85)-ROW(AM$15),0),15-13*ORÇAMENTO!$AF$11)),
         0)</f>
        <v>0</v>
      </c>
      <c r="AN85" s="453">
        <f ca="1">IF(AND($D85="Serviço",AN$12&lt;&gt;0,$H85&gt;0,OR(AUTOEVENTO&lt;&gt;"manual",$M85&lt;&gt;$A$15)),
        IF(Import.TipoArredondamento&lt;&gt;"TransfereGOV",
              ROUND(OFFSET($P85,0,AN$13),15-13*ORÇAMENTO!$AF$7)/$H85*OFFSET(ORÇAMENTO!$X$15,ROW(AN85)-ROW(AN$15),0),
              ROUND(ROUND(OFFSET($P85,0,AN$13),15-13*ORÇAMENTO!$AF$7)*OFFSET(ORÇAMENTO!$W$15,ROW(AN85)-ROW(AN$15),0),15-13*ORÇAMENTO!$AF$11)),
         0)</f>
        <v>0</v>
      </c>
      <c r="AO85" s="453">
        <f ca="1">IF(AND($D85="Serviço",AO$12&lt;&gt;0,$H85&gt;0,OR(AUTOEVENTO&lt;&gt;"manual",$M85&lt;&gt;$A$15)),
        IF(Import.TipoArredondamento&lt;&gt;"TransfereGOV",
              ROUND(OFFSET($P85,0,AO$13),15-13*ORÇAMENTO!$AF$7)/$H85*OFFSET(ORÇAMENTO!$X$15,ROW(AO85)-ROW(AO$15),0),
              ROUND(ROUND(OFFSET($P85,0,AO$13),15-13*ORÇAMENTO!$AF$7)*OFFSET(ORÇAMENTO!$W$15,ROW(AO85)-ROW(AO$15),0),15-13*ORÇAMENTO!$AF$11)),
         0)</f>
        <v>0</v>
      </c>
      <c r="AP85" s="453">
        <f ca="1">IF(AND($D85="Serviço",AP$12&lt;&gt;0,$H85&gt;0,OR(AUTOEVENTO&lt;&gt;"manual",$M85&lt;&gt;$A$15)),
        IF(Import.TipoArredondamento&lt;&gt;"TransfereGOV",
              ROUND(OFFSET($P85,0,AP$13),15-13*ORÇAMENTO!$AF$7)/$H85*OFFSET(ORÇAMENTO!$X$15,ROW(AP85)-ROW(AP$15),0),
              ROUND(ROUND(OFFSET($P85,0,AP$13),15-13*ORÇAMENTO!$AF$7)*OFFSET(ORÇAMENTO!$W$15,ROW(AP85)-ROW(AP$15),0),15-13*ORÇAMENTO!$AF$11)),
         0)</f>
        <v>0</v>
      </c>
      <c r="AQ85" s="453">
        <f ca="1">IF(AND($D85="Serviço",AQ$12&lt;&gt;0,$H85&gt;0,OR(AUTOEVENTO&lt;&gt;"manual",$M85&lt;&gt;$A$15)),
        IF(Import.TipoArredondamento&lt;&gt;"TransfereGOV",
              ROUND(OFFSET($P85,0,AQ$13),15-13*ORÇAMENTO!$AF$7)/$H85*OFFSET(ORÇAMENTO!$X$15,ROW(AQ85)-ROW(AQ$15),0),
              ROUND(ROUND(OFFSET($P85,0,AQ$13),15-13*ORÇAMENTO!$AF$7)*OFFSET(ORÇAMENTO!$W$15,ROW(AQ85)-ROW(AQ$15),0),15-13*ORÇAMENTO!$AF$11)),
         0)</f>
        <v>0</v>
      </c>
      <c r="AR85" s="453">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3">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3">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3">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3">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3">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3">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3">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3">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3">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C85" s="171">
        <f ca="1">IF(OR($D85&lt;&gt;"Serviço",AND(AUTOEVENTO="Manual",$M85=$A$15)),0,
         IF(OFFSET(CRONOPLE!$F$15,$M85-$A$15,BC$13)=0,10^12,OFFSET(CRONOPLE!$F$15,$M85-$A$15,BC$13)))</f>
        <v>1</v>
      </c>
      <c r="BD85" s="171">
        <f ca="1">IF(OR($D85&lt;&gt;"Serviço",AND(AUTOEVENTO="Manual",$M85=$A$15)),0,
         IF(OFFSET(CRONOPLE!$F$15,$M85-$A$15,BD$13)=0,10^12,OFFSET(CRONOPLE!$F$15,$M85-$A$15,BD$13)))</f>
        <v>2</v>
      </c>
      <c r="BE85" s="171">
        <f ca="1">IF(OR($D85&lt;&gt;"Serviço",AND(AUTOEVENTO="Manual",$M85=$A$15)),0,
         IF(OFFSET(CRONOPLE!$F$15,$M85-$A$15,BE$13)=0,10^12,OFFSET(CRONOPLE!$F$15,$M85-$A$15,BE$13)))</f>
        <v>3</v>
      </c>
      <c r="BF85" s="171">
        <f ca="1">IF(OR($D85&lt;&gt;"Serviço",AND(AUTOEVENTO="Manual",$M85=$A$15)),0,
         IF(OFFSET(CRONOPLE!$F$15,$M85-$A$15,BF$13)=0,10^12,OFFSET(CRONOPLE!$F$15,$M85-$A$15,BF$13)))</f>
        <v>4</v>
      </c>
      <c r="BG85" s="171">
        <f ca="1">IF(OR($D85&lt;&gt;"Serviço",AND(AUTOEVENTO="Manual",$M85=$A$15)),0,
         IF(OFFSET(CRONOPLE!$F$15,$M85-$A$15,BG$13)=0,10^12,OFFSET(CRONOPLE!$F$15,$M85-$A$15,BG$13)))</f>
        <v>5</v>
      </c>
      <c r="BH85" s="171">
        <f ca="1">IF(OR($D85&lt;&gt;"Serviço",AND(AUTOEVENTO="Manual",$M85=$A$15)),0,
         IF(OFFSET(CRONOPLE!$F$15,$M85-$A$15,BH$13)=0,10^12,OFFSET(CRONOPLE!$F$15,$M85-$A$15,BH$13)))</f>
        <v>6</v>
      </c>
      <c r="BI85" s="171">
        <f ca="1">IF(OR($D85&lt;&gt;"Serviço",AND(AUTOEVENTO="Manual",$M85=$A$15)),0,
         IF(OFFSET(CRONOPLE!$F$15,$M85-$A$15,BI$13)=0,10^12,OFFSET(CRONOPLE!$F$15,$M85-$A$15,BI$13)))</f>
        <v>7</v>
      </c>
      <c r="BJ85" s="171">
        <f ca="1">IF(OR($D85&lt;&gt;"Serviço",AND(AUTOEVENTO="Manual",$M85=$A$15)),0,
         IF(OFFSET(CRONOPLE!$F$15,$M85-$A$15,BJ$13)=0,10^12,OFFSET(CRONOPLE!$F$15,$M85-$A$15,BJ$13)))</f>
        <v>8</v>
      </c>
      <c r="BK85" s="171">
        <f ca="1">IF(OR($D85&lt;&gt;"Serviço",AND(AUTOEVENTO="Manual",$M85=$A$15)),0,
         IF(OFFSET(CRONOPLE!$F$15,$M85-$A$15,BK$13)=0,10^12,OFFSET(CRONOPLE!$F$15,$M85-$A$15,BK$13)))</f>
        <v>9</v>
      </c>
      <c r="BL85" s="171">
        <f ca="1">IF(OR($D85&lt;&gt;"Serviço",AND(AUTOEVENTO="Manual",$M85=$A$15)),0,
         IF(OFFSET(CRONOPLE!$F$15,$M85-$A$15,BL$13)=0,10^12,OFFSET(CRONOPLE!$F$15,$M85-$A$15,BL$13)))</f>
        <v>10</v>
      </c>
      <c r="BM85" s="171">
        <f ca="1">IF(OR($D85&lt;&gt;"Serviço",AND(AUTOEVENTO="Manual",$M85=$A$15)),0,
         IF(OFFSET(CRONOPLE!$F$15,$M85-$A$15,BM$13)=0,10^12,OFFSET(CRONOPLE!$F$15,$M85-$A$15,BM$13)))</f>
        <v>1000000000000</v>
      </c>
      <c r="BN85" s="171">
        <f ca="1">IF(OR($D85&lt;&gt;"Serviço",AND(AUTOEVENTO="Manual",$M85=$A$15)),0,
         IF(OFFSET(CRONOPLE!$F$15,$M85-$A$15,BN$13)=0,10^12,OFFSET(CRONOPLE!$F$15,$M85-$A$15,BN$13)))</f>
        <v>1000000000000</v>
      </c>
      <c r="BO85" s="171">
        <f ca="1">IF(OR($D85&lt;&gt;"Serviço",AND(AUTOEVENTO="Manual",$M85=$A$15)),0,
         IF(OFFSET(CRONOPLE!$F$15,$M85-$A$15,BO$13)=0,10^12,OFFSET(CRONOPLE!$F$15,$M85-$A$15,BO$13)))</f>
        <v>1000000000000</v>
      </c>
      <c r="BP85" s="171">
        <f ca="1">IF(OR($D85&lt;&gt;"Serviço",AND(AUTOEVENTO="Manual",$M85=$A$15)),0,
         IF(OFFSET(CRONOPLE!$F$15,$M85-$A$15,BP$13)=0,10^12,OFFSET(CRONOPLE!$F$15,$M85-$A$15,BP$13)))</f>
        <v>1000000000000</v>
      </c>
      <c r="BQ85" s="171">
        <f ca="1">IF(OR($D85&lt;&gt;"Serviço",AND(AUTOEVENTO="Manual",$M85=$A$15)),0,
         IF(OFFSET(CRONOPLE!$F$15,$M85-$A$15,BQ$13)=0,10^12,OFFSET(CRONOPLE!$F$15,$M85-$A$15,BQ$13)))</f>
        <v>1000000000000</v>
      </c>
      <c r="BR85" s="171">
        <f ca="1">IF(OR($D85&lt;&gt;"Serviço",AND(AUTOEVENTO="Manual",$M85=$A$15)),0,
         IF(OFFSET(CRONOPLE!$F$15,$M85-$A$15,BR$13)=0,10^12,OFFSET(CRONOPLE!$F$15,$M85-$A$15,BR$13)))</f>
        <v>1000000000000</v>
      </c>
      <c r="BS85" s="171">
        <f ca="1">IF(OR($D85&lt;&gt;"Serviço",AND(AUTOEVENTO="Manual",$M85=$A$15)),0,
         IF(OFFSET(CRONOPLE!$F$15,$M85-$A$15,BS$13)=0,10^12,OFFSET(CRONOPLE!$F$15,$M85-$A$15,BS$13)))</f>
        <v>1000000000000</v>
      </c>
      <c r="BT85" s="171">
        <f ca="1">IF(OR($D85&lt;&gt;"Serviço",AND(AUTOEVENTO="Manual",$M85=$A$15)),0,
         IF(OFFSET(CRONOPLE!$F$15,$M85-$A$15,BT$13)=0,10^12,OFFSET(CRONOPLE!$F$15,$M85-$A$15,BT$13)))</f>
        <v>1000000000000</v>
      </c>
      <c r="BV85" s="172">
        <f ca="1">IF(OR($D85&lt;&gt;"Serviço",AND(AUTOEVENTO="Manual",$M85=$A$15),$M85&gt;(ROW(PLE.lastrow)-ROW(PLE.firstrow))),0,
           IF(OFFSET(PLE!$G$15,$M85-$A$15,BV$13)="",10^12,OFFSET(PLE!$G$15,$M85-$A$15,BV$13)))</f>
        <v>1000000000000</v>
      </c>
      <c r="BW85" s="172">
        <f ca="1">IF(OR($D85&lt;&gt;"Serviço",AND(AUTOEVENTO="Manual",$M85=$A$15),$M85&gt;(ROW(PLE.lastrow)-ROW(PLE.firstrow))),0,
           IF(OFFSET(PLE!$G$15,$M85-$A$15,BW$13)="",10^12,OFFSET(PLE!$G$15,$M85-$A$15,BW$13)))</f>
        <v>1000000000000</v>
      </c>
      <c r="BX85" s="172">
        <f ca="1">IF(OR($D85&lt;&gt;"Serviço",AND(AUTOEVENTO="Manual",$M85=$A$15),$M85&gt;(ROW(PLE.lastrow)-ROW(PLE.firstrow))),0,
           IF(OFFSET(PLE!$G$15,$M85-$A$15,BX$13)="",10^12,OFFSET(PLE!$G$15,$M85-$A$15,BX$13)))</f>
        <v>1000000000000</v>
      </c>
      <c r="BY85" s="172">
        <f ca="1">IF(OR($D85&lt;&gt;"Serviço",AND(AUTOEVENTO="Manual",$M85=$A$15),$M85&gt;(ROW(PLE.lastrow)-ROW(PLE.firstrow))),0,
           IF(OFFSET(PLE!$G$15,$M85-$A$15,BY$13)="",10^12,OFFSET(PLE!$G$15,$M85-$A$15,BY$13)))</f>
        <v>1000000000000</v>
      </c>
      <c r="BZ85" s="172">
        <f ca="1">IF(OR($D85&lt;&gt;"Serviço",AND(AUTOEVENTO="Manual",$M85=$A$15),$M85&gt;(ROW(PLE.lastrow)-ROW(PLE.firstrow))),0,
           IF(OFFSET(PLE!$G$15,$M85-$A$15,BZ$13)="",10^12,OFFSET(PLE!$G$15,$M85-$A$15,BZ$13)))</f>
        <v>1000000000000</v>
      </c>
      <c r="CA85" s="172">
        <f ca="1">IF(OR($D85&lt;&gt;"Serviço",AND(AUTOEVENTO="Manual",$M85=$A$15),$M85&gt;(ROW(PLE.lastrow)-ROW(PLE.firstrow))),0,
           IF(OFFSET(PLE!$G$15,$M85-$A$15,CA$13)="",10^12,OFFSET(PLE!$G$15,$M85-$A$15,CA$13)))</f>
        <v>1000000000000</v>
      </c>
      <c r="CB85" s="172">
        <f ca="1">IF(OR($D85&lt;&gt;"Serviço",AND(AUTOEVENTO="Manual",$M85=$A$15),$M85&gt;(ROW(PLE.lastrow)-ROW(PLE.firstrow))),0,
           IF(OFFSET(PLE!$G$15,$M85-$A$15,CB$13)="",10^12,OFFSET(PLE!$G$15,$M85-$A$15,CB$13)))</f>
        <v>1000000000000</v>
      </c>
      <c r="CC85" s="172">
        <f ca="1">IF(OR($D85&lt;&gt;"Serviço",AND(AUTOEVENTO="Manual",$M85=$A$15),$M85&gt;(ROW(PLE.lastrow)-ROW(PLE.firstrow))),0,
           IF(OFFSET(PLE!$G$15,$M85-$A$15,CC$13)="",10^12,OFFSET(PLE!$G$15,$M85-$A$15,CC$13)))</f>
        <v>1000000000000</v>
      </c>
      <c r="CD85" s="172">
        <f ca="1">IF(OR($D85&lt;&gt;"Serviço",AND(AUTOEVENTO="Manual",$M85=$A$15),$M85&gt;(ROW(PLE.lastrow)-ROW(PLE.firstrow))),0,
           IF(OFFSET(PLE!$G$15,$M85-$A$15,CD$13)="",10^12,OFFSET(PLE!$G$15,$M85-$A$15,CD$13)))</f>
        <v>1000000000000</v>
      </c>
      <c r="CE85" s="172">
        <f ca="1">IF(OR($D85&lt;&gt;"Serviço",AND(AUTOEVENTO="Manual",$M85=$A$15),$M85&gt;(ROW(PLE.lastrow)-ROW(PLE.firstrow))),0,
           IF(OFFSET(PLE!$G$15,$M85-$A$15,CE$13)="",10^12,OFFSET(PLE!$G$15,$M85-$A$15,CE$13)))</f>
        <v>1000000000000</v>
      </c>
      <c r="CF85" s="172">
        <f ca="1">IF(OR($D85&lt;&gt;"Serviço",AND(AUTOEVENTO="Manual",$M85=$A$15),$M85&gt;(ROW(PLE.lastrow)-ROW(PLE.firstrow))),0,
           IF(OFFSET(PLE!$G$15,$M85-$A$15,CF$13)="",10^12,OFFSET(PLE!$G$15,$M85-$A$15,CF$13)))</f>
        <v>1000000000000</v>
      </c>
      <c r="CG85" s="172">
        <f ca="1">IF(OR($D85&lt;&gt;"Serviço",AND(AUTOEVENTO="Manual",$M85=$A$15),$M85&gt;(ROW(PLE.lastrow)-ROW(PLE.firstrow))),0,
           IF(OFFSET(PLE!$G$15,$M85-$A$15,CG$13)="",10^12,OFFSET(PLE!$G$15,$M85-$A$15,CG$13)))</f>
        <v>1000000000000</v>
      </c>
      <c r="CH85" s="172">
        <f ca="1">IF(OR($D85&lt;&gt;"Serviço",AND(AUTOEVENTO="Manual",$M85=$A$15),$M85&gt;(ROW(PLE.lastrow)-ROW(PLE.firstrow))),0,
           IF(OFFSET(PLE!$G$15,$M85-$A$15,CH$13)="",10^12,OFFSET(PLE!$G$15,$M85-$A$15,CH$13)))</f>
        <v>1000000000000</v>
      </c>
      <c r="CI85" s="172">
        <f ca="1">IF(OR($D85&lt;&gt;"Serviço",AND(AUTOEVENTO="Manual",$M85=$A$15),$M85&gt;(ROW(PLE.lastrow)-ROW(PLE.firstrow))),0,
           IF(OFFSET(PLE!$G$15,$M85-$A$15,CI$13)="",10^12,OFFSET(PLE!$G$15,$M85-$A$15,CI$13)))</f>
        <v>1000000000000</v>
      </c>
      <c r="CJ85" s="172">
        <f ca="1">IF(OR($D85&lt;&gt;"Serviço",AND(AUTOEVENTO="Manual",$M85=$A$15),$M85&gt;(ROW(PLE.lastrow)-ROW(PLE.firstrow))),0,
           IF(OFFSET(PLE!$G$15,$M85-$A$15,CJ$13)="",10^12,OFFSET(PLE!$G$15,$M85-$A$15,CJ$13)))</f>
        <v>1000000000000</v>
      </c>
      <c r="CK85" s="172">
        <f ca="1">IF(OR($D85&lt;&gt;"Serviço",AND(AUTOEVENTO="Manual",$M85=$A$15),$M85&gt;(ROW(PLE.lastrow)-ROW(PLE.firstrow))),0,
           IF(OFFSET(PLE!$G$15,$M85-$A$15,CK$13)="",10^12,OFFSET(PLE!$G$15,$M85-$A$15,CK$13)))</f>
        <v>1000000000000</v>
      </c>
      <c r="CL85" s="172">
        <f ca="1">IF(OR($D85&lt;&gt;"Serviço",AND(AUTOEVENTO="Manual",$M85=$A$15),$M85&gt;(ROW(PLE.lastrow)-ROW(PLE.firstrow))),0,
           IF(OFFSET(PLE!$G$15,$M85-$A$15,CL$13)="",10^12,OFFSET(PLE!$G$15,$M85-$A$15,CL$13)))</f>
        <v>1000000000000</v>
      </c>
      <c r="CM85" s="172">
        <f ca="1">IF(OR($D85&lt;&gt;"Serviço",AND(AUTOEVENTO="Manual",$M85=$A$15),$M85&gt;(ROW(PLE.lastrow)-ROW(PLE.firstrow))),0,
           IF(OFFSET(PLE!$G$15,$M85-$A$15,CM$13)="",10^12,OFFSET(PLE!$G$15,$M85-$A$15,CM$13)))</f>
        <v>1000000000000</v>
      </c>
    </row>
    <row r="86" spans="1:91" ht="12.75" x14ac:dyDescent="0.2">
      <c r="A86" s="7">
        <f t="shared" ca="1" si="11"/>
        <v>4</v>
      </c>
      <c r="B86" s="7" t="str">
        <f ca="1">OFFSET(ORÇAMENTO!C$15,ROW(B86)-ROW(B$15),0)</f>
        <v>S</v>
      </c>
      <c r="C86" s="7" t="str">
        <f ca="1">OFFSET(ORÇAMENTO!L$15,ROW(C86)-ROW(C$15),0)</f>
        <v>F</v>
      </c>
      <c r="D86" s="116" t="str">
        <f ca="1">OFFSET(ORÇAMENTO!N$15,ROW(D86)-ROW(D$15),0)</f>
        <v>Serviço</v>
      </c>
      <c r="E86" s="117" t="str">
        <f ca="1">OFFSET(ORÇAMENTO!O$15,ROW(E86)-ROW(E$15),0)</f>
        <v>1.5.1.2.14.</v>
      </c>
      <c r="F86" s="163" t="str">
        <f ca="1">OFFSET(ORÇAMENTO!R$15,ROW(F86)-ROW(F$15),0)</f>
        <v>ENSAIO DE RESISTENCIA A COMPRESSAO SIMPLES - CONCRETO</v>
      </c>
      <c r="G86" s="164" t="str">
        <f ca="1">IF($D86&lt;&gt;"Serviço","",OFFSET(ORÇAMENTO!S$15,ROW(G86)-ROW(G$15),0))</f>
        <v>UN</v>
      </c>
      <c r="H86" s="122" cm="1">
        <f t="array" aca="1" ref="H86" ca="1">IF($D86&lt;&gt;"Serviço",0,IF(ACOMPANHAMENTO="BM",ROUND(OFFSET(ORÇAMENTO!AJ$15,ROW(H86)-ROW(H$15),0),15-13*ORÇAMENTO!$AF$7),SUMPRODUCT(($Q$1:$AI$1=1)*ROUND($Q86:$AI86,15-13*ORÇAMENTO!$AF$7))))</f>
        <v>1</v>
      </c>
      <c r="I86" s="468" t="s">
        <v>1291</v>
      </c>
      <c r="J86" s="640" t="str" cm="1">
        <f t="array" aca="1" ref="J86" ca="1">IF(OR(B86&lt;&gt;"S",CÁLCULO.FrentesPreenchidas=0),"",IF(AND(ACOMPANHAMENTO="PLE",AUTOEVENTO="Manual",OR(H86&gt;0,ORÇAMENTO!AC86="QUANT."),OR(K86="",M86=0,N86="")),"►E",IF(AND(ACOMPANHAMENTO="PLE",ORÇAMENTO!AC86="QUANT."),"►Q",IF(AND(ACOMPANHAMENTO="PLE",H86&lt;&gt;SUMPRODUCT(($Q$1:$AI$1=1)*ROUND(Q86:AI86,15))),"►S",IF(AND(COUNTIF($P$11:$AI$11,"▼")=0,H86&gt;0,I86=""),"◄M","")))))</f>
        <v/>
      </c>
      <c r="K86" s="641" t="s">
        <v>1389</v>
      </c>
      <c r="L86" s="165" t="s">
        <v>764</v>
      </c>
      <c r="M86" s="166">
        <f ca="1">IF($D86&lt;&gt;"Serviço","",
          IF(AUTOEVENTO="manual",$A86,
                IF(ISERROR(MATCH($A86,$A$15:OFFSET($A86,-1,0),0)),MAX($M$15:OFFSET(M86,-1,0))+1,
                      INDEX($M$15:OFFSET(M86,-1,0),MATCH($A86,$A$15:OFFSET($A86,-1,0),0)))))</f>
        <v>4</v>
      </c>
      <c r="N86" s="167" t="str">
        <f ca="1">IF($D86&lt;&gt;"Serviço","",
         IF(AUTOEVENTO="Manual",
                IF($A86=0,"&lt;-- defina o número do agrupador",
                       OFFSET(EVENTOS!$D$15,$A86-$A$15,0)),
                OFFSET($F$15,$A86,0)))</f>
        <v>Estruturas de Concreto</v>
      </c>
      <c r="O86" s="168"/>
      <c r="Q86" s="168"/>
      <c r="R86" s="169">
        <f>ROUND(R77/8*4,0)</f>
        <v>1</v>
      </c>
      <c r="S86" s="169"/>
      <c r="T86" s="169"/>
      <c r="U86" s="169"/>
      <c r="V86" s="169"/>
      <c r="W86" s="169"/>
      <c r="X86" s="169"/>
      <c r="Y86" s="169"/>
      <c r="Z86" s="170"/>
      <c r="AA86" s="169"/>
      <c r="AB86" s="169"/>
      <c r="AC86" s="169"/>
      <c r="AD86" s="169"/>
      <c r="AE86" s="169"/>
      <c r="AF86" s="169"/>
      <c r="AG86" s="169"/>
      <c r="AH86" s="170"/>
      <c r="AJ86" s="453">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3">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L86" s="453">
        <f ca="1">IF(AND($D86="Serviço",AL$12&lt;&gt;0,$H86&gt;0,OR(AUTOEVENTO&lt;&gt;"manual",$M86&lt;&gt;$A$15)),
        IF(Import.TipoArredondamento&lt;&gt;"TransfereGOV",
              ROUND(OFFSET($P86,0,AL$13),15-13*ORÇAMENTO!$AF$7)/$H86*OFFSET(ORÇAMENTO!$X$15,ROW(AL86)-ROW(AL$15),0),
              ROUND(ROUND(OFFSET($P86,0,AL$13),15-13*ORÇAMENTO!$AF$7)*OFFSET(ORÇAMENTO!$W$15,ROW(AL86)-ROW(AL$15),0),15-13*ORÇAMENTO!$AF$11)),
         0)</f>
        <v>0</v>
      </c>
      <c r="AM86" s="453">
        <f ca="1">IF(AND($D86="Serviço",AM$12&lt;&gt;0,$H86&gt;0,OR(AUTOEVENTO&lt;&gt;"manual",$M86&lt;&gt;$A$15)),
        IF(Import.TipoArredondamento&lt;&gt;"TransfereGOV",
              ROUND(OFFSET($P86,0,AM$13),15-13*ORÇAMENTO!$AF$7)/$H86*OFFSET(ORÇAMENTO!$X$15,ROW(AM86)-ROW(AM$15),0),
              ROUND(ROUND(OFFSET($P86,0,AM$13),15-13*ORÇAMENTO!$AF$7)*OFFSET(ORÇAMENTO!$W$15,ROW(AM86)-ROW(AM$15),0),15-13*ORÇAMENTO!$AF$11)),
         0)</f>
        <v>0</v>
      </c>
      <c r="AN86" s="453">
        <f ca="1">IF(AND($D86="Serviço",AN$12&lt;&gt;0,$H86&gt;0,OR(AUTOEVENTO&lt;&gt;"manual",$M86&lt;&gt;$A$15)),
        IF(Import.TipoArredondamento&lt;&gt;"TransfereGOV",
              ROUND(OFFSET($P86,0,AN$13),15-13*ORÇAMENTO!$AF$7)/$H86*OFFSET(ORÇAMENTO!$X$15,ROW(AN86)-ROW(AN$15),0),
              ROUND(ROUND(OFFSET($P86,0,AN$13),15-13*ORÇAMENTO!$AF$7)*OFFSET(ORÇAMENTO!$W$15,ROW(AN86)-ROW(AN$15),0),15-13*ORÇAMENTO!$AF$11)),
         0)</f>
        <v>0</v>
      </c>
      <c r="AO86" s="453">
        <f ca="1">IF(AND($D86="Serviço",AO$12&lt;&gt;0,$H86&gt;0,OR(AUTOEVENTO&lt;&gt;"manual",$M86&lt;&gt;$A$15)),
        IF(Import.TipoArredondamento&lt;&gt;"TransfereGOV",
              ROUND(OFFSET($P86,0,AO$13),15-13*ORÇAMENTO!$AF$7)/$H86*OFFSET(ORÇAMENTO!$X$15,ROW(AO86)-ROW(AO$15),0),
              ROUND(ROUND(OFFSET($P86,0,AO$13),15-13*ORÇAMENTO!$AF$7)*OFFSET(ORÇAMENTO!$W$15,ROW(AO86)-ROW(AO$15),0),15-13*ORÇAMENTO!$AF$11)),
         0)</f>
        <v>0</v>
      </c>
      <c r="AP86" s="453">
        <f ca="1">IF(AND($D86="Serviço",AP$12&lt;&gt;0,$H86&gt;0,OR(AUTOEVENTO&lt;&gt;"manual",$M86&lt;&gt;$A$15)),
        IF(Import.TipoArredondamento&lt;&gt;"TransfereGOV",
              ROUND(OFFSET($P86,0,AP$13),15-13*ORÇAMENTO!$AF$7)/$H86*OFFSET(ORÇAMENTO!$X$15,ROW(AP86)-ROW(AP$15),0),
              ROUND(ROUND(OFFSET($P86,0,AP$13),15-13*ORÇAMENTO!$AF$7)*OFFSET(ORÇAMENTO!$W$15,ROW(AP86)-ROW(AP$15),0),15-13*ORÇAMENTO!$AF$11)),
         0)</f>
        <v>0</v>
      </c>
      <c r="AQ86" s="453">
        <f ca="1">IF(AND($D86="Serviço",AQ$12&lt;&gt;0,$H86&gt;0,OR(AUTOEVENTO&lt;&gt;"manual",$M86&lt;&gt;$A$15)),
        IF(Import.TipoArredondamento&lt;&gt;"TransfereGOV",
              ROUND(OFFSET($P86,0,AQ$13),15-13*ORÇAMENTO!$AF$7)/$H86*OFFSET(ORÇAMENTO!$X$15,ROW(AQ86)-ROW(AQ$15),0),
              ROUND(ROUND(OFFSET($P86,0,AQ$13),15-13*ORÇAMENTO!$AF$7)*OFFSET(ORÇAMENTO!$W$15,ROW(AQ86)-ROW(AQ$15),0),15-13*ORÇAMENTO!$AF$11)),
         0)</f>
        <v>0</v>
      </c>
      <c r="AR86" s="453">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3">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3">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3">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3">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3">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3">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3">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3">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3">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C86" s="171">
        <f ca="1">IF(OR($D86&lt;&gt;"Serviço",AND(AUTOEVENTO="Manual",$M86=$A$15)),0,
         IF(OFFSET(CRONOPLE!$F$15,$M86-$A$15,BC$13)=0,10^12,OFFSET(CRONOPLE!$F$15,$M86-$A$15,BC$13)))</f>
        <v>1</v>
      </c>
      <c r="BD86" s="171">
        <f ca="1">IF(OR($D86&lt;&gt;"Serviço",AND(AUTOEVENTO="Manual",$M86=$A$15)),0,
         IF(OFFSET(CRONOPLE!$F$15,$M86-$A$15,BD$13)=0,10^12,OFFSET(CRONOPLE!$F$15,$M86-$A$15,BD$13)))</f>
        <v>2</v>
      </c>
      <c r="BE86" s="171">
        <f ca="1">IF(OR($D86&lt;&gt;"Serviço",AND(AUTOEVENTO="Manual",$M86=$A$15)),0,
         IF(OFFSET(CRONOPLE!$F$15,$M86-$A$15,BE$13)=0,10^12,OFFSET(CRONOPLE!$F$15,$M86-$A$15,BE$13)))</f>
        <v>3</v>
      </c>
      <c r="BF86" s="171">
        <f ca="1">IF(OR($D86&lt;&gt;"Serviço",AND(AUTOEVENTO="Manual",$M86=$A$15)),0,
         IF(OFFSET(CRONOPLE!$F$15,$M86-$A$15,BF$13)=0,10^12,OFFSET(CRONOPLE!$F$15,$M86-$A$15,BF$13)))</f>
        <v>4</v>
      </c>
      <c r="BG86" s="171">
        <f ca="1">IF(OR($D86&lt;&gt;"Serviço",AND(AUTOEVENTO="Manual",$M86=$A$15)),0,
         IF(OFFSET(CRONOPLE!$F$15,$M86-$A$15,BG$13)=0,10^12,OFFSET(CRONOPLE!$F$15,$M86-$A$15,BG$13)))</f>
        <v>5</v>
      </c>
      <c r="BH86" s="171">
        <f ca="1">IF(OR($D86&lt;&gt;"Serviço",AND(AUTOEVENTO="Manual",$M86=$A$15)),0,
         IF(OFFSET(CRONOPLE!$F$15,$M86-$A$15,BH$13)=0,10^12,OFFSET(CRONOPLE!$F$15,$M86-$A$15,BH$13)))</f>
        <v>6</v>
      </c>
      <c r="BI86" s="171">
        <f ca="1">IF(OR($D86&lt;&gt;"Serviço",AND(AUTOEVENTO="Manual",$M86=$A$15)),0,
         IF(OFFSET(CRONOPLE!$F$15,$M86-$A$15,BI$13)=0,10^12,OFFSET(CRONOPLE!$F$15,$M86-$A$15,BI$13)))</f>
        <v>7</v>
      </c>
      <c r="BJ86" s="171">
        <f ca="1">IF(OR($D86&lt;&gt;"Serviço",AND(AUTOEVENTO="Manual",$M86=$A$15)),0,
         IF(OFFSET(CRONOPLE!$F$15,$M86-$A$15,BJ$13)=0,10^12,OFFSET(CRONOPLE!$F$15,$M86-$A$15,BJ$13)))</f>
        <v>8</v>
      </c>
      <c r="BK86" s="171">
        <f ca="1">IF(OR($D86&lt;&gt;"Serviço",AND(AUTOEVENTO="Manual",$M86=$A$15)),0,
         IF(OFFSET(CRONOPLE!$F$15,$M86-$A$15,BK$13)=0,10^12,OFFSET(CRONOPLE!$F$15,$M86-$A$15,BK$13)))</f>
        <v>9</v>
      </c>
      <c r="BL86" s="171">
        <f ca="1">IF(OR($D86&lt;&gt;"Serviço",AND(AUTOEVENTO="Manual",$M86=$A$15)),0,
         IF(OFFSET(CRONOPLE!$F$15,$M86-$A$15,BL$13)=0,10^12,OFFSET(CRONOPLE!$F$15,$M86-$A$15,BL$13)))</f>
        <v>10</v>
      </c>
      <c r="BM86" s="171">
        <f ca="1">IF(OR($D86&lt;&gt;"Serviço",AND(AUTOEVENTO="Manual",$M86=$A$15)),0,
         IF(OFFSET(CRONOPLE!$F$15,$M86-$A$15,BM$13)=0,10^12,OFFSET(CRONOPLE!$F$15,$M86-$A$15,BM$13)))</f>
        <v>1000000000000</v>
      </c>
      <c r="BN86" s="171">
        <f ca="1">IF(OR($D86&lt;&gt;"Serviço",AND(AUTOEVENTO="Manual",$M86=$A$15)),0,
         IF(OFFSET(CRONOPLE!$F$15,$M86-$A$15,BN$13)=0,10^12,OFFSET(CRONOPLE!$F$15,$M86-$A$15,BN$13)))</f>
        <v>1000000000000</v>
      </c>
      <c r="BO86" s="171">
        <f ca="1">IF(OR($D86&lt;&gt;"Serviço",AND(AUTOEVENTO="Manual",$M86=$A$15)),0,
         IF(OFFSET(CRONOPLE!$F$15,$M86-$A$15,BO$13)=0,10^12,OFFSET(CRONOPLE!$F$15,$M86-$A$15,BO$13)))</f>
        <v>1000000000000</v>
      </c>
      <c r="BP86" s="171">
        <f ca="1">IF(OR($D86&lt;&gt;"Serviço",AND(AUTOEVENTO="Manual",$M86=$A$15)),0,
         IF(OFFSET(CRONOPLE!$F$15,$M86-$A$15,BP$13)=0,10^12,OFFSET(CRONOPLE!$F$15,$M86-$A$15,BP$13)))</f>
        <v>1000000000000</v>
      </c>
      <c r="BQ86" s="171">
        <f ca="1">IF(OR($D86&lt;&gt;"Serviço",AND(AUTOEVENTO="Manual",$M86=$A$15)),0,
         IF(OFFSET(CRONOPLE!$F$15,$M86-$A$15,BQ$13)=0,10^12,OFFSET(CRONOPLE!$F$15,$M86-$A$15,BQ$13)))</f>
        <v>1000000000000</v>
      </c>
      <c r="BR86" s="171">
        <f ca="1">IF(OR($D86&lt;&gt;"Serviço",AND(AUTOEVENTO="Manual",$M86=$A$15)),0,
         IF(OFFSET(CRONOPLE!$F$15,$M86-$A$15,BR$13)=0,10^12,OFFSET(CRONOPLE!$F$15,$M86-$A$15,BR$13)))</f>
        <v>1000000000000</v>
      </c>
      <c r="BS86" s="171">
        <f ca="1">IF(OR($D86&lt;&gt;"Serviço",AND(AUTOEVENTO="Manual",$M86=$A$15)),0,
         IF(OFFSET(CRONOPLE!$F$15,$M86-$A$15,BS$13)=0,10^12,OFFSET(CRONOPLE!$F$15,$M86-$A$15,BS$13)))</f>
        <v>1000000000000</v>
      </c>
      <c r="BT86" s="171">
        <f ca="1">IF(OR($D86&lt;&gt;"Serviço",AND(AUTOEVENTO="Manual",$M86=$A$15)),0,
         IF(OFFSET(CRONOPLE!$F$15,$M86-$A$15,BT$13)=0,10^12,OFFSET(CRONOPLE!$F$15,$M86-$A$15,BT$13)))</f>
        <v>1000000000000</v>
      </c>
      <c r="BV86" s="172">
        <f ca="1">IF(OR($D86&lt;&gt;"Serviço",AND(AUTOEVENTO="Manual",$M86=$A$15),$M86&gt;(ROW(PLE.lastrow)-ROW(PLE.firstrow))),0,
           IF(OFFSET(PLE!$G$15,$M86-$A$15,BV$13)="",10^12,OFFSET(PLE!$G$15,$M86-$A$15,BV$13)))</f>
        <v>1000000000000</v>
      </c>
      <c r="BW86" s="172">
        <f ca="1">IF(OR($D86&lt;&gt;"Serviço",AND(AUTOEVENTO="Manual",$M86=$A$15),$M86&gt;(ROW(PLE.lastrow)-ROW(PLE.firstrow))),0,
           IF(OFFSET(PLE!$G$15,$M86-$A$15,BW$13)="",10^12,OFFSET(PLE!$G$15,$M86-$A$15,BW$13)))</f>
        <v>1000000000000</v>
      </c>
      <c r="BX86" s="172">
        <f ca="1">IF(OR($D86&lt;&gt;"Serviço",AND(AUTOEVENTO="Manual",$M86=$A$15),$M86&gt;(ROW(PLE.lastrow)-ROW(PLE.firstrow))),0,
           IF(OFFSET(PLE!$G$15,$M86-$A$15,BX$13)="",10^12,OFFSET(PLE!$G$15,$M86-$A$15,BX$13)))</f>
        <v>1000000000000</v>
      </c>
      <c r="BY86" s="172">
        <f ca="1">IF(OR($D86&lt;&gt;"Serviço",AND(AUTOEVENTO="Manual",$M86=$A$15),$M86&gt;(ROW(PLE.lastrow)-ROW(PLE.firstrow))),0,
           IF(OFFSET(PLE!$G$15,$M86-$A$15,BY$13)="",10^12,OFFSET(PLE!$G$15,$M86-$A$15,BY$13)))</f>
        <v>1000000000000</v>
      </c>
      <c r="BZ86" s="172">
        <f ca="1">IF(OR($D86&lt;&gt;"Serviço",AND(AUTOEVENTO="Manual",$M86=$A$15),$M86&gt;(ROW(PLE.lastrow)-ROW(PLE.firstrow))),0,
           IF(OFFSET(PLE!$G$15,$M86-$A$15,BZ$13)="",10^12,OFFSET(PLE!$G$15,$M86-$A$15,BZ$13)))</f>
        <v>1000000000000</v>
      </c>
      <c r="CA86" s="172">
        <f ca="1">IF(OR($D86&lt;&gt;"Serviço",AND(AUTOEVENTO="Manual",$M86=$A$15),$M86&gt;(ROW(PLE.lastrow)-ROW(PLE.firstrow))),0,
           IF(OFFSET(PLE!$G$15,$M86-$A$15,CA$13)="",10^12,OFFSET(PLE!$G$15,$M86-$A$15,CA$13)))</f>
        <v>1000000000000</v>
      </c>
      <c r="CB86" s="172">
        <f ca="1">IF(OR($D86&lt;&gt;"Serviço",AND(AUTOEVENTO="Manual",$M86=$A$15),$M86&gt;(ROW(PLE.lastrow)-ROW(PLE.firstrow))),0,
           IF(OFFSET(PLE!$G$15,$M86-$A$15,CB$13)="",10^12,OFFSET(PLE!$G$15,$M86-$A$15,CB$13)))</f>
        <v>1000000000000</v>
      </c>
      <c r="CC86" s="172">
        <f ca="1">IF(OR($D86&lt;&gt;"Serviço",AND(AUTOEVENTO="Manual",$M86=$A$15),$M86&gt;(ROW(PLE.lastrow)-ROW(PLE.firstrow))),0,
           IF(OFFSET(PLE!$G$15,$M86-$A$15,CC$13)="",10^12,OFFSET(PLE!$G$15,$M86-$A$15,CC$13)))</f>
        <v>1000000000000</v>
      </c>
      <c r="CD86" s="172">
        <f ca="1">IF(OR($D86&lt;&gt;"Serviço",AND(AUTOEVENTO="Manual",$M86=$A$15),$M86&gt;(ROW(PLE.lastrow)-ROW(PLE.firstrow))),0,
           IF(OFFSET(PLE!$G$15,$M86-$A$15,CD$13)="",10^12,OFFSET(PLE!$G$15,$M86-$A$15,CD$13)))</f>
        <v>1000000000000</v>
      </c>
      <c r="CE86" s="172">
        <f ca="1">IF(OR($D86&lt;&gt;"Serviço",AND(AUTOEVENTO="Manual",$M86=$A$15),$M86&gt;(ROW(PLE.lastrow)-ROW(PLE.firstrow))),0,
           IF(OFFSET(PLE!$G$15,$M86-$A$15,CE$13)="",10^12,OFFSET(PLE!$G$15,$M86-$A$15,CE$13)))</f>
        <v>1000000000000</v>
      </c>
      <c r="CF86" s="172">
        <f ca="1">IF(OR($D86&lt;&gt;"Serviço",AND(AUTOEVENTO="Manual",$M86=$A$15),$M86&gt;(ROW(PLE.lastrow)-ROW(PLE.firstrow))),0,
           IF(OFFSET(PLE!$G$15,$M86-$A$15,CF$13)="",10^12,OFFSET(PLE!$G$15,$M86-$A$15,CF$13)))</f>
        <v>1000000000000</v>
      </c>
      <c r="CG86" s="172">
        <f ca="1">IF(OR($D86&lt;&gt;"Serviço",AND(AUTOEVENTO="Manual",$M86=$A$15),$M86&gt;(ROW(PLE.lastrow)-ROW(PLE.firstrow))),0,
           IF(OFFSET(PLE!$G$15,$M86-$A$15,CG$13)="",10^12,OFFSET(PLE!$G$15,$M86-$A$15,CG$13)))</f>
        <v>1000000000000</v>
      </c>
      <c r="CH86" s="172">
        <f ca="1">IF(OR($D86&lt;&gt;"Serviço",AND(AUTOEVENTO="Manual",$M86=$A$15),$M86&gt;(ROW(PLE.lastrow)-ROW(PLE.firstrow))),0,
           IF(OFFSET(PLE!$G$15,$M86-$A$15,CH$13)="",10^12,OFFSET(PLE!$G$15,$M86-$A$15,CH$13)))</f>
        <v>1000000000000</v>
      </c>
      <c r="CI86" s="172">
        <f ca="1">IF(OR($D86&lt;&gt;"Serviço",AND(AUTOEVENTO="Manual",$M86=$A$15),$M86&gt;(ROW(PLE.lastrow)-ROW(PLE.firstrow))),0,
           IF(OFFSET(PLE!$G$15,$M86-$A$15,CI$13)="",10^12,OFFSET(PLE!$G$15,$M86-$A$15,CI$13)))</f>
        <v>1000000000000</v>
      </c>
      <c r="CJ86" s="172">
        <f ca="1">IF(OR($D86&lt;&gt;"Serviço",AND(AUTOEVENTO="Manual",$M86=$A$15),$M86&gt;(ROW(PLE.lastrow)-ROW(PLE.firstrow))),0,
           IF(OFFSET(PLE!$G$15,$M86-$A$15,CJ$13)="",10^12,OFFSET(PLE!$G$15,$M86-$A$15,CJ$13)))</f>
        <v>1000000000000</v>
      </c>
      <c r="CK86" s="172">
        <f ca="1">IF(OR($D86&lt;&gt;"Serviço",AND(AUTOEVENTO="Manual",$M86=$A$15),$M86&gt;(ROW(PLE.lastrow)-ROW(PLE.firstrow))),0,
           IF(OFFSET(PLE!$G$15,$M86-$A$15,CK$13)="",10^12,OFFSET(PLE!$G$15,$M86-$A$15,CK$13)))</f>
        <v>1000000000000</v>
      </c>
      <c r="CL86" s="172">
        <f ca="1">IF(OR($D86&lt;&gt;"Serviço",AND(AUTOEVENTO="Manual",$M86=$A$15),$M86&gt;(ROW(PLE.lastrow)-ROW(PLE.firstrow))),0,
           IF(OFFSET(PLE!$G$15,$M86-$A$15,CL$13)="",10^12,OFFSET(PLE!$G$15,$M86-$A$15,CL$13)))</f>
        <v>1000000000000</v>
      </c>
      <c r="CM86" s="172">
        <f ca="1">IF(OR($D86&lt;&gt;"Serviço",AND(AUTOEVENTO="Manual",$M86=$A$15),$M86&gt;(ROW(PLE.lastrow)-ROW(PLE.firstrow))),0,
           IF(OFFSET(PLE!$G$15,$M86-$A$15,CM$13)="",10^12,OFFSET(PLE!$G$15,$M86-$A$15,CM$13)))</f>
        <v>1000000000000</v>
      </c>
    </row>
    <row r="87" spans="1:91" ht="12.75" x14ac:dyDescent="0.2">
      <c r="A87" s="7">
        <f t="shared" ca="1" si="11"/>
        <v>5</v>
      </c>
      <c r="B87" s="7">
        <f ca="1">OFFSET(ORÇAMENTO!C$15,ROW(B87)-ROW(B$15),0)</f>
        <v>4</v>
      </c>
      <c r="C87" s="7" t="str">
        <f ca="1">OFFSET(ORÇAMENTO!L$15,ROW(C87)-ROW(C$15),0)</f>
        <v>F</v>
      </c>
      <c r="D87" s="116" t="str">
        <f ca="1">OFFSET(ORÇAMENTO!N$15,ROW(D87)-ROW(D$15),0)</f>
        <v>Nível 4</v>
      </c>
      <c r="E87" s="117" t="str">
        <f ca="1">OFFSET(ORÇAMENTO!O$15,ROW(E87)-ROW(E$15),0)</f>
        <v>1.5.1.3.</v>
      </c>
      <c r="F87" s="163" t="str">
        <f ca="1">OFFSET(ORÇAMENTO!R$15,ROW(F87)-ROW(F$15),0)</f>
        <v>PAREDES E LAJES</v>
      </c>
      <c r="G87" s="164" t="str">
        <f ca="1">IF($D87&lt;&gt;"Serviço","",OFFSET(ORÇAMENTO!S$15,ROW(G87)-ROW(G$15),0))</f>
        <v/>
      </c>
      <c r="H87" s="122" cm="1">
        <f t="array" aca="1" ref="H87" ca="1">IF($D87&lt;&gt;"Serviço",0,IF(ACOMPANHAMENTO="BM",ROUND(OFFSET(ORÇAMENTO!AJ$15,ROW(H87)-ROW(H$15),0),15-13*ORÇAMENTO!$AF$7),SUMPRODUCT(($Q$1:$AI$1=1)*ROUND($Q87:$AI87,15-13*ORÇAMENTO!$AF$7))))</f>
        <v>0</v>
      </c>
      <c r="I87" s="468"/>
      <c r="J87" s="640" t="str" cm="1">
        <f t="array" aca="1" ref="J87" ca="1">IF(OR(B87&lt;&gt;"S",CÁLCULO.FrentesPreenchidas=0),"",IF(AND(ACOMPANHAMENTO="PLE",AUTOEVENTO="Manual",OR(H87&gt;0,ORÇAMENTO!AC87="QUANT."),OR(K87="",M87=0,N87="")),"►E",IF(AND(ACOMPANHAMENTO="PLE",ORÇAMENTO!AC87="QUANT."),"►Q",IF(AND(ACOMPANHAMENTO="PLE",H87&lt;&gt;SUMPRODUCT(($Q$1:$AI$1=1)*ROUND(Q87:AI87,15))),"►S",IF(AND(COUNTIF($P$11:$AI$11,"▼")=0,H87&gt;0,I87=""),"◄M","")))))</f>
        <v/>
      </c>
      <c r="K87" s="641" t="s">
        <v>1364</v>
      </c>
      <c r="L87" s="165" t="s">
        <v>764</v>
      </c>
      <c r="M87" s="166" t="str">
        <f ca="1">IF($D87&lt;&gt;"Serviço","",
          IF(AUTOEVENTO="manual",$A87,
                IF(ISERROR(MATCH($A87,$A$15:OFFSET($A87,-1,0),0)),MAX($M$15:OFFSET(M87,-1,0))+1,
                      INDEX($M$15:OFFSET(M87,-1,0),MATCH($A87,$A$15:OFFSET($A87,-1,0),0)))))</f>
        <v/>
      </c>
      <c r="N87" s="167" t="str">
        <f ca="1">IF($D87&lt;&gt;"Serviço","",
         IF(AUTOEVENTO="Manual",
                IF($A87=0,"&lt;-- defina o número do agrupador",
                       OFFSET(EVENTOS!$D$15,$A87-$A$15,0)),
                OFFSET($F$15,$A87,0)))</f>
        <v/>
      </c>
      <c r="O87" s="168"/>
      <c r="Q87" s="168"/>
      <c r="R87" s="169"/>
      <c r="S87" s="169"/>
      <c r="T87" s="169"/>
      <c r="U87" s="169"/>
      <c r="V87" s="169"/>
      <c r="W87" s="169"/>
      <c r="X87" s="169"/>
      <c r="Y87" s="169"/>
      <c r="Z87" s="170"/>
      <c r="AA87" s="169"/>
      <c r="AB87" s="169"/>
      <c r="AC87" s="169"/>
      <c r="AD87" s="169"/>
      <c r="AE87" s="169"/>
      <c r="AF87" s="169"/>
      <c r="AG87" s="169"/>
      <c r="AH87" s="170"/>
      <c r="AJ87" s="453">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0</v>
      </c>
      <c r="AK87" s="453">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0</v>
      </c>
      <c r="AL87" s="453">
        <f ca="1">IF(AND($D87="Serviço",AL$12&lt;&gt;0,$H87&gt;0,OR(AUTOEVENTO&lt;&gt;"manual",$M87&lt;&gt;$A$15)),
        IF(Import.TipoArredondamento&lt;&gt;"TransfereGOV",
              ROUND(OFFSET($P87,0,AL$13),15-13*ORÇAMENTO!$AF$7)/$H87*OFFSET(ORÇAMENTO!$X$15,ROW(AL87)-ROW(AL$15),0),
              ROUND(ROUND(OFFSET($P87,0,AL$13),15-13*ORÇAMENTO!$AF$7)*OFFSET(ORÇAMENTO!$W$15,ROW(AL87)-ROW(AL$15),0),15-13*ORÇAMENTO!$AF$11)),
         0)</f>
        <v>0</v>
      </c>
      <c r="AM87" s="453">
        <f ca="1">IF(AND($D87="Serviço",AM$12&lt;&gt;0,$H87&gt;0,OR(AUTOEVENTO&lt;&gt;"manual",$M87&lt;&gt;$A$15)),
        IF(Import.TipoArredondamento&lt;&gt;"TransfereGOV",
              ROUND(OFFSET($P87,0,AM$13),15-13*ORÇAMENTO!$AF$7)/$H87*OFFSET(ORÇAMENTO!$X$15,ROW(AM87)-ROW(AM$15),0),
              ROUND(ROUND(OFFSET($P87,0,AM$13),15-13*ORÇAMENTO!$AF$7)*OFFSET(ORÇAMENTO!$W$15,ROW(AM87)-ROW(AM$15),0),15-13*ORÇAMENTO!$AF$11)),
         0)</f>
        <v>0</v>
      </c>
      <c r="AN87" s="453">
        <f ca="1">IF(AND($D87="Serviço",AN$12&lt;&gt;0,$H87&gt;0,OR(AUTOEVENTO&lt;&gt;"manual",$M87&lt;&gt;$A$15)),
        IF(Import.TipoArredondamento&lt;&gt;"TransfereGOV",
              ROUND(OFFSET($P87,0,AN$13),15-13*ORÇAMENTO!$AF$7)/$H87*OFFSET(ORÇAMENTO!$X$15,ROW(AN87)-ROW(AN$15),0),
              ROUND(ROUND(OFFSET($P87,0,AN$13),15-13*ORÇAMENTO!$AF$7)*OFFSET(ORÇAMENTO!$W$15,ROW(AN87)-ROW(AN$15),0),15-13*ORÇAMENTO!$AF$11)),
         0)</f>
        <v>0</v>
      </c>
      <c r="AO87" s="453">
        <f ca="1">IF(AND($D87="Serviço",AO$12&lt;&gt;0,$H87&gt;0,OR(AUTOEVENTO&lt;&gt;"manual",$M87&lt;&gt;$A$15)),
        IF(Import.TipoArredondamento&lt;&gt;"TransfereGOV",
              ROUND(OFFSET($P87,0,AO$13),15-13*ORÇAMENTO!$AF$7)/$H87*OFFSET(ORÇAMENTO!$X$15,ROW(AO87)-ROW(AO$15),0),
              ROUND(ROUND(OFFSET($P87,0,AO$13),15-13*ORÇAMENTO!$AF$7)*OFFSET(ORÇAMENTO!$W$15,ROW(AO87)-ROW(AO$15),0),15-13*ORÇAMENTO!$AF$11)),
         0)</f>
        <v>0</v>
      </c>
      <c r="AP87" s="453">
        <f ca="1">IF(AND($D87="Serviço",AP$12&lt;&gt;0,$H87&gt;0,OR(AUTOEVENTO&lt;&gt;"manual",$M87&lt;&gt;$A$15)),
        IF(Import.TipoArredondamento&lt;&gt;"TransfereGOV",
              ROUND(OFFSET($P87,0,AP$13),15-13*ORÇAMENTO!$AF$7)/$H87*OFFSET(ORÇAMENTO!$X$15,ROW(AP87)-ROW(AP$15),0),
              ROUND(ROUND(OFFSET($P87,0,AP$13),15-13*ORÇAMENTO!$AF$7)*OFFSET(ORÇAMENTO!$W$15,ROW(AP87)-ROW(AP$15),0),15-13*ORÇAMENTO!$AF$11)),
         0)</f>
        <v>0</v>
      </c>
      <c r="AQ87" s="453">
        <f ca="1">IF(AND($D87="Serviço",AQ$12&lt;&gt;0,$H87&gt;0,OR(AUTOEVENTO&lt;&gt;"manual",$M87&lt;&gt;$A$15)),
        IF(Import.TipoArredondamento&lt;&gt;"TransfereGOV",
              ROUND(OFFSET($P87,0,AQ$13),15-13*ORÇAMENTO!$AF$7)/$H87*OFFSET(ORÇAMENTO!$X$15,ROW(AQ87)-ROW(AQ$15),0),
              ROUND(ROUND(OFFSET($P87,0,AQ$13),15-13*ORÇAMENTO!$AF$7)*OFFSET(ORÇAMENTO!$W$15,ROW(AQ87)-ROW(AQ$15),0),15-13*ORÇAMENTO!$AF$11)),
         0)</f>
        <v>0</v>
      </c>
      <c r="AR87" s="453">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3">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3">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3">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3">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3">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3">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3">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3">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3">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C87" s="171">
        <f ca="1">IF(OR($D87&lt;&gt;"Serviço",AND(AUTOEVENTO="Manual",$M87=$A$15)),0,
         IF(OFFSET(CRONOPLE!$F$15,$M87-$A$15,BC$13)=0,10^12,OFFSET(CRONOPLE!$F$15,$M87-$A$15,BC$13)))</f>
        <v>0</v>
      </c>
      <c r="BD87" s="171">
        <f ca="1">IF(OR($D87&lt;&gt;"Serviço",AND(AUTOEVENTO="Manual",$M87=$A$15)),0,
         IF(OFFSET(CRONOPLE!$F$15,$M87-$A$15,BD$13)=0,10^12,OFFSET(CRONOPLE!$F$15,$M87-$A$15,BD$13)))</f>
        <v>0</v>
      </c>
      <c r="BE87" s="171">
        <f ca="1">IF(OR($D87&lt;&gt;"Serviço",AND(AUTOEVENTO="Manual",$M87=$A$15)),0,
         IF(OFFSET(CRONOPLE!$F$15,$M87-$A$15,BE$13)=0,10^12,OFFSET(CRONOPLE!$F$15,$M87-$A$15,BE$13)))</f>
        <v>0</v>
      </c>
      <c r="BF87" s="171">
        <f ca="1">IF(OR($D87&lt;&gt;"Serviço",AND(AUTOEVENTO="Manual",$M87=$A$15)),0,
         IF(OFFSET(CRONOPLE!$F$15,$M87-$A$15,BF$13)=0,10^12,OFFSET(CRONOPLE!$F$15,$M87-$A$15,BF$13)))</f>
        <v>0</v>
      </c>
      <c r="BG87" s="171">
        <f ca="1">IF(OR($D87&lt;&gt;"Serviço",AND(AUTOEVENTO="Manual",$M87=$A$15)),0,
         IF(OFFSET(CRONOPLE!$F$15,$M87-$A$15,BG$13)=0,10^12,OFFSET(CRONOPLE!$F$15,$M87-$A$15,BG$13)))</f>
        <v>0</v>
      </c>
      <c r="BH87" s="171">
        <f ca="1">IF(OR($D87&lt;&gt;"Serviço",AND(AUTOEVENTO="Manual",$M87=$A$15)),0,
         IF(OFFSET(CRONOPLE!$F$15,$M87-$A$15,BH$13)=0,10^12,OFFSET(CRONOPLE!$F$15,$M87-$A$15,BH$13)))</f>
        <v>0</v>
      </c>
      <c r="BI87" s="171">
        <f ca="1">IF(OR($D87&lt;&gt;"Serviço",AND(AUTOEVENTO="Manual",$M87=$A$15)),0,
         IF(OFFSET(CRONOPLE!$F$15,$M87-$A$15,BI$13)=0,10^12,OFFSET(CRONOPLE!$F$15,$M87-$A$15,BI$13)))</f>
        <v>0</v>
      </c>
      <c r="BJ87" s="171">
        <f ca="1">IF(OR($D87&lt;&gt;"Serviço",AND(AUTOEVENTO="Manual",$M87=$A$15)),0,
         IF(OFFSET(CRONOPLE!$F$15,$M87-$A$15,BJ$13)=0,10^12,OFFSET(CRONOPLE!$F$15,$M87-$A$15,BJ$13)))</f>
        <v>0</v>
      </c>
      <c r="BK87" s="171">
        <f ca="1">IF(OR($D87&lt;&gt;"Serviço",AND(AUTOEVENTO="Manual",$M87=$A$15)),0,
         IF(OFFSET(CRONOPLE!$F$15,$M87-$A$15,BK$13)=0,10^12,OFFSET(CRONOPLE!$F$15,$M87-$A$15,BK$13)))</f>
        <v>0</v>
      </c>
      <c r="BL87" s="171">
        <f ca="1">IF(OR($D87&lt;&gt;"Serviço",AND(AUTOEVENTO="Manual",$M87=$A$15)),0,
         IF(OFFSET(CRONOPLE!$F$15,$M87-$A$15,BL$13)=0,10^12,OFFSET(CRONOPLE!$F$15,$M87-$A$15,BL$13)))</f>
        <v>0</v>
      </c>
      <c r="BM87" s="171">
        <f ca="1">IF(OR($D87&lt;&gt;"Serviço",AND(AUTOEVENTO="Manual",$M87=$A$15)),0,
         IF(OFFSET(CRONOPLE!$F$15,$M87-$A$15,BM$13)=0,10^12,OFFSET(CRONOPLE!$F$15,$M87-$A$15,BM$13)))</f>
        <v>0</v>
      </c>
      <c r="BN87" s="171">
        <f ca="1">IF(OR($D87&lt;&gt;"Serviço",AND(AUTOEVENTO="Manual",$M87=$A$15)),0,
         IF(OFFSET(CRONOPLE!$F$15,$M87-$A$15,BN$13)=0,10^12,OFFSET(CRONOPLE!$F$15,$M87-$A$15,BN$13)))</f>
        <v>0</v>
      </c>
      <c r="BO87" s="171">
        <f ca="1">IF(OR($D87&lt;&gt;"Serviço",AND(AUTOEVENTO="Manual",$M87=$A$15)),0,
         IF(OFFSET(CRONOPLE!$F$15,$M87-$A$15,BO$13)=0,10^12,OFFSET(CRONOPLE!$F$15,$M87-$A$15,BO$13)))</f>
        <v>0</v>
      </c>
      <c r="BP87" s="171">
        <f ca="1">IF(OR($D87&lt;&gt;"Serviço",AND(AUTOEVENTO="Manual",$M87=$A$15)),0,
         IF(OFFSET(CRONOPLE!$F$15,$M87-$A$15,BP$13)=0,10^12,OFFSET(CRONOPLE!$F$15,$M87-$A$15,BP$13)))</f>
        <v>0</v>
      </c>
      <c r="BQ87" s="171">
        <f ca="1">IF(OR($D87&lt;&gt;"Serviço",AND(AUTOEVENTO="Manual",$M87=$A$15)),0,
         IF(OFFSET(CRONOPLE!$F$15,$M87-$A$15,BQ$13)=0,10^12,OFFSET(CRONOPLE!$F$15,$M87-$A$15,BQ$13)))</f>
        <v>0</v>
      </c>
      <c r="BR87" s="171">
        <f ca="1">IF(OR($D87&lt;&gt;"Serviço",AND(AUTOEVENTO="Manual",$M87=$A$15)),0,
         IF(OFFSET(CRONOPLE!$F$15,$M87-$A$15,BR$13)=0,10^12,OFFSET(CRONOPLE!$F$15,$M87-$A$15,BR$13)))</f>
        <v>0</v>
      </c>
      <c r="BS87" s="171">
        <f ca="1">IF(OR($D87&lt;&gt;"Serviço",AND(AUTOEVENTO="Manual",$M87=$A$15)),0,
         IF(OFFSET(CRONOPLE!$F$15,$M87-$A$15,BS$13)=0,10^12,OFFSET(CRONOPLE!$F$15,$M87-$A$15,BS$13)))</f>
        <v>0</v>
      </c>
      <c r="BT87" s="171">
        <f ca="1">IF(OR($D87&lt;&gt;"Serviço",AND(AUTOEVENTO="Manual",$M87=$A$15)),0,
         IF(OFFSET(CRONOPLE!$F$15,$M87-$A$15,BT$13)=0,10^12,OFFSET(CRONOPLE!$F$15,$M87-$A$15,BT$13)))</f>
        <v>0</v>
      </c>
      <c r="BV87" s="172">
        <f ca="1">IF(OR($D87&lt;&gt;"Serviço",AND(AUTOEVENTO="Manual",$M87=$A$15),$M87&gt;(ROW(PLE.lastrow)-ROW(PLE.firstrow))),0,
           IF(OFFSET(PLE!$G$15,$M87-$A$15,BV$13)="",10^12,OFFSET(PLE!$G$15,$M87-$A$15,BV$13)))</f>
        <v>0</v>
      </c>
      <c r="BW87" s="172">
        <f ca="1">IF(OR($D87&lt;&gt;"Serviço",AND(AUTOEVENTO="Manual",$M87=$A$15),$M87&gt;(ROW(PLE.lastrow)-ROW(PLE.firstrow))),0,
           IF(OFFSET(PLE!$G$15,$M87-$A$15,BW$13)="",10^12,OFFSET(PLE!$G$15,$M87-$A$15,BW$13)))</f>
        <v>0</v>
      </c>
      <c r="BX87" s="172">
        <f ca="1">IF(OR($D87&lt;&gt;"Serviço",AND(AUTOEVENTO="Manual",$M87=$A$15),$M87&gt;(ROW(PLE.lastrow)-ROW(PLE.firstrow))),0,
           IF(OFFSET(PLE!$G$15,$M87-$A$15,BX$13)="",10^12,OFFSET(PLE!$G$15,$M87-$A$15,BX$13)))</f>
        <v>0</v>
      </c>
      <c r="BY87" s="172">
        <f ca="1">IF(OR($D87&lt;&gt;"Serviço",AND(AUTOEVENTO="Manual",$M87=$A$15),$M87&gt;(ROW(PLE.lastrow)-ROW(PLE.firstrow))),0,
           IF(OFFSET(PLE!$G$15,$M87-$A$15,BY$13)="",10^12,OFFSET(PLE!$G$15,$M87-$A$15,BY$13)))</f>
        <v>0</v>
      </c>
      <c r="BZ87" s="172">
        <f ca="1">IF(OR($D87&lt;&gt;"Serviço",AND(AUTOEVENTO="Manual",$M87=$A$15),$M87&gt;(ROW(PLE.lastrow)-ROW(PLE.firstrow))),0,
           IF(OFFSET(PLE!$G$15,$M87-$A$15,BZ$13)="",10^12,OFFSET(PLE!$G$15,$M87-$A$15,BZ$13)))</f>
        <v>0</v>
      </c>
      <c r="CA87" s="172">
        <f ca="1">IF(OR($D87&lt;&gt;"Serviço",AND(AUTOEVENTO="Manual",$M87=$A$15),$M87&gt;(ROW(PLE.lastrow)-ROW(PLE.firstrow))),0,
           IF(OFFSET(PLE!$G$15,$M87-$A$15,CA$13)="",10^12,OFFSET(PLE!$G$15,$M87-$A$15,CA$13)))</f>
        <v>0</v>
      </c>
      <c r="CB87" s="172">
        <f ca="1">IF(OR($D87&lt;&gt;"Serviço",AND(AUTOEVENTO="Manual",$M87=$A$15),$M87&gt;(ROW(PLE.lastrow)-ROW(PLE.firstrow))),0,
           IF(OFFSET(PLE!$G$15,$M87-$A$15,CB$13)="",10^12,OFFSET(PLE!$G$15,$M87-$A$15,CB$13)))</f>
        <v>0</v>
      </c>
      <c r="CC87" s="172">
        <f ca="1">IF(OR($D87&lt;&gt;"Serviço",AND(AUTOEVENTO="Manual",$M87=$A$15),$M87&gt;(ROW(PLE.lastrow)-ROW(PLE.firstrow))),0,
           IF(OFFSET(PLE!$G$15,$M87-$A$15,CC$13)="",10^12,OFFSET(PLE!$G$15,$M87-$A$15,CC$13)))</f>
        <v>0</v>
      </c>
      <c r="CD87" s="172">
        <f ca="1">IF(OR($D87&lt;&gt;"Serviço",AND(AUTOEVENTO="Manual",$M87=$A$15),$M87&gt;(ROW(PLE.lastrow)-ROW(PLE.firstrow))),0,
           IF(OFFSET(PLE!$G$15,$M87-$A$15,CD$13)="",10^12,OFFSET(PLE!$G$15,$M87-$A$15,CD$13)))</f>
        <v>0</v>
      </c>
      <c r="CE87" s="172">
        <f ca="1">IF(OR($D87&lt;&gt;"Serviço",AND(AUTOEVENTO="Manual",$M87=$A$15),$M87&gt;(ROW(PLE.lastrow)-ROW(PLE.firstrow))),0,
           IF(OFFSET(PLE!$G$15,$M87-$A$15,CE$13)="",10^12,OFFSET(PLE!$G$15,$M87-$A$15,CE$13)))</f>
        <v>0</v>
      </c>
      <c r="CF87" s="172">
        <f ca="1">IF(OR($D87&lt;&gt;"Serviço",AND(AUTOEVENTO="Manual",$M87=$A$15),$M87&gt;(ROW(PLE.lastrow)-ROW(PLE.firstrow))),0,
           IF(OFFSET(PLE!$G$15,$M87-$A$15,CF$13)="",10^12,OFFSET(PLE!$G$15,$M87-$A$15,CF$13)))</f>
        <v>0</v>
      </c>
      <c r="CG87" s="172">
        <f ca="1">IF(OR($D87&lt;&gt;"Serviço",AND(AUTOEVENTO="Manual",$M87=$A$15),$M87&gt;(ROW(PLE.lastrow)-ROW(PLE.firstrow))),0,
           IF(OFFSET(PLE!$G$15,$M87-$A$15,CG$13)="",10^12,OFFSET(PLE!$G$15,$M87-$A$15,CG$13)))</f>
        <v>0</v>
      </c>
      <c r="CH87" s="172">
        <f ca="1">IF(OR($D87&lt;&gt;"Serviço",AND(AUTOEVENTO="Manual",$M87=$A$15),$M87&gt;(ROW(PLE.lastrow)-ROW(PLE.firstrow))),0,
           IF(OFFSET(PLE!$G$15,$M87-$A$15,CH$13)="",10^12,OFFSET(PLE!$G$15,$M87-$A$15,CH$13)))</f>
        <v>0</v>
      </c>
      <c r="CI87" s="172">
        <f ca="1">IF(OR($D87&lt;&gt;"Serviço",AND(AUTOEVENTO="Manual",$M87=$A$15),$M87&gt;(ROW(PLE.lastrow)-ROW(PLE.firstrow))),0,
           IF(OFFSET(PLE!$G$15,$M87-$A$15,CI$13)="",10^12,OFFSET(PLE!$G$15,$M87-$A$15,CI$13)))</f>
        <v>0</v>
      </c>
      <c r="CJ87" s="172">
        <f ca="1">IF(OR($D87&lt;&gt;"Serviço",AND(AUTOEVENTO="Manual",$M87=$A$15),$M87&gt;(ROW(PLE.lastrow)-ROW(PLE.firstrow))),0,
           IF(OFFSET(PLE!$G$15,$M87-$A$15,CJ$13)="",10^12,OFFSET(PLE!$G$15,$M87-$A$15,CJ$13)))</f>
        <v>0</v>
      </c>
      <c r="CK87" s="172">
        <f ca="1">IF(OR($D87&lt;&gt;"Serviço",AND(AUTOEVENTO="Manual",$M87=$A$15),$M87&gt;(ROW(PLE.lastrow)-ROW(PLE.firstrow))),0,
           IF(OFFSET(PLE!$G$15,$M87-$A$15,CK$13)="",10^12,OFFSET(PLE!$G$15,$M87-$A$15,CK$13)))</f>
        <v>0</v>
      </c>
      <c r="CL87" s="172">
        <f ca="1">IF(OR($D87&lt;&gt;"Serviço",AND(AUTOEVENTO="Manual",$M87=$A$15),$M87&gt;(ROW(PLE.lastrow)-ROW(PLE.firstrow))),0,
           IF(OFFSET(PLE!$G$15,$M87-$A$15,CL$13)="",10^12,OFFSET(PLE!$G$15,$M87-$A$15,CL$13)))</f>
        <v>0</v>
      </c>
      <c r="CM87" s="172">
        <f ca="1">IF(OR($D87&lt;&gt;"Serviço",AND(AUTOEVENTO="Manual",$M87=$A$15),$M87&gt;(ROW(PLE.lastrow)-ROW(PLE.firstrow))),0,
           IF(OFFSET(PLE!$G$15,$M87-$A$15,CM$13)="",10^12,OFFSET(PLE!$G$15,$M87-$A$15,CM$13)))</f>
        <v>0</v>
      </c>
    </row>
    <row r="88" spans="1:91" ht="63.75" x14ac:dyDescent="0.2">
      <c r="A88" s="7">
        <f t="shared" ca="1" si="11"/>
        <v>4</v>
      </c>
      <c r="B88" s="7" t="str">
        <f ca="1">OFFSET(ORÇAMENTO!C$15,ROW(B88)-ROW(B$15),0)</f>
        <v>S</v>
      </c>
      <c r="C88" s="7" t="str">
        <f ca="1">OFFSET(ORÇAMENTO!L$15,ROW(C88)-ROW(C$15),0)</f>
        <v>F</v>
      </c>
      <c r="D88" s="116" t="str">
        <f ca="1">OFFSET(ORÇAMENTO!N$15,ROW(D88)-ROW(D$15),0)</f>
        <v>Serviço</v>
      </c>
      <c r="E88" s="117" t="str">
        <f ca="1">OFFSET(ORÇAMENTO!O$15,ROW(E88)-ROW(E$15),0)</f>
        <v>1.5.1.3.1.</v>
      </c>
      <c r="F88" s="163" t="str">
        <f ca="1">OFFSET(ORÇAMENTO!R$15,ROW(F88)-ROW(F$15),0)</f>
        <v>CONCRETO FCK = 40MPA, TRAÇO 1:1,6:1,9 (EM MASSA SECA DE CIMENTO/ AREIA MÉDIA/ BRITA 1) - PREPARO MECÂNICO COM BETONEIRA 600 L. AF_05/2021</v>
      </c>
      <c r="G88" s="164" t="str">
        <f ca="1">IF($D88&lt;&gt;"Serviço","",OFFSET(ORÇAMENTO!S$15,ROW(G88)-ROW(G$15),0))</f>
        <v>M3</v>
      </c>
      <c r="H88" s="122" cm="1">
        <f t="array" aca="1" ref="H88" ca="1">IF($D88&lt;&gt;"Serviço",0,IF(ACOMPANHAMENTO="BM",ROUND(OFFSET(ORÇAMENTO!AJ$15,ROW(H88)-ROW(H$15),0),15-13*ORÇAMENTO!$AF$7),SUMPRODUCT(($Q$1:$AI$1=1)*ROUND($Q88:$AI88,15-13*ORÇAMENTO!$AF$7))))</f>
        <v>215.9</v>
      </c>
      <c r="I88" s="468" t="s">
        <v>1310</v>
      </c>
      <c r="J88" s="640" t="str" cm="1">
        <f t="array" aca="1" ref="J88" ca="1">IF(OR(B88&lt;&gt;"S",CÁLCULO.FrentesPreenchidas=0),"",IF(AND(ACOMPANHAMENTO="PLE",AUTOEVENTO="Manual",OR(H88&gt;0,ORÇAMENTO!AC88="QUANT."),OR(K88="",M88=0,N88="")),"►E",IF(AND(ACOMPANHAMENTO="PLE",ORÇAMENTO!AC88="QUANT."),"►Q",IF(AND(ACOMPANHAMENTO="PLE",H88&lt;&gt;SUMPRODUCT(($Q$1:$AI$1=1)*ROUND(Q88:AI88,15))),"►S",IF(AND(COUNTIF($P$11:$AI$11,"▼")=0,H88&gt;0,I88=""),"◄M","")))))</f>
        <v/>
      </c>
      <c r="K88" s="641" t="s">
        <v>1389</v>
      </c>
      <c r="L88" s="165" t="s">
        <v>764</v>
      </c>
      <c r="M88" s="166">
        <f ca="1">IF($D88&lt;&gt;"Serviço","",
          IF(AUTOEVENTO="manual",$A88,
                IF(ISERROR(MATCH($A88,$A$15:OFFSET($A88,-1,0),0)),MAX($M$15:OFFSET(M88,-1,0))+1,
                      INDEX($M$15:OFFSET(M88,-1,0),MATCH($A88,$A$15:OFFSET($A88,-1,0),0)))))</f>
        <v>4</v>
      </c>
      <c r="N88" s="167" t="str">
        <f ca="1">IF($D88&lt;&gt;"Serviço","",
         IF(AUTOEVENTO="Manual",
                IF($A88=0,"&lt;-- defina o número do agrupador",
                       OFFSET(EVENTOS!$D$15,$A88-$A$15,0)),
                OFFSET($F$15,$A88,0)))</f>
        <v>Estruturas de Concreto</v>
      </c>
      <c r="O88" s="168"/>
      <c r="Q88" s="168"/>
      <c r="R88" s="169"/>
      <c r="S88" s="169">
        <f>215.9</f>
        <v>215.9</v>
      </c>
      <c r="T88" s="169"/>
      <c r="U88" s="169"/>
      <c r="V88" s="169"/>
      <c r="W88" s="169"/>
      <c r="X88" s="169"/>
      <c r="Y88" s="169"/>
      <c r="Z88" s="170"/>
      <c r="AA88" s="169"/>
      <c r="AB88" s="169"/>
      <c r="AC88" s="169"/>
      <c r="AD88" s="169"/>
      <c r="AE88" s="169"/>
      <c r="AF88" s="169"/>
      <c r="AG88" s="169"/>
      <c r="AH88" s="170"/>
      <c r="AJ88" s="453">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0</v>
      </c>
      <c r="AK88" s="453">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0</v>
      </c>
      <c r="AL88" s="453">
        <f ca="1">IF(AND($D88="Serviço",AL$12&lt;&gt;0,$H88&gt;0,OR(AUTOEVENTO&lt;&gt;"manual",$M88&lt;&gt;$A$15)),
        IF(Import.TipoArredondamento&lt;&gt;"TransfereGOV",
              ROUND(OFFSET($P88,0,AL$13),15-13*ORÇAMENTO!$AF$7)/$H88*OFFSET(ORÇAMENTO!$X$15,ROW(AL88)-ROW(AL$15),0),
              ROUND(ROUND(OFFSET($P88,0,AL$13),15-13*ORÇAMENTO!$AF$7)*OFFSET(ORÇAMENTO!$W$15,ROW(AL88)-ROW(AL$15),0),15-13*ORÇAMENTO!$AF$11)),
         0)</f>
        <v>0</v>
      </c>
      <c r="AM88" s="453">
        <f ca="1">IF(AND($D88="Serviço",AM$12&lt;&gt;0,$H88&gt;0,OR(AUTOEVENTO&lt;&gt;"manual",$M88&lt;&gt;$A$15)),
        IF(Import.TipoArredondamento&lt;&gt;"TransfereGOV",
              ROUND(OFFSET($P88,0,AM$13),15-13*ORÇAMENTO!$AF$7)/$H88*OFFSET(ORÇAMENTO!$X$15,ROW(AM88)-ROW(AM$15),0),
              ROUND(ROUND(OFFSET($P88,0,AM$13),15-13*ORÇAMENTO!$AF$7)*OFFSET(ORÇAMENTO!$W$15,ROW(AM88)-ROW(AM$15),0),15-13*ORÇAMENTO!$AF$11)),
         0)</f>
        <v>0</v>
      </c>
      <c r="AN88" s="453">
        <f ca="1">IF(AND($D88="Serviço",AN$12&lt;&gt;0,$H88&gt;0,OR(AUTOEVENTO&lt;&gt;"manual",$M88&lt;&gt;$A$15)),
        IF(Import.TipoArredondamento&lt;&gt;"TransfereGOV",
              ROUND(OFFSET($P88,0,AN$13),15-13*ORÇAMENTO!$AF$7)/$H88*OFFSET(ORÇAMENTO!$X$15,ROW(AN88)-ROW(AN$15),0),
              ROUND(ROUND(OFFSET($P88,0,AN$13),15-13*ORÇAMENTO!$AF$7)*OFFSET(ORÇAMENTO!$W$15,ROW(AN88)-ROW(AN$15),0),15-13*ORÇAMENTO!$AF$11)),
         0)</f>
        <v>0</v>
      </c>
      <c r="AO88" s="453">
        <f ca="1">IF(AND($D88="Serviço",AO$12&lt;&gt;0,$H88&gt;0,OR(AUTOEVENTO&lt;&gt;"manual",$M88&lt;&gt;$A$15)),
        IF(Import.TipoArredondamento&lt;&gt;"TransfereGOV",
              ROUND(OFFSET($P88,0,AO$13),15-13*ORÇAMENTO!$AF$7)/$H88*OFFSET(ORÇAMENTO!$X$15,ROW(AO88)-ROW(AO$15),0),
              ROUND(ROUND(OFFSET($P88,0,AO$13),15-13*ORÇAMENTO!$AF$7)*OFFSET(ORÇAMENTO!$W$15,ROW(AO88)-ROW(AO$15),0),15-13*ORÇAMENTO!$AF$11)),
         0)</f>
        <v>0</v>
      </c>
      <c r="AP88" s="453">
        <f ca="1">IF(AND($D88="Serviço",AP$12&lt;&gt;0,$H88&gt;0,OR(AUTOEVENTO&lt;&gt;"manual",$M88&lt;&gt;$A$15)),
        IF(Import.TipoArredondamento&lt;&gt;"TransfereGOV",
              ROUND(OFFSET($P88,0,AP$13),15-13*ORÇAMENTO!$AF$7)/$H88*OFFSET(ORÇAMENTO!$X$15,ROW(AP88)-ROW(AP$15),0),
              ROUND(ROUND(OFFSET($P88,0,AP$13),15-13*ORÇAMENTO!$AF$7)*OFFSET(ORÇAMENTO!$W$15,ROW(AP88)-ROW(AP$15),0),15-13*ORÇAMENTO!$AF$11)),
         0)</f>
        <v>0</v>
      </c>
      <c r="AQ88" s="453">
        <f ca="1">IF(AND($D88="Serviço",AQ$12&lt;&gt;0,$H88&gt;0,OR(AUTOEVENTO&lt;&gt;"manual",$M88&lt;&gt;$A$15)),
        IF(Import.TipoArredondamento&lt;&gt;"TransfereGOV",
              ROUND(OFFSET($P88,0,AQ$13),15-13*ORÇAMENTO!$AF$7)/$H88*OFFSET(ORÇAMENTO!$X$15,ROW(AQ88)-ROW(AQ$15),0),
              ROUND(ROUND(OFFSET($P88,0,AQ$13),15-13*ORÇAMENTO!$AF$7)*OFFSET(ORÇAMENTO!$W$15,ROW(AQ88)-ROW(AQ$15),0),15-13*ORÇAMENTO!$AF$11)),
         0)</f>
        <v>0</v>
      </c>
      <c r="AR88" s="453">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3">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3">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3">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3">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3">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3">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3">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3">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3">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C88" s="171">
        <f ca="1">IF(OR($D88&lt;&gt;"Serviço",AND(AUTOEVENTO="Manual",$M88=$A$15)),0,
         IF(OFFSET(CRONOPLE!$F$15,$M88-$A$15,BC$13)=0,10^12,OFFSET(CRONOPLE!$F$15,$M88-$A$15,BC$13)))</f>
        <v>1</v>
      </c>
      <c r="BD88" s="171">
        <f ca="1">IF(OR($D88&lt;&gt;"Serviço",AND(AUTOEVENTO="Manual",$M88=$A$15)),0,
         IF(OFFSET(CRONOPLE!$F$15,$M88-$A$15,BD$13)=0,10^12,OFFSET(CRONOPLE!$F$15,$M88-$A$15,BD$13)))</f>
        <v>2</v>
      </c>
      <c r="BE88" s="171">
        <f ca="1">IF(OR($D88&lt;&gt;"Serviço",AND(AUTOEVENTO="Manual",$M88=$A$15)),0,
         IF(OFFSET(CRONOPLE!$F$15,$M88-$A$15,BE$13)=0,10^12,OFFSET(CRONOPLE!$F$15,$M88-$A$15,BE$13)))</f>
        <v>3</v>
      </c>
      <c r="BF88" s="171">
        <f ca="1">IF(OR($D88&lt;&gt;"Serviço",AND(AUTOEVENTO="Manual",$M88=$A$15)),0,
         IF(OFFSET(CRONOPLE!$F$15,$M88-$A$15,BF$13)=0,10^12,OFFSET(CRONOPLE!$F$15,$M88-$A$15,BF$13)))</f>
        <v>4</v>
      </c>
      <c r="BG88" s="171">
        <f ca="1">IF(OR($D88&lt;&gt;"Serviço",AND(AUTOEVENTO="Manual",$M88=$A$15)),0,
         IF(OFFSET(CRONOPLE!$F$15,$M88-$A$15,BG$13)=0,10^12,OFFSET(CRONOPLE!$F$15,$M88-$A$15,BG$13)))</f>
        <v>5</v>
      </c>
      <c r="BH88" s="171">
        <f ca="1">IF(OR($D88&lt;&gt;"Serviço",AND(AUTOEVENTO="Manual",$M88=$A$15)),0,
         IF(OFFSET(CRONOPLE!$F$15,$M88-$A$15,BH$13)=0,10^12,OFFSET(CRONOPLE!$F$15,$M88-$A$15,BH$13)))</f>
        <v>6</v>
      </c>
      <c r="BI88" s="171">
        <f ca="1">IF(OR($D88&lt;&gt;"Serviço",AND(AUTOEVENTO="Manual",$M88=$A$15)),0,
         IF(OFFSET(CRONOPLE!$F$15,$M88-$A$15,BI$13)=0,10^12,OFFSET(CRONOPLE!$F$15,$M88-$A$15,BI$13)))</f>
        <v>7</v>
      </c>
      <c r="BJ88" s="171">
        <f ca="1">IF(OR($D88&lt;&gt;"Serviço",AND(AUTOEVENTO="Manual",$M88=$A$15)),0,
         IF(OFFSET(CRONOPLE!$F$15,$M88-$A$15,BJ$13)=0,10^12,OFFSET(CRONOPLE!$F$15,$M88-$A$15,BJ$13)))</f>
        <v>8</v>
      </c>
      <c r="BK88" s="171">
        <f ca="1">IF(OR($D88&lt;&gt;"Serviço",AND(AUTOEVENTO="Manual",$M88=$A$15)),0,
         IF(OFFSET(CRONOPLE!$F$15,$M88-$A$15,BK$13)=0,10^12,OFFSET(CRONOPLE!$F$15,$M88-$A$15,BK$13)))</f>
        <v>9</v>
      </c>
      <c r="BL88" s="171">
        <f ca="1">IF(OR($D88&lt;&gt;"Serviço",AND(AUTOEVENTO="Manual",$M88=$A$15)),0,
         IF(OFFSET(CRONOPLE!$F$15,$M88-$A$15,BL$13)=0,10^12,OFFSET(CRONOPLE!$F$15,$M88-$A$15,BL$13)))</f>
        <v>10</v>
      </c>
      <c r="BM88" s="171">
        <f ca="1">IF(OR($D88&lt;&gt;"Serviço",AND(AUTOEVENTO="Manual",$M88=$A$15)),0,
         IF(OFFSET(CRONOPLE!$F$15,$M88-$A$15,BM$13)=0,10^12,OFFSET(CRONOPLE!$F$15,$M88-$A$15,BM$13)))</f>
        <v>1000000000000</v>
      </c>
      <c r="BN88" s="171">
        <f ca="1">IF(OR($D88&lt;&gt;"Serviço",AND(AUTOEVENTO="Manual",$M88=$A$15)),0,
         IF(OFFSET(CRONOPLE!$F$15,$M88-$A$15,BN$13)=0,10^12,OFFSET(CRONOPLE!$F$15,$M88-$A$15,BN$13)))</f>
        <v>1000000000000</v>
      </c>
      <c r="BO88" s="171">
        <f ca="1">IF(OR($D88&lt;&gt;"Serviço",AND(AUTOEVENTO="Manual",$M88=$A$15)),0,
         IF(OFFSET(CRONOPLE!$F$15,$M88-$A$15,BO$13)=0,10^12,OFFSET(CRONOPLE!$F$15,$M88-$A$15,BO$13)))</f>
        <v>1000000000000</v>
      </c>
      <c r="BP88" s="171">
        <f ca="1">IF(OR($D88&lt;&gt;"Serviço",AND(AUTOEVENTO="Manual",$M88=$A$15)),0,
         IF(OFFSET(CRONOPLE!$F$15,$M88-$A$15,BP$13)=0,10^12,OFFSET(CRONOPLE!$F$15,$M88-$A$15,BP$13)))</f>
        <v>1000000000000</v>
      </c>
      <c r="BQ88" s="171">
        <f ca="1">IF(OR($D88&lt;&gt;"Serviço",AND(AUTOEVENTO="Manual",$M88=$A$15)),0,
         IF(OFFSET(CRONOPLE!$F$15,$M88-$A$15,BQ$13)=0,10^12,OFFSET(CRONOPLE!$F$15,$M88-$A$15,BQ$13)))</f>
        <v>1000000000000</v>
      </c>
      <c r="BR88" s="171">
        <f ca="1">IF(OR($D88&lt;&gt;"Serviço",AND(AUTOEVENTO="Manual",$M88=$A$15)),0,
         IF(OFFSET(CRONOPLE!$F$15,$M88-$A$15,BR$13)=0,10^12,OFFSET(CRONOPLE!$F$15,$M88-$A$15,BR$13)))</f>
        <v>1000000000000</v>
      </c>
      <c r="BS88" s="171">
        <f ca="1">IF(OR($D88&lt;&gt;"Serviço",AND(AUTOEVENTO="Manual",$M88=$A$15)),0,
         IF(OFFSET(CRONOPLE!$F$15,$M88-$A$15,BS$13)=0,10^12,OFFSET(CRONOPLE!$F$15,$M88-$A$15,BS$13)))</f>
        <v>1000000000000</v>
      </c>
      <c r="BT88" s="171">
        <f ca="1">IF(OR($D88&lt;&gt;"Serviço",AND(AUTOEVENTO="Manual",$M88=$A$15)),0,
         IF(OFFSET(CRONOPLE!$F$15,$M88-$A$15,BT$13)=0,10^12,OFFSET(CRONOPLE!$F$15,$M88-$A$15,BT$13)))</f>
        <v>1000000000000</v>
      </c>
      <c r="BV88" s="172">
        <f ca="1">IF(OR($D88&lt;&gt;"Serviço",AND(AUTOEVENTO="Manual",$M88=$A$15),$M88&gt;(ROW(PLE.lastrow)-ROW(PLE.firstrow))),0,
           IF(OFFSET(PLE!$G$15,$M88-$A$15,BV$13)="",10^12,OFFSET(PLE!$G$15,$M88-$A$15,BV$13)))</f>
        <v>1000000000000</v>
      </c>
      <c r="BW88" s="172">
        <f ca="1">IF(OR($D88&lt;&gt;"Serviço",AND(AUTOEVENTO="Manual",$M88=$A$15),$M88&gt;(ROW(PLE.lastrow)-ROW(PLE.firstrow))),0,
           IF(OFFSET(PLE!$G$15,$M88-$A$15,BW$13)="",10^12,OFFSET(PLE!$G$15,$M88-$A$15,BW$13)))</f>
        <v>1000000000000</v>
      </c>
      <c r="BX88" s="172">
        <f ca="1">IF(OR($D88&lt;&gt;"Serviço",AND(AUTOEVENTO="Manual",$M88=$A$15),$M88&gt;(ROW(PLE.lastrow)-ROW(PLE.firstrow))),0,
           IF(OFFSET(PLE!$G$15,$M88-$A$15,BX$13)="",10^12,OFFSET(PLE!$G$15,$M88-$A$15,BX$13)))</f>
        <v>1000000000000</v>
      </c>
      <c r="BY88" s="172">
        <f ca="1">IF(OR($D88&lt;&gt;"Serviço",AND(AUTOEVENTO="Manual",$M88=$A$15),$M88&gt;(ROW(PLE.lastrow)-ROW(PLE.firstrow))),0,
           IF(OFFSET(PLE!$G$15,$M88-$A$15,BY$13)="",10^12,OFFSET(PLE!$G$15,$M88-$A$15,BY$13)))</f>
        <v>1000000000000</v>
      </c>
      <c r="BZ88" s="172">
        <f ca="1">IF(OR($D88&lt;&gt;"Serviço",AND(AUTOEVENTO="Manual",$M88=$A$15),$M88&gt;(ROW(PLE.lastrow)-ROW(PLE.firstrow))),0,
           IF(OFFSET(PLE!$G$15,$M88-$A$15,BZ$13)="",10^12,OFFSET(PLE!$G$15,$M88-$A$15,BZ$13)))</f>
        <v>1000000000000</v>
      </c>
      <c r="CA88" s="172">
        <f ca="1">IF(OR($D88&lt;&gt;"Serviço",AND(AUTOEVENTO="Manual",$M88=$A$15),$M88&gt;(ROW(PLE.lastrow)-ROW(PLE.firstrow))),0,
           IF(OFFSET(PLE!$G$15,$M88-$A$15,CA$13)="",10^12,OFFSET(PLE!$G$15,$M88-$A$15,CA$13)))</f>
        <v>1000000000000</v>
      </c>
      <c r="CB88" s="172">
        <f ca="1">IF(OR($D88&lt;&gt;"Serviço",AND(AUTOEVENTO="Manual",$M88=$A$15),$M88&gt;(ROW(PLE.lastrow)-ROW(PLE.firstrow))),0,
           IF(OFFSET(PLE!$G$15,$M88-$A$15,CB$13)="",10^12,OFFSET(PLE!$G$15,$M88-$A$15,CB$13)))</f>
        <v>1000000000000</v>
      </c>
      <c r="CC88" s="172">
        <f ca="1">IF(OR($D88&lt;&gt;"Serviço",AND(AUTOEVENTO="Manual",$M88=$A$15),$M88&gt;(ROW(PLE.lastrow)-ROW(PLE.firstrow))),0,
           IF(OFFSET(PLE!$G$15,$M88-$A$15,CC$13)="",10^12,OFFSET(PLE!$G$15,$M88-$A$15,CC$13)))</f>
        <v>1000000000000</v>
      </c>
      <c r="CD88" s="172">
        <f ca="1">IF(OR($D88&lt;&gt;"Serviço",AND(AUTOEVENTO="Manual",$M88=$A$15),$M88&gt;(ROW(PLE.lastrow)-ROW(PLE.firstrow))),0,
           IF(OFFSET(PLE!$G$15,$M88-$A$15,CD$13)="",10^12,OFFSET(PLE!$G$15,$M88-$A$15,CD$13)))</f>
        <v>1000000000000</v>
      </c>
      <c r="CE88" s="172">
        <f ca="1">IF(OR($D88&lt;&gt;"Serviço",AND(AUTOEVENTO="Manual",$M88=$A$15),$M88&gt;(ROW(PLE.lastrow)-ROW(PLE.firstrow))),0,
           IF(OFFSET(PLE!$G$15,$M88-$A$15,CE$13)="",10^12,OFFSET(PLE!$G$15,$M88-$A$15,CE$13)))</f>
        <v>1000000000000</v>
      </c>
      <c r="CF88" s="172">
        <f ca="1">IF(OR($D88&lt;&gt;"Serviço",AND(AUTOEVENTO="Manual",$M88=$A$15),$M88&gt;(ROW(PLE.lastrow)-ROW(PLE.firstrow))),0,
           IF(OFFSET(PLE!$G$15,$M88-$A$15,CF$13)="",10^12,OFFSET(PLE!$G$15,$M88-$A$15,CF$13)))</f>
        <v>1000000000000</v>
      </c>
      <c r="CG88" s="172">
        <f ca="1">IF(OR($D88&lt;&gt;"Serviço",AND(AUTOEVENTO="Manual",$M88=$A$15),$M88&gt;(ROW(PLE.lastrow)-ROW(PLE.firstrow))),0,
           IF(OFFSET(PLE!$G$15,$M88-$A$15,CG$13)="",10^12,OFFSET(PLE!$G$15,$M88-$A$15,CG$13)))</f>
        <v>1000000000000</v>
      </c>
      <c r="CH88" s="172">
        <f ca="1">IF(OR($D88&lt;&gt;"Serviço",AND(AUTOEVENTO="Manual",$M88=$A$15),$M88&gt;(ROW(PLE.lastrow)-ROW(PLE.firstrow))),0,
           IF(OFFSET(PLE!$G$15,$M88-$A$15,CH$13)="",10^12,OFFSET(PLE!$G$15,$M88-$A$15,CH$13)))</f>
        <v>1000000000000</v>
      </c>
      <c r="CI88" s="172">
        <f ca="1">IF(OR($D88&lt;&gt;"Serviço",AND(AUTOEVENTO="Manual",$M88=$A$15),$M88&gt;(ROW(PLE.lastrow)-ROW(PLE.firstrow))),0,
           IF(OFFSET(PLE!$G$15,$M88-$A$15,CI$13)="",10^12,OFFSET(PLE!$G$15,$M88-$A$15,CI$13)))</f>
        <v>1000000000000</v>
      </c>
      <c r="CJ88" s="172">
        <f ca="1">IF(OR($D88&lt;&gt;"Serviço",AND(AUTOEVENTO="Manual",$M88=$A$15),$M88&gt;(ROW(PLE.lastrow)-ROW(PLE.firstrow))),0,
           IF(OFFSET(PLE!$G$15,$M88-$A$15,CJ$13)="",10^12,OFFSET(PLE!$G$15,$M88-$A$15,CJ$13)))</f>
        <v>1000000000000</v>
      </c>
      <c r="CK88" s="172">
        <f ca="1">IF(OR($D88&lt;&gt;"Serviço",AND(AUTOEVENTO="Manual",$M88=$A$15),$M88&gt;(ROW(PLE.lastrow)-ROW(PLE.firstrow))),0,
           IF(OFFSET(PLE!$G$15,$M88-$A$15,CK$13)="",10^12,OFFSET(PLE!$G$15,$M88-$A$15,CK$13)))</f>
        <v>1000000000000</v>
      </c>
      <c r="CL88" s="172">
        <f ca="1">IF(OR($D88&lt;&gt;"Serviço",AND(AUTOEVENTO="Manual",$M88=$A$15),$M88&gt;(ROW(PLE.lastrow)-ROW(PLE.firstrow))),0,
           IF(OFFSET(PLE!$G$15,$M88-$A$15,CL$13)="",10^12,OFFSET(PLE!$G$15,$M88-$A$15,CL$13)))</f>
        <v>1000000000000</v>
      </c>
      <c r="CM88" s="172">
        <f ca="1">IF(OR($D88&lt;&gt;"Serviço",AND(AUTOEVENTO="Manual",$M88=$A$15),$M88&gt;(ROW(PLE.lastrow)-ROW(PLE.firstrow))),0,
           IF(OFFSET(PLE!$G$15,$M88-$A$15,CM$13)="",10^12,OFFSET(PLE!$G$15,$M88-$A$15,CM$13)))</f>
        <v>1000000000000</v>
      </c>
    </row>
    <row r="89" spans="1:91" ht="63.75" x14ac:dyDescent="0.2">
      <c r="A89" s="7">
        <f t="shared" ca="1" si="11"/>
        <v>4</v>
      </c>
      <c r="B89" s="7" t="str">
        <f ca="1">OFFSET(ORÇAMENTO!C$15,ROW(B89)-ROW(B$15),0)</f>
        <v>S</v>
      </c>
      <c r="C89" s="7" t="str">
        <f ca="1">OFFSET(ORÇAMENTO!L$15,ROW(C89)-ROW(C$15),0)</f>
        <v>F</v>
      </c>
      <c r="D89" s="116" t="str">
        <f ca="1">OFFSET(ORÇAMENTO!N$15,ROW(D89)-ROW(D$15),0)</f>
        <v>Serviço</v>
      </c>
      <c r="E89" s="117" t="str">
        <f ca="1">OFFSET(ORÇAMENTO!O$15,ROW(E89)-ROW(E$15),0)</f>
        <v>1.5.1.3.2.</v>
      </c>
      <c r="F89" s="163" t="str">
        <f ca="1">OFFSET(ORÇAMENTO!R$15,ROW(F89)-ROW(F$15),0)</f>
        <v>LANÇAMENTO COM USO DE BOMBA, ADENSAMENTO E ACABAMENTO DE CONCRETO EM ESTRUTURAS. AF_02/2022</v>
      </c>
      <c r="G89" s="164" t="str">
        <f ca="1">IF($D89&lt;&gt;"Serviço","",OFFSET(ORÇAMENTO!S$15,ROW(G89)-ROW(G$15),0))</f>
        <v>M3</v>
      </c>
      <c r="H89" s="122" cm="1">
        <f t="array" aca="1" ref="H89" ca="1">IF($D89&lt;&gt;"Serviço",0,IF(ACOMPANHAMENTO="BM",ROUND(OFFSET(ORÇAMENTO!AJ$15,ROW(H89)-ROW(H$15),0),15-13*ORÇAMENTO!$AF$7),SUMPRODUCT(($Q$1:$AI$1=1)*ROUND($Q89:$AI89,15-13*ORÇAMENTO!$AF$7))))</f>
        <v>215.9</v>
      </c>
      <c r="I89" s="468" t="s">
        <v>1310</v>
      </c>
      <c r="J89" s="640" t="str" cm="1">
        <f t="array" aca="1" ref="J89" ca="1">IF(OR(B89&lt;&gt;"S",CÁLCULO.FrentesPreenchidas=0),"",IF(AND(ACOMPANHAMENTO="PLE",AUTOEVENTO="Manual",OR(H89&gt;0,ORÇAMENTO!AC89="QUANT."),OR(K89="",M89=0,N89="")),"►E",IF(AND(ACOMPANHAMENTO="PLE",ORÇAMENTO!AC89="QUANT."),"►Q",IF(AND(ACOMPANHAMENTO="PLE",H89&lt;&gt;SUMPRODUCT(($Q$1:$AI$1=1)*ROUND(Q89:AI89,15))),"►S",IF(AND(COUNTIF($P$11:$AI$11,"▼")=0,H89&gt;0,I89=""),"◄M","")))))</f>
        <v/>
      </c>
      <c r="K89" s="641" t="s">
        <v>1389</v>
      </c>
      <c r="L89" s="165" t="s">
        <v>764</v>
      </c>
      <c r="M89" s="166">
        <f ca="1">IF($D89&lt;&gt;"Serviço","",
          IF(AUTOEVENTO="manual",$A89,
                IF(ISERROR(MATCH($A89,$A$15:OFFSET($A89,-1,0),0)),MAX($M$15:OFFSET(M89,-1,0))+1,
                      INDEX($M$15:OFFSET(M89,-1,0),MATCH($A89,$A$15:OFFSET($A89,-1,0),0)))))</f>
        <v>4</v>
      </c>
      <c r="N89" s="167" t="str">
        <f ca="1">IF($D89&lt;&gt;"Serviço","",
         IF(AUTOEVENTO="Manual",
                IF($A89=0,"&lt;-- defina o número do agrupador",
                       OFFSET(EVENTOS!$D$15,$A89-$A$15,0)),
                OFFSET($F$15,$A89,0)))</f>
        <v>Estruturas de Concreto</v>
      </c>
      <c r="O89" s="168"/>
      <c r="Q89" s="168"/>
      <c r="R89" s="169"/>
      <c r="S89" s="169">
        <f>S88</f>
        <v>215.9</v>
      </c>
      <c r="T89" s="169"/>
      <c r="U89" s="169"/>
      <c r="V89" s="169"/>
      <c r="W89" s="169"/>
      <c r="X89" s="169"/>
      <c r="Y89" s="169"/>
      <c r="Z89" s="170"/>
      <c r="AA89" s="169"/>
      <c r="AB89" s="169"/>
      <c r="AC89" s="169"/>
      <c r="AD89" s="169"/>
      <c r="AE89" s="169"/>
      <c r="AF89" s="169"/>
      <c r="AG89" s="169"/>
      <c r="AH89" s="170"/>
      <c r="AJ89" s="453">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0</v>
      </c>
      <c r="AK89" s="453">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0</v>
      </c>
      <c r="AL89" s="453">
        <f ca="1">IF(AND($D89="Serviço",AL$12&lt;&gt;0,$H89&gt;0,OR(AUTOEVENTO&lt;&gt;"manual",$M89&lt;&gt;$A$15)),
        IF(Import.TipoArredondamento&lt;&gt;"TransfereGOV",
              ROUND(OFFSET($P89,0,AL$13),15-13*ORÇAMENTO!$AF$7)/$H89*OFFSET(ORÇAMENTO!$X$15,ROW(AL89)-ROW(AL$15),0),
              ROUND(ROUND(OFFSET($P89,0,AL$13),15-13*ORÇAMENTO!$AF$7)*OFFSET(ORÇAMENTO!$W$15,ROW(AL89)-ROW(AL$15),0),15-13*ORÇAMENTO!$AF$11)),
         0)</f>
        <v>0</v>
      </c>
      <c r="AM89" s="453">
        <f ca="1">IF(AND($D89="Serviço",AM$12&lt;&gt;0,$H89&gt;0,OR(AUTOEVENTO&lt;&gt;"manual",$M89&lt;&gt;$A$15)),
        IF(Import.TipoArredondamento&lt;&gt;"TransfereGOV",
              ROUND(OFFSET($P89,0,AM$13),15-13*ORÇAMENTO!$AF$7)/$H89*OFFSET(ORÇAMENTO!$X$15,ROW(AM89)-ROW(AM$15),0),
              ROUND(ROUND(OFFSET($P89,0,AM$13),15-13*ORÇAMENTO!$AF$7)*OFFSET(ORÇAMENTO!$W$15,ROW(AM89)-ROW(AM$15),0),15-13*ORÇAMENTO!$AF$11)),
         0)</f>
        <v>0</v>
      </c>
      <c r="AN89" s="453">
        <f ca="1">IF(AND($D89="Serviço",AN$12&lt;&gt;0,$H89&gt;0,OR(AUTOEVENTO&lt;&gt;"manual",$M89&lt;&gt;$A$15)),
        IF(Import.TipoArredondamento&lt;&gt;"TransfereGOV",
              ROUND(OFFSET($P89,0,AN$13),15-13*ORÇAMENTO!$AF$7)/$H89*OFFSET(ORÇAMENTO!$X$15,ROW(AN89)-ROW(AN$15),0),
              ROUND(ROUND(OFFSET($P89,0,AN$13),15-13*ORÇAMENTO!$AF$7)*OFFSET(ORÇAMENTO!$W$15,ROW(AN89)-ROW(AN$15),0),15-13*ORÇAMENTO!$AF$11)),
         0)</f>
        <v>0</v>
      </c>
      <c r="AO89" s="453">
        <f ca="1">IF(AND($D89="Serviço",AO$12&lt;&gt;0,$H89&gt;0,OR(AUTOEVENTO&lt;&gt;"manual",$M89&lt;&gt;$A$15)),
        IF(Import.TipoArredondamento&lt;&gt;"TransfereGOV",
              ROUND(OFFSET($P89,0,AO$13),15-13*ORÇAMENTO!$AF$7)/$H89*OFFSET(ORÇAMENTO!$X$15,ROW(AO89)-ROW(AO$15),0),
              ROUND(ROUND(OFFSET($P89,0,AO$13),15-13*ORÇAMENTO!$AF$7)*OFFSET(ORÇAMENTO!$W$15,ROW(AO89)-ROW(AO$15),0),15-13*ORÇAMENTO!$AF$11)),
         0)</f>
        <v>0</v>
      </c>
      <c r="AP89" s="453">
        <f ca="1">IF(AND($D89="Serviço",AP$12&lt;&gt;0,$H89&gt;0,OR(AUTOEVENTO&lt;&gt;"manual",$M89&lt;&gt;$A$15)),
        IF(Import.TipoArredondamento&lt;&gt;"TransfereGOV",
              ROUND(OFFSET($P89,0,AP$13),15-13*ORÇAMENTO!$AF$7)/$H89*OFFSET(ORÇAMENTO!$X$15,ROW(AP89)-ROW(AP$15),0),
              ROUND(ROUND(OFFSET($P89,0,AP$13),15-13*ORÇAMENTO!$AF$7)*OFFSET(ORÇAMENTO!$W$15,ROW(AP89)-ROW(AP$15),0),15-13*ORÇAMENTO!$AF$11)),
         0)</f>
        <v>0</v>
      </c>
      <c r="AQ89" s="453">
        <f ca="1">IF(AND($D89="Serviço",AQ$12&lt;&gt;0,$H89&gt;0,OR(AUTOEVENTO&lt;&gt;"manual",$M89&lt;&gt;$A$15)),
        IF(Import.TipoArredondamento&lt;&gt;"TransfereGOV",
              ROUND(OFFSET($P89,0,AQ$13),15-13*ORÇAMENTO!$AF$7)/$H89*OFFSET(ORÇAMENTO!$X$15,ROW(AQ89)-ROW(AQ$15),0),
              ROUND(ROUND(OFFSET($P89,0,AQ$13),15-13*ORÇAMENTO!$AF$7)*OFFSET(ORÇAMENTO!$W$15,ROW(AQ89)-ROW(AQ$15),0),15-13*ORÇAMENTO!$AF$11)),
         0)</f>
        <v>0</v>
      </c>
      <c r="AR89" s="453">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3">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3">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3">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3">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3">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3">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3">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3">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3">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C89" s="171">
        <f ca="1">IF(OR($D89&lt;&gt;"Serviço",AND(AUTOEVENTO="Manual",$M89=$A$15)),0,
         IF(OFFSET(CRONOPLE!$F$15,$M89-$A$15,BC$13)=0,10^12,OFFSET(CRONOPLE!$F$15,$M89-$A$15,BC$13)))</f>
        <v>1</v>
      </c>
      <c r="BD89" s="171">
        <f ca="1">IF(OR($D89&lt;&gt;"Serviço",AND(AUTOEVENTO="Manual",$M89=$A$15)),0,
         IF(OFFSET(CRONOPLE!$F$15,$M89-$A$15,BD$13)=0,10^12,OFFSET(CRONOPLE!$F$15,$M89-$A$15,BD$13)))</f>
        <v>2</v>
      </c>
      <c r="BE89" s="171">
        <f ca="1">IF(OR($D89&lt;&gt;"Serviço",AND(AUTOEVENTO="Manual",$M89=$A$15)),0,
         IF(OFFSET(CRONOPLE!$F$15,$M89-$A$15,BE$13)=0,10^12,OFFSET(CRONOPLE!$F$15,$M89-$A$15,BE$13)))</f>
        <v>3</v>
      </c>
      <c r="BF89" s="171">
        <f ca="1">IF(OR($D89&lt;&gt;"Serviço",AND(AUTOEVENTO="Manual",$M89=$A$15)),0,
         IF(OFFSET(CRONOPLE!$F$15,$M89-$A$15,BF$13)=0,10^12,OFFSET(CRONOPLE!$F$15,$M89-$A$15,BF$13)))</f>
        <v>4</v>
      </c>
      <c r="BG89" s="171">
        <f ca="1">IF(OR($D89&lt;&gt;"Serviço",AND(AUTOEVENTO="Manual",$M89=$A$15)),0,
         IF(OFFSET(CRONOPLE!$F$15,$M89-$A$15,BG$13)=0,10^12,OFFSET(CRONOPLE!$F$15,$M89-$A$15,BG$13)))</f>
        <v>5</v>
      </c>
      <c r="BH89" s="171">
        <f ca="1">IF(OR($D89&lt;&gt;"Serviço",AND(AUTOEVENTO="Manual",$M89=$A$15)),0,
         IF(OFFSET(CRONOPLE!$F$15,$M89-$A$15,BH$13)=0,10^12,OFFSET(CRONOPLE!$F$15,$M89-$A$15,BH$13)))</f>
        <v>6</v>
      </c>
      <c r="BI89" s="171">
        <f ca="1">IF(OR($D89&lt;&gt;"Serviço",AND(AUTOEVENTO="Manual",$M89=$A$15)),0,
         IF(OFFSET(CRONOPLE!$F$15,$M89-$A$15,BI$13)=0,10^12,OFFSET(CRONOPLE!$F$15,$M89-$A$15,BI$13)))</f>
        <v>7</v>
      </c>
      <c r="BJ89" s="171">
        <f ca="1">IF(OR($D89&lt;&gt;"Serviço",AND(AUTOEVENTO="Manual",$M89=$A$15)),0,
         IF(OFFSET(CRONOPLE!$F$15,$M89-$A$15,BJ$13)=0,10^12,OFFSET(CRONOPLE!$F$15,$M89-$A$15,BJ$13)))</f>
        <v>8</v>
      </c>
      <c r="BK89" s="171">
        <f ca="1">IF(OR($D89&lt;&gt;"Serviço",AND(AUTOEVENTO="Manual",$M89=$A$15)),0,
         IF(OFFSET(CRONOPLE!$F$15,$M89-$A$15,BK$13)=0,10^12,OFFSET(CRONOPLE!$F$15,$M89-$A$15,BK$13)))</f>
        <v>9</v>
      </c>
      <c r="BL89" s="171">
        <f ca="1">IF(OR($D89&lt;&gt;"Serviço",AND(AUTOEVENTO="Manual",$M89=$A$15)),0,
         IF(OFFSET(CRONOPLE!$F$15,$M89-$A$15,BL$13)=0,10^12,OFFSET(CRONOPLE!$F$15,$M89-$A$15,BL$13)))</f>
        <v>10</v>
      </c>
      <c r="BM89" s="171">
        <f ca="1">IF(OR($D89&lt;&gt;"Serviço",AND(AUTOEVENTO="Manual",$M89=$A$15)),0,
         IF(OFFSET(CRONOPLE!$F$15,$M89-$A$15,BM$13)=0,10^12,OFFSET(CRONOPLE!$F$15,$M89-$A$15,BM$13)))</f>
        <v>1000000000000</v>
      </c>
      <c r="BN89" s="171">
        <f ca="1">IF(OR($D89&lt;&gt;"Serviço",AND(AUTOEVENTO="Manual",$M89=$A$15)),0,
         IF(OFFSET(CRONOPLE!$F$15,$M89-$A$15,BN$13)=0,10^12,OFFSET(CRONOPLE!$F$15,$M89-$A$15,BN$13)))</f>
        <v>1000000000000</v>
      </c>
      <c r="BO89" s="171">
        <f ca="1">IF(OR($D89&lt;&gt;"Serviço",AND(AUTOEVENTO="Manual",$M89=$A$15)),0,
         IF(OFFSET(CRONOPLE!$F$15,$M89-$A$15,BO$13)=0,10^12,OFFSET(CRONOPLE!$F$15,$M89-$A$15,BO$13)))</f>
        <v>1000000000000</v>
      </c>
      <c r="BP89" s="171">
        <f ca="1">IF(OR($D89&lt;&gt;"Serviço",AND(AUTOEVENTO="Manual",$M89=$A$15)),0,
         IF(OFFSET(CRONOPLE!$F$15,$M89-$A$15,BP$13)=0,10^12,OFFSET(CRONOPLE!$F$15,$M89-$A$15,BP$13)))</f>
        <v>1000000000000</v>
      </c>
      <c r="BQ89" s="171">
        <f ca="1">IF(OR($D89&lt;&gt;"Serviço",AND(AUTOEVENTO="Manual",$M89=$A$15)),0,
         IF(OFFSET(CRONOPLE!$F$15,$M89-$A$15,BQ$13)=0,10^12,OFFSET(CRONOPLE!$F$15,$M89-$A$15,BQ$13)))</f>
        <v>1000000000000</v>
      </c>
      <c r="BR89" s="171">
        <f ca="1">IF(OR($D89&lt;&gt;"Serviço",AND(AUTOEVENTO="Manual",$M89=$A$15)),0,
         IF(OFFSET(CRONOPLE!$F$15,$M89-$A$15,BR$13)=0,10^12,OFFSET(CRONOPLE!$F$15,$M89-$A$15,BR$13)))</f>
        <v>1000000000000</v>
      </c>
      <c r="BS89" s="171">
        <f ca="1">IF(OR($D89&lt;&gt;"Serviço",AND(AUTOEVENTO="Manual",$M89=$A$15)),0,
         IF(OFFSET(CRONOPLE!$F$15,$M89-$A$15,BS$13)=0,10^12,OFFSET(CRONOPLE!$F$15,$M89-$A$15,BS$13)))</f>
        <v>1000000000000</v>
      </c>
      <c r="BT89" s="171">
        <f ca="1">IF(OR($D89&lt;&gt;"Serviço",AND(AUTOEVENTO="Manual",$M89=$A$15)),0,
         IF(OFFSET(CRONOPLE!$F$15,$M89-$A$15,BT$13)=0,10^12,OFFSET(CRONOPLE!$F$15,$M89-$A$15,BT$13)))</f>
        <v>1000000000000</v>
      </c>
      <c r="BV89" s="172">
        <f ca="1">IF(OR($D89&lt;&gt;"Serviço",AND(AUTOEVENTO="Manual",$M89=$A$15),$M89&gt;(ROW(PLE.lastrow)-ROW(PLE.firstrow))),0,
           IF(OFFSET(PLE!$G$15,$M89-$A$15,BV$13)="",10^12,OFFSET(PLE!$G$15,$M89-$A$15,BV$13)))</f>
        <v>1000000000000</v>
      </c>
      <c r="BW89" s="172">
        <f ca="1">IF(OR($D89&lt;&gt;"Serviço",AND(AUTOEVENTO="Manual",$M89=$A$15),$M89&gt;(ROW(PLE.lastrow)-ROW(PLE.firstrow))),0,
           IF(OFFSET(PLE!$G$15,$M89-$A$15,BW$13)="",10^12,OFFSET(PLE!$G$15,$M89-$A$15,BW$13)))</f>
        <v>1000000000000</v>
      </c>
      <c r="BX89" s="172">
        <f ca="1">IF(OR($D89&lt;&gt;"Serviço",AND(AUTOEVENTO="Manual",$M89=$A$15),$M89&gt;(ROW(PLE.lastrow)-ROW(PLE.firstrow))),0,
           IF(OFFSET(PLE!$G$15,$M89-$A$15,BX$13)="",10^12,OFFSET(PLE!$G$15,$M89-$A$15,BX$13)))</f>
        <v>1000000000000</v>
      </c>
      <c r="BY89" s="172">
        <f ca="1">IF(OR($D89&lt;&gt;"Serviço",AND(AUTOEVENTO="Manual",$M89=$A$15),$M89&gt;(ROW(PLE.lastrow)-ROW(PLE.firstrow))),0,
           IF(OFFSET(PLE!$G$15,$M89-$A$15,BY$13)="",10^12,OFFSET(PLE!$G$15,$M89-$A$15,BY$13)))</f>
        <v>1000000000000</v>
      </c>
      <c r="BZ89" s="172">
        <f ca="1">IF(OR($D89&lt;&gt;"Serviço",AND(AUTOEVENTO="Manual",$M89=$A$15),$M89&gt;(ROW(PLE.lastrow)-ROW(PLE.firstrow))),0,
           IF(OFFSET(PLE!$G$15,$M89-$A$15,BZ$13)="",10^12,OFFSET(PLE!$G$15,$M89-$A$15,BZ$13)))</f>
        <v>1000000000000</v>
      </c>
      <c r="CA89" s="172">
        <f ca="1">IF(OR($D89&lt;&gt;"Serviço",AND(AUTOEVENTO="Manual",$M89=$A$15),$M89&gt;(ROW(PLE.lastrow)-ROW(PLE.firstrow))),0,
           IF(OFFSET(PLE!$G$15,$M89-$A$15,CA$13)="",10^12,OFFSET(PLE!$G$15,$M89-$A$15,CA$13)))</f>
        <v>1000000000000</v>
      </c>
      <c r="CB89" s="172">
        <f ca="1">IF(OR($D89&lt;&gt;"Serviço",AND(AUTOEVENTO="Manual",$M89=$A$15),$M89&gt;(ROW(PLE.lastrow)-ROW(PLE.firstrow))),0,
           IF(OFFSET(PLE!$G$15,$M89-$A$15,CB$13)="",10^12,OFFSET(PLE!$G$15,$M89-$A$15,CB$13)))</f>
        <v>1000000000000</v>
      </c>
      <c r="CC89" s="172">
        <f ca="1">IF(OR($D89&lt;&gt;"Serviço",AND(AUTOEVENTO="Manual",$M89=$A$15),$M89&gt;(ROW(PLE.lastrow)-ROW(PLE.firstrow))),0,
           IF(OFFSET(PLE!$G$15,$M89-$A$15,CC$13)="",10^12,OFFSET(PLE!$G$15,$M89-$A$15,CC$13)))</f>
        <v>1000000000000</v>
      </c>
      <c r="CD89" s="172">
        <f ca="1">IF(OR($D89&lt;&gt;"Serviço",AND(AUTOEVENTO="Manual",$M89=$A$15),$M89&gt;(ROW(PLE.lastrow)-ROW(PLE.firstrow))),0,
           IF(OFFSET(PLE!$G$15,$M89-$A$15,CD$13)="",10^12,OFFSET(PLE!$G$15,$M89-$A$15,CD$13)))</f>
        <v>1000000000000</v>
      </c>
      <c r="CE89" s="172">
        <f ca="1">IF(OR($D89&lt;&gt;"Serviço",AND(AUTOEVENTO="Manual",$M89=$A$15),$M89&gt;(ROW(PLE.lastrow)-ROW(PLE.firstrow))),0,
           IF(OFFSET(PLE!$G$15,$M89-$A$15,CE$13)="",10^12,OFFSET(PLE!$G$15,$M89-$A$15,CE$13)))</f>
        <v>1000000000000</v>
      </c>
      <c r="CF89" s="172">
        <f ca="1">IF(OR($D89&lt;&gt;"Serviço",AND(AUTOEVENTO="Manual",$M89=$A$15),$M89&gt;(ROW(PLE.lastrow)-ROW(PLE.firstrow))),0,
           IF(OFFSET(PLE!$G$15,$M89-$A$15,CF$13)="",10^12,OFFSET(PLE!$G$15,$M89-$A$15,CF$13)))</f>
        <v>1000000000000</v>
      </c>
      <c r="CG89" s="172">
        <f ca="1">IF(OR($D89&lt;&gt;"Serviço",AND(AUTOEVENTO="Manual",$M89=$A$15),$M89&gt;(ROW(PLE.lastrow)-ROW(PLE.firstrow))),0,
           IF(OFFSET(PLE!$G$15,$M89-$A$15,CG$13)="",10^12,OFFSET(PLE!$G$15,$M89-$A$15,CG$13)))</f>
        <v>1000000000000</v>
      </c>
      <c r="CH89" s="172">
        <f ca="1">IF(OR($D89&lt;&gt;"Serviço",AND(AUTOEVENTO="Manual",$M89=$A$15),$M89&gt;(ROW(PLE.lastrow)-ROW(PLE.firstrow))),0,
           IF(OFFSET(PLE!$G$15,$M89-$A$15,CH$13)="",10^12,OFFSET(PLE!$G$15,$M89-$A$15,CH$13)))</f>
        <v>1000000000000</v>
      </c>
      <c r="CI89" s="172">
        <f ca="1">IF(OR($D89&lt;&gt;"Serviço",AND(AUTOEVENTO="Manual",$M89=$A$15),$M89&gt;(ROW(PLE.lastrow)-ROW(PLE.firstrow))),0,
           IF(OFFSET(PLE!$G$15,$M89-$A$15,CI$13)="",10^12,OFFSET(PLE!$G$15,$M89-$A$15,CI$13)))</f>
        <v>1000000000000</v>
      </c>
      <c r="CJ89" s="172">
        <f ca="1">IF(OR($D89&lt;&gt;"Serviço",AND(AUTOEVENTO="Manual",$M89=$A$15),$M89&gt;(ROW(PLE.lastrow)-ROW(PLE.firstrow))),0,
           IF(OFFSET(PLE!$G$15,$M89-$A$15,CJ$13)="",10^12,OFFSET(PLE!$G$15,$M89-$A$15,CJ$13)))</f>
        <v>1000000000000</v>
      </c>
      <c r="CK89" s="172">
        <f ca="1">IF(OR($D89&lt;&gt;"Serviço",AND(AUTOEVENTO="Manual",$M89=$A$15),$M89&gt;(ROW(PLE.lastrow)-ROW(PLE.firstrow))),0,
           IF(OFFSET(PLE!$G$15,$M89-$A$15,CK$13)="",10^12,OFFSET(PLE!$G$15,$M89-$A$15,CK$13)))</f>
        <v>1000000000000</v>
      </c>
      <c r="CL89" s="172">
        <f ca="1">IF(OR($D89&lt;&gt;"Serviço",AND(AUTOEVENTO="Manual",$M89=$A$15),$M89&gt;(ROW(PLE.lastrow)-ROW(PLE.firstrow))),0,
           IF(OFFSET(PLE!$G$15,$M89-$A$15,CL$13)="",10^12,OFFSET(PLE!$G$15,$M89-$A$15,CL$13)))</f>
        <v>1000000000000</v>
      </c>
      <c r="CM89" s="172">
        <f ca="1">IF(OR($D89&lt;&gt;"Serviço",AND(AUTOEVENTO="Manual",$M89=$A$15),$M89&gt;(ROW(PLE.lastrow)-ROW(PLE.firstrow))),0,
           IF(OFFSET(PLE!$G$15,$M89-$A$15,CM$13)="",10^12,OFFSET(PLE!$G$15,$M89-$A$15,CM$13)))</f>
        <v>1000000000000</v>
      </c>
    </row>
    <row r="90" spans="1:91" ht="63.75" x14ac:dyDescent="0.2">
      <c r="A90" s="7">
        <f t="shared" ca="1" si="11"/>
        <v>4</v>
      </c>
      <c r="B90" s="7" t="str">
        <f ca="1">OFFSET(ORÇAMENTO!C$15,ROW(B90)-ROW(B$15),0)</f>
        <v>S</v>
      </c>
      <c r="C90" s="7" t="str">
        <f ca="1">OFFSET(ORÇAMENTO!L$15,ROW(C90)-ROW(C$15),0)</f>
        <v>F</v>
      </c>
      <c r="D90" s="116" t="str">
        <f ca="1">OFFSET(ORÇAMENTO!N$15,ROW(D90)-ROW(D$15),0)</f>
        <v>Serviço</v>
      </c>
      <c r="E90" s="117" t="str">
        <f ca="1">OFFSET(ORÇAMENTO!O$15,ROW(E90)-ROW(E$15),0)</f>
        <v>1.5.1.3.3.</v>
      </c>
      <c r="F90" s="163" t="str">
        <f ca="1">OFFSET(ORÇAMENTO!R$15,ROW(F90)-ROW(F$15),0)</f>
        <v xml:space="preserve">LASTRO DE CONCRETO MAGRO, INCLUSIVE TRANSPORTE, LANÇAMENTO E ADENSAMENTO </v>
      </c>
      <c r="G90" s="164" t="str">
        <f ca="1">IF($D90&lt;&gt;"Serviço","",OFFSET(ORÇAMENTO!S$15,ROW(G90)-ROW(G$15),0))</f>
        <v>M3</v>
      </c>
      <c r="H90" s="122" cm="1">
        <f t="array" aca="1" ref="H90" ca="1">IF($D90&lt;&gt;"Serviço",0,IF(ACOMPANHAMENTO="BM",ROUND(OFFSET(ORÇAMENTO!AJ$15,ROW(H90)-ROW(H$15),0),15-13*ORÇAMENTO!$AF$7),SUMPRODUCT(($Q$1:$AI$1=1)*ROUND($Q90:$AI90,15-13*ORÇAMENTO!$AF$7))))</f>
        <v>2.37</v>
      </c>
      <c r="I90" s="468" t="s">
        <v>1310</v>
      </c>
      <c r="J90" s="640" t="str" cm="1">
        <f t="array" aca="1" ref="J90" ca="1">IF(OR(B90&lt;&gt;"S",CÁLCULO.FrentesPreenchidas=0),"",IF(AND(ACOMPANHAMENTO="PLE",AUTOEVENTO="Manual",OR(H90&gt;0,ORÇAMENTO!AC90="QUANT."),OR(K90="",M90=0,N90="")),"►E",IF(AND(ACOMPANHAMENTO="PLE",ORÇAMENTO!AC90="QUANT."),"►Q",IF(AND(ACOMPANHAMENTO="PLE",H90&lt;&gt;SUMPRODUCT(($Q$1:$AI$1=1)*ROUND(Q90:AI90,15))),"►S",IF(AND(COUNTIF($P$11:$AI$11,"▼")=0,H90&gt;0,I90=""),"◄M","")))))</f>
        <v/>
      </c>
      <c r="K90" s="641" t="s">
        <v>1389</v>
      </c>
      <c r="L90" s="165" t="s">
        <v>764</v>
      </c>
      <c r="M90" s="166">
        <f ca="1">IF($D90&lt;&gt;"Serviço","",
          IF(AUTOEVENTO="manual",$A90,
                IF(ISERROR(MATCH($A90,$A$15:OFFSET($A90,-1,0),0)),MAX($M$15:OFFSET(M90,-1,0))+1,
                      INDEX($M$15:OFFSET(M90,-1,0),MATCH($A90,$A$15:OFFSET($A90,-1,0),0)))))</f>
        <v>4</v>
      </c>
      <c r="N90" s="167" t="str">
        <f ca="1">IF($D90&lt;&gt;"Serviço","",
         IF(AUTOEVENTO="Manual",
                IF($A90=0,"&lt;-- defina o número do agrupador",
                       OFFSET(EVENTOS!$D$15,$A90-$A$15,0)),
                OFFSET($F$15,$A90,0)))</f>
        <v>Estruturas de Concreto</v>
      </c>
      <c r="O90" s="168"/>
      <c r="Q90" s="168"/>
      <c r="R90" s="169"/>
      <c r="S90" s="169">
        <f>ROUND(21.53*2.2*0.05,2)</f>
        <v>2.37</v>
      </c>
      <c r="T90" s="169"/>
      <c r="U90" s="169"/>
      <c r="V90" s="169"/>
      <c r="W90" s="169"/>
      <c r="X90" s="169"/>
      <c r="Y90" s="169"/>
      <c r="Z90" s="170"/>
      <c r="AA90" s="169"/>
      <c r="AB90" s="169"/>
      <c r="AC90" s="169"/>
      <c r="AD90" s="169"/>
      <c r="AE90" s="169"/>
      <c r="AF90" s="169"/>
      <c r="AG90" s="169"/>
      <c r="AH90" s="170"/>
      <c r="AJ90" s="453">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0</v>
      </c>
      <c r="AK90" s="453">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0</v>
      </c>
      <c r="AL90" s="453">
        <f ca="1">IF(AND($D90="Serviço",AL$12&lt;&gt;0,$H90&gt;0,OR(AUTOEVENTO&lt;&gt;"manual",$M90&lt;&gt;$A$15)),
        IF(Import.TipoArredondamento&lt;&gt;"TransfereGOV",
              ROUND(OFFSET($P90,0,AL$13),15-13*ORÇAMENTO!$AF$7)/$H90*OFFSET(ORÇAMENTO!$X$15,ROW(AL90)-ROW(AL$15),0),
              ROUND(ROUND(OFFSET($P90,0,AL$13),15-13*ORÇAMENTO!$AF$7)*OFFSET(ORÇAMENTO!$W$15,ROW(AL90)-ROW(AL$15),0),15-13*ORÇAMENTO!$AF$11)),
         0)</f>
        <v>0</v>
      </c>
      <c r="AM90" s="453">
        <f ca="1">IF(AND($D90="Serviço",AM$12&lt;&gt;0,$H90&gt;0,OR(AUTOEVENTO&lt;&gt;"manual",$M90&lt;&gt;$A$15)),
        IF(Import.TipoArredondamento&lt;&gt;"TransfereGOV",
              ROUND(OFFSET($P90,0,AM$13),15-13*ORÇAMENTO!$AF$7)/$H90*OFFSET(ORÇAMENTO!$X$15,ROW(AM90)-ROW(AM$15),0),
              ROUND(ROUND(OFFSET($P90,0,AM$13),15-13*ORÇAMENTO!$AF$7)*OFFSET(ORÇAMENTO!$W$15,ROW(AM90)-ROW(AM$15),0),15-13*ORÇAMENTO!$AF$11)),
         0)</f>
        <v>0</v>
      </c>
      <c r="AN90" s="453">
        <f ca="1">IF(AND($D90="Serviço",AN$12&lt;&gt;0,$H90&gt;0,OR(AUTOEVENTO&lt;&gt;"manual",$M90&lt;&gt;$A$15)),
        IF(Import.TipoArredondamento&lt;&gt;"TransfereGOV",
              ROUND(OFFSET($P90,0,AN$13),15-13*ORÇAMENTO!$AF$7)/$H90*OFFSET(ORÇAMENTO!$X$15,ROW(AN90)-ROW(AN$15),0),
              ROUND(ROUND(OFFSET($P90,0,AN$13),15-13*ORÇAMENTO!$AF$7)*OFFSET(ORÇAMENTO!$W$15,ROW(AN90)-ROW(AN$15),0),15-13*ORÇAMENTO!$AF$11)),
         0)</f>
        <v>0</v>
      </c>
      <c r="AO90" s="453">
        <f ca="1">IF(AND($D90="Serviço",AO$12&lt;&gt;0,$H90&gt;0,OR(AUTOEVENTO&lt;&gt;"manual",$M90&lt;&gt;$A$15)),
        IF(Import.TipoArredondamento&lt;&gt;"TransfereGOV",
              ROUND(OFFSET($P90,0,AO$13),15-13*ORÇAMENTO!$AF$7)/$H90*OFFSET(ORÇAMENTO!$X$15,ROW(AO90)-ROW(AO$15),0),
              ROUND(ROUND(OFFSET($P90,0,AO$13),15-13*ORÇAMENTO!$AF$7)*OFFSET(ORÇAMENTO!$W$15,ROW(AO90)-ROW(AO$15),0),15-13*ORÇAMENTO!$AF$11)),
         0)</f>
        <v>0</v>
      </c>
      <c r="AP90" s="453">
        <f ca="1">IF(AND($D90="Serviço",AP$12&lt;&gt;0,$H90&gt;0,OR(AUTOEVENTO&lt;&gt;"manual",$M90&lt;&gt;$A$15)),
        IF(Import.TipoArredondamento&lt;&gt;"TransfereGOV",
              ROUND(OFFSET($P90,0,AP$13),15-13*ORÇAMENTO!$AF$7)/$H90*OFFSET(ORÇAMENTO!$X$15,ROW(AP90)-ROW(AP$15),0),
              ROUND(ROUND(OFFSET($P90,0,AP$13),15-13*ORÇAMENTO!$AF$7)*OFFSET(ORÇAMENTO!$W$15,ROW(AP90)-ROW(AP$15),0),15-13*ORÇAMENTO!$AF$11)),
         0)</f>
        <v>0</v>
      </c>
      <c r="AQ90" s="453">
        <f ca="1">IF(AND($D90="Serviço",AQ$12&lt;&gt;0,$H90&gt;0,OR(AUTOEVENTO&lt;&gt;"manual",$M90&lt;&gt;$A$15)),
        IF(Import.TipoArredondamento&lt;&gt;"TransfereGOV",
              ROUND(OFFSET($P90,0,AQ$13),15-13*ORÇAMENTO!$AF$7)/$H90*OFFSET(ORÇAMENTO!$X$15,ROW(AQ90)-ROW(AQ$15),0),
              ROUND(ROUND(OFFSET($P90,0,AQ$13),15-13*ORÇAMENTO!$AF$7)*OFFSET(ORÇAMENTO!$W$15,ROW(AQ90)-ROW(AQ$15),0),15-13*ORÇAMENTO!$AF$11)),
         0)</f>
        <v>0</v>
      </c>
      <c r="AR90" s="453">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3">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3">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3">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3">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3">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3">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3">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3">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3">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C90" s="171">
        <f ca="1">IF(OR($D90&lt;&gt;"Serviço",AND(AUTOEVENTO="Manual",$M90=$A$15)),0,
         IF(OFFSET(CRONOPLE!$F$15,$M90-$A$15,BC$13)=0,10^12,OFFSET(CRONOPLE!$F$15,$M90-$A$15,BC$13)))</f>
        <v>1</v>
      </c>
      <c r="BD90" s="171">
        <f ca="1">IF(OR($D90&lt;&gt;"Serviço",AND(AUTOEVENTO="Manual",$M90=$A$15)),0,
         IF(OFFSET(CRONOPLE!$F$15,$M90-$A$15,BD$13)=0,10^12,OFFSET(CRONOPLE!$F$15,$M90-$A$15,BD$13)))</f>
        <v>2</v>
      </c>
      <c r="BE90" s="171">
        <f ca="1">IF(OR($D90&lt;&gt;"Serviço",AND(AUTOEVENTO="Manual",$M90=$A$15)),0,
         IF(OFFSET(CRONOPLE!$F$15,$M90-$A$15,BE$13)=0,10^12,OFFSET(CRONOPLE!$F$15,$M90-$A$15,BE$13)))</f>
        <v>3</v>
      </c>
      <c r="BF90" s="171">
        <f ca="1">IF(OR($D90&lt;&gt;"Serviço",AND(AUTOEVENTO="Manual",$M90=$A$15)),0,
         IF(OFFSET(CRONOPLE!$F$15,$M90-$A$15,BF$13)=0,10^12,OFFSET(CRONOPLE!$F$15,$M90-$A$15,BF$13)))</f>
        <v>4</v>
      </c>
      <c r="BG90" s="171">
        <f ca="1">IF(OR($D90&lt;&gt;"Serviço",AND(AUTOEVENTO="Manual",$M90=$A$15)),0,
         IF(OFFSET(CRONOPLE!$F$15,$M90-$A$15,BG$13)=0,10^12,OFFSET(CRONOPLE!$F$15,$M90-$A$15,BG$13)))</f>
        <v>5</v>
      </c>
      <c r="BH90" s="171">
        <f ca="1">IF(OR($D90&lt;&gt;"Serviço",AND(AUTOEVENTO="Manual",$M90=$A$15)),0,
         IF(OFFSET(CRONOPLE!$F$15,$M90-$A$15,BH$13)=0,10^12,OFFSET(CRONOPLE!$F$15,$M90-$A$15,BH$13)))</f>
        <v>6</v>
      </c>
      <c r="BI90" s="171">
        <f ca="1">IF(OR($D90&lt;&gt;"Serviço",AND(AUTOEVENTO="Manual",$M90=$A$15)),0,
         IF(OFFSET(CRONOPLE!$F$15,$M90-$A$15,BI$13)=0,10^12,OFFSET(CRONOPLE!$F$15,$M90-$A$15,BI$13)))</f>
        <v>7</v>
      </c>
      <c r="BJ90" s="171">
        <f ca="1">IF(OR($D90&lt;&gt;"Serviço",AND(AUTOEVENTO="Manual",$M90=$A$15)),0,
         IF(OFFSET(CRONOPLE!$F$15,$M90-$A$15,BJ$13)=0,10^12,OFFSET(CRONOPLE!$F$15,$M90-$A$15,BJ$13)))</f>
        <v>8</v>
      </c>
      <c r="BK90" s="171">
        <f ca="1">IF(OR($D90&lt;&gt;"Serviço",AND(AUTOEVENTO="Manual",$M90=$A$15)),0,
         IF(OFFSET(CRONOPLE!$F$15,$M90-$A$15,BK$13)=0,10^12,OFFSET(CRONOPLE!$F$15,$M90-$A$15,BK$13)))</f>
        <v>9</v>
      </c>
      <c r="BL90" s="171">
        <f ca="1">IF(OR($D90&lt;&gt;"Serviço",AND(AUTOEVENTO="Manual",$M90=$A$15)),0,
         IF(OFFSET(CRONOPLE!$F$15,$M90-$A$15,BL$13)=0,10^12,OFFSET(CRONOPLE!$F$15,$M90-$A$15,BL$13)))</f>
        <v>10</v>
      </c>
      <c r="BM90" s="171">
        <f ca="1">IF(OR($D90&lt;&gt;"Serviço",AND(AUTOEVENTO="Manual",$M90=$A$15)),0,
         IF(OFFSET(CRONOPLE!$F$15,$M90-$A$15,BM$13)=0,10^12,OFFSET(CRONOPLE!$F$15,$M90-$A$15,BM$13)))</f>
        <v>1000000000000</v>
      </c>
      <c r="BN90" s="171">
        <f ca="1">IF(OR($D90&lt;&gt;"Serviço",AND(AUTOEVENTO="Manual",$M90=$A$15)),0,
         IF(OFFSET(CRONOPLE!$F$15,$M90-$A$15,BN$13)=0,10^12,OFFSET(CRONOPLE!$F$15,$M90-$A$15,BN$13)))</f>
        <v>1000000000000</v>
      </c>
      <c r="BO90" s="171">
        <f ca="1">IF(OR($D90&lt;&gt;"Serviço",AND(AUTOEVENTO="Manual",$M90=$A$15)),0,
         IF(OFFSET(CRONOPLE!$F$15,$M90-$A$15,BO$13)=0,10^12,OFFSET(CRONOPLE!$F$15,$M90-$A$15,BO$13)))</f>
        <v>1000000000000</v>
      </c>
      <c r="BP90" s="171">
        <f ca="1">IF(OR($D90&lt;&gt;"Serviço",AND(AUTOEVENTO="Manual",$M90=$A$15)),0,
         IF(OFFSET(CRONOPLE!$F$15,$M90-$A$15,BP$13)=0,10^12,OFFSET(CRONOPLE!$F$15,$M90-$A$15,BP$13)))</f>
        <v>1000000000000</v>
      </c>
      <c r="BQ90" s="171">
        <f ca="1">IF(OR($D90&lt;&gt;"Serviço",AND(AUTOEVENTO="Manual",$M90=$A$15)),0,
         IF(OFFSET(CRONOPLE!$F$15,$M90-$A$15,BQ$13)=0,10^12,OFFSET(CRONOPLE!$F$15,$M90-$A$15,BQ$13)))</f>
        <v>1000000000000</v>
      </c>
      <c r="BR90" s="171">
        <f ca="1">IF(OR($D90&lt;&gt;"Serviço",AND(AUTOEVENTO="Manual",$M90=$A$15)),0,
         IF(OFFSET(CRONOPLE!$F$15,$M90-$A$15,BR$13)=0,10^12,OFFSET(CRONOPLE!$F$15,$M90-$A$15,BR$13)))</f>
        <v>1000000000000</v>
      </c>
      <c r="BS90" s="171">
        <f ca="1">IF(OR($D90&lt;&gt;"Serviço",AND(AUTOEVENTO="Manual",$M90=$A$15)),0,
         IF(OFFSET(CRONOPLE!$F$15,$M90-$A$15,BS$13)=0,10^12,OFFSET(CRONOPLE!$F$15,$M90-$A$15,BS$13)))</f>
        <v>1000000000000</v>
      </c>
      <c r="BT90" s="171">
        <f ca="1">IF(OR($D90&lt;&gt;"Serviço",AND(AUTOEVENTO="Manual",$M90=$A$15)),0,
         IF(OFFSET(CRONOPLE!$F$15,$M90-$A$15,BT$13)=0,10^12,OFFSET(CRONOPLE!$F$15,$M90-$A$15,BT$13)))</f>
        <v>1000000000000</v>
      </c>
      <c r="BV90" s="172">
        <f ca="1">IF(OR($D90&lt;&gt;"Serviço",AND(AUTOEVENTO="Manual",$M90=$A$15),$M90&gt;(ROW(PLE.lastrow)-ROW(PLE.firstrow))),0,
           IF(OFFSET(PLE!$G$15,$M90-$A$15,BV$13)="",10^12,OFFSET(PLE!$G$15,$M90-$A$15,BV$13)))</f>
        <v>1000000000000</v>
      </c>
      <c r="BW90" s="172">
        <f ca="1">IF(OR($D90&lt;&gt;"Serviço",AND(AUTOEVENTO="Manual",$M90=$A$15),$M90&gt;(ROW(PLE.lastrow)-ROW(PLE.firstrow))),0,
           IF(OFFSET(PLE!$G$15,$M90-$A$15,BW$13)="",10^12,OFFSET(PLE!$G$15,$M90-$A$15,BW$13)))</f>
        <v>1000000000000</v>
      </c>
      <c r="BX90" s="172">
        <f ca="1">IF(OR($D90&lt;&gt;"Serviço",AND(AUTOEVENTO="Manual",$M90=$A$15),$M90&gt;(ROW(PLE.lastrow)-ROW(PLE.firstrow))),0,
           IF(OFFSET(PLE!$G$15,$M90-$A$15,BX$13)="",10^12,OFFSET(PLE!$G$15,$M90-$A$15,BX$13)))</f>
        <v>1000000000000</v>
      </c>
      <c r="BY90" s="172">
        <f ca="1">IF(OR($D90&lt;&gt;"Serviço",AND(AUTOEVENTO="Manual",$M90=$A$15),$M90&gt;(ROW(PLE.lastrow)-ROW(PLE.firstrow))),0,
           IF(OFFSET(PLE!$G$15,$M90-$A$15,BY$13)="",10^12,OFFSET(PLE!$G$15,$M90-$A$15,BY$13)))</f>
        <v>1000000000000</v>
      </c>
      <c r="BZ90" s="172">
        <f ca="1">IF(OR($D90&lt;&gt;"Serviço",AND(AUTOEVENTO="Manual",$M90=$A$15),$M90&gt;(ROW(PLE.lastrow)-ROW(PLE.firstrow))),0,
           IF(OFFSET(PLE!$G$15,$M90-$A$15,BZ$13)="",10^12,OFFSET(PLE!$G$15,$M90-$A$15,BZ$13)))</f>
        <v>1000000000000</v>
      </c>
      <c r="CA90" s="172">
        <f ca="1">IF(OR($D90&lt;&gt;"Serviço",AND(AUTOEVENTO="Manual",$M90=$A$15),$M90&gt;(ROW(PLE.lastrow)-ROW(PLE.firstrow))),0,
           IF(OFFSET(PLE!$G$15,$M90-$A$15,CA$13)="",10^12,OFFSET(PLE!$G$15,$M90-$A$15,CA$13)))</f>
        <v>1000000000000</v>
      </c>
      <c r="CB90" s="172">
        <f ca="1">IF(OR($D90&lt;&gt;"Serviço",AND(AUTOEVENTO="Manual",$M90=$A$15),$M90&gt;(ROW(PLE.lastrow)-ROW(PLE.firstrow))),0,
           IF(OFFSET(PLE!$G$15,$M90-$A$15,CB$13)="",10^12,OFFSET(PLE!$G$15,$M90-$A$15,CB$13)))</f>
        <v>1000000000000</v>
      </c>
      <c r="CC90" s="172">
        <f ca="1">IF(OR($D90&lt;&gt;"Serviço",AND(AUTOEVENTO="Manual",$M90=$A$15),$M90&gt;(ROW(PLE.lastrow)-ROW(PLE.firstrow))),0,
           IF(OFFSET(PLE!$G$15,$M90-$A$15,CC$13)="",10^12,OFFSET(PLE!$G$15,$M90-$A$15,CC$13)))</f>
        <v>1000000000000</v>
      </c>
      <c r="CD90" s="172">
        <f ca="1">IF(OR($D90&lt;&gt;"Serviço",AND(AUTOEVENTO="Manual",$M90=$A$15),$M90&gt;(ROW(PLE.lastrow)-ROW(PLE.firstrow))),0,
           IF(OFFSET(PLE!$G$15,$M90-$A$15,CD$13)="",10^12,OFFSET(PLE!$G$15,$M90-$A$15,CD$13)))</f>
        <v>1000000000000</v>
      </c>
      <c r="CE90" s="172">
        <f ca="1">IF(OR($D90&lt;&gt;"Serviço",AND(AUTOEVENTO="Manual",$M90=$A$15),$M90&gt;(ROW(PLE.lastrow)-ROW(PLE.firstrow))),0,
           IF(OFFSET(PLE!$G$15,$M90-$A$15,CE$13)="",10^12,OFFSET(PLE!$G$15,$M90-$A$15,CE$13)))</f>
        <v>1000000000000</v>
      </c>
      <c r="CF90" s="172">
        <f ca="1">IF(OR($D90&lt;&gt;"Serviço",AND(AUTOEVENTO="Manual",$M90=$A$15),$M90&gt;(ROW(PLE.lastrow)-ROW(PLE.firstrow))),0,
           IF(OFFSET(PLE!$G$15,$M90-$A$15,CF$13)="",10^12,OFFSET(PLE!$G$15,$M90-$A$15,CF$13)))</f>
        <v>1000000000000</v>
      </c>
      <c r="CG90" s="172">
        <f ca="1">IF(OR($D90&lt;&gt;"Serviço",AND(AUTOEVENTO="Manual",$M90=$A$15),$M90&gt;(ROW(PLE.lastrow)-ROW(PLE.firstrow))),0,
           IF(OFFSET(PLE!$G$15,$M90-$A$15,CG$13)="",10^12,OFFSET(PLE!$G$15,$M90-$A$15,CG$13)))</f>
        <v>1000000000000</v>
      </c>
      <c r="CH90" s="172">
        <f ca="1">IF(OR($D90&lt;&gt;"Serviço",AND(AUTOEVENTO="Manual",$M90=$A$15),$M90&gt;(ROW(PLE.lastrow)-ROW(PLE.firstrow))),0,
           IF(OFFSET(PLE!$G$15,$M90-$A$15,CH$13)="",10^12,OFFSET(PLE!$G$15,$M90-$A$15,CH$13)))</f>
        <v>1000000000000</v>
      </c>
      <c r="CI90" s="172">
        <f ca="1">IF(OR($D90&lt;&gt;"Serviço",AND(AUTOEVENTO="Manual",$M90=$A$15),$M90&gt;(ROW(PLE.lastrow)-ROW(PLE.firstrow))),0,
           IF(OFFSET(PLE!$G$15,$M90-$A$15,CI$13)="",10^12,OFFSET(PLE!$G$15,$M90-$A$15,CI$13)))</f>
        <v>1000000000000</v>
      </c>
      <c r="CJ90" s="172">
        <f ca="1">IF(OR($D90&lt;&gt;"Serviço",AND(AUTOEVENTO="Manual",$M90=$A$15),$M90&gt;(ROW(PLE.lastrow)-ROW(PLE.firstrow))),0,
           IF(OFFSET(PLE!$G$15,$M90-$A$15,CJ$13)="",10^12,OFFSET(PLE!$G$15,$M90-$A$15,CJ$13)))</f>
        <v>1000000000000</v>
      </c>
      <c r="CK90" s="172">
        <f ca="1">IF(OR($D90&lt;&gt;"Serviço",AND(AUTOEVENTO="Manual",$M90=$A$15),$M90&gt;(ROW(PLE.lastrow)-ROW(PLE.firstrow))),0,
           IF(OFFSET(PLE!$G$15,$M90-$A$15,CK$13)="",10^12,OFFSET(PLE!$G$15,$M90-$A$15,CK$13)))</f>
        <v>1000000000000</v>
      </c>
      <c r="CL90" s="172">
        <f ca="1">IF(OR($D90&lt;&gt;"Serviço",AND(AUTOEVENTO="Manual",$M90=$A$15),$M90&gt;(ROW(PLE.lastrow)-ROW(PLE.firstrow))),0,
           IF(OFFSET(PLE!$G$15,$M90-$A$15,CL$13)="",10^12,OFFSET(PLE!$G$15,$M90-$A$15,CL$13)))</f>
        <v>1000000000000</v>
      </c>
      <c r="CM90" s="172">
        <f ca="1">IF(OR($D90&lt;&gt;"Serviço",AND(AUTOEVENTO="Manual",$M90=$A$15),$M90&gt;(ROW(PLE.lastrow)-ROW(PLE.firstrow))),0,
           IF(OFFSET(PLE!$G$15,$M90-$A$15,CM$13)="",10^12,OFFSET(PLE!$G$15,$M90-$A$15,CM$13)))</f>
        <v>1000000000000</v>
      </c>
    </row>
    <row r="91" spans="1:91" ht="63.75" x14ac:dyDescent="0.2">
      <c r="A91" s="7">
        <f t="shared" ca="1" si="11"/>
        <v>4</v>
      </c>
      <c r="B91" s="7" t="str">
        <f ca="1">OFFSET(ORÇAMENTO!C$15,ROW(B91)-ROW(B$15),0)</f>
        <v>S</v>
      </c>
      <c r="C91" s="7" t="str">
        <f ca="1">OFFSET(ORÇAMENTO!L$15,ROW(C91)-ROW(C$15),0)</f>
        <v>F</v>
      </c>
      <c r="D91" s="116" t="str">
        <f ca="1">OFFSET(ORÇAMENTO!N$15,ROW(D91)-ROW(D$15),0)</f>
        <v>Serviço</v>
      </c>
      <c r="E91" s="117" t="str">
        <f ca="1">OFFSET(ORÇAMENTO!O$15,ROW(E91)-ROW(E$15),0)</f>
        <v>1.5.1.3.4.</v>
      </c>
      <c r="F91" s="163" t="str">
        <f ca="1">OFFSET(ORÇAMENTO!R$15,ROW(F91)-ROW(F$15),0)</f>
        <v>FÔRMAS DE COMPENSADO RESINADO 10 MM - USO GERAL - UTILIZAÇÃO DE 3 VEZES - CONFECÇÃO, INSTALAÇÃO E RETIRADA</v>
      </c>
      <c r="G91" s="164" t="str">
        <f ca="1">IF($D91&lt;&gt;"Serviço","",OFFSET(ORÇAMENTO!S$15,ROW(G91)-ROW(G$15),0))</f>
        <v>M2</v>
      </c>
      <c r="H91" s="122" cm="1">
        <f t="array" aca="1" ref="H91" ca="1">IF($D91&lt;&gt;"Serviço",0,IF(ACOMPANHAMENTO="BM",ROUND(OFFSET(ORÇAMENTO!AJ$15,ROW(H91)-ROW(H$15),0),15-13*ORÇAMENTO!$AF$7),SUMPRODUCT(($Q$1:$AI$1=1)*ROUND($Q91:$AI91,15-13*ORÇAMENTO!$AF$7))))</f>
        <v>775.1</v>
      </c>
      <c r="I91" s="468" t="s">
        <v>1310</v>
      </c>
      <c r="J91" s="640" t="str" cm="1">
        <f t="array" aca="1" ref="J91" ca="1">IF(OR(B91&lt;&gt;"S",CÁLCULO.FrentesPreenchidas=0),"",IF(AND(ACOMPANHAMENTO="PLE",AUTOEVENTO="Manual",OR(H91&gt;0,ORÇAMENTO!AC91="QUANT."),OR(K91="",M91=0,N91="")),"►E",IF(AND(ACOMPANHAMENTO="PLE",ORÇAMENTO!AC91="QUANT."),"►Q",IF(AND(ACOMPANHAMENTO="PLE",H91&lt;&gt;SUMPRODUCT(($Q$1:$AI$1=1)*ROUND(Q91:AI91,15))),"►S",IF(AND(COUNTIF($P$11:$AI$11,"▼")=0,H91&gt;0,I91=""),"◄M","")))))</f>
        <v/>
      </c>
      <c r="K91" s="641" t="s">
        <v>1389</v>
      </c>
      <c r="L91" s="165" t="s">
        <v>764</v>
      </c>
      <c r="M91" s="166">
        <f ca="1">IF($D91&lt;&gt;"Serviço","",
          IF(AUTOEVENTO="manual",$A91,
                IF(ISERROR(MATCH($A91,$A$15:OFFSET($A91,-1,0),0)),MAX($M$15:OFFSET(M91,-1,0))+1,
                      INDEX($M$15:OFFSET(M91,-1,0),MATCH($A91,$A$15:OFFSET($A91,-1,0),0)))))</f>
        <v>4</v>
      </c>
      <c r="N91" s="167" t="str">
        <f ca="1">IF($D91&lt;&gt;"Serviço","",
         IF(AUTOEVENTO="Manual",
                IF($A91=0,"&lt;-- defina o número do agrupador",
                       OFFSET(EVENTOS!$D$15,$A91-$A$15,0)),
                OFFSET($F$15,$A91,0)))</f>
        <v>Estruturas de Concreto</v>
      </c>
      <c r="O91" s="168"/>
      <c r="Q91" s="168"/>
      <c r="R91" s="169"/>
      <c r="S91" s="169">
        <v>775.1</v>
      </c>
      <c r="T91" s="169"/>
      <c r="U91" s="169"/>
      <c r="V91" s="169"/>
      <c r="W91" s="169"/>
      <c r="X91" s="169"/>
      <c r="Y91" s="169"/>
      <c r="Z91" s="170"/>
      <c r="AA91" s="169"/>
      <c r="AB91" s="169"/>
      <c r="AC91" s="169"/>
      <c r="AD91" s="169"/>
      <c r="AE91" s="169"/>
      <c r="AF91" s="169"/>
      <c r="AG91" s="169"/>
      <c r="AH91" s="170"/>
      <c r="AJ91" s="453">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0</v>
      </c>
      <c r="AK91" s="453">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0</v>
      </c>
      <c r="AL91" s="453">
        <f ca="1">IF(AND($D91="Serviço",AL$12&lt;&gt;0,$H91&gt;0,OR(AUTOEVENTO&lt;&gt;"manual",$M91&lt;&gt;$A$15)),
        IF(Import.TipoArredondamento&lt;&gt;"TransfereGOV",
              ROUND(OFFSET($P91,0,AL$13),15-13*ORÇAMENTO!$AF$7)/$H91*OFFSET(ORÇAMENTO!$X$15,ROW(AL91)-ROW(AL$15),0),
              ROUND(ROUND(OFFSET($P91,0,AL$13),15-13*ORÇAMENTO!$AF$7)*OFFSET(ORÇAMENTO!$W$15,ROW(AL91)-ROW(AL$15),0),15-13*ORÇAMENTO!$AF$11)),
         0)</f>
        <v>0</v>
      </c>
      <c r="AM91" s="453">
        <f ca="1">IF(AND($D91="Serviço",AM$12&lt;&gt;0,$H91&gt;0,OR(AUTOEVENTO&lt;&gt;"manual",$M91&lt;&gt;$A$15)),
        IF(Import.TipoArredondamento&lt;&gt;"TransfereGOV",
              ROUND(OFFSET($P91,0,AM$13),15-13*ORÇAMENTO!$AF$7)/$H91*OFFSET(ORÇAMENTO!$X$15,ROW(AM91)-ROW(AM$15),0),
              ROUND(ROUND(OFFSET($P91,0,AM$13),15-13*ORÇAMENTO!$AF$7)*OFFSET(ORÇAMENTO!$W$15,ROW(AM91)-ROW(AM$15),0),15-13*ORÇAMENTO!$AF$11)),
         0)</f>
        <v>0</v>
      </c>
      <c r="AN91" s="453">
        <f ca="1">IF(AND($D91="Serviço",AN$12&lt;&gt;0,$H91&gt;0,OR(AUTOEVENTO&lt;&gt;"manual",$M91&lt;&gt;$A$15)),
        IF(Import.TipoArredondamento&lt;&gt;"TransfereGOV",
              ROUND(OFFSET($P91,0,AN$13),15-13*ORÇAMENTO!$AF$7)/$H91*OFFSET(ORÇAMENTO!$X$15,ROW(AN91)-ROW(AN$15),0),
              ROUND(ROUND(OFFSET($P91,0,AN$13),15-13*ORÇAMENTO!$AF$7)*OFFSET(ORÇAMENTO!$W$15,ROW(AN91)-ROW(AN$15),0),15-13*ORÇAMENTO!$AF$11)),
         0)</f>
        <v>0</v>
      </c>
      <c r="AO91" s="453">
        <f ca="1">IF(AND($D91="Serviço",AO$12&lt;&gt;0,$H91&gt;0,OR(AUTOEVENTO&lt;&gt;"manual",$M91&lt;&gt;$A$15)),
        IF(Import.TipoArredondamento&lt;&gt;"TransfereGOV",
              ROUND(OFFSET($P91,0,AO$13),15-13*ORÇAMENTO!$AF$7)/$H91*OFFSET(ORÇAMENTO!$X$15,ROW(AO91)-ROW(AO$15),0),
              ROUND(ROUND(OFFSET($P91,0,AO$13),15-13*ORÇAMENTO!$AF$7)*OFFSET(ORÇAMENTO!$W$15,ROW(AO91)-ROW(AO$15),0),15-13*ORÇAMENTO!$AF$11)),
         0)</f>
        <v>0</v>
      </c>
      <c r="AP91" s="453">
        <f ca="1">IF(AND($D91="Serviço",AP$12&lt;&gt;0,$H91&gt;0,OR(AUTOEVENTO&lt;&gt;"manual",$M91&lt;&gt;$A$15)),
        IF(Import.TipoArredondamento&lt;&gt;"TransfereGOV",
              ROUND(OFFSET($P91,0,AP$13),15-13*ORÇAMENTO!$AF$7)/$H91*OFFSET(ORÇAMENTO!$X$15,ROW(AP91)-ROW(AP$15),0),
              ROUND(ROUND(OFFSET($P91,0,AP$13),15-13*ORÇAMENTO!$AF$7)*OFFSET(ORÇAMENTO!$W$15,ROW(AP91)-ROW(AP$15),0),15-13*ORÇAMENTO!$AF$11)),
         0)</f>
        <v>0</v>
      </c>
      <c r="AQ91" s="453">
        <f ca="1">IF(AND($D91="Serviço",AQ$12&lt;&gt;0,$H91&gt;0,OR(AUTOEVENTO&lt;&gt;"manual",$M91&lt;&gt;$A$15)),
        IF(Import.TipoArredondamento&lt;&gt;"TransfereGOV",
              ROUND(OFFSET($P91,0,AQ$13),15-13*ORÇAMENTO!$AF$7)/$H91*OFFSET(ORÇAMENTO!$X$15,ROW(AQ91)-ROW(AQ$15),0),
              ROUND(ROUND(OFFSET($P91,0,AQ$13),15-13*ORÇAMENTO!$AF$7)*OFFSET(ORÇAMENTO!$W$15,ROW(AQ91)-ROW(AQ$15),0),15-13*ORÇAMENTO!$AF$11)),
         0)</f>
        <v>0</v>
      </c>
      <c r="AR91" s="453">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3">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3">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3">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3">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3">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3">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3">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3">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3">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C91" s="171">
        <f ca="1">IF(OR($D91&lt;&gt;"Serviço",AND(AUTOEVENTO="Manual",$M91=$A$15)),0,
         IF(OFFSET(CRONOPLE!$F$15,$M91-$A$15,BC$13)=0,10^12,OFFSET(CRONOPLE!$F$15,$M91-$A$15,BC$13)))</f>
        <v>1</v>
      </c>
      <c r="BD91" s="171">
        <f ca="1">IF(OR($D91&lt;&gt;"Serviço",AND(AUTOEVENTO="Manual",$M91=$A$15)),0,
         IF(OFFSET(CRONOPLE!$F$15,$M91-$A$15,BD$13)=0,10^12,OFFSET(CRONOPLE!$F$15,$M91-$A$15,BD$13)))</f>
        <v>2</v>
      </c>
      <c r="BE91" s="171">
        <f ca="1">IF(OR($D91&lt;&gt;"Serviço",AND(AUTOEVENTO="Manual",$M91=$A$15)),0,
         IF(OFFSET(CRONOPLE!$F$15,$M91-$A$15,BE$13)=0,10^12,OFFSET(CRONOPLE!$F$15,$M91-$A$15,BE$13)))</f>
        <v>3</v>
      </c>
      <c r="BF91" s="171">
        <f ca="1">IF(OR($D91&lt;&gt;"Serviço",AND(AUTOEVENTO="Manual",$M91=$A$15)),0,
         IF(OFFSET(CRONOPLE!$F$15,$M91-$A$15,BF$13)=0,10^12,OFFSET(CRONOPLE!$F$15,$M91-$A$15,BF$13)))</f>
        <v>4</v>
      </c>
      <c r="BG91" s="171">
        <f ca="1">IF(OR($D91&lt;&gt;"Serviço",AND(AUTOEVENTO="Manual",$M91=$A$15)),0,
         IF(OFFSET(CRONOPLE!$F$15,$M91-$A$15,BG$13)=0,10^12,OFFSET(CRONOPLE!$F$15,$M91-$A$15,BG$13)))</f>
        <v>5</v>
      </c>
      <c r="BH91" s="171">
        <f ca="1">IF(OR($D91&lt;&gt;"Serviço",AND(AUTOEVENTO="Manual",$M91=$A$15)),0,
         IF(OFFSET(CRONOPLE!$F$15,$M91-$A$15,BH$13)=0,10^12,OFFSET(CRONOPLE!$F$15,$M91-$A$15,BH$13)))</f>
        <v>6</v>
      </c>
      <c r="BI91" s="171">
        <f ca="1">IF(OR($D91&lt;&gt;"Serviço",AND(AUTOEVENTO="Manual",$M91=$A$15)),0,
         IF(OFFSET(CRONOPLE!$F$15,$M91-$A$15,BI$13)=0,10^12,OFFSET(CRONOPLE!$F$15,$M91-$A$15,BI$13)))</f>
        <v>7</v>
      </c>
      <c r="BJ91" s="171">
        <f ca="1">IF(OR($D91&lt;&gt;"Serviço",AND(AUTOEVENTO="Manual",$M91=$A$15)),0,
         IF(OFFSET(CRONOPLE!$F$15,$M91-$A$15,BJ$13)=0,10^12,OFFSET(CRONOPLE!$F$15,$M91-$A$15,BJ$13)))</f>
        <v>8</v>
      </c>
      <c r="BK91" s="171">
        <f ca="1">IF(OR($D91&lt;&gt;"Serviço",AND(AUTOEVENTO="Manual",$M91=$A$15)),0,
         IF(OFFSET(CRONOPLE!$F$15,$M91-$A$15,BK$13)=0,10^12,OFFSET(CRONOPLE!$F$15,$M91-$A$15,BK$13)))</f>
        <v>9</v>
      </c>
      <c r="BL91" s="171">
        <f ca="1">IF(OR($D91&lt;&gt;"Serviço",AND(AUTOEVENTO="Manual",$M91=$A$15)),0,
         IF(OFFSET(CRONOPLE!$F$15,$M91-$A$15,BL$13)=0,10^12,OFFSET(CRONOPLE!$F$15,$M91-$A$15,BL$13)))</f>
        <v>10</v>
      </c>
      <c r="BM91" s="171">
        <f ca="1">IF(OR($D91&lt;&gt;"Serviço",AND(AUTOEVENTO="Manual",$M91=$A$15)),0,
         IF(OFFSET(CRONOPLE!$F$15,$M91-$A$15,BM$13)=0,10^12,OFFSET(CRONOPLE!$F$15,$M91-$A$15,BM$13)))</f>
        <v>1000000000000</v>
      </c>
      <c r="BN91" s="171">
        <f ca="1">IF(OR($D91&lt;&gt;"Serviço",AND(AUTOEVENTO="Manual",$M91=$A$15)),0,
         IF(OFFSET(CRONOPLE!$F$15,$M91-$A$15,BN$13)=0,10^12,OFFSET(CRONOPLE!$F$15,$M91-$A$15,BN$13)))</f>
        <v>1000000000000</v>
      </c>
      <c r="BO91" s="171">
        <f ca="1">IF(OR($D91&lt;&gt;"Serviço",AND(AUTOEVENTO="Manual",$M91=$A$15)),0,
         IF(OFFSET(CRONOPLE!$F$15,$M91-$A$15,BO$13)=0,10^12,OFFSET(CRONOPLE!$F$15,$M91-$A$15,BO$13)))</f>
        <v>1000000000000</v>
      </c>
      <c r="BP91" s="171">
        <f ca="1">IF(OR($D91&lt;&gt;"Serviço",AND(AUTOEVENTO="Manual",$M91=$A$15)),0,
         IF(OFFSET(CRONOPLE!$F$15,$M91-$A$15,BP$13)=0,10^12,OFFSET(CRONOPLE!$F$15,$M91-$A$15,BP$13)))</f>
        <v>1000000000000</v>
      </c>
      <c r="BQ91" s="171">
        <f ca="1">IF(OR($D91&lt;&gt;"Serviço",AND(AUTOEVENTO="Manual",$M91=$A$15)),0,
         IF(OFFSET(CRONOPLE!$F$15,$M91-$A$15,BQ$13)=0,10^12,OFFSET(CRONOPLE!$F$15,$M91-$A$15,BQ$13)))</f>
        <v>1000000000000</v>
      </c>
      <c r="BR91" s="171">
        <f ca="1">IF(OR($D91&lt;&gt;"Serviço",AND(AUTOEVENTO="Manual",$M91=$A$15)),0,
         IF(OFFSET(CRONOPLE!$F$15,$M91-$A$15,BR$13)=0,10^12,OFFSET(CRONOPLE!$F$15,$M91-$A$15,BR$13)))</f>
        <v>1000000000000</v>
      </c>
      <c r="BS91" s="171">
        <f ca="1">IF(OR($D91&lt;&gt;"Serviço",AND(AUTOEVENTO="Manual",$M91=$A$15)),0,
         IF(OFFSET(CRONOPLE!$F$15,$M91-$A$15,BS$13)=0,10^12,OFFSET(CRONOPLE!$F$15,$M91-$A$15,BS$13)))</f>
        <v>1000000000000</v>
      </c>
      <c r="BT91" s="171">
        <f ca="1">IF(OR($D91&lt;&gt;"Serviço",AND(AUTOEVENTO="Manual",$M91=$A$15)),0,
         IF(OFFSET(CRONOPLE!$F$15,$M91-$A$15,BT$13)=0,10^12,OFFSET(CRONOPLE!$F$15,$M91-$A$15,BT$13)))</f>
        <v>1000000000000</v>
      </c>
      <c r="BV91" s="172">
        <f ca="1">IF(OR($D91&lt;&gt;"Serviço",AND(AUTOEVENTO="Manual",$M91=$A$15),$M91&gt;(ROW(PLE.lastrow)-ROW(PLE.firstrow))),0,
           IF(OFFSET(PLE!$G$15,$M91-$A$15,BV$13)="",10^12,OFFSET(PLE!$G$15,$M91-$A$15,BV$13)))</f>
        <v>1000000000000</v>
      </c>
      <c r="BW91" s="172">
        <f ca="1">IF(OR($D91&lt;&gt;"Serviço",AND(AUTOEVENTO="Manual",$M91=$A$15),$M91&gt;(ROW(PLE.lastrow)-ROW(PLE.firstrow))),0,
           IF(OFFSET(PLE!$G$15,$M91-$A$15,BW$13)="",10^12,OFFSET(PLE!$G$15,$M91-$A$15,BW$13)))</f>
        <v>1000000000000</v>
      </c>
      <c r="BX91" s="172">
        <f ca="1">IF(OR($D91&lt;&gt;"Serviço",AND(AUTOEVENTO="Manual",$M91=$A$15),$M91&gt;(ROW(PLE.lastrow)-ROW(PLE.firstrow))),0,
           IF(OFFSET(PLE!$G$15,$M91-$A$15,BX$13)="",10^12,OFFSET(PLE!$G$15,$M91-$A$15,BX$13)))</f>
        <v>1000000000000</v>
      </c>
      <c r="BY91" s="172">
        <f ca="1">IF(OR($D91&lt;&gt;"Serviço",AND(AUTOEVENTO="Manual",$M91=$A$15),$M91&gt;(ROW(PLE.lastrow)-ROW(PLE.firstrow))),0,
           IF(OFFSET(PLE!$G$15,$M91-$A$15,BY$13)="",10^12,OFFSET(PLE!$G$15,$M91-$A$15,BY$13)))</f>
        <v>1000000000000</v>
      </c>
      <c r="BZ91" s="172">
        <f ca="1">IF(OR($D91&lt;&gt;"Serviço",AND(AUTOEVENTO="Manual",$M91=$A$15),$M91&gt;(ROW(PLE.lastrow)-ROW(PLE.firstrow))),0,
           IF(OFFSET(PLE!$G$15,$M91-$A$15,BZ$13)="",10^12,OFFSET(PLE!$G$15,$M91-$A$15,BZ$13)))</f>
        <v>1000000000000</v>
      </c>
      <c r="CA91" s="172">
        <f ca="1">IF(OR($D91&lt;&gt;"Serviço",AND(AUTOEVENTO="Manual",$M91=$A$15),$M91&gt;(ROW(PLE.lastrow)-ROW(PLE.firstrow))),0,
           IF(OFFSET(PLE!$G$15,$M91-$A$15,CA$13)="",10^12,OFFSET(PLE!$G$15,$M91-$A$15,CA$13)))</f>
        <v>1000000000000</v>
      </c>
      <c r="CB91" s="172">
        <f ca="1">IF(OR($D91&lt;&gt;"Serviço",AND(AUTOEVENTO="Manual",$M91=$A$15),$M91&gt;(ROW(PLE.lastrow)-ROW(PLE.firstrow))),0,
           IF(OFFSET(PLE!$G$15,$M91-$A$15,CB$13)="",10^12,OFFSET(PLE!$G$15,$M91-$A$15,CB$13)))</f>
        <v>1000000000000</v>
      </c>
      <c r="CC91" s="172">
        <f ca="1">IF(OR($D91&lt;&gt;"Serviço",AND(AUTOEVENTO="Manual",$M91=$A$15),$M91&gt;(ROW(PLE.lastrow)-ROW(PLE.firstrow))),0,
           IF(OFFSET(PLE!$G$15,$M91-$A$15,CC$13)="",10^12,OFFSET(PLE!$G$15,$M91-$A$15,CC$13)))</f>
        <v>1000000000000</v>
      </c>
      <c r="CD91" s="172">
        <f ca="1">IF(OR($D91&lt;&gt;"Serviço",AND(AUTOEVENTO="Manual",$M91=$A$15),$M91&gt;(ROW(PLE.lastrow)-ROW(PLE.firstrow))),0,
           IF(OFFSET(PLE!$G$15,$M91-$A$15,CD$13)="",10^12,OFFSET(PLE!$G$15,$M91-$A$15,CD$13)))</f>
        <v>1000000000000</v>
      </c>
      <c r="CE91" s="172">
        <f ca="1">IF(OR($D91&lt;&gt;"Serviço",AND(AUTOEVENTO="Manual",$M91=$A$15),$M91&gt;(ROW(PLE.lastrow)-ROW(PLE.firstrow))),0,
           IF(OFFSET(PLE!$G$15,$M91-$A$15,CE$13)="",10^12,OFFSET(PLE!$G$15,$M91-$A$15,CE$13)))</f>
        <v>1000000000000</v>
      </c>
      <c r="CF91" s="172">
        <f ca="1">IF(OR($D91&lt;&gt;"Serviço",AND(AUTOEVENTO="Manual",$M91=$A$15),$M91&gt;(ROW(PLE.lastrow)-ROW(PLE.firstrow))),0,
           IF(OFFSET(PLE!$G$15,$M91-$A$15,CF$13)="",10^12,OFFSET(PLE!$G$15,$M91-$A$15,CF$13)))</f>
        <v>1000000000000</v>
      </c>
      <c r="CG91" s="172">
        <f ca="1">IF(OR($D91&lt;&gt;"Serviço",AND(AUTOEVENTO="Manual",$M91=$A$15),$M91&gt;(ROW(PLE.lastrow)-ROW(PLE.firstrow))),0,
           IF(OFFSET(PLE!$G$15,$M91-$A$15,CG$13)="",10^12,OFFSET(PLE!$G$15,$M91-$A$15,CG$13)))</f>
        <v>1000000000000</v>
      </c>
      <c r="CH91" s="172">
        <f ca="1">IF(OR($D91&lt;&gt;"Serviço",AND(AUTOEVENTO="Manual",$M91=$A$15),$M91&gt;(ROW(PLE.lastrow)-ROW(PLE.firstrow))),0,
           IF(OFFSET(PLE!$G$15,$M91-$A$15,CH$13)="",10^12,OFFSET(PLE!$G$15,$M91-$A$15,CH$13)))</f>
        <v>1000000000000</v>
      </c>
      <c r="CI91" s="172">
        <f ca="1">IF(OR($D91&lt;&gt;"Serviço",AND(AUTOEVENTO="Manual",$M91=$A$15),$M91&gt;(ROW(PLE.lastrow)-ROW(PLE.firstrow))),0,
           IF(OFFSET(PLE!$G$15,$M91-$A$15,CI$13)="",10^12,OFFSET(PLE!$G$15,$M91-$A$15,CI$13)))</f>
        <v>1000000000000</v>
      </c>
      <c r="CJ91" s="172">
        <f ca="1">IF(OR($D91&lt;&gt;"Serviço",AND(AUTOEVENTO="Manual",$M91=$A$15),$M91&gt;(ROW(PLE.lastrow)-ROW(PLE.firstrow))),0,
           IF(OFFSET(PLE!$G$15,$M91-$A$15,CJ$13)="",10^12,OFFSET(PLE!$G$15,$M91-$A$15,CJ$13)))</f>
        <v>1000000000000</v>
      </c>
      <c r="CK91" s="172">
        <f ca="1">IF(OR($D91&lt;&gt;"Serviço",AND(AUTOEVENTO="Manual",$M91=$A$15),$M91&gt;(ROW(PLE.lastrow)-ROW(PLE.firstrow))),0,
           IF(OFFSET(PLE!$G$15,$M91-$A$15,CK$13)="",10^12,OFFSET(PLE!$G$15,$M91-$A$15,CK$13)))</f>
        <v>1000000000000</v>
      </c>
      <c r="CL91" s="172">
        <f ca="1">IF(OR($D91&lt;&gt;"Serviço",AND(AUTOEVENTO="Manual",$M91=$A$15),$M91&gt;(ROW(PLE.lastrow)-ROW(PLE.firstrow))),0,
           IF(OFFSET(PLE!$G$15,$M91-$A$15,CL$13)="",10^12,OFFSET(PLE!$G$15,$M91-$A$15,CL$13)))</f>
        <v>1000000000000</v>
      </c>
      <c r="CM91" s="172">
        <f ca="1">IF(OR($D91&lt;&gt;"Serviço",AND(AUTOEVENTO="Manual",$M91=$A$15),$M91&gt;(ROW(PLE.lastrow)-ROW(PLE.firstrow))),0,
           IF(OFFSET(PLE!$G$15,$M91-$A$15,CM$13)="",10^12,OFFSET(PLE!$G$15,$M91-$A$15,CM$13)))</f>
        <v>1000000000000</v>
      </c>
    </row>
    <row r="92" spans="1:91" ht="51" x14ac:dyDescent="0.2">
      <c r="A92" s="7">
        <f t="shared" ca="1" si="11"/>
        <v>4</v>
      </c>
      <c r="B92" s="7" t="str">
        <f ca="1">OFFSET(ORÇAMENTO!C$15,ROW(B92)-ROW(B$15),0)</f>
        <v>S</v>
      </c>
      <c r="C92" s="7" t="str">
        <f ca="1">OFFSET(ORÇAMENTO!L$15,ROW(C92)-ROW(C$15),0)</f>
        <v>F</v>
      </c>
      <c r="D92" s="116" t="str">
        <f ca="1">OFFSET(ORÇAMENTO!N$15,ROW(D92)-ROW(D$15),0)</f>
        <v>Serviço</v>
      </c>
      <c r="E92" s="117" t="str">
        <f ca="1">OFFSET(ORÇAMENTO!O$15,ROW(E92)-ROW(E$15),0)</f>
        <v>1.5.1.3.5.</v>
      </c>
      <c r="F92" s="163" t="str">
        <f ca="1">OFFSET(ORÇAMENTO!R$15,ROW(F92)-ROW(F$15),0)</f>
        <v>REATERRO MANUAL DE VALAS, COM PLACA VIBRATÓRIA. AF_08/2023</v>
      </c>
      <c r="G92" s="164" t="str">
        <f ca="1">IF($D92&lt;&gt;"Serviço","",OFFSET(ORÇAMENTO!S$15,ROW(G92)-ROW(G$15),0))</f>
        <v>M3</v>
      </c>
      <c r="H92" s="122" cm="1">
        <f t="array" aca="1" ref="H92" ca="1">IF($D92&lt;&gt;"Serviço",0,IF(ACOMPANHAMENTO="BM",ROUND(OFFSET(ORÇAMENTO!AJ$15,ROW(H92)-ROW(H$15),0),15-13*ORÇAMENTO!$AF$7),SUMPRODUCT(($Q$1:$AI$1=1)*ROUND($Q92:$AI92,15-13*ORÇAMENTO!$AF$7))))</f>
        <v>1834.92</v>
      </c>
      <c r="I92" s="468" t="s">
        <v>1315</v>
      </c>
      <c r="J92" s="640" t="str" cm="1">
        <f t="array" aca="1" ref="J92" ca="1">IF(OR(B92&lt;&gt;"S",CÁLCULO.FrentesPreenchidas=0),"",IF(AND(ACOMPANHAMENTO="PLE",AUTOEVENTO="Manual",OR(H92&gt;0,ORÇAMENTO!AC92="QUANT."),OR(K92="",M92=0,N92="")),"►E",IF(AND(ACOMPANHAMENTO="PLE",ORÇAMENTO!AC92="QUANT."),"►Q",IF(AND(ACOMPANHAMENTO="PLE",H92&lt;&gt;SUMPRODUCT(($Q$1:$AI$1=1)*ROUND(Q92:AI92,15))),"►S",IF(AND(COUNTIF($P$11:$AI$11,"▼")=0,H92&gt;0,I92=""),"◄M","")))))</f>
        <v/>
      </c>
      <c r="K92" s="641" t="s">
        <v>1389</v>
      </c>
      <c r="L92" s="165" t="s">
        <v>764</v>
      </c>
      <c r="M92" s="166">
        <f ca="1">IF($D92&lt;&gt;"Serviço","",
          IF(AUTOEVENTO="manual",$A92,
                IF(ISERROR(MATCH($A92,$A$15:OFFSET($A92,-1,0),0)),MAX($M$15:OFFSET(M92,-1,0))+1,
                      INDEX($M$15:OFFSET(M92,-1,0),MATCH($A92,$A$15:OFFSET($A92,-1,0),0)))))</f>
        <v>4</v>
      </c>
      <c r="N92" s="167" t="str">
        <f ca="1">IF($D92&lt;&gt;"Serviço","",
         IF(AUTOEVENTO="Manual",
                IF($A92=0,"&lt;-- defina o número do agrupador",
                       OFFSET(EVENTOS!$D$15,$A92-$A$15,0)),
                OFFSET($F$15,$A92,0)))</f>
        <v>Estruturas de Concreto</v>
      </c>
      <c r="O92" s="168"/>
      <c r="Q92" s="168"/>
      <c r="R92" s="169"/>
      <c r="S92" s="169">
        <v>1834.92</v>
      </c>
      <c r="T92" s="169"/>
      <c r="U92" s="169"/>
      <c r="V92" s="169"/>
      <c r="W92" s="169"/>
      <c r="X92" s="169"/>
      <c r="Y92" s="169"/>
      <c r="Z92" s="170"/>
      <c r="AA92" s="169"/>
      <c r="AB92" s="169"/>
      <c r="AC92" s="169"/>
      <c r="AD92" s="169"/>
      <c r="AE92" s="169"/>
      <c r="AF92" s="169"/>
      <c r="AG92" s="169"/>
      <c r="AH92" s="170"/>
      <c r="AJ92" s="453">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0</v>
      </c>
      <c r="AK92" s="453">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0</v>
      </c>
      <c r="AL92" s="453">
        <f ca="1">IF(AND($D92="Serviço",AL$12&lt;&gt;0,$H92&gt;0,OR(AUTOEVENTO&lt;&gt;"manual",$M92&lt;&gt;$A$15)),
        IF(Import.TipoArredondamento&lt;&gt;"TransfereGOV",
              ROUND(OFFSET($P92,0,AL$13),15-13*ORÇAMENTO!$AF$7)/$H92*OFFSET(ORÇAMENTO!$X$15,ROW(AL92)-ROW(AL$15),0),
              ROUND(ROUND(OFFSET($P92,0,AL$13),15-13*ORÇAMENTO!$AF$7)*OFFSET(ORÇAMENTO!$W$15,ROW(AL92)-ROW(AL$15),0),15-13*ORÇAMENTO!$AF$11)),
         0)</f>
        <v>0</v>
      </c>
      <c r="AM92" s="453">
        <f ca="1">IF(AND($D92="Serviço",AM$12&lt;&gt;0,$H92&gt;0,OR(AUTOEVENTO&lt;&gt;"manual",$M92&lt;&gt;$A$15)),
        IF(Import.TipoArredondamento&lt;&gt;"TransfereGOV",
              ROUND(OFFSET($P92,0,AM$13),15-13*ORÇAMENTO!$AF$7)/$H92*OFFSET(ORÇAMENTO!$X$15,ROW(AM92)-ROW(AM$15),0),
              ROUND(ROUND(OFFSET($P92,0,AM$13),15-13*ORÇAMENTO!$AF$7)*OFFSET(ORÇAMENTO!$W$15,ROW(AM92)-ROW(AM$15),0),15-13*ORÇAMENTO!$AF$11)),
         0)</f>
        <v>0</v>
      </c>
      <c r="AN92" s="453">
        <f ca="1">IF(AND($D92="Serviço",AN$12&lt;&gt;0,$H92&gt;0,OR(AUTOEVENTO&lt;&gt;"manual",$M92&lt;&gt;$A$15)),
        IF(Import.TipoArredondamento&lt;&gt;"TransfereGOV",
              ROUND(OFFSET($P92,0,AN$13),15-13*ORÇAMENTO!$AF$7)/$H92*OFFSET(ORÇAMENTO!$X$15,ROW(AN92)-ROW(AN$15),0),
              ROUND(ROUND(OFFSET($P92,0,AN$13),15-13*ORÇAMENTO!$AF$7)*OFFSET(ORÇAMENTO!$W$15,ROW(AN92)-ROW(AN$15),0),15-13*ORÇAMENTO!$AF$11)),
         0)</f>
        <v>0</v>
      </c>
      <c r="AO92" s="453">
        <f ca="1">IF(AND($D92="Serviço",AO$12&lt;&gt;0,$H92&gt;0,OR(AUTOEVENTO&lt;&gt;"manual",$M92&lt;&gt;$A$15)),
        IF(Import.TipoArredondamento&lt;&gt;"TransfereGOV",
              ROUND(OFFSET($P92,0,AO$13),15-13*ORÇAMENTO!$AF$7)/$H92*OFFSET(ORÇAMENTO!$X$15,ROW(AO92)-ROW(AO$15),0),
              ROUND(ROUND(OFFSET($P92,0,AO$13),15-13*ORÇAMENTO!$AF$7)*OFFSET(ORÇAMENTO!$W$15,ROW(AO92)-ROW(AO$15),0),15-13*ORÇAMENTO!$AF$11)),
         0)</f>
        <v>0</v>
      </c>
      <c r="AP92" s="453">
        <f ca="1">IF(AND($D92="Serviço",AP$12&lt;&gt;0,$H92&gt;0,OR(AUTOEVENTO&lt;&gt;"manual",$M92&lt;&gt;$A$15)),
        IF(Import.TipoArredondamento&lt;&gt;"TransfereGOV",
              ROUND(OFFSET($P92,0,AP$13),15-13*ORÇAMENTO!$AF$7)/$H92*OFFSET(ORÇAMENTO!$X$15,ROW(AP92)-ROW(AP$15),0),
              ROUND(ROUND(OFFSET($P92,0,AP$13),15-13*ORÇAMENTO!$AF$7)*OFFSET(ORÇAMENTO!$W$15,ROW(AP92)-ROW(AP$15),0),15-13*ORÇAMENTO!$AF$11)),
         0)</f>
        <v>0</v>
      </c>
      <c r="AQ92" s="453">
        <f ca="1">IF(AND($D92="Serviço",AQ$12&lt;&gt;0,$H92&gt;0,OR(AUTOEVENTO&lt;&gt;"manual",$M92&lt;&gt;$A$15)),
        IF(Import.TipoArredondamento&lt;&gt;"TransfereGOV",
              ROUND(OFFSET($P92,0,AQ$13),15-13*ORÇAMENTO!$AF$7)/$H92*OFFSET(ORÇAMENTO!$X$15,ROW(AQ92)-ROW(AQ$15),0),
              ROUND(ROUND(OFFSET($P92,0,AQ$13),15-13*ORÇAMENTO!$AF$7)*OFFSET(ORÇAMENTO!$W$15,ROW(AQ92)-ROW(AQ$15),0),15-13*ORÇAMENTO!$AF$11)),
         0)</f>
        <v>0</v>
      </c>
      <c r="AR92" s="453">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3">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3">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3">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3">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3">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3">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3">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3">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3">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C92" s="171">
        <f ca="1">IF(OR($D92&lt;&gt;"Serviço",AND(AUTOEVENTO="Manual",$M92=$A$15)),0,
         IF(OFFSET(CRONOPLE!$F$15,$M92-$A$15,BC$13)=0,10^12,OFFSET(CRONOPLE!$F$15,$M92-$A$15,BC$13)))</f>
        <v>1</v>
      </c>
      <c r="BD92" s="171">
        <f ca="1">IF(OR($D92&lt;&gt;"Serviço",AND(AUTOEVENTO="Manual",$M92=$A$15)),0,
         IF(OFFSET(CRONOPLE!$F$15,$M92-$A$15,BD$13)=0,10^12,OFFSET(CRONOPLE!$F$15,$M92-$A$15,BD$13)))</f>
        <v>2</v>
      </c>
      <c r="BE92" s="171">
        <f ca="1">IF(OR($D92&lt;&gt;"Serviço",AND(AUTOEVENTO="Manual",$M92=$A$15)),0,
         IF(OFFSET(CRONOPLE!$F$15,$M92-$A$15,BE$13)=0,10^12,OFFSET(CRONOPLE!$F$15,$M92-$A$15,BE$13)))</f>
        <v>3</v>
      </c>
      <c r="BF92" s="171">
        <f ca="1">IF(OR($D92&lt;&gt;"Serviço",AND(AUTOEVENTO="Manual",$M92=$A$15)),0,
         IF(OFFSET(CRONOPLE!$F$15,$M92-$A$15,BF$13)=0,10^12,OFFSET(CRONOPLE!$F$15,$M92-$A$15,BF$13)))</f>
        <v>4</v>
      </c>
      <c r="BG92" s="171">
        <f ca="1">IF(OR($D92&lt;&gt;"Serviço",AND(AUTOEVENTO="Manual",$M92=$A$15)),0,
         IF(OFFSET(CRONOPLE!$F$15,$M92-$A$15,BG$13)=0,10^12,OFFSET(CRONOPLE!$F$15,$M92-$A$15,BG$13)))</f>
        <v>5</v>
      </c>
      <c r="BH92" s="171">
        <f ca="1">IF(OR($D92&lt;&gt;"Serviço",AND(AUTOEVENTO="Manual",$M92=$A$15)),0,
         IF(OFFSET(CRONOPLE!$F$15,$M92-$A$15,BH$13)=0,10^12,OFFSET(CRONOPLE!$F$15,$M92-$A$15,BH$13)))</f>
        <v>6</v>
      </c>
      <c r="BI92" s="171">
        <f ca="1">IF(OR($D92&lt;&gt;"Serviço",AND(AUTOEVENTO="Manual",$M92=$A$15)),0,
         IF(OFFSET(CRONOPLE!$F$15,$M92-$A$15,BI$13)=0,10^12,OFFSET(CRONOPLE!$F$15,$M92-$A$15,BI$13)))</f>
        <v>7</v>
      </c>
      <c r="BJ92" s="171">
        <f ca="1">IF(OR($D92&lt;&gt;"Serviço",AND(AUTOEVENTO="Manual",$M92=$A$15)),0,
         IF(OFFSET(CRONOPLE!$F$15,$M92-$A$15,BJ$13)=0,10^12,OFFSET(CRONOPLE!$F$15,$M92-$A$15,BJ$13)))</f>
        <v>8</v>
      </c>
      <c r="BK92" s="171">
        <f ca="1">IF(OR($D92&lt;&gt;"Serviço",AND(AUTOEVENTO="Manual",$M92=$A$15)),0,
         IF(OFFSET(CRONOPLE!$F$15,$M92-$A$15,BK$13)=0,10^12,OFFSET(CRONOPLE!$F$15,$M92-$A$15,BK$13)))</f>
        <v>9</v>
      </c>
      <c r="BL92" s="171">
        <f ca="1">IF(OR($D92&lt;&gt;"Serviço",AND(AUTOEVENTO="Manual",$M92=$A$15)),0,
         IF(OFFSET(CRONOPLE!$F$15,$M92-$A$15,BL$13)=0,10^12,OFFSET(CRONOPLE!$F$15,$M92-$A$15,BL$13)))</f>
        <v>10</v>
      </c>
      <c r="BM92" s="171">
        <f ca="1">IF(OR($D92&lt;&gt;"Serviço",AND(AUTOEVENTO="Manual",$M92=$A$15)),0,
         IF(OFFSET(CRONOPLE!$F$15,$M92-$A$15,BM$13)=0,10^12,OFFSET(CRONOPLE!$F$15,$M92-$A$15,BM$13)))</f>
        <v>1000000000000</v>
      </c>
      <c r="BN92" s="171">
        <f ca="1">IF(OR($D92&lt;&gt;"Serviço",AND(AUTOEVENTO="Manual",$M92=$A$15)),0,
         IF(OFFSET(CRONOPLE!$F$15,$M92-$A$15,BN$13)=0,10^12,OFFSET(CRONOPLE!$F$15,$M92-$A$15,BN$13)))</f>
        <v>1000000000000</v>
      </c>
      <c r="BO92" s="171">
        <f ca="1">IF(OR($D92&lt;&gt;"Serviço",AND(AUTOEVENTO="Manual",$M92=$A$15)),0,
         IF(OFFSET(CRONOPLE!$F$15,$M92-$A$15,BO$13)=0,10^12,OFFSET(CRONOPLE!$F$15,$M92-$A$15,BO$13)))</f>
        <v>1000000000000</v>
      </c>
      <c r="BP92" s="171">
        <f ca="1">IF(OR($D92&lt;&gt;"Serviço",AND(AUTOEVENTO="Manual",$M92=$A$15)),0,
         IF(OFFSET(CRONOPLE!$F$15,$M92-$A$15,BP$13)=0,10^12,OFFSET(CRONOPLE!$F$15,$M92-$A$15,BP$13)))</f>
        <v>1000000000000</v>
      </c>
      <c r="BQ92" s="171">
        <f ca="1">IF(OR($D92&lt;&gt;"Serviço",AND(AUTOEVENTO="Manual",$M92=$A$15)),0,
         IF(OFFSET(CRONOPLE!$F$15,$M92-$A$15,BQ$13)=0,10^12,OFFSET(CRONOPLE!$F$15,$M92-$A$15,BQ$13)))</f>
        <v>1000000000000</v>
      </c>
      <c r="BR92" s="171">
        <f ca="1">IF(OR($D92&lt;&gt;"Serviço",AND(AUTOEVENTO="Manual",$M92=$A$15)),0,
         IF(OFFSET(CRONOPLE!$F$15,$M92-$A$15,BR$13)=0,10^12,OFFSET(CRONOPLE!$F$15,$M92-$A$15,BR$13)))</f>
        <v>1000000000000</v>
      </c>
      <c r="BS92" s="171">
        <f ca="1">IF(OR($D92&lt;&gt;"Serviço",AND(AUTOEVENTO="Manual",$M92=$A$15)),0,
         IF(OFFSET(CRONOPLE!$F$15,$M92-$A$15,BS$13)=0,10^12,OFFSET(CRONOPLE!$F$15,$M92-$A$15,BS$13)))</f>
        <v>1000000000000</v>
      </c>
      <c r="BT92" s="171">
        <f ca="1">IF(OR($D92&lt;&gt;"Serviço",AND(AUTOEVENTO="Manual",$M92=$A$15)),0,
         IF(OFFSET(CRONOPLE!$F$15,$M92-$A$15,BT$13)=0,10^12,OFFSET(CRONOPLE!$F$15,$M92-$A$15,BT$13)))</f>
        <v>1000000000000</v>
      </c>
      <c r="BV92" s="172">
        <f ca="1">IF(OR($D92&lt;&gt;"Serviço",AND(AUTOEVENTO="Manual",$M92=$A$15),$M92&gt;(ROW(PLE.lastrow)-ROW(PLE.firstrow))),0,
           IF(OFFSET(PLE!$G$15,$M92-$A$15,BV$13)="",10^12,OFFSET(PLE!$G$15,$M92-$A$15,BV$13)))</f>
        <v>1000000000000</v>
      </c>
      <c r="BW92" s="172">
        <f ca="1">IF(OR($D92&lt;&gt;"Serviço",AND(AUTOEVENTO="Manual",$M92=$A$15),$M92&gt;(ROW(PLE.lastrow)-ROW(PLE.firstrow))),0,
           IF(OFFSET(PLE!$G$15,$M92-$A$15,BW$13)="",10^12,OFFSET(PLE!$G$15,$M92-$A$15,BW$13)))</f>
        <v>1000000000000</v>
      </c>
      <c r="BX92" s="172">
        <f ca="1">IF(OR($D92&lt;&gt;"Serviço",AND(AUTOEVENTO="Manual",$M92=$A$15),$M92&gt;(ROW(PLE.lastrow)-ROW(PLE.firstrow))),0,
           IF(OFFSET(PLE!$G$15,$M92-$A$15,BX$13)="",10^12,OFFSET(PLE!$G$15,$M92-$A$15,BX$13)))</f>
        <v>1000000000000</v>
      </c>
      <c r="BY92" s="172">
        <f ca="1">IF(OR($D92&lt;&gt;"Serviço",AND(AUTOEVENTO="Manual",$M92=$A$15),$M92&gt;(ROW(PLE.lastrow)-ROW(PLE.firstrow))),0,
           IF(OFFSET(PLE!$G$15,$M92-$A$15,BY$13)="",10^12,OFFSET(PLE!$G$15,$M92-$A$15,BY$13)))</f>
        <v>1000000000000</v>
      </c>
      <c r="BZ92" s="172">
        <f ca="1">IF(OR($D92&lt;&gt;"Serviço",AND(AUTOEVENTO="Manual",$M92=$A$15),$M92&gt;(ROW(PLE.lastrow)-ROW(PLE.firstrow))),0,
           IF(OFFSET(PLE!$G$15,$M92-$A$15,BZ$13)="",10^12,OFFSET(PLE!$G$15,$M92-$A$15,BZ$13)))</f>
        <v>1000000000000</v>
      </c>
      <c r="CA92" s="172">
        <f ca="1">IF(OR($D92&lt;&gt;"Serviço",AND(AUTOEVENTO="Manual",$M92=$A$15),$M92&gt;(ROW(PLE.lastrow)-ROW(PLE.firstrow))),0,
           IF(OFFSET(PLE!$G$15,$M92-$A$15,CA$13)="",10^12,OFFSET(PLE!$G$15,$M92-$A$15,CA$13)))</f>
        <v>1000000000000</v>
      </c>
      <c r="CB92" s="172">
        <f ca="1">IF(OR($D92&lt;&gt;"Serviço",AND(AUTOEVENTO="Manual",$M92=$A$15),$M92&gt;(ROW(PLE.lastrow)-ROW(PLE.firstrow))),0,
           IF(OFFSET(PLE!$G$15,$M92-$A$15,CB$13)="",10^12,OFFSET(PLE!$G$15,$M92-$A$15,CB$13)))</f>
        <v>1000000000000</v>
      </c>
      <c r="CC92" s="172">
        <f ca="1">IF(OR($D92&lt;&gt;"Serviço",AND(AUTOEVENTO="Manual",$M92=$A$15),$M92&gt;(ROW(PLE.lastrow)-ROW(PLE.firstrow))),0,
           IF(OFFSET(PLE!$G$15,$M92-$A$15,CC$13)="",10^12,OFFSET(PLE!$G$15,$M92-$A$15,CC$13)))</f>
        <v>1000000000000</v>
      </c>
      <c r="CD92" s="172">
        <f ca="1">IF(OR($D92&lt;&gt;"Serviço",AND(AUTOEVENTO="Manual",$M92=$A$15),$M92&gt;(ROW(PLE.lastrow)-ROW(PLE.firstrow))),0,
           IF(OFFSET(PLE!$G$15,$M92-$A$15,CD$13)="",10^12,OFFSET(PLE!$G$15,$M92-$A$15,CD$13)))</f>
        <v>1000000000000</v>
      </c>
      <c r="CE92" s="172">
        <f ca="1">IF(OR($D92&lt;&gt;"Serviço",AND(AUTOEVENTO="Manual",$M92=$A$15),$M92&gt;(ROW(PLE.lastrow)-ROW(PLE.firstrow))),0,
           IF(OFFSET(PLE!$G$15,$M92-$A$15,CE$13)="",10^12,OFFSET(PLE!$G$15,$M92-$A$15,CE$13)))</f>
        <v>1000000000000</v>
      </c>
      <c r="CF92" s="172">
        <f ca="1">IF(OR($D92&lt;&gt;"Serviço",AND(AUTOEVENTO="Manual",$M92=$A$15),$M92&gt;(ROW(PLE.lastrow)-ROW(PLE.firstrow))),0,
           IF(OFFSET(PLE!$G$15,$M92-$A$15,CF$13)="",10^12,OFFSET(PLE!$G$15,$M92-$A$15,CF$13)))</f>
        <v>1000000000000</v>
      </c>
      <c r="CG92" s="172">
        <f ca="1">IF(OR($D92&lt;&gt;"Serviço",AND(AUTOEVENTO="Manual",$M92=$A$15),$M92&gt;(ROW(PLE.lastrow)-ROW(PLE.firstrow))),0,
           IF(OFFSET(PLE!$G$15,$M92-$A$15,CG$13)="",10^12,OFFSET(PLE!$G$15,$M92-$A$15,CG$13)))</f>
        <v>1000000000000</v>
      </c>
      <c r="CH92" s="172">
        <f ca="1">IF(OR($D92&lt;&gt;"Serviço",AND(AUTOEVENTO="Manual",$M92=$A$15),$M92&gt;(ROW(PLE.lastrow)-ROW(PLE.firstrow))),0,
           IF(OFFSET(PLE!$G$15,$M92-$A$15,CH$13)="",10^12,OFFSET(PLE!$G$15,$M92-$A$15,CH$13)))</f>
        <v>1000000000000</v>
      </c>
      <c r="CI92" s="172">
        <f ca="1">IF(OR($D92&lt;&gt;"Serviço",AND(AUTOEVENTO="Manual",$M92=$A$15),$M92&gt;(ROW(PLE.lastrow)-ROW(PLE.firstrow))),0,
           IF(OFFSET(PLE!$G$15,$M92-$A$15,CI$13)="",10^12,OFFSET(PLE!$G$15,$M92-$A$15,CI$13)))</f>
        <v>1000000000000</v>
      </c>
      <c r="CJ92" s="172">
        <f ca="1">IF(OR($D92&lt;&gt;"Serviço",AND(AUTOEVENTO="Manual",$M92=$A$15),$M92&gt;(ROW(PLE.lastrow)-ROW(PLE.firstrow))),0,
           IF(OFFSET(PLE!$G$15,$M92-$A$15,CJ$13)="",10^12,OFFSET(PLE!$G$15,$M92-$A$15,CJ$13)))</f>
        <v>1000000000000</v>
      </c>
      <c r="CK92" s="172">
        <f ca="1">IF(OR($D92&lt;&gt;"Serviço",AND(AUTOEVENTO="Manual",$M92=$A$15),$M92&gt;(ROW(PLE.lastrow)-ROW(PLE.firstrow))),0,
           IF(OFFSET(PLE!$G$15,$M92-$A$15,CK$13)="",10^12,OFFSET(PLE!$G$15,$M92-$A$15,CK$13)))</f>
        <v>1000000000000</v>
      </c>
      <c r="CL92" s="172">
        <f ca="1">IF(OR($D92&lt;&gt;"Serviço",AND(AUTOEVENTO="Manual",$M92=$A$15),$M92&gt;(ROW(PLE.lastrow)-ROW(PLE.firstrow))),0,
           IF(OFFSET(PLE!$G$15,$M92-$A$15,CL$13)="",10^12,OFFSET(PLE!$G$15,$M92-$A$15,CL$13)))</f>
        <v>1000000000000</v>
      </c>
      <c r="CM92" s="172">
        <f ca="1">IF(OR($D92&lt;&gt;"Serviço",AND(AUTOEVENTO="Manual",$M92=$A$15),$M92&gt;(ROW(PLE.lastrow)-ROW(PLE.firstrow))),0,
           IF(OFFSET(PLE!$G$15,$M92-$A$15,CM$13)="",10^12,OFFSET(PLE!$G$15,$M92-$A$15,CM$13)))</f>
        <v>1000000000000</v>
      </c>
    </row>
    <row r="93" spans="1:91" ht="63.75" x14ac:dyDescent="0.2">
      <c r="A93" s="7">
        <f t="shared" ca="1" si="11"/>
        <v>4</v>
      </c>
      <c r="B93" s="7" t="str">
        <f ca="1">OFFSET(ORÇAMENTO!C$15,ROW(B93)-ROW(B$15),0)</f>
        <v>S</v>
      </c>
      <c r="C93" s="7" t="str">
        <f ca="1">OFFSET(ORÇAMENTO!L$15,ROW(C93)-ROW(C$15),0)</f>
        <v>F</v>
      </c>
      <c r="D93" s="116" t="str">
        <f ca="1">OFFSET(ORÇAMENTO!N$15,ROW(D93)-ROW(D$15),0)</f>
        <v>Serviço</v>
      </c>
      <c r="E93" s="117" t="str">
        <f ca="1">OFFSET(ORÇAMENTO!O$15,ROW(E93)-ROW(E$15),0)</f>
        <v>1.5.1.3.6.</v>
      </c>
      <c r="F93" s="163" t="str">
        <f ca="1">OFFSET(ORÇAMENTO!R$15,ROW(F93)-ROW(F$15),0)</f>
        <v>RACHÃO OU PEDRA DE MÃO PRODUZIDA</v>
      </c>
      <c r="G93" s="164" t="str">
        <f ca="1">IF($D93&lt;&gt;"Serviço","",OFFSET(ORÇAMENTO!S$15,ROW(G93)-ROW(G$15),0))</f>
        <v>M3</v>
      </c>
      <c r="H93" s="122" cm="1">
        <f t="array" aca="1" ref="H93" ca="1">IF($D93&lt;&gt;"Serviço",0,IF(ACOMPANHAMENTO="BM",ROUND(OFFSET(ORÇAMENTO!AJ$15,ROW(H93)-ROW(H$15),0),15-13*ORÇAMENTO!$AF$7),SUMPRODUCT(($Q$1:$AI$1=1)*ROUND($Q93:$AI93,15-13*ORÇAMENTO!$AF$7))))</f>
        <v>693.73</v>
      </c>
      <c r="I93" s="468" t="s">
        <v>1310</v>
      </c>
      <c r="J93" s="640" t="str" cm="1">
        <f t="array" aca="1" ref="J93" ca="1">IF(OR(B93&lt;&gt;"S",CÁLCULO.FrentesPreenchidas=0),"",IF(AND(ACOMPANHAMENTO="PLE",AUTOEVENTO="Manual",OR(H93&gt;0,ORÇAMENTO!AC93="QUANT."),OR(K93="",M93=0,N93="")),"►E",IF(AND(ACOMPANHAMENTO="PLE",ORÇAMENTO!AC93="QUANT."),"►Q",IF(AND(ACOMPANHAMENTO="PLE",H93&lt;&gt;SUMPRODUCT(($Q$1:$AI$1=1)*ROUND(Q93:AI93,15))),"►S",IF(AND(COUNTIF($P$11:$AI$11,"▼")=0,H93&gt;0,I93=""),"◄M","")))))</f>
        <v/>
      </c>
      <c r="K93" s="641" t="s">
        <v>1389</v>
      </c>
      <c r="L93" s="165" t="s">
        <v>764</v>
      </c>
      <c r="M93" s="166">
        <f ca="1">IF($D93&lt;&gt;"Serviço","",
          IF(AUTOEVENTO="manual",$A93,
                IF(ISERROR(MATCH($A93,$A$15:OFFSET($A93,-1,0),0)),MAX($M$15:OFFSET(M93,-1,0))+1,
                      INDEX($M$15:OFFSET(M93,-1,0),MATCH($A93,$A$15:OFFSET($A93,-1,0),0)))))</f>
        <v>4</v>
      </c>
      <c r="N93" s="167" t="str">
        <f ca="1">IF($D93&lt;&gt;"Serviço","",
         IF(AUTOEVENTO="Manual",
                IF($A93=0,"&lt;-- defina o número do agrupador",
                       OFFSET(EVENTOS!$D$15,$A93-$A$15,0)),
                OFFSET($F$15,$A93,0)))</f>
        <v>Estruturas de Concreto</v>
      </c>
      <c r="O93" s="168"/>
      <c r="Q93" s="168"/>
      <c r="R93" s="169"/>
      <c r="S93" s="169">
        <v>693.73</v>
      </c>
      <c r="T93" s="169"/>
      <c r="U93" s="169"/>
      <c r="V93" s="169"/>
      <c r="W93" s="169"/>
      <c r="X93" s="169"/>
      <c r="Y93" s="169"/>
      <c r="Z93" s="170"/>
      <c r="AA93" s="169"/>
      <c r="AB93" s="169"/>
      <c r="AC93" s="169"/>
      <c r="AD93" s="169"/>
      <c r="AE93" s="169"/>
      <c r="AF93" s="169"/>
      <c r="AG93" s="169"/>
      <c r="AH93" s="170"/>
      <c r="AJ93" s="453">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3">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L93" s="453">
        <f ca="1">IF(AND($D93="Serviço",AL$12&lt;&gt;0,$H93&gt;0,OR(AUTOEVENTO&lt;&gt;"manual",$M93&lt;&gt;$A$15)),
        IF(Import.TipoArredondamento&lt;&gt;"TransfereGOV",
              ROUND(OFFSET($P93,0,AL$13),15-13*ORÇAMENTO!$AF$7)/$H93*OFFSET(ORÇAMENTO!$X$15,ROW(AL93)-ROW(AL$15),0),
              ROUND(ROUND(OFFSET($P93,0,AL$13),15-13*ORÇAMENTO!$AF$7)*OFFSET(ORÇAMENTO!$W$15,ROW(AL93)-ROW(AL$15),0),15-13*ORÇAMENTO!$AF$11)),
         0)</f>
        <v>0</v>
      </c>
      <c r="AM93" s="453">
        <f ca="1">IF(AND($D93="Serviço",AM$12&lt;&gt;0,$H93&gt;0,OR(AUTOEVENTO&lt;&gt;"manual",$M93&lt;&gt;$A$15)),
        IF(Import.TipoArredondamento&lt;&gt;"TransfereGOV",
              ROUND(OFFSET($P93,0,AM$13),15-13*ORÇAMENTO!$AF$7)/$H93*OFFSET(ORÇAMENTO!$X$15,ROW(AM93)-ROW(AM$15),0),
              ROUND(ROUND(OFFSET($P93,0,AM$13),15-13*ORÇAMENTO!$AF$7)*OFFSET(ORÇAMENTO!$W$15,ROW(AM93)-ROW(AM$15),0),15-13*ORÇAMENTO!$AF$11)),
         0)</f>
        <v>0</v>
      </c>
      <c r="AN93" s="453">
        <f ca="1">IF(AND($D93="Serviço",AN$12&lt;&gt;0,$H93&gt;0,OR(AUTOEVENTO&lt;&gt;"manual",$M93&lt;&gt;$A$15)),
        IF(Import.TipoArredondamento&lt;&gt;"TransfereGOV",
              ROUND(OFFSET($P93,0,AN$13),15-13*ORÇAMENTO!$AF$7)/$H93*OFFSET(ORÇAMENTO!$X$15,ROW(AN93)-ROW(AN$15),0),
              ROUND(ROUND(OFFSET($P93,0,AN$13),15-13*ORÇAMENTO!$AF$7)*OFFSET(ORÇAMENTO!$W$15,ROW(AN93)-ROW(AN$15),0),15-13*ORÇAMENTO!$AF$11)),
         0)</f>
        <v>0</v>
      </c>
      <c r="AO93" s="453">
        <f ca="1">IF(AND($D93="Serviço",AO$12&lt;&gt;0,$H93&gt;0,OR(AUTOEVENTO&lt;&gt;"manual",$M93&lt;&gt;$A$15)),
        IF(Import.TipoArredondamento&lt;&gt;"TransfereGOV",
              ROUND(OFFSET($P93,0,AO$13),15-13*ORÇAMENTO!$AF$7)/$H93*OFFSET(ORÇAMENTO!$X$15,ROW(AO93)-ROW(AO$15),0),
              ROUND(ROUND(OFFSET($P93,0,AO$13),15-13*ORÇAMENTO!$AF$7)*OFFSET(ORÇAMENTO!$W$15,ROW(AO93)-ROW(AO$15),0),15-13*ORÇAMENTO!$AF$11)),
         0)</f>
        <v>0</v>
      </c>
      <c r="AP93" s="453">
        <f ca="1">IF(AND($D93="Serviço",AP$12&lt;&gt;0,$H93&gt;0,OR(AUTOEVENTO&lt;&gt;"manual",$M93&lt;&gt;$A$15)),
        IF(Import.TipoArredondamento&lt;&gt;"TransfereGOV",
              ROUND(OFFSET($P93,0,AP$13),15-13*ORÇAMENTO!$AF$7)/$H93*OFFSET(ORÇAMENTO!$X$15,ROW(AP93)-ROW(AP$15),0),
              ROUND(ROUND(OFFSET($P93,0,AP$13),15-13*ORÇAMENTO!$AF$7)*OFFSET(ORÇAMENTO!$W$15,ROW(AP93)-ROW(AP$15),0),15-13*ORÇAMENTO!$AF$11)),
         0)</f>
        <v>0</v>
      </c>
      <c r="AQ93" s="453">
        <f ca="1">IF(AND($D93="Serviço",AQ$12&lt;&gt;0,$H93&gt;0,OR(AUTOEVENTO&lt;&gt;"manual",$M93&lt;&gt;$A$15)),
        IF(Import.TipoArredondamento&lt;&gt;"TransfereGOV",
              ROUND(OFFSET($P93,0,AQ$13),15-13*ORÇAMENTO!$AF$7)/$H93*OFFSET(ORÇAMENTO!$X$15,ROW(AQ93)-ROW(AQ$15),0),
              ROUND(ROUND(OFFSET($P93,0,AQ$13),15-13*ORÇAMENTO!$AF$7)*OFFSET(ORÇAMENTO!$W$15,ROW(AQ93)-ROW(AQ$15),0),15-13*ORÇAMENTO!$AF$11)),
         0)</f>
        <v>0</v>
      </c>
      <c r="AR93" s="453">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3">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3">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3">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3">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3">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3">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3">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3">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3">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C93" s="171">
        <f ca="1">IF(OR($D93&lt;&gt;"Serviço",AND(AUTOEVENTO="Manual",$M93=$A$15)),0,
         IF(OFFSET(CRONOPLE!$F$15,$M93-$A$15,BC$13)=0,10^12,OFFSET(CRONOPLE!$F$15,$M93-$A$15,BC$13)))</f>
        <v>1</v>
      </c>
      <c r="BD93" s="171">
        <f ca="1">IF(OR($D93&lt;&gt;"Serviço",AND(AUTOEVENTO="Manual",$M93=$A$15)),0,
         IF(OFFSET(CRONOPLE!$F$15,$M93-$A$15,BD$13)=0,10^12,OFFSET(CRONOPLE!$F$15,$M93-$A$15,BD$13)))</f>
        <v>2</v>
      </c>
      <c r="BE93" s="171">
        <f ca="1">IF(OR($D93&lt;&gt;"Serviço",AND(AUTOEVENTO="Manual",$M93=$A$15)),0,
         IF(OFFSET(CRONOPLE!$F$15,$M93-$A$15,BE$13)=0,10^12,OFFSET(CRONOPLE!$F$15,$M93-$A$15,BE$13)))</f>
        <v>3</v>
      </c>
      <c r="BF93" s="171">
        <f ca="1">IF(OR($D93&lt;&gt;"Serviço",AND(AUTOEVENTO="Manual",$M93=$A$15)),0,
         IF(OFFSET(CRONOPLE!$F$15,$M93-$A$15,BF$13)=0,10^12,OFFSET(CRONOPLE!$F$15,$M93-$A$15,BF$13)))</f>
        <v>4</v>
      </c>
      <c r="BG93" s="171">
        <f ca="1">IF(OR($D93&lt;&gt;"Serviço",AND(AUTOEVENTO="Manual",$M93=$A$15)),0,
         IF(OFFSET(CRONOPLE!$F$15,$M93-$A$15,BG$13)=0,10^12,OFFSET(CRONOPLE!$F$15,$M93-$A$15,BG$13)))</f>
        <v>5</v>
      </c>
      <c r="BH93" s="171">
        <f ca="1">IF(OR($D93&lt;&gt;"Serviço",AND(AUTOEVENTO="Manual",$M93=$A$15)),0,
         IF(OFFSET(CRONOPLE!$F$15,$M93-$A$15,BH$13)=0,10^12,OFFSET(CRONOPLE!$F$15,$M93-$A$15,BH$13)))</f>
        <v>6</v>
      </c>
      <c r="BI93" s="171">
        <f ca="1">IF(OR($D93&lt;&gt;"Serviço",AND(AUTOEVENTO="Manual",$M93=$A$15)),0,
         IF(OFFSET(CRONOPLE!$F$15,$M93-$A$15,BI$13)=0,10^12,OFFSET(CRONOPLE!$F$15,$M93-$A$15,BI$13)))</f>
        <v>7</v>
      </c>
      <c r="BJ93" s="171">
        <f ca="1">IF(OR($D93&lt;&gt;"Serviço",AND(AUTOEVENTO="Manual",$M93=$A$15)),0,
         IF(OFFSET(CRONOPLE!$F$15,$M93-$A$15,BJ$13)=0,10^12,OFFSET(CRONOPLE!$F$15,$M93-$A$15,BJ$13)))</f>
        <v>8</v>
      </c>
      <c r="BK93" s="171">
        <f ca="1">IF(OR($D93&lt;&gt;"Serviço",AND(AUTOEVENTO="Manual",$M93=$A$15)),0,
         IF(OFFSET(CRONOPLE!$F$15,$M93-$A$15,BK$13)=0,10^12,OFFSET(CRONOPLE!$F$15,$M93-$A$15,BK$13)))</f>
        <v>9</v>
      </c>
      <c r="BL93" s="171">
        <f ca="1">IF(OR($D93&lt;&gt;"Serviço",AND(AUTOEVENTO="Manual",$M93=$A$15)),0,
         IF(OFFSET(CRONOPLE!$F$15,$M93-$A$15,BL$13)=0,10^12,OFFSET(CRONOPLE!$F$15,$M93-$A$15,BL$13)))</f>
        <v>10</v>
      </c>
      <c r="BM93" s="171">
        <f ca="1">IF(OR($D93&lt;&gt;"Serviço",AND(AUTOEVENTO="Manual",$M93=$A$15)),0,
         IF(OFFSET(CRONOPLE!$F$15,$M93-$A$15,BM$13)=0,10^12,OFFSET(CRONOPLE!$F$15,$M93-$A$15,BM$13)))</f>
        <v>1000000000000</v>
      </c>
      <c r="BN93" s="171">
        <f ca="1">IF(OR($D93&lt;&gt;"Serviço",AND(AUTOEVENTO="Manual",$M93=$A$15)),0,
         IF(OFFSET(CRONOPLE!$F$15,$M93-$A$15,BN$13)=0,10^12,OFFSET(CRONOPLE!$F$15,$M93-$A$15,BN$13)))</f>
        <v>1000000000000</v>
      </c>
      <c r="BO93" s="171">
        <f ca="1">IF(OR($D93&lt;&gt;"Serviço",AND(AUTOEVENTO="Manual",$M93=$A$15)),0,
         IF(OFFSET(CRONOPLE!$F$15,$M93-$A$15,BO$13)=0,10^12,OFFSET(CRONOPLE!$F$15,$M93-$A$15,BO$13)))</f>
        <v>1000000000000</v>
      </c>
      <c r="BP93" s="171">
        <f ca="1">IF(OR($D93&lt;&gt;"Serviço",AND(AUTOEVENTO="Manual",$M93=$A$15)),0,
         IF(OFFSET(CRONOPLE!$F$15,$M93-$A$15,BP$13)=0,10^12,OFFSET(CRONOPLE!$F$15,$M93-$A$15,BP$13)))</f>
        <v>1000000000000</v>
      </c>
      <c r="BQ93" s="171">
        <f ca="1">IF(OR($D93&lt;&gt;"Serviço",AND(AUTOEVENTO="Manual",$M93=$A$15)),0,
         IF(OFFSET(CRONOPLE!$F$15,$M93-$A$15,BQ$13)=0,10^12,OFFSET(CRONOPLE!$F$15,$M93-$A$15,BQ$13)))</f>
        <v>1000000000000</v>
      </c>
      <c r="BR93" s="171">
        <f ca="1">IF(OR($D93&lt;&gt;"Serviço",AND(AUTOEVENTO="Manual",$M93=$A$15)),0,
         IF(OFFSET(CRONOPLE!$F$15,$M93-$A$15,BR$13)=0,10^12,OFFSET(CRONOPLE!$F$15,$M93-$A$15,BR$13)))</f>
        <v>1000000000000</v>
      </c>
      <c r="BS93" s="171">
        <f ca="1">IF(OR($D93&lt;&gt;"Serviço",AND(AUTOEVENTO="Manual",$M93=$A$15)),0,
         IF(OFFSET(CRONOPLE!$F$15,$M93-$A$15,BS$13)=0,10^12,OFFSET(CRONOPLE!$F$15,$M93-$A$15,BS$13)))</f>
        <v>1000000000000</v>
      </c>
      <c r="BT93" s="171">
        <f ca="1">IF(OR($D93&lt;&gt;"Serviço",AND(AUTOEVENTO="Manual",$M93=$A$15)),0,
         IF(OFFSET(CRONOPLE!$F$15,$M93-$A$15,BT$13)=0,10^12,OFFSET(CRONOPLE!$F$15,$M93-$A$15,BT$13)))</f>
        <v>1000000000000</v>
      </c>
      <c r="BV93" s="172">
        <f ca="1">IF(OR($D93&lt;&gt;"Serviço",AND(AUTOEVENTO="Manual",$M93=$A$15),$M93&gt;(ROW(PLE.lastrow)-ROW(PLE.firstrow))),0,
           IF(OFFSET(PLE!$G$15,$M93-$A$15,BV$13)="",10^12,OFFSET(PLE!$G$15,$M93-$A$15,BV$13)))</f>
        <v>1000000000000</v>
      </c>
      <c r="BW93" s="172">
        <f ca="1">IF(OR($D93&lt;&gt;"Serviço",AND(AUTOEVENTO="Manual",$M93=$A$15),$M93&gt;(ROW(PLE.lastrow)-ROW(PLE.firstrow))),0,
           IF(OFFSET(PLE!$G$15,$M93-$A$15,BW$13)="",10^12,OFFSET(PLE!$G$15,$M93-$A$15,BW$13)))</f>
        <v>1000000000000</v>
      </c>
      <c r="BX93" s="172">
        <f ca="1">IF(OR($D93&lt;&gt;"Serviço",AND(AUTOEVENTO="Manual",$M93=$A$15),$M93&gt;(ROW(PLE.lastrow)-ROW(PLE.firstrow))),0,
           IF(OFFSET(PLE!$G$15,$M93-$A$15,BX$13)="",10^12,OFFSET(PLE!$G$15,$M93-$A$15,BX$13)))</f>
        <v>1000000000000</v>
      </c>
      <c r="BY93" s="172">
        <f ca="1">IF(OR($D93&lt;&gt;"Serviço",AND(AUTOEVENTO="Manual",$M93=$A$15),$M93&gt;(ROW(PLE.lastrow)-ROW(PLE.firstrow))),0,
           IF(OFFSET(PLE!$G$15,$M93-$A$15,BY$13)="",10^12,OFFSET(PLE!$G$15,$M93-$A$15,BY$13)))</f>
        <v>1000000000000</v>
      </c>
      <c r="BZ93" s="172">
        <f ca="1">IF(OR($D93&lt;&gt;"Serviço",AND(AUTOEVENTO="Manual",$M93=$A$15),$M93&gt;(ROW(PLE.lastrow)-ROW(PLE.firstrow))),0,
           IF(OFFSET(PLE!$G$15,$M93-$A$15,BZ$13)="",10^12,OFFSET(PLE!$G$15,$M93-$A$15,BZ$13)))</f>
        <v>1000000000000</v>
      </c>
      <c r="CA93" s="172">
        <f ca="1">IF(OR($D93&lt;&gt;"Serviço",AND(AUTOEVENTO="Manual",$M93=$A$15),$M93&gt;(ROW(PLE.lastrow)-ROW(PLE.firstrow))),0,
           IF(OFFSET(PLE!$G$15,$M93-$A$15,CA$13)="",10^12,OFFSET(PLE!$G$15,$M93-$A$15,CA$13)))</f>
        <v>1000000000000</v>
      </c>
      <c r="CB93" s="172">
        <f ca="1">IF(OR($D93&lt;&gt;"Serviço",AND(AUTOEVENTO="Manual",$M93=$A$15),$M93&gt;(ROW(PLE.lastrow)-ROW(PLE.firstrow))),0,
           IF(OFFSET(PLE!$G$15,$M93-$A$15,CB$13)="",10^12,OFFSET(PLE!$G$15,$M93-$A$15,CB$13)))</f>
        <v>1000000000000</v>
      </c>
      <c r="CC93" s="172">
        <f ca="1">IF(OR($D93&lt;&gt;"Serviço",AND(AUTOEVENTO="Manual",$M93=$A$15),$M93&gt;(ROW(PLE.lastrow)-ROW(PLE.firstrow))),0,
           IF(OFFSET(PLE!$G$15,$M93-$A$15,CC$13)="",10^12,OFFSET(PLE!$G$15,$M93-$A$15,CC$13)))</f>
        <v>1000000000000</v>
      </c>
      <c r="CD93" s="172">
        <f ca="1">IF(OR($D93&lt;&gt;"Serviço",AND(AUTOEVENTO="Manual",$M93=$A$15),$M93&gt;(ROW(PLE.lastrow)-ROW(PLE.firstrow))),0,
           IF(OFFSET(PLE!$G$15,$M93-$A$15,CD$13)="",10^12,OFFSET(PLE!$G$15,$M93-$A$15,CD$13)))</f>
        <v>1000000000000</v>
      </c>
      <c r="CE93" s="172">
        <f ca="1">IF(OR($D93&lt;&gt;"Serviço",AND(AUTOEVENTO="Manual",$M93=$A$15),$M93&gt;(ROW(PLE.lastrow)-ROW(PLE.firstrow))),0,
           IF(OFFSET(PLE!$G$15,$M93-$A$15,CE$13)="",10^12,OFFSET(PLE!$G$15,$M93-$A$15,CE$13)))</f>
        <v>1000000000000</v>
      </c>
      <c r="CF93" s="172">
        <f ca="1">IF(OR($D93&lt;&gt;"Serviço",AND(AUTOEVENTO="Manual",$M93=$A$15),$M93&gt;(ROW(PLE.lastrow)-ROW(PLE.firstrow))),0,
           IF(OFFSET(PLE!$G$15,$M93-$A$15,CF$13)="",10^12,OFFSET(PLE!$G$15,$M93-$A$15,CF$13)))</f>
        <v>1000000000000</v>
      </c>
      <c r="CG93" s="172">
        <f ca="1">IF(OR($D93&lt;&gt;"Serviço",AND(AUTOEVENTO="Manual",$M93=$A$15),$M93&gt;(ROW(PLE.lastrow)-ROW(PLE.firstrow))),0,
           IF(OFFSET(PLE!$G$15,$M93-$A$15,CG$13)="",10^12,OFFSET(PLE!$G$15,$M93-$A$15,CG$13)))</f>
        <v>1000000000000</v>
      </c>
      <c r="CH93" s="172">
        <f ca="1">IF(OR($D93&lt;&gt;"Serviço",AND(AUTOEVENTO="Manual",$M93=$A$15),$M93&gt;(ROW(PLE.lastrow)-ROW(PLE.firstrow))),0,
           IF(OFFSET(PLE!$G$15,$M93-$A$15,CH$13)="",10^12,OFFSET(PLE!$G$15,$M93-$A$15,CH$13)))</f>
        <v>1000000000000</v>
      </c>
      <c r="CI93" s="172">
        <f ca="1">IF(OR($D93&lt;&gt;"Serviço",AND(AUTOEVENTO="Manual",$M93=$A$15),$M93&gt;(ROW(PLE.lastrow)-ROW(PLE.firstrow))),0,
           IF(OFFSET(PLE!$G$15,$M93-$A$15,CI$13)="",10^12,OFFSET(PLE!$G$15,$M93-$A$15,CI$13)))</f>
        <v>1000000000000</v>
      </c>
      <c r="CJ93" s="172">
        <f ca="1">IF(OR($D93&lt;&gt;"Serviço",AND(AUTOEVENTO="Manual",$M93=$A$15),$M93&gt;(ROW(PLE.lastrow)-ROW(PLE.firstrow))),0,
           IF(OFFSET(PLE!$G$15,$M93-$A$15,CJ$13)="",10^12,OFFSET(PLE!$G$15,$M93-$A$15,CJ$13)))</f>
        <v>1000000000000</v>
      </c>
      <c r="CK93" s="172">
        <f ca="1">IF(OR($D93&lt;&gt;"Serviço",AND(AUTOEVENTO="Manual",$M93=$A$15),$M93&gt;(ROW(PLE.lastrow)-ROW(PLE.firstrow))),0,
           IF(OFFSET(PLE!$G$15,$M93-$A$15,CK$13)="",10^12,OFFSET(PLE!$G$15,$M93-$A$15,CK$13)))</f>
        <v>1000000000000</v>
      </c>
      <c r="CL93" s="172">
        <f ca="1">IF(OR($D93&lt;&gt;"Serviço",AND(AUTOEVENTO="Manual",$M93=$A$15),$M93&gt;(ROW(PLE.lastrow)-ROW(PLE.firstrow))),0,
           IF(OFFSET(PLE!$G$15,$M93-$A$15,CL$13)="",10^12,OFFSET(PLE!$G$15,$M93-$A$15,CL$13)))</f>
        <v>1000000000000</v>
      </c>
      <c r="CM93" s="172">
        <f ca="1">IF(OR($D93&lt;&gt;"Serviço",AND(AUTOEVENTO="Manual",$M93=$A$15),$M93&gt;(ROW(PLE.lastrow)-ROW(PLE.firstrow))),0,
           IF(OFFSET(PLE!$G$15,$M93-$A$15,CM$13)="",10^12,OFFSET(PLE!$G$15,$M93-$A$15,CM$13)))</f>
        <v>1000000000000</v>
      </c>
    </row>
    <row r="94" spans="1:91" ht="63.75" x14ac:dyDescent="0.2">
      <c r="A94" s="7">
        <f t="shared" ca="1" si="11"/>
        <v>4</v>
      </c>
      <c r="B94" s="7" t="str">
        <f ca="1">OFFSET(ORÇAMENTO!C$15,ROW(B94)-ROW(B$15),0)</f>
        <v>S</v>
      </c>
      <c r="C94" s="7" t="str">
        <f ca="1">OFFSET(ORÇAMENTO!L$15,ROW(C94)-ROW(C$15),0)</f>
        <v>F</v>
      </c>
      <c r="D94" s="116" t="str">
        <f ca="1">OFFSET(ORÇAMENTO!N$15,ROW(D94)-ROW(D$15),0)</f>
        <v>Serviço</v>
      </c>
      <c r="E94" s="117" t="str">
        <f ca="1">OFFSET(ORÇAMENTO!O$15,ROW(E94)-ROW(E$15),0)</f>
        <v>1.5.1.3.7.</v>
      </c>
      <c r="F94" s="163" t="str">
        <f ca="1">OFFSET(ORÇAMENTO!R$15,ROW(F94)-ROW(F$15),0)</f>
        <v>ARMAÇÃO EM AÇO CA-50 - FORNECIMENTO, PREPARO E COLOCAÇÃO</v>
      </c>
      <c r="G94" s="164" t="str">
        <f ca="1">IF($D94&lt;&gt;"Serviço","",OFFSET(ORÇAMENTO!S$15,ROW(G94)-ROW(G$15),0))</f>
        <v>KG</v>
      </c>
      <c r="H94" s="122" cm="1">
        <f t="array" aca="1" ref="H94" ca="1">IF($D94&lt;&gt;"Serviço",0,IF(ACOMPANHAMENTO="BM",ROUND(OFFSET(ORÇAMENTO!AJ$15,ROW(H94)-ROW(H$15),0),15-13*ORÇAMENTO!$AF$7),SUMPRODUCT(($Q$1:$AI$1=1)*ROUND($Q94:$AI94,15-13*ORÇAMENTO!$AF$7))))</f>
        <v>30991.19</v>
      </c>
      <c r="I94" s="468" t="s">
        <v>1305</v>
      </c>
      <c r="J94" s="640" t="str" cm="1">
        <f t="array" aca="1" ref="J94" ca="1">IF(OR(B94&lt;&gt;"S",CÁLCULO.FrentesPreenchidas=0),"",IF(AND(ACOMPANHAMENTO="PLE",AUTOEVENTO="Manual",OR(H94&gt;0,ORÇAMENTO!AC94="QUANT."),OR(K94="",M94=0,N94="")),"►E",IF(AND(ACOMPANHAMENTO="PLE",ORÇAMENTO!AC94="QUANT."),"►Q",IF(AND(ACOMPANHAMENTO="PLE",H94&lt;&gt;SUMPRODUCT(($Q$1:$AI$1=1)*ROUND(Q94:AI94,15))),"►S",IF(AND(COUNTIF($P$11:$AI$11,"▼")=0,H94&gt;0,I94=""),"◄M","")))))</f>
        <v/>
      </c>
      <c r="K94" s="641" t="s">
        <v>1389</v>
      </c>
      <c r="L94" s="165" t="s">
        <v>764</v>
      </c>
      <c r="M94" s="166">
        <f ca="1">IF($D94&lt;&gt;"Serviço","",
          IF(AUTOEVENTO="manual",$A94,
                IF(ISERROR(MATCH($A94,$A$15:OFFSET($A94,-1,0),0)),MAX($M$15:OFFSET(M94,-1,0))+1,
                      INDEX($M$15:OFFSET(M94,-1,0),MATCH($A94,$A$15:OFFSET($A94,-1,0),0)))))</f>
        <v>4</v>
      </c>
      <c r="N94" s="167" t="str">
        <f ca="1">IF($D94&lt;&gt;"Serviço","",
         IF(AUTOEVENTO="Manual",
                IF($A94=0,"&lt;-- defina o número do agrupador",
                       OFFSET(EVENTOS!$D$15,$A94-$A$15,0)),
                OFFSET($F$15,$A94,0)))</f>
        <v>Estruturas de Concreto</v>
      </c>
      <c r="O94" s="168"/>
      <c r="Q94" s="168"/>
      <c r="R94" s="169"/>
      <c r="S94" s="169">
        <f>36492.65-(R66+R80+S99+S104)</f>
        <v>27843.910000000003</v>
      </c>
      <c r="T94" s="169"/>
      <c r="U94" s="169"/>
      <c r="V94" s="169"/>
      <c r="W94" s="169"/>
      <c r="X94" s="169"/>
      <c r="Y94" s="169"/>
      <c r="Z94" s="170"/>
      <c r="AA94" s="169"/>
      <c r="AB94" s="169"/>
      <c r="AC94" s="169"/>
      <c r="AD94" s="169"/>
      <c r="AE94" s="169"/>
      <c r="AF94" s="169"/>
      <c r="AG94" s="169"/>
      <c r="AH94" s="170"/>
      <c r="AJ94" s="453">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0</v>
      </c>
      <c r="AK94" s="453">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0</v>
      </c>
      <c r="AL94" s="453">
        <f ca="1">IF(AND($D94="Serviço",AL$12&lt;&gt;0,$H94&gt;0,OR(AUTOEVENTO&lt;&gt;"manual",$M94&lt;&gt;$A$15)),
        IF(Import.TipoArredondamento&lt;&gt;"TransfereGOV",
              ROUND(OFFSET($P94,0,AL$13),15-13*ORÇAMENTO!$AF$7)/$H94*OFFSET(ORÇAMENTO!$X$15,ROW(AL94)-ROW(AL$15),0),
              ROUND(ROUND(OFFSET($P94,0,AL$13),15-13*ORÇAMENTO!$AF$7)*OFFSET(ORÇAMENTO!$W$15,ROW(AL94)-ROW(AL$15),0),15-13*ORÇAMENTO!$AF$11)),
         0)</f>
        <v>0</v>
      </c>
      <c r="AM94" s="453">
        <f ca="1">IF(AND($D94="Serviço",AM$12&lt;&gt;0,$H94&gt;0,OR(AUTOEVENTO&lt;&gt;"manual",$M94&lt;&gt;$A$15)),
        IF(Import.TipoArredondamento&lt;&gt;"TransfereGOV",
              ROUND(OFFSET($P94,0,AM$13),15-13*ORÇAMENTO!$AF$7)/$H94*OFFSET(ORÇAMENTO!$X$15,ROW(AM94)-ROW(AM$15),0),
              ROUND(ROUND(OFFSET($P94,0,AM$13),15-13*ORÇAMENTO!$AF$7)*OFFSET(ORÇAMENTO!$W$15,ROW(AM94)-ROW(AM$15),0),15-13*ORÇAMENTO!$AF$11)),
         0)</f>
        <v>0</v>
      </c>
      <c r="AN94" s="453">
        <f ca="1">IF(AND($D94="Serviço",AN$12&lt;&gt;0,$H94&gt;0,OR(AUTOEVENTO&lt;&gt;"manual",$M94&lt;&gt;$A$15)),
        IF(Import.TipoArredondamento&lt;&gt;"TransfereGOV",
              ROUND(OFFSET($P94,0,AN$13),15-13*ORÇAMENTO!$AF$7)/$H94*OFFSET(ORÇAMENTO!$X$15,ROW(AN94)-ROW(AN$15),0),
              ROUND(ROUND(OFFSET($P94,0,AN$13),15-13*ORÇAMENTO!$AF$7)*OFFSET(ORÇAMENTO!$W$15,ROW(AN94)-ROW(AN$15),0),15-13*ORÇAMENTO!$AF$11)),
         0)</f>
        <v>0</v>
      </c>
      <c r="AO94" s="453">
        <f ca="1">IF(AND($D94="Serviço",AO$12&lt;&gt;0,$H94&gt;0,OR(AUTOEVENTO&lt;&gt;"manual",$M94&lt;&gt;$A$15)),
        IF(Import.TipoArredondamento&lt;&gt;"TransfereGOV",
              ROUND(OFFSET($P94,0,AO$13),15-13*ORÇAMENTO!$AF$7)/$H94*OFFSET(ORÇAMENTO!$X$15,ROW(AO94)-ROW(AO$15),0),
              ROUND(ROUND(OFFSET($P94,0,AO$13),15-13*ORÇAMENTO!$AF$7)*OFFSET(ORÇAMENTO!$W$15,ROW(AO94)-ROW(AO$15),0),15-13*ORÇAMENTO!$AF$11)),
         0)</f>
        <v>0</v>
      </c>
      <c r="AP94" s="453">
        <f ca="1">IF(AND($D94="Serviço",AP$12&lt;&gt;0,$H94&gt;0,OR(AUTOEVENTO&lt;&gt;"manual",$M94&lt;&gt;$A$15)),
        IF(Import.TipoArredondamento&lt;&gt;"TransfereGOV",
              ROUND(OFFSET($P94,0,AP$13),15-13*ORÇAMENTO!$AF$7)/$H94*OFFSET(ORÇAMENTO!$X$15,ROW(AP94)-ROW(AP$15),0),
              ROUND(ROUND(OFFSET($P94,0,AP$13),15-13*ORÇAMENTO!$AF$7)*OFFSET(ORÇAMENTO!$W$15,ROW(AP94)-ROW(AP$15),0),15-13*ORÇAMENTO!$AF$11)),
         0)</f>
        <v>0</v>
      </c>
      <c r="AQ94" s="453">
        <f ca="1">IF(AND($D94="Serviço",AQ$12&lt;&gt;0,$H94&gt;0,OR(AUTOEVENTO&lt;&gt;"manual",$M94&lt;&gt;$A$15)),
        IF(Import.TipoArredondamento&lt;&gt;"TransfereGOV",
              ROUND(OFFSET($P94,0,AQ$13),15-13*ORÇAMENTO!$AF$7)/$H94*OFFSET(ORÇAMENTO!$X$15,ROW(AQ94)-ROW(AQ$15),0),
              ROUND(ROUND(OFFSET($P94,0,AQ$13),15-13*ORÇAMENTO!$AF$7)*OFFSET(ORÇAMENTO!$W$15,ROW(AQ94)-ROW(AQ$15),0),15-13*ORÇAMENTO!$AF$11)),
         0)</f>
        <v>0</v>
      </c>
      <c r="AR94" s="453">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3">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3">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3">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3">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3">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3">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3">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3">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3">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C94" s="171">
        <f ca="1">IF(OR($D94&lt;&gt;"Serviço",AND(AUTOEVENTO="Manual",$M94=$A$15)),0,
         IF(OFFSET(CRONOPLE!$F$15,$M94-$A$15,BC$13)=0,10^12,OFFSET(CRONOPLE!$F$15,$M94-$A$15,BC$13)))</f>
        <v>1</v>
      </c>
      <c r="BD94" s="171">
        <f ca="1">IF(OR($D94&lt;&gt;"Serviço",AND(AUTOEVENTO="Manual",$M94=$A$15)),0,
         IF(OFFSET(CRONOPLE!$F$15,$M94-$A$15,BD$13)=0,10^12,OFFSET(CRONOPLE!$F$15,$M94-$A$15,BD$13)))</f>
        <v>2</v>
      </c>
      <c r="BE94" s="171">
        <f ca="1">IF(OR($D94&lt;&gt;"Serviço",AND(AUTOEVENTO="Manual",$M94=$A$15)),0,
         IF(OFFSET(CRONOPLE!$F$15,$M94-$A$15,BE$13)=0,10^12,OFFSET(CRONOPLE!$F$15,$M94-$A$15,BE$13)))</f>
        <v>3</v>
      </c>
      <c r="BF94" s="171">
        <f ca="1">IF(OR($D94&lt;&gt;"Serviço",AND(AUTOEVENTO="Manual",$M94=$A$15)),0,
         IF(OFFSET(CRONOPLE!$F$15,$M94-$A$15,BF$13)=0,10^12,OFFSET(CRONOPLE!$F$15,$M94-$A$15,BF$13)))</f>
        <v>4</v>
      </c>
      <c r="BG94" s="171">
        <f ca="1">IF(OR($D94&lt;&gt;"Serviço",AND(AUTOEVENTO="Manual",$M94=$A$15)),0,
         IF(OFFSET(CRONOPLE!$F$15,$M94-$A$15,BG$13)=0,10^12,OFFSET(CRONOPLE!$F$15,$M94-$A$15,BG$13)))</f>
        <v>5</v>
      </c>
      <c r="BH94" s="171">
        <f ca="1">IF(OR($D94&lt;&gt;"Serviço",AND(AUTOEVENTO="Manual",$M94=$A$15)),0,
         IF(OFFSET(CRONOPLE!$F$15,$M94-$A$15,BH$13)=0,10^12,OFFSET(CRONOPLE!$F$15,$M94-$A$15,BH$13)))</f>
        <v>6</v>
      </c>
      <c r="BI94" s="171">
        <f ca="1">IF(OR($D94&lt;&gt;"Serviço",AND(AUTOEVENTO="Manual",$M94=$A$15)),0,
         IF(OFFSET(CRONOPLE!$F$15,$M94-$A$15,BI$13)=0,10^12,OFFSET(CRONOPLE!$F$15,$M94-$A$15,BI$13)))</f>
        <v>7</v>
      </c>
      <c r="BJ94" s="171">
        <f ca="1">IF(OR($D94&lt;&gt;"Serviço",AND(AUTOEVENTO="Manual",$M94=$A$15)),0,
         IF(OFFSET(CRONOPLE!$F$15,$M94-$A$15,BJ$13)=0,10^12,OFFSET(CRONOPLE!$F$15,$M94-$A$15,BJ$13)))</f>
        <v>8</v>
      </c>
      <c r="BK94" s="171">
        <f ca="1">IF(OR($D94&lt;&gt;"Serviço",AND(AUTOEVENTO="Manual",$M94=$A$15)),0,
         IF(OFFSET(CRONOPLE!$F$15,$M94-$A$15,BK$13)=0,10^12,OFFSET(CRONOPLE!$F$15,$M94-$A$15,BK$13)))</f>
        <v>9</v>
      </c>
      <c r="BL94" s="171">
        <f ca="1">IF(OR($D94&lt;&gt;"Serviço",AND(AUTOEVENTO="Manual",$M94=$A$15)),0,
         IF(OFFSET(CRONOPLE!$F$15,$M94-$A$15,BL$13)=0,10^12,OFFSET(CRONOPLE!$F$15,$M94-$A$15,BL$13)))</f>
        <v>10</v>
      </c>
      <c r="BM94" s="171">
        <f ca="1">IF(OR($D94&lt;&gt;"Serviço",AND(AUTOEVENTO="Manual",$M94=$A$15)),0,
         IF(OFFSET(CRONOPLE!$F$15,$M94-$A$15,BM$13)=0,10^12,OFFSET(CRONOPLE!$F$15,$M94-$A$15,BM$13)))</f>
        <v>1000000000000</v>
      </c>
      <c r="BN94" s="171">
        <f ca="1">IF(OR($D94&lt;&gt;"Serviço",AND(AUTOEVENTO="Manual",$M94=$A$15)),0,
         IF(OFFSET(CRONOPLE!$F$15,$M94-$A$15,BN$13)=0,10^12,OFFSET(CRONOPLE!$F$15,$M94-$A$15,BN$13)))</f>
        <v>1000000000000</v>
      </c>
      <c r="BO94" s="171">
        <f ca="1">IF(OR($D94&lt;&gt;"Serviço",AND(AUTOEVENTO="Manual",$M94=$A$15)),0,
         IF(OFFSET(CRONOPLE!$F$15,$M94-$A$15,BO$13)=0,10^12,OFFSET(CRONOPLE!$F$15,$M94-$A$15,BO$13)))</f>
        <v>1000000000000</v>
      </c>
      <c r="BP94" s="171">
        <f ca="1">IF(OR($D94&lt;&gt;"Serviço",AND(AUTOEVENTO="Manual",$M94=$A$15)),0,
         IF(OFFSET(CRONOPLE!$F$15,$M94-$A$15,BP$13)=0,10^12,OFFSET(CRONOPLE!$F$15,$M94-$A$15,BP$13)))</f>
        <v>1000000000000</v>
      </c>
      <c r="BQ94" s="171">
        <f ca="1">IF(OR($D94&lt;&gt;"Serviço",AND(AUTOEVENTO="Manual",$M94=$A$15)),0,
         IF(OFFSET(CRONOPLE!$F$15,$M94-$A$15,BQ$13)=0,10^12,OFFSET(CRONOPLE!$F$15,$M94-$A$15,BQ$13)))</f>
        <v>1000000000000</v>
      </c>
      <c r="BR94" s="171">
        <f ca="1">IF(OR($D94&lt;&gt;"Serviço",AND(AUTOEVENTO="Manual",$M94=$A$15)),0,
         IF(OFFSET(CRONOPLE!$F$15,$M94-$A$15,BR$13)=0,10^12,OFFSET(CRONOPLE!$F$15,$M94-$A$15,BR$13)))</f>
        <v>1000000000000</v>
      </c>
      <c r="BS94" s="171">
        <f ca="1">IF(OR($D94&lt;&gt;"Serviço",AND(AUTOEVENTO="Manual",$M94=$A$15)),0,
         IF(OFFSET(CRONOPLE!$F$15,$M94-$A$15,BS$13)=0,10^12,OFFSET(CRONOPLE!$F$15,$M94-$A$15,BS$13)))</f>
        <v>1000000000000</v>
      </c>
      <c r="BT94" s="171">
        <f ca="1">IF(OR($D94&lt;&gt;"Serviço",AND(AUTOEVENTO="Manual",$M94=$A$15)),0,
         IF(OFFSET(CRONOPLE!$F$15,$M94-$A$15,BT$13)=0,10^12,OFFSET(CRONOPLE!$F$15,$M94-$A$15,BT$13)))</f>
        <v>1000000000000</v>
      </c>
      <c r="BV94" s="172">
        <f ca="1">IF(OR($D94&lt;&gt;"Serviço",AND(AUTOEVENTO="Manual",$M94=$A$15),$M94&gt;(ROW(PLE.lastrow)-ROW(PLE.firstrow))),0,
           IF(OFFSET(PLE!$G$15,$M94-$A$15,BV$13)="",10^12,OFFSET(PLE!$G$15,$M94-$A$15,BV$13)))</f>
        <v>1000000000000</v>
      </c>
      <c r="BW94" s="172">
        <f ca="1">IF(OR($D94&lt;&gt;"Serviço",AND(AUTOEVENTO="Manual",$M94=$A$15),$M94&gt;(ROW(PLE.lastrow)-ROW(PLE.firstrow))),0,
           IF(OFFSET(PLE!$G$15,$M94-$A$15,BW$13)="",10^12,OFFSET(PLE!$G$15,$M94-$A$15,BW$13)))</f>
        <v>1000000000000</v>
      </c>
      <c r="BX94" s="172">
        <f ca="1">IF(OR($D94&lt;&gt;"Serviço",AND(AUTOEVENTO="Manual",$M94=$A$15),$M94&gt;(ROW(PLE.lastrow)-ROW(PLE.firstrow))),0,
           IF(OFFSET(PLE!$G$15,$M94-$A$15,BX$13)="",10^12,OFFSET(PLE!$G$15,$M94-$A$15,BX$13)))</f>
        <v>1000000000000</v>
      </c>
      <c r="BY94" s="172">
        <f ca="1">IF(OR($D94&lt;&gt;"Serviço",AND(AUTOEVENTO="Manual",$M94=$A$15),$M94&gt;(ROW(PLE.lastrow)-ROW(PLE.firstrow))),0,
           IF(OFFSET(PLE!$G$15,$M94-$A$15,BY$13)="",10^12,OFFSET(PLE!$G$15,$M94-$A$15,BY$13)))</f>
        <v>1000000000000</v>
      </c>
      <c r="BZ94" s="172">
        <f ca="1">IF(OR($D94&lt;&gt;"Serviço",AND(AUTOEVENTO="Manual",$M94=$A$15),$M94&gt;(ROW(PLE.lastrow)-ROW(PLE.firstrow))),0,
           IF(OFFSET(PLE!$G$15,$M94-$A$15,BZ$13)="",10^12,OFFSET(PLE!$G$15,$M94-$A$15,BZ$13)))</f>
        <v>1000000000000</v>
      </c>
      <c r="CA94" s="172">
        <f ca="1">IF(OR($D94&lt;&gt;"Serviço",AND(AUTOEVENTO="Manual",$M94=$A$15),$M94&gt;(ROW(PLE.lastrow)-ROW(PLE.firstrow))),0,
           IF(OFFSET(PLE!$G$15,$M94-$A$15,CA$13)="",10^12,OFFSET(PLE!$G$15,$M94-$A$15,CA$13)))</f>
        <v>1000000000000</v>
      </c>
      <c r="CB94" s="172">
        <f ca="1">IF(OR($D94&lt;&gt;"Serviço",AND(AUTOEVENTO="Manual",$M94=$A$15),$M94&gt;(ROW(PLE.lastrow)-ROW(PLE.firstrow))),0,
           IF(OFFSET(PLE!$G$15,$M94-$A$15,CB$13)="",10^12,OFFSET(PLE!$G$15,$M94-$A$15,CB$13)))</f>
        <v>1000000000000</v>
      </c>
      <c r="CC94" s="172">
        <f ca="1">IF(OR($D94&lt;&gt;"Serviço",AND(AUTOEVENTO="Manual",$M94=$A$15),$M94&gt;(ROW(PLE.lastrow)-ROW(PLE.firstrow))),0,
           IF(OFFSET(PLE!$G$15,$M94-$A$15,CC$13)="",10^12,OFFSET(PLE!$G$15,$M94-$A$15,CC$13)))</f>
        <v>1000000000000</v>
      </c>
      <c r="CD94" s="172">
        <f ca="1">IF(OR($D94&lt;&gt;"Serviço",AND(AUTOEVENTO="Manual",$M94=$A$15),$M94&gt;(ROW(PLE.lastrow)-ROW(PLE.firstrow))),0,
           IF(OFFSET(PLE!$G$15,$M94-$A$15,CD$13)="",10^12,OFFSET(PLE!$G$15,$M94-$A$15,CD$13)))</f>
        <v>1000000000000</v>
      </c>
      <c r="CE94" s="172">
        <f ca="1">IF(OR($D94&lt;&gt;"Serviço",AND(AUTOEVENTO="Manual",$M94=$A$15),$M94&gt;(ROW(PLE.lastrow)-ROW(PLE.firstrow))),0,
           IF(OFFSET(PLE!$G$15,$M94-$A$15,CE$13)="",10^12,OFFSET(PLE!$G$15,$M94-$A$15,CE$13)))</f>
        <v>1000000000000</v>
      </c>
      <c r="CF94" s="172">
        <f ca="1">IF(OR($D94&lt;&gt;"Serviço",AND(AUTOEVENTO="Manual",$M94=$A$15),$M94&gt;(ROW(PLE.lastrow)-ROW(PLE.firstrow))),0,
           IF(OFFSET(PLE!$G$15,$M94-$A$15,CF$13)="",10^12,OFFSET(PLE!$G$15,$M94-$A$15,CF$13)))</f>
        <v>1000000000000</v>
      </c>
      <c r="CG94" s="172">
        <f ca="1">IF(OR($D94&lt;&gt;"Serviço",AND(AUTOEVENTO="Manual",$M94=$A$15),$M94&gt;(ROW(PLE.lastrow)-ROW(PLE.firstrow))),0,
           IF(OFFSET(PLE!$G$15,$M94-$A$15,CG$13)="",10^12,OFFSET(PLE!$G$15,$M94-$A$15,CG$13)))</f>
        <v>1000000000000</v>
      </c>
      <c r="CH94" s="172">
        <f ca="1">IF(OR($D94&lt;&gt;"Serviço",AND(AUTOEVENTO="Manual",$M94=$A$15),$M94&gt;(ROW(PLE.lastrow)-ROW(PLE.firstrow))),0,
           IF(OFFSET(PLE!$G$15,$M94-$A$15,CH$13)="",10^12,OFFSET(PLE!$G$15,$M94-$A$15,CH$13)))</f>
        <v>1000000000000</v>
      </c>
      <c r="CI94" s="172">
        <f ca="1">IF(OR($D94&lt;&gt;"Serviço",AND(AUTOEVENTO="Manual",$M94=$A$15),$M94&gt;(ROW(PLE.lastrow)-ROW(PLE.firstrow))),0,
           IF(OFFSET(PLE!$G$15,$M94-$A$15,CI$13)="",10^12,OFFSET(PLE!$G$15,$M94-$A$15,CI$13)))</f>
        <v>1000000000000</v>
      </c>
      <c r="CJ94" s="172">
        <f ca="1">IF(OR($D94&lt;&gt;"Serviço",AND(AUTOEVENTO="Manual",$M94=$A$15),$M94&gt;(ROW(PLE.lastrow)-ROW(PLE.firstrow))),0,
           IF(OFFSET(PLE!$G$15,$M94-$A$15,CJ$13)="",10^12,OFFSET(PLE!$G$15,$M94-$A$15,CJ$13)))</f>
        <v>1000000000000</v>
      </c>
      <c r="CK94" s="172">
        <f ca="1">IF(OR($D94&lt;&gt;"Serviço",AND(AUTOEVENTO="Manual",$M94=$A$15),$M94&gt;(ROW(PLE.lastrow)-ROW(PLE.firstrow))),0,
           IF(OFFSET(PLE!$G$15,$M94-$A$15,CK$13)="",10^12,OFFSET(PLE!$G$15,$M94-$A$15,CK$13)))</f>
        <v>1000000000000</v>
      </c>
      <c r="CL94" s="172">
        <f ca="1">IF(OR($D94&lt;&gt;"Serviço",AND(AUTOEVENTO="Manual",$M94=$A$15),$M94&gt;(ROW(PLE.lastrow)-ROW(PLE.firstrow))),0,
           IF(OFFSET(PLE!$G$15,$M94-$A$15,CL$13)="",10^12,OFFSET(PLE!$G$15,$M94-$A$15,CL$13)))</f>
        <v>1000000000000</v>
      </c>
      <c r="CM94" s="172">
        <f ca="1">IF(OR($D94&lt;&gt;"Serviço",AND(AUTOEVENTO="Manual",$M94=$A$15),$M94&gt;(ROW(PLE.lastrow)-ROW(PLE.firstrow))),0,
           IF(OFFSET(PLE!$G$15,$M94-$A$15,CM$13)="",10^12,OFFSET(PLE!$G$15,$M94-$A$15,CM$13)))</f>
        <v>1000000000000</v>
      </c>
    </row>
    <row r="95" spans="1:91" ht="12.75" x14ac:dyDescent="0.2">
      <c r="A95" s="7">
        <f t="shared" ca="1" si="11"/>
        <v>5</v>
      </c>
      <c r="B95" s="7">
        <f ca="1">OFFSET(ORÇAMENTO!C$15,ROW(B95)-ROW(B$15),0)</f>
        <v>4</v>
      </c>
      <c r="C95" s="7" t="str">
        <f ca="1">OFFSET(ORÇAMENTO!L$15,ROW(C95)-ROW(C$15),0)</f>
        <v>F</v>
      </c>
      <c r="D95" s="116" t="str">
        <f ca="1">OFFSET(ORÇAMENTO!N$15,ROW(D95)-ROW(D$15),0)</f>
        <v>Nível 4</v>
      </c>
      <c r="E95" s="117" t="str">
        <f ca="1">OFFSET(ORÇAMENTO!O$15,ROW(E95)-ROW(E$15),0)</f>
        <v>1.5.1.4.</v>
      </c>
      <c r="F95" s="163" t="str">
        <f ca="1">OFFSET(ORÇAMENTO!R$15,ROW(F95)-ROW(F$15),0)</f>
        <v>ESCADA</v>
      </c>
      <c r="G95" s="164" t="str">
        <f ca="1">IF($D95&lt;&gt;"Serviço","",OFFSET(ORÇAMENTO!S$15,ROW(G95)-ROW(G$15),0))</f>
        <v/>
      </c>
      <c r="H95" s="122" cm="1">
        <f t="array" aca="1" ref="H95" ca="1">IF($D95&lt;&gt;"Serviço",0,IF(ACOMPANHAMENTO="BM",ROUND(OFFSET(ORÇAMENTO!AJ$15,ROW(H95)-ROW(H$15),0),15-13*ORÇAMENTO!$AF$7),SUMPRODUCT(($Q$1:$AI$1=1)*ROUND($Q95:$AI95,15-13*ORÇAMENTO!$AF$7))))</f>
        <v>0</v>
      </c>
      <c r="I95" s="468"/>
      <c r="J95" s="640" t="str" cm="1">
        <f t="array" aca="1" ref="J95" ca="1">IF(OR(B95&lt;&gt;"S",CÁLCULO.FrentesPreenchidas=0),"",IF(AND(ACOMPANHAMENTO="PLE",AUTOEVENTO="Manual",OR(H95&gt;0,ORÇAMENTO!AC95="QUANT."),OR(K95="",M95=0,N95="")),"►E",IF(AND(ACOMPANHAMENTO="PLE",ORÇAMENTO!AC95="QUANT."),"►Q",IF(AND(ACOMPANHAMENTO="PLE",H95&lt;&gt;SUMPRODUCT(($Q$1:$AI$1=1)*ROUND(Q95:AI95,15))),"►S",IF(AND(COUNTIF($P$11:$AI$11,"▼")=0,H95&gt;0,I95=""),"◄M","")))))</f>
        <v/>
      </c>
      <c r="K95" s="641" t="s">
        <v>1364</v>
      </c>
      <c r="L95" s="165" t="s">
        <v>764</v>
      </c>
      <c r="M95" s="166" t="str">
        <f ca="1">IF($D95&lt;&gt;"Serviço","",
          IF(AUTOEVENTO="manual",$A95,
                IF(ISERROR(MATCH($A95,$A$15:OFFSET($A95,-1,0),0)),MAX($M$15:OFFSET(M95,-1,0))+1,
                      INDEX($M$15:OFFSET(M95,-1,0),MATCH($A95,$A$15:OFFSET($A95,-1,0),0)))))</f>
        <v/>
      </c>
      <c r="N95" s="167" t="str">
        <f ca="1">IF($D95&lt;&gt;"Serviço","",
         IF(AUTOEVENTO="Manual",
                IF($A95=0,"&lt;-- defina o número do agrupador",
                       OFFSET(EVENTOS!$D$15,$A95-$A$15,0)),
                OFFSET($F$15,$A95,0)))</f>
        <v/>
      </c>
      <c r="O95" s="168"/>
      <c r="Q95" s="168"/>
      <c r="R95" s="169"/>
      <c r="S95" s="169"/>
      <c r="T95" s="169"/>
      <c r="U95" s="169"/>
      <c r="V95" s="169"/>
      <c r="W95" s="169"/>
      <c r="X95" s="169"/>
      <c r="Y95" s="169"/>
      <c r="Z95" s="170"/>
      <c r="AA95" s="169"/>
      <c r="AB95" s="169"/>
      <c r="AC95" s="169"/>
      <c r="AD95" s="169"/>
      <c r="AE95" s="169"/>
      <c r="AF95" s="169"/>
      <c r="AG95" s="169"/>
      <c r="AH95" s="170"/>
      <c r="AJ95" s="453">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0</v>
      </c>
      <c r="AK95" s="453">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0</v>
      </c>
      <c r="AL95" s="453">
        <f ca="1">IF(AND($D95="Serviço",AL$12&lt;&gt;0,$H95&gt;0,OR(AUTOEVENTO&lt;&gt;"manual",$M95&lt;&gt;$A$15)),
        IF(Import.TipoArredondamento&lt;&gt;"TransfereGOV",
              ROUND(OFFSET($P95,0,AL$13),15-13*ORÇAMENTO!$AF$7)/$H95*OFFSET(ORÇAMENTO!$X$15,ROW(AL95)-ROW(AL$15),0),
              ROUND(ROUND(OFFSET($P95,0,AL$13),15-13*ORÇAMENTO!$AF$7)*OFFSET(ORÇAMENTO!$W$15,ROW(AL95)-ROW(AL$15),0),15-13*ORÇAMENTO!$AF$11)),
         0)</f>
        <v>0</v>
      </c>
      <c r="AM95" s="453">
        <f ca="1">IF(AND($D95="Serviço",AM$12&lt;&gt;0,$H95&gt;0,OR(AUTOEVENTO&lt;&gt;"manual",$M95&lt;&gt;$A$15)),
        IF(Import.TipoArredondamento&lt;&gt;"TransfereGOV",
              ROUND(OFFSET($P95,0,AM$13),15-13*ORÇAMENTO!$AF$7)/$H95*OFFSET(ORÇAMENTO!$X$15,ROW(AM95)-ROW(AM$15),0),
              ROUND(ROUND(OFFSET($P95,0,AM$13),15-13*ORÇAMENTO!$AF$7)*OFFSET(ORÇAMENTO!$W$15,ROW(AM95)-ROW(AM$15),0),15-13*ORÇAMENTO!$AF$11)),
         0)</f>
        <v>0</v>
      </c>
      <c r="AN95" s="453">
        <f ca="1">IF(AND($D95="Serviço",AN$12&lt;&gt;0,$H95&gt;0,OR(AUTOEVENTO&lt;&gt;"manual",$M95&lt;&gt;$A$15)),
        IF(Import.TipoArredondamento&lt;&gt;"TransfereGOV",
              ROUND(OFFSET($P95,0,AN$13),15-13*ORÇAMENTO!$AF$7)/$H95*OFFSET(ORÇAMENTO!$X$15,ROW(AN95)-ROW(AN$15),0),
              ROUND(ROUND(OFFSET($P95,0,AN$13),15-13*ORÇAMENTO!$AF$7)*OFFSET(ORÇAMENTO!$W$15,ROW(AN95)-ROW(AN$15),0),15-13*ORÇAMENTO!$AF$11)),
         0)</f>
        <v>0</v>
      </c>
      <c r="AO95" s="453">
        <f ca="1">IF(AND($D95="Serviço",AO$12&lt;&gt;0,$H95&gt;0,OR(AUTOEVENTO&lt;&gt;"manual",$M95&lt;&gt;$A$15)),
        IF(Import.TipoArredondamento&lt;&gt;"TransfereGOV",
              ROUND(OFFSET($P95,0,AO$13),15-13*ORÇAMENTO!$AF$7)/$H95*OFFSET(ORÇAMENTO!$X$15,ROW(AO95)-ROW(AO$15),0),
              ROUND(ROUND(OFFSET($P95,0,AO$13),15-13*ORÇAMENTO!$AF$7)*OFFSET(ORÇAMENTO!$W$15,ROW(AO95)-ROW(AO$15),0),15-13*ORÇAMENTO!$AF$11)),
         0)</f>
        <v>0</v>
      </c>
      <c r="AP95" s="453">
        <f ca="1">IF(AND($D95="Serviço",AP$12&lt;&gt;0,$H95&gt;0,OR(AUTOEVENTO&lt;&gt;"manual",$M95&lt;&gt;$A$15)),
        IF(Import.TipoArredondamento&lt;&gt;"TransfereGOV",
              ROUND(OFFSET($P95,0,AP$13),15-13*ORÇAMENTO!$AF$7)/$H95*OFFSET(ORÇAMENTO!$X$15,ROW(AP95)-ROW(AP$15),0),
              ROUND(ROUND(OFFSET($P95,0,AP$13),15-13*ORÇAMENTO!$AF$7)*OFFSET(ORÇAMENTO!$W$15,ROW(AP95)-ROW(AP$15),0),15-13*ORÇAMENTO!$AF$11)),
         0)</f>
        <v>0</v>
      </c>
      <c r="AQ95" s="453">
        <f ca="1">IF(AND($D95="Serviço",AQ$12&lt;&gt;0,$H95&gt;0,OR(AUTOEVENTO&lt;&gt;"manual",$M95&lt;&gt;$A$15)),
        IF(Import.TipoArredondamento&lt;&gt;"TransfereGOV",
              ROUND(OFFSET($P95,0,AQ$13),15-13*ORÇAMENTO!$AF$7)/$H95*OFFSET(ORÇAMENTO!$X$15,ROW(AQ95)-ROW(AQ$15),0),
              ROUND(ROUND(OFFSET($P95,0,AQ$13),15-13*ORÇAMENTO!$AF$7)*OFFSET(ORÇAMENTO!$W$15,ROW(AQ95)-ROW(AQ$15),0),15-13*ORÇAMENTO!$AF$11)),
         0)</f>
        <v>0</v>
      </c>
      <c r="AR95" s="453">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3">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3">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3">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3">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3">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3">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3">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3">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3">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C95" s="171">
        <f ca="1">IF(OR($D95&lt;&gt;"Serviço",AND(AUTOEVENTO="Manual",$M95=$A$15)),0,
         IF(OFFSET(CRONOPLE!$F$15,$M95-$A$15,BC$13)=0,10^12,OFFSET(CRONOPLE!$F$15,$M95-$A$15,BC$13)))</f>
        <v>0</v>
      </c>
      <c r="BD95" s="171">
        <f ca="1">IF(OR($D95&lt;&gt;"Serviço",AND(AUTOEVENTO="Manual",$M95=$A$15)),0,
         IF(OFFSET(CRONOPLE!$F$15,$M95-$A$15,BD$13)=0,10^12,OFFSET(CRONOPLE!$F$15,$M95-$A$15,BD$13)))</f>
        <v>0</v>
      </c>
      <c r="BE95" s="171">
        <f ca="1">IF(OR($D95&lt;&gt;"Serviço",AND(AUTOEVENTO="Manual",$M95=$A$15)),0,
         IF(OFFSET(CRONOPLE!$F$15,$M95-$A$15,BE$13)=0,10^12,OFFSET(CRONOPLE!$F$15,$M95-$A$15,BE$13)))</f>
        <v>0</v>
      </c>
      <c r="BF95" s="171">
        <f ca="1">IF(OR($D95&lt;&gt;"Serviço",AND(AUTOEVENTO="Manual",$M95=$A$15)),0,
         IF(OFFSET(CRONOPLE!$F$15,$M95-$A$15,BF$13)=0,10^12,OFFSET(CRONOPLE!$F$15,$M95-$A$15,BF$13)))</f>
        <v>0</v>
      </c>
      <c r="BG95" s="171">
        <f ca="1">IF(OR($D95&lt;&gt;"Serviço",AND(AUTOEVENTO="Manual",$M95=$A$15)),0,
         IF(OFFSET(CRONOPLE!$F$15,$M95-$A$15,BG$13)=0,10^12,OFFSET(CRONOPLE!$F$15,$M95-$A$15,BG$13)))</f>
        <v>0</v>
      </c>
      <c r="BH95" s="171">
        <f ca="1">IF(OR($D95&lt;&gt;"Serviço",AND(AUTOEVENTO="Manual",$M95=$A$15)),0,
         IF(OFFSET(CRONOPLE!$F$15,$M95-$A$15,BH$13)=0,10^12,OFFSET(CRONOPLE!$F$15,$M95-$A$15,BH$13)))</f>
        <v>0</v>
      </c>
      <c r="BI95" s="171">
        <f ca="1">IF(OR($D95&lt;&gt;"Serviço",AND(AUTOEVENTO="Manual",$M95=$A$15)),0,
         IF(OFFSET(CRONOPLE!$F$15,$M95-$A$15,BI$13)=0,10^12,OFFSET(CRONOPLE!$F$15,$M95-$A$15,BI$13)))</f>
        <v>0</v>
      </c>
      <c r="BJ95" s="171">
        <f ca="1">IF(OR($D95&lt;&gt;"Serviço",AND(AUTOEVENTO="Manual",$M95=$A$15)),0,
         IF(OFFSET(CRONOPLE!$F$15,$M95-$A$15,BJ$13)=0,10^12,OFFSET(CRONOPLE!$F$15,$M95-$A$15,BJ$13)))</f>
        <v>0</v>
      </c>
      <c r="BK95" s="171">
        <f ca="1">IF(OR($D95&lt;&gt;"Serviço",AND(AUTOEVENTO="Manual",$M95=$A$15)),0,
         IF(OFFSET(CRONOPLE!$F$15,$M95-$A$15,BK$13)=0,10^12,OFFSET(CRONOPLE!$F$15,$M95-$A$15,BK$13)))</f>
        <v>0</v>
      </c>
      <c r="BL95" s="171">
        <f ca="1">IF(OR($D95&lt;&gt;"Serviço",AND(AUTOEVENTO="Manual",$M95=$A$15)),0,
         IF(OFFSET(CRONOPLE!$F$15,$M95-$A$15,BL$13)=0,10^12,OFFSET(CRONOPLE!$F$15,$M95-$A$15,BL$13)))</f>
        <v>0</v>
      </c>
      <c r="BM95" s="171">
        <f ca="1">IF(OR($D95&lt;&gt;"Serviço",AND(AUTOEVENTO="Manual",$M95=$A$15)),0,
         IF(OFFSET(CRONOPLE!$F$15,$M95-$A$15,BM$13)=0,10^12,OFFSET(CRONOPLE!$F$15,$M95-$A$15,BM$13)))</f>
        <v>0</v>
      </c>
      <c r="BN95" s="171">
        <f ca="1">IF(OR($D95&lt;&gt;"Serviço",AND(AUTOEVENTO="Manual",$M95=$A$15)),0,
         IF(OFFSET(CRONOPLE!$F$15,$M95-$A$15,BN$13)=0,10^12,OFFSET(CRONOPLE!$F$15,$M95-$A$15,BN$13)))</f>
        <v>0</v>
      </c>
      <c r="BO95" s="171">
        <f ca="1">IF(OR($D95&lt;&gt;"Serviço",AND(AUTOEVENTO="Manual",$M95=$A$15)),0,
         IF(OFFSET(CRONOPLE!$F$15,$M95-$A$15,BO$13)=0,10^12,OFFSET(CRONOPLE!$F$15,$M95-$A$15,BO$13)))</f>
        <v>0</v>
      </c>
      <c r="BP95" s="171">
        <f ca="1">IF(OR($D95&lt;&gt;"Serviço",AND(AUTOEVENTO="Manual",$M95=$A$15)),0,
         IF(OFFSET(CRONOPLE!$F$15,$M95-$A$15,BP$13)=0,10^12,OFFSET(CRONOPLE!$F$15,$M95-$A$15,BP$13)))</f>
        <v>0</v>
      </c>
      <c r="BQ95" s="171">
        <f ca="1">IF(OR($D95&lt;&gt;"Serviço",AND(AUTOEVENTO="Manual",$M95=$A$15)),0,
         IF(OFFSET(CRONOPLE!$F$15,$M95-$A$15,BQ$13)=0,10^12,OFFSET(CRONOPLE!$F$15,$M95-$A$15,BQ$13)))</f>
        <v>0</v>
      </c>
      <c r="BR95" s="171">
        <f ca="1">IF(OR($D95&lt;&gt;"Serviço",AND(AUTOEVENTO="Manual",$M95=$A$15)),0,
         IF(OFFSET(CRONOPLE!$F$15,$M95-$A$15,BR$13)=0,10^12,OFFSET(CRONOPLE!$F$15,$M95-$A$15,BR$13)))</f>
        <v>0</v>
      </c>
      <c r="BS95" s="171">
        <f ca="1">IF(OR($D95&lt;&gt;"Serviço",AND(AUTOEVENTO="Manual",$M95=$A$15)),0,
         IF(OFFSET(CRONOPLE!$F$15,$M95-$A$15,BS$13)=0,10^12,OFFSET(CRONOPLE!$F$15,$M95-$A$15,BS$13)))</f>
        <v>0</v>
      </c>
      <c r="BT95" s="171">
        <f ca="1">IF(OR($D95&lt;&gt;"Serviço",AND(AUTOEVENTO="Manual",$M95=$A$15)),0,
         IF(OFFSET(CRONOPLE!$F$15,$M95-$A$15,BT$13)=0,10^12,OFFSET(CRONOPLE!$F$15,$M95-$A$15,BT$13)))</f>
        <v>0</v>
      </c>
      <c r="BV95" s="172">
        <f ca="1">IF(OR($D95&lt;&gt;"Serviço",AND(AUTOEVENTO="Manual",$M95=$A$15),$M95&gt;(ROW(PLE.lastrow)-ROW(PLE.firstrow))),0,
           IF(OFFSET(PLE!$G$15,$M95-$A$15,BV$13)="",10^12,OFFSET(PLE!$G$15,$M95-$A$15,BV$13)))</f>
        <v>0</v>
      </c>
      <c r="BW95" s="172">
        <f ca="1">IF(OR($D95&lt;&gt;"Serviço",AND(AUTOEVENTO="Manual",$M95=$A$15),$M95&gt;(ROW(PLE.lastrow)-ROW(PLE.firstrow))),0,
           IF(OFFSET(PLE!$G$15,$M95-$A$15,BW$13)="",10^12,OFFSET(PLE!$G$15,$M95-$A$15,BW$13)))</f>
        <v>0</v>
      </c>
      <c r="BX95" s="172">
        <f ca="1">IF(OR($D95&lt;&gt;"Serviço",AND(AUTOEVENTO="Manual",$M95=$A$15),$M95&gt;(ROW(PLE.lastrow)-ROW(PLE.firstrow))),0,
           IF(OFFSET(PLE!$G$15,$M95-$A$15,BX$13)="",10^12,OFFSET(PLE!$G$15,$M95-$A$15,BX$13)))</f>
        <v>0</v>
      </c>
      <c r="BY95" s="172">
        <f ca="1">IF(OR($D95&lt;&gt;"Serviço",AND(AUTOEVENTO="Manual",$M95=$A$15),$M95&gt;(ROW(PLE.lastrow)-ROW(PLE.firstrow))),0,
           IF(OFFSET(PLE!$G$15,$M95-$A$15,BY$13)="",10^12,OFFSET(PLE!$G$15,$M95-$A$15,BY$13)))</f>
        <v>0</v>
      </c>
      <c r="BZ95" s="172">
        <f ca="1">IF(OR($D95&lt;&gt;"Serviço",AND(AUTOEVENTO="Manual",$M95=$A$15),$M95&gt;(ROW(PLE.lastrow)-ROW(PLE.firstrow))),0,
           IF(OFFSET(PLE!$G$15,$M95-$A$15,BZ$13)="",10^12,OFFSET(PLE!$G$15,$M95-$A$15,BZ$13)))</f>
        <v>0</v>
      </c>
      <c r="CA95" s="172">
        <f ca="1">IF(OR($D95&lt;&gt;"Serviço",AND(AUTOEVENTO="Manual",$M95=$A$15),$M95&gt;(ROW(PLE.lastrow)-ROW(PLE.firstrow))),0,
           IF(OFFSET(PLE!$G$15,$M95-$A$15,CA$13)="",10^12,OFFSET(PLE!$G$15,$M95-$A$15,CA$13)))</f>
        <v>0</v>
      </c>
      <c r="CB95" s="172">
        <f ca="1">IF(OR($D95&lt;&gt;"Serviço",AND(AUTOEVENTO="Manual",$M95=$A$15),$M95&gt;(ROW(PLE.lastrow)-ROW(PLE.firstrow))),0,
           IF(OFFSET(PLE!$G$15,$M95-$A$15,CB$13)="",10^12,OFFSET(PLE!$G$15,$M95-$A$15,CB$13)))</f>
        <v>0</v>
      </c>
      <c r="CC95" s="172">
        <f ca="1">IF(OR($D95&lt;&gt;"Serviço",AND(AUTOEVENTO="Manual",$M95=$A$15),$M95&gt;(ROW(PLE.lastrow)-ROW(PLE.firstrow))),0,
           IF(OFFSET(PLE!$G$15,$M95-$A$15,CC$13)="",10^12,OFFSET(PLE!$G$15,$M95-$A$15,CC$13)))</f>
        <v>0</v>
      </c>
      <c r="CD95" s="172">
        <f ca="1">IF(OR($D95&lt;&gt;"Serviço",AND(AUTOEVENTO="Manual",$M95=$A$15),$M95&gt;(ROW(PLE.lastrow)-ROW(PLE.firstrow))),0,
           IF(OFFSET(PLE!$G$15,$M95-$A$15,CD$13)="",10^12,OFFSET(PLE!$G$15,$M95-$A$15,CD$13)))</f>
        <v>0</v>
      </c>
      <c r="CE95" s="172">
        <f ca="1">IF(OR($D95&lt;&gt;"Serviço",AND(AUTOEVENTO="Manual",$M95=$A$15),$M95&gt;(ROW(PLE.lastrow)-ROW(PLE.firstrow))),0,
           IF(OFFSET(PLE!$G$15,$M95-$A$15,CE$13)="",10^12,OFFSET(PLE!$G$15,$M95-$A$15,CE$13)))</f>
        <v>0</v>
      </c>
      <c r="CF95" s="172">
        <f ca="1">IF(OR($D95&lt;&gt;"Serviço",AND(AUTOEVENTO="Manual",$M95=$A$15),$M95&gt;(ROW(PLE.lastrow)-ROW(PLE.firstrow))),0,
           IF(OFFSET(PLE!$G$15,$M95-$A$15,CF$13)="",10^12,OFFSET(PLE!$G$15,$M95-$A$15,CF$13)))</f>
        <v>0</v>
      </c>
      <c r="CG95" s="172">
        <f ca="1">IF(OR($D95&lt;&gt;"Serviço",AND(AUTOEVENTO="Manual",$M95=$A$15),$M95&gt;(ROW(PLE.lastrow)-ROW(PLE.firstrow))),0,
           IF(OFFSET(PLE!$G$15,$M95-$A$15,CG$13)="",10^12,OFFSET(PLE!$G$15,$M95-$A$15,CG$13)))</f>
        <v>0</v>
      </c>
      <c r="CH95" s="172">
        <f ca="1">IF(OR($D95&lt;&gt;"Serviço",AND(AUTOEVENTO="Manual",$M95=$A$15),$M95&gt;(ROW(PLE.lastrow)-ROW(PLE.firstrow))),0,
           IF(OFFSET(PLE!$G$15,$M95-$A$15,CH$13)="",10^12,OFFSET(PLE!$G$15,$M95-$A$15,CH$13)))</f>
        <v>0</v>
      </c>
      <c r="CI95" s="172">
        <f ca="1">IF(OR($D95&lt;&gt;"Serviço",AND(AUTOEVENTO="Manual",$M95=$A$15),$M95&gt;(ROW(PLE.lastrow)-ROW(PLE.firstrow))),0,
           IF(OFFSET(PLE!$G$15,$M95-$A$15,CI$13)="",10^12,OFFSET(PLE!$G$15,$M95-$A$15,CI$13)))</f>
        <v>0</v>
      </c>
      <c r="CJ95" s="172">
        <f ca="1">IF(OR($D95&lt;&gt;"Serviço",AND(AUTOEVENTO="Manual",$M95=$A$15),$M95&gt;(ROW(PLE.lastrow)-ROW(PLE.firstrow))),0,
           IF(OFFSET(PLE!$G$15,$M95-$A$15,CJ$13)="",10^12,OFFSET(PLE!$G$15,$M95-$A$15,CJ$13)))</f>
        <v>0</v>
      </c>
      <c r="CK95" s="172">
        <f ca="1">IF(OR($D95&lt;&gt;"Serviço",AND(AUTOEVENTO="Manual",$M95=$A$15),$M95&gt;(ROW(PLE.lastrow)-ROW(PLE.firstrow))),0,
           IF(OFFSET(PLE!$G$15,$M95-$A$15,CK$13)="",10^12,OFFSET(PLE!$G$15,$M95-$A$15,CK$13)))</f>
        <v>0</v>
      </c>
      <c r="CL95" s="172">
        <f ca="1">IF(OR($D95&lt;&gt;"Serviço",AND(AUTOEVENTO="Manual",$M95=$A$15),$M95&gt;(ROW(PLE.lastrow)-ROW(PLE.firstrow))),0,
           IF(OFFSET(PLE!$G$15,$M95-$A$15,CL$13)="",10^12,OFFSET(PLE!$G$15,$M95-$A$15,CL$13)))</f>
        <v>0</v>
      </c>
      <c r="CM95" s="172">
        <f ca="1">IF(OR($D95&lt;&gt;"Serviço",AND(AUTOEVENTO="Manual",$M95=$A$15),$M95&gt;(ROW(PLE.lastrow)-ROW(PLE.firstrow))),0,
           IF(OFFSET(PLE!$G$15,$M95-$A$15,CM$13)="",10^12,OFFSET(PLE!$G$15,$M95-$A$15,CM$13)))</f>
        <v>0</v>
      </c>
    </row>
    <row r="96" spans="1:91" ht="63.75" x14ac:dyDescent="0.2">
      <c r="A96" s="7">
        <f t="shared" ca="1" si="11"/>
        <v>4</v>
      </c>
      <c r="B96" s="7" t="str">
        <f ca="1">OFFSET(ORÇAMENTO!C$15,ROW(B96)-ROW(B$15),0)</f>
        <v>S</v>
      </c>
      <c r="C96" s="7" t="str">
        <f ca="1">OFFSET(ORÇAMENTO!L$15,ROW(C96)-ROW(C$15),0)</f>
        <v>F</v>
      </c>
      <c r="D96" s="116" t="str">
        <f ca="1">OFFSET(ORÇAMENTO!N$15,ROW(D96)-ROW(D$15),0)</f>
        <v>Serviço</v>
      </c>
      <c r="E96" s="117" t="str">
        <f ca="1">OFFSET(ORÇAMENTO!O$15,ROW(E96)-ROW(E$15),0)</f>
        <v>1.5.1.4.1.</v>
      </c>
      <c r="F96" s="163" t="str">
        <f ca="1">OFFSET(ORÇAMENTO!R$15,ROW(F96)-ROW(F$15),0)</f>
        <v>CONCRETO FCK = 40MPA, TRAÇO 1:1,6:1,9 (EM MASSA SECA DE CIMENTO/ AREIA MÉDIA/ BRITA 1) - PREPARO MECÂNICO COM BETONEIRA 600 L. AF_05/2021</v>
      </c>
      <c r="G96" s="164" t="str">
        <f ca="1">IF($D96&lt;&gt;"Serviço","",OFFSET(ORÇAMENTO!S$15,ROW(G96)-ROW(G$15),0))</f>
        <v>M3</v>
      </c>
      <c r="H96" s="122" cm="1">
        <f t="array" aca="1" ref="H96" ca="1">IF($D96&lt;&gt;"Serviço",0,IF(ACOMPANHAMENTO="BM",ROUND(OFFSET(ORÇAMENTO!AJ$15,ROW(H96)-ROW(H$15),0),15-13*ORÇAMENTO!$AF$7),SUMPRODUCT(($Q$1:$AI$1=1)*ROUND($Q96:$AI96,15-13*ORÇAMENTO!$AF$7))))</f>
        <v>1.36</v>
      </c>
      <c r="I96" s="468" t="s">
        <v>1310</v>
      </c>
      <c r="J96" s="640" t="str" cm="1">
        <f t="array" aca="1" ref="J96" ca="1">IF(OR(B96&lt;&gt;"S",CÁLCULO.FrentesPreenchidas=0),"",IF(AND(ACOMPANHAMENTO="PLE",AUTOEVENTO="Manual",OR(H96&gt;0,ORÇAMENTO!AC96="QUANT."),OR(K96="",M96=0,N96="")),"►E",IF(AND(ACOMPANHAMENTO="PLE",ORÇAMENTO!AC96="QUANT."),"►Q",IF(AND(ACOMPANHAMENTO="PLE",H96&lt;&gt;SUMPRODUCT(($Q$1:$AI$1=1)*ROUND(Q96:AI96,15))),"►S",IF(AND(COUNTIF($P$11:$AI$11,"▼")=0,H96&gt;0,I96=""),"◄M","")))))</f>
        <v/>
      </c>
      <c r="K96" s="641" t="s">
        <v>1389</v>
      </c>
      <c r="L96" s="165" t="s">
        <v>764</v>
      </c>
      <c r="M96" s="166">
        <f ca="1">IF($D96&lt;&gt;"Serviço","",
          IF(AUTOEVENTO="manual",$A96,
                IF(ISERROR(MATCH($A96,$A$15:OFFSET($A96,-1,0),0)),MAX($M$15:OFFSET(M96,-1,0))+1,
                      INDEX($M$15:OFFSET(M96,-1,0),MATCH($A96,$A$15:OFFSET($A96,-1,0),0)))))</f>
        <v>4</v>
      </c>
      <c r="N96" s="167" t="str">
        <f ca="1">IF($D96&lt;&gt;"Serviço","",
         IF(AUTOEVENTO="Manual",
                IF($A96=0,"&lt;-- defina o número do agrupador",
                       OFFSET(EVENTOS!$D$15,$A96-$A$15,0)),
                OFFSET($F$15,$A96,0)))</f>
        <v>Estruturas de Concreto</v>
      </c>
      <c r="O96" s="168"/>
      <c r="Q96" s="168"/>
      <c r="R96" s="169"/>
      <c r="S96" s="169">
        <v>1.36</v>
      </c>
      <c r="T96" s="169"/>
      <c r="U96" s="169"/>
      <c r="V96" s="169"/>
      <c r="W96" s="169"/>
      <c r="X96" s="169"/>
      <c r="Y96" s="169"/>
      <c r="Z96" s="170"/>
      <c r="AA96" s="169"/>
      <c r="AB96" s="169"/>
      <c r="AC96" s="169"/>
      <c r="AD96" s="169"/>
      <c r="AE96" s="169"/>
      <c r="AF96" s="169"/>
      <c r="AG96" s="169"/>
      <c r="AH96" s="170"/>
      <c r="AJ96" s="453">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3">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L96" s="453">
        <f ca="1">IF(AND($D96="Serviço",AL$12&lt;&gt;0,$H96&gt;0,OR(AUTOEVENTO&lt;&gt;"manual",$M96&lt;&gt;$A$15)),
        IF(Import.TipoArredondamento&lt;&gt;"TransfereGOV",
              ROUND(OFFSET($P96,0,AL$13),15-13*ORÇAMENTO!$AF$7)/$H96*OFFSET(ORÇAMENTO!$X$15,ROW(AL96)-ROW(AL$15),0),
              ROUND(ROUND(OFFSET($P96,0,AL$13),15-13*ORÇAMENTO!$AF$7)*OFFSET(ORÇAMENTO!$W$15,ROW(AL96)-ROW(AL$15),0),15-13*ORÇAMENTO!$AF$11)),
         0)</f>
        <v>0</v>
      </c>
      <c r="AM96" s="453">
        <f ca="1">IF(AND($D96="Serviço",AM$12&lt;&gt;0,$H96&gt;0,OR(AUTOEVENTO&lt;&gt;"manual",$M96&lt;&gt;$A$15)),
        IF(Import.TipoArredondamento&lt;&gt;"TransfereGOV",
              ROUND(OFFSET($P96,0,AM$13),15-13*ORÇAMENTO!$AF$7)/$H96*OFFSET(ORÇAMENTO!$X$15,ROW(AM96)-ROW(AM$15),0),
              ROUND(ROUND(OFFSET($P96,0,AM$13),15-13*ORÇAMENTO!$AF$7)*OFFSET(ORÇAMENTO!$W$15,ROW(AM96)-ROW(AM$15),0),15-13*ORÇAMENTO!$AF$11)),
         0)</f>
        <v>0</v>
      </c>
      <c r="AN96" s="453">
        <f ca="1">IF(AND($D96="Serviço",AN$12&lt;&gt;0,$H96&gt;0,OR(AUTOEVENTO&lt;&gt;"manual",$M96&lt;&gt;$A$15)),
        IF(Import.TipoArredondamento&lt;&gt;"TransfereGOV",
              ROUND(OFFSET($P96,0,AN$13),15-13*ORÇAMENTO!$AF$7)/$H96*OFFSET(ORÇAMENTO!$X$15,ROW(AN96)-ROW(AN$15),0),
              ROUND(ROUND(OFFSET($P96,0,AN$13),15-13*ORÇAMENTO!$AF$7)*OFFSET(ORÇAMENTO!$W$15,ROW(AN96)-ROW(AN$15),0),15-13*ORÇAMENTO!$AF$11)),
         0)</f>
        <v>0</v>
      </c>
      <c r="AO96" s="453">
        <f ca="1">IF(AND($D96="Serviço",AO$12&lt;&gt;0,$H96&gt;0,OR(AUTOEVENTO&lt;&gt;"manual",$M96&lt;&gt;$A$15)),
        IF(Import.TipoArredondamento&lt;&gt;"TransfereGOV",
              ROUND(OFFSET($P96,0,AO$13),15-13*ORÇAMENTO!$AF$7)/$H96*OFFSET(ORÇAMENTO!$X$15,ROW(AO96)-ROW(AO$15),0),
              ROUND(ROUND(OFFSET($P96,0,AO$13),15-13*ORÇAMENTO!$AF$7)*OFFSET(ORÇAMENTO!$W$15,ROW(AO96)-ROW(AO$15),0),15-13*ORÇAMENTO!$AF$11)),
         0)</f>
        <v>0</v>
      </c>
      <c r="AP96" s="453">
        <f ca="1">IF(AND($D96="Serviço",AP$12&lt;&gt;0,$H96&gt;0,OR(AUTOEVENTO&lt;&gt;"manual",$M96&lt;&gt;$A$15)),
        IF(Import.TipoArredondamento&lt;&gt;"TransfereGOV",
              ROUND(OFFSET($P96,0,AP$13),15-13*ORÇAMENTO!$AF$7)/$H96*OFFSET(ORÇAMENTO!$X$15,ROW(AP96)-ROW(AP$15),0),
              ROUND(ROUND(OFFSET($P96,0,AP$13),15-13*ORÇAMENTO!$AF$7)*OFFSET(ORÇAMENTO!$W$15,ROW(AP96)-ROW(AP$15),0),15-13*ORÇAMENTO!$AF$11)),
         0)</f>
        <v>0</v>
      </c>
      <c r="AQ96" s="453">
        <f ca="1">IF(AND($D96="Serviço",AQ$12&lt;&gt;0,$H96&gt;0,OR(AUTOEVENTO&lt;&gt;"manual",$M96&lt;&gt;$A$15)),
        IF(Import.TipoArredondamento&lt;&gt;"TransfereGOV",
              ROUND(OFFSET($P96,0,AQ$13),15-13*ORÇAMENTO!$AF$7)/$H96*OFFSET(ORÇAMENTO!$X$15,ROW(AQ96)-ROW(AQ$15),0),
              ROUND(ROUND(OFFSET($P96,0,AQ$13),15-13*ORÇAMENTO!$AF$7)*OFFSET(ORÇAMENTO!$W$15,ROW(AQ96)-ROW(AQ$15),0),15-13*ORÇAMENTO!$AF$11)),
         0)</f>
        <v>0</v>
      </c>
      <c r="AR96" s="453">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3">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3">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3">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3">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3">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3">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3">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3">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3">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C96" s="171">
        <f ca="1">IF(OR($D96&lt;&gt;"Serviço",AND(AUTOEVENTO="Manual",$M96=$A$15)),0,
         IF(OFFSET(CRONOPLE!$F$15,$M96-$A$15,BC$13)=0,10^12,OFFSET(CRONOPLE!$F$15,$M96-$A$15,BC$13)))</f>
        <v>1</v>
      </c>
      <c r="BD96" s="171">
        <f ca="1">IF(OR($D96&lt;&gt;"Serviço",AND(AUTOEVENTO="Manual",$M96=$A$15)),0,
         IF(OFFSET(CRONOPLE!$F$15,$M96-$A$15,BD$13)=0,10^12,OFFSET(CRONOPLE!$F$15,$M96-$A$15,BD$13)))</f>
        <v>2</v>
      </c>
      <c r="BE96" s="171">
        <f ca="1">IF(OR($D96&lt;&gt;"Serviço",AND(AUTOEVENTO="Manual",$M96=$A$15)),0,
         IF(OFFSET(CRONOPLE!$F$15,$M96-$A$15,BE$13)=0,10^12,OFFSET(CRONOPLE!$F$15,$M96-$A$15,BE$13)))</f>
        <v>3</v>
      </c>
      <c r="BF96" s="171">
        <f ca="1">IF(OR($D96&lt;&gt;"Serviço",AND(AUTOEVENTO="Manual",$M96=$A$15)),0,
         IF(OFFSET(CRONOPLE!$F$15,$M96-$A$15,BF$13)=0,10^12,OFFSET(CRONOPLE!$F$15,$M96-$A$15,BF$13)))</f>
        <v>4</v>
      </c>
      <c r="BG96" s="171">
        <f ca="1">IF(OR($D96&lt;&gt;"Serviço",AND(AUTOEVENTO="Manual",$M96=$A$15)),0,
         IF(OFFSET(CRONOPLE!$F$15,$M96-$A$15,BG$13)=0,10^12,OFFSET(CRONOPLE!$F$15,$M96-$A$15,BG$13)))</f>
        <v>5</v>
      </c>
      <c r="BH96" s="171">
        <f ca="1">IF(OR($D96&lt;&gt;"Serviço",AND(AUTOEVENTO="Manual",$M96=$A$15)),0,
         IF(OFFSET(CRONOPLE!$F$15,$M96-$A$15,BH$13)=0,10^12,OFFSET(CRONOPLE!$F$15,$M96-$A$15,BH$13)))</f>
        <v>6</v>
      </c>
      <c r="BI96" s="171">
        <f ca="1">IF(OR($D96&lt;&gt;"Serviço",AND(AUTOEVENTO="Manual",$M96=$A$15)),0,
         IF(OFFSET(CRONOPLE!$F$15,$M96-$A$15,BI$13)=0,10^12,OFFSET(CRONOPLE!$F$15,$M96-$A$15,BI$13)))</f>
        <v>7</v>
      </c>
      <c r="BJ96" s="171">
        <f ca="1">IF(OR($D96&lt;&gt;"Serviço",AND(AUTOEVENTO="Manual",$M96=$A$15)),0,
         IF(OFFSET(CRONOPLE!$F$15,$M96-$A$15,BJ$13)=0,10^12,OFFSET(CRONOPLE!$F$15,$M96-$A$15,BJ$13)))</f>
        <v>8</v>
      </c>
      <c r="BK96" s="171">
        <f ca="1">IF(OR($D96&lt;&gt;"Serviço",AND(AUTOEVENTO="Manual",$M96=$A$15)),0,
         IF(OFFSET(CRONOPLE!$F$15,$M96-$A$15,BK$13)=0,10^12,OFFSET(CRONOPLE!$F$15,$M96-$A$15,BK$13)))</f>
        <v>9</v>
      </c>
      <c r="BL96" s="171">
        <f ca="1">IF(OR($D96&lt;&gt;"Serviço",AND(AUTOEVENTO="Manual",$M96=$A$15)),0,
         IF(OFFSET(CRONOPLE!$F$15,$M96-$A$15,BL$13)=0,10^12,OFFSET(CRONOPLE!$F$15,$M96-$A$15,BL$13)))</f>
        <v>10</v>
      </c>
      <c r="BM96" s="171">
        <f ca="1">IF(OR($D96&lt;&gt;"Serviço",AND(AUTOEVENTO="Manual",$M96=$A$15)),0,
         IF(OFFSET(CRONOPLE!$F$15,$M96-$A$15,BM$13)=0,10^12,OFFSET(CRONOPLE!$F$15,$M96-$A$15,BM$13)))</f>
        <v>1000000000000</v>
      </c>
      <c r="BN96" s="171">
        <f ca="1">IF(OR($D96&lt;&gt;"Serviço",AND(AUTOEVENTO="Manual",$M96=$A$15)),0,
         IF(OFFSET(CRONOPLE!$F$15,$M96-$A$15,BN$13)=0,10^12,OFFSET(CRONOPLE!$F$15,$M96-$A$15,BN$13)))</f>
        <v>1000000000000</v>
      </c>
      <c r="BO96" s="171">
        <f ca="1">IF(OR($D96&lt;&gt;"Serviço",AND(AUTOEVENTO="Manual",$M96=$A$15)),0,
         IF(OFFSET(CRONOPLE!$F$15,$M96-$A$15,BO$13)=0,10^12,OFFSET(CRONOPLE!$F$15,$M96-$A$15,BO$13)))</f>
        <v>1000000000000</v>
      </c>
      <c r="BP96" s="171">
        <f ca="1">IF(OR($D96&lt;&gt;"Serviço",AND(AUTOEVENTO="Manual",$M96=$A$15)),0,
         IF(OFFSET(CRONOPLE!$F$15,$M96-$A$15,BP$13)=0,10^12,OFFSET(CRONOPLE!$F$15,$M96-$A$15,BP$13)))</f>
        <v>1000000000000</v>
      </c>
      <c r="BQ96" s="171">
        <f ca="1">IF(OR($D96&lt;&gt;"Serviço",AND(AUTOEVENTO="Manual",$M96=$A$15)),0,
         IF(OFFSET(CRONOPLE!$F$15,$M96-$A$15,BQ$13)=0,10^12,OFFSET(CRONOPLE!$F$15,$M96-$A$15,BQ$13)))</f>
        <v>1000000000000</v>
      </c>
      <c r="BR96" s="171">
        <f ca="1">IF(OR($D96&lt;&gt;"Serviço",AND(AUTOEVENTO="Manual",$M96=$A$15)),0,
         IF(OFFSET(CRONOPLE!$F$15,$M96-$A$15,BR$13)=0,10^12,OFFSET(CRONOPLE!$F$15,$M96-$A$15,BR$13)))</f>
        <v>1000000000000</v>
      </c>
      <c r="BS96" s="171">
        <f ca="1">IF(OR($D96&lt;&gt;"Serviço",AND(AUTOEVENTO="Manual",$M96=$A$15)),0,
         IF(OFFSET(CRONOPLE!$F$15,$M96-$A$15,BS$13)=0,10^12,OFFSET(CRONOPLE!$F$15,$M96-$A$15,BS$13)))</f>
        <v>1000000000000</v>
      </c>
      <c r="BT96" s="171">
        <f ca="1">IF(OR($D96&lt;&gt;"Serviço",AND(AUTOEVENTO="Manual",$M96=$A$15)),0,
         IF(OFFSET(CRONOPLE!$F$15,$M96-$A$15,BT$13)=0,10^12,OFFSET(CRONOPLE!$F$15,$M96-$A$15,BT$13)))</f>
        <v>1000000000000</v>
      </c>
      <c r="BV96" s="172">
        <f ca="1">IF(OR($D96&lt;&gt;"Serviço",AND(AUTOEVENTO="Manual",$M96=$A$15),$M96&gt;(ROW(PLE.lastrow)-ROW(PLE.firstrow))),0,
           IF(OFFSET(PLE!$G$15,$M96-$A$15,BV$13)="",10^12,OFFSET(PLE!$G$15,$M96-$A$15,BV$13)))</f>
        <v>1000000000000</v>
      </c>
      <c r="BW96" s="172">
        <f ca="1">IF(OR($D96&lt;&gt;"Serviço",AND(AUTOEVENTO="Manual",$M96=$A$15),$M96&gt;(ROW(PLE.lastrow)-ROW(PLE.firstrow))),0,
           IF(OFFSET(PLE!$G$15,$M96-$A$15,BW$13)="",10^12,OFFSET(PLE!$G$15,$M96-$A$15,BW$13)))</f>
        <v>1000000000000</v>
      </c>
      <c r="BX96" s="172">
        <f ca="1">IF(OR($D96&lt;&gt;"Serviço",AND(AUTOEVENTO="Manual",$M96=$A$15),$M96&gt;(ROW(PLE.lastrow)-ROW(PLE.firstrow))),0,
           IF(OFFSET(PLE!$G$15,$M96-$A$15,BX$13)="",10^12,OFFSET(PLE!$G$15,$M96-$A$15,BX$13)))</f>
        <v>1000000000000</v>
      </c>
      <c r="BY96" s="172">
        <f ca="1">IF(OR($D96&lt;&gt;"Serviço",AND(AUTOEVENTO="Manual",$M96=$A$15),$M96&gt;(ROW(PLE.lastrow)-ROW(PLE.firstrow))),0,
           IF(OFFSET(PLE!$G$15,$M96-$A$15,BY$13)="",10^12,OFFSET(PLE!$G$15,$M96-$A$15,BY$13)))</f>
        <v>1000000000000</v>
      </c>
      <c r="BZ96" s="172">
        <f ca="1">IF(OR($D96&lt;&gt;"Serviço",AND(AUTOEVENTO="Manual",$M96=$A$15),$M96&gt;(ROW(PLE.lastrow)-ROW(PLE.firstrow))),0,
           IF(OFFSET(PLE!$G$15,$M96-$A$15,BZ$13)="",10^12,OFFSET(PLE!$G$15,$M96-$A$15,BZ$13)))</f>
        <v>1000000000000</v>
      </c>
      <c r="CA96" s="172">
        <f ca="1">IF(OR($D96&lt;&gt;"Serviço",AND(AUTOEVENTO="Manual",$M96=$A$15),$M96&gt;(ROW(PLE.lastrow)-ROW(PLE.firstrow))),0,
           IF(OFFSET(PLE!$G$15,$M96-$A$15,CA$13)="",10^12,OFFSET(PLE!$G$15,$M96-$A$15,CA$13)))</f>
        <v>1000000000000</v>
      </c>
      <c r="CB96" s="172">
        <f ca="1">IF(OR($D96&lt;&gt;"Serviço",AND(AUTOEVENTO="Manual",$M96=$A$15),$M96&gt;(ROW(PLE.lastrow)-ROW(PLE.firstrow))),0,
           IF(OFFSET(PLE!$G$15,$M96-$A$15,CB$13)="",10^12,OFFSET(PLE!$G$15,$M96-$A$15,CB$13)))</f>
        <v>1000000000000</v>
      </c>
      <c r="CC96" s="172">
        <f ca="1">IF(OR($D96&lt;&gt;"Serviço",AND(AUTOEVENTO="Manual",$M96=$A$15),$M96&gt;(ROW(PLE.lastrow)-ROW(PLE.firstrow))),0,
           IF(OFFSET(PLE!$G$15,$M96-$A$15,CC$13)="",10^12,OFFSET(PLE!$G$15,$M96-$A$15,CC$13)))</f>
        <v>1000000000000</v>
      </c>
      <c r="CD96" s="172">
        <f ca="1">IF(OR($D96&lt;&gt;"Serviço",AND(AUTOEVENTO="Manual",$M96=$A$15),$M96&gt;(ROW(PLE.lastrow)-ROW(PLE.firstrow))),0,
           IF(OFFSET(PLE!$G$15,$M96-$A$15,CD$13)="",10^12,OFFSET(PLE!$G$15,$M96-$A$15,CD$13)))</f>
        <v>1000000000000</v>
      </c>
      <c r="CE96" s="172">
        <f ca="1">IF(OR($D96&lt;&gt;"Serviço",AND(AUTOEVENTO="Manual",$M96=$A$15),$M96&gt;(ROW(PLE.lastrow)-ROW(PLE.firstrow))),0,
           IF(OFFSET(PLE!$G$15,$M96-$A$15,CE$13)="",10^12,OFFSET(PLE!$G$15,$M96-$A$15,CE$13)))</f>
        <v>1000000000000</v>
      </c>
      <c r="CF96" s="172">
        <f ca="1">IF(OR($D96&lt;&gt;"Serviço",AND(AUTOEVENTO="Manual",$M96=$A$15),$M96&gt;(ROW(PLE.lastrow)-ROW(PLE.firstrow))),0,
           IF(OFFSET(PLE!$G$15,$M96-$A$15,CF$13)="",10^12,OFFSET(PLE!$G$15,$M96-$A$15,CF$13)))</f>
        <v>1000000000000</v>
      </c>
      <c r="CG96" s="172">
        <f ca="1">IF(OR($D96&lt;&gt;"Serviço",AND(AUTOEVENTO="Manual",$M96=$A$15),$M96&gt;(ROW(PLE.lastrow)-ROW(PLE.firstrow))),0,
           IF(OFFSET(PLE!$G$15,$M96-$A$15,CG$13)="",10^12,OFFSET(PLE!$G$15,$M96-$A$15,CG$13)))</f>
        <v>1000000000000</v>
      </c>
      <c r="CH96" s="172">
        <f ca="1">IF(OR($D96&lt;&gt;"Serviço",AND(AUTOEVENTO="Manual",$M96=$A$15),$M96&gt;(ROW(PLE.lastrow)-ROW(PLE.firstrow))),0,
           IF(OFFSET(PLE!$G$15,$M96-$A$15,CH$13)="",10^12,OFFSET(PLE!$G$15,$M96-$A$15,CH$13)))</f>
        <v>1000000000000</v>
      </c>
      <c r="CI96" s="172">
        <f ca="1">IF(OR($D96&lt;&gt;"Serviço",AND(AUTOEVENTO="Manual",$M96=$A$15),$M96&gt;(ROW(PLE.lastrow)-ROW(PLE.firstrow))),0,
           IF(OFFSET(PLE!$G$15,$M96-$A$15,CI$13)="",10^12,OFFSET(PLE!$G$15,$M96-$A$15,CI$13)))</f>
        <v>1000000000000</v>
      </c>
      <c r="CJ96" s="172">
        <f ca="1">IF(OR($D96&lt;&gt;"Serviço",AND(AUTOEVENTO="Manual",$M96=$A$15),$M96&gt;(ROW(PLE.lastrow)-ROW(PLE.firstrow))),0,
           IF(OFFSET(PLE!$G$15,$M96-$A$15,CJ$13)="",10^12,OFFSET(PLE!$G$15,$M96-$A$15,CJ$13)))</f>
        <v>1000000000000</v>
      </c>
      <c r="CK96" s="172">
        <f ca="1">IF(OR($D96&lt;&gt;"Serviço",AND(AUTOEVENTO="Manual",$M96=$A$15),$M96&gt;(ROW(PLE.lastrow)-ROW(PLE.firstrow))),0,
           IF(OFFSET(PLE!$G$15,$M96-$A$15,CK$13)="",10^12,OFFSET(PLE!$G$15,$M96-$A$15,CK$13)))</f>
        <v>1000000000000</v>
      </c>
      <c r="CL96" s="172">
        <f ca="1">IF(OR($D96&lt;&gt;"Serviço",AND(AUTOEVENTO="Manual",$M96=$A$15),$M96&gt;(ROW(PLE.lastrow)-ROW(PLE.firstrow))),0,
           IF(OFFSET(PLE!$G$15,$M96-$A$15,CL$13)="",10^12,OFFSET(PLE!$G$15,$M96-$A$15,CL$13)))</f>
        <v>1000000000000</v>
      </c>
      <c r="CM96" s="172">
        <f ca="1">IF(OR($D96&lt;&gt;"Serviço",AND(AUTOEVENTO="Manual",$M96=$A$15),$M96&gt;(ROW(PLE.lastrow)-ROW(PLE.firstrow))),0,
           IF(OFFSET(PLE!$G$15,$M96-$A$15,CM$13)="",10^12,OFFSET(PLE!$G$15,$M96-$A$15,CM$13)))</f>
        <v>1000000000000</v>
      </c>
    </row>
    <row r="97" spans="1:91" ht="63.75" x14ac:dyDescent="0.2">
      <c r="A97" s="7">
        <f t="shared" ca="1" si="11"/>
        <v>4</v>
      </c>
      <c r="B97" s="7" t="str">
        <f ca="1">OFFSET(ORÇAMENTO!C$15,ROW(B97)-ROW(B$15),0)</f>
        <v>S</v>
      </c>
      <c r="C97" s="7" t="str">
        <f ca="1">OFFSET(ORÇAMENTO!L$15,ROW(C97)-ROW(C$15),0)</f>
        <v>F</v>
      </c>
      <c r="D97" s="116" t="str">
        <f ca="1">OFFSET(ORÇAMENTO!N$15,ROW(D97)-ROW(D$15),0)</f>
        <v>Serviço</v>
      </c>
      <c r="E97" s="117" t="str">
        <f ca="1">OFFSET(ORÇAMENTO!O$15,ROW(E97)-ROW(E$15),0)</f>
        <v>1.5.1.4.2.</v>
      </c>
      <c r="F97" s="163" t="str">
        <f ca="1">OFFSET(ORÇAMENTO!R$15,ROW(F97)-ROW(F$15),0)</f>
        <v>LANÇAMENTO COM USO DE BOMBA, ADENSAMENTO E ACABAMENTO DE CONCRETO EM ESTRUTURAS. AF_02/2022</v>
      </c>
      <c r="G97" s="164" t="str">
        <f ca="1">IF($D97&lt;&gt;"Serviço","",OFFSET(ORÇAMENTO!S$15,ROW(G97)-ROW(G$15),0))</f>
        <v>M3</v>
      </c>
      <c r="H97" s="122" cm="1">
        <f t="array" aca="1" ref="H97" ca="1">IF($D97&lt;&gt;"Serviço",0,IF(ACOMPANHAMENTO="BM",ROUND(OFFSET(ORÇAMENTO!AJ$15,ROW(H97)-ROW(H$15),0),15-13*ORÇAMENTO!$AF$7),SUMPRODUCT(($Q$1:$AI$1=1)*ROUND($Q97:$AI97,15-13*ORÇAMENTO!$AF$7))))</f>
        <v>1.36</v>
      </c>
      <c r="I97" s="468" t="s">
        <v>1310</v>
      </c>
      <c r="J97" s="640" t="str" cm="1">
        <f t="array" aca="1" ref="J97" ca="1">IF(OR(B97&lt;&gt;"S",CÁLCULO.FrentesPreenchidas=0),"",IF(AND(ACOMPANHAMENTO="PLE",AUTOEVENTO="Manual",OR(H97&gt;0,ORÇAMENTO!AC97="QUANT."),OR(K97="",M97=0,N97="")),"►E",IF(AND(ACOMPANHAMENTO="PLE",ORÇAMENTO!AC97="QUANT."),"►Q",IF(AND(ACOMPANHAMENTO="PLE",H97&lt;&gt;SUMPRODUCT(($Q$1:$AI$1=1)*ROUND(Q97:AI97,15))),"►S",IF(AND(COUNTIF($P$11:$AI$11,"▼")=0,H97&gt;0,I97=""),"◄M","")))))</f>
        <v/>
      </c>
      <c r="K97" s="641" t="s">
        <v>1389</v>
      </c>
      <c r="L97" s="165" t="s">
        <v>764</v>
      </c>
      <c r="M97" s="166">
        <f ca="1">IF($D97&lt;&gt;"Serviço","",
          IF(AUTOEVENTO="manual",$A97,
                IF(ISERROR(MATCH($A97,$A$15:OFFSET($A97,-1,0),0)),MAX($M$15:OFFSET(M97,-1,0))+1,
                      INDEX($M$15:OFFSET(M97,-1,0),MATCH($A97,$A$15:OFFSET($A97,-1,0),0)))))</f>
        <v>4</v>
      </c>
      <c r="N97" s="167" t="str">
        <f ca="1">IF($D97&lt;&gt;"Serviço","",
         IF(AUTOEVENTO="Manual",
                IF($A97=0,"&lt;-- defina o número do agrupador",
                       OFFSET(EVENTOS!$D$15,$A97-$A$15,0)),
                OFFSET($F$15,$A97,0)))</f>
        <v>Estruturas de Concreto</v>
      </c>
      <c r="O97" s="168"/>
      <c r="Q97" s="168"/>
      <c r="R97" s="169"/>
      <c r="S97" s="169">
        <f>S96</f>
        <v>1.36</v>
      </c>
      <c r="T97" s="169"/>
      <c r="U97" s="169"/>
      <c r="V97" s="169"/>
      <c r="W97" s="169"/>
      <c r="X97" s="169"/>
      <c r="Y97" s="169"/>
      <c r="Z97" s="170"/>
      <c r="AA97" s="169"/>
      <c r="AB97" s="169"/>
      <c r="AC97" s="169"/>
      <c r="AD97" s="169"/>
      <c r="AE97" s="169"/>
      <c r="AF97" s="169"/>
      <c r="AG97" s="169"/>
      <c r="AH97" s="170"/>
      <c r="AJ97" s="453">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0</v>
      </c>
      <c r="AK97" s="453">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0</v>
      </c>
      <c r="AL97" s="453">
        <f ca="1">IF(AND($D97="Serviço",AL$12&lt;&gt;0,$H97&gt;0,OR(AUTOEVENTO&lt;&gt;"manual",$M97&lt;&gt;$A$15)),
        IF(Import.TipoArredondamento&lt;&gt;"TransfereGOV",
              ROUND(OFFSET($P97,0,AL$13),15-13*ORÇAMENTO!$AF$7)/$H97*OFFSET(ORÇAMENTO!$X$15,ROW(AL97)-ROW(AL$15),0),
              ROUND(ROUND(OFFSET($P97,0,AL$13),15-13*ORÇAMENTO!$AF$7)*OFFSET(ORÇAMENTO!$W$15,ROW(AL97)-ROW(AL$15),0),15-13*ORÇAMENTO!$AF$11)),
         0)</f>
        <v>0</v>
      </c>
      <c r="AM97" s="453">
        <f ca="1">IF(AND($D97="Serviço",AM$12&lt;&gt;0,$H97&gt;0,OR(AUTOEVENTO&lt;&gt;"manual",$M97&lt;&gt;$A$15)),
        IF(Import.TipoArredondamento&lt;&gt;"TransfereGOV",
              ROUND(OFFSET($P97,0,AM$13),15-13*ORÇAMENTO!$AF$7)/$H97*OFFSET(ORÇAMENTO!$X$15,ROW(AM97)-ROW(AM$15),0),
              ROUND(ROUND(OFFSET($P97,0,AM$13),15-13*ORÇAMENTO!$AF$7)*OFFSET(ORÇAMENTO!$W$15,ROW(AM97)-ROW(AM$15),0),15-13*ORÇAMENTO!$AF$11)),
         0)</f>
        <v>0</v>
      </c>
      <c r="AN97" s="453">
        <f ca="1">IF(AND($D97="Serviço",AN$12&lt;&gt;0,$H97&gt;0,OR(AUTOEVENTO&lt;&gt;"manual",$M97&lt;&gt;$A$15)),
        IF(Import.TipoArredondamento&lt;&gt;"TransfereGOV",
              ROUND(OFFSET($P97,0,AN$13),15-13*ORÇAMENTO!$AF$7)/$H97*OFFSET(ORÇAMENTO!$X$15,ROW(AN97)-ROW(AN$15),0),
              ROUND(ROUND(OFFSET($P97,0,AN$13),15-13*ORÇAMENTO!$AF$7)*OFFSET(ORÇAMENTO!$W$15,ROW(AN97)-ROW(AN$15),0),15-13*ORÇAMENTO!$AF$11)),
         0)</f>
        <v>0</v>
      </c>
      <c r="AO97" s="453">
        <f ca="1">IF(AND($D97="Serviço",AO$12&lt;&gt;0,$H97&gt;0,OR(AUTOEVENTO&lt;&gt;"manual",$M97&lt;&gt;$A$15)),
        IF(Import.TipoArredondamento&lt;&gt;"TransfereGOV",
              ROUND(OFFSET($P97,0,AO$13),15-13*ORÇAMENTO!$AF$7)/$H97*OFFSET(ORÇAMENTO!$X$15,ROW(AO97)-ROW(AO$15),0),
              ROUND(ROUND(OFFSET($P97,0,AO$13),15-13*ORÇAMENTO!$AF$7)*OFFSET(ORÇAMENTO!$W$15,ROW(AO97)-ROW(AO$15),0),15-13*ORÇAMENTO!$AF$11)),
         0)</f>
        <v>0</v>
      </c>
      <c r="AP97" s="453">
        <f ca="1">IF(AND($D97="Serviço",AP$12&lt;&gt;0,$H97&gt;0,OR(AUTOEVENTO&lt;&gt;"manual",$M97&lt;&gt;$A$15)),
        IF(Import.TipoArredondamento&lt;&gt;"TransfereGOV",
              ROUND(OFFSET($P97,0,AP$13),15-13*ORÇAMENTO!$AF$7)/$H97*OFFSET(ORÇAMENTO!$X$15,ROW(AP97)-ROW(AP$15),0),
              ROUND(ROUND(OFFSET($P97,0,AP$13),15-13*ORÇAMENTO!$AF$7)*OFFSET(ORÇAMENTO!$W$15,ROW(AP97)-ROW(AP$15),0),15-13*ORÇAMENTO!$AF$11)),
         0)</f>
        <v>0</v>
      </c>
      <c r="AQ97" s="453">
        <f ca="1">IF(AND($D97="Serviço",AQ$12&lt;&gt;0,$H97&gt;0,OR(AUTOEVENTO&lt;&gt;"manual",$M97&lt;&gt;$A$15)),
        IF(Import.TipoArredondamento&lt;&gt;"TransfereGOV",
              ROUND(OFFSET($P97,0,AQ$13),15-13*ORÇAMENTO!$AF$7)/$H97*OFFSET(ORÇAMENTO!$X$15,ROW(AQ97)-ROW(AQ$15),0),
              ROUND(ROUND(OFFSET($P97,0,AQ$13),15-13*ORÇAMENTO!$AF$7)*OFFSET(ORÇAMENTO!$W$15,ROW(AQ97)-ROW(AQ$15),0),15-13*ORÇAMENTO!$AF$11)),
         0)</f>
        <v>0</v>
      </c>
      <c r="AR97" s="453">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3">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3">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3">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3">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3">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3">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3">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3">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3">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C97" s="171">
        <f ca="1">IF(OR($D97&lt;&gt;"Serviço",AND(AUTOEVENTO="Manual",$M97=$A$15)),0,
         IF(OFFSET(CRONOPLE!$F$15,$M97-$A$15,BC$13)=0,10^12,OFFSET(CRONOPLE!$F$15,$M97-$A$15,BC$13)))</f>
        <v>1</v>
      </c>
      <c r="BD97" s="171">
        <f ca="1">IF(OR($D97&lt;&gt;"Serviço",AND(AUTOEVENTO="Manual",$M97=$A$15)),0,
         IF(OFFSET(CRONOPLE!$F$15,$M97-$A$15,BD$13)=0,10^12,OFFSET(CRONOPLE!$F$15,$M97-$A$15,BD$13)))</f>
        <v>2</v>
      </c>
      <c r="BE97" s="171">
        <f ca="1">IF(OR($D97&lt;&gt;"Serviço",AND(AUTOEVENTO="Manual",$M97=$A$15)),0,
         IF(OFFSET(CRONOPLE!$F$15,$M97-$A$15,BE$13)=0,10^12,OFFSET(CRONOPLE!$F$15,$M97-$A$15,BE$13)))</f>
        <v>3</v>
      </c>
      <c r="BF97" s="171">
        <f ca="1">IF(OR($D97&lt;&gt;"Serviço",AND(AUTOEVENTO="Manual",$M97=$A$15)),0,
         IF(OFFSET(CRONOPLE!$F$15,$M97-$A$15,BF$13)=0,10^12,OFFSET(CRONOPLE!$F$15,$M97-$A$15,BF$13)))</f>
        <v>4</v>
      </c>
      <c r="BG97" s="171">
        <f ca="1">IF(OR($D97&lt;&gt;"Serviço",AND(AUTOEVENTO="Manual",$M97=$A$15)),0,
         IF(OFFSET(CRONOPLE!$F$15,$M97-$A$15,BG$13)=0,10^12,OFFSET(CRONOPLE!$F$15,$M97-$A$15,BG$13)))</f>
        <v>5</v>
      </c>
      <c r="BH97" s="171">
        <f ca="1">IF(OR($D97&lt;&gt;"Serviço",AND(AUTOEVENTO="Manual",$M97=$A$15)),0,
         IF(OFFSET(CRONOPLE!$F$15,$M97-$A$15,BH$13)=0,10^12,OFFSET(CRONOPLE!$F$15,$M97-$A$15,BH$13)))</f>
        <v>6</v>
      </c>
      <c r="BI97" s="171">
        <f ca="1">IF(OR($D97&lt;&gt;"Serviço",AND(AUTOEVENTO="Manual",$M97=$A$15)),0,
         IF(OFFSET(CRONOPLE!$F$15,$M97-$A$15,BI$13)=0,10^12,OFFSET(CRONOPLE!$F$15,$M97-$A$15,BI$13)))</f>
        <v>7</v>
      </c>
      <c r="BJ97" s="171">
        <f ca="1">IF(OR($D97&lt;&gt;"Serviço",AND(AUTOEVENTO="Manual",$M97=$A$15)),0,
         IF(OFFSET(CRONOPLE!$F$15,$M97-$A$15,BJ$13)=0,10^12,OFFSET(CRONOPLE!$F$15,$M97-$A$15,BJ$13)))</f>
        <v>8</v>
      </c>
      <c r="BK97" s="171">
        <f ca="1">IF(OR($D97&lt;&gt;"Serviço",AND(AUTOEVENTO="Manual",$M97=$A$15)),0,
         IF(OFFSET(CRONOPLE!$F$15,$M97-$A$15,BK$13)=0,10^12,OFFSET(CRONOPLE!$F$15,$M97-$A$15,BK$13)))</f>
        <v>9</v>
      </c>
      <c r="BL97" s="171">
        <f ca="1">IF(OR($D97&lt;&gt;"Serviço",AND(AUTOEVENTO="Manual",$M97=$A$15)),0,
         IF(OFFSET(CRONOPLE!$F$15,$M97-$A$15,BL$13)=0,10^12,OFFSET(CRONOPLE!$F$15,$M97-$A$15,BL$13)))</f>
        <v>10</v>
      </c>
      <c r="BM97" s="171">
        <f ca="1">IF(OR($D97&lt;&gt;"Serviço",AND(AUTOEVENTO="Manual",$M97=$A$15)),0,
         IF(OFFSET(CRONOPLE!$F$15,$M97-$A$15,BM$13)=0,10^12,OFFSET(CRONOPLE!$F$15,$M97-$A$15,BM$13)))</f>
        <v>1000000000000</v>
      </c>
      <c r="BN97" s="171">
        <f ca="1">IF(OR($D97&lt;&gt;"Serviço",AND(AUTOEVENTO="Manual",$M97=$A$15)),0,
         IF(OFFSET(CRONOPLE!$F$15,$M97-$A$15,BN$13)=0,10^12,OFFSET(CRONOPLE!$F$15,$M97-$A$15,BN$13)))</f>
        <v>1000000000000</v>
      </c>
      <c r="BO97" s="171">
        <f ca="1">IF(OR($D97&lt;&gt;"Serviço",AND(AUTOEVENTO="Manual",$M97=$A$15)),0,
         IF(OFFSET(CRONOPLE!$F$15,$M97-$A$15,BO$13)=0,10^12,OFFSET(CRONOPLE!$F$15,$M97-$A$15,BO$13)))</f>
        <v>1000000000000</v>
      </c>
      <c r="BP97" s="171">
        <f ca="1">IF(OR($D97&lt;&gt;"Serviço",AND(AUTOEVENTO="Manual",$M97=$A$15)),0,
         IF(OFFSET(CRONOPLE!$F$15,$M97-$A$15,BP$13)=0,10^12,OFFSET(CRONOPLE!$F$15,$M97-$A$15,BP$13)))</f>
        <v>1000000000000</v>
      </c>
      <c r="BQ97" s="171">
        <f ca="1">IF(OR($D97&lt;&gt;"Serviço",AND(AUTOEVENTO="Manual",$M97=$A$15)),0,
         IF(OFFSET(CRONOPLE!$F$15,$M97-$A$15,BQ$13)=0,10^12,OFFSET(CRONOPLE!$F$15,$M97-$A$15,BQ$13)))</f>
        <v>1000000000000</v>
      </c>
      <c r="BR97" s="171">
        <f ca="1">IF(OR($D97&lt;&gt;"Serviço",AND(AUTOEVENTO="Manual",$M97=$A$15)),0,
         IF(OFFSET(CRONOPLE!$F$15,$M97-$A$15,BR$13)=0,10^12,OFFSET(CRONOPLE!$F$15,$M97-$A$15,BR$13)))</f>
        <v>1000000000000</v>
      </c>
      <c r="BS97" s="171">
        <f ca="1">IF(OR($D97&lt;&gt;"Serviço",AND(AUTOEVENTO="Manual",$M97=$A$15)),0,
         IF(OFFSET(CRONOPLE!$F$15,$M97-$A$15,BS$13)=0,10^12,OFFSET(CRONOPLE!$F$15,$M97-$A$15,BS$13)))</f>
        <v>1000000000000</v>
      </c>
      <c r="BT97" s="171">
        <f ca="1">IF(OR($D97&lt;&gt;"Serviço",AND(AUTOEVENTO="Manual",$M97=$A$15)),0,
         IF(OFFSET(CRONOPLE!$F$15,$M97-$A$15,BT$13)=0,10^12,OFFSET(CRONOPLE!$F$15,$M97-$A$15,BT$13)))</f>
        <v>1000000000000</v>
      </c>
      <c r="BV97" s="172">
        <f ca="1">IF(OR($D97&lt;&gt;"Serviço",AND(AUTOEVENTO="Manual",$M97=$A$15),$M97&gt;(ROW(PLE.lastrow)-ROW(PLE.firstrow))),0,
           IF(OFFSET(PLE!$G$15,$M97-$A$15,BV$13)="",10^12,OFFSET(PLE!$G$15,$M97-$A$15,BV$13)))</f>
        <v>1000000000000</v>
      </c>
      <c r="BW97" s="172">
        <f ca="1">IF(OR($D97&lt;&gt;"Serviço",AND(AUTOEVENTO="Manual",$M97=$A$15),$M97&gt;(ROW(PLE.lastrow)-ROW(PLE.firstrow))),0,
           IF(OFFSET(PLE!$G$15,$M97-$A$15,BW$13)="",10^12,OFFSET(PLE!$G$15,$M97-$A$15,BW$13)))</f>
        <v>1000000000000</v>
      </c>
      <c r="BX97" s="172">
        <f ca="1">IF(OR($D97&lt;&gt;"Serviço",AND(AUTOEVENTO="Manual",$M97=$A$15),$M97&gt;(ROW(PLE.lastrow)-ROW(PLE.firstrow))),0,
           IF(OFFSET(PLE!$G$15,$M97-$A$15,BX$13)="",10^12,OFFSET(PLE!$G$15,$M97-$A$15,BX$13)))</f>
        <v>1000000000000</v>
      </c>
      <c r="BY97" s="172">
        <f ca="1">IF(OR($D97&lt;&gt;"Serviço",AND(AUTOEVENTO="Manual",$M97=$A$15),$M97&gt;(ROW(PLE.lastrow)-ROW(PLE.firstrow))),0,
           IF(OFFSET(PLE!$G$15,$M97-$A$15,BY$13)="",10^12,OFFSET(PLE!$G$15,$M97-$A$15,BY$13)))</f>
        <v>1000000000000</v>
      </c>
      <c r="BZ97" s="172">
        <f ca="1">IF(OR($D97&lt;&gt;"Serviço",AND(AUTOEVENTO="Manual",$M97=$A$15),$M97&gt;(ROW(PLE.lastrow)-ROW(PLE.firstrow))),0,
           IF(OFFSET(PLE!$G$15,$M97-$A$15,BZ$13)="",10^12,OFFSET(PLE!$G$15,$M97-$A$15,BZ$13)))</f>
        <v>1000000000000</v>
      </c>
      <c r="CA97" s="172">
        <f ca="1">IF(OR($D97&lt;&gt;"Serviço",AND(AUTOEVENTO="Manual",$M97=$A$15),$M97&gt;(ROW(PLE.lastrow)-ROW(PLE.firstrow))),0,
           IF(OFFSET(PLE!$G$15,$M97-$A$15,CA$13)="",10^12,OFFSET(PLE!$G$15,$M97-$A$15,CA$13)))</f>
        <v>1000000000000</v>
      </c>
      <c r="CB97" s="172">
        <f ca="1">IF(OR($D97&lt;&gt;"Serviço",AND(AUTOEVENTO="Manual",$M97=$A$15),$M97&gt;(ROW(PLE.lastrow)-ROW(PLE.firstrow))),0,
           IF(OFFSET(PLE!$G$15,$M97-$A$15,CB$13)="",10^12,OFFSET(PLE!$G$15,$M97-$A$15,CB$13)))</f>
        <v>1000000000000</v>
      </c>
      <c r="CC97" s="172">
        <f ca="1">IF(OR($D97&lt;&gt;"Serviço",AND(AUTOEVENTO="Manual",$M97=$A$15),$M97&gt;(ROW(PLE.lastrow)-ROW(PLE.firstrow))),0,
           IF(OFFSET(PLE!$G$15,$M97-$A$15,CC$13)="",10^12,OFFSET(PLE!$G$15,$M97-$A$15,CC$13)))</f>
        <v>1000000000000</v>
      </c>
      <c r="CD97" s="172">
        <f ca="1">IF(OR($D97&lt;&gt;"Serviço",AND(AUTOEVENTO="Manual",$M97=$A$15),$M97&gt;(ROW(PLE.lastrow)-ROW(PLE.firstrow))),0,
           IF(OFFSET(PLE!$G$15,$M97-$A$15,CD$13)="",10^12,OFFSET(PLE!$G$15,$M97-$A$15,CD$13)))</f>
        <v>1000000000000</v>
      </c>
      <c r="CE97" s="172">
        <f ca="1">IF(OR($D97&lt;&gt;"Serviço",AND(AUTOEVENTO="Manual",$M97=$A$15),$M97&gt;(ROW(PLE.lastrow)-ROW(PLE.firstrow))),0,
           IF(OFFSET(PLE!$G$15,$M97-$A$15,CE$13)="",10^12,OFFSET(PLE!$G$15,$M97-$A$15,CE$13)))</f>
        <v>1000000000000</v>
      </c>
      <c r="CF97" s="172">
        <f ca="1">IF(OR($D97&lt;&gt;"Serviço",AND(AUTOEVENTO="Manual",$M97=$A$15),$M97&gt;(ROW(PLE.lastrow)-ROW(PLE.firstrow))),0,
           IF(OFFSET(PLE!$G$15,$M97-$A$15,CF$13)="",10^12,OFFSET(PLE!$G$15,$M97-$A$15,CF$13)))</f>
        <v>1000000000000</v>
      </c>
      <c r="CG97" s="172">
        <f ca="1">IF(OR($D97&lt;&gt;"Serviço",AND(AUTOEVENTO="Manual",$M97=$A$15),$M97&gt;(ROW(PLE.lastrow)-ROW(PLE.firstrow))),0,
           IF(OFFSET(PLE!$G$15,$M97-$A$15,CG$13)="",10^12,OFFSET(PLE!$G$15,$M97-$A$15,CG$13)))</f>
        <v>1000000000000</v>
      </c>
      <c r="CH97" s="172">
        <f ca="1">IF(OR($D97&lt;&gt;"Serviço",AND(AUTOEVENTO="Manual",$M97=$A$15),$M97&gt;(ROW(PLE.lastrow)-ROW(PLE.firstrow))),0,
           IF(OFFSET(PLE!$G$15,$M97-$A$15,CH$13)="",10^12,OFFSET(PLE!$G$15,$M97-$A$15,CH$13)))</f>
        <v>1000000000000</v>
      </c>
      <c r="CI97" s="172">
        <f ca="1">IF(OR($D97&lt;&gt;"Serviço",AND(AUTOEVENTO="Manual",$M97=$A$15),$M97&gt;(ROW(PLE.lastrow)-ROW(PLE.firstrow))),0,
           IF(OFFSET(PLE!$G$15,$M97-$A$15,CI$13)="",10^12,OFFSET(PLE!$G$15,$M97-$A$15,CI$13)))</f>
        <v>1000000000000</v>
      </c>
      <c r="CJ97" s="172">
        <f ca="1">IF(OR($D97&lt;&gt;"Serviço",AND(AUTOEVENTO="Manual",$M97=$A$15),$M97&gt;(ROW(PLE.lastrow)-ROW(PLE.firstrow))),0,
           IF(OFFSET(PLE!$G$15,$M97-$A$15,CJ$13)="",10^12,OFFSET(PLE!$G$15,$M97-$A$15,CJ$13)))</f>
        <v>1000000000000</v>
      </c>
      <c r="CK97" s="172">
        <f ca="1">IF(OR($D97&lt;&gt;"Serviço",AND(AUTOEVENTO="Manual",$M97=$A$15),$M97&gt;(ROW(PLE.lastrow)-ROW(PLE.firstrow))),0,
           IF(OFFSET(PLE!$G$15,$M97-$A$15,CK$13)="",10^12,OFFSET(PLE!$G$15,$M97-$A$15,CK$13)))</f>
        <v>1000000000000</v>
      </c>
      <c r="CL97" s="172">
        <f ca="1">IF(OR($D97&lt;&gt;"Serviço",AND(AUTOEVENTO="Manual",$M97=$A$15),$M97&gt;(ROW(PLE.lastrow)-ROW(PLE.firstrow))),0,
           IF(OFFSET(PLE!$G$15,$M97-$A$15,CL$13)="",10^12,OFFSET(PLE!$G$15,$M97-$A$15,CL$13)))</f>
        <v>1000000000000</v>
      </c>
      <c r="CM97" s="172">
        <f ca="1">IF(OR($D97&lt;&gt;"Serviço",AND(AUTOEVENTO="Manual",$M97=$A$15),$M97&gt;(ROW(PLE.lastrow)-ROW(PLE.firstrow))),0,
           IF(OFFSET(PLE!$G$15,$M97-$A$15,CM$13)="",10^12,OFFSET(PLE!$G$15,$M97-$A$15,CM$13)))</f>
        <v>1000000000000</v>
      </c>
    </row>
    <row r="98" spans="1:91" ht="63.75" x14ac:dyDescent="0.2">
      <c r="A98" s="7">
        <f t="shared" ca="1" si="11"/>
        <v>4</v>
      </c>
      <c r="B98" s="7" t="str">
        <f ca="1">OFFSET(ORÇAMENTO!C$15,ROW(B98)-ROW(B$15),0)</f>
        <v>S</v>
      </c>
      <c r="C98" s="7" t="str">
        <f ca="1">OFFSET(ORÇAMENTO!L$15,ROW(C98)-ROW(C$15),0)</f>
        <v>F</v>
      </c>
      <c r="D98" s="116" t="str">
        <f ca="1">OFFSET(ORÇAMENTO!N$15,ROW(D98)-ROW(D$15),0)</f>
        <v>Serviço</v>
      </c>
      <c r="E98" s="117" t="str">
        <f ca="1">OFFSET(ORÇAMENTO!O$15,ROW(E98)-ROW(E$15),0)</f>
        <v>1.5.1.4.3.</v>
      </c>
      <c r="F98" s="163" t="str">
        <f ca="1">OFFSET(ORÇAMENTO!R$15,ROW(F98)-ROW(F$15),0)</f>
        <v>FÔRMAS DE COMPENSADO RESINADO 10 MM - USO GERAL - UTILIZAÇÃO DE 3 VEZES - CONFECÇÃO, INSTALAÇÃO E RETIRADA</v>
      </c>
      <c r="G98" s="164" t="str">
        <f ca="1">IF($D98&lt;&gt;"Serviço","",OFFSET(ORÇAMENTO!S$15,ROW(G98)-ROW(G$15),0))</f>
        <v>M2</v>
      </c>
      <c r="H98" s="122" cm="1">
        <f t="array" aca="1" ref="H98" ca="1">IF($D98&lt;&gt;"Serviço",0,IF(ACOMPANHAMENTO="BM",ROUND(OFFSET(ORÇAMENTO!AJ$15,ROW(H98)-ROW(H$15),0),15-13*ORÇAMENTO!$AF$7),SUMPRODUCT(($Q$1:$AI$1=1)*ROUND($Q98:$AI98,15-13*ORÇAMENTO!$AF$7))))</f>
        <v>9.89</v>
      </c>
      <c r="I98" s="468" t="s">
        <v>1310</v>
      </c>
      <c r="J98" s="640" t="str" cm="1">
        <f t="array" aca="1" ref="J98" ca="1">IF(OR(B98&lt;&gt;"S",CÁLCULO.FrentesPreenchidas=0),"",IF(AND(ACOMPANHAMENTO="PLE",AUTOEVENTO="Manual",OR(H98&gt;0,ORÇAMENTO!AC98="QUANT."),OR(K98="",M98=0,N98="")),"►E",IF(AND(ACOMPANHAMENTO="PLE",ORÇAMENTO!AC98="QUANT."),"►Q",IF(AND(ACOMPANHAMENTO="PLE",H98&lt;&gt;SUMPRODUCT(($Q$1:$AI$1=1)*ROUND(Q98:AI98,15))),"►S",IF(AND(COUNTIF($P$11:$AI$11,"▼")=0,H98&gt;0,I98=""),"◄M","")))))</f>
        <v/>
      </c>
      <c r="K98" s="641" t="s">
        <v>1389</v>
      </c>
      <c r="L98" s="165" t="s">
        <v>764</v>
      </c>
      <c r="M98" s="166">
        <f ca="1">IF($D98&lt;&gt;"Serviço","",
          IF(AUTOEVENTO="manual",$A98,
                IF(ISERROR(MATCH($A98,$A$15:OFFSET($A98,-1,0),0)),MAX($M$15:OFFSET(M98,-1,0))+1,
                      INDEX($M$15:OFFSET(M98,-1,0),MATCH($A98,$A$15:OFFSET($A98,-1,0),0)))))</f>
        <v>4</v>
      </c>
      <c r="N98" s="167" t="str">
        <f ca="1">IF($D98&lt;&gt;"Serviço","",
         IF(AUTOEVENTO="Manual",
                IF($A98=0,"&lt;-- defina o número do agrupador",
                       OFFSET(EVENTOS!$D$15,$A98-$A$15,0)),
                OFFSET($F$15,$A98,0)))</f>
        <v>Estruturas de Concreto</v>
      </c>
      <c r="O98" s="168"/>
      <c r="Q98" s="168"/>
      <c r="R98" s="169"/>
      <c r="S98" s="169">
        <v>9.89</v>
      </c>
      <c r="T98" s="169"/>
      <c r="U98" s="169"/>
      <c r="V98" s="169"/>
      <c r="W98" s="169"/>
      <c r="X98" s="169"/>
      <c r="Y98" s="169"/>
      <c r="Z98" s="170"/>
      <c r="AA98" s="169"/>
      <c r="AB98" s="169"/>
      <c r="AC98" s="169"/>
      <c r="AD98" s="169"/>
      <c r="AE98" s="169"/>
      <c r="AF98" s="169"/>
      <c r="AG98" s="169"/>
      <c r="AH98" s="170"/>
      <c r="AJ98" s="453">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0</v>
      </c>
      <c r="AK98" s="453">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0</v>
      </c>
      <c r="AL98" s="453">
        <f ca="1">IF(AND($D98="Serviço",AL$12&lt;&gt;0,$H98&gt;0,OR(AUTOEVENTO&lt;&gt;"manual",$M98&lt;&gt;$A$15)),
        IF(Import.TipoArredondamento&lt;&gt;"TransfereGOV",
              ROUND(OFFSET($P98,0,AL$13),15-13*ORÇAMENTO!$AF$7)/$H98*OFFSET(ORÇAMENTO!$X$15,ROW(AL98)-ROW(AL$15),0),
              ROUND(ROUND(OFFSET($P98,0,AL$13),15-13*ORÇAMENTO!$AF$7)*OFFSET(ORÇAMENTO!$W$15,ROW(AL98)-ROW(AL$15),0),15-13*ORÇAMENTO!$AF$11)),
         0)</f>
        <v>0</v>
      </c>
      <c r="AM98" s="453">
        <f ca="1">IF(AND($D98="Serviço",AM$12&lt;&gt;0,$H98&gt;0,OR(AUTOEVENTO&lt;&gt;"manual",$M98&lt;&gt;$A$15)),
        IF(Import.TipoArredondamento&lt;&gt;"TransfereGOV",
              ROUND(OFFSET($P98,0,AM$13),15-13*ORÇAMENTO!$AF$7)/$H98*OFFSET(ORÇAMENTO!$X$15,ROW(AM98)-ROW(AM$15),0),
              ROUND(ROUND(OFFSET($P98,0,AM$13),15-13*ORÇAMENTO!$AF$7)*OFFSET(ORÇAMENTO!$W$15,ROW(AM98)-ROW(AM$15),0),15-13*ORÇAMENTO!$AF$11)),
         0)</f>
        <v>0</v>
      </c>
      <c r="AN98" s="453">
        <f ca="1">IF(AND($D98="Serviço",AN$12&lt;&gt;0,$H98&gt;0,OR(AUTOEVENTO&lt;&gt;"manual",$M98&lt;&gt;$A$15)),
        IF(Import.TipoArredondamento&lt;&gt;"TransfereGOV",
              ROUND(OFFSET($P98,0,AN$13),15-13*ORÇAMENTO!$AF$7)/$H98*OFFSET(ORÇAMENTO!$X$15,ROW(AN98)-ROW(AN$15),0),
              ROUND(ROUND(OFFSET($P98,0,AN$13),15-13*ORÇAMENTO!$AF$7)*OFFSET(ORÇAMENTO!$W$15,ROW(AN98)-ROW(AN$15),0),15-13*ORÇAMENTO!$AF$11)),
         0)</f>
        <v>0</v>
      </c>
      <c r="AO98" s="453">
        <f ca="1">IF(AND($D98="Serviço",AO$12&lt;&gt;0,$H98&gt;0,OR(AUTOEVENTO&lt;&gt;"manual",$M98&lt;&gt;$A$15)),
        IF(Import.TipoArredondamento&lt;&gt;"TransfereGOV",
              ROUND(OFFSET($P98,0,AO$13),15-13*ORÇAMENTO!$AF$7)/$H98*OFFSET(ORÇAMENTO!$X$15,ROW(AO98)-ROW(AO$15),0),
              ROUND(ROUND(OFFSET($P98,0,AO$13),15-13*ORÇAMENTO!$AF$7)*OFFSET(ORÇAMENTO!$W$15,ROW(AO98)-ROW(AO$15),0),15-13*ORÇAMENTO!$AF$11)),
         0)</f>
        <v>0</v>
      </c>
      <c r="AP98" s="453">
        <f ca="1">IF(AND($D98="Serviço",AP$12&lt;&gt;0,$H98&gt;0,OR(AUTOEVENTO&lt;&gt;"manual",$M98&lt;&gt;$A$15)),
        IF(Import.TipoArredondamento&lt;&gt;"TransfereGOV",
              ROUND(OFFSET($P98,0,AP$13),15-13*ORÇAMENTO!$AF$7)/$H98*OFFSET(ORÇAMENTO!$X$15,ROW(AP98)-ROW(AP$15),0),
              ROUND(ROUND(OFFSET($P98,0,AP$13),15-13*ORÇAMENTO!$AF$7)*OFFSET(ORÇAMENTO!$W$15,ROW(AP98)-ROW(AP$15),0),15-13*ORÇAMENTO!$AF$11)),
         0)</f>
        <v>0</v>
      </c>
      <c r="AQ98" s="453">
        <f ca="1">IF(AND($D98="Serviço",AQ$12&lt;&gt;0,$H98&gt;0,OR(AUTOEVENTO&lt;&gt;"manual",$M98&lt;&gt;$A$15)),
        IF(Import.TipoArredondamento&lt;&gt;"TransfereGOV",
              ROUND(OFFSET($P98,0,AQ$13),15-13*ORÇAMENTO!$AF$7)/$H98*OFFSET(ORÇAMENTO!$X$15,ROW(AQ98)-ROW(AQ$15),0),
              ROUND(ROUND(OFFSET($P98,0,AQ$13),15-13*ORÇAMENTO!$AF$7)*OFFSET(ORÇAMENTO!$W$15,ROW(AQ98)-ROW(AQ$15),0),15-13*ORÇAMENTO!$AF$11)),
         0)</f>
        <v>0</v>
      </c>
      <c r="AR98" s="453">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3">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3">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3">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3">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3">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3">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3">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3">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3">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C98" s="171">
        <f ca="1">IF(OR($D98&lt;&gt;"Serviço",AND(AUTOEVENTO="Manual",$M98=$A$15)),0,
         IF(OFFSET(CRONOPLE!$F$15,$M98-$A$15,BC$13)=0,10^12,OFFSET(CRONOPLE!$F$15,$M98-$A$15,BC$13)))</f>
        <v>1</v>
      </c>
      <c r="BD98" s="171">
        <f ca="1">IF(OR($D98&lt;&gt;"Serviço",AND(AUTOEVENTO="Manual",$M98=$A$15)),0,
         IF(OFFSET(CRONOPLE!$F$15,$M98-$A$15,BD$13)=0,10^12,OFFSET(CRONOPLE!$F$15,$M98-$A$15,BD$13)))</f>
        <v>2</v>
      </c>
      <c r="BE98" s="171">
        <f ca="1">IF(OR($D98&lt;&gt;"Serviço",AND(AUTOEVENTO="Manual",$M98=$A$15)),0,
         IF(OFFSET(CRONOPLE!$F$15,$M98-$A$15,BE$13)=0,10^12,OFFSET(CRONOPLE!$F$15,$M98-$A$15,BE$13)))</f>
        <v>3</v>
      </c>
      <c r="BF98" s="171">
        <f ca="1">IF(OR($D98&lt;&gt;"Serviço",AND(AUTOEVENTO="Manual",$M98=$A$15)),0,
         IF(OFFSET(CRONOPLE!$F$15,$M98-$A$15,BF$13)=0,10^12,OFFSET(CRONOPLE!$F$15,$M98-$A$15,BF$13)))</f>
        <v>4</v>
      </c>
      <c r="BG98" s="171">
        <f ca="1">IF(OR($D98&lt;&gt;"Serviço",AND(AUTOEVENTO="Manual",$M98=$A$15)),0,
         IF(OFFSET(CRONOPLE!$F$15,$M98-$A$15,BG$13)=0,10^12,OFFSET(CRONOPLE!$F$15,$M98-$A$15,BG$13)))</f>
        <v>5</v>
      </c>
      <c r="BH98" s="171">
        <f ca="1">IF(OR($D98&lt;&gt;"Serviço",AND(AUTOEVENTO="Manual",$M98=$A$15)),0,
         IF(OFFSET(CRONOPLE!$F$15,$M98-$A$15,BH$13)=0,10^12,OFFSET(CRONOPLE!$F$15,$M98-$A$15,BH$13)))</f>
        <v>6</v>
      </c>
      <c r="BI98" s="171">
        <f ca="1">IF(OR($D98&lt;&gt;"Serviço",AND(AUTOEVENTO="Manual",$M98=$A$15)),0,
         IF(OFFSET(CRONOPLE!$F$15,$M98-$A$15,BI$13)=0,10^12,OFFSET(CRONOPLE!$F$15,$M98-$A$15,BI$13)))</f>
        <v>7</v>
      </c>
      <c r="BJ98" s="171">
        <f ca="1">IF(OR($D98&lt;&gt;"Serviço",AND(AUTOEVENTO="Manual",$M98=$A$15)),0,
         IF(OFFSET(CRONOPLE!$F$15,$M98-$A$15,BJ$13)=0,10^12,OFFSET(CRONOPLE!$F$15,$M98-$A$15,BJ$13)))</f>
        <v>8</v>
      </c>
      <c r="BK98" s="171">
        <f ca="1">IF(OR($D98&lt;&gt;"Serviço",AND(AUTOEVENTO="Manual",$M98=$A$15)),0,
         IF(OFFSET(CRONOPLE!$F$15,$M98-$A$15,BK$13)=0,10^12,OFFSET(CRONOPLE!$F$15,$M98-$A$15,BK$13)))</f>
        <v>9</v>
      </c>
      <c r="BL98" s="171">
        <f ca="1">IF(OR($D98&lt;&gt;"Serviço",AND(AUTOEVENTO="Manual",$M98=$A$15)),0,
         IF(OFFSET(CRONOPLE!$F$15,$M98-$A$15,BL$13)=0,10^12,OFFSET(CRONOPLE!$F$15,$M98-$A$15,BL$13)))</f>
        <v>10</v>
      </c>
      <c r="BM98" s="171">
        <f ca="1">IF(OR($D98&lt;&gt;"Serviço",AND(AUTOEVENTO="Manual",$M98=$A$15)),0,
         IF(OFFSET(CRONOPLE!$F$15,$M98-$A$15,BM$13)=0,10^12,OFFSET(CRONOPLE!$F$15,$M98-$A$15,BM$13)))</f>
        <v>1000000000000</v>
      </c>
      <c r="BN98" s="171">
        <f ca="1">IF(OR($D98&lt;&gt;"Serviço",AND(AUTOEVENTO="Manual",$M98=$A$15)),0,
         IF(OFFSET(CRONOPLE!$F$15,$M98-$A$15,BN$13)=0,10^12,OFFSET(CRONOPLE!$F$15,$M98-$A$15,BN$13)))</f>
        <v>1000000000000</v>
      </c>
      <c r="BO98" s="171">
        <f ca="1">IF(OR($D98&lt;&gt;"Serviço",AND(AUTOEVENTO="Manual",$M98=$A$15)),0,
         IF(OFFSET(CRONOPLE!$F$15,$M98-$A$15,BO$13)=0,10^12,OFFSET(CRONOPLE!$F$15,$M98-$A$15,BO$13)))</f>
        <v>1000000000000</v>
      </c>
      <c r="BP98" s="171">
        <f ca="1">IF(OR($D98&lt;&gt;"Serviço",AND(AUTOEVENTO="Manual",$M98=$A$15)),0,
         IF(OFFSET(CRONOPLE!$F$15,$M98-$A$15,BP$13)=0,10^12,OFFSET(CRONOPLE!$F$15,$M98-$A$15,BP$13)))</f>
        <v>1000000000000</v>
      </c>
      <c r="BQ98" s="171">
        <f ca="1">IF(OR($D98&lt;&gt;"Serviço",AND(AUTOEVENTO="Manual",$M98=$A$15)),0,
         IF(OFFSET(CRONOPLE!$F$15,$M98-$A$15,BQ$13)=0,10^12,OFFSET(CRONOPLE!$F$15,$M98-$A$15,BQ$13)))</f>
        <v>1000000000000</v>
      </c>
      <c r="BR98" s="171">
        <f ca="1">IF(OR($D98&lt;&gt;"Serviço",AND(AUTOEVENTO="Manual",$M98=$A$15)),0,
         IF(OFFSET(CRONOPLE!$F$15,$M98-$A$15,BR$13)=0,10^12,OFFSET(CRONOPLE!$F$15,$M98-$A$15,BR$13)))</f>
        <v>1000000000000</v>
      </c>
      <c r="BS98" s="171">
        <f ca="1">IF(OR($D98&lt;&gt;"Serviço",AND(AUTOEVENTO="Manual",$M98=$A$15)),0,
         IF(OFFSET(CRONOPLE!$F$15,$M98-$A$15,BS$13)=0,10^12,OFFSET(CRONOPLE!$F$15,$M98-$A$15,BS$13)))</f>
        <v>1000000000000</v>
      </c>
      <c r="BT98" s="171">
        <f ca="1">IF(OR($D98&lt;&gt;"Serviço",AND(AUTOEVENTO="Manual",$M98=$A$15)),0,
         IF(OFFSET(CRONOPLE!$F$15,$M98-$A$15,BT$13)=0,10^12,OFFSET(CRONOPLE!$F$15,$M98-$A$15,BT$13)))</f>
        <v>1000000000000</v>
      </c>
      <c r="BV98" s="172">
        <f ca="1">IF(OR($D98&lt;&gt;"Serviço",AND(AUTOEVENTO="Manual",$M98=$A$15),$M98&gt;(ROW(PLE.lastrow)-ROW(PLE.firstrow))),0,
           IF(OFFSET(PLE!$G$15,$M98-$A$15,BV$13)="",10^12,OFFSET(PLE!$G$15,$M98-$A$15,BV$13)))</f>
        <v>1000000000000</v>
      </c>
      <c r="BW98" s="172">
        <f ca="1">IF(OR($D98&lt;&gt;"Serviço",AND(AUTOEVENTO="Manual",$M98=$A$15),$M98&gt;(ROW(PLE.lastrow)-ROW(PLE.firstrow))),0,
           IF(OFFSET(PLE!$G$15,$M98-$A$15,BW$13)="",10^12,OFFSET(PLE!$G$15,$M98-$A$15,BW$13)))</f>
        <v>1000000000000</v>
      </c>
      <c r="BX98" s="172">
        <f ca="1">IF(OR($D98&lt;&gt;"Serviço",AND(AUTOEVENTO="Manual",$M98=$A$15),$M98&gt;(ROW(PLE.lastrow)-ROW(PLE.firstrow))),0,
           IF(OFFSET(PLE!$G$15,$M98-$A$15,BX$13)="",10^12,OFFSET(PLE!$G$15,$M98-$A$15,BX$13)))</f>
        <v>1000000000000</v>
      </c>
      <c r="BY98" s="172">
        <f ca="1">IF(OR($D98&lt;&gt;"Serviço",AND(AUTOEVENTO="Manual",$M98=$A$15),$M98&gt;(ROW(PLE.lastrow)-ROW(PLE.firstrow))),0,
           IF(OFFSET(PLE!$G$15,$M98-$A$15,BY$13)="",10^12,OFFSET(PLE!$G$15,$M98-$A$15,BY$13)))</f>
        <v>1000000000000</v>
      </c>
      <c r="BZ98" s="172">
        <f ca="1">IF(OR($D98&lt;&gt;"Serviço",AND(AUTOEVENTO="Manual",$M98=$A$15),$M98&gt;(ROW(PLE.lastrow)-ROW(PLE.firstrow))),0,
           IF(OFFSET(PLE!$G$15,$M98-$A$15,BZ$13)="",10^12,OFFSET(PLE!$G$15,$M98-$A$15,BZ$13)))</f>
        <v>1000000000000</v>
      </c>
      <c r="CA98" s="172">
        <f ca="1">IF(OR($D98&lt;&gt;"Serviço",AND(AUTOEVENTO="Manual",$M98=$A$15),$M98&gt;(ROW(PLE.lastrow)-ROW(PLE.firstrow))),0,
           IF(OFFSET(PLE!$G$15,$M98-$A$15,CA$13)="",10^12,OFFSET(PLE!$G$15,$M98-$A$15,CA$13)))</f>
        <v>1000000000000</v>
      </c>
      <c r="CB98" s="172">
        <f ca="1">IF(OR($D98&lt;&gt;"Serviço",AND(AUTOEVENTO="Manual",$M98=$A$15),$M98&gt;(ROW(PLE.lastrow)-ROW(PLE.firstrow))),0,
           IF(OFFSET(PLE!$G$15,$M98-$A$15,CB$13)="",10^12,OFFSET(PLE!$G$15,$M98-$A$15,CB$13)))</f>
        <v>1000000000000</v>
      </c>
      <c r="CC98" s="172">
        <f ca="1">IF(OR($D98&lt;&gt;"Serviço",AND(AUTOEVENTO="Manual",$M98=$A$15),$M98&gt;(ROW(PLE.lastrow)-ROW(PLE.firstrow))),0,
           IF(OFFSET(PLE!$G$15,$M98-$A$15,CC$13)="",10^12,OFFSET(PLE!$G$15,$M98-$A$15,CC$13)))</f>
        <v>1000000000000</v>
      </c>
      <c r="CD98" s="172">
        <f ca="1">IF(OR($D98&lt;&gt;"Serviço",AND(AUTOEVENTO="Manual",$M98=$A$15),$M98&gt;(ROW(PLE.lastrow)-ROW(PLE.firstrow))),0,
           IF(OFFSET(PLE!$G$15,$M98-$A$15,CD$13)="",10^12,OFFSET(PLE!$G$15,$M98-$A$15,CD$13)))</f>
        <v>1000000000000</v>
      </c>
      <c r="CE98" s="172">
        <f ca="1">IF(OR($D98&lt;&gt;"Serviço",AND(AUTOEVENTO="Manual",$M98=$A$15),$M98&gt;(ROW(PLE.lastrow)-ROW(PLE.firstrow))),0,
           IF(OFFSET(PLE!$G$15,$M98-$A$15,CE$13)="",10^12,OFFSET(PLE!$G$15,$M98-$A$15,CE$13)))</f>
        <v>1000000000000</v>
      </c>
      <c r="CF98" s="172">
        <f ca="1">IF(OR($D98&lt;&gt;"Serviço",AND(AUTOEVENTO="Manual",$M98=$A$15),$M98&gt;(ROW(PLE.lastrow)-ROW(PLE.firstrow))),0,
           IF(OFFSET(PLE!$G$15,$M98-$A$15,CF$13)="",10^12,OFFSET(PLE!$G$15,$M98-$A$15,CF$13)))</f>
        <v>1000000000000</v>
      </c>
      <c r="CG98" s="172">
        <f ca="1">IF(OR($D98&lt;&gt;"Serviço",AND(AUTOEVENTO="Manual",$M98=$A$15),$M98&gt;(ROW(PLE.lastrow)-ROW(PLE.firstrow))),0,
           IF(OFFSET(PLE!$G$15,$M98-$A$15,CG$13)="",10^12,OFFSET(PLE!$G$15,$M98-$A$15,CG$13)))</f>
        <v>1000000000000</v>
      </c>
      <c r="CH98" s="172">
        <f ca="1">IF(OR($D98&lt;&gt;"Serviço",AND(AUTOEVENTO="Manual",$M98=$A$15),$M98&gt;(ROW(PLE.lastrow)-ROW(PLE.firstrow))),0,
           IF(OFFSET(PLE!$G$15,$M98-$A$15,CH$13)="",10^12,OFFSET(PLE!$G$15,$M98-$A$15,CH$13)))</f>
        <v>1000000000000</v>
      </c>
      <c r="CI98" s="172">
        <f ca="1">IF(OR($D98&lt;&gt;"Serviço",AND(AUTOEVENTO="Manual",$M98=$A$15),$M98&gt;(ROW(PLE.lastrow)-ROW(PLE.firstrow))),0,
           IF(OFFSET(PLE!$G$15,$M98-$A$15,CI$13)="",10^12,OFFSET(PLE!$G$15,$M98-$A$15,CI$13)))</f>
        <v>1000000000000</v>
      </c>
      <c r="CJ98" s="172">
        <f ca="1">IF(OR($D98&lt;&gt;"Serviço",AND(AUTOEVENTO="Manual",$M98=$A$15),$M98&gt;(ROW(PLE.lastrow)-ROW(PLE.firstrow))),0,
           IF(OFFSET(PLE!$G$15,$M98-$A$15,CJ$13)="",10^12,OFFSET(PLE!$G$15,$M98-$A$15,CJ$13)))</f>
        <v>1000000000000</v>
      </c>
      <c r="CK98" s="172">
        <f ca="1">IF(OR($D98&lt;&gt;"Serviço",AND(AUTOEVENTO="Manual",$M98=$A$15),$M98&gt;(ROW(PLE.lastrow)-ROW(PLE.firstrow))),0,
           IF(OFFSET(PLE!$G$15,$M98-$A$15,CK$13)="",10^12,OFFSET(PLE!$G$15,$M98-$A$15,CK$13)))</f>
        <v>1000000000000</v>
      </c>
      <c r="CL98" s="172">
        <f ca="1">IF(OR($D98&lt;&gt;"Serviço",AND(AUTOEVENTO="Manual",$M98=$A$15),$M98&gt;(ROW(PLE.lastrow)-ROW(PLE.firstrow))),0,
           IF(OFFSET(PLE!$G$15,$M98-$A$15,CL$13)="",10^12,OFFSET(PLE!$G$15,$M98-$A$15,CL$13)))</f>
        <v>1000000000000</v>
      </c>
      <c r="CM98" s="172">
        <f ca="1">IF(OR($D98&lt;&gt;"Serviço",AND(AUTOEVENTO="Manual",$M98=$A$15),$M98&gt;(ROW(PLE.lastrow)-ROW(PLE.firstrow))),0,
           IF(OFFSET(PLE!$G$15,$M98-$A$15,CM$13)="",10^12,OFFSET(PLE!$G$15,$M98-$A$15,CM$13)))</f>
        <v>1000000000000</v>
      </c>
    </row>
    <row r="99" spans="1:91" ht="89.25" x14ac:dyDescent="0.2">
      <c r="A99" s="7">
        <f t="shared" ca="1" si="11"/>
        <v>4</v>
      </c>
      <c r="B99" s="7" t="str">
        <f ca="1">OFFSET(ORÇAMENTO!C$15,ROW(B99)-ROW(B$15),0)</f>
        <v>S</v>
      </c>
      <c r="C99" s="7" t="str">
        <f ca="1">OFFSET(ORÇAMENTO!L$15,ROW(C99)-ROW(C$15),0)</f>
        <v>F</v>
      </c>
      <c r="D99" s="116" t="str">
        <f ca="1">OFFSET(ORÇAMENTO!N$15,ROW(D99)-ROW(D$15),0)</f>
        <v>Serviço</v>
      </c>
      <c r="E99" s="117" t="str">
        <f ca="1">OFFSET(ORÇAMENTO!O$15,ROW(E99)-ROW(E$15),0)</f>
        <v>1.5.1.4.4.</v>
      </c>
      <c r="F99" s="163" t="str">
        <f ca="1">OFFSET(ORÇAMENTO!R$15,ROW(F99)-ROW(F$15),0)</f>
        <v>ARMAÇÃO EM AÇO CA-50 - FORNECIMENTO, PREPARO E COLOCAÇÃO</v>
      </c>
      <c r="G99" s="164" t="str">
        <f ca="1">IF($D99&lt;&gt;"Serviço","",OFFSET(ORÇAMENTO!S$15,ROW(G99)-ROW(G$15),0))</f>
        <v>KG</v>
      </c>
      <c r="H99" s="122" cm="1">
        <f t="array" aca="1" ref="H99" ca="1">IF($D99&lt;&gt;"Serviço",0,IF(ACOMPANHAMENTO="BM",ROUND(OFFSET(ORÇAMENTO!AJ$15,ROW(H99)-ROW(H$15),0),15-13*ORÇAMENTO!$AF$7),SUMPRODUCT(($Q$1:$AI$1=1)*ROUND($Q99:$AI99,15-13*ORÇAMENTO!$AF$7))))</f>
        <v>139.29</v>
      </c>
      <c r="I99" s="468" t="s">
        <v>1316</v>
      </c>
      <c r="J99" s="640" t="str" cm="1">
        <f t="array" aca="1" ref="J99" ca="1">IF(OR(B99&lt;&gt;"S",CÁLCULO.FrentesPreenchidas=0),"",IF(AND(ACOMPANHAMENTO="PLE",AUTOEVENTO="Manual",OR(H99&gt;0,ORÇAMENTO!AC99="QUANT."),OR(K99="",M99=0,N99="")),"►E",IF(AND(ACOMPANHAMENTO="PLE",ORÇAMENTO!AC99="QUANT."),"►Q",IF(AND(ACOMPANHAMENTO="PLE",H99&lt;&gt;SUMPRODUCT(($Q$1:$AI$1=1)*ROUND(Q99:AI99,15))),"►S",IF(AND(COUNTIF($P$11:$AI$11,"▼")=0,H99&gt;0,I99=""),"◄M","")))))</f>
        <v/>
      </c>
      <c r="K99" s="641" t="s">
        <v>1389</v>
      </c>
      <c r="L99" s="165" t="s">
        <v>764</v>
      </c>
      <c r="M99" s="166">
        <f ca="1">IF($D99&lt;&gt;"Serviço","",
          IF(AUTOEVENTO="manual",$A99,
                IF(ISERROR(MATCH($A99,$A$15:OFFSET($A99,-1,0),0)),MAX($M$15:OFFSET(M99,-1,0))+1,
                      INDEX($M$15:OFFSET(M99,-1,0),MATCH($A99,$A$15:OFFSET($A99,-1,0),0)))))</f>
        <v>4</v>
      </c>
      <c r="N99" s="167" t="str">
        <f ca="1">IF($D99&lt;&gt;"Serviço","",
         IF(AUTOEVENTO="Manual",
                IF($A99=0,"&lt;-- defina o número do agrupador",
                       OFFSET(EVENTOS!$D$15,$A99-$A$15,0)),
                OFFSET($F$15,$A99,0)))</f>
        <v>Estruturas de Concreto</v>
      </c>
      <c r="O99" s="168"/>
      <c r="Q99" s="168"/>
      <c r="R99" s="169"/>
      <c r="S99" s="169">
        <f>30.8+29.03+6.19+73.27</f>
        <v>139.29</v>
      </c>
      <c r="T99" s="169"/>
      <c r="U99" s="169"/>
      <c r="V99" s="169"/>
      <c r="W99" s="169"/>
      <c r="X99" s="169"/>
      <c r="Y99" s="169"/>
      <c r="Z99" s="170"/>
      <c r="AA99" s="169"/>
      <c r="AB99" s="169"/>
      <c r="AC99" s="169"/>
      <c r="AD99" s="169"/>
      <c r="AE99" s="169"/>
      <c r="AF99" s="169"/>
      <c r="AG99" s="169"/>
      <c r="AH99" s="170"/>
      <c r="AJ99" s="453">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0</v>
      </c>
      <c r="AK99" s="453">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0</v>
      </c>
      <c r="AL99" s="453">
        <f ca="1">IF(AND($D99="Serviço",AL$12&lt;&gt;0,$H99&gt;0,OR(AUTOEVENTO&lt;&gt;"manual",$M99&lt;&gt;$A$15)),
        IF(Import.TipoArredondamento&lt;&gt;"TransfereGOV",
              ROUND(OFFSET($P99,0,AL$13),15-13*ORÇAMENTO!$AF$7)/$H99*OFFSET(ORÇAMENTO!$X$15,ROW(AL99)-ROW(AL$15),0),
              ROUND(ROUND(OFFSET($P99,0,AL$13),15-13*ORÇAMENTO!$AF$7)*OFFSET(ORÇAMENTO!$W$15,ROW(AL99)-ROW(AL$15),0),15-13*ORÇAMENTO!$AF$11)),
         0)</f>
        <v>0</v>
      </c>
      <c r="AM99" s="453">
        <f ca="1">IF(AND($D99="Serviço",AM$12&lt;&gt;0,$H99&gt;0,OR(AUTOEVENTO&lt;&gt;"manual",$M99&lt;&gt;$A$15)),
        IF(Import.TipoArredondamento&lt;&gt;"TransfereGOV",
              ROUND(OFFSET($P99,0,AM$13),15-13*ORÇAMENTO!$AF$7)/$H99*OFFSET(ORÇAMENTO!$X$15,ROW(AM99)-ROW(AM$15),0),
              ROUND(ROUND(OFFSET($P99,0,AM$13),15-13*ORÇAMENTO!$AF$7)*OFFSET(ORÇAMENTO!$W$15,ROW(AM99)-ROW(AM$15),0),15-13*ORÇAMENTO!$AF$11)),
         0)</f>
        <v>0</v>
      </c>
      <c r="AN99" s="453">
        <f ca="1">IF(AND($D99="Serviço",AN$12&lt;&gt;0,$H99&gt;0,OR(AUTOEVENTO&lt;&gt;"manual",$M99&lt;&gt;$A$15)),
        IF(Import.TipoArredondamento&lt;&gt;"TransfereGOV",
              ROUND(OFFSET($P99,0,AN$13),15-13*ORÇAMENTO!$AF$7)/$H99*OFFSET(ORÇAMENTO!$X$15,ROW(AN99)-ROW(AN$15),0),
              ROUND(ROUND(OFFSET($P99,0,AN$13),15-13*ORÇAMENTO!$AF$7)*OFFSET(ORÇAMENTO!$W$15,ROW(AN99)-ROW(AN$15),0),15-13*ORÇAMENTO!$AF$11)),
         0)</f>
        <v>0</v>
      </c>
      <c r="AO99" s="453">
        <f ca="1">IF(AND($D99="Serviço",AO$12&lt;&gt;0,$H99&gt;0,OR(AUTOEVENTO&lt;&gt;"manual",$M99&lt;&gt;$A$15)),
        IF(Import.TipoArredondamento&lt;&gt;"TransfereGOV",
              ROUND(OFFSET($P99,0,AO$13),15-13*ORÇAMENTO!$AF$7)/$H99*OFFSET(ORÇAMENTO!$X$15,ROW(AO99)-ROW(AO$15),0),
              ROUND(ROUND(OFFSET($P99,0,AO$13),15-13*ORÇAMENTO!$AF$7)*OFFSET(ORÇAMENTO!$W$15,ROW(AO99)-ROW(AO$15),0),15-13*ORÇAMENTO!$AF$11)),
         0)</f>
        <v>0</v>
      </c>
      <c r="AP99" s="453">
        <f ca="1">IF(AND($D99="Serviço",AP$12&lt;&gt;0,$H99&gt;0,OR(AUTOEVENTO&lt;&gt;"manual",$M99&lt;&gt;$A$15)),
        IF(Import.TipoArredondamento&lt;&gt;"TransfereGOV",
              ROUND(OFFSET($P99,0,AP$13),15-13*ORÇAMENTO!$AF$7)/$H99*OFFSET(ORÇAMENTO!$X$15,ROW(AP99)-ROW(AP$15),0),
              ROUND(ROUND(OFFSET($P99,0,AP$13),15-13*ORÇAMENTO!$AF$7)*OFFSET(ORÇAMENTO!$W$15,ROW(AP99)-ROW(AP$15),0),15-13*ORÇAMENTO!$AF$11)),
         0)</f>
        <v>0</v>
      </c>
      <c r="AQ99" s="453">
        <f ca="1">IF(AND($D99="Serviço",AQ$12&lt;&gt;0,$H99&gt;0,OR(AUTOEVENTO&lt;&gt;"manual",$M99&lt;&gt;$A$15)),
        IF(Import.TipoArredondamento&lt;&gt;"TransfereGOV",
              ROUND(OFFSET($P99,0,AQ$13),15-13*ORÇAMENTO!$AF$7)/$H99*OFFSET(ORÇAMENTO!$X$15,ROW(AQ99)-ROW(AQ$15),0),
              ROUND(ROUND(OFFSET($P99,0,AQ$13),15-13*ORÇAMENTO!$AF$7)*OFFSET(ORÇAMENTO!$W$15,ROW(AQ99)-ROW(AQ$15),0),15-13*ORÇAMENTO!$AF$11)),
         0)</f>
        <v>0</v>
      </c>
      <c r="AR99" s="453">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3">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3">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3">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3">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3">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3">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3">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3">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3">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C99" s="171">
        <f ca="1">IF(OR($D99&lt;&gt;"Serviço",AND(AUTOEVENTO="Manual",$M99=$A$15)),0,
         IF(OFFSET(CRONOPLE!$F$15,$M99-$A$15,BC$13)=0,10^12,OFFSET(CRONOPLE!$F$15,$M99-$A$15,BC$13)))</f>
        <v>1</v>
      </c>
      <c r="BD99" s="171">
        <f ca="1">IF(OR($D99&lt;&gt;"Serviço",AND(AUTOEVENTO="Manual",$M99=$A$15)),0,
         IF(OFFSET(CRONOPLE!$F$15,$M99-$A$15,BD$13)=0,10^12,OFFSET(CRONOPLE!$F$15,$M99-$A$15,BD$13)))</f>
        <v>2</v>
      </c>
      <c r="BE99" s="171">
        <f ca="1">IF(OR($D99&lt;&gt;"Serviço",AND(AUTOEVENTO="Manual",$M99=$A$15)),0,
         IF(OFFSET(CRONOPLE!$F$15,$M99-$A$15,BE$13)=0,10^12,OFFSET(CRONOPLE!$F$15,$M99-$A$15,BE$13)))</f>
        <v>3</v>
      </c>
      <c r="BF99" s="171">
        <f ca="1">IF(OR($D99&lt;&gt;"Serviço",AND(AUTOEVENTO="Manual",$M99=$A$15)),0,
         IF(OFFSET(CRONOPLE!$F$15,$M99-$A$15,BF$13)=0,10^12,OFFSET(CRONOPLE!$F$15,$M99-$A$15,BF$13)))</f>
        <v>4</v>
      </c>
      <c r="BG99" s="171">
        <f ca="1">IF(OR($D99&lt;&gt;"Serviço",AND(AUTOEVENTO="Manual",$M99=$A$15)),0,
         IF(OFFSET(CRONOPLE!$F$15,$M99-$A$15,BG$13)=0,10^12,OFFSET(CRONOPLE!$F$15,$M99-$A$15,BG$13)))</f>
        <v>5</v>
      </c>
      <c r="BH99" s="171">
        <f ca="1">IF(OR($D99&lt;&gt;"Serviço",AND(AUTOEVENTO="Manual",$M99=$A$15)),0,
         IF(OFFSET(CRONOPLE!$F$15,$M99-$A$15,BH$13)=0,10^12,OFFSET(CRONOPLE!$F$15,$M99-$A$15,BH$13)))</f>
        <v>6</v>
      </c>
      <c r="BI99" s="171">
        <f ca="1">IF(OR($D99&lt;&gt;"Serviço",AND(AUTOEVENTO="Manual",$M99=$A$15)),0,
         IF(OFFSET(CRONOPLE!$F$15,$M99-$A$15,BI$13)=0,10^12,OFFSET(CRONOPLE!$F$15,$M99-$A$15,BI$13)))</f>
        <v>7</v>
      </c>
      <c r="BJ99" s="171">
        <f ca="1">IF(OR($D99&lt;&gt;"Serviço",AND(AUTOEVENTO="Manual",$M99=$A$15)),0,
         IF(OFFSET(CRONOPLE!$F$15,$M99-$A$15,BJ$13)=0,10^12,OFFSET(CRONOPLE!$F$15,$M99-$A$15,BJ$13)))</f>
        <v>8</v>
      </c>
      <c r="BK99" s="171">
        <f ca="1">IF(OR($D99&lt;&gt;"Serviço",AND(AUTOEVENTO="Manual",$M99=$A$15)),0,
         IF(OFFSET(CRONOPLE!$F$15,$M99-$A$15,BK$13)=0,10^12,OFFSET(CRONOPLE!$F$15,$M99-$A$15,BK$13)))</f>
        <v>9</v>
      </c>
      <c r="BL99" s="171">
        <f ca="1">IF(OR($D99&lt;&gt;"Serviço",AND(AUTOEVENTO="Manual",$M99=$A$15)),0,
         IF(OFFSET(CRONOPLE!$F$15,$M99-$A$15,BL$13)=0,10^12,OFFSET(CRONOPLE!$F$15,$M99-$A$15,BL$13)))</f>
        <v>10</v>
      </c>
      <c r="BM99" s="171">
        <f ca="1">IF(OR($D99&lt;&gt;"Serviço",AND(AUTOEVENTO="Manual",$M99=$A$15)),0,
         IF(OFFSET(CRONOPLE!$F$15,$M99-$A$15,BM$13)=0,10^12,OFFSET(CRONOPLE!$F$15,$M99-$A$15,BM$13)))</f>
        <v>1000000000000</v>
      </c>
      <c r="BN99" s="171">
        <f ca="1">IF(OR($D99&lt;&gt;"Serviço",AND(AUTOEVENTO="Manual",$M99=$A$15)),0,
         IF(OFFSET(CRONOPLE!$F$15,$M99-$A$15,BN$13)=0,10^12,OFFSET(CRONOPLE!$F$15,$M99-$A$15,BN$13)))</f>
        <v>1000000000000</v>
      </c>
      <c r="BO99" s="171">
        <f ca="1">IF(OR($D99&lt;&gt;"Serviço",AND(AUTOEVENTO="Manual",$M99=$A$15)),0,
         IF(OFFSET(CRONOPLE!$F$15,$M99-$A$15,BO$13)=0,10^12,OFFSET(CRONOPLE!$F$15,$M99-$A$15,BO$13)))</f>
        <v>1000000000000</v>
      </c>
      <c r="BP99" s="171">
        <f ca="1">IF(OR($D99&lt;&gt;"Serviço",AND(AUTOEVENTO="Manual",$M99=$A$15)),0,
         IF(OFFSET(CRONOPLE!$F$15,$M99-$A$15,BP$13)=0,10^12,OFFSET(CRONOPLE!$F$15,$M99-$A$15,BP$13)))</f>
        <v>1000000000000</v>
      </c>
      <c r="BQ99" s="171">
        <f ca="1">IF(OR($D99&lt;&gt;"Serviço",AND(AUTOEVENTO="Manual",$M99=$A$15)),0,
         IF(OFFSET(CRONOPLE!$F$15,$M99-$A$15,BQ$13)=0,10^12,OFFSET(CRONOPLE!$F$15,$M99-$A$15,BQ$13)))</f>
        <v>1000000000000</v>
      </c>
      <c r="BR99" s="171">
        <f ca="1">IF(OR($D99&lt;&gt;"Serviço",AND(AUTOEVENTO="Manual",$M99=$A$15)),0,
         IF(OFFSET(CRONOPLE!$F$15,$M99-$A$15,BR$13)=0,10^12,OFFSET(CRONOPLE!$F$15,$M99-$A$15,BR$13)))</f>
        <v>1000000000000</v>
      </c>
      <c r="BS99" s="171">
        <f ca="1">IF(OR($D99&lt;&gt;"Serviço",AND(AUTOEVENTO="Manual",$M99=$A$15)),0,
         IF(OFFSET(CRONOPLE!$F$15,$M99-$A$15,BS$13)=0,10^12,OFFSET(CRONOPLE!$F$15,$M99-$A$15,BS$13)))</f>
        <v>1000000000000</v>
      </c>
      <c r="BT99" s="171">
        <f ca="1">IF(OR($D99&lt;&gt;"Serviço",AND(AUTOEVENTO="Manual",$M99=$A$15)),0,
         IF(OFFSET(CRONOPLE!$F$15,$M99-$A$15,BT$13)=0,10^12,OFFSET(CRONOPLE!$F$15,$M99-$A$15,BT$13)))</f>
        <v>1000000000000</v>
      </c>
      <c r="BV99" s="172">
        <f ca="1">IF(OR($D99&lt;&gt;"Serviço",AND(AUTOEVENTO="Manual",$M99=$A$15),$M99&gt;(ROW(PLE.lastrow)-ROW(PLE.firstrow))),0,
           IF(OFFSET(PLE!$G$15,$M99-$A$15,BV$13)="",10^12,OFFSET(PLE!$G$15,$M99-$A$15,BV$13)))</f>
        <v>1000000000000</v>
      </c>
      <c r="BW99" s="172">
        <f ca="1">IF(OR($D99&lt;&gt;"Serviço",AND(AUTOEVENTO="Manual",$M99=$A$15),$M99&gt;(ROW(PLE.lastrow)-ROW(PLE.firstrow))),0,
           IF(OFFSET(PLE!$G$15,$M99-$A$15,BW$13)="",10^12,OFFSET(PLE!$G$15,$M99-$A$15,BW$13)))</f>
        <v>1000000000000</v>
      </c>
      <c r="BX99" s="172">
        <f ca="1">IF(OR($D99&lt;&gt;"Serviço",AND(AUTOEVENTO="Manual",$M99=$A$15),$M99&gt;(ROW(PLE.lastrow)-ROW(PLE.firstrow))),0,
           IF(OFFSET(PLE!$G$15,$M99-$A$15,BX$13)="",10^12,OFFSET(PLE!$G$15,$M99-$A$15,BX$13)))</f>
        <v>1000000000000</v>
      </c>
      <c r="BY99" s="172">
        <f ca="1">IF(OR($D99&lt;&gt;"Serviço",AND(AUTOEVENTO="Manual",$M99=$A$15),$M99&gt;(ROW(PLE.lastrow)-ROW(PLE.firstrow))),0,
           IF(OFFSET(PLE!$G$15,$M99-$A$15,BY$13)="",10^12,OFFSET(PLE!$G$15,$M99-$A$15,BY$13)))</f>
        <v>1000000000000</v>
      </c>
      <c r="BZ99" s="172">
        <f ca="1">IF(OR($D99&lt;&gt;"Serviço",AND(AUTOEVENTO="Manual",$M99=$A$15),$M99&gt;(ROW(PLE.lastrow)-ROW(PLE.firstrow))),0,
           IF(OFFSET(PLE!$G$15,$M99-$A$15,BZ$13)="",10^12,OFFSET(PLE!$G$15,$M99-$A$15,BZ$13)))</f>
        <v>1000000000000</v>
      </c>
      <c r="CA99" s="172">
        <f ca="1">IF(OR($D99&lt;&gt;"Serviço",AND(AUTOEVENTO="Manual",$M99=$A$15),$M99&gt;(ROW(PLE.lastrow)-ROW(PLE.firstrow))),0,
           IF(OFFSET(PLE!$G$15,$M99-$A$15,CA$13)="",10^12,OFFSET(PLE!$G$15,$M99-$A$15,CA$13)))</f>
        <v>1000000000000</v>
      </c>
      <c r="CB99" s="172">
        <f ca="1">IF(OR($D99&lt;&gt;"Serviço",AND(AUTOEVENTO="Manual",$M99=$A$15),$M99&gt;(ROW(PLE.lastrow)-ROW(PLE.firstrow))),0,
           IF(OFFSET(PLE!$G$15,$M99-$A$15,CB$13)="",10^12,OFFSET(PLE!$G$15,$M99-$A$15,CB$13)))</f>
        <v>1000000000000</v>
      </c>
      <c r="CC99" s="172">
        <f ca="1">IF(OR($D99&lt;&gt;"Serviço",AND(AUTOEVENTO="Manual",$M99=$A$15),$M99&gt;(ROW(PLE.lastrow)-ROW(PLE.firstrow))),0,
           IF(OFFSET(PLE!$G$15,$M99-$A$15,CC$13)="",10^12,OFFSET(PLE!$G$15,$M99-$A$15,CC$13)))</f>
        <v>1000000000000</v>
      </c>
      <c r="CD99" s="172">
        <f ca="1">IF(OR($D99&lt;&gt;"Serviço",AND(AUTOEVENTO="Manual",$M99=$A$15),$M99&gt;(ROW(PLE.lastrow)-ROW(PLE.firstrow))),0,
           IF(OFFSET(PLE!$G$15,$M99-$A$15,CD$13)="",10^12,OFFSET(PLE!$G$15,$M99-$A$15,CD$13)))</f>
        <v>1000000000000</v>
      </c>
      <c r="CE99" s="172">
        <f ca="1">IF(OR($D99&lt;&gt;"Serviço",AND(AUTOEVENTO="Manual",$M99=$A$15),$M99&gt;(ROW(PLE.lastrow)-ROW(PLE.firstrow))),0,
           IF(OFFSET(PLE!$G$15,$M99-$A$15,CE$13)="",10^12,OFFSET(PLE!$G$15,$M99-$A$15,CE$13)))</f>
        <v>1000000000000</v>
      </c>
      <c r="CF99" s="172">
        <f ca="1">IF(OR($D99&lt;&gt;"Serviço",AND(AUTOEVENTO="Manual",$M99=$A$15),$M99&gt;(ROW(PLE.lastrow)-ROW(PLE.firstrow))),0,
           IF(OFFSET(PLE!$G$15,$M99-$A$15,CF$13)="",10^12,OFFSET(PLE!$G$15,$M99-$A$15,CF$13)))</f>
        <v>1000000000000</v>
      </c>
      <c r="CG99" s="172">
        <f ca="1">IF(OR($D99&lt;&gt;"Serviço",AND(AUTOEVENTO="Manual",$M99=$A$15),$M99&gt;(ROW(PLE.lastrow)-ROW(PLE.firstrow))),0,
           IF(OFFSET(PLE!$G$15,$M99-$A$15,CG$13)="",10^12,OFFSET(PLE!$G$15,$M99-$A$15,CG$13)))</f>
        <v>1000000000000</v>
      </c>
      <c r="CH99" s="172">
        <f ca="1">IF(OR($D99&lt;&gt;"Serviço",AND(AUTOEVENTO="Manual",$M99=$A$15),$M99&gt;(ROW(PLE.lastrow)-ROW(PLE.firstrow))),0,
           IF(OFFSET(PLE!$G$15,$M99-$A$15,CH$13)="",10^12,OFFSET(PLE!$G$15,$M99-$A$15,CH$13)))</f>
        <v>1000000000000</v>
      </c>
      <c r="CI99" s="172">
        <f ca="1">IF(OR($D99&lt;&gt;"Serviço",AND(AUTOEVENTO="Manual",$M99=$A$15),$M99&gt;(ROW(PLE.lastrow)-ROW(PLE.firstrow))),0,
           IF(OFFSET(PLE!$G$15,$M99-$A$15,CI$13)="",10^12,OFFSET(PLE!$G$15,$M99-$A$15,CI$13)))</f>
        <v>1000000000000</v>
      </c>
      <c r="CJ99" s="172">
        <f ca="1">IF(OR($D99&lt;&gt;"Serviço",AND(AUTOEVENTO="Manual",$M99=$A$15),$M99&gt;(ROW(PLE.lastrow)-ROW(PLE.firstrow))),0,
           IF(OFFSET(PLE!$G$15,$M99-$A$15,CJ$13)="",10^12,OFFSET(PLE!$G$15,$M99-$A$15,CJ$13)))</f>
        <v>1000000000000</v>
      </c>
      <c r="CK99" s="172">
        <f ca="1">IF(OR($D99&lt;&gt;"Serviço",AND(AUTOEVENTO="Manual",$M99=$A$15),$M99&gt;(ROW(PLE.lastrow)-ROW(PLE.firstrow))),0,
           IF(OFFSET(PLE!$G$15,$M99-$A$15,CK$13)="",10^12,OFFSET(PLE!$G$15,$M99-$A$15,CK$13)))</f>
        <v>1000000000000</v>
      </c>
      <c r="CL99" s="172">
        <f ca="1">IF(OR($D99&lt;&gt;"Serviço",AND(AUTOEVENTO="Manual",$M99=$A$15),$M99&gt;(ROW(PLE.lastrow)-ROW(PLE.firstrow))),0,
           IF(OFFSET(PLE!$G$15,$M99-$A$15,CL$13)="",10^12,OFFSET(PLE!$G$15,$M99-$A$15,CL$13)))</f>
        <v>1000000000000</v>
      </c>
      <c r="CM99" s="172">
        <f ca="1">IF(OR($D99&lt;&gt;"Serviço",AND(AUTOEVENTO="Manual",$M99=$A$15),$M99&gt;(ROW(PLE.lastrow)-ROW(PLE.firstrow))),0,
           IF(OFFSET(PLE!$G$15,$M99-$A$15,CM$13)="",10^12,OFFSET(PLE!$G$15,$M99-$A$15,CM$13)))</f>
        <v>1000000000000</v>
      </c>
    </row>
    <row r="100" spans="1:91" ht="12.75" x14ac:dyDescent="0.2">
      <c r="A100" s="7">
        <f t="shared" ca="1" si="11"/>
        <v>5</v>
      </c>
      <c r="B100" s="7">
        <f ca="1">OFFSET(ORÇAMENTO!C$15,ROW(B100)-ROW(B$15),0)</f>
        <v>4</v>
      </c>
      <c r="C100" s="7" t="str">
        <f ca="1">OFFSET(ORÇAMENTO!L$15,ROW(C100)-ROW(C$15),0)</f>
        <v>F</v>
      </c>
      <c r="D100" s="116" t="str">
        <f ca="1">OFFSET(ORÇAMENTO!N$15,ROW(D100)-ROW(D$15),0)</f>
        <v>Nível 4</v>
      </c>
      <c r="E100" s="117" t="str">
        <f ca="1">OFFSET(ORÇAMENTO!O$15,ROW(E100)-ROW(E$15),0)</f>
        <v>1.5.1.5.</v>
      </c>
      <c r="F100" s="163" t="str">
        <f ca="1">OFFSET(ORÇAMENTO!R$15,ROW(F100)-ROW(F$15),0)</f>
        <v>PILARES E VIGAS</v>
      </c>
      <c r="G100" s="164" t="str">
        <f ca="1">IF($D100&lt;&gt;"Serviço","",OFFSET(ORÇAMENTO!S$15,ROW(G100)-ROW(G$15),0))</f>
        <v/>
      </c>
      <c r="H100" s="122" cm="1">
        <f t="array" aca="1" ref="H100" ca="1">IF($D100&lt;&gt;"Serviço",0,IF(ACOMPANHAMENTO="BM",ROUND(OFFSET(ORÇAMENTO!AJ$15,ROW(H100)-ROW(H$15),0),15-13*ORÇAMENTO!$AF$7),SUMPRODUCT(($Q$1:$AI$1=1)*ROUND($Q100:$AI100,15-13*ORÇAMENTO!$AF$7))))</f>
        <v>0</v>
      </c>
      <c r="I100" s="468"/>
      <c r="J100" s="640" t="str" cm="1">
        <f t="array" aca="1" ref="J100" ca="1">IF(OR(B100&lt;&gt;"S",CÁLCULO.FrentesPreenchidas=0),"",IF(AND(ACOMPANHAMENTO="PLE",AUTOEVENTO="Manual",OR(H100&gt;0,ORÇAMENTO!AC100="QUANT."),OR(K100="",M100=0,N100="")),"►E",IF(AND(ACOMPANHAMENTO="PLE",ORÇAMENTO!AC100="QUANT."),"►Q",IF(AND(ACOMPANHAMENTO="PLE",H100&lt;&gt;SUMPRODUCT(($Q$1:$AI$1=1)*ROUND(Q100:AI100,15))),"►S",IF(AND(COUNTIF($P$11:$AI$11,"▼")=0,H100&gt;0,I100=""),"◄M","")))))</f>
        <v/>
      </c>
      <c r="K100" s="641" t="s">
        <v>1364</v>
      </c>
      <c r="L100" s="165" t="s">
        <v>764</v>
      </c>
      <c r="M100" s="166" t="str">
        <f ca="1">IF($D100&lt;&gt;"Serviço","",
          IF(AUTOEVENTO="manual",$A100,
                IF(ISERROR(MATCH($A100,$A$15:OFFSET($A100,-1,0),0)),MAX($M$15:OFFSET(M100,-1,0))+1,
                      INDEX($M$15:OFFSET(M100,-1,0),MATCH($A100,$A$15:OFFSET($A100,-1,0),0)))))</f>
        <v/>
      </c>
      <c r="N100" s="167" t="str">
        <f ca="1">IF($D100&lt;&gt;"Serviço","",
         IF(AUTOEVENTO="Manual",
                IF($A100=0,"&lt;-- defina o número do agrupador",
                       OFFSET(EVENTOS!$D$15,$A100-$A$15,0)),
                OFFSET($F$15,$A100,0)))</f>
        <v/>
      </c>
      <c r="O100" s="168"/>
      <c r="Q100" s="168"/>
      <c r="R100" s="169"/>
      <c r="S100" s="169"/>
      <c r="T100" s="169"/>
      <c r="U100" s="169"/>
      <c r="V100" s="169"/>
      <c r="W100" s="169"/>
      <c r="X100" s="169"/>
      <c r="Y100" s="169"/>
      <c r="Z100" s="170"/>
      <c r="AA100" s="169"/>
      <c r="AB100" s="169"/>
      <c r="AC100" s="169"/>
      <c r="AD100" s="169"/>
      <c r="AE100" s="169"/>
      <c r="AF100" s="169"/>
      <c r="AG100" s="169"/>
      <c r="AH100" s="170"/>
      <c r="AJ100" s="453">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0</v>
      </c>
      <c r="AK100" s="453">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0</v>
      </c>
      <c r="AL100" s="453">
        <f ca="1">IF(AND($D100="Serviço",AL$12&lt;&gt;0,$H100&gt;0,OR(AUTOEVENTO&lt;&gt;"manual",$M100&lt;&gt;$A$15)),
        IF(Import.TipoArredondamento&lt;&gt;"TransfereGOV",
              ROUND(OFFSET($P100,0,AL$13),15-13*ORÇAMENTO!$AF$7)/$H100*OFFSET(ORÇAMENTO!$X$15,ROW(AL100)-ROW(AL$15),0),
              ROUND(ROUND(OFFSET($P100,0,AL$13),15-13*ORÇAMENTO!$AF$7)*OFFSET(ORÇAMENTO!$W$15,ROW(AL100)-ROW(AL$15),0),15-13*ORÇAMENTO!$AF$11)),
         0)</f>
        <v>0</v>
      </c>
      <c r="AM100" s="453">
        <f ca="1">IF(AND($D100="Serviço",AM$12&lt;&gt;0,$H100&gt;0,OR(AUTOEVENTO&lt;&gt;"manual",$M100&lt;&gt;$A$15)),
        IF(Import.TipoArredondamento&lt;&gt;"TransfereGOV",
              ROUND(OFFSET($P100,0,AM$13),15-13*ORÇAMENTO!$AF$7)/$H100*OFFSET(ORÇAMENTO!$X$15,ROW(AM100)-ROW(AM$15),0),
              ROUND(ROUND(OFFSET($P100,0,AM$13),15-13*ORÇAMENTO!$AF$7)*OFFSET(ORÇAMENTO!$W$15,ROW(AM100)-ROW(AM$15),0),15-13*ORÇAMENTO!$AF$11)),
         0)</f>
        <v>0</v>
      </c>
      <c r="AN100" s="453">
        <f ca="1">IF(AND($D100="Serviço",AN$12&lt;&gt;0,$H100&gt;0,OR(AUTOEVENTO&lt;&gt;"manual",$M100&lt;&gt;$A$15)),
        IF(Import.TipoArredondamento&lt;&gt;"TransfereGOV",
              ROUND(OFFSET($P100,0,AN$13),15-13*ORÇAMENTO!$AF$7)/$H100*OFFSET(ORÇAMENTO!$X$15,ROW(AN100)-ROW(AN$15),0),
              ROUND(ROUND(OFFSET($P100,0,AN$13),15-13*ORÇAMENTO!$AF$7)*OFFSET(ORÇAMENTO!$W$15,ROW(AN100)-ROW(AN$15),0),15-13*ORÇAMENTO!$AF$11)),
         0)</f>
        <v>0</v>
      </c>
      <c r="AO100" s="453">
        <f ca="1">IF(AND($D100="Serviço",AO$12&lt;&gt;0,$H100&gt;0,OR(AUTOEVENTO&lt;&gt;"manual",$M100&lt;&gt;$A$15)),
        IF(Import.TipoArredondamento&lt;&gt;"TransfereGOV",
              ROUND(OFFSET($P100,0,AO$13),15-13*ORÇAMENTO!$AF$7)/$H100*OFFSET(ORÇAMENTO!$X$15,ROW(AO100)-ROW(AO$15),0),
              ROUND(ROUND(OFFSET($P100,0,AO$13),15-13*ORÇAMENTO!$AF$7)*OFFSET(ORÇAMENTO!$W$15,ROW(AO100)-ROW(AO$15),0),15-13*ORÇAMENTO!$AF$11)),
         0)</f>
        <v>0</v>
      </c>
      <c r="AP100" s="453">
        <f ca="1">IF(AND($D100="Serviço",AP$12&lt;&gt;0,$H100&gt;0,OR(AUTOEVENTO&lt;&gt;"manual",$M100&lt;&gt;$A$15)),
        IF(Import.TipoArredondamento&lt;&gt;"TransfereGOV",
              ROUND(OFFSET($P100,0,AP$13),15-13*ORÇAMENTO!$AF$7)/$H100*OFFSET(ORÇAMENTO!$X$15,ROW(AP100)-ROW(AP$15),0),
              ROUND(ROUND(OFFSET($P100,0,AP$13),15-13*ORÇAMENTO!$AF$7)*OFFSET(ORÇAMENTO!$W$15,ROW(AP100)-ROW(AP$15),0),15-13*ORÇAMENTO!$AF$11)),
         0)</f>
        <v>0</v>
      </c>
      <c r="AQ100" s="453">
        <f ca="1">IF(AND($D100="Serviço",AQ$12&lt;&gt;0,$H100&gt;0,OR(AUTOEVENTO&lt;&gt;"manual",$M100&lt;&gt;$A$15)),
        IF(Import.TipoArredondamento&lt;&gt;"TransfereGOV",
              ROUND(OFFSET($P100,0,AQ$13),15-13*ORÇAMENTO!$AF$7)/$H100*OFFSET(ORÇAMENTO!$X$15,ROW(AQ100)-ROW(AQ$15),0),
              ROUND(ROUND(OFFSET($P100,0,AQ$13),15-13*ORÇAMENTO!$AF$7)*OFFSET(ORÇAMENTO!$W$15,ROW(AQ100)-ROW(AQ$15),0),15-13*ORÇAMENTO!$AF$11)),
         0)</f>
        <v>0</v>
      </c>
      <c r="AR100" s="453">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3">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3">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3">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3">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3">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3">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3">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3">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3">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C100" s="171">
        <f ca="1">IF(OR($D100&lt;&gt;"Serviço",AND(AUTOEVENTO="Manual",$M100=$A$15)),0,
         IF(OFFSET(CRONOPLE!$F$15,$M100-$A$15,BC$13)=0,10^12,OFFSET(CRONOPLE!$F$15,$M100-$A$15,BC$13)))</f>
        <v>0</v>
      </c>
      <c r="BD100" s="171">
        <f ca="1">IF(OR($D100&lt;&gt;"Serviço",AND(AUTOEVENTO="Manual",$M100=$A$15)),0,
         IF(OFFSET(CRONOPLE!$F$15,$M100-$A$15,BD$13)=0,10^12,OFFSET(CRONOPLE!$F$15,$M100-$A$15,BD$13)))</f>
        <v>0</v>
      </c>
      <c r="BE100" s="171">
        <f ca="1">IF(OR($D100&lt;&gt;"Serviço",AND(AUTOEVENTO="Manual",$M100=$A$15)),0,
         IF(OFFSET(CRONOPLE!$F$15,$M100-$A$15,BE$13)=0,10^12,OFFSET(CRONOPLE!$F$15,$M100-$A$15,BE$13)))</f>
        <v>0</v>
      </c>
      <c r="BF100" s="171">
        <f ca="1">IF(OR($D100&lt;&gt;"Serviço",AND(AUTOEVENTO="Manual",$M100=$A$15)),0,
         IF(OFFSET(CRONOPLE!$F$15,$M100-$A$15,BF$13)=0,10^12,OFFSET(CRONOPLE!$F$15,$M100-$A$15,BF$13)))</f>
        <v>0</v>
      </c>
      <c r="BG100" s="171">
        <f ca="1">IF(OR($D100&lt;&gt;"Serviço",AND(AUTOEVENTO="Manual",$M100=$A$15)),0,
         IF(OFFSET(CRONOPLE!$F$15,$M100-$A$15,BG$13)=0,10^12,OFFSET(CRONOPLE!$F$15,$M100-$A$15,BG$13)))</f>
        <v>0</v>
      </c>
      <c r="BH100" s="171">
        <f ca="1">IF(OR($D100&lt;&gt;"Serviço",AND(AUTOEVENTO="Manual",$M100=$A$15)),0,
         IF(OFFSET(CRONOPLE!$F$15,$M100-$A$15,BH$13)=0,10^12,OFFSET(CRONOPLE!$F$15,$M100-$A$15,BH$13)))</f>
        <v>0</v>
      </c>
      <c r="BI100" s="171">
        <f ca="1">IF(OR($D100&lt;&gt;"Serviço",AND(AUTOEVENTO="Manual",$M100=$A$15)),0,
         IF(OFFSET(CRONOPLE!$F$15,$M100-$A$15,BI$13)=0,10^12,OFFSET(CRONOPLE!$F$15,$M100-$A$15,BI$13)))</f>
        <v>0</v>
      </c>
      <c r="BJ100" s="171">
        <f ca="1">IF(OR($D100&lt;&gt;"Serviço",AND(AUTOEVENTO="Manual",$M100=$A$15)),0,
         IF(OFFSET(CRONOPLE!$F$15,$M100-$A$15,BJ$13)=0,10^12,OFFSET(CRONOPLE!$F$15,$M100-$A$15,BJ$13)))</f>
        <v>0</v>
      </c>
      <c r="BK100" s="171">
        <f ca="1">IF(OR($D100&lt;&gt;"Serviço",AND(AUTOEVENTO="Manual",$M100=$A$15)),0,
         IF(OFFSET(CRONOPLE!$F$15,$M100-$A$15,BK$13)=0,10^12,OFFSET(CRONOPLE!$F$15,$M100-$A$15,BK$13)))</f>
        <v>0</v>
      </c>
      <c r="BL100" s="171">
        <f ca="1">IF(OR($D100&lt;&gt;"Serviço",AND(AUTOEVENTO="Manual",$M100=$A$15)),0,
         IF(OFFSET(CRONOPLE!$F$15,$M100-$A$15,BL$13)=0,10^12,OFFSET(CRONOPLE!$F$15,$M100-$A$15,BL$13)))</f>
        <v>0</v>
      </c>
      <c r="BM100" s="171">
        <f ca="1">IF(OR($D100&lt;&gt;"Serviço",AND(AUTOEVENTO="Manual",$M100=$A$15)),0,
         IF(OFFSET(CRONOPLE!$F$15,$M100-$A$15,BM$13)=0,10^12,OFFSET(CRONOPLE!$F$15,$M100-$A$15,BM$13)))</f>
        <v>0</v>
      </c>
      <c r="BN100" s="171">
        <f ca="1">IF(OR($D100&lt;&gt;"Serviço",AND(AUTOEVENTO="Manual",$M100=$A$15)),0,
         IF(OFFSET(CRONOPLE!$F$15,$M100-$A$15,BN$13)=0,10^12,OFFSET(CRONOPLE!$F$15,$M100-$A$15,BN$13)))</f>
        <v>0</v>
      </c>
      <c r="BO100" s="171">
        <f ca="1">IF(OR($D100&lt;&gt;"Serviço",AND(AUTOEVENTO="Manual",$M100=$A$15)),0,
         IF(OFFSET(CRONOPLE!$F$15,$M100-$A$15,BO$13)=0,10^12,OFFSET(CRONOPLE!$F$15,$M100-$A$15,BO$13)))</f>
        <v>0</v>
      </c>
      <c r="BP100" s="171">
        <f ca="1">IF(OR($D100&lt;&gt;"Serviço",AND(AUTOEVENTO="Manual",$M100=$A$15)),0,
         IF(OFFSET(CRONOPLE!$F$15,$M100-$A$15,BP$13)=0,10^12,OFFSET(CRONOPLE!$F$15,$M100-$A$15,BP$13)))</f>
        <v>0</v>
      </c>
      <c r="BQ100" s="171">
        <f ca="1">IF(OR($D100&lt;&gt;"Serviço",AND(AUTOEVENTO="Manual",$M100=$A$15)),0,
         IF(OFFSET(CRONOPLE!$F$15,$M100-$A$15,BQ$13)=0,10^12,OFFSET(CRONOPLE!$F$15,$M100-$A$15,BQ$13)))</f>
        <v>0</v>
      </c>
      <c r="BR100" s="171">
        <f ca="1">IF(OR($D100&lt;&gt;"Serviço",AND(AUTOEVENTO="Manual",$M100=$A$15)),0,
         IF(OFFSET(CRONOPLE!$F$15,$M100-$A$15,BR$13)=0,10^12,OFFSET(CRONOPLE!$F$15,$M100-$A$15,BR$13)))</f>
        <v>0</v>
      </c>
      <c r="BS100" s="171">
        <f ca="1">IF(OR($D100&lt;&gt;"Serviço",AND(AUTOEVENTO="Manual",$M100=$A$15)),0,
         IF(OFFSET(CRONOPLE!$F$15,$M100-$A$15,BS$13)=0,10^12,OFFSET(CRONOPLE!$F$15,$M100-$A$15,BS$13)))</f>
        <v>0</v>
      </c>
      <c r="BT100" s="171">
        <f ca="1">IF(OR($D100&lt;&gt;"Serviço",AND(AUTOEVENTO="Manual",$M100=$A$15)),0,
         IF(OFFSET(CRONOPLE!$F$15,$M100-$A$15,BT$13)=0,10^12,OFFSET(CRONOPLE!$F$15,$M100-$A$15,BT$13)))</f>
        <v>0</v>
      </c>
      <c r="BV100" s="172">
        <f ca="1">IF(OR($D100&lt;&gt;"Serviço",AND(AUTOEVENTO="Manual",$M100=$A$15),$M100&gt;(ROW(PLE.lastrow)-ROW(PLE.firstrow))),0,
           IF(OFFSET(PLE!$G$15,$M100-$A$15,BV$13)="",10^12,OFFSET(PLE!$G$15,$M100-$A$15,BV$13)))</f>
        <v>0</v>
      </c>
      <c r="BW100" s="172">
        <f ca="1">IF(OR($D100&lt;&gt;"Serviço",AND(AUTOEVENTO="Manual",$M100=$A$15),$M100&gt;(ROW(PLE.lastrow)-ROW(PLE.firstrow))),0,
           IF(OFFSET(PLE!$G$15,$M100-$A$15,BW$13)="",10^12,OFFSET(PLE!$G$15,$M100-$A$15,BW$13)))</f>
        <v>0</v>
      </c>
      <c r="BX100" s="172">
        <f ca="1">IF(OR($D100&lt;&gt;"Serviço",AND(AUTOEVENTO="Manual",$M100=$A$15),$M100&gt;(ROW(PLE.lastrow)-ROW(PLE.firstrow))),0,
           IF(OFFSET(PLE!$G$15,$M100-$A$15,BX$13)="",10^12,OFFSET(PLE!$G$15,$M100-$A$15,BX$13)))</f>
        <v>0</v>
      </c>
      <c r="BY100" s="172">
        <f ca="1">IF(OR($D100&lt;&gt;"Serviço",AND(AUTOEVENTO="Manual",$M100=$A$15),$M100&gt;(ROW(PLE.lastrow)-ROW(PLE.firstrow))),0,
           IF(OFFSET(PLE!$G$15,$M100-$A$15,BY$13)="",10^12,OFFSET(PLE!$G$15,$M100-$A$15,BY$13)))</f>
        <v>0</v>
      </c>
      <c r="BZ100" s="172">
        <f ca="1">IF(OR($D100&lt;&gt;"Serviço",AND(AUTOEVENTO="Manual",$M100=$A$15),$M100&gt;(ROW(PLE.lastrow)-ROW(PLE.firstrow))),0,
           IF(OFFSET(PLE!$G$15,$M100-$A$15,BZ$13)="",10^12,OFFSET(PLE!$G$15,$M100-$A$15,BZ$13)))</f>
        <v>0</v>
      </c>
      <c r="CA100" s="172">
        <f ca="1">IF(OR($D100&lt;&gt;"Serviço",AND(AUTOEVENTO="Manual",$M100=$A$15),$M100&gt;(ROW(PLE.lastrow)-ROW(PLE.firstrow))),0,
           IF(OFFSET(PLE!$G$15,$M100-$A$15,CA$13)="",10^12,OFFSET(PLE!$G$15,$M100-$A$15,CA$13)))</f>
        <v>0</v>
      </c>
      <c r="CB100" s="172">
        <f ca="1">IF(OR($D100&lt;&gt;"Serviço",AND(AUTOEVENTO="Manual",$M100=$A$15),$M100&gt;(ROW(PLE.lastrow)-ROW(PLE.firstrow))),0,
           IF(OFFSET(PLE!$G$15,$M100-$A$15,CB$13)="",10^12,OFFSET(PLE!$G$15,$M100-$A$15,CB$13)))</f>
        <v>0</v>
      </c>
      <c r="CC100" s="172">
        <f ca="1">IF(OR($D100&lt;&gt;"Serviço",AND(AUTOEVENTO="Manual",$M100=$A$15),$M100&gt;(ROW(PLE.lastrow)-ROW(PLE.firstrow))),0,
           IF(OFFSET(PLE!$G$15,$M100-$A$15,CC$13)="",10^12,OFFSET(PLE!$G$15,$M100-$A$15,CC$13)))</f>
        <v>0</v>
      </c>
      <c r="CD100" s="172">
        <f ca="1">IF(OR($D100&lt;&gt;"Serviço",AND(AUTOEVENTO="Manual",$M100=$A$15),$M100&gt;(ROW(PLE.lastrow)-ROW(PLE.firstrow))),0,
           IF(OFFSET(PLE!$G$15,$M100-$A$15,CD$13)="",10^12,OFFSET(PLE!$G$15,$M100-$A$15,CD$13)))</f>
        <v>0</v>
      </c>
      <c r="CE100" s="172">
        <f ca="1">IF(OR($D100&lt;&gt;"Serviço",AND(AUTOEVENTO="Manual",$M100=$A$15),$M100&gt;(ROW(PLE.lastrow)-ROW(PLE.firstrow))),0,
           IF(OFFSET(PLE!$G$15,$M100-$A$15,CE$13)="",10^12,OFFSET(PLE!$G$15,$M100-$A$15,CE$13)))</f>
        <v>0</v>
      </c>
      <c r="CF100" s="172">
        <f ca="1">IF(OR($D100&lt;&gt;"Serviço",AND(AUTOEVENTO="Manual",$M100=$A$15),$M100&gt;(ROW(PLE.lastrow)-ROW(PLE.firstrow))),0,
           IF(OFFSET(PLE!$G$15,$M100-$A$15,CF$13)="",10^12,OFFSET(PLE!$G$15,$M100-$A$15,CF$13)))</f>
        <v>0</v>
      </c>
      <c r="CG100" s="172">
        <f ca="1">IF(OR($D100&lt;&gt;"Serviço",AND(AUTOEVENTO="Manual",$M100=$A$15),$M100&gt;(ROW(PLE.lastrow)-ROW(PLE.firstrow))),0,
           IF(OFFSET(PLE!$G$15,$M100-$A$15,CG$13)="",10^12,OFFSET(PLE!$G$15,$M100-$A$15,CG$13)))</f>
        <v>0</v>
      </c>
      <c r="CH100" s="172">
        <f ca="1">IF(OR($D100&lt;&gt;"Serviço",AND(AUTOEVENTO="Manual",$M100=$A$15),$M100&gt;(ROW(PLE.lastrow)-ROW(PLE.firstrow))),0,
           IF(OFFSET(PLE!$G$15,$M100-$A$15,CH$13)="",10^12,OFFSET(PLE!$G$15,$M100-$A$15,CH$13)))</f>
        <v>0</v>
      </c>
      <c r="CI100" s="172">
        <f ca="1">IF(OR($D100&lt;&gt;"Serviço",AND(AUTOEVENTO="Manual",$M100=$A$15),$M100&gt;(ROW(PLE.lastrow)-ROW(PLE.firstrow))),0,
           IF(OFFSET(PLE!$G$15,$M100-$A$15,CI$13)="",10^12,OFFSET(PLE!$G$15,$M100-$A$15,CI$13)))</f>
        <v>0</v>
      </c>
      <c r="CJ100" s="172">
        <f ca="1">IF(OR($D100&lt;&gt;"Serviço",AND(AUTOEVENTO="Manual",$M100=$A$15),$M100&gt;(ROW(PLE.lastrow)-ROW(PLE.firstrow))),0,
           IF(OFFSET(PLE!$G$15,$M100-$A$15,CJ$13)="",10^12,OFFSET(PLE!$G$15,$M100-$A$15,CJ$13)))</f>
        <v>0</v>
      </c>
      <c r="CK100" s="172">
        <f ca="1">IF(OR($D100&lt;&gt;"Serviço",AND(AUTOEVENTO="Manual",$M100=$A$15),$M100&gt;(ROW(PLE.lastrow)-ROW(PLE.firstrow))),0,
           IF(OFFSET(PLE!$G$15,$M100-$A$15,CK$13)="",10^12,OFFSET(PLE!$G$15,$M100-$A$15,CK$13)))</f>
        <v>0</v>
      </c>
      <c r="CL100" s="172">
        <f ca="1">IF(OR($D100&lt;&gt;"Serviço",AND(AUTOEVENTO="Manual",$M100=$A$15),$M100&gt;(ROW(PLE.lastrow)-ROW(PLE.firstrow))),0,
           IF(OFFSET(PLE!$G$15,$M100-$A$15,CL$13)="",10^12,OFFSET(PLE!$G$15,$M100-$A$15,CL$13)))</f>
        <v>0</v>
      </c>
      <c r="CM100" s="172">
        <f ca="1">IF(OR($D100&lt;&gt;"Serviço",AND(AUTOEVENTO="Manual",$M100=$A$15),$M100&gt;(ROW(PLE.lastrow)-ROW(PLE.firstrow))),0,
           IF(OFFSET(PLE!$G$15,$M100-$A$15,CM$13)="",10^12,OFFSET(PLE!$G$15,$M100-$A$15,CM$13)))</f>
        <v>0</v>
      </c>
    </row>
    <row r="101" spans="1:91" ht="63.75" x14ac:dyDescent="0.2">
      <c r="A101" s="7">
        <f t="shared" ca="1" si="11"/>
        <v>4</v>
      </c>
      <c r="B101" s="7" t="str">
        <f ca="1">OFFSET(ORÇAMENTO!C$15,ROW(B101)-ROW(B$15),0)</f>
        <v>S</v>
      </c>
      <c r="C101" s="7" t="str">
        <f ca="1">OFFSET(ORÇAMENTO!L$15,ROW(C101)-ROW(C$15),0)</f>
        <v>F</v>
      </c>
      <c r="D101" s="116" t="str">
        <f ca="1">OFFSET(ORÇAMENTO!N$15,ROW(D101)-ROW(D$15),0)</f>
        <v>Serviço</v>
      </c>
      <c r="E101" s="117" t="str">
        <f ca="1">OFFSET(ORÇAMENTO!O$15,ROW(E101)-ROW(E$15),0)</f>
        <v>1.5.1.5.1.</v>
      </c>
      <c r="F101" s="163" t="str">
        <f ca="1">OFFSET(ORÇAMENTO!R$15,ROW(F101)-ROW(F$15),0)</f>
        <v>CONCRETO FCK = 40MPA, TRAÇO 1:1,6:1,9 (EM MASSA SECA DE CIMENTO/ AREIA MÉDIA/ BRITA 1) - PREPARO MECÂNICO COM BETONEIRA 600 L. AF_05/2021</v>
      </c>
      <c r="G101" s="164" t="str">
        <f ca="1">IF($D101&lt;&gt;"Serviço","",OFFSET(ORÇAMENTO!S$15,ROW(G101)-ROW(G$15),0))</f>
        <v>M3</v>
      </c>
      <c r="H101" s="122" cm="1">
        <f t="array" aca="1" ref="H101" ca="1">IF($D101&lt;&gt;"Serviço",0,IF(ACOMPANHAMENTO="BM",ROUND(OFFSET(ORÇAMENTO!AJ$15,ROW(H101)-ROW(H$15),0),15-13*ORÇAMENTO!$AF$7),SUMPRODUCT(($Q$1:$AI$1=1)*ROUND($Q101:$AI101,15-13*ORÇAMENTO!$AF$7))))</f>
        <v>24.79</v>
      </c>
      <c r="I101" s="468" t="s">
        <v>1305</v>
      </c>
      <c r="J101" s="640" t="str" cm="1">
        <f t="array" aca="1" ref="J101" ca="1">IF(OR(B101&lt;&gt;"S",CÁLCULO.FrentesPreenchidas=0),"",IF(AND(ACOMPANHAMENTO="PLE",AUTOEVENTO="Manual",OR(H101&gt;0,ORÇAMENTO!AC101="QUANT."),OR(K101="",M101=0,N101="")),"►E",IF(AND(ACOMPANHAMENTO="PLE",ORÇAMENTO!AC101="QUANT."),"►Q",IF(AND(ACOMPANHAMENTO="PLE",H101&lt;&gt;SUMPRODUCT(($Q$1:$AI$1=1)*ROUND(Q101:AI101,15))),"►S",IF(AND(COUNTIF($P$11:$AI$11,"▼")=0,H101&gt;0,I101=""),"◄M","")))))</f>
        <v/>
      </c>
      <c r="K101" s="641" t="s">
        <v>1389</v>
      </c>
      <c r="L101" s="165" t="s">
        <v>764</v>
      </c>
      <c r="M101" s="166">
        <f ca="1">IF($D101&lt;&gt;"Serviço","",
          IF(AUTOEVENTO="manual",$A101,
                IF(ISERROR(MATCH($A101,$A$15:OFFSET($A101,-1,0),0)),MAX($M$15:OFFSET(M101,-1,0))+1,
                      INDEX($M$15:OFFSET(M101,-1,0),MATCH($A101,$A$15:OFFSET($A101,-1,0),0)))))</f>
        <v>4</v>
      </c>
      <c r="N101" s="167" t="str">
        <f ca="1">IF($D101&lt;&gt;"Serviço","",
         IF(AUTOEVENTO="Manual",
                IF($A101=0,"&lt;-- defina o número do agrupador",
                       OFFSET(EVENTOS!$D$15,$A101-$A$15,0)),
                OFFSET($F$15,$A101,0)))</f>
        <v>Estruturas de Concreto</v>
      </c>
      <c r="O101" s="168"/>
      <c r="Q101" s="168"/>
      <c r="R101" s="169"/>
      <c r="S101" s="169">
        <f>6.03+0.91+17.85</f>
        <v>24.790000000000003</v>
      </c>
      <c r="T101" s="169"/>
      <c r="U101" s="169"/>
      <c r="V101" s="169"/>
      <c r="W101" s="169"/>
      <c r="X101" s="169"/>
      <c r="Y101" s="169"/>
      <c r="Z101" s="170"/>
      <c r="AA101" s="169"/>
      <c r="AB101" s="169"/>
      <c r="AC101" s="169"/>
      <c r="AD101" s="169"/>
      <c r="AE101" s="169"/>
      <c r="AF101" s="169"/>
      <c r="AG101" s="169"/>
      <c r="AH101" s="170"/>
      <c r="AJ101" s="453">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3">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L101" s="453">
        <f ca="1">IF(AND($D101="Serviço",AL$12&lt;&gt;0,$H101&gt;0,OR(AUTOEVENTO&lt;&gt;"manual",$M101&lt;&gt;$A$15)),
        IF(Import.TipoArredondamento&lt;&gt;"TransfereGOV",
              ROUND(OFFSET($P101,0,AL$13),15-13*ORÇAMENTO!$AF$7)/$H101*OFFSET(ORÇAMENTO!$X$15,ROW(AL101)-ROW(AL$15),0),
              ROUND(ROUND(OFFSET($P101,0,AL$13),15-13*ORÇAMENTO!$AF$7)*OFFSET(ORÇAMENTO!$W$15,ROW(AL101)-ROW(AL$15),0),15-13*ORÇAMENTO!$AF$11)),
         0)</f>
        <v>0</v>
      </c>
      <c r="AM101" s="453">
        <f ca="1">IF(AND($D101="Serviço",AM$12&lt;&gt;0,$H101&gt;0,OR(AUTOEVENTO&lt;&gt;"manual",$M101&lt;&gt;$A$15)),
        IF(Import.TipoArredondamento&lt;&gt;"TransfereGOV",
              ROUND(OFFSET($P101,0,AM$13),15-13*ORÇAMENTO!$AF$7)/$H101*OFFSET(ORÇAMENTO!$X$15,ROW(AM101)-ROW(AM$15),0),
              ROUND(ROUND(OFFSET($P101,0,AM$13),15-13*ORÇAMENTO!$AF$7)*OFFSET(ORÇAMENTO!$W$15,ROW(AM101)-ROW(AM$15),0),15-13*ORÇAMENTO!$AF$11)),
         0)</f>
        <v>0</v>
      </c>
      <c r="AN101" s="453">
        <f ca="1">IF(AND($D101="Serviço",AN$12&lt;&gt;0,$H101&gt;0,OR(AUTOEVENTO&lt;&gt;"manual",$M101&lt;&gt;$A$15)),
        IF(Import.TipoArredondamento&lt;&gt;"TransfereGOV",
              ROUND(OFFSET($P101,0,AN$13),15-13*ORÇAMENTO!$AF$7)/$H101*OFFSET(ORÇAMENTO!$X$15,ROW(AN101)-ROW(AN$15),0),
              ROUND(ROUND(OFFSET($P101,0,AN$13),15-13*ORÇAMENTO!$AF$7)*OFFSET(ORÇAMENTO!$W$15,ROW(AN101)-ROW(AN$15),0),15-13*ORÇAMENTO!$AF$11)),
         0)</f>
        <v>0</v>
      </c>
      <c r="AO101" s="453">
        <f ca="1">IF(AND($D101="Serviço",AO$12&lt;&gt;0,$H101&gt;0,OR(AUTOEVENTO&lt;&gt;"manual",$M101&lt;&gt;$A$15)),
        IF(Import.TipoArredondamento&lt;&gt;"TransfereGOV",
              ROUND(OFFSET($P101,0,AO$13),15-13*ORÇAMENTO!$AF$7)/$H101*OFFSET(ORÇAMENTO!$X$15,ROW(AO101)-ROW(AO$15),0),
              ROUND(ROUND(OFFSET($P101,0,AO$13),15-13*ORÇAMENTO!$AF$7)*OFFSET(ORÇAMENTO!$W$15,ROW(AO101)-ROW(AO$15),0),15-13*ORÇAMENTO!$AF$11)),
         0)</f>
        <v>0</v>
      </c>
      <c r="AP101" s="453">
        <f ca="1">IF(AND($D101="Serviço",AP$12&lt;&gt;0,$H101&gt;0,OR(AUTOEVENTO&lt;&gt;"manual",$M101&lt;&gt;$A$15)),
        IF(Import.TipoArredondamento&lt;&gt;"TransfereGOV",
              ROUND(OFFSET($P101,0,AP$13),15-13*ORÇAMENTO!$AF$7)/$H101*OFFSET(ORÇAMENTO!$X$15,ROW(AP101)-ROW(AP$15),0),
              ROUND(ROUND(OFFSET($P101,0,AP$13),15-13*ORÇAMENTO!$AF$7)*OFFSET(ORÇAMENTO!$W$15,ROW(AP101)-ROW(AP$15),0),15-13*ORÇAMENTO!$AF$11)),
         0)</f>
        <v>0</v>
      </c>
      <c r="AQ101" s="453">
        <f ca="1">IF(AND($D101="Serviço",AQ$12&lt;&gt;0,$H101&gt;0,OR(AUTOEVENTO&lt;&gt;"manual",$M101&lt;&gt;$A$15)),
        IF(Import.TipoArredondamento&lt;&gt;"TransfereGOV",
              ROUND(OFFSET($P101,0,AQ$13),15-13*ORÇAMENTO!$AF$7)/$H101*OFFSET(ORÇAMENTO!$X$15,ROW(AQ101)-ROW(AQ$15),0),
              ROUND(ROUND(OFFSET($P101,0,AQ$13),15-13*ORÇAMENTO!$AF$7)*OFFSET(ORÇAMENTO!$W$15,ROW(AQ101)-ROW(AQ$15),0),15-13*ORÇAMENTO!$AF$11)),
         0)</f>
        <v>0</v>
      </c>
      <c r="AR101" s="453">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3">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3">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3">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3">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3">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3">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3">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3">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3">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C101" s="171">
        <f ca="1">IF(OR($D101&lt;&gt;"Serviço",AND(AUTOEVENTO="Manual",$M101=$A$15)),0,
         IF(OFFSET(CRONOPLE!$F$15,$M101-$A$15,BC$13)=0,10^12,OFFSET(CRONOPLE!$F$15,$M101-$A$15,BC$13)))</f>
        <v>1</v>
      </c>
      <c r="BD101" s="171">
        <f ca="1">IF(OR($D101&lt;&gt;"Serviço",AND(AUTOEVENTO="Manual",$M101=$A$15)),0,
         IF(OFFSET(CRONOPLE!$F$15,$M101-$A$15,BD$13)=0,10^12,OFFSET(CRONOPLE!$F$15,$M101-$A$15,BD$13)))</f>
        <v>2</v>
      </c>
      <c r="BE101" s="171">
        <f ca="1">IF(OR($D101&lt;&gt;"Serviço",AND(AUTOEVENTO="Manual",$M101=$A$15)),0,
         IF(OFFSET(CRONOPLE!$F$15,$M101-$A$15,BE$13)=0,10^12,OFFSET(CRONOPLE!$F$15,$M101-$A$15,BE$13)))</f>
        <v>3</v>
      </c>
      <c r="BF101" s="171">
        <f ca="1">IF(OR($D101&lt;&gt;"Serviço",AND(AUTOEVENTO="Manual",$M101=$A$15)),0,
         IF(OFFSET(CRONOPLE!$F$15,$M101-$A$15,BF$13)=0,10^12,OFFSET(CRONOPLE!$F$15,$M101-$A$15,BF$13)))</f>
        <v>4</v>
      </c>
      <c r="BG101" s="171">
        <f ca="1">IF(OR($D101&lt;&gt;"Serviço",AND(AUTOEVENTO="Manual",$M101=$A$15)),0,
         IF(OFFSET(CRONOPLE!$F$15,$M101-$A$15,BG$13)=0,10^12,OFFSET(CRONOPLE!$F$15,$M101-$A$15,BG$13)))</f>
        <v>5</v>
      </c>
      <c r="BH101" s="171">
        <f ca="1">IF(OR($D101&lt;&gt;"Serviço",AND(AUTOEVENTO="Manual",$M101=$A$15)),0,
         IF(OFFSET(CRONOPLE!$F$15,$M101-$A$15,BH$13)=0,10^12,OFFSET(CRONOPLE!$F$15,$M101-$A$15,BH$13)))</f>
        <v>6</v>
      </c>
      <c r="BI101" s="171">
        <f ca="1">IF(OR($D101&lt;&gt;"Serviço",AND(AUTOEVENTO="Manual",$M101=$A$15)),0,
         IF(OFFSET(CRONOPLE!$F$15,$M101-$A$15,BI$13)=0,10^12,OFFSET(CRONOPLE!$F$15,$M101-$A$15,BI$13)))</f>
        <v>7</v>
      </c>
      <c r="BJ101" s="171">
        <f ca="1">IF(OR($D101&lt;&gt;"Serviço",AND(AUTOEVENTO="Manual",$M101=$A$15)),0,
         IF(OFFSET(CRONOPLE!$F$15,$M101-$A$15,BJ$13)=0,10^12,OFFSET(CRONOPLE!$F$15,$M101-$A$15,BJ$13)))</f>
        <v>8</v>
      </c>
      <c r="BK101" s="171">
        <f ca="1">IF(OR($D101&lt;&gt;"Serviço",AND(AUTOEVENTO="Manual",$M101=$A$15)),0,
         IF(OFFSET(CRONOPLE!$F$15,$M101-$A$15,BK$13)=0,10^12,OFFSET(CRONOPLE!$F$15,$M101-$A$15,BK$13)))</f>
        <v>9</v>
      </c>
      <c r="BL101" s="171">
        <f ca="1">IF(OR($D101&lt;&gt;"Serviço",AND(AUTOEVENTO="Manual",$M101=$A$15)),0,
         IF(OFFSET(CRONOPLE!$F$15,$M101-$A$15,BL$13)=0,10^12,OFFSET(CRONOPLE!$F$15,$M101-$A$15,BL$13)))</f>
        <v>10</v>
      </c>
      <c r="BM101" s="171">
        <f ca="1">IF(OR($D101&lt;&gt;"Serviço",AND(AUTOEVENTO="Manual",$M101=$A$15)),0,
         IF(OFFSET(CRONOPLE!$F$15,$M101-$A$15,BM$13)=0,10^12,OFFSET(CRONOPLE!$F$15,$M101-$A$15,BM$13)))</f>
        <v>1000000000000</v>
      </c>
      <c r="BN101" s="171">
        <f ca="1">IF(OR($D101&lt;&gt;"Serviço",AND(AUTOEVENTO="Manual",$M101=$A$15)),0,
         IF(OFFSET(CRONOPLE!$F$15,$M101-$A$15,BN$13)=0,10^12,OFFSET(CRONOPLE!$F$15,$M101-$A$15,BN$13)))</f>
        <v>1000000000000</v>
      </c>
      <c r="BO101" s="171">
        <f ca="1">IF(OR($D101&lt;&gt;"Serviço",AND(AUTOEVENTO="Manual",$M101=$A$15)),0,
         IF(OFFSET(CRONOPLE!$F$15,$M101-$A$15,BO$13)=0,10^12,OFFSET(CRONOPLE!$F$15,$M101-$A$15,BO$13)))</f>
        <v>1000000000000</v>
      </c>
      <c r="BP101" s="171">
        <f ca="1">IF(OR($D101&lt;&gt;"Serviço",AND(AUTOEVENTO="Manual",$M101=$A$15)),0,
         IF(OFFSET(CRONOPLE!$F$15,$M101-$A$15,BP$13)=0,10^12,OFFSET(CRONOPLE!$F$15,$M101-$A$15,BP$13)))</f>
        <v>1000000000000</v>
      </c>
      <c r="BQ101" s="171">
        <f ca="1">IF(OR($D101&lt;&gt;"Serviço",AND(AUTOEVENTO="Manual",$M101=$A$15)),0,
         IF(OFFSET(CRONOPLE!$F$15,$M101-$A$15,BQ$13)=0,10^12,OFFSET(CRONOPLE!$F$15,$M101-$A$15,BQ$13)))</f>
        <v>1000000000000</v>
      </c>
      <c r="BR101" s="171">
        <f ca="1">IF(OR($D101&lt;&gt;"Serviço",AND(AUTOEVENTO="Manual",$M101=$A$15)),0,
         IF(OFFSET(CRONOPLE!$F$15,$M101-$A$15,BR$13)=0,10^12,OFFSET(CRONOPLE!$F$15,$M101-$A$15,BR$13)))</f>
        <v>1000000000000</v>
      </c>
      <c r="BS101" s="171">
        <f ca="1">IF(OR($D101&lt;&gt;"Serviço",AND(AUTOEVENTO="Manual",$M101=$A$15)),0,
         IF(OFFSET(CRONOPLE!$F$15,$M101-$A$15,BS$13)=0,10^12,OFFSET(CRONOPLE!$F$15,$M101-$A$15,BS$13)))</f>
        <v>1000000000000</v>
      </c>
      <c r="BT101" s="171">
        <f ca="1">IF(OR($D101&lt;&gt;"Serviço",AND(AUTOEVENTO="Manual",$M101=$A$15)),0,
         IF(OFFSET(CRONOPLE!$F$15,$M101-$A$15,BT$13)=0,10^12,OFFSET(CRONOPLE!$F$15,$M101-$A$15,BT$13)))</f>
        <v>1000000000000</v>
      </c>
      <c r="BV101" s="172">
        <f ca="1">IF(OR($D101&lt;&gt;"Serviço",AND(AUTOEVENTO="Manual",$M101=$A$15),$M101&gt;(ROW(PLE.lastrow)-ROW(PLE.firstrow))),0,
           IF(OFFSET(PLE!$G$15,$M101-$A$15,BV$13)="",10^12,OFFSET(PLE!$G$15,$M101-$A$15,BV$13)))</f>
        <v>1000000000000</v>
      </c>
      <c r="BW101" s="172">
        <f ca="1">IF(OR($D101&lt;&gt;"Serviço",AND(AUTOEVENTO="Manual",$M101=$A$15),$M101&gt;(ROW(PLE.lastrow)-ROW(PLE.firstrow))),0,
           IF(OFFSET(PLE!$G$15,$M101-$A$15,BW$13)="",10^12,OFFSET(PLE!$G$15,$M101-$A$15,BW$13)))</f>
        <v>1000000000000</v>
      </c>
      <c r="BX101" s="172">
        <f ca="1">IF(OR($D101&lt;&gt;"Serviço",AND(AUTOEVENTO="Manual",$M101=$A$15),$M101&gt;(ROW(PLE.lastrow)-ROW(PLE.firstrow))),0,
           IF(OFFSET(PLE!$G$15,$M101-$A$15,BX$13)="",10^12,OFFSET(PLE!$G$15,$M101-$A$15,BX$13)))</f>
        <v>1000000000000</v>
      </c>
      <c r="BY101" s="172">
        <f ca="1">IF(OR($D101&lt;&gt;"Serviço",AND(AUTOEVENTO="Manual",$M101=$A$15),$M101&gt;(ROW(PLE.lastrow)-ROW(PLE.firstrow))),0,
           IF(OFFSET(PLE!$G$15,$M101-$A$15,BY$13)="",10^12,OFFSET(PLE!$G$15,$M101-$A$15,BY$13)))</f>
        <v>1000000000000</v>
      </c>
      <c r="BZ101" s="172">
        <f ca="1">IF(OR($D101&lt;&gt;"Serviço",AND(AUTOEVENTO="Manual",$M101=$A$15),$M101&gt;(ROW(PLE.lastrow)-ROW(PLE.firstrow))),0,
           IF(OFFSET(PLE!$G$15,$M101-$A$15,BZ$13)="",10^12,OFFSET(PLE!$G$15,$M101-$A$15,BZ$13)))</f>
        <v>1000000000000</v>
      </c>
      <c r="CA101" s="172">
        <f ca="1">IF(OR($D101&lt;&gt;"Serviço",AND(AUTOEVENTO="Manual",$M101=$A$15),$M101&gt;(ROW(PLE.lastrow)-ROW(PLE.firstrow))),0,
           IF(OFFSET(PLE!$G$15,$M101-$A$15,CA$13)="",10^12,OFFSET(PLE!$G$15,$M101-$A$15,CA$13)))</f>
        <v>1000000000000</v>
      </c>
      <c r="CB101" s="172">
        <f ca="1">IF(OR($D101&lt;&gt;"Serviço",AND(AUTOEVENTO="Manual",$M101=$A$15),$M101&gt;(ROW(PLE.lastrow)-ROW(PLE.firstrow))),0,
           IF(OFFSET(PLE!$G$15,$M101-$A$15,CB$13)="",10^12,OFFSET(PLE!$G$15,$M101-$A$15,CB$13)))</f>
        <v>1000000000000</v>
      </c>
      <c r="CC101" s="172">
        <f ca="1">IF(OR($D101&lt;&gt;"Serviço",AND(AUTOEVENTO="Manual",$M101=$A$15),$M101&gt;(ROW(PLE.lastrow)-ROW(PLE.firstrow))),0,
           IF(OFFSET(PLE!$G$15,$M101-$A$15,CC$13)="",10^12,OFFSET(PLE!$G$15,$M101-$A$15,CC$13)))</f>
        <v>1000000000000</v>
      </c>
      <c r="CD101" s="172">
        <f ca="1">IF(OR($D101&lt;&gt;"Serviço",AND(AUTOEVENTO="Manual",$M101=$A$15),$M101&gt;(ROW(PLE.lastrow)-ROW(PLE.firstrow))),0,
           IF(OFFSET(PLE!$G$15,$M101-$A$15,CD$13)="",10^12,OFFSET(PLE!$G$15,$M101-$A$15,CD$13)))</f>
        <v>1000000000000</v>
      </c>
      <c r="CE101" s="172">
        <f ca="1">IF(OR($D101&lt;&gt;"Serviço",AND(AUTOEVENTO="Manual",$M101=$A$15),$M101&gt;(ROW(PLE.lastrow)-ROW(PLE.firstrow))),0,
           IF(OFFSET(PLE!$G$15,$M101-$A$15,CE$13)="",10^12,OFFSET(PLE!$G$15,$M101-$A$15,CE$13)))</f>
        <v>1000000000000</v>
      </c>
      <c r="CF101" s="172">
        <f ca="1">IF(OR($D101&lt;&gt;"Serviço",AND(AUTOEVENTO="Manual",$M101=$A$15),$M101&gt;(ROW(PLE.lastrow)-ROW(PLE.firstrow))),0,
           IF(OFFSET(PLE!$G$15,$M101-$A$15,CF$13)="",10^12,OFFSET(PLE!$G$15,$M101-$A$15,CF$13)))</f>
        <v>1000000000000</v>
      </c>
      <c r="CG101" s="172">
        <f ca="1">IF(OR($D101&lt;&gt;"Serviço",AND(AUTOEVENTO="Manual",$M101=$A$15),$M101&gt;(ROW(PLE.lastrow)-ROW(PLE.firstrow))),0,
           IF(OFFSET(PLE!$G$15,$M101-$A$15,CG$13)="",10^12,OFFSET(PLE!$G$15,$M101-$A$15,CG$13)))</f>
        <v>1000000000000</v>
      </c>
      <c r="CH101" s="172">
        <f ca="1">IF(OR($D101&lt;&gt;"Serviço",AND(AUTOEVENTO="Manual",$M101=$A$15),$M101&gt;(ROW(PLE.lastrow)-ROW(PLE.firstrow))),0,
           IF(OFFSET(PLE!$G$15,$M101-$A$15,CH$13)="",10^12,OFFSET(PLE!$G$15,$M101-$A$15,CH$13)))</f>
        <v>1000000000000</v>
      </c>
      <c r="CI101" s="172">
        <f ca="1">IF(OR($D101&lt;&gt;"Serviço",AND(AUTOEVENTO="Manual",$M101=$A$15),$M101&gt;(ROW(PLE.lastrow)-ROW(PLE.firstrow))),0,
           IF(OFFSET(PLE!$G$15,$M101-$A$15,CI$13)="",10^12,OFFSET(PLE!$G$15,$M101-$A$15,CI$13)))</f>
        <v>1000000000000</v>
      </c>
      <c r="CJ101" s="172">
        <f ca="1">IF(OR($D101&lt;&gt;"Serviço",AND(AUTOEVENTO="Manual",$M101=$A$15),$M101&gt;(ROW(PLE.lastrow)-ROW(PLE.firstrow))),0,
           IF(OFFSET(PLE!$G$15,$M101-$A$15,CJ$13)="",10^12,OFFSET(PLE!$G$15,$M101-$A$15,CJ$13)))</f>
        <v>1000000000000</v>
      </c>
      <c r="CK101" s="172">
        <f ca="1">IF(OR($D101&lt;&gt;"Serviço",AND(AUTOEVENTO="Manual",$M101=$A$15),$M101&gt;(ROW(PLE.lastrow)-ROW(PLE.firstrow))),0,
           IF(OFFSET(PLE!$G$15,$M101-$A$15,CK$13)="",10^12,OFFSET(PLE!$G$15,$M101-$A$15,CK$13)))</f>
        <v>1000000000000</v>
      </c>
      <c r="CL101" s="172">
        <f ca="1">IF(OR($D101&lt;&gt;"Serviço",AND(AUTOEVENTO="Manual",$M101=$A$15),$M101&gt;(ROW(PLE.lastrow)-ROW(PLE.firstrow))),0,
           IF(OFFSET(PLE!$G$15,$M101-$A$15,CL$13)="",10^12,OFFSET(PLE!$G$15,$M101-$A$15,CL$13)))</f>
        <v>1000000000000</v>
      </c>
      <c r="CM101" s="172">
        <f ca="1">IF(OR($D101&lt;&gt;"Serviço",AND(AUTOEVENTO="Manual",$M101=$A$15),$M101&gt;(ROW(PLE.lastrow)-ROW(PLE.firstrow))),0,
           IF(OFFSET(PLE!$G$15,$M101-$A$15,CM$13)="",10^12,OFFSET(PLE!$G$15,$M101-$A$15,CM$13)))</f>
        <v>1000000000000</v>
      </c>
    </row>
    <row r="102" spans="1:91" ht="63.75" x14ac:dyDescent="0.2">
      <c r="A102" s="7">
        <f t="shared" ca="1" si="11"/>
        <v>4</v>
      </c>
      <c r="B102" s="7" t="str">
        <f ca="1">OFFSET(ORÇAMENTO!C$15,ROW(B102)-ROW(B$15),0)</f>
        <v>S</v>
      </c>
      <c r="C102" s="7" t="str">
        <f ca="1">OFFSET(ORÇAMENTO!L$15,ROW(C102)-ROW(C$15),0)</f>
        <v>F</v>
      </c>
      <c r="D102" s="116" t="str">
        <f ca="1">OFFSET(ORÇAMENTO!N$15,ROW(D102)-ROW(D$15),0)</f>
        <v>Serviço</v>
      </c>
      <c r="E102" s="117" t="str">
        <f ca="1">OFFSET(ORÇAMENTO!O$15,ROW(E102)-ROW(E$15),0)</f>
        <v>1.5.1.5.2.</v>
      </c>
      <c r="F102" s="163" t="str">
        <f ca="1">OFFSET(ORÇAMENTO!R$15,ROW(F102)-ROW(F$15),0)</f>
        <v>LANÇAMENTO COM USO DE BOMBA, ADENSAMENTO E ACABAMENTO DE CONCRETO EM ESTRUTURAS. AF_02/2022</v>
      </c>
      <c r="G102" s="164" t="str">
        <f ca="1">IF($D102&lt;&gt;"Serviço","",OFFSET(ORÇAMENTO!S$15,ROW(G102)-ROW(G$15),0))</f>
        <v>M3</v>
      </c>
      <c r="H102" s="122" cm="1">
        <f t="array" aca="1" ref="H102" ca="1">IF($D102&lt;&gt;"Serviço",0,IF(ACOMPANHAMENTO="BM",ROUND(OFFSET(ORÇAMENTO!AJ$15,ROW(H102)-ROW(H$15),0),15-13*ORÇAMENTO!$AF$7),SUMPRODUCT(($Q$1:$AI$1=1)*ROUND($Q102:$AI102,15-13*ORÇAMENTO!$AF$7))))</f>
        <v>24.79</v>
      </c>
      <c r="I102" s="468" t="s">
        <v>1305</v>
      </c>
      <c r="J102" s="640" t="str" cm="1">
        <f t="array" aca="1" ref="J102" ca="1">IF(OR(B102&lt;&gt;"S",CÁLCULO.FrentesPreenchidas=0),"",IF(AND(ACOMPANHAMENTO="PLE",AUTOEVENTO="Manual",OR(H102&gt;0,ORÇAMENTO!AC102="QUANT."),OR(K102="",M102=0,N102="")),"►E",IF(AND(ACOMPANHAMENTO="PLE",ORÇAMENTO!AC102="QUANT."),"►Q",IF(AND(ACOMPANHAMENTO="PLE",H102&lt;&gt;SUMPRODUCT(($Q$1:$AI$1=1)*ROUND(Q102:AI102,15))),"►S",IF(AND(COUNTIF($P$11:$AI$11,"▼")=0,H102&gt;0,I102=""),"◄M","")))))</f>
        <v/>
      </c>
      <c r="K102" s="641" t="s">
        <v>1389</v>
      </c>
      <c r="L102" s="165" t="s">
        <v>764</v>
      </c>
      <c r="M102" s="166">
        <f ca="1">IF($D102&lt;&gt;"Serviço","",
          IF(AUTOEVENTO="manual",$A102,
                IF(ISERROR(MATCH($A102,$A$15:OFFSET($A102,-1,0),0)),MAX($M$15:OFFSET(M102,-1,0))+1,
                      INDEX($M$15:OFFSET(M102,-1,0),MATCH($A102,$A$15:OFFSET($A102,-1,0),0)))))</f>
        <v>4</v>
      </c>
      <c r="N102" s="167" t="str">
        <f ca="1">IF($D102&lt;&gt;"Serviço","",
         IF(AUTOEVENTO="Manual",
                IF($A102=0,"&lt;-- defina o número do agrupador",
                       OFFSET(EVENTOS!$D$15,$A102-$A$15,0)),
                OFFSET($F$15,$A102,0)))</f>
        <v>Estruturas de Concreto</v>
      </c>
      <c r="O102" s="168"/>
      <c r="Q102" s="168"/>
      <c r="R102" s="169"/>
      <c r="S102" s="169">
        <f>S101</f>
        <v>24.790000000000003</v>
      </c>
      <c r="T102" s="169"/>
      <c r="U102" s="169"/>
      <c r="V102" s="169"/>
      <c r="W102" s="169"/>
      <c r="X102" s="169"/>
      <c r="Y102" s="169"/>
      <c r="Z102" s="170"/>
      <c r="AA102" s="169"/>
      <c r="AB102" s="169"/>
      <c r="AC102" s="169"/>
      <c r="AD102" s="169"/>
      <c r="AE102" s="169"/>
      <c r="AF102" s="169"/>
      <c r="AG102" s="169"/>
      <c r="AH102" s="170"/>
      <c r="AJ102" s="453">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0</v>
      </c>
      <c r="AK102" s="453">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0</v>
      </c>
      <c r="AL102" s="453">
        <f ca="1">IF(AND($D102="Serviço",AL$12&lt;&gt;0,$H102&gt;0,OR(AUTOEVENTO&lt;&gt;"manual",$M102&lt;&gt;$A$15)),
        IF(Import.TipoArredondamento&lt;&gt;"TransfereGOV",
              ROUND(OFFSET($P102,0,AL$13),15-13*ORÇAMENTO!$AF$7)/$H102*OFFSET(ORÇAMENTO!$X$15,ROW(AL102)-ROW(AL$15),0),
              ROUND(ROUND(OFFSET($P102,0,AL$13),15-13*ORÇAMENTO!$AF$7)*OFFSET(ORÇAMENTO!$W$15,ROW(AL102)-ROW(AL$15),0),15-13*ORÇAMENTO!$AF$11)),
         0)</f>
        <v>0</v>
      </c>
      <c r="AM102" s="453">
        <f ca="1">IF(AND($D102="Serviço",AM$12&lt;&gt;0,$H102&gt;0,OR(AUTOEVENTO&lt;&gt;"manual",$M102&lt;&gt;$A$15)),
        IF(Import.TipoArredondamento&lt;&gt;"TransfereGOV",
              ROUND(OFFSET($P102,0,AM$13),15-13*ORÇAMENTO!$AF$7)/$H102*OFFSET(ORÇAMENTO!$X$15,ROW(AM102)-ROW(AM$15),0),
              ROUND(ROUND(OFFSET($P102,0,AM$13),15-13*ORÇAMENTO!$AF$7)*OFFSET(ORÇAMENTO!$W$15,ROW(AM102)-ROW(AM$15),0),15-13*ORÇAMENTO!$AF$11)),
         0)</f>
        <v>0</v>
      </c>
      <c r="AN102" s="453">
        <f ca="1">IF(AND($D102="Serviço",AN$12&lt;&gt;0,$H102&gt;0,OR(AUTOEVENTO&lt;&gt;"manual",$M102&lt;&gt;$A$15)),
        IF(Import.TipoArredondamento&lt;&gt;"TransfereGOV",
              ROUND(OFFSET($P102,0,AN$13),15-13*ORÇAMENTO!$AF$7)/$H102*OFFSET(ORÇAMENTO!$X$15,ROW(AN102)-ROW(AN$15),0),
              ROUND(ROUND(OFFSET($P102,0,AN$13),15-13*ORÇAMENTO!$AF$7)*OFFSET(ORÇAMENTO!$W$15,ROW(AN102)-ROW(AN$15),0),15-13*ORÇAMENTO!$AF$11)),
         0)</f>
        <v>0</v>
      </c>
      <c r="AO102" s="453">
        <f ca="1">IF(AND($D102="Serviço",AO$12&lt;&gt;0,$H102&gt;0,OR(AUTOEVENTO&lt;&gt;"manual",$M102&lt;&gt;$A$15)),
        IF(Import.TipoArredondamento&lt;&gt;"TransfereGOV",
              ROUND(OFFSET($P102,0,AO$13),15-13*ORÇAMENTO!$AF$7)/$H102*OFFSET(ORÇAMENTO!$X$15,ROW(AO102)-ROW(AO$15),0),
              ROUND(ROUND(OFFSET($P102,0,AO$13),15-13*ORÇAMENTO!$AF$7)*OFFSET(ORÇAMENTO!$W$15,ROW(AO102)-ROW(AO$15),0),15-13*ORÇAMENTO!$AF$11)),
         0)</f>
        <v>0</v>
      </c>
      <c r="AP102" s="453">
        <f ca="1">IF(AND($D102="Serviço",AP$12&lt;&gt;0,$H102&gt;0,OR(AUTOEVENTO&lt;&gt;"manual",$M102&lt;&gt;$A$15)),
        IF(Import.TipoArredondamento&lt;&gt;"TransfereGOV",
              ROUND(OFFSET($P102,0,AP$13),15-13*ORÇAMENTO!$AF$7)/$H102*OFFSET(ORÇAMENTO!$X$15,ROW(AP102)-ROW(AP$15),0),
              ROUND(ROUND(OFFSET($P102,0,AP$13),15-13*ORÇAMENTO!$AF$7)*OFFSET(ORÇAMENTO!$W$15,ROW(AP102)-ROW(AP$15),0),15-13*ORÇAMENTO!$AF$11)),
         0)</f>
        <v>0</v>
      </c>
      <c r="AQ102" s="453">
        <f ca="1">IF(AND($D102="Serviço",AQ$12&lt;&gt;0,$H102&gt;0,OR(AUTOEVENTO&lt;&gt;"manual",$M102&lt;&gt;$A$15)),
        IF(Import.TipoArredondamento&lt;&gt;"TransfereGOV",
              ROUND(OFFSET($P102,0,AQ$13),15-13*ORÇAMENTO!$AF$7)/$H102*OFFSET(ORÇAMENTO!$X$15,ROW(AQ102)-ROW(AQ$15),0),
              ROUND(ROUND(OFFSET($P102,0,AQ$13),15-13*ORÇAMENTO!$AF$7)*OFFSET(ORÇAMENTO!$W$15,ROW(AQ102)-ROW(AQ$15),0),15-13*ORÇAMENTO!$AF$11)),
         0)</f>
        <v>0</v>
      </c>
      <c r="AR102" s="453">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3">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3">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3">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3">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3">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3">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3">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3">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3">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C102" s="171">
        <f ca="1">IF(OR($D102&lt;&gt;"Serviço",AND(AUTOEVENTO="Manual",$M102=$A$15)),0,
         IF(OFFSET(CRONOPLE!$F$15,$M102-$A$15,BC$13)=0,10^12,OFFSET(CRONOPLE!$F$15,$M102-$A$15,BC$13)))</f>
        <v>1</v>
      </c>
      <c r="BD102" s="171">
        <f ca="1">IF(OR($D102&lt;&gt;"Serviço",AND(AUTOEVENTO="Manual",$M102=$A$15)),0,
         IF(OFFSET(CRONOPLE!$F$15,$M102-$A$15,BD$13)=0,10^12,OFFSET(CRONOPLE!$F$15,$M102-$A$15,BD$13)))</f>
        <v>2</v>
      </c>
      <c r="BE102" s="171">
        <f ca="1">IF(OR($D102&lt;&gt;"Serviço",AND(AUTOEVENTO="Manual",$M102=$A$15)),0,
         IF(OFFSET(CRONOPLE!$F$15,$M102-$A$15,BE$13)=0,10^12,OFFSET(CRONOPLE!$F$15,$M102-$A$15,BE$13)))</f>
        <v>3</v>
      </c>
      <c r="BF102" s="171">
        <f ca="1">IF(OR($D102&lt;&gt;"Serviço",AND(AUTOEVENTO="Manual",$M102=$A$15)),0,
         IF(OFFSET(CRONOPLE!$F$15,$M102-$A$15,BF$13)=0,10^12,OFFSET(CRONOPLE!$F$15,$M102-$A$15,BF$13)))</f>
        <v>4</v>
      </c>
      <c r="BG102" s="171">
        <f ca="1">IF(OR($D102&lt;&gt;"Serviço",AND(AUTOEVENTO="Manual",$M102=$A$15)),0,
         IF(OFFSET(CRONOPLE!$F$15,$M102-$A$15,BG$13)=0,10^12,OFFSET(CRONOPLE!$F$15,$M102-$A$15,BG$13)))</f>
        <v>5</v>
      </c>
      <c r="BH102" s="171">
        <f ca="1">IF(OR($D102&lt;&gt;"Serviço",AND(AUTOEVENTO="Manual",$M102=$A$15)),0,
         IF(OFFSET(CRONOPLE!$F$15,$M102-$A$15,BH$13)=0,10^12,OFFSET(CRONOPLE!$F$15,$M102-$A$15,BH$13)))</f>
        <v>6</v>
      </c>
      <c r="BI102" s="171">
        <f ca="1">IF(OR($D102&lt;&gt;"Serviço",AND(AUTOEVENTO="Manual",$M102=$A$15)),0,
         IF(OFFSET(CRONOPLE!$F$15,$M102-$A$15,BI$13)=0,10^12,OFFSET(CRONOPLE!$F$15,$M102-$A$15,BI$13)))</f>
        <v>7</v>
      </c>
      <c r="BJ102" s="171">
        <f ca="1">IF(OR($D102&lt;&gt;"Serviço",AND(AUTOEVENTO="Manual",$M102=$A$15)),0,
         IF(OFFSET(CRONOPLE!$F$15,$M102-$A$15,BJ$13)=0,10^12,OFFSET(CRONOPLE!$F$15,$M102-$A$15,BJ$13)))</f>
        <v>8</v>
      </c>
      <c r="BK102" s="171">
        <f ca="1">IF(OR($D102&lt;&gt;"Serviço",AND(AUTOEVENTO="Manual",$M102=$A$15)),0,
         IF(OFFSET(CRONOPLE!$F$15,$M102-$A$15,BK$13)=0,10^12,OFFSET(CRONOPLE!$F$15,$M102-$A$15,BK$13)))</f>
        <v>9</v>
      </c>
      <c r="BL102" s="171">
        <f ca="1">IF(OR($D102&lt;&gt;"Serviço",AND(AUTOEVENTO="Manual",$M102=$A$15)),0,
         IF(OFFSET(CRONOPLE!$F$15,$M102-$A$15,BL$13)=0,10^12,OFFSET(CRONOPLE!$F$15,$M102-$A$15,BL$13)))</f>
        <v>10</v>
      </c>
      <c r="BM102" s="171">
        <f ca="1">IF(OR($D102&lt;&gt;"Serviço",AND(AUTOEVENTO="Manual",$M102=$A$15)),0,
         IF(OFFSET(CRONOPLE!$F$15,$M102-$A$15,BM$13)=0,10^12,OFFSET(CRONOPLE!$F$15,$M102-$A$15,BM$13)))</f>
        <v>1000000000000</v>
      </c>
      <c r="BN102" s="171">
        <f ca="1">IF(OR($D102&lt;&gt;"Serviço",AND(AUTOEVENTO="Manual",$M102=$A$15)),0,
         IF(OFFSET(CRONOPLE!$F$15,$M102-$A$15,BN$13)=0,10^12,OFFSET(CRONOPLE!$F$15,$M102-$A$15,BN$13)))</f>
        <v>1000000000000</v>
      </c>
      <c r="BO102" s="171">
        <f ca="1">IF(OR($D102&lt;&gt;"Serviço",AND(AUTOEVENTO="Manual",$M102=$A$15)),0,
         IF(OFFSET(CRONOPLE!$F$15,$M102-$A$15,BO$13)=0,10^12,OFFSET(CRONOPLE!$F$15,$M102-$A$15,BO$13)))</f>
        <v>1000000000000</v>
      </c>
      <c r="BP102" s="171">
        <f ca="1">IF(OR($D102&lt;&gt;"Serviço",AND(AUTOEVENTO="Manual",$M102=$A$15)),0,
         IF(OFFSET(CRONOPLE!$F$15,$M102-$A$15,BP$13)=0,10^12,OFFSET(CRONOPLE!$F$15,$M102-$A$15,BP$13)))</f>
        <v>1000000000000</v>
      </c>
      <c r="BQ102" s="171">
        <f ca="1">IF(OR($D102&lt;&gt;"Serviço",AND(AUTOEVENTO="Manual",$M102=$A$15)),0,
         IF(OFFSET(CRONOPLE!$F$15,$M102-$A$15,BQ$13)=0,10^12,OFFSET(CRONOPLE!$F$15,$M102-$A$15,BQ$13)))</f>
        <v>1000000000000</v>
      </c>
      <c r="BR102" s="171">
        <f ca="1">IF(OR($D102&lt;&gt;"Serviço",AND(AUTOEVENTO="Manual",$M102=$A$15)),0,
         IF(OFFSET(CRONOPLE!$F$15,$M102-$A$15,BR$13)=0,10^12,OFFSET(CRONOPLE!$F$15,$M102-$A$15,BR$13)))</f>
        <v>1000000000000</v>
      </c>
      <c r="BS102" s="171">
        <f ca="1">IF(OR($D102&lt;&gt;"Serviço",AND(AUTOEVENTO="Manual",$M102=$A$15)),0,
         IF(OFFSET(CRONOPLE!$F$15,$M102-$A$15,BS$13)=0,10^12,OFFSET(CRONOPLE!$F$15,$M102-$A$15,BS$13)))</f>
        <v>1000000000000</v>
      </c>
      <c r="BT102" s="171">
        <f ca="1">IF(OR($D102&lt;&gt;"Serviço",AND(AUTOEVENTO="Manual",$M102=$A$15)),0,
         IF(OFFSET(CRONOPLE!$F$15,$M102-$A$15,BT$13)=0,10^12,OFFSET(CRONOPLE!$F$15,$M102-$A$15,BT$13)))</f>
        <v>1000000000000</v>
      </c>
      <c r="BV102" s="172">
        <f ca="1">IF(OR($D102&lt;&gt;"Serviço",AND(AUTOEVENTO="Manual",$M102=$A$15),$M102&gt;(ROW(PLE.lastrow)-ROW(PLE.firstrow))),0,
           IF(OFFSET(PLE!$G$15,$M102-$A$15,BV$13)="",10^12,OFFSET(PLE!$G$15,$M102-$A$15,BV$13)))</f>
        <v>1000000000000</v>
      </c>
      <c r="BW102" s="172">
        <f ca="1">IF(OR($D102&lt;&gt;"Serviço",AND(AUTOEVENTO="Manual",$M102=$A$15),$M102&gt;(ROW(PLE.lastrow)-ROW(PLE.firstrow))),0,
           IF(OFFSET(PLE!$G$15,$M102-$A$15,BW$13)="",10^12,OFFSET(PLE!$G$15,$M102-$A$15,BW$13)))</f>
        <v>1000000000000</v>
      </c>
      <c r="BX102" s="172">
        <f ca="1">IF(OR($D102&lt;&gt;"Serviço",AND(AUTOEVENTO="Manual",$M102=$A$15),$M102&gt;(ROW(PLE.lastrow)-ROW(PLE.firstrow))),0,
           IF(OFFSET(PLE!$G$15,$M102-$A$15,BX$13)="",10^12,OFFSET(PLE!$G$15,$M102-$A$15,BX$13)))</f>
        <v>1000000000000</v>
      </c>
      <c r="BY102" s="172">
        <f ca="1">IF(OR($D102&lt;&gt;"Serviço",AND(AUTOEVENTO="Manual",$M102=$A$15),$M102&gt;(ROW(PLE.lastrow)-ROW(PLE.firstrow))),0,
           IF(OFFSET(PLE!$G$15,$M102-$A$15,BY$13)="",10^12,OFFSET(PLE!$G$15,$M102-$A$15,BY$13)))</f>
        <v>1000000000000</v>
      </c>
      <c r="BZ102" s="172">
        <f ca="1">IF(OR($D102&lt;&gt;"Serviço",AND(AUTOEVENTO="Manual",$M102=$A$15),$M102&gt;(ROW(PLE.lastrow)-ROW(PLE.firstrow))),0,
           IF(OFFSET(PLE!$G$15,$M102-$A$15,BZ$13)="",10^12,OFFSET(PLE!$G$15,$M102-$A$15,BZ$13)))</f>
        <v>1000000000000</v>
      </c>
      <c r="CA102" s="172">
        <f ca="1">IF(OR($D102&lt;&gt;"Serviço",AND(AUTOEVENTO="Manual",$M102=$A$15),$M102&gt;(ROW(PLE.lastrow)-ROW(PLE.firstrow))),0,
           IF(OFFSET(PLE!$G$15,$M102-$A$15,CA$13)="",10^12,OFFSET(PLE!$G$15,$M102-$A$15,CA$13)))</f>
        <v>1000000000000</v>
      </c>
      <c r="CB102" s="172">
        <f ca="1">IF(OR($D102&lt;&gt;"Serviço",AND(AUTOEVENTO="Manual",$M102=$A$15),$M102&gt;(ROW(PLE.lastrow)-ROW(PLE.firstrow))),0,
           IF(OFFSET(PLE!$G$15,$M102-$A$15,CB$13)="",10^12,OFFSET(PLE!$G$15,$M102-$A$15,CB$13)))</f>
        <v>1000000000000</v>
      </c>
      <c r="CC102" s="172">
        <f ca="1">IF(OR($D102&lt;&gt;"Serviço",AND(AUTOEVENTO="Manual",$M102=$A$15),$M102&gt;(ROW(PLE.lastrow)-ROW(PLE.firstrow))),0,
           IF(OFFSET(PLE!$G$15,$M102-$A$15,CC$13)="",10^12,OFFSET(PLE!$G$15,$M102-$A$15,CC$13)))</f>
        <v>1000000000000</v>
      </c>
      <c r="CD102" s="172">
        <f ca="1">IF(OR($D102&lt;&gt;"Serviço",AND(AUTOEVENTO="Manual",$M102=$A$15),$M102&gt;(ROW(PLE.lastrow)-ROW(PLE.firstrow))),0,
           IF(OFFSET(PLE!$G$15,$M102-$A$15,CD$13)="",10^12,OFFSET(PLE!$G$15,$M102-$A$15,CD$13)))</f>
        <v>1000000000000</v>
      </c>
      <c r="CE102" s="172">
        <f ca="1">IF(OR($D102&lt;&gt;"Serviço",AND(AUTOEVENTO="Manual",$M102=$A$15),$M102&gt;(ROW(PLE.lastrow)-ROW(PLE.firstrow))),0,
           IF(OFFSET(PLE!$G$15,$M102-$A$15,CE$13)="",10^12,OFFSET(PLE!$G$15,$M102-$A$15,CE$13)))</f>
        <v>1000000000000</v>
      </c>
      <c r="CF102" s="172">
        <f ca="1">IF(OR($D102&lt;&gt;"Serviço",AND(AUTOEVENTO="Manual",$M102=$A$15),$M102&gt;(ROW(PLE.lastrow)-ROW(PLE.firstrow))),0,
           IF(OFFSET(PLE!$G$15,$M102-$A$15,CF$13)="",10^12,OFFSET(PLE!$G$15,$M102-$A$15,CF$13)))</f>
        <v>1000000000000</v>
      </c>
      <c r="CG102" s="172">
        <f ca="1">IF(OR($D102&lt;&gt;"Serviço",AND(AUTOEVENTO="Manual",$M102=$A$15),$M102&gt;(ROW(PLE.lastrow)-ROW(PLE.firstrow))),0,
           IF(OFFSET(PLE!$G$15,$M102-$A$15,CG$13)="",10^12,OFFSET(PLE!$G$15,$M102-$A$15,CG$13)))</f>
        <v>1000000000000</v>
      </c>
      <c r="CH102" s="172">
        <f ca="1">IF(OR($D102&lt;&gt;"Serviço",AND(AUTOEVENTO="Manual",$M102=$A$15),$M102&gt;(ROW(PLE.lastrow)-ROW(PLE.firstrow))),0,
           IF(OFFSET(PLE!$G$15,$M102-$A$15,CH$13)="",10^12,OFFSET(PLE!$G$15,$M102-$A$15,CH$13)))</f>
        <v>1000000000000</v>
      </c>
      <c r="CI102" s="172">
        <f ca="1">IF(OR($D102&lt;&gt;"Serviço",AND(AUTOEVENTO="Manual",$M102=$A$15),$M102&gt;(ROW(PLE.lastrow)-ROW(PLE.firstrow))),0,
           IF(OFFSET(PLE!$G$15,$M102-$A$15,CI$13)="",10^12,OFFSET(PLE!$G$15,$M102-$A$15,CI$13)))</f>
        <v>1000000000000</v>
      </c>
      <c r="CJ102" s="172">
        <f ca="1">IF(OR($D102&lt;&gt;"Serviço",AND(AUTOEVENTO="Manual",$M102=$A$15),$M102&gt;(ROW(PLE.lastrow)-ROW(PLE.firstrow))),0,
           IF(OFFSET(PLE!$G$15,$M102-$A$15,CJ$13)="",10^12,OFFSET(PLE!$G$15,$M102-$A$15,CJ$13)))</f>
        <v>1000000000000</v>
      </c>
      <c r="CK102" s="172">
        <f ca="1">IF(OR($D102&lt;&gt;"Serviço",AND(AUTOEVENTO="Manual",$M102=$A$15),$M102&gt;(ROW(PLE.lastrow)-ROW(PLE.firstrow))),0,
           IF(OFFSET(PLE!$G$15,$M102-$A$15,CK$13)="",10^12,OFFSET(PLE!$G$15,$M102-$A$15,CK$13)))</f>
        <v>1000000000000</v>
      </c>
      <c r="CL102" s="172">
        <f ca="1">IF(OR($D102&lt;&gt;"Serviço",AND(AUTOEVENTO="Manual",$M102=$A$15),$M102&gt;(ROW(PLE.lastrow)-ROW(PLE.firstrow))),0,
           IF(OFFSET(PLE!$G$15,$M102-$A$15,CL$13)="",10^12,OFFSET(PLE!$G$15,$M102-$A$15,CL$13)))</f>
        <v>1000000000000</v>
      </c>
      <c r="CM102" s="172">
        <f ca="1">IF(OR($D102&lt;&gt;"Serviço",AND(AUTOEVENTO="Manual",$M102=$A$15),$M102&gt;(ROW(PLE.lastrow)-ROW(PLE.firstrow))),0,
           IF(OFFSET(PLE!$G$15,$M102-$A$15,CM$13)="",10^12,OFFSET(PLE!$G$15,$M102-$A$15,CM$13)))</f>
        <v>1000000000000</v>
      </c>
    </row>
    <row r="103" spans="1:91" ht="63.75" x14ac:dyDescent="0.2">
      <c r="A103" s="7">
        <f t="shared" ca="1" si="11"/>
        <v>4</v>
      </c>
      <c r="B103" s="7" t="str">
        <f ca="1">OFFSET(ORÇAMENTO!C$15,ROW(B103)-ROW(B$15),0)</f>
        <v>S</v>
      </c>
      <c r="C103" s="7" t="str">
        <f ca="1">OFFSET(ORÇAMENTO!L$15,ROW(C103)-ROW(C$15),0)</f>
        <v>F</v>
      </c>
      <c r="D103" s="116" t="str">
        <f ca="1">OFFSET(ORÇAMENTO!N$15,ROW(D103)-ROW(D$15),0)</f>
        <v>Serviço</v>
      </c>
      <c r="E103" s="117" t="str">
        <f ca="1">OFFSET(ORÇAMENTO!O$15,ROW(E103)-ROW(E$15),0)</f>
        <v>1.5.1.5.3.</v>
      </c>
      <c r="F103" s="163" t="str">
        <f ca="1">OFFSET(ORÇAMENTO!R$15,ROW(F103)-ROW(F$15),0)</f>
        <v>FÔRMAS DE COMPENSADO RESINADO 10 MM - USO GERAL - UTILIZAÇÃO DE 3 VEZES - CONFECÇÃO, INSTALAÇÃO E RETIRADA</v>
      </c>
      <c r="G103" s="164" t="str">
        <f ca="1">IF($D103&lt;&gt;"Serviço","",OFFSET(ORÇAMENTO!S$15,ROW(G103)-ROW(G$15),0))</f>
        <v>M2</v>
      </c>
      <c r="H103" s="122" cm="1">
        <f t="array" aca="1" ref="H103" ca="1">IF($D103&lt;&gt;"Serviço",0,IF(ACOMPANHAMENTO="BM",ROUND(OFFSET(ORÇAMENTO!AJ$15,ROW(H103)-ROW(H$15),0),15-13*ORÇAMENTO!$AF$7),SUMPRODUCT(($Q$1:$AI$1=1)*ROUND($Q103:$AI103,15-13*ORÇAMENTO!$AF$7))))</f>
        <v>309.2</v>
      </c>
      <c r="I103" s="468" t="s">
        <v>1305</v>
      </c>
      <c r="J103" s="640" t="str" cm="1">
        <f t="array" aca="1" ref="J103" ca="1">IF(OR(B103&lt;&gt;"S",CÁLCULO.FrentesPreenchidas=0),"",IF(AND(ACOMPANHAMENTO="PLE",AUTOEVENTO="Manual",OR(H103&gt;0,ORÇAMENTO!AC103="QUANT."),OR(K103="",M103=0,N103="")),"►E",IF(AND(ACOMPANHAMENTO="PLE",ORÇAMENTO!AC103="QUANT."),"►Q",IF(AND(ACOMPANHAMENTO="PLE",H103&lt;&gt;SUMPRODUCT(($Q$1:$AI$1=1)*ROUND(Q103:AI103,15))),"►S",IF(AND(COUNTIF($P$11:$AI$11,"▼")=0,H103&gt;0,I103=""),"◄M","")))))</f>
        <v/>
      </c>
      <c r="K103" s="641" t="s">
        <v>1389</v>
      </c>
      <c r="L103" s="165" t="s">
        <v>764</v>
      </c>
      <c r="M103" s="166">
        <f ca="1">IF($D103&lt;&gt;"Serviço","",
          IF(AUTOEVENTO="manual",$A103,
                IF(ISERROR(MATCH($A103,$A$15:OFFSET($A103,-1,0),0)),MAX($M$15:OFFSET(M103,-1,0))+1,
                      INDEX($M$15:OFFSET(M103,-1,0),MATCH($A103,$A$15:OFFSET($A103,-1,0),0)))))</f>
        <v>4</v>
      </c>
      <c r="N103" s="167" t="str">
        <f ca="1">IF($D103&lt;&gt;"Serviço","",
         IF(AUTOEVENTO="Manual",
                IF($A103=0,"&lt;-- defina o número do agrupador",
                       OFFSET(EVENTOS!$D$15,$A103-$A$15,0)),
                OFFSET($F$15,$A103,0)))</f>
        <v>Estruturas de Concreto</v>
      </c>
      <c r="O103" s="168"/>
      <c r="Q103" s="168"/>
      <c r="R103" s="169"/>
      <c r="S103" s="169">
        <f>74.55+12.95+221.7</f>
        <v>309.2</v>
      </c>
      <c r="T103" s="169"/>
      <c r="U103" s="169"/>
      <c r="V103" s="169"/>
      <c r="W103" s="169"/>
      <c r="X103" s="169"/>
      <c r="Y103" s="169"/>
      <c r="Z103" s="170"/>
      <c r="AA103" s="169"/>
      <c r="AB103" s="169"/>
      <c r="AC103" s="169"/>
      <c r="AD103" s="169"/>
      <c r="AE103" s="169"/>
      <c r="AF103" s="169"/>
      <c r="AG103" s="169"/>
      <c r="AH103" s="170"/>
      <c r="AJ103" s="453">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0</v>
      </c>
      <c r="AK103" s="453">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0</v>
      </c>
      <c r="AL103" s="453">
        <f ca="1">IF(AND($D103="Serviço",AL$12&lt;&gt;0,$H103&gt;0,OR(AUTOEVENTO&lt;&gt;"manual",$M103&lt;&gt;$A$15)),
        IF(Import.TipoArredondamento&lt;&gt;"TransfereGOV",
              ROUND(OFFSET($P103,0,AL$13),15-13*ORÇAMENTO!$AF$7)/$H103*OFFSET(ORÇAMENTO!$X$15,ROW(AL103)-ROW(AL$15),0),
              ROUND(ROUND(OFFSET($P103,0,AL$13),15-13*ORÇAMENTO!$AF$7)*OFFSET(ORÇAMENTO!$W$15,ROW(AL103)-ROW(AL$15),0),15-13*ORÇAMENTO!$AF$11)),
         0)</f>
        <v>0</v>
      </c>
      <c r="AM103" s="453">
        <f ca="1">IF(AND($D103="Serviço",AM$12&lt;&gt;0,$H103&gt;0,OR(AUTOEVENTO&lt;&gt;"manual",$M103&lt;&gt;$A$15)),
        IF(Import.TipoArredondamento&lt;&gt;"TransfereGOV",
              ROUND(OFFSET($P103,0,AM$13),15-13*ORÇAMENTO!$AF$7)/$H103*OFFSET(ORÇAMENTO!$X$15,ROW(AM103)-ROW(AM$15),0),
              ROUND(ROUND(OFFSET($P103,0,AM$13),15-13*ORÇAMENTO!$AF$7)*OFFSET(ORÇAMENTO!$W$15,ROW(AM103)-ROW(AM$15),0),15-13*ORÇAMENTO!$AF$11)),
         0)</f>
        <v>0</v>
      </c>
      <c r="AN103" s="453">
        <f ca="1">IF(AND($D103="Serviço",AN$12&lt;&gt;0,$H103&gt;0,OR(AUTOEVENTO&lt;&gt;"manual",$M103&lt;&gt;$A$15)),
        IF(Import.TipoArredondamento&lt;&gt;"TransfereGOV",
              ROUND(OFFSET($P103,0,AN$13),15-13*ORÇAMENTO!$AF$7)/$H103*OFFSET(ORÇAMENTO!$X$15,ROW(AN103)-ROW(AN$15),0),
              ROUND(ROUND(OFFSET($P103,0,AN$13),15-13*ORÇAMENTO!$AF$7)*OFFSET(ORÇAMENTO!$W$15,ROW(AN103)-ROW(AN$15),0),15-13*ORÇAMENTO!$AF$11)),
         0)</f>
        <v>0</v>
      </c>
      <c r="AO103" s="453">
        <f ca="1">IF(AND($D103="Serviço",AO$12&lt;&gt;0,$H103&gt;0,OR(AUTOEVENTO&lt;&gt;"manual",$M103&lt;&gt;$A$15)),
        IF(Import.TipoArredondamento&lt;&gt;"TransfereGOV",
              ROUND(OFFSET($P103,0,AO$13),15-13*ORÇAMENTO!$AF$7)/$H103*OFFSET(ORÇAMENTO!$X$15,ROW(AO103)-ROW(AO$15),0),
              ROUND(ROUND(OFFSET($P103,0,AO$13),15-13*ORÇAMENTO!$AF$7)*OFFSET(ORÇAMENTO!$W$15,ROW(AO103)-ROW(AO$15),0),15-13*ORÇAMENTO!$AF$11)),
         0)</f>
        <v>0</v>
      </c>
      <c r="AP103" s="453">
        <f ca="1">IF(AND($D103="Serviço",AP$12&lt;&gt;0,$H103&gt;0,OR(AUTOEVENTO&lt;&gt;"manual",$M103&lt;&gt;$A$15)),
        IF(Import.TipoArredondamento&lt;&gt;"TransfereGOV",
              ROUND(OFFSET($P103,0,AP$13),15-13*ORÇAMENTO!$AF$7)/$H103*OFFSET(ORÇAMENTO!$X$15,ROW(AP103)-ROW(AP$15),0),
              ROUND(ROUND(OFFSET($P103,0,AP$13),15-13*ORÇAMENTO!$AF$7)*OFFSET(ORÇAMENTO!$W$15,ROW(AP103)-ROW(AP$15),0),15-13*ORÇAMENTO!$AF$11)),
         0)</f>
        <v>0</v>
      </c>
      <c r="AQ103" s="453">
        <f ca="1">IF(AND($D103="Serviço",AQ$12&lt;&gt;0,$H103&gt;0,OR(AUTOEVENTO&lt;&gt;"manual",$M103&lt;&gt;$A$15)),
        IF(Import.TipoArredondamento&lt;&gt;"TransfereGOV",
              ROUND(OFFSET($P103,0,AQ$13),15-13*ORÇAMENTO!$AF$7)/$H103*OFFSET(ORÇAMENTO!$X$15,ROW(AQ103)-ROW(AQ$15),0),
              ROUND(ROUND(OFFSET($P103,0,AQ$13),15-13*ORÇAMENTO!$AF$7)*OFFSET(ORÇAMENTO!$W$15,ROW(AQ103)-ROW(AQ$15),0),15-13*ORÇAMENTO!$AF$11)),
         0)</f>
        <v>0</v>
      </c>
      <c r="AR103" s="453">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3">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3">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3">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3">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3">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3">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3">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3">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3">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C103" s="171">
        <f ca="1">IF(OR($D103&lt;&gt;"Serviço",AND(AUTOEVENTO="Manual",$M103=$A$15)),0,
         IF(OFFSET(CRONOPLE!$F$15,$M103-$A$15,BC$13)=0,10^12,OFFSET(CRONOPLE!$F$15,$M103-$A$15,BC$13)))</f>
        <v>1</v>
      </c>
      <c r="BD103" s="171">
        <f ca="1">IF(OR($D103&lt;&gt;"Serviço",AND(AUTOEVENTO="Manual",$M103=$A$15)),0,
         IF(OFFSET(CRONOPLE!$F$15,$M103-$A$15,BD$13)=0,10^12,OFFSET(CRONOPLE!$F$15,$M103-$A$15,BD$13)))</f>
        <v>2</v>
      </c>
      <c r="BE103" s="171">
        <f ca="1">IF(OR($D103&lt;&gt;"Serviço",AND(AUTOEVENTO="Manual",$M103=$A$15)),0,
         IF(OFFSET(CRONOPLE!$F$15,$M103-$A$15,BE$13)=0,10^12,OFFSET(CRONOPLE!$F$15,$M103-$A$15,BE$13)))</f>
        <v>3</v>
      </c>
      <c r="BF103" s="171">
        <f ca="1">IF(OR($D103&lt;&gt;"Serviço",AND(AUTOEVENTO="Manual",$M103=$A$15)),0,
         IF(OFFSET(CRONOPLE!$F$15,$M103-$A$15,BF$13)=0,10^12,OFFSET(CRONOPLE!$F$15,$M103-$A$15,BF$13)))</f>
        <v>4</v>
      </c>
      <c r="BG103" s="171">
        <f ca="1">IF(OR($D103&lt;&gt;"Serviço",AND(AUTOEVENTO="Manual",$M103=$A$15)),0,
         IF(OFFSET(CRONOPLE!$F$15,$M103-$A$15,BG$13)=0,10^12,OFFSET(CRONOPLE!$F$15,$M103-$A$15,BG$13)))</f>
        <v>5</v>
      </c>
      <c r="BH103" s="171">
        <f ca="1">IF(OR($D103&lt;&gt;"Serviço",AND(AUTOEVENTO="Manual",$M103=$A$15)),0,
         IF(OFFSET(CRONOPLE!$F$15,$M103-$A$15,BH$13)=0,10^12,OFFSET(CRONOPLE!$F$15,$M103-$A$15,BH$13)))</f>
        <v>6</v>
      </c>
      <c r="BI103" s="171">
        <f ca="1">IF(OR($D103&lt;&gt;"Serviço",AND(AUTOEVENTO="Manual",$M103=$A$15)),0,
         IF(OFFSET(CRONOPLE!$F$15,$M103-$A$15,BI$13)=0,10^12,OFFSET(CRONOPLE!$F$15,$M103-$A$15,BI$13)))</f>
        <v>7</v>
      </c>
      <c r="BJ103" s="171">
        <f ca="1">IF(OR($D103&lt;&gt;"Serviço",AND(AUTOEVENTO="Manual",$M103=$A$15)),0,
         IF(OFFSET(CRONOPLE!$F$15,$M103-$A$15,BJ$13)=0,10^12,OFFSET(CRONOPLE!$F$15,$M103-$A$15,BJ$13)))</f>
        <v>8</v>
      </c>
      <c r="BK103" s="171">
        <f ca="1">IF(OR($D103&lt;&gt;"Serviço",AND(AUTOEVENTO="Manual",$M103=$A$15)),0,
         IF(OFFSET(CRONOPLE!$F$15,$M103-$A$15,BK$13)=0,10^12,OFFSET(CRONOPLE!$F$15,$M103-$A$15,BK$13)))</f>
        <v>9</v>
      </c>
      <c r="BL103" s="171">
        <f ca="1">IF(OR($D103&lt;&gt;"Serviço",AND(AUTOEVENTO="Manual",$M103=$A$15)),0,
         IF(OFFSET(CRONOPLE!$F$15,$M103-$A$15,BL$13)=0,10^12,OFFSET(CRONOPLE!$F$15,$M103-$A$15,BL$13)))</f>
        <v>10</v>
      </c>
      <c r="BM103" s="171">
        <f ca="1">IF(OR($D103&lt;&gt;"Serviço",AND(AUTOEVENTO="Manual",$M103=$A$15)),0,
         IF(OFFSET(CRONOPLE!$F$15,$M103-$A$15,BM$13)=0,10^12,OFFSET(CRONOPLE!$F$15,$M103-$A$15,BM$13)))</f>
        <v>1000000000000</v>
      </c>
      <c r="BN103" s="171">
        <f ca="1">IF(OR($D103&lt;&gt;"Serviço",AND(AUTOEVENTO="Manual",$M103=$A$15)),0,
         IF(OFFSET(CRONOPLE!$F$15,$M103-$A$15,BN$13)=0,10^12,OFFSET(CRONOPLE!$F$15,$M103-$A$15,BN$13)))</f>
        <v>1000000000000</v>
      </c>
      <c r="BO103" s="171">
        <f ca="1">IF(OR($D103&lt;&gt;"Serviço",AND(AUTOEVENTO="Manual",$M103=$A$15)),0,
         IF(OFFSET(CRONOPLE!$F$15,$M103-$A$15,BO$13)=0,10^12,OFFSET(CRONOPLE!$F$15,$M103-$A$15,BO$13)))</f>
        <v>1000000000000</v>
      </c>
      <c r="BP103" s="171">
        <f ca="1">IF(OR($D103&lt;&gt;"Serviço",AND(AUTOEVENTO="Manual",$M103=$A$15)),0,
         IF(OFFSET(CRONOPLE!$F$15,$M103-$A$15,BP$13)=0,10^12,OFFSET(CRONOPLE!$F$15,$M103-$A$15,BP$13)))</f>
        <v>1000000000000</v>
      </c>
      <c r="BQ103" s="171">
        <f ca="1">IF(OR($D103&lt;&gt;"Serviço",AND(AUTOEVENTO="Manual",$M103=$A$15)),0,
         IF(OFFSET(CRONOPLE!$F$15,$M103-$A$15,BQ$13)=0,10^12,OFFSET(CRONOPLE!$F$15,$M103-$A$15,BQ$13)))</f>
        <v>1000000000000</v>
      </c>
      <c r="BR103" s="171">
        <f ca="1">IF(OR($D103&lt;&gt;"Serviço",AND(AUTOEVENTO="Manual",$M103=$A$15)),0,
         IF(OFFSET(CRONOPLE!$F$15,$M103-$A$15,BR$13)=0,10^12,OFFSET(CRONOPLE!$F$15,$M103-$A$15,BR$13)))</f>
        <v>1000000000000</v>
      </c>
      <c r="BS103" s="171">
        <f ca="1">IF(OR($D103&lt;&gt;"Serviço",AND(AUTOEVENTO="Manual",$M103=$A$15)),0,
         IF(OFFSET(CRONOPLE!$F$15,$M103-$A$15,BS$13)=0,10^12,OFFSET(CRONOPLE!$F$15,$M103-$A$15,BS$13)))</f>
        <v>1000000000000</v>
      </c>
      <c r="BT103" s="171">
        <f ca="1">IF(OR($D103&lt;&gt;"Serviço",AND(AUTOEVENTO="Manual",$M103=$A$15)),0,
         IF(OFFSET(CRONOPLE!$F$15,$M103-$A$15,BT$13)=0,10^12,OFFSET(CRONOPLE!$F$15,$M103-$A$15,BT$13)))</f>
        <v>1000000000000</v>
      </c>
      <c r="BV103" s="172">
        <f ca="1">IF(OR($D103&lt;&gt;"Serviço",AND(AUTOEVENTO="Manual",$M103=$A$15),$M103&gt;(ROW(PLE.lastrow)-ROW(PLE.firstrow))),0,
           IF(OFFSET(PLE!$G$15,$M103-$A$15,BV$13)="",10^12,OFFSET(PLE!$G$15,$M103-$A$15,BV$13)))</f>
        <v>1000000000000</v>
      </c>
      <c r="BW103" s="172">
        <f ca="1">IF(OR($D103&lt;&gt;"Serviço",AND(AUTOEVENTO="Manual",$M103=$A$15),$M103&gt;(ROW(PLE.lastrow)-ROW(PLE.firstrow))),0,
           IF(OFFSET(PLE!$G$15,$M103-$A$15,BW$13)="",10^12,OFFSET(PLE!$G$15,$M103-$A$15,BW$13)))</f>
        <v>1000000000000</v>
      </c>
      <c r="BX103" s="172">
        <f ca="1">IF(OR($D103&lt;&gt;"Serviço",AND(AUTOEVENTO="Manual",$M103=$A$15),$M103&gt;(ROW(PLE.lastrow)-ROW(PLE.firstrow))),0,
           IF(OFFSET(PLE!$G$15,$M103-$A$15,BX$13)="",10^12,OFFSET(PLE!$G$15,$M103-$A$15,BX$13)))</f>
        <v>1000000000000</v>
      </c>
      <c r="BY103" s="172">
        <f ca="1">IF(OR($D103&lt;&gt;"Serviço",AND(AUTOEVENTO="Manual",$M103=$A$15),$M103&gt;(ROW(PLE.lastrow)-ROW(PLE.firstrow))),0,
           IF(OFFSET(PLE!$G$15,$M103-$A$15,BY$13)="",10^12,OFFSET(PLE!$G$15,$M103-$A$15,BY$13)))</f>
        <v>1000000000000</v>
      </c>
      <c r="BZ103" s="172">
        <f ca="1">IF(OR($D103&lt;&gt;"Serviço",AND(AUTOEVENTO="Manual",$M103=$A$15),$M103&gt;(ROW(PLE.lastrow)-ROW(PLE.firstrow))),0,
           IF(OFFSET(PLE!$G$15,$M103-$A$15,BZ$13)="",10^12,OFFSET(PLE!$G$15,$M103-$A$15,BZ$13)))</f>
        <v>1000000000000</v>
      </c>
      <c r="CA103" s="172">
        <f ca="1">IF(OR($D103&lt;&gt;"Serviço",AND(AUTOEVENTO="Manual",$M103=$A$15),$M103&gt;(ROW(PLE.lastrow)-ROW(PLE.firstrow))),0,
           IF(OFFSET(PLE!$G$15,$M103-$A$15,CA$13)="",10^12,OFFSET(PLE!$G$15,$M103-$A$15,CA$13)))</f>
        <v>1000000000000</v>
      </c>
      <c r="CB103" s="172">
        <f ca="1">IF(OR($D103&lt;&gt;"Serviço",AND(AUTOEVENTO="Manual",$M103=$A$15),$M103&gt;(ROW(PLE.lastrow)-ROW(PLE.firstrow))),0,
           IF(OFFSET(PLE!$G$15,$M103-$A$15,CB$13)="",10^12,OFFSET(PLE!$G$15,$M103-$A$15,CB$13)))</f>
        <v>1000000000000</v>
      </c>
      <c r="CC103" s="172">
        <f ca="1">IF(OR($D103&lt;&gt;"Serviço",AND(AUTOEVENTO="Manual",$M103=$A$15),$M103&gt;(ROW(PLE.lastrow)-ROW(PLE.firstrow))),0,
           IF(OFFSET(PLE!$G$15,$M103-$A$15,CC$13)="",10^12,OFFSET(PLE!$G$15,$M103-$A$15,CC$13)))</f>
        <v>1000000000000</v>
      </c>
      <c r="CD103" s="172">
        <f ca="1">IF(OR($D103&lt;&gt;"Serviço",AND(AUTOEVENTO="Manual",$M103=$A$15),$M103&gt;(ROW(PLE.lastrow)-ROW(PLE.firstrow))),0,
           IF(OFFSET(PLE!$G$15,$M103-$A$15,CD$13)="",10^12,OFFSET(PLE!$G$15,$M103-$A$15,CD$13)))</f>
        <v>1000000000000</v>
      </c>
      <c r="CE103" s="172">
        <f ca="1">IF(OR($D103&lt;&gt;"Serviço",AND(AUTOEVENTO="Manual",$M103=$A$15),$M103&gt;(ROW(PLE.lastrow)-ROW(PLE.firstrow))),0,
           IF(OFFSET(PLE!$G$15,$M103-$A$15,CE$13)="",10^12,OFFSET(PLE!$G$15,$M103-$A$15,CE$13)))</f>
        <v>1000000000000</v>
      </c>
      <c r="CF103" s="172">
        <f ca="1">IF(OR($D103&lt;&gt;"Serviço",AND(AUTOEVENTO="Manual",$M103=$A$15),$M103&gt;(ROW(PLE.lastrow)-ROW(PLE.firstrow))),0,
           IF(OFFSET(PLE!$G$15,$M103-$A$15,CF$13)="",10^12,OFFSET(PLE!$G$15,$M103-$A$15,CF$13)))</f>
        <v>1000000000000</v>
      </c>
      <c r="CG103" s="172">
        <f ca="1">IF(OR($D103&lt;&gt;"Serviço",AND(AUTOEVENTO="Manual",$M103=$A$15),$M103&gt;(ROW(PLE.lastrow)-ROW(PLE.firstrow))),0,
           IF(OFFSET(PLE!$G$15,$M103-$A$15,CG$13)="",10^12,OFFSET(PLE!$G$15,$M103-$A$15,CG$13)))</f>
        <v>1000000000000</v>
      </c>
      <c r="CH103" s="172">
        <f ca="1">IF(OR($D103&lt;&gt;"Serviço",AND(AUTOEVENTO="Manual",$M103=$A$15),$M103&gt;(ROW(PLE.lastrow)-ROW(PLE.firstrow))),0,
           IF(OFFSET(PLE!$G$15,$M103-$A$15,CH$13)="",10^12,OFFSET(PLE!$G$15,$M103-$A$15,CH$13)))</f>
        <v>1000000000000</v>
      </c>
      <c r="CI103" s="172">
        <f ca="1">IF(OR($D103&lt;&gt;"Serviço",AND(AUTOEVENTO="Manual",$M103=$A$15),$M103&gt;(ROW(PLE.lastrow)-ROW(PLE.firstrow))),0,
           IF(OFFSET(PLE!$G$15,$M103-$A$15,CI$13)="",10^12,OFFSET(PLE!$G$15,$M103-$A$15,CI$13)))</f>
        <v>1000000000000</v>
      </c>
      <c r="CJ103" s="172">
        <f ca="1">IF(OR($D103&lt;&gt;"Serviço",AND(AUTOEVENTO="Manual",$M103=$A$15),$M103&gt;(ROW(PLE.lastrow)-ROW(PLE.firstrow))),0,
           IF(OFFSET(PLE!$G$15,$M103-$A$15,CJ$13)="",10^12,OFFSET(PLE!$G$15,$M103-$A$15,CJ$13)))</f>
        <v>1000000000000</v>
      </c>
      <c r="CK103" s="172">
        <f ca="1">IF(OR($D103&lt;&gt;"Serviço",AND(AUTOEVENTO="Manual",$M103=$A$15),$M103&gt;(ROW(PLE.lastrow)-ROW(PLE.firstrow))),0,
           IF(OFFSET(PLE!$G$15,$M103-$A$15,CK$13)="",10^12,OFFSET(PLE!$G$15,$M103-$A$15,CK$13)))</f>
        <v>1000000000000</v>
      </c>
      <c r="CL103" s="172">
        <f ca="1">IF(OR($D103&lt;&gt;"Serviço",AND(AUTOEVENTO="Manual",$M103=$A$15),$M103&gt;(ROW(PLE.lastrow)-ROW(PLE.firstrow))),0,
           IF(OFFSET(PLE!$G$15,$M103-$A$15,CL$13)="",10^12,OFFSET(PLE!$G$15,$M103-$A$15,CL$13)))</f>
        <v>1000000000000</v>
      </c>
      <c r="CM103" s="172">
        <f ca="1">IF(OR($D103&lt;&gt;"Serviço",AND(AUTOEVENTO="Manual",$M103=$A$15),$M103&gt;(ROW(PLE.lastrow)-ROW(PLE.firstrow))),0,
           IF(OFFSET(PLE!$G$15,$M103-$A$15,CM$13)="",10^12,OFFSET(PLE!$G$15,$M103-$A$15,CM$13)))</f>
        <v>1000000000000</v>
      </c>
    </row>
    <row r="104" spans="1:91" ht="114.75" x14ac:dyDescent="0.2">
      <c r="A104" s="7">
        <f t="shared" ca="1" si="11"/>
        <v>4</v>
      </c>
      <c r="B104" s="7" t="str">
        <f ca="1">OFFSET(ORÇAMENTO!C$15,ROW(B104)-ROW(B$15),0)</f>
        <v>S</v>
      </c>
      <c r="C104" s="7" t="str">
        <f ca="1">OFFSET(ORÇAMENTO!L$15,ROW(C104)-ROW(C$15),0)</f>
        <v>F</v>
      </c>
      <c r="D104" s="116" t="str">
        <f ca="1">OFFSET(ORÇAMENTO!N$15,ROW(D104)-ROW(D$15),0)</f>
        <v>Serviço</v>
      </c>
      <c r="E104" s="117" t="str">
        <f ca="1">OFFSET(ORÇAMENTO!O$15,ROW(E104)-ROW(E$15),0)</f>
        <v>1.5.1.5.4.</v>
      </c>
      <c r="F104" s="163" t="str">
        <f ca="1">OFFSET(ORÇAMENTO!R$15,ROW(F104)-ROW(F$15),0)</f>
        <v>ARMAÇÃO EM AÇO CA-50 - FORNECIMENTO, PREPARO E COLOCAÇÃO</v>
      </c>
      <c r="G104" s="164" t="str">
        <f ca="1">IF($D104&lt;&gt;"Serviço","",OFFSET(ORÇAMENTO!S$15,ROW(G104)-ROW(G$15),0))</f>
        <v>KG</v>
      </c>
      <c r="H104" s="122" cm="1">
        <f t="array" aca="1" ref="H104" ca="1">IF($D104&lt;&gt;"Serviço",0,IF(ACOMPANHAMENTO="BM",ROUND(OFFSET(ORÇAMENTO!AJ$15,ROW(H104)-ROW(H$15),0),15-13*ORÇAMENTO!$AF$7),SUMPRODUCT(($Q$1:$AI$1=1)*ROUND($Q104:$AI104,15-13*ORÇAMENTO!$AF$7))))</f>
        <v>5362.17</v>
      </c>
      <c r="I104" s="468" t="s">
        <v>1317</v>
      </c>
      <c r="J104" s="640" t="str" cm="1">
        <f t="array" aca="1" ref="J104" ca="1">IF(OR(B104&lt;&gt;"S",CÁLCULO.FrentesPreenchidas=0),"",IF(AND(ACOMPANHAMENTO="PLE",AUTOEVENTO="Manual",OR(H104&gt;0,ORÇAMENTO!AC104="QUANT."),OR(K104="",M104=0,N104="")),"►E",IF(AND(ACOMPANHAMENTO="PLE",ORÇAMENTO!AC104="QUANT."),"►Q",IF(AND(ACOMPANHAMENTO="PLE",H104&lt;&gt;SUMPRODUCT(($Q$1:$AI$1=1)*ROUND(Q104:AI104,15))),"►S",IF(AND(COUNTIF($P$11:$AI$11,"▼")=0,H104&gt;0,I104=""),"◄M","")))))</f>
        <v/>
      </c>
      <c r="K104" s="641" t="s">
        <v>1389</v>
      </c>
      <c r="L104" s="165" t="s">
        <v>764</v>
      </c>
      <c r="M104" s="166">
        <f ca="1">IF($D104&lt;&gt;"Serviço","",
          IF(AUTOEVENTO="manual",$A104,
                IF(ISERROR(MATCH($A104,$A$15:OFFSET($A104,-1,0),0)),MAX($M$15:OFFSET(M104,-1,0))+1,
                      INDEX($M$15:OFFSET(M104,-1,0),MATCH($A104,$A$15:OFFSET($A104,-1,0),0)))))</f>
        <v>4</v>
      </c>
      <c r="N104" s="167" t="str">
        <f ca="1">IF($D104&lt;&gt;"Serviço","",
         IF(AUTOEVENTO="Manual",
                IF($A104=0,"&lt;-- defina o número do agrupador",
                       OFFSET(EVENTOS!$D$15,$A104-$A$15,0)),
                OFFSET($F$15,$A104,0)))</f>
        <v>Estruturas de Concreto</v>
      </c>
      <c r="O104" s="168"/>
      <c r="Q104" s="168"/>
      <c r="R104" s="169"/>
      <c r="S104" s="169">
        <f>84.61+23.7+1151.31+87.09+271.18+109.49+557.74+2221.38+47.78+572.81+181.7+41.66+11.72</f>
        <v>5362.17</v>
      </c>
      <c r="T104" s="169"/>
      <c r="U104" s="169"/>
      <c r="V104" s="169"/>
      <c r="W104" s="169"/>
      <c r="X104" s="169"/>
      <c r="Y104" s="169"/>
      <c r="Z104" s="170"/>
      <c r="AA104" s="169"/>
      <c r="AB104" s="169"/>
      <c r="AC104" s="169"/>
      <c r="AD104" s="169"/>
      <c r="AE104" s="169"/>
      <c r="AF104" s="169"/>
      <c r="AG104" s="169"/>
      <c r="AH104" s="170"/>
      <c r="AJ104" s="453">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0</v>
      </c>
      <c r="AK104" s="453">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0</v>
      </c>
      <c r="AL104" s="453">
        <f ca="1">IF(AND($D104="Serviço",AL$12&lt;&gt;0,$H104&gt;0,OR(AUTOEVENTO&lt;&gt;"manual",$M104&lt;&gt;$A$15)),
        IF(Import.TipoArredondamento&lt;&gt;"TransfereGOV",
              ROUND(OFFSET($P104,0,AL$13),15-13*ORÇAMENTO!$AF$7)/$H104*OFFSET(ORÇAMENTO!$X$15,ROW(AL104)-ROW(AL$15),0),
              ROUND(ROUND(OFFSET($P104,0,AL$13),15-13*ORÇAMENTO!$AF$7)*OFFSET(ORÇAMENTO!$W$15,ROW(AL104)-ROW(AL$15),0),15-13*ORÇAMENTO!$AF$11)),
         0)</f>
        <v>0</v>
      </c>
      <c r="AM104" s="453">
        <f ca="1">IF(AND($D104="Serviço",AM$12&lt;&gt;0,$H104&gt;0,OR(AUTOEVENTO&lt;&gt;"manual",$M104&lt;&gt;$A$15)),
        IF(Import.TipoArredondamento&lt;&gt;"TransfereGOV",
              ROUND(OFFSET($P104,0,AM$13),15-13*ORÇAMENTO!$AF$7)/$H104*OFFSET(ORÇAMENTO!$X$15,ROW(AM104)-ROW(AM$15),0),
              ROUND(ROUND(OFFSET($P104,0,AM$13),15-13*ORÇAMENTO!$AF$7)*OFFSET(ORÇAMENTO!$W$15,ROW(AM104)-ROW(AM$15),0),15-13*ORÇAMENTO!$AF$11)),
         0)</f>
        <v>0</v>
      </c>
      <c r="AN104" s="453">
        <f ca="1">IF(AND($D104="Serviço",AN$12&lt;&gt;0,$H104&gt;0,OR(AUTOEVENTO&lt;&gt;"manual",$M104&lt;&gt;$A$15)),
        IF(Import.TipoArredondamento&lt;&gt;"TransfereGOV",
              ROUND(OFFSET($P104,0,AN$13),15-13*ORÇAMENTO!$AF$7)/$H104*OFFSET(ORÇAMENTO!$X$15,ROW(AN104)-ROW(AN$15),0),
              ROUND(ROUND(OFFSET($P104,0,AN$13),15-13*ORÇAMENTO!$AF$7)*OFFSET(ORÇAMENTO!$W$15,ROW(AN104)-ROW(AN$15),0),15-13*ORÇAMENTO!$AF$11)),
         0)</f>
        <v>0</v>
      </c>
      <c r="AO104" s="453">
        <f ca="1">IF(AND($D104="Serviço",AO$12&lt;&gt;0,$H104&gt;0,OR(AUTOEVENTO&lt;&gt;"manual",$M104&lt;&gt;$A$15)),
        IF(Import.TipoArredondamento&lt;&gt;"TransfereGOV",
              ROUND(OFFSET($P104,0,AO$13),15-13*ORÇAMENTO!$AF$7)/$H104*OFFSET(ORÇAMENTO!$X$15,ROW(AO104)-ROW(AO$15),0),
              ROUND(ROUND(OFFSET($P104,0,AO$13),15-13*ORÇAMENTO!$AF$7)*OFFSET(ORÇAMENTO!$W$15,ROW(AO104)-ROW(AO$15),0),15-13*ORÇAMENTO!$AF$11)),
         0)</f>
        <v>0</v>
      </c>
      <c r="AP104" s="453">
        <f ca="1">IF(AND($D104="Serviço",AP$12&lt;&gt;0,$H104&gt;0,OR(AUTOEVENTO&lt;&gt;"manual",$M104&lt;&gt;$A$15)),
        IF(Import.TipoArredondamento&lt;&gt;"TransfereGOV",
              ROUND(OFFSET($P104,0,AP$13),15-13*ORÇAMENTO!$AF$7)/$H104*OFFSET(ORÇAMENTO!$X$15,ROW(AP104)-ROW(AP$15),0),
              ROUND(ROUND(OFFSET($P104,0,AP$13),15-13*ORÇAMENTO!$AF$7)*OFFSET(ORÇAMENTO!$W$15,ROW(AP104)-ROW(AP$15),0),15-13*ORÇAMENTO!$AF$11)),
         0)</f>
        <v>0</v>
      </c>
      <c r="AQ104" s="453">
        <f ca="1">IF(AND($D104="Serviço",AQ$12&lt;&gt;0,$H104&gt;0,OR(AUTOEVENTO&lt;&gt;"manual",$M104&lt;&gt;$A$15)),
        IF(Import.TipoArredondamento&lt;&gt;"TransfereGOV",
              ROUND(OFFSET($P104,0,AQ$13),15-13*ORÇAMENTO!$AF$7)/$H104*OFFSET(ORÇAMENTO!$X$15,ROW(AQ104)-ROW(AQ$15),0),
              ROUND(ROUND(OFFSET($P104,0,AQ$13),15-13*ORÇAMENTO!$AF$7)*OFFSET(ORÇAMENTO!$W$15,ROW(AQ104)-ROW(AQ$15),0),15-13*ORÇAMENTO!$AF$11)),
         0)</f>
        <v>0</v>
      </c>
      <c r="AR104" s="453">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3">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3">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3">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3">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3">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3">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3">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3">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3">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C104" s="171">
        <f ca="1">IF(OR($D104&lt;&gt;"Serviço",AND(AUTOEVENTO="Manual",$M104=$A$15)),0,
         IF(OFFSET(CRONOPLE!$F$15,$M104-$A$15,BC$13)=0,10^12,OFFSET(CRONOPLE!$F$15,$M104-$A$15,BC$13)))</f>
        <v>1</v>
      </c>
      <c r="BD104" s="171">
        <f ca="1">IF(OR($D104&lt;&gt;"Serviço",AND(AUTOEVENTO="Manual",$M104=$A$15)),0,
         IF(OFFSET(CRONOPLE!$F$15,$M104-$A$15,BD$13)=0,10^12,OFFSET(CRONOPLE!$F$15,$M104-$A$15,BD$13)))</f>
        <v>2</v>
      </c>
      <c r="BE104" s="171">
        <f ca="1">IF(OR($D104&lt;&gt;"Serviço",AND(AUTOEVENTO="Manual",$M104=$A$15)),0,
         IF(OFFSET(CRONOPLE!$F$15,$M104-$A$15,BE$13)=0,10^12,OFFSET(CRONOPLE!$F$15,$M104-$A$15,BE$13)))</f>
        <v>3</v>
      </c>
      <c r="BF104" s="171">
        <f ca="1">IF(OR($D104&lt;&gt;"Serviço",AND(AUTOEVENTO="Manual",$M104=$A$15)),0,
         IF(OFFSET(CRONOPLE!$F$15,$M104-$A$15,BF$13)=0,10^12,OFFSET(CRONOPLE!$F$15,$M104-$A$15,BF$13)))</f>
        <v>4</v>
      </c>
      <c r="BG104" s="171">
        <f ca="1">IF(OR($D104&lt;&gt;"Serviço",AND(AUTOEVENTO="Manual",$M104=$A$15)),0,
         IF(OFFSET(CRONOPLE!$F$15,$M104-$A$15,BG$13)=0,10^12,OFFSET(CRONOPLE!$F$15,$M104-$A$15,BG$13)))</f>
        <v>5</v>
      </c>
      <c r="BH104" s="171">
        <f ca="1">IF(OR($D104&lt;&gt;"Serviço",AND(AUTOEVENTO="Manual",$M104=$A$15)),0,
         IF(OFFSET(CRONOPLE!$F$15,$M104-$A$15,BH$13)=0,10^12,OFFSET(CRONOPLE!$F$15,$M104-$A$15,BH$13)))</f>
        <v>6</v>
      </c>
      <c r="BI104" s="171">
        <f ca="1">IF(OR($D104&lt;&gt;"Serviço",AND(AUTOEVENTO="Manual",$M104=$A$15)),0,
         IF(OFFSET(CRONOPLE!$F$15,$M104-$A$15,BI$13)=0,10^12,OFFSET(CRONOPLE!$F$15,$M104-$A$15,BI$13)))</f>
        <v>7</v>
      </c>
      <c r="BJ104" s="171">
        <f ca="1">IF(OR($D104&lt;&gt;"Serviço",AND(AUTOEVENTO="Manual",$M104=$A$15)),0,
         IF(OFFSET(CRONOPLE!$F$15,$M104-$A$15,BJ$13)=0,10^12,OFFSET(CRONOPLE!$F$15,$M104-$A$15,BJ$13)))</f>
        <v>8</v>
      </c>
      <c r="BK104" s="171">
        <f ca="1">IF(OR($D104&lt;&gt;"Serviço",AND(AUTOEVENTO="Manual",$M104=$A$15)),0,
         IF(OFFSET(CRONOPLE!$F$15,$M104-$A$15,BK$13)=0,10^12,OFFSET(CRONOPLE!$F$15,$M104-$A$15,BK$13)))</f>
        <v>9</v>
      </c>
      <c r="BL104" s="171">
        <f ca="1">IF(OR($D104&lt;&gt;"Serviço",AND(AUTOEVENTO="Manual",$M104=$A$15)),0,
         IF(OFFSET(CRONOPLE!$F$15,$M104-$A$15,BL$13)=0,10^12,OFFSET(CRONOPLE!$F$15,$M104-$A$15,BL$13)))</f>
        <v>10</v>
      </c>
      <c r="BM104" s="171">
        <f ca="1">IF(OR($D104&lt;&gt;"Serviço",AND(AUTOEVENTO="Manual",$M104=$A$15)),0,
         IF(OFFSET(CRONOPLE!$F$15,$M104-$A$15,BM$13)=0,10^12,OFFSET(CRONOPLE!$F$15,$M104-$A$15,BM$13)))</f>
        <v>1000000000000</v>
      </c>
      <c r="BN104" s="171">
        <f ca="1">IF(OR($D104&lt;&gt;"Serviço",AND(AUTOEVENTO="Manual",$M104=$A$15)),0,
         IF(OFFSET(CRONOPLE!$F$15,$M104-$A$15,BN$13)=0,10^12,OFFSET(CRONOPLE!$F$15,$M104-$A$15,BN$13)))</f>
        <v>1000000000000</v>
      </c>
      <c r="BO104" s="171">
        <f ca="1">IF(OR($D104&lt;&gt;"Serviço",AND(AUTOEVENTO="Manual",$M104=$A$15)),0,
         IF(OFFSET(CRONOPLE!$F$15,$M104-$A$15,BO$13)=0,10^12,OFFSET(CRONOPLE!$F$15,$M104-$A$15,BO$13)))</f>
        <v>1000000000000</v>
      </c>
      <c r="BP104" s="171">
        <f ca="1">IF(OR($D104&lt;&gt;"Serviço",AND(AUTOEVENTO="Manual",$M104=$A$15)),0,
         IF(OFFSET(CRONOPLE!$F$15,$M104-$A$15,BP$13)=0,10^12,OFFSET(CRONOPLE!$F$15,$M104-$A$15,BP$13)))</f>
        <v>1000000000000</v>
      </c>
      <c r="BQ104" s="171">
        <f ca="1">IF(OR($D104&lt;&gt;"Serviço",AND(AUTOEVENTO="Manual",$M104=$A$15)),0,
         IF(OFFSET(CRONOPLE!$F$15,$M104-$A$15,BQ$13)=0,10^12,OFFSET(CRONOPLE!$F$15,$M104-$A$15,BQ$13)))</f>
        <v>1000000000000</v>
      </c>
      <c r="BR104" s="171">
        <f ca="1">IF(OR($D104&lt;&gt;"Serviço",AND(AUTOEVENTO="Manual",$M104=$A$15)),0,
         IF(OFFSET(CRONOPLE!$F$15,$M104-$A$15,BR$13)=0,10^12,OFFSET(CRONOPLE!$F$15,$M104-$A$15,BR$13)))</f>
        <v>1000000000000</v>
      </c>
      <c r="BS104" s="171">
        <f ca="1">IF(OR($D104&lt;&gt;"Serviço",AND(AUTOEVENTO="Manual",$M104=$A$15)),0,
         IF(OFFSET(CRONOPLE!$F$15,$M104-$A$15,BS$13)=0,10^12,OFFSET(CRONOPLE!$F$15,$M104-$A$15,BS$13)))</f>
        <v>1000000000000</v>
      </c>
      <c r="BT104" s="171">
        <f ca="1">IF(OR($D104&lt;&gt;"Serviço",AND(AUTOEVENTO="Manual",$M104=$A$15)),0,
         IF(OFFSET(CRONOPLE!$F$15,$M104-$A$15,BT$13)=0,10^12,OFFSET(CRONOPLE!$F$15,$M104-$A$15,BT$13)))</f>
        <v>1000000000000</v>
      </c>
      <c r="BV104" s="172">
        <f ca="1">IF(OR($D104&lt;&gt;"Serviço",AND(AUTOEVENTO="Manual",$M104=$A$15),$M104&gt;(ROW(PLE.lastrow)-ROW(PLE.firstrow))),0,
           IF(OFFSET(PLE!$G$15,$M104-$A$15,BV$13)="",10^12,OFFSET(PLE!$G$15,$M104-$A$15,BV$13)))</f>
        <v>1000000000000</v>
      </c>
      <c r="BW104" s="172">
        <f ca="1">IF(OR($D104&lt;&gt;"Serviço",AND(AUTOEVENTO="Manual",$M104=$A$15),$M104&gt;(ROW(PLE.lastrow)-ROW(PLE.firstrow))),0,
           IF(OFFSET(PLE!$G$15,$M104-$A$15,BW$13)="",10^12,OFFSET(PLE!$G$15,$M104-$A$15,BW$13)))</f>
        <v>1000000000000</v>
      </c>
      <c r="BX104" s="172">
        <f ca="1">IF(OR($D104&lt;&gt;"Serviço",AND(AUTOEVENTO="Manual",$M104=$A$15),$M104&gt;(ROW(PLE.lastrow)-ROW(PLE.firstrow))),0,
           IF(OFFSET(PLE!$G$15,$M104-$A$15,BX$13)="",10^12,OFFSET(PLE!$G$15,$M104-$A$15,BX$13)))</f>
        <v>1000000000000</v>
      </c>
      <c r="BY104" s="172">
        <f ca="1">IF(OR($D104&lt;&gt;"Serviço",AND(AUTOEVENTO="Manual",$M104=$A$15),$M104&gt;(ROW(PLE.lastrow)-ROW(PLE.firstrow))),0,
           IF(OFFSET(PLE!$G$15,$M104-$A$15,BY$13)="",10^12,OFFSET(PLE!$G$15,$M104-$A$15,BY$13)))</f>
        <v>1000000000000</v>
      </c>
      <c r="BZ104" s="172">
        <f ca="1">IF(OR($D104&lt;&gt;"Serviço",AND(AUTOEVENTO="Manual",$M104=$A$15),$M104&gt;(ROW(PLE.lastrow)-ROW(PLE.firstrow))),0,
           IF(OFFSET(PLE!$G$15,$M104-$A$15,BZ$13)="",10^12,OFFSET(PLE!$G$15,$M104-$A$15,BZ$13)))</f>
        <v>1000000000000</v>
      </c>
      <c r="CA104" s="172">
        <f ca="1">IF(OR($D104&lt;&gt;"Serviço",AND(AUTOEVENTO="Manual",$M104=$A$15),$M104&gt;(ROW(PLE.lastrow)-ROW(PLE.firstrow))),0,
           IF(OFFSET(PLE!$G$15,$M104-$A$15,CA$13)="",10^12,OFFSET(PLE!$G$15,$M104-$A$15,CA$13)))</f>
        <v>1000000000000</v>
      </c>
      <c r="CB104" s="172">
        <f ca="1">IF(OR($D104&lt;&gt;"Serviço",AND(AUTOEVENTO="Manual",$M104=$A$15),$M104&gt;(ROW(PLE.lastrow)-ROW(PLE.firstrow))),0,
           IF(OFFSET(PLE!$G$15,$M104-$A$15,CB$13)="",10^12,OFFSET(PLE!$G$15,$M104-$A$15,CB$13)))</f>
        <v>1000000000000</v>
      </c>
      <c r="CC104" s="172">
        <f ca="1">IF(OR($D104&lt;&gt;"Serviço",AND(AUTOEVENTO="Manual",$M104=$A$15),$M104&gt;(ROW(PLE.lastrow)-ROW(PLE.firstrow))),0,
           IF(OFFSET(PLE!$G$15,$M104-$A$15,CC$13)="",10^12,OFFSET(PLE!$G$15,$M104-$A$15,CC$13)))</f>
        <v>1000000000000</v>
      </c>
      <c r="CD104" s="172">
        <f ca="1">IF(OR($D104&lt;&gt;"Serviço",AND(AUTOEVENTO="Manual",$M104=$A$15),$M104&gt;(ROW(PLE.lastrow)-ROW(PLE.firstrow))),0,
           IF(OFFSET(PLE!$G$15,$M104-$A$15,CD$13)="",10^12,OFFSET(PLE!$G$15,$M104-$A$15,CD$13)))</f>
        <v>1000000000000</v>
      </c>
      <c r="CE104" s="172">
        <f ca="1">IF(OR($D104&lt;&gt;"Serviço",AND(AUTOEVENTO="Manual",$M104=$A$15),$M104&gt;(ROW(PLE.lastrow)-ROW(PLE.firstrow))),0,
           IF(OFFSET(PLE!$G$15,$M104-$A$15,CE$13)="",10^12,OFFSET(PLE!$G$15,$M104-$A$15,CE$13)))</f>
        <v>1000000000000</v>
      </c>
      <c r="CF104" s="172">
        <f ca="1">IF(OR($D104&lt;&gt;"Serviço",AND(AUTOEVENTO="Manual",$M104=$A$15),$M104&gt;(ROW(PLE.lastrow)-ROW(PLE.firstrow))),0,
           IF(OFFSET(PLE!$G$15,$M104-$A$15,CF$13)="",10^12,OFFSET(PLE!$G$15,$M104-$A$15,CF$13)))</f>
        <v>1000000000000</v>
      </c>
      <c r="CG104" s="172">
        <f ca="1">IF(OR($D104&lt;&gt;"Serviço",AND(AUTOEVENTO="Manual",$M104=$A$15),$M104&gt;(ROW(PLE.lastrow)-ROW(PLE.firstrow))),0,
           IF(OFFSET(PLE!$G$15,$M104-$A$15,CG$13)="",10^12,OFFSET(PLE!$G$15,$M104-$A$15,CG$13)))</f>
        <v>1000000000000</v>
      </c>
      <c r="CH104" s="172">
        <f ca="1">IF(OR($D104&lt;&gt;"Serviço",AND(AUTOEVENTO="Manual",$M104=$A$15),$M104&gt;(ROW(PLE.lastrow)-ROW(PLE.firstrow))),0,
           IF(OFFSET(PLE!$G$15,$M104-$A$15,CH$13)="",10^12,OFFSET(PLE!$G$15,$M104-$A$15,CH$13)))</f>
        <v>1000000000000</v>
      </c>
      <c r="CI104" s="172">
        <f ca="1">IF(OR($D104&lt;&gt;"Serviço",AND(AUTOEVENTO="Manual",$M104=$A$15),$M104&gt;(ROW(PLE.lastrow)-ROW(PLE.firstrow))),0,
           IF(OFFSET(PLE!$G$15,$M104-$A$15,CI$13)="",10^12,OFFSET(PLE!$G$15,$M104-$A$15,CI$13)))</f>
        <v>1000000000000</v>
      </c>
      <c r="CJ104" s="172">
        <f ca="1">IF(OR($D104&lt;&gt;"Serviço",AND(AUTOEVENTO="Manual",$M104=$A$15),$M104&gt;(ROW(PLE.lastrow)-ROW(PLE.firstrow))),0,
           IF(OFFSET(PLE!$G$15,$M104-$A$15,CJ$13)="",10^12,OFFSET(PLE!$G$15,$M104-$A$15,CJ$13)))</f>
        <v>1000000000000</v>
      </c>
      <c r="CK104" s="172">
        <f ca="1">IF(OR($D104&lt;&gt;"Serviço",AND(AUTOEVENTO="Manual",$M104=$A$15),$M104&gt;(ROW(PLE.lastrow)-ROW(PLE.firstrow))),0,
           IF(OFFSET(PLE!$G$15,$M104-$A$15,CK$13)="",10^12,OFFSET(PLE!$G$15,$M104-$A$15,CK$13)))</f>
        <v>1000000000000</v>
      </c>
      <c r="CL104" s="172">
        <f ca="1">IF(OR($D104&lt;&gt;"Serviço",AND(AUTOEVENTO="Manual",$M104=$A$15),$M104&gt;(ROW(PLE.lastrow)-ROW(PLE.firstrow))),0,
           IF(OFFSET(PLE!$G$15,$M104-$A$15,CL$13)="",10^12,OFFSET(PLE!$G$15,$M104-$A$15,CL$13)))</f>
        <v>1000000000000</v>
      </c>
      <c r="CM104" s="172">
        <f ca="1">IF(OR($D104&lt;&gt;"Serviço",AND(AUTOEVENTO="Manual",$M104=$A$15),$M104&gt;(ROW(PLE.lastrow)-ROW(PLE.firstrow))),0,
           IF(OFFSET(PLE!$G$15,$M104-$A$15,CM$13)="",10^12,OFFSET(PLE!$G$15,$M104-$A$15,CM$13)))</f>
        <v>1000000000000</v>
      </c>
    </row>
    <row r="105" spans="1:91" ht="12.75" x14ac:dyDescent="0.2">
      <c r="A105" s="7">
        <f t="shared" ca="1" si="11"/>
        <v>0</v>
      </c>
      <c r="B105" s="7">
        <f ca="1">OFFSET(ORÇAMENTO!C$15,ROW(B105)-ROW(B$15),0)</f>
        <v>3</v>
      </c>
      <c r="C105" s="7" t="str">
        <f ca="1">OFFSET(ORÇAMENTO!L$15,ROW(C105)-ROW(C$15),0)</f>
        <v>F</v>
      </c>
      <c r="D105" s="116" t="str">
        <f ca="1">OFFSET(ORÇAMENTO!N$15,ROW(D105)-ROW(D$15),0)</f>
        <v>Nível 3</v>
      </c>
      <c r="E105" s="117" t="str">
        <f ca="1">OFFSET(ORÇAMENTO!O$15,ROW(E105)-ROW(E$15),0)</f>
        <v>1.5.2.</v>
      </c>
      <c r="F105" s="163" t="str">
        <f ca="1">OFFSET(ORÇAMENTO!R$15,ROW(F105)-ROW(F$15),0)</f>
        <v>DECANTADOR SECUNDÁRIO</v>
      </c>
      <c r="G105" s="164" t="str">
        <f ca="1">IF($D105&lt;&gt;"Serviço","",OFFSET(ORÇAMENTO!S$15,ROW(G105)-ROW(G$15),0))</f>
        <v/>
      </c>
      <c r="H105" s="122" cm="1">
        <f t="array" aca="1" ref="H105" ca="1">IF($D105&lt;&gt;"Serviço",0,IF(ACOMPANHAMENTO="BM",ROUND(OFFSET(ORÇAMENTO!AJ$15,ROW(H105)-ROW(H$15),0),15-13*ORÇAMENTO!$AF$7),SUMPRODUCT(($Q$1:$AI$1=1)*ROUND($Q105:$AI105,15-13*ORÇAMENTO!$AF$7))))</f>
        <v>0</v>
      </c>
      <c r="I105" s="468"/>
      <c r="J105" s="640" t="str" cm="1">
        <f t="array" aca="1" ref="J105" ca="1">IF(OR(B105&lt;&gt;"S",CÁLCULO.FrentesPreenchidas=0),"",IF(AND(ACOMPANHAMENTO="PLE",AUTOEVENTO="Manual",OR(H105&gt;0,ORÇAMENTO!AC105="QUANT."),OR(K105="",M105=0,N105="")),"►E",IF(AND(ACOMPANHAMENTO="PLE",ORÇAMENTO!AC105="QUANT."),"►Q",IF(AND(ACOMPANHAMENTO="PLE",H105&lt;&gt;SUMPRODUCT(($Q$1:$AI$1=1)*ROUND(Q105:AI105,15))),"►S",IF(AND(COUNTIF($P$11:$AI$11,"▼")=0,H105&gt;0,I105=""),"◄M","")))))</f>
        <v/>
      </c>
      <c r="K105" s="641"/>
      <c r="L105" s="165" t="s">
        <v>764</v>
      </c>
      <c r="M105" s="166" t="str">
        <f ca="1">IF($D105&lt;&gt;"Serviço","",
          IF(AUTOEVENTO="manual",$A105,
                IF(ISERROR(MATCH($A105,$A$15:OFFSET($A105,-1,0),0)),MAX($M$15:OFFSET(M105,-1,0))+1,
                      INDEX($M$15:OFFSET(M105,-1,0),MATCH($A105,$A$15:OFFSET($A105,-1,0),0)))))</f>
        <v/>
      </c>
      <c r="N105" s="167" t="str">
        <f ca="1">IF($D105&lt;&gt;"Serviço","",
         IF(AUTOEVENTO="Manual",
                IF($A105=0,"&lt;-- defina o número do agrupador",
                       OFFSET(EVENTOS!$D$15,$A105-$A$15,0)),
                OFFSET($F$15,$A105,0)))</f>
        <v/>
      </c>
      <c r="O105" s="168"/>
      <c r="Q105" s="168"/>
      <c r="R105" s="169"/>
      <c r="S105" s="169"/>
      <c r="T105" s="169"/>
      <c r="U105" s="169"/>
      <c r="V105" s="169"/>
      <c r="W105" s="169"/>
      <c r="X105" s="169"/>
      <c r="Y105" s="169"/>
      <c r="Z105" s="170"/>
      <c r="AA105" s="169"/>
      <c r="AB105" s="169"/>
      <c r="AC105" s="169"/>
      <c r="AD105" s="169"/>
      <c r="AE105" s="169"/>
      <c r="AF105" s="169"/>
      <c r="AG105" s="169"/>
      <c r="AH105" s="170"/>
      <c r="AJ105" s="453">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0</v>
      </c>
      <c r="AK105" s="453">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0</v>
      </c>
      <c r="AL105" s="453">
        <f ca="1">IF(AND($D105="Serviço",AL$12&lt;&gt;0,$H105&gt;0,OR(AUTOEVENTO&lt;&gt;"manual",$M105&lt;&gt;$A$15)),
        IF(Import.TipoArredondamento&lt;&gt;"TransfereGOV",
              ROUND(OFFSET($P105,0,AL$13),15-13*ORÇAMENTO!$AF$7)/$H105*OFFSET(ORÇAMENTO!$X$15,ROW(AL105)-ROW(AL$15),0),
              ROUND(ROUND(OFFSET($P105,0,AL$13),15-13*ORÇAMENTO!$AF$7)*OFFSET(ORÇAMENTO!$W$15,ROW(AL105)-ROW(AL$15),0),15-13*ORÇAMENTO!$AF$11)),
         0)</f>
        <v>0</v>
      </c>
      <c r="AM105" s="453">
        <f ca="1">IF(AND($D105="Serviço",AM$12&lt;&gt;0,$H105&gt;0,OR(AUTOEVENTO&lt;&gt;"manual",$M105&lt;&gt;$A$15)),
        IF(Import.TipoArredondamento&lt;&gt;"TransfereGOV",
              ROUND(OFFSET($P105,0,AM$13),15-13*ORÇAMENTO!$AF$7)/$H105*OFFSET(ORÇAMENTO!$X$15,ROW(AM105)-ROW(AM$15),0),
              ROUND(ROUND(OFFSET($P105,0,AM$13),15-13*ORÇAMENTO!$AF$7)*OFFSET(ORÇAMENTO!$W$15,ROW(AM105)-ROW(AM$15),0),15-13*ORÇAMENTO!$AF$11)),
         0)</f>
        <v>0</v>
      </c>
      <c r="AN105" s="453">
        <f ca="1">IF(AND($D105="Serviço",AN$12&lt;&gt;0,$H105&gt;0,OR(AUTOEVENTO&lt;&gt;"manual",$M105&lt;&gt;$A$15)),
        IF(Import.TipoArredondamento&lt;&gt;"TransfereGOV",
              ROUND(OFFSET($P105,0,AN$13),15-13*ORÇAMENTO!$AF$7)/$H105*OFFSET(ORÇAMENTO!$X$15,ROW(AN105)-ROW(AN$15),0),
              ROUND(ROUND(OFFSET($P105,0,AN$13),15-13*ORÇAMENTO!$AF$7)*OFFSET(ORÇAMENTO!$W$15,ROW(AN105)-ROW(AN$15),0),15-13*ORÇAMENTO!$AF$11)),
         0)</f>
        <v>0</v>
      </c>
      <c r="AO105" s="453">
        <f ca="1">IF(AND($D105="Serviço",AO$12&lt;&gt;0,$H105&gt;0,OR(AUTOEVENTO&lt;&gt;"manual",$M105&lt;&gt;$A$15)),
        IF(Import.TipoArredondamento&lt;&gt;"TransfereGOV",
              ROUND(OFFSET($P105,0,AO$13),15-13*ORÇAMENTO!$AF$7)/$H105*OFFSET(ORÇAMENTO!$X$15,ROW(AO105)-ROW(AO$15),0),
              ROUND(ROUND(OFFSET($P105,0,AO$13),15-13*ORÇAMENTO!$AF$7)*OFFSET(ORÇAMENTO!$W$15,ROW(AO105)-ROW(AO$15),0),15-13*ORÇAMENTO!$AF$11)),
         0)</f>
        <v>0</v>
      </c>
      <c r="AP105" s="453">
        <f ca="1">IF(AND($D105="Serviço",AP$12&lt;&gt;0,$H105&gt;0,OR(AUTOEVENTO&lt;&gt;"manual",$M105&lt;&gt;$A$15)),
        IF(Import.TipoArredondamento&lt;&gt;"TransfereGOV",
              ROUND(OFFSET($P105,0,AP$13),15-13*ORÇAMENTO!$AF$7)/$H105*OFFSET(ORÇAMENTO!$X$15,ROW(AP105)-ROW(AP$15),0),
              ROUND(ROUND(OFFSET($P105,0,AP$13),15-13*ORÇAMENTO!$AF$7)*OFFSET(ORÇAMENTO!$W$15,ROW(AP105)-ROW(AP$15),0),15-13*ORÇAMENTO!$AF$11)),
         0)</f>
        <v>0</v>
      </c>
      <c r="AQ105" s="453">
        <f ca="1">IF(AND($D105="Serviço",AQ$12&lt;&gt;0,$H105&gt;0,OR(AUTOEVENTO&lt;&gt;"manual",$M105&lt;&gt;$A$15)),
        IF(Import.TipoArredondamento&lt;&gt;"TransfereGOV",
              ROUND(OFFSET($P105,0,AQ$13),15-13*ORÇAMENTO!$AF$7)/$H105*OFFSET(ORÇAMENTO!$X$15,ROW(AQ105)-ROW(AQ$15),0),
              ROUND(ROUND(OFFSET($P105,0,AQ$13),15-13*ORÇAMENTO!$AF$7)*OFFSET(ORÇAMENTO!$W$15,ROW(AQ105)-ROW(AQ$15),0),15-13*ORÇAMENTO!$AF$11)),
         0)</f>
        <v>0</v>
      </c>
      <c r="AR105" s="453">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3">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3">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3">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3">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3">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3">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3">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3">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3">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C105" s="171">
        <f ca="1">IF(OR($D105&lt;&gt;"Serviço",AND(AUTOEVENTO="Manual",$M105=$A$15)),0,
         IF(OFFSET(CRONOPLE!$F$15,$M105-$A$15,BC$13)=0,10^12,OFFSET(CRONOPLE!$F$15,$M105-$A$15,BC$13)))</f>
        <v>0</v>
      </c>
      <c r="BD105" s="171">
        <f ca="1">IF(OR($D105&lt;&gt;"Serviço",AND(AUTOEVENTO="Manual",$M105=$A$15)),0,
         IF(OFFSET(CRONOPLE!$F$15,$M105-$A$15,BD$13)=0,10^12,OFFSET(CRONOPLE!$F$15,$M105-$A$15,BD$13)))</f>
        <v>0</v>
      </c>
      <c r="BE105" s="171">
        <f ca="1">IF(OR($D105&lt;&gt;"Serviço",AND(AUTOEVENTO="Manual",$M105=$A$15)),0,
         IF(OFFSET(CRONOPLE!$F$15,$M105-$A$15,BE$13)=0,10^12,OFFSET(CRONOPLE!$F$15,$M105-$A$15,BE$13)))</f>
        <v>0</v>
      </c>
      <c r="BF105" s="171">
        <f ca="1">IF(OR($D105&lt;&gt;"Serviço",AND(AUTOEVENTO="Manual",$M105=$A$15)),0,
         IF(OFFSET(CRONOPLE!$F$15,$M105-$A$15,BF$13)=0,10^12,OFFSET(CRONOPLE!$F$15,$M105-$A$15,BF$13)))</f>
        <v>0</v>
      </c>
      <c r="BG105" s="171">
        <f ca="1">IF(OR($D105&lt;&gt;"Serviço",AND(AUTOEVENTO="Manual",$M105=$A$15)),0,
         IF(OFFSET(CRONOPLE!$F$15,$M105-$A$15,BG$13)=0,10^12,OFFSET(CRONOPLE!$F$15,$M105-$A$15,BG$13)))</f>
        <v>0</v>
      </c>
      <c r="BH105" s="171">
        <f ca="1">IF(OR($D105&lt;&gt;"Serviço",AND(AUTOEVENTO="Manual",$M105=$A$15)),0,
         IF(OFFSET(CRONOPLE!$F$15,$M105-$A$15,BH$13)=0,10^12,OFFSET(CRONOPLE!$F$15,$M105-$A$15,BH$13)))</f>
        <v>0</v>
      </c>
      <c r="BI105" s="171">
        <f ca="1">IF(OR($D105&lt;&gt;"Serviço",AND(AUTOEVENTO="Manual",$M105=$A$15)),0,
         IF(OFFSET(CRONOPLE!$F$15,$M105-$A$15,BI$13)=0,10^12,OFFSET(CRONOPLE!$F$15,$M105-$A$15,BI$13)))</f>
        <v>0</v>
      </c>
      <c r="BJ105" s="171">
        <f ca="1">IF(OR($D105&lt;&gt;"Serviço",AND(AUTOEVENTO="Manual",$M105=$A$15)),0,
         IF(OFFSET(CRONOPLE!$F$15,$M105-$A$15,BJ$13)=0,10^12,OFFSET(CRONOPLE!$F$15,$M105-$A$15,BJ$13)))</f>
        <v>0</v>
      </c>
      <c r="BK105" s="171">
        <f ca="1">IF(OR($D105&lt;&gt;"Serviço",AND(AUTOEVENTO="Manual",$M105=$A$15)),0,
         IF(OFFSET(CRONOPLE!$F$15,$M105-$A$15,BK$13)=0,10^12,OFFSET(CRONOPLE!$F$15,$M105-$A$15,BK$13)))</f>
        <v>0</v>
      </c>
      <c r="BL105" s="171">
        <f ca="1">IF(OR($D105&lt;&gt;"Serviço",AND(AUTOEVENTO="Manual",$M105=$A$15)),0,
         IF(OFFSET(CRONOPLE!$F$15,$M105-$A$15,BL$13)=0,10^12,OFFSET(CRONOPLE!$F$15,$M105-$A$15,BL$13)))</f>
        <v>0</v>
      </c>
      <c r="BM105" s="171">
        <f ca="1">IF(OR($D105&lt;&gt;"Serviço",AND(AUTOEVENTO="Manual",$M105=$A$15)),0,
         IF(OFFSET(CRONOPLE!$F$15,$M105-$A$15,BM$13)=0,10^12,OFFSET(CRONOPLE!$F$15,$M105-$A$15,BM$13)))</f>
        <v>0</v>
      </c>
      <c r="BN105" s="171">
        <f ca="1">IF(OR($D105&lt;&gt;"Serviço",AND(AUTOEVENTO="Manual",$M105=$A$15)),0,
         IF(OFFSET(CRONOPLE!$F$15,$M105-$A$15,BN$13)=0,10^12,OFFSET(CRONOPLE!$F$15,$M105-$A$15,BN$13)))</f>
        <v>0</v>
      </c>
      <c r="BO105" s="171">
        <f ca="1">IF(OR($D105&lt;&gt;"Serviço",AND(AUTOEVENTO="Manual",$M105=$A$15)),0,
         IF(OFFSET(CRONOPLE!$F$15,$M105-$A$15,BO$13)=0,10^12,OFFSET(CRONOPLE!$F$15,$M105-$A$15,BO$13)))</f>
        <v>0</v>
      </c>
      <c r="BP105" s="171">
        <f ca="1">IF(OR($D105&lt;&gt;"Serviço",AND(AUTOEVENTO="Manual",$M105=$A$15)),0,
         IF(OFFSET(CRONOPLE!$F$15,$M105-$A$15,BP$13)=0,10^12,OFFSET(CRONOPLE!$F$15,$M105-$A$15,BP$13)))</f>
        <v>0</v>
      </c>
      <c r="BQ105" s="171">
        <f ca="1">IF(OR($D105&lt;&gt;"Serviço",AND(AUTOEVENTO="Manual",$M105=$A$15)),0,
         IF(OFFSET(CRONOPLE!$F$15,$M105-$A$15,BQ$13)=0,10^12,OFFSET(CRONOPLE!$F$15,$M105-$A$15,BQ$13)))</f>
        <v>0</v>
      </c>
      <c r="BR105" s="171">
        <f ca="1">IF(OR($D105&lt;&gt;"Serviço",AND(AUTOEVENTO="Manual",$M105=$A$15)),0,
         IF(OFFSET(CRONOPLE!$F$15,$M105-$A$15,BR$13)=0,10^12,OFFSET(CRONOPLE!$F$15,$M105-$A$15,BR$13)))</f>
        <v>0</v>
      </c>
      <c r="BS105" s="171">
        <f ca="1">IF(OR($D105&lt;&gt;"Serviço",AND(AUTOEVENTO="Manual",$M105=$A$15)),0,
         IF(OFFSET(CRONOPLE!$F$15,$M105-$A$15,BS$13)=0,10^12,OFFSET(CRONOPLE!$F$15,$M105-$A$15,BS$13)))</f>
        <v>0</v>
      </c>
      <c r="BT105" s="171">
        <f ca="1">IF(OR($D105&lt;&gt;"Serviço",AND(AUTOEVENTO="Manual",$M105=$A$15)),0,
         IF(OFFSET(CRONOPLE!$F$15,$M105-$A$15,BT$13)=0,10^12,OFFSET(CRONOPLE!$F$15,$M105-$A$15,BT$13)))</f>
        <v>0</v>
      </c>
      <c r="BV105" s="172">
        <f ca="1">IF(OR($D105&lt;&gt;"Serviço",AND(AUTOEVENTO="Manual",$M105=$A$15),$M105&gt;(ROW(PLE.lastrow)-ROW(PLE.firstrow))),0,
           IF(OFFSET(PLE!$G$15,$M105-$A$15,BV$13)="",10^12,OFFSET(PLE!$G$15,$M105-$A$15,BV$13)))</f>
        <v>0</v>
      </c>
      <c r="BW105" s="172">
        <f ca="1">IF(OR($D105&lt;&gt;"Serviço",AND(AUTOEVENTO="Manual",$M105=$A$15),$M105&gt;(ROW(PLE.lastrow)-ROW(PLE.firstrow))),0,
           IF(OFFSET(PLE!$G$15,$M105-$A$15,BW$13)="",10^12,OFFSET(PLE!$G$15,$M105-$A$15,BW$13)))</f>
        <v>0</v>
      </c>
      <c r="BX105" s="172">
        <f ca="1">IF(OR($D105&lt;&gt;"Serviço",AND(AUTOEVENTO="Manual",$M105=$A$15),$M105&gt;(ROW(PLE.lastrow)-ROW(PLE.firstrow))),0,
           IF(OFFSET(PLE!$G$15,$M105-$A$15,BX$13)="",10^12,OFFSET(PLE!$G$15,$M105-$A$15,BX$13)))</f>
        <v>0</v>
      </c>
      <c r="BY105" s="172">
        <f ca="1">IF(OR($D105&lt;&gt;"Serviço",AND(AUTOEVENTO="Manual",$M105=$A$15),$M105&gt;(ROW(PLE.lastrow)-ROW(PLE.firstrow))),0,
           IF(OFFSET(PLE!$G$15,$M105-$A$15,BY$13)="",10^12,OFFSET(PLE!$G$15,$M105-$A$15,BY$13)))</f>
        <v>0</v>
      </c>
      <c r="BZ105" s="172">
        <f ca="1">IF(OR($D105&lt;&gt;"Serviço",AND(AUTOEVENTO="Manual",$M105=$A$15),$M105&gt;(ROW(PLE.lastrow)-ROW(PLE.firstrow))),0,
           IF(OFFSET(PLE!$G$15,$M105-$A$15,BZ$13)="",10^12,OFFSET(PLE!$G$15,$M105-$A$15,BZ$13)))</f>
        <v>0</v>
      </c>
      <c r="CA105" s="172">
        <f ca="1">IF(OR($D105&lt;&gt;"Serviço",AND(AUTOEVENTO="Manual",$M105=$A$15),$M105&gt;(ROW(PLE.lastrow)-ROW(PLE.firstrow))),0,
           IF(OFFSET(PLE!$G$15,$M105-$A$15,CA$13)="",10^12,OFFSET(PLE!$G$15,$M105-$A$15,CA$13)))</f>
        <v>0</v>
      </c>
      <c r="CB105" s="172">
        <f ca="1">IF(OR($D105&lt;&gt;"Serviço",AND(AUTOEVENTO="Manual",$M105=$A$15),$M105&gt;(ROW(PLE.lastrow)-ROW(PLE.firstrow))),0,
           IF(OFFSET(PLE!$G$15,$M105-$A$15,CB$13)="",10^12,OFFSET(PLE!$G$15,$M105-$A$15,CB$13)))</f>
        <v>0</v>
      </c>
      <c r="CC105" s="172">
        <f ca="1">IF(OR($D105&lt;&gt;"Serviço",AND(AUTOEVENTO="Manual",$M105=$A$15),$M105&gt;(ROW(PLE.lastrow)-ROW(PLE.firstrow))),0,
           IF(OFFSET(PLE!$G$15,$M105-$A$15,CC$13)="",10^12,OFFSET(PLE!$G$15,$M105-$A$15,CC$13)))</f>
        <v>0</v>
      </c>
      <c r="CD105" s="172">
        <f ca="1">IF(OR($D105&lt;&gt;"Serviço",AND(AUTOEVENTO="Manual",$M105=$A$15),$M105&gt;(ROW(PLE.lastrow)-ROW(PLE.firstrow))),0,
           IF(OFFSET(PLE!$G$15,$M105-$A$15,CD$13)="",10^12,OFFSET(PLE!$G$15,$M105-$A$15,CD$13)))</f>
        <v>0</v>
      </c>
      <c r="CE105" s="172">
        <f ca="1">IF(OR($D105&lt;&gt;"Serviço",AND(AUTOEVENTO="Manual",$M105=$A$15),$M105&gt;(ROW(PLE.lastrow)-ROW(PLE.firstrow))),0,
           IF(OFFSET(PLE!$G$15,$M105-$A$15,CE$13)="",10^12,OFFSET(PLE!$G$15,$M105-$A$15,CE$13)))</f>
        <v>0</v>
      </c>
      <c r="CF105" s="172">
        <f ca="1">IF(OR($D105&lt;&gt;"Serviço",AND(AUTOEVENTO="Manual",$M105=$A$15),$M105&gt;(ROW(PLE.lastrow)-ROW(PLE.firstrow))),0,
           IF(OFFSET(PLE!$G$15,$M105-$A$15,CF$13)="",10^12,OFFSET(PLE!$G$15,$M105-$A$15,CF$13)))</f>
        <v>0</v>
      </c>
      <c r="CG105" s="172">
        <f ca="1">IF(OR($D105&lt;&gt;"Serviço",AND(AUTOEVENTO="Manual",$M105=$A$15),$M105&gt;(ROW(PLE.lastrow)-ROW(PLE.firstrow))),0,
           IF(OFFSET(PLE!$G$15,$M105-$A$15,CG$13)="",10^12,OFFSET(PLE!$G$15,$M105-$A$15,CG$13)))</f>
        <v>0</v>
      </c>
      <c r="CH105" s="172">
        <f ca="1">IF(OR($D105&lt;&gt;"Serviço",AND(AUTOEVENTO="Manual",$M105=$A$15),$M105&gt;(ROW(PLE.lastrow)-ROW(PLE.firstrow))),0,
           IF(OFFSET(PLE!$G$15,$M105-$A$15,CH$13)="",10^12,OFFSET(PLE!$G$15,$M105-$A$15,CH$13)))</f>
        <v>0</v>
      </c>
      <c r="CI105" s="172">
        <f ca="1">IF(OR($D105&lt;&gt;"Serviço",AND(AUTOEVENTO="Manual",$M105=$A$15),$M105&gt;(ROW(PLE.lastrow)-ROW(PLE.firstrow))),0,
           IF(OFFSET(PLE!$G$15,$M105-$A$15,CI$13)="",10^12,OFFSET(PLE!$G$15,$M105-$A$15,CI$13)))</f>
        <v>0</v>
      </c>
      <c r="CJ105" s="172">
        <f ca="1">IF(OR($D105&lt;&gt;"Serviço",AND(AUTOEVENTO="Manual",$M105=$A$15),$M105&gt;(ROW(PLE.lastrow)-ROW(PLE.firstrow))),0,
           IF(OFFSET(PLE!$G$15,$M105-$A$15,CJ$13)="",10^12,OFFSET(PLE!$G$15,$M105-$A$15,CJ$13)))</f>
        <v>0</v>
      </c>
      <c r="CK105" s="172">
        <f ca="1">IF(OR($D105&lt;&gt;"Serviço",AND(AUTOEVENTO="Manual",$M105=$A$15),$M105&gt;(ROW(PLE.lastrow)-ROW(PLE.firstrow))),0,
           IF(OFFSET(PLE!$G$15,$M105-$A$15,CK$13)="",10^12,OFFSET(PLE!$G$15,$M105-$A$15,CK$13)))</f>
        <v>0</v>
      </c>
      <c r="CL105" s="172">
        <f ca="1">IF(OR($D105&lt;&gt;"Serviço",AND(AUTOEVENTO="Manual",$M105=$A$15),$M105&gt;(ROW(PLE.lastrow)-ROW(PLE.firstrow))),0,
           IF(OFFSET(PLE!$G$15,$M105-$A$15,CL$13)="",10^12,OFFSET(PLE!$G$15,$M105-$A$15,CL$13)))</f>
        <v>0</v>
      </c>
      <c r="CM105" s="172">
        <f ca="1">IF(OR($D105&lt;&gt;"Serviço",AND(AUTOEVENTO="Manual",$M105=$A$15),$M105&gt;(ROW(PLE.lastrow)-ROW(PLE.firstrow))),0,
           IF(OFFSET(PLE!$G$15,$M105-$A$15,CM$13)="",10^12,OFFSET(PLE!$G$15,$M105-$A$15,CM$13)))</f>
        <v>0</v>
      </c>
    </row>
    <row r="106" spans="1:91" ht="12.75" x14ac:dyDescent="0.2">
      <c r="A106" s="7">
        <f t="shared" ca="1" si="11"/>
        <v>5</v>
      </c>
      <c r="B106" s="7">
        <f ca="1">OFFSET(ORÇAMENTO!C$15,ROW(B106)-ROW(B$15),0)</f>
        <v>4</v>
      </c>
      <c r="C106" s="7" t="str">
        <f ca="1">OFFSET(ORÇAMENTO!L$15,ROW(C106)-ROW(C$15),0)</f>
        <v>F</v>
      </c>
      <c r="D106" s="116" t="str">
        <f ca="1">OFFSET(ORÇAMENTO!N$15,ROW(D106)-ROW(D$15),0)</f>
        <v>Nível 4</v>
      </c>
      <c r="E106" s="117" t="str">
        <f ca="1">OFFSET(ORÇAMENTO!O$15,ROW(E106)-ROW(E$15),0)</f>
        <v>1.5.2.1.</v>
      </c>
      <c r="F106" s="163" t="str">
        <f ca="1">OFFSET(ORÇAMENTO!R$15,ROW(F106)-ROW(F$15),0)</f>
        <v>ESTACAS</v>
      </c>
      <c r="G106" s="164" t="str">
        <f ca="1">IF($D106&lt;&gt;"Serviço","",OFFSET(ORÇAMENTO!S$15,ROW(G106)-ROW(G$15),0))</f>
        <v/>
      </c>
      <c r="H106" s="122" cm="1">
        <f t="array" aca="1" ref="H106" ca="1">IF($D106&lt;&gt;"Serviço",0,IF(ACOMPANHAMENTO="BM",ROUND(OFFSET(ORÇAMENTO!AJ$15,ROW(H106)-ROW(H$15),0),15-13*ORÇAMENTO!$AF$7),SUMPRODUCT(($Q$1:$AI$1=1)*ROUND($Q106:$AI106,15-13*ORÇAMENTO!$AF$7))))</f>
        <v>0</v>
      </c>
      <c r="I106" s="468"/>
      <c r="J106" s="640" t="str" cm="1">
        <f t="array" aca="1" ref="J106" ca="1">IF(OR(B106&lt;&gt;"S",CÁLCULO.FrentesPreenchidas=0),"",IF(AND(ACOMPANHAMENTO="PLE",AUTOEVENTO="Manual",OR(H106&gt;0,ORÇAMENTO!AC106="QUANT."),OR(K106="",M106=0,N106="")),"►E",IF(AND(ACOMPANHAMENTO="PLE",ORÇAMENTO!AC106="QUANT."),"►Q",IF(AND(ACOMPANHAMENTO="PLE",H106&lt;&gt;SUMPRODUCT(($Q$1:$AI$1=1)*ROUND(Q106:AI106,15))),"►S",IF(AND(COUNTIF($P$11:$AI$11,"▼")=0,H106&gt;0,I106=""),"◄M","")))))</f>
        <v/>
      </c>
      <c r="K106" s="641" t="s">
        <v>1364</v>
      </c>
      <c r="L106" s="165" t="s">
        <v>764</v>
      </c>
      <c r="M106" s="166" t="str">
        <f ca="1">IF($D106&lt;&gt;"Serviço","",
          IF(AUTOEVENTO="manual",$A106,
                IF(ISERROR(MATCH($A106,$A$15:OFFSET($A106,-1,0),0)),MAX($M$15:OFFSET(M106,-1,0))+1,
                      INDEX($M$15:OFFSET(M106,-1,0),MATCH($A106,$A$15:OFFSET($A106,-1,0),0)))))</f>
        <v/>
      </c>
      <c r="N106" s="167" t="str">
        <f ca="1">IF($D106&lt;&gt;"Serviço","",
         IF(AUTOEVENTO="Manual",
                IF($A106=0,"&lt;-- defina o número do agrupador",
                       OFFSET(EVENTOS!$D$15,$A106-$A$15,0)),
                OFFSET($F$15,$A106,0)))</f>
        <v/>
      </c>
      <c r="O106" s="168"/>
      <c r="Q106" s="168"/>
      <c r="R106" s="169"/>
      <c r="S106" s="169"/>
      <c r="T106" s="169"/>
      <c r="U106" s="169"/>
      <c r="V106" s="169"/>
      <c r="W106" s="169"/>
      <c r="X106" s="169"/>
      <c r="Y106" s="169"/>
      <c r="Z106" s="170"/>
      <c r="AA106" s="169"/>
      <c r="AB106" s="169"/>
      <c r="AC106" s="169"/>
      <c r="AD106" s="169"/>
      <c r="AE106" s="169"/>
      <c r="AF106" s="169"/>
      <c r="AG106" s="169"/>
      <c r="AH106" s="170"/>
      <c r="AJ106" s="453">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3">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L106" s="453">
        <f ca="1">IF(AND($D106="Serviço",AL$12&lt;&gt;0,$H106&gt;0,OR(AUTOEVENTO&lt;&gt;"manual",$M106&lt;&gt;$A$15)),
        IF(Import.TipoArredondamento&lt;&gt;"TransfereGOV",
              ROUND(OFFSET($P106,0,AL$13),15-13*ORÇAMENTO!$AF$7)/$H106*OFFSET(ORÇAMENTO!$X$15,ROW(AL106)-ROW(AL$15),0),
              ROUND(ROUND(OFFSET($P106,0,AL$13),15-13*ORÇAMENTO!$AF$7)*OFFSET(ORÇAMENTO!$W$15,ROW(AL106)-ROW(AL$15),0),15-13*ORÇAMENTO!$AF$11)),
         0)</f>
        <v>0</v>
      </c>
      <c r="AM106" s="453">
        <f ca="1">IF(AND($D106="Serviço",AM$12&lt;&gt;0,$H106&gt;0,OR(AUTOEVENTO&lt;&gt;"manual",$M106&lt;&gt;$A$15)),
        IF(Import.TipoArredondamento&lt;&gt;"TransfereGOV",
              ROUND(OFFSET($P106,0,AM$13),15-13*ORÇAMENTO!$AF$7)/$H106*OFFSET(ORÇAMENTO!$X$15,ROW(AM106)-ROW(AM$15),0),
              ROUND(ROUND(OFFSET($P106,0,AM$13),15-13*ORÇAMENTO!$AF$7)*OFFSET(ORÇAMENTO!$W$15,ROW(AM106)-ROW(AM$15),0),15-13*ORÇAMENTO!$AF$11)),
         0)</f>
        <v>0</v>
      </c>
      <c r="AN106" s="453">
        <f ca="1">IF(AND($D106="Serviço",AN$12&lt;&gt;0,$H106&gt;0,OR(AUTOEVENTO&lt;&gt;"manual",$M106&lt;&gt;$A$15)),
        IF(Import.TipoArredondamento&lt;&gt;"TransfereGOV",
              ROUND(OFFSET($P106,0,AN$13),15-13*ORÇAMENTO!$AF$7)/$H106*OFFSET(ORÇAMENTO!$X$15,ROW(AN106)-ROW(AN$15),0),
              ROUND(ROUND(OFFSET($P106,0,AN$13),15-13*ORÇAMENTO!$AF$7)*OFFSET(ORÇAMENTO!$W$15,ROW(AN106)-ROW(AN$15),0),15-13*ORÇAMENTO!$AF$11)),
         0)</f>
        <v>0</v>
      </c>
      <c r="AO106" s="453">
        <f ca="1">IF(AND($D106="Serviço",AO$12&lt;&gt;0,$H106&gt;0,OR(AUTOEVENTO&lt;&gt;"manual",$M106&lt;&gt;$A$15)),
        IF(Import.TipoArredondamento&lt;&gt;"TransfereGOV",
              ROUND(OFFSET($P106,0,AO$13),15-13*ORÇAMENTO!$AF$7)/$H106*OFFSET(ORÇAMENTO!$X$15,ROW(AO106)-ROW(AO$15),0),
              ROUND(ROUND(OFFSET($P106,0,AO$13),15-13*ORÇAMENTO!$AF$7)*OFFSET(ORÇAMENTO!$W$15,ROW(AO106)-ROW(AO$15),0),15-13*ORÇAMENTO!$AF$11)),
         0)</f>
        <v>0</v>
      </c>
      <c r="AP106" s="453">
        <f ca="1">IF(AND($D106="Serviço",AP$12&lt;&gt;0,$H106&gt;0,OR(AUTOEVENTO&lt;&gt;"manual",$M106&lt;&gt;$A$15)),
        IF(Import.TipoArredondamento&lt;&gt;"TransfereGOV",
              ROUND(OFFSET($P106,0,AP$13),15-13*ORÇAMENTO!$AF$7)/$H106*OFFSET(ORÇAMENTO!$X$15,ROW(AP106)-ROW(AP$15),0),
              ROUND(ROUND(OFFSET($P106,0,AP$13),15-13*ORÇAMENTO!$AF$7)*OFFSET(ORÇAMENTO!$W$15,ROW(AP106)-ROW(AP$15),0),15-13*ORÇAMENTO!$AF$11)),
         0)</f>
        <v>0</v>
      </c>
      <c r="AQ106" s="453">
        <f ca="1">IF(AND($D106="Serviço",AQ$12&lt;&gt;0,$H106&gt;0,OR(AUTOEVENTO&lt;&gt;"manual",$M106&lt;&gt;$A$15)),
        IF(Import.TipoArredondamento&lt;&gt;"TransfereGOV",
              ROUND(OFFSET($P106,0,AQ$13),15-13*ORÇAMENTO!$AF$7)/$H106*OFFSET(ORÇAMENTO!$X$15,ROW(AQ106)-ROW(AQ$15),0),
              ROUND(ROUND(OFFSET($P106,0,AQ$13),15-13*ORÇAMENTO!$AF$7)*OFFSET(ORÇAMENTO!$W$15,ROW(AQ106)-ROW(AQ$15),0),15-13*ORÇAMENTO!$AF$11)),
         0)</f>
        <v>0</v>
      </c>
      <c r="AR106" s="453">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3">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3">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3">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3">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3">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3">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3">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3">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3">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C106" s="171">
        <f ca="1">IF(OR($D106&lt;&gt;"Serviço",AND(AUTOEVENTO="Manual",$M106=$A$15)),0,
         IF(OFFSET(CRONOPLE!$F$15,$M106-$A$15,BC$13)=0,10^12,OFFSET(CRONOPLE!$F$15,$M106-$A$15,BC$13)))</f>
        <v>0</v>
      </c>
      <c r="BD106" s="171">
        <f ca="1">IF(OR($D106&lt;&gt;"Serviço",AND(AUTOEVENTO="Manual",$M106=$A$15)),0,
         IF(OFFSET(CRONOPLE!$F$15,$M106-$A$15,BD$13)=0,10^12,OFFSET(CRONOPLE!$F$15,$M106-$A$15,BD$13)))</f>
        <v>0</v>
      </c>
      <c r="BE106" s="171">
        <f ca="1">IF(OR($D106&lt;&gt;"Serviço",AND(AUTOEVENTO="Manual",$M106=$A$15)),0,
         IF(OFFSET(CRONOPLE!$F$15,$M106-$A$15,BE$13)=0,10^12,OFFSET(CRONOPLE!$F$15,$M106-$A$15,BE$13)))</f>
        <v>0</v>
      </c>
      <c r="BF106" s="171">
        <f ca="1">IF(OR($D106&lt;&gt;"Serviço",AND(AUTOEVENTO="Manual",$M106=$A$15)),0,
         IF(OFFSET(CRONOPLE!$F$15,$M106-$A$15,BF$13)=0,10^12,OFFSET(CRONOPLE!$F$15,$M106-$A$15,BF$13)))</f>
        <v>0</v>
      </c>
      <c r="BG106" s="171">
        <f ca="1">IF(OR($D106&lt;&gt;"Serviço",AND(AUTOEVENTO="Manual",$M106=$A$15)),0,
         IF(OFFSET(CRONOPLE!$F$15,$M106-$A$15,BG$13)=0,10^12,OFFSET(CRONOPLE!$F$15,$M106-$A$15,BG$13)))</f>
        <v>0</v>
      </c>
      <c r="BH106" s="171">
        <f ca="1">IF(OR($D106&lt;&gt;"Serviço",AND(AUTOEVENTO="Manual",$M106=$A$15)),0,
         IF(OFFSET(CRONOPLE!$F$15,$M106-$A$15,BH$13)=0,10^12,OFFSET(CRONOPLE!$F$15,$M106-$A$15,BH$13)))</f>
        <v>0</v>
      </c>
      <c r="BI106" s="171">
        <f ca="1">IF(OR($D106&lt;&gt;"Serviço",AND(AUTOEVENTO="Manual",$M106=$A$15)),0,
         IF(OFFSET(CRONOPLE!$F$15,$M106-$A$15,BI$13)=0,10^12,OFFSET(CRONOPLE!$F$15,$M106-$A$15,BI$13)))</f>
        <v>0</v>
      </c>
      <c r="BJ106" s="171">
        <f ca="1">IF(OR($D106&lt;&gt;"Serviço",AND(AUTOEVENTO="Manual",$M106=$A$15)),0,
         IF(OFFSET(CRONOPLE!$F$15,$M106-$A$15,BJ$13)=0,10^12,OFFSET(CRONOPLE!$F$15,$M106-$A$15,BJ$13)))</f>
        <v>0</v>
      </c>
      <c r="BK106" s="171">
        <f ca="1">IF(OR($D106&lt;&gt;"Serviço",AND(AUTOEVENTO="Manual",$M106=$A$15)),0,
         IF(OFFSET(CRONOPLE!$F$15,$M106-$A$15,BK$13)=0,10^12,OFFSET(CRONOPLE!$F$15,$M106-$A$15,BK$13)))</f>
        <v>0</v>
      </c>
      <c r="BL106" s="171">
        <f ca="1">IF(OR($D106&lt;&gt;"Serviço",AND(AUTOEVENTO="Manual",$M106=$A$15)),0,
         IF(OFFSET(CRONOPLE!$F$15,$M106-$A$15,BL$13)=0,10^12,OFFSET(CRONOPLE!$F$15,$M106-$A$15,BL$13)))</f>
        <v>0</v>
      </c>
      <c r="BM106" s="171">
        <f ca="1">IF(OR($D106&lt;&gt;"Serviço",AND(AUTOEVENTO="Manual",$M106=$A$15)),0,
         IF(OFFSET(CRONOPLE!$F$15,$M106-$A$15,BM$13)=0,10^12,OFFSET(CRONOPLE!$F$15,$M106-$A$15,BM$13)))</f>
        <v>0</v>
      </c>
      <c r="BN106" s="171">
        <f ca="1">IF(OR($D106&lt;&gt;"Serviço",AND(AUTOEVENTO="Manual",$M106=$A$15)),0,
         IF(OFFSET(CRONOPLE!$F$15,$M106-$A$15,BN$13)=0,10^12,OFFSET(CRONOPLE!$F$15,$M106-$A$15,BN$13)))</f>
        <v>0</v>
      </c>
      <c r="BO106" s="171">
        <f ca="1">IF(OR($D106&lt;&gt;"Serviço",AND(AUTOEVENTO="Manual",$M106=$A$15)),0,
         IF(OFFSET(CRONOPLE!$F$15,$M106-$A$15,BO$13)=0,10^12,OFFSET(CRONOPLE!$F$15,$M106-$A$15,BO$13)))</f>
        <v>0</v>
      </c>
      <c r="BP106" s="171">
        <f ca="1">IF(OR($D106&lt;&gt;"Serviço",AND(AUTOEVENTO="Manual",$M106=$A$15)),0,
         IF(OFFSET(CRONOPLE!$F$15,$M106-$A$15,BP$13)=0,10^12,OFFSET(CRONOPLE!$F$15,$M106-$A$15,BP$13)))</f>
        <v>0</v>
      </c>
      <c r="BQ106" s="171">
        <f ca="1">IF(OR($D106&lt;&gt;"Serviço",AND(AUTOEVENTO="Manual",$M106=$A$15)),0,
         IF(OFFSET(CRONOPLE!$F$15,$M106-$A$15,BQ$13)=0,10^12,OFFSET(CRONOPLE!$F$15,$M106-$A$15,BQ$13)))</f>
        <v>0</v>
      </c>
      <c r="BR106" s="171">
        <f ca="1">IF(OR($D106&lt;&gt;"Serviço",AND(AUTOEVENTO="Manual",$M106=$A$15)),0,
         IF(OFFSET(CRONOPLE!$F$15,$M106-$A$15,BR$13)=0,10^12,OFFSET(CRONOPLE!$F$15,$M106-$A$15,BR$13)))</f>
        <v>0</v>
      </c>
      <c r="BS106" s="171">
        <f ca="1">IF(OR($D106&lt;&gt;"Serviço",AND(AUTOEVENTO="Manual",$M106=$A$15)),0,
         IF(OFFSET(CRONOPLE!$F$15,$M106-$A$15,BS$13)=0,10^12,OFFSET(CRONOPLE!$F$15,$M106-$A$15,BS$13)))</f>
        <v>0</v>
      </c>
      <c r="BT106" s="171">
        <f ca="1">IF(OR($D106&lt;&gt;"Serviço",AND(AUTOEVENTO="Manual",$M106=$A$15)),0,
         IF(OFFSET(CRONOPLE!$F$15,$M106-$A$15,BT$13)=0,10^12,OFFSET(CRONOPLE!$F$15,$M106-$A$15,BT$13)))</f>
        <v>0</v>
      </c>
      <c r="BV106" s="172">
        <f ca="1">IF(OR($D106&lt;&gt;"Serviço",AND(AUTOEVENTO="Manual",$M106=$A$15),$M106&gt;(ROW(PLE.lastrow)-ROW(PLE.firstrow))),0,
           IF(OFFSET(PLE!$G$15,$M106-$A$15,BV$13)="",10^12,OFFSET(PLE!$G$15,$M106-$A$15,BV$13)))</f>
        <v>0</v>
      </c>
      <c r="BW106" s="172">
        <f ca="1">IF(OR($D106&lt;&gt;"Serviço",AND(AUTOEVENTO="Manual",$M106=$A$15),$M106&gt;(ROW(PLE.lastrow)-ROW(PLE.firstrow))),0,
           IF(OFFSET(PLE!$G$15,$M106-$A$15,BW$13)="",10^12,OFFSET(PLE!$G$15,$M106-$A$15,BW$13)))</f>
        <v>0</v>
      </c>
      <c r="BX106" s="172">
        <f ca="1">IF(OR($D106&lt;&gt;"Serviço",AND(AUTOEVENTO="Manual",$M106=$A$15),$M106&gt;(ROW(PLE.lastrow)-ROW(PLE.firstrow))),0,
           IF(OFFSET(PLE!$G$15,$M106-$A$15,BX$13)="",10^12,OFFSET(PLE!$G$15,$M106-$A$15,BX$13)))</f>
        <v>0</v>
      </c>
      <c r="BY106" s="172">
        <f ca="1">IF(OR($D106&lt;&gt;"Serviço",AND(AUTOEVENTO="Manual",$M106=$A$15),$M106&gt;(ROW(PLE.lastrow)-ROW(PLE.firstrow))),0,
           IF(OFFSET(PLE!$G$15,$M106-$A$15,BY$13)="",10^12,OFFSET(PLE!$G$15,$M106-$A$15,BY$13)))</f>
        <v>0</v>
      </c>
      <c r="BZ106" s="172">
        <f ca="1">IF(OR($D106&lt;&gt;"Serviço",AND(AUTOEVENTO="Manual",$M106=$A$15),$M106&gt;(ROW(PLE.lastrow)-ROW(PLE.firstrow))),0,
           IF(OFFSET(PLE!$G$15,$M106-$A$15,BZ$13)="",10^12,OFFSET(PLE!$G$15,$M106-$A$15,BZ$13)))</f>
        <v>0</v>
      </c>
      <c r="CA106" s="172">
        <f ca="1">IF(OR($D106&lt;&gt;"Serviço",AND(AUTOEVENTO="Manual",$M106=$A$15),$M106&gt;(ROW(PLE.lastrow)-ROW(PLE.firstrow))),0,
           IF(OFFSET(PLE!$G$15,$M106-$A$15,CA$13)="",10^12,OFFSET(PLE!$G$15,$M106-$A$15,CA$13)))</f>
        <v>0</v>
      </c>
      <c r="CB106" s="172">
        <f ca="1">IF(OR($D106&lt;&gt;"Serviço",AND(AUTOEVENTO="Manual",$M106=$A$15),$M106&gt;(ROW(PLE.lastrow)-ROW(PLE.firstrow))),0,
           IF(OFFSET(PLE!$G$15,$M106-$A$15,CB$13)="",10^12,OFFSET(PLE!$G$15,$M106-$A$15,CB$13)))</f>
        <v>0</v>
      </c>
      <c r="CC106" s="172">
        <f ca="1">IF(OR($D106&lt;&gt;"Serviço",AND(AUTOEVENTO="Manual",$M106=$A$15),$M106&gt;(ROW(PLE.lastrow)-ROW(PLE.firstrow))),0,
           IF(OFFSET(PLE!$G$15,$M106-$A$15,CC$13)="",10^12,OFFSET(PLE!$G$15,$M106-$A$15,CC$13)))</f>
        <v>0</v>
      </c>
      <c r="CD106" s="172">
        <f ca="1">IF(OR($D106&lt;&gt;"Serviço",AND(AUTOEVENTO="Manual",$M106=$A$15),$M106&gt;(ROW(PLE.lastrow)-ROW(PLE.firstrow))),0,
           IF(OFFSET(PLE!$G$15,$M106-$A$15,CD$13)="",10^12,OFFSET(PLE!$G$15,$M106-$A$15,CD$13)))</f>
        <v>0</v>
      </c>
      <c r="CE106" s="172">
        <f ca="1">IF(OR($D106&lt;&gt;"Serviço",AND(AUTOEVENTO="Manual",$M106=$A$15),$M106&gt;(ROW(PLE.lastrow)-ROW(PLE.firstrow))),0,
           IF(OFFSET(PLE!$G$15,$M106-$A$15,CE$13)="",10^12,OFFSET(PLE!$G$15,$M106-$A$15,CE$13)))</f>
        <v>0</v>
      </c>
      <c r="CF106" s="172">
        <f ca="1">IF(OR($D106&lt;&gt;"Serviço",AND(AUTOEVENTO="Manual",$M106=$A$15),$M106&gt;(ROW(PLE.lastrow)-ROW(PLE.firstrow))),0,
           IF(OFFSET(PLE!$G$15,$M106-$A$15,CF$13)="",10^12,OFFSET(PLE!$G$15,$M106-$A$15,CF$13)))</f>
        <v>0</v>
      </c>
      <c r="CG106" s="172">
        <f ca="1">IF(OR($D106&lt;&gt;"Serviço",AND(AUTOEVENTO="Manual",$M106=$A$15),$M106&gt;(ROW(PLE.lastrow)-ROW(PLE.firstrow))),0,
           IF(OFFSET(PLE!$G$15,$M106-$A$15,CG$13)="",10^12,OFFSET(PLE!$G$15,$M106-$A$15,CG$13)))</f>
        <v>0</v>
      </c>
      <c r="CH106" s="172">
        <f ca="1">IF(OR($D106&lt;&gt;"Serviço",AND(AUTOEVENTO="Manual",$M106=$A$15),$M106&gt;(ROW(PLE.lastrow)-ROW(PLE.firstrow))),0,
           IF(OFFSET(PLE!$G$15,$M106-$A$15,CH$13)="",10^12,OFFSET(PLE!$G$15,$M106-$A$15,CH$13)))</f>
        <v>0</v>
      </c>
      <c r="CI106" s="172">
        <f ca="1">IF(OR($D106&lt;&gt;"Serviço",AND(AUTOEVENTO="Manual",$M106=$A$15),$M106&gt;(ROW(PLE.lastrow)-ROW(PLE.firstrow))),0,
           IF(OFFSET(PLE!$G$15,$M106-$A$15,CI$13)="",10^12,OFFSET(PLE!$G$15,$M106-$A$15,CI$13)))</f>
        <v>0</v>
      </c>
      <c r="CJ106" s="172">
        <f ca="1">IF(OR($D106&lt;&gt;"Serviço",AND(AUTOEVENTO="Manual",$M106=$A$15),$M106&gt;(ROW(PLE.lastrow)-ROW(PLE.firstrow))),0,
           IF(OFFSET(PLE!$G$15,$M106-$A$15,CJ$13)="",10^12,OFFSET(PLE!$G$15,$M106-$A$15,CJ$13)))</f>
        <v>0</v>
      </c>
      <c r="CK106" s="172">
        <f ca="1">IF(OR($D106&lt;&gt;"Serviço",AND(AUTOEVENTO="Manual",$M106=$A$15),$M106&gt;(ROW(PLE.lastrow)-ROW(PLE.firstrow))),0,
           IF(OFFSET(PLE!$G$15,$M106-$A$15,CK$13)="",10^12,OFFSET(PLE!$G$15,$M106-$A$15,CK$13)))</f>
        <v>0</v>
      </c>
      <c r="CL106" s="172">
        <f ca="1">IF(OR($D106&lt;&gt;"Serviço",AND(AUTOEVENTO="Manual",$M106=$A$15),$M106&gt;(ROW(PLE.lastrow)-ROW(PLE.firstrow))),0,
           IF(OFFSET(PLE!$G$15,$M106-$A$15,CL$13)="",10^12,OFFSET(PLE!$G$15,$M106-$A$15,CL$13)))</f>
        <v>0</v>
      </c>
      <c r="CM106" s="172">
        <f ca="1">IF(OR($D106&lt;&gt;"Serviço",AND(AUTOEVENTO="Manual",$M106=$A$15),$M106&gt;(ROW(PLE.lastrow)-ROW(PLE.firstrow))),0,
           IF(OFFSET(PLE!$G$15,$M106-$A$15,CM$13)="",10^12,OFFSET(PLE!$G$15,$M106-$A$15,CM$13)))</f>
        <v>0</v>
      </c>
    </row>
    <row r="107" spans="1:91" ht="25.5" x14ac:dyDescent="0.2">
      <c r="A107" s="7">
        <f t="shared" ca="1" si="11"/>
        <v>4</v>
      </c>
      <c r="B107" s="7" t="str">
        <f ca="1">OFFSET(ORÇAMENTO!C$15,ROW(B107)-ROW(B$15),0)</f>
        <v>S</v>
      </c>
      <c r="C107" s="7" t="str">
        <f ca="1">OFFSET(ORÇAMENTO!L$15,ROW(C107)-ROW(C$15),0)</f>
        <v>F</v>
      </c>
      <c r="D107" s="116" t="str">
        <f ca="1">OFFSET(ORÇAMENTO!N$15,ROW(D107)-ROW(D$15),0)</f>
        <v>Serviço</v>
      </c>
      <c r="E107" s="117" t="str">
        <f ca="1">OFFSET(ORÇAMENTO!O$15,ROW(E107)-ROW(E$15),0)</f>
        <v>1.5.2.1.1.</v>
      </c>
      <c r="F107" s="163" t="str">
        <f ca="1">OFFSET(ORÇAMENTO!R$15,ROW(F107)-ROW(F$15),0)</f>
        <v>MOBILIZAÇÃO E DESMOBILIZAÇÃO DE EQUIPAMENTO - HÉLICE CONTÍNUA</v>
      </c>
      <c r="G107" s="164" t="str">
        <f ca="1">IF($D107&lt;&gt;"Serviço","",OFFSET(ORÇAMENTO!S$15,ROW(G107)-ROW(G$15),0))</f>
        <v>UN</v>
      </c>
      <c r="H107" s="122" cm="1">
        <f t="array" aca="1" ref="H107" ca="1">IF($D107&lt;&gt;"Serviço",0,IF(ACOMPANHAMENTO="BM",ROUND(OFFSET(ORÇAMENTO!AJ$15,ROW(H107)-ROW(H$15),0),15-13*ORÇAMENTO!$AF$7),SUMPRODUCT(($Q$1:$AI$1=1)*ROUND($Q107:$AI107,15-13*ORÇAMENTO!$AF$7))))</f>
        <v>1</v>
      </c>
      <c r="I107" s="468" t="s">
        <v>1291</v>
      </c>
      <c r="J107" s="640" t="str" cm="1">
        <f t="array" aca="1" ref="J107" ca="1">IF(OR(B107&lt;&gt;"S",CÁLCULO.FrentesPreenchidas=0),"",IF(AND(ACOMPANHAMENTO="PLE",AUTOEVENTO="Manual",OR(H107&gt;0,ORÇAMENTO!AC107="QUANT."),OR(K107="",M107=0,N107="")),"►E",IF(AND(ACOMPANHAMENTO="PLE",ORÇAMENTO!AC107="QUANT."),"►Q",IF(AND(ACOMPANHAMENTO="PLE",H107&lt;&gt;SUMPRODUCT(($Q$1:$AI$1=1)*ROUND(Q107:AI107,15))),"►S",IF(AND(COUNTIF($P$11:$AI$11,"▼")=0,H107&gt;0,I107=""),"◄M","")))))</f>
        <v/>
      </c>
      <c r="K107" s="641" t="s">
        <v>1389</v>
      </c>
      <c r="L107" s="165" t="s">
        <v>764</v>
      </c>
      <c r="M107" s="166">
        <f ca="1">IF($D107&lt;&gt;"Serviço","",
          IF(AUTOEVENTO="manual",$A107,
                IF(ISERROR(MATCH($A107,$A$15:OFFSET($A107,-1,0),0)),MAX($M$15:OFFSET(M107,-1,0))+1,
                      INDEX($M$15:OFFSET(M107,-1,0),MATCH($A107,$A$15:OFFSET($A107,-1,0),0)))))</f>
        <v>4</v>
      </c>
      <c r="N107" s="167" t="str">
        <f ca="1">IF($D107&lt;&gt;"Serviço","",
         IF(AUTOEVENTO="Manual",
                IF($A107=0,"&lt;-- defina o número do agrupador",
                       OFFSET(EVENTOS!$D$15,$A107-$A$15,0)),
                OFFSET($F$15,$A107,0)))</f>
        <v>Estruturas de Concreto</v>
      </c>
      <c r="O107" s="168"/>
      <c r="Q107" s="168"/>
      <c r="R107" s="169"/>
      <c r="S107" s="169"/>
      <c r="T107" s="169">
        <v>1</v>
      </c>
      <c r="U107" s="169"/>
      <c r="V107" s="169"/>
      <c r="W107" s="169"/>
      <c r="X107" s="169"/>
      <c r="Y107" s="169"/>
      <c r="Z107" s="170"/>
      <c r="AA107" s="169"/>
      <c r="AB107" s="169"/>
      <c r="AC107" s="169"/>
      <c r="AD107" s="169"/>
      <c r="AE107" s="169"/>
      <c r="AF107" s="169"/>
      <c r="AG107" s="169"/>
      <c r="AH107" s="170"/>
      <c r="AJ107" s="453">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0</v>
      </c>
      <c r="AK107" s="453">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0</v>
      </c>
      <c r="AL107" s="453">
        <f ca="1">IF(AND($D107="Serviço",AL$12&lt;&gt;0,$H107&gt;0,OR(AUTOEVENTO&lt;&gt;"manual",$M107&lt;&gt;$A$15)),
        IF(Import.TipoArredondamento&lt;&gt;"TransfereGOV",
              ROUND(OFFSET($P107,0,AL$13),15-13*ORÇAMENTO!$AF$7)/$H107*OFFSET(ORÇAMENTO!$X$15,ROW(AL107)-ROW(AL$15),0),
              ROUND(ROUND(OFFSET($P107,0,AL$13),15-13*ORÇAMENTO!$AF$7)*OFFSET(ORÇAMENTO!$W$15,ROW(AL107)-ROW(AL$15),0),15-13*ORÇAMENTO!$AF$11)),
         0)</f>
        <v>0</v>
      </c>
      <c r="AM107" s="453">
        <f ca="1">IF(AND($D107="Serviço",AM$12&lt;&gt;0,$H107&gt;0,OR(AUTOEVENTO&lt;&gt;"manual",$M107&lt;&gt;$A$15)),
        IF(Import.TipoArredondamento&lt;&gt;"TransfereGOV",
              ROUND(OFFSET($P107,0,AM$13),15-13*ORÇAMENTO!$AF$7)/$H107*OFFSET(ORÇAMENTO!$X$15,ROW(AM107)-ROW(AM$15),0),
              ROUND(ROUND(OFFSET($P107,0,AM$13),15-13*ORÇAMENTO!$AF$7)*OFFSET(ORÇAMENTO!$W$15,ROW(AM107)-ROW(AM$15),0),15-13*ORÇAMENTO!$AF$11)),
         0)</f>
        <v>0</v>
      </c>
      <c r="AN107" s="453">
        <f ca="1">IF(AND($D107="Serviço",AN$12&lt;&gt;0,$H107&gt;0,OR(AUTOEVENTO&lt;&gt;"manual",$M107&lt;&gt;$A$15)),
        IF(Import.TipoArredondamento&lt;&gt;"TransfereGOV",
              ROUND(OFFSET($P107,0,AN$13),15-13*ORÇAMENTO!$AF$7)/$H107*OFFSET(ORÇAMENTO!$X$15,ROW(AN107)-ROW(AN$15),0),
              ROUND(ROUND(OFFSET($P107,0,AN$13),15-13*ORÇAMENTO!$AF$7)*OFFSET(ORÇAMENTO!$W$15,ROW(AN107)-ROW(AN$15),0),15-13*ORÇAMENTO!$AF$11)),
         0)</f>
        <v>0</v>
      </c>
      <c r="AO107" s="453">
        <f ca="1">IF(AND($D107="Serviço",AO$12&lt;&gt;0,$H107&gt;0,OR(AUTOEVENTO&lt;&gt;"manual",$M107&lt;&gt;$A$15)),
        IF(Import.TipoArredondamento&lt;&gt;"TransfereGOV",
              ROUND(OFFSET($P107,0,AO$13),15-13*ORÇAMENTO!$AF$7)/$H107*OFFSET(ORÇAMENTO!$X$15,ROW(AO107)-ROW(AO$15),0),
              ROUND(ROUND(OFFSET($P107,0,AO$13),15-13*ORÇAMENTO!$AF$7)*OFFSET(ORÇAMENTO!$W$15,ROW(AO107)-ROW(AO$15),0),15-13*ORÇAMENTO!$AF$11)),
         0)</f>
        <v>0</v>
      </c>
      <c r="AP107" s="453">
        <f ca="1">IF(AND($D107="Serviço",AP$12&lt;&gt;0,$H107&gt;0,OR(AUTOEVENTO&lt;&gt;"manual",$M107&lt;&gt;$A$15)),
        IF(Import.TipoArredondamento&lt;&gt;"TransfereGOV",
              ROUND(OFFSET($P107,0,AP$13),15-13*ORÇAMENTO!$AF$7)/$H107*OFFSET(ORÇAMENTO!$X$15,ROW(AP107)-ROW(AP$15),0),
              ROUND(ROUND(OFFSET($P107,0,AP$13),15-13*ORÇAMENTO!$AF$7)*OFFSET(ORÇAMENTO!$W$15,ROW(AP107)-ROW(AP$15),0),15-13*ORÇAMENTO!$AF$11)),
         0)</f>
        <v>0</v>
      </c>
      <c r="AQ107" s="453">
        <f ca="1">IF(AND($D107="Serviço",AQ$12&lt;&gt;0,$H107&gt;0,OR(AUTOEVENTO&lt;&gt;"manual",$M107&lt;&gt;$A$15)),
        IF(Import.TipoArredondamento&lt;&gt;"TransfereGOV",
              ROUND(OFFSET($P107,0,AQ$13),15-13*ORÇAMENTO!$AF$7)/$H107*OFFSET(ORÇAMENTO!$X$15,ROW(AQ107)-ROW(AQ$15),0),
              ROUND(ROUND(OFFSET($P107,0,AQ$13),15-13*ORÇAMENTO!$AF$7)*OFFSET(ORÇAMENTO!$W$15,ROW(AQ107)-ROW(AQ$15),0),15-13*ORÇAMENTO!$AF$11)),
         0)</f>
        <v>0</v>
      </c>
      <c r="AR107" s="453">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3">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3">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3">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3">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3">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3">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3">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3">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3">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C107" s="171">
        <f ca="1">IF(OR($D107&lt;&gt;"Serviço",AND(AUTOEVENTO="Manual",$M107=$A$15)),0,
         IF(OFFSET(CRONOPLE!$F$15,$M107-$A$15,BC$13)=0,10^12,OFFSET(CRONOPLE!$F$15,$M107-$A$15,BC$13)))</f>
        <v>1</v>
      </c>
      <c r="BD107" s="171">
        <f ca="1">IF(OR($D107&lt;&gt;"Serviço",AND(AUTOEVENTO="Manual",$M107=$A$15)),0,
         IF(OFFSET(CRONOPLE!$F$15,$M107-$A$15,BD$13)=0,10^12,OFFSET(CRONOPLE!$F$15,$M107-$A$15,BD$13)))</f>
        <v>2</v>
      </c>
      <c r="BE107" s="171">
        <f ca="1">IF(OR($D107&lt;&gt;"Serviço",AND(AUTOEVENTO="Manual",$M107=$A$15)),0,
         IF(OFFSET(CRONOPLE!$F$15,$M107-$A$15,BE$13)=0,10^12,OFFSET(CRONOPLE!$F$15,$M107-$A$15,BE$13)))</f>
        <v>3</v>
      </c>
      <c r="BF107" s="171">
        <f ca="1">IF(OR($D107&lt;&gt;"Serviço",AND(AUTOEVENTO="Manual",$M107=$A$15)),0,
         IF(OFFSET(CRONOPLE!$F$15,$M107-$A$15,BF$13)=0,10^12,OFFSET(CRONOPLE!$F$15,$M107-$A$15,BF$13)))</f>
        <v>4</v>
      </c>
      <c r="BG107" s="171">
        <f ca="1">IF(OR($D107&lt;&gt;"Serviço",AND(AUTOEVENTO="Manual",$M107=$A$15)),0,
         IF(OFFSET(CRONOPLE!$F$15,$M107-$A$15,BG$13)=0,10^12,OFFSET(CRONOPLE!$F$15,$M107-$A$15,BG$13)))</f>
        <v>5</v>
      </c>
      <c r="BH107" s="171">
        <f ca="1">IF(OR($D107&lt;&gt;"Serviço",AND(AUTOEVENTO="Manual",$M107=$A$15)),0,
         IF(OFFSET(CRONOPLE!$F$15,$M107-$A$15,BH$13)=0,10^12,OFFSET(CRONOPLE!$F$15,$M107-$A$15,BH$13)))</f>
        <v>6</v>
      </c>
      <c r="BI107" s="171">
        <f ca="1">IF(OR($D107&lt;&gt;"Serviço",AND(AUTOEVENTO="Manual",$M107=$A$15)),0,
         IF(OFFSET(CRONOPLE!$F$15,$M107-$A$15,BI$13)=0,10^12,OFFSET(CRONOPLE!$F$15,$M107-$A$15,BI$13)))</f>
        <v>7</v>
      </c>
      <c r="BJ107" s="171">
        <f ca="1">IF(OR($D107&lt;&gt;"Serviço",AND(AUTOEVENTO="Manual",$M107=$A$15)),0,
         IF(OFFSET(CRONOPLE!$F$15,$M107-$A$15,BJ$13)=0,10^12,OFFSET(CRONOPLE!$F$15,$M107-$A$15,BJ$13)))</f>
        <v>8</v>
      </c>
      <c r="BK107" s="171">
        <f ca="1">IF(OR($D107&lt;&gt;"Serviço",AND(AUTOEVENTO="Manual",$M107=$A$15)),0,
         IF(OFFSET(CRONOPLE!$F$15,$M107-$A$15,BK$13)=0,10^12,OFFSET(CRONOPLE!$F$15,$M107-$A$15,BK$13)))</f>
        <v>9</v>
      </c>
      <c r="BL107" s="171">
        <f ca="1">IF(OR($D107&lt;&gt;"Serviço",AND(AUTOEVENTO="Manual",$M107=$A$15)),0,
         IF(OFFSET(CRONOPLE!$F$15,$M107-$A$15,BL$13)=0,10^12,OFFSET(CRONOPLE!$F$15,$M107-$A$15,BL$13)))</f>
        <v>10</v>
      </c>
      <c r="BM107" s="171">
        <f ca="1">IF(OR($D107&lt;&gt;"Serviço",AND(AUTOEVENTO="Manual",$M107=$A$15)),0,
         IF(OFFSET(CRONOPLE!$F$15,$M107-$A$15,BM$13)=0,10^12,OFFSET(CRONOPLE!$F$15,$M107-$A$15,BM$13)))</f>
        <v>1000000000000</v>
      </c>
      <c r="BN107" s="171">
        <f ca="1">IF(OR($D107&lt;&gt;"Serviço",AND(AUTOEVENTO="Manual",$M107=$A$15)),0,
         IF(OFFSET(CRONOPLE!$F$15,$M107-$A$15,BN$13)=0,10^12,OFFSET(CRONOPLE!$F$15,$M107-$A$15,BN$13)))</f>
        <v>1000000000000</v>
      </c>
      <c r="BO107" s="171">
        <f ca="1">IF(OR($D107&lt;&gt;"Serviço",AND(AUTOEVENTO="Manual",$M107=$A$15)),0,
         IF(OFFSET(CRONOPLE!$F$15,$M107-$A$15,BO$13)=0,10^12,OFFSET(CRONOPLE!$F$15,$M107-$A$15,BO$13)))</f>
        <v>1000000000000</v>
      </c>
      <c r="BP107" s="171">
        <f ca="1">IF(OR($D107&lt;&gt;"Serviço",AND(AUTOEVENTO="Manual",$M107=$A$15)),0,
         IF(OFFSET(CRONOPLE!$F$15,$M107-$A$15,BP$13)=0,10^12,OFFSET(CRONOPLE!$F$15,$M107-$A$15,BP$13)))</f>
        <v>1000000000000</v>
      </c>
      <c r="BQ107" s="171">
        <f ca="1">IF(OR($D107&lt;&gt;"Serviço",AND(AUTOEVENTO="Manual",$M107=$A$15)),0,
         IF(OFFSET(CRONOPLE!$F$15,$M107-$A$15,BQ$13)=0,10^12,OFFSET(CRONOPLE!$F$15,$M107-$A$15,BQ$13)))</f>
        <v>1000000000000</v>
      </c>
      <c r="BR107" s="171">
        <f ca="1">IF(OR($D107&lt;&gt;"Serviço",AND(AUTOEVENTO="Manual",$M107=$A$15)),0,
         IF(OFFSET(CRONOPLE!$F$15,$M107-$A$15,BR$13)=0,10^12,OFFSET(CRONOPLE!$F$15,$M107-$A$15,BR$13)))</f>
        <v>1000000000000</v>
      </c>
      <c r="BS107" s="171">
        <f ca="1">IF(OR($D107&lt;&gt;"Serviço",AND(AUTOEVENTO="Manual",$M107=$A$15)),0,
         IF(OFFSET(CRONOPLE!$F$15,$M107-$A$15,BS$13)=0,10^12,OFFSET(CRONOPLE!$F$15,$M107-$A$15,BS$13)))</f>
        <v>1000000000000</v>
      </c>
      <c r="BT107" s="171">
        <f ca="1">IF(OR($D107&lt;&gt;"Serviço",AND(AUTOEVENTO="Manual",$M107=$A$15)),0,
         IF(OFFSET(CRONOPLE!$F$15,$M107-$A$15,BT$13)=0,10^12,OFFSET(CRONOPLE!$F$15,$M107-$A$15,BT$13)))</f>
        <v>1000000000000</v>
      </c>
      <c r="BV107" s="172">
        <f ca="1">IF(OR($D107&lt;&gt;"Serviço",AND(AUTOEVENTO="Manual",$M107=$A$15),$M107&gt;(ROW(PLE.lastrow)-ROW(PLE.firstrow))),0,
           IF(OFFSET(PLE!$G$15,$M107-$A$15,BV$13)="",10^12,OFFSET(PLE!$G$15,$M107-$A$15,BV$13)))</f>
        <v>1000000000000</v>
      </c>
      <c r="BW107" s="172">
        <f ca="1">IF(OR($D107&lt;&gt;"Serviço",AND(AUTOEVENTO="Manual",$M107=$A$15),$M107&gt;(ROW(PLE.lastrow)-ROW(PLE.firstrow))),0,
           IF(OFFSET(PLE!$G$15,$M107-$A$15,BW$13)="",10^12,OFFSET(PLE!$G$15,$M107-$A$15,BW$13)))</f>
        <v>1000000000000</v>
      </c>
      <c r="BX107" s="172">
        <f ca="1">IF(OR($D107&lt;&gt;"Serviço",AND(AUTOEVENTO="Manual",$M107=$A$15),$M107&gt;(ROW(PLE.lastrow)-ROW(PLE.firstrow))),0,
           IF(OFFSET(PLE!$G$15,$M107-$A$15,BX$13)="",10^12,OFFSET(PLE!$G$15,$M107-$A$15,BX$13)))</f>
        <v>1000000000000</v>
      </c>
      <c r="BY107" s="172">
        <f ca="1">IF(OR($D107&lt;&gt;"Serviço",AND(AUTOEVENTO="Manual",$M107=$A$15),$M107&gt;(ROW(PLE.lastrow)-ROW(PLE.firstrow))),0,
           IF(OFFSET(PLE!$G$15,$M107-$A$15,BY$13)="",10^12,OFFSET(PLE!$G$15,$M107-$A$15,BY$13)))</f>
        <v>1000000000000</v>
      </c>
      <c r="BZ107" s="172">
        <f ca="1">IF(OR($D107&lt;&gt;"Serviço",AND(AUTOEVENTO="Manual",$M107=$A$15),$M107&gt;(ROW(PLE.lastrow)-ROW(PLE.firstrow))),0,
           IF(OFFSET(PLE!$G$15,$M107-$A$15,BZ$13)="",10^12,OFFSET(PLE!$G$15,$M107-$A$15,BZ$13)))</f>
        <v>1000000000000</v>
      </c>
      <c r="CA107" s="172">
        <f ca="1">IF(OR($D107&lt;&gt;"Serviço",AND(AUTOEVENTO="Manual",$M107=$A$15),$M107&gt;(ROW(PLE.lastrow)-ROW(PLE.firstrow))),0,
           IF(OFFSET(PLE!$G$15,$M107-$A$15,CA$13)="",10^12,OFFSET(PLE!$G$15,$M107-$A$15,CA$13)))</f>
        <v>1000000000000</v>
      </c>
      <c r="CB107" s="172">
        <f ca="1">IF(OR($D107&lt;&gt;"Serviço",AND(AUTOEVENTO="Manual",$M107=$A$15),$M107&gt;(ROW(PLE.lastrow)-ROW(PLE.firstrow))),0,
           IF(OFFSET(PLE!$G$15,$M107-$A$15,CB$13)="",10^12,OFFSET(PLE!$G$15,$M107-$A$15,CB$13)))</f>
        <v>1000000000000</v>
      </c>
      <c r="CC107" s="172">
        <f ca="1">IF(OR($D107&lt;&gt;"Serviço",AND(AUTOEVENTO="Manual",$M107=$A$15),$M107&gt;(ROW(PLE.lastrow)-ROW(PLE.firstrow))),0,
           IF(OFFSET(PLE!$G$15,$M107-$A$15,CC$13)="",10^12,OFFSET(PLE!$G$15,$M107-$A$15,CC$13)))</f>
        <v>1000000000000</v>
      </c>
      <c r="CD107" s="172">
        <f ca="1">IF(OR($D107&lt;&gt;"Serviço",AND(AUTOEVENTO="Manual",$M107=$A$15),$M107&gt;(ROW(PLE.lastrow)-ROW(PLE.firstrow))),0,
           IF(OFFSET(PLE!$G$15,$M107-$A$15,CD$13)="",10^12,OFFSET(PLE!$G$15,$M107-$A$15,CD$13)))</f>
        <v>1000000000000</v>
      </c>
      <c r="CE107" s="172">
        <f ca="1">IF(OR($D107&lt;&gt;"Serviço",AND(AUTOEVENTO="Manual",$M107=$A$15),$M107&gt;(ROW(PLE.lastrow)-ROW(PLE.firstrow))),0,
           IF(OFFSET(PLE!$G$15,$M107-$A$15,CE$13)="",10^12,OFFSET(PLE!$G$15,$M107-$A$15,CE$13)))</f>
        <v>1000000000000</v>
      </c>
      <c r="CF107" s="172">
        <f ca="1">IF(OR($D107&lt;&gt;"Serviço",AND(AUTOEVENTO="Manual",$M107=$A$15),$M107&gt;(ROW(PLE.lastrow)-ROW(PLE.firstrow))),0,
           IF(OFFSET(PLE!$G$15,$M107-$A$15,CF$13)="",10^12,OFFSET(PLE!$G$15,$M107-$A$15,CF$13)))</f>
        <v>1000000000000</v>
      </c>
      <c r="CG107" s="172">
        <f ca="1">IF(OR($D107&lt;&gt;"Serviço",AND(AUTOEVENTO="Manual",$M107=$A$15),$M107&gt;(ROW(PLE.lastrow)-ROW(PLE.firstrow))),0,
           IF(OFFSET(PLE!$G$15,$M107-$A$15,CG$13)="",10^12,OFFSET(PLE!$G$15,$M107-$A$15,CG$13)))</f>
        <v>1000000000000</v>
      </c>
      <c r="CH107" s="172">
        <f ca="1">IF(OR($D107&lt;&gt;"Serviço",AND(AUTOEVENTO="Manual",$M107=$A$15),$M107&gt;(ROW(PLE.lastrow)-ROW(PLE.firstrow))),0,
           IF(OFFSET(PLE!$G$15,$M107-$A$15,CH$13)="",10^12,OFFSET(PLE!$G$15,$M107-$A$15,CH$13)))</f>
        <v>1000000000000</v>
      </c>
      <c r="CI107" s="172">
        <f ca="1">IF(OR($D107&lt;&gt;"Serviço",AND(AUTOEVENTO="Manual",$M107=$A$15),$M107&gt;(ROW(PLE.lastrow)-ROW(PLE.firstrow))),0,
           IF(OFFSET(PLE!$G$15,$M107-$A$15,CI$13)="",10^12,OFFSET(PLE!$G$15,$M107-$A$15,CI$13)))</f>
        <v>1000000000000</v>
      </c>
      <c r="CJ107" s="172">
        <f ca="1">IF(OR($D107&lt;&gt;"Serviço",AND(AUTOEVENTO="Manual",$M107=$A$15),$M107&gt;(ROW(PLE.lastrow)-ROW(PLE.firstrow))),0,
           IF(OFFSET(PLE!$G$15,$M107-$A$15,CJ$13)="",10^12,OFFSET(PLE!$G$15,$M107-$A$15,CJ$13)))</f>
        <v>1000000000000</v>
      </c>
      <c r="CK107" s="172">
        <f ca="1">IF(OR($D107&lt;&gt;"Serviço",AND(AUTOEVENTO="Manual",$M107=$A$15),$M107&gt;(ROW(PLE.lastrow)-ROW(PLE.firstrow))),0,
           IF(OFFSET(PLE!$G$15,$M107-$A$15,CK$13)="",10^12,OFFSET(PLE!$G$15,$M107-$A$15,CK$13)))</f>
        <v>1000000000000</v>
      </c>
      <c r="CL107" s="172">
        <f ca="1">IF(OR($D107&lt;&gt;"Serviço",AND(AUTOEVENTO="Manual",$M107=$A$15),$M107&gt;(ROW(PLE.lastrow)-ROW(PLE.firstrow))),0,
           IF(OFFSET(PLE!$G$15,$M107-$A$15,CL$13)="",10^12,OFFSET(PLE!$G$15,$M107-$A$15,CL$13)))</f>
        <v>1000000000000</v>
      </c>
      <c r="CM107" s="172">
        <f ca="1">IF(OR($D107&lt;&gt;"Serviço",AND(AUTOEVENTO="Manual",$M107=$A$15),$M107&gt;(ROW(PLE.lastrow)-ROW(PLE.firstrow))),0,
           IF(OFFSET(PLE!$G$15,$M107-$A$15,CM$13)="",10^12,OFFSET(PLE!$G$15,$M107-$A$15,CM$13)))</f>
        <v>1000000000000</v>
      </c>
    </row>
    <row r="108" spans="1:91" ht="63.75" x14ac:dyDescent="0.2">
      <c r="A108" s="7">
        <f t="shared" ca="1" si="11"/>
        <v>4</v>
      </c>
      <c r="B108" s="7" t="str">
        <f ca="1">OFFSET(ORÇAMENTO!C$15,ROW(B108)-ROW(B$15),0)</f>
        <v>S</v>
      </c>
      <c r="C108" s="7" t="str">
        <f ca="1">OFFSET(ORÇAMENTO!L$15,ROW(C108)-ROW(C$15),0)</f>
        <v>F</v>
      </c>
      <c r="D108" s="116" t="str">
        <f ca="1">OFFSET(ORÇAMENTO!N$15,ROW(D108)-ROW(D$15),0)</f>
        <v>Serviço</v>
      </c>
      <c r="E108" s="117" t="str">
        <f ca="1">OFFSET(ORÇAMENTO!O$15,ROW(E108)-ROW(E$15),0)</f>
        <v>1.5.2.1.2.</v>
      </c>
      <c r="F108" s="163" t="str">
        <f ca="1">OFFSET(ORÇAMENTO!R$15,ROW(F108)-ROW(F$15),0)</f>
        <v>EXECUÇÃO DE ESTACA TIPO HÉLICE CONTÍNUA, DIÂMETRO 50CM, INCLUSIVE AFASTAMENTO LATERAL, EXCLUSIVE ARMAÇÃO, CONCRETO ESTRUTURAL, TRANSPORTE E RETIRADA DO MATERIAL ESCAVADO</v>
      </c>
      <c r="G108" s="164" t="str">
        <f ca="1">IF($D108&lt;&gt;"Serviço","",OFFSET(ORÇAMENTO!S$15,ROW(G108)-ROW(G$15),0))</f>
        <v>M</v>
      </c>
      <c r="H108" s="122" cm="1">
        <f t="array" aca="1" ref="H108" ca="1">IF($D108&lt;&gt;"Serviço",0,IF(ACOMPANHAMENTO="BM",ROUND(OFFSET(ORÇAMENTO!AJ$15,ROW(H108)-ROW(H$15),0),15-13*ORÇAMENTO!$AF$7),SUMPRODUCT(($Q$1:$AI$1=1)*ROUND($Q108:$AI108,15-13*ORÇAMENTO!$AF$7))))</f>
        <v>256</v>
      </c>
      <c r="I108" s="468" t="s">
        <v>1318</v>
      </c>
      <c r="J108" s="640" t="str" cm="1">
        <f t="array" aca="1" ref="J108" ca="1">IF(OR(B108&lt;&gt;"S",CÁLCULO.FrentesPreenchidas=0),"",IF(AND(ACOMPANHAMENTO="PLE",AUTOEVENTO="Manual",OR(H108&gt;0,ORÇAMENTO!AC108="QUANT."),OR(K108="",M108=0,N108="")),"►E",IF(AND(ACOMPANHAMENTO="PLE",ORÇAMENTO!AC108="QUANT."),"►Q",IF(AND(ACOMPANHAMENTO="PLE",H108&lt;&gt;SUMPRODUCT(($Q$1:$AI$1=1)*ROUND(Q108:AI108,15))),"►S",IF(AND(COUNTIF($P$11:$AI$11,"▼")=0,H108&gt;0,I108=""),"◄M","")))))</f>
        <v/>
      </c>
      <c r="K108" s="641" t="s">
        <v>1389</v>
      </c>
      <c r="L108" s="165" t="s">
        <v>764</v>
      </c>
      <c r="M108" s="166">
        <f ca="1">IF($D108&lt;&gt;"Serviço","",
          IF(AUTOEVENTO="manual",$A108,
                IF(ISERROR(MATCH($A108,$A$15:OFFSET($A108,-1,0),0)),MAX($M$15:OFFSET(M108,-1,0))+1,
                      INDEX($M$15:OFFSET(M108,-1,0),MATCH($A108,$A$15:OFFSET($A108,-1,0),0)))))</f>
        <v>4</v>
      </c>
      <c r="N108" s="167" t="str">
        <f ca="1">IF($D108&lt;&gt;"Serviço","",
         IF(AUTOEVENTO="Manual",
                IF($A108=0,"&lt;-- defina o número do agrupador",
                       OFFSET(EVENTOS!$D$15,$A108-$A$15,0)),
                OFFSET($F$15,$A108,0)))</f>
        <v>Estruturas de Concreto</v>
      </c>
      <c r="O108" s="168"/>
      <c r="Q108" s="168"/>
      <c r="R108" s="169"/>
      <c r="S108" s="169"/>
      <c r="T108" s="169">
        <f>(7*16)+(6*24)</f>
        <v>256</v>
      </c>
      <c r="U108" s="169"/>
      <c r="V108" s="169"/>
      <c r="W108" s="169"/>
      <c r="X108" s="169"/>
      <c r="Y108" s="169"/>
      <c r="Z108" s="170"/>
      <c r="AA108" s="169"/>
      <c r="AB108" s="169"/>
      <c r="AC108" s="169"/>
      <c r="AD108" s="169"/>
      <c r="AE108" s="169"/>
      <c r="AF108" s="169"/>
      <c r="AG108" s="169"/>
      <c r="AH108" s="170"/>
      <c r="AJ108" s="453">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0</v>
      </c>
      <c r="AK108" s="453">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0</v>
      </c>
      <c r="AL108" s="453">
        <f ca="1">IF(AND($D108="Serviço",AL$12&lt;&gt;0,$H108&gt;0,OR(AUTOEVENTO&lt;&gt;"manual",$M108&lt;&gt;$A$15)),
        IF(Import.TipoArredondamento&lt;&gt;"TransfereGOV",
              ROUND(OFFSET($P108,0,AL$13),15-13*ORÇAMENTO!$AF$7)/$H108*OFFSET(ORÇAMENTO!$X$15,ROW(AL108)-ROW(AL$15),0),
              ROUND(ROUND(OFFSET($P108,0,AL$13),15-13*ORÇAMENTO!$AF$7)*OFFSET(ORÇAMENTO!$W$15,ROW(AL108)-ROW(AL$15),0),15-13*ORÇAMENTO!$AF$11)),
         0)</f>
        <v>0</v>
      </c>
      <c r="AM108" s="453">
        <f ca="1">IF(AND($D108="Serviço",AM$12&lt;&gt;0,$H108&gt;0,OR(AUTOEVENTO&lt;&gt;"manual",$M108&lt;&gt;$A$15)),
        IF(Import.TipoArredondamento&lt;&gt;"TransfereGOV",
              ROUND(OFFSET($P108,0,AM$13),15-13*ORÇAMENTO!$AF$7)/$H108*OFFSET(ORÇAMENTO!$X$15,ROW(AM108)-ROW(AM$15),0),
              ROUND(ROUND(OFFSET($P108,0,AM$13),15-13*ORÇAMENTO!$AF$7)*OFFSET(ORÇAMENTO!$W$15,ROW(AM108)-ROW(AM$15),0),15-13*ORÇAMENTO!$AF$11)),
         0)</f>
        <v>0</v>
      </c>
      <c r="AN108" s="453">
        <f ca="1">IF(AND($D108="Serviço",AN$12&lt;&gt;0,$H108&gt;0,OR(AUTOEVENTO&lt;&gt;"manual",$M108&lt;&gt;$A$15)),
        IF(Import.TipoArredondamento&lt;&gt;"TransfereGOV",
              ROUND(OFFSET($P108,0,AN$13),15-13*ORÇAMENTO!$AF$7)/$H108*OFFSET(ORÇAMENTO!$X$15,ROW(AN108)-ROW(AN$15),0),
              ROUND(ROUND(OFFSET($P108,0,AN$13),15-13*ORÇAMENTO!$AF$7)*OFFSET(ORÇAMENTO!$W$15,ROW(AN108)-ROW(AN$15),0),15-13*ORÇAMENTO!$AF$11)),
         0)</f>
        <v>0</v>
      </c>
      <c r="AO108" s="453">
        <f ca="1">IF(AND($D108="Serviço",AO$12&lt;&gt;0,$H108&gt;0,OR(AUTOEVENTO&lt;&gt;"manual",$M108&lt;&gt;$A$15)),
        IF(Import.TipoArredondamento&lt;&gt;"TransfereGOV",
              ROUND(OFFSET($P108,0,AO$13),15-13*ORÇAMENTO!$AF$7)/$H108*OFFSET(ORÇAMENTO!$X$15,ROW(AO108)-ROW(AO$15),0),
              ROUND(ROUND(OFFSET($P108,0,AO$13),15-13*ORÇAMENTO!$AF$7)*OFFSET(ORÇAMENTO!$W$15,ROW(AO108)-ROW(AO$15),0),15-13*ORÇAMENTO!$AF$11)),
         0)</f>
        <v>0</v>
      </c>
      <c r="AP108" s="453">
        <f ca="1">IF(AND($D108="Serviço",AP$12&lt;&gt;0,$H108&gt;0,OR(AUTOEVENTO&lt;&gt;"manual",$M108&lt;&gt;$A$15)),
        IF(Import.TipoArredondamento&lt;&gt;"TransfereGOV",
              ROUND(OFFSET($P108,0,AP$13),15-13*ORÇAMENTO!$AF$7)/$H108*OFFSET(ORÇAMENTO!$X$15,ROW(AP108)-ROW(AP$15),0),
              ROUND(ROUND(OFFSET($P108,0,AP$13),15-13*ORÇAMENTO!$AF$7)*OFFSET(ORÇAMENTO!$W$15,ROW(AP108)-ROW(AP$15),0),15-13*ORÇAMENTO!$AF$11)),
         0)</f>
        <v>0</v>
      </c>
      <c r="AQ108" s="453">
        <f ca="1">IF(AND($D108="Serviço",AQ$12&lt;&gt;0,$H108&gt;0,OR(AUTOEVENTO&lt;&gt;"manual",$M108&lt;&gt;$A$15)),
        IF(Import.TipoArredondamento&lt;&gt;"TransfereGOV",
              ROUND(OFFSET($P108,0,AQ$13),15-13*ORÇAMENTO!$AF$7)/$H108*OFFSET(ORÇAMENTO!$X$15,ROW(AQ108)-ROW(AQ$15),0),
              ROUND(ROUND(OFFSET($P108,0,AQ$13),15-13*ORÇAMENTO!$AF$7)*OFFSET(ORÇAMENTO!$W$15,ROW(AQ108)-ROW(AQ$15),0),15-13*ORÇAMENTO!$AF$11)),
         0)</f>
        <v>0</v>
      </c>
      <c r="AR108" s="453">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3">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3">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3">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3">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3">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3">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3">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3">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3">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C108" s="171">
        <f ca="1">IF(OR($D108&lt;&gt;"Serviço",AND(AUTOEVENTO="Manual",$M108=$A$15)),0,
         IF(OFFSET(CRONOPLE!$F$15,$M108-$A$15,BC$13)=0,10^12,OFFSET(CRONOPLE!$F$15,$M108-$A$15,BC$13)))</f>
        <v>1</v>
      </c>
      <c r="BD108" s="171">
        <f ca="1">IF(OR($D108&lt;&gt;"Serviço",AND(AUTOEVENTO="Manual",$M108=$A$15)),0,
         IF(OFFSET(CRONOPLE!$F$15,$M108-$A$15,BD$13)=0,10^12,OFFSET(CRONOPLE!$F$15,$M108-$A$15,BD$13)))</f>
        <v>2</v>
      </c>
      <c r="BE108" s="171">
        <f ca="1">IF(OR($D108&lt;&gt;"Serviço",AND(AUTOEVENTO="Manual",$M108=$A$15)),0,
         IF(OFFSET(CRONOPLE!$F$15,$M108-$A$15,BE$13)=0,10^12,OFFSET(CRONOPLE!$F$15,$M108-$A$15,BE$13)))</f>
        <v>3</v>
      </c>
      <c r="BF108" s="171">
        <f ca="1">IF(OR($D108&lt;&gt;"Serviço",AND(AUTOEVENTO="Manual",$M108=$A$15)),0,
         IF(OFFSET(CRONOPLE!$F$15,$M108-$A$15,BF$13)=0,10^12,OFFSET(CRONOPLE!$F$15,$M108-$A$15,BF$13)))</f>
        <v>4</v>
      </c>
      <c r="BG108" s="171">
        <f ca="1">IF(OR($D108&lt;&gt;"Serviço",AND(AUTOEVENTO="Manual",$M108=$A$15)),0,
         IF(OFFSET(CRONOPLE!$F$15,$M108-$A$15,BG$13)=0,10^12,OFFSET(CRONOPLE!$F$15,$M108-$A$15,BG$13)))</f>
        <v>5</v>
      </c>
      <c r="BH108" s="171">
        <f ca="1">IF(OR($D108&lt;&gt;"Serviço",AND(AUTOEVENTO="Manual",$M108=$A$15)),0,
         IF(OFFSET(CRONOPLE!$F$15,$M108-$A$15,BH$13)=0,10^12,OFFSET(CRONOPLE!$F$15,$M108-$A$15,BH$13)))</f>
        <v>6</v>
      </c>
      <c r="BI108" s="171">
        <f ca="1">IF(OR($D108&lt;&gt;"Serviço",AND(AUTOEVENTO="Manual",$M108=$A$15)),0,
         IF(OFFSET(CRONOPLE!$F$15,$M108-$A$15,BI$13)=0,10^12,OFFSET(CRONOPLE!$F$15,$M108-$A$15,BI$13)))</f>
        <v>7</v>
      </c>
      <c r="BJ108" s="171">
        <f ca="1">IF(OR($D108&lt;&gt;"Serviço",AND(AUTOEVENTO="Manual",$M108=$A$15)),0,
         IF(OFFSET(CRONOPLE!$F$15,$M108-$A$15,BJ$13)=0,10^12,OFFSET(CRONOPLE!$F$15,$M108-$A$15,BJ$13)))</f>
        <v>8</v>
      </c>
      <c r="BK108" s="171">
        <f ca="1">IF(OR($D108&lt;&gt;"Serviço",AND(AUTOEVENTO="Manual",$M108=$A$15)),0,
         IF(OFFSET(CRONOPLE!$F$15,$M108-$A$15,BK$13)=0,10^12,OFFSET(CRONOPLE!$F$15,$M108-$A$15,BK$13)))</f>
        <v>9</v>
      </c>
      <c r="BL108" s="171">
        <f ca="1">IF(OR($D108&lt;&gt;"Serviço",AND(AUTOEVENTO="Manual",$M108=$A$15)),0,
         IF(OFFSET(CRONOPLE!$F$15,$M108-$A$15,BL$13)=0,10^12,OFFSET(CRONOPLE!$F$15,$M108-$A$15,BL$13)))</f>
        <v>10</v>
      </c>
      <c r="BM108" s="171">
        <f ca="1">IF(OR($D108&lt;&gt;"Serviço",AND(AUTOEVENTO="Manual",$M108=$A$15)),0,
         IF(OFFSET(CRONOPLE!$F$15,$M108-$A$15,BM$13)=0,10^12,OFFSET(CRONOPLE!$F$15,$M108-$A$15,BM$13)))</f>
        <v>1000000000000</v>
      </c>
      <c r="BN108" s="171">
        <f ca="1">IF(OR($D108&lt;&gt;"Serviço",AND(AUTOEVENTO="Manual",$M108=$A$15)),0,
         IF(OFFSET(CRONOPLE!$F$15,$M108-$A$15,BN$13)=0,10^12,OFFSET(CRONOPLE!$F$15,$M108-$A$15,BN$13)))</f>
        <v>1000000000000</v>
      </c>
      <c r="BO108" s="171">
        <f ca="1">IF(OR($D108&lt;&gt;"Serviço",AND(AUTOEVENTO="Manual",$M108=$A$15)),0,
         IF(OFFSET(CRONOPLE!$F$15,$M108-$A$15,BO$13)=0,10^12,OFFSET(CRONOPLE!$F$15,$M108-$A$15,BO$13)))</f>
        <v>1000000000000</v>
      </c>
      <c r="BP108" s="171">
        <f ca="1">IF(OR($D108&lt;&gt;"Serviço",AND(AUTOEVENTO="Manual",$M108=$A$15)),0,
         IF(OFFSET(CRONOPLE!$F$15,$M108-$A$15,BP$13)=0,10^12,OFFSET(CRONOPLE!$F$15,$M108-$A$15,BP$13)))</f>
        <v>1000000000000</v>
      </c>
      <c r="BQ108" s="171">
        <f ca="1">IF(OR($D108&lt;&gt;"Serviço",AND(AUTOEVENTO="Manual",$M108=$A$15)),0,
         IF(OFFSET(CRONOPLE!$F$15,$M108-$A$15,BQ$13)=0,10^12,OFFSET(CRONOPLE!$F$15,$M108-$A$15,BQ$13)))</f>
        <v>1000000000000</v>
      </c>
      <c r="BR108" s="171">
        <f ca="1">IF(OR($D108&lt;&gt;"Serviço",AND(AUTOEVENTO="Manual",$M108=$A$15)),0,
         IF(OFFSET(CRONOPLE!$F$15,$M108-$A$15,BR$13)=0,10^12,OFFSET(CRONOPLE!$F$15,$M108-$A$15,BR$13)))</f>
        <v>1000000000000</v>
      </c>
      <c r="BS108" s="171">
        <f ca="1">IF(OR($D108&lt;&gt;"Serviço",AND(AUTOEVENTO="Manual",$M108=$A$15)),0,
         IF(OFFSET(CRONOPLE!$F$15,$M108-$A$15,BS$13)=0,10^12,OFFSET(CRONOPLE!$F$15,$M108-$A$15,BS$13)))</f>
        <v>1000000000000</v>
      </c>
      <c r="BT108" s="171">
        <f ca="1">IF(OR($D108&lt;&gt;"Serviço",AND(AUTOEVENTO="Manual",$M108=$A$15)),0,
         IF(OFFSET(CRONOPLE!$F$15,$M108-$A$15,BT$13)=0,10^12,OFFSET(CRONOPLE!$F$15,$M108-$A$15,BT$13)))</f>
        <v>1000000000000</v>
      </c>
      <c r="BV108" s="172">
        <f ca="1">IF(OR($D108&lt;&gt;"Serviço",AND(AUTOEVENTO="Manual",$M108=$A$15),$M108&gt;(ROW(PLE.lastrow)-ROW(PLE.firstrow))),0,
           IF(OFFSET(PLE!$G$15,$M108-$A$15,BV$13)="",10^12,OFFSET(PLE!$G$15,$M108-$A$15,BV$13)))</f>
        <v>1000000000000</v>
      </c>
      <c r="BW108" s="172">
        <f ca="1">IF(OR($D108&lt;&gt;"Serviço",AND(AUTOEVENTO="Manual",$M108=$A$15),$M108&gt;(ROW(PLE.lastrow)-ROW(PLE.firstrow))),0,
           IF(OFFSET(PLE!$G$15,$M108-$A$15,BW$13)="",10^12,OFFSET(PLE!$G$15,$M108-$A$15,BW$13)))</f>
        <v>1000000000000</v>
      </c>
      <c r="BX108" s="172">
        <f ca="1">IF(OR($D108&lt;&gt;"Serviço",AND(AUTOEVENTO="Manual",$M108=$A$15),$M108&gt;(ROW(PLE.lastrow)-ROW(PLE.firstrow))),0,
           IF(OFFSET(PLE!$G$15,$M108-$A$15,BX$13)="",10^12,OFFSET(PLE!$G$15,$M108-$A$15,BX$13)))</f>
        <v>1000000000000</v>
      </c>
      <c r="BY108" s="172">
        <f ca="1">IF(OR($D108&lt;&gt;"Serviço",AND(AUTOEVENTO="Manual",$M108=$A$15),$M108&gt;(ROW(PLE.lastrow)-ROW(PLE.firstrow))),0,
           IF(OFFSET(PLE!$G$15,$M108-$A$15,BY$13)="",10^12,OFFSET(PLE!$G$15,$M108-$A$15,BY$13)))</f>
        <v>1000000000000</v>
      </c>
      <c r="BZ108" s="172">
        <f ca="1">IF(OR($D108&lt;&gt;"Serviço",AND(AUTOEVENTO="Manual",$M108=$A$15),$M108&gt;(ROW(PLE.lastrow)-ROW(PLE.firstrow))),0,
           IF(OFFSET(PLE!$G$15,$M108-$A$15,BZ$13)="",10^12,OFFSET(PLE!$G$15,$M108-$A$15,BZ$13)))</f>
        <v>1000000000000</v>
      </c>
      <c r="CA108" s="172">
        <f ca="1">IF(OR($D108&lt;&gt;"Serviço",AND(AUTOEVENTO="Manual",$M108=$A$15),$M108&gt;(ROW(PLE.lastrow)-ROW(PLE.firstrow))),0,
           IF(OFFSET(PLE!$G$15,$M108-$A$15,CA$13)="",10^12,OFFSET(PLE!$G$15,$M108-$A$15,CA$13)))</f>
        <v>1000000000000</v>
      </c>
      <c r="CB108" s="172">
        <f ca="1">IF(OR($D108&lt;&gt;"Serviço",AND(AUTOEVENTO="Manual",$M108=$A$15),$M108&gt;(ROW(PLE.lastrow)-ROW(PLE.firstrow))),0,
           IF(OFFSET(PLE!$G$15,$M108-$A$15,CB$13)="",10^12,OFFSET(PLE!$G$15,$M108-$A$15,CB$13)))</f>
        <v>1000000000000</v>
      </c>
      <c r="CC108" s="172">
        <f ca="1">IF(OR($D108&lt;&gt;"Serviço",AND(AUTOEVENTO="Manual",$M108=$A$15),$M108&gt;(ROW(PLE.lastrow)-ROW(PLE.firstrow))),0,
           IF(OFFSET(PLE!$G$15,$M108-$A$15,CC$13)="",10^12,OFFSET(PLE!$G$15,$M108-$A$15,CC$13)))</f>
        <v>1000000000000</v>
      </c>
      <c r="CD108" s="172">
        <f ca="1">IF(OR($D108&lt;&gt;"Serviço",AND(AUTOEVENTO="Manual",$M108=$A$15),$M108&gt;(ROW(PLE.lastrow)-ROW(PLE.firstrow))),0,
           IF(OFFSET(PLE!$G$15,$M108-$A$15,CD$13)="",10^12,OFFSET(PLE!$G$15,$M108-$A$15,CD$13)))</f>
        <v>1000000000000</v>
      </c>
      <c r="CE108" s="172">
        <f ca="1">IF(OR($D108&lt;&gt;"Serviço",AND(AUTOEVENTO="Manual",$M108=$A$15),$M108&gt;(ROW(PLE.lastrow)-ROW(PLE.firstrow))),0,
           IF(OFFSET(PLE!$G$15,$M108-$A$15,CE$13)="",10^12,OFFSET(PLE!$G$15,$M108-$A$15,CE$13)))</f>
        <v>1000000000000</v>
      </c>
      <c r="CF108" s="172">
        <f ca="1">IF(OR($D108&lt;&gt;"Serviço",AND(AUTOEVENTO="Manual",$M108=$A$15),$M108&gt;(ROW(PLE.lastrow)-ROW(PLE.firstrow))),0,
           IF(OFFSET(PLE!$G$15,$M108-$A$15,CF$13)="",10^12,OFFSET(PLE!$G$15,$M108-$A$15,CF$13)))</f>
        <v>1000000000000</v>
      </c>
      <c r="CG108" s="172">
        <f ca="1">IF(OR($D108&lt;&gt;"Serviço",AND(AUTOEVENTO="Manual",$M108=$A$15),$M108&gt;(ROW(PLE.lastrow)-ROW(PLE.firstrow))),0,
           IF(OFFSET(PLE!$G$15,$M108-$A$15,CG$13)="",10^12,OFFSET(PLE!$G$15,$M108-$A$15,CG$13)))</f>
        <v>1000000000000</v>
      </c>
      <c r="CH108" s="172">
        <f ca="1">IF(OR($D108&lt;&gt;"Serviço",AND(AUTOEVENTO="Manual",$M108=$A$15),$M108&gt;(ROW(PLE.lastrow)-ROW(PLE.firstrow))),0,
           IF(OFFSET(PLE!$G$15,$M108-$A$15,CH$13)="",10^12,OFFSET(PLE!$G$15,$M108-$A$15,CH$13)))</f>
        <v>1000000000000</v>
      </c>
      <c r="CI108" s="172">
        <f ca="1">IF(OR($D108&lt;&gt;"Serviço",AND(AUTOEVENTO="Manual",$M108=$A$15),$M108&gt;(ROW(PLE.lastrow)-ROW(PLE.firstrow))),0,
           IF(OFFSET(PLE!$G$15,$M108-$A$15,CI$13)="",10^12,OFFSET(PLE!$G$15,$M108-$A$15,CI$13)))</f>
        <v>1000000000000</v>
      </c>
      <c r="CJ108" s="172">
        <f ca="1">IF(OR($D108&lt;&gt;"Serviço",AND(AUTOEVENTO="Manual",$M108=$A$15),$M108&gt;(ROW(PLE.lastrow)-ROW(PLE.firstrow))),0,
           IF(OFFSET(PLE!$G$15,$M108-$A$15,CJ$13)="",10^12,OFFSET(PLE!$G$15,$M108-$A$15,CJ$13)))</f>
        <v>1000000000000</v>
      </c>
      <c r="CK108" s="172">
        <f ca="1">IF(OR($D108&lt;&gt;"Serviço",AND(AUTOEVENTO="Manual",$M108=$A$15),$M108&gt;(ROW(PLE.lastrow)-ROW(PLE.firstrow))),0,
           IF(OFFSET(PLE!$G$15,$M108-$A$15,CK$13)="",10^12,OFFSET(PLE!$G$15,$M108-$A$15,CK$13)))</f>
        <v>1000000000000</v>
      </c>
      <c r="CL108" s="172">
        <f ca="1">IF(OR($D108&lt;&gt;"Serviço",AND(AUTOEVENTO="Manual",$M108=$A$15),$M108&gt;(ROW(PLE.lastrow)-ROW(PLE.firstrow))),0,
           IF(OFFSET(PLE!$G$15,$M108-$A$15,CL$13)="",10^12,OFFSET(PLE!$G$15,$M108-$A$15,CL$13)))</f>
        <v>1000000000000</v>
      </c>
      <c r="CM108" s="172">
        <f ca="1">IF(OR($D108&lt;&gt;"Serviço",AND(AUTOEVENTO="Manual",$M108=$A$15),$M108&gt;(ROW(PLE.lastrow)-ROW(PLE.firstrow))),0,
           IF(OFFSET(PLE!$G$15,$M108-$A$15,CM$13)="",10^12,OFFSET(PLE!$G$15,$M108-$A$15,CM$13)))</f>
        <v>1000000000000</v>
      </c>
    </row>
    <row r="109" spans="1:91" ht="63.75" x14ac:dyDescent="0.2">
      <c r="A109" s="7">
        <f t="shared" ca="1" si="11"/>
        <v>4</v>
      </c>
      <c r="B109" s="7" t="str">
        <f ca="1">OFFSET(ORÇAMENTO!C$15,ROW(B109)-ROW(B$15),0)</f>
        <v>S</v>
      </c>
      <c r="C109" s="7" t="str">
        <f ca="1">OFFSET(ORÇAMENTO!L$15,ROW(C109)-ROW(C$15),0)</f>
        <v>F</v>
      </c>
      <c r="D109" s="116" t="str">
        <f ca="1">OFFSET(ORÇAMENTO!N$15,ROW(D109)-ROW(D$15),0)</f>
        <v>Serviço</v>
      </c>
      <c r="E109" s="117" t="str">
        <f ca="1">OFFSET(ORÇAMENTO!O$15,ROW(E109)-ROW(E$15),0)</f>
        <v>1.5.2.1.3.</v>
      </c>
      <c r="F109" s="163" t="str">
        <f ca="1">OFFSET(ORÇAMENTO!R$15,ROW(F109)-ROW(F$15),0)</f>
        <v>CONCRETO FCK = 40MPA, TRAÇO 1:1,6:1,9 (EM MASSA SECA DE CIMENTO/ AREIA MÉDIA/ BRITA 1) - PREPARO MECÂNICO COM BETONEIRA 600 L. AF_05/2021</v>
      </c>
      <c r="G109" s="164" t="str">
        <f ca="1">IF($D109&lt;&gt;"Serviço","",OFFSET(ORÇAMENTO!S$15,ROW(G109)-ROW(G$15),0))</f>
        <v>M3</v>
      </c>
      <c r="H109" s="122" cm="1">
        <f t="array" aca="1" ref="H109" ca="1">IF($D109&lt;&gt;"Serviço",0,IF(ACOMPANHAMENTO="BM",ROUND(OFFSET(ORÇAMENTO!AJ$15,ROW(H109)-ROW(H$15),0),15-13*ORÇAMENTO!$AF$7),SUMPRODUCT(($Q$1:$AI$1=1)*ROUND($Q109:$AI109,15-13*ORÇAMENTO!$AF$7))))</f>
        <v>41.61</v>
      </c>
      <c r="I109" s="468" t="s">
        <v>1319</v>
      </c>
      <c r="J109" s="640" t="str" cm="1">
        <f t="array" aca="1" ref="J109" ca="1">IF(OR(B109&lt;&gt;"S",CÁLCULO.FrentesPreenchidas=0),"",IF(AND(ACOMPANHAMENTO="PLE",AUTOEVENTO="Manual",OR(H109&gt;0,ORÇAMENTO!AC109="QUANT."),OR(K109="",M109=0,N109="")),"►E",IF(AND(ACOMPANHAMENTO="PLE",ORÇAMENTO!AC109="QUANT."),"►Q",IF(AND(ACOMPANHAMENTO="PLE",H109&lt;&gt;SUMPRODUCT(($Q$1:$AI$1=1)*ROUND(Q109:AI109,15))),"►S",IF(AND(COUNTIF($P$11:$AI$11,"▼")=0,H109&gt;0,I109=""),"◄M","")))))</f>
        <v/>
      </c>
      <c r="K109" s="641" t="s">
        <v>1389</v>
      </c>
      <c r="L109" s="165" t="s">
        <v>764</v>
      </c>
      <c r="M109" s="166">
        <f ca="1">IF($D109&lt;&gt;"Serviço","",
          IF(AUTOEVENTO="manual",$A109,
                IF(ISERROR(MATCH($A109,$A$15:OFFSET($A109,-1,0),0)),MAX($M$15:OFFSET(M109,-1,0))+1,
                      INDEX($M$15:OFFSET(M109,-1,0),MATCH($A109,$A$15:OFFSET($A109,-1,0),0)))))</f>
        <v>4</v>
      </c>
      <c r="N109" s="167" t="str">
        <f ca="1">IF($D109&lt;&gt;"Serviço","",
         IF(AUTOEVENTO="Manual",
                IF($A109=0,"&lt;-- defina o número do agrupador",
                       OFFSET(EVENTOS!$D$15,$A109-$A$15,0)),
                OFFSET($F$15,$A109,0)))</f>
        <v>Estruturas de Concreto</v>
      </c>
      <c r="O109" s="168"/>
      <c r="Q109" s="168"/>
      <c r="R109" s="169"/>
      <c r="S109" s="169"/>
      <c r="T109" s="169">
        <f>22.31+19.3</f>
        <v>41.61</v>
      </c>
      <c r="U109" s="169"/>
      <c r="V109" s="169"/>
      <c r="W109" s="169"/>
      <c r="X109" s="169"/>
      <c r="Y109" s="169"/>
      <c r="Z109" s="170"/>
      <c r="AA109" s="169"/>
      <c r="AB109" s="169"/>
      <c r="AC109" s="169"/>
      <c r="AD109" s="169"/>
      <c r="AE109" s="169"/>
      <c r="AF109" s="169"/>
      <c r="AG109" s="169"/>
      <c r="AH109" s="170"/>
      <c r="AJ109" s="453">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3">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L109" s="453">
        <f ca="1">IF(AND($D109="Serviço",AL$12&lt;&gt;0,$H109&gt;0,OR(AUTOEVENTO&lt;&gt;"manual",$M109&lt;&gt;$A$15)),
        IF(Import.TipoArredondamento&lt;&gt;"TransfereGOV",
              ROUND(OFFSET($P109,0,AL$13),15-13*ORÇAMENTO!$AF$7)/$H109*OFFSET(ORÇAMENTO!$X$15,ROW(AL109)-ROW(AL$15),0),
              ROUND(ROUND(OFFSET($P109,0,AL$13),15-13*ORÇAMENTO!$AF$7)*OFFSET(ORÇAMENTO!$W$15,ROW(AL109)-ROW(AL$15),0),15-13*ORÇAMENTO!$AF$11)),
         0)</f>
        <v>0</v>
      </c>
      <c r="AM109" s="453">
        <f ca="1">IF(AND($D109="Serviço",AM$12&lt;&gt;0,$H109&gt;0,OR(AUTOEVENTO&lt;&gt;"manual",$M109&lt;&gt;$A$15)),
        IF(Import.TipoArredondamento&lt;&gt;"TransfereGOV",
              ROUND(OFFSET($P109,0,AM$13),15-13*ORÇAMENTO!$AF$7)/$H109*OFFSET(ORÇAMENTO!$X$15,ROW(AM109)-ROW(AM$15),0),
              ROUND(ROUND(OFFSET($P109,0,AM$13),15-13*ORÇAMENTO!$AF$7)*OFFSET(ORÇAMENTO!$W$15,ROW(AM109)-ROW(AM$15),0),15-13*ORÇAMENTO!$AF$11)),
         0)</f>
        <v>0</v>
      </c>
      <c r="AN109" s="453">
        <f ca="1">IF(AND($D109="Serviço",AN$12&lt;&gt;0,$H109&gt;0,OR(AUTOEVENTO&lt;&gt;"manual",$M109&lt;&gt;$A$15)),
        IF(Import.TipoArredondamento&lt;&gt;"TransfereGOV",
              ROUND(OFFSET($P109,0,AN$13),15-13*ORÇAMENTO!$AF$7)/$H109*OFFSET(ORÇAMENTO!$X$15,ROW(AN109)-ROW(AN$15),0),
              ROUND(ROUND(OFFSET($P109,0,AN$13),15-13*ORÇAMENTO!$AF$7)*OFFSET(ORÇAMENTO!$W$15,ROW(AN109)-ROW(AN$15),0),15-13*ORÇAMENTO!$AF$11)),
         0)</f>
        <v>0</v>
      </c>
      <c r="AO109" s="453">
        <f ca="1">IF(AND($D109="Serviço",AO$12&lt;&gt;0,$H109&gt;0,OR(AUTOEVENTO&lt;&gt;"manual",$M109&lt;&gt;$A$15)),
        IF(Import.TipoArredondamento&lt;&gt;"TransfereGOV",
              ROUND(OFFSET($P109,0,AO$13),15-13*ORÇAMENTO!$AF$7)/$H109*OFFSET(ORÇAMENTO!$X$15,ROW(AO109)-ROW(AO$15),0),
              ROUND(ROUND(OFFSET($P109,0,AO$13),15-13*ORÇAMENTO!$AF$7)*OFFSET(ORÇAMENTO!$W$15,ROW(AO109)-ROW(AO$15),0),15-13*ORÇAMENTO!$AF$11)),
         0)</f>
        <v>0</v>
      </c>
      <c r="AP109" s="453">
        <f ca="1">IF(AND($D109="Serviço",AP$12&lt;&gt;0,$H109&gt;0,OR(AUTOEVENTO&lt;&gt;"manual",$M109&lt;&gt;$A$15)),
        IF(Import.TipoArredondamento&lt;&gt;"TransfereGOV",
              ROUND(OFFSET($P109,0,AP$13),15-13*ORÇAMENTO!$AF$7)/$H109*OFFSET(ORÇAMENTO!$X$15,ROW(AP109)-ROW(AP$15),0),
              ROUND(ROUND(OFFSET($P109,0,AP$13),15-13*ORÇAMENTO!$AF$7)*OFFSET(ORÇAMENTO!$W$15,ROW(AP109)-ROW(AP$15),0),15-13*ORÇAMENTO!$AF$11)),
         0)</f>
        <v>0</v>
      </c>
      <c r="AQ109" s="453">
        <f ca="1">IF(AND($D109="Serviço",AQ$12&lt;&gt;0,$H109&gt;0,OR(AUTOEVENTO&lt;&gt;"manual",$M109&lt;&gt;$A$15)),
        IF(Import.TipoArredondamento&lt;&gt;"TransfereGOV",
              ROUND(OFFSET($P109,0,AQ$13),15-13*ORÇAMENTO!$AF$7)/$H109*OFFSET(ORÇAMENTO!$X$15,ROW(AQ109)-ROW(AQ$15),0),
              ROUND(ROUND(OFFSET($P109,0,AQ$13),15-13*ORÇAMENTO!$AF$7)*OFFSET(ORÇAMENTO!$W$15,ROW(AQ109)-ROW(AQ$15),0),15-13*ORÇAMENTO!$AF$11)),
         0)</f>
        <v>0</v>
      </c>
      <c r="AR109" s="453">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3">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3">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3">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3">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3">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3">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3">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3">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3">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C109" s="171">
        <f ca="1">IF(OR($D109&lt;&gt;"Serviço",AND(AUTOEVENTO="Manual",$M109=$A$15)),0,
         IF(OFFSET(CRONOPLE!$F$15,$M109-$A$15,BC$13)=0,10^12,OFFSET(CRONOPLE!$F$15,$M109-$A$15,BC$13)))</f>
        <v>1</v>
      </c>
      <c r="BD109" s="171">
        <f ca="1">IF(OR($D109&lt;&gt;"Serviço",AND(AUTOEVENTO="Manual",$M109=$A$15)),0,
         IF(OFFSET(CRONOPLE!$F$15,$M109-$A$15,BD$13)=0,10^12,OFFSET(CRONOPLE!$F$15,$M109-$A$15,BD$13)))</f>
        <v>2</v>
      </c>
      <c r="BE109" s="171">
        <f ca="1">IF(OR($D109&lt;&gt;"Serviço",AND(AUTOEVENTO="Manual",$M109=$A$15)),0,
         IF(OFFSET(CRONOPLE!$F$15,$M109-$A$15,BE$13)=0,10^12,OFFSET(CRONOPLE!$F$15,$M109-$A$15,BE$13)))</f>
        <v>3</v>
      </c>
      <c r="BF109" s="171">
        <f ca="1">IF(OR($D109&lt;&gt;"Serviço",AND(AUTOEVENTO="Manual",$M109=$A$15)),0,
         IF(OFFSET(CRONOPLE!$F$15,$M109-$A$15,BF$13)=0,10^12,OFFSET(CRONOPLE!$F$15,$M109-$A$15,BF$13)))</f>
        <v>4</v>
      </c>
      <c r="BG109" s="171">
        <f ca="1">IF(OR($D109&lt;&gt;"Serviço",AND(AUTOEVENTO="Manual",$M109=$A$15)),0,
         IF(OFFSET(CRONOPLE!$F$15,$M109-$A$15,BG$13)=0,10^12,OFFSET(CRONOPLE!$F$15,$M109-$A$15,BG$13)))</f>
        <v>5</v>
      </c>
      <c r="BH109" s="171">
        <f ca="1">IF(OR($D109&lt;&gt;"Serviço",AND(AUTOEVENTO="Manual",$M109=$A$15)),0,
         IF(OFFSET(CRONOPLE!$F$15,$M109-$A$15,BH$13)=0,10^12,OFFSET(CRONOPLE!$F$15,$M109-$A$15,BH$13)))</f>
        <v>6</v>
      </c>
      <c r="BI109" s="171">
        <f ca="1">IF(OR($D109&lt;&gt;"Serviço",AND(AUTOEVENTO="Manual",$M109=$A$15)),0,
         IF(OFFSET(CRONOPLE!$F$15,$M109-$A$15,BI$13)=0,10^12,OFFSET(CRONOPLE!$F$15,$M109-$A$15,BI$13)))</f>
        <v>7</v>
      </c>
      <c r="BJ109" s="171">
        <f ca="1">IF(OR($D109&lt;&gt;"Serviço",AND(AUTOEVENTO="Manual",$M109=$A$15)),0,
         IF(OFFSET(CRONOPLE!$F$15,$M109-$A$15,BJ$13)=0,10^12,OFFSET(CRONOPLE!$F$15,$M109-$A$15,BJ$13)))</f>
        <v>8</v>
      </c>
      <c r="BK109" s="171">
        <f ca="1">IF(OR($D109&lt;&gt;"Serviço",AND(AUTOEVENTO="Manual",$M109=$A$15)),0,
         IF(OFFSET(CRONOPLE!$F$15,$M109-$A$15,BK$13)=0,10^12,OFFSET(CRONOPLE!$F$15,$M109-$A$15,BK$13)))</f>
        <v>9</v>
      </c>
      <c r="BL109" s="171">
        <f ca="1">IF(OR($D109&lt;&gt;"Serviço",AND(AUTOEVENTO="Manual",$M109=$A$15)),0,
         IF(OFFSET(CRONOPLE!$F$15,$M109-$A$15,BL$13)=0,10^12,OFFSET(CRONOPLE!$F$15,$M109-$A$15,BL$13)))</f>
        <v>10</v>
      </c>
      <c r="BM109" s="171">
        <f ca="1">IF(OR($D109&lt;&gt;"Serviço",AND(AUTOEVENTO="Manual",$M109=$A$15)),0,
         IF(OFFSET(CRONOPLE!$F$15,$M109-$A$15,BM$13)=0,10^12,OFFSET(CRONOPLE!$F$15,$M109-$A$15,BM$13)))</f>
        <v>1000000000000</v>
      </c>
      <c r="BN109" s="171">
        <f ca="1">IF(OR($D109&lt;&gt;"Serviço",AND(AUTOEVENTO="Manual",$M109=$A$15)),0,
         IF(OFFSET(CRONOPLE!$F$15,$M109-$A$15,BN$13)=0,10^12,OFFSET(CRONOPLE!$F$15,$M109-$A$15,BN$13)))</f>
        <v>1000000000000</v>
      </c>
      <c r="BO109" s="171">
        <f ca="1">IF(OR($D109&lt;&gt;"Serviço",AND(AUTOEVENTO="Manual",$M109=$A$15)),0,
         IF(OFFSET(CRONOPLE!$F$15,$M109-$A$15,BO$13)=0,10^12,OFFSET(CRONOPLE!$F$15,$M109-$A$15,BO$13)))</f>
        <v>1000000000000</v>
      </c>
      <c r="BP109" s="171">
        <f ca="1">IF(OR($D109&lt;&gt;"Serviço",AND(AUTOEVENTO="Manual",$M109=$A$15)),0,
         IF(OFFSET(CRONOPLE!$F$15,$M109-$A$15,BP$13)=0,10^12,OFFSET(CRONOPLE!$F$15,$M109-$A$15,BP$13)))</f>
        <v>1000000000000</v>
      </c>
      <c r="BQ109" s="171">
        <f ca="1">IF(OR($D109&lt;&gt;"Serviço",AND(AUTOEVENTO="Manual",$M109=$A$15)),0,
         IF(OFFSET(CRONOPLE!$F$15,$M109-$A$15,BQ$13)=0,10^12,OFFSET(CRONOPLE!$F$15,$M109-$A$15,BQ$13)))</f>
        <v>1000000000000</v>
      </c>
      <c r="BR109" s="171">
        <f ca="1">IF(OR($D109&lt;&gt;"Serviço",AND(AUTOEVENTO="Manual",$M109=$A$15)),0,
         IF(OFFSET(CRONOPLE!$F$15,$M109-$A$15,BR$13)=0,10^12,OFFSET(CRONOPLE!$F$15,$M109-$A$15,BR$13)))</f>
        <v>1000000000000</v>
      </c>
      <c r="BS109" s="171">
        <f ca="1">IF(OR($D109&lt;&gt;"Serviço",AND(AUTOEVENTO="Manual",$M109=$A$15)),0,
         IF(OFFSET(CRONOPLE!$F$15,$M109-$A$15,BS$13)=0,10^12,OFFSET(CRONOPLE!$F$15,$M109-$A$15,BS$13)))</f>
        <v>1000000000000</v>
      </c>
      <c r="BT109" s="171">
        <f ca="1">IF(OR($D109&lt;&gt;"Serviço",AND(AUTOEVENTO="Manual",$M109=$A$15)),0,
         IF(OFFSET(CRONOPLE!$F$15,$M109-$A$15,BT$13)=0,10^12,OFFSET(CRONOPLE!$F$15,$M109-$A$15,BT$13)))</f>
        <v>1000000000000</v>
      </c>
      <c r="BV109" s="172">
        <f ca="1">IF(OR($D109&lt;&gt;"Serviço",AND(AUTOEVENTO="Manual",$M109=$A$15),$M109&gt;(ROW(PLE.lastrow)-ROW(PLE.firstrow))),0,
           IF(OFFSET(PLE!$G$15,$M109-$A$15,BV$13)="",10^12,OFFSET(PLE!$G$15,$M109-$A$15,BV$13)))</f>
        <v>1000000000000</v>
      </c>
      <c r="BW109" s="172">
        <f ca="1">IF(OR($D109&lt;&gt;"Serviço",AND(AUTOEVENTO="Manual",$M109=$A$15),$M109&gt;(ROW(PLE.lastrow)-ROW(PLE.firstrow))),0,
           IF(OFFSET(PLE!$G$15,$M109-$A$15,BW$13)="",10^12,OFFSET(PLE!$G$15,$M109-$A$15,BW$13)))</f>
        <v>1000000000000</v>
      </c>
      <c r="BX109" s="172">
        <f ca="1">IF(OR($D109&lt;&gt;"Serviço",AND(AUTOEVENTO="Manual",$M109=$A$15),$M109&gt;(ROW(PLE.lastrow)-ROW(PLE.firstrow))),0,
           IF(OFFSET(PLE!$G$15,$M109-$A$15,BX$13)="",10^12,OFFSET(PLE!$G$15,$M109-$A$15,BX$13)))</f>
        <v>1000000000000</v>
      </c>
      <c r="BY109" s="172">
        <f ca="1">IF(OR($D109&lt;&gt;"Serviço",AND(AUTOEVENTO="Manual",$M109=$A$15),$M109&gt;(ROW(PLE.lastrow)-ROW(PLE.firstrow))),0,
           IF(OFFSET(PLE!$G$15,$M109-$A$15,BY$13)="",10^12,OFFSET(PLE!$G$15,$M109-$A$15,BY$13)))</f>
        <v>1000000000000</v>
      </c>
      <c r="BZ109" s="172">
        <f ca="1">IF(OR($D109&lt;&gt;"Serviço",AND(AUTOEVENTO="Manual",$M109=$A$15),$M109&gt;(ROW(PLE.lastrow)-ROW(PLE.firstrow))),0,
           IF(OFFSET(PLE!$G$15,$M109-$A$15,BZ$13)="",10^12,OFFSET(PLE!$G$15,$M109-$A$15,BZ$13)))</f>
        <v>1000000000000</v>
      </c>
      <c r="CA109" s="172">
        <f ca="1">IF(OR($D109&lt;&gt;"Serviço",AND(AUTOEVENTO="Manual",$M109=$A$15),$M109&gt;(ROW(PLE.lastrow)-ROW(PLE.firstrow))),0,
           IF(OFFSET(PLE!$G$15,$M109-$A$15,CA$13)="",10^12,OFFSET(PLE!$G$15,$M109-$A$15,CA$13)))</f>
        <v>1000000000000</v>
      </c>
      <c r="CB109" s="172">
        <f ca="1">IF(OR($D109&lt;&gt;"Serviço",AND(AUTOEVENTO="Manual",$M109=$A$15),$M109&gt;(ROW(PLE.lastrow)-ROW(PLE.firstrow))),0,
           IF(OFFSET(PLE!$G$15,$M109-$A$15,CB$13)="",10^12,OFFSET(PLE!$G$15,$M109-$A$15,CB$13)))</f>
        <v>1000000000000</v>
      </c>
      <c r="CC109" s="172">
        <f ca="1">IF(OR($D109&lt;&gt;"Serviço",AND(AUTOEVENTO="Manual",$M109=$A$15),$M109&gt;(ROW(PLE.lastrow)-ROW(PLE.firstrow))),0,
           IF(OFFSET(PLE!$G$15,$M109-$A$15,CC$13)="",10^12,OFFSET(PLE!$G$15,$M109-$A$15,CC$13)))</f>
        <v>1000000000000</v>
      </c>
      <c r="CD109" s="172">
        <f ca="1">IF(OR($D109&lt;&gt;"Serviço",AND(AUTOEVENTO="Manual",$M109=$A$15),$M109&gt;(ROW(PLE.lastrow)-ROW(PLE.firstrow))),0,
           IF(OFFSET(PLE!$G$15,$M109-$A$15,CD$13)="",10^12,OFFSET(PLE!$G$15,$M109-$A$15,CD$13)))</f>
        <v>1000000000000</v>
      </c>
      <c r="CE109" s="172">
        <f ca="1">IF(OR($D109&lt;&gt;"Serviço",AND(AUTOEVENTO="Manual",$M109=$A$15),$M109&gt;(ROW(PLE.lastrow)-ROW(PLE.firstrow))),0,
           IF(OFFSET(PLE!$G$15,$M109-$A$15,CE$13)="",10^12,OFFSET(PLE!$G$15,$M109-$A$15,CE$13)))</f>
        <v>1000000000000</v>
      </c>
      <c r="CF109" s="172">
        <f ca="1">IF(OR($D109&lt;&gt;"Serviço",AND(AUTOEVENTO="Manual",$M109=$A$15),$M109&gt;(ROW(PLE.lastrow)-ROW(PLE.firstrow))),0,
           IF(OFFSET(PLE!$G$15,$M109-$A$15,CF$13)="",10^12,OFFSET(PLE!$G$15,$M109-$A$15,CF$13)))</f>
        <v>1000000000000</v>
      </c>
      <c r="CG109" s="172">
        <f ca="1">IF(OR($D109&lt;&gt;"Serviço",AND(AUTOEVENTO="Manual",$M109=$A$15),$M109&gt;(ROW(PLE.lastrow)-ROW(PLE.firstrow))),0,
           IF(OFFSET(PLE!$G$15,$M109-$A$15,CG$13)="",10^12,OFFSET(PLE!$G$15,$M109-$A$15,CG$13)))</f>
        <v>1000000000000</v>
      </c>
      <c r="CH109" s="172">
        <f ca="1">IF(OR($D109&lt;&gt;"Serviço",AND(AUTOEVENTO="Manual",$M109=$A$15),$M109&gt;(ROW(PLE.lastrow)-ROW(PLE.firstrow))),0,
           IF(OFFSET(PLE!$G$15,$M109-$A$15,CH$13)="",10^12,OFFSET(PLE!$G$15,$M109-$A$15,CH$13)))</f>
        <v>1000000000000</v>
      </c>
      <c r="CI109" s="172">
        <f ca="1">IF(OR($D109&lt;&gt;"Serviço",AND(AUTOEVENTO="Manual",$M109=$A$15),$M109&gt;(ROW(PLE.lastrow)-ROW(PLE.firstrow))),0,
           IF(OFFSET(PLE!$G$15,$M109-$A$15,CI$13)="",10^12,OFFSET(PLE!$G$15,$M109-$A$15,CI$13)))</f>
        <v>1000000000000</v>
      </c>
      <c r="CJ109" s="172">
        <f ca="1">IF(OR($D109&lt;&gt;"Serviço",AND(AUTOEVENTO="Manual",$M109=$A$15),$M109&gt;(ROW(PLE.lastrow)-ROW(PLE.firstrow))),0,
           IF(OFFSET(PLE!$G$15,$M109-$A$15,CJ$13)="",10^12,OFFSET(PLE!$G$15,$M109-$A$15,CJ$13)))</f>
        <v>1000000000000</v>
      </c>
      <c r="CK109" s="172">
        <f ca="1">IF(OR($D109&lt;&gt;"Serviço",AND(AUTOEVENTO="Manual",$M109=$A$15),$M109&gt;(ROW(PLE.lastrow)-ROW(PLE.firstrow))),0,
           IF(OFFSET(PLE!$G$15,$M109-$A$15,CK$13)="",10^12,OFFSET(PLE!$G$15,$M109-$A$15,CK$13)))</f>
        <v>1000000000000</v>
      </c>
      <c r="CL109" s="172">
        <f ca="1">IF(OR($D109&lt;&gt;"Serviço",AND(AUTOEVENTO="Manual",$M109=$A$15),$M109&gt;(ROW(PLE.lastrow)-ROW(PLE.firstrow))),0,
           IF(OFFSET(PLE!$G$15,$M109-$A$15,CL$13)="",10^12,OFFSET(PLE!$G$15,$M109-$A$15,CL$13)))</f>
        <v>1000000000000</v>
      </c>
      <c r="CM109" s="172">
        <f ca="1">IF(OR($D109&lt;&gt;"Serviço",AND(AUTOEVENTO="Manual",$M109=$A$15),$M109&gt;(ROW(PLE.lastrow)-ROW(PLE.firstrow))),0,
           IF(OFFSET(PLE!$G$15,$M109-$A$15,CM$13)="",10^12,OFFSET(PLE!$G$15,$M109-$A$15,CM$13)))</f>
        <v>1000000000000</v>
      </c>
    </row>
    <row r="110" spans="1:91" ht="63.75" x14ac:dyDescent="0.2">
      <c r="A110" s="7">
        <f t="shared" ca="1" si="11"/>
        <v>4</v>
      </c>
      <c r="B110" s="7" t="str">
        <f ca="1">OFFSET(ORÇAMENTO!C$15,ROW(B110)-ROW(B$15),0)</f>
        <v>S</v>
      </c>
      <c r="C110" s="7" t="str">
        <f ca="1">OFFSET(ORÇAMENTO!L$15,ROW(C110)-ROW(C$15),0)</f>
        <v>F</v>
      </c>
      <c r="D110" s="116" t="str">
        <f ca="1">OFFSET(ORÇAMENTO!N$15,ROW(D110)-ROW(D$15),0)</f>
        <v>Serviço</v>
      </c>
      <c r="E110" s="117" t="str">
        <f ca="1">OFFSET(ORÇAMENTO!O$15,ROW(E110)-ROW(E$15),0)</f>
        <v>1.5.2.1.4.</v>
      </c>
      <c r="F110" s="163" t="str">
        <f ca="1">OFFSET(ORÇAMENTO!R$15,ROW(F110)-ROW(F$15),0)</f>
        <v>LANÇAMENTO COM USO DE BOMBA, ADENSAMENTO E ACABAMENTO DE CONCRETO EM ESTRUTURAS. AF_02/2022</v>
      </c>
      <c r="G110" s="164" t="str">
        <f ca="1">IF($D110&lt;&gt;"Serviço","",OFFSET(ORÇAMENTO!S$15,ROW(G110)-ROW(G$15),0))</f>
        <v>M3</v>
      </c>
      <c r="H110" s="122" cm="1">
        <f t="array" aca="1" ref="H110" ca="1">IF($D110&lt;&gt;"Serviço",0,IF(ACOMPANHAMENTO="BM",ROUND(OFFSET(ORÇAMENTO!AJ$15,ROW(H110)-ROW(H$15),0),15-13*ORÇAMENTO!$AF$7),SUMPRODUCT(($Q$1:$AI$1=1)*ROUND($Q110:$AI110,15-13*ORÇAMENTO!$AF$7))))</f>
        <v>41.61</v>
      </c>
      <c r="I110" s="468" t="s">
        <v>1319</v>
      </c>
      <c r="J110" s="640" t="str" cm="1">
        <f t="array" aca="1" ref="J110" ca="1">IF(OR(B110&lt;&gt;"S",CÁLCULO.FrentesPreenchidas=0),"",IF(AND(ACOMPANHAMENTO="PLE",AUTOEVENTO="Manual",OR(H110&gt;0,ORÇAMENTO!AC110="QUANT."),OR(K110="",M110=0,N110="")),"►E",IF(AND(ACOMPANHAMENTO="PLE",ORÇAMENTO!AC110="QUANT."),"►Q",IF(AND(ACOMPANHAMENTO="PLE",H110&lt;&gt;SUMPRODUCT(($Q$1:$AI$1=1)*ROUND(Q110:AI110,15))),"►S",IF(AND(COUNTIF($P$11:$AI$11,"▼")=0,H110&gt;0,I110=""),"◄M","")))))</f>
        <v/>
      </c>
      <c r="K110" s="641" t="s">
        <v>1389</v>
      </c>
      <c r="L110" s="165" t="s">
        <v>764</v>
      </c>
      <c r="M110" s="166">
        <f ca="1">IF($D110&lt;&gt;"Serviço","",
          IF(AUTOEVENTO="manual",$A110,
                IF(ISERROR(MATCH($A110,$A$15:OFFSET($A110,-1,0),0)),MAX($M$15:OFFSET(M110,-1,0))+1,
                      INDEX($M$15:OFFSET(M110,-1,0),MATCH($A110,$A$15:OFFSET($A110,-1,0),0)))))</f>
        <v>4</v>
      </c>
      <c r="N110" s="167" t="str">
        <f ca="1">IF($D110&lt;&gt;"Serviço","",
         IF(AUTOEVENTO="Manual",
                IF($A110=0,"&lt;-- defina o número do agrupador",
                       OFFSET(EVENTOS!$D$15,$A110-$A$15,0)),
                OFFSET($F$15,$A110,0)))</f>
        <v>Estruturas de Concreto</v>
      </c>
      <c r="O110" s="168"/>
      <c r="Q110" s="168"/>
      <c r="R110" s="169"/>
      <c r="S110" s="169"/>
      <c r="T110" s="169">
        <f>T109</f>
        <v>41.61</v>
      </c>
      <c r="U110" s="169"/>
      <c r="V110" s="169"/>
      <c r="W110" s="169"/>
      <c r="X110" s="169"/>
      <c r="Y110" s="169"/>
      <c r="Z110" s="170"/>
      <c r="AA110" s="169"/>
      <c r="AB110" s="169"/>
      <c r="AC110" s="169"/>
      <c r="AD110" s="169"/>
      <c r="AE110" s="169"/>
      <c r="AF110" s="169"/>
      <c r="AG110" s="169"/>
      <c r="AH110" s="170"/>
      <c r="AJ110" s="453">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0</v>
      </c>
      <c r="AK110" s="453">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0</v>
      </c>
      <c r="AL110" s="453">
        <f ca="1">IF(AND($D110="Serviço",AL$12&lt;&gt;0,$H110&gt;0,OR(AUTOEVENTO&lt;&gt;"manual",$M110&lt;&gt;$A$15)),
        IF(Import.TipoArredondamento&lt;&gt;"TransfereGOV",
              ROUND(OFFSET($P110,0,AL$13),15-13*ORÇAMENTO!$AF$7)/$H110*OFFSET(ORÇAMENTO!$X$15,ROW(AL110)-ROW(AL$15),0),
              ROUND(ROUND(OFFSET($P110,0,AL$13),15-13*ORÇAMENTO!$AF$7)*OFFSET(ORÇAMENTO!$W$15,ROW(AL110)-ROW(AL$15),0),15-13*ORÇAMENTO!$AF$11)),
         0)</f>
        <v>0</v>
      </c>
      <c r="AM110" s="453">
        <f ca="1">IF(AND($D110="Serviço",AM$12&lt;&gt;0,$H110&gt;0,OR(AUTOEVENTO&lt;&gt;"manual",$M110&lt;&gt;$A$15)),
        IF(Import.TipoArredondamento&lt;&gt;"TransfereGOV",
              ROUND(OFFSET($P110,0,AM$13),15-13*ORÇAMENTO!$AF$7)/$H110*OFFSET(ORÇAMENTO!$X$15,ROW(AM110)-ROW(AM$15),0),
              ROUND(ROUND(OFFSET($P110,0,AM$13),15-13*ORÇAMENTO!$AF$7)*OFFSET(ORÇAMENTO!$W$15,ROW(AM110)-ROW(AM$15),0),15-13*ORÇAMENTO!$AF$11)),
         0)</f>
        <v>0</v>
      </c>
      <c r="AN110" s="453">
        <f ca="1">IF(AND($D110="Serviço",AN$12&lt;&gt;0,$H110&gt;0,OR(AUTOEVENTO&lt;&gt;"manual",$M110&lt;&gt;$A$15)),
        IF(Import.TipoArredondamento&lt;&gt;"TransfereGOV",
              ROUND(OFFSET($P110,0,AN$13),15-13*ORÇAMENTO!$AF$7)/$H110*OFFSET(ORÇAMENTO!$X$15,ROW(AN110)-ROW(AN$15),0),
              ROUND(ROUND(OFFSET($P110,0,AN$13),15-13*ORÇAMENTO!$AF$7)*OFFSET(ORÇAMENTO!$W$15,ROW(AN110)-ROW(AN$15),0),15-13*ORÇAMENTO!$AF$11)),
         0)</f>
        <v>0</v>
      </c>
      <c r="AO110" s="453">
        <f ca="1">IF(AND($D110="Serviço",AO$12&lt;&gt;0,$H110&gt;0,OR(AUTOEVENTO&lt;&gt;"manual",$M110&lt;&gt;$A$15)),
        IF(Import.TipoArredondamento&lt;&gt;"TransfereGOV",
              ROUND(OFFSET($P110,0,AO$13),15-13*ORÇAMENTO!$AF$7)/$H110*OFFSET(ORÇAMENTO!$X$15,ROW(AO110)-ROW(AO$15),0),
              ROUND(ROUND(OFFSET($P110,0,AO$13),15-13*ORÇAMENTO!$AF$7)*OFFSET(ORÇAMENTO!$W$15,ROW(AO110)-ROW(AO$15),0),15-13*ORÇAMENTO!$AF$11)),
         0)</f>
        <v>0</v>
      </c>
      <c r="AP110" s="453">
        <f ca="1">IF(AND($D110="Serviço",AP$12&lt;&gt;0,$H110&gt;0,OR(AUTOEVENTO&lt;&gt;"manual",$M110&lt;&gt;$A$15)),
        IF(Import.TipoArredondamento&lt;&gt;"TransfereGOV",
              ROUND(OFFSET($P110,0,AP$13),15-13*ORÇAMENTO!$AF$7)/$H110*OFFSET(ORÇAMENTO!$X$15,ROW(AP110)-ROW(AP$15),0),
              ROUND(ROUND(OFFSET($P110,0,AP$13),15-13*ORÇAMENTO!$AF$7)*OFFSET(ORÇAMENTO!$W$15,ROW(AP110)-ROW(AP$15),0),15-13*ORÇAMENTO!$AF$11)),
         0)</f>
        <v>0</v>
      </c>
      <c r="AQ110" s="453">
        <f ca="1">IF(AND($D110="Serviço",AQ$12&lt;&gt;0,$H110&gt;0,OR(AUTOEVENTO&lt;&gt;"manual",$M110&lt;&gt;$A$15)),
        IF(Import.TipoArredondamento&lt;&gt;"TransfereGOV",
              ROUND(OFFSET($P110,0,AQ$13),15-13*ORÇAMENTO!$AF$7)/$H110*OFFSET(ORÇAMENTO!$X$15,ROW(AQ110)-ROW(AQ$15),0),
              ROUND(ROUND(OFFSET($P110,0,AQ$13),15-13*ORÇAMENTO!$AF$7)*OFFSET(ORÇAMENTO!$W$15,ROW(AQ110)-ROW(AQ$15),0),15-13*ORÇAMENTO!$AF$11)),
         0)</f>
        <v>0</v>
      </c>
      <c r="AR110" s="453">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3">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3">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3">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3">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3">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3">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3">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3">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3">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C110" s="171">
        <f ca="1">IF(OR($D110&lt;&gt;"Serviço",AND(AUTOEVENTO="Manual",$M110=$A$15)),0,
         IF(OFFSET(CRONOPLE!$F$15,$M110-$A$15,BC$13)=0,10^12,OFFSET(CRONOPLE!$F$15,$M110-$A$15,BC$13)))</f>
        <v>1</v>
      </c>
      <c r="BD110" s="171">
        <f ca="1">IF(OR($D110&lt;&gt;"Serviço",AND(AUTOEVENTO="Manual",$M110=$A$15)),0,
         IF(OFFSET(CRONOPLE!$F$15,$M110-$A$15,BD$13)=0,10^12,OFFSET(CRONOPLE!$F$15,$M110-$A$15,BD$13)))</f>
        <v>2</v>
      </c>
      <c r="BE110" s="171">
        <f ca="1">IF(OR($D110&lt;&gt;"Serviço",AND(AUTOEVENTO="Manual",$M110=$A$15)),0,
         IF(OFFSET(CRONOPLE!$F$15,$M110-$A$15,BE$13)=0,10^12,OFFSET(CRONOPLE!$F$15,$M110-$A$15,BE$13)))</f>
        <v>3</v>
      </c>
      <c r="BF110" s="171">
        <f ca="1">IF(OR($D110&lt;&gt;"Serviço",AND(AUTOEVENTO="Manual",$M110=$A$15)),0,
         IF(OFFSET(CRONOPLE!$F$15,$M110-$A$15,BF$13)=0,10^12,OFFSET(CRONOPLE!$F$15,$M110-$A$15,BF$13)))</f>
        <v>4</v>
      </c>
      <c r="BG110" s="171">
        <f ca="1">IF(OR($D110&lt;&gt;"Serviço",AND(AUTOEVENTO="Manual",$M110=$A$15)),0,
         IF(OFFSET(CRONOPLE!$F$15,$M110-$A$15,BG$13)=0,10^12,OFFSET(CRONOPLE!$F$15,$M110-$A$15,BG$13)))</f>
        <v>5</v>
      </c>
      <c r="BH110" s="171">
        <f ca="1">IF(OR($D110&lt;&gt;"Serviço",AND(AUTOEVENTO="Manual",$M110=$A$15)),0,
         IF(OFFSET(CRONOPLE!$F$15,$M110-$A$15,BH$13)=0,10^12,OFFSET(CRONOPLE!$F$15,$M110-$A$15,BH$13)))</f>
        <v>6</v>
      </c>
      <c r="BI110" s="171">
        <f ca="1">IF(OR($D110&lt;&gt;"Serviço",AND(AUTOEVENTO="Manual",$M110=$A$15)),0,
         IF(OFFSET(CRONOPLE!$F$15,$M110-$A$15,BI$13)=0,10^12,OFFSET(CRONOPLE!$F$15,$M110-$A$15,BI$13)))</f>
        <v>7</v>
      </c>
      <c r="BJ110" s="171">
        <f ca="1">IF(OR($D110&lt;&gt;"Serviço",AND(AUTOEVENTO="Manual",$M110=$A$15)),0,
         IF(OFFSET(CRONOPLE!$F$15,$M110-$A$15,BJ$13)=0,10^12,OFFSET(CRONOPLE!$F$15,$M110-$A$15,BJ$13)))</f>
        <v>8</v>
      </c>
      <c r="BK110" s="171">
        <f ca="1">IF(OR($D110&lt;&gt;"Serviço",AND(AUTOEVENTO="Manual",$M110=$A$15)),0,
         IF(OFFSET(CRONOPLE!$F$15,$M110-$A$15,BK$13)=0,10^12,OFFSET(CRONOPLE!$F$15,$M110-$A$15,BK$13)))</f>
        <v>9</v>
      </c>
      <c r="BL110" s="171">
        <f ca="1">IF(OR($D110&lt;&gt;"Serviço",AND(AUTOEVENTO="Manual",$M110=$A$15)),0,
         IF(OFFSET(CRONOPLE!$F$15,$M110-$A$15,BL$13)=0,10^12,OFFSET(CRONOPLE!$F$15,$M110-$A$15,BL$13)))</f>
        <v>10</v>
      </c>
      <c r="BM110" s="171">
        <f ca="1">IF(OR($D110&lt;&gt;"Serviço",AND(AUTOEVENTO="Manual",$M110=$A$15)),0,
         IF(OFFSET(CRONOPLE!$F$15,$M110-$A$15,BM$13)=0,10^12,OFFSET(CRONOPLE!$F$15,$M110-$A$15,BM$13)))</f>
        <v>1000000000000</v>
      </c>
      <c r="BN110" s="171">
        <f ca="1">IF(OR($D110&lt;&gt;"Serviço",AND(AUTOEVENTO="Manual",$M110=$A$15)),0,
         IF(OFFSET(CRONOPLE!$F$15,$M110-$A$15,BN$13)=0,10^12,OFFSET(CRONOPLE!$F$15,$M110-$A$15,BN$13)))</f>
        <v>1000000000000</v>
      </c>
      <c r="BO110" s="171">
        <f ca="1">IF(OR($D110&lt;&gt;"Serviço",AND(AUTOEVENTO="Manual",$M110=$A$15)),0,
         IF(OFFSET(CRONOPLE!$F$15,$M110-$A$15,BO$13)=0,10^12,OFFSET(CRONOPLE!$F$15,$M110-$A$15,BO$13)))</f>
        <v>1000000000000</v>
      </c>
      <c r="BP110" s="171">
        <f ca="1">IF(OR($D110&lt;&gt;"Serviço",AND(AUTOEVENTO="Manual",$M110=$A$15)),0,
         IF(OFFSET(CRONOPLE!$F$15,$M110-$A$15,BP$13)=0,10^12,OFFSET(CRONOPLE!$F$15,$M110-$A$15,BP$13)))</f>
        <v>1000000000000</v>
      </c>
      <c r="BQ110" s="171">
        <f ca="1">IF(OR($D110&lt;&gt;"Serviço",AND(AUTOEVENTO="Manual",$M110=$A$15)),0,
         IF(OFFSET(CRONOPLE!$F$15,$M110-$A$15,BQ$13)=0,10^12,OFFSET(CRONOPLE!$F$15,$M110-$A$15,BQ$13)))</f>
        <v>1000000000000</v>
      </c>
      <c r="BR110" s="171">
        <f ca="1">IF(OR($D110&lt;&gt;"Serviço",AND(AUTOEVENTO="Manual",$M110=$A$15)),0,
         IF(OFFSET(CRONOPLE!$F$15,$M110-$A$15,BR$13)=0,10^12,OFFSET(CRONOPLE!$F$15,$M110-$A$15,BR$13)))</f>
        <v>1000000000000</v>
      </c>
      <c r="BS110" s="171">
        <f ca="1">IF(OR($D110&lt;&gt;"Serviço",AND(AUTOEVENTO="Manual",$M110=$A$15)),0,
         IF(OFFSET(CRONOPLE!$F$15,$M110-$A$15,BS$13)=0,10^12,OFFSET(CRONOPLE!$F$15,$M110-$A$15,BS$13)))</f>
        <v>1000000000000</v>
      </c>
      <c r="BT110" s="171">
        <f ca="1">IF(OR($D110&lt;&gt;"Serviço",AND(AUTOEVENTO="Manual",$M110=$A$15)),0,
         IF(OFFSET(CRONOPLE!$F$15,$M110-$A$15,BT$13)=0,10^12,OFFSET(CRONOPLE!$F$15,$M110-$A$15,BT$13)))</f>
        <v>1000000000000</v>
      </c>
      <c r="BV110" s="172">
        <f ca="1">IF(OR($D110&lt;&gt;"Serviço",AND(AUTOEVENTO="Manual",$M110=$A$15),$M110&gt;(ROW(PLE.lastrow)-ROW(PLE.firstrow))),0,
           IF(OFFSET(PLE!$G$15,$M110-$A$15,BV$13)="",10^12,OFFSET(PLE!$G$15,$M110-$A$15,BV$13)))</f>
        <v>1000000000000</v>
      </c>
      <c r="BW110" s="172">
        <f ca="1">IF(OR($D110&lt;&gt;"Serviço",AND(AUTOEVENTO="Manual",$M110=$A$15),$M110&gt;(ROW(PLE.lastrow)-ROW(PLE.firstrow))),0,
           IF(OFFSET(PLE!$G$15,$M110-$A$15,BW$13)="",10^12,OFFSET(PLE!$G$15,$M110-$A$15,BW$13)))</f>
        <v>1000000000000</v>
      </c>
      <c r="BX110" s="172">
        <f ca="1">IF(OR($D110&lt;&gt;"Serviço",AND(AUTOEVENTO="Manual",$M110=$A$15),$M110&gt;(ROW(PLE.lastrow)-ROW(PLE.firstrow))),0,
           IF(OFFSET(PLE!$G$15,$M110-$A$15,BX$13)="",10^12,OFFSET(PLE!$G$15,$M110-$A$15,BX$13)))</f>
        <v>1000000000000</v>
      </c>
      <c r="BY110" s="172">
        <f ca="1">IF(OR($D110&lt;&gt;"Serviço",AND(AUTOEVENTO="Manual",$M110=$A$15),$M110&gt;(ROW(PLE.lastrow)-ROW(PLE.firstrow))),0,
           IF(OFFSET(PLE!$G$15,$M110-$A$15,BY$13)="",10^12,OFFSET(PLE!$G$15,$M110-$A$15,BY$13)))</f>
        <v>1000000000000</v>
      </c>
      <c r="BZ110" s="172">
        <f ca="1">IF(OR($D110&lt;&gt;"Serviço",AND(AUTOEVENTO="Manual",$M110=$A$15),$M110&gt;(ROW(PLE.lastrow)-ROW(PLE.firstrow))),0,
           IF(OFFSET(PLE!$G$15,$M110-$A$15,BZ$13)="",10^12,OFFSET(PLE!$G$15,$M110-$A$15,BZ$13)))</f>
        <v>1000000000000</v>
      </c>
      <c r="CA110" s="172">
        <f ca="1">IF(OR($D110&lt;&gt;"Serviço",AND(AUTOEVENTO="Manual",$M110=$A$15),$M110&gt;(ROW(PLE.lastrow)-ROW(PLE.firstrow))),0,
           IF(OFFSET(PLE!$G$15,$M110-$A$15,CA$13)="",10^12,OFFSET(PLE!$G$15,$M110-$A$15,CA$13)))</f>
        <v>1000000000000</v>
      </c>
      <c r="CB110" s="172">
        <f ca="1">IF(OR($D110&lt;&gt;"Serviço",AND(AUTOEVENTO="Manual",$M110=$A$15),$M110&gt;(ROW(PLE.lastrow)-ROW(PLE.firstrow))),0,
           IF(OFFSET(PLE!$G$15,$M110-$A$15,CB$13)="",10^12,OFFSET(PLE!$G$15,$M110-$A$15,CB$13)))</f>
        <v>1000000000000</v>
      </c>
      <c r="CC110" s="172">
        <f ca="1">IF(OR($D110&lt;&gt;"Serviço",AND(AUTOEVENTO="Manual",$M110=$A$15),$M110&gt;(ROW(PLE.lastrow)-ROW(PLE.firstrow))),0,
           IF(OFFSET(PLE!$G$15,$M110-$A$15,CC$13)="",10^12,OFFSET(PLE!$G$15,$M110-$A$15,CC$13)))</f>
        <v>1000000000000</v>
      </c>
      <c r="CD110" s="172">
        <f ca="1">IF(OR($D110&lt;&gt;"Serviço",AND(AUTOEVENTO="Manual",$M110=$A$15),$M110&gt;(ROW(PLE.lastrow)-ROW(PLE.firstrow))),0,
           IF(OFFSET(PLE!$G$15,$M110-$A$15,CD$13)="",10^12,OFFSET(PLE!$G$15,$M110-$A$15,CD$13)))</f>
        <v>1000000000000</v>
      </c>
      <c r="CE110" s="172">
        <f ca="1">IF(OR($D110&lt;&gt;"Serviço",AND(AUTOEVENTO="Manual",$M110=$A$15),$M110&gt;(ROW(PLE.lastrow)-ROW(PLE.firstrow))),0,
           IF(OFFSET(PLE!$G$15,$M110-$A$15,CE$13)="",10^12,OFFSET(PLE!$G$15,$M110-$A$15,CE$13)))</f>
        <v>1000000000000</v>
      </c>
      <c r="CF110" s="172">
        <f ca="1">IF(OR($D110&lt;&gt;"Serviço",AND(AUTOEVENTO="Manual",$M110=$A$15),$M110&gt;(ROW(PLE.lastrow)-ROW(PLE.firstrow))),0,
           IF(OFFSET(PLE!$G$15,$M110-$A$15,CF$13)="",10^12,OFFSET(PLE!$G$15,$M110-$A$15,CF$13)))</f>
        <v>1000000000000</v>
      </c>
      <c r="CG110" s="172">
        <f ca="1">IF(OR($D110&lt;&gt;"Serviço",AND(AUTOEVENTO="Manual",$M110=$A$15),$M110&gt;(ROW(PLE.lastrow)-ROW(PLE.firstrow))),0,
           IF(OFFSET(PLE!$G$15,$M110-$A$15,CG$13)="",10^12,OFFSET(PLE!$G$15,$M110-$A$15,CG$13)))</f>
        <v>1000000000000</v>
      </c>
      <c r="CH110" s="172">
        <f ca="1">IF(OR($D110&lt;&gt;"Serviço",AND(AUTOEVENTO="Manual",$M110=$A$15),$M110&gt;(ROW(PLE.lastrow)-ROW(PLE.firstrow))),0,
           IF(OFFSET(PLE!$G$15,$M110-$A$15,CH$13)="",10^12,OFFSET(PLE!$G$15,$M110-$A$15,CH$13)))</f>
        <v>1000000000000</v>
      </c>
      <c r="CI110" s="172">
        <f ca="1">IF(OR($D110&lt;&gt;"Serviço",AND(AUTOEVENTO="Manual",$M110=$A$15),$M110&gt;(ROW(PLE.lastrow)-ROW(PLE.firstrow))),0,
           IF(OFFSET(PLE!$G$15,$M110-$A$15,CI$13)="",10^12,OFFSET(PLE!$G$15,$M110-$A$15,CI$13)))</f>
        <v>1000000000000</v>
      </c>
      <c r="CJ110" s="172">
        <f ca="1">IF(OR($D110&lt;&gt;"Serviço",AND(AUTOEVENTO="Manual",$M110=$A$15),$M110&gt;(ROW(PLE.lastrow)-ROW(PLE.firstrow))),0,
           IF(OFFSET(PLE!$G$15,$M110-$A$15,CJ$13)="",10^12,OFFSET(PLE!$G$15,$M110-$A$15,CJ$13)))</f>
        <v>1000000000000</v>
      </c>
      <c r="CK110" s="172">
        <f ca="1">IF(OR($D110&lt;&gt;"Serviço",AND(AUTOEVENTO="Manual",$M110=$A$15),$M110&gt;(ROW(PLE.lastrow)-ROW(PLE.firstrow))),0,
           IF(OFFSET(PLE!$G$15,$M110-$A$15,CK$13)="",10^12,OFFSET(PLE!$G$15,$M110-$A$15,CK$13)))</f>
        <v>1000000000000</v>
      </c>
      <c r="CL110" s="172">
        <f ca="1">IF(OR($D110&lt;&gt;"Serviço",AND(AUTOEVENTO="Manual",$M110=$A$15),$M110&gt;(ROW(PLE.lastrow)-ROW(PLE.firstrow))),0,
           IF(OFFSET(PLE!$G$15,$M110-$A$15,CL$13)="",10^12,OFFSET(PLE!$G$15,$M110-$A$15,CL$13)))</f>
        <v>1000000000000</v>
      </c>
      <c r="CM110" s="172">
        <f ca="1">IF(OR($D110&lt;&gt;"Serviço",AND(AUTOEVENTO="Manual",$M110=$A$15),$M110&gt;(ROW(PLE.lastrow)-ROW(PLE.firstrow))),0,
           IF(OFFSET(PLE!$G$15,$M110-$A$15,CM$13)="",10^12,OFFSET(PLE!$G$15,$M110-$A$15,CM$13)))</f>
        <v>1000000000000</v>
      </c>
    </row>
    <row r="111" spans="1:91" ht="89.25" x14ac:dyDescent="0.2">
      <c r="A111" s="7">
        <f t="shared" ca="1" si="11"/>
        <v>4</v>
      </c>
      <c r="B111" s="7" t="str">
        <f ca="1">OFFSET(ORÇAMENTO!C$15,ROW(B111)-ROW(B$15),0)</f>
        <v>S</v>
      </c>
      <c r="C111" s="7" t="str">
        <f ca="1">OFFSET(ORÇAMENTO!L$15,ROW(C111)-ROW(C$15),0)</f>
        <v>F</v>
      </c>
      <c r="D111" s="116" t="str">
        <f ca="1">OFFSET(ORÇAMENTO!N$15,ROW(D111)-ROW(D$15),0)</f>
        <v>Serviço</v>
      </c>
      <c r="E111" s="117" t="str">
        <f ca="1">OFFSET(ORÇAMENTO!O$15,ROW(E111)-ROW(E$15),0)</f>
        <v>1.5.2.1.5.</v>
      </c>
      <c r="F111" s="163" t="str">
        <f ca="1">OFFSET(ORÇAMENTO!R$15,ROW(F111)-ROW(F$15),0)</f>
        <v>ARMAÇÃO EM AÇO CA-50 - FORNECIMENTO, PREPARO E COLOCAÇÃO</v>
      </c>
      <c r="G111" s="164" t="str">
        <f ca="1">IF($D111&lt;&gt;"Serviço","",OFFSET(ORÇAMENTO!S$15,ROW(G111)-ROW(G$15),0))</f>
        <v>KG</v>
      </c>
      <c r="H111" s="122" cm="1">
        <f t="array" aca="1" ref="H111" ca="1">IF($D111&lt;&gt;"Serviço",0,IF(ACOMPANHAMENTO="BM",ROUND(OFFSET(ORÇAMENTO!AJ$15,ROW(H111)-ROW(H$15),0),15-13*ORÇAMENTO!$AF$7),SUMPRODUCT(($Q$1:$AI$1=1)*ROUND($Q111:$AI111,15-13*ORÇAMENTO!$AF$7))))</f>
        <v>3433.24</v>
      </c>
      <c r="I111" s="468" t="s">
        <v>1320</v>
      </c>
      <c r="J111" s="640" t="str" cm="1">
        <f t="array" aca="1" ref="J111" ca="1">IF(OR(B111&lt;&gt;"S",CÁLCULO.FrentesPreenchidas=0),"",IF(AND(ACOMPANHAMENTO="PLE",AUTOEVENTO="Manual",OR(H111&gt;0,ORÇAMENTO!AC111="QUANT."),OR(K111="",M111=0,N111="")),"►E",IF(AND(ACOMPANHAMENTO="PLE",ORÇAMENTO!AC111="QUANT."),"►Q",IF(AND(ACOMPANHAMENTO="PLE",H111&lt;&gt;SUMPRODUCT(($Q$1:$AI$1=1)*ROUND(Q111:AI111,15))),"►S",IF(AND(COUNTIF($P$11:$AI$11,"▼")=0,H111&gt;0,I111=""),"◄M","")))))</f>
        <v/>
      </c>
      <c r="K111" s="641" t="s">
        <v>1389</v>
      </c>
      <c r="L111" s="165" t="s">
        <v>764</v>
      </c>
      <c r="M111" s="166">
        <f ca="1">IF($D111&lt;&gt;"Serviço","",
          IF(AUTOEVENTO="manual",$A111,
                IF(ISERROR(MATCH($A111,$A$15:OFFSET($A111,-1,0),0)),MAX($M$15:OFFSET(M111,-1,0))+1,
                      INDEX($M$15:OFFSET(M111,-1,0),MATCH($A111,$A$15:OFFSET($A111,-1,0),0)))))</f>
        <v>4</v>
      </c>
      <c r="N111" s="167" t="str">
        <f ca="1">IF($D111&lt;&gt;"Serviço","",
         IF(AUTOEVENTO="Manual",
                IF($A111=0,"&lt;-- defina o número do agrupador",
                       OFFSET(EVENTOS!$D$15,$A111-$A$15,0)),
                OFFSET($F$15,$A111,0)))</f>
        <v>Estruturas de Concreto</v>
      </c>
      <c r="O111" s="168"/>
      <c r="Q111" s="168"/>
      <c r="R111" s="169"/>
      <c r="S111" s="169"/>
      <c r="T111" s="169">
        <f>125.44+338.75+2310.19+658.86</f>
        <v>3433.2400000000002</v>
      </c>
      <c r="U111" s="169"/>
      <c r="V111" s="169"/>
      <c r="W111" s="169"/>
      <c r="X111" s="169"/>
      <c r="Y111" s="169"/>
      <c r="Z111" s="170"/>
      <c r="AA111" s="169"/>
      <c r="AB111" s="169"/>
      <c r="AC111" s="169"/>
      <c r="AD111" s="169"/>
      <c r="AE111" s="169"/>
      <c r="AF111" s="169"/>
      <c r="AG111" s="169"/>
      <c r="AH111" s="170"/>
      <c r="AJ111" s="453">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0</v>
      </c>
      <c r="AK111" s="453">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0</v>
      </c>
      <c r="AL111" s="453">
        <f ca="1">IF(AND($D111="Serviço",AL$12&lt;&gt;0,$H111&gt;0,OR(AUTOEVENTO&lt;&gt;"manual",$M111&lt;&gt;$A$15)),
        IF(Import.TipoArredondamento&lt;&gt;"TransfereGOV",
              ROUND(OFFSET($P111,0,AL$13),15-13*ORÇAMENTO!$AF$7)/$H111*OFFSET(ORÇAMENTO!$X$15,ROW(AL111)-ROW(AL$15),0),
              ROUND(ROUND(OFFSET($P111,0,AL$13),15-13*ORÇAMENTO!$AF$7)*OFFSET(ORÇAMENTO!$W$15,ROW(AL111)-ROW(AL$15),0),15-13*ORÇAMENTO!$AF$11)),
         0)</f>
        <v>0</v>
      </c>
      <c r="AM111" s="453">
        <f ca="1">IF(AND($D111="Serviço",AM$12&lt;&gt;0,$H111&gt;0,OR(AUTOEVENTO&lt;&gt;"manual",$M111&lt;&gt;$A$15)),
        IF(Import.TipoArredondamento&lt;&gt;"TransfereGOV",
              ROUND(OFFSET($P111,0,AM$13),15-13*ORÇAMENTO!$AF$7)/$H111*OFFSET(ORÇAMENTO!$X$15,ROW(AM111)-ROW(AM$15),0),
              ROUND(ROUND(OFFSET($P111,0,AM$13),15-13*ORÇAMENTO!$AF$7)*OFFSET(ORÇAMENTO!$W$15,ROW(AM111)-ROW(AM$15),0),15-13*ORÇAMENTO!$AF$11)),
         0)</f>
        <v>0</v>
      </c>
      <c r="AN111" s="453">
        <f ca="1">IF(AND($D111="Serviço",AN$12&lt;&gt;0,$H111&gt;0,OR(AUTOEVENTO&lt;&gt;"manual",$M111&lt;&gt;$A$15)),
        IF(Import.TipoArredondamento&lt;&gt;"TransfereGOV",
              ROUND(OFFSET($P111,0,AN$13),15-13*ORÇAMENTO!$AF$7)/$H111*OFFSET(ORÇAMENTO!$X$15,ROW(AN111)-ROW(AN$15),0),
              ROUND(ROUND(OFFSET($P111,0,AN$13),15-13*ORÇAMENTO!$AF$7)*OFFSET(ORÇAMENTO!$W$15,ROW(AN111)-ROW(AN$15),0),15-13*ORÇAMENTO!$AF$11)),
         0)</f>
        <v>0</v>
      </c>
      <c r="AO111" s="453">
        <f ca="1">IF(AND($D111="Serviço",AO$12&lt;&gt;0,$H111&gt;0,OR(AUTOEVENTO&lt;&gt;"manual",$M111&lt;&gt;$A$15)),
        IF(Import.TipoArredondamento&lt;&gt;"TransfereGOV",
              ROUND(OFFSET($P111,0,AO$13),15-13*ORÇAMENTO!$AF$7)/$H111*OFFSET(ORÇAMENTO!$X$15,ROW(AO111)-ROW(AO$15),0),
              ROUND(ROUND(OFFSET($P111,0,AO$13),15-13*ORÇAMENTO!$AF$7)*OFFSET(ORÇAMENTO!$W$15,ROW(AO111)-ROW(AO$15),0),15-13*ORÇAMENTO!$AF$11)),
         0)</f>
        <v>0</v>
      </c>
      <c r="AP111" s="453">
        <f ca="1">IF(AND($D111="Serviço",AP$12&lt;&gt;0,$H111&gt;0,OR(AUTOEVENTO&lt;&gt;"manual",$M111&lt;&gt;$A$15)),
        IF(Import.TipoArredondamento&lt;&gt;"TransfereGOV",
              ROUND(OFFSET($P111,0,AP$13),15-13*ORÇAMENTO!$AF$7)/$H111*OFFSET(ORÇAMENTO!$X$15,ROW(AP111)-ROW(AP$15),0),
              ROUND(ROUND(OFFSET($P111,0,AP$13),15-13*ORÇAMENTO!$AF$7)*OFFSET(ORÇAMENTO!$W$15,ROW(AP111)-ROW(AP$15),0),15-13*ORÇAMENTO!$AF$11)),
         0)</f>
        <v>0</v>
      </c>
      <c r="AQ111" s="453">
        <f ca="1">IF(AND($D111="Serviço",AQ$12&lt;&gt;0,$H111&gt;0,OR(AUTOEVENTO&lt;&gt;"manual",$M111&lt;&gt;$A$15)),
        IF(Import.TipoArredondamento&lt;&gt;"TransfereGOV",
              ROUND(OFFSET($P111,0,AQ$13),15-13*ORÇAMENTO!$AF$7)/$H111*OFFSET(ORÇAMENTO!$X$15,ROW(AQ111)-ROW(AQ$15),0),
              ROUND(ROUND(OFFSET($P111,0,AQ$13),15-13*ORÇAMENTO!$AF$7)*OFFSET(ORÇAMENTO!$W$15,ROW(AQ111)-ROW(AQ$15),0),15-13*ORÇAMENTO!$AF$11)),
         0)</f>
        <v>0</v>
      </c>
      <c r="AR111" s="453">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3">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3">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3">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3">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3">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3">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3">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3">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3">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C111" s="171">
        <f ca="1">IF(OR($D111&lt;&gt;"Serviço",AND(AUTOEVENTO="Manual",$M111=$A$15)),0,
         IF(OFFSET(CRONOPLE!$F$15,$M111-$A$15,BC$13)=0,10^12,OFFSET(CRONOPLE!$F$15,$M111-$A$15,BC$13)))</f>
        <v>1</v>
      </c>
      <c r="BD111" s="171">
        <f ca="1">IF(OR($D111&lt;&gt;"Serviço",AND(AUTOEVENTO="Manual",$M111=$A$15)),0,
         IF(OFFSET(CRONOPLE!$F$15,$M111-$A$15,BD$13)=0,10^12,OFFSET(CRONOPLE!$F$15,$M111-$A$15,BD$13)))</f>
        <v>2</v>
      </c>
      <c r="BE111" s="171">
        <f ca="1">IF(OR($D111&lt;&gt;"Serviço",AND(AUTOEVENTO="Manual",$M111=$A$15)),0,
         IF(OFFSET(CRONOPLE!$F$15,$M111-$A$15,BE$13)=0,10^12,OFFSET(CRONOPLE!$F$15,$M111-$A$15,BE$13)))</f>
        <v>3</v>
      </c>
      <c r="BF111" s="171">
        <f ca="1">IF(OR($D111&lt;&gt;"Serviço",AND(AUTOEVENTO="Manual",$M111=$A$15)),0,
         IF(OFFSET(CRONOPLE!$F$15,$M111-$A$15,BF$13)=0,10^12,OFFSET(CRONOPLE!$F$15,$M111-$A$15,BF$13)))</f>
        <v>4</v>
      </c>
      <c r="BG111" s="171">
        <f ca="1">IF(OR($D111&lt;&gt;"Serviço",AND(AUTOEVENTO="Manual",$M111=$A$15)),0,
         IF(OFFSET(CRONOPLE!$F$15,$M111-$A$15,BG$13)=0,10^12,OFFSET(CRONOPLE!$F$15,$M111-$A$15,BG$13)))</f>
        <v>5</v>
      </c>
      <c r="BH111" s="171">
        <f ca="1">IF(OR($D111&lt;&gt;"Serviço",AND(AUTOEVENTO="Manual",$M111=$A$15)),0,
         IF(OFFSET(CRONOPLE!$F$15,$M111-$A$15,BH$13)=0,10^12,OFFSET(CRONOPLE!$F$15,$M111-$A$15,BH$13)))</f>
        <v>6</v>
      </c>
      <c r="BI111" s="171">
        <f ca="1">IF(OR($D111&lt;&gt;"Serviço",AND(AUTOEVENTO="Manual",$M111=$A$15)),0,
         IF(OFFSET(CRONOPLE!$F$15,$M111-$A$15,BI$13)=0,10^12,OFFSET(CRONOPLE!$F$15,$M111-$A$15,BI$13)))</f>
        <v>7</v>
      </c>
      <c r="BJ111" s="171">
        <f ca="1">IF(OR($D111&lt;&gt;"Serviço",AND(AUTOEVENTO="Manual",$M111=$A$15)),0,
         IF(OFFSET(CRONOPLE!$F$15,$M111-$A$15,BJ$13)=0,10^12,OFFSET(CRONOPLE!$F$15,$M111-$A$15,BJ$13)))</f>
        <v>8</v>
      </c>
      <c r="BK111" s="171">
        <f ca="1">IF(OR($D111&lt;&gt;"Serviço",AND(AUTOEVENTO="Manual",$M111=$A$15)),0,
         IF(OFFSET(CRONOPLE!$F$15,$M111-$A$15,BK$13)=0,10^12,OFFSET(CRONOPLE!$F$15,$M111-$A$15,BK$13)))</f>
        <v>9</v>
      </c>
      <c r="BL111" s="171">
        <f ca="1">IF(OR($D111&lt;&gt;"Serviço",AND(AUTOEVENTO="Manual",$M111=$A$15)),0,
         IF(OFFSET(CRONOPLE!$F$15,$M111-$A$15,BL$13)=0,10^12,OFFSET(CRONOPLE!$F$15,$M111-$A$15,BL$13)))</f>
        <v>10</v>
      </c>
      <c r="BM111" s="171">
        <f ca="1">IF(OR($D111&lt;&gt;"Serviço",AND(AUTOEVENTO="Manual",$M111=$A$15)),0,
         IF(OFFSET(CRONOPLE!$F$15,$M111-$A$15,BM$13)=0,10^12,OFFSET(CRONOPLE!$F$15,$M111-$A$15,BM$13)))</f>
        <v>1000000000000</v>
      </c>
      <c r="BN111" s="171">
        <f ca="1">IF(OR($D111&lt;&gt;"Serviço",AND(AUTOEVENTO="Manual",$M111=$A$15)),0,
         IF(OFFSET(CRONOPLE!$F$15,$M111-$A$15,BN$13)=0,10^12,OFFSET(CRONOPLE!$F$15,$M111-$A$15,BN$13)))</f>
        <v>1000000000000</v>
      </c>
      <c r="BO111" s="171">
        <f ca="1">IF(OR($D111&lt;&gt;"Serviço",AND(AUTOEVENTO="Manual",$M111=$A$15)),0,
         IF(OFFSET(CRONOPLE!$F$15,$M111-$A$15,BO$13)=0,10^12,OFFSET(CRONOPLE!$F$15,$M111-$A$15,BO$13)))</f>
        <v>1000000000000</v>
      </c>
      <c r="BP111" s="171">
        <f ca="1">IF(OR($D111&lt;&gt;"Serviço",AND(AUTOEVENTO="Manual",$M111=$A$15)),0,
         IF(OFFSET(CRONOPLE!$F$15,$M111-$A$15,BP$13)=0,10^12,OFFSET(CRONOPLE!$F$15,$M111-$A$15,BP$13)))</f>
        <v>1000000000000</v>
      </c>
      <c r="BQ111" s="171">
        <f ca="1">IF(OR($D111&lt;&gt;"Serviço",AND(AUTOEVENTO="Manual",$M111=$A$15)),0,
         IF(OFFSET(CRONOPLE!$F$15,$M111-$A$15,BQ$13)=0,10^12,OFFSET(CRONOPLE!$F$15,$M111-$A$15,BQ$13)))</f>
        <v>1000000000000</v>
      </c>
      <c r="BR111" s="171">
        <f ca="1">IF(OR($D111&lt;&gt;"Serviço",AND(AUTOEVENTO="Manual",$M111=$A$15)),0,
         IF(OFFSET(CRONOPLE!$F$15,$M111-$A$15,BR$13)=0,10^12,OFFSET(CRONOPLE!$F$15,$M111-$A$15,BR$13)))</f>
        <v>1000000000000</v>
      </c>
      <c r="BS111" s="171">
        <f ca="1">IF(OR($D111&lt;&gt;"Serviço",AND(AUTOEVENTO="Manual",$M111=$A$15)),0,
         IF(OFFSET(CRONOPLE!$F$15,$M111-$A$15,BS$13)=0,10^12,OFFSET(CRONOPLE!$F$15,$M111-$A$15,BS$13)))</f>
        <v>1000000000000</v>
      </c>
      <c r="BT111" s="171">
        <f ca="1">IF(OR($D111&lt;&gt;"Serviço",AND(AUTOEVENTO="Manual",$M111=$A$15)),0,
         IF(OFFSET(CRONOPLE!$F$15,$M111-$A$15,BT$13)=0,10^12,OFFSET(CRONOPLE!$F$15,$M111-$A$15,BT$13)))</f>
        <v>1000000000000</v>
      </c>
      <c r="BV111" s="172">
        <f ca="1">IF(OR($D111&lt;&gt;"Serviço",AND(AUTOEVENTO="Manual",$M111=$A$15),$M111&gt;(ROW(PLE.lastrow)-ROW(PLE.firstrow))),0,
           IF(OFFSET(PLE!$G$15,$M111-$A$15,BV$13)="",10^12,OFFSET(PLE!$G$15,$M111-$A$15,BV$13)))</f>
        <v>1000000000000</v>
      </c>
      <c r="BW111" s="172">
        <f ca="1">IF(OR($D111&lt;&gt;"Serviço",AND(AUTOEVENTO="Manual",$M111=$A$15),$M111&gt;(ROW(PLE.lastrow)-ROW(PLE.firstrow))),0,
           IF(OFFSET(PLE!$G$15,$M111-$A$15,BW$13)="",10^12,OFFSET(PLE!$G$15,$M111-$A$15,BW$13)))</f>
        <v>1000000000000</v>
      </c>
      <c r="BX111" s="172">
        <f ca="1">IF(OR($D111&lt;&gt;"Serviço",AND(AUTOEVENTO="Manual",$M111=$A$15),$M111&gt;(ROW(PLE.lastrow)-ROW(PLE.firstrow))),0,
           IF(OFFSET(PLE!$G$15,$M111-$A$15,BX$13)="",10^12,OFFSET(PLE!$G$15,$M111-$A$15,BX$13)))</f>
        <v>1000000000000</v>
      </c>
      <c r="BY111" s="172">
        <f ca="1">IF(OR($D111&lt;&gt;"Serviço",AND(AUTOEVENTO="Manual",$M111=$A$15),$M111&gt;(ROW(PLE.lastrow)-ROW(PLE.firstrow))),0,
           IF(OFFSET(PLE!$G$15,$M111-$A$15,BY$13)="",10^12,OFFSET(PLE!$G$15,$M111-$A$15,BY$13)))</f>
        <v>1000000000000</v>
      </c>
      <c r="BZ111" s="172">
        <f ca="1">IF(OR($D111&lt;&gt;"Serviço",AND(AUTOEVENTO="Manual",$M111=$A$15),$M111&gt;(ROW(PLE.lastrow)-ROW(PLE.firstrow))),0,
           IF(OFFSET(PLE!$G$15,$M111-$A$15,BZ$13)="",10^12,OFFSET(PLE!$G$15,$M111-$A$15,BZ$13)))</f>
        <v>1000000000000</v>
      </c>
      <c r="CA111" s="172">
        <f ca="1">IF(OR($D111&lt;&gt;"Serviço",AND(AUTOEVENTO="Manual",$M111=$A$15),$M111&gt;(ROW(PLE.lastrow)-ROW(PLE.firstrow))),0,
           IF(OFFSET(PLE!$G$15,$M111-$A$15,CA$13)="",10^12,OFFSET(PLE!$G$15,$M111-$A$15,CA$13)))</f>
        <v>1000000000000</v>
      </c>
      <c r="CB111" s="172">
        <f ca="1">IF(OR($D111&lt;&gt;"Serviço",AND(AUTOEVENTO="Manual",$M111=$A$15),$M111&gt;(ROW(PLE.lastrow)-ROW(PLE.firstrow))),0,
           IF(OFFSET(PLE!$G$15,$M111-$A$15,CB$13)="",10^12,OFFSET(PLE!$G$15,$M111-$A$15,CB$13)))</f>
        <v>1000000000000</v>
      </c>
      <c r="CC111" s="172">
        <f ca="1">IF(OR($D111&lt;&gt;"Serviço",AND(AUTOEVENTO="Manual",$M111=$A$15),$M111&gt;(ROW(PLE.lastrow)-ROW(PLE.firstrow))),0,
           IF(OFFSET(PLE!$G$15,$M111-$A$15,CC$13)="",10^12,OFFSET(PLE!$G$15,$M111-$A$15,CC$13)))</f>
        <v>1000000000000</v>
      </c>
      <c r="CD111" s="172">
        <f ca="1">IF(OR($D111&lt;&gt;"Serviço",AND(AUTOEVENTO="Manual",$M111=$A$15),$M111&gt;(ROW(PLE.lastrow)-ROW(PLE.firstrow))),0,
           IF(OFFSET(PLE!$G$15,$M111-$A$15,CD$13)="",10^12,OFFSET(PLE!$G$15,$M111-$A$15,CD$13)))</f>
        <v>1000000000000</v>
      </c>
      <c r="CE111" s="172">
        <f ca="1">IF(OR($D111&lt;&gt;"Serviço",AND(AUTOEVENTO="Manual",$M111=$A$15),$M111&gt;(ROW(PLE.lastrow)-ROW(PLE.firstrow))),0,
           IF(OFFSET(PLE!$G$15,$M111-$A$15,CE$13)="",10^12,OFFSET(PLE!$G$15,$M111-$A$15,CE$13)))</f>
        <v>1000000000000</v>
      </c>
      <c r="CF111" s="172">
        <f ca="1">IF(OR($D111&lt;&gt;"Serviço",AND(AUTOEVENTO="Manual",$M111=$A$15),$M111&gt;(ROW(PLE.lastrow)-ROW(PLE.firstrow))),0,
           IF(OFFSET(PLE!$G$15,$M111-$A$15,CF$13)="",10^12,OFFSET(PLE!$G$15,$M111-$A$15,CF$13)))</f>
        <v>1000000000000</v>
      </c>
      <c r="CG111" s="172">
        <f ca="1">IF(OR($D111&lt;&gt;"Serviço",AND(AUTOEVENTO="Manual",$M111=$A$15),$M111&gt;(ROW(PLE.lastrow)-ROW(PLE.firstrow))),0,
           IF(OFFSET(PLE!$G$15,$M111-$A$15,CG$13)="",10^12,OFFSET(PLE!$G$15,$M111-$A$15,CG$13)))</f>
        <v>1000000000000</v>
      </c>
      <c r="CH111" s="172">
        <f ca="1">IF(OR($D111&lt;&gt;"Serviço",AND(AUTOEVENTO="Manual",$M111=$A$15),$M111&gt;(ROW(PLE.lastrow)-ROW(PLE.firstrow))),0,
           IF(OFFSET(PLE!$G$15,$M111-$A$15,CH$13)="",10^12,OFFSET(PLE!$G$15,$M111-$A$15,CH$13)))</f>
        <v>1000000000000</v>
      </c>
      <c r="CI111" s="172">
        <f ca="1">IF(OR($D111&lt;&gt;"Serviço",AND(AUTOEVENTO="Manual",$M111=$A$15),$M111&gt;(ROW(PLE.lastrow)-ROW(PLE.firstrow))),0,
           IF(OFFSET(PLE!$G$15,$M111-$A$15,CI$13)="",10^12,OFFSET(PLE!$G$15,$M111-$A$15,CI$13)))</f>
        <v>1000000000000</v>
      </c>
      <c r="CJ111" s="172">
        <f ca="1">IF(OR($D111&lt;&gt;"Serviço",AND(AUTOEVENTO="Manual",$M111=$A$15),$M111&gt;(ROW(PLE.lastrow)-ROW(PLE.firstrow))),0,
           IF(OFFSET(PLE!$G$15,$M111-$A$15,CJ$13)="",10^12,OFFSET(PLE!$G$15,$M111-$A$15,CJ$13)))</f>
        <v>1000000000000</v>
      </c>
      <c r="CK111" s="172">
        <f ca="1">IF(OR($D111&lt;&gt;"Serviço",AND(AUTOEVENTO="Manual",$M111=$A$15),$M111&gt;(ROW(PLE.lastrow)-ROW(PLE.firstrow))),0,
           IF(OFFSET(PLE!$G$15,$M111-$A$15,CK$13)="",10^12,OFFSET(PLE!$G$15,$M111-$A$15,CK$13)))</f>
        <v>1000000000000</v>
      </c>
      <c r="CL111" s="172">
        <f ca="1">IF(OR($D111&lt;&gt;"Serviço",AND(AUTOEVENTO="Manual",$M111=$A$15),$M111&gt;(ROW(PLE.lastrow)-ROW(PLE.firstrow))),0,
           IF(OFFSET(PLE!$G$15,$M111-$A$15,CL$13)="",10^12,OFFSET(PLE!$G$15,$M111-$A$15,CL$13)))</f>
        <v>1000000000000</v>
      </c>
      <c r="CM111" s="172">
        <f ca="1">IF(OR($D111&lt;&gt;"Serviço",AND(AUTOEVENTO="Manual",$M111=$A$15),$M111&gt;(ROW(PLE.lastrow)-ROW(PLE.firstrow))),0,
           IF(OFFSET(PLE!$G$15,$M111-$A$15,CM$13)="",10^12,OFFSET(PLE!$G$15,$M111-$A$15,CM$13)))</f>
        <v>1000000000000</v>
      </c>
    </row>
    <row r="112" spans="1:91" ht="114.75" x14ac:dyDescent="0.2">
      <c r="A112" s="7">
        <f t="shared" ca="1" si="11"/>
        <v>4</v>
      </c>
      <c r="B112" s="7" t="str">
        <f ca="1">OFFSET(ORÇAMENTO!C$15,ROW(B112)-ROW(B$15),0)</f>
        <v>S</v>
      </c>
      <c r="C112" s="7" t="str">
        <f ca="1">OFFSET(ORÇAMENTO!L$15,ROW(C112)-ROW(C$15),0)</f>
        <v>F</v>
      </c>
      <c r="D112" s="116" t="str">
        <f ca="1">OFFSET(ORÇAMENTO!N$15,ROW(D112)-ROW(D$15),0)</f>
        <v>Serviço</v>
      </c>
      <c r="E112" s="117" t="str">
        <f ca="1">OFFSET(ORÇAMENTO!O$15,ROW(E112)-ROW(E$15),0)</f>
        <v>1.5.2.1.6.</v>
      </c>
      <c r="F112" s="163" t="str">
        <f ca="1">OFFSET(ORÇAMENTO!R$15,ROW(F112)-ROW(F$15),0)</f>
        <v>CARGA, MANOBRA E DESCARGA DE SOLOS E MATERIAIS GRANULARES EM CAMINHÃO BASCULANTE 18 M³ - CARGA COM ESCAVADEIRA HIDRÁULICA (CAÇAMBA DE 1,20 M³ / 155 HP) E DESCARGA LIVRE (UNIDADE: M3). AF_07/2020</v>
      </c>
      <c r="G112" s="164" t="str">
        <f ca="1">IF($D112&lt;&gt;"Serviço","",OFFSET(ORÇAMENTO!S$15,ROW(G112)-ROW(G$15),0))</f>
        <v>M3</v>
      </c>
      <c r="H112" s="122" cm="1">
        <f t="array" aca="1" ref="H112" ca="1">IF($D112&lt;&gt;"Serviço",0,IF(ACOMPANHAMENTO="BM",ROUND(OFFSET(ORÇAMENTO!AJ$15,ROW(H112)-ROW(H$15),0),15-13*ORÇAMENTO!$AF$7),SUMPRODUCT(($Q$1:$AI$1=1)*ROUND($Q112:$AI112,15-13*ORÇAMENTO!$AF$7))))</f>
        <v>65.349999999999994</v>
      </c>
      <c r="I112" s="468" t="s">
        <v>1421</v>
      </c>
      <c r="J112" s="640" t="str" cm="1">
        <f t="array" aca="1" ref="J112" ca="1">IF(OR(B112&lt;&gt;"S",CÁLCULO.FrentesPreenchidas=0),"",IF(AND(ACOMPANHAMENTO="PLE",AUTOEVENTO="Manual",OR(H112&gt;0,ORÇAMENTO!AC112="QUANT."),OR(K112="",M112=0,N112="")),"►E",IF(AND(ACOMPANHAMENTO="PLE",ORÇAMENTO!AC112="QUANT."),"►Q",IF(AND(ACOMPANHAMENTO="PLE",H112&lt;&gt;SUMPRODUCT(($Q$1:$AI$1=1)*ROUND(Q112:AI112,15))),"►S",IF(AND(COUNTIF($P$11:$AI$11,"▼")=0,H112&gt;0,I112=""),"◄M","")))))</f>
        <v/>
      </c>
      <c r="K112" s="641" t="s">
        <v>1389</v>
      </c>
      <c r="L112" s="165" t="s">
        <v>764</v>
      </c>
      <c r="M112" s="166">
        <f ca="1">IF($D112&lt;&gt;"Serviço","",
          IF(AUTOEVENTO="manual",$A112,
                IF(ISERROR(MATCH($A112,$A$15:OFFSET($A112,-1,0),0)),MAX($M$15:OFFSET(M112,-1,0))+1,
                      INDEX($M$15:OFFSET(M112,-1,0),MATCH($A112,$A$15:OFFSET($A112,-1,0),0)))))</f>
        <v>4</v>
      </c>
      <c r="N112" s="167" t="str">
        <f ca="1">IF($D112&lt;&gt;"Serviço","",
         IF(AUTOEVENTO="Manual",
                IF($A112=0,"&lt;-- defina o número do agrupador",
                       OFFSET(EVENTOS!$D$15,$A112-$A$15,0)),
                OFFSET($F$15,$A112,0)))</f>
        <v>Estruturas de Concreto</v>
      </c>
      <c r="O112" s="168"/>
      <c r="Q112" s="168"/>
      <c r="R112" s="169"/>
      <c r="S112" s="169"/>
      <c r="T112" s="169">
        <f>ROUND((PI()*0.5^2/4*7*16+PI()*0.5^2/4*6*24)*1.3,2)</f>
        <v>65.349999999999994</v>
      </c>
      <c r="U112" s="169"/>
      <c r="V112" s="169"/>
      <c r="W112" s="169"/>
      <c r="X112" s="169"/>
      <c r="Y112" s="169"/>
      <c r="Z112" s="170"/>
      <c r="AA112" s="169"/>
      <c r="AB112" s="169"/>
      <c r="AC112" s="169"/>
      <c r="AD112" s="169"/>
      <c r="AE112" s="169"/>
      <c r="AF112" s="169"/>
      <c r="AG112" s="169"/>
      <c r="AH112" s="170"/>
      <c r="AJ112" s="453">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3">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L112" s="453">
        <f ca="1">IF(AND($D112="Serviço",AL$12&lt;&gt;0,$H112&gt;0,OR(AUTOEVENTO&lt;&gt;"manual",$M112&lt;&gt;$A$15)),
        IF(Import.TipoArredondamento&lt;&gt;"TransfereGOV",
              ROUND(OFFSET($P112,0,AL$13),15-13*ORÇAMENTO!$AF$7)/$H112*OFFSET(ORÇAMENTO!$X$15,ROW(AL112)-ROW(AL$15),0),
              ROUND(ROUND(OFFSET($P112,0,AL$13),15-13*ORÇAMENTO!$AF$7)*OFFSET(ORÇAMENTO!$W$15,ROW(AL112)-ROW(AL$15),0),15-13*ORÇAMENTO!$AF$11)),
         0)</f>
        <v>0</v>
      </c>
      <c r="AM112" s="453">
        <f ca="1">IF(AND($D112="Serviço",AM$12&lt;&gt;0,$H112&gt;0,OR(AUTOEVENTO&lt;&gt;"manual",$M112&lt;&gt;$A$15)),
        IF(Import.TipoArredondamento&lt;&gt;"TransfereGOV",
              ROUND(OFFSET($P112,0,AM$13),15-13*ORÇAMENTO!$AF$7)/$H112*OFFSET(ORÇAMENTO!$X$15,ROW(AM112)-ROW(AM$15),0),
              ROUND(ROUND(OFFSET($P112,0,AM$13),15-13*ORÇAMENTO!$AF$7)*OFFSET(ORÇAMENTO!$W$15,ROW(AM112)-ROW(AM$15),0),15-13*ORÇAMENTO!$AF$11)),
         0)</f>
        <v>0</v>
      </c>
      <c r="AN112" s="453">
        <f ca="1">IF(AND($D112="Serviço",AN$12&lt;&gt;0,$H112&gt;0,OR(AUTOEVENTO&lt;&gt;"manual",$M112&lt;&gt;$A$15)),
        IF(Import.TipoArredondamento&lt;&gt;"TransfereGOV",
              ROUND(OFFSET($P112,0,AN$13),15-13*ORÇAMENTO!$AF$7)/$H112*OFFSET(ORÇAMENTO!$X$15,ROW(AN112)-ROW(AN$15),0),
              ROUND(ROUND(OFFSET($P112,0,AN$13),15-13*ORÇAMENTO!$AF$7)*OFFSET(ORÇAMENTO!$W$15,ROW(AN112)-ROW(AN$15),0),15-13*ORÇAMENTO!$AF$11)),
         0)</f>
        <v>0</v>
      </c>
      <c r="AO112" s="453">
        <f ca="1">IF(AND($D112="Serviço",AO$12&lt;&gt;0,$H112&gt;0,OR(AUTOEVENTO&lt;&gt;"manual",$M112&lt;&gt;$A$15)),
        IF(Import.TipoArredondamento&lt;&gt;"TransfereGOV",
              ROUND(OFFSET($P112,0,AO$13),15-13*ORÇAMENTO!$AF$7)/$H112*OFFSET(ORÇAMENTO!$X$15,ROW(AO112)-ROW(AO$15),0),
              ROUND(ROUND(OFFSET($P112,0,AO$13),15-13*ORÇAMENTO!$AF$7)*OFFSET(ORÇAMENTO!$W$15,ROW(AO112)-ROW(AO$15),0),15-13*ORÇAMENTO!$AF$11)),
         0)</f>
        <v>0</v>
      </c>
      <c r="AP112" s="453">
        <f ca="1">IF(AND($D112="Serviço",AP$12&lt;&gt;0,$H112&gt;0,OR(AUTOEVENTO&lt;&gt;"manual",$M112&lt;&gt;$A$15)),
        IF(Import.TipoArredondamento&lt;&gt;"TransfereGOV",
              ROUND(OFFSET($P112,0,AP$13),15-13*ORÇAMENTO!$AF$7)/$H112*OFFSET(ORÇAMENTO!$X$15,ROW(AP112)-ROW(AP$15),0),
              ROUND(ROUND(OFFSET($P112,0,AP$13),15-13*ORÇAMENTO!$AF$7)*OFFSET(ORÇAMENTO!$W$15,ROW(AP112)-ROW(AP$15),0),15-13*ORÇAMENTO!$AF$11)),
         0)</f>
        <v>0</v>
      </c>
      <c r="AQ112" s="453">
        <f ca="1">IF(AND($D112="Serviço",AQ$12&lt;&gt;0,$H112&gt;0,OR(AUTOEVENTO&lt;&gt;"manual",$M112&lt;&gt;$A$15)),
        IF(Import.TipoArredondamento&lt;&gt;"TransfereGOV",
              ROUND(OFFSET($P112,0,AQ$13),15-13*ORÇAMENTO!$AF$7)/$H112*OFFSET(ORÇAMENTO!$X$15,ROW(AQ112)-ROW(AQ$15),0),
              ROUND(ROUND(OFFSET($P112,0,AQ$13),15-13*ORÇAMENTO!$AF$7)*OFFSET(ORÇAMENTO!$W$15,ROW(AQ112)-ROW(AQ$15),0),15-13*ORÇAMENTO!$AF$11)),
         0)</f>
        <v>0</v>
      </c>
      <c r="AR112" s="453">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3">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3">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3">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3">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3">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3">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3">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3">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3">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C112" s="171">
        <f ca="1">IF(OR($D112&lt;&gt;"Serviço",AND(AUTOEVENTO="Manual",$M112=$A$15)),0,
         IF(OFFSET(CRONOPLE!$F$15,$M112-$A$15,BC$13)=0,10^12,OFFSET(CRONOPLE!$F$15,$M112-$A$15,BC$13)))</f>
        <v>1</v>
      </c>
      <c r="BD112" s="171">
        <f ca="1">IF(OR($D112&lt;&gt;"Serviço",AND(AUTOEVENTO="Manual",$M112=$A$15)),0,
         IF(OFFSET(CRONOPLE!$F$15,$M112-$A$15,BD$13)=0,10^12,OFFSET(CRONOPLE!$F$15,$M112-$A$15,BD$13)))</f>
        <v>2</v>
      </c>
      <c r="BE112" s="171">
        <f ca="1">IF(OR($D112&lt;&gt;"Serviço",AND(AUTOEVENTO="Manual",$M112=$A$15)),0,
         IF(OFFSET(CRONOPLE!$F$15,$M112-$A$15,BE$13)=0,10^12,OFFSET(CRONOPLE!$F$15,$M112-$A$15,BE$13)))</f>
        <v>3</v>
      </c>
      <c r="BF112" s="171">
        <f ca="1">IF(OR($D112&lt;&gt;"Serviço",AND(AUTOEVENTO="Manual",$M112=$A$15)),0,
         IF(OFFSET(CRONOPLE!$F$15,$M112-$A$15,BF$13)=0,10^12,OFFSET(CRONOPLE!$F$15,$M112-$A$15,BF$13)))</f>
        <v>4</v>
      </c>
      <c r="BG112" s="171">
        <f ca="1">IF(OR($D112&lt;&gt;"Serviço",AND(AUTOEVENTO="Manual",$M112=$A$15)),0,
         IF(OFFSET(CRONOPLE!$F$15,$M112-$A$15,BG$13)=0,10^12,OFFSET(CRONOPLE!$F$15,$M112-$A$15,BG$13)))</f>
        <v>5</v>
      </c>
      <c r="BH112" s="171">
        <f ca="1">IF(OR($D112&lt;&gt;"Serviço",AND(AUTOEVENTO="Manual",$M112=$A$15)),0,
         IF(OFFSET(CRONOPLE!$F$15,$M112-$A$15,BH$13)=0,10^12,OFFSET(CRONOPLE!$F$15,$M112-$A$15,BH$13)))</f>
        <v>6</v>
      </c>
      <c r="BI112" s="171">
        <f ca="1">IF(OR($D112&lt;&gt;"Serviço",AND(AUTOEVENTO="Manual",$M112=$A$15)),0,
         IF(OFFSET(CRONOPLE!$F$15,$M112-$A$15,BI$13)=0,10^12,OFFSET(CRONOPLE!$F$15,$M112-$A$15,BI$13)))</f>
        <v>7</v>
      </c>
      <c r="BJ112" s="171">
        <f ca="1">IF(OR($D112&lt;&gt;"Serviço",AND(AUTOEVENTO="Manual",$M112=$A$15)),0,
         IF(OFFSET(CRONOPLE!$F$15,$M112-$A$15,BJ$13)=0,10^12,OFFSET(CRONOPLE!$F$15,$M112-$A$15,BJ$13)))</f>
        <v>8</v>
      </c>
      <c r="BK112" s="171">
        <f ca="1">IF(OR($D112&lt;&gt;"Serviço",AND(AUTOEVENTO="Manual",$M112=$A$15)),0,
         IF(OFFSET(CRONOPLE!$F$15,$M112-$A$15,BK$13)=0,10^12,OFFSET(CRONOPLE!$F$15,$M112-$A$15,BK$13)))</f>
        <v>9</v>
      </c>
      <c r="BL112" s="171">
        <f ca="1">IF(OR($D112&lt;&gt;"Serviço",AND(AUTOEVENTO="Manual",$M112=$A$15)),0,
         IF(OFFSET(CRONOPLE!$F$15,$M112-$A$15,BL$13)=0,10^12,OFFSET(CRONOPLE!$F$15,$M112-$A$15,BL$13)))</f>
        <v>10</v>
      </c>
      <c r="BM112" s="171">
        <f ca="1">IF(OR($D112&lt;&gt;"Serviço",AND(AUTOEVENTO="Manual",$M112=$A$15)),0,
         IF(OFFSET(CRONOPLE!$F$15,$M112-$A$15,BM$13)=0,10^12,OFFSET(CRONOPLE!$F$15,$M112-$A$15,BM$13)))</f>
        <v>1000000000000</v>
      </c>
      <c r="BN112" s="171">
        <f ca="1">IF(OR($D112&lt;&gt;"Serviço",AND(AUTOEVENTO="Manual",$M112=$A$15)),0,
         IF(OFFSET(CRONOPLE!$F$15,$M112-$A$15,BN$13)=0,10^12,OFFSET(CRONOPLE!$F$15,$M112-$A$15,BN$13)))</f>
        <v>1000000000000</v>
      </c>
      <c r="BO112" s="171">
        <f ca="1">IF(OR($D112&lt;&gt;"Serviço",AND(AUTOEVENTO="Manual",$M112=$A$15)),0,
         IF(OFFSET(CRONOPLE!$F$15,$M112-$A$15,BO$13)=0,10^12,OFFSET(CRONOPLE!$F$15,$M112-$A$15,BO$13)))</f>
        <v>1000000000000</v>
      </c>
      <c r="BP112" s="171">
        <f ca="1">IF(OR($D112&lt;&gt;"Serviço",AND(AUTOEVENTO="Manual",$M112=$A$15)),0,
         IF(OFFSET(CRONOPLE!$F$15,$M112-$A$15,BP$13)=0,10^12,OFFSET(CRONOPLE!$F$15,$M112-$A$15,BP$13)))</f>
        <v>1000000000000</v>
      </c>
      <c r="BQ112" s="171">
        <f ca="1">IF(OR($D112&lt;&gt;"Serviço",AND(AUTOEVENTO="Manual",$M112=$A$15)),0,
         IF(OFFSET(CRONOPLE!$F$15,$M112-$A$15,BQ$13)=0,10^12,OFFSET(CRONOPLE!$F$15,$M112-$A$15,BQ$13)))</f>
        <v>1000000000000</v>
      </c>
      <c r="BR112" s="171">
        <f ca="1">IF(OR($D112&lt;&gt;"Serviço",AND(AUTOEVENTO="Manual",$M112=$A$15)),0,
         IF(OFFSET(CRONOPLE!$F$15,$M112-$A$15,BR$13)=0,10^12,OFFSET(CRONOPLE!$F$15,$M112-$A$15,BR$13)))</f>
        <v>1000000000000</v>
      </c>
      <c r="BS112" s="171">
        <f ca="1">IF(OR($D112&lt;&gt;"Serviço",AND(AUTOEVENTO="Manual",$M112=$A$15)),0,
         IF(OFFSET(CRONOPLE!$F$15,$M112-$A$15,BS$13)=0,10^12,OFFSET(CRONOPLE!$F$15,$M112-$A$15,BS$13)))</f>
        <v>1000000000000</v>
      </c>
      <c r="BT112" s="171">
        <f ca="1">IF(OR($D112&lt;&gt;"Serviço",AND(AUTOEVENTO="Manual",$M112=$A$15)),0,
         IF(OFFSET(CRONOPLE!$F$15,$M112-$A$15,BT$13)=0,10^12,OFFSET(CRONOPLE!$F$15,$M112-$A$15,BT$13)))</f>
        <v>1000000000000</v>
      </c>
      <c r="BV112" s="172">
        <f ca="1">IF(OR($D112&lt;&gt;"Serviço",AND(AUTOEVENTO="Manual",$M112=$A$15),$M112&gt;(ROW(PLE.lastrow)-ROW(PLE.firstrow))),0,
           IF(OFFSET(PLE!$G$15,$M112-$A$15,BV$13)="",10^12,OFFSET(PLE!$G$15,$M112-$A$15,BV$13)))</f>
        <v>1000000000000</v>
      </c>
      <c r="BW112" s="172">
        <f ca="1">IF(OR($D112&lt;&gt;"Serviço",AND(AUTOEVENTO="Manual",$M112=$A$15),$M112&gt;(ROW(PLE.lastrow)-ROW(PLE.firstrow))),0,
           IF(OFFSET(PLE!$G$15,$M112-$A$15,BW$13)="",10^12,OFFSET(PLE!$G$15,$M112-$A$15,BW$13)))</f>
        <v>1000000000000</v>
      </c>
      <c r="BX112" s="172">
        <f ca="1">IF(OR($D112&lt;&gt;"Serviço",AND(AUTOEVENTO="Manual",$M112=$A$15),$M112&gt;(ROW(PLE.lastrow)-ROW(PLE.firstrow))),0,
           IF(OFFSET(PLE!$G$15,$M112-$A$15,BX$13)="",10^12,OFFSET(PLE!$G$15,$M112-$A$15,BX$13)))</f>
        <v>1000000000000</v>
      </c>
      <c r="BY112" s="172">
        <f ca="1">IF(OR($D112&lt;&gt;"Serviço",AND(AUTOEVENTO="Manual",$M112=$A$15),$M112&gt;(ROW(PLE.lastrow)-ROW(PLE.firstrow))),0,
           IF(OFFSET(PLE!$G$15,$M112-$A$15,BY$13)="",10^12,OFFSET(PLE!$G$15,$M112-$A$15,BY$13)))</f>
        <v>1000000000000</v>
      </c>
      <c r="BZ112" s="172">
        <f ca="1">IF(OR($D112&lt;&gt;"Serviço",AND(AUTOEVENTO="Manual",$M112=$A$15),$M112&gt;(ROW(PLE.lastrow)-ROW(PLE.firstrow))),0,
           IF(OFFSET(PLE!$G$15,$M112-$A$15,BZ$13)="",10^12,OFFSET(PLE!$G$15,$M112-$A$15,BZ$13)))</f>
        <v>1000000000000</v>
      </c>
      <c r="CA112" s="172">
        <f ca="1">IF(OR($D112&lt;&gt;"Serviço",AND(AUTOEVENTO="Manual",$M112=$A$15),$M112&gt;(ROW(PLE.lastrow)-ROW(PLE.firstrow))),0,
           IF(OFFSET(PLE!$G$15,$M112-$A$15,CA$13)="",10^12,OFFSET(PLE!$G$15,$M112-$A$15,CA$13)))</f>
        <v>1000000000000</v>
      </c>
      <c r="CB112" s="172">
        <f ca="1">IF(OR($D112&lt;&gt;"Serviço",AND(AUTOEVENTO="Manual",$M112=$A$15),$M112&gt;(ROW(PLE.lastrow)-ROW(PLE.firstrow))),0,
           IF(OFFSET(PLE!$G$15,$M112-$A$15,CB$13)="",10^12,OFFSET(PLE!$G$15,$M112-$A$15,CB$13)))</f>
        <v>1000000000000</v>
      </c>
      <c r="CC112" s="172">
        <f ca="1">IF(OR($D112&lt;&gt;"Serviço",AND(AUTOEVENTO="Manual",$M112=$A$15),$M112&gt;(ROW(PLE.lastrow)-ROW(PLE.firstrow))),0,
           IF(OFFSET(PLE!$G$15,$M112-$A$15,CC$13)="",10^12,OFFSET(PLE!$G$15,$M112-$A$15,CC$13)))</f>
        <v>1000000000000</v>
      </c>
      <c r="CD112" s="172">
        <f ca="1">IF(OR($D112&lt;&gt;"Serviço",AND(AUTOEVENTO="Manual",$M112=$A$15),$M112&gt;(ROW(PLE.lastrow)-ROW(PLE.firstrow))),0,
           IF(OFFSET(PLE!$G$15,$M112-$A$15,CD$13)="",10^12,OFFSET(PLE!$G$15,$M112-$A$15,CD$13)))</f>
        <v>1000000000000</v>
      </c>
      <c r="CE112" s="172">
        <f ca="1">IF(OR($D112&lt;&gt;"Serviço",AND(AUTOEVENTO="Manual",$M112=$A$15),$M112&gt;(ROW(PLE.lastrow)-ROW(PLE.firstrow))),0,
           IF(OFFSET(PLE!$G$15,$M112-$A$15,CE$13)="",10^12,OFFSET(PLE!$G$15,$M112-$A$15,CE$13)))</f>
        <v>1000000000000</v>
      </c>
      <c r="CF112" s="172">
        <f ca="1">IF(OR($D112&lt;&gt;"Serviço",AND(AUTOEVENTO="Manual",$M112=$A$15),$M112&gt;(ROW(PLE.lastrow)-ROW(PLE.firstrow))),0,
           IF(OFFSET(PLE!$G$15,$M112-$A$15,CF$13)="",10^12,OFFSET(PLE!$G$15,$M112-$A$15,CF$13)))</f>
        <v>1000000000000</v>
      </c>
      <c r="CG112" s="172">
        <f ca="1">IF(OR($D112&lt;&gt;"Serviço",AND(AUTOEVENTO="Manual",$M112=$A$15),$M112&gt;(ROW(PLE.lastrow)-ROW(PLE.firstrow))),0,
           IF(OFFSET(PLE!$G$15,$M112-$A$15,CG$13)="",10^12,OFFSET(PLE!$G$15,$M112-$A$15,CG$13)))</f>
        <v>1000000000000</v>
      </c>
      <c r="CH112" s="172">
        <f ca="1">IF(OR($D112&lt;&gt;"Serviço",AND(AUTOEVENTO="Manual",$M112=$A$15),$M112&gt;(ROW(PLE.lastrow)-ROW(PLE.firstrow))),0,
           IF(OFFSET(PLE!$G$15,$M112-$A$15,CH$13)="",10^12,OFFSET(PLE!$G$15,$M112-$A$15,CH$13)))</f>
        <v>1000000000000</v>
      </c>
      <c r="CI112" s="172">
        <f ca="1">IF(OR($D112&lt;&gt;"Serviço",AND(AUTOEVENTO="Manual",$M112=$A$15),$M112&gt;(ROW(PLE.lastrow)-ROW(PLE.firstrow))),0,
           IF(OFFSET(PLE!$G$15,$M112-$A$15,CI$13)="",10^12,OFFSET(PLE!$G$15,$M112-$A$15,CI$13)))</f>
        <v>1000000000000</v>
      </c>
      <c r="CJ112" s="172">
        <f ca="1">IF(OR($D112&lt;&gt;"Serviço",AND(AUTOEVENTO="Manual",$M112=$A$15),$M112&gt;(ROW(PLE.lastrow)-ROW(PLE.firstrow))),0,
           IF(OFFSET(PLE!$G$15,$M112-$A$15,CJ$13)="",10^12,OFFSET(PLE!$G$15,$M112-$A$15,CJ$13)))</f>
        <v>1000000000000</v>
      </c>
      <c r="CK112" s="172">
        <f ca="1">IF(OR($D112&lt;&gt;"Serviço",AND(AUTOEVENTO="Manual",$M112=$A$15),$M112&gt;(ROW(PLE.lastrow)-ROW(PLE.firstrow))),0,
           IF(OFFSET(PLE!$G$15,$M112-$A$15,CK$13)="",10^12,OFFSET(PLE!$G$15,$M112-$A$15,CK$13)))</f>
        <v>1000000000000</v>
      </c>
      <c r="CL112" s="172">
        <f ca="1">IF(OR($D112&lt;&gt;"Serviço",AND(AUTOEVENTO="Manual",$M112=$A$15),$M112&gt;(ROW(PLE.lastrow)-ROW(PLE.firstrow))),0,
           IF(OFFSET(PLE!$G$15,$M112-$A$15,CL$13)="",10^12,OFFSET(PLE!$G$15,$M112-$A$15,CL$13)))</f>
        <v>1000000000000</v>
      </c>
      <c r="CM112" s="172">
        <f ca="1">IF(OR($D112&lt;&gt;"Serviço",AND(AUTOEVENTO="Manual",$M112=$A$15),$M112&gt;(ROW(PLE.lastrow)-ROW(PLE.firstrow))),0,
           IF(OFFSET(PLE!$G$15,$M112-$A$15,CM$13)="",10^12,OFFSET(PLE!$G$15,$M112-$A$15,CM$13)))</f>
        <v>1000000000000</v>
      </c>
    </row>
    <row r="113" spans="1:91" ht="38.25" x14ac:dyDescent="0.2">
      <c r="A113" s="7">
        <f t="shared" ca="1" si="11"/>
        <v>4</v>
      </c>
      <c r="B113" s="7" t="str">
        <f ca="1">OFFSET(ORÇAMENTO!C$15,ROW(B113)-ROW(B$15),0)</f>
        <v>S</v>
      </c>
      <c r="C113" s="7" t="str">
        <f ca="1">OFFSET(ORÇAMENTO!L$15,ROW(C113)-ROW(C$15),0)</f>
        <v>F</v>
      </c>
      <c r="D113" s="116" t="str">
        <f ca="1">OFFSET(ORÇAMENTO!N$15,ROW(D113)-ROW(D$15),0)</f>
        <v>Serviço</v>
      </c>
      <c r="E113" s="117" t="str">
        <f ca="1">OFFSET(ORÇAMENTO!O$15,ROW(E113)-ROW(E$15),0)</f>
        <v>1.5.2.1.7.</v>
      </c>
      <c r="F113" s="163" t="str">
        <f ca="1">OFFSET(ORÇAMENTO!R$15,ROW(F113)-ROW(F$15),0)</f>
        <v>TRANSPORTE COM CAMINHÃO BASCULANTE DE 18 M³, EM VIA URBANA PAVIMENTADA, DMT ATÉ 30 KM (UNIDADE: M3XKM). AF_07/2020</v>
      </c>
      <c r="G113" s="164" t="str">
        <f ca="1">IF($D113&lt;&gt;"Serviço","",OFFSET(ORÇAMENTO!S$15,ROW(G113)-ROW(G$15),0))</f>
        <v>M3XKM</v>
      </c>
      <c r="H113" s="122" cm="1">
        <f t="array" aca="1" ref="H113" ca="1">IF($D113&lt;&gt;"Serviço",0,IF(ACOMPANHAMENTO="BM",ROUND(OFFSET(ORÇAMENTO!AJ$15,ROW(H113)-ROW(H$15),0),15-13*ORÇAMENTO!$AF$7),SUMPRODUCT(($Q$1:$AI$1=1)*ROUND($Q113:$AI113,15-13*ORÇAMENTO!$AF$7))))</f>
        <v>503.2</v>
      </c>
      <c r="I113" s="468" t="s">
        <v>1425</v>
      </c>
      <c r="J113" s="640" t="str" cm="1">
        <f t="array" aca="1" ref="J113" ca="1">IF(OR(B113&lt;&gt;"S",CÁLCULO.FrentesPreenchidas=0),"",IF(AND(ACOMPANHAMENTO="PLE",AUTOEVENTO="Manual",OR(H113&gt;0,ORÇAMENTO!AC113="QUANT."),OR(K113="",M113=0,N113="")),"►E",IF(AND(ACOMPANHAMENTO="PLE",ORÇAMENTO!AC113="QUANT."),"►Q",IF(AND(ACOMPANHAMENTO="PLE",H113&lt;&gt;SUMPRODUCT(($Q$1:$AI$1=1)*ROUND(Q113:AI113,15))),"►S",IF(AND(COUNTIF($P$11:$AI$11,"▼")=0,H113&gt;0,I113=""),"◄M","")))))</f>
        <v/>
      </c>
      <c r="K113" s="641" t="s">
        <v>1389</v>
      </c>
      <c r="L113" s="165" t="s">
        <v>764</v>
      </c>
      <c r="M113" s="166">
        <f ca="1">IF($D113&lt;&gt;"Serviço","",
          IF(AUTOEVENTO="manual",$A113,
                IF(ISERROR(MATCH($A113,$A$15:OFFSET($A113,-1,0),0)),MAX($M$15:OFFSET(M113,-1,0))+1,
                      INDEX($M$15:OFFSET(M113,-1,0),MATCH($A113,$A$15:OFFSET($A113,-1,0),0)))))</f>
        <v>4</v>
      </c>
      <c r="N113" s="167" t="str">
        <f ca="1">IF($D113&lt;&gt;"Serviço","",
         IF(AUTOEVENTO="Manual",
                IF($A113=0,"&lt;-- defina o número do agrupador",
                       OFFSET(EVENTOS!$D$15,$A113-$A$15,0)),
                OFFSET($F$15,$A113,0)))</f>
        <v>Estruturas de Concreto</v>
      </c>
      <c r="O113" s="168"/>
      <c r="Q113" s="168"/>
      <c r="R113" s="169"/>
      <c r="S113" s="169"/>
      <c r="T113" s="169">
        <f>ROUND(T112*7.7,2)</f>
        <v>503.2</v>
      </c>
      <c r="U113" s="169"/>
      <c r="V113" s="169"/>
      <c r="W113" s="169"/>
      <c r="X113" s="169"/>
      <c r="Y113" s="169"/>
      <c r="Z113" s="170"/>
      <c r="AA113" s="169"/>
      <c r="AB113" s="169"/>
      <c r="AC113" s="169"/>
      <c r="AD113" s="169"/>
      <c r="AE113" s="169"/>
      <c r="AF113" s="169"/>
      <c r="AG113" s="169"/>
      <c r="AH113" s="170"/>
      <c r="AJ113" s="453">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0</v>
      </c>
      <c r="AK113" s="453">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0</v>
      </c>
      <c r="AL113" s="453">
        <f ca="1">IF(AND($D113="Serviço",AL$12&lt;&gt;0,$H113&gt;0,OR(AUTOEVENTO&lt;&gt;"manual",$M113&lt;&gt;$A$15)),
        IF(Import.TipoArredondamento&lt;&gt;"TransfereGOV",
              ROUND(OFFSET($P113,0,AL$13),15-13*ORÇAMENTO!$AF$7)/$H113*OFFSET(ORÇAMENTO!$X$15,ROW(AL113)-ROW(AL$15),0),
              ROUND(ROUND(OFFSET($P113,0,AL$13),15-13*ORÇAMENTO!$AF$7)*OFFSET(ORÇAMENTO!$W$15,ROW(AL113)-ROW(AL$15),0),15-13*ORÇAMENTO!$AF$11)),
         0)</f>
        <v>0</v>
      </c>
      <c r="AM113" s="453">
        <f ca="1">IF(AND($D113="Serviço",AM$12&lt;&gt;0,$H113&gt;0,OR(AUTOEVENTO&lt;&gt;"manual",$M113&lt;&gt;$A$15)),
        IF(Import.TipoArredondamento&lt;&gt;"TransfereGOV",
              ROUND(OFFSET($P113,0,AM$13),15-13*ORÇAMENTO!$AF$7)/$H113*OFFSET(ORÇAMENTO!$X$15,ROW(AM113)-ROW(AM$15),0),
              ROUND(ROUND(OFFSET($P113,0,AM$13),15-13*ORÇAMENTO!$AF$7)*OFFSET(ORÇAMENTO!$W$15,ROW(AM113)-ROW(AM$15),0),15-13*ORÇAMENTO!$AF$11)),
         0)</f>
        <v>0</v>
      </c>
      <c r="AN113" s="453">
        <f ca="1">IF(AND($D113="Serviço",AN$12&lt;&gt;0,$H113&gt;0,OR(AUTOEVENTO&lt;&gt;"manual",$M113&lt;&gt;$A$15)),
        IF(Import.TipoArredondamento&lt;&gt;"TransfereGOV",
              ROUND(OFFSET($P113,0,AN$13),15-13*ORÇAMENTO!$AF$7)/$H113*OFFSET(ORÇAMENTO!$X$15,ROW(AN113)-ROW(AN$15),0),
              ROUND(ROUND(OFFSET($P113,0,AN$13),15-13*ORÇAMENTO!$AF$7)*OFFSET(ORÇAMENTO!$W$15,ROW(AN113)-ROW(AN$15),0),15-13*ORÇAMENTO!$AF$11)),
         0)</f>
        <v>0</v>
      </c>
      <c r="AO113" s="453">
        <f ca="1">IF(AND($D113="Serviço",AO$12&lt;&gt;0,$H113&gt;0,OR(AUTOEVENTO&lt;&gt;"manual",$M113&lt;&gt;$A$15)),
        IF(Import.TipoArredondamento&lt;&gt;"TransfereGOV",
              ROUND(OFFSET($P113,0,AO$13),15-13*ORÇAMENTO!$AF$7)/$H113*OFFSET(ORÇAMENTO!$X$15,ROW(AO113)-ROW(AO$15),0),
              ROUND(ROUND(OFFSET($P113,0,AO$13),15-13*ORÇAMENTO!$AF$7)*OFFSET(ORÇAMENTO!$W$15,ROW(AO113)-ROW(AO$15),0),15-13*ORÇAMENTO!$AF$11)),
         0)</f>
        <v>0</v>
      </c>
      <c r="AP113" s="453">
        <f ca="1">IF(AND($D113="Serviço",AP$12&lt;&gt;0,$H113&gt;0,OR(AUTOEVENTO&lt;&gt;"manual",$M113&lt;&gt;$A$15)),
        IF(Import.TipoArredondamento&lt;&gt;"TransfereGOV",
              ROUND(OFFSET($P113,0,AP$13),15-13*ORÇAMENTO!$AF$7)/$H113*OFFSET(ORÇAMENTO!$X$15,ROW(AP113)-ROW(AP$15),0),
              ROUND(ROUND(OFFSET($P113,0,AP$13),15-13*ORÇAMENTO!$AF$7)*OFFSET(ORÇAMENTO!$W$15,ROW(AP113)-ROW(AP$15),0),15-13*ORÇAMENTO!$AF$11)),
         0)</f>
        <v>0</v>
      </c>
      <c r="AQ113" s="453">
        <f ca="1">IF(AND($D113="Serviço",AQ$12&lt;&gt;0,$H113&gt;0,OR(AUTOEVENTO&lt;&gt;"manual",$M113&lt;&gt;$A$15)),
        IF(Import.TipoArredondamento&lt;&gt;"TransfereGOV",
              ROUND(OFFSET($P113,0,AQ$13),15-13*ORÇAMENTO!$AF$7)/$H113*OFFSET(ORÇAMENTO!$X$15,ROW(AQ113)-ROW(AQ$15),0),
              ROUND(ROUND(OFFSET($P113,0,AQ$13),15-13*ORÇAMENTO!$AF$7)*OFFSET(ORÇAMENTO!$W$15,ROW(AQ113)-ROW(AQ$15),0),15-13*ORÇAMENTO!$AF$11)),
         0)</f>
        <v>0</v>
      </c>
      <c r="AR113" s="453">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3">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3">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3">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3">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3">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3">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3">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3">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3">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C113" s="171">
        <f ca="1">IF(OR($D113&lt;&gt;"Serviço",AND(AUTOEVENTO="Manual",$M113=$A$15)),0,
         IF(OFFSET(CRONOPLE!$F$15,$M113-$A$15,BC$13)=0,10^12,OFFSET(CRONOPLE!$F$15,$M113-$A$15,BC$13)))</f>
        <v>1</v>
      </c>
      <c r="BD113" s="171">
        <f ca="1">IF(OR($D113&lt;&gt;"Serviço",AND(AUTOEVENTO="Manual",$M113=$A$15)),0,
         IF(OFFSET(CRONOPLE!$F$15,$M113-$A$15,BD$13)=0,10^12,OFFSET(CRONOPLE!$F$15,$M113-$A$15,BD$13)))</f>
        <v>2</v>
      </c>
      <c r="BE113" s="171">
        <f ca="1">IF(OR($D113&lt;&gt;"Serviço",AND(AUTOEVENTO="Manual",$M113=$A$15)),0,
         IF(OFFSET(CRONOPLE!$F$15,$M113-$A$15,BE$13)=0,10^12,OFFSET(CRONOPLE!$F$15,$M113-$A$15,BE$13)))</f>
        <v>3</v>
      </c>
      <c r="BF113" s="171">
        <f ca="1">IF(OR($D113&lt;&gt;"Serviço",AND(AUTOEVENTO="Manual",$M113=$A$15)),0,
         IF(OFFSET(CRONOPLE!$F$15,$M113-$A$15,BF$13)=0,10^12,OFFSET(CRONOPLE!$F$15,$M113-$A$15,BF$13)))</f>
        <v>4</v>
      </c>
      <c r="BG113" s="171">
        <f ca="1">IF(OR($D113&lt;&gt;"Serviço",AND(AUTOEVENTO="Manual",$M113=$A$15)),0,
         IF(OFFSET(CRONOPLE!$F$15,$M113-$A$15,BG$13)=0,10^12,OFFSET(CRONOPLE!$F$15,$M113-$A$15,BG$13)))</f>
        <v>5</v>
      </c>
      <c r="BH113" s="171">
        <f ca="1">IF(OR($D113&lt;&gt;"Serviço",AND(AUTOEVENTO="Manual",$M113=$A$15)),0,
         IF(OFFSET(CRONOPLE!$F$15,$M113-$A$15,BH$13)=0,10^12,OFFSET(CRONOPLE!$F$15,$M113-$A$15,BH$13)))</f>
        <v>6</v>
      </c>
      <c r="BI113" s="171">
        <f ca="1">IF(OR($D113&lt;&gt;"Serviço",AND(AUTOEVENTO="Manual",$M113=$A$15)),0,
         IF(OFFSET(CRONOPLE!$F$15,$M113-$A$15,BI$13)=0,10^12,OFFSET(CRONOPLE!$F$15,$M113-$A$15,BI$13)))</f>
        <v>7</v>
      </c>
      <c r="BJ113" s="171">
        <f ca="1">IF(OR($D113&lt;&gt;"Serviço",AND(AUTOEVENTO="Manual",$M113=$A$15)),0,
         IF(OFFSET(CRONOPLE!$F$15,$M113-$A$15,BJ$13)=0,10^12,OFFSET(CRONOPLE!$F$15,$M113-$A$15,BJ$13)))</f>
        <v>8</v>
      </c>
      <c r="BK113" s="171">
        <f ca="1">IF(OR($D113&lt;&gt;"Serviço",AND(AUTOEVENTO="Manual",$M113=$A$15)),0,
         IF(OFFSET(CRONOPLE!$F$15,$M113-$A$15,BK$13)=0,10^12,OFFSET(CRONOPLE!$F$15,$M113-$A$15,BK$13)))</f>
        <v>9</v>
      </c>
      <c r="BL113" s="171">
        <f ca="1">IF(OR($D113&lt;&gt;"Serviço",AND(AUTOEVENTO="Manual",$M113=$A$15)),0,
         IF(OFFSET(CRONOPLE!$F$15,$M113-$A$15,BL$13)=0,10^12,OFFSET(CRONOPLE!$F$15,$M113-$A$15,BL$13)))</f>
        <v>10</v>
      </c>
      <c r="BM113" s="171">
        <f ca="1">IF(OR($D113&lt;&gt;"Serviço",AND(AUTOEVENTO="Manual",$M113=$A$15)),0,
         IF(OFFSET(CRONOPLE!$F$15,$M113-$A$15,BM$13)=0,10^12,OFFSET(CRONOPLE!$F$15,$M113-$A$15,BM$13)))</f>
        <v>1000000000000</v>
      </c>
      <c r="BN113" s="171">
        <f ca="1">IF(OR($D113&lt;&gt;"Serviço",AND(AUTOEVENTO="Manual",$M113=$A$15)),0,
         IF(OFFSET(CRONOPLE!$F$15,$M113-$A$15,BN$13)=0,10^12,OFFSET(CRONOPLE!$F$15,$M113-$A$15,BN$13)))</f>
        <v>1000000000000</v>
      </c>
      <c r="BO113" s="171">
        <f ca="1">IF(OR($D113&lt;&gt;"Serviço",AND(AUTOEVENTO="Manual",$M113=$A$15)),0,
         IF(OFFSET(CRONOPLE!$F$15,$M113-$A$15,BO$13)=0,10^12,OFFSET(CRONOPLE!$F$15,$M113-$A$15,BO$13)))</f>
        <v>1000000000000</v>
      </c>
      <c r="BP113" s="171">
        <f ca="1">IF(OR($D113&lt;&gt;"Serviço",AND(AUTOEVENTO="Manual",$M113=$A$15)),0,
         IF(OFFSET(CRONOPLE!$F$15,$M113-$A$15,BP$13)=0,10^12,OFFSET(CRONOPLE!$F$15,$M113-$A$15,BP$13)))</f>
        <v>1000000000000</v>
      </c>
      <c r="BQ113" s="171">
        <f ca="1">IF(OR($D113&lt;&gt;"Serviço",AND(AUTOEVENTO="Manual",$M113=$A$15)),0,
         IF(OFFSET(CRONOPLE!$F$15,$M113-$A$15,BQ$13)=0,10^12,OFFSET(CRONOPLE!$F$15,$M113-$A$15,BQ$13)))</f>
        <v>1000000000000</v>
      </c>
      <c r="BR113" s="171">
        <f ca="1">IF(OR($D113&lt;&gt;"Serviço",AND(AUTOEVENTO="Manual",$M113=$A$15)),0,
         IF(OFFSET(CRONOPLE!$F$15,$M113-$A$15,BR$13)=0,10^12,OFFSET(CRONOPLE!$F$15,$M113-$A$15,BR$13)))</f>
        <v>1000000000000</v>
      </c>
      <c r="BS113" s="171">
        <f ca="1">IF(OR($D113&lt;&gt;"Serviço",AND(AUTOEVENTO="Manual",$M113=$A$15)),0,
         IF(OFFSET(CRONOPLE!$F$15,$M113-$A$15,BS$13)=0,10^12,OFFSET(CRONOPLE!$F$15,$M113-$A$15,BS$13)))</f>
        <v>1000000000000</v>
      </c>
      <c r="BT113" s="171">
        <f ca="1">IF(OR($D113&lt;&gt;"Serviço",AND(AUTOEVENTO="Manual",$M113=$A$15)),0,
         IF(OFFSET(CRONOPLE!$F$15,$M113-$A$15,BT$13)=0,10^12,OFFSET(CRONOPLE!$F$15,$M113-$A$15,BT$13)))</f>
        <v>1000000000000</v>
      </c>
      <c r="BV113" s="172">
        <f ca="1">IF(OR($D113&lt;&gt;"Serviço",AND(AUTOEVENTO="Manual",$M113=$A$15),$M113&gt;(ROW(PLE.lastrow)-ROW(PLE.firstrow))),0,
           IF(OFFSET(PLE!$G$15,$M113-$A$15,BV$13)="",10^12,OFFSET(PLE!$G$15,$M113-$A$15,BV$13)))</f>
        <v>1000000000000</v>
      </c>
      <c r="BW113" s="172">
        <f ca="1">IF(OR($D113&lt;&gt;"Serviço",AND(AUTOEVENTO="Manual",$M113=$A$15),$M113&gt;(ROW(PLE.lastrow)-ROW(PLE.firstrow))),0,
           IF(OFFSET(PLE!$G$15,$M113-$A$15,BW$13)="",10^12,OFFSET(PLE!$G$15,$M113-$A$15,BW$13)))</f>
        <v>1000000000000</v>
      </c>
      <c r="BX113" s="172">
        <f ca="1">IF(OR($D113&lt;&gt;"Serviço",AND(AUTOEVENTO="Manual",$M113=$A$15),$M113&gt;(ROW(PLE.lastrow)-ROW(PLE.firstrow))),0,
           IF(OFFSET(PLE!$G$15,$M113-$A$15,BX$13)="",10^12,OFFSET(PLE!$G$15,$M113-$A$15,BX$13)))</f>
        <v>1000000000000</v>
      </c>
      <c r="BY113" s="172">
        <f ca="1">IF(OR($D113&lt;&gt;"Serviço",AND(AUTOEVENTO="Manual",$M113=$A$15),$M113&gt;(ROW(PLE.lastrow)-ROW(PLE.firstrow))),0,
           IF(OFFSET(PLE!$G$15,$M113-$A$15,BY$13)="",10^12,OFFSET(PLE!$G$15,$M113-$A$15,BY$13)))</f>
        <v>1000000000000</v>
      </c>
      <c r="BZ113" s="172">
        <f ca="1">IF(OR($D113&lt;&gt;"Serviço",AND(AUTOEVENTO="Manual",$M113=$A$15),$M113&gt;(ROW(PLE.lastrow)-ROW(PLE.firstrow))),0,
           IF(OFFSET(PLE!$G$15,$M113-$A$15,BZ$13)="",10^12,OFFSET(PLE!$G$15,$M113-$A$15,BZ$13)))</f>
        <v>1000000000000</v>
      </c>
      <c r="CA113" s="172">
        <f ca="1">IF(OR($D113&lt;&gt;"Serviço",AND(AUTOEVENTO="Manual",$M113=$A$15),$M113&gt;(ROW(PLE.lastrow)-ROW(PLE.firstrow))),0,
           IF(OFFSET(PLE!$G$15,$M113-$A$15,CA$13)="",10^12,OFFSET(PLE!$G$15,$M113-$A$15,CA$13)))</f>
        <v>1000000000000</v>
      </c>
      <c r="CB113" s="172">
        <f ca="1">IF(OR($D113&lt;&gt;"Serviço",AND(AUTOEVENTO="Manual",$M113=$A$15),$M113&gt;(ROW(PLE.lastrow)-ROW(PLE.firstrow))),0,
           IF(OFFSET(PLE!$G$15,$M113-$A$15,CB$13)="",10^12,OFFSET(PLE!$G$15,$M113-$A$15,CB$13)))</f>
        <v>1000000000000</v>
      </c>
      <c r="CC113" s="172">
        <f ca="1">IF(OR($D113&lt;&gt;"Serviço",AND(AUTOEVENTO="Manual",$M113=$A$15),$M113&gt;(ROW(PLE.lastrow)-ROW(PLE.firstrow))),0,
           IF(OFFSET(PLE!$G$15,$M113-$A$15,CC$13)="",10^12,OFFSET(PLE!$G$15,$M113-$A$15,CC$13)))</f>
        <v>1000000000000</v>
      </c>
      <c r="CD113" s="172">
        <f ca="1">IF(OR($D113&lt;&gt;"Serviço",AND(AUTOEVENTO="Manual",$M113=$A$15),$M113&gt;(ROW(PLE.lastrow)-ROW(PLE.firstrow))),0,
           IF(OFFSET(PLE!$G$15,$M113-$A$15,CD$13)="",10^12,OFFSET(PLE!$G$15,$M113-$A$15,CD$13)))</f>
        <v>1000000000000</v>
      </c>
      <c r="CE113" s="172">
        <f ca="1">IF(OR($D113&lt;&gt;"Serviço",AND(AUTOEVENTO="Manual",$M113=$A$15),$M113&gt;(ROW(PLE.lastrow)-ROW(PLE.firstrow))),0,
           IF(OFFSET(PLE!$G$15,$M113-$A$15,CE$13)="",10^12,OFFSET(PLE!$G$15,$M113-$A$15,CE$13)))</f>
        <v>1000000000000</v>
      </c>
      <c r="CF113" s="172">
        <f ca="1">IF(OR($D113&lt;&gt;"Serviço",AND(AUTOEVENTO="Manual",$M113=$A$15),$M113&gt;(ROW(PLE.lastrow)-ROW(PLE.firstrow))),0,
           IF(OFFSET(PLE!$G$15,$M113-$A$15,CF$13)="",10^12,OFFSET(PLE!$G$15,$M113-$A$15,CF$13)))</f>
        <v>1000000000000</v>
      </c>
      <c r="CG113" s="172">
        <f ca="1">IF(OR($D113&lt;&gt;"Serviço",AND(AUTOEVENTO="Manual",$M113=$A$15),$M113&gt;(ROW(PLE.lastrow)-ROW(PLE.firstrow))),0,
           IF(OFFSET(PLE!$G$15,$M113-$A$15,CG$13)="",10^12,OFFSET(PLE!$G$15,$M113-$A$15,CG$13)))</f>
        <v>1000000000000</v>
      </c>
      <c r="CH113" s="172">
        <f ca="1">IF(OR($D113&lt;&gt;"Serviço",AND(AUTOEVENTO="Manual",$M113=$A$15),$M113&gt;(ROW(PLE.lastrow)-ROW(PLE.firstrow))),0,
           IF(OFFSET(PLE!$G$15,$M113-$A$15,CH$13)="",10^12,OFFSET(PLE!$G$15,$M113-$A$15,CH$13)))</f>
        <v>1000000000000</v>
      </c>
      <c r="CI113" s="172">
        <f ca="1">IF(OR($D113&lt;&gt;"Serviço",AND(AUTOEVENTO="Manual",$M113=$A$15),$M113&gt;(ROW(PLE.lastrow)-ROW(PLE.firstrow))),0,
           IF(OFFSET(PLE!$G$15,$M113-$A$15,CI$13)="",10^12,OFFSET(PLE!$G$15,$M113-$A$15,CI$13)))</f>
        <v>1000000000000</v>
      </c>
      <c r="CJ113" s="172">
        <f ca="1">IF(OR($D113&lt;&gt;"Serviço",AND(AUTOEVENTO="Manual",$M113=$A$15),$M113&gt;(ROW(PLE.lastrow)-ROW(PLE.firstrow))),0,
           IF(OFFSET(PLE!$G$15,$M113-$A$15,CJ$13)="",10^12,OFFSET(PLE!$G$15,$M113-$A$15,CJ$13)))</f>
        <v>1000000000000</v>
      </c>
      <c r="CK113" s="172">
        <f ca="1">IF(OR($D113&lt;&gt;"Serviço",AND(AUTOEVENTO="Manual",$M113=$A$15),$M113&gt;(ROW(PLE.lastrow)-ROW(PLE.firstrow))),0,
           IF(OFFSET(PLE!$G$15,$M113-$A$15,CK$13)="",10^12,OFFSET(PLE!$G$15,$M113-$A$15,CK$13)))</f>
        <v>1000000000000</v>
      </c>
      <c r="CL113" s="172">
        <f ca="1">IF(OR($D113&lt;&gt;"Serviço",AND(AUTOEVENTO="Manual",$M113=$A$15),$M113&gt;(ROW(PLE.lastrow)-ROW(PLE.firstrow))),0,
           IF(OFFSET(PLE!$G$15,$M113-$A$15,CL$13)="",10^12,OFFSET(PLE!$G$15,$M113-$A$15,CL$13)))</f>
        <v>1000000000000</v>
      </c>
      <c r="CM113" s="172">
        <f ca="1">IF(OR($D113&lt;&gt;"Serviço",AND(AUTOEVENTO="Manual",$M113=$A$15),$M113&gt;(ROW(PLE.lastrow)-ROW(PLE.firstrow))),0,
           IF(OFFSET(PLE!$G$15,$M113-$A$15,CM$13)="",10^12,OFFSET(PLE!$G$15,$M113-$A$15,CM$13)))</f>
        <v>1000000000000</v>
      </c>
    </row>
    <row r="114" spans="1:91" ht="63.75" x14ac:dyDescent="0.2">
      <c r="A114" s="7">
        <f t="shared" ca="1" si="11"/>
        <v>4</v>
      </c>
      <c r="B114" s="7" t="str">
        <f ca="1">OFFSET(ORÇAMENTO!C$15,ROW(B114)-ROW(B$15),0)</f>
        <v>S</v>
      </c>
      <c r="C114" s="7" t="str">
        <f ca="1">OFFSET(ORÇAMENTO!L$15,ROW(C114)-ROW(C$15),0)</f>
        <v>F</v>
      </c>
      <c r="D114" s="116" t="str">
        <f ca="1">OFFSET(ORÇAMENTO!N$15,ROW(D114)-ROW(D$15),0)</f>
        <v>Serviço</v>
      </c>
      <c r="E114" s="117" t="str">
        <f ca="1">OFFSET(ORÇAMENTO!O$15,ROW(E114)-ROW(E$15),0)</f>
        <v>1.5.2.1.8.</v>
      </c>
      <c r="F114" s="163" t="str">
        <f ca="1">OFFSET(ORÇAMENTO!R$15,ROW(F114)-ROW(F$15),0)</f>
        <v>TAXA ATERRO SANITÁRIO</v>
      </c>
      <c r="G114" s="164" t="str">
        <f ca="1">IF($D114&lt;&gt;"Serviço","",OFFSET(ORÇAMENTO!S$15,ROW(G114)-ROW(G$15),0))</f>
        <v>T</v>
      </c>
      <c r="H114" s="122" cm="1">
        <f t="array" aca="1" ref="H114" ca="1">IF($D114&lt;&gt;"Serviço",0,IF(ACOMPANHAMENTO="BM",ROUND(OFFSET(ORÇAMENTO!AJ$15,ROW(H114)-ROW(H$15),0),15-13*ORÇAMENTO!$AF$7),SUMPRODUCT(($Q$1:$AI$1=1)*ROUND($Q114:$AI114,15-13*ORÇAMENTO!$AF$7))))</f>
        <v>88.88</v>
      </c>
      <c r="I114" s="468" t="s">
        <v>1418</v>
      </c>
      <c r="J114" s="640" t="str" cm="1">
        <f t="array" aca="1" ref="J114" ca="1">IF(OR(B114&lt;&gt;"S",CÁLCULO.FrentesPreenchidas=0),"",IF(AND(ACOMPANHAMENTO="PLE",AUTOEVENTO="Manual",OR(H114&gt;0,ORÇAMENTO!AC114="QUANT."),OR(K114="",M114=0,N114="")),"►E",IF(AND(ACOMPANHAMENTO="PLE",ORÇAMENTO!AC114="QUANT."),"►Q",IF(AND(ACOMPANHAMENTO="PLE",H114&lt;&gt;SUMPRODUCT(($Q$1:$AI$1=1)*ROUND(Q114:AI114,15))),"►S",IF(AND(COUNTIF($P$11:$AI$11,"▼")=0,H114&gt;0,I114=""),"◄M","")))))</f>
        <v/>
      </c>
      <c r="K114" s="641" t="s">
        <v>1389</v>
      </c>
      <c r="L114" s="165" t="s">
        <v>764</v>
      </c>
      <c r="M114" s="166">
        <f ca="1">IF($D114&lt;&gt;"Serviço","",
          IF(AUTOEVENTO="manual",$A114,
                IF(ISERROR(MATCH($A114,$A$15:OFFSET($A114,-1,0),0)),MAX($M$15:OFFSET(M114,-1,0))+1,
                      INDEX($M$15:OFFSET(M114,-1,0),MATCH($A114,$A$15:OFFSET($A114,-1,0),0)))))</f>
        <v>4</v>
      </c>
      <c r="N114" s="167" t="str">
        <f ca="1">IF($D114&lt;&gt;"Serviço","",
         IF(AUTOEVENTO="Manual",
                IF($A114=0,"&lt;-- defina o número do agrupador",
                       OFFSET(EVENTOS!$D$15,$A114-$A$15,0)),
                OFFSET($F$15,$A114,0)))</f>
        <v>Estruturas de Concreto</v>
      </c>
      <c r="O114" s="168"/>
      <c r="Q114" s="168"/>
      <c r="R114" s="169"/>
      <c r="S114" s="169"/>
      <c r="T114" s="169">
        <f>ROUND(T112*1.36,2)</f>
        <v>88.88</v>
      </c>
      <c r="U114" s="169"/>
      <c r="V114" s="169"/>
      <c r="W114" s="169"/>
      <c r="X114" s="169"/>
      <c r="Y114" s="169"/>
      <c r="Z114" s="170"/>
      <c r="AA114" s="169"/>
      <c r="AB114" s="169"/>
      <c r="AC114" s="169"/>
      <c r="AD114" s="169"/>
      <c r="AE114" s="169"/>
      <c r="AF114" s="169"/>
      <c r="AG114" s="169"/>
      <c r="AH114" s="170"/>
      <c r="AJ114" s="453">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0</v>
      </c>
      <c r="AK114" s="453">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0</v>
      </c>
      <c r="AL114" s="453">
        <f ca="1">IF(AND($D114="Serviço",AL$12&lt;&gt;0,$H114&gt;0,OR(AUTOEVENTO&lt;&gt;"manual",$M114&lt;&gt;$A$15)),
        IF(Import.TipoArredondamento&lt;&gt;"TransfereGOV",
              ROUND(OFFSET($P114,0,AL$13),15-13*ORÇAMENTO!$AF$7)/$H114*OFFSET(ORÇAMENTO!$X$15,ROW(AL114)-ROW(AL$15),0),
              ROUND(ROUND(OFFSET($P114,0,AL$13),15-13*ORÇAMENTO!$AF$7)*OFFSET(ORÇAMENTO!$W$15,ROW(AL114)-ROW(AL$15),0),15-13*ORÇAMENTO!$AF$11)),
         0)</f>
        <v>0</v>
      </c>
      <c r="AM114" s="453">
        <f ca="1">IF(AND($D114="Serviço",AM$12&lt;&gt;0,$H114&gt;0,OR(AUTOEVENTO&lt;&gt;"manual",$M114&lt;&gt;$A$15)),
        IF(Import.TipoArredondamento&lt;&gt;"TransfereGOV",
              ROUND(OFFSET($P114,0,AM$13),15-13*ORÇAMENTO!$AF$7)/$H114*OFFSET(ORÇAMENTO!$X$15,ROW(AM114)-ROW(AM$15),0),
              ROUND(ROUND(OFFSET($P114,0,AM$13),15-13*ORÇAMENTO!$AF$7)*OFFSET(ORÇAMENTO!$W$15,ROW(AM114)-ROW(AM$15),0),15-13*ORÇAMENTO!$AF$11)),
         0)</f>
        <v>0</v>
      </c>
      <c r="AN114" s="453">
        <f ca="1">IF(AND($D114="Serviço",AN$12&lt;&gt;0,$H114&gt;0,OR(AUTOEVENTO&lt;&gt;"manual",$M114&lt;&gt;$A$15)),
        IF(Import.TipoArredondamento&lt;&gt;"TransfereGOV",
              ROUND(OFFSET($P114,0,AN$13),15-13*ORÇAMENTO!$AF$7)/$H114*OFFSET(ORÇAMENTO!$X$15,ROW(AN114)-ROW(AN$15),0),
              ROUND(ROUND(OFFSET($P114,0,AN$13),15-13*ORÇAMENTO!$AF$7)*OFFSET(ORÇAMENTO!$W$15,ROW(AN114)-ROW(AN$15),0),15-13*ORÇAMENTO!$AF$11)),
         0)</f>
        <v>0</v>
      </c>
      <c r="AO114" s="453">
        <f ca="1">IF(AND($D114="Serviço",AO$12&lt;&gt;0,$H114&gt;0,OR(AUTOEVENTO&lt;&gt;"manual",$M114&lt;&gt;$A$15)),
        IF(Import.TipoArredondamento&lt;&gt;"TransfereGOV",
              ROUND(OFFSET($P114,0,AO$13),15-13*ORÇAMENTO!$AF$7)/$H114*OFFSET(ORÇAMENTO!$X$15,ROW(AO114)-ROW(AO$15),0),
              ROUND(ROUND(OFFSET($P114,0,AO$13),15-13*ORÇAMENTO!$AF$7)*OFFSET(ORÇAMENTO!$W$15,ROW(AO114)-ROW(AO$15),0),15-13*ORÇAMENTO!$AF$11)),
         0)</f>
        <v>0</v>
      </c>
      <c r="AP114" s="453">
        <f ca="1">IF(AND($D114="Serviço",AP$12&lt;&gt;0,$H114&gt;0,OR(AUTOEVENTO&lt;&gt;"manual",$M114&lt;&gt;$A$15)),
        IF(Import.TipoArredondamento&lt;&gt;"TransfereGOV",
              ROUND(OFFSET($P114,0,AP$13),15-13*ORÇAMENTO!$AF$7)/$H114*OFFSET(ORÇAMENTO!$X$15,ROW(AP114)-ROW(AP$15),0),
              ROUND(ROUND(OFFSET($P114,0,AP$13),15-13*ORÇAMENTO!$AF$7)*OFFSET(ORÇAMENTO!$W$15,ROW(AP114)-ROW(AP$15),0),15-13*ORÇAMENTO!$AF$11)),
         0)</f>
        <v>0</v>
      </c>
      <c r="AQ114" s="453">
        <f ca="1">IF(AND($D114="Serviço",AQ$12&lt;&gt;0,$H114&gt;0,OR(AUTOEVENTO&lt;&gt;"manual",$M114&lt;&gt;$A$15)),
        IF(Import.TipoArredondamento&lt;&gt;"TransfereGOV",
              ROUND(OFFSET($P114,0,AQ$13),15-13*ORÇAMENTO!$AF$7)/$H114*OFFSET(ORÇAMENTO!$X$15,ROW(AQ114)-ROW(AQ$15),0),
              ROUND(ROUND(OFFSET($P114,0,AQ$13),15-13*ORÇAMENTO!$AF$7)*OFFSET(ORÇAMENTO!$W$15,ROW(AQ114)-ROW(AQ$15),0),15-13*ORÇAMENTO!$AF$11)),
         0)</f>
        <v>0</v>
      </c>
      <c r="AR114" s="453">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3">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3">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3">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3">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3">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3">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3">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3">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3">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C114" s="171">
        <f ca="1">IF(OR($D114&lt;&gt;"Serviço",AND(AUTOEVENTO="Manual",$M114=$A$15)),0,
         IF(OFFSET(CRONOPLE!$F$15,$M114-$A$15,BC$13)=0,10^12,OFFSET(CRONOPLE!$F$15,$M114-$A$15,BC$13)))</f>
        <v>1</v>
      </c>
      <c r="BD114" s="171">
        <f ca="1">IF(OR($D114&lt;&gt;"Serviço",AND(AUTOEVENTO="Manual",$M114=$A$15)),0,
         IF(OFFSET(CRONOPLE!$F$15,$M114-$A$15,BD$13)=0,10^12,OFFSET(CRONOPLE!$F$15,$M114-$A$15,BD$13)))</f>
        <v>2</v>
      </c>
      <c r="BE114" s="171">
        <f ca="1">IF(OR($D114&lt;&gt;"Serviço",AND(AUTOEVENTO="Manual",$M114=$A$15)),0,
         IF(OFFSET(CRONOPLE!$F$15,$M114-$A$15,BE$13)=0,10^12,OFFSET(CRONOPLE!$F$15,$M114-$A$15,BE$13)))</f>
        <v>3</v>
      </c>
      <c r="BF114" s="171">
        <f ca="1">IF(OR($D114&lt;&gt;"Serviço",AND(AUTOEVENTO="Manual",$M114=$A$15)),0,
         IF(OFFSET(CRONOPLE!$F$15,$M114-$A$15,BF$13)=0,10^12,OFFSET(CRONOPLE!$F$15,$M114-$A$15,BF$13)))</f>
        <v>4</v>
      </c>
      <c r="BG114" s="171">
        <f ca="1">IF(OR($D114&lt;&gt;"Serviço",AND(AUTOEVENTO="Manual",$M114=$A$15)),0,
         IF(OFFSET(CRONOPLE!$F$15,$M114-$A$15,BG$13)=0,10^12,OFFSET(CRONOPLE!$F$15,$M114-$A$15,BG$13)))</f>
        <v>5</v>
      </c>
      <c r="BH114" s="171">
        <f ca="1">IF(OR($D114&lt;&gt;"Serviço",AND(AUTOEVENTO="Manual",$M114=$A$15)),0,
         IF(OFFSET(CRONOPLE!$F$15,$M114-$A$15,BH$13)=0,10^12,OFFSET(CRONOPLE!$F$15,$M114-$A$15,BH$13)))</f>
        <v>6</v>
      </c>
      <c r="BI114" s="171">
        <f ca="1">IF(OR($D114&lt;&gt;"Serviço",AND(AUTOEVENTO="Manual",$M114=$A$15)),0,
         IF(OFFSET(CRONOPLE!$F$15,$M114-$A$15,BI$13)=0,10^12,OFFSET(CRONOPLE!$F$15,$M114-$A$15,BI$13)))</f>
        <v>7</v>
      </c>
      <c r="BJ114" s="171">
        <f ca="1">IF(OR($D114&lt;&gt;"Serviço",AND(AUTOEVENTO="Manual",$M114=$A$15)),0,
         IF(OFFSET(CRONOPLE!$F$15,$M114-$A$15,BJ$13)=0,10^12,OFFSET(CRONOPLE!$F$15,$M114-$A$15,BJ$13)))</f>
        <v>8</v>
      </c>
      <c r="BK114" s="171">
        <f ca="1">IF(OR($D114&lt;&gt;"Serviço",AND(AUTOEVENTO="Manual",$M114=$A$15)),0,
         IF(OFFSET(CRONOPLE!$F$15,$M114-$A$15,BK$13)=0,10^12,OFFSET(CRONOPLE!$F$15,$M114-$A$15,BK$13)))</f>
        <v>9</v>
      </c>
      <c r="BL114" s="171">
        <f ca="1">IF(OR($D114&lt;&gt;"Serviço",AND(AUTOEVENTO="Manual",$M114=$A$15)),0,
         IF(OFFSET(CRONOPLE!$F$15,$M114-$A$15,BL$13)=0,10^12,OFFSET(CRONOPLE!$F$15,$M114-$A$15,BL$13)))</f>
        <v>10</v>
      </c>
      <c r="BM114" s="171">
        <f ca="1">IF(OR($D114&lt;&gt;"Serviço",AND(AUTOEVENTO="Manual",$M114=$A$15)),0,
         IF(OFFSET(CRONOPLE!$F$15,$M114-$A$15,BM$13)=0,10^12,OFFSET(CRONOPLE!$F$15,$M114-$A$15,BM$13)))</f>
        <v>1000000000000</v>
      </c>
      <c r="BN114" s="171">
        <f ca="1">IF(OR($D114&lt;&gt;"Serviço",AND(AUTOEVENTO="Manual",$M114=$A$15)),0,
         IF(OFFSET(CRONOPLE!$F$15,$M114-$A$15,BN$13)=0,10^12,OFFSET(CRONOPLE!$F$15,$M114-$A$15,BN$13)))</f>
        <v>1000000000000</v>
      </c>
      <c r="BO114" s="171">
        <f ca="1">IF(OR($D114&lt;&gt;"Serviço",AND(AUTOEVENTO="Manual",$M114=$A$15)),0,
         IF(OFFSET(CRONOPLE!$F$15,$M114-$A$15,BO$13)=0,10^12,OFFSET(CRONOPLE!$F$15,$M114-$A$15,BO$13)))</f>
        <v>1000000000000</v>
      </c>
      <c r="BP114" s="171">
        <f ca="1">IF(OR($D114&lt;&gt;"Serviço",AND(AUTOEVENTO="Manual",$M114=$A$15)),0,
         IF(OFFSET(CRONOPLE!$F$15,$M114-$A$15,BP$13)=0,10^12,OFFSET(CRONOPLE!$F$15,$M114-$A$15,BP$13)))</f>
        <v>1000000000000</v>
      </c>
      <c r="BQ114" s="171">
        <f ca="1">IF(OR($D114&lt;&gt;"Serviço",AND(AUTOEVENTO="Manual",$M114=$A$15)),0,
         IF(OFFSET(CRONOPLE!$F$15,$M114-$A$15,BQ$13)=0,10^12,OFFSET(CRONOPLE!$F$15,$M114-$A$15,BQ$13)))</f>
        <v>1000000000000</v>
      </c>
      <c r="BR114" s="171">
        <f ca="1">IF(OR($D114&lt;&gt;"Serviço",AND(AUTOEVENTO="Manual",$M114=$A$15)),0,
         IF(OFFSET(CRONOPLE!$F$15,$M114-$A$15,BR$13)=0,10^12,OFFSET(CRONOPLE!$F$15,$M114-$A$15,BR$13)))</f>
        <v>1000000000000</v>
      </c>
      <c r="BS114" s="171">
        <f ca="1">IF(OR($D114&lt;&gt;"Serviço",AND(AUTOEVENTO="Manual",$M114=$A$15)),0,
         IF(OFFSET(CRONOPLE!$F$15,$M114-$A$15,BS$13)=0,10^12,OFFSET(CRONOPLE!$F$15,$M114-$A$15,BS$13)))</f>
        <v>1000000000000</v>
      </c>
      <c r="BT114" s="171">
        <f ca="1">IF(OR($D114&lt;&gt;"Serviço",AND(AUTOEVENTO="Manual",$M114=$A$15)),0,
         IF(OFFSET(CRONOPLE!$F$15,$M114-$A$15,BT$13)=0,10^12,OFFSET(CRONOPLE!$F$15,$M114-$A$15,BT$13)))</f>
        <v>1000000000000</v>
      </c>
      <c r="BV114" s="172">
        <f ca="1">IF(OR($D114&lt;&gt;"Serviço",AND(AUTOEVENTO="Manual",$M114=$A$15),$M114&gt;(ROW(PLE.lastrow)-ROW(PLE.firstrow))),0,
           IF(OFFSET(PLE!$G$15,$M114-$A$15,BV$13)="",10^12,OFFSET(PLE!$G$15,$M114-$A$15,BV$13)))</f>
        <v>1000000000000</v>
      </c>
      <c r="BW114" s="172">
        <f ca="1">IF(OR($D114&lt;&gt;"Serviço",AND(AUTOEVENTO="Manual",$M114=$A$15),$M114&gt;(ROW(PLE.lastrow)-ROW(PLE.firstrow))),0,
           IF(OFFSET(PLE!$G$15,$M114-$A$15,BW$13)="",10^12,OFFSET(PLE!$G$15,$M114-$A$15,BW$13)))</f>
        <v>1000000000000</v>
      </c>
      <c r="BX114" s="172">
        <f ca="1">IF(OR($D114&lt;&gt;"Serviço",AND(AUTOEVENTO="Manual",$M114=$A$15),$M114&gt;(ROW(PLE.lastrow)-ROW(PLE.firstrow))),0,
           IF(OFFSET(PLE!$G$15,$M114-$A$15,BX$13)="",10^12,OFFSET(PLE!$G$15,$M114-$A$15,BX$13)))</f>
        <v>1000000000000</v>
      </c>
      <c r="BY114" s="172">
        <f ca="1">IF(OR($D114&lt;&gt;"Serviço",AND(AUTOEVENTO="Manual",$M114=$A$15),$M114&gt;(ROW(PLE.lastrow)-ROW(PLE.firstrow))),0,
           IF(OFFSET(PLE!$G$15,$M114-$A$15,BY$13)="",10^12,OFFSET(PLE!$G$15,$M114-$A$15,BY$13)))</f>
        <v>1000000000000</v>
      </c>
      <c r="BZ114" s="172">
        <f ca="1">IF(OR($D114&lt;&gt;"Serviço",AND(AUTOEVENTO="Manual",$M114=$A$15),$M114&gt;(ROW(PLE.lastrow)-ROW(PLE.firstrow))),0,
           IF(OFFSET(PLE!$G$15,$M114-$A$15,BZ$13)="",10^12,OFFSET(PLE!$G$15,$M114-$A$15,BZ$13)))</f>
        <v>1000000000000</v>
      </c>
      <c r="CA114" s="172">
        <f ca="1">IF(OR($D114&lt;&gt;"Serviço",AND(AUTOEVENTO="Manual",$M114=$A$15),$M114&gt;(ROW(PLE.lastrow)-ROW(PLE.firstrow))),0,
           IF(OFFSET(PLE!$G$15,$M114-$A$15,CA$13)="",10^12,OFFSET(PLE!$G$15,$M114-$A$15,CA$13)))</f>
        <v>1000000000000</v>
      </c>
      <c r="CB114" s="172">
        <f ca="1">IF(OR($D114&lt;&gt;"Serviço",AND(AUTOEVENTO="Manual",$M114=$A$15),$M114&gt;(ROW(PLE.lastrow)-ROW(PLE.firstrow))),0,
           IF(OFFSET(PLE!$G$15,$M114-$A$15,CB$13)="",10^12,OFFSET(PLE!$G$15,$M114-$A$15,CB$13)))</f>
        <v>1000000000000</v>
      </c>
      <c r="CC114" s="172">
        <f ca="1">IF(OR($D114&lt;&gt;"Serviço",AND(AUTOEVENTO="Manual",$M114=$A$15),$M114&gt;(ROW(PLE.lastrow)-ROW(PLE.firstrow))),0,
           IF(OFFSET(PLE!$G$15,$M114-$A$15,CC$13)="",10^12,OFFSET(PLE!$G$15,$M114-$A$15,CC$13)))</f>
        <v>1000000000000</v>
      </c>
      <c r="CD114" s="172">
        <f ca="1">IF(OR($D114&lt;&gt;"Serviço",AND(AUTOEVENTO="Manual",$M114=$A$15),$M114&gt;(ROW(PLE.lastrow)-ROW(PLE.firstrow))),0,
           IF(OFFSET(PLE!$G$15,$M114-$A$15,CD$13)="",10^12,OFFSET(PLE!$G$15,$M114-$A$15,CD$13)))</f>
        <v>1000000000000</v>
      </c>
      <c r="CE114" s="172">
        <f ca="1">IF(OR($D114&lt;&gt;"Serviço",AND(AUTOEVENTO="Manual",$M114=$A$15),$M114&gt;(ROW(PLE.lastrow)-ROW(PLE.firstrow))),0,
           IF(OFFSET(PLE!$G$15,$M114-$A$15,CE$13)="",10^12,OFFSET(PLE!$G$15,$M114-$A$15,CE$13)))</f>
        <v>1000000000000</v>
      </c>
      <c r="CF114" s="172">
        <f ca="1">IF(OR($D114&lt;&gt;"Serviço",AND(AUTOEVENTO="Manual",$M114=$A$15),$M114&gt;(ROW(PLE.lastrow)-ROW(PLE.firstrow))),0,
           IF(OFFSET(PLE!$G$15,$M114-$A$15,CF$13)="",10^12,OFFSET(PLE!$G$15,$M114-$A$15,CF$13)))</f>
        <v>1000000000000</v>
      </c>
      <c r="CG114" s="172">
        <f ca="1">IF(OR($D114&lt;&gt;"Serviço",AND(AUTOEVENTO="Manual",$M114=$A$15),$M114&gt;(ROW(PLE.lastrow)-ROW(PLE.firstrow))),0,
           IF(OFFSET(PLE!$G$15,$M114-$A$15,CG$13)="",10^12,OFFSET(PLE!$G$15,$M114-$A$15,CG$13)))</f>
        <v>1000000000000</v>
      </c>
      <c r="CH114" s="172">
        <f ca="1">IF(OR($D114&lt;&gt;"Serviço",AND(AUTOEVENTO="Manual",$M114=$A$15),$M114&gt;(ROW(PLE.lastrow)-ROW(PLE.firstrow))),0,
           IF(OFFSET(PLE!$G$15,$M114-$A$15,CH$13)="",10^12,OFFSET(PLE!$G$15,$M114-$A$15,CH$13)))</f>
        <v>1000000000000</v>
      </c>
      <c r="CI114" s="172">
        <f ca="1">IF(OR($D114&lt;&gt;"Serviço",AND(AUTOEVENTO="Manual",$M114=$A$15),$M114&gt;(ROW(PLE.lastrow)-ROW(PLE.firstrow))),0,
           IF(OFFSET(PLE!$G$15,$M114-$A$15,CI$13)="",10^12,OFFSET(PLE!$G$15,$M114-$A$15,CI$13)))</f>
        <v>1000000000000</v>
      </c>
      <c r="CJ114" s="172">
        <f ca="1">IF(OR($D114&lt;&gt;"Serviço",AND(AUTOEVENTO="Manual",$M114=$A$15),$M114&gt;(ROW(PLE.lastrow)-ROW(PLE.firstrow))),0,
           IF(OFFSET(PLE!$G$15,$M114-$A$15,CJ$13)="",10^12,OFFSET(PLE!$G$15,$M114-$A$15,CJ$13)))</f>
        <v>1000000000000</v>
      </c>
      <c r="CK114" s="172">
        <f ca="1">IF(OR($D114&lt;&gt;"Serviço",AND(AUTOEVENTO="Manual",$M114=$A$15),$M114&gt;(ROW(PLE.lastrow)-ROW(PLE.firstrow))),0,
           IF(OFFSET(PLE!$G$15,$M114-$A$15,CK$13)="",10^12,OFFSET(PLE!$G$15,$M114-$A$15,CK$13)))</f>
        <v>1000000000000</v>
      </c>
      <c r="CL114" s="172">
        <f ca="1">IF(OR($D114&lt;&gt;"Serviço",AND(AUTOEVENTO="Manual",$M114=$A$15),$M114&gt;(ROW(PLE.lastrow)-ROW(PLE.firstrow))),0,
           IF(OFFSET(PLE!$G$15,$M114-$A$15,CL$13)="",10^12,OFFSET(PLE!$G$15,$M114-$A$15,CL$13)))</f>
        <v>1000000000000</v>
      </c>
      <c r="CM114" s="172">
        <f ca="1">IF(OR($D114&lt;&gt;"Serviço",AND(AUTOEVENTO="Manual",$M114=$A$15),$M114&gt;(ROW(PLE.lastrow)-ROW(PLE.firstrow))),0,
           IF(OFFSET(PLE!$G$15,$M114-$A$15,CM$13)="",10^12,OFFSET(PLE!$G$15,$M114-$A$15,CM$13)))</f>
        <v>1000000000000</v>
      </c>
    </row>
    <row r="115" spans="1:91" ht="38.25" x14ac:dyDescent="0.2">
      <c r="A115" s="7">
        <f t="shared" ca="1" si="11"/>
        <v>4</v>
      </c>
      <c r="B115" s="7" t="str">
        <f ca="1">OFFSET(ORÇAMENTO!C$15,ROW(B115)-ROW(B$15),0)</f>
        <v>S</v>
      </c>
      <c r="C115" s="7" t="str">
        <f ca="1">OFFSET(ORÇAMENTO!L$15,ROW(C115)-ROW(C$15),0)</f>
        <v>F</v>
      </c>
      <c r="D115" s="116" t="str">
        <f ca="1">OFFSET(ORÇAMENTO!N$15,ROW(D115)-ROW(D$15),0)</f>
        <v>Serviço</v>
      </c>
      <c r="E115" s="117" t="str">
        <f ca="1">OFFSET(ORÇAMENTO!O$15,ROW(E115)-ROW(E$15),0)</f>
        <v>1.5.2.1.9.</v>
      </c>
      <c r="F115" s="163" t="str">
        <f ca="1">OFFSET(ORÇAMENTO!R$15,ROW(F115)-ROW(F$15),0)</f>
        <v>ESPALHAMENTO DE MATERIAL COM TRATOR DE ESTEIRAS. AF_09/2024</v>
      </c>
      <c r="G115" s="164" t="str">
        <f ca="1">IF($D115&lt;&gt;"Serviço","",OFFSET(ORÇAMENTO!S$15,ROW(G115)-ROW(G$15),0))</f>
        <v>M3</v>
      </c>
      <c r="H115" s="122" cm="1">
        <f t="array" aca="1" ref="H115" ca="1">IF($D115&lt;&gt;"Serviço",0,IF(ACOMPANHAMENTO="BM",ROUND(OFFSET(ORÇAMENTO!AJ$15,ROW(H115)-ROW(H$15),0),15-13*ORÇAMENTO!$AF$7),SUMPRODUCT(($Q$1:$AI$1=1)*ROUND($Q115:$AI115,15-13*ORÇAMENTO!$AF$7))))</f>
        <v>65.349999999999994</v>
      </c>
      <c r="I115" s="468" t="s">
        <v>1419</v>
      </c>
      <c r="J115" s="640" t="str" cm="1">
        <f t="array" aca="1" ref="J115" ca="1">IF(OR(B115&lt;&gt;"S",CÁLCULO.FrentesPreenchidas=0),"",IF(AND(ACOMPANHAMENTO="PLE",AUTOEVENTO="Manual",OR(H115&gt;0,ORÇAMENTO!AC115="QUANT."),OR(K115="",M115=0,N115="")),"►E",IF(AND(ACOMPANHAMENTO="PLE",ORÇAMENTO!AC115="QUANT."),"►Q",IF(AND(ACOMPANHAMENTO="PLE",H115&lt;&gt;SUMPRODUCT(($Q$1:$AI$1=1)*ROUND(Q115:AI115,15))),"►S",IF(AND(COUNTIF($P$11:$AI$11,"▼")=0,H115&gt;0,I115=""),"◄M","")))))</f>
        <v/>
      </c>
      <c r="K115" s="641" t="s">
        <v>1389</v>
      </c>
      <c r="L115" s="165" t="s">
        <v>764</v>
      </c>
      <c r="M115" s="166">
        <f ca="1">IF($D115&lt;&gt;"Serviço","",
          IF(AUTOEVENTO="manual",$A115,
                IF(ISERROR(MATCH($A115,$A$15:OFFSET($A115,-1,0),0)),MAX($M$15:OFFSET(M115,-1,0))+1,
                      INDEX($M$15:OFFSET(M115,-1,0),MATCH($A115,$A$15:OFFSET($A115,-1,0),0)))))</f>
        <v>4</v>
      </c>
      <c r="N115" s="167" t="str">
        <f ca="1">IF($D115&lt;&gt;"Serviço","",
         IF(AUTOEVENTO="Manual",
                IF($A115=0,"&lt;-- defina o número do agrupador",
                       OFFSET(EVENTOS!$D$15,$A115-$A$15,0)),
                OFFSET($F$15,$A115,0)))</f>
        <v>Estruturas de Concreto</v>
      </c>
      <c r="O115" s="168"/>
      <c r="Q115" s="168"/>
      <c r="R115" s="169"/>
      <c r="S115" s="169"/>
      <c r="T115" s="169">
        <f>T112</f>
        <v>65.349999999999994</v>
      </c>
      <c r="U115" s="169"/>
      <c r="V115" s="169"/>
      <c r="W115" s="169"/>
      <c r="X115" s="169"/>
      <c r="Y115" s="169"/>
      <c r="Z115" s="170"/>
      <c r="AA115" s="169"/>
      <c r="AB115" s="169"/>
      <c r="AC115" s="169"/>
      <c r="AD115" s="169"/>
      <c r="AE115" s="169"/>
      <c r="AF115" s="169"/>
      <c r="AG115" s="169"/>
      <c r="AH115" s="170"/>
      <c r="AJ115" s="453">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0</v>
      </c>
      <c r="AK115" s="453">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0</v>
      </c>
      <c r="AL115" s="453">
        <f ca="1">IF(AND($D115="Serviço",AL$12&lt;&gt;0,$H115&gt;0,OR(AUTOEVENTO&lt;&gt;"manual",$M115&lt;&gt;$A$15)),
        IF(Import.TipoArredondamento&lt;&gt;"TransfereGOV",
              ROUND(OFFSET($P115,0,AL$13),15-13*ORÇAMENTO!$AF$7)/$H115*OFFSET(ORÇAMENTO!$X$15,ROW(AL115)-ROW(AL$15),0),
              ROUND(ROUND(OFFSET($P115,0,AL$13),15-13*ORÇAMENTO!$AF$7)*OFFSET(ORÇAMENTO!$W$15,ROW(AL115)-ROW(AL$15),0),15-13*ORÇAMENTO!$AF$11)),
         0)</f>
        <v>0</v>
      </c>
      <c r="AM115" s="453">
        <f ca="1">IF(AND($D115="Serviço",AM$12&lt;&gt;0,$H115&gt;0,OR(AUTOEVENTO&lt;&gt;"manual",$M115&lt;&gt;$A$15)),
        IF(Import.TipoArredondamento&lt;&gt;"TransfereGOV",
              ROUND(OFFSET($P115,0,AM$13),15-13*ORÇAMENTO!$AF$7)/$H115*OFFSET(ORÇAMENTO!$X$15,ROW(AM115)-ROW(AM$15),0),
              ROUND(ROUND(OFFSET($P115,0,AM$13),15-13*ORÇAMENTO!$AF$7)*OFFSET(ORÇAMENTO!$W$15,ROW(AM115)-ROW(AM$15),0),15-13*ORÇAMENTO!$AF$11)),
         0)</f>
        <v>0</v>
      </c>
      <c r="AN115" s="453">
        <f ca="1">IF(AND($D115="Serviço",AN$12&lt;&gt;0,$H115&gt;0,OR(AUTOEVENTO&lt;&gt;"manual",$M115&lt;&gt;$A$15)),
        IF(Import.TipoArredondamento&lt;&gt;"TransfereGOV",
              ROUND(OFFSET($P115,0,AN$13),15-13*ORÇAMENTO!$AF$7)/$H115*OFFSET(ORÇAMENTO!$X$15,ROW(AN115)-ROW(AN$15),0),
              ROUND(ROUND(OFFSET($P115,0,AN$13),15-13*ORÇAMENTO!$AF$7)*OFFSET(ORÇAMENTO!$W$15,ROW(AN115)-ROW(AN$15),0),15-13*ORÇAMENTO!$AF$11)),
         0)</f>
        <v>0</v>
      </c>
      <c r="AO115" s="453">
        <f ca="1">IF(AND($D115="Serviço",AO$12&lt;&gt;0,$H115&gt;0,OR(AUTOEVENTO&lt;&gt;"manual",$M115&lt;&gt;$A$15)),
        IF(Import.TipoArredondamento&lt;&gt;"TransfereGOV",
              ROUND(OFFSET($P115,0,AO$13),15-13*ORÇAMENTO!$AF$7)/$H115*OFFSET(ORÇAMENTO!$X$15,ROW(AO115)-ROW(AO$15),0),
              ROUND(ROUND(OFFSET($P115,0,AO$13),15-13*ORÇAMENTO!$AF$7)*OFFSET(ORÇAMENTO!$W$15,ROW(AO115)-ROW(AO$15),0),15-13*ORÇAMENTO!$AF$11)),
         0)</f>
        <v>0</v>
      </c>
      <c r="AP115" s="453">
        <f ca="1">IF(AND($D115="Serviço",AP$12&lt;&gt;0,$H115&gt;0,OR(AUTOEVENTO&lt;&gt;"manual",$M115&lt;&gt;$A$15)),
        IF(Import.TipoArredondamento&lt;&gt;"TransfereGOV",
              ROUND(OFFSET($P115,0,AP$13),15-13*ORÇAMENTO!$AF$7)/$H115*OFFSET(ORÇAMENTO!$X$15,ROW(AP115)-ROW(AP$15),0),
              ROUND(ROUND(OFFSET($P115,0,AP$13),15-13*ORÇAMENTO!$AF$7)*OFFSET(ORÇAMENTO!$W$15,ROW(AP115)-ROW(AP$15),0),15-13*ORÇAMENTO!$AF$11)),
         0)</f>
        <v>0</v>
      </c>
      <c r="AQ115" s="453">
        <f ca="1">IF(AND($D115="Serviço",AQ$12&lt;&gt;0,$H115&gt;0,OR(AUTOEVENTO&lt;&gt;"manual",$M115&lt;&gt;$A$15)),
        IF(Import.TipoArredondamento&lt;&gt;"TransfereGOV",
              ROUND(OFFSET($P115,0,AQ$13),15-13*ORÇAMENTO!$AF$7)/$H115*OFFSET(ORÇAMENTO!$X$15,ROW(AQ115)-ROW(AQ$15),0),
              ROUND(ROUND(OFFSET($P115,0,AQ$13),15-13*ORÇAMENTO!$AF$7)*OFFSET(ORÇAMENTO!$W$15,ROW(AQ115)-ROW(AQ$15),0),15-13*ORÇAMENTO!$AF$11)),
         0)</f>
        <v>0</v>
      </c>
      <c r="AR115" s="453">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3">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3">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3">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3">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3">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3">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3">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3">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3">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C115" s="171">
        <f ca="1">IF(OR($D115&lt;&gt;"Serviço",AND(AUTOEVENTO="Manual",$M115=$A$15)),0,
         IF(OFFSET(CRONOPLE!$F$15,$M115-$A$15,BC$13)=0,10^12,OFFSET(CRONOPLE!$F$15,$M115-$A$15,BC$13)))</f>
        <v>1</v>
      </c>
      <c r="BD115" s="171">
        <f ca="1">IF(OR($D115&lt;&gt;"Serviço",AND(AUTOEVENTO="Manual",$M115=$A$15)),0,
         IF(OFFSET(CRONOPLE!$F$15,$M115-$A$15,BD$13)=0,10^12,OFFSET(CRONOPLE!$F$15,$M115-$A$15,BD$13)))</f>
        <v>2</v>
      </c>
      <c r="BE115" s="171">
        <f ca="1">IF(OR($D115&lt;&gt;"Serviço",AND(AUTOEVENTO="Manual",$M115=$A$15)),0,
         IF(OFFSET(CRONOPLE!$F$15,$M115-$A$15,BE$13)=0,10^12,OFFSET(CRONOPLE!$F$15,$M115-$A$15,BE$13)))</f>
        <v>3</v>
      </c>
      <c r="BF115" s="171">
        <f ca="1">IF(OR($D115&lt;&gt;"Serviço",AND(AUTOEVENTO="Manual",$M115=$A$15)),0,
         IF(OFFSET(CRONOPLE!$F$15,$M115-$A$15,BF$13)=0,10^12,OFFSET(CRONOPLE!$F$15,$M115-$A$15,BF$13)))</f>
        <v>4</v>
      </c>
      <c r="BG115" s="171">
        <f ca="1">IF(OR($D115&lt;&gt;"Serviço",AND(AUTOEVENTO="Manual",$M115=$A$15)),0,
         IF(OFFSET(CRONOPLE!$F$15,$M115-$A$15,BG$13)=0,10^12,OFFSET(CRONOPLE!$F$15,$M115-$A$15,BG$13)))</f>
        <v>5</v>
      </c>
      <c r="BH115" s="171">
        <f ca="1">IF(OR($D115&lt;&gt;"Serviço",AND(AUTOEVENTO="Manual",$M115=$A$15)),0,
         IF(OFFSET(CRONOPLE!$F$15,$M115-$A$15,BH$13)=0,10^12,OFFSET(CRONOPLE!$F$15,$M115-$A$15,BH$13)))</f>
        <v>6</v>
      </c>
      <c r="BI115" s="171">
        <f ca="1">IF(OR($D115&lt;&gt;"Serviço",AND(AUTOEVENTO="Manual",$M115=$A$15)),0,
         IF(OFFSET(CRONOPLE!$F$15,$M115-$A$15,BI$13)=0,10^12,OFFSET(CRONOPLE!$F$15,$M115-$A$15,BI$13)))</f>
        <v>7</v>
      </c>
      <c r="BJ115" s="171">
        <f ca="1">IF(OR($D115&lt;&gt;"Serviço",AND(AUTOEVENTO="Manual",$M115=$A$15)),0,
         IF(OFFSET(CRONOPLE!$F$15,$M115-$A$15,BJ$13)=0,10^12,OFFSET(CRONOPLE!$F$15,$M115-$A$15,BJ$13)))</f>
        <v>8</v>
      </c>
      <c r="BK115" s="171">
        <f ca="1">IF(OR($D115&lt;&gt;"Serviço",AND(AUTOEVENTO="Manual",$M115=$A$15)),0,
         IF(OFFSET(CRONOPLE!$F$15,$M115-$A$15,BK$13)=0,10^12,OFFSET(CRONOPLE!$F$15,$M115-$A$15,BK$13)))</f>
        <v>9</v>
      </c>
      <c r="BL115" s="171">
        <f ca="1">IF(OR($D115&lt;&gt;"Serviço",AND(AUTOEVENTO="Manual",$M115=$A$15)),0,
         IF(OFFSET(CRONOPLE!$F$15,$M115-$A$15,BL$13)=0,10^12,OFFSET(CRONOPLE!$F$15,$M115-$A$15,BL$13)))</f>
        <v>10</v>
      </c>
      <c r="BM115" s="171">
        <f ca="1">IF(OR($D115&lt;&gt;"Serviço",AND(AUTOEVENTO="Manual",$M115=$A$15)),0,
         IF(OFFSET(CRONOPLE!$F$15,$M115-$A$15,BM$13)=0,10^12,OFFSET(CRONOPLE!$F$15,$M115-$A$15,BM$13)))</f>
        <v>1000000000000</v>
      </c>
      <c r="BN115" s="171">
        <f ca="1">IF(OR($D115&lt;&gt;"Serviço",AND(AUTOEVENTO="Manual",$M115=$A$15)),0,
         IF(OFFSET(CRONOPLE!$F$15,$M115-$A$15,BN$13)=0,10^12,OFFSET(CRONOPLE!$F$15,$M115-$A$15,BN$13)))</f>
        <v>1000000000000</v>
      </c>
      <c r="BO115" s="171">
        <f ca="1">IF(OR($D115&lt;&gt;"Serviço",AND(AUTOEVENTO="Manual",$M115=$A$15)),0,
         IF(OFFSET(CRONOPLE!$F$15,$M115-$A$15,BO$13)=0,10^12,OFFSET(CRONOPLE!$F$15,$M115-$A$15,BO$13)))</f>
        <v>1000000000000</v>
      </c>
      <c r="BP115" s="171">
        <f ca="1">IF(OR($D115&lt;&gt;"Serviço",AND(AUTOEVENTO="Manual",$M115=$A$15)),0,
         IF(OFFSET(CRONOPLE!$F$15,$M115-$A$15,BP$13)=0,10^12,OFFSET(CRONOPLE!$F$15,$M115-$A$15,BP$13)))</f>
        <v>1000000000000</v>
      </c>
      <c r="BQ115" s="171">
        <f ca="1">IF(OR($D115&lt;&gt;"Serviço",AND(AUTOEVENTO="Manual",$M115=$A$15)),0,
         IF(OFFSET(CRONOPLE!$F$15,$M115-$A$15,BQ$13)=0,10^12,OFFSET(CRONOPLE!$F$15,$M115-$A$15,BQ$13)))</f>
        <v>1000000000000</v>
      </c>
      <c r="BR115" s="171">
        <f ca="1">IF(OR($D115&lt;&gt;"Serviço",AND(AUTOEVENTO="Manual",$M115=$A$15)),0,
         IF(OFFSET(CRONOPLE!$F$15,$M115-$A$15,BR$13)=0,10^12,OFFSET(CRONOPLE!$F$15,$M115-$A$15,BR$13)))</f>
        <v>1000000000000</v>
      </c>
      <c r="BS115" s="171">
        <f ca="1">IF(OR($D115&lt;&gt;"Serviço",AND(AUTOEVENTO="Manual",$M115=$A$15)),0,
         IF(OFFSET(CRONOPLE!$F$15,$M115-$A$15,BS$13)=0,10^12,OFFSET(CRONOPLE!$F$15,$M115-$A$15,BS$13)))</f>
        <v>1000000000000</v>
      </c>
      <c r="BT115" s="171">
        <f ca="1">IF(OR($D115&lt;&gt;"Serviço",AND(AUTOEVENTO="Manual",$M115=$A$15)),0,
         IF(OFFSET(CRONOPLE!$F$15,$M115-$A$15,BT$13)=0,10^12,OFFSET(CRONOPLE!$F$15,$M115-$A$15,BT$13)))</f>
        <v>1000000000000</v>
      </c>
      <c r="BV115" s="172">
        <f ca="1">IF(OR($D115&lt;&gt;"Serviço",AND(AUTOEVENTO="Manual",$M115=$A$15),$M115&gt;(ROW(PLE.lastrow)-ROW(PLE.firstrow))),0,
           IF(OFFSET(PLE!$G$15,$M115-$A$15,BV$13)="",10^12,OFFSET(PLE!$G$15,$M115-$A$15,BV$13)))</f>
        <v>1000000000000</v>
      </c>
      <c r="BW115" s="172">
        <f ca="1">IF(OR($D115&lt;&gt;"Serviço",AND(AUTOEVENTO="Manual",$M115=$A$15),$M115&gt;(ROW(PLE.lastrow)-ROW(PLE.firstrow))),0,
           IF(OFFSET(PLE!$G$15,$M115-$A$15,BW$13)="",10^12,OFFSET(PLE!$G$15,$M115-$A$15,BW$13)))</f>
        <v>1000000000000</v>
      </c>
      <c r="BX115" s="172">
        <f ca="1">IF(OR($D115&lt;&gt;"Serviço",AND(AUTOEVENTO="Manual",$M115=$A$15),$M115&gt;(ROW(PLE.lastrow)-ROW(PLE.firstrow))),0,
           IF(OFFSET(PLE!$G$15,$M115-$A$15,BX$13)="",10^12,OFFSET(PLE!$G$15,$M115-$A$15,BX$13)))</f>
        <v>1000000000000</v>
      </c>
      <c r="BY115" s="172">
        <f ca="1">IF(OR($D115&lt;&gt;"Serviço",AND(AUTOEVENTO="Manual",$M115=$A$15),$M115&gt;(ROW(PLE.lastrow)-ROW(PLE.firstrow))),0,
           IF(OFFSET(PLE!$G$15,$M115-$A$15,BY$13)="",10^12,OFFSET(PLE!$G$15,$M115-$A$15,BY$13)))</f>
        <v>1000000000000</v>
      </c>
      <c r="BZ115" s="172">
        <f ca="1">IF(OR($D115&lt;&gt;"Serviço",AND(AUTOEVENTO="Manual",$M115=$A$15),$M115&gt;(ROW(PLE.lastrow)-ROW(PLE.firstrow))),0,
           IF(OFFSET(PLE!$G$15,$M115-$A$15,BZ$13)="",10^12,OFFSET(PLE!$G$15,$M115-$A$15,BZ$13)))</f>
        <v>1000000000000</v>
      </c>
      <c r="CA115" s="172">
        <f ca="1">IF(OR($D115&lt;&gt;"Serviço",AND(AUTOEVENTO="Manual",$M115=$A$15),$M115&gt;(ROW(PLE.lastrow)-ROW(PLE.firstrow))),0,
           IF(OFFSET(PLE!$G$15,$M115-$A$15,CA$13)="",10^12,OFFSET(PLE!$G$15,$M115-$A$15,CA$13)))</f>
        <v>1000000000000</v>
      </c>
      <c r="CB115" s="172">
        <f ca="1">IF(OR($D115&lt;&gt;"Serviço",AND(AUTOEVENTO="Manual",$M115=$A$15),$M115&gt;(ROW(PLE.lastrow)-ROW(PLE.firstrow))),0,
           IF(OFFSET(PLE!$G$15,$M115-$A$15,CB$13)="",10^12,OFFSET(PLE!$G$15,$M115-$A$15,CB$13)))</f>
        <v>1000000000000</v>
      </c>
      <c r="CC115" s="172">
        <f ca="1">IF(OR($D115&lt;&gt;"Serviço",AND(AUTOEVENTO="Manual",$M115=$A$15),$M115&gt;(ROW(PLE.lastrow)-ROW(PLE.firstrow))),0,
           IF(OFFSET(PLE!$G$15,$M115-$A$15,CC$13)="",10^12,OFFSET(PLE!$G$15,$M115-$A$15,CC$13)))</f>
        <v>1000000000000</v>
      </c>
      <c r="CD115" s="172">
        <f ca="1">IF(OR($D115&lt;&gt;"Serviço",AND(AUTOEVENTO="Manual",$M115=$A$15),$M115&gt;(ROW(PLE.lastrow)-ROW(PLE.firstrow))),0,
           IF(OFFSET(PLE!$G$15,$M115-$A$15,CD$13)="",10^12,OFFSET(PLE!$G$15,$M115-$A$15,CD$13)))</f>
        <v>1000000000000</v>
      </c>
      <c r="CE115" s="172">
        <f ca="1">IF(OR($D115&lt;&gt;"Serviço",AND(AUTOEVENTO="Manual",$M115=$A$15),$M115&gt;(ROW(PLE.lastrow)-ROW(PLE.firstrow))),0,
           IF(OFFSET(PLE!$G$15,$M115-$A$15,CE$13)="",10^12,OFFSET(PLE!$G$15,$M115-$A$15,CE$13)))</f>
        <v>1000000000000</v>
      </c>
      <c r="CF115" s="172">
        <f ca="1">IF(OR($D115&lt;&gt;"Serviço",AND(AUTOEVENTO="Manual",$M115=$A$15),$M115&gt;(ROW(PLE.lastrow)-ROW(PLE.firstrow))),0,
           IF(OFFSET(PLE!$G$15,$M115-$A$15,CF$13)="",10^12,OFFSET(PLE!$G$15,$M115-$A$15,CF$13)))</f>
        <v>1000000000000</v>
      </c>
      <c r="CG115" s="172">
        <f ca="1">IF(OR($D115&lt;&gt;"Serviço",AND(AUTOEVENTO="Manual",$M115=$A$15),$M115&gt;(ROW(PLE.lastrow)-ROW(PLE.firstrow))),0,
           IF(OFFSET(PLE!$G$15,$M115-$A$15,CG$13)="",10^12,OFFSET(PLE!$G$15,$M115-$A$15,CG$13)))</f>
        <v>1000000000000</v>
      </c>
      <c r="CH115" s="172">
        <f ca="1">IF(OR($D115&lt;&gt;"Serviço",AND(AUTOEVENTO="Manual",$M115=$A$15),$M115&gt;(ROW(PLE.lastrow)-ROW(PLE.firstrow))),0,
           IF(OFFSET(PLE!$G$15,$M115-$A$15,CH$13)="",10^12,OFFSET(PLE!$G$15,$M115-$A$15,CH$13)))</f>
        <v>1000000000000</v>
      </c>
      <c r="CI115" s="172">
        <f ca="1">IF(OR($D115&lt;&gt;"Serviço",AND(AUTOEVENTO="Manual",$M115=$A$15),$M115&gt;(ROW(PLE.lastrow)-ROW(PLE.firstrow))),0,
           IF(OFFSET(PLE!$G$15,$M115-$A$15,CI$13)="",10^12,OFFSET(PLE!$G$15,$M115-$A$15,CI$13)))</f>
        <v>1000000000000</v>
      </c>
      <c r="CJ115" s="172">
        <f ca="1">IF(OR($D115&lt;&gt;"Serviço",AND(AUTOEVENTO="Manual",$M115=$A$15),$M115&gt;(ROW(PLE.lastrow)-ROW(PLE.firstrow))),0,
           IF(OFFSET(PLE!$G$15,$M115-$A$15,CJ$13)="",10^12,OFFSET(PLE!$G$15,$M115-$A$15,CJ$13)))</f>
        <v>1000000000000</v>
      </c>
      <c r="CK115" s="172">
        <f ca="1">IF(OR($D115&lt;&gt;"Serviço",AND(AUTOEVENTO="Manual",$M115=$A$15),$M115&gt;(ROW(PLE.lastrow)-ROW(PLE.firstrow))),0,
           IF(OFFSET(PLE!$G$15,$M115-$A$15,CK$13)="",10^12,OFFSET(PLE!$G$15,$M115-$A$15,CK$13)))</f>
        <v>1000000000000</v>
      </c>
      <c r="CL115" s="172">
        <f ca="1">IF(OR($D115&lt;&gt;"Serviço",AND(AUTOEVENTO="Manual",$M115=$A$15),$M115&gt;(ROW(PLE.lastrow)-ROW(PLE.firstrow))),0,
           IF(OFFSET(PLE!$G$15,$M115-$A$15,CL$13)="",10^12,OFFSET(PLE!$G$15,$M115-$A$15,CL$13)))</f>
        <v>1000000000000</v>
      </c>
      <c r="CM115" s="172">
        <f ca="1">IF(OR($D115&lt;&gt;"Serviço",AND(AUTOEVENTO="Manual",$M115=$A$15),$M115&gt;(ROW(PLE.lastrow)-ROW(PLE.firstrow))),0,
           IF(OFFSET(PLE!$G$15,$M115-$A$15,CM$13)="",10^12,OFFSET(PLE!$G$15,$M115-$A$15,CM$13)))</f>
        <v>1000000000000</v>
      </c>
    </row>
    <row r="116" spans="1:91" ht="25.5" x14ac:dyDescent="0.2">
      <c r="A116" s="7">
        <f t="shared" ca="1" si="11"/>
        <v>4</v>
      </c>
      <c r="B116" s="7" t="str">
        <f ca="1">OFFSET(ORÇAMENTO!C$15,ROW(B116)-ROW(B$15),0)</f>
        <v>S</v>
      </c>
      <c r="C116" s="7" t="str">
        <f ca="1">OFFSET(ORÇAMENTO!L$15,ROW(C116)-ROW(C$15),0)</f>
        <v>F</v>
      </c>
      <c r="D116" s="116" t="str">
        <f ca="1">OFFSET(ORÇAMENTO!N$15,ROW(D116)-ROW(D$15),0)</f>
        <v>Serviço</v>
      </c>
      <c r="E116" s="117" t="str">
        <f ca="1">OFFSET(ORÇAMENTO!O$15,ROW(E116)-ROW(E$15),0)</f>
        <v>1.5.2.1.10.</v>
      </c>
      <c r="F116" s="163" t="str">
        <f ca="1">OFFSET(ORÇAMENTO!R$15,ROW(F116)-ROW(F$15),0)</f>
        <v>ARRASAMENTO MECANICO DE ESTACA DE CONCRETO ARMADO, DIAMETROS DE 41 CM A 60 CM. AF_05/2021</v>
      </c>
      <c r="G116" s="164" t="str">
        <f ca="1">IF($D116&lt;&gt;"Serviço","",OFFSET(ORÇAMENTO!S$15,ROW(G116)-ROW(G$15),0))</f>
        <v>UN</v>
      </c>
      <c r="H116" s="122" cm="1">
        <f t="array" aca="1" ref="H116" ca="1">IF($D116&lt;&gt;"Serviço",0,IF(ACOMPANHAMENTO="BM",ROUND(OFFSET(ORÇAMENTO!AJ$15,ROW(H116)-ROW(H$15),0),15-13*ORÇAMENTO!$AF$7),SUMPRODUCT(($Q$1:$AI$1=1)*ROUND($Q116:$AI116,15-13*ORÇAMENTO!$AF$7))))</f>
        <v>40</v>
      </c>
      <c r="I116" s="468" t="s">
        <v>1321</v>
      </c>
      <c r="J116" s="640" t="str" cm="1">
        <f t="array" aca="1" ref="J116" ca="1">IF(OR(B116&lt;&gt;"S",CÁLCULO.FrentesPreenchidas=0),"",IF(AND(ACOMPANHAMENTO="PLE",AUTOEVENTO="Manual",OR(H116&gt;0,ORÇAMENTO!AC116="QUANT."),OR(K116="",M116=0,N116="")),"►E",IF(AND(ACOMPANHAMENTO="PLE",ORÇAMENTO!AC116="QUANT."),"►Q",IF(AND(ACOMPANHAMENTO="PLE",H116&lt;&gt;SUMPRODUCT(($Q$1:$AI$1=1)*ROUND(Q116:AI116,15))),"►S",IF(AND(COUNTIF($P$11:$AI$11,"▼")=0,H116&gt;0,I116=""),"◄M","")))))</f>
        <v/>
      </c>
      <c r="K116" s="641" t="s">
        <v>1389</v>
      </c>
      <c r="L116" s="165" t="s">
        <v>764</v>
      </c>
      <c r="M116" s="166">
        <f ca="1">IF($D116&lt;&gt;"Serviço","",
          IF(AUTOEVENTO="manual",$A116,
                IF(ISERROR(MATCH($A116,$A$15:OFFSET($A116,-1,0),0)),MAX($M$15:OFFSET(M116,-1,0))+1,
                      INDEX($M$15:OFFSET(M116,-1,0),MATCH($A116,$A$15:OFFSET($A116,-1,0),0)))))</f>
        <v>4</v>
      </c>
      <c r="N116" s="167" t="str">
        <f ca="1">IF($D116&lt;&gt;"Serviço","",
         IF(AUTOEVENTO="Manual",
                IF($A116=0,"&lt;-- defina o número do agrupador",
                       OFFSET(EVENTOS!$D$15,$A116-$A$15,0)),
                OFFSET($F$15,$A116,0)))</f>
        <v>Estruturas de Concreto</v>
      </c>
      <c r="O116" s="168"/>
      <c r="Q116" s="168"/>
      <c r="R116" s="169"/>
      <c r="S116" s="169"/>
      <c r="T116" s="169">
        <f>16+24</f>
        <v>40</v>
      </c>
      <c r="U116" s="169"/>
      <c r="V116" s="169"/>
      <c r="W116" s="169"/>
      <c r="X116" s="169"/>
      <c r="Y116" s="169"/>
      <c r="Z116" s="170"/>
      <c r="AA116" s="169"/>
      <c r="AB116" s="169"/>
      <c r="AC116" s="169"/>
      <c r="AD116" s="169"/>
      <c r="AE116" s="169"/>
      <c r="AF116" s="169"/>
      <c r="AG116" s="169"/>
      <c r="AH116" s="170"/>
      <c r="AJ116" s="453">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0</v>
      </c>
      <c r="AK116" s="453">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0</v>
      </c>
      <c r="AL116" s="453">
        <f ca="1">IF(AND($D116="Serviço",AL$12&lt;&gt;0,$H116&gt;0,OR(AUTOEVENTO&lt;&gt;"manual",$M116&lt;&gt;$A$15)),
        IF(Import.TipoArredondamento&lt;&gt;"TransfereGOV",
              ROUND(OFFSET($P116,0,AL$13),15-13*ORÇAMENTO!$AF$7)/$H116*OFFSET(ORÇAMENTO!$X$15,ROW(AL116)-ROW(AL$15),0),
              ROUND(ROUND(OFFSET($P116,0,AL$13),15-13*ORÇAMENTO!$AF$7)*OFFSET(ORÇAMENTO!$W$15,ROW(AL116)-ROW(AL$15),0),15-13*ORÇAMENTO!$AF$11)),
         0)</f>
        <v>0</v>
      </c>
      <c r="AM116" s="453">
        <f ca="1">IF(AND($D116="Serviço",AM$12&lt;&gt;0,$H116&gt;0,OR(AUTOEVENTO&lt;&gt;"manual",$M116&lt;&gt;$A$15)),
        IF(Import.TipoArredondamento&lt;&gt;"TransfereGOV",
              ROUND(OFFSET($P116,0,AM$13),15-13*ORÇAMENTO!$AF$7)/$H116*OFFSET(ORÇAMENTO!$X$15,ROW(AM116)-ROW(AM$15),0),
              ROUND(ROUND(OFFSET($P116,0,AM$13),15-13*ORÇAMENTO!$AF$7)*OFFSET(ORÇAMENTO!$W$15,ROW(AM116)-ROW(AM$15),0),15-13*ORÇAMENTO!$AF$11)),
         0)</f>
        <v>0</v>
      </c>
      <c r="AN116" s="453">
        <f ca="1">IF(AND($D116="Serviço",AN$12&lt;&gt;0,$H116&gt;0,OR(AUTOEVENTO&lt;&gt;"manual",$M116&lt;&gt;$A$15)),
        IF(Import.TipoArredondamento&lt;&gt;"TransfereGOV",
              ROUND(OFFSET($P116,0,AN$13),15-13*ORÇAMENTO!$AF$7)/$H116*OFFSET(ORÇAMENTO!$X$15,ROW(AN116)-ROW(AN$15),0),
              ROUND(ROUND(OFFSET($P116,0,AN$13),15-13*ORÇAMENTO!$AF$7)*OFFSET(ORÇAMENTO!$W$15,ROW(AN116)-ROW(AN$15),0),15-13*ORÇAMENTO!$AF$11)),
         0)</f>
        <v>0</v>
      </c>
      <c r="AO116" s="453">
        <f ca="1">IF(AND($D116="Serviço",AO$12&lt;&gt;0,$H116&gt;0,OR(AUTOEVENTO&lt;&gt;"manual",$M116&lt;&gt;$A$15)),
        IF(Import.TipoArredondamento&lt;&gt;"TransfereGOV",
              ROUND(OFFSET($P116,0,AO$13),15-13*ORÇAMENTO!$AF$7)/$H116*OFFSET(ORÇAMENTO!$X$15,ROW(AO116)-ROW(AO$15),0),
              ROUND(ROUND(OFFSET($P116,0,AO$13),15-13*ORÇAMENTO!$AF$7)*OFFSET(ORÇAMENTO!$W$15,ROW(AO116)-ROW(AO$15),0),15-13*ORÇAMENTO!$AF$11)),
         0)</f>
        <v>0</v>
      </c>
      <c r="AP116" s="453">
        <f ca="1">IF(AND($D116="Serviço",AP$12&lt;&gt;0,$H116&gt;0,OR(AUTOEVENTO&lt;&gt;"manual",$M116&lt;&gt;$A$15)),
        IF(Import.TipoArredondamento&lt;&gt;"TransfereGOV",
              ROUND(OFFSET($P116,0,AP$13),15-13*ORÇAMENTO!$AF$7)/$H116*OFFSET(ORÇAMENTO!$X$15,ROW(AP116)-ROW(AP$15),0),
              ROUND(ROUND(OFFSET($P116,0,AP$13),15-13*ORÇAMENTO!$AF$7)*OFFSET(ORÇAMENTO!$W$15,ROW(AP116)-ROW(AP$15),0),15-13*ORÇAMENTO!$AF$11)),
         0)</f>
        <v>0</v>
      </c>
      <c r="AQ116" s="453">
        <f ca="1">IF(AND($D116="Serviço",AQ$12&lt;&gt;0,$H116&gt;0,OR(AUTOEVENTO&lt;&gt;"manual",$M116&lt;&gt;$A$15)),
        IF(Import.TipoArredondamento&lt;&gt;"TransfereGOV",
              ROUND(OFFSET($P116,0,AQ$13),15-13*ORÇAMENTO!$AF$7)/$H116*OFFSET(ORÇAMENTO!$X$15,ROW(AQ116)-ROW(AQ$15),0),
              ROUND(ROUND(OFFSET($P116,0,AQ$13),15-13*ORÇAMENTO!$AF$7)*OFFSET(ORÇAMENTO!$W$15,ROW(AQ116)-ROW(AQ$15),0),15-13*ORÇAMENTO!$AF$11)),
         0)</f>
        <v>0</v>
      </c>
      <c r="AR116" s="453">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3">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3">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3">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3">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3">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3">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3">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3">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3">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C116" s="171">
        <f ca="1">IF(OR($D116&lt;&gt;"Serviço",AND(AUTOEVENTO="Manual",$M116=$A$15)),0,
         IF(OFFSET(CRONOPLE!$F$15,$M116-$A$15,BC$13)=0,10^12,OFFSET(CRONOPLE!$F$15,$M116-$A$15,BC$13)))</f>
        <v>1</v>
      </c>
      <c r="BD116" s="171">
        <f ca="1">IF(OR($D116&lt;&gt;"Serviço",AND(AUTOEVENTO="Manual",$M116=$A$15)),0,
         IF(OFFSET(CRONOPLE!$F$15,$M116-$A$15,BD$13)=0,10^12,OFFSET(CRONOPLE!$F$15,$M116-$A$15,BD$13)))</f>
        <v>2</v>
      </c>
      <c r="BE116" s="171">
        <f ca="1">IF(OR($D116&lt;&gt;"Serviço",AND(AUTOEVENTO="Manual",$M116=$A$15)),0,
         IF(OFFSET(CRONOPLE!$F$15,$M116-$A$15,BE$13)=0,10^12,OFFSET(CRONOPLE!$F$15,$M116-$A$15,BE$13)))</f>
        <v>3</v>
      </c>
      <c r="BF116" s="171">
        <f ca="1">IF(OR($D116&lt;&gt;"Serviço",AND(AUTOEVENTO="Manual",$M116=$A$15)),0,
         IF(OFFSET(CRONOPLE!$F$15,$M116-$A$15,BF$13)=0,10^12,OFFSET(CRONOPLE!$F$15,$M116-$A$15,BF$13)))</f>
        <v>4</v>
      </c>
      <c r="BG116" s="171">
        <f ca="1">IF(OR($D116&lt;&gt;"Serviço",AND(AUTOEVENTO="Manual",$M116=$A$15)),0,
         IF(OFFSET(CRONOPLE!$F$15,$M116-$A$15,BG$13)=0,10^12,OFFSET(CRONOPLE!$F$15,$M116-$A$15,BG$13)))</f>
        <v>5</v>
      </c>
      <c r="BH116" s="171">
        <f ca="1">IF(OR($D116&lt;&gt;"Serviço",AND(AUTOEVENTO="Manual",$M116=$A$15)),0,
         IF(OFFSET(CRONOPLE!$F$15,$M116-$A$15,BH$13)=0,10^12,OFFSET(CRONOPLE!$F$15,$M116-$A$15,BH$13)))</f>
        <v>6</v>
      </c>
      <c r="BI116" s="171">
        <f ca="1">IF(OR($D116&lt;&gt;"Serviço",AND(AUTOEVENTO="Manual",$M116=$A$15)),0,
         IF(OFFSET(CRONOPLE!$F$15,$M116-$A$15,BI$13)=0,10^12,OFFSET(CRONOPLE!$F$15,$M116-$A$15,BI$13)))</f>
        <v>7</v>
      </c>
      <c r="BJ116" s="171">
        <f ca="1">IF(OR($D116&lt;&gt;"Serviço",AND(AUTOEVENTO="Manual",$M116=$A$15)),0,
         IF(OFFSET(CRONOPLE!$F$15,$M116-$A$15,BJ$13)=0,10^12,OFFSET(CRONOPLE!$F$15,$M116-$A$15,BJ$13)))</f>
        <v>8</v>
      </c>
      <c r="BK116" s="171">
        <f ca="1">IF(OR($D116&lt;&gt;"Serviço",AND(AUTOEVENTO="Manual",$M116=$A$15)),0,
         IF(OFFSET(CRONOPLE!$F$15,$M116-$A$15,BK$13)=0,10^12,OFFSET(CRONOPLE!$F$15,$M116-$A$15,BK$13)))</f>
        <v>9</v>
      </c>
      <c r="BL116" s="171">
        <f ca="1">IF(OR($D116&lt;&gt;"Serviço",AND(AUTOEVENTO="Manual",$M116=$A$15)),0,
         IF(OFFSET(CRONOPLE!$F$15,$M116-$A$15,BL$13)=0,10^12,OFFSET(CRONOPLE!$F$15,$M116-$A$15,BL$13)))</f>
        <v>10</v>
      </c>
      <c r="BM116" s="171">
        <f ca="1">IF(OR($D116&lt;&gt;"Serviço",AND(AUTOEVENTO="Manual",$M116=$A$15)),0,
         IF(OFFSET(CRONOPLE!$F$15,$M116-$A$15,BM$13)=0,10^12,OFFSET(CRONOPLE!$F$15,$M116-$A$15,BM$13)))</f>
        <v>1000000000000</v>
      </c>
      <c r="BN116" s="171">
        <f ca="1">IF(OR($D116&lt;&gt;"Serviço",AND(AUTOEVENTO="Manual",$M116=$A$15)),0,
         IF(OFFSET(CRONOPLE!$F$15,$M116-$A$15,BN$13)=0,10^12,OFFSET(CRONOPLE!$F$15,$M116-$A$15,BN$13)))</f>
        <v>1000000000000</v>
      </c>
      <c r="BO116" s="171">
        <f ca="1">IF(OR($D116&lt;&gt;"Serviço",AND(AUTOEVENTO="Manual",$M116=$A$15)),0,
         IF(OFFSET(CRONOPLE!$F$15,$M116-$A$15,BO$13)=0,10^12,OFFSET(CRONOPLE!$F$15,$M116-$A$15,BO$13)))</f>
        <v>1000000000000</v>
      </c>
      <c r="BP116" s="171">
        <f ca="1">IF(OR($D116&lt;&gt;"Serviço",AND(AUTOEVENTO="Manual",$M116=$A$15)),0,
         IF(OFFSET(CRONOPLE!$F$15,$M116-$A$15,BP$13)=0,10^12,OFFSET(CRONOPLE!$F$15,$M116-$A$15,BP$13)))</f>
        <v>1000000000000</v>
      </c>
      <c r="BQ116" s="171">
        <f ca="1">IF(OR($D116&lt;&gt;"Serviço",AND(AUTOEVENTO="Manual",$M116=$A$15)),0,
         IF(OFFSET(CRONOPLE!$F$15,$M116-$A$15,BQ$13)=0,10^12,OFFSET(CRONOPLE!$F$15,$M116-$A$15,BQ$13)))</f>
        <v>1000000000000</v>
      </c>
      <c r="BR116" s="171">
        <f ca="1">IF(OR($D116&lt;&gt;"Serviço",AND(AUTOEVENTO="Manual",$M116=$A$15)),0,
         IF(OFFSET(CRONOPLE!$F$15,$M116-$A$15,BR$13)=0,10^12,OFFSET(CRONOPLE!$F$15,$M116-$A$15,BR$13)))</f>
        <v>1000000000000</v>
      </c>
      <c r="BS116" s="171">
        <f ca="1">IF(OR($D116&lt;&gt;"Serviço",AND(AUTOEVENTO="Manual",$M116=$A$15)),0,
         IF(OFFSET(CRONOPLE!$F$15,$M116-$A$15,BS$13)=0,10^12,OFFSET(CRONOPLE!$F$15,$M116-$A$15,BS$13)))</f>
        <v>1000000000000</v>
      </c>
      <c r="BT116" s="171">
        <f ca="1">IF(OR($D116&lt;&gt;"Serviço",AND(AUTOEVENTO="Manual",$M116=$A$15)),0,
         IF(OFFSET(CRONOPLE!$F$15,$M116-$A$15,BT$13)=0,10^12,OFFSET(CRONOPLE!$F$15,$M116-$A$15,BT$13)))</f>
        <v>1000000000000</v>
      </c>
      <c r="BV116" s="172">
        <f ca="1">IF(OR($D116&lt;&gt;"Serviço",AND(AUTOEVENTO="Manual",$M116=$A$15),$M116&gt;(ROW(PLE.lastrow)-ROW(PLE.firstrow))),0,
           IF(OFFSET(PLE!$G$15,$M116-$A$15,BV$13)="",10^12,OFFSET(PLE!$G$15,$M116-$A$15,BV$13)))</f>
        <v>1000000000000</v>
      </c>
      <c r="BW116" s="172">
        <f ca="1">IF(OR($D116&lt;&gt;"Serviço",AND(AUTOEVENTO="Manual",$M116=$A$15),$M116&gt;(ROW(PLE.lastrow)-ROW(PLE.firstrow))),0,
           IF(OFFSET(PLE!$G$15,$M116-$A$15,BW$13)="",10^12,OFFSET(PLE!$G$15,$M116-$A$15,BW$13)))</f>
        <v>1000000000000</v>
      </c>
      <c r="BX116" s="172">
        <f ca="1">IF(OR($D116&lt;&gt;"Serviço",AND(AUTOEVENTO="Manual",$M116=$A$15),$M116&gt;(ROW(PLE.lastrow)-ROW(PLE.firstrow))),0,
           IF(OFFSET(PLE!$G$15,$M116-$A$15,BX$13)="",10^12,OFFSET(PLE!$G$15,$M116-$A$15,BX$13)))</f>
        <v>1000000000000</v>
      </c>
      <c r="BY116" s="172">
        <f ca="1">IF(OR($D116&lt;&gt;"Serviço",AND(AUTOEVENTO="Manual",$M116=$A$15),$M116&gt;(ROW(PLE.lastrow)-ROW(PLE.firstrow))),0,
           IF(OFFSET(PLE!$G$15,$M116-$A$15,BY$13)="",10^12,OFFSET(PLE!$G$15,$M116-$A$15,BY$13)))</f>
        <v>1000000000000</v>
      </c>
      <c r="BZ116" s="172">
        <f ca="1">IF(OR($D116&lt;&gt;"Serviço",AND(AUTOEVENTO="Manual",$M116=$A$15),$M116&gt;(ROW(PLE.lastrow)-ROW(PLE.firstrow))),0,
           IF(OFFSET(PLE!$G$15,$M116-$A$15,BZ$13)="",10^12,OFFSET(PLE!$G$15,$M116-$A$15,BZ$13)))</f>
        <v>1000000000000</v>
      </c>
      <c r="CA116" s="172">
        <f ca="1">IF(OR($D116&lt;&gt;"Serviço",AND(AUTOEVENTO="Manual",$M116=$A$15),$M116&gt;(ROW(PLE.lastrow)-ROW(PLE.firstrow))),0,
           IF(OFFSET(PLE!$G$15,$M116-$A$15,CA$13)="",10^12,OFFSET(PLE!$G$15,$M116-$A$15,CA$13)))</f>
        <v>1000000000000</v>
      </c>
      <c r="CB116" s="172">
        <f ca="1">IF(OR($D116&lt;&gt;"Serviço",AND(AUTOEVENTO="Manual",$M116=$A$15),$M116&gt;(ROW(PLE.lastrow)-ROW(PLE.firstrow))),0,
           IF(OFFSET(PLE!$G$15,$M116-$A$15,CB$13)="",10^12,OFFSET(PLE!$G$15,$M116-$A$15,CB$13)))</f>
        <v>1000000000000</v>
      </c>
      <c r="CC116" s="172">
        <f ca="1">IF(OR($D116&lt;&gt;"Serviço",AND(AUTOEVENTO="Manual",$M116=$A$15),$M116&gt;(ROW(PLE.lastrow)-ROW(PLE.firstrow))),0,
           IF(OFFSET(PLE!$G$15,$M116-$A$15,CC$13)="",10^12,OFFSET(PLE!$G$15,$M116-$A$15,CC$13)))</f>
        <v>1000000000000</v>
      </c>
      <c r="CD116" s="172">
        <f ca="1">IF(OR($D116&lt;&gt;"Serviço",AND(AUTOEVENTO="Manual",$M116=$A$15),$M116&gt;(ROW(PLE.lastrow)-ROW(PLE.firstrow))),0,
           IF(OFFSET(PLE!$G$15,$M116-$A$15,CD$13)="",10^12,OFFSET(PLE!$G$15,$M116-$A$15,CD$13)))</f>
        <v>1000000000000</v>
      </c>
      <c r="CE116" s="172">
        <f ca="1">IF(OR($D116&lt;&gt;"Serviço",AND(AUTOEVENTO="Manual",$M116=$A$15),$M116&gt;(ROW(PLE.lastrow)-ROW(PLE.firstrow))),0,
           IF(OFFSET(PLE!$G$15,$M116-$A$15,CE$13)="",10^12,OFFSET(PLE!$G$15,$M116-$A$15,CE$13)))</f>
        <v>1000000000000</v>
      </c>
      <c r="CF116" s="172">
        <f ca="1">IF(OR($D116&lt;&gt;"Serviço",AND(AUTOEVENTO="Manual",$M116=$A$15),$M116&gt;(ROW(PLE.lastrow)-ROW(PLE.firstrow))),0,
           IF(OFFSET(PLE!$G$15,$M116-$A$15,CF$13)="",10^12,OFFSET(PLE!$G$15,$M116-$A$15,CF$13)))</f>
        <v>1000000000000</v>
      </c>
      <c r="CG116" s="172">
        <f ca="1">IF(OR($D116&lt;&gt;"Serviço",AND(AUTOEVENTO="Manual",$M116=$A$15),$M116&gt;(ROW(PLE.lastrow)-ROW(PLE.firstrow))),0,
           IF(OFFSET(PLE!$G$15,$M116-$A$15,CG$13)="",10^12,OFFSET(PLE!$G$15,$M116-$A$15,CG$13)))</f>
        <v>1000000000000</v>
      </c>
      <c r="CH116" s="172">
        <f ca="1">IF(OR($D116&lt;&gt;"Serviço",AND(AUTOEVENTO="Manual",$M116=$A$15),$M116&gt;(ROW(PLE.lastrow)-ROW(PLE.firstrow))),0,
           IF(OFFSET(PLE!$G$15,$M116-$A$15,CH$13)="",10^12,OFFSET(PLE!$G$15,$M116-$A$15,CH$13)))</f>
        <v>1000000000000</v>
      </c>
      <c r="CI116" s="172">
        <f ca="1">IF(OR($D116&lt;&gt;"Serviço",AND(AUTOEVENTO="Manual",$M116=$A$15),$M116&gt;(ROW(PLE.lastrow)-ROW(PLE.firstrow))),0,
           IF(OFFSET(PLE!$G$15,$M116-$A$15,CI$13)="",10^12,OFFSET(PLE!$G$15,$M116-$A$15,CI$13)))</f>
        <v>1000000000000</v>
      </c>
      <c r="CJ116" s="172">
        <f ca="1">IF(OR($D116&lt;&gt;"Serviço",AND(AUTOEVENTO="Manual",$M116=$A$15),$M116&gt;(ROW(PLE.lastrow)-ROW(PLE.firstrow))),0,
           IF(OFFSET(PLE!$G$15,$M116-$A$15,CJ$13)="",10^12,OFFSET(PLE!$G$15,$M116-$A$15,CJ$13)))</f>
        <v>1000000000000</v>
      </c>
      <c r="CK116" s="172">
        <f ca="1">IF(OR($D116&lt;&gt;"Serviço",AND(AUTOEVENTO="Manual",$M116=$A$15),$M116&gt;(ROW(PLE.lastrow)-ROW(PLE.firstrow))),0,
           IF(OFFSET(PLE!$G$15,$M116-$A$15,CK$13)="",10^12,OFFSET(PLE!$G$15,$M116-$A$15,CK$13)))</f>
        <v>1000000000000</v>
      </c>
      <c r="CL116" s="172">
        <f ca="1">IF(OR($D116&lt;&gt;"Serviço",AND(AUTOEVENTO="Manual",$M116=$A$15),$M116&gt;(ROW(PLE.lastrow)-ROW(PLE.firstrow))),0,
           IF(OFFSET(PLE!$G$15,$M116-$A$15,CL$13)="",10^12,OFFSET(PLE!$G$15,$M116-$A$15,CL$13)))</f>
        <v>1000000000000</v>
      </c>
      <c r="CM116" s="172">
        <f ca="1">IF(OR($D116&lt;&gt;"Serviço",AND(AUTOEVENTO="Manual",$M116=$A$15),$M116&gt;(ROW(PLE.lastrow)-ROW(PLE.firstrow))),0,
           IF(OFFSET(PLE!$G$15,$M116-$A$15,CM$13)="",10^12,OFFSET(PLE!$G$15,$M116-$A$15,CM$13)))</f>
        <v>1000000000000</v>
      </c>
    </row>
    <row r="117" spans="1:91" ht="12.75" x14ac:dyDescent="0.2">
      <c r="A117" s="7">
        <f t="shared" ca="1" si="11"/>
        <v>4</v>
      </c>
      <c r="B117" s="7" t="str">
        <f ca="1">OFFSET(ORÇAMENTO!C$15,ROW(B117)-ROW(B$15),0)</f>
        <v>S</v>
      </c>
      <c r="C117" s="7" t="str">
        <f ca="1">OFFSET(ORÇAMENTO!L$15,ROW(C117)-ROW(C$15),0)</f>
        <v>F</v>
      </c>
      <c r="D117" s="116" t="str">
        <f ca="1">OFFSET(ORÇAMENTO!N$15,ROW(D117)-ROW(D$15),0)</f>
        <v>Serviço</v>
      </c>
      <c r="E117" s="117" t="str">
        <f ca="1">OFFSET(ORÇAMENTO!O$15,ROW(E117)-ROW(E$15),0)</f>
        <v>1.5.2.1.11.</v>
      </c>
      <c r="F117" s="163" t="str">
        <f ca="1">OFFSET(ORÇAMENTO!R$15,ROW(F117)-ROW(F$15),0)</f>
        <v>ENSAIO DE RESISTENCIA A COMPRESSAO SIMPLES - CONCRETO</v>
      </c>
      <c r="G117" s="164" t="str">
        <f ca="1">IF($D117&lt;&gt;"Serviço","",OFFSET(ORÇAMENTO!S$15,ROW(G117)-ROW(G$15),0))</f>
        <v>UN</v>
      </c>
      <c r="H117" s="122" cm="1">
        <f t="array" aca="1" ref="H117" ca="1">IF($D117&lt;&gt;"Serviço",0,IF(ACOMPANHAMENTO="BM",ROUND(OFFSET(ORÇAMENTO!AJ$15,ROW(H117)-ROW(H$15),0),15-13*ORÇAMENTO!$AF$7),SUMPRODUCT(($Q$1:$AI$1=1)*ROUND($Q117:$AI117,15-13*ORÇAMENTO!$AF$7))))</f>
        <v>21</v>
      </c>
      <c r="I117" s="468" t="s">
        <v>1322</v>
      </c>
      <c r="J117" s="640" t="str" cm="1">
        <f t="array" aca="1" ref="J117" ca="1">IF(OR(B117&lt;&gt;"S",CÁLCULO.FrentesPreenchidas=0),"",IF(AND(ACOMPANHAMENTO="PLE",AUTOEVENTO="Manual",OR(H117&gt;0,ORÇAMENTO!AC117="QUANT."),OR(K117="",M117=0,N117="")),"►E",IF(AND(ACOMPANHAMENTO="PLE",ORÇAMENTO!AC117="QUANT."),"►Q",IF(AND(ACOMPANHAMENTO="PLE",H117&lt;&gt;SUMPRODUCT(($Q$1:$AI$1=1)*ROUND(Q117:AI117,15))),"►S",IF(AND(COUNTIF($P$11:$AI$11,"▼")=0,H117&gt;0,I117=""),"◄M","")))))</f>
        <v/>
      </c>
      <c r="K117" s="641" t="s">
        <v>1389</v>
      </c>
      <c r="L117" s="165" t="s">
        <v>764</v>
      </c>
      <c r="M117" s="166">
        <f ca="1">IF($D117&lt;&gt;"Serviço","",
          IF(AUTOEVENTO="manual",$A117,
                IF(ISERROR(MATCH($A117,$A$15:OFFSET($A117,-1,0),0)),MAX($M$15:OFFSET(M117,-1,0))+1,
                      INDEX($M$15:OFFSET(M117,-1,0),MATCH($A117,$A$15:OFFSET($A117,-1,0),0)))))</f>
        <v>4</v>
      </c>
      <c r="N117" s="167" t="str">
        <f ca="1">IF($D117&lt;&gt;"Serviço","",
         IF(AUTOEVENTO="Manual",
                IF($A117=0,"&lt;-- defina o número do agrupador",
                       OFFSET(EVENTOS!$D$15,$A117-$A$15,0)),
                OFFSET($F$15,$A117,0)))</f>
        <v>Estruturas de Concreto</v>
      </c>
      <c r="O117" s="168"/>
      <c r="Q117" s="168"/>
      <c r="R117" s="169"/>
      <c r="S117" s="169"/>
      <c r="T117" s="169">
        <f>ROUND(T109/8*4,0)</f>
        <v>21</v>
      </c>
      <c r="U117" s="169"/>
      <c r="V117" s="169"/>
      <c r="W117" s="169"/>
      <c r="X117" s="169"/>
      <c r="Y117" s="169"/>
      <c r="Z117" s="170"/>
      <c r="AA117" s="169"/>
      <c r="AB117" s="169"/>
      <c r="AC117" s="169"/>
      <c r="AD117" s="169"/>
      <c r="AE117" s="169"/>
      <c r="AF117" s="169"/>
      <c r="AG117" s="169"/>
      <c r="AH117" s="170"/>
      <c r="AJ117" s="453">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0</v>
      </c>
      <c r="AK117" s="453">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0</v>
      </c>
      <c r="AL117" s="453">
        <f ca="1">IF(AND($D117="Serviço",AL$12&lt;&gt;0,$H117&gt;0,OR(AUTOEVENTO&lt;&gt;"manual",$M117&lt;&gt;$A$15)),
        IF(Import.TipoArredondamento&lt;&gt;"TransfereGOV",
              ROUND(OFFSET($P117,0,AL$13),15-13*ORÇAMENTO!$AF$7)/$H117*OFFSET(ORÇAMENTO!$X$15,ROW(AL117)-ROW(AL$15),0),
              ROUND(ROUND(OFFSET($P117,0,AL$13),15-13*ORÇAMENTO!$AF$7)*OFFSET(ORÇAMENTO!$W$15,ROW(AL117)-ROW(AL$15),0),15-13*ORÇAMENTO!$AF$11)),
         0)</f>
        <v>0</v>
      </c>
      <c r="AM117" s="453">
        <f ca="1">IF(AND($D117="Serviço",AM$12&lt;&gt;0,$H117&gt;0,OR(AUTOEVENTO&lt;&gt;"manual",$M117&lt;&gt;$A$15)),
        IF(Import.TipoArredondamento&lt;&gt;"TransfereGOV",
              ROUND(OFFSET($P117,0,AM$13),15-13*ORÇAMENTO!$AF$7)/$H117*OFFSET(ORÇAMENTO!$X$15,ROW(AM117)-ROW(AM$15),0),
              ROUND(ROUND(OFFSET($P117,0,AM$13),15-13*ORÇAMENTO!$AF$7)*OFFSET(ORÇAMENTO!$W$15,ROW(AM117)-ROW(AM$15),0),15-13*ORÇAMENTO!$AF$11)),
         0)</f>
        <v>0</v>
      </c>
      <c r="AN117" s="453">
        <f ca="1">IF(AND($D117="Serviço",AN$12&lt;&gt;0,$H117&gt;0,OR(AUTOEVENTO&lt;&gt;"manual",$M117&lt;&gt;$A$15)),
        IF(Import.TipoArredondamento&lt;&gt;"TransfereGOV",
              ROUND(OFFSET($P117,0,AN$13),15-13*ORÇAMENTO!$AF$7)/$H117*OFFSET(ORÇAMENTO!$X$15,ROW(AN117)-ROW(AN$15),0),
              ROUND(ROUND(OFFSET($P117,0,AN$13),15-13*ORÇAMENTO!$AF$7)*OFFSET(ORÇAMENTO!$W$15,ROW(AN117)-ROW(AN$15),0),15-13*ORÇAMENTO!$AF$11)),
         0)</f>
        <v>0</v>
      </c>
      <c r="AO117" s="453">
        <f ca="1">IF(AND($D117="Serviço",AO$12&lt;&gt;0,$H117&gt;0,OR(AUTOEVENTO&lt;&gt;"manual",$M117&lt;&gt;$A$15)),
        IF(Import.TipoArredondamento&lt;&gt;"TransfereGOV",
              ROUND(OFFSET($P117,0,AO$13),15-13*ORÇAMENTO!$AF$7)/$H117*OFFSET(ORÇAMENTO!$X$15,ROW(AO117)-ROW(AO$15),0),
              ROUND(ROUND(OFFSET($P117,0,AO$13),15-13*ORÇAMENTO!$AF$7)*OFFSET(ORÇAMENTO!$W$15,ROW(AO117)-ROW(AO$15),0),15-13*ORÇAMENTO!$AF$11)),
         0)</f>
        <v>0</v>
      </c>
      <c r="AP117" s="453">
        <f ca="1">IF(AND($D117="Serviço",AP$12&lt;&gt;0,$H117&gt;0,OR(AUTOEVENTO&lt;&gt;"manual",$M117&lt;&gt;$A$15)),
        IF(Import.TipoArredondamento&lt;&gt;"TransfereGOV",
              ROUND(OFFSET($P117,0,AP$13),15-13*ORÇAMENTO!$AF$7)/$H117*OFFSET(ORÇAMENTO!$X$15,ROW(AP117)-ROW(AP$15),0),
              ROUND(ROUND(OFFSET($P117,0,AP$13),15-13*ORÇAMENTO!$AF$7)*OFFSET(ORÇAMENTO!$W$15,ROW(AP117)-ROW(AP$15),0),15-13*ORÇAMENTO!$AF$11)),
         0)</f>
        <v>0</v>
      </c>
      <c r="AQ117" s="453">
        <f ca="1">IF(AND($D117="Serviço",AQ$12&lt;&gt;0,$H117&gt;0,OR(AUTOEVENTO&lt;&gt;"manual",$M117&lt;&gt;$A$15)),
        IF(Import.TipoArredondamento&lt;&gt;"TransfereGOV",
              ROUND(OFFSET($P117,0,AQ$13),15-13*ORÇAMENTO!$AF$7)/$H117*OFFSET(ORÇAMENTO!$X$15,ROW(AQ117)-ROW(AQ$15),0),
              ROUND(ROUND(OFFSET($P117,0,AQ$13),15-13*ORÇAMENTO!$AF$7)*OFFSET(ORÇAMENTO!$W$15,ROW(AQ117)-ROW(AQ$15),0),15-13*ORÇAMENTO!$AF$11)),
         0)</f>
        <v>0</v>
      </c>
      <c r="AR117" s="453">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3">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3">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3">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3">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3">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3">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3">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3">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3">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C117" s="171">
        <f ca="1">IF(OR($D117&lt;&gt;"Serviço",AND(AUTOEVENTO="Manual",$M117=$A$15)),0,
         IF(OFFSET(CRONOPLE!$F$15,$M117-$A$15,BC$13)=0,10^12,OFFSET(CRONOPLE!$F$15,$M117-$A$15,BC$13)))</f>
        <v>1</v>
      </c>
      <c r="BD117" s="171">
        <f ca="1">IF(OR($D117&lt;&gt;"Serviço",AND(AUTOEVENTO="Manual",$M117=$A$15)),0,
         IF(OFFSET(CRONOPLE!$F$15,$M117-$A$15,BD$13)=0,10^12,OFFSET(CRONOPLE!$F$15,$M117-$A$15,BD$13)))</f>
        <v>2</v>
      </c>
      <c r="BE117" s="171">
        <f ca="1">IF(OR($D117&lt;&gt;"Serviço",AND(AUTOEVENTO="Manual",$M117=$A$15)),0,
         IF(OFFSET(CRONOPLE!$F$15,$M117-$A$15,BE$13)=0,10^12,OFFSET(CRONOPLE!$F$15,$M117-$A$15,BE$13)))</f>
        <v>3</v>
      </c>
      <c r="BF117" s="171">
        <f ca="1">IF(OR($D117&lt;&gt;"Serviço",AND(AUTOEVENTO="Manual",$M117=$A$15)),0,
         IF(OFFSET(CRONOPLE!$F$15,$M117-$A$15,BF$13)=0,10^12,OFFSET(CRONOPLE!$F$15,$M117-$A$15,BF$13)))</f>
        <v>4</v>
      </c>
      <c r="BG117" s="171">
        <f ca="1">IF(OR($D117&lt;&gt;"Serviço",AND(AUTOEVENTO="Manual",$M117=$A$15)),0,
         IF(OFFSET(CRONOPLE!$F$15,$M117-$A$15,BG$13)=0,10^12,OFFSET(CRONOPLE!$F$15,$M117-$A$15,BG$13)))</f>
        <v>5</v>
      </c>
      <c r="BH117" s="171">
        <f ca="1">IF(OR($D117&lt;&gt;"Serviço",AND(AUTOEVENTO="Manual",$M117=$A$15)),0,
         IF(OFFSET(CRONOPLE!$F$15,$M117-$A$15,BH$13)=0,10^12,OFFSET(CRONOPLE!$F$15,$M117-$A$15,BH$13)))</f>
        <v>6</v>
      </c>
      <c r="BI117" s="171">
        <f ca="1">IF(OR($D117&lt;&gt;"Serviço",AND(AUTOEVENTO="Manual",$M117=$A$15)),0,
         IF(OFFSET(CRONOPLE!$F$15,$M117-$A$15,BI$13)=0,10^12,OFFSET(CRONOPLE!$F$15,$M117-$A$15,BI$13)))</f>
        <v>7</v>
      </c>
      <c r="BJ117" s="171">
        <f ca="1">IF(OR($D117&lt;&gt;"Serviço",AND(AUTOEVENTO="Manual",$M117=$A$15)),0,
         IF(OFFSET(CRONOPLE!$F$15,$M117-$A$15,BJ$13)=0,10^12,OFFSET(CRONOPLE!$F$15,$M117-$A$15,BJ$13)))</f>
        <v>8</v>
      </c>
      <c r="BK117" s="171">
        <f ca="1">IF(OR($D117&lt;&gt;"Serviço",AND(AUTOEVENTO="Manual",$M117=$A$15)),0,
         IF(OFFSET(CRONOPLE!$F$15,$M117-$A$15,BK$13)=0,10^12,OFFSET(CRONOPLE!$F$15,$M117-$A$15,BK$13)))</f>
        <v>9</v>
      </c>
      <c r="BL117" s="171">
        <f ca="1">IF(OR($D117&lt;&gt;"Serviço",AND(AUTOEVENTO="Manual",$M117=$A$15)),0,
         IF(OFFSET(CRONOPLE!$F$15,$M117-$A$15,BL$13)=0,10^12,OFFSET(CRONOPLE!$F$15,$M117-$A$15,BL$13)))</f>
        <v>10</v>
      </c>
      <c r="BM117" s="171">
        <f ca="1">IF(OR($D117&lt;&gt;"Serviço",AND(AUTOEVENTO="Manual",$M117=$A$15)),0,
         IF(OFFSET(CRONOPLE!$F$15,$M117-$A$15,BM$13)=0,10^12,OFFSET(CRONOPLE!$F$15,$M117-$A$15,BM$13)))</f>
        <v>1000000000000</v>
      </c>
      <c r="BN117" s="171">
        <f ca="1">IF(OR($D117&lt;&gt;"Serviço",AND(AUTOEVENTO="Manual",$M117=$A$15)),0,
         IF(OFFSET(CRONOPLE!$F$15,$M117-$A$15,BN$13)=0,10^12,OFFSET(CRONOPLE!$F$15,$M117-$A$15,BN$13)))</f>
        <v>1000000000000</v>
      </c>
      <c r="BO117" s="171">
        <f ca="1">IF(OR($D117&lt;&gt;"Serviço",AND(AUTOEVENTO="Manual",$M117=$A$15)),0,
         IF(OFFSET(CRONOPLE!$F$15,$M117-$A$15,BO$13)=0,10^12,OFFSET(CRONOPLE!$F$15,$M117-$A$15,BO$13)))</f>
        <v>1000000000000</v>
      </c>
      <c r="BP117" s="171">
        <f ca="1">IF(OR($D117&lt;&gt;"Serviço",AND(AUTOEVENTO="Manual",$M117=$A$15)),0,
         IF(OFFSET(CRONOPLE!$F$15,$M117-$A$15,BP$13)=0,10^12,OFFSET(CRONOPLE!$F$15,$M117-$A$15,BP$13)))</f>
        <v>1000000000000</v>
      </c>
      <c r="BQ117" s="171">
        <f ca="1">IF(OR($D117&lt;&gt;"Serviço",AND(AUTOEVENTO="Manual",$M117=$A$15)),0,
         IF(OFFSET(CRONOPLE!$F$15,$M117-$A$15,BQ$13)=0,10^12,OFFSET(CRONOPLE!$F$15,$M117-$A$15,BQ$13)))</f>
        <v>1000000000000</v>
      </c>
      <c r="BR117" s="171">
        <f ca="1">IF(OR($D117&lt;&gt;"Serviço",AND(AUTOEVENTO="Manual",$M117=$A$15)),0,
         IF(OFFSET(CRONOPLE!$F$15,$M117-$A$15,BR$13)=0,10^12,OFFSET(CRONOPLE!$F$15,$M117-$A$15,BR$13)))</f>
        <v>1000000000000</v>
      </c>
      <c r="BS117" s="171">
        <f ca="1">IF(OR($D117&lt;&gt;"Serviço",AND(AUTOEVENTO="Manual",$M117=$A$15)),0,
         IF(OFFSET(CRONOPLE!$F$15,$M117-$A$15,BS$13)=0,10^12,OFFSET(CRONOPLE!$F$15,$M117-$A$15,BS$13)))</f>
        <v>1000000000000</v>
      </c>
      <c r="BT117" s="171">
        <f ca="1">IF(OR($D117&lt;&gt;"Serviço",AND(AUTOEVENTO="Manual",$M117=$A$15)),0,
         IF(OFFSET(CRONOPLE!$F$15,$M117-$A$15,BT$13)=0,10^12,OFFSET(CRONOPLE!$F$15,$M117-$A$15,BT$13)))</f>
        <v>1000000000000</v>
      </c>
      <c r="BV117" s="172">
        <f ca="1">IF(OR($D117&lt;&gt;"Serviço",AND(AUTOEVENTO="Manual",$M117=$A$15),$M117&gt;(ROW(PLE.lastrow)-ROW(PLE.firstrow))),0,
           IF(OFFSET(PLE!$G$15,$M117-$A$15,BV$13)="",10^12,OFFSET(PLE!$G$15,$M117-$A$15,BV$13)))</f>
        <v>1000000000000</v>
      </c>
      <c r="BW117" s="172">
        <f ca="1">IF(OR($D117&lt;&gt;"Serviço",AND(AUTOEVENTO="Manual",$M117=$A$15),$M117&gt;(ROW(PLE.lastrow)-ROW(PLE.firstrow))),0,
           IF(OFFSET(PLE!$G$15,$M117-$A$15,BW$13)="",10^12,OFFSET(PLE!$G$15,$M117-$A$15,BW$13)))</f>
        <v>1000000000000</v>
      </c>
      <c r="BX117" s="172">
        <f ca="1">IF(OR($D117&lt;&gt;"Serviço",AND(AUTOEVENTO="Manual",$M117=$A$15),$M117&gt;(ROW(PLE.lastrow)-ROW(PLE.firstrow))),0,
           IF(OFFSET(PLE!$G$15,$M117-$A$15,BX$13)="",10^12,OFFSET(PLE!$G$15,$M117-$A$15,BX$13)))</f>
        <v>1000000000000</v>
      </c>
      <c r="BY117" s="172">
        <f ca="1">IF(OR($D117&lt;&gt;"Serviço",AND(AUTOEVENTO="Manual",$M117=$A$15),$M117&gt;(ROW(PLE.lastrow)-ROW(PLE.firstrow))),0,
           IF(OFFSET(PLE!$G$15,$M117-$A$15,BY$13)="",10^12,OFFSET(PLE!$G$15,$M117-$A$15,BY$13)))</f>
        <v>1000000000000</v>
      </c>
      <c r="BZ117" s="172">
        <f ca="1">IF(OR($D117&lt;&gt;"Serviço",AND(AUTOEVENTO="Manual",$M117=$A$15),$M117&gt;(ROW(PLE.lastrow)-ROW(PLE.firstrow))),0,
           IF(OFFSET(PLE!$G$15,$M117-$A$15,BZ$13)="",10^12,OFFSET(PLE!$G$15,$M117-$A$15,BZ$13)))</f>
        <v>1000000000000</v>
      </c>
      <c r="CA117" s="172">
        <f ca="1">IF(OR($D117&lt;&gt;"Serviço",AND(AUTOEVENTO="Manual",$M117=$A$15),$M117&gt;(ROW(PLE.lastrow)-ROW(PLE.firstrow))),0,
           IF(OFFSET(PLE!$G$15,$M117-$A$15,CA$13)="",10^12,OFFSET(PLE!$G$15,$M117-$A$15,CA$13)))</f>
        <v>1000000000000</v>
      </c>
      <c r="CB117" s="172">
        <f ca="1">IF(OR($D117&lt;&gt;"Serviço",AND(AUTOEVENTO="Manual",$M117=$A$15),$M117&gt;(ROW(PLE.lastrow)-ROW(PLE.firstrow))),0,
           IF(OFFSET(PLE!$G$15,$M117-$A$15,CB$13)="",10^12,OFFSET(PLE!$G$15,$M117-$A$15,CB$13)))</f>
        <v>1000000000000</v>
      </c>
      <c r="CC117" s="172">
        <f ca="1">IF(OR($D117&lt;&gt;"Serviço",AND(AUTOEVENTO="Manual",$M117=$A$15),$M117&gt;(ROW(PLE.lastrow)-ROW(PLE.firstrow))),0,
           IF(OFFSET(PLE!$G$15,$M117-$A$15,CC$13)="",10^12,OFFSET(PLE!$G$15,$M117-$A$15,CC$13)))</f>
        <v>1000000000000</v>
      </c>
      <c r="CD117" s="172">
        <f ca="1">IF(OR($D117&lt;&gt;"Serviço",AND(AUTOEVENTO="Manual",$M117=$A$15),$M117&gt;(ROW(PLE.lastrow)-ROW(PLE.firstrow))),0,
           IF(OFFSET(PLE!$G$15,$M117-$A$15,CD$13)="",10^12,OFFSET(PLE!$G$15,$M117-$A$15,CD$13)))</f>
        <v>1000000000000</v>
      </c>
      <c r="CE117" s="172">
        <f ca="1">IF(OR($D117&lt;&gt;"Serviço",AND(AUTOEVENTO="Manual",$M117=$A$15),$M117&gt;(ROW(PLE.lastrow)-ROW(PLE.firstrow))),0,
           IF(OFFSET(PLE!$G$15,$M117-$A$15,CE$13)="",10^12,OFFSET(PLE!$G$15,$M117-$A$15,CE$13)))</f>
        <v>1000000000000</v>
      </c>
      <c r="CF117" s="172">
        <f ca="1">IF(OR($D117&lt;&gt;"Serviço",AND(AUTOEVENTO="Manual",$M117=$A$15),$M117&gt;(ROW(PLE.lastrow)-ROW(PLE.firstrow))),0,
           IF(OFFSET(PLE!$G$15,$M117-$A$15,CF$13)="",10^12,OFFSET(PLE!$G$15,$M117-$A$15,CF$13)))</f>
        <v>1000000000000</v>
      </c>
      <c r="CG117" s="172">
        <f ca="1">IF(OR($D117&lt;&gt;"Serviço",AND(AUTOEVENTO="Manual",$M117=$A$15),$M117&gt;(ROW(PLE.lastrow)-ROW(PLE.firstrow))),0,
           IF(OFFSET(PLE!$G$15,$M117-$A$15,CG$13)="",10^12,OFFSET(PLE!$G$15,$M117-$A$15,CG$13)))</f>
        <v>1000000000000</v>
      </c>
      <c r="CH117" s="172">
        <f ca="1">IF(OR($D117&lt;&gt;"Serviço",AND(AUTOEVENTO="Manual",$M117=$A$15),$M117&gt;(ROW(PLE.lastrow)-ROW(PLE.firstrow))),0,
           IF(OFFSET(PLE!$G$15,$M117-$A$15,CH$13)="",10^12,OFFSET(PLE!$G$15,$M117-$A$15,CH$13)))</f>
        <v>1000000000000</v>
      </c>
      <c r="CI117" s="172">
        <f ca="1">IF(OR($D117&lt;&gt;"Serviço",AND(AUTOEVENTO="Manual",$M117=$A$15),$M117&gt;(ROW(PLE.lastrow)-ROW(PLE.firstrow))),0,
           IF(OFFSET(PLE!$G$15,$M117-$A$15,CI$13)="",10^12,OFFSET(PLE!$G$15,$M117-$A$15,CI$13)))</f>
        <v>1000000000000</v>
      </c>
      <c r="CJ117" s="172">
        <f ca="1">IF(OR($D117&lt;&gt;"Serviço",AND(AUTOEVENTO="Manual",$M117=$A$15),$M117&gt;(ROW(PLE.lastrow)-ROW(PLE.firstrow))),0,
           IF(OFFSET(PLE!$G$15,$M117-$A$15,CJ$13)="",10^12,OFFSET(PLE!$G$15,$M117-$A$15,CJ$13)))</f>
        <v>1000000000000</v>
      </c>
      <c r="CK117" s="172">
        <f ca="1">IF(OR($D117&lt;&gt;"Serviço",AND(AUTOEVENTO="Manual",$M117=$A$15),$M117&gt;(ROW(PLE.lastrow)-ROW(PLE.firstrow))),0,
           IF(OFFSET(PLE!$G$15,$M117-$A$15,CK$13)="",10^12,OFFSET(PLE!$G$15,$M117-$A$15,CK$13)))</f>
        <v>1000000000000</v>
      </c>
      <c r="CL117" s="172">
        <f ca="1">IF(OR($D117&lt;&gt;"Serviço",AND(AUTOEVENTO="Manual",$M117=$A$15),$M117&gt;(ROW(PLE.lastrow)-ROW(PLE.firstrow))),0,
           IF(OFFSET(PLE!$G$15,$M117-$A$15,CL$13)="",10^12,OFFSET(PLE!$G$15,$M117-$A$15,CL$13)))</f>
        <v>1000000000000</v>
      </c>
      <c r="CM117" s="172">
        <f ca="1">IF(OR($D117&lt;&gt;"Serviço",AND(AUTOEVENTO="Manual",$M117=$A$15),$M117&gt;(ROW(PLE.lastrow)-ROW(PLE.firstrow))),0,
           IF(OFFSET(PLE!$G$15,$M117-$A$15,CM$13)="",10^12,OFFSET(PLE!$G$15,$M117-$A$15,CM$13)))</f>
        <v>1000000000000</v>
      </c>
    </row>
    <row r="118" spans="1:91" ht="12.75" x14ac:dyDescent="0.2">
      <c r="A118" s="7">
        <f t="shared" ca="1" si="11"/>
        <v>5</v>
      </c>
      <c r="B118" s="7">
        <f ca="1">OFFSET(ORÇAMENTO!C$15,ROW(B118)-ROW(B$15),0)</f>
        <v>4</v>
      </c>
      <c r="C118" s="7" t="str">
        <f ca="1">OFFSET(ORÇAMENTO!L$15,ROW(C118)-ROW(C$15),0)</f>
        <v>F</v>
      </c>
      <c r="D118" s="116" t="str">
        <f ca="1">OFFSET(ORÇAMENTO!N$15,ROW(D118)-ROW(D$15),0)</f>
        <v>Nível 4</v>
      </c>
      <c r="E118" s="117" t="str">
        <f ca="1">OFFSET(ORÇAMENTO!O$15,ROW(E118)-ROW(E$15),0)</f>
        <v>1.5.2.2.</v>
      </c>
      <c r="F118" s="163" t="str">
        <f ca="1">OFFSET(ORÇAMENTO!R$15,ROW(F118)-ROW(F$15),0)</f>
        <v>PAREDES E LAJES</v>
      </c>
      <c r="G118" s="164" t="str">
        <f ca="1">IF($D118&lt;&gt;"Serviço","",OFFSET(ORÇAMENTO!S$15,ROW(G118)-ROW(G$15),0))</f>
        <v/>
      </c>
      <c r="H118" s="122" cm="1">
        <f t="array" aca="1" ref="H118" ca="1">IF($D118&lt;&gt;"Serviço",0,IF(ACOMPANHAMENTO="BM",ROUND(OFFSET(ORÇAMENTO!AJ$15,ROW(H118)-ROW(H$15),0),15-13*ORÇAMENTO!$AF$7),SUMPRODUCT(($Q$1:$AI$1=1)*ROUND($Q118:$AI118,15-13*ORÇAMENTO!$AF$7))))</f>
        <v>0</v>
      </c>
      <c r="I118" s="468"/>
      <c r="J118" s="640" t="str" cm="1">
        <f t="array" aca="1" ref="J118" ca="1">IF(OR(B118&lt;&gt;"S",CÁLCULO.FrentesPreenchidas=0),"",IF(AND(ACOMPANHAMENTO="PLE",AUTOEVENTO="Manual",OR(H118&gt;0,ORÇAMENTO!AC118="QUANT."),OR(K118="",M118=0,N118="")),"►E",IF(AND(ACOMPANHAMENTO="PLE",ORÇAMENTO!AC118="QUANT."),"►Q",IF(AND(ACOMPANHAMENTO="PLE",H118&lt;&gt;SUMPRODUCT(($Q$1:$AI$1=1)*ROUND(Q118:AI118,15))),"►S",IF(AND(COUNTIF($P$11:$AI$11,"▼")=0,H118&gt;0,I118=""),"◄M","")))))</f>
        <v/>
      </c>
      <c r="K118" s="641" t="s">
        <v>1364</v>
      </c>
      <c r="L118" s="165" t="s">
        <v>764</v>
      </c>
      <c r="M118" s="166" t="str">
        <f ca="1">IF($D118&lt;&gt;"Serviço","",
          IF(AUTOEVENTO="manual",$A118,
                IF(ISERROR(MATCH($A118,$A$15:OFFSET($A118,-1,0),0)),MAX($M$15:OFFSET(M118,-1,0))+1,
                      INDEX($M$15:OFFSET(M118,-1,0),MATCH($A118,$A$15:OFFSET($A118,-1,0),0)))))</f>
        <v/>
      </c>
      <c r="N118" s="167" t="str">
        <f ca="1">IF($D118&lt;&gt;"Serviço","",
         IF(AUTOEVENTO="Manual",
                IF($A118=0,"&lt;-- defina o número do agrupador",
                       OFFSET(EVENTOS!$D$15,$A118-$A$15,0)),
                OFFSET($F$15,$A118,0)))</f>
        <v/>
      </c>
      <c r="O118" s="168"/>
      <c r="Q118" s="168"/>
      <c r="R118" s="169"/>
      <c r="S118" s="169"/>
      <c r="T118" s="169"/>
      <c r="U118" s="169"/>
      <c r="V118" s="169"/>
      <c r="W118" s="169"/>
      <c r="X118" s="169"/>
      <c r="Y118" s="169"/>
      <c r="Z118" s="170"/>
      <c r="AA118" s="169"/>
      <c r="AB118" s="169"/>
      <c r="AC118" s="169"/>
      <c r="AD118" s="169"/>
      <c r="AE118" s="169"/>
      <c r="AF118" s="169"/>
      <c r="AG118" s="169"/>
      <c r="AH118" s="170"/>
      <c r="AJ118" s="453">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0</v>
      </c>
      <c r="AK118" s="453">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0</v>
      </c>
      <c r="AL118" s="453">
        <f ca="1">IF(AND($D118="Serviço",AL$12&lt;&gt;0,$H118&gt;0,OR(AUTOEVENTO&lt;&gt;"manual",$M118&lt;&gt;$A$15)),
        IF(Import.TipoArredondamento&lt;&gt;"TransfereGOV",
              ROUND(OFFSET($P118,0,AL$13),15-13*ORÇAMENTO!$AF$7)/$H118*OFFSET(ORÇAMENTO!$X$15,ROW(AL118)-ROW(AL$15),0),
              ROUND(ROUND(OFFSET($P118,0,AL$13),15-13*ORÇAMENTO!$AF$7)*OFFSET(ORÇAMENTO!$W$15,ROW(AL118)-ROW(AL$15),0),15-13*ORÇAMENTO!$AF$11)),
         0)</f>
        <v>0</v>
      </c>
      <c r="AM118" s="453">
        <f ca="1">IF(AND($D118="Serviço",AM$12&lt;&gt;0,$H118&gt;0,OR(AUTOEVENTO&lt;&gt;"manual",$M118&lt;&gt;$A$15)),
        IF(Import.TipoArredondamento&lt;&gt;"TransfereGOV",
              ROUND(OFFSET($P118,0,AM$13),15-13*ORÇAMENTO!$AF$7)/$H118*OFFSET(ORÇAMENTO!$X$15,ROW(AM118)-ROW(AM$15),0),
              ROUND(ROUND(OFFSET($P118,0,AM$13),15-13*ORÇAMENTO!$AF$7)*OFFSET(ORÇAMENTO!$W$15,ROW(AM118)-ROW(AM$15),0),15-13*ORÇAMENTO!$AF$11)),
         0)</f>
        <v>0</v>
      </c>
      <c r="AN118" s="453">
        <f ca="1">IF(AND($D118="Serviço",AN$12&lt;&gt;0,$H118&gt;0,OR(AUTOEVENTO&lt;&gt;"manual",$M118&lt;&gt;$A$15)),
        IF(Import.TipoArredondamento&lt;&gt;"TransfereGOV",
              ROUND(OFFSET($P118,0,AN$13),15-13*ORÇAMENTO!$AF$7)/$H118*OFFSET(ORÇAMENTO!$X$15,ROW(AN118)-ROW(AN$15),0),
              ROUND(ROUND(OFFSET($P118,0,AN$13),15-13*ORÇAMENTO!$AF$7)*OFFSET(ORÇAMENTO!$W$15,ROW(AN118)-ROW(AN$15),0),15-13*ORÇAMENTO!$AF$11)),
         0)</f>
        <v>0</v>
      </c>
      <c r="AO118" s="453">
        <f ca="1">IF(AND($D118="Serviço",AO$12&lt;&gt;0,$H118&gt;0,OR(AUTOEVENTO&lt;&gt;"manual",$M118&lt;&gt;$A$15)),
        IF(Import.TipoArredondamento&lt;&gt;"TransfereGOV",
              ROUND(OFFSET($P118,0,AO$13),15-13*ORÇAMENTO!$AF$7)/$H118*OFFSET(ORÇAMENTO!$X$15,ROW(AO118)-ROW(AO$15),0),
              ROUND(ROUND(OFFSET($P118,0,AO$13),15-13*ORÇAMENTO!$AF$7)*OFFSET(ORÇAMENTO!$W$15,ROW(AO118)-ROW(AO$15),0),15-13*ORÇAMENTO!$AF$11)),
         0)</f>
        <v>0</v>
      </c>
      <c r="AP118" s="453">
        <f ca="1">IF(AND($D118="Serviço",AP$12&lt;&gt;0,$H118&gt;0,OR(AUTOEVENTO&lt;&gt;"manual",$M118&lt;&gt;$A$15)),
        IF(Import.TipoArredondamento&lt;&gt;"TransfereGOV",
              ROUND(OFFSET($P118,0,AP$13),15-13*ORÇAMENTO!$AF$7)/$H118*OFFSET(ORÇAMENTO!$X$15,ROW(AP118)-ROW(AP$15),0),
              ROUND(ROUND(OFFSET($P118,0,AP$13),15-13*ORÇAMENTO!$AF$7)*OFFSET(ORÇAMENTO!$W$15,ROW(AP118)-ROW(AP$15),0),15-13*ORÇAMENTO!$AF$11)),
         0)</f>
        <v>0</v>
      </c>
      <c r="AQ118" s="453">
        <f ca="1">IF(AND($D118="Serviço",AQ$12&lt;&gt;0,$H118&gt;0,OR(AUTOEVENTO&lt;&gt;"manual",$M118&lt;&gt;$A$15)),
        IF(Import.TipoArredondamento&lt;&gt;"TransfereGOV",
              ROUND(OFFSET($P118,0,AQ$13),15-13*ORÇAMENTO!$AF$7)/$H118*OFFSET(ORÇAMENTO!$X$15,ROW(AQ118)-ROW(AQ$15),0),
              ROUND(ROUND(OFFSET($P118,0,AQ$13),15-13*ORÇAMENTO!$AF$7)*OFFSET(ORÇAMENTO!$W$15,ROW(AQ118)-ROW(AQ$15),0),15-13*ORÇAMENTO!$AF$11)),
         0)</f>
        <v>0</v>
      </c>
      <c r="AR118" s="453">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3">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3">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3">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3">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3">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3">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3">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3">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3">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C118" s="171">
        <f ca="1">IF(OR($D118&lt;&gt;"Serviço",AND(AUTOEVENTO="Manual",$M118=$A$15)),0,
         IF(OFFSET(CRONOPLE!$F$15,$M118-$A$15,BC$13)=0,10^12,OFFSET(CRONOPLE!$F$15,$M118-$A$15,BC$13)))</f>
        <v>0</v>
      </c>
      <c r="BD118" s="171">
        <f ca="1">IF(OR($D118&lt;&gt;"Serviço",AND(AUTOEVENTO="Manual",$M118=$A$15)),0,
         IF(OFFSET(CRONOPLE!$F$15,$M118-$A$15,BD$13)=0,10^12,OFFSET(CRONOPLE!$F$15,$M118-$A$15,BD$13)))</f>
        <v>0</v>
      </c>
      <c r="BE118" s="171">
        <f ca="1">IF(OR($D118&lt;&gt;"Serviço",AND(AUTOEVENTO="Manual",$M118=$A$15)),0,
         IF(OFFSET(CRONOPLE!$F$15,$M118-$A$15,BE$13)=0,10^12,OFFSET(CRONOPLE!$F$15,$M118-$A$15,BE$13)))</f>
        <v>0</v>
      </c>
      <c r="BF118" s="171">
        <f ca="1">IF(OR($D118&lt;&gt;"Serviço",AND(AUTOEVENTO="Manual",$M118=$A$15)),0,
         IF(OFFSET(CRONOPLE!$F$15,$M118-$A$15,BF$13)=0,10^12,OFFSET(CRONOPLE!$F$15,$M118-$A$15,BF$13)))</f>
        <v>0</v>
      </c>
      <c r="BG118" s="171">
        <f ca="1">IF(OR($D118&lt;&gt;"Serviço",AND(AUTOEVENTO="Manual",$M118=$A$15)),0,
         IF(OFFSET(CRONOPLE!$F$15,$M118-$A$15,BG$13)=0,10^12,OFFSET(CRONOPLE!$F$15,$M118-$A$15,BG$13)))</f>
        <v>0</v>
      </c>
      <c r="BH118" s="171">
        <f ca="1">IF(OR($D118&lt;&gt;"Serviço",AND(AUTOEVENTO="Manual",$M118=$A$15)),0,
         IF(OFFSET(CRONOPLE!$F$15,$M118-$A$15,BH$13)=0,10^12,OFFSET(CRONOPLE!$F$15,$M118-$A$15,BH$13)))</f>
        <v>0</v>
      </c>
      <c r="BI118" s="171">
        <f ca="1">IF(OR($D118&lt;&gt;"Serviço",AND(AUTOEVENTO="Manual",$M118=$A$15)),0,
         IF(OFFSET(CRONOPLE!$F$15,$M118-$A$15,BI$13)=0,10^12,OFFSET(CRONOPLE!$F$15,$M118-$A$15,BI$13)))</f>
        <v>0</v>
      </c>
      <c r="BJ118" s="171">
        <f ca="1">IF(OR($D118&lt;&gt;"Serviço",AND(AUTOEVENTO="Manual",$M118=$A$15)),0,
         IF(OFFSET(CRONOPLE!$F$15,$M118-$A$15,BJ$13)=0,10^12,OFFSET(CRONOPLE!$F$15,$M118-$A$15,BJ$13)))</f>
        <v>0</v>
      </c>
      <c r="BK118" s="171">
        <f ca="1">IF(OR($D118&lt;&gt;"Serviço",AND(AUTOEVENTO="Manual",$M118=$A$15)),0,
         IF(OFFSET(CRONOPLE!$F$15,$M118-$A$15,BK$13)=0,10^12,OFFSET(CRONOPLE!$F$15,$M118-$A$15,BK$13)))</f>
        <v>0</v>
      </c>
      <c r="BL118" s="171">
        <f ca="1">IF(OR($D118&lt;&gt;"Serviço",AND(AUTOEVENTO="Manual",$M118=$A$15)),0,
         IF(OFFSET(CRONOPLE!$F$15,$M118-$A$15,BL$13)=0,10^12,OFFSET(CRONOPLE!$F$15,$M118-$A$15,BL$13)))</f>
        <v>0</v>
      </c>
      <c r="BM118" s="171">
        <f ca="1">IF(OR($D118&lt;&gt;"Serviço",AND(AUTOEVENTO="Manual",$M118=$A$15)),0,
         IF(OFFSET(CRONOPLE!$F$15,$M118-$A$15,BM$13)=0,10^12,OFFSET(CRONOPLE!$F$15,$M118-$A$15,BM$13)))</f>
        <v>0</v>
      </c>
      <c r="BN118" s="171">
        <f ca="1">IF(OR($D118&lt;&gt;"Serviço",AND(AUTOEVENTO="Manual",$M118=$A$15)),0,
         IF(OFFSET(CRONOPLE!$F$15,$M118-$A$15,BN$13)=0,10^12,OFFSET(CRONOPLE!$F$15,$M118-$A$15,BN$13)))</f>
        <v>0</v>
      </c>
      <c r="BO118" s="171">
        <f ca="1">IF(OR($D118&lt;&gt;"Serviço",AND(AUTOEVENTO="Manual",$M118=$A$15)),0,
         IF(OFFSET(CRONOPLE!$F$15,$M118-$A$15,BO$13)=0,10^12,OFFSET(CRONOPLE!$F$15,$M118-$A$15,BO$13)))</f>
        <v>0</v>
      </c>
      <c r="BP118" s="171">
        <f ca="1">IF(OR($D118&lt;&gt;"Serviço",AND(AUTOEVENTO="Manual",$M118=$A$15)),0,
         IF(OFFSET(CRONOPLE!$F$15,$M118-$A$15,BP$13)=0,10^12,OFFSET(CRONOPLE!$F$15,$M118-$A$15,BP$13)))</f>
        <v>0</v>
      </c>
      <c r="BQ118" s="171">
        <f ca="1">IF(OR($D118&lt;&gt;"Serviço",AND(AUTOEVENTO="Manual",$M118=$A$15)),0,
         IF(OFFSET(CRONOPLE!$F$15,$M118-$A$15,BQ$13)=0,10^12,OFFSET(CRONOPLE!$F$15,$M118-$A$15,BQ$13)))</f>
        <v>0</v>
      </c>
      <c r="BR118" s="171">
        <f ca="1">IF(OR($D118&lt;&gt;"Serviço",AND(AUTOEVENTO="Manual",$M118=$A$15)),0,
         IF(OFFSET(CRONOPLE!$F$15,$M118-$A$15,BR$13)=0,10^12,OFFSET(CRONOPLE!$F$15,$M118-$A$15,BR$13)))</f>
        <v>0</v>
      </c>
      <c r="BS118" s="171">
        <f ca="1">IF(OR($D118&lt;&gt;"Serviço",AND(AUTOEVENTO="Manual",$M118=$A$15)),0,
         IF(OFFSET(CRONOPLE!$F$15,$M118-$A$15,BS$13)=0,10^12,OFFSET(CRONOPLE!$F$15,$M118-$A$15,BS$13)))</f>
        <v>0</v>
      </c>
      <c r="BT118" s="171">
        <f ca="1">IF(OR($D118&lt;&gt;"Serviço",AND(AUTOEVENTO="Manual",$M118=$A$15)),0,
         IF(OFFSET(CRONOPLE!$F$15,$M118-$A$15,BT$13)=0,10^12,OFFSET(CRONOPLE!$F$15,$M118-$A$15,BT$13)))</f>
        <v>0</v>
      </c>
      <c r="BV118" s="172">
        <f ca="1">IF(OR($D118&lt;&gt;"Serviço",AND(AUTOEVENTO="Manual",$M118=$A$15),$M118&gt;(ROW(PLE.lastrow)-ROW(PLE.firstrow))),0,
           IF(OFFSET(PLE!$G$15,$M118-$A$15,BV$13)="",10^12,OFFSET(PLE!$G$15,$M118-$A$15,BV$13)))</f>
        <v>0</v>
      </c>
      <c r="BW118" s="172">
        <f ca="1">IF(OR($D118&lt;&gt;"Serviço",AND(AUTOEVENTO="Manual",$M118=$A$15),$M118&gt;(ROW(PLE.lastrow)-ROW(PLE.firstrow))),0,
           IF(OFFSET(PLE!$G$15,$M118-$A$15,BW$13)="",10^12,OFFSET(PLE!$G$15,$M118-$A$15,BW$13)))</f>
        <v>0</v>
      </c>
      <c r="BX118" s="172">
        <f ca="1">IF(OR($D118&lt;&gt;"Serviço",AND(AUTOEVENTO="Manual",$M118=$A$15),$M118&gt;(ROW(PLE.lastrow)-ROW(PLE.firstrow))),0,
           IF(OFFSET(PLE!$G$15,$M118-$A$15,BX$13)="",10^12,OFFSET(PLE!$G$15,$M118-$A$15,BX$13)))</f>
        <v>0</v>
      </c>
      <c r="BY118" s="172">
        <f ca="1">IF(OR($D118&lt;&gt;"Serviço",AND(AUTOEVENTO="Manual",$M118=$A$15),$M118&gt;(ROW(PLE.lastrow)-ROW(PLE.firstrow))),0,
           IF(OFFSET(PLE!$G$15,$M118-$A$15,BY$13)="",10^12,OFFSET(PLE!$G$15,$M118-$A$15,BY$13)))</f>
        <v>0</v>
      </c>
      <c r="BZ118" s="172">
        <f ca="1">IF(OR($D118&lt;&gt;"Serviço",AND(AUTOEVENTO="Manual",$M118=$A$15),$M118&gt;(ROW(PLE.lastrow)-ROW(PLE.firstrow))),0,
           IF(OFFSET(PLE!$G$15,$M118-$A$15,BZ$13)="",10^12,OFFSET(PLE!$G$15,$M118-$A$15,BZ$13)))</f>
        <v>0</v>
      </c>
      <c r="CA118" s="172">
        <f ca="1">IF(OR($D118&lt;&gt;"Serviço",AND(AUTOEVENTO="Manual",$M118=$A$15),$M118&gt;(ROW(PLE.lastrow)-ROW(PLE.firstrow))),0,
           IF(OFFSET(PLE!$G$15,$M118-$A$15,CA$13)="",10^12,OFFSET(PLE!$G$15,$M118-$A$15,CA$13)))</f>
        <v>0</v>
      </c>
      <c r="CB118" s="172">
        <f ca="1">IF(OR($D118&lt;&gt;"Serviço",AND(AUTOEVENTO="Manual",$M118=$A$15),$M118&gt;(ROW(PLE.lastrow)-ROW(PLE.firstrow))),0,
           IF(OFFSET(PLE!$G$15,$M118-$A$15,CB$13)="",10^12,OFFSET(PLE!$G$15,$M118-$A$15,CB$13)))</f>
        <v>0</v>
      </c>
      <c r="CC118" s="172">
        <f ca="1">IF(OR($D118&lt;&gt;"Serviço",AND(AUTOEVENTO="Manual",$M118=$A$15),$M118&gt;(ROW(PLE.lastrow)-ROW(PLE.firstrow))),0,
           IF(OFFSET(PLE!$G$15,$M118-$A$15,CC$13)="",10^12,OFFSET(PLE!$G$15,$M118-$A$15,CC$13)))</f>
        <v>0</v>
      </c>
      <c r="CD118" s="172">
        <f ca="1">IF(OR($D118&lt;&gt;"Serviço",AND(AUTOEVENTO="Manual",$M118=$A$15),$M118&gt;(ROW(PLE.lastrow)-ROW(PLE.firstrow))),0,
           IF(OFFSET(PLE!$G$15,$M118-$A$15,CD$13)="",10^12,OFFSET(PLE!$G$15,$M118-$A$15,CD$13)))</f>
        <v>0</v>
      </c>
      <c r="CE118" s="172">
        <f ca="1">IF(OR($D118&lt;&gt;"Serviço",AND(AUTOEVENTO="Manual",$M118=$A$15),$M118&gt;(ROW(PLE.lastrow)-ROW(PLE.firstrow))),0,
           IF(OFFSET(PLE!$G$15,$M118-$A$15,CE$13)="",10^12,OFFSET(PLE!$G$15,$M118-$A$15,CE$13)))</f>
        <v>0</v>
      </c>
      <c r="CF118" s="172">
        <f ca="1">IF(OR($D118&lt;&gt;"Serviço",AND(AUTOEVENTO="Manual",$M118=$A$15),$M118&gt;(ROW(PLE.lastrow)-ROW(PLE.firstrow))),0,
           IF(OFFSET(PLE!$G$15,$M118-$A$15,CF$13)="",10^12,OFFSET(PLE!$G$15,$M118-$A$15,CF$13)))</f>
        <v>0</v>
      </c>
      <c r="CG118" s="172">
        <f ca="1">IF(OR($D118&lt;&gt;"Serviço",AND(AUTOEVENTO="Manual",$M118=$A$15),$M118&gt;(ROW(PLE.lastrow)-ROW(PLE.firstrow))),0,
           IF(OFFSET(PLE!$G$15,$M118-$A$15,CG$13)="",10^12,OFFSET(PLE!$G$15,$M118-$A$15,CG$13)))</f>
        <v>0</v>
      </c>
      <c r="CH118" s="172">
        <f ca="1">IF(OR($D118&lt;&gt;"Serviço",AND(AUTOEVENTO="Manual",$M118=$A$15),$M118&gt;(ROW(PLE.lastrow)-ROW(PLE.firstrow))),0,
           IF(OFFSET(PLE!$G$15,$M118-$A$15,CH$13)="",10^12,OFFSET(PLE!$G$15,$M118-$A$15,CH$13)))</f>
        <v>0</v>
      </c>
      <c r="CI118" s="172">
        <f ca="1">IF(OR($D118&lt;&gt;"Serviço",AND(AUTOEVENTO="Manual",$M118=$A$15),$M118&gt;(ROW(PLE.lastrow)-ROW(PLE.firstrow))),0,
           IF(OFFSET(PLE!$G$15,$M118-$A$15,CI$13)="",10^12,OFFSET(PLE!$G$15,$M118-$A$15,CI$13)))</f>
        <v>0</v>
      </c>
      <c r="CJ118" s="172">
        <f ca="1">IF(OR($D118&lt;&gt;"Serviço",AND(AUTOEVENTO="Manual",$M118=$A$15),$M118&gt;(ROW(PLE.lastrow)-ROW(PLE.firstrow))),0,
           IF(OFFSET(PLE!$G$15,$M118-$A$15,CJ$13)="",10^12,OFFSET(PLE!$G$15,$M118-$A$15,CJ$13)))</f>
        <v>0</v>
      </c>
      <c r="CK118" s="172">
        <f ca="1">IF(OR($D118&lt;&gt;"Serviço",AND(AUTOEVENTO="Manual",$M118=$A$15),$M118&gt;(ROW(PLE.lastrow)-ROW(PLE.firstrow))),0,
           IF(OFFSET(PLE!$G$15,$M118-$A$15,CK$13)="",10^12,OFFSET(PLE!$G$15,$M118-$A$15,CK$13)))</f>
        <v>0</v>
      </c>
      <c r="CL118" s="172">
        <f ca="1">IF(OR($D118&lt;&gt;"Serviço",AND(AUTOEVENTO="Manual",$M118=$A$15),$M118&gt;(ROW(PLE.lastrow)-ROW(PLE.firstrow))),0,
           IF(OFFSET(PLE!$G$15,$M118-$A$15,CL$13)="",10^12,OFFSET(PLE!$G$15,$M118-$A$15,CL$13)))</f>
        <v>0</v>
      </c>
      <c r="CM118" s="172">
        <f ca="1">IF(OR($D118&lt;&gt;"Serviço",AND(AUTOEVENTO="Manual",$M118=$A$15),$M118&gt;(ROW(PLE.lastrow)-ROW(PLE.firstrow))),0,
           IF(OFFSET(PLE!$G$15,$M118-$A$15,CM$13)="",10^12,OFFSET(PLE!$G$15,$M118-$A$15,CM$13)))</f>
        <v>0</v>
      </c>
    </row>
    <row r="119" spans="1:91" ht="63.75" x14ac:dyDescent="0.2">
      <c r="A119" s="7">
        <f t="shared" ca="1" si="11"/>
        <v>4</v>
      </c>
      <c r="B119" s="7" t="str">
        <f ca="1">OFFSET(ORÇAMENTO!C$15,ROW(B119)-ROW(B$15),0)</f>
        <v>S</v>
      </c>
      <c r="C119" s="7" t="str">
        <f ca="1">OFFSET(ORÇAMENTO!L$15,ROW(C119)-ROW(C$15),0)</f>
        <v>F</v>
      </c>
      <c r="D119" s="116" t="str">
        <f ca="1">OFFSET(ORÇAMENTO!N$15,ROW(D119)-ROW(D$15),0)</f>
        <v>Serviço</v>
      </c>
      <c r="E119" s="117" t="str">
        <f ca="1">OFFSET(ORÇAMENTO!O$15,ROW(E119)-ROW(E$15),0)</f>
        <v>1.5.2.2.1.</v>
      </c>
      <c r="F119" s="163" t="str">
        <f ca="1">OFFSET(ORÇAMENTO!R$15,ROW(F119)-ROW(F$15),0)</f>
        <v>CONCRETO FCK = 40MPA, TRAÇO 1:1,6:1,9 (EM MASSA SECA DE CIMENTO/ AREIA MÉDIA/ BRITA 1) - PREPARO MECÂNICO COM BETONEIRA 600 L. AF_05/2021</v>
      </c>
      <c r="G119" s="164" t="str">
        <f ca="1">IF($D119&lt;&gt;"Serviço","",OFFSET(ORÇAMENTO!S$15,ROW(G119)-ROW(G$15),0))</f>
        <v>M3</v>
      </c>
      <c r="H119" s="122" cm="1">
        <f t="array" aca="1" ref="H119" ca="1">IF($D119&lt;&gt;"Serviço",0,IF(ACOMPANHAMENTO="BM",ROUND(OFFSET(ORÇAMENTO!AJ$15,ROW(H119)-ROW(H$15),0),15-13*ORÇAMENTO!$AF$7),SUMPRODUCT(($Q$1:$AI$1=1)*ROUND($Q119:$AI119,15-13*ORÇAMENTO!$AF$7))))</f>
        <v>228.37</v>
      </c>
      <c r="I119" s="468" t="s">
        <v>1318</v>
      </c>
      <c r="J119" s="640" t="str" cm="1">
        <f t="array" aca="1" ref="J119" ca="1">IF(OR(B119&lt;&gt;"S",CÁLCULO.FrentesPreenchidas=0),"",IF(AND(ACOMPANHAMENTO="PLE",AUTOEVENTO="Manual",OR(H119&gt;0,ORÇAMENTO!AC119="QUANT."),OR(K119="",M119=0,N119="")),"►E",IF(AND(ACOMPANHAMENTO="PLE",ORÇAMENTO!AC119="QUANT."),"►Q",IF(AND(ACOMPANHAMENTO="PLE",H119&lt;&gt;SUMPRODUCT(($Q$1:$AI$1=1)*ROUND(Q119:AI119,15))),"►S",IF(AND(COUNTIF($P$11:$AI$11,"▼")=0,H119&gt;0,I119=""),"◄M","")))))</f>
        <v/>
      </c>
      <c r="K119" s="641" t="s">
        <v>1389</v>
      </c>
      <c r="L119" s="165" t="s">
        <v>764</v>
      </c>
      <c r="M119" s="166">
        <f ca="1">IF($D119&lt;&gt;"Serviço","",
          IF(AUTOEVENTO="manual",$A119,
                IF(ISERROR(MATCH($A119,$A$15:OFFSET($A119,-1,0),0)),MAX($M$15:OFFSET(M119,-1,0))+1,
                      INDEX($M$15:OFFSET(M119,-1,0),MATCH($A119,$A$15:OFFSET($A119,-1,0),0)))))</f>
        <v>4</v>
      </c>
      <c r="N119" s="167" t="str">
        <f ca="1">IF($D119&lt;&gt;"Serviço","",
         IF(AUTOEVENTO="Manual",
                IF($A119=0,"&lt;-- defina o número do agrupador",
                       OFFSET(EVENTOS!$D$15,$A119-$A$15,0)),
                OFFSET($F$15,$A119,0)))</f>
        <v>Estruturas de Concreto</v>
      </c>
      <c r="O119" s="168"/>
      <c r="Q119" s="168"/>
      <c r="R119" s="169"/>
      <c r="S119" s="169"/>
      <c r="T119" s="169">
        <v>228.37</v>
      </c>
      <c r="U119" s="169"/>
      <c r="V119" s="169"/>
      <c r="W119" s="169"/>
      <c r="X119" s="169"/>
      <c r="Y119" s="169"/>
      <c r="Z119" s="170"/>
      <c r="AA119" s="169"/>
      <c r="AB119" s="169"/>
      <c r="AC119" s="169"/>
      <c r="AD119" s="169"/>
      <c r="AE119" s="169"/>
      <c r="AF119" s="169"/>
      <c r="AG119" s="169"/>
      <c r="AH119" s="170"/>
      <c r="AJ119" s="453">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0</v>
      </c>
      <c r="AK119" s="453">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0</v>
      </c>
      <c r="AL119" s="453">
        <f ca="1">IF(AND($D119="Serviço",AL$12&lt;&gt;0,$H119&gt;0,OR(AUTOEVENTO&lt;&gt;"manual",$M119&lt;&gt;$A$15)),
        IF(Import.TipoArredondamento&lt;&gt;"TransfereGOV",
              ROUND(OFFSET($P119,0,AL$13),15-13*ORÇAMENTO!$AF$7)/$H119*OFFSET(ORÇAMENTO!$X$15,ROW(AL119)-ROW(AL$15),0),
              ROUND(ROUND(OFFSET($P119,0,AL$13),15-13*ORÇAMENTO!$AF$7)*OFFSET(ORÇAMENTO!$W$15,ROW(AL119)-ROW(AL$15),0),15-13*ORÇAMENTO!$AF$11)),
         0)</f>
        <v>0</v>
      </c>
      <c r="AM119" s="453">
        <f ca="1">IF(AND($D119="Serviço",AM$12&lt;&gt;0,$H119&gt;0,OR(AUTOEVENTO&lt;&gt;"manual",$M119&lt;&gt;$A$15)),
        IF(Import.TipoArredondamento&lt;&gt;"TransfereGOV",
              ROUND(OFFSET($P119,0,AM$13),15-13*ORÇAMENTO!$AF$7)/$H119*OFFSET(ORÇAMENTO!$X$15,ROW(AM119)-ROW(AM$15),0),
              ROUND(ROUND(OFFSET($P119,0,AM$13),15-13*ORÇAMENTO!$AF$7)*OFFSET(ORÇAMENTO!$W$15,ROW(AM119)-ROW(AM$15),0),15-13*ORÇAMENTO!$AF$11)),
         0)</f>
        <v>0</v>
      </c>
      <c r="AN119" s="453">
        <f ca="1">IF(AND($D119="Serviço",AN$12&lt;&gt;0,$H119&gt;0,OR(AUTOEVENTO&lt;&gt;"manual",$M119&lt;&gt;$A$15)),
        IF(Import.TipoArredondamento&lt;&gt;"TransfereGOV",
              ROUND(OFFSET($P119,0,AN$13),15-13*ORÇAMENTO!$AF$7)/$H119*OFFSET(ORÇAMENTO!$X$15,ROW(AN119)-ROW(AN$15),0),
              ROUND(ROUND(OFFSET($P119,0,AN$13),15-13*ORÇAMENTO!$AF$7)*OFFSET(ORÇAMENTO!$W$15,ROW(AN119)-ROW(AN$15),0),15-13*ORÇAMENTO!$AF$11)),
         0)</f>
        <v>0</v>
      </c>
      <c r="AO119" s="453">
        <f ca="1">IF(AND($D119="Serviço",AO$12&lt;&gt;0,$H119&gt;0,OR(AUTOEVENTO&lt;&gt;"manual",$M119&lt;&gt;$A$15)),
        IF(Import.TipoArredondamento&lt;&gt;"TransfereGOV",
              ROUND(OFFSET($P119,0,AO$13),15-13*ORÇAMENTO!$AF$7)/$H119*OFFSET(ORÇAMENTO!$X$15,ROW(AO119)-ROW(AO$15),0),
              ROUND(ROUND(OFFSET($P119,0,AO$13),15-13*ORÇAMENTO!$AF$7)*OFFSET(ORÇAMENTO!$W$15,ROW(AO119)-ROW(AO$15),0),15-13*ORÇAMENTO!$AF$11)),
         0)</f>
        <v>0</v>
      </c>
      <c r="AP119" s="453">
        <f ca="1">IF(AND($D119="Serviço",AP$12&lt;&gt;0,$H119&gt;0,OR(AUTOEVENTO&lt;&gt;"manual",$M119&lt;&gt;$A$15)),
        IF(Import.TipoArredondamento&lt;&gt;"TransfereGOV",
              ROUND(OFFSET($P119,0,AP$13),15-13*ORÇAMENTO!$AF$7)/$H119*OFFSET(ORÇAMENTO!$X$15,ROW(AP119)-ROW(AP$15),0),
              ROUND(ROUND(OFFSET($P119,0,AP$13),15-13*ORÇAMENTO!$AF$7)*OFFSET(ORÇAMENTO!$W$15,ROW(AP119)-ROW(AP$15),0),15-13*ORÇAMENTO!$AF$11)),
         0)</f>
        <v>0</v>
      </c>
      <c r="AQ119" s="453">
        <f ca="1">IF(AND($D119="Serviço",AQ$12&lt;&gt;0,$H119&gt;0,OR(AUTOEVENTO&lt;&gt;"manual",$M119&lt;&gt;$A$15)),
        IF(Import.TipoArredondamento&lt;&gt;"TransfereGOV",
              ROUND(OFFSET($P119,0,AQ$13),15-13*ORÇAMENTO!$AF$7)/$H119*OFFSET(ORÇAMENTO!$X$15,ROW(AQ119)-ROW(AQ$15),0),
              ROUND(ROUND(OFFSET($P119,0,AQ$13),15-13*ORÇAMENTO!$AF$7)*OFFSET(ORÇAMENTO!$W$15,ROW(AQ119)-ROW(AQ$15),0),15-13*ORÇAMENTO!$AF$11)),
         0)</f>
        <v>0</v>
      </c>
      <c r="AR119" s="453">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3">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3">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3">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3">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3">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3">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3">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3">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3">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C119" s="171">
        <f ca="1">IF(OR($D119&lt;&gt;"Serviço",AND(AUTOEVENTO="Manual",$M119=$A$15)),0,
         IF(OFFSET(CRONOPLE!$F$15,$M119-$A$15,BC$13)=0,10^12,OFFSET(CRONOPLE!$F$15,$M119-$A$15,BC$13)))</f>
        <v>1</v>
      </c>
      <c r="BD119" s="171">
        <f ca="1">IF(OR($D119&lt;&gt;"Serviço",AND(AUTOEVENTO="Manual",$M119=$A$15)),0,
         IF(OFFSET(CRONOPLE!$F$15,$M119-$A$15,BD$13)=0,10^12,OFFSET(CRONOPLE!$F$15,$M119-$A$15,BD$13)))</f>
        <v>2</v>
      </c>
      <c r="BE119" s="171">
        <f ca="1">IF(OR($D119&lt;&gt;"Serviço",AND(AUTOEVENTO="Manual",$M119=$A$15)),0,
         IF(OFFSET(CRONOPLE!$F$15,$M119-$A$15,BE$13)=0,10^12,OFFSET(CRONOPLE!$F$15,$M119-$A$15,BE$13)))</f>
        <v>3</v>
      </c>
      <c r="BF119" s="171">
        <f ca="1">IF(OR($D119&lt;&gt;"Serviço",AND(AUTOEVENTO="Manual",$M119=$A$15)),0,
         IF(OFFSET(CRONOPLE!$F$15,$M119-$A$15,BF$13)=0,10^12,OFFSET(CRONOPLE!$F$15,$M119-$A$15,BF$13)))</f>
        <v>4</v>
      </c>
      <c r="BG119" s="171">
        <f ca="1">IF(OR($D119&lt;&gt;"Serviço",AND(AUTOEVENTO="Manual",$M119=$A$15)),0,
         IF(OFFSET(CRONOPLE!$F$15,$M119-$A$15,BG$13)=0,10^12,OFFSET(CRONOPLE!$F$15,$M119-$A$15,BG$13)))</f>
        <v>5</v>
      </c>
      <c r="BH119" s="171">
        <f ca="1">IF(OR($D119&lt;&gt;"Serviço",AND(AUTOEVENTO="Manual",$M119=$A$15)),0,
         IF(OFFSET(CRONOPLE!$F$15,$M119-$A$15,BH$13)=0,10^12,OFFSET(CRONOPLE!$F$15,$M119-$A$15,BH$13)))</f>
        <v>6</v>
      </c>
      <c r="BI119" s="171">
        <f ca="1">IF(OR($D119&lt;&gt;"Serviço",AND(AUTOEVENTO="Manual",$M119=$A$15)),0,
         IF(OFFSET(CRONOPLE!$F$15,$M119-$A$15,BI$13)=0,10^12,OFFSET(CRONOPLE!$F$15,$M119-$A$15,BI$13)))</f>
        <v>7</v>
      </c>
      <c r="BJ119" s="171">
        <f ca="1">IF(OR($D119&lt;&gt;"Serviço",AND(AUTOEVENTO="Manual",$M119=$A$15)),0,
         IF(OFFSET(CRONOPLE!$F$15,$M119-$A$15,BJ$13)=0,10^12,OFFSET(CRONOPLE!$F$15,$M119-$A$15,BJ$13)))</f>
        <v>8</v>
      </c>
      <c r="BK119" s="171">
        <f ca="1">IF(OR($D119&lt;&gt;"Serviço",AND(AUTOEVENTO="Manual",$M119=$A$15)),0,
         IF(OFFSET(CRONOPLE!$F$15,$M119-$A$15,BK$13)=0,10^12,OFFSET(CRONOPLE!$F$15,$M119-$A$15,BK$13)))</f>
        <v>9</v>
      </c>
      <c r="BL119" s="171">
        <f ca="1">IF(OR($D119&lt;&gt;"Serviço",AND(AUTOEVENTO="Manual",$M119=$A$15)),0,
         IF(OFFSET(CRONOPLE!$F$15,$M119-$A$15,BL$13)=0,10^12,OFFSET(CRONOPLE!$F$15,$M119-$A$15,BL$13)))</f>
        <v>10</v>
      </c>
      <c r="BM119" s="171">
        <f ca="1">IF(OR($D119&lt;&gt;"Serviço",AND(AUTOEVENTO="Manual",$M119=$A$15)),0,
         IF(OFFSET(CRONOPLE!$F$15,$M119-$A$15,BM$13)=0,10^12,OFFSET(CRONOPLE!$F$15,$M119-$A$15,BM$13)))</f>
        <v>1000000000000</v>
      </c>
      <c r="BN119" s="171">
        <f ca="1">IF(OR($D119&lt;&gt;"Serviço",AND(AUTOEVENTO="Manual",$M119=$A$15)),0,
         IF(OFFSET(CRONOPLE!$F$15,$M119-$A$15,BN$13)=0,10^12,OFFSET(CRONOPLE!$F$15,$M119-$A$15,BN$13)))</f>
        <v>1000000000000</v>
      </c>
      <c r="BO119" s="171">
        <f ca="1">IF(OR($D119&lt;&gt;"Serviço",AND(AUTOEVENTO="Manual",$M119=$A$15)),0,
         IF(OFFSET(CRONOPLE!$F$15,$M119-$A$15,BO$13)=0,10^12,OFFSET(CRONOPLE!$F$15,$M119-$A$15,BO$13)))</f>
        <v>1000000000000</v>
      </c>
      <c r="BP119" s="171">
        <f ca="1">IF(OR($D119&lt;&gt;"Serviço",AND(AUTOEVENTO="Manual",$M119=$A$15)),0,
         IF(OFFSET(CRONOPLE!$F$15,$M119-$A$15,BP$13)=0,10^12,OFFSET(CRONOPLE!$F$15,$M119-$A$15,BP$13)))</f>
        <v>1000000000000</v>
      </c>
      <c r="BQ119" s="171">
        <f ca="1">IF(OR($D119&lt;&gt;"Serviço",AND(AUTOEVENTO="Manual",$M119=$A$15)),0,
         IF(OFFSET(CRONOPLE!$F$15,$M119-$A$15,BQ$13)=0,10^12,OFFSET(CRONOPLE!$F$15,$M119-$A$15,BQ$13)))</f>
        <v>1000000000000</v>
      </c>
      <c r="BR119" s="171">
        <f ca="1">IF(OR($D119&lt;&gt;"Serviço",AND(AUTOEVENTO="Manual",$M119=$A$15)),0,
         IF(OFFSET(CRONOPLE!$F$15,$M119-$A$15,BR$13)=0,10^12,OFFSET(CRONOPLE!$F$15,$M119-$A$15,BR$13)))</f>
        <v>1000000000000</v>
      </c>
      <c r="BS119" s="171">
        <f ca="1">IF(OR($D119&lt;&gt;"Serviço",AND(AUTOEVENTO="Manual",$M119=$A$15)),0,
         IF(OFFSET(CRONOPLE!$F$15,$M119-$A$15,BS$13)=0,10^12,OFFSET(CRONOPLE!$F$15,$M119-$A$15,BS$13)))</f>
        <v>1000000000000</v>
      </c>
      <c r="BT119" s="171">
        <f ca="1">IF(OR($D119&lt;&gt;"Serviço",AND(AUTOEVENTO="Manual",$M119=$A$15)),0,
         IF(OFFSET(CRONOPLE!$F$15,$M119-$A$15,BT$13)=0,10^12,OFFSET(CRONOPLE!$F$15,$M119-$A$15,BT$13)))</f>
        <v>1000000000000</v>
      </c>
      <c r="BV119" s="172">
        <f ca="1">IF(OR($D119&lt;&gt;"Serviço",AND(AUTOEVENTO="Manual",$M119=$A$15),$M119&gt;(ROW(PLE.lastrow)-ROW(PLE.firstrow))),0,
           IF(OFFSET(PLE!$G$15,$M119-$A$15,BV$13)="",10^12,OFFSET(PLE!$G$15,$M119-$A$15,BV$13)))</f>
        <v>1000000000000</v>
      </c>
      <c r="BW119" s="172">
        <f ca="1">IF(OR($D119&lt;&gt;"Serviço",AND(AUTOEVENTO="Manual",$M119=$A$15),$M119&gt;(ROW(PLE.lastrow)-ROW(PLE.firstrow))),0,
           IF(OFFSET(PLE!$G$15,$M119-$A$15,BW$13)="",10^12,OFFSET(PLE!$G$15,$M119-$A$15,BW$13)))</f>
        <v>1000000000000</v>
      </c>
      <c r="BX119" s="172">
        <f ca="1">IF(OR($D119&lt;&gt;"Serviço",AND(AUTOEVENTO="Manual",$M119=$A$15),$M119&gt;(ROW(PLE.lastrow)-ROW(PLE.firstrow))),0,
           IF(OFFSET(PLE!$G$15,$M119-$A$15,BX$13)="",10^12,OFFSET(PLE!$G$15,$M119-$A$15,BX$13)))</f>
        <v>1000000000000</v>
      </c>
      <c r="BY119" s="172">
        <f ca="1">IF(OR($D119&lt;&gt;"Serviço",AND(AUTOEVENTO="Manual",$M119=$A$15),$M119&gt;(ROW(PLE.lastrow)-ROW(PLE.firstrow))),0,
           IF(OFFSET(PLE!$G$15,$M119-$A$15,BY$13)="",10^12,OFFSET(PLE!$G$15,$M119-$A$15,BY$13)))</f>
        <v>1000000000000</v>
      </c>
      <c r="BZ119" s="172">
        <f ca="1">IF(OR($D119&lt;&gt;"Serviço",AND(AUTOEVENTO="Manual",$M119=$A$15),$M119&gt;(ROW(PLE.lastrow)-ROW(PLE.firstrow))),0,
           IF(OFFSET(PLE!$G$15,$M119-$A$15,BZ$13)="",10^12,OFFSET(PLE!$G$15,$M119-$A$15,BZ$13)))</f>
        <v>1000000000000</v>
      </c>
      <c r="CA119" s="172">
        <f ca="1">IF(OR($D119&lt;&gt;"Serviço",AND(AUTOEVENTO="Manual",$M119=$A$15),$M119&gt;(ROW(PLE.lastrow)-ROW(PLE.firstrow))),0,
           IF(OFFSET(PLE!$G$15,$M119-$A$15,CA$13)="",10^12,OFFSET(PLE!$G$15,$M119-$A$15,CA$13)))</f>
        <v>1000000000000</v>
      </c>
      <c r="CB119" s="172">
        <f ca="1">IF(OR($D119&lt;&gt;"Serviço",AND(AUTOEVENTO="Manual",$M119=$A$15),$M119&gt;(ROW(PLE.lastrow)-ROW(PLE.firstrow))),0,
           IF(OFFSET(PLE!$G$15,$M119-$A$15,CB$13)="",10^12,OFFSET(PLE!$G$15,$M119-$A$15,CB$13)))</f>
        <v>1000000000000</v>
      </c>
      <c r="CC119" s="172">
        <f ca="1">IF(OR($D119&lt;&gt;"Serviço",AND(AUTOEVENTO="Manual",$M119=$A$15),$M119&gt;(ROW(PLE.lastrow)-ROW(PLE.firstrow))),0,
           IF(OFFSET(PLE!$G$15,$M119-$A$15,CC$13)="",10^12,OFFSET(PLE!$G$15,$M119-$A$15,CC$13)))</f>
        <v>1000000000000</v>
      </c>
      <c r="CD119" s="172">
        <f ca="1">IF(OR($D119&lt;&gt;"Serviço",AND(AUTOEVENTO="Manual",$M119=$A$15),$M119&gt;(ROW(PLE.lastrow)-ROW(PLE.firstrow))),0,
           IF(OFFSET(PLE!$G$15,$M119-$A$15,CD$13)="",10^12,OFFSET(PLE!$G$15,$M119-$A$15,CD$13)))</f>
        <v>1000000000000</v>
      </c>
      <c r="CE119" s="172">
        <f ca="1">IF(OR($D119&lt;&gt;"Serviço",AND(AUTOEVENTO="Manual",$M119=$A$15),$M119&gt;(ROW(PLE.lastrow)-ROW(PLE.firstrow))),0,
           IF(OFFSET(PLE!$G$15,$M119-$A$15,CE$13)="",10^12,OFFSET(PLE!$G$15,$M119-$A$15,CE$13)))</f>
        <v>1000000000000</v>
      </c>
      <c r="CF119" s="172">
        <f ca="1">IF(OR($D119&lt;&gt;"Serviço",AND(AUTOEVENTO="Manual",$M119=$A$15),$M119&gt;(ROW(PLE.lastrow)-ROW(PLE.firstrow))),0,
           IF(OFFSET(PLE!$G$15,$M119-$A$15,CF$13)="",10^12,OFFSET(PLE!$G$15,$M119-$A$15,CF$13)))</f>
        <v>1000000000000</v>
      </c>
      <c r="CG119" s="172">
        <f ca="1">IF(OR($D119&lt;&gt;"Serviço",AND(AUTOEVENTO="Manual",$M119=$A$15),$M119&gt;(ROW(PLE.lastrow)-ROW(PLE.firstrow))),0,
           IF(OFFSET(PLE!$G$15,$M119-$A$15,CG$13)="",10^12,OFFSET(PLE!$G$15,$M119-$A$15,CG$13)))</f>
        <v>1000000000000</v>
      </c>
      <c r="CH119" s="172">
        <f ca="1">IF(OR($D119&lt;&gt;"Serviço",AND(AUTOEVENTO="Manual",$M119=$A$15),$M119&gt;(ROW(PLE.lastrow)-ROW(PLE.firstrow))),0,
           IF(OFFSET(PLE!$G$15,$M119-$A$15,CH$13)="",10^12,OFFSET(PLE!$G$15,$M119-$A$15,CH$13)))</f>
        <v>1000000000000</v>
      </c>
      <c r="CI119" s="172">
        <f ca="1">IF(OR($D119&lt;&gt;"Serviço",AND(AUTOEVENTO="Manual",$M119=$A$15),$M119&gt;(ROW(PLE.lastrow)-ROW(PLE.firstrow))),0,
           IF(OFFSET(PLE!$G$15,$M119-$A$15,CI$13)="",10^12,OFFSET(PLE!$G$15,$M119-$A$15,CI$13)))</f>
        <v>1000000000000</v>
      </c>
      <c r="CJ119" s="172">
        <f ca="1">IF(OR($D119&lt;&gt;"Serviço",AND(AUTOEVENTO="Manual",$M119=$A$15),$M119&gt;(ROW(PLE.lastrow)-ROW(PLE.firstrow))),0,
           IF(OFFSET(PLE!$G$15,$M119-$A$15,CJ$13)="",10^12,OFFSET(PLE!$G$15,$M119-$A$15,CJ$13)))</f>
        <v>1000000000000</v>
      </c>
      <c r="CK119" s="172">
        <f ca="1">IF(OR($D119&lt;&gt;"Serviço",AND(AUTOEVENTO="Manual",$M119=$A$15),$M119&gt;(ROW(PLE.lastrow)-ROW(PLE.firstrow))),0,
           IF(OFFSET(PLE!$G$15,$M119-$A$15,CK$13)="",10^12,OFFSET(PLE!$G$15,$M119-$A$15,CK$13)))</f>
        <v>1000000000000</v>
      </c>
      <c r="CL119" s="172">
        <f ca="1">IF(OR($D119&lt;&gt;"Serviço",AND(AUTOEVENTO="Manual",$M119=$A$15),$M119&gt;(ROW(PLE.lastrow)-ROW(PLE.firstrow))),0,
           IF(OFFSET(PLE!$G$15,$M119-$A$15,CL$13)="",10^12,OFFSET(PLE!$G$15,$M119-$A$15,CL$13)))</f>
        <v>1000000000000</v>
      </c>
      <c r="CM119" s="172">
        <f ca="1">IF(OR($D119&lt;&gt;"Serviço",AND(AUTOEVENTO="Manual",$M119=$A$15),$M119&gt;(ROW(PLE.lastrow)-ROW(PLE.firstrow))),0,
           IF(OFFSET(PLE!$G$15,$M119-$A$15,CM$13)="",10^12,OFFSET(PLE!$G$15,$M119-$A$15,CM$13)))</f>
        <v>1000000000000</v>
      </c>
    </row>
    <row r="120" spans="1:91" ht="63.75" x14ac:dyDescent="0.2">
      <c r="A120" s="7">
        <f t="shared" ca="1" si="11"/>
        <v>4</v>
      </c>
      <c r="B120" s="7" t="str">
        <f ca="1">OFFSET(ORÇAMENTO!C$15,ROW(B120)-ROW(B$15),0)</f>
        <v>S</v>
      </c>
      <c r="C120" s="7" t="str">
        <f ca="1">OFFSET(ORÇAMENTO!L$15,ROW(C120)-ROW(C$15),0)</f>
        <v>F</v>
      </c>
      <c r="D120" s="116" t="str">
        <f ca="1">OFFSET(ORÇAMENTO!N$15,ROW(D120)-ROW(D$15),0)</f>
        <v>Serviço</v>
      </c>
      <c r="E120" s="117" t="str">
        <f ca="1">OFFSET(ORÇAMENTO!O$15,ROW(E120)-ROW(E$15),0)</f>
        <v>1.5.2.2.2.</v>
      </c>
      <c r="F120" s="163" t="str">
        <f ca="1">OFFSET(ORÇAMENTO!R$15,ROW(F120)-ROW(F$15),0)</f>
        <v>LANÇAMENTO COM USO DE BOMBA, ADENSAMENTO E ACABAMENTO DE CONCRETO EM ESTRUTURAS. AF_02/2022</v>
      </c>
      <c r="G120" s="164" t="str">
        <f ca="1">IF($D120&lt;&gt;"Serviço","",OFFSET(ORÇAMENTO!S$15,ROW(G120)-ROW(G$15),0))</f>
        <v>M3</v>
      </c>
      <c r="H120" s="122" cm="1">
        <f t="array" aca="1" ref="H120" ca="1">IF($D120&lt;&gt;"Serviço",0,IF(ACOMPANHAMENTO="BM",ROUND(OFFSET(ORÇAMENTO!AJ$15,ROW(H120)-ROW(H$15),0),15-13*ORÇAMENTO!$AF$7),SUMPRODUCT(($Q$1:$AI$1=1)*ROUND($Q120:$AI120,15-13*ORÇAMENTO!$AF$7))))</f>
        <v>228.37</v>
      </c>
      <c r="I120" s="468" t="s">
        <v>1318</v>
      </c>
      <c r="J120" s="640" t="str" cm="1">
        <f t="array" aca="1" ref="J120" ca="1">IF(OR(B120&lt;&gt;"S",CÁLCULO.FrentesPreenchidas=0),"",IF(AND(ACOMPANHAMENTO="PLE",AUTOEVENTO="Manual",OR(H120&gt;0,ORÇAMENTO!AC120="QUANT."),OR(K120="",M120=0,N120="")),"►E",IF(AND(ACOMPANHAMENTO="PLE",ORÇAMENTO!AC120="QUANT."),"►Q",IF(AND(ACOMPANHAMENTO="PLE",H120&lt;&gt;SUMPRODUCT(($Q$1:$AI$1=1)*ROUND(Q120:AI120,15))),"►S",IF(AND(COUNTIF($P$11:$AI$11,"▼")=0,H120&gt;0,I120=""),"◄M","")))))</f>
        <v/>
      </c>
      <c r="K120" s="641" t="s">
        <v>1389</v>
      </c>
      <c r="L120" s="165" t="s">
        <v>764</v>
      </c>
      <c r="M120" s="166">
        <f ca="1">IF($D120&lt;&gt;"Serviço","",
          IF(AUTOEVENTO="manual",$A120,
                IF(ISERROR(MATCH($A120,$A$15:OFFSET($A120,-1,0),0)),MAX($M$15:OFFSET(M120,-1,0))+1,
                      INDEX($M$15:OFFSET(M120,-1,0),MATCH($A120,$A$15:OFFSET($A120,-1,0),0)))))</f>
        <v>4</v>
      </c>
      <c r="N120" s="167" t="str">
        <f ca="1">IF($D120&lt;&gt;"Serviço","",
         IF(AUTOEVENTO="Manual",
                IF($A120=0,"&lt;-- defina o número do agrupador",
                       OFFSET(EVENTOS!$D$15,$A120-$A$15,0)),
                OFFSET($F$15,$A120,0)))</f>
        <v>Estruturas de Concreto</v>
      </c>
      <c r="O120" s="168"/>
      <c r="Q120" s="168"/>
      <c r="R120" s="169"/>
      <c r="S120" s="169"/>
      <c r="T120" s="169">
        <f>T119</f>
        <v>228.37</v>
      </c>
      <c r="U120" s="169"/>
      <c r="V120" s="169"/>
      <c r="W120" s="169"/>
      <c r="X120" s="169"/>
      <c r="Y120" s="169"/>
      <c r="Z120" s="170"/>
      <c r="AA120" s="169"/>
      <c r="AB120" s="169"/>
      <c r="AC120" s="169"/>
      <c r="AD120" s="169"/>
      <c r="AE120" s="169"/>
      <c r="AF120" s="169"/>
      <c r="AG120" s="169"/>
      <c r="AH120" s="170"/>
      <c r="AJ120" s="453">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0</v>
      </c>
      <c r="AK120" s="453">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0</v>
      </c>
      <c r="AL120" s="453">
        <f ca="1">IF(AND($D120="Serviço",AL$12&lt;&gt;0,$H120&gt;0,OR(AUTOEVENTO&lt;&gt;"manual",$M120&lt;&gt;$A$15)),
        IF(Import.TipoArredondamento&lt;&gt;"TransfereGOV",
              ROUND(OFFSET($P120,0,AL$13),15-13*ORÇAMENTO!$AF$7)/$H120*OFFSET(ORÇAMENTO!$X$15,ROW(AL120)-ROW(AL$15),0),
              ROUND(ROUND(OFFSET($P120,0,AL$13),15-13*ORÇAMENTO!$AF$7)*OFFSET(ORÇAMENTO!$W$15,ROW(AL120)-ROW(AL$15),0),15-13*ORÇAMENTO!$AF$11)),
         0)</f>
        <v>0</v>
      </c>
      <c r="AM120" s="453">
        <f ca="1">IF(AND($D120="Serviço",AM$12&lt;&gt;0,$H120&gt;0,OR(AUTOEVENTO&lt;&gt;"manual",$M120&lt;&gt;$A$15)),
        IF(Import.TipoArredondamento&lt;&gt;"TransfereGOV",
              ROUND(OFFSET($P120,0,AM$13),15-13*ORÇAMENTO!$AF$7)/$H120*OFFSET(ORÇAMENTO!$X$15,ROW(AM120)-ROW(AM$15),0),
              ROUND(ROUND(OFFSET($P120,0,AM$13),15-13*ORÇAMENTO!$AF$7)*OFFSET(ORÇAMENTO!$W$15,ROW(AM120)-ROW(AM$15),0),15-13*ORÇAMENTO!$AF$11)),
         0)</f>
        <v>0</v>
      </c>
      <c r="AN120" s="453">
        <f ca="1">IF(AND($D120="Serviço",AN$12&lt;&gt;0,$H120&gt;0,OR(AUTOEVENTO&lt;&gt;"manual",$M120&lt;&gt;$A$15)),
        IF(Import.TipoArredondamento&lt;&gt;"TransfereGOV",
              ROUND(OFFSET($P120,0,AN$13),15-13*ORÇAMENTO!$AF$7)/$H120*OFFSET(ORÇAMENTO!$X$15,ROW(AN120)-ROW(AN$15),0),
              ROUND(ROUND(OFFSET($P120,0,AN$13),15-13*ORÇAMENTO!$AF$7)*OFFSET(ORÇAMENTO!$W$15,ROW(AN120)-ROW(AN$15),0),15-13*ORÇAMENTO!$AF$11)),
         0)</f>
        <v>0</v>
      </c>
      <c r="AO120" s="453">
        <f ca="1">IF(AND($D120="Serviço",AO$12&lt;&gt;0,$H120&gt;0,OR(AUTOEVENTO&lt;&gt;"manual",$M120&lt;&gt;$A$15)),
        IF(Import.TipoArredondamento&lt;&gt;"TransfereGOV",
              ROUND(OFFSET($P120,0,AO$13),15-13*ORÇAMENTO!$AF$7)/$H120*OFFSET(ORÇAMENTO!$X$15,ROW(AO120)-ROW(AO$15),0),
              ROUND(ROUND(OFFSET($P120,0,AO$13),15-13*ORÇAMENTO!$AF$7)*OFFSET(ORÇAMENTO!$W$15,ROW(AO120)-ROW(AO$15),0),15-13*ORÇAMENTO!$AF$11)),
         0)</f>
        <v>0</v>
      </c>
      <c r="AP120" s="453">
        <f ca="1">IF(AND($D120="Serviço",AP$12&lt;&gt;0,$H120&gt;0,OR(AUTOEVENTO&lt;&gt;"manual",$M120&lt;&gt;$A$15)),
        IF(Import.TipoArredondamento&lt;&gt;"TransfereGOV",
              ROUND(OFFSET($P120,0,AP$13),15-13*ORÇAMENTO!$AF$7)/$H120*OFFSET(ORÇAMENTO!$X$15,ROW(AP120)-ROW(AP$15),0),
              ROUND(ROUND(OFFSET($P120,0,AP$13),15-13*ORÇAMENTO!$AF$7)*OFFSET(ORÇAMENTO!$W$15,ROW(AP120)-ROW(AP$15),0),15-13*ORÇAMENTO!$AF$11)),
         0)</f>
        <v>0</v>
      </c>
      <c r="AQ120" s="453">
        <f ca="1">IF(AND($D120="Serviço",AQ$12&lt;&gt;0,$H120&gt;0,OR(AUTOEVENTO&lt;&gt;"manual",$M120&lt;&gt;$A$15)),
        IF(Import.TipoArredondamento&lt;&gt;"TransfereGOV",
              ROUND(OFFSET($P120,0,AQ$13),15-13*ORÇAMENTO!$AF$7)/$H120*OFFSET(ORÇAMENTO!$X$15,ROW(AQ120)-ROW(AQ$15),0),
              ROUND(ROUND(OFFSET($P120,0,AQ$13),15-13*ORÇAMENTO!$AF$7)*OFFSET(ORÇAMENTO!$W$15,ROW(AQ120)-ROW(AQ$15),0),15-13*ORÇAMENTO!$AF$11)),
         0)</f>
        <v>0</v>
      </c>
      <c r="AR120" s="453">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3">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3">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3">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3">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3">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3">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3">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3">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3">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C120" s="171">
        <f ca="1">IF(OR($D120&lt;&gt;"Serviço",AND(AUTOEVENTO="Manual",$M120=$A$15)),0,
         IF(OFFSET(CRONOPLE!$F$15,$M120-$A$15,BC$13)=0,10^12,OFFSET(CRONOPLE!$F$15,$M120-$A$15,BC$13)))</f>
        <v>1</v>
      </c>
      <c r="BD120" s="171">
        <f ca="1">IF(OR($D120&lt;&gt;"Serviço",AND(AUTOEVENTO="Manual",$M120=$A$15)),0,
         IF(OFFSET(CRONOPLE!$F$15,$M120-$A$15,BD$13)=0,10^12,OFFSET(CRONOPLE!$F$15,$M120-$A$15,BD$13)))</f>
        <v>2</v>
      </c>
      <c r="BE120" s="171">
        <f ca="1">IF(OR($D120&lt;&gt;"Serviço",AND(AUTOEVENTO="Manual",$M120=$A$15)),0,
         IF(OFFSET(CRONOPLE!$F$15,$M120-$A$15,BE$13)=0,10^12,OFFSET(CRONOPLE!$F$15,$M120-$A$15,BE$13)))</f>
        <v>3</v>
      </c>
      <c r="BF120" s="171">
        <f ca="1">IF(OR($D120&lt;&gt;"Serviço",AND(AUTOEVENTO="Manual",$M120=$A$15)),0,
         IF(OFFSET(CRONOPLE!$F$15,$M120-$A$15,BF$13)=0,10^12,OFFSET(CRONOPLE!$F$15,$M120-$A$15,BF$13)))</f>
        <v>4</v>
      </c>
      <c r="BG120" s="171">
        <f ca="1">IF(OR($D120&lt;&gt;"Serviço",AND(AUTOEVENTO="Manual",$M120=$A$15)),0,
         IF(OFFSET(CRONOPLE!$F$15,$M120-$A$15,BG$13)=0,10^12,OFFSET(CRONOPLE!$F$15,$M120-$A$15,BG$13)))</f>
        <v>5</v>
      </c>
      <c r="BH120" s="171">
        <f ca="1">IF(OR($D120&lt;&gt;"Serviço",AND(AUTOEVENTO="Manual",$M120=$A$15)),0,
         IF(OFFSET(CRONOPLE!$F$15,$M120-$A$15,BH$13)=0,10^12,OFFSET(CRONOPLE!$F$15,$M120-$A$15,BH$13)))</f>
        <v>6</v>
      </c>
      <c r="BI120" s="171">
        <f ca="1">IF(OR($D120&lt;&gt;"Serviço",AND(AUTOEVENTO="Manual",$M120=$A$15)),0,
         IF(OFFSET(CRONOPLE!$F$15,$M120-$A$15,BI$13)=0,10^12,OFFSET(CRONOPLE!$F$15,$M120-$A$15,BI$13)))</f>
        <v>7</v>
      </c>
      <c r="BJ120" s="171">
        <f ca="1">IF(OR($D120&lt;&gt;"Serviço",AND(AUTOEVENTO="Manual",$M120=$A$15)),0,
         IF(OFFSET(CRONOPLE!$F$15,$M120-$A$15,BJ$13)=0,10^12,OFFSET(CRONOPLE!$F$15,$M120-$A$15,BJ$13)))</f>
        <v>8</v>
      </c>
      <c r="BK120" s="171">
        <f ca="1">IF(OR($D120&lt;&gt;"Serviço",AND(AUTOEVENTO="Manual",$M120=$A$15)),0,
         IF(OFFSET(CRONOPLE!$F$15,$M120-$A$15,BK$13)=0,10^12,OFFSET(CRONOPLE!$F$15,$M120-$A$15,BK$13)))</f>
        <v>9</v>
      </c>
      <c r="BL120" s="171">
        <f ca="1">IF(OR($D120&lt;&gt;"Serviço",AND(AUTOEVENTO="Manual",$M120=$A$15)),0,
         IF(OFFSET(CRONOPLE!$F$15,$M120-$A$15,BL$13)=0,10^12,OFFSET(CRONOPLE!$F$15,$M120-$A$15,BL$13)))</f>
        <v>10</v>
      </c>
      <c r="BM120" s="171">
        <f ca="1">IF(OR($D120&lt;&gt;"Serviço",AND(AUTOEVENTO="Manual",$M120=$A$15)),0,
         IF(OFFSET(CRONOPLE!$F$15,$M120-$A$15,BM$13)=0,10^12,OFFSET(CRONOPLE!$F$15,$M120-$A$15,BM$13)))</f>
        <v>1000000000000</v>
      </c>
      <c r="BN120" s="171">
        <f ca="1">IF(OR($D120&lt;&gt;"Serviço",AND(AUTOEVENTO="Manual",$M120=$A$15)),0,
         IF(OFFSET(CRONOPLE!$F$15,$M120-$A$15,BN$13)=0,10^12,OFFSET(CRONOPLE!$F$15,$M120-$A$15,BN$13)))</f>
        <v>1000000000000</v>
      </c>
      <c r="BO120" s="171">
        <f ca="1">IF(OR($D120&lt;&gt;"Serviço",AND(AUTOEVENTO="Manual",$M120=$A$15)),0,
         IF(OFFSET(CRONOPLE!$F$15,$M120-$A$15,BO$13)=0,10^12,OFFSET(CRONOPLE!$F$15,$M120-$A$15,BO$13)))</f>
        <v>1000000000000</v>
      </c>
      <c r="BP120" s="171">
        <f ca="1">IF(OR($D120&lt;&gt;"Serviço",AND(AUTOEVENTO="Manual",$M120=$A$15)),0,
         IF(OFFSET(CRONOPLE!$F$15,$M120-$A$15,BP$13)=0,10^12,OFFSET(CRONOPLE!$F$15,$M120-$A$15,BP$13)))</f>
        <v>1000000000000</v>
      </c>
      <c r="BQ120" s="171">
        <f ca="1">IF(OR($D120&lt;&gt;"Serviço",AND(AUTOEVENTO="Manual",$M120=$A$15)),0,
         IF(OFFSET(CRONOPLE!$F$15,$M120-$A$15,BQ$13)=0,10^12,OFFSET(CRONOPLE!$F$15,$M120-$A$15,BQ$13)))</f>
        <v>1000000000000</v>
      </c>
      <c r="BR120" s="171">
        <f ca="1">IF(OR($D120&lt;&gt;"Serviço",AND(AUTOEVENTO="Manual",$M120=$A$15)),0,
         IF(OFFSET(CRONOPLE!$F$15,$M120-$A$15,BR$13)=0,10^12,OFFSET(CRONOPLE!$F$15,$M120-$A$15,BR$13)))</f>
        <v>1000000000000</v>
      </c>
      <c r="BS120" s="171">
        <f ca="1">IF(OR($D120&lt;&gt;"Serviço",AND(AUTOEVENTO="Manual",$M120=$A$15)),0,
         IF(OFFSET(CRONOPLE!$F$15,$M120-$A$15,BS$13)=0,10^12,OFFSET(CRONOPLE!$F$15,$M120-$A$15,BS$13)))</f>
        <v>1000000000000</v>
      </c>
      <c r="BT120" s="171">
        <f ca="1">IF(OR($D120&lt;&gt;"Serviço",AND(AUTOEVENTO="Manual",$M120=$A$15)),0,
         IF(OFFSET(CRONOPLE!$F$15,$M120-$A$15,BT$13)=0,10^12,OFFSET(CRONOPLE!$F$15,$M120-$A$15,BT$13)))</f>
        <v>1000000000000</v>
      </c>
      <c r="BV120" s="172">
        <f ca="1">IF(OR($D120&lt;&gt;"Serviço",AND(AUTOEVENTO="Manual",$M120=$A$15),$M120&gt;(ROW(PLE.lastrow)-ROW(PLE.firstrow))),0,
           IF(OFFSET(PLE!$G$15,$M120-$A$15,BV$13)="",10^12,OFFSET(PLE!$G$15,$M120-$A$15,BV$13)))</f>
        <v>1000000000000</v>
      </c>
      <c r="BW120" s="172">
        <f ca="1">IF(OR($D120&lt;&gt;"Serviço",AND(AUTOEVENTO="Manual",$M120=$A$15),$M120&gt;(ROW(PLE.lastrow)-ROW(PLE.firstrow))),0,
           IF(OFFSET(PLE!$G$15,$M120-$A$15,BW$13)="",10^12,OFFSET(PLE!$G$15,$M120-$A$15,BW$13)))</f>
        <v>1000000000000</v>
      </c>
      <c r="BX120" s="172">
        <f ca="1">IF(OR($D120&lt;&gt;"Serviço",AND(AUTOEVENTO="Manual",$M120=$A$15),$M120&gt;(ROW(PLE.lastrow)-ROW(PLE.firstrow))),0,
           IF(OFFSET(PLE!$G$15,$M120-$A$15,BX$13)="",10^12,OFFSET(PLE!$G$15,$M120-$A$15,BX$13)))</f>
        <v>1000000000000</v>
      </c>
      <c r="BY120" s="172">
        <f ca="1">IF(OR($D120&lt;&gt;"Serviço",AND(AUTOEVENTO="Manual",$M120=$A$15),$M120&gt;(ROW(PLE.lastrow)-ROW(PLE.firstrow))),0,
           IF(OFFSET(PLE!$G$15,$M120-$A$15,BY$13)="",10^12,OFFSET(PLE!$G$15,$M120-$A$15,BY$13)))</f>
        <v>1000000000000</v>
      </c>
      <c r="BZ120" s="172">
        <f ca="1">IF(OR($D120&lt;&gt;"Serviço",AND(AUTOEVENTO="Manual",$M120=$A$15),$M120&gt;(ROW(PLE.lastrow)-ROW(PLE.firstrow))),0,
           IF(OFFSET(PLE!$G$15,$M120-$A$15,BZ$13)="",10^12,OFFSET(PLE!$G$15,$M120-$A$15,BZ$13)))</f>
        <v>1000000000000</v>
      </c>
      <c r="CA120" s="172">
        <f ca="1">IF(OR($D120&lt;&gt;"Serviço",AND(AUTOEVENTO="Manual",$M120=$A$15),$M120&gt;(ROW(PLE.lastrow)-ROW(PLE.firstrow))),0,
           IF(OFFSET(PLE!$G$15,$M120-$A$15,CA$13)="",10^12,OFFSET(PLE!$G$15,$M120-$A$15,CA$13)))</f>
        <v>1000000000000</v>
      </c>
      <c r="CB120" s="172">
        <f ca="1">IF(OR($D120&lt;&gt;"Serviço",AND(AUTOEVENTO="Manual",$M120=$A$15),$M120&gt;(ROW(PLE.lastrow)-ROW(PLE.firstrow))),0,
           IF(OFFSET(PLE!$G$15,$M120-$A$15,CB$13)="",10^12,OFFSET(PLE!$G$15,$M120-$A$15,CB$13)))</f>
        <v>1000000000000</v>
      </c>
      <c r="CC120" s="172">
        <f ca="1">IF(OR($D120&lt;&gt;"Serviço",AND(AUTOEVENTO="Manual",$M120=$A$15),$M120&gt;(ROW(PLE.lastrow)-ROW(PLE.firstrow))),0,
           IF(OFFSET(PLE!$G$15,$M120-$A$15,CC$13)="",10^12,OFFSET(PLE!$G$15,$M120-$A$15,CC$13)))</f>
        <v>1000000000000</v>
      </c>
      <c r="CD120" s="172">
        <f ca="1">IF(OR($D120&lt;&gt;"Serviço",AND(AUTOEVENTO="Manual",$M120=$A$15),$M120&gt;(ROW(PLE.lastrow)-ROW(PLE.firstrow))),0,
           IF(OFFSET(PLE!$G$15,$M120-$A$15,CD$13)="",10^12,OFFSET(PLE!$G$15,$M120-$A$15,CD$13)))</f>
        <v>1000000000000</v>
      </c>
      <c r="CE120" s="172">
        <f ca="1">IF(OR($D120&lt;&gt;"Serviço",AND(AUTOEVENTO="Manual",$M120=$A$15),$M120&gt;(ROW(PLE.lastrow)-ROW(PLE.firstrow))),0,
           IF(OFFSET(PLE!$G$15,$M120-$A$15,CE$13)="",10^12,OFFSET(PLE!$G$15,$M120-$A$15,CE$13)))</f>
        <v>1000000000000</v>
      </c>
      <c r="CF120" s="172">
        <f ca="1">IF(OR($D120&lt;&gt;"Serviço",AND(AUTOEVENTO="Manual",$M120=$A$15),$M120&gt;(ROW(PLE.lastrow)-ROW(PLE.firstrow))),0,
           IF(OFFSET(PLE!$G$15,$M120-$A$15,CF$13)="",10^12,OFFSET(PLE!$G$15,$M120-$A$15,CF$13)))</f>
        <v>1000000000000</v>
      </c>
      <c r="CG120" s="172">
        <f ca="1">IF(OR($D120&lt;&gt;"Serviço",AND(AUTOEVENTO="Manual",$M120=$A$15),$M120&gt;(ROW(PLE.lastrow)-ROW(PLE.firstrow))),0,
           IF(OFFSET(PLE!$G$15,$M120-$A$15,CG$13)="",10^12,OFFSET(PLE!$G$15,$M120-$A$15,CG$13)))</f>
        <v>1000000000000</v>
      </c>
      <c r="CH120" s="172">
        <f ca="1">IF(OR($D120&lt;&gt;"Serviço",AND(AUTOEVENTO="Manual",$M120=$A$15),$M120&gt;(ROW(PLE.lastrow)-ROW(PLE.firstrow))),0,
           IF(OFFSET(PLE!$G$15,$M120-$A$15,CH$13)="",10^12,OFFSET(PLE!$G$15,$M120-$A$15,CH$13)))</f>
        <v>1000000000000</v>
      </c>
      <c r="CI120" s="172">
        <f ca="1">IF(OR($D120&lt;&gt;"Serviço",AND(AUTOEVENTO="Manual",$M120=$A$15),$M120&gt;(ROW(PLE.lastrow)-ROW(PLE.firstrow))),0,
           IF(OFFSET(PLE!$G$15,$M120-$A$15,CI$13)="",10^12,OFFSET(PLE!$G$15,$M120-$A$15,CI$13)))</f>
        <v>1000000000000</v>
      </c>
      <c r="CJ120" s="172">
        <f ca="1">IF(OR($D120&lt;&gt;"Serviço",AND(AUTOEVENTO="Manual",$M120=$A$15),$M120&gt;(ROW(PLE.lastrow)-ROW(PLE.firstrow))),0,
           IF(OFFSET(PLE!$G$15,$M120-$A$15,CJ$13)="",10^12,OFFSET(PLE!$G$15,$M120-$A$15,CJ$13)))</f>
        <v>1000000000000</v>
      </c>
      <c r="CK120" s="172">
        <f ca="1">IF(OR($D120&lt;&gt;"Serviço",AND(AUTOEVENTO="Manual",$M120=$A$15),$M120&gt;(ROW(PLE.lastrow)-ROW(PLE.firstrow))),0,
           IF(OFFSET(PLE!$G$15,$M120-$A$15,CK$13)="",10^12,OFFSET(PLE!$G$15,$M120-$A$15,CK$13)))</f>
        <v>1000000000000</v>
      </c>
      <c r="CL120" s="172">
        <f ca="1">IF(OR($D120&lt;&gt;"Serviço",AND(AUTOEVENTO="Manual",$M120=$A$15),$M120&gt;(ROW(PLE.lastrow)-ROW(PLE.firstrow))),0,
           IF(OFFSET(PLE!$G$15,$M120-$A$15,CL$13)="",10^12,OFFSET(PLE!$G$15,$M120-$A$15,CL$13)))</f>
        <v>1000000000000</v>
      </c>
      <c r="CM120" s="172">
        <f ca="1">IF(OR($D120&lt;&gt;"Serviço",AND(AUTOEVENTO="Manual",$M120=$A$15),$M120&gt;(ROW(PLE.lastrow)-ROW(PLE.firstrow))),0,
           IF(OFFSET(PLE!$G$15,$M120-$A$15,CM$13)="",10^12,OFFSET(PLE!$G$15,$M120-$A$15,CM$13)))</f>
        <v>1000000000000</v>
      </c>
    </row>
    <row r="121" spans="1:91" ht="38.25" x14ac:dyDescent="0.2">
      <c r="A121" s="7">
        <f t="shared" ca="1" si="11"/>
        <v>4</v>
      </c>
      <c r="B121" s="7" t="str">
        <f ca="1">OFFSET(ORÇAMENTO!C$15,ROW(B121)-ROW(B$15),0)</f>
        <v>S</v>
      </c>
      <c r="C121" s="7" t="str">
        <f ca="1">OFFSET(ORÇAMENTO!L$15,ROW(C121)-ROW(C$15),0)</f>
        <v>F</v>
      </c>
      <c r="D121" s="116" t="str">
        <f ca="1">OFFSET(ORÇAMENTO!N$15,ROW(D121)-ROW(D$15),0)</f>
        <v>Serviço</v>
      </c>
      <c r="E121" s="117" t="str">
        <f ca="1">OFFSET(ORÇAMENTO!O$15,ROW(E121)-ROW(E$15),0)</f>
        <v>1.5.2.2.3.</v>
      </c>
      <c r="F121" s="163" t="str">
        <f ca="1">OFFSET(ORÇAMENTO!R$15,ROW(F121)-ROW(F$15),0)</f>
        <v xml:space="preserve">LASTRO DE CONCRETO MAGRO, INCLUSIVE TRANSPORTE, LANÇAMENTO E ADENSAMENTO </v>
      </c>
      <c r="G121" s="164" t="str">
        <f ca="1">IF($D121&lt;&gt;"Serviço","",OFFSET(ORÇAMENTO!S$15,ROW(G121)-ROW(G$15),0))</f>
        <v>M3</v>
      </c>
      <c r="H121" s="122" cm="1">
        <f t="array" aca="1" ref="H121" ca="1">IF($D121&lt;&gt;"Serviço",0,IF(ACOMPANHAMENTO="BM",ROUND(OFFSET(ORÇAMENTO!AJ$15,ROW(H121)-ROW(H$15),0),15-13*ORÇAMENTO!$AF$7),SUMPRODUCT(($Q$1:$AI$1=1)*ROUND($Q121:$AI121,15-13*ORÇAMENTO!$AF$7))))</f>
        <v>14.49</v>
      </c>
      <c r="I121" s="468" t="s">
        <v>1323</v>
      </c>
      <c r="J121" s="640" t="str" cm="1">
        <f t="array" aca="1" ref="J121" ca="1">IF(OR(B121&lt;&gt;"S",CÁLCULO.FrentesPreenchidas=0),"",IF(AND(ACOMPANHAMENTO="PLE",AUTOEVENTO="Manual",OR(H121&gt;0,ORÇAMENTO!AC121="QUANT."),OR(K121="",M121=0,N121="")),"►E",IF(AND(ACOMPANHAMENTO="PLE",ORÇAMENTO!AC121="QUANT."),"►Q",IF(AND(ACOMPANHAMENTO="PLE",H121&lt;&gt;SUMPRODUCT(($Q$1:$AI$1=1)*ROUND(Q121:AI121,15))),"►S",IF(AND(COUNTIF($P$11:$AI$11,"▼")=0,H121&gt;0,I121=""),"◄M","")))))</f>
        <v/>
      </c>
      <c r="K121" s="641" t="s">
        <v>1389</v>
      </c>
      <c r="L121" s="165" t="s">
        <v>764</v>
      </c>
      <c r="M121" s="166">
        <f ca="1">IF($D121&lt;&gt;"Serviço","",
          IF(AUTOEVENTO="manual",$A121,
                IF(ISERROR(MATCH($A121,$A$15:OFFSET($A121,-1,0),0)),MAX($M$15:OFFSET(M121,-1,0))+1,
                      INDEX($M$15:OFFSET(M121,-1,0),MATCH($A121,$A$15:OFFSET($A121,-1,0),0)))))</f>
        <v>4</v>
      </c>
      <c r="N121" s="167" t="str">
        <f ca="1">IF($D121&lt;&gt;"Serviço","",
         IF(AUTOEVENTO="Manual",
                IF($A121=0,"&lt;-- defina o número do agrupador",
                       OFFSET(EVENTOS!$D$15,$A121-$A$15,0)),
                OFFSET($F$15,$A121,0)))</f>
        <v>Estruturas de Concreto</v>
      </c>
      <c r="O121" s="168"/>
      <c r="Q121" s="168"/>
      <c r="R121" s="169"/>
      <c r="S121" s="169"/>
      <c r="T121" s="169">
        <f>ROUND(PI()*(19.21)^2/4*0.05,2)</f>
        <v>14.49</v>
      </c>
      <c r="U121" s="169"/>
      <c r="V121" s="169"/>
      <c r="W121" s="169"/>
      <c r="X121" s="169"/>
      <c r="Y121" s="169"/>
      <c r="Z121" s="170"/>
      <c r="AA121" s="169"/>
      <c r="AB121" s="169"/>
      <c r="AC121" s="169"/>
      <c r="AD121" s="169"/>
      <c r="AE121" s="169"/>
      <c r="AF121" s="169"/>
      <c r="AG121" s="169"/>
      <c r="AH121" s="170"/>
      <c r="AJ121" s="453">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0</v>
      </c>
      <c r="AK121" s="453">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0</v>
      </c>
      <c r="AL121" s="453">
        <f ca="1">IF(AND($D121="Serviço",AL$12&lt;&gt;0,$H121&gt;0,OR(AUTOEVENTO&lt;&gt;"manual",$M121&lt;&gt;$A$15)),
        IF(Import.TipoArredondamento&lt;&gt;"TransfereGOV",
              ROUND(OFFSET($P121,0,AL$13),15-13*ORÇAMENTO!$AF$7)/$H121*OFFSET(ORÇAMENTO!$X$15,ROW(AL121)-ROW(AL$15),0),
              ROUND(ROUND(OFFSET($P121,0,AL$13),15-13*ORÇAMENTO!$AF$7)*OFFSET(ORÇAMENTO!$W$15,ROW(AL121)-ROW(AL$15),0),15-13*ORÇAMENTO!$AF$11)),
         0)</f>
        <v>0</v>
      </c>
      <c r="AM121" s="453">
        <f ca="1">IF(AND($D121="Serviço",AM$12&lt;&gt;0,$H121&gt;0,OR(AUTOEVENTO&lt;&gt;"manual",$M121&lt;&gt;$A$15)),
        IF(Import.TipoArredondamento&lt;&gt;"TransfereGOV",
              ROUND(OFFSET($P121,0,AM$13),15-13*ORÇAMENTO!$AF$7)/$H121*OFFSET(ORÇAMENTO!$X$15,ROW(AM121)-ROW(AM$15),0),
              ROUND(ROUND(OFFSET($P121,0,AM$13),15-13*ORÇAMENTO!$AF$7)*OFFSET(ORÇAMENTO!$W$15,ROW(AM121)-ROW(AM$15),0),15-13*ORÇAMENTO!$AF$11)),
         0)</f>
        <v>0</v>
      </c>
      <c r="AN121" s="453">
        <f ca="1">IF(AND($D121="Serviço",AN$12&lt;&gt;0,$H121&gt;0,OR(AUTOEVENTO&lt;&gt;"manual",$M121&lt;&gt;$A$15)),
        IF(Import.TipoArredondamento&lt;&gt;"TransfereGOV",
              ROUND(OFFSET($P121,0,AN$13),15-13*ORÇAMENTO!$AF$7)/$H121*OFFSET(ORÇAMENTO!$X$15,ROW(AN121)-ROW(AN$15),0),
              ROUND(ROUND(OFFSET($P121,0,AN$13),15-13*ORÇAMENTO!$AF$7)*OFFSET(ORÇAMENTO!$W$15,ROW(AN121)-ROW(AN$15),0),15-13*ORÇAMENTO!$AF$11)),
         0)</f>
        <v>0</v>
      </c>
      <c r="AO121" s="453">
        <f ca="1">IF(AND($D121="Serviço",AO$12&lt;&gt;0,$H121&gt;0,OR(AUTOEVENTO&lt;&gt;"manual",$M121&lt;&gt;$A$15)),
        IF(Import.TipoArredondamento&lt;&gt;"TransfereGOV",
              ROUND(OFFSET($P121,0,AO$13),15-13*ORÇAMENTO!$AF$7)/$H121*OFFSET(ORÇAMENTO!$X$15,ROW(AO121)-ROW(AO$15),0),
              ROUND(ROUND(OFFSET($P121,0,AO$13),15-13*ORÇAMENTO!$AF$7)*OFFSET(ORÇAMENTO!$W$15,ROW(AO121)-ROW(AO$15),0),15-13*ORÇAMENTO!$AF$11)),
         0)</f>
        <v>0</v>
      </c>
      <c r="AP121" s="453">
        <f ca="1">IF(AND($D121="Serviço",AP$12&lt;&gt;0,$H121&gt;0,OR(AUTOEVENTO&lt;&gt;"manual",$M121&lt;&gt;$A$15)),
        IF(Import.TipoArredondamento&lt;&gt;"TransfereGOV",
              ROUND(OFFSET($P121,0,AP$13),15-13*ORÇAMENTO!$AF$7)/$H121*OFFSET(ORÇAMENTO!$X$15,ROW(AP121)-ROW(AP$15),0),
              ROUND(ROUND(OFFSET($P121,0,AP$13),15-13*ORÇAMENTO!$AF$7)*OFFSET(ORÇAMENTO!$W$15,ROW(AP121)-ROW(AP$15),0),15-13*ORÇAMENTO!$AF$11)),
         0)</f>
        <v>0</v>
      </c>
      <c r="AQ121" s="453">
        <f ca="1">IF(AND($D121="Serviço",AQ$12&lt;&gt;0,$H121&gt;0,OR(AUTOEVENTO&lt;&gt;"manual",$M121&lt;&gt;$A$15)),
        IF(Import.TipoArredondamento&lt;&gt;"TransfereGOV",
              ROUND(OFFSET($P121,0,AQ$13),15-13*ORÇAMENTO!$AF$7)/$H121*OFFSET(ORÇAMENTO!$X$15,ROW(AQ121)-ROW(AQ$15),0),
              ROUND(ROUND(OFFSET($P121,0,AQ$13),15-13*ORÇAMENTO!$AF$7)*OFFSET(ORÇAMENTO!$W$15,ROW(AQ121)-ROW(AQ$15),0),15-13*ORÇAMENTO!$AF$11)),
         0)</f>
        <v>0</v>
      </c>
      <c r="AR121" s="453">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3">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3">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3">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3">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3">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3">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3">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3">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3">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C121" s="171">
        <f ca="1">IF(OR($D121&lt;&gt;"Serviço",AND(AUTOEVENTO="Manual",$M121=$A$15)),0,
         IF(OFFSET(CRONOPLE!$F$15,$M121-$A$15,BC$13)=0,10^12,OFFSET(CRONOPLE!$F$15,$M121-$A$15,BC$13)))</f>
        <v>1</v>
      </c>
      <c r="BD121" s="171">
        <f ca="1">IF(OR($D121&lt;&gt;"Serviço",AND(AUTOEVENTO="Manual",$M121=$A$15)),0,
         IF(OFFSET(CRONOPLE!$F$15,$M121-$A$15,BD$13)=0,10^12,OFFSET(CRONOPLE!$F$15,$M121-$A$15,BD$13)))</f>
        <v>2</v>
      </c>
      <c r="BE121" s="171">
        <f ca="1">IF(OR($D121&lt;&gt;"Serviço",AND(AUTOEVENTO="Manual",$M121=$A$15)),0,
         IF(OFFSET(CRONOPLE!$F$15,$M121-$A$15,BE$13)=0,10^12,OFFSET(CRONOPLE!$F$15,$M121-$A$15,BE$13)))</f>
        <v>3</v>
      </c>
      <c r="BF121" s="171">
        <f ca="1">IF(OR($D121&lt;&gt;"Serviço",AND(AUTOEVENTO="Manual",$M121=$A$15)),0,
         IF(OFFSET(CRONOPLE!$F$15,$M121-$A$15,BF$13)=0,10^12,OFFSET(CRONOPLE!$F$15,$M121-$A$15,BF$13)))</f>
        <v>4</v>
      </c>
      <c r="BG121" s="171">
        <f ca="1">IF(OR($D121&lt;&gt;"Serviço",AND(AUTOEVENTO="Manual",$M121=$A$15)),0,
         IF(OFFSET(CRONOPLE!$F$15,$M121-$A$15,BG$13)=0,10^12,OFFSET(CRONOPLE!$F$15,$M121-$A$15,BG$13)))</f>
        <v>5</v>
      </c>
      <c r="BH121" s="171">
        <f ca="1">IF(OR($D121&lt;&gt;"Serviço",AND(AUTOEVENTO="Manual",$M121=$A$15)),0,
         IF(OFFSET(CRONOPLE!$F$15,$M121-$A$15,BH$13)=0,10^12,OFFSET(CRONOPLE!$F$15,$M121-$A$15,BH$13)))</f>
        <v>6</v>
      </c>
      <c r="BI121" s="171">
        <f ca="1">IF(OR($D121&lt;&gt;"Serviço",AND(AUTOEVENTO="Manual",$M121=$A$15)),0,
         IF(OFFSET(CRONOPLE!$F$15,$M121-$A$15,BI$13)=0,10^12,OFFSET(CRONOPLE!$F$15,$M121-$A$15,BI$13)))</f>
        <v>7</v>
      </c>
      <c r="BJ121" s="171">
        <f ca="1">IF(OR($D121&lt;&gt;"Serviço",AND(AUTOEVENTO="Manual",$M121=$A$15)),0,
         IF(OFFSET(CRONOPLE!$F$15,$M121-$A$15,BJ$13)=0,10^12,OFFSET(CRONOPLE!$F$15,$M121-$A$15,BJ$13)))</f>
        <v>8</v>
      </c>
      <c r="BK121" s="171">
        <f ca="1">IF(OR($D121&lt;&gt;"Serviço",AND(AUTOEVENTO="Manual",$M121=$A$15)),0,
         IF(OFFSET(CRONOPLE!$F$15,$M121-$A$15,BK$13)=0,10^12,OFFSET(CRONOPLE!$F$15,$M121-$A$15,BK$13)))</f>
        <v>9</v>
      </c>
      <c r="BL121" s="171">
        <f ca="1">IF(OR($D121&lt;&gt;"Serviço",AND(AUTOEVENTO="Manual",$M121=$A$15)),0,
         IF(OFFSET(CRONOPLE!$F$15,$M121-$A$15,BL$13)=0,10^12,OFFSET(CRONOPLE!$F$15,$M121-$A$15,BL$13)))</f>
        <v>10</v>
      </c>
      <c r="BM121" s="171">
        <f ca="1">IF(OR($D121&lt;&gt;"Serviço",AND(AUTOEVENTO="Manual",$M121=$A$15)),0,
         IF(OFFSET(CRONOPLE!$F$15,$M121-$A$15,BM$13)=0,10^12,OFFSET(CRONOPLE!$F$15,$M121-$A$15,BM$13)))</f>
        <v>1000000000000</v>
      </c>
      <c r="BN121" s="171">
        <f ca="1">IF(OR($D121&lt;&gt;"Serviço",AND(AUTOEVENTO="Manual",$M121=$A$15)),0,
         IF(OFFSET(CRONOPLE!$F$15,$M121-$A$15,BN$13)=0,10^12,OFFSET(CRONOPLE!$F$15,$M121-$A$15,BN$13)))</f>
        <v>1000000000000</v>
      </c>
      <c r="BO121" s="171">
        <f ca="1">IF(OR($D121&lt;&gt;"Serviço",AND(AUTOEVENTO="Manual",$M121=$A$15)),0,
         IF(OFFSET(CRONOPLE!$F$15,$M121-$A$15,BO$13)=0,10^12,OFFSET(CRONOPLE!$F$15,$M121-$A$15,BO$13)))</f>
        <v>1000000000000</v>
      </c>
      <c r="BP121" s="171">
        <f ca="1">IF(OR($D121&lt;&gt;"Serviço",AND(AUTOEVENTO="Manual",$M121=$A$15)),0,
         IF(OFFSET(CRONOPLE!$F$15,$M121-$A$15,BP$13)=0,10^12,OFFSET(CRONOPLE!$F$15,$M121-$A$15,BP$13)))</f>
        <v>1000000000000</v>
      </c>
      <c r="BQ121" s="171">
        <f ca="1">IF(OR($D121&lt;&gt;"Serviço",AND(AUTOEVENTO="Manual",$M121=$A$15)),0,
         IF(OFFSET(CRONOPLE!$F$15,$M121-$A$15,BQ$13)=0,10^12,OFFSET(CRONOPLE!$F$15,$M121-$A$15,BQ$13)))</f>
        <v>1000000000000</v>
      </c>
      <c r="BR121" s="171">
        <f ca="1">IF(OR($D121&lt;&gt;"Serviço",AND(AUTOEVENTO="Manual",$M121=$A$15)),0,
         IF(OFFSET(CRONOPLE!$F$15,$M121-$A$15,BR$13)=0,10^12,OFFSET(CRONOPLE!$F$15,$M121-$A$15,BR$13)))</f>
        <v>1000000000000</v>
      </c>
      <c r="BS121" s="171">
        <f ca="1">IF(OR($D121&lt;&gt;"Serviço",AND(AUTOEVENTO="Manual",$M121=$A$15)),0,
         IF(OFFSET(CRONOPLE!$F$15,$M121-$A$15,BS$13)=0,10^12,OFFSET(CRONOPLE!$F$15,$M121-$A$15,BS$13)))</f>
        <v>1000000000000</v>
      </c>
      <c r="BT121" s="171">
        <f ca="1">IF(OR($D121&lt;&gt;"Serviço",AND(AUTOEVENTO="Manual",$M121=$A$15)),0,
         IF(OFFSET(CRONOPLE!$F$15,$M121-$A$15,BT$13)=0,10^12,OFFSET(CRONOPLE!$F$15,$M121-$A$15,BT$13)))</f>
        <v>1000000000000</v>
      </c>
      <c r="BV121" s="172">
        <f ca="1">IF(OR($D121&lt;&gt;"Serviço",AND(AUTOEVENTO="Manual",$M121=$A$15),$M121&gt;(ROW(PLE.lastrow)-ROW(PLE.firstrow))),0,
           IF(OFFSET(PLE!$G$15,$M121-$A$15,BV$13)="",10^12,OFFSET(PLE!$G$15,$M121-$A$15,BV$13)))</f>
        <v>1000000000000</v>
      </c>
      <c r="BW121" s="172">
        <f ca="1">IF(OR($D121&lt;&gt;"Serviço",AND(AUTOEVENTO="Manual",$M121=$A$15),$M121&gt;(ROW(PLE.lastrow)-ROW(PLE.firstrow))),0,
           IF(OFFSET(PLE!$G$15,$M121-$A$15,BW$13)="",10^12,OFFSET(PLE!$G$15,$M121-$A$15,BW$13)))</f>
        <v>1000000000000</v>
      </c>
      <c r="BX121" s="172">
        <f ca="1">IF(OR($D121&lt;&gt;"Serviço",AND(AUTOEVENTO="Manual",$M121=$A$15),$M121&gt;(ROW(PLE.lastrow)-ROW(PLE.firstrow))),0,
           IF(OFFSET(PLE!$G$15,$M121-$A$15,BX$13)="",10^12,OFFSET(PLE!$G$15,$M121-$A$15,BX$13)))</f>
        <v>1000000000000</v>
      </c>
      <c r="BY121" s="172">
        <f ca="1">IF(OR($D121&lt;&gt;"Serviço",AND(AUTOEVENTO="Manual",$M121=$A$15),$M121&gt;(ROW(PLE.lastrow)-ROW(PLE.firstrow))),0,
           IF(OFFSET(PLE!$G$15,$M121-$A$15,BY$13)="",10^12,OFFSET(PLE!$G$15,$M121-$A$15,BY$13)))</f>
        <v>1000000000000</v>
      </c>
      <c r="BZ121" s="172">
        <f ca="1">IF(OR($D121&lt;&gt;"Serviço",AND(AUTOEVENTO="Manual",$M121=$A$15),$M121&gt;(ROW(PLE.lastrow)-ROW(PLE.firstrow))),0,
           IF(OFFSET(PLE!$G$15,$M121-$A$15,BZ$13)="",10^12,OFFSET(PLE!$G$15,$M121-$A$15,BZ$13)))</f>
        <v>1000000000000</v>
      </c>
      <c r="CA121" s="172">
        <f ca="1">IF(OR($D121&lt;&gt;"Serviço",AND(AUTOEVENTO="Manual",$M121=$A$15),$M121&gt;(ROW(PLE.lastrow)-ROW(PLE.firstrow))),0,
           IF(OFFSET(PLE!$G$15,$M121-$A$15,CA$13)="",10^12,OFFSET(PLE!$G$15,$M121-$A$15,CA$13)))</f>
        <v>1000000000000</v>
      </c>
      <c r="CB121" s="172">
        <f ca="1">IF(OR($D121&lt;&gt;"Serviço",AND(AUTOEVENTO="Manual",$M121=$A$15),$M121&gt;(ROW(PLE.lastrow)-ROW(PLE.firstrow))),0,
           IF(OFFSET(PLE!$G$15,$M121-$A$15,CB$13)="",10^12,OFFSET(PLE!$G$15,$M121-$A$15,CB$13)))</f>
        <v>1000000000000</v>
      </c>
      <c r="CC121" s="172">
        <f ca="1">IF(OR($D121&lt;&gt;"Serviço",AND(AUTOEVENTO="Manual",$M121=$A$15),$M121&gt;(ROW(PLE.lastrow)-ROW(PLE.firstrow))),0,
           IF(OFFSET(PLE!$G$15,$M121-$A$15,CC$13)="",10^12,OFFSET(PLE!$G$15,$M121-$A$15,CC$13)))</f>
        <v>1000000000000</v>
      </c>
      <c r="CD121" s="172">
        <f ca="1">IF(OR($D121&lt;&gt;"Serviço",AND(AUTOEVENTO="Manual",$M121=$A$15),$M121&gt;(ROW(PLE.lastrow)-ROW(PLE.firstrow))),0,
           IF(OFFSET(PLE!$G$15,$M121-$A$15,CD$13)="",10^12,OFFSET(PLE!$G$15,$M121-$A$15,CD$13)))</f>
        <v>1000000000000</v>
      </c>
      <c r="CE121" s="172">
        <f ca="1">IF(OR($D121&lt;&gt;"Serviço",AND(AUTOEVENTO="Manual",$M121=$A$15),$M121&gt;(ROW(PLE.lastrow)-ROW(PLE.firstrow))),0,
           IF(OFFSET(PLE!$G$15,$M121-$A$15,CE$13)="",10^12,OFFSET(PLE!$G$15,$M121-$A$15,CE$13)))</f>
        <v>1000000000000</v>
      </c>
      <c r="CF121" s="172">
        <f ca="1">IF(OR($D121&lt;&gt;"Serviço",AND(AUTOEVENTO="Manual",$M121=$A$15),$M121&gt;(ROW(PLE.lastrow)-ROW(PLE.firstrow))),0,
           IF(OFFSET(PLE!$G$15,$M121-$A$15,CF$13)="",10^12,OFFSET(PLE!$G$15,$M121-$A$15,CF$13)))</f>
        <v>1000000000000</v>
      </c>
      <c r="CG121" s="172">
        <f ca="1">IF(OR($D121&lt;&gt;"Serviço",AND(AUTOEVENTO="Manual",$M121=$A$15),$M121&gt;(ROW(PLE.lastrow)-ROW(PLE.firstrow))),0,
           IF(OFFSET(PLE!$G$15,$M121-$A$15,CG$13)="",10^12,OFFSET(PLE!$G$15,$M121-$A$15,CG$13)))</f>
        <v>1000000000000</v>
      </c>
      <c r="CH121" s="172">
        <f ca="1">IF(OR($D121&lt;&gt;"Serviço",AND(AUTOEVENTO="Manual",$M121=$A$15),$M121&gt;(ROW(PLE.lastrow)-ROW(PLE.firstrow))),0,
           IF(OFFSET(PLE!$G$15,$M121-$A$15,CH$13)="",10^12,OFFSET(PLE!$G$15,$M121-$A$15,CH$13)))</f>
        <v>1000000000000</v>
      </c>
      <c r="CI121" s="172">
        <f ca="1">IF(OR($D121&lt;&gt;"Serviço",AND(AUTOEVENTO="Manual",$M121=$A$15),$M121&gt;(ROW(PLE.lastrow)-ROW(PLE.firstrow))),0,
           IF(OFFSET(PLE!$G$15,$M121-$A$15,CI$13)="",10^12,OFFSET(PLE!$G$15,$M121-$A$15,CI$13)))</f>
        <v>1000000000000</v>
      </c>
      <c r="CJ121" s="172">
        <f ca="1">IF(OR($D121&lt;&gt;"Serviço",AND(AUTOEVENTO="Manual",$M121=$A$15),$M121&gt;(ROW(PLE.lastrow)-ROW(PLE.firstrow))),0,
           IF(OFFSET(PLE!$G$15,$M121-$A$15,CJ$13)="",10^12,OFFSET(PLE!$G$15,$M121-$A$15,CJ$13)))</f>
        <v>1000000000000</v>
      </c>
      <c r="CK121" s="172">
        <f ca="1">IF(OR($D121&lt;&gt;"Serviço",AND(AUTOEVENTO="Manual",$M121=$A$15),$M121&gt;(ROW(PLE.lastrow)-ROW(PLE.firstrow))),0,
           IF(OFFSET(PLE!$G$15,$M121-$A$15,CK$13)="",10^12,OFFSET(PLE!$G$15,$M121-$A$15,CK$13)))</f>
        <v>1000000000000</v>
      </c>
      <c r="CL121" s="172">
        <f ca="1">IF(OR($D121&lt;&gt;"Serviço",AND(AUTOEVENTO="Manual",$M121=$A$15),$M121&gt;(ROW(PLE.lastrow)-ROW(PLE.firstrow))),0,
           IF(OFFSET(PLE!$G$15,$M121-$A$15,CL$13)="",10^12,OFFSET(PLE!$G$15,$M121-$A$15,CL$13)))</f>
        <v>1000000000000</v>
      </c>
      <c r="CM121" s="172">
        <f ca="1">IF(OR($D121&lt;&gt;"Serviço",AND(AUTOEVENTO="Manual",$M121=$A$15),$M121&gt;(ROW(PLE.lastrow)-ROW(PLE.firstrow))),0,
           IF(OFFSET(PLE!$G$15,$M121-$A$15,CM$13)="",10^12,OFFSET(PLE!$G$15,$M121-$A$15,CM$13)))</f>
        <v>1000000000000</v>
      </c>
    </row>
    <row r="122" spans="1:91" ht="63.75" x14ac:dyDescent="0.2">
      <c r="A122" s="7">
        <f t="shared" ca="1" si="11"/>
        <v>4</v>
      </c>
      <c r="B122" s="7" t="str">
        <f ca="1">OFFSET(ORÇAMENTO!C$15,ROW(B122)-ROW(B$15),0)</f>
        <v>S</v>
      </c>
      <c r="C122" s="7" t="str">
        <f ca="1">OFFSET(ORÇAMENTO!L$15,ROW(C122)-ROW(C$15),0)</f>
        <v>F</v>
      </c>
      <c r="D122" s="116" t="str">
        <f ca="1">OFFSET(ORÇAMENTO!N$15,ROW(D122)-ROW(D$15),0)</f>
        <v>Serviço</v>
      </c>
      <c r="E122" s="117" t="str">
        <f ca="1">OFFSET(ORÇAMENTO!O$15,ROW(E122)-ROW(E$15),0)</f>
        <v>1.5.2.2.4.</v>
      </c>
      <c r="F122" s="163" t="str">
        <f ca="1">OFFSET(ORÇAMENTO!R$15,ROW(F122)-ROW(F$15),0)</f>
        <v>FÔRMAS DE COMPENSADO RESINADO 10 MM - USO GERAL - UTILIZAÇÃO DE 3 VEZES - CONFECÇÃO, INSTALAÇÃO E RETIRADA</v>
      </c>
      <c r="G122" s="164" t="str">
        <f ca="1">IF($D122&lt;&gt;"Serviço","",OFFSET(ORÇAMENTO!S$15,ROW(G122)-ROW(G$15),0))</f>
        <v>M2</v>
      </c>
      <c r="H122" s="122" cm="1">
        <f t="array" aca="1" ref="H122" ca="1">IF($D122&lt;&gt;"Serviço",0,IF(ACOMPANHAMENTO="BM",ROUND(OFFSET(ORÇAMENTO!AJ$15,ROW(H122)-ROW(H$15),0),15-13*ORÇAMENTO!$AF$7),SUMPRODUCT(($Q$1:$AI$1=1)*ROUND($Q122:$AI122,15-13*ORÇAMENTO!$AF$7))))</f>
        <v>334.26</v>
      </c>
      <c r="I122" s="468" t="s">
        <v>1318</v>
      </c>
      <c r="J122" s="640" t="str" cm="1">
        <f t="array" aca="1" ref="J122" ca="1">IF(OR(B122&lt;&gt;"S",CÁLCULO.FrentesPreenchidas=0),"",IF(AND(ACOMPANHAMENTO="PLE",AUTOEVENTO="Manual",OR(H122&gt;0,ORÇAMENTO!AC122="QUANT."),OR(K122="",M122=0,N122="")),"►E",IF(AND(ACOMPANHAMENTO="PLE",ORÇAMENTO!AC122="QUANT."),"►Q",IF(AND(ACOMPANHAMENTO="PLE",H122&lt;&gt;SUMPRODUCT(($Q$1:$AI$1=1)*ROUND(Q122:AI122,15))),"►S",IF(AND(COUNTIF($P$11:$AI$11,"▼")=0,H122&gt;0,I122=""),"◄M","")))))</f>
        <v/>
      </c>
      <c r="K122" s="641" t="s">
        <v>1389</v>
      </c>
      <c r="L122" s="165" t="s">
        <v>764</v>
      </c>
      <c r="M122" s="166">
        <f ca="1">IF($D122&lt;&gt;"Serviço","",
          IF(AUTOEVENTO="manual",$A122,
                IF(ISERROR(MATCH($A122,$A$15:OFFSET($A122,-1,0),0)),MAX($M$15:OFFSET(M122,-1,0))+1,
                      INDEX($M$15:OFFSET(M122,-1,0),MATCH($A122,$A$15:OFFSET($A122,-1,0),0)))))</f>
        <v>4</v>
      </c>
      <c r="N122" s="167" t="str">
        <f ca="1">IF($D122&lt;&gt;"Serviço","",
         IF(AUTOEVENTO="Manual",
                IF($A122=0,"&lt;-- defina o número do agrupador",
                       OFFSET(EVENTOS!$D$15,$A122-$A$15,0)),
                OFFSET($F$15,$A122,0)))</f>
        <v>Estruturas de Concreto</v>
      </c>
      <c r="O122" s="168"/>
      <c r="Q122" s="168"/>
      <c r="R122" s="169"/>
      <c r="S122" s="169"/>
      <c r="T122" s="169">
        <v>334.26</v>
      </c>
      <c r="U122" s="169"/>
      <c r="V122" s="169"/>
      <c r="W122" s="169"/>
      <c r="X122" s="169"/>
      <c r="Y122" s="169"/>
      <c r="Z122" s="170"/>
      <c r="AA122" s="169"/>
      <c r="AB122" s="169"/>
      <c r="AC122" s="169"/>
      <c r="AD122" s="169"/>
      <c r="AE122" s="169"/>
      <c r="AF122" s="169"/>
      <c r="AG122" s="169"/>
      <c r="AH122" s="170"/>
      <c r="AJ122" s="453">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3">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L122" s="453">
        <f ca="1">IF(AND($D122="Serviço",AL$12&lt;&gt;0,$H122&gt;0,OR(AUTOEVENTO&lt;&gt;"manual",$M122&lt;&gt;$A$15)),
        IF(Import.TipoArredondamento&lt;&gt;"TransfereGOV",
              ROUND(OFFSET($P122,0,AL$13),15-13*ORÇAMENTO!$AF$7)/$H122*OFFSET(ORÇAMENTO!$X$15,ROW(AL122)-ROW(AL$15),0),
              ROUND(ROUND(OFFSET($P122,0,AL$13),15-13*ORÇAMENTO!$AF$7)*OFFSET(ORÇAMENTO!$W$15,ROW(AL122)-ROW(AL$15),0),15-13*ORÇAMENTO!$AF$11)),
         0)</f>
        <v>0</v>
      </c>
      <c r="AM122" s="453">
        <f ca="1">IF(AND($D122="Serviço",AM$12&lt;&gt;0,$H122&gt;0,OR(AUTOEVENTO&lt;&gt;"manual",$M122&lt;&gt;$A$15)),
        IF(Import.TipoArredondamento&lt;&gt;"TransfereGOV",
              ROUND(OFFSET($P122,0,AM$13),15-13*ORÇAMENTO!$AF$7)/$H122*OFFSET(ORÇAMENTO!$X$15,ROW(AM122)-ROW(AM$15),0),
              ROUND(ROUND(OFFSET($P122,0,AM$13),15-13*ORÇAMENTO!$AF$7)*OFFSET(ORÇAMENTO!$W$15,ROW(AM122)-ROW(AM$15),0),15-13*ORÇAMENTO!$AF$11)),
         0)</f>
        <v>0</v>
      </c>
      <c r="AN122" s="453">
        <f ca="1">IF(AND($D122="Serviço",AN$12&lt;&gt;0,$H122&gt;0,OR(AUTOEVENTO&lt;&gt;"manual",$M122&lt;&gt;$A$15)),
        IF(Import.TipoArredondamento&lt;&gt;"TransfereGOV",
              ROUND(OFFSET($P122,0,AN$13),15-13*ORÇAMENTO!$AF$7)/$H122*OFFSET(ORÇAMENTO!$X$15,ROW(AN122)-ROW(AN$15),0),
              ROUND(ROUND(OFFSET($P122,0,AN$13),15-13*ORÇAMENTO!$AF$7)*OFFSET(ORÇAMENTO!$W$15,ROW(AN122)-ROW(AN$15),0),15-13*ORÇAMENTO!$AF$11)),
         0)</f>
        <v>0</v>
      </c>
      <c r="AO122" s="453">
        <f ca="1">IF(AND($D122="Serviço",AO$12&lt;&gt;0,$H122&gt;0,OR(AUTOEVENTO&lt;&gt;"manual",$M122&lt;&gt;$A$15)),
        IF(Import.TipoArredondamento&lt;&gt;"TransfereGOV",
              ROUND(OFFSET($P122,0,AO$13),15-13*ORÇAMENTO!$AF$7)/$H122*OFFSET(ORÇAMENTO!$X$15,ROW(AO122)-ROW(AO$15),0),
              ROUND(ROUND(OFFSET($P122,0,AO$13),15-13*ORÇAMENTO!$AF$7)*OFFSET(ORÇAMENTO!$W$15,ROW(AO122)-ROW(AO$15),0),15-13*ORÇAMENTO!$AF$11)),
         0)</f>
        <v>0</v>
      </c>
      <c r="AP122" s="453">
        <f ca="1">IF(AND($D122="Serviço",AP$12&lt;&gt;0,$H122&gt;0,OR(AUTOEVENTO&lt;&gt;"manual",$M122&lt;&gt;$A$15)),
        IF(Import.TipoArredondamento&lt;&gt;"TransfereGOV",
              ROUND(OFFSET($P122,0,AP$13),15-13*ORÇAMENTO!$AF$7)/$H122*OFFSET(ORÇAMENTO!$X$15,ROW(AP122)-ROW(AP$15),0),
              ROUND(ROUND(OFFSET($P122,0,AP$13),15-13*ORÇAMENTO!$AF$7)*OFFSET(ORÇAMENTO!$W$15,ROW(AP122)-ROW(AP$15),0),15-13*ORÇAMENTO!$AF$11)),
         0)</f>
        <v>0</v>
      </c>
      <c r="AQ122" s="453">
        <f ca="1">IF(AND($D122="Serviço",AQ$12&lt;&gt;0,$H122&gt;0,OR(AUTOEVENTO&lt;&gt;"manual",$M122&lt;&gt;$A$15)),
        IF(Import.TipoArredondamento&lt;&gt;"TransfereGOV",
              ROUND(OFFSET($P122,0,AQ$13),15-13*ORÇAMENTO!$AF$7)/$H122*OFFSET(ORÇAMENTO!$X$15,ROW(AQ122)-ROW(AQ$15),0),
              ROUND(ROUND(OFFSET($P122,0,AQ$13),15-13*ORÇAMENTO!$AF$7)*OFFSET(ORÇAMENTO!$W$15,ROW(AQ122)-ROW(AQ$15),0),15-13*ORÇAMENTO!$AF$11)),
         0)</f>
        <v>0</v>
      </c>
      <c r="AR122" s="453">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3">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3">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3">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3">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3">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3">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3">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3">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3">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C122" s="171">
        <f ca="1">IF(OR($D122&lt;&gt;"Serviço",AND(AUTOEVENTO="Manual",$M122=$A$15)),0,
         IF(OFFSET(CRONOPLE!$F$15,$M122-$A$15,BC$13)=0,10^12,OFFSET(CRONOPLE!$F$15,$M122-$A$15,BC$13)))</f>
        <v>1</v>
      </c>
      <c r="BD122" s="171">
        <f ca="1">IF(OR($D122&lt;&gt;"Serviço",AND(AUTOEVENTO="Manual",$M122=$A$15)),0,
         IF(OFFSET(CRONOPLE!$F$15,$M122-$A$15,BD$13)=0,10^12,OFFSET(CRONOPLE!$F$15,$M122-$A$15,BD$13)))</f>
        <v>2</v>
      </c>
      <c r="BE122" s="171">
        <f ca="1">IF(OR($D122&lt;&gt;"Serviço",AND(AUTOEVENTO="Manual",$M122=$A$15)),0,
         IF(OFFSET(CRONOPLE!$F$15,$M122-$A$15,BE$13)=0,10^12,OFFSET(CRONOPLE!$F$15,$M122-$A$15,BE$13)))</f>
        <v>3</v>
      </c>
      <c r="BF122" s="171">
        <f ca="1">IF(OR($D122&lt;&gt;"Serviço",AND(AUTOEVENTO="Manual",$M122=$A$15)),0,
         IF(OFFSET(CRONOPLE!$F$15,$M122-$A$15,BF$13)=0,10^12,OFFSET(CRONOPLE!$F$15,$M122-$A$15,BF$13)))</f>
        <v>4</v>
      </c>
      <c r="BG122" s="171">
        <f ca="1">IF(OR($D122&lt;&gt;"Serviço",AND(AUTOEVENTO="Manual",$M122=$A$15)),0,
         IF(OFFSET(CRONOPLE!$F$15,$M122-$A$15,BG$13)=0,10^12,OFFSET(CRONOPLE!$F$15,$M122-$A$15,BG$13)))</f>
        <v>5</v>
      </c>
      <c r="BH122" s="171">
        <f ca="1">IF(OR($D122&lt;&gt;"Serviço",AND(AUTOEVENTO="Manual",$M122=$A$15)),0,
         IF(OFFSET(CRONOPLE!$F$15,$M122-$A$15,BH$13)=0,10^12,OFFSET(CRONOPLE!$F$15,$M122-$A$15,BH$13)))</f>
        <v>6</v>
      </c>
      <c r="BI122" s="171">
        <f ca="1">IF(OR($D122&lt;&gt;"Serviço",AND(AUTOEVENTO="Manual",$M122=$A$15)),0,
         IF(OFFSET(CRONOPLE!$F$15,$M122-$A$15,BI$13)=0,10^12,OFFSET(CRONOPLE!$F$15,$M122-$A$15,BI$13)))</f>
        <v>7</v>
      </c>
      <c r="BJ122" s="171">
        <f ca="1">IF(OR($D122&lt;&gt;"Serviço",AND(AUTOEVENTO="Manual",$M122=$A$15)),0,
         IF(OFFSET(CRONOPLE!$F$15,$M122-$A$15,BJ$13)=0,10^12,OFFSET(CRONOPLE!$F$15,$M122-$A$15,BJ$13)))</f>
        <v>8</v>
      </c>
      <c r="BK122" s="171">
        <f ca="1">IF(OR($D122&lt;&gt;"Serviço",AND(AUTOEVENTO="Manual",$M122=$A$15)),0,
         IF(OFFSET(CRONOPLE!$F$15,$M122-$A$15,BK$13)=0,10^12,OFFSET(CRONOPLE!$F$15,$M122-$A$15,BK$13)))</f>
        <v>9</v>
      </c>
      <c r="BL122" s="171">
        <f ca="1">IF(OR($D122&lt;&gt;"Serviço",AND(AUTOEVENTO="Manual",$M122=$A$15)),0,
         IF(OFFSET(CRONOPLE!$F$15,$M122-$A$15,BL$13)=0,10^12,OFFSET(CRONOPLE!$F$15,$M122-$A$15,BL$13)))</f>
        <v>10</v>
      </c>
      <c r="BM122" s="171">
        <f ca="1">IF(OR($D122&lt;&gt;"Serviço",AND(AUTOEVENTO="Manual",$M122=$A$15)),0,
         IF(OFFSET(CRONOPLE!$F$15,$M122-$A$15,BM$13)=0,10^12,OFFSET(CRONOPLE!$F$15,$M122-$A$15,BM$13)))</f>
        <v>1000000000000</v>
      </c>
      <c r="BN122" s="171">
        <f ca="1">IF(OR($D122&lt;&gt;"Serviço",AND(AUTOEVENTO="Manual",$M122=$A$15)),0,
         IF(OFFSET(CRONOPLE!$F$15,$M122-$A$15,BN$13)=0,10^12,OFFSET(CRONOPLE!$F$15,$M122-$A$15,BN$13)))</f>
        <v>1000000000000</v>
      </c>
      <c r="BO122" s="171">
        <f ca="1">IF(OR($D122&lt;&gt;"Serviço",AND(AUTOEVENTO="Manual",$M122=$A$15)),0,
         IF(OFFSET(CRONOPLE!$F$15,$M122-$A$15,BO$13)=0,10^12,OFFSET(CRONOPLE!$F$15,$M122-$A$15,BO$13)))</f>
        <v>1000000000000</v>
      </c>
      <c r="BP122" s="171">
        <f ca="1">IF(OR($D122&lt;&gt;"Serviço",AND(AUTOEVENTO="Manual",$M122=$A$15)),0,
         IF(OFFSET(CRONOPLE!$F$15,$M122-$A$15,BP$13)=0,10^12,OFFSET(CRONOPLE!$F$15,$M122-$A$15,BP$13)))</f>
        <v>1000000000000</v>
      </c>
      <c r="BQ122" s="171">
        <f ca="1">IF(OR($D122&lt;&gt;"Serviço",AND(AUTOEVENTO="Manual",$M122=$A$15)),0,
         IF(OFFSET(CRONOPLE!$F$15,$M122-$A$15,BQ$13)=0,10^12,OFFSET(CRONOPLE!$F$15,$M122-$A$15,BQ$13)))</f>
        <v>1000000000000</v>
      </c>
      <c r="BR122" s="171">
        <f ca="1">IF(OR($D122&lt;&gt;"Serviço",AND(AUTOEVENTO="Manual",$M122=$A$15)),0,
         IF(OFFSET(CRONOPLE!$F$15,$M122-$A$15,BR$13)=0,10^12,OFFSET(CRONOPLE!$F$15,$M122-$A$15,BR$13)))</f>
        <v>1000000000000</v>
      </c>
      <c r="BS122" s="171">
        <f ca="1">IF(OR($D122&lt;&gt;"Serviço",AND(AUTOEVENTO="Manual",$M122=$A$15)),0,
         IF(OFFSET(CRONOPLE!$F$15,$M122-$A$15,BS$13)=0,10^12,OFFSET(CRONOPLE!$F$15,$M122-$A$15,BS$13)))</f>
        <v>1000000000000</v>
      </c>
      <c r="BT122" s="171">
        <f ca="1">IF(OR($D122&lt;&gt;"Serviço",AND(AUTOEVENTO="Manual",$M122=$A$15)),0,
         IF(OFFSET(CRONOPLE!$F$15,$M122-$A$15,BT$13)=0,10^12,OFFSET(CRONOPLE!$F$15,$M122-$A$15,BT$13)))</f>
        <v>1000000000000</v>
      </c>
      <c r="BV122" s="172">
        <f ca="1">IF(OR($D122&lt;&gt;"Serviço",AND(AUTOEVENTO="Manual",$M122=$A$15),$M122&gt;(ROW(PLE.lastrow)-ROW(PLE.firstrow))),0,
           IF(OFFSET(PLE!$G$15,$M122-$A$15,BV$13)="",10^12,OFFSET(PLE!$G$15,$M122-$A$15,BV$13)))</f>
        <v>1000000000000</v>
      </c>
      <c r="BW122" s="172">
        <f ca="1">IF(OR($D122&lt;&gt;"Serviço",AND(AUTOEVENTO="Manual",$M122=$A$15),$M122&gt;(ROW(PLE.lastrow)-ROW(PLE.firstrow))),0,
           IF(OFFSET(PLE!$G$15,$M122-$A$15,BW$13)="",10^12,OFFSET(PLE!$G$15,$M122-$A$15,BW$13)))</f>
        <v>1000000000000</v>
      </c>
      <c r="BX122" s="172">
        <f ca="1">IF(OR($D122&lt;&gt;"Serviço",AND(AUTOEVENTO="Manual",$M122=$A$15),$M122&gt;(ROW(PLE.lastrow)-ROW(PLE.firstrow))),0,
           IF(OFFSET(PLE!$G$15,$M122-$A$15,BX$13)="",10^12,OFFSET(PLE!$G$15,$M122-$A$15,BX$13)))</f>
        <v>1000000000000</v>
      </c>
      <c r="BY122" s="172">
        <f ca="1">IF(OR($D122&lt;&gt;"Serviço",AND(AUTOEVENTO="Manual",$M122=$A$15),$M122&gt;(ROW(PLE.lastrow)-ROW(PLE.firstrow))),0,
           IF(OFFSET(PLE!$G$15,$M122-$A$15,BY$13)="",10^12,OFFSET(PLE!$G$15,$M122-$A$15,BY$13)))</f>
        <v>1000000000000</v>
      </c>
      <c r="BZ122" s="172">
        <f ca="1">IF(OR($D122&lt;&gt;"Serviço",AND(AUTOEVENTO="Manual",$M122=$A$15),$M122&gt;(ROW(PLE.lastrow)-ROW(PLE.firstrow))),0,
           IF(OFFSET(PLE!$G$15,$M122-$A$15,BZ$13)="",10^12,OFFSET(PLE!$G$15,$M122-$A$15,BZ$13)))</f>
        <v>1000000000000</v>
      </c>
      <c r="CA122" s="172">
        <f ca="1">IF(OR($D122&lt;&gt;"Serviço",AND(AUTOEVENTO="Manual",$M122=$A$15),$M122&gt;(ROW(PLE.lastrow)-ROW(PLE.firstrow))),0,
           IF(OFFSET(PLE!$G$15,$M122-$A$15,CA$13)="",10^12,OFFSET(PLE!$G$15,$M122-$A$15,CA$13)))</f>
        <v>1000000000000</v>
      </c>
      <c r="CB122" s="172">
        <f ca="1">IF(OR($D122&lt;&gt;"Serviço",AND(AUTOEVENTO="Manual",$M122=$A$15),$M122&gt;(ROW(PLE.lastrow)-ROW(PLE.firstrow))),0,
           IF(OFFSET(PLE!$G$15,$M122-$A$15,CB$13)="",10^12,OFFSET(PLE!$G$15,$M122-$A$15,CB$13)))</f>
        <v>1000000000000</v>
      </c>
      <c r="CC122" s="172">
        <f ca="1">IF(OR($D122&lt;&gt;"Serviço",AND(AUTOEVENTO="Manual",$M122=$A$15),$M122&gt;(ROW(PLE.lastrow)-ROW(PLE.firstrow))),0,
           IF(OFFSET(PLE!$G$15,$M122-$A$15,CC$13)="",10^12,OFFSET(PLE!$G$15,$M122-$A$15,CC$13)))</f>
        <v>1000000000000</v>
      </c>
      <c r="CD122" s="172">
        <f ca="1">IF(OR($D122&lt;&gt;"Serviço",AND(AUTOEVENTO="Manual",$M122=$A$15),$M122&gt;(ROW(PLE.lastrow)-ROW(PLE.firstrow))),0,
           IF(OFFSET(PLE!$G$15,$M122-$A$15,CD$13)="",10^12,OFFSET(PLE!$G$15,$M122-$A$15,CD$13)))</f>
        <v>1000000000000</v>
      </c>
      <c r="CE122" s="172">
        <f ca="1">IF(OR($D122&lt;&gt;"Serviço",AND(AUTOEVENTO="Manual",$M122=$A$15),$M122&gt;(ROW(PLE.lastrow)-ROW(PLE.firstrow))),0,
           IF(OFFSET(PLE!$G$15,$M122-$A$15,CE$13)="",10^12,OFFSET(PLE!$G$15,$M122-$A$15,CE$13)))</f>
        <v>1000000000000</v>
      </c>
      <c r="CF122" s="172">
        <f ca="1">IF(OR($D122&lt;&gt;"Serviço",AND(AUTOEVENTO="Manual",$M122=$A$15),$M122&gt;(ROW(PLE.lastrow)-ROW(PLE.firstrow))),0,
           IF(OFFSET(PLE!$G$15,$M122-$A$15,CF$13)="",10^12,OFFSET(PLE!$G$15,$M122-$A$15,CF$13)))</f>
        <v>1000000000000</v>
      </c>
      <c r="CG122" s="172">
        <f ca="1">IF(OR($D122&lt;&gt;"Serviço",AND(AUTOEVENTO="Manual",$M122=$A$15),$M122&gt;(ROW(PLE.lastrow)-ROW(PLE.firstrow))),0,
           IF(OFFSET(PLE!$G$15,$M122-$A$15,CG$13)="",10^12,OFFSET(PLE!$G$15,$M122-$A$15,CG$13)))</f>
        <v>1000000000000</v>
      </c>
      <c r="CH122" s="172">
        <f ca="1">IF(OR($D122&lt;&gt;"Serviço",AND(AUTOEVENTO="Manual",$M122=$A$15),$M122&gt;(ROW(PLE.lastrow)-ROW(PLE.firstrow))),0,
           IF(OFFSET(PLE!$G$15,$M122-$A$15,CH$13)="",10^12,OFFSET(PLE!$G$15,$M122-$A$15,CH$13)))</f>
        <v>1000000000000</v>
      </c>
      <c r="CI122" s="172">
        <f ca="1">IF(OR($D122&lt;&gt;"Serviço",AND(AUTOEVENTO="Manual",$M122=$A$15),$M122&gt;(ROW(PLE.lastrow)-ROW(PLE.firstrow))),0,
           IF(OFFSET(PLE!$G$15,$M122-$A$15,CI$13)="",10^12,OFFSET(PLE!$G$15,$M122-$A$15,CI$13)))</f>
        <v>1000000000000</v>
      </c>
      <c r="CJ122" s="172">
        <f ca="1">IF(OR($D122&lt;&gt;"Serviço",AND(AUTOEVENTO="Manual",$M122=$A$15),$M122&gt;(ROW(PLE.lastrow)-ROW(PLE.firstrow))),0,
           IF(OFFSET(PLE!$G$15,$M122-$A$15,CJ$13)="",10^12,OFFSET(PLE!$G$15,$M122-$A$15,CJ$13)))</f>
        <v>1000000000000</v>
      </c>
      <c r="CK122" s="172">
        <f ca="1">IF(OR($D122&lt;&gt;"Serviço",AND(AUTOEVENTO="Manual",$M122=$A$15),$M122&gt;(ROW(PLE.lastrow)-ROW(PLE.firstrow))),0,
           IF(OFFSET(PLE!$G$15,$M122-$A$15,CK$13)="",10^12,OFFSET(PLE!$G$15,$M122-$A$15,CK$13)))</f>
        <v>1000000000000</v>
      </c>
      <c r="CL122" s="172">
        <f ca="1">IF(OR($D122&lt;&gt;"Serviço",AND(AUTOEVENTO="Manual",$M122=$A$15),$M122&gt;(ROW(PLE.lastrow)-ROW(PLE.firstrow))),0,
           IF(OFFSET(PLE!$G$15,$M122-$A$15,CL$13)="",10^12,OFFSET(PLE!$G$15,$M122-$A$15,CL$13)))</f>
        <v>1000000000000</v>
      </c>
      <c r="CM122" s="172">
        <f ca="1">IF(OR($D122&lt;&gt;"Serviço",AND(AUTOEVENTO="Manual",$M122=$A$15),$M122&gt;(ROW(PLE.lastrow)-ROW(PLE.firstrow))),0,
           IF(OFFSET(PLE!$G$15,$M122-$A$15,CM$13)="",10^12,OFFSET(PLE!$G$15,$M122-$A$15,CM$13)))</f>
        <v>1000000000000</v>
      </c>
    </row>
    <row r="123" spans="1:91" ht="89.25" x14ac:dyDescent="0.2">
      <c r="A123" s="7">
        <f t="shared" ca="1" si="11"/>
        <v>4</v>
      </c>
      <c r="B123" s="7" t="str">
        <f ca="1">OFFSET(ORÇAMENTO!C$15,ROW(B123)-ROW(B$15),0)</f>
        <v>S</v>
      </c>
      <c r="C123" s="7" t="str">
        <f ca="1">OFFSET(ORÇAMENTO!L$15,ROW(C123)-ROW(C$15),0)</f>
        <v>F</v>
      </c>
      <c r="D123" s="116" t="str">
        <f ca="1">OFFSET(ORÇAMENTO!N$15,ROW(D123)-ROW(D$15),0)</f>
        <v>Serviço</v>
      </c>
      <c r="E123" s="117" t="str">
        <f ca="1">OFFSET(ORÇAMENTO!O$15,ROW(E123)-ROW(E$15),0)</f>
        <v>1.5.2.2.5.</v>
      </c>
      <c r="F123" s="163" t="str">
        <f ca="1">OFFSET(ORÇAMENTO!R$15,ROW(F123)-ROW(F$15),0)</f>
        <v>ARMAÇÃO EM AÇO CA-50 - FORNECIMENTO, PREPARO E COLOCAÇÃO</v>
      </c>
      <c r="G123" s="164" t="str">
        <f ca="1">IF($D123&lt;&gt;"Serviço","",OFFSET(ORÇAMENTO!S$15,ROW(G123)-ROW(G$15),0))</f>
        <v>KG</v>
      </c>
      <c r="H123" s="122" cm="1">
        <f t="array" aca="1" ref="H123" ca="1">IF($D123&lt;&gt;"Serviço",0,IF(ACOMPANHAMENTO="BM",ROUND(OFFSET(ORÇAMENTO!AJ$15,ROW(H123)-ROW(H$15),0),15-13*ORÇAMENTO!$AF$7),SUMPRODUCT(($Q$1:$AI$1=1)*ROUND($Q123:$AI123,15-13*ORÇAMENTO!$AF$7))))</f>
        <v>16287.3</v>
      </c>
      <c r="I123" s="468" t="s">
        <v>1324</v>
      </c>
      <c r="J123" s="640" t="str" cm="1">
        <f t="array" aca="1" ref="J123" ca="1">IF(OR(B123&lt;&gt;"S",CÁLCULO.FrentesPreenchidas=0),"",IF(AND(ACOMPANHAMENTO="PLE",AUTOEVENTO="Manual",OR(H123&gt;0,ORÇAMENTO!AC123="QUANT."),OR(K123="",M123=0,N123="")),"►E",IF(AND(ACOMPANHAMENTO="PLE",ORÇAMENTO!AC123="QUANT."),"►Q",IF(AND(ACOMPANHAMENTO="PLE",H123&lt;&gt;SUMPRODUCT(($Q$1:$AI$1=1)*ROUND(Q123:AI123,15))),"►S",IF(AND(COUNTIF($P$11:$AI$11,"▼")=0,H123&gt;0,I123=""),"◄M","")))))</f>
        <v/>
      </c>
      <c r="K123" s="641" t="s">
        <v>1389</v>
      </c>
      <c r="L123" s="165" t="s">
        <v>764</v>
      </c>
      <c r="M123" s="166">
        <f ca="1">IF($D123&lt;&gt;"Serviço","",
          IF(AUTOEVENTO="manual",$A123,
                IF(ISERROR(MATCH($A123,$A$15:OFFSET($A123,-1,0),0)),MAX($M$15:OFFSET(M123,-1,0))+1,
                      INDEX($M$15:OFFSET(M123,-1,0),MATCH($A123,$A$15:OFFSET($A123,-1,0),0)))))</f>
        <v>4</v>
      </c>
      <c r="N123" s="167" t="str">
        <f ca="1">IF($D123&lt;&gt;"Serviço","",
         IF(AUTOEVENTO="Manual",
                IF($A123=0,"&lt;-- defina o número do agrupador",
                       OFFSET(EVENTOS!$D$15,$A123-$A$15,0)),
                OFFSET($F$15,$A123,0)))</f>
        <v>Estruturas de Concreto</v>
      </c>
      <c r="O123" s="168"/>
      <c r="Q123" s="168"/>
      <c r="R123" s="169"/>
      <c r="S123" s="169"/>
      <c r="T123" s="169">
        <f>20103.59-(T111+T128)</f>
        <v>16287.3</v>
      </c>
      <c r="U123" s="169"/>
      <c r="V123" s="169"/>
      <c r="W123" s="169"/>
      <c r="X123" s="169"/>
      <c r="Y123" s="169"/>
      <c r="Z123" s="170"/>
      <c r="AA123" s="169"/>
      <c r="AB123" s="169"/>
      <c r="AC123" s="169"/>
      <c r="AD123" s="169"/>
      <c r="AE123" s="169"/>
      <c r="AF123" s="169"/>
      <c r="AG123" s="169"/>
      <c r="AH123" s="170"/>
      <c r="AJ123" s="453">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0</v>
      </c>
      <c r="AK123" s="453">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0</v>
      </c>
      <c r="AL123" s="453">
        <f ca="1">IF(AND($D123="Serviço",AL$12&lt;&gt;0,$H123&gt;0,OR(AUTOEVENTO&lt;&gt;"manual",$M123&lt;&gt;$A$15)),
        IF(Import.TipoArredondamento&lt;&gt;"TransfereGOV",
              ROUND(OFFSET($P123,0,AL$13),15-13*ORÇAMENTO!$AF$7)/$H123*OFFSET(ORÇAMENTO!$X$15,ROW(AL123)-ROW(AL$15),0),
              ROUND(ROUND(OFFSET($P123,0,AL$13),15-13*ORÇAMENTO!$AF$7)*OFFSET(ORÇAMENTO!$W$15,ROW(AL123)-ROW(AL$15),0),15-13*ORÇAMENTO!$AF$11)),
         0)</f>
        <v>0</v>
      </c>
      <c r="AM123" s="453">
        <f ca="1">IF(AND($D123="Serviço",AM$12&lt;&gt;0,$H123&gt;0,OR(AUTOEVENTO&lt;&gt;"manual",$M123&lt;&gt;$A$15)),
        IF(Import.TipoArredondamento&lt;&gt;"TransfereGOV",
              ROUND(OFFSET($P123,0,AM$13),15-13*ORÇAMENTO!$AF$7)/$H123*OFFSET(ORÇAMENTO!$X$15,ROW(AM123)-ROW(AM$15),0),
              ROUND(ROUND(OFFSET($P123,0,AM$13),15-13*ORÇAMENTO!$AF$7)*OFFSET(ORÇAMENTO!$W$15,ROW(AM123)-ROW(AM$15),0),15-13*ORÇAMENTO!$AF$11)),
         0)</f>
        <v>0</v>
      </c>
      <c r="AN123" s="453">
        <f ca="1">IF(AND($D123="Serviço",AN$12&lt;&gt;0,$H123&gt;0,OR(AUTOEVENTO&lt;&gt;"manual",$M123&lt;&gt;$A$15)),
        IF(Import.TipoArredondamento&lt;&gt;"TransfereGOV",
              ROUND(OFFSET($P123,0,AN$13),15-13*ORÇAMENTO!$AF$7)/$H123*OFFSET(ORÇAMENTO!$X$15,ROW(AN123)-ROW(AN$15),0),
              ROUND(ROUND(OFFSET($P123,0,AN$13),15-13*ORÇAMENTO!$AF$7)*OFFSET(ORÇAMENTO!$W$15,ROW(AN123)-ROW(AN$15),0),15-13*ORÇAMENTO!$AF$11)),
         0)</f>
        <v>0</v>
      </c>
      <c r="AO123" s="453">
        <f ca="1">IF(AND($D123="Serviço",AO$12&lt;&gt;0,$H123&gt;0,OR(AUTOEVENTO&lt;&gt;"manual",$M123&lt;&gt;$A$15)),
        IF(Import.TipoArredondamento&lt;&gt;"TransfereGOV",
              ROUND(OFFSET($P123,0,AO$13),15-13*ORÇAMENTO!$AF$7)/$H123*OFFSET(ORÇAMENTO!$X$15,ROW(AO123)-ROW(AO$15),0),
              ROUND(ROUND(OFFSET($P123,0,AO$13),15-13*ORÇAMENTO!$AF$7)*OFFSET(ORÇAMENTO!$W$15,ROW(AO123)-ROW(AO$15),0),15-13*ORÇAMENTO!$AF$11)),
         0)</f>
        <v>0</v>
      </c>
      <c r="AP123" s="453">
        <f ca="1">IF(AND($D123="Serviço",AP$12&lt;&gt;0,$H123&gt;0,OR(AUTOEVENTO&lt;&gt;"manual",$M123&lt;&gt;$A$15)),
        IF(Import.TipoArredondamento&lt;&gt;"TransfereGOV",
              ROUND(OFFSET($P123,0,AP$13),15-13*ORÇAMENTO!$AF$7)/$H123*OFFSET(ORÇAMENTO!$X$15,ROW(AP123)-ROW(AP$15),0),
              ROUND(ROUND(OFFSET($P123,0,AP$13),15-13*ORÇAMENTO!$AF$7)*OFFSET(ORÇAMENTO!$W$15,ROW(AP123)-ROW(AP$15),0),15-13*ORÇAMENTO!$AF$11)),
         0)</f>
        <v>0</v>
      </c>
      <c r="AQ123" s="453">
        <f ca="1">IF(AND($D123="Serviço",AQ$12&lt;&gt;0,$H123&gt;0,OR(AUTOEVENTO&lt;&gt;"manual",$M123&lt;&gt;$A$15)),
        IF(Import.TipoArredondamento&lt;&gt;"TransfereGOV",
              ROUND(OFFSET($P123,0,AQ$13),15-13*ORÇAMENTO!$AF$7)/$H123*OFFSET(ORÇAMENTO!$X$15,ROW(AQ123)-ROW(AQ$15),0),
              ROUND(ROUND(OFFSET($P123,0,AQ$13),15-13*ORÇAMENTO!$AF$7)*OFFSET(ORÇAMENTO!$W$15,ROW(AQ123)-ROW(AQ$15),0),15-13*ORÇAMENTO!$AF$11)),
         0)</f>
        <v>0</v>
      </c>
      <c r="AR123" s="453">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3">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3">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3">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3">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3">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3">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3">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3">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3">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C123" s="171">
        <f ca="1">IF(OR($D123&lt;&gt;"Serviço",AND(AUTOEVENTO="Manual",$M123=$A$15)),0,
         IF(OFFSET(CRONOPLE!$F$15,$M123-$A$15,BC$13)=0,10^12,OFFSET(CRONOPLE!$F$15,$M123-$A$15,BC$13)))</f>
        <v>1</v>
      </c>
      <c r="BD123" s="171">
        <f ca="1">IF(OR($D123&lt;&gt;"Serviço",AND(AUTOEVENTO="Manual",$M123=$A$15)),0,
         IF(OFFSET(CRONOPLE!$F$15,$M123-$A$15,BD$13)=0,10^12,OFFSET(CRONOPLE!$F$15,$M123-$A$15,BD$13)))</f>
        <v>2</v>
      </c>
      <c r="BE123" s="171">
        <f ca="1">IF(OR($D123&lt;&gt;"Serviço",AND(AUTOEVENTO="Manual",$M123=$A$15)),0,
         IF(OFFSET(CRONOPLE!$F$15,$M123-$A$15,BE$13)=0,10^12,OFFSET(CRONOPLE!$F$15,$M123-$A$15,BE$13)))</f>
        <v>3</v>
      </c>
      <c r="BF123" s="171">
        <f ca="1">IF(OR($D123&lt;&gt;"Serviço",AND(AUTOEVENTO="Manual",$M123=$A$15)),0,
         IF(OFFSET(CRONOPLE!$F$15,$M123-$A$15,BF$13)=0,10^12,OFFSET(CRONOPLE!$F$15,$M123-$A$15,BF$13)))</f>
        <v>4</v>
      </c>
      <c r="BG123" s="171">
        <f ca="1">IF(OR($D123&lt;&gt;"Serviço",AND(AUTOEVENTO="Manual",$M123=$A$15)),0,
         IF(OFFSET(CRONOPLE!$F$15,$M123-$A$15,BG$13)=0,10^12,OFFSET(CRONOPLE!$F$15,$M123-$A$15,BG$13)))</f>
        <v>5</v>
      </c>
      <c r="BH123" s="171">
        <f ca="1">IF(OR($D123&lt;&gt;"Serviço",AND(AUTOEVENTO="Manual",$M123=$A$15)),0,
         IF(OFFSET(CRONOPLE!$F$15,$M123-$A$15,BH$13)=0,10^12,OFFSET(CRONOPLE!$F$15,$M123-$A$15,BH$13)))</f>
        <v>6</v>
      </c>
      <c r="BI123" s="171">
        <f ca="1">IF(OR($D123&lt;&gt;"Serviço",AND(AUTOEVENTO="Manual",$M123=$A$15)),0,
         IF(OFFSET(CRONOPLE!$F$15,$M123-$A$15,BI$13)=0,10^12,OFFSET(CRONOPLE!$F$15,$M123-$A$15,BI$13)))</f>
        <v>7</v>
      </c>
      <c r="BJ123" s="171">
        <f ca="1">IF(OR($D123&lt;&gt;"Serviço",AND(AUTOEVENTO="Manual",$M123=$A$15)),0,
         IF(OFFSET(CRONOPLE!$F$15,$M123-$A$15,BJ$13)=0,10^12,OFFSET(CRONOPLE!$F$15,$M123-$A$15,BJ$13)))</f>
        <v>8</v>
      </c>
      <c r="BK123" s="171">
        <f ca="1">IF(OR($D123&lt;&gt;"Serviço",AND(AUTOEVENTO="Manual",$M123=$A$15)),0,
         IF(OFFSET(CRONOPLE!$F$15,$M123-$A$15,BK$13)=0,10^12,OFFSET(CRONOPLE!$F$15,$M123-$A$15,BK$13)))</f>
        <v>9</v>
      </c>
      <c r="BL123" s="171">
        <f ca="1">IF(OR($D123&lt;&gt;"Serviço",AND(AUTOEVENTO="Manual",$M123=$A$15)),0,
         IF(OFFSET(CRONOPLE!$F$15,$M123-$A$15,BL$13)=0,10^12,OFFSET(CRONOPLE!$F$15,$M123-$A$15,BL$13)))</f>
        <v>10</v>
      </c>
      <c r="BM123" s="171">
        <f ca="1">IF(OR($D123&lt;&gt;"Serviço",AND(AUTOEVENTO="Manual",$M123=$A$15)),0,
         IF(OFFSET(CRONOPLE!$F$15,$M123-$A$15,BM$13)=0,10^12,OFFSET(CRONOPLE!$F$15,$M123-$A$15,BM$13)))</f>
        <v>1000000000000</v>
      </c>
      <c r="BN123" s="171">
        <f ca="1">IF(OR($D123&lt;&gt;"Serviço",AND(AUTOEVENTO="Manual",$M123=$A$15)),0,
         IF(OFFSET(CRONOPLE!$F$15,$M123-$A$15,BN$13)=0,10^12,OFFSET(CRONOPLE!$F$15,$M123-$A$15,BN$13)))</f>
        <v>1000000000000</v>
      </c>
      <c r="BO123" s="171">
        <f ca="1">IF(OR($D123&lt;&gt;"Serviço",AND(AUTOEVENTO="Manual",$M123=$A$15)),0,
         IF(OFFSET(CRONOPLE!$F$15,$M123-$A$15,BO$13)=0,10^12,OFFSET(CRONOPLE!$F$15,$M123-$A$15,BO$13)))</f>
        <v>1000000000000</v>
      </c>
      <c r="BP123" s="171">
        <f ca="1">IF(OR($D123&lt;&gt;"Serviço",AND(AUTOEVENTO="Manual",$M123=$A$15)),0,
         IF(OFFSET(CRONOPLE!$F$15,$M123-$A$15,BP$13)=0,10^12,OFFSET(CRONOPLE!$F$15,$M123-$A$15,BP$13)))</f>
        <v>1000000000000</v>
      </c>
      <c r="BQ123" s="171">
        <f ca="1">IF(OR($D123&lt;&gt;"Serviço",AND(AUTOEVENTO="Manual",$M123=$A$15)),0,
         IF(OFFSET(CRONOPLE!$F$15,$M123-$A$15,BQ$13)=0,10^12,OFFSET(CRONOPLE!$F$15,$M123-$A$15,BQ$13)))</f>
        <v>1000000000000</v>
      </c>
      <c r="BR123" s="171">
        <f ca="1">IF(OR($D123&lt;&gt;"Serviço",AND(AUTOEVENTO="Manual",$M123=$A$15)),0,
         IF(OFFSET(CRONOPLE!$F$15,$M123-$A$15,BR$13)=0,10^12,OFFSET(CRONOPLE!$F$15,$M123-$A$15,BR$13)))</f>
        <v>1000000000000</v>
      </c>
      <c r="BS123" s="171">
        <f ca="1">IF(OR($D123&lt;&gt;"Serviço",AND(AUTOEVENTO="Manual",$M123=$A$15)),0,
         IF(OFFSET(CRONOPLE!$F$15,$M123-$A$15,BS$13)=0,10^12,OFFSET(CRONOPLE!$F$15,$M123-$A$15,BS$13)))</f>
        <v>1000000000000</v>
      </c>
      <c r="BT123" s="171">
        <f ca="1">IF(OR($D123&lt;&gt;"Serviço",AND(AUTOEVENTO="Manual",$M123=$A$15)),0,
         IF(OFFSET(CRONOPLE!$F$15,$M123-$A$15,BT$13)=0,10^12,OFFSET(CRONOPLE!$F$15,$M123-$A$15,BT$13)))</f>
        <v>1000000000000</v>
      </c>
      <c r="BV123" s="172">
        <f ca="1">IF(OR($D123&lt;&gt;"Serviço",AND(AUTOEVENTO="Manual",$M123=$A$15),$M123&gt;(ROW(PLE.lastrow)-ROW(PLE.firstrow))),0,
           IF(OFFSET(PLE!$G$15,$M123-$A$15,BV$13)="",10^12,OFFSET(PLE!$G$15,$M123-$A$15,BV$13)))</f>
        <v>1000000000000</v>
      </c>
      <c r="BW123" s="172">
        <f ca="1">IF(OR($D123&lt;&gt;"Serviço",AND(AUTOEVENTO="Manual",$M123=$A$15),$M123&gt;(ROW(PLE.lastrow)-ROW(PLE.firstrow))),0,
           IF(OFFSET(PLE!$G$15,$M123-$A$15,BW$13)="",10^12,OFFSET(PLE!$G$15,$M123-$A$15,BW$13)))</f>
        <v>1000000000000</v>
      </c>
      <c r="BX123" s="172">
        <f ca="1">IF(OR($D123&lt;&gt;"Serviço",AND(AUTOEVENTO="Manual",$M123=$A$15),$M123&gt;(ROW(PLE.lastrow)-ROW(PLE.firstrow))),0,
           IF(OFFSET(PLE!$G$15,$M123-$A$15,BX$13)="",10^12,OFFSET(PLE!$G$15,$M123-$A$15,BX$13)))</f>
        <v>1000000000000</v>
      </c>
      <c r="BY123" s="172">
        <f ca="1">IF(OR($D123&lt;&gt;"Serviço",AND(AUTOEVENTO="Manual",$M123=$A$15),$M123&gt;(ROW(PLE.lastrow)-ROW(PLE.firstrow))),0,
           IF(OFFSET(PLE!$G$15,$M123-$A$15,BY$13)="",10^12,OFFSET(PLE!$G$15,$M123-$A$15,BY$13)))</f>
        <v>1000000000000</v>
      </c>
      <c r="BZ123" s="172">
        <f ca="1">IF(OR($D123&lt;&gt;"Serviço",AND(AUTOEVENTO="Manual",$M123=$A$15),$M123&gt;(ROW(PLE.lastrow)-ROW(PLE.firstrow))),0,
           IF(OFFSET(PLE!$G$15,$M123-$A$15,BZ$13)="",10^12,OFFSET(PLE!$G$15,$M123-$A$15,BZ$13)))</f>
        <v>1000000000000</v>
      </c>
      <c r="CA123" s="172">
        <f ca="1">IF(OR($D123&lt;&gt;"Serviço",AND(AUTOEVENTO="Manual",$M123=$A$15),$M123&gt;(ROW(PLE.lastrow)-ROW(PLE.firstrow))),0,
           IF(OFFSET(PLE!$G$15,$M123-$A$15,CA$13)="",10^12,OFFSET(PLE!$G$15,$M123-$A$15,CA$13)))</f>
        <v>1000000000000</v>
      </c>
      <c r="CB123" s="172">
        <f ca="1">IF(OR($D123&lt;&gt;"Serviço",AND(AUTOEVENTO="Manual",$M123=$A$15),$M123&gt;(ROW(PLE.lastrow)-ROW(PLE.firstrow))),0,
           IF(OFFSET(PLE!$G$15,$M123-$A$15,CB$13)="",10^12,OFFSET(PLE!$G$15,$M123-$A$15,CB$13)))</f>
        <v>1000000000000</v>
      </c>
      <c r="CC123" s="172">
        <f ca="1">IF(OR($D123&lt;&gt;"Serviço",AND(AUTOEVENTO="Manual",$M123=$A$15),$M123&gt;(ROW(PLE.lastrow)-ROW(PLE.firstrow))),0,
           IF(OFFSET(PLE!$G$15,$M123-$A$15,CC$13)="",10^12,OFFSET(PLE!$G$15,$M123-$A$15,CC$13)))</f>
        <v>1000000000000</v>
      </c>
      <c r="CD123" s="172">
        <f ca="1">IF(OR($D123&lt;&gt;"Serviço",AND(AUTOEVENTO="Manual",$M123=$A$15),$M123&gt;(ROW(PLE.lastrow)-ROW(PLE.firstrow))),0,
           IF(OFFSET(PLE!$G$15,$M123-$A$15,CD$13)="",10^12,OFFSET(PLE!$G$15,$M123-$A$15,CD$13)))</f>
        <v>1000000000000</v>
      </c>
      <c r="CE123" s="172">
        <f ca="1">IF(OR($D123&lt;&gt;"Serviço",AND(AUTOEVENTO="Manual",$M123=$A$15),$M123&gt;(ROW(PLE.lastrow)-ROW(PLE.firstrow))),0,
           IF(OFFSET(PLE!$G$15,$M123-$A$15,CE$13)="",10^12,OFFSET(PLE!$G$15,$M123-$A$15,CE$13)))</f>
        <v>1000000000000</v>
      </c>
      <c r="CF123" s="172">
        <f ca="1">IF(OR($D123&lt;&gt;"Serviço",AND(AUTOEVENTO="Manual",$M123=$A$15),$M123&gt;(ROW(PLE.lastrow)-ROW(PLE.firstrow))),0,
           IF(OFFSET(PLE!$G$15,$M123-$A$15,CF$13)="",10^12,OFFSET(PLE!$G$15,$M123-$A$15,CF$13)))</f>
        <v>1000000000000</v>
      </c>
      <c r="CG123" s="172">
        <f ca="1">IF(OR($D123&lt;&gt;"Serviço",AND(AUTOEVENTO="Manual",$M123=$A$15),$M123&gt;(ROW(PLE.lastrow)-ROW(PLE.firstrow))),0,
           IF(OFFSET(PLE!$G$15,$M123-$A$15,CG$13)="",10^12,OFFSET(PLE!$G$15,$M123-$A$15,CG$13)))</f>
        <v>1000000000000</v>
      </c>
      <c r="CH123" s="172">
        <f ca="1">IF(OR($D123&lt;&gt;"Serviço",AND(AUTOEVENTO="Manual",$M123=$A$15),$M123&gt;(ROW(PLE.lastrow)-ROW(PLE.firstrow))),0,
           IF(OFFSET(PLE!$G$15,$M123-$A$15,CH$13)="",10^12,OFFSET(PLE!$G$15,$M123-$A$15,CH$13)))</f>
        <v>1000000000000</v>
      </c>
      <c r="CI123" s="172">
        <f ca="1">IF(OR($D123&lt;&gt;"Serviço",AND(AUTOEVENTO="Manual",$M123=$A$15),$M123&gt;(ROW(PLE.lastrow)-ROW(PLE.firstrow))),0,
           IF(OFFSET(PLE!$G$15,$M123-$A$15,CI$13)="",10^12,OFFSET(PLE!$G$15,$M123-$A$15,CI$13)))</f>
        <v>1000000000000</v>
      </c>
      <c r="CJ123" s="172">
        <f ca="1">IF(OR($D123&lt;&gt;"Serviço",AND(AUTOEVENTO="Manual",$M123=$A$15),$M123&gt;(ROW(PLE.lastrow)-ROW(PLE.firstrow))),0,
           IF(OFFSET(PLE!$G$15,$M123-$A$15,CJ$13)="",10^12,OFFSET(PLE!$G$15,$M123-$A$15,CJ$13)))</f>
        <v>1000000000000</v>
      </c>
      <c r="CK123" s="172">
        <f ca="1">IF(OR($D123&lt;&gt;"Serviço",AND(AUTOEVENTO="Manual",$M123=$A$15),$M123&gt;(ROW(PLE.lastrow)-ROW(PLE.firstrow))),0,
           IF(OFFSET(PLE!$G$15,$M123-$A$15,CK$13)="",10^12,OFFSET(PLE!$G$15,$M123-$A$15,CK$13)))</f>
        <v>1000000000000</v>
      </c>
      <c r="CL123" s="172">
        <f ca="1">IF(OR($D123&lt;&gt;"Serviço",AND(AUTOEVENTO="Manual",$M123=$A$15),$M123&gt;(ROW(PLE.lastrow)-ROW(PLE.firstrow))),0,
           IF(OFFSET(PLE!$G$15,$M123-$A$15,CL$13)="",10^12,OFFSET(PLE!$G$15,$M123-$A$15,CL$13)))</f>
        <v>1000000000000</v>
      </c>
      <c r="CM123" s="172">
        <f ca="1">IF(OR($D123&lt;&gt;"Serviço",AND(AUTOEVENTO="Manual",$M123=$A$15),$M123&gt;(ROW(PLE.lastrow)-ROW(PLE.firstrow))),0,
           IF(OFFSET(PLE!$G$15,$M123-$A$15,CM$13)="",10^12,OFFSET(PLE!$G$15,$M123-$A$15,CM$13)))</f>
        <v>1000000000000</v>
      </c>
    </row>
    <row r="124" spans="1:91" ht="12.75" x14ac:dyDescent="0.2">
      <c r="A124" s="7">
        <f t="shared" ca="1" si="11"/>
        <v>5</v>
      </c>
      <c r="B124" s="7">
        <f ca="1">OFFSET(ORÇAMENTO!C$15,ROW(B124)-ROW(B$15),0)</f>
        <v>4</v>
      </c>
      <c r="C124" s="7" t="str">
        <f ca="1">OFFSET(ORÇAMENTO!L$15,ROW(C124)-ROW(C$15),0)</f>
        <v>F</v>
      </c>
      <c r="D124" s="116" t="str">
        <f ca="1">OFFSET(ORÇAMENTO!N$15,ROW(D124)-ROW(D$15),0)</f>
        <v>Nível 4</v>
      </c>
      <c r="E124" s="117" t="str">
        <f ca="1">OFFSET(ORÇAMENTO!O$15,ROW(E124)-ROW(E$15),0)</f>
        <v>1.5.2.3.</v>
      </c>
      <c r="F124" s="163" t="str">
        <f ca="1">OFFSET(ORÇAMENTO!R$15,ROW(F124)-ROW(F$15),0)</f>
        <v>CAIXA</v>
      </c>
      <c r="G124" s="164" t="str">
        <f ca="1">IF($D124&lt;&gt;"Serviço","",OFFSET(ORÇAMENTO!S$15,ROW(G124)-ROW(G$15),0))</f>
        <v/>
      </c>
      <c r="H124" s="122" cm="1">
        <f t="array" aca="1" ref="H124" ca="1">IF($D124&lt;&gt;"Serviço",0,IF(ACOMPANHAMENTO="BM",ROUND(OFFSET(ORÇAMENTO!AJ$15,ROW(H124)-ROW(H$15),0),15-13*ORÇAMENTO!$AF$7),SUMPRODUCT(($Q$1:$AI$1=1)*ROUND($Q124:$AI124,15-13*ORÇAMENTO!$AF$7))))</f>
        <v>0</v>
      </c>
      <c r="I124" s="468"/>
      <c r="J124" s="640" t="str" cm="1">
        <f t="array" aca="1" ref="J124" ca="1">IF(OR(B124&lt;&gt;"S",CÁLCULO.FrentesPreenchidas=0),"",IF(AND(ACOMPANHAMENTO="PLE",AUTOEVENTO="Manual",OR(H124&gt;0,ORÇAMENTO!AC124="QUANT."),OR(K124="",M124=0,N124="")),"►E",IF(AND(ACOMPANHAMENTO="PLE",ORÇAMENTO!AC124="QUANT."),"►Q",IF(AND(ACOMPANHAMENTO="PLE",H124&lt;&gt;SUMPRODUCT(($Q$1:$AI$1=1)*ROUND(Q124:AI124,15))),"►S",IF(AND(COUNTIF($P$11:$AI$11,"▼")=0,H124&gt;0,I124=""),"◄M","")))))</f>
        <v/>
      </c>
      <c r="K124" s="641" t="s">
        <v>1364</v>
      </c>
      <c r="L124" s="165" t="s">
        <v>764</v>
      </c>
      <c r="M124" s="166" t="str">
        <f ca="1">IF($D124&lt;&gt;"Serviço","",
          IF(AUTOEVENTO="manual",$A124,
                IF(ISERROR(MATCH($A124,$A$15:OFFSET($A124,-1,0),0)),MAX($M$15:OFFSET(M124,-1,0))+1,
                      INDEX($M$15:OFFSET(M124,-1,0),MATCH($A124,$A$15:OFFSET($A124,-1,0),0)))))</f>
        <v/>
      </c>
      <c r="N124" s="167" t="str">
        <f ca="1">IF($D124&lt;&gt;"Serviço","",
         IF(AUTOEVENTO="Manual",
                IF($A124=0,"&lt;-- defina o número do agrupador",
                       OFFSET(EVENTOS!$D$15,$A124-$A$15,0)),
                OFFSET($F$15,$A124,0)))</f>
        <v/>
      </c>
      <c r="O124" s="168"/>
      <c r="Q124" s="168"/>
      <c r="R124" s="169"/>
      <c r="S124" s="169"/>
      <c r="T124" s="169"/>
      <c r="U124" s="169"/>
      <c r="V124" s="169"/>
      <c r="W124" s="169"/>
      <c r="X124" s="169"/>
      <c r="Y124" s="169"/>
      <c r="Z124" s="170"/>
      <c r="AA124" s="169"/>
      <c r="AB124" s="169"/>
      <c r="AC124" s="169"/>
      <c r="AD124" s="169"/>
      <c r="AE124" s="169"/>
      <c r="AF124" s="169"/>
      <c r="AG124" s="169"/>
      <c r="AH124" s="170"/>
      <c r="AJ124" s="453">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0</v>
      </c>
      <c r="AK124" s="453">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0</v>
      </c>
      <c r="AL124" s="453">
        <f ca="1">IF(AND($D124="Serviço",AL$12&lt;&gt;0,$H124&gt;0,OR(AUTOEVENTO&lt;&gt;"manual",$M124&lt;&gt;$A$15)),
        IF(Import.TipoArredondamento&lt;&gt;"TransfereGOV",
              ROUND(OFFSET($P124,0,AL$13),15-13*ORÇAMENTO!$AF$7)/$H124*OFFSET(ORÇAMENTO!$X$15,ROW(AL124)-ROW(AL$15),0),
              ROUND(ROUND(OFFSET($P124,0,AL$13),15-13*ORÇAMENTO!$AF$7)*OFFSET(ORÇAMENTO!$W$15,ROW(AL124)-ROW(AL$15),0),15-13*ORÇAMENTO!$AF$11)),
         0)</f>
        <v>0</v>
      </c>
      <c r="AM124" s="453">
        <f ca="1">IF(AND($D124="Serviço",AM$12&lt;&gt;0,$H124&gt;0,OR(AUTOEVENTO&lt;&gt;"manual",$M124&lt;&gt;$A$15)),
        IF(Import.TipoArredondamento&lt;&gt;"TransfereGOV",
              ROUND(OFFSET($P124,0,AM$13),15-13*ORÇAMENTO!$AF$7)/$H124*OFFSET(ORÇAMENTO!$X$15,ROW(AM124)-ROW(AM$15),0),
              ROUND(ROUND(OFFSET($P124,0,AM$13),15-13*ORÇAMENTO!$AF$7)*OFFSET(ORÇAMENTO!$W$15,ROW(AM124)-ROW(AM$15),0),15-13*ORÇAMENTO!$AF$11)),
         0)</f>
        <v>0</v>
      </c>
      <c r="AN124" s="453">
        <f ca="1">IF(AND($D124="Serviço",AN$12&lt;&gt;0,$H124&gt;0,OR(AUTOEVENTO&lt;&gt;"manual",$M124&lt;&gt;$A$15)),
        IF(Import.TipoArredondamento&lt;&gt;"TransfereGOV",
              ROUND(OFFSET($P124,0,AN$13),15-13*ORÇAMENTO!$AF$7)/$H124*OFFSET(ORÇAMENTO!$X$15,ROW(AN124)-ROW(AN$15),0),
              ROUND(ROUND(OFFSET($P124,0,AN$13),15-13*ORÇAMENTO!$AF$7)*OFFSET(ORÇAMENTO!$W$15,ROW(AN124)-ROW(AN$15),0),15-13*ORÇAMENTO!$AF$11)),
         0)</f>
        <v>0</v>
      </c>
      <c r="AO124" s="453">
        <f ca="1">IF(AND($D124="Serviço",AO$12&lt;&gt;0,$H124&gt;0,OR(AUTOEVENTO&lt;&gt;"manual",$M124&lt;&gt;$A$15)),
        IF(Import.TipoArredondamento&lt;&gt;"TransfereGOV",
              ROUND(OFFSET($P124,0,AO$13),15-13*ORÇAMENTO!$AF$7)/$H124*OFFSET(ORÇAMENTO!$X$15,ROW(AO124)-ROW(AO$15),0),
              ROUND(ROUND(OFFSET($P124,0,AO$13),15-13*ORÇAMENTO!$AF$7)*OFFSET(ORÇAMENTO!$W$15,ROW(AO124)-ROW(AO$15),0),15-13*ORÇAMENTO!$AF$11)),
         0)</f>
        <v>0</v>
      </c>
      <c r="AP124" s="453">
        <f ca="1">IF(AND($D124="Serviço",AP$12&lt;&gt;0,$H124&gt;0,OR(AUTOEVENTO&lt;&gt;"manual",$M124&lt;&gt;$A$15)),
        IF(Import.TipoArredondamento&lt;&gt;"TransfereGOV",
              ROUND(OFFSET($P124,0,AP$13),15-13*ORÇAMENTO!$AF$7)/$H124*OFFSET(ORÇAMENTO!$X$15,ROW(AP124)-ROW(AP$15),0),
              ROUND(ROUND(OFFSET($P124,0,AP$13),15-13*ORÇAMENTO!$AF$7)*OFFSET(ORÇAMENTO!$W$15,ROW(AP124)-ROW(AP$15),0),15-13*ORÇAMENTO!$AF$11)),
         0)</f>
        <v>0</v>
      </c>
      <c r="AQ124" s="453">
        <f ca="1">IF(AND($D124="Serviço",AQ$12&lt;&gt;0,$H124&gt;0,OR(AUTOEVENTO&lt;&gt;"manual",$M124&lt;&gt;$A$15)),
        IF(Import.TipoArredondamento&lt;&gt;"TransfereGOV",
              ROUND(OFFSET($P124,0,AQ$13),15-13*ORÇAMENTO!$AF$7)/$H124*OFFSET(ORÇAMENTO!$X$15,ROW(AQ124)-ROW(AQ$15),0),
              ROUND(ROUND(OFFSET($P124,0,AQ$13),15-13*ORÇAMENTO!$AF$7)*OFFSET(ORÇAMENTO!$W$15,ROW(AQ124)-ROW(AQ$15),0),15-13*ORÇAMENTO!$AF$11)),
         0)</f>
        <v>0</v>
      </c>
      <c r="AR124" s="453">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3">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3">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3">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3">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3">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3">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3">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3">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3">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C124" s="171">
        <f ca="1">IF(OR($D124&lt;&gt;"Serviço",AND(AUTOEVENTO="Manual",$M124=$A$15)),0,
         IF(OFFSET(CRONOPLE!$F$15,$M124-$A$15,BC$13)=0,10^12,OFFSET(CRONOPLE!$F$15,$M124-$A$15,BC$13)))</f>
        <v>0</v>
      </c>
      <c r="BD124" s="171">
        <f ca="1">IF(OR($D124&lt;&gt;"Serviço",AND(AUTOEVENTO="Manual",$M124=$A$15)),0,
         IF(OFFSET(CRONOPLE!$F$15,$M124-$A$15,BD$13)=0,10^12,OFFSET(CRONOPLE!$F$15,$M124-$A$15,BD$13)))</f>
        <v>0</v>
      </c>
      <c r="BE124" s="171">
        <f ca="1">IF(OR($D124&lt;&gt;"Serviço",AND(AUTOEVENTO="Manual",$M124=$A$15)),0,
         IF(OFFSET(CRONOPLE!$F$15,$M124-$A$15,BE$13)=0,10^12,OFFSET(CRONOPLE!$F$15,$M124-$A$15,BE$13)))</f>
        <v>0</v>
      </c>
      <c r="BF124" s="171">
        <f ca="1">IF(OR($D124&lt;&gt;"Serviço",AND(AUTOEVENTO="Manual",$M124=$A$15)),0,
         IF(OFFSET(CRONOPLE!$F$15,$M124-$A$15,BF$13)=0,10^12,OFFSET(CRONOPLE!$F$15,$M124-$A$15,BF$13)))</f>
        <v>0</v>
      </c>
      <c r="BG124" s="171">
        <f ca="1">IF(OR($D124&lt;&gt;"Serviço",AND(AUTOEVENTO="Manual",$M124=$A$15)),0,
         IF(OFFSET(CRONOPLE!$F$15,$M124-$A$15,BG$13)=0,10^12,OFFSET(CRONOPLE!$F$15,$M124-$A$15,BG$13)))</f>
        <v>0</v>
      </c>
      <c r="BH124" s="171">
        <f ca="1">IF(OR($D124&lt;&gt;"Serviço",AND(AUTOEVENTO="Manual",$M124=$A$15)),0,
         IF(OFFSET(CRONOPLE!$F$15,$M124-$A$15,BH$13)=0,10^12,OFFSET(CRONOPLE!$F$15,$M124-$A$15,BH$13)))</f>
        <v>0</v>
      </c>
      <c r="BI124" s="171">
        <f ca="1">IF(OR($D124&lt;&gt;"Serviço",AND(AUTOEVENTO="Manual",$M124=$A$15)),0,
         IF(OFFSET(CRONOPLE!$F$15,$M124-$A$15,BI$13)=0,10^12,OFFSET(CRONOPLE!$F$15,$M124-$A$15,BI$13)))</f>
        <v>0</v>
      </c>
      <c r="BJ124" s="171">
        <f ca="1">IF(OR($D124&lt;&gt;"Serviço",AND(AUTOEVENTO="Manual",$M124=$A$15)),0,
         IF(OFFSET(CRONOPLE!$F$15,$M124-$A$15,BJ$13)=0,10^12,OFFSET(CRONOPLE!$F$15,$M124-$A$15,BJ$13)))</f>
        <v>0</v>
      </c>
      <c r="BK124" s="171">
        <f ca="1">IF(OR($D124&lt;&gt;"Serviço",AND(AUTOEVENTO="Manual",$M124=$A$15)),0,
         IF(OFFSET(CRONOPLE!$F$15,$M124-$A$15,BK$13)=0,10^12,OFFSET(CRONOPLE!$F$15,$M124-$A$15,BK$13)))</f>
        <v>0</v>
      </c>
      <c r="BL124" s="171">
        <f ca="1">IF(OR($D124&lt;&gt;"Serviço",AND(AUTOEVENTO="Manual",$M124=$A$15)),0,
         IF(OFFSET(CRONOPLE!$F$15,$M124-$A$15,BL$13)=0,10^12,OFFSET(CRONOPLE!$F$15,$M124-$A$15,BL$13)))</f>
        <v>0</v>
      </c>
      <c r="BM124" s="171">
        <f ca="1">IF(OR($D124&lt;&gt;"Serviço",AND(AUTOEVENTO="Manual",$M124=$A$15)),0,
         IF(OFFSET(CRONOPLE!$F$15,$M124-$A$15,BM$13)=0,10^12,OFFSET(CRONOPLE!$F$15,$M124-$A$15,BM$13)))</f>
        <v>0</v>
      </c>
      <c r="BN124" s="171">
        <f ca="1">IF(OR($D124&lt;&gt;"Serviço",AND(AUTOEVENTO="Manual",$M124=$A$15)),0,
         IF(OFFSET(CRONOPLE!$F$15,$M124-$A$15,BN$13)=0,10^12,OFFSET(CRONOPLE!$F$15,$M124-$A$15,BN$13)))</f>
        <v>0</v>
      </c>
      <c r="BO124" s="171">
        <f ca="1">IF(OR($D124&lt;&gt;"Serviço",AND(AUTOEVENTO="Manual",$M124=$A$15)),0,
         IF(OFFSET(CRONOPLE!$F$15,$M124-$A$15,BO$13)=0,10^12,OFFSET(CRONOPLE!$F$15,$M124-$A$15,BO$13)))</f>
        <v>0</v>
      </c>
      <c r="BP124" s="171">
        <f ca="1">IF(OR($D124&lt;&gt;"Serviço",AND(AUTOEVENTO="Manual",$M124=$A$15)),0,
         IF(OFFSET(CRONOPLE!$F$15,$M124-$A$15,BP$13)=0,10^12,OFFSET(CRONOPLE!$F$15,$M124-$A$15,BP$13)))</f>
        <v>0</v>
      </c>
      <c r="BQ124" s="171">
        <f ca="1">IF(OR($D124&lt;&gt;"Serviço",AND(AUTOEVENTO="Manual",$M124=$A$15)),0,
         IF(OFFSET(CRONOPLE!$F$15,$M124-$A$15,BQ$13)=0,10^12,OFFSET(CRONOPLE!$F$15,$M124-$A$15,BQ$13)))</f>
        <v>0</v>
      </c>
      <c r="BR124" s="171">
        <f ca="1">IF(OR($D124&lt;&gt;"Serviço",AND(AUTOEVENTO="Manual",$M124=$A$15)),0,
         IF(OFFSET(CRONOPLE!$F$15,$M124-$A$15,BR$13)=0,10^12,OFFSET(CRONOPLE!$F$15,$M124-$A$15,BR$13)))</f>
        <v>0</v>
      </c>
      <c r="BS124" s="171">
        <f ca="1">IF(OR($D124&lt;&gt;"Serviço",AND(AUTOEVENTO="Manual",$M124=$A$15)),0,
         IF(OFFSET(CRONOPLE!$F$15,$M124-$A$15,BS$13)=0,10^12,OFFSET(CRONOPLE!$F$15,$M124-$A$15,BS$13)))</f>
        <v>0</v>
      </c>
      <c r="BT124" s="171">
        <f ca="1">IF(OR($D124&lt;&gt;"Serviço",AND(AUTOEVENTO="Manual",$M124=$A$15)),0,
         IF(OFFSET(CRONOPLE!$F$15,$M124-$A$15,BT$13)=0,10^12,OFFSET(CRONOPLE!$F$15,$M124-$A$15,BT$13)))</f>
        <v>0</v>
      </c>
      <c r="BV124" s="172">
        <f ca="1">IF(OR($D124&lt;&gt;"Serviço",AND(AUTOEVENTO="Manual",$M124=$A$15),$M124&gt;(ROW(PLE.lastrow)-ROW(PLE.firstrow))),0,
           IF(OFFSET(PLE!$G$15,$M124-$A$15,BV$13)="",10^12,OFFSET(PLE!$G$15,$M124-$A$15,BV$13)))</f>
        <v>0</v>
      </c>
      <c r="BW124" s="172">
        <f ca="1">IF(OR($D124&lt;&gt;"Serviço",AND(AUTOEVENTO="Manual",$M124=$A$15),$M124&gt;(ROW(PLE.lastrow)-ROW(PLE.firstrow))),0,
           IF(OFFSET(PLE!$G$15,$M124-$A$15,BW$13)="",10^12,OFFSET(PLE!$G$15,$M124-$A$15,BW$13)))</f>
        <v>0</v>
      </c>
      <c r="BX124" s="172">
        <f ca="1">IF(OR($D124&lt;&gt;"Serviço",AND(AUTOEVENTO="Manual",$M124=$A$15),$M124&gt;(ROW(PLE.lastrow)-ROW(PLE.firstrow))),0,
           IF(OFFSET(PLE!$G$15,$M124-$A$15,BX$13)="",10^12,OFFSET(PLE!$G$15,$M124-$A$15,BX$13)))</f>
        <v>0</v>
      </c>
      <c r="BY124" s="172">
        <f ca="1">IF(OR($D124&lt;&gt;"Serviço",AND(AUTOEVENTO="Manual",$M124=$A$15),$M124&gt;(ROW(PLE.lastrow)-ROW(PLE.firstrow))),0,
           IF(OFFSET(PLE!$G$15,$M124-$A$15,BY$13)="",10^12,OFFSET(PLE!$G$15,$M124-$A$15,BY$13)))</f>
        <v>0</v>
      </c>
      <c r="BZ124" s="172">
        <f ca="1">IF(OR($D124&lt;&gt;"Serviço",AND(AUTOEVENTO="Manual",$M124=$A$15),$M124&gt;(ROW(PLE.lastrow)-ROW(PLE.firstrow))),0,
           IF(OFFSET(PLE!$G$15,$M124-$A$15,BZ$13)="",10^12,OFFSET(PLE!$G$15,$M124-$A$15,BZ$13)))</f>
        <v>0</v>
      </c>
      <c r="CA124" s="172">
        <f ca="1">IF(OR($D124&lt;&gt;"Serviço",AND(AUTOEVENTO="Manual",$M124=$A$15),$M124&gt;(ROW(PLE.lastrow)-ROW(PLE.firstrow))),0,
           IF(OFFSET(PLE!$G$15,$M124-$A$15,CA$13)="",10^12,OFFSET(PLE!$G$15,$M124-$A$15,CA$13)))</f>
        <v>0</v>
      </c>
      <c r="CB124" s="172">
        <f ca="1">IF(OR($D124&lt;&gt;"Serviço",AND(AUTOEVENTO="Manual",$M124=$A$15),$M124&gt;(ROW(PLE.lastrow)-ROW(PLE.firstrow))),0,
           IF(OFFSET(PLE!$G$15,$M124-$A$15,CB$13)="",10^12,OFFSET(PLE!$G$15,$M124-$A$15,CB$13)))</f>
        <v>0</v>
      </c>
      <c r="CC124" s="172">
        <f ca="1">IF(OR($D124&lt;&gt;"Serviço",AND(AUTOEVENTO="Manual",$M124=$A$15),$M124&gt;(ROW(PLE.lastrow)-ROW(PLE.firstrow))),0,
           IF(OFFSET(PLE!$G$15,$M124-$A$15,CC$13)="",10^12,OFFSET(PLE!$G$15,$M124-$A$15,CC$13)))</f>
        <v>0</v>
      </c>
      <c r="CD124" s="172">
        <f ca="1">IF(OR($D124&lt;&gt;"Serviço",AND(AUTOEVENTO="Manual",$M124=$A$15),$M124&gt;(ROW(PLE.lastrow)-ROW(PLE.firstrow))),0,
           IF(OFFSET(PLE!$G$15,$M124-$A$15,CD$13)="",10^12,OFFSET(PLE!$G$15,$M124-$A$15,CD$13)))</f>
        <v>0</v>
      </c>
      <c r="CE124" s="172">
        <f ca="1">IF(OR($D124&lt;&gt;"Serviço",AND(AUTOEVENTO="Manual",$M124=$A$15),$M124&gt;(ROW(PLE.lastrow)-ROW(PLE.firstrow))),0,
           IF(OFFSET(PLE!$G$15,$M124-$A$15,CE$13)="",10^12,OFFSET(PLE!$G$15,$M124-$A$15,CE$13)))</f>
        <v>0</v>
      </c>
      <c r="CF124" s="172">
        <f ca="1">IF(OR($D124&lt;&gt;"Serviço",AND(AUTOEVENTO="Manual",$M124=$A$15),$M124&gt;(ROW(PLE.lastrow)-ROW(PLE.firstrow))),0,
           IF(OFFSET(PLE!$G$15,$M124-$A$15,CF$13)="",10^12,OFFSET(PLE!$G$15,$M124-$A$15,CF$13)))</f>
        <v>0</v>
      </c>
      <c r="CG124" s="172">
        <f ca="1">IF(OR($D124&lt;&gt;"Serviço",AND(AUTOEVENTO="Manual",$M124=$A$15),$M124&gt;(ROW(PLE.lastrow)-ROW(PLE.firstrow))),0,
           IF(OFFSET(PLE!$G$15,$M124-$A$15,CG$13)="",10^12,OFFSET(PLE!$G$15,$M124-$A$15,CG$13)))</f>
        <v>0</v>
      </c>
      <c r="CH124" s="172">
        <f ca="1">IF(OR($D124&lt;&gt;"Serviço",AND(AUTOEVENTO="Manual",$M124=$A$15),$M124&gt;(ROW(PLE.lastrow)-ROW(PLE.firstrow))),0,
           IF(OFFSET(PLE!$G$15,$M124-$A$15,CH$13)="",10^12,OFFSET(PLE!$G$15,$M124-$A$15,CH$13)))</f>
        <v>0</v>
      </c>
      <c r="CI124" s="172">
        <f ca="1">IF(OR($D124&lt;&gt;"Serviço",AND(AUTOEVENTO="Manual",$M124=$A$15),$M124&gt;(ROW(PLE.lastrow)-ROW(PLE.firstrow))),0,
           IF(OFFSET(PLE!$G$15,$M124-$A$15,CI$13)="",10^12,OFFSET(PLE!$G$15,$M124-$A$15,CI$13)))</f>
        <v>0</v>
      </c>
      <c r="CJ124" s="172">
        <f ca="1">IF(OR($D124&lt;&gt;"Serviço",AND(AUTOEVENTO="Manual",$M124=$A$15),$M124&gt;(ROW(PLE.lastrow)-ROW(PLE.firstrow))),0,
           IF(OFFSET(PLE!$G$15,$M124-$A$15,CJ$13)="",10^12,OFFSET(PLE!$G$15,$M124-$A$15,CJ$13)))</f>
        <v>0</v>
      </c>
      <c r="CK124" s="172">
        <f ca="1">IF(OR($D124&lt;&gt;"Serviço",AND(AUTOEVENTO="Manual",$M124=$A$15),$M124&gt;(ROW(PLE.lastrow)-ROW(PLE.firstrow))),0,
           IF(OFFSET(PLE!$G$15,$M124-$A$15,CK$13)="",10^12,OFFSET(PLE!$G$15,$M124-$A$15,CK$13)))</f>
        <v>0</v>
      </c>
      <c r="CL124" s="172">
        <f ca="1">IF(OR($D124&lt;&gt;"Serviço",AND(AUTOEVENTO="Manual",$M124=$A$15),$M124&gt;(ROW(PLE.lastrow)-ROW(PLE.firstrow))),0,
           IF(OFFSET(PLE!$G$15,$M124-$A$15,CL$13)="",10^12,OFFSET(PLE!$G$15,$M124-$A$15,CL$13)))</f>
        <v>0</v>
      </c>
      <c r="CM124" s="172">
        <f ca="1">IF(OR($D124&lt;&gt;"Serviço",AND(AUTOEVENTO="Manual",$M124=$A$15),$M124&gt;(ROW(PLE.lastrow)-ROW(PLE.firstrow))),0,
           IF(OFFSET(PLE!$G$15,$M124-$A$15,CM$13)="",10^12,OFFSET(PLE!$G$15,$M124-$A$15,CM$13)))</f>
        <v>0</v>
      </c>
    </row>
    <row r="125" spans="1:91" ht="63.75" x14ac:dyDescent="0.2">
      <c r="A125" s="7">
        <f t="shared" ca="1" si="11"/>
        <v>4</v>
      </c>
      <c r="B125" s="7" t="str">
        <f ca="1">OFFSET(ORÇAMENTO!C$15,ROW(B125)-ROW(B$15),0)</f>
        <v>S</v>
      </c>
      <c r="C125" s="7" t="str">
        <f ca="1">OFFSET(ORÇAMENTO!L$15,ROW(C125)-ROW(C$15),0)</f>
        <v>F</v>
      </c>
      <c r="D125" s="116" t="str">
        <f ca="1">OFFSET(ORÇAMENTO!N$15,ROW(D125)-ROW(D$15),0)</f>
        <v>Serviço</v>
      </c>
      <c r="E125" s="117" t="str">
        <f ca="1">OFFSET(ORÇAMENTO!O$15,ROW(E125)-ROW(E$15),0)</f>
        <v>1.5.2.3.1.</v>
      </c>
      <c r="F125" s="163" t="str">
        <f ca="1">OFFSET(ORÇAMENTO!R$15,ROW(F125)-ROW(F$15),0)</f>
        <v>CONCRETO FCK = 40MPA, TRAÇO 1:1,6:1,9 (EM MASSA SECA DE CIMENTO/ AREIA MÉDIA/ BRITA 1) - PREPARO MECÂNICO COM BETONEIRA 600 L. AF_05/2021</v>
      </c>
      <c r="G125" s="164" t="str">
        <f ca="1">IF($D125&lt;&gt;"Serviço","",OFFSET(ORÇAMENTO!S$15,ROW(G125)-ROW(G$15),0))</f>
        <v>M3</v>
      </c>
      <c r="H125" s="122" cm="1">
        <f t="array" aca="1" ref="H125" ca="1">IF($D125&lt;&gt;"Serviço",0,IF(ACOMPANHAMENTO="BM",ROUND(OFFSET(ORÇAMENTO!AJ$15,ROW(H125)-ROW(H$15),0),15-13*ORÇAMENTO!$AF$7),SUMPRODUCT(($Q$1:$AI$1=1)*ROUND($Q125:$AI125,15-13*ORÇAMENTO!$AF$7))))</f>
        <v>3.08</v>
      </c>
      <c r="I125" s="468" t="s">
        <v>1325</v>
      </c>
      <c r="J125" s="640" t="str" cm="1">
        <f t="array" aca="1" ref="J125" ca="1">IF(OR(B125&lt;&gt;"S",CÁLCULO.FrentesPreenchidas=0),"",IF(AND(ACOMPANHAMENTO="PLE",AUTOEVENTO="Manual",OR(H125&gt;0,ORÇAMENTO!AC125="QUANT."),OR(K125="",M125=0,N125="")),"►E",IF(AND(ACOMPANHAMENTO="PLE",ORÇAMENTO!AC125="QUANT."),"►Q",IF(AND(ACOMPANHAMENTO="PLE",H125&lt;&gt;SUMPRODUCT(($Q$1:$AI$1=1)*ROUND(Q125:AI125,15))),"►S",IF(AND(COUNTIF($P$11:$AI$11,"▼")=0,H125&gt;0,I125=""),"◄M","")))))</f>
        <v/>
      </c>
      <c r="K125" s="641" t="s">
        <v>1389</v>
      </c>
      <c r="L125" s="165" t="s">
        <v>764</v>
      </c>
      <c r="M125" s="166">
        <f ca="1">IF($D125&lt;&gt;"Serviço","",
          IF(AUTOEVENTO="manual",$A125,
                IF(ISERROR(MATCH($A125,$A$15:OFFSET($A125,-1,0),0)),MAX($M$15:OFFSET(M125,-1,0))+1,
                      INDEX($M$15:OFFSET(M125,-1,0),MATCH($A125,$A$15:OFFSET($A125,-1,0),0)))))</f>
        <v>4</v>
      </c>
      <c r="N125" s="167" t="str">
        <f ca="1">IF($D125&lt;&gt;"Serviço","",
         IF(AUTOEVENTO="Manual",
                IF($A125=0,"&lt;-- defina o número do agrupador",
                       OFFSET(EVENTOS!$D$15,$A125-$A$15,0)),
                OFFSET($F$15,$A125,0)))</f>
        <v>Estruturas de Concreto</v>
      </c>
      <c r="O125" s="168"/>
      <c r="Q125" s="168"/>
      <c r="R125" s="169"/>
      <c r="S125" s="169"/>
      <c r="T125" s="169">
        <v>3.08</v>
      </c>
      <c r="U125" s="169"/>
      <c r="V125" s="169"/>
      <c r="W125" s="169"/>
      <c r="X125" s="169"/>
      <c r="Y125" s="169"/>
      <c r="Z125" s="170"/>
      <c r="AA125" s="169"/>
      <c r="AB125" s="169"/>
      <c r="AC125" s="169"/>
      <c r="AD125" s="169"/>
      <c r="AE125" s="169"/>
      <c r="AF125" s="169"/>
      <c r="AG125" s="169"/>
      <c r="AH125" s="170"/>
      <c r="AJ125" s="453">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3">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L125" s="453">
        <f ca="1">IF(AND($D125="Serviço",AL$12&lt;&gt;0,$H125&gt;0,OR(AUTOEVENTO&lt;&gt;"manual",$M125&lt;&gt;$A$15)),
        IF(Import.TipoArredondamento&lt;&gt;"TransfereGOV",
              ROUND(OFFSET($P125,0,AL$13),15-13*ORÇAMENTO!$AF$7)/$H125*OFFSET(ORÇAMENTO!$X$15,ROW(AL125)-ROW(AL$15),0),
              ROUND(ROUND(OFFSET($P125,0,AL$13),15-13*ORÇAMENTO!$AF$7)*OFFSET(ORÇAMENTO!$W$15,ROW(AL125)-ROW(AL$15),0),15-13*ORÇAMENTO!$AF$11)),
         0)</f>
        <v>0</v>
      </c>
      <c r="AM125" s="453">
        <f ca="1">IF(AND($D125="Serviço",AM$12&lt;&gt;0,$H125&gt;0,OR(AUTOEVENTO&lt;&gt;"manual",$M125&lt;&gt;$A$15)),
        IF(Import.TipoArredondamento&lt;&gt;"TransfereGOV",
              ROUND(OFFSET($P125,0,AM$13),15-13*ORÇAMENTO!$AF$7)/$H125*OFFSET(ORÇAMENTO!$X$15,ROW(AM125)-ROW(AM$15),0),
              ROUND(ROUND(OFFSET($P125,0,AM$13),15-13*ORÇAMENTO!$AF$7)*OFFSET(ORÇAMENTO!$W$15,ROW(AM125)-ROW(AM$15),0),15-13*ORÇAMENTO!$AF$11)),
         0)</f>
        <v>0</v>
      </c>
      <c r="AN125" s="453">
        <f ca="1">IF(AND($D125="Serviço",AN$12&lt;&gt;0,$H125&gt;0,OR(AUTOEVENTO&lt;&gt;"manual",$M125&lt;&gt;$A$15)),
        IF(Import.TipoArredondamento&lt;&gt;"TransfereGOV",
              ROUND(OFFSET($P125,0,AN$13),15-13*ORÇAMENTO!$AF$7)/$H125*OFFSET(ORÇAMENTO!$X$15,ROW(AN125)-ROW(AN$15),0),
              ROUND(ROUND(OFFSET($P125,0,AN$13),15-13*ORÇAMENTO!$AF$7)*OFFSET(ORÇAMENTO!$W$15,ROW(AN125)-ROW(AN$15),0),15-13*ORÇAMENTO!$AF$11)),
         0)</f>
        <v>0</v>
      </c>
      <c r="AO125" s="453">
        <f ca="1">IF(AND($D125="Serviço",AO$12&lt;&gt;0,$H125&gt;0,OR(AUTOEVENTO&lt;&gt;"manual",$M125&lt;&gt;$A$15)),
        IF(Import.TipoArredondamento&lt;&gt;"TransfereGOV",
              ROUND(OFFSET($P125,0,AO$13),15-13*ORÇAMENTO!$AF$7)/$H125*OFFSET(ORÇAMENTO!$X$15,ROW(AO125)-ROW(AO$15),0),
              ROUND(ROUND(OFFSET($P125,0,AO$13),15-13*ORÇAMENTO!$AF$7)*OFFSET(ORÇAMENTO!$W$15,ROW(AO125)-ROW(AO$15),0),15-13*ORÇAMENTO!$AF$11)),
         0)</f>
        <v>0</v>
      </c>
      <c r="AP125" s="453">
        <f ca="1">IF(AND($D125="Serviço",AP$12&lt;&gt;0,$H125&gt;0,OR(AUTOEVENTO&lt;&gt;"manual",$M125&lt;&gt;$A$15)),
        IF(Import.TipoArredondamento&lt;&gt;"TransfereGOV",
              ROUND(OFFSET($P125,0,AP$13),15-13*ORÇAMENTO!$AF$7)/$H125*OFFSET(ORÇAMENTO!$X$15,ROW(AP125)-ROW(AP$15),0),
              ROUND(ROUND(OFFSET($P125,0,AP$13),15-13*ORÇAMENTO!$AF$7)*OFFSET(ORÇAMENTO!$W$15,ROW(AP125)-ROW(AP$15),0),15-13*ORÇAMENTO!$AF$11)),
         0)</f>
        <v>0</v>
      </c>
      <c r="AQ125" s="453">
        <f ca="1">IF(AND($D125="Serviço",AQ$12&lt;&gt;0,$H125&gt;0,OR(AUTOEVENTO&lt;&gt;"manual",$M125&lt;&gt;$A$15)),
        IF(Import.TipoArredondamento&lt;&gt;"TransfereGOV",
              ROUND(OFFSET($P125,0,AQ$13),15-13*ORÇAMENTO!$AF$7)/$H125*OFFSET(ORÇAMENTO!$X$15,ROW(AQ125)-ROW(AQ$15),0),
              ROUND(ROUND(OFFSET($P125,0,AQ$13),15-13*ORÇAMENTO!$AF$7)*OFFSET(ORÇAMENTO!$W$15,ROW(AQ125)-ROW(AQ$15),0),15-13*ORÇAMENTO!$AF$11)),
         0)</f>
        <v>0</v>
      </c>
      <c r="AR125" s="453">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3">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3">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3">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3">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3">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3">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3">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3">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3">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C125" s="171">
        <f ca="1">IF(OR($D125&lt;&gt;"Serviço",AND(AUTOEVENTO="Manual",$M125=$A$15)),0,
         IF(OFFSET(CRONOPLE!$F$15,$M125-$A$15,BC$13)=0,10^12,OFFSET(CRONOPLE!$F$15,$M125-$A$15,BC$13)))</f>
        <v>1</v>
      </c>
      <c r="BD125" s="171">
        <f ca="1">IF(OR($D125&lt;&gt;"Serviço",AND(AUTOEVENTO="Manual",$M125=$A$15)),0,
         IF(OFFSET(CRONOPLE!$F$15,$M125-$A$15,BD$13)=0,10^12,OFFSET(CRONOPLE!$F$15,$M125-$A$15,BD$13)))</f>
        <v>2</v>
      </c>
      <c r="BE125" s="171">
        <f ca="1">IF(OR($D125&lt;&gt;"Serviço",AND(AUTOEVENTO="Manual",$M125=$A$15)),0,
         IF(OFFSET(CRONOPLE!$F$15,$M125-$A$15,BE$13)=0,10^12,OFFSET(CRONOPLE!$F$15,$M125-$A$15,BE$13)))</f>
        <v>3</v>
      </c>
      <c r="BF125" s="171">
        <f ca="1">IF(OR($D125&lt;&gt;"Serviço",AND(AUTOEVENTO="Manual",$M125=$A$15)),0,
         IF(OFFSET(CRONOPLE!$F$15,$M125-$A$15,BF$13)=0,10^12,OFFSET(CRONOPLE!$F$15,$M125-$A$15,BF$13)))</f>
        <v>4</v>
      </c>
      <c r="BG125" s="171">
        <f ca="1">IF(OR($D125&lt;&gt;"Serviço",AND(AUTOEVENTO="Manual",$M125=$A$15)),0,
         IF(OFFSET(CRONOPLE!$F$15,$M125-$A$15,BG$13)=0,10^12,OFFSET(CRONOPLE!$F$15,$M125-$A$15,BG$13)))</f>
        <v>5</v>
      </c>
      <c r="BH125" s="171">
        <f ca="1">IF(OR($D125&lt;&gt;"Serviço",AND(AUTOEVENTO="Manual",$M125=$A$15)),0,
         IF(OFFSET(CRONOPLE!$F$15,$M125-$A$15,BH$13)=0,10^12,OFFSET(CRONOPLE!$F$15,$M125-$A$15,BH$13)))</f>
        <v>6</v>
      </c>
      <c r="BI125" s="171">
        <f ca="1">IF(OR($D125&lt;&gt;"Serviço",AND(AUTOEVENTO="Manual",$M125=$A$15)),0,
         IF(OFFSET(CRONOPLE!$F$15,$M125-$A$15,BI$13)=0,10^12,OFFSET(CRONOPLE!$F$15,$M125-$A$15,BI$13)))</f>
        <v>7</v>
      </c>
      <c r="BJ125" s="171">
        <f ca="1">IF(OR($D125&lt;&gt;"Serviço",AND(AUTOEVENTO="Manual",$M125=$A$15)),0,
         IF(OFFSET(CRONOPLE!$F$15,$M125-$A$15,BJ$13)=0,10^12,OFFSET(CRONOPLE!$F$15,$M125-$A$15,BJ$13)))</f>
        <v>8</v>
      </c>
      <c r="BK125" s="171">
        <f ca="1">IF(OR($D125&lt;&gt;"Serviço",AND(AUTOEVENTO="Manual",$M125=$A$15)),0,
         IF(OFFSET(CRONOPLE!$F$15,$M125-$A$15,BK$13)=0,10^12,OFFSET(CRONOPLE!$F$15,$M125-$A$15,BK$13)))</f>
        <v>9</v>
      </c>
      <c r="BL125" s="171">
        <f ca="1">IF(OR($D125&lt;&gt;"Serviço",AND(AUTOEVENTO="Manual",$M125=$A$15)),0,
         IF(OFFSET(CRONOPLE!$F$15,$M125-$A$15,BL$13)=0,10^12,OFFSET(CRONOPLE!$F$15,$M125-$A$15,BL$13)))</f>
        <v>10</v>
      </c>
      <c r="BM125" s="171">
        <f ca="1">IF(OR($D125&lt;&gt;"Serviço",AND(AUTOEVENTO="Manual",$M125=$A$15)),0,
         IF(OFFSET(CRONOPLE!$F$15,$M125-$A$15,BM$13)=0,10^12,OFFSET(CRONOPLE!$F$15,$M125-$A$15,BM$13)))</f>
        <v>1000000000000</v>
      </c>
      <c r="BN125" s="171">
        <f ca="1">IF(OR($D125&lt;&gt;"Serviço",AND(AUTOEVENTO="Manual",$M125=$A$15)),0,
         IF(OFFSET(CRONOPLE!$F$15,$M125-$A$15,BN$13)=0,10^12,OFFSET(CRONOPLE!$F$15,$M125-$A$15,BN$13)))</f>
        <v>1000000000000</v>
      </c>
      <c r="BO125" s="171">
        <f ca="1">IF(OR($D125&lt;&gt;"Serviço",AND(AUTOEVENTO="Manual",$M125=$A$15)),0,
         IF(OFFSET(CRONOPLE!$F$15,$M125-$A$15,BO$13)=0,10^12,OFFSET(CRONOPLE!$F$15,$M125-$A$15,BO$13)))</f>
        <v>1000000000000</v>
      </c>
      <c r="BP125" s="171">
        <f ca="1">IF(OR($D125&lt;&gt;"Serviço",AND(AUTOEVENTO="Manual",$M125=$A$15)),0,
         IF(OFFSET(CRONOPLE!$F$15,$M125-$A$15,BP$13)=0,10^12,OFFSET(CRONOPLE!$F$15,$M125-$A$15,BP$13)))</f>
        <v>1000000000000</v>
      </c>
      <c r="BQ125" s="171">
        <f ca="1">IF(OR($D125&lt;&gt;"Serviço",AND(AUTOEVENTO="Manual",$M125=$A$15)),0,
         IF(OFFSET(CRONOPLE!$F$15,$M125-$A$15,BQ$13)=0,10^12,OFFSET(CRONOPLE!$F$15,$M125-$A$15,BQ$13)))</f>
        <v>1000000000000</v>
      </c>
      <c r="BR125" s="171">
        <f ca="1">IF(OR($D125&lt;&gt;"Serviço",AND(AUTOEVENTO="Manual",$M125=$A$15)),0,
         IF(OFFSET(CRONOPLE!$F$15,$M125-$A$15,BR$13)=0,10^12,OFFSET(CRONOPLE!$F$15,$M125-$A$15,BR$13)))</f>
        <v>1000000000000</v>
      </c>
      <c r="BS125" s="171">
        <f ca="1">IF(OR($D125&lt;&gt;"Serviço",AND(AUTOEVENTO="Manual",$M125=$A$15)),0,
         IF(OFFSET(CRONOPLE!$F$15,$M125-$A$15,BS$13)=0,10^12,OFFSET(CRONOPLE!$F$15,$M125-$A$15,BS$13)))</f>
        <v>1000000000000</v>
      </c>
      <c r="BT125" s="171">
        <f ca="1">IF(OR($D125&lt;&gt;"Serviço",AND(AUTOEVENTO="Manual",$M125=$A$15)),0,
         IF(OFFSET(CRONOPLE!$F$15,$M125-$A$15,BT$13)=0,10^12,OFFSET(CRONOPLE!$F$15,$M125-$A$15,BT$13)))</f>
        <v>1000000000000</v>
      </c>
      <c r="BV125" s="172">
        <f ca="1">IF(OR($D125&lt;&gt;"Serviço",AND(AUTOEVENTO="Manual",$M125=$A$15),$M125&gt;(ROW(PLE.lastrow)-ROW(PLE.firstrow))),0,
           IF(OFFSET(PLE!$G$15,$M125-$A$15,BV$13)="",10^12,OFFSET(PLE!$G$15,$M125-$A$15,BV$13)))</f>
        <v>1000000000000</v>
      </c>
      <c r="BW125" s="172">
        <f ca="1">IF(OR($D125&lt;&gt;"Serviço",AND(AUTOEVENTO="Manual",$M125=$A$15),$M125&gt;(ROW(PLE.lastrow)-ROW(PLE.firstrow))),0,
           IF(OFFSET(PLE!$G$15,$M125-$A$15,BW$13)="",10^12,OFFSET(PLE!$G$15,$M125-$A$15,BW$13)))</f>
        <v>1000000000000</v>
      </c>
      <c r="BX125" s="172">
        <f ca="1">IF(OR($D125&lt;&gt;"Serviço",AND(AUTOEVENTO="Manual",$M125=$A$15),$M125&gt;(ROW(PLE.lastrow)-ROW(PLE.firstrow))),0,
           IF(OFFSET(PLE!$G$15,$M125-$A$15,BX$13)="",10^12,OFFSET(PLE!$G$15,$M125-$A$15,BX$13)))</f>
        <v>1000000000000</v>
      </c>
      <c r="BY125" s="172">
        <f ca="1">IF(OR($D125&lt;&gt;"Serviço",AND(AUTOEVENTO="Manual",$M125=$A$15),$M125&gt;(ROW(PLE.lastrow)-ROW(PLE.firstrow))),0,
           IF(OFFSET(PLE!$G$15,$M125-$A$15,BY$13)="",10^12,OFFSET(PLE!$G$15,$M125-$A$15,BY$13)))</f>
        <v>1000000000000</v>
      </c>
      <c r="BZ125" s="172">
        <f ca="1">IF(OR($D125&lt;&gt;"Serviço",AND(AUTOEVENTO="Manual",$M125=$A$15),$M125&gt;(ROW(PLE.lastrow)-ROW(PLE.firstrow))),0,
           IF(OFFSET(PLE!$G$15,$M125-$A$15,BZ$13)="",10^12,OFFSET(PLE!$G$15,$M125-$A$15,BZ$13)))</f>
        <v>1000000000000</v>
      </c>
      <c r="CA125" s="172">
        <f ca="1">IF(OR($D125&lt;&gt;"Serviço",AND(AUTOEVENTO="Manual",$M125=$A$15),$M125&gt;(ROW(PLE.lastrow)-ROW(PLE.firstrow))),0,
           IF(OFFSET(PLE!$G$15,$M125-$A$15,CA$13)="",10^12,OFFSET(PLE!$G$15,$M125-$A$15,CA$13)))</f>
        <v>1000000000000</v>
      </c>
      <c r="CB125" s="172">
        <f ca="1">IF(OR($D125&lt;&gt;"Serviço",AND(AUTOEVENTO="Manual",$M125=$A$15),$M125&gt;(ROW(PLE.lastrow)-ROW(PLE.firstrow))),0,
           IF(OFFSET(PLE!$G$15,$M125-$A$15,CB$13)="",10^12,OFFSET(PLE!$G$15,$M125-$A$15,CB$13)))</f>
        <v>1000000000000</v>
      </c>
      <c r="CC125" s="172">
        <f ca="1">IF(OR($D125&lt;&gt;"Serviço",AND(AUTOEVENTO="Manual",$M125=$A$15),$M125&gt;(ROW(PLE.lastrow)-ROW(PLE.firstrow))),0,
           IF(OFFSET(PLE!$G$15,$M125-$A$15,CC$13)="",10^12,OFFSET(PLE!$G$15,$M125-$A$15,CC$13)))</f>
        <v>1000000000000</v>
      </c>
      <c r="CD125" s="172">
        <f ca="1">IF(OR($D125&lt;&gt;"Serviço",AND(AUTOEVENTO="Manual",$M125=$A$15),$M125&gt;(ROW(PLE.lastrow)-ROW(PLE.firstrow))),0,
           IF(OFFSET(PLE!$G$15,$M125-$A$15,CD$13)="",10^12,OFFSET(PLE!$G$15,$M125-$A$15,CD$13)))</f>
        <v>1000000000000</v>
      </c>
      <c r="CE125" s="172">
        <f ca="1">IF(OR($D125&lt;&gt;"Serviço",AND(AUTOEVENTO="Manual",$M125=$A$15),$M125&gt;(ROW(PLE.lastrow)-ROW(PLE.firstrow))),0,
           IF(OFFSET(PLE!$G$15,$M125-$A$15,CE$13)="",10^12,OFFSET(PLE!$G$15,$M125-$A$15,CE$13)))</f>
        <v>1000000000000</v>
      </c>
      <c r="CF125" s="172">
        <f ca="1">IF(OR($D125&lt;&gt;"Serviço",AND(AUTOEVENTO="Manual",$M125=$A$15),$M125&gt;(ROW(PLE.lastrow)-ROW(PLE.firstrow))),0,
           IF(OFFSET(PLE!$G$15,$M125-$A$15,CF$13)="",10^12,OFFSET(PLE!$G$15,$M125-$A$15,CF$13)))</f>
        <v>1000000000000</v>
      </c>
      <c r="CG125" s="172">
        <f ca="1">IF(OR($D125&lt;&gt;"Serviço",AND(AUTOEVENTO="Manual",$M125=$A$15),$M125&gt;(ROW(PLE.lastrow)-ROW(PLE.firstrow))),0,
           IF(OFFSET(PLE!$G$15,$M125-$A$15,CG$13)="",10^12,OFFSET(PLE!$G$15,$M125-$A$15,CG$13)))</f>
        <v>1000000000000</v>
      </c>
      <c r="CH125" s="172">
        <f ca="1">IF(OR($D125&lt;&gt;"Serviço",AND(AUTOEVENTO="Manual",$M125=$A$15),$M125&gt;(ROW(PLE.lastrow)-ROW(PLE.firstrow))),0,
           IF(OFFSET(PLE!$G$15,$M125-$A$15,CH$13)="",10^12,OFFSET(PLE!$G$15,$M125-$A$15,CH$13)))</f>
        <v>1000000000000</v>
      </c>
      <c r="CI125" s="172">
        <f ca="1">IF(OR($D125&lt;&gt;"Serviço",AND(AUTOEVENTO="Manual",$M125=$A$15),$M125&gt;(ROW(PLE.lastrow)-ROW(PLE.firstrow))),0,
           IF(OFFSET(PLE!$G$15,$M125-$A$15,CI$13)="",10^12,OFFSET(PLE!$G$15,$M125-$A$15,CI$13)))</f>
        <v>1000000000000</v>
      </c>
      <c r="CJ125" s="172">
        <f ca="1">IF(OR($D125&lt;&gt;"Serviço",AND(AUTOEVENTO="Manual",$M125=$A$15),$M125&gt;(ROW(PLE.lastrow)-ROW(PLE.firstrow))),0,
           IF(OFFSET(PLE!$G$15,$M125-$A$15,CJ$13)="",10^12,OFFSET(PLE!$G$15,$M125-$A$15,CJ$13)))</f>
        <v>1000000000000</v>
      </c>
      <c r="CK125" s="172">
        <f ca="1">IF(OR($D125&lt;&gt;"Serviço",AND(AUTOEVENTO="Manual",$M125=$A$15),$M125&gt;(ROW(PLE.lastrow)-ROW(PLE.firstrow))),0,
           IF(OFFSET(PLE!$G$15,$M125-$A$15,CK$13)="",10^12,OFFSET(PLE!$G$15,$M125-$A$15,CK$13)))</f>
        <v>1000000000000</v>
      </c>
      <c r="CL125" s="172">
        <f ca="1">IF(OR($D125&lt;&gt;"Serviço",AND(AUTOEVENTO="Manual",$M125=$A$15),$M125&gt;(ROW(PLE.lastrow)-ROW(PLE.firstrow))),0,
           IF(OFFSET(PLE!$G$15,$M125-$A$15,CL$13)="",10^12,OFFSET(PLE!$G$15,$M125-$A$15,CL$13)))</f>
        <v>1000000000000</v>
      </c>
      <c r="CM125" s="172">
        <f ca="1">IF(OR($D125&lt;&gt;"Serviço",AND(AUTOEVENTO="Manual",$M125=$A$15),$M125&gt;(ROW(PLE.lastrow)-ROW(PLE.firstrow))),0,
           IF(OFFSET(PLE!$G$15,$M125-$A$15,CM$13)="",10^12,OFFSET(PLE!$G$15,$M125-$A$15,CM$13)))</f>
        <v>1000000000000</v>
      </c>
    </row>
    <row r="126" spans="1:91" ht="63.75" x14ac:dyDescent="0.2">
      <c r="A126" s="7">
        <f t="shared" ca="1" si="11"/>
        <v>4</v>
      </c>
      <c r="B126" s="7" t="str">
        <f ca="1">OFFSET(ORÇAMENTO!C$15,ROW(B126)-ROW(B$15),0)</f>
        <v>S</v>
      </c>
      <c r="C126" s="7" t="str">
        <f ca="1">OFFSET(ORÇAMENTO!L$15,ROW(C126)-ROW(C$15),0)</f>
        <v>F</v>
      </c>
      <c r="D126" s="116" t="str">
        <f ca="1">OFFSET(ORÇAMENTO!N$15,ROW(D126)-ROW(D$15),0)</f>
        <v>Serviço</v>
      </c>
      <c r="E126" s="117" t="str">
        <f ca="1">OFFSET(ORÇAMENTO!O$15,ROW(E126)-ROW(E$15),0)</f>
        <v>1.5.2.3.2.</v>
      </c>
      <c r="F126" s="163" t="str">
        <f ca="1">OFFSET(ORÇAMENTO!R$15,ROW(F126)-ROW(F$15),0)</f>
        <v>LANÇAMENTO COM USO DE BOMBA, ADENSAMENTO E ACABAMENTO DE CONCRETO EM ESTRUTURAS. AF_02/2022</v>
      </c>
      <c r="G126" s="164" t="str">
        <f ca="1">IF($D126&lt;&gt;"Serviço","",OFFSET(ORÇAMENTO!S$15,ROW(G126)-ROW(G$15),0))</f>
        <v>M3</v>
      </c>
      <c r="H126" s="122" cm="1">
        <f t="array" aca="1" ref="H126" ca="1">IF($D126&lt;&gt;"Serviço",0,IF(ACOMPANHAMENTO="BM",ROUND(OFFSET(ORÇAMENTO!AJ$15,ROW(H126)-ROW(H$15),0),15-13*ORÇAMENTO!$AF$7),SUMPRODUCT(($Q$1:$AI$1=1)*ROUND($Q126:$AI126,15-13*ORÇAMENTO!$AF$7))))</f>
        <v>3.08</v>
      </c>
      <c r="I126" s="468" t="s">
        <v>1325</v>
      </c>
      <c r="J126" s="640" t="str" cm="1">
        <f t="array" aca="1" ref="J126" ca="1">IF(OR(B126&lt;&gt;"S",CÁLCULO.FrentesPreenchidas=0),"",IF(AND(ACOMPANHAMENTO="PLE",AUTOEVENTO="Manual",OR(H126&gt;0,ORÇAMENTO!AC126="QUANT."),OR(K126="",M126=0,N126="")),"►E",IF(AND(ACOMPANHAMENTO="PLE",ORÇAMENTO!AC126="QUANT."),"►Q",IF(AND(ACOMPANHAMENTO="PLE",H126&lt;&gt;SUMPRODUCT(($Q$1:$AI$1=1)*ROUND(Q126:AI126,15))),"►S",IF(AND(COUNTIF($P$11:$AI$11,"▼")=0,H126&gt;0,I126=""),"◄M","")))))</f>
        <v/>
      </c>
      <c r="K126" s="641" t="s">
        <v>1389</v>
      </c>
      <c r="L126" s="165" t="s">
        <v>764</v>
      </c>
      <c r="M126" s="166">
        <f ca="1">IF($D126&lt;&gt;"Serviço","",
          IF(AUTOEVENTO="manual",$A126,
                IF(ISERROR(MATCH($A126,$A$15:OFFSET($A126,-1,0),0)),MAX($M$15:OFFSET(M126,-1,0))+1,
                      INDEX($M$15:OFFSET(M126,-1,0),MATCH($A126,$A$15:OFFSET($A126,-1,0),0)))))</f>
        <v>4</v>
      </c>
      <c r="N126" s="167" t="str">
        <f ca="1">IF($D126&lt;&gt;"Serviço","",
         IF(AUTOEVENTO="Manual",
                IF($A126=0,"&lt;-- defina o número do agrupador",
                       OFFSET(EVENTOS!$D$15,$A126-$A$15,0)),
                OFFSET($F$15,$A126,0)))</f>
        <v>Estruturas de Concreto</v>
      </c>
      <c r="O126" s="168"/>
      <c r="Q126" s="168"/>
      <c r="R126" s="169"/>
      <c r="S126" s="169"/>
      <c r="T126" s="169">
        <f>T125</f>
        <v>3.08</v>
      </c>
      <c r="U126" s="169"/>
      <c r="V126" s="169"/>
      <c r="W126" s="169"/>
      <c r="X126" s="169"/>
      <c r="Y126" s="169"/>
      <c r="Z126" s="170"/>
      <c r="AA126" s="169"/>
      <c r="AB126" s="169"/>
      <c r="AC126" s="169"/>
      <c r="AD126" s="169"/>
      <c r="AE126" s="169"/>
      <c r="AF126" s="169"/>
      <c r="AG126" s="169"/>
      <c r="AH126" s="170"/>
      <c r="AJ126" s="453">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0</v>
      </c>
      <c r="AK126" s="453">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0</v>
      </c>
      <c r="AL126" s="453">
        <f ca="1">IF(AND($D126="Serviço",AL$12&lt;&gt;0,$H126&gt;0,OR(AUTOEVENTO&lt;&gt;"manual",$M126&lt;&gt;$A$15)),
        IF(Import.TipoArredondamento&lt;&gt;"TransfereGOV",
              ROUND(OFFSET($P126,0,AL$13),15-13*ORÇAMENTO!$AF$7)/$H126*OFFSET(ORÇAMENTO!$X$15,ROW(AL126)-ROW(AL$15),0),
              ROUND(ROUND(OFFSET($P126,0,AL$13),15-13*ORÇAMENTO!$AF$7)*OFFSET(ORÇAMENTO!$W$15,ROW(AL126)-ROW(AL$15),0),15-13*ORÇAMENTO!$AF$11)),
         0)</f>
        <v>0</v>
      </c>
      <c r="AM126" s="453">
        <f ca="1">IF(AND($D126="Serviço",AM$12&lt;&gt;0,$H126&gt;0,OR(AUTOEVENTO&lt;&gt;"manual",$M126&lt;&gt;$A$15)),
        IF(Import.TipoArredondamento&lt;&gt;"TransfereGOV",
              ROUND(OFFSET($P126,0,AM$13),15-13*ORÇAMENTO!$AF$7)/$H126*OFFSET(ORÇAMENTO!$X$15,ROW(AM126)-ROW(AM$15),0),
              ROUND(ROUND(OFFSET($P126,0,AM$13),15-13*ORÇAMENTO!$AF$7)*OFFSET(ORÇAMENTO!$W$15,ROW(AM126)-ROW(AM$15),0),15-13*ORÇAMENTO!$AF$11)),
         0)</f>
        <v>0</v>
      </c>
      <c r="AN126" s="453">
        <f ca="1">IF(AND($D126="Serviço",AN$12&lt;&gt;0,$H126&gt;0,OR(AUTOEVENTO&lt;&gt;"manual",$M126&lt;&gt;$A$15)),
        IF(Import.TipoArredondamento&lt;&gt;"TransfereGOV",
              ROUND(OFFSET($P126,0,AN$13),15-13*ORÇAMENTO!$AF$7)/$H126*OFFSET(ORÇAMENTO!$X$15,ROW(AN126)-ROW(AN$15),0),
              ROUND(ROUND(OFFSET($P126,0,AN$13),15-13*ORÇAMENTO!$AF$7)*OFFSET(ORÇAMENTO!$W$15,ROW(AN126)-ROW(AN$15),0),15-13*ORÇAMENTO!$AF$11)),
         0)</f>
        <v>0</v>
      </c>
      <c r="AO126" s="453">
        <f ca="1">IF(AND($D126="Serviço",AO$12&lt;&gt;0,$H126&gt;0,OR(AUTOEVENTO&lt;&gt;"manual",$M126&lt;&gt;$A$15)),
        IF(Import.TipoArredondamento&lt;&gt;"TransfereGOV",
              ROUND(OFFSET($P126,0,AO$13),15-13*ORÇAMENTO!$AF$7)/$H126*OFFSET(ORÇAMENTO!$X$15,ROW(AO126)-ROW(AO$15),0),
              ROUND(ROUND(OFFSET($P126,0,AO$13),15-13*ORÇAMENTO!$AF$7)*OFFSET(ORÇAMENTO!$W$15,ROW(AO126)-ROW(AO$15),0),15-13*ORÇAMENTO!$AF$11)),
         0)</f>
        <v>0</v>
      </c>
      <c r="AP126" s="453">
        <f ca="1">IF(AND($D126="Serviço",AP$12&lt;&gt;0,$H126&gt;0,OR(AUTOEVENTO&lt;&gt;"manual",$M126&lt;&gt;$A$15)),
        IF(Import.TipoArredondamento&lt;&gt;"TransfereGOV",
              ROUND(OFFSET($P126,0,AP$13),15-13*ORÇAMENTO!$AF$7)/$H126*OFFSET(ORÇAMENTO!$X$15,ROW(AP126)-ROW(AP$15),0),
              ROUND(ROUND(OFFSET($P126,0,AP$13),15-13*ORÇAMENTO!$AF$7)*OFFSET(ORÇAMENTO!$W$15,ROW(AP126)-ROW(AP$15),0),15-13*ORÇAMENTO!$AF$11)),
         0)</f>
        <v>0</v>
      </c>
      <c r="AQ126" s="453">
        <f ca="1">IF(AND($D126="Serviço",AQ$12&lt;&gt;0,$H126&gt;0,OR(AUTOEVENTO&lt;&gt;"manual",$M126&lt;&gt;$A$15)),
        IF(Import.TipoArredondamento&lt;&gt;"TransfereGOV",
              ROUND(OFFSET($P126,0,AQ$13),15-13*ORÇAMENTO!$AF$7)/$H126*OFFSET(ORÇAMENTO!$X$15,ROW(AQ126)-ROW(AQ$15),0),
              ROUND(ROUND(OFFSET($P126,0,AQ$13),15-13*ORÇAMENTO!$AF$7)*OFFSET(ORÇAMENTO!$W$15,ROW(AQ126)-ROW(AQ$15),0),15-13*ORÇAMENTO!$AF$11)),
         0)</f>
        <v>0</v>
      </c>
      <c r="AR126" s="453">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3">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3">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3">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3">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3">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3">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3">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3">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3">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C126" s="171">
        <f ca="1">IF(OR($D126&lt;&gt;"Serviço",AND(AUTOEVENTO="Manual",$M126=$A$15)),0,
         IF(OFFSET(CRONOPLE!$F$15,$M126-$A$15,BC$13)=0,10^12,OFFSET(CRONOPLE!$F$15,$M126-$A$15,BC$13)))</f>
        <v>1</v>
      </c>
      <c r="BD126" s="171">
        <f ca="1">IF(OR($D126&lt;&gt;"Serviço",AND(AUTOEVENTO="Manual",$M126=$A$15)),0,
         IF(OFFSET(CRONOPLE!$F$15,$M126-$A$15,BD$13)=0,10^12,OFFSET(CRONOPLE!$F$15,$M126-$A$15,BD$13)))</f>
        <v>2</v>
      </c>
      <c r="BE126" s="171">
        <f ca="1">IF(OR($D126&lt;&gt;"Serviço",AND(AUTOEVENTO="Manual",$M126=$A$15)),0,
         IF(OFFSET(CRONOPLE!$F$15,$M126-$A$15,BE$13)=0,10^12,OFFSET(CRONOPLE!$F$15,$M126-$A$15,BE$13)))</f>
        <v>3</v>
      </c>
      <c r="BF126" s="171">
        <f ca="1">IF(OR($D126&lt;&gt;"Serviço",AND(AUTOEVENTO="Manual",$M126=$A$15)),0,
         IF(OFFSET(CRONOPLE!$F$15,$M126-$A$15,BF$13)=0,10^12,OFFSET(CRONOPLE!$F$15,$M126-$A$15,BF$13)))</f>
        <v>4</v>
      </c>
      <c r="BG126" s="171">
        <f ca="1">IF(OR($D126&lt;&gt;"Serviço",AND(AUTOEVENTO="Manual",$M126=$A$15)),0,
         IF(OFFSET(CRONOPLE!$F$15,$M126-$A$15,BG$13)=0,10^12,OFFSET(CRONOPLE!$F$15,$M126-$A$15,BG$13)))</f>
        <v>5</v>
      </c>
      <c r="BH126" s="171">
        <f ca="1">IF(OR($D126&lt;&gt;"Serviço",AND(AUTOEVENTO="Manual",$M126=$A$15)),0,
         IF(OFFSET(CRONOPLE!$F$15,$M126-$A$15,BH$13)=0,10^12,OFFSET(CRONOPLE!$F$15,$M126-$A$15,BH$13)))</f>
        <v>6</v>
      </c>
      <c r="BI126" s="171">
        <f ca="1">IF(OR($D126&lt;&gt;"Serviço",AND(AUTOEVENTO="Manual",$M126=$A$15)),0,
         IF(OFFSET(CRONOPLE!$F$15,$M126-$A$15,BI$13)=0,10^12,OFFSET(CRONOPLE!$F$15,$M126-$A$15,BI$13)))</f>
        <v>7</v>
      </c>
      <c r="BJ126" s="171">
        <f ca="1">IF(OR($D126&lt;&gt;"Serviço",AND(AUTOEVENTO="Manual",$M126=$A$15)),0,
         IF(OFFSET(CRONOPLE!$F$15,$M126-$A$15,BJ$13)=0,10^12,OFFSET(CRONOPLE!$F$15,$M126-$A$15,BJ$13)))</f>
        <v>8</v>
      </c>
      <c r="BK126" s="171">
        <f ca="1">IF(OR($D126&lt;&gt;"Serviço",AND(AUTOEVENTO="Manual",$M126=$A$15)),0,
         IF(OFFSET(CRONOPLE!$F$15,$M126-$A$15,BK$13)=0,10^12,OFFSET(CRONOPLE!$F$15,$M126-$A$15,BK$13)))</f>
        <v>9</v>
      </c>
      <c r="BL126" s="171">
        <f ca="1">IF(OR($D126&lt;&gt;"Serviço",AND(AUTOEVENTO="Manual",$M126=$A$15)),0,
         IF(OFFSET(CRONOPLE!$F$15,$M126-$A$15,BL$13)=0,10^12,OFFSET(CRONOPLE!$F$15,$M126-$A$15,BL$13)))</f>
        <v>10</v>
      </c>
      <c r="BM126" s="171">
        <f ca="1">IF(OR($D126&lt;&gt;"Serviço",AND(AUTOEVENTO="Manual",$M126=$A$15)),0,
         IF(OFFSET(CRONOPLE!$F$15,$M126-$A$15,BM$13)=0,10^12,OFFSET(CRONOPLE!$F$15,$M126-$A$15,BM$13)))</f>
        <v>1000000000000</v>
      </c>
      <c r="BN126" s="171">
        <f ca="1">IF(OR($D126&lt;&gt;"Serviço",AND(AUTOEVENTO="Manual",$M126=$A$15)),0,
         IF(OFFSET(CRONOPLE!$F$15,$M126-$A$15,BN$13)=0,10^12,OFFSET(CRONOPLE!$F$15,$M126-$A$15,BN$13)))</f>
        <v>1000000000000</v>
      </c>
      <c r="BO126" s="171">
        <f ca="1">IF(OR($D126&lt;&gt;"Serviço",AND(AUTOEVENTO="Manual",$M126=$A$15)),0,
         IF(OFFSET(CRONOPLE!$F$15,$M126-$A$15,BO$13)=0,10^12,OFFSET(CRONOPLE!$F$15,$M126-$A$15,BO$13)))</f>
        <v>1000000000000</v>
      </c>
      <c r="BP126" s="171">
        <f ca="1">IF(OR($D126&lt;&gt;"Serviço",AND(AUTOEVENTO="Manual",$M126=$A$15)),0,
         IF(OFFSET(CRONOPLE!$F$15,$M126-$A$15,BP$13)=0,10^12,OFFSET(CRONOPLE!$F$15,$M126-$A$15,BP$13)))</f>
        <v>1000000000000</v>
      </c>
      <c r="BQ126" s="171">
        <f ca="1">IF(OR($D126&lt;&gt;"Serviço",AND(AUTOEVENTO="Manual",$M126=$A$15)),0,
         IF(OFFSET(CRONOPLE!$F$15,$M126-$A$15,BQ$13)=0,10^12,OFFSET(CRONOPLE!$F$15,$M126-$A$15,BQ$13)))</f>
        <v>1000000000000</v>
      </c>
      <c r="BR126" s="171">
        <f ca="1">IF(OR($D126&lt;&gt;"Serviço",AND(AUTOEVENTO="Manual",$M126=$A$15)),0,
         IF(OFFSET(CRONOPLE!$F$15,$M126-$A$15,BR$13)=0,10^12,OFFSET(CRONOPLE!$F$15,$M126-$A$15,BR$13)))</f>
        <v>1000000000000</v>
      </c>
      <c r="BS126" s="171">
        <f ca="1">IF(OR($D126&lt;&gt;"Serviço",AND(AUTOEVENTO="Manual",$M126=$A$15)),0,
         IF(OFFSET(CRONOPLE!$F$15,$M126-$A$15,BS$13)=0,10^12,OFFSET(CRONOPLE!$F$15,$M126-$A$15,BS$13)))</f>
        <v>1000000000000</v>
      </c>
      <c r="BT126" s="171">
        <f ca="1">IF(OR($D126&lt;&gt;"Serviço",AND(AUTOEVENTO="Manual",$M126=$A$15)),0,
         IF(OFFSET(CRONOPLE!$F$15,$M126-$A$15,BT$13)=0,10^12,OFFSET(CRONOPLE!$F$15,$M126-$A$15,BT$13)))</f>
        <v>1000000000000</v>
      </c>
      <c r="BV126" s="172">
        <f ca="1">IF(OR($D126&lt;&gt;"Serviço",AND(AUTOEVENTO="Manual",$M126=$A$15),$M126&gt;(ROW(PLE.lastrow)-ROW(PLE.firstrow))),0,
           IF(OFFSET(PLE!$G$15,$M126-$A$15,BV$13)="",10^12,OFFSET(PLE!$G$15,$M126-$A$15,BV$13)))</f>
        <v>1000000000000</v>
      </c>
      <c r="BW126" s="172">
        <f ca="1">IF(OR($D126&lt;&gt;"Serviço",AND(AUTOEVENTO="Manual",$M126=$A$15),$M126&gt;(ROW(PLE.lastrow)-ROW(PLE.firstrow))),0,
           IF(OFFSET(PLE!$G$15,$M126-$A$15,BW$13)="",10^12,OFFSET(PLE!$G$15,$M126-$A$15,BW$13)))</f>
        <v>1000000000000</v>
      </c>
      <c r="BX126" s="172">
        <f ca="1">IF(OR($D126&lt;&gt;"Serviço",AND(AUTOEVENTO="Manual",$M126=$A$15),$M126&gt;(ROW(PLE.lastrow)-ROW(PLE.firstrow))),0,
           IF(OFFSET(PLE!$G$15,$M126-$A$15,BX$13)="",10^12,OFFSET(PLE!$G$15,$M126-$A$15,BX$13)))</f>
        <v>1000000000000</v>
      </c>
      <c r="BY126" s="172">
        <f ca="1">IF(OR($D126&lt;&gt;"Serviço",AND(AUTOEVENTO="Manual",$M126=$A$15),$M126&gt;(ROW(PLE.lastrow)-ROW(PLE.firstrow))),0,
           IF(OFFSET(PLE!$G$15,$M126-$A$15,BY$13)="",10^12,OFFSET(PLE!$G$15,$M126-$A$15,BY$13)))</f>
        <v>1000000000000</v>
      </c>
      <c r="BZ126" s="172">
        <f ca="1">IF(OR($D126&lt;&gt;"Serviço",AND(AUTOEVENTO="Manual",$M126=$A$15),$M126&gt;(ROW(PLE.lastrow)-ROW(PLE.firstrow))),0,
           IF(OFFSET(PLE!$G$15,$M126-$A$15,BZ$13)="",10^12,OFFSET(PLE!$G$15,$M126-$A$15,BZ$13)))</f>
        <v>1000000000000</v>
      </c>
      <c r="CA126" s="172">
        <f ca="1">IF(OR($D126&lt;&gt;"Serviço",AND(AUTOEVENTO="Manual",$M126=$A$15),$M126&gt;(ROW(PLE.lastrow)-ROW(PLE.firstrow))),0,
           IF(OFFSET(PLE!$G$15,$M126-$A$15,CA$13)="",10^12,OFFSET(PLE!$G$15,$M126-$A$15,CA$13)))</f>
        <v>1000000000000</v>
      </c>
      <c r="CB126" s="172">
        <f ca="1">IF(OR($D126&lt;&gt;"Serviço",AND(AUTOEVENTO="Manual",$M126=$A$15),$M126&gt;(ROW(PLE.lastrow)-ROW(PLE.firstrow))),0,
           IF(OFFSET(PLE!$G$15,$M126-$A$15,CB$13)="",10^12,OFFSET(PLE!$G$15,$M126-$A$15,CB$13)))</f>
        <v>1000000000000</v>
      </c>
      <c r="CC126" s="172">
        <f ca="1">IF(OR($D126&lt;&gt;"Serviço",AND(AUTOEVENTO="Manual",$M126=$A$15),$M126&gt;(ROW(PLE.lastrow)-ROW(PLE.firstrow))),0,
           IF(OFFSET(PLE!$G$15,$M126-$A$15,CC$13)="",10^12,OFFSET(PLE!$G$15,$M126-$A$15,CC$13)))</f>
        <v>1000000000000</v>
      </c>
      <c r="CD126" s="172">
        <f ca="1">IF(OR($D126&lt;&gt;"Serviço",AND(AUTOEVENTO="Manual",$M126=$A$15),$M126&gt;(ROW(PLE.lastrow)-ROW(PLE.firstrow))),0,
           IF(OFFSET(PLE!$G$15,$M126-$A$15,CD$13)="",10^12,OFFSET(PLE!$G$15,$M126-$A$15,CD$13)))</f>
        <v>1000000000000</v>
      </c>
      <c r="CE126" s="172">
        <f ca="1">IF(OR($D126&lt;&gt;"Serviço",AND(AUTOEVENTO="Manual",$M126=$A$15),$M126&gt;(ROW(PLE.lastrow)-ROW(PLE.firstrow))),0,
           IF(OFFSET(PLE!$G$15,$M126-$A$15,CE$13)="",10^12,OFFSET(PLE!$G$15,$M126-$A$15,CE$13)))</f>
        <v>1000000000000</v>
      </c>
      <c r="CF126" s="172">
        <f ca="1">IF(OR($D126&lt;&gt;"Serviço",AND(AUTOEVENTO="Manual",$M126=$A$15),$M126&gt;(ROW(PLE.lastrow)-ROW(PLE.firstrow))),0,
           IF(OFFSET(PLE!$G$15,$M126-$A$15,CF$13)="",10^12,OFFSET(PLE!$G$15,$M126-$A$15,CF$13)))</f>
        <v>1000000000000</v>
      </c>
      <c r="CG126" s="172">
        <f ca="1">IF(OR($D126&lt;&gt;"Serviço",AND(AUTOEVENTO="Manual",$M126=$A$15),$M126&gt;(ROW(PLE.lastrow)-ROW(PLE.firstrow))),0,
           IF(OFFSET(PLE!$G$15,$M126-$A$15,CG$13)="",10^12,OFFSET(PLE!$G$15,$M126-$A$15,CG$13)))</f>
        <v>1000000000000</v>
      </c>
      <c r="CH126" s="172">
        <f ca="1">IF(OR($D126&lt;&gt;"Serviço",AND(AUTOEVENTO="Manual",$M126=$A$15),$M126&gt;(ROW(PLE.lastrow)-ROW(PLE.firstrow))),0,
           IF(OFFSET(PLE!$G$15,$M126-$A$15,CH$13)="",10^12,OFFSET(PLE!$G$15,$M126-$A$15,CH$13)))</f>
        <v>1000000000000</v>
      </c>
      <c r="CI126" s="172">
        <f ca="1">IF(OR($D126&lt;&gt;"Serviço",AND(AUTOEVENTO="Manual",$M126=$A$15),$M126&gt;(ROW(PLE.lastrow)-ROW(PLE.firstrow))),0,
           IF(OFFSET(PLE!$G$15,$M126-$A$15,CI$13)="",10^12,OFFSET(PLE!$G$15,$M126-$A$15,CI$13)))</f>
        <v>1000000000000</v>
      </c>
      <c r="CJ126" s="172">
        <f ca="1">IF(OR($D126&lt;&gt;"Serviço",AND(AUTOEVENTO="Manual",$M126=$A$15),$M126&gt;(ROW(PLE.lastrow)-ROW(PLE.firstrow))),0,
           IF(OFFSET(PLE!$G$15,$M126-$A$15,CJ$13)="",10^12,OFFSET(PLE!$G$15,$M126-$A$15,CJ$13)))</f>
        <v>1000000000000</v>
      </c>
      <c r="CK126" s="172">
        <f ca="1">IF(OR($D126&lt;&gt;"Serviço",AND(AUTOEVENTO="Manual",$M126=$A$15),$M126&gt;(ROW(PLE.lastrow)-ROW(PLE.firstrow))),0,
           IF(OFFSET(PLE!$G$15,$M126-$A$15,CK$13)="",10^12,OFFSET(PLE!$G$15,$M126-$A$15,CK$13)))</f>
        <v>1000000000000</v>
      </c>
      <c r="CL126" s="172">
        <f ca="1">IF(OR($D126&lt;&gt;"Serviço",AND(AUTOEVENTO="Manual",$M126=$A$15),$M126&gt;(ROW(PLE.lastrow)-ROW(PLE.firstrow))),0,
           IF(OFFSET(PLE!$G$15,$M126-$A$15,CL$13)="",10^12,OFFSET(PLE!$G$15,$M126-$A$15,CL$13)))</f>
        <v>1000000000000</v>
      </c>
      <c r="CM126" s="172">
        <f ca="1">IF(OR($D126&lt;&gt;"Serviço",AND(AUTOEVENTO="Manual",$M126=$A$15),$M126&gt;(ROW(PLE.lastrow)-ROW(PLE.firstrow))),0,
           IF(OFFSET(PLE!$G$15,$M126-$A$15,CM$13)="",10^12,OFFSET(PLE!$G$15,$M126-$A$15,CM$13)))</f>
        <v>1000000000000</v>
      </c>
    </row>
    <row r="127" spans="1:91" ht="63.75" x14ac:dyDescent="0.2">
      <c r="A127" s="7">
        <f t="shared" ca="1" si="11"/>
        <v>4</v>
      </c>
      <c r="B127" s="7" t="str">
        <f ca="1">OFFSET(ORÇAMENTO!C$15,ROW(B127)-ROW(B$15),0)</f>
        <v>S</v>
      </c>
      <c r="C127" s="7" t="str">
        <f ca="1">OFFSET(ORÇAMENTO!L$15,ROW(C127)-ROW(C$15),0)</f>
        <v>F</v>
      </c>
      <c r="D127" s="116" t="str">
        <f ca="1">OFFSET(ORÇAMENTO!N$15,ROW(D127)-ROW(D$15),0)</f>
        <v>Serviço</v>
      </c>
      <c r="E127" s="117" t="str">
        <f ca="1">OFFSET(ORÇAMENTO!O$15,ROW(E127)-ROW(E$15),0)</f>
        <v>1.5.2.3.3.</v>
      </c>
      <c r="F127" s="163" t="str">
        <f ca="1">OFFSET(ORÇAMENTO!R$15,ROW(F127)-ROW(F$15),0)</f>
        <v>FÔRMAS DE COMPENSADO RESINADO 10 MM - USO GERAL - UTILIZAÇÃO DE 3 VEZES - CONFECÇÃO, INSTALAÇÃO E RETIRADA</v>
      </c>
      <c r="G127" s="164" t="str">
        <f ca="1">IF($D127&lt;&gt;"Serviço","",OFFSET(ORÇAMENTO!S$15,ROW(G127)-ROW(G$15),0))</f>
        <v>M2</v>
      </c>
      <c r="H127" s="122" cm="1">
        <f t="array" aca="1" ref="H127" ca="1">IF($D127&lt;&gt;"Serviço",0,IF(ACOMPANHAMENTO="BM",ROUND(OFFSET(ORÇAMENTO!AJ$15,ROW(H127)-ROW(H$15),0),15-13*ORÇAMENTO!$AF$7),SUMPRODUCT(($Q$1:$AI$1=1)*ROUND($Q127:$AI127,15-13*ORÇAMENTO!$AF$7))))</f>
        <v>15.54</v>
      </c>
      <c r="I127" s="468" t="s">
        <v>1325</v>
      </c>
      <c r="J127" s="640" t="str" cm="1">
        <f t="array" aca="1" ref="J127" ca="1">IF(OR(B127&lt;&gt;"S",CÁLCULO.FrentesPreenchidas=0),"",IF(AND(ACOMPANHAMENTO="PLE",AUTOEVENTO="Manual",OR(H127&gt;0,ORÇAMENTO!AC127="QUANT."),OR(K127="",M127=0,N127="")),"►E",IF(AND(ACOMPANHAMENTO="PLE",ORÇAMENTO!AC127="QUANT."),"►Q",IF(AND(ACOMPANHAMENTO="PLE",H127&lt;&gt;SUMPRODUCT(($Q$1:$AI$1=1)*ROUND(Q127:AI127,15))),"►S",IF(AND(COUNTIF($P$11:$AI$11,"▼")=0,H127&gt;0,I127=""),"◄M","")))))</f>
        <v/>
      </c>
      <c r="K127" s="641" t="s">
        <v>1389</v>
      </c>
      <c r="L127" s="165" t="s">
        <v>764</v>
      </c>
      <c r="M127" s="166">
        <f ca="1">IF($D127&lt;&gt;"Serviço","",
          IF(AUTOEVENTO="manual",$A127,
                IF(ISERROR(MATCH($A127,$A$15:OFFSET($A127,-1,0),0)),MAX($M$15:OFFSET(M127,-1,0))+1,
                      INDEX($M$15:OFFSET(M127,-1,0),MATCH($A127,$A$15:OFFSET($A127,-1,0),0)))))</f>
        <v>4</v>
      </c>
      <c r="N127" s="167" t="str">
        <f ca="1">IF($D127&lt;&gt;"Serviço","",
         IF(AUTOEVENTO="Manual",
                IF($A127=0,"&lt;-- defina o número do agrupador",
                       OFFSET(EVENTOS!$D$15,$A127-$A$15,0)),
                OFFSET($F$15,$A127,0)))</f>
        <v>Estruturas de Concreto</v>
      </c>
      <c r="O127" s="168"/>
      <c r="Q127" s="168"/>
      <c r="R127" s="169"/>
      <c r="S127" s="169"/>
      <c r="T127" s="169">
        <v>15.54</v>
      </c>
      <c r="U127" s="169"/>
      <c r="V127" s="169"/>
      <c r="W127" s="169"/>
      <c r="X127" s="169"/>
      <c r="Y127" s="169"/>
      <c r="Z127" s="170"/>
      <c r="AA127" s="169"/>
      <c r="AB127" s="169"/>
      <c r="AC127" s="169"/>
      <c r="AD127" s="169"/>
      <c r="AE127" s="169"/>
      <c r="AF127" s="169"/>
      <c r="AG127" s="169"/>
      <c r="AH127" s="170"/>
      <c r="AJ127" s="453">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0</v>
      </c>
      <c r="AK127" s="453">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0</v>
      </c>
      <c r="AL127" s="453">
        <f ca="1">IF(AND($D127="Serviço",AL$12&lt;&gt;0,$H127&gt;0,OR(AUTOEVENTO&lt;&gt;"manual",$M127&lt;&gt;$A$15)),
        IF(Import.TipoArredondamento&lt;&gt;"TransfereGOV",
              ROUND(OFFSET($P127,0,AL$13),15-13*ORÇAMENTO!$AF$7)/$H127*OFFSET(ORÇAMENTO!$X$15,ROW(AL127)-ROW(AL$15),0),
              ROUND(ROUND(OFFSET($P127,0,AL$13),15-13*ORÇAMENTO!$AF$7)*OFFSET(ORÇAMENTO!$W$15,ROW(AL127)-ROW(AL$15),0),15-13*ORÇAMENTO!$AF$11)),
         0)</f>
        <v>0</v>
      </c>
      <c r="AM127" s="453">
        <f ca="1">IF(AND($D127="Serviço",AM$12&lt;&gt;0,$H127&gt;0,OR(AUTOEVENTO&lt;&gt;"manual",$M127&lt;&gt;$A$15)),
        IF(Import.TipoArredondamento&lt;&gt;"TransfereGOV",
              ROUND(OFFSET($P127,0,AM$13),15-13*ORÇAMENTO!$AF$7)/$H127*OFFSET(ORÇAMENTO!$X$15,ROW(AM127)-ROW(AM$15),0),
              ROUND(ROUND(OFFSET($P127,0,AM$13),15-13*ORÇAMENTO!$AF$7)*OFFSET(ORÇAMENTO!$W$15,ROW(AM127)-ROW(AM$15),0),15-13*ORÇAMENTO!$AF$11)),
         0)</f>
        <v>0</v>
      </c>
      <c r="AN127" s="453">
        <f ca="1">IF(AND($D127="Serviço",AN$12&lt;&gt;0,$H127&gt;0,OR(AUTOEVENTO&lt;&gt;"manual",$M127&lt;&gt;$A$15)),
        IF(Import.TipoArredondamento&lt;&gt;"TransfereGOV",
              ROUND(OFFSET($P127,0,AN$13),15-13*ORÇAMENTO!$AF$7)/$H127*OFFSET(ORÇAMENTO!$X$15,ROW(AN127)-ROW(AN$15),0),
              ROUND(ROUND(OFFSET($P127,0,AN$13),15-13*ORÇAMENTO!$AF$7)*OFFSET(ORÇAMENTO!$W$15,ROW(AN127)-ROW(AN$15),0),15-13*ORÇAMENTO!$AF$11)),
         0)</f>
        <v>0</v>
      </c>
      <c r="AO127" s="453">
        <f ca="1">IF(AND($D127="Serviço",AO$12&lt;&gt;0,$H127&gt;0,OR(AUTOEVENTO&lt;&gt;"manual",$M127&lt;&gt;$A$15)),
        IF(Import.TipoArredondamento&lt;&gt;"TransfereGOV",
              ROUND(OFFSET($P127,0,AO$13),15-13*ORÇAMENTO!$AF$7)/$H127*OFFSET(ORÇAMENTO!$X$15,ROW(AO127)-ROW(AO$15),0),
              ROUND(ROUND(OFFSET($P127,0,AO$13),15-13*ORÇAMENTO!$AF$7)*OFFSET(ORÇAMENTO!$W$15,ROW(AO127)-ROW(AO$15),0),15-13*ORÇAMENTO!$AF$11)),
         0)</f>
        <v>0</v>
      </c>
      <c r="AP127" s="453">
        <f ca="1">IF(AND($D127="Serviço",AP$12&lt;&gt;0,$H127&gt;0,OR(AUTOEVENTO&lt;&gt;"manual",$M127&lt;&gt;$A$15)),
        IF(Import.TipoArredondamento&lt;&gt;"TransfereGOV",
              ROUND(OFFSET($P127,0,AP$13),15-13*ORÇAMENTO!$AF$7)/$H127*OFFSET(ORÇAMENTO!$X$15,ROW(AP127)-ROW(AP$15),0),
              ROUND(ROUND(OFFSET($P127,0,AP$13),15-13*ORÇAMENTO!$AF$7)*OFFSET(ORÇAMENTO!$W$15,ROW(AP127)-ROW(AP$15),0),15-13*ORÇAMENTO!$AF$11)),
         0)</f>
        <v>0</v>
      </c>
      <c r="AQ127" s="453">
        <f ca="1">IF(AND($D127="Serviço",AQ$12&lt;&gt;0,$H127&gt;0,OR(AUTOEVENTO&lt;&gt;"manual",$M127&lt;&gt;$A$15)),
        IF(Import.TipoArredondamento&lt;&gt;"TransfereGOV",
              ROUND(OFFSET($P127,0,AQ$13),15-13*ORÇAMENTO!$AF$7)/$H127*OFFSET(ORÇAMENTO!$X$15,ROW(AQ127)-ROW(AQ$15),0),
              ROUND(ROUND(OFFSET($P127,0,AQ$13),15-13*ORÇAMENTO!$AF$7)*OFFSET(ORÇAMENTO!$W$15,ROW(AQ127)-ROW(AQ$15),0),15-13*ORÇAMENTO!$AF$11)),
         0)</f>
        <v>0</v>
      </c>
      <c r="AR127" s="453">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3">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3">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3">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3">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3">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3">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3">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3">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3">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C127" s="171">
        <f ca="1">IF(OR($D127&lt;&gt;"Serviço",AND(AUTOEVENTO="Manual",$M127=$A$15)),0,
         IF(OFFSET(CRONOPLE!$F$15,$M127-$A$15,BC$13)=0,10^12,OFFSET(CRONOPLE!$F$15,$M127-$A$15,BC$13)))</f>
        <v>1</v>
      </c>
      <c r="BD127" s="171">
        <f ca="1">IF(OR($D127&lt;&gt;"Serviço",AND(AUTOEVENTO="Manual",$M127=$A$15)),0,
         IF(OFFSET(CRONOPLE!$F$15,$M127-$A$15,BD$13)=0,10^12,OFFSET(CRONOPLE!$F$15,$M127-$A$15,BD$13)))</f>
        <v>2</v>
      </c>
      <c r="BE127" s="171">
        <f ca="1">IF(OR($D127&lt;&gt;"Serviço",AND(AUTOEVENTO="Manual",$M127=$A$15)),0,
         IF(OFFSET(CRONOPLE!$F$15,$M127-$A$15,BE$13)=0,10^12,OFFSET(CRONOPLE!$F$15,$M127-$A$15,BE$13)))</f>
        <v>3</v>
      </c>
      <c r="BF127" s="171">
        <f ca="1">IF(OR($D127&lt;&gt;"Serviço",AND(AUTOEVENTO="Manual",$M127=$A$15)),0,
         IF(OFFSET(CRONOPLE!$F$15,$M127-$A$15,BF$13)=0,10^12,OFFSET(CRONOPLE!$F$15,$M127-$A$15,BF$13)))</f>
        <v>4</v>
      </c>
      <c r="BG127" s="171">
        <f ca="1">IF(OR($D127&lt;&gt;"Serviço",AND(AUTOEVENTO="Manual",$M127=$A$15)),0,
         IF(OFFSET(CRONOPLE!$F$15,$M127-$A$15,BG$13)=0,10^12,OFFSET(CRONOPLE!$F$15,$M127-$A$15,BG$13)))</f>
        <v>5</v>
      </c>
      <c r="BH127" s="171">
        <f ca="1">IF(OR($D127&lt;&gt;"Serviço",AND(AUTOEVENTO="Manual",$M127=$A$15)),0,
         IF(OFFSET(CRONOPLE!$F$15,$M127-$A$15,BH$13)=0,10^12,OFFSET(CRONOPLE!$F$15,$M127-$A$15,BH$13)))</f>
        <v>6</v>
      </c>
      <c r="BI127" s="171">
        <f ca="1">IF(OR($D127&lt;&gt;"Serviço",AND(AUTOEVENTO="Manual",$M127=$A$15)),0,
         IF(OFFSET(CRONOPLE!$F$15,$M127-$A$15,BI$13)=0,10^12,OFFSET(CRONOPLE!$F$15,$M127-$A$15,BI$13)))</f>
        <v>7</v>
      </c>
      <c r="BJ127" s="171">
        <f ca="1">IF(OR($D127&lt;&gt;"Serviço",AND(AUTOEVENTO="Manual",$M127=$A$15)),0,
         IF(OFFSET(CRONOPLE!$F$15,$M127-$A$15,BJ$13)=0,10^12,OFFSET(CRONOPLE!$F$15,$M127-$A$15,BJ$13)))</f>
        <v>8</v>
      </c>
      <c r="BK127" s="171">
        <f ca="1">IF(OR($D127&lt;&gt;"Serviço",AND(AUTOEVENTO="Manual",$M127=$A$15)),0,
         IF(OFFSET(CRONOPLE!$F$15,$M127-$A$15,BK$13)=0,10^12,OFFSET(CRONOPLE!$F$15,$M127-$A$15,BK$13)))</f>
        <v>9</v>
      </c>
      <c r="BL127" s="171">
        <f ca="1">IF(OR($D127&lt;&gt;"Serviço",AND(AUTOEVENTO="Manual",$M127=$A$15)),0,
         IF(OFFSET(CRONOPLE!$F$15,$M127-$A$15,BL$13)=0,10^12,OFFSET(CRONOPLE!$F$15,$M127-$A$15,BL$13)))</f>
        <v>10</v>
      </c>
      <c r="BM127" s="171">
        <f ca="1">IF(OR($D127&lt;&gt;"Serviço",AND(AUTOEVENTO="Manual",$M127=$A$15)),0,
         IF(OFFSET(CRONOPLE!$F$15,$M127-$A$15,BM$13)=0,10^12,OFFSET(CRONOPLE!$F$15,$M127-$A$15,BM$13)))</f>
        <v>1000000000000</v>
      </c>
      <c r="BN127" s="171">
        <f ca="1">IF(OR($D127&lt;&gt;"Serviço",AND(AUTOEVENTO="Manual",$M127=$A$15)),0,
         IF(OFFSET(CRONOPLE!$F$15,$M127-$A$15,BN$13)=0,10^12,OFFSET(CRONOPLE!$F$15,$M127-$A$15,BN$13)))</f>
        <v>1000000000000</v>
      </c>
      <c r="BO127" s="171">
        <f ca="1">IF(OR($D127&lt;&gt;"Serviço",AND(AUTOEVENTO="Manual",$M127=$A$15)),0,
         IF(OFFSET(CRONOPLE!$F$15,$M127-$A$15,BO$13)=0,10^12,OFFSET(CRONOPLE!$F$15,$M127-$A$15,BO$13)))</f>
        <v>1000000000000</v>
      </c>
      <c r="BP127" s="171">
        <f ca="1">IF(OR($D127&lt;&gt;"Serviço",AND(AUTOEVENTO="Manual",$M127=$A$15)),0,
         IF(OFFSET(CRONOPLE!$F$15,$M127-$A$15,BP$13)=0,10^12,OFFSET(CRONOPLE!$F$15,$M127-$A$15,BP$13)))</f>
        <v>1000000000000</v>
      </c>
      <c r="BQ127" s="171">
        <f ca="1">IF(OR($D127&lt;&gt;"Serviço",AND(AUTOEVENTO="Manual",$M127=$A$15)),0,
         IF(OFFSET(CRONOPLE!$F$15,$M127-$A$15,BQ$13)=0,10^12,OFFSET(CRONOPLE!$F$15,$M127-$A$15,BQ$13)))</f>
        <v>1000000000000</v>
      </c>
      <c r="BR127" s="171">
        <f ca="1">IF(OR($D127&lt;&gt;"Serviço",AND(AUTOEVENTO="Manual",$M127=$A$15)),0,
         IF(OFFSET(CRONOPLE!$F$15,$M127-$A$15,BR$13)=0,10^12,OFFSET(CRONOPLE!$F$15,$M127-$A$15,BR$13)))</f>
        <v>1000000000000</v>
      </c>
      <c r="BS127" s="171">
        <f ca="1">IF(OR($D127&lt;&gt;"Serviço",AND(AUTOEVENTO="Manual",$M127=$A$15)),0,
         IF(OFFSET(CRONOPLE!$F$15,$M127-$A$15,BS$13)=0,10^12,OFFSET(CRONOPLE!$F$15,$M127-$A$15,BS$13)))</f>
        <v>1000000000000</v>
      </c>
      <c r="BT127" s="171">
        <f ca="1">IF(OR($D127&lt;&gt;"Serviço",AND(AUTOEVENTO="Manual",$M127=$A$15)),0,
         IF(OFFSET(CRONOPLE!$F$15,$M127-$A$15,BT$13)=0,10^12,OFFSET(CRONOPLE!$F$15,$M127-$A$15,BT$13)))</f>
        <v>1000000000000</v>
      </c>
      <c r="BV127" s="172">
        <f ca="1">IF(OR($D127&lt;&gt;"Serviço",AND(AUTOEVENTO="Manual",$M127=$A$15),$M127&gt;(ROW(PLE.lastrow)-ROW(PLE.firstrow))),0,
           IF(OFFSET(PLE!$G$15,$M127-$A$15,BV$13)="",10^12,OFFSET(PLE!$G$15,$M127-$A$15,BV$13)))</f>
        <v>1000000000000</v>
      </c>
      <c r="BW127" s="172">
        <f ca="1">IF(OR($D127&lt;&gt;"Serviço",AND(AUTOEVENTO="Manual",$M127=$A$15),$M127&gt;(ROW(PLE.lastrow)-ROW(PLE.firstrow))),0,
           IF(OFFSET(PLE!$G$15,$M127-$A$15,BW$13)="",10^12,OFFSET(PLE!$G$15,$M127-$A$15,BW$13)))</f>
        <v>1000000000000</v>
      </c>
      <c r="BX127" s="172">
        <f ca="1">IF(OR($D127&lt;&gt;"Serviço",AND(AUTOEVENTO="Manual",$M127=$A$15),$M127&gt;(ROW(PLE.lastrow)-ROW(PLE.firstrow))),0,
           IF(OFFSET(PLE!$G$15,$M127-$A$15,BX$13)="",10^12,OFFSET(PLE!$G$15,$M127-$A$15,BX$13)))</f>
        <v>1000000000000</v>
      </c>
      <c r="BY127" s="172">
        <f ca="1">IF(OR($D127&lt;&gt;"Serviço",AND(AUTOEVENTO="Manual",$M127=$A$15),$M127&gt;(ROW(PLE.lastrow)-ROW(PLE.firstrow))),0,
           IF(OFFSET(PLE!$G$15,$M127-$A$15,BY$13)="",10^12,OFFSET(PLE!$G$15,$M127-$A$15,BY$13)))</f>
        <v>1000000000000</v>
      </c>
      <c r="BZ127" s="172">
        <f ca="1">IF(OR($D127&lt;&gt;"Serviço",AND(AUTOEVENTO="Manual",$M127=$A$15),$M127&gt;(ROW(PLE.lastrow)-ROW(PLE.firstrow))),0,
           IF(OFFSET(PLE!$G$15,$M127-$A$15,BZ$13)="",10^12,OFFSET(PLE!$G$15,$M127-$A$15,BZ$13)))</f>
        <v>1000000000000</v>
      </c>
      <c r="CA127" s="172">
        <f ca="1">IF(OR($D127&lt;&gt;"Serviço",AND(AUTOEVENTO="Manual",$M127=$A$15),$M127&gt;(ROW(PLE.lastrow)-ROW(PLE.firstrow))),0,
           IF(OFFSET(PLE!$G$15,$M127-$A$15,CA$13)="",10^12,OFFSET(PLE!$G$15,$M127-$A$15,CA$13)))</f>
        <v>1000000000000</v>
      </c>
      <c r="CB127" s="172">
        <f ca="1">IF(OR($D127&lt;&gt;"Serviço",AND(AUTOEVENTO="Manual",$M127=$A$15),$M127&gt;(ROW(PLE.lastrow)-ROW(PLE.firstrow))),0,
           IF(OFFSET(PLE!$G$15,$M127-$A$15,CB$13)="",10^12,OFFSET(PLE!$G$15,$M127-$A$15,CB$13)))</f>
        <v>1000000000000</v>
      </c>
      <c r="CC127" s="172">
        <f ca="1">IF(OR($D127&lt;&gt;"Serviço",AND(AUTOEVENTO="Manual",$M127=$A$15),$M127&gt;(ROW(PLE.lastrow)-ROW(PLE.firstrow))),0,
           IF(OFFSET(PLE!$G$15,$M127-$A$15,CC$13)="",10^12,OFFSET(PLE!$G$15,$M127-$A$15,CC$13)))</f>
        <v>1000000000000</v>
      </c>
      <c r="CD127" s="172">
        <f ca="1">IF(OR($D127&lt;&gt;"Serviço",AND(AUTOEVENTO="Manual",$M127=$A$15),$M127&gt;(ROW(PLE.lastrow)-ROW(PLE.firstrow))),0,
           IF(OFFSET(PLE!$G$15,$M127-$A$15,CD$13)="",10^12,OFFSET(PLE!$G$15,$M127-$A$15,CD$13)))</f>
        <v>1000000000000</v>
      </c>
      <c r="CE127" s="172">
        <f ca="1">IF(OR($D127&lt;&gt;"Serviço",AND(AUTOEVENTO="Manual",$M127=$A$15),$M127&gt;(ROW(PLE.lastrow)-ROW(PLE.firstrow))),0,
           IF(OFFSET(PLE!$G$15,$M127-$A$15,CE$13)="",10^12,OFFSET(PLE!$G$15,$M127-$A$15,CE$13)))</f>
        <v>1000000000000</v>
      </c>
      <c r="CF127" s="172">
        <f ca="1">IF(OR($D127&lt;&gt;"Serviço",AND(AUTOEVENTO="Manual",$M127=$A$15),$M127&gt;(ROW(PLE.lastrow)-ROW(PLE.firstrow))),0,
           IF(OFFSET(PLE!$G$15,$M127-$A$15,CF$13)="",10^12,OFFSET(PLE!$G$15,$M127-$A$15,CF$13)))</f>
        <v>1000000000000</v>
      </c>
      <c r="CG127" s="172">
        <f ca="1">IF(OR($D127&lt;&gt;"Serviço",AND(AUTOEVENTO="Manual",$M127=$A$15),$M127&gt;(ROW(PLE.lastrow)-ROW(PLE.firstrow))),0,
           IF(OFFSET(PLE!$G$15,$M127-$A$15,CG$13)="",10^12,OFFSET(PLE!$G$15,$M127-$A$15,CG$13)))</f>
        <v>1000000000000</v>
      </c>
      <c r="CH127" s="172">
        <f ca="1">IF(OR($D127&lt;&gt;"Serviço",AND(AUTOEVENTO="Manual",$M127=$A$15),$M127&gt;(ROW(PLE.lastrow)-ROW(PLE.firstrow))),0,
           IF(OFFSET(PLE!$G$15,$M127-$A$15,CH$13)="",10^12,OFFSET(PLE!$G$15,$M127-$A$15,CH$13)))</f>
        <v>1000000000000</v>
      </c>
      <c r="CI127" s="172">
        <f ca="1">IF(OR($D127&lt;&gt;"Serviço",AND(AUTOEVENTO="Manual",$M127=$A$15),$M127&gt;(ROW(PLE.lastrow)-ROW(PLE.firstrow))),0,
           IF(OFFSET(PLE!$G$15,$M127-$A$15,CI$13)="",10^12,OFFSET(PLE!$G$15,$M127-$A$15,CI$13)))</f>
        <v>1000000000000</v>
      </c>
      <c r="CJ127" s="172">
        <f ca="1">IF(OR($D127&lt;&gt;"Serviço",AND(AUTOEVENTO="Manual",$M127=$A$15),$M127&gt;(ROW(PLE.lastrow)-ROW(PLE.firstrow))),0,
           IF(OFFSET(PLE!$G$15,$M127-$A$15,CJ$13)="",10^12,OFFSET(PLE!$G$15,$M127-$A$15,CJ$13)))</f>
        <v>1000000000000</v>
      </c>
      <c r="CK127" s="172">
        <f ca="1">IF(OR($D127&lt;&gt;"Serviço",AND(AUTOEVENTO="Manual",$M127=$A$15),$M127&gt;(ROW(PLE.lastrow)-ROW(PLE.firstrow))),0,
           IF(OFFSET(PLE!$G$15,$M127-$A$15,CK$13)="",10^12,OFFSET(PLE!$G$15,$M127-$A$15,CK$13)))</f>
        <v>1000000000000</v>
      </c>
      <c r="CL127" s="172">
        <f ca="1">IF(OR($D127&lt;&gt;"Serviço",AND(AUTOEVENTO="Manual",$M127=$A$15),$M127&gt;(ROW(PLE.lastrow)-ROW(PLE.firstrow))),0,
           IF(OFFSET(PLE!$G$15,$M127-$A$15,CL$13)="",10^12,OFFSET(PLE!$G$15,$M127-$A$15,CL$13)))</f>
        <v>1000000000000</v>
      </c>
      <c r="CM127" s="172">
        <f ca="1">IF(OR($D127&lt;&gt;"Serviço",AND(AUTOEVENTO="Manual",$M127=$A$15),$M127&gt;(ROW(PLE.lastrow)-ROW(PLE.firstrow))),0,
           IF(OFFSET(PLE!$G$15,$M127-$A$15,CM$13)="",10^12,OFFSET(PLE!$G$15,$M127-$A$15,CM$13)))</f>
        <v>1000000000000</v>
      </c>
    </row>
    <row r="128" spans="1:91" ht="89.25" x14ac:dyDescent="0.2">
      <c r="A128" s="7">
        <f t="shared" ca="1" si="11"/>
        <v>4</v>
      </c>
      <c r="B128" s="7" t="str">
        <f ca="1">OFFSET(ORÇAMENTO!C$15,ROW(B128)-ROW(B$15),0)</f>
        <v>S</v>
      </c>
      <c r="C128" s="7" t="str">
        <f ca="1">OFFSET(ORÇAMENTO!L$15,ROW(C128)-ROW(C$15),0)</f>
        <v>F</v>
      </c>
      <c r="D128" s="116" t="str">
        <f ca="1">OFFSET(ORÇAMENTO!N$15,ROW(D128)-ROW(D$15),0)</f>
        <v>Serviço</v>
      </c>
      <c r="E128" s="117" t="str">
        <f ca="1">OFFSET(ORÇAMENTO!O$15,ROW(E128)-ROW(E$15),0)</f>
        <v>1.5.2.3.4.</v>
      </c>
      <c r="F128" s="163" t="str">
        <f ca="1">OFFSET(ORÇAMENTO!R$15,ROW(F128)-ROW(F$15),0)</f>
        <v>ARMAÇÃO EM AÇO CA-50 - FORNECIMENTO, PREPARO E COLOCAÇÃO</v>
      </c>
      <c r="G128" s="164" t="str">
        <f ca="1">IF($D128&lt;&gt;"Serviço","",OFFSET(ORÇAMENTO!S$15,ROW(G128)-ROW(G$15),0))</f>
        <v>KG</v>
      </c>
      <c r="H128" s="122" cm="1">
        <f t="array" aca="1" ref="H128" ca="1">IF($D128&lt;&gt;"Serviço",0,IF(ACOMPANHAMENTO="BM",ROUND(OFFSET(ORÇAMENTO!AJ$15,ROW(H128)-ROW(H$15),0),15-13*ORÇAMENTO!$AF$7),SUMPRODUCT(($Q$1:$AI$1=1)*ROUND($Q128:$AI128,15-13*ORÇAMENTO!$AF$7))))</f>
        <v>383.05</v>
      </c>
      <c r="I128" s="468" t="s">
        <v>1326</v>
      </c>
      <c r="J128" s="640" t="str" cm="1">
        <f t="array" aca="1" ref="J128" ca="1">IF(OR(B128&lt;&gt;"S",CÁLCULO.FrentesPreenchidas=0),"",IF(AND(ACOMPANHAMENTO="PLE",AUTOEVENTO="Manual",OR(H128&gt;0,ORÇAMENTO!AC128="QUANT."),OR(K128="",M128=0,N128="")),"►E",IF(AND(ACOMPANHAMENTO="PLE",ORÇAMENTO!AC128="QUANT."),"►Q",IF(AND(ACOMPANHAMENTO="PLE",H128&lt;&gt;SUMPRODUCT(($Q$1:$AI$1=1)*ROUND(Q128:AI128,15))),"►S",IF(AND(COUNTIF($P$11:$AI$11,"▼")=0,H128&gt;0,I128=""),"◄M","")))))</f>
        <v/>
      </c>
      <c r="K128" s="641" t="s">
        <v>1389</v>
      </c>
      <c r="L128" s="165" t="s">
        <v>764</v>
      </c>
      <c r="M128" s="166">
        <f ca="1">IF($D128&lt;&gt;"Serviço","",
          IF(AUTOEVENTO="manual",$A128,
                IF(ISERROR(MATCH($A128,$A$15:OFFSET($A128,-1,0),0)),MAX($M$15:OFFSET(M128,-1,0))+1,
                      INDEX($M$15:OFFSET(M128,-1,0),MATCH($A128,$A$15:OFFSET($A128,-1,0),0)))))</f>
        <v>4</v>
      </c>
      <c r="N128" s="167" t="str">
        <f ca="1">IF($D128&lt;&gt;"Serviço","",
         IF(AUTOEVENTO="Manual",
                IF($A128=0,"&lt;-- defina o número do agrupador",
                       OFFSET(EVENTOS!$D$15,$A128-$A$15,0)),
                OFFSET($F$15,$A128,0)))</f>
        <v>Estruturas de Concreto</v>
      </c>
      <c r="O128" s="168"/>
      <c r="Q128" s="168"/>
      <c r="R128" s="169"/>
      <c r="S128" s="169"/>
      <c r="T128" s="169">
        <f>116.29+98.84+30.82+73.3+63.8</f>
        <v>383.05</v>
      </c>
      <c r="U128" s="169"/>
      <c r="V128" s="169"/>
      <c r="W128" s="169"/>
      <c r="X128" s="169"/>
      <c r="Y128" s="169"/>
      <c r="Z128" s="170"/>
      <c r="AA128" s="169"/>
      <c r="AB128" s="169"/>
      <c r="AC128" s="169"/>
      <c r="AD128" s="169"/>
      <c r="AE128" s="169"/>
      <c r="AF128" s="169"/>
      <c r="AG128" s="169"/>
      <c r="AH128" s="170"/>
      <c r="AJ128" s="453">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0</v>
      </c>
      <c r="AK128" s="453">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0</v>
      </c>
      <c r="AL128" s="453">
        <f ca="1">IF(AND($D128="Serviço",AL$12&lt;&gt;0,$H128&gt;0,OR(AUTOEVENTO&lt;&gt;"manual",$M128&lt;&gt;$A$15)),
        IF(Import.TipoArredondamento&lt;&gt;"TransfereGOV",
              ROUND(OFFSET($P128,0,AL$13),15-13*ORÇAMENTO!$AF$7)/$H128*OFFSET(ORÇAMENTO!$X$15,ROW(AL128)-ROW(AL$15),0),
              ROUND(ROUND(OFFSET($P128,0,AL$13),15-13*ORÇAMENTO!$AF$7)*OFFSET(ORÇAMENTO!$W$15,ROW(AL128)-ROW(AL$15),0),15-13*ORÇAMENTO!$AF$11)),
         0)</f>
        <v>0</v>
      </c>
      <c r="AM128" s="453">
        <f ca="1">IF(AND($D128="Serviço",AM$12&lt;&gt;0,$H128&gt;0,OR(AUTOEVENTO&lt;&gt;"manual",$M128&lt;&gt;$A$15)),
        IF(Import.TipoArredondamento&lt;&gt;"TransfereGOV",
              ROUND(OFFSET($P128,0,AM$13),15-13*ORÇAMENTO!$AF$7)/$H128*OFFSET(ORÇAMENTO!$X$15,ROW(AM128)-ROW(AM$15),0),
              ROUND(ROUND(OFFSET($P128,0,AM$13),15-13*ORÇAMENTO!$AF$7)*OFFSET(ORÇAMENTO!$W$15,ROW(AM128)-ROW(AM$15),0),15-13*ORÇAMENTO!$AF$11)),
         0)</f>
        <v>0</v>
      </c>
      <c r="AN128" s="453">
        <f ca="1">IF(AND($D128="Serviço",AN$12&lt;&gt;0,$H128&gt;0,OR(AUTOEVENTO&lt;&gt;"manual",$M128&lt;&gt;$A$15)),
        IF(Import.TipoArredondamento&lt;&gt;"TransfereGOV",
              ROUND(OFFSET($P128,0,AN$13),15-13*ORÇAMENTO!$AF$7)/$H128*OFFSET(ORÇAMENTO!$X$15,ROW(AN128)-ROW(AN$15),0),
              ROUND(ROUND(OFFSET($P128,0,AN$13),15-13*ORÇAMENTO!$AF$7)*OFFSET(ORÇAMENTO!$W$15,ROW(AN128)-ROW(AN$15),0),15-13*ORÇAMENTO!$AF$11)),
         0)</f>
        <v>0</v>
      </c>
      <c r="AO128" s="453">
        <f ca="1">IF(AND($D128="Serviço",AO$12&lt;&gt;0,$H128&gt;0,OR(AUTOEVENTO&lt;&gt;"manual",$M128&lt;&gt;$A$15)),
        IF(Import.TipoArredondamento&lt;&gt;"TransfereGOV",
              ROUND(OFFSET($P128,0,AO$13),15-13*ORÇAMENTO!$AF$7)/$H128*OFFSET(ORÇAMENTO!$X$15,ROW(AO128)-ROW(AO$15),0),
              ROUND(ROUND(OFFSET($P128,0,AO$13),15-13*ORÇAMENTO!$AF$7)*OFFSET(ORÇAMENTO!$W$15,ROW(AO128)-ROW(AO$15),0),15-13*ORÇAMENTO!$AF$11)),
         0)</f>
        <v>0</v>
      </c>
      <c r="AP128" s="453">
        <f ca="1">IF(AND($D128="Serviço",AP$12&lt;&gt;0,$H128&gt;0,OR(AUTOEVENTO&lt;&gt;"manual",$M128&lt;&gt;$A$15)),
        IF(Import.TipoArredondamento&lt;&gt;"TransfereGOV",
              ROUND(OFFSET($P128,0,AP$13),15-13*ORÇAMENTO!$AF$7)/$H128*OFFSET(ORÇAMENTO!$X$15,ROW(AP128)-ROW(AP$15),0),
              ROUND(ROUND(OFFSET($P128,0,AP$13),15-13*ORÇAMENTO!$AF$7)*OFFSET(ORÇAMENTO!$W$15,ROW(AP128)-ROW(AP$15),0),15-13*ORÇAMENTO!$AF$11)),
         0)</f>
        <v>0</v>
      </c>
      <c r="AQ128" s="453">
        <f ca="1">IF(AND($D128="Serviço",AQ$12&lt;&gt;0,$H128&gt;0,OR(AUTOEVENTO&lt;&gt;"manual",$M128&lt;&gt;$A$15)),
        IF(Import.TipoArredondamento&lt;&gt;"TransfereGOV",
              ROUND(OFFSET($P128,0,AQ$13),15-13*ORÇAMENTO!$AF$7)/$H128*OFFSET(ORÇAMENTO!$X$15,ROW(AQ128)-ROW(AQ$15),0),
              ROUND(ROUND(OFFSET($P128,0,AQ$13),15-13*ORÇAMENTO!$AF$7)*OFFSET(ORÇAMENTO!$W$15,ROW(AQ128)-ROW(AQ$15),0),15-13*ORÇAMENTO!$AF$11)),
         0)</f>
        <v>0</v>
      </c>
      <c r="AR128" s="453">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3">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3">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3">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3">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3">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3">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3">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3">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3">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C128" s="171">
        <f ca="1">IF(OR($D128&lt;&gt;"Serviço",AND(AUTOEVENTO="Manual",$M128=$A$15)),0,
         IF(OFFSET(CRONOPLE!$F$15,$M128-$A$15,BC$13)=0,10^12,OFFSET(CRONOPLE!$F$15,$M128-$A$15,BC$13)))</f>
        <v>1</v>
      </c>
      <c r="BD128" s="171">
        <f ca="1">IF(OR($D128&lt;&gt;"Serviço",AND(AUTOEVENTO="Manual",$M128=$A$15)),0,
         IF(OFFSET(CRONOPLE!$F$15,$M128-$A$15,BD$13)=0,10^12,OFFSET(CRONOPLE!$F$15,$M128-$A$15,BD$13)))</f>
        <v>2</v>
      </c>
      <c r="BE128" s="171">
        <f ca="1">IF(OR($D128&lt;&gt;"Serviço",AND(AUTOEVENTO="Manual",$M128=$A$15)),0,
         IF(OFFSET(CRONOPLE!$F$15,$M128-$A$15,BE$13)=0,10^12,OFFSET(CRONOPLE!$F$15,$M128-$A$15,BE$13)))</f>
        <v>3</v>
      </c>
      <c r="BF128" s="171">
        <f ca="1">IF(OR($D128&lt;&gt;"Serviço",AND(AUTOEVENTO="Manual",$M128=$A$15)),0,
         IF(OFFSET(CRONOPLE!$F$15,$M128-$A$15,BF$13)=0,10^12,OFFSET(CRONOPLE!$F$15,$M128-$A$15,BF$13)))</f>
        <v>4</v>
      </c>
      <c r="BG128" s="171">
        <f ca="1">IF(OR($D128&lt;&gt;"Serviço",AND(AUTOEVENTO="Manual",$M128=$A$15)),0,
         IF(OFFSET(CRONOPLE!$F$15,$M128-$A$15,BG$13)=0,10^12,OFFSET(CRONOPLE!$F$15,$M128-$A$15,BG$13)))</f>
        <v>5</v>
      </c>
      <c r="BH128" s="171">
        <f ca="1">IF(OR($D128&lt;&gt;"Serviço",AND(AUTOEVENTO="Manual",$M128=$A$15)),0,
         IF(OFFSET(CRONOPLE!$F$15,$M128-$A$15,BH$13)=0,10^12,OFFSET(CRONOPLE!$F$15,$M128-$A$15,BH$13)))</f>
        <v>6</v>
      </c>
      <c r="BI128" s="171">
        <f ca="1">IF(OR($D128&lt;&gt;"Serviço",AND(AUTOEVENTO="Manual",$M128=$A$15)),0,
         IF(OFFSET(CRONOPLE!$F$15,$M128-$A$15,BI$13)=0,10^12,OFFSET(CRONOPLE!$F$15,$M128-$A$15,BI$13)))</f>
        <v>7</v>
      </c>
      <c r="BJ128" s="171">
        <f ca="1">IF(OR($D128&lt;&gt;"Serviço",AND(AUTOEVENTO="Manual",$M128=$A$15)),0,
         IF(OFFSET(CRONOPLE!$F$15,$M128-$A$15,BJ$13)=0,10^12,OFFSET(CRONOPLE!$F$15,$M128-$A$15,BJ$13)))</f>
        <v>8</v>
      </c>
      <c r="BK128" s="171">
        <f ca="1">IF(OR($D128&lt;&gt;"Serviço",AND(AUTOEVENTO="Manual",$M128=$A$15)),0,
         IF(OFFSET(CRONOPLE!$F$15,$M128-$A$15,BK$13)=0,10^12,OFFSET(CRONOPLE!$F$15,$M128-$A$15,BK$13)))</f>
        <v>9</v>
      </c>
      <c r="BL128" s="171">
        <f ca="1">IF(OR($D128&lt;&gt;"Serviço",AND(AUTOEVENTO="Manual",$M128=$A$15)),0,
         IF(OFFSET(CRONOPLE!$F$15,$M128-$A$15,BL$13)=0,10^12,OFFSET(CRONOPLE!$F$15,$M128-$A$15,BL$13)))</f>
        <v>10</v>
      </c>
      <c r="BM128" s="171">
        <f ca="1">IF(OR($D128&lt;&gt;"Serviço",AND(AUTOEVENTO="Manual",$M128=$A$15)),0,
         IF(OFFSET(CRONOPLE!$F$15,$M128-$A$15,BM$13)=0,10^12,OFFSET(CRONOPLE!$F$15,$M128-$A$15,BM$13)))</f>
        <v>1000000000000</v>
      </c>
      <c r="BN128" s="171">
        <f ca="1">IF(OR($D128&lt;&gt;"Serviço",AND(AUTOEVENTO="Manual",$M128=$A$15)),0,
         IF(OFFSET(CRONOPLE!$F$15,$M128-$A$15,BN$13)=0,10^12,OFFSET(CRONOPLE!$F$15,$M128-$A$15,BN$13)))</f>
        <v>1000000000000</v>
      </c>
      <c r="BO128" s="171">
        <f ca="1">IF(OR($D128&lt;&gt;"Serviço",AND(AUTOEVENTO="Manual",$M128=$A$15)),0,
         IF(OFFSET(CRONOPLE!$F$15,$M128-$A$15,BO$13)=0,10^12,OFFSET(CRONOPLE!$F$15,$M128-$A$15,BO$13)))</f>
        <v>1000000000000</v>
      </c>
      <c r="BP128" s="171">
        <f ca="1">IF(OR($D128&lt;&gt;"Serviço",AND(AUTOEVENTO="Manual",$M128=$A$15)),0,
         IF(OFFSET(CRONOPLE!$F$15,$M128-$A$15,BP$13)=0,10^12,OFFSET(CRONOPLE!$F$15,$M128-$A$15,BP$13)))</f>
        <v>1000000000000</v>
      </c>
      <c r="BQ128" s="171">
        <f ca="1">IF(OR($D128&lt;&gt;"Serviço",AND(AUTOEVENTO="Manual",$M128=$A$15)),0,
         IF(OFFSET(CRONOPLE!$F$15,$M128-$A$15,BQ$13)=0,10^12,OFFSET(CRONOPLE!$F$15,$M128-$A$15,BQ$13)))</f>
        <v>1000000000000</v>
      </c>
      <c r="BR128" s="171">
        <f ca="1">IF(OR($D128&lt;&gt;"Serviço",AND(AUTOEVENTO="Manual",$M128=$A$15)),0,
         IF(OFFSET(CRONOPLE!$F$15,$M128-$A$15,BR$13)=0,10^12,OFFSET(CRONOPLE!$F$15,$M128-$A$15,BR$13)))</f>
        <v>1000000000000</v>
      </c>
      <c r="BS128" s="171">
        <f ca="1">IF(OR($D128&lt;&gt;"Serviço",AND(AUTOEVENTO="Manual",$M128=$A$15)),0,
         IF(OFFSET(CRONOPLE!$F$15,$M128-$A$15,BS$13)=0,10^12,OFFSET(CRONOPLE!$F$15,$M128-$A$15,BS$13)))</f>
        <v>1000000000000</v>
      </c>
      <c r="BT128" s="171">
        <f ca="1">IF(OR($D128&lt;&gt;"Serviço",AND(AUTOEVENTO="Manual",$M128=$A$15)),0,
         IF(OFFSET(CRONOPLE!$F$15,$M128-$A$15,BT$13)=0,10^12,OFFSET(CRONOPLE!$F$15,$M128-$A$15,BT$13)))</f>
        <v>1000000000000</v>
      </c>
      <c r="BV128" s="172">
        <f ca="1">IF(OR($D128&lt;&gt;"Serviço",AND(AUTOEVENTO="Manual",$M128=$A$15),$M128&gt;(ROW(PLE.lastrow)-ROW(PLE.firstrow))),0,
           IF(OFFSET(PLE!$G$15,$M128-$A$15,BV$13)="",10^12,OFFSET(PLE!$G$15,$M128-$A$15,BV$13)))</f>
        <v>1000000000000</v>
      </c>
      <c r="BW128" s="172">
        <f ca="1">IF(OR($D128&lt;&gt;"Serviço",AND(AUTOEVENTO="Manual",$M128=$A$15),$M128&gt;(ROW(PLE.lastrow)-ROW(PLE.firstrow))),0,
           IF(OFFSET(PLE!$G$15,$M128-$A$15,BW$13)="",10^12,OFFSET(PLE!$G$15,$M128-$A$15,BW$13)))</f>
        <v>1000000000000</v>
      </c>
      <c r="BX128" s="172">
        <f ca="1">IF(OR($D128&lt;&gt;"Serviço",AND(AUTOEVENTO="Manual",$M128=$A$15),$M128&gt;(ROW(PLE.lastrow)-ROW(PLE.firstrow))),0,
           IF(OFFSET(PLE!$G$15,$M128-$A$15,BX$13)="",10^12,OFFSET(PLE!$G$15,$M128-$A$15,BX$13)))</f>
        <v>1000000000000</v>
      </c>
      <c r="BY128" s="172">
        <f ca="1">IF(OR($D128&lt;&gt;"Serviço",AND(AUTOEVENTO="Manual",$M128=$A$15),$M128&gt;(ROW(PLE.lastrow)-ROW(PLE.firstrow))),0,
           IF(OFFSET(PLE!$G$15,$M128-$A$15,BY$13)="",10^12,OFFSET(PLE!$G$15,$M128-$A$15,BY$13)))</f>
        <v>1000000000000</v>
      </c>
      <c r="BZ128" s="172">
        <f ca="1">IF(OR($D128&lt;&gt;"Serviço",AND(AUTOEVENTO="Manual",$M128=$A$15),$M128&gt;(ROW(PLE.lastrow)-ROW(PLE.firstrow))),0,
           IF(OFFSET(PLE!$G$15,$M128-$A$15,BZ$13)="",10^12,OFFSET(PLE!$G$15,$M128-$A$15,BZ$13)))</f>
        <v>1000000000000</v>
      </c>
      <c r="CA128" s="172">
        <f ca="1">IF(OR($D128&lt;&gt;"Serviço",AND(AUTOEVENTO="Manual",$M128=$A$15),$M128&gt;(ROW(PLE.lastrow)-ROW(PLE.firstrow))),0,
           IF(OFFSET(PLE!$G$15,$M128-$A$15,CA$13)="",10^12,OFFSET(PLE!$G$15,$M128-$A$15,CA$13)))</f>
        <v>1000000000000</v>
      </c>
      <c r="CB128" s="172">
        <f ca="1">IF(OR($D128&lt;&gt;"Serviço",AND(AUTOEVENTO="Manual",$M128=$A$15),$M128&gt;(ROW(PLE.lastrow)-ROW(PLE.firstrow))),0,
           IF(OFFSET(PLE!$G$15,$M128-$A$15,CB$13)="",10^12,OFFSET(PLE!$G$15,$M128-$A$15,CB$13)))</f>
        <v>1000000000000</v>
      </c>
      <c r="CC128" s="172">
        <f ca="1">IF(OR($D128&lt;&gt;"Serviço",AND(AUTOEVENTO="Manual",$M128=$A$15),$M128&gt;(ROW(PLE.lastrow)-ROW(PLE.firstrow))),0,
           IF(OFFSET(PLE!$G$15,$M128-$A$15,CC$13)="",10^12,OFFSET(PLE!$G$15,$M128-$A$15,CC$13)))</f>
        <v>1000000000000</v>
      </c>
      <c r="CD128" s="172">
        <f ca="1">IF(OR($D128&lt;&gt;"Serviço",AND(AUTOEVENTO="Manual",$M128=$A$15),$M128&gt;(ROW(PLE.lastrow)-ROW(PLE.firstrow))),0,
           IF(OFFSET(PLE!$G$15,$M128-$A$15,CD$13)="",10^12,OFFSET(PLE!$G$15,$M128-$A$15,CD$13)))</f>
        <v>1000000000000</v>
      </c>
      <c r="CE128" s="172">
        <f ca="1">IF(OR($D128&lt;&gt;"Serviço",AND(AUTOEVENTO="Manual",$M128=$A$15),$M128&gt;(ROW(PLE.lastrow)-ROW(PLE.firstrow))),0,
           IF(OFFSET(PLE!$G$15,$M128-$A$15,CE$13)="",10^12,OFFSET(PLE!$G$15,$M128-$A$15,CE$13)))</f>
        <v>1000000000000</v>
      </c>
      <c r="CF128" s="172">
        <f ca="1">IF(OR($D128&lt;&gt;"Serviço",AND(AUTOEVENTO="Manual",$M128=$A$15),$M128&gt;(ROW(PLE.lastrow)-ROW(PLE.firstrow))),0,
           IF(OFFSET(PLE!$G$15,$M128-$A$15,CF$13)="",10^12,OFFSET(PLE!$G$15,$M128-$A$15,CF$13)))</f>
        <v>1000000000000</v>
      </c>
      <c r="CG128" s="172">
        <f ca="1">IF(OR($D128&lt;&gt;"Serviço",AND(AUTOEVENTO="Manual",$M128=$A$15),$M128&gt;(ROW(PLE.lastrow)-ROW(PLE.firstrow))),0,
           IF(OFFSET(PLE!$G$15,$M128-$A$15,CG$13)="",10^12,OFFSET(PLE!$G$15,$M128-$A$15,CG$13)))</f>
        <v>1000000000000</v>
      </c>
      <c r="CH128" s="172">
        <f ca="1">IF(OR($D128&lt;&gt;"Serviço",AND(AUTOEVENTO="Manual",$M128=$A$15),$M128&gt;(ROW(PLE.lastrow)-ROW(PLE.firstrow))),0,
           IF(OFFSET(PLE!$G$15,$M128-$A$15,CH$13)="",10^12,OFFSET(PLE!$G$15,$M128-$A$15,CH$13)))</f>
        <v>1000000000000</v>
      </c>
      <c r="CI128" s="172">
        <f ca="1">IF(OR($D128&lt;&gt;"Serviço",AND(AUTOEVENTO="Manual",$M128=$A$15),$M128&gt;(ROW(PLE.lastrow)-ROW(PLE.firstrow))),0,
           IF(OFFSET(PLE!$G$15,$M128-$A$15,CI$13)="",10^12,OFFSET(PLE!$G$15,$M128-$A$15,CI$13)))</f>
        <v>1000000000000</v>
      </c>
      <c r="CJ128" s="172">
        <f ca="1">IF(OR($D128&lt;&gt;"Serviço",AND(AUTOEVENTO="Manual",$M128=$A$15),$M128&gt;(ROW(PLE.lastrow)-ROW(PLE.firstrow))),0,
           IF(OFFSET(PLE!$G$15,$M128-$A$15,CJ$13)="",10^12,OFFSET(PLE!$G$15,$M128-$A$15,CJ$13)))</f>
        <v>1000000000000</v>
      </c>
      <c r="CK128" s="172">
        <f ca="1">IF(OR($D128&lt;&gt;"Serviço",AND(AUTOEVENTO="Manual",$M128=$A$15),$M128&gt;(ROW(PLE.lastrow)-ROW(PLE.firstrow))),0,
           IF(OFFSET(PLE!$G$15,$M128-$A$15,CK$13)="",10^12,OFFSET(PLE!$G$15,$M128-$A$15,CK$13)))</f>
        <v>1000000000000</v>
      </c>
      <c r="CL128" s="172">
        <f ca="1">IF(OR($D128&lt;&gt;"Serviço",AND(AUTOEVENTO="Manual",$M128=$A$15),$M128&gt;(ROW(PLE.lastrow)-ROW(PLE.firstrow))),0,
           IF(OFFSET(PLE!$G$15,$M128-$A$15,CL$13)="",10^12,OFFSET(PLE!$G$15,$M128-$A$15,CL$13)))</f>
        <v>1000000000000</v>
      </c>
      <c r="CM128" s="172">
        <f ca="1">IF(OR($D128&lt;&gt;"Serviço",AND(AUTOEVENTO="Manual",$M128=$A$15),$M128&gt;(ROW(PLE.lastrow)-ROW(PLE.firstrow))),0,
           IF(OFFSET(PLE!$G$15,$M128-$A$15,CM$13)="",10^12,OFFSET(PLE!$G$15,$M128-$A$15,CM$13)))</f>
        <v>1000000000000</v>
      </c>
    </row>
    <row r="129" spans="1:91" ht="12.75" x14ac:dyDescent="0.2">
      <c r="A129" s="7">
        <f t="shared" ca="1" si="11"/>
        <v>5</v>
      </c>
      <c r="B129" s="7">
        <f ca="1">OFFSET(ORÇAMENTO!C$15,ROW(B129)-ROW(B$15),0)</f>
        <v>4</v>
      </c>
      <c r="C129" s="7" t="str">
        <f ca="1">OFFSET(ORÇAMENTO!L$15,ROW(C129)-ROW(C$15),0)</f>
        <v>F</v>
      </c>
      <c r="D129" s="116" t="str">
        <f ca="1">OFFSET(ORÇAMENTO!N$15,ROW(D129)-ROW(D$15),0)</f>
        <v>Nível 4</v>
      </c>
      <c r="E129" s="117" t="str">
        <f ca="1">OFFSET(ORÇAMENTO!O$15,ROW(E129)-ROW(E$15),0)</f>
        <v>1.5.2.4.</v>
      </c>
      <c r="F129" s="163" t="str">
        <f ca="1">OFFSET(ORÇAMENTO!R$15,ROW(F129)-ROW(F$15),0)</f>
        <v>LEITO DE SECAGEM DE ESCUMA</v>
      </c>
      <c r="G129" s="164" t="str">
        <f ca="1">IF($D129&lt;&gt;"Serviço","",OFFSET(ORÇAMENTO!S$15,ROW(G129)-ROW(G$15),0))</f>
        <v/>
      </c>
      <c r="H129" s="122" cm="1">
        <f t="array" aca="1" ref="H129" ca="1">IF($D129&lt;&gt;"Serviço",0,IF(ACOMPANHAMENTO="BM",ROUND(OFFSET(ORÇAMENTO!AJ$15,ROW(H129)-ROW(H$15),0),15-13*ORÇAMENTO!$AF$7),SUMPRODUCT(($Q$1:$AI$1=1)*ROUND($Q129:$AI129,15-13*ORÇAMENTO!$AF$7))))</f>
        <v>0</v>
      </c>
      <c r="I129" s="468"/>
      <c r="J129" s="640" t="str" cm="1">
        <f t="array" aca="1" ref="J129" ca="1">IF(OR(B129&lt;&gt;"S",CÁLCULO.FrentesPreenchidas=0),"",IF(AND(ACOMPANHAMENTO="PLE",AUTOEVENTO="Manual",OR(H129&gt;0,ORÇAMENTO!AC129="QUANT."),OR(K129="",M129=0,N129="")),"►E",IF(AND(ACOMPANHAMENTO="PLE",ORÇAMENTO!AC129="QUANT."),"►Q",IF(AND(ACOMPANHAMENTO="PLE",H129&lt;&gt;SUMPRODUCT(($Q$1:$AI$1=1)*ROUND(Q129:AI129,15))),"►S",IF(AND(COUNTIF($P$11:$AI$11,"▼")=0,H129&gt;0,I129=""),"◄M","")))))</f>
        <v/>
      </c>
      <c r="K129" s="641" t="s">
        <v>1364</v>
      </c>
      <c r="L129" s="165" t="s">
        <v>764</v>
      </c>
      <c r="M129" s="166" t="str">
        <f ca="1">IF($D129&lt;&gt;"Serviço","",
          IF(AUTOEVENTO="manual",$A129,
                IF(ISERROR(MATCH($A129,$A$15:OFFSET($A129,-1,0),0)),MAX($M$15:OFFSET(M129,-1,0))+1,
                      INDEX($M$15:OFFSET(M129,-1,0),MATCH($A129,$A$15:OFFSET($A129,-1,0),0)))))</f>
        <v/>
      </c>
      <c r="N129" s="167" t="str">
        <f ca="1">IF($D129&lt;&gt;"Serviço","",
         IF(AUTOEVENTO="Manual",
                IF($A129=0,"&lt;-- defina o número do agrupador",
                       OFFSET(EVENTOS!$D$15,$A129-$A$15,0)),
                OFFSET($F$15,$A129,0)))</f>
        <v/>
      </c>
      <c r="O129" s="168"/>
      <c r="Q129" s="168"/>
      <c r="R129" s="169"/>
      <c r="S129" s="169"/>
      <c r="T129" s="169"/>
      <c r="U129" s="169"/>
      <c r="V129" s="169"/>
      <c r="W129" s="169"/>
      <c r="X129" s="169"/>
      <c r="Y129" s="169"/>
      <c r="Z129" s="170"/>
      <c r="AA129" s="169"/>
      <c r="AB129" s="169"/>
      <c r="AC129" s="169"/>
      <c r="AD129" s="169"/>
      <c r="AE129" s="169"/>
      <c r="AF129" s="169"/>
      <c r="AG129" s="169"/>
      <c r="AH129" s="170"/>
      <c r="AJ129" s="453">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3">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L129" s="453">
        <f ca="1">IF(AND($D129="Serviço",AL$12&lt;&gt;0,$H129&gt;0,OR(AUTOEVENTO&lt;&gt;"manual",$M129&lt;&gt;$A$15)),
        IF(Import.TipoArredondamento&lt;&gt;"TransfereGOV",
              ROUND(OFFSET($P129,0,AL$13),15-13*ORÇAMENTO!$AF$7)/$H129*OFFSET(ORÇAMENTO!$X$15,ROW(AL129)-ROW(AL$15),0),
              ROUND(ROUND(OFFSET($P129,0,AL$13),15-13*ORÇAMENTO!$AF$7)*OFFSET(ORÇAMENTO!$W$15,ROW(AL129)-ROW(AL$15),0),15-13*ORÇAMENTO!$AF$11)),
         0)</f>
        <v>0</v>
      </c>
      <c r="AM129" s="453">
        <f ca="1">IF(AND($D129="Serviço",AM$12&lt;&gt;0,$H129&gt;0,OR(AUTOEVENTO&lt;&gt;"manual",$M129&lt;&gt;$A$15)),
        IF(Import.TipoArredondamento&lt;&gt;"TransfereGOV",
              ROUND(OFFSET($P129,0,AM$13),15-13*ORÇAMENTO!$AF$7)/$H129*OFFSET(ORÇAMENTO!$X$15,ROW(AM129)-ROW(AM$15),0),
              ROUND(ROUND(OFFSET($P129,0,AM$13),15-13*ORÇAMENTO!$AF$7)*OFFSET(ORÇAMENTO!$W$15,ROW(AM129)-ROW(AM$15),0),15-13*ORÇAMENTO!$AF$11)),
         0)</f>
        <v>0</v>
      </c>
      <c r="AN129" s="453">
        <f ca="1">IF(AND($D129="Serviço",AN$12&lt;&gt;0,$H129&gt;0,OR(AUTOEVENTO&lt;&gt;"manual",$M129&lt;&gt;$A$15)),
        IF(Import.TipoArredondamento&lt;&gt;"TransfereGOV",
              ROUND(OFFSET($P129,0,AN$13),15-13*ORÇAMENTO!$AF$7)/$H129*OFFSET(ORÇAMENTO!$X$15,ROW(AN129)-ROW(AN$15),0),
              ROUND(ROUND(OFFSET($P129,0,AN$13),15-13*ORÇAMENTO!$AF$7)*OFFSET(ORÇAMENTO!$W$15,ROW(AN129)-ROW(AN$15),0),15-13*ORÇAMENTO!$AF$11)),
         0)</f>
        <v>0</v>
      </c>
      <c r="AO129" s="453">
        <f ca="1">IF(AND($D129="Serviço",AO$12&lt;&gt;0,$H129&gt;0,OR(AUTOEVENTO&lt;&gt;"manual",$M129&lt;&gt;$A$15)),
        IF(Import.TipoArredondamento&lt;&gt;"TransfereGOV",
              ROUND(OFFSET($P129,0,AO$13),15-13*ORÇAMENTO!$AF$7)/$H129*OFFSET(ORÇAMENTO!$X$15,ROW(AO129)-ROW(AO$15),0),
              ROUND(ROUND(OFFSET($P129,0,AO$13),15-13*ORÇAMENTO!$AF$7)*OFFSET(ORÇAMENTO!$W$15,ROW(AO129)-ROW(AO$15),0),15-13*ORÇAMENTO!$AF$11)),
         0)</f>
        <v>0</v>
      </c>
      <c r="AP129" s="453">
        <f ca="1">IF(AND($D129="Serviço",AP$12&lt;&gt;0,$H129&gt;0,OR(AUTOEVENTO&lt;&gt;"manual",$M129&lt;&gt;$A$15)),
        IF(Import.TipoArredondamento&lt;&gt;"TransfereGOV",
              ROUND(OFFSET($P129,0,AP$13),15-13*ORÇAMENTO!$AF$7)/$H129*OFFSET(ORÇAMENTO!$X$15,ROW(AP129)-ROW(AP$15),0),
              ROUND(ROUND(OFFSET($P129,0,AP$13),15-13*ORÇAMENTO!$AF$7)*OFFSET(ORÇAMENTO!$W$15,ROW(AP129)-ROW(AP$15),0),15-13*ORÇAMENTO!$AF$11)),
         0)</f>
        <v>0</v>
      </c>
      <c r="AQ129" s="453">
        <f ca="1">IF(AND($D129="Serviço",AQ$12&lt;&gt;0,$H129&gt;0,OR(AUTOEVENTO&lt;&gt;"manual",$M129&lt;&gt;$A$15)),
        IF(Import.TipoArredondamento&lt;&gt;"TransfereGOV",
              ROUND(OFFSET($P129,0,AQ$13),15-13*ORÇAMENTO!$AF$7)/$H129*OFFSET(ORÇAMENTO!$X$15,ROW(AQ129)-ROW(AQ$15),0),
              ROUND(ROUND(OFFSET($P129,0,AQ$13),15-13*ORÇAMENTO!$AF$7)*OFFSET(ORÇAMENTO!$W$15,ROW(AQ129)-ROW(AQ$15),0),15-13*ORÇAMENTO!$AF$11)),
         0)</f>
        <v>0</v>
      </c>
      <c r="AR129" s="453">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3">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3">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3">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3">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3">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3">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3">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3">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3">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C129" s="171">
        <f ca="1">IF(OR($D129&lt;&gt;"Serviço",AND(AUTOEVENTO="Manual",$M129=$A$15)),0,
         IF(OFFSET(CRONOPLE!$F$15,$M129-$A$15,BC$13)=0,10^12,OFFSET(CRONOPLE!$F$15,$M129-$A$15,BC$13)))</f>
        <v>0</v>
      </c>
      <c r="BD129" s="171">
        <f ca="1">IF(OR($D129&lt;&gt;"Serviço",AND(AUTOEVENTO="Manual",$M129=$A$15)),0,
         IF(OFFSET(CRONOPLE!$F$15,$M129-$A$15,BD$13)=0,10^12,OFFSET(CRONOPLE!$F$15,$M129-$A$15,BD$13)))</f>
        <v>0</v>
      </c>
      <c r="BE129" s="171">
        <f ca="1">IF(OR($D129&lt;&gt;"Serviço",AND(AUTOEVENTO="Manual",$M129=$A$15)),0,
         IF(OFFSET(CRONOPLE!$F$15,$M129-$A$15,BE$13)=0,10^12,OFFSET(CRONOPLE!$F$15,$M129-$A$15,BE$13)))</f>
        <v>0</v>
      </c>
      <c r="BF129" s="171">
        <f ca="1">IF(OR($D129&lt;&gt;"Serviço",AND(AUTOEVENTO="Manual",$M129=$A$15)),0,
         IF(OFFSET(CRONOPLE!$F$15,$M129-$A$15,BF$13)=0,10^12,OFFSET(CRONOPLE!$F$15,$M129-$A$15,BF$13)))</f>
        <v>0</v>
      </c>
      <c r="BG129" s="171">
        <f ca="1">IF(OR($D129&lt;&gt;"Serviço",AND(AUTOEVENTO="Manual",$M129=$A$15)),0,
         IF(OFFSET(CRONOPLE!$F$15,$M129-$A$15,BG$13)=0,10^12,OFFSET(CRONOPLE!$F$15,$M129-$A$15,BG$13)))</f>
        <v>0</v>
      </c>
      <c r="BH129" s="171">
        <f ca="1">IF(OR($D129&lt;&gt;"Serviço",AND(AUTOEVENTO="Manual",$M129=$A$15)),0,
         IF(OFFSET(CRONOPLE!$F$15,$M129-$A$15,BH$13)=0,10^12,OFFSET(CRONOPLE!$F$15,$M129-$A$15,BH$13)))</f>
        <v>0</v>
      </c>
      <c r="BI129" s="171">
        <f ca="1">IF(OR($D129&lt;&gt;"Serviço",AND(AUTOEVENTO="Manual",$M129=$A$15)),0,
         IF(OFFSET(CRONOPLE!$F$15,$M129-$A$15,BI$13)=0,10^12,OFFSET(CRONOPLE!$F$15,$M129-$A$15,BI$13)))</f>
        <v>0</v>
      </c>
      <c r="BJ129" s="171">
        <f ca="1">IF(OR($D129&lt;&gt;"Serviço",AND(AUTOEVENTO="Manual",$M129=$A$15)),0,
         IF(OFFSET(CRONOPLE!$F$15,$M129-$A$15,BJ$13)=0,10^12,OFFSET(CRONOPLE!$F$15,$M129-$A$15,BJ$13)))</f>
        <v>0</v>
      </c>
      <c r="BK129" s="171">
        <f ca="1">IF(OR($D129&lt;&gt;"Serviço",AND(AUTOEVENTO="Manual",$M129=$A$15)),0,
         IF(OFFSET(CRONOPLE!$F$15,$M129-$A$15,BK$13)=0,10^12,OFFSET(CRONOPLE!$F$15,$M129-$A$15,BK$13)))</f>
        <v>0</v>
      </c>
      <c r="BL129" s="171">
        <f ca="1">IF(OR($D129&lt;&gt;"Serviço",AND(AUTOEVENTO="Manual",$M129=$A$15)),0,
         IF(OFFSET(CRONOPLE!$F$15,$M129-$A$15,BL$13)=0,10^12,OFFSET(CRONOPLE!$F$15,$M129-$A$15,BL$13)))</f>
        <v>0</v>
      </c>
      <c r="BM129" s="171">
        <f ca="1">IF(OR($D129&lt;&gt;"Serviço",AND(AUTOEVENTO="Manual",$M129=$A$15)),0,
         IF(OFFSET(CRONOPLE!$F$15,$M129-$A$15,BM$13)=0,10^12,OFFSET(CRONOPLE!$F$15,$M129-$A$15,BM$13)))</f>
        <v>0</v>
      </c>
      <c r="BN129" s="171">
        <f ca="1">IF(OR($D129&lt;&gt;"Serviço",AND(AUTOEVENTO="Manual",$M129=$A$15)),0,
         IF(OFFSET(CRONOPLE!$F$15,$M129-$A$15,BN$13)=0,10^12,OFFSET(CRONOPLE!$F$15,$M129-$A$15,BN$13)))</f>
        <v>0</v>
      </c>
      <c r="BO129" s="171">
        <f ca="1">IF(OR($D129&lt;&gt;"Serviço",AND(AUTOEVENTO="Manual",$M129=$A$15)),0,
         IF(OFFSET(CRONOPLE!$F$15,$M129-$A$15,BO$13)=0,10^12,OFFSET(CRONOPLE!$F$15,$M129-$A$15,BO$13)))</f>
        <v>0</v>
      </c>
      <c r="BP129" s="171">
        <f ca="1">IF(OR($D129&lt;&gt;"Serviço",AND(AUTOEVENTO="Manual",$M129=$A$15)),0,
         IF(OFFSET(CRONOPLE!$F$15,$M129-$A$15,BP$13)=0,10^12,OFFSET(CRONOPLE!$F$15,$M129-$A$15,BP$13)))</f>
        <v>0</v>
      </c>
      <c r="BQ129" s="171">
        <f ca="1">IF(OR($D129&lt;&gt;"Serviço",AND(AUTOEVENTO="Manual",$M129=$A$15)),0,
         IF(OFFSET(CRONOPLE!$F$15,$M129-$A$15,BQ$13)=0,10^12,OFFSET(CRONOPLE!$F$15,$M129-$A$15,BQ$13)))</f>
        <v>0</v>
      </c>
      <c r="BR129" s="171">
        <f ca="1">IF(OR($D129&lt;&gt;"Serviço",AND(AUTOEVENTO="Manual",$M129=$A$15)),0,
         IF(OFFSET(CRONOPLE!$F$15,$M129-$A$15,BR$13)=0,10^12,OFFSET(CRONOPLE!$F$15,$M129-$A$15,BR$13)))</f>
        <v>0</v>
      </c>
      <c r="BS129" s="171">
        <f ca="1">IF(OR($D129&lt;&gt;"Serviço",AND(AUTOEVENTO="Manual",$M129=$A$15)),0,
         IF(OFFSET(CRONOPLE!$F$15,$M129-$A$15,BS$13)=0,10^12,OFFSET(CRONOPLE!$F$15,$M129-$A$15,BS$13)))</f>
        <v>0</v>
      </c>
      <c r="BT129" s="171">
        <f ca="1">IF(OR($D129&lt;&gt;"Serviço",AND(AUTOEVENTO="Manual",$M129=$A$15)),0,
         IF(OFFSET(CRONOPLE!$F$15,$M129-$A$15,BT$13)=0,10^12,OFFSET(CRONOPLE!$F$15,$M129-$A$15,BT$13)))</f>
        <v>0</v>
      </c>
      <c r="BV129" s="172">
        <f ca="1">IF(OR($D129&lt;&gt;"Serviço",AND(AUTOEVENTO="Manual",$M129=$A$15),$M129&gt;(ROW(PLE.lastrow)-ROW(PLE.firstrow))),0,
           IF(OFFSET(PLE!$G$15,$M129-$A$15,BV$13)="",10^12,OFFSET(PLE!$G$15,$M129-$A$15,BV$13)))</f>
        <v>0</v>
      </c>
      <c r="BW129" s="172">
        <f ca="1">IF(OR($D129&lt;&gt;"Serviço",AND(AUTOEVENTO="Manual",$M129=$A$15),$M129&gt;(ROW(PLE.lastrow)-ROW(PLE.firstrow))),0,
           IF(OFFSET(PLE!$G$15,$M129-$A$15,BW$13)="",10^12,OFFSET(PLE!$G$15,$M129-$A$15,BW$13)))</f>
        <v>0</v>
      </c>
      <c r="BX129" s="172">
        <f ca="1">IF(OR($D129&lt;&gt;"Serviço",AND(AUTOEVENTO="Manual",$M129=$A$15),$M129&gt;(ROW(PLE.lastrow)-ROW(PLE.firstrow))),0,
           IF(OFFSET(PLE!$G$15,$M129-$A$15,BX$13)="",10^12,OFFSET(PLE!$G$15,$M129-$A$15,BX$13)))</f>
        <v>0</v>
      </c>
      <c r="BY129" s="172">
        <f ca="1">IF(OR($D129&lt;&gt;"Serviço",AND(AUTOEVENTO="Manual",$M129=$A$15),$M129&gt;(ROW(PLE.lastrow)-ROW(PLE.firstrow))),0,
           IF(OFFSET(PLE!$G$15,$M129-$A$15,BY$13)="",10^12,OFFSET(PLE!$G$15,$M129-$A$15,BY$13)))</f>
        <v>0</v>
      </c>
      <c r="BZ129" s="172">
        <f ca="1">IF(OR($D129&lt;&gt;"Serviço",AND(AUTOEVENTO="Manual",$M129=$A$15),$M129&gt;(ROW(PLE.lastrow)-ROW(PLE.firstrow))),0,
           IF(OFFSET(PLE!$G$15,$M129-$A$15,BZ$13)="",10^12,OFFSET(PLE!$G$15,$M129-$A$15,BZ$13)))</f>
        <v>0</v>
      </c>
      <c r="CA129" s="172">
        <f ca="1">IF(OR($D129&lt;&gt;"Serviço",AND(AUTOEVENTO="Manual",$M129=$A$15),$M129&gt;(ROW(PLE.lastrow)-ROW(PLE.firstrow))),0,
           IF(OFFSET(PLE!$G$15,$M129-$A$15,CA$13)="",10^12,OFFSET(PLE!$G$15,$M129-$A$15,CA$13)))</f>
        <v>0</v>
      </c>
      <c r="CB129" s="172">
        <f ca="1">IF(OR($D129&lt;&gt;"Serviço",AND(AUTOEVENTO="Manual",$M129=$A$15),$M129&gt;(ROW(PLE.lastrow)-ROW(PLE.firstrow))),0,
           IF(OFFSET(PLE!$G$15,$M129-$A$15,CB$13)="",10^12,OFFSET(PLE!$G$15,$M129-$A$15,CB$13)))</f>
        <v>0</v>
      </c>
      <c r="CC129" s="172">
        <f ca="1">IF(OR($D129&lt;&gt;"Serviço",AND(AUTOEVENTO="Manual",$M129=$A$15),$M129&gt;(ROW(PLE.lastrow)-ROW(PLE.firstrow))),0,
           IF(OFFSET(PLE!$G$15,$M129-$A$15,CC$13)="",10^12,OFFSET(PLE!$G$15,$M129-$A$15,CC$13)))</f>
        <v>0</v>
      </c>
      <c r="CD129" s="172">
        <f ca="1">IF(OR($D129&lt;&gt;"Serviço",AND(AUTOEVENTO="Manual",$M129=$A$15),$M129&gt;(ROW(PLE.lastrow)-ROW(PLE.firstrow))),0,
           IF(OFFSET(PLE!$G$15,$M129-$A$15,CD$13)="",10^12,OFFSET(PLE!$G$15,$M129-$A$15,CD$13)))</f>
        <v>0</v>
      </c>
      <c r="CE129" s="172">
        <f ca="1">IF(OR($D129&lt;&gt;"Serviço",AND(AUTOEVENTO="Manual",$M129=$A$15),$M129&gt;(ROW(PLE.lastrow)-ROW(PLE.firstrow))),0,
           IF(OFFSET(PLE!$G$15,$M129-$A$15,CE$13)="",10^12,OFFSET(PLE!$G$15,$M129-$A$15,CE$13)))</f>
        <v>0</v>
      </c>
      <c r="CF129" s="172">
        <f ca="1">IF(OR($D129&lt;&gt;"Serviço",AND(AUTOEVENTO="Manual",$M129=$A$15),$M129&gt;(ROW(PLE.lastrow)-ROW(PLE.firstrow))),0,
           IF(OFFSET(PLE!$G$15,$M129-$A$15,CF$13)="",10^12,OFFSET(PLE!$G$15,$M129-$A$15,CF$13)))</f>
        <v>0</v>
      </c>
      <c r="CG129" s="172">
        <f ca="1">IF(OR($D129&lt;&gt;"Serviço",AND(AUTOEVENTO="Manual",$M129=$A$15),$M129&gt;(ROW(PLE.lastrow)-ROW(PLE.firstrow))),0,
           IF(OFFSET(PLE!$G$15,$M129-$A$15,CG$13)="",10^12,OFFSET(PLE!$G$15,$M129-$A$15,CG$13)))</f>
        <v>0</v>
      </c>
      <c r="CH129" s="172">
        <f ca="1">IF(OR($D129&lt;&gt;"Serviço",AND(AUTOEVENTO="Manual",$M129=$A$15),$M129&gt;(ROW(PLE.lastrow)-ROW(PLE.firstrow))),0,
           IF(OFFSET(PLE!$G$15,$M129-$A$15,CH$13)="",10^12,OFFSET(PLE!$G$15,$M129-$A$15,CH$13)))</f>
        <v>0</v>
      </c>
      <c r="CI129" s="172">
        <f ca="1">IF(OR($D129&lt;&gt;"Serviço",AND(AUTOEVENTO="Manual",$M129=$A$15),$M129&gt;(ROW(PLE.lastrow)-ROW(PLE.firstrow))),0,
           IF(OFFSET(PLE!$G$15,$M129-$A$15,CI$13)="",10^12,OFFSET(PLE!$G$15,$M129-$A$15,CI$13)))</f>
        <v>0</v>
      </c>
      <c r="CJ129" s="172">
        <f ca="1">IF(OR($D129&lt;&gt;"Serviço",AND(AUTOEVENTO="Manual",$M129=$A$15),$M129&gt;(ROW(PLE.lastrow)-ROW(PLE.firstrow))),0,
           IF(OFFSET(PLE!$G$15,$M129-$A$15,CJ$13)="",10^12,OFFSET(PLE!$G$15,$M129-$A$15,CJ$13)))</f>
        <v>0</v>
      </c>
      <c r="CK129" s="172">
        <f ca="1">IF(OR($D129&lt;&gt;"Serviço",AND(AUTOEVENTO="Manual",$M129=$A$15),$M129&gt;(ROW(PLE.lastrow)-ROW(PLE.firstrow))),0,
           IF(OFFSET(PLE!$G$15,$M129-$A$15,CK$13)="",10^12,OFFSET(PLE!$G$15,$M129-$A$15,CK$13)))</f>
        <v>0</v>
      </c>
      <c r="CL129" s="172">
        <f ca="1">IF(OR($D129&lt;&gt;"Serviço",AND(AUTOEVENTO="Manual",$M129=$A$15),$M129&gt;(ROW(PLE.lastrow)-ROW(PLE.firstrow))),0,
           IF(OFFSET(PLE!$G$15,$M129-$A$15,CL$13)="",10^12,OFFSET(PLE!$G$15,$M129-$A$15,CL$13)))</f>
        <v>0</v>
      </c>
      <c r="CM129" s="172">
        <f ca="1">IF(OR($D129&lt;&gt;"Serviço",AND(AUTOEVENTO="Manual",$M129=$A$15),$M129&gt;(ROW(PLE.lastrow)-ROW(PLE.firstrow))),0,
           IF(OFFSET(PLE!$G$15,$M129-$A$15,CM$13)="",10^12,OFFSET(PLE!$G$15,$M129-$A$15,CM$13)))</f>
        <v>0</v>
      </c>
    </row>
    <row r="130" spans="1:91" ht="38.25" x14ac:dyDescent="0.2">
      <c r="A130" s="7">
        <f t="shared" ca="1" si="11"/>
        <v>4</v>
      </c>
      <c r="B130" s="7" t="str">
        <f ca="1">OFFSET(ORÇAMENTO!C$15,ROW(B130)-ROW(B$15),0)</f>
        <v>S</v>
      </c>
      <c r="C130" s="7" t="str">
        <f ca="1">OFFSET(ORÇAMENTO!L$15,ROW(C130)-ROW(C$15),0)</f>
        <v>F</v>
      </c>
      <c r="D130" s="116" t="str">
        <f ca="1">OFFSET(ORÇAMENTO!N$15,ROW(D130)-ROW(D$15),0)</f>
        <v>Serviço</v>
      </c>
      <c r="E130" s="117" t="str">
        <f ca="1">OFFSET(ORÇAMENTO!O$15,ROW(E130)-ROW(E$15),0)</f>
        <v>1.5.2.4.1.</v>
      </c>
      <c r="F130" s="163" t="str">
        <f ca="1">OFFSET(ORÇAMENTO!R$15,ROW(F130)-ROW(F$15),0)</f>
        <v>CONCRETO FCK = 40MPA, TRAÇO 1:1,6:1,9 (EM MASSA SECA DE CIMENTO/ AREIA MÉDIA/ BRITA 1) - PREPARO MECÂNICO COM BETONEIRA 600 L. AF_05/2021</v>
      </c>
      <c r="G130" s="164" t="str">
        <f ca="1">IF($D130&lt;&gt;"Serviço","",OFFSET(ORÇAMENTO!S$15,ROW(G130)-ROW(G$15),0))</f>
        <v>M3</v>
      </c>
      <c r="H130" s="122" cm="1">
        <f t="array" aca="1" ref="H130" ca="1">IF($D130&lt;&gt;"Serviço",0,IF(ACOMPANHAMENTO="BM",ROUND(OFFSET(ORÇAMENTO!AJ$15,ROW(H130)-ROW(H$15),0),15-13*ORÇAMENTO!$AF$7),SUMPRODUCT(($Q$1:$AI$1=1)*ROUND($Q130:$AI130,15-13*ORÇAMENTO!$AF$7))))</f>
        <v>47.87</v>
      </c>
      <c r="I130" s="468" t="s">
        <v>1327</v>
      </c>
      <c r="J130" s="640" t="str" cm="1">
        <f t="array" aca="1" ref="J130" ca="1">IF(OR(B130&lt;&gt;"S",CÁLCULO.FrentesPreenchidas=0),"",IF(AND(ACOMPANHAMENTO="PLE",AUTOEVENTO="Manual",OR(H130&gt;0,ORÇAMENTO!AC130="QUANT."),OR(K130="",M130=0,N130="")),"►E",IF(AND(ACOMPANHAMENTO="PLE",ORÇAMENTO!AC130="QUANT."),"►Q",IF(AND(ACOMPANHAMENTO="PLE",H130&lt;&gt;SUMPRODUCT(($Q$1:$AI$1=1)*ROUND(Q130:AI130,15))),"►S",IF(AND(COUNTIF($P$11:$AI$11,"▼")=0,H130&gt;0,I130=""),"◄M","")))))</f>
        <v/>
      </c>
      <c r="K130" s="641" t="s">
        <v>1389</v>
      </c>
      <c r="L130" s="165" t="s">
        <v>764</v>
      </c>
      <c r="M130" s="166">
        <f ca="1">IF($D130&lt;&gt;"Serviço","",
          IF(AUTOEVENTO="manual",$A130,
                IF(ISERROR(MATCH($A130,$A$15:OFFSET($A130,-1,0),0)),MAX($M$15:OFFSET(M130,-1,0))+1,
                      INDEX($M$15:OFFSET(M130,-1,0),MATCH($A130,$A$15:OFFSET($A130,-1,0),0)))))</f>
        <v>4</v>
      </c>
      <c r="N130" s="167" t="str">
        <f ca="1">IF($D130&lt;&gt;"Serviço","",
         IF(AUTOEVENTO="Manual",
                IF($A130=0,"&lt;-- defina o número do agrupador",
                       OFFSET(EVENTOS!$D$15,$A130-$A$15,0)),
                OFFSET($F$15,$A130,0)))</f>
        <v>Estruturas de Concreto</v>
      </c>
      <c r="O130" s="168"/>
      <c r="Q130" s="168"/>
      <c r="R130" s="169"/>
      <c r="S130" s="169"/>
      <c r="T130" s="169"/>
      <c r="U130" s="169">
        <v>47.87</v>
      </c>
      <c r="V130" s="169"/>
      <c r="W130" s="169"/>
      <c r="X130" s="169"/>
      <c r="Y130" s="169"/>
      <c r="Z130" s="170"/>
      <c r="AA130" s="169"/>
      <c r="AB130" s="169"/>
      <c r="AC130" s="169"/>
      <c r="AD130" s="169"/>
      <c r="AE130" s="169"/>
      <c r="AF130" s="169"/>
      <c r="AG130" s="169"/>
      <c r="AH130" s="170"/>
      <c r="AJ130" s="453">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0</v>
      </c>
      <c r="AK130" s="453">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0</v>
      </c>
      <c r="AL130" s="453">
        <f ca="1">IF(AND($D130="Serviço",AL$12&lt;&gt;0,$H130&gt;0,OR(AUTOEVENTO&lt;&gt;"manual",$M130&lt;&gt;$A$15)),
        IF(Import.TipoArredondamento&lt;&gt;"TransfereGOV",
              ROUND(OFFSET($P130,0,AL$13),15-13*ORÇAMENTO!$AF$7)/$H130*OFFSET(ORÇAMENTO!$X$15,ROW(AL130)-ROW(AL$15),0),
              ROUND(ROUND(OFFSET($P130,0,AL$13),15-13*ORÇAMENTO!$AF$7)*OFFSET(ORÇAMENTO!$W$15,ROW(AL130)-ROW(AL$15),0),15-13*ORÇAMENTO!$AF$11)),
         0)</f>
        <v>0</v>
      </c>
      <c r="AM130" s="453">
        <f ca="1">IF(AND($D130="Serviço",AM$12&lt;&gt;0,$H130&gt;0,OR(AUTOEVENTO&lt;&gt;"manual",$M130&lt;&gt;$A$15)),
        IF(Import.TipoArredondamento&lt;&gt;"TransfereGOV",
              ROUND(OFFSET($P130,0,AM$13),15-13*ORÇAMENTO!$AF$7)/$H130*OFFSET(ORÇAMENTO!$X$15,ROW(AM130)-ROW(AM$15),0),
              ROUND(ROUND(OFFSET($P130,0,AM$13),15-13*ORÇAMENTO!$AF$7)*OFFSET(ORÇAMENTO!$W$15,ROW(AM130)-ROW(AM$15),0),15-13*ORÇAMENTO!$AF$11)),
         0)</f>
        <v>0</v>
      </c>
      <c r="AN130" s="453">
        <f ca="1">IF(AND($D130="Serviço",AN$12&lt;&gt;0,$H130&gt;0,OR(AUTOEVENTO&lt;&gt;"manual",$M130&lt;&gt;$A$15)),
        IF(Import.TipoArredondamento&lt;&gt;"TransfereGOV",
              ROUND(OFFSET($P130,0,AN$13),15-13*ORÇAMENTO!$AF$7)/$H130*OFFSET(ORÇAMENTO!$X$15,ROW(AN130)-ROW(AN$15),0),
              ROUND(ROUND(OFFSET($P130,0,AN$13),15-13*ORÇAMENTO!$AF$7)*OFFSET(ORÇAMENTO!$W$15,ROW(AN130)-ROW(AN$15),0),15-13*ORÇAMENTO!$AF$11)),
         0)</f>
        <v>0</v>
      </c>
      <c r="AO130" s="453">
        <f ca="1">IF(AND($D130="Serviço",AO$12&lt;&gt;0,$H130&gt;0,OR(AUTOEVENTO&lt;&gt;"manual",$M130&lt;&gt;$A$15)),
        IF(Import.TipoArredondamento&lt;&gt;"TransfereGOV",
              ROUND(OFFSET($P130,0,AO$13),15-13*ORÇAMENTO!$AF$7)/$H130*OFFSET(ORÇAMENTO!$X$15,ROW(AO130)-ROW(AO$15),0),
              ROUND(ROUND(OFFSET($P130,0,AO$13),15-13*ORÇAMENTO!$AF$7)*OFFSET(ORÇAMENTO!$W$15,ROW(AO130)-ROW(AO$15),0),15-13*ORÇAMENTO!$AF$11)),
         0)</f>
        <v>0</v>
      </c>
      <c r="AP130" s="453">
        <f ca="1">IF(AND($D130="Serviço",AP$12&lt;&gt;0,$H130&gt;0,OR(AUTOEVENTO&lt;&gt;"manual",$M130&lt;&gt;$A$15)),
        IF(Import.TipoArredondamento&lt;&gt;"TransfereGOV",
              ROUND(OFFSET($P130,0,AP$13),15-13*ORÇAMENTO!$AF$7)/$H130*OFFSET(ORÇAMENTO!$X$15,ROW(AP130)-ROW(AP$15),0),
              ROUND(ROUND(OFFSET($P130,0,AP$13),15-13*ORÇAMENTO!$AF$7)*OFFSET(ORÇAMENTO!$W$15,ROW(AP130)-ROW(AP$15),0),15-13*ORÇAMENTO!$AF$11)),
         0)</f>
        <v>0</v>
      </c>
      <c r="AQ130" s="453">
        <f ca="1">IF(AND($D130="Serviço",AQ$12&lt;&gt;0,$H130&gt;0,OR(AUTOEVENTO&lt;&gt;"manual",$M130&lt;&gt;$A$15)),
        IF(Import.TipoArredondamento&lt;&gt;"TransfereGOV",
              ROUND(OFFSET($P130,0,AQ$13),15-13*ORÇAMENTO!$AF$7)/$H130*OFFSET(ORÇAMENTO!$X$15,ROW(AQ130)-ROW(AQ$15),0),
              ROUND(ROUND(OFFSET($P130,0,AQ$13),15-13*ORÇAMENTO!$AF$7)*OFFSET(ORÇAMENTO!$W$15,ROW(AQ130)-ROW(AQ$15),0),15-13*ORÇAMENTO!$AF$11)),
         0)</f>
        <v>0</v>
      </c>
      <c r="AR130" s="453">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3">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3">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3">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3">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3">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3">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3">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3">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3">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C130" s="171">
        <f ca="1">IF(OR($D130&lt;&gt;"Serviço",AND(AUTOEVENTO="Manual",$M130=$A$15)),0,
         IF(OFFSET(CRONOPLE!$F$15,$M130-$A$15,BC$13)=0,10^12,OFFSET(CRONOPLE!$F$15,$M130-$A$15,BC$13)))</f>
        <v>1</v>
      </c>
      <c r="BD130" s="171">
        <f ca="1">IF(OR($D130&lt;&gt;"Serviço",AND(AUTOEVENTO="Manual",$M130=$A$15)),0,
         IF(OFFSET(CRONOPLE!$F$15,$M130-$A$15,BD$13)=0,10^12,OFFSET(CRONOPLE!$F$15,$M130-$A$15,BD$13)))</f>
        <v>2</v>
      </c>
      <c r="BE130" s="171">
        <f ca="1">IF(OR($D130&lt;&gt;"Serviço",AND(AUTOEVENTO="Manual",$M130=$A$15)),0,
         IF(OFFSET(CRONOPLE!$F$15,$M130-$A$15,BE$13)=0,10^12,OFFSET(CRONOPLE!$F$15,$M130-$A$15,BE$13)))</f>
        <v>3</v>
      </c>
      <c r="BF130" s="171">
        <f ca="1">IF(OR($D130&lt;&gt;"Serviço",AND(AUTOEVENTO="Manual",$M130=$A$15)),0,
         IF(OFFSET(CRONOPLE!$F$15,$M130-$A$15,BF$13)=0,10^12,OFFSET(CRONOPLE!$F$15,$M130-$A$15,BF$13)))</f>
        <v>4</v>
      </c>
      <c r="BG130" s="171">
        <f ca="1">IF(OR($D130&lt;&gt;"Serviço",AND(AUTOEVENTO="Manual",$M130=$A$15)),0,
         IF(OFFSET(CRONOPLE!$F$15,$M130-$A$15,BG$13)=0,10^12,OFFSET(CRONOPLE!$F$15,$M130-$A$15,BG$13)))</f>
        <v>5</v>
      </c>
      <c r="BH130" s="171">
        <f ca="1">IF(OR($D130&lt;&gt;"Serviço",AND(AUTOEVENTO="Manual",$M130=$A$15)),0,
         IF(OFFSET(CRONOPLE!$F$15,$M130-$A$15,BH$13)=0,10^12,OFFSET(CRONOPLE!$F$15,$M130-$A$15,BH$13)))</f>
        <v>6</v>
      </c>
      <c r="BI130" s="171">
        <f ca="1">IF(OR($D130&lt;&gt;"Serviço",AND(AUTOEVENTO="Manual",$M130=$A$15)),0,
         IF(OFFSET(CRONOPLE!$F$15,$M130-$A$15,BI$13)=0,10^12,OFFSET(CRONOPLE!$F$15,$M130-$A$15,BI$13)))</f>
        <v>7</v>
      </c>
      <c r="BJ130" s="171">
        <f ca="1">IF(OR($D130&lt;&gt;"Serviço",AND(AUTOEVENTO="Manual",$M130=$A$15)),0,
         IF(OFFSET(CRONOPLE!$F$15,$M130-$A$15,BJ$13)=0,10^12,OFFSET(CRONOPLE!$F$15,$M130-$A$15,BJ$13)))</f>
        <v>8</v>
      </c>
      <c r="BK130" s="171">
        <f ca="1">IF(OR($D130&lt;&gt;"Serviço",AND(AUTOEVENTO="Manual",$M130=$A$15)),0,
         IF(OFFSET(CRONOPLE!$F$15,$M130-$A$15,BK$13)=0,10^12,OFFSET(CRONOPLE!$F$15,$M130-$A$15,BK$13)))</f>
        <v>9</v>
      </c>
      <c r="BL130" s="171">
        <f ca="1">IF(OR($D130&lt;&gt;"Serviço",AND(AUTOEVENTO="Manual",$M130=$A$15)),0,
         IF(OFFSET(CRONOPLE!$F$15,$M130-$A$15,BL$13)=0,10^12,OFFSET(CRONOPLE!$F$15,$M130-$A$15,BL$13)))</f>
        <v>10</v>
      </c>
      <c r="BM130" s="171">
        <f ca="1">IF(OR($D130&lt;&gt;"Serviço",AND(AUTOEVENTO="Manual",$M130=$A$15)),0,
         IF(OFFSET(CRONOPLE!$F$15,$M130-$A$15,BM$13)=0,10^12,OFFSET(CRONOPLE!$F$15,$M130-$A$15,BM$13)))</f>
        <v>1000000000000</v>
      </c>
      <c r="BN130" s="171">
        <f ca="1">IF(OR($D130&lt;&gt;"Serviço",AND(AUTOEVENTO="Manual",$M130=$A$15)),0,
         IF(OFFSET(CRONOPLE!$F$15,$M130-$A$15,BN$13)=0,10^12,OFFSET(CRONOPLE!$F$15,$M130-$A$15,BN$13)))</f>
        <v>1000000000000</v>
      </c>
      <c r="BO130" s="171">
        <f ca="1">IF(OR($D130&lt;&gt;"Serviço",AND(AUTOEVENTO="Manual",$M130=$A$15)),0,
         IF(OFFSET(CRONOPLE!$F$15,$M130-$A$15,BO$13)=0,10^12,OFFSET(CRONOPLE!$F$15,$M130-$A$15,BO$13)))</f>
        <v>1000000000000</v>
      </c>
      <c r="BP130" s="171">
        <f ca="1">IF(OR($D130&lt;&gt;"Serviço",AND(AUTOEVENTO="Manual",$M130=$A$15)),0,
         IF(OFFSET(CRONOPLE!$F$15,$M130-$A$15,BP$13)=0,10^12,OFFSET(CRONOPLE!$F$15,$M130-$A$15,BP$13)))</f>
        <v>1000000000000</v>
      </c>
      <c r="BQ130" s="171">
        <f ca="1">IF(OR($D130&lt;&gt;"Serviço",AND(AUTOEVENTO="Manual",$M130=$A$15)),0,
         IF(OFFSET(CRONOPLE!$F$15,$M130-$A$15,BQ$13)=0,10^12,OFFSET(CRONOPLE!$F$15,$M130-$A$15,BQ$13)))</f>
        <v>1000000000000</v>
      </c>
      <c r="BR130" s="171">
        <f ca="1">IF(OR($D130&lt;&gt;"Serviço",AND(AUTOEVENTO="Manual",$M130=$A$15)),0,
         IF(OFFSET(CRONOPLE!$F$15,$M130-$A$15,BR$13)=0,10^12,OFFSET(CRONOPLE!$F$15,$M130-$A$15,BR$13)))</f>
        <v>1000000000000</v>
      </c>
      <c r="BS130" s="171">
        <f ca="1">IF(OR($D130&lt;&gt;"Serviço",AND(AUTOEVENTO="Manual",$M130=$A$15)),0,
         IF(OFFSET(CRONOPLE!$F$15,$M130-$A$15,BS$13)=0,10^12,OFFSET(CRONOPLE!$F$15,$M130-$A$15,BS$13)))</f>
        <v>1000000000000</v>
      </c>
      <c r="BT130" s="171">
        <f ca="1">IF(OR($D130&lt;&gt;"Serviço",AND(AUTOEVENTO="Manual",$M130=$A$15)),0,
         IF(OFFSET(CRONOPLE!$F$15,$M130-$A$15,BT$13)=0,10^12,OFFSET(CRONOPLE!$F$15,$M130-$A$15,BT$13)))</f>
        <v>1000000000000</v>
      </c>
      <c r="BV130" s="172">
        <f ca="1">IF(OR($D130&lt;&gt;"Serviço",AND(AUTOEVENTO="Manual",$M130=$A$15),$M130&gt;(ROW(PLE.lastrow)-ROW(PLE.firstrow))),0,
           IF(OFFSET(PLE!$G$15,$M130-$A$15,BV$13)="",10^12,OFFSET(PLE!$G$15,$M130-$A$15,BV$13)))</f>
        <v>1000000000000</v>
      </c>
      <c r="BW130" s="172">
        <f ca="1">IF(OR($D130&lt;&gt;"Serviço",AND(AUTOEVENTO="Manual",$M130=$A$15),$M130&gt;(ROW(PLE.lastrow)-ROW(PLE.firstrow))),0,
           IF(OFFSET(PLE!$G$15,$M130-$A$15,BW$13)="",10^12,OFFSET(PLE!$G$15,$M130-$A$15,BW$13)))</f>
        <v>1000000000000</v>
      </c>
      <c r="BX130" s="172">
        <f ca="1">IF(OR($D130&lt;&gt;"Serviço",AND(AUTOEVENTO="Manual",$M130=$A$15),$M130&gt;(ROW(PLE.lastrow)-ROW(PLE.firstrow))),0,
           IF(OFFSET(PLE!$G$15,$M130-$A$15,BX$13)="",10^12,OFFSET(PLE!$G$15,$M130-$A$15,BX$13)))</f>
        <v>1000000000000</v>
      </c>
      <c r="BY130" s="172">
        <f ca="1">IF(OR($D130&lt;&gt;"Serviço",AND(AUTOEVENTO="Manual",$M130=$A$15),$M130&gt;(ROW(PLE.lastrow)-ROW(PLE.firstrow))),0,
           IF(OFFSET(PLE!$G$15,$M130-$A$15,BY$13)="",10^12,OFFSET(PLE!$G$15,$M130-$A$15,BY$13)))</f>
        <v>1000000000000</v>
      </c>
      <c r="BZ130" s="172">
        <f ca="1">IF(OR($D130&lt;&gt;"Serviço",AND(AUTOEVENTO="Manual",$M130=$A$15),$M130&gt;(ROW(PLE.lastrow)-ROW(PLE.firstrow))),0,
           IF(OFFSET(PLE!$G$15,$M130-$A$15,BZ$13)="",10^12,OFFSET(PLE!$G$15,$M130-$A$15,BZ$13)))</f>
        <v>1000000000000</v>
      </c>
      <c r="CA130" s="172">
        <f ca="1">IF(OR($D130&lt;&gt;"Serviço",AND(AUTOEVENTO="Manual",$M130=$A$15),$M130&gt;(ROW(PLE.lastrow)-ROW(PLE.firstrow))),0,
           IF(OFFSET(PLE!$G$15,$M130-$A$15,CA$13)="",10^12,OFFSET(PLE!$G$15,$M130-$A$15,CA$13)))</f>
        <v>1000000000000</v>
      </c>
      <c r="CB130" s="172">
        <f ca="1">IF(OR($D130&lt;&gt;"Serviço",AND(AUTOEVENTO="Manual",$M130=$A$15),$M130&gt;(ROW(PLE.lastrow)-ROW(PLE.firstrow))),0,
           IF(OFFSET(PLE!$G$15,$M130-$A$15,CB$13)="",10^12,OFFSET(PLE!$G$15,$M130-$A$15,CB$13)))</f>
        <v>1000000000000</v>
      </c>
      <c r="CC130" s="172">
        <f ca="1">IF(OR($D130&lt;&gt;"Serviço",AND(AUTOEVENTO="Manual",$M130=$A$15),$M130&gt;(ROW(PLE.lastrow)-ROW(PLE.firstrow))),0,
           IF(OFFSET(PLE!$G$15,$M130-$A$15,CC$13)="",10^12,OFFSET(PLE!$G$15,$M130-$A$15,CC$13)))</f>
        <v>1000000000000</v>
      </c>
      <c r="CD130" s="172">
        <f ca="1">IF(OR($D130&lt;&gt;"Serviço",AND(AUTOEVENTO="Manual",$M130=$A$15),$M130&gt;(ROW(PLE.lastrow)-ROW(PLE.firstrow))),0,
           IF(OFFSET(PLE!$G$15,$M130-$A$15,CD$13)="",10^12,OFFSET(PLE!$G$15,$M130-$A$15,CD$13)))</f>
        <v>1000000000000</v>
      </c>
      <c r="CE130" s="172">
        <f ca="1">IF(OR($D130&lt;&gt;"Serviço",AND(AUTOEVENTO="Manual",$M130=$A$15),$M130&gt;(ROW(PLE.lastrow)-ROW(PLE.firstrow))),0,
           IF(OFFSET(PLE!$G$15,$M130-$A$15,CE$13)="",10^12,OFFSET(PLE!$G$15,$M130-$A$15,CE$13)))</f>
        <v>1000000000000</v>
      </c>
      <c r="CF130" s="172">
        <f ca="1">IF(OR($D130&lt;&gt;"Serviço",AND(AUTOEVENTO="Manual",$M130=$A$15),$M130&gt;(ROW(PLE.lastrow)-ROW(PLE.firstrow))),0,
           IF(OFFSET(PLE!$G$15,$M130-$A$15,CF$13)="",10^12,OFFSET(PLE!$G$15,$M130-$A$15,CF$13)))</f>
        <v>1000000000000</v>
      </c>
      <c r="CG130" s="172">
        <f ca="1">IF(OR($D130&lt;&gt;"Serviço",AND(AUTOEVENTO="Manual",$M130=$A$15),$M130&gt;(ROW(PLE.lastrow)-ROW(PLE.firstrow))),0,
           IF(OFFSET(PLE!$G$15,$M130-$A$15,CG$13)="",10^12,OFFSET(PLE!$G$15,$M130-$A$15,CG$13)))</f>
        <v>1000000000000</v>
      </c>
      <c r="CH130" s="172">
        <f ca="1">IF(OR($D130&lt;&gt;"Serviço",AND(AUTOEVENTO="Manual",$M130=$A$15),$M130&gt;(ROW(PLE.lastrow)-ROW(PLE.firstrow))),0,
           IF(OFFSET(PLE!$G$15,$M130-$A$15,CH$13)="",10^12,OFFSET(PLE!$G$15,$M130-$A$15,CH$13)))</f>
        <v>1000000000000</v>
      </c>
      <c r="CI130" s="172">
        <f ca="1">IF(OR($D130&lt;&gt;"Serviço",AND(AUTOEVENTO="Manual",$M130=$A$15),$M130&gt;(ROW(PLE.lastrow)-ROW(PLE.firstrow))),0,
           IF(OFFSET(PLE!$G$15,$M130-$A$15,CI$13)="",10^12,OFFSET(PLE!$G$15,$M130-$A$15,CI$13)))</f>
        <v>1000000000000</v>
      </c>
      <c r="CJ130" s="172">
        <f ca="1">IF(OR($D130&lt;&gt;"Serviço",AND(AUTOEVENTO="Manual",$M130=$A$15),$M130&gt;(ROW(PLE.lastrow)-ROW(PLE.firstrow))),0,
           IF(OFFSET(PLE!$G$15,$M130-$A$15,CJ$13)="",10^12,OFFSET(PLE!$G$15,$M130-$A$15,CJ$13)))</f>
        <v>1000000000000</v>
      </c>
      <c r="CK130" s="172">
        <f ca="1">IF(OR($D130&lt;&gt;"Serviço",AND(AUTOEVENTO="Manual",$M130=$A$15),$M130&gt;(ROW(PLE.lastrow)-ROW(PLE.firstrow))),0,
           IF(OFFSET(PLE!$G$15,$M130-$A$15,CK$13)="",10^12,OFFSET(PLE!$G$15,$M130-$A$15,CK$13)))</f>
        <v>1000000000000</v>
      </c>
      <c r="CL130" s="172">
        <f ca="1">IF(OR($D130&lt;&gt;"Serviço",AND(AUTOEVENTO="Manual",$M130=$A$15),$M130&gt;(ROW(PLE.lastrow)-ROW(PLE.firstrow))),0,
           IF(OFFSET(PLE!$G$15,$M130-$A$15,CL$13)="",10^12,OFFSET(PLE!$G$15,$M130-$A$15,CL$13)))</f>
        <v>1000000000000</v>
      </c>
      <c r="CM130" s="172">
        <f ca="1">IF(OR($D130&lt;&gt;"Serviço",AND(AUTOEVENTO="Manual",$M130=$A$15),$M130&gt;(ROW(PLE.lastrow)-ROW(PLE.firstrow))),0,
           IF(OFFSET(PLE!$G$15,$M130-$A$15,CM$13)="",10^12,OFFSET(PLE!$G$15,$M130-$A$15,CM$13)))</f>
        <v>1000000000000</v>
      </c>
    </row>
    <row r="131" spans="1:91" ht="38.25" x14ac:dyDescent="0.2">
      <c r="A131" s="7">
        <f t="shared" ca="1" si="11"/>
        <v>4</v>
      </c>
      <c r="B131" s="7" t="str">
        <f ca="1">OFFSET(ORÇAMENTO!C$15,ROW(B131)-ROW(B$15),0)</f>
        <v>S</v>
      </c>
      <c r="C131" s="7" t="str">
        <f ca="1">OFFSET(ORÇAMENTO!L$15,ROW(C131)-ROW(C$15),0)</f>
        <v>F</v>
      </c>
      <c r="D131" s="116" t="str">
        <f ca="1">OFFSET(ORÇAMENTO!N$15,ROW(D131)-ROW(D$15),0)</f>
        <v>Serviço</v>
      </c>
      <c r="E131" s="117" t="str">
        <f ca="1">OFFSET(ORÇAMENTO!O$15,ROW(E131)-ROW(E$15),0)</f>
        <v>1.5.2.4.2.</v>
      </c>
      <c r="F131" s="163" t="str">
        <f ca="1">OFFSET(ORÇAMENTO!R$15,ROW(F131)-ROW(F$15),0)</f>
        <v>LANÇAMENTO COM USO DE BOMBA, ADENSAMENTO E ACABAMENTO DE CONCRETO EM ESTRUTURAS. AF_02/2022</v>
      </c>
      <c r="G131" s="164" t="str">
        <f ca="1">IF($D131&lt;&gt;"Serviço","",OFFSET(ORÇAMENTO!S$15,ROW(G131)-ROW(G$15),0))</f>
        <v>M3</v>
      </c>
      <c r="H131" s="122" cm="1">
        <f t="array" aca="1" ref="H131" ca="1">IF($D131&lt;&gt;"Serviço",0,IF(ACOMPANHAMENTO="BM",ROUND(OFFSET(ORÇAMENTO!AJ$15,ROW(H131)-ROW(H$15),0),15-13*ORÇAMENTO!$AF$7),SUMPRODUCT(($Q$1:$AI$1=1)*ROUND($Q131:$AI131,15-13*ORÇAMENTO!$AF$7))))</f>
        <v>47.87</v>
      </c>
      <c r="I131" s="468" t="s">
        <v>1327</v>
      </c>
      <c r="J131" s="640" t="str" cm="1">
        <f t="array" aca="1" ref="J131" ca="1">IF(OR(B131&lt;&gt;"S",CÁLCULO.FrentesPreenchidas=0),"",IF(AND(ACOMPANHAMENTO="PLE",AUTOEVENTO="Manual",OR(H131&gt;0,ORÇAMENTO!AC131="QUANT."),OR(K131="",M131=0,N131="")),"►E",IF(AND(ACOMPANHAMENTO="PLE",ORÇAMENTO!AC131="QUANT."),"►Q",IF(AND(ACOMPANHAMENTO="PLE",H131&lt;&gt;SUMPRODUCT(($Q$1:$AI$1=1)*ROUND(Q131:AI131,15))),"►S",IF(AND(COUNTIF($P$11:$AI$11,"▼")=0,H131&gt;0,I131=""),"◄M","")))))</f>
        <v/>
      </c>
      <c r="K131" s="641" t="s">
        <v>1389</v>
      </c>
      <c r="L131" s="165" t="s">
        <v>764</v>
      </c>
      <c r="M131" s="166">
        <f ca="1">IF($D131&lt;&gt;"Serviço","",
          IF(AUTOEVENTO="manual",$A131,
                IF(ISERROR(MATCH($A131,$A$15:OFFSET($A131,-1,0),0)),MAX($M$15:OFFSET(M131,-1,0))+1,
                      INDEX($M$15:OFFSET(M131,-1,0),MATCH($A131,$A$15:OFFSET($A131,-1,0),0)))))</f>
        <v>4</v>
      </c>
      <c r="N131" s="167" t="str">
        <f ca="1">IF($D131&lt;&gt;"Serviço","",
         IF(AUTOEVENTO="Manual",
                IF($A131=0,"&lt;-- defina o número do agrupador",
                       OFFSET(EVENTOS!$D$15,$A131-$A$15,0)),
                OFFSET($F$15,$A131,0)))</f>
        <v>Estruturas de Concreto</v>
      </c>
      <c r="O131" s="168"/>
      <c r="Q131" s="168"/>
      <c r="R131" s="169"/>
      <c r="S131" s="169"/>
      <c r="T131" s="169"/>
      <c r="U131" s="169">
        <f>U130</f>
        <v>47.87</v>
      </c>
      <c r="V131" s="169"/>
      <c r="W131" s="169"/>
      <c r="X131" s="169"/>
      <c r="Y131" s="169"/>
      <c r="Z131" s="170"/>
      <c r="AA131" s="169"/>
      <c r="AB131" s="169"/>
      <c r="AC131" s="169"/>
      <c r="AD131" s="169"/>
      <c r="AE131" s="169"/>
      <c r="AF131" s="169"/>
      <c r="AG131" s="169"/>
      <c r="AH131" s="170"/>
      <c r="AJ131" s="453">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0</v>
      </c>
      <c r="AK131" s="453">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0</v>
      </c>
      <c r="AL131" s="453">
        <f ca="1">IF(AND($D131="Serviço",AL$12&lt;&gt;0,$H131&gt;0,OR(AUTOEVENTO&lt;&gt;"manual",$M131&lt;&gt;$A$15)),
        IF(Import.TipoArredondamento&lt;&gt;"TransfereGOV",
              ROUND(OFFSET($P131,0,AL$13),15-13*ORÇAMENTO!$AF$7)/$H131*OFFSET(ORÇAMENTO!$X$15,ROW(AL131)-ROW(AL$15),0),
              ROUND(ROUND(OFFSET($P131,0,AL$13),15-13*ORÇAMENTO!$AF$7)*OFFSET(ORÇAMENTO!$W$15,ROW(AL131)-ROW(AL$15),0),15-13*ORÇAMENTO!$AF$11)),
         0)</f>
        <v>0</v>
      </c>
      <c r="AM131" s="453">
        <f ca="1">IF(AND($D131="Serviço",AM$12&lt;&gt;0,$H131&gt;0,OR(AUTOEVENTO&lt;&gt;"manual",$M131&lt;&gt;$A$15)),
        IF(Import.TipoArredondamento&lt;&gt;"TransfereGOV",
              ROUND(OFFSET($P131,0,AM$13),15-13*ORÇAMENTO!$AF$7)/$H131*OFFSET(ORÇAMENTO!$X$15,ROW(AM131)-ROW(AM$15),0),
              ROUND(ROUND(OFFSET($P131,0,AM$13),15-13*ORÇAMENTO!$AF$7)*OFFSET(ORÇAMENTO!$W$15,ROW(AM131)-ROW(AM$15),0),15-13*ORÇAMENTO!$AF$11)),
         0)</f>
        <v>0</v>
      </c>
      <c r="AN131" s="453">
        <f ca="1">IF(AND($D131="Serviço",AN$12&lt;&gt;0,$H131&gt;0,OR(AUTOEVENTO&lt;&gt;"manual",$M131&lt;&gt;$A$15)),
        IF(Import.TipoArredondamento&lt;&gt;"TransfereGOV",
              ROUND(OFFSET($P131,0,AN$13),15-13*ORÇAMENTO!$AF$7)/$H131*OFFSET(ORÇAMENTO!$X$15,ROW(AN131)-ROW(AN$15),0),
              ROUND(ROUND(OFFSET($P131,0,AN$13),15-13*ORÇAMENTO!$AF$7)*OFFSET(ORÇAMENTO!$W$15,ROW(AN131)-ROW(AN$15),0),15-13*ORÇAMENTO!$AF$11)),
         0)</f>
        <v>0</v>
      </c>
      <c r="AO131" s="453">
        <f ca="1">IF(AND($D131="Serviço",AO$12&lt;&gt;0,$H131&gt;0,OR(AUTOEVENTO&lt;&gt;"manual",$M131&lt;&gt;$A$15)),
        IF(Import.TipoArredondamento&lt;&gt;"TransfereGOV",
              ROUND(OFFSET($P131,0,AO$13),15-13*ORÇAMENTO!$AF$7)/$H131*OFFSET(ORÇAMENTO!$X$15,ROW(AO131)-ROW(AO$15),0),
              ROUND(ROUND(OFFSET($P131,0,AO$13),15-13*ORÇAMENTO!$AF$7)*OFFSET(ORÇAMENTO!$W$15,ROW(AO131)-ROW(AO$15),0),15-13*ORÇAMENTO!$AF$11)),
         0)</f>
        <v>0</v>
      </c>
      <c r="AP131" s="453">
        <f ca="1">IF(AND($D131="Serviço",AP$12&lt;&gt;0,$H131&gt;0,OR(AUTOEVENTO&lt;&gt;"manual",$M131&lt;&gt;$A$15)),
        IF(Import.TipoArredondamento&lt;&gt;"TransfereGOV",
              ROUND(OFFSET($P131,0,AP$13),15-13*ORÇAMENTO!$AF$7)/$H131*OFFSET(ORÇAMENTO!$X$15,ROW(AP131)-ROW(AP$15),0),
              ROUND(ROUND(OFFSET($P131,0,AP$13),15-13*ORÇAMENTO!$AF$7)*OFFSET(ORÇAMENTO!$W$15,ROW(AP131)-ROW(AP$15),0),15-13*ORÇAMENTO!$AF$11)),
         0)</f>
        <v>0</v>
      </c>
      <c r="AQ131" s="453">
        <f ca="1">IF(AND($D131="Serviço",AQ$12&lt;&gt;0,$H131&gt;0,OR(AUTOEVENTO&lt;&gt;"manual",$M131&lt;&gt;$A$15)),
        IF(Import.TipoArredondamento&lt;&gt;"TransfereGOV",
              ROUND(OFFSET($P131,0,AQ$13),15-13*ORÇAMENTO!$AF$7)/$H131*OFFSET(ORÇAMENTO!$X$15,ROW(AQ131)-ROW(AQ$15),0),
              ROUND(ROUND(OFFSET($P131,0,AQ$13),15-13*ORÇAMENTO!$AF$7)*OFFSET(ORÇAMENTO!$W$15,ROW(AQ131)-ROW(AQ$15),0),15-13*ORÇAMENTO!$AF$11)),
         0)</f>
        <v>0</v>
      </c>
      <c r="AR131" s="453">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3">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3">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3">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3">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3">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3">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3">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3">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3">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C131" s="171">
        <f ca="1">IF(OR($D131&lt;&gt;"Serviço",AND(AUTOEVENTO="Manual",$M131=$A$15)),0,
         IF(OFFSET(CRONOPLE!$F$15,$M131-$A$15,BC$13)=0,10^12,OFFSET(CRONOPLE!$F$15,$M131-$A$15,BC$13)))</f>
        <v>1</v>
      </c>
      <c r="BD131" s="171">
        <f ca="1">IF(OR($D131&lt;&gt;"Serviço",AND(AUTOEVENTO="Manual",$M131=$A$15)),0,
         IF(OFFSET(CRONOPLE!$F$15,$M131-$A$15,BD$13)=0,10^12,OFFSET(CRONOPLE!$F$15,$M131-$A$15,BD$13)))</f>
        <v>2</v>
      </c>
      <c r="BE131" s="171">
        <f ca="1">IF(OR($D131&lt;&gt;"Serviço",AND(AUTOEVENTO="Manual",$M131=$A$15)),0,
         IF(OFFSET(CRONOPLE!$F$15,$M131-$A$15,BE$13)=0,10^12,OFFSET(CRONOPLE!$F$15,$M131-$A$15,BE$13)))</f>
        <v>3</v>
      </c>
      <c r="BF131" s="171">
        <f ca="1">IF(OR($D131&lt;&gt;"Serviço",AND(AUTOEVENTO="Manual",$M131=$A$15)),0,
         IF(OFFSET(CRONOPLE!$F$15,$M131-$A$15,BF$13)=0,10^12,OFFSET(CRONOPLE!$F$15,$M131-$A$15,BF$13)))</f>
        <v>4</v>
      </c>
      <c r="BG131" s="171">
        <f ca="1">IF(OR($D131&lt;&gt;"Serviço",AND(AUTOEVENTO="Manual",$M131=$A$15)),0,
         IF(OFFSET(CRONOPLE!$F$15,$M131-$A$15,BG$13)=0,10^12,OFFSET(CRONOPLE!$F$15,$M131-$A$15,BG$13)))</f>
        <v>5</v>
      </c>
      <c r="BH131" s="171">
        <f ca="1">IF(OR($D131&lt;&gt;"Serviço",AND(AUTOEVENTO="Manual",$M131=$A$15)),0,
         IF(OFFSET(CRONOPLE!$F$15,$M131-$A$15,BH$13)=0,10^12,OFFSET(CRONOPLE!$F$15,$M131-$A$15,BH$13)))</f>
        <v>6</v>
      </c>
      <c r="BI131" s="171">
        <f ca="1">IF(OR($D131&lt;&gt;"Serviço",AND(AUTOEVENTO="Manual",$M131=$A$15)),0,
         IF(OFFSET(CRONOPLE!$F$15,$M131-$A$15,BI$13)=0,10^12,OFFSET(CRONOPLE!$F$15,$M131-$A$15,BI$13)))</f>
        <v>7</v>
      </c>
      <c r="BJ131" s="171">
        <f ca="1">IF(OR($D131&lt;&gt;"Serviço",AND(AUTOEVENTO="Manual",$M131=$A$15)),0,
         IF(OFFSET(CRONOPLE!$F$15,$M131-$A$15,BJ$13)=0,10^12,OFFSET(CRONOPLE!$F$15,$M131-$A$15,BJ$13)))</f>
        <v>8</v>
      </c>
      <c r="BK131" s="171">
        <f ca="1">IF(OR($D131&lt;&gt;"Serviço",AND(AUTOEVENTO="Manual",$M131=$A$15)),0,
         IF(OFFSET(CRONOPLE!$F$15,$M131-$A$15,BK$13)=0,10^12,OFFSET(CRONOPLE!$F$15,$M131-$A$15,BK$13)))</f>
        <v>9</v>
      </c>
      <c r="BL131" s="171">
        <f ca="1">IF(OR($D131&lt;&gt;"Serviço",AND(AUTOEVENTO="Manual",$M131=$A$15)),0,
         IF(OFFSET(CRONOPLE!$F$15,$M131-$A$15,BL$13)=0,10^12,OFFSET(CRONOPLE!$F$15,$M131-$A$15,BL$13)))</f>
        <v>10</v>
      </c>
      <c r="BM131" s="171">
        <f ca="1">IF(OR($D131&lt;&gt;"Serviço",AND(AUTOEVENTO="Manual",$M131=$A$15)),0,
         IF(OFFSET(CRONOPLE!$F$15,$M131-$A$15,BM$13)=0,10^12,OFFSET(CRONOPLE!$F$15,$M131-$A$15,BM$13)))</f>
        <v>1000000000000</v>
      </c>
      <c r="BN131" s="171">
        <f ca="1">IF(OR($D131&lt;&gt;"Serviço",AND(AUTOEVENTO="Manual",$M131=$A$15)),0,
         IF(OFFSET(CRONOPLE!$F$15,$M131-$A$15,BN$13)=0,10^12,OFFSET(CRONOPLE!$F$15,$M131-$A$15,BN$13)))</f>
        <v>1000000000000</v>
      </c>
      <c r="BO131" s="171">
        <f ca="1">IF(OR($D131&lt;&gt;"Serviço",AND(AUTOEVENTO="Manual",$M131=$A$15)),0,
         IF(OFFSET(CRONOPLE!$F$15,$M131-$A$15,BO$13)=0,10^12,OFFSET(CRONOPLE!$F$15,$M131-$A$15,BO$13)))</f>
        <v>1000000000000</v>
      </c>
      <c r="BP131" s="171">
        <f ca="1">IF(OR($D131&lt;&gt;"Serviço",AND(AUTOEVENTO="Manual",$M131=$A$15)),0,
         IF(OFFSET(CRONOPLE!$F$15,$M131-$A$15,BP$13)=0,10^12,OFFSET(CRONOPLE!$F$15,$M131-$A$15,BP$13)))</f>
        <v>1000000000000</v>
      </c>
      <c r="BQ131" s="171">
        <f ca="1">IF(OR($D131&lt;&gt;"Serviço",AND(AUTOEVENTO="Manual",$M131=$A$15)),0,
         IF(OFFSET(CRONOPLE!$F$15,$M131-$A$15,BQ$13)=0,10^12,OFFSET(CRONOPLE!$F$15,$M131-$A$15,BQ$13)))</f>
        <v>1000000000000</v>
      </c>
      <c r="BR131" s="171">
        <f ca="1">IF(OR($D131&lt;&gt;"Serviço",AND(AUTOEVENTO="Manual",$M131=$A$15)),0,
         IF(OFFSET(CRONOPLE!$F$15,$M131-$A$15,BR$13)=0,10^12,OFFSET(CRONOPLE!$F$15,$M131-$A$15,BR$13)))</f>
        <v>1000000000000</v>
      </c>
      <c r="BS131" s="171">
        <f ca="1">IF(OR($D131&lt;&gt;"Serviço",AND(AUTOEVENTO="Manual",$M131=$A$15)),0,
         IF(OFFSET(CRONOPLE!$F$15,$M131-$A$15,BS$13)=0,10^12,OFFSET(CRONOPLE!$F$15,$M131-$A$15,BS$13)))</f>
        <v>1000000000000</v>
      </c>
      <c r="BT131" s="171">
        <f ca="1">IF(OR($D131&lt;&gt;"Serviço",AND(AUTOEVENTO="Manual",$M131=$A$15)),0,
         IF(OFFSET(CRONOPLE!$F$15,$M131-$A$15,BT$13)=0,10^12,OFFSET(CRONOPLE!$F$15,$M131-$A$15,BT$13)))</f>
        <v>1000000000000</v>
      </c>
      <c r="BV131" s="172">
        <f ca="1">IF(OR($D131&lt;&gt;"Serviço",AND(AUTOEVENTO="Manual",$M131=$A$15),$M131&gt;(ROW(PLE.lastrow)-ROW(PLE.firstrow))),0,
           IF(OFFSET(PLE!$G$15,$M131-$A$15,BV$13)="",10^12,OFFSET(PLE!$G$15,$M131-$A$15,BV$13)))</f>
        <v>1000000000000</v>
      </c>
      <c r="BW131" s="172">
        <f ca="1">IF(OR($D131&lt;&gt;"Serviço",AND(AUTOEVENTO="Manual",$M131=$A$15),$M131&gt;(ROW(PLE.lastrow)-ROW(PLE.firstrow))),0,
           IF(OFFSET(PLE!$G$15,$M131-$A$15,BW$13)="",10^12,OFFSET(PLE!$G$15,$M131-$A$15,BW$13)))</f>
        <v>1000000000000</v>
      </c>
      <c r="BX131" s="172">
        <f ca="1">IF(OR($D131&lt;&gt;"Serviço",AND(AUTOEVENTO="Manual",$M131=$A$15),$M131&gt;(ROW(PLE.lastrow)-ROW(PLE.firstrow))),0,
           IF(OFFSET(PLE!$G$15,$M131-$A$15,BX$13)="",10^12,OFFSET(PLE!$G$15,$M131-$A$15,BX$13)))</f>
        <v>1000000000000</v>
      </c>
      <c r="BY131" s="172">
        <f ca="1">IF(OR($D131&lt;&gt;"Serviço",AND(AUTOEVENTO="Manual",$M131=$A$15),$M131&gt;(ROW(PLE.lastrow)-ROW(PLE.firstrow))),0,
           IF(OFFSET(PLE!$G$15,$M131-$A$15,BY$13)="",10^12,OFFSET(PLE!$G$15,$M131-$A$15,BY$13)))</f>
        <v>1000000000000</v>
      </c>
      <c r="BZ131" s="172">
        <f ca="1">IF(OR($D131&lt;&gt;"Serviço",AND(AUTOEVENTO="Manual",$M131=$A$15),$M131&gt;(ROW(PLE.lastrow)-ROW(PLE.firstrow))),0,
           IF(OFFSET(PLE!$G$15,$M131-$A$15,BZ$13)="",10^12,OFFSET(PLE!$G$15,$M131-$A$15,BZ$13)))</f>
        <v>1000000000000</v>
      </c>
      <c r="CA131" s="172">
        <f ca="1">IF(OR($D131&lt;&gt;"Serviço",AND(AUTOEVENTO="Manual",$M131=$A$15),$M131&gt;(ROW(PLE.lastrow)-ROW(PLE.firstrow))),0,
           IF(OFFSET(PLE!$G$15,$M131-$A$15,CA$13)="",10^12,OFFSET(PLE!$G$15,$M131-$A$15,CA$13)))</f>
        <v>1000000000000</v>
      </c>
      <c r="CB131" s="172">
        <f ca="1">IF(OR($D131&lt;&gt;"Serviço",AND(AUTOEVENTO="Manual",$M131=$A$15),$M131&gt;(ROW(PLE.lastrow)-ROW(PLE.firstrow))),0,
           IF(OFFSET(PLE!$G$15,$M131-$A$15,CB$13)="",10^12,OFFSET(PLE!$G$15,$M131-$A$15,CB$13)))</f>
        <v>1000000000000</v>
      </c>
      <c r="CC131" s="172">
        <f ca="1">IF(OR($D131&lt;&gt;"Serviço",AND(AUTOEVENTO="Manual",$M131=$A$15),$M131&gt;(ROW(PLE.lastrow)-ROW(PLE.firstrow))),0,
           IF(OFFSET(PLE!$G$15,$M131-$A$15,CC$13)="",10^12,OFFSET(PLE!$G$15,$M131-$A$15,CC$13)))</f>
        <v>1000000000000</v>
      </c>
      <c r="CD131" s="172">
        <f ca="1">IF(OR($D131&lt;&gt;"Serviço",AND(AUTOEVENTO="Manual",$M131=$A$15),$M131&gt;(ROW(PLE.lastrow)-ROW(PLE.firstrow))),0,
           IF(OFFSET(PLE!$G$15,$M131-$A$15,CD$13)="",10^12,OFFSET(PLE!$G$15,$M131-$A$15,CD$13)))</f>
        <v>1000000000000</v>
      </c>
      <c r="CE131" s="172">
        <f ca="1">IF(OR($D131&lt;&gt;"Serviço",AND(AUTOEVENTO="Manual",$M131=$A$15),$M131&gt;(ROW(PLE.lastrow)-ROW(PLE.firstrow))),0,
           IF(OFFSET(PLE!$G$15,$M131-$A$15,CE$13)="",10^12,OFFSET(PLE!$G$15,$M131-$A$15,CE$13)))</f>
        <v>1000000000000</v>
      </c>
      <c r="CF131" s="172">
        <f ca="1">IF(OR($D131&lt;&gt;"Serviço",AND(AUTOEVENTO="Manual",$M131=$A$15),$M131&gt;(ROW(PLE.lastrow)-ROW(PLE.firstrow))),0,
           IF(OFFSET(PLE!$G$15,$M131-$A$15,CF$13)="",10^12,OFFSET(PLE!$G$15,$M131-$A$15,CF$13)))</f>
        <v>1000000000000</v>
      </c>
      <c r="CG131" s="172">
        <f ca="1">IF(OR($D131&lt;&gt;"Serviço",AND(AUTOEVENTO="Manual",$M131=$A$15),$M131&gt;(ROW(PLE.lastrow)-ROW(PLE.firstrow))),0,
           IF(OFFSET(PLE!$G$15,$M131-$A$15,CG$13)="",10^12,OFFSET(PLE!$G$15,$M131-$A$15,CG$13)))</f>
        <v>1000000000000</v>
      </c>
      <c r="CH131" s="172">
        <f ca="1">IF(OR($D131&lt;&gt;"Serviço",AND(AUTOEVENTO="Manual",$M131=$A$15),$M131&gt;(ROW(PLE.lastrow)-ROW(PLE.firstrow))),0,
           IF(OFFSET(PLE!$G$15,$M131-$A$15,CH$13)="",10^12,OFFSET(PLE!$G$15,$M131-$A$15,CH$13)))</f>
        <v>1000000000000</v>
      </c>
      <c r="CI131" s="172">
        <f ca="1">IF(OR($D131&lt;&gt;"Serviço",AND(AUTOEVENTO="Manual",$M131=$A$15),$M131&gt;(ROW(PLE.lastrow)-ROW(PLE.firstrow))),0,
           IF(OFFSET(PLE!$G$15,$M131-$A$15,CI$13)="",10^12,OFFSET(PLE!$G$15,$M131-$A$15,CI$13)))</f>
        <v>1000000000000</v>
      </c>
      <c r="CJ131" s="172">
        <f ca="1">IF(OR($D131&lt;&gt;"Serviço",AND(AUTOEVENTO="Manual",$M131=$A$15),$M131&gt;(ROW(PLE.lastrow)-ROW(PLE.firstrow))),0,
           IF(OFFSET(PLE!$G$15,$M131-$A$15,CJ$13)="",10^12,OFFSET(PLE!$G$15,$M131-$A$15,CJ$13)))</f>
        <v>1000000000000</v>
      </c>
      <c r="CK131" s="172">
        <f ca="1">IF(OR($D131&lt;&gt;"Serviço",AND(AUTOEVENTO="Manual",$M131=$A$15),$M131&gt;(ROW(PLE.lastrow)-ROW(PLE.firstrow))),0,
           IF(OFFSET(PLE!$G$15,$M131-$A$15,CK$13)="",10^12,OFFSET(PLE!$G$15,$M131-$A$15,CK$13)))</f>
        <v>1000000000000</v>
      </c>
      <c r="CL131" s="172">
        <f ca="1">IF(OR($D131&lt;&gt;"Serviço",AND(AUTOEVENTO="Manual",$M131=$A$15),$M131&gt;(ROW(PLE.lastrow)-ROW(PLE.firstrow))),0,
           IF(OFFSET(PLE!$G$15,$M131-$A$15,CL$13)="",10^12,OFFSET(PLE!$G$15,$M131-$A$15,CL$13)))</f>
        <v>1000000000000</v>
      </c>
      <c r="CM131" s="172">
        <f ca="1">IF(OR($D131&lt;&gt;"Serviço",AND(AUTOEVENTO="Manual",$M131=$A$15),$M131&gt;(ROW(PLE.lastrow)-ROW(PLE.firstrow))),0,
           IF(OFFSET(PLE!$G$15,$M131-$A$15,CM$13)="",10^12,OFFSET(PLE!$G$15,$M131-$A$15,CM$13)))</f>
        <v>1000000000000</v>
      </c>
    </row>
    <row r="132" spans="1:91" ht="38.25" x14ac:dyDescent="0.2">
      <c r="A132" s="7">
        <f t="shared" ca="1" si="11"/>
        <v>4</v>
      </c>
      <c r="B132" s="7" t="str">
        <f ca="1">OFFSET(ORÇAMENTO!C$15,ROW(B132)-ROW(B$15),0)</f>
        <v>S</v>
      </c>
      <c r="C132" s="7" t="str">
        <f ca="1">OFFSET(ORÇAMENTO!L$15,ROW(C132)-ROW(C$15),0)</f>
        <v>F</v>
      </c>
      <c r="D132" s="116" t="str">
        <f ca="1">OFFSET(ORÇAMENTO!N$15,ROW(D132)-ROW(D$15),0)</f>
        <v>Serviço</v>
      </c>
      <c r="E132" s="117" t="str">
        <f ca="1">OFFSET(ORÇAMENTO!O$15,ROW(E132)-ROW(E$15),0)</f>
        <v>1.5.2.4.3.</v>
      </c>
      <c r="F132" s="163" t="str">
        <f ca="1">OFFSET(ORÇAMENTO!R$15,ROW(F132)-ROW(F$15),0)</f>
        <v>FÔRMAS DE COMPENSADO RESINADO 10 MM - USO GERAL - UTILIZAÇÃO DE 3 VEZES - CONFECÇÃO, INSTALAÇÃO E RETIRADA</v>
      </c>
      <c r="G132" s="164" t="str">
        <f ca="1">IF($D132&lt;&gt;"Serviço","",OFFSET(ORÇAMENTO!S$15,ROW(G132)-ROW(G$15),0))</f>
        <v>M2</v>
      </c>
      <c r="H132" s="122" cm="1">
        <f t="array" aca="1" ref="H132" ca="1">IF($D132&lt;&gt;"Serviço",0,IF(ACOMPANHAMENTO="BM",ROUND(OFFSET(ORÇAMENTO!AJ$15,ROW(H132)-ROW(H$15),0),15-13*ORÇAMENTO!$AF$7),SUMPRODUCT(($Q$1:$AI$1=1)*ROUND($Q132:$AI132,15-13*ORÇAMENTO!$AF$7))))</f>
        <v>450.4</v>
      </c>
      <c r="I132" s="468" t="s">
        <v>1327</v>
      </c>
      <c r="J132" s="640" t="str" cm="1">
        <f t="array" aca="1" ref="J132" ca="1">IF(OR(B132&lt;&gt;"S",CÁLCULO.FrentesPreenchidas=0),"",IF(AND(ACOMPANHAMENTO="PLE",AUTOEVENTO="Manual",OR(H132&gt;0,ORÇAMENTO!AC132="QUANT."),OR(K132="",M132=0,N132="")),"►E",IF(AND(ACOMPANHAMENTO="PLE",ORÇAMENTO!AC132="QUANT."),"►Q",IF(AND(ACOMPANHAMENTO="PLE",H132&lt;&gt;SUMPRODUCT(($Q$1:$AI$1=1)*ROUND(Q132:AI132,15))),"►S",IF(AND(COUNTIF($P$11:$AI$11,"▼")=0,H132&gt;0,I132=""),"◄M","")))))</f>
        <v/>
      </c>
      <c r="K132" s="641" t="s">
        <v>1389</v>
      </c>
      <c r="L132" s="165" t="s">
        <v>764</v>
      </c>
      <c r="M132" s="166">
        <f ca="1">IF($D132&lt;&gt;"Serviço","",
          IF(AUTOEVENTO="manual",$A132,
                IF(ISERROR(MATCH($A132,$A$15:OFFSET($A132,-1,0),0)),MAX($M$15:OFFSET(M132,-1,0))+1,
                      INDEX($M$15:OFFSET(M132,-1,0),MATCH($A132,$A$15:OFFSET($A132,-1,0),0)))))</f>
        <v>4</v>
      </c>
      <c r="N132" s="167" t="str">
        <f ca="1">IF($D132&lt;&gt;"Serviço","",
         IF(AUTOEVENTO="Manual",
                IF($A132=0,"&lt;-- defina o número do agrupador",
                       OFFSET(EVENTOS!$D$15,$A132-$A$15,0)),
                OFFSET($F$15,$A132,0)))</f>
        <v>Estruturas de Concreto</v>
      </c>
      <c r="O132" s="168"/>
      <c r="Q132" s="168"/>
      <c r="R132" s="169"/>
      <c r="S132" s="169"/>
      <c r="T132" s="169"/>
      <c r="U132" s="169">
        <v>450.4</v>
      </c>
      <c r="V132" s="169"/>
      <c r="W132" s="169"/>
      <c r="X132" s="169"/>
      <c r="Y132" s="169"/>
      <c r="Z132" s="170"/>
      <c r="AA132" s="169"/>
      <c r="AB132" s="169"/>
      <c r="AC132" s="169"/>
      <c r="AD132" s="169"/>
      <c r="AE132" s="169"/>
      <c r="AF132" s="169"/>
      <c r="AG132" s="169"/>
      <c r="AH132" s="170"/>
      <c r="AJ132" s="453">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0</v>
      </c>
      <c r="AK132" s="453">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0</v>
      </c>
      <c r="AL132" s="453">
        <f ca="1">IF(AND($D132="Serviço",AL$12&lt;&gt;0,$H132&gt;0,OR(AUTOEVENTO&lt;&gt;"manual",$M132&lt;&gt;$A$15)),
        IF(Import.TipoArredondamento&lt;&gt;"TransfereGOV",
              ROUND(OFFSET($P132,0,AL$13),15-13*ORÇAMENTO!$AF$7)/$H132*OFFSET(ORÇAMENTO!$X$15,ROW(AL132)-ROW(AL$15),0),
              ROUND(ROUND(OFFSET($P132,0,AL$13),15-13*ORÇAMENTO!$AF$7)*OFFSET(ORÇAMENTO!$W$15,ROW(AL132)-ROW(AL$15),0),15-13*ORÇAMENTO!$AF$11)),
         0)</f>
        <v>0</v>
      </c>
      <c r="AM132" s="453">
        <f ca="1">IF(AND($D132="Serviço",AM$12&lt;&gt;0,$H132&gt;0,OR(AUTOEVENTO&lt;&gt;"manual",$M132&lt;&gt;$A$15)),
        IF(Import.TipoArredondamento&lt;&gt;"TransfereGOV",
              ROUND(OFFSET($P132,0,AM$13),15-13*ORÇAMENTO!$AF$7)/$H132*OFFSET(ORÇAMENTO!$X$15,ROW(AM132)-ROW(AM$15),0),
              ROUND(ROUND(OFFSET($P132,0,AM$13),15-13*ORÇAMENTO!$AF$7)*OFFSET(ORÇAMENTO!$W$15,ROW(AM132)-ROW(AM$15),0),15-13*ORÇAMENTO!$AF$11)),
         0)</f>
        <v>0</v>
      </c>
      <c r="AN132" s="453">
        <f ca="1">IF(AND($D132="Serviço",AN$12&lt;&gt;0,$H132&gt;0,OR(AUTOEVENTO&lt;&gt;"manual",$M132&lt;&gt;$A$15)),
        IF(Import.TipoArredondamento&lt;&gt;"TransfereGOV",
              ROUND(OFFSET($P132,0,AN$13),15-13*ORÇAMENTO!$AF$7)/$H132*OFFSET(ORÇAMENTO!$X$15,ROW(AN132)-ROW(AN$15),0),
              ROUND(ROUND(OFFSET($P132,0,AN$13),15-13*ORÇAMENTO!$AF$7)*OFFSET(ORÇAMENTO!$W$15,ROW(AN132)-ROW(AN$15),0),15-13*ORÇAMENTO!$AF$11)),
         0)</f>
        <v>0</v>
      </c>
      <c r="AO132" s="453">
        <f ca="1">IF(AND($D132="Serviço",AO$12&lt;&gt;0,$H132&gt;0,OR(AUTOEVENTO&lt;&gt;"manual",$M132&lt;&gt;$A$15)),
        IF(Import.TipoArredondamento&lt;&gt;"TransfereGOV",
              ROUND(OFFSET($P132,0,AO$13),15-13*ORÇAMENTO!$AF$7)/$H132*OFFSET(ORÇAMENTO!$X$15,ROW(AO132)-ROW(AO$15),0),
              ROUND(ROUND(OFFSET($P132,0,AO$13),15-13*ORÇAMENTO!$AF$7)*OFFSET(ORÇAMENTO!$W$15,ROW(AO132)-ROW(AO$15),0),15-13*ORÇAMENTO!$AF$11)),
         0)</f>
        <v>0</v>
      </c>
      <c r="AP132" s="453">
        <f ca="1">IF(AND($D132="Serviço",AP$12&lt;&gt;0,$H132&gt;0,OR(AUTOEVENTO&lt;&gt;"manual",$M132&lt;&gt;$A$15)),
        IF(Import.TipoArredondamento&lt;&gt;"TransfereGOV",
              ROUND(OFFSET($P132,0,AP$13),15-13*ORÇAMENTO!$AF$7)/$H132*OFFSET(ORÇAMENTO!$X$15,ROW(AP132)-ROW(AP$15),0),
              ROUND(ROUND(OFFSET($P132,0,AP$13),15-13*ORÇAMENTO!$AF$7)*OFFSET(ORÇAMENTO!$W$15,ROW(AP132)-ROW(AP$15),0),15-13*ORÇAMENTO!$AF$11)),
         0)</f>
        <v>0</v>
      </c>
      <c r="AQ132" s="453">
        <f ca="1">IF(AND($D132="Serviço",AQ$12&lt;&gt;0,$H132&gt;0,OR(AUTOEVENTO&lt;&gt;"manual",$M132&lt;&gt;$A$15)),
        IF(Import.TipoArredondamento&lt;&gt;"TransfereGOV",
              ROUND(OFFSET($P132,0,AQ$13),15-13*ORÇAMENTO!$AF$7)/$H132*OFFSET(ORÇAMENTO!$X$15,ROW(AQ132)-ROW(AQ$15),0),
              ROUND(ROUND(OFFSET($P132,0,AQ$13),15-13*ORÇAMENTO!$AF$7)*OFFSET(ORÇAMENTO!$W$15,ROW(AQ132)-ROW(AQ$15),0),15-13*ORÇAMENTO!$AF$11)),
         0)</f>
        <v>0</v>
      </c>
      <c r="AR132" s="453">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3">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3">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3">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3">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3">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3">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3">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3">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3">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C132" s="171">
        <f ca="1">IF(OR($D132&lt;&gt;"Serviço",AND(AUTOEVENTO="Manual",$M132=$A$15)),0,
         IF(OFFSET(CRONOPLE!$F$15,$M132-$A$15,BC$13)=0,10^12,OFFSET(CRONOPLE!$F$15,$M132-$A$15,BC$13)))</f>
        <v>1</v>
      </c>
      <c r="BD132" s="171">
        <f ca="1">IF(OR($D132&lt;&gt;"Serviço",AND(AUTOEVENTO="Manual",$M132=$A$15)),0,
         IF(OFFSET(CRONOPLE!$F$15,$M132-$A$15,BD$13)=0,10^12,OFFSET(CRONOPLE!$F$15,$M132-$A$15,BD$13)))</f>
        <v>2</v>
      </c>
      <c r="BE132" s="171">
        <f ca="1">IF(OR($D132&lt;&gt;"Serviço",AND(AUTOEVENTO="Manual",$M132=$A$15)),0,
         IF(OFFSET(CRONOPLE!$F$15,$M132-$A$15,BE$13)=0,10^12,OFFSET(CRONOPLE!$F$15,$M132-$A$15,BE$13)))</f>
        <v>3</v>
      </c>
      <c r="BF132" s="171">
        <f ca="1">IF(OR($D132&lt;&gt;"Serviço",AND(AUTOEVENTO="Manual",$M132=$A$15)),0,
         IF(OFFSET(CRONOPLE!$F$15,$M132-$A$15,BF$13)=0,10^12,OFFSET(CRONOPLE!$F$15,$M132-$A$15,BF$13)))</f>
        <v>4</v>
      </c>
      <c r="BG132" s="171">
        <f ca="1">IF(OR($D132&lt;&gt;"Serviço",AND(AUTOEVENTO="Manual",$M132=$A$15)),0,
         IF(OFFSET(CRONOPLE!$F$15,$M132-$A$15,BG$13)=0,10^12,OFFSET(CRONOPLE!$F$15,$M132-$A$15,BG$13)))</f>
        <v>5</v>
      </c>
      <c r="BH132" s="171">
        <f ca="1">IF(OR($D132&lt;&gt;"Serviço",AND(AUTOEVENTO="Manual",$M132=$A$15)),0,
         IF(OFFSET(CRONOPLE!$F$15,$M132-$A$15,BH$13)=0,10^12,OFFSET(CRONOPLE!$F$15,$M132-$A$15,BH$13)))</f>
        <v>6</v>
      </c>
      <c r="BI132" s="171">
        <f ca="1">IF(OR($D132&lt;&gt;"Serviço",AND(AUTOEVENTO="Manual",$M132=$A$15)),0,
         IF(OFFSET(CRONOPLE!$F$15,$M132-$A$15,BI$13)=0,10^12,OFFSET(CRONOPLE!$F$15,$M132-$A$15,BI$13)))</f>
        <v>7</v>
      </c>
      <c r="BJ132" s="171">
        <f ca="1">IF(OR($D132&lt;&gt;"Serviço",AND(AUTOEVENTO="Manual",$M132=$A$15)),0,
         IF(OFFSET(CRONOPLE!$F$15,$M132-$A$15,BJ$13)=0,10^12,OFFSET(CRONOPLE!$F$15,$M132-$A$15,BJ$13)))</f>
        <v>8</v>
      </c>
      <c r="BK132" s="171">
        <f ca="1">IF(OR($D132&lt;&gt;"Serviço",AND(AUTOEVENTO="Manual",$M132=$A$15)),0,
         IF(OFFSET(CRONOPLE!$F$15,$M132-$A$15,BK$13)=0,10^12,OFFSET(CRONOPLE!$F$15,$M132-$A$15,BK$13)))</f>
        <v>9</v>
      </c>
      <c r="BL132" s="171">
        <f ca="1">IF(OR($D132&lt;&gt;"Serviço",AND(AUTOEVENTO="Manual",$M132=$A$15)),0,
         IF(OFFSET(CRONOPLE!$F$15,$M132-$A$15,BL$13)=0,10^12,OFFSET(CRONOPLE!$F$15,$M132-$A$15,BL$13)))</f>
        <v>10</v>
      </c>
      <c r="BM132" s="171">
        <f ca="1">IF(OR($D132&lt;&gt;"Serviço",AND(AUTOEVENTO="Manual",$M132=$A$15)),0,
         IF(OFFSET(CRONOPLE!$F$15,$M132-$A$15,BM$13)=0,10^12,OFFSET(CRONOPLE!$F$15,$M132-$A$15,BM$13)))</f>
        <v>1000000000000</v>
      </c>
      <c r="BN132" s="171">
        <f ca="1">IF(OR($D132&lt;&gt;"Serviço",AND(AUTOEVENTO="Manual",$M132=$A$15)),0,
         IF(OFFSET(CRONOPLE!$F$15,$M132-$A$15,BN$13)=0,10^12,OFFSET(CRONOPLE!$F$15,$M132-$A$15,BN$13)))</f>
        <v>1000000000000</v>
      </c>
      <c r="BO132" s="171">
        <f ca="1">IF(OR($D132&lt;&gt;"Serviço",AND(AUTOEVENTO="Manual",$M132=$A$15)),0,
         IF(OFFSET(CRONOPLE!$F$15,$M132-$A$15,BO$13)=0,10^12,OFFSET(CRONOPLE!$F$15,$M132-$A$15,BO$13)))</f>
        <v>1000000000000</v>
      </c>
      <c r="BP132" s="171">
        <f ca="1">IF(OR($D132&lt;&gt;"Serviço",AND(AUTOEVENTO="Manual",$M132=$A$15)),0,
         IF(OFFSET(CRONOPLE!$F$15,$M132-$A$15,BP$13)=0,10^12,OFFSET(CRONOPLE!$F$15,$M132-$A$15,BP$13)))</f>
        <v>1000000000000</v>
      </c>
      <c r="BQ132" s="171">
        <f ca="1">IF(OR($D132&lt;&gt;"Serviço",AND(AUTOEVENTO="Manual",$M132=$A$15)),0,
         IF(OFFSET(CRONOPLE!$F$15,$M132-$A$15,BQ$13)=0,10^12,OFFSET(CRONOPLE!$F$15,$M132-$A$15,BQ$13)))</f>
        <v>1000000000000</v>
      </c>
      <c r="BR132" s="171">
        <f ca="1">IF(OR($D132&lt;&gt;"Serviço",AND(AUTOEVENTO="Manual",$M132=$A$15)),0,
         IF(OFFSET(CRONOPLE!$F$15,$M132-$A$15,BR$13)=0,10^12,OFFSET(CRONOPLE!$F$15,$M132-$A$15,BR$13)))</f>
        <v>1000000000000</v>
      </c>
      <c r="BS132" s="171">
        <f ca="1">IF(OR($D132&lt;&gt;"Serviço",AND(AUTOEVENTO="Manual",$M132=$A$15)),0,
         IF(OFFSET(CRONOPLE!$F$15,$M132-$A$15,BS$13)=0,10^12,OFFSET(CRONOPLE!$F$15,$M132-$A$15,BS$13)))</f>
        <v>1000000000000</v>
      </c>
      <c r="BT132" s="171">
        <f ca="1">IF(OR($D132&lt;&gt;"Serviço",AND(AUTOEVENTO="Manual",$M132=$A$15)),0,
         IF(OFFSET(CRONOPLE!$F$15,$M132-$A$15,BT$13)=0,10^12,OFFSET(CRONOPLE!$F$15,$M132-$A$15,BT$13)))</f>
        <v>1000000000000</v>
      </c>
      <c r="BV132" s="172">
        <f ca="1">IF(OR($D132&lt;&gt;"Serviço",AND(AUTOEVENTO="Manual",$M132=$A$15),$M132&gt;(ROW(PLE.lastrow)-ROW(PLE.firstrow))),0,
           IF(OFFSET(PLE!$G$15,$M132-$A$15,BV$13)="",10^12,OFFSET(PLE!$G$15,$M132-$A$15,BV$13)))</f>
        <v>1000000000000</v>
      </c>
      <c r="BW132" s="172">
        <f ca="1">IF(OR($D132&lt;&gt;"Serviço",AND(AUTOEVENTO="Manual",$M132=$A$15),$M132&gt;(ROW(PLE.lastrow)-ROW(PLE.firstrow))),0,
           IF(OFFSET(PLE!$G$15,$M132-$A$15,BW$13)="",10^12,OFFSET(PLE!$G$15,$M132-$A$15,BW$13)))</f>
        <v>1000000000000</v>
      </c>
      <c r="BX132" s="172">
        <f ca="1">IF(OR($D132&lt;&gt;"Serviço",AND(AUTOEVENTO="Manual",$M132=$A$15),$M132&gt;(ROW(PLE.lastrow)-ROW(PLE.firstrow))),0,
           IF(OFFSET(PLE!$G$15,$M132-$A$15,BX$13)="",10^12,OFFSET(PLE!$G$15,$M132-$A$15,BX$13)))</f>
        <v>1000000000000</v>
      </c>
      <c r="BY132" s="172">
        <f ca="1">IF(OR($D132&lt;&gt;"Serviço",AND(AUTOEVENTO="Manual",$M132=$A$15),$M132&gt;(ROW(PLE.lastrow)-ROW(PLE.firstrow))),0,
           IF(OFFSET(PLE!$G$15,$M132-$A$15,BY$13)="",10^12,OFFSET(PLE!$G$15,$M132-$A$15,BY$13)))</f>
        <v>1000000000000</v>
      </c>
      <c r="BZ132" s="172">
        <f ca="1">IF(OR($D132&lt;&gt;"Serviço",AND(AUTOEVENTO="Manual",$M132=$A$15),$M132&gt;(ROW(PLE.lastrow)-ROW(PLE.firstrow))),0,
           IF(OFFSET(PLE!$G$15,$M132-$A$15,BZ$13)="",10^12,OFFSET(PLE!$G$15,$M132-$A$15,BZ$13)))</f>
        <v>1000000000000</v>
      </c>
      <c r="CA132" s="172">
        <f ca="1">IF(OR($D132&lt;&gt;"Serviço",AND(AUTOEVENTO="Manual",$M132=$A$15),$M132&gt;(ROW(PLE.lastrow)-ROW(PLE.firstrow))),0,
           IF(OFFSET(PLE!$G$15,$M132-$A$15,CA$13)="",10^12,OFFSET(PLE!$G$15,$M132-$A$15,CA$13)))</f>
        <v>1000000000000</v>
      </c>
      <c r="CB132" s="172">
        <f ca="1">IF(OR($D132&lt;&gt;"Serviço",AND(AUTOEVENTO="Manual",$M132=$A$15),$M132&gt;(ROW(PLE.lastrow)-ROW(PLE.firstrow))),0,
           IF(OFFSET(PLE!$G$15,$M132-$A$15,CB$13)="",10^12,OFFSET(PLE!$G$15,$M132-$A$15,CB$13)))</f>
        <v>1000000000000</v>
      </c>
      <c r="CC132" s="172">
        <f ca="1">IF(OR($D132&lt;&gt;"Serviço",AND(AUTOEVENTO="Manual",$M132=$A$15),$M132&gt;(ROW(PLE.lastrow)-ROW(PLE.firstrow))),0,
           IF(OFFSET(PLE!$G$15,$M132-$A$15,CC$13)="",10^12,OFFSET(PLE!$G$15,$M132-$A$15,CC$13)))</f>
        <v>1000000000000</v>
      </c>
      <c r="CD132" s="172">
        <f ca="1">IF(OR($D132&lt;&gt;"Serviço",AND(AUTOEVENTO="Manual",$M132=$A$15),$M132&gt;(ROW(PLE.lastrow)-ROW(PLE.firstrow))),0,
           IF(OFFSET(PLE!$G$15,$M132-$A$15,CD$13)="",10^12,OFFSET(PLE!$G$15,$M132-$A$15,CD$13)))</f>
        <v>1000000000000</v>
      </c>
      <c r="CE132" s="172">
        <f ca="1">IF(OR($D132&lt;&gt;"Serviço",AND(AUTOEVENTO="Manual",$M132=$A$15),$M132&gt;(ROW(PLE.lastrow)-ROW(PLE.firstrow))),0,
           IF(OFFSET(PLE!$G$15,$M132-$A$15,CE$13)="",10^12,OFFSET(PLE!$G$15,$M132-$A$15,CE$13)))</f>
        <v>1000000000000</v>
      </c>
      <c r="CF132" s="172">
        <f ca="1">IF(OR($D132&lt;&gt;"Serviço",AND(AUTOEVENTO="Manual",$M132=$A$15),$M132&gt;(ROW(PLE.lastrow)-ROW(PLE.firstrow))),0,
           IF(OFFSET(PLE!$G$15,$M132-$A$15,CF$13)="",10^12,OFFSET(PLE!$G$15,$M132-$A$15,CF$13)))</f>
        <v>1000000000000</v>
      </c>
      <c r="CG132" s="172">
        <f ca="1">IF(OR($D132&lt;&gt;"Serviço",AND(AUTOEVENTO="Manual",$M132=$A$15),$M132&gt;(ROW(PLE.lastrow)-ROW(PLE.firstrow))),0,
           IF(OFFSET(PLE!$G$15,$M132-$A$15,CG$13)="",10^12,OFFSET(PLE!$G$15,$M132-$A$15,CG$13)))</f>
        <v>1000000000000</v>
      </c>
      <c r="CH132" s="172">
        <f ca="1">IF(OR($D132&lt;&gt;"Serviço",AND(AUTOEVENTO="Manual",$M132=$A$15),$M132&gt;(ROW(PLE.lastrow)-ROW(PLE.firstrow))),0,
           IF(OFFSET(PLE!$G$15,$M132-$A$15,CH$13)="",10^12,OFFSET(PLE!$G$15,$M132-$A$15,CH$13)))</f>
        <v>1000000000000</v>
      </c>
      <c r="CI132" s="172">
        <f ca="1">IF(OR($D132&lt;&gt;"Serviço",AND(AUTOEVENTO="Manual",$M132=$A$15),$M132&gt;(ROW(PLE.lastrow)-ROW(PLE.firstrow))),0,
           IF(OFFSET(PLE!$G$15,$M132-$A$15,CI$13)="",10^12,OFFSET(PLE!$G$15,$M132-$A$15,CI$13)))</f>
        <v>1000000000000</v>
      </c>
      <c r="CJ132" s="172">
        <f ca="1">IF(OR($D132&lt;&gt;"Serviço",AND(AUTOEVENTO="Manual",$M132=$A$15),$M132&gt;(ROW(PLE.lastrow)-ROW(PLE.firstrow))),0,
           IF(OFFSET(PLE!$G$15,$M132-$A$15,CJ$13)="",10^12,OFFSET(PLE!$G$15,$M132-$A$15,CJ$13)))</f>
        <v>1000000000000</v>
      </c>
      <c r="CK132" s="172">
        <f ca="1">IF(OR($D132&lt;&gt;"Serviço",AND(AUTOEVENTO="Manual",$M132=$A$15),$M132&gt;(ROW(PLE.lastrow)-ROW(PLE.firstrow))),0,
           IF(OFFSET(PLE!$G$15,$M132-$A$15,CK$13)="",10^12,OFFSET(PLE!$G$15,$M132-$A$15,CK$13)))</f>
        <v>1000000000000</v>
      </c>
      <c r="CL132" s="172">
        <f ca="1">IF(OR($D132&lt;&gt;"Serviço",AND(AUTOEVENTO="Manual",$M132=$A$15),$M132&gt;(ROW(PLE.lastrow)-ROW(PLE.firstrow))),0,
           IF(OFFSET(PLE!$G$15,$M132-$A$15,CL$13)="",10^12,OFFSET(PLE!$G$15,$M132-$A$15,CL$13)))</f>
        <v>1000000000000</v>
      </c>
      <c r="CM132" s="172">
        <f ca="1">IF(OR($D132&lt;&gt;"Serviço",AND(AUTOEVENTO="Manual",$M132=$A$15),$M132&gt;(ROW(PLE.lastrow)-ROW(PLE.firstrow))),0,
           IF(OFFSET(PLE!$G$15,$M132-$A$15,CM$13)="",10^12,OFFSET(PLE!$G$15,$M132-$A$15,CM$13)))</f>
        <v>1000000000000</v>
      </c>
    </row>
    <row r="133" spans="1:91" ht="38.25" x14ac:dyDescent="0.2">
      <c r="A133" s="7">
        <f t="shared" ca="1" si="11"/>
        <v>4</v>
      </c>
      <c r="B133" s="7" t="str">
        <f ca="1">OFFSET(ORÇAMENTO!C$15,ROW(B133)-ROW(B$15),0)</f>
        <v>S</v>
      </c>
      <c r="C133" s="7" t="str">
        <f ca="1">OFFSET(ORÇAMENTO!L$15,ROW(C133)-ROW(C$15),0)</f>
        <v>F</v>
      </c>
      <c r="D133" s="116" t="str">
        <f ca="1">OFFSET(ORÇAMENTO!N$15,ROW(D133)-ROW(D$15),0)</f>
        <v>Serviço</v>
      </c>
      <c r="E133" s="117" t="str">
        <f ca="1">OFFSET(ORÇAMENTO!O$15,ROW(E133)-ROW(E$15),0)</f>
        <v>1.5.2.4.4.</v>
      </c>
      <c r="F133" s="163" t="str">
        <f ca="1">OFFSET(ORÇAMENTO!R$15,ROW(F133)-ROW(F$15),0)</f>
        <v>ARMAÇÃO EM AÇO CA-50 - FORNECIMENTO, PREPARO E COLOCAÇÃO</v>
      </c>
      <c r="G133" s="164" t="str">
        <f ca="1">IF($D133&lt;&gt;"Serviço","",OFFSET(ORÇAMENTO!S$15,ROW(G133)-ROW(G$15),0))</f>
        <v>KG</v>
      </c>
      <c r="H133" s="122" cm="1">
        <f t="array" aca="1" ref="H133" ca="1">IF($D133&lt;&gt;"Serviço",0,IF(ACOMPANHAMENTO="BM",ROUND(OFFSET(ORÇAMENTO!AJ$15,ROW(H133)-ROW(H$15),0),15-13*ORÇAMENTO!$AF$7),SUMPRODUCT(($Q$1:$AI$1=1)*ROUND($Q133:$AI133,15-13*ORÇAMENTO!$AF$7))))</f>
        <v>6345</v>
      </c>
      <c r="I133" s="468" t="s">
        <v>1327</v>
      </c>
      <c r="J133" s="640" t="str" cm="1">
        <f t="array" aca="1" ref="J133" ca="1">IF(OR(B133&lt;&gt;"S",CÁLCULO.FrentesPreenchidas=0),"",IF(AND(ACOMPANHAMENTO="PLE",AUTOEVENTO="Manual",OR(H133&gt;0,ORÇAMENTO!AC133="QUANT."),OR(K133="",M133=0,N133="")),"►E",IF(AND(ACOMPANHAMENTO="PLE",ORÇAMENTO!AC133="QUANT."),"►Q",IF(AND(ACOMPANHAMENTO="PLE",H133&lt;&gt;SUMPRODUCT(($Q$1:$AI$1=1)*ROUND(Q133:AI133,15))),"►S",IF(AND(COUNTIF($P$11:$AI$11,"▼")=0,H133&gt;0,I133=""),"◄M","")))))</f>
        <v/>
      </c>
      <c r="K133" s="641" t="s">
        <v>1389</v>
      </c>
      <c r="L133" s="165" t="s">
        <v>764</v>
      </c>
      <c r="M133" s="166">
        <f ca="1">IF($D133&lt;&gt;"Serviço","",
          IF(AUTOEVENTO="manual",$A133,
                IF(ISERROR(MATCH($A133,$A$15:OFFSET($A133,-1,0),0)),MAX($M$15:OFFSET(M133,-1,0))+1,
                      INDEX($M$15:OFFSET(M133,-1,0),MATCH($A133,$A$15:OFFSET($A133,-1,0),0)))))</f>
        <v>4</v>
      </c>
      <c r="N133" s="167" t="str">
        <f ca="1">IF($D133&lt;&gt;"Serviço","",
         IF(AUTOEVENTO="Manual",
                IF($A133=0,"&lt;-- defina o número do agrupador",
                       OFFSET(EVENTOS!$D$15,$A133-$A$15,0)),
                OFFSET($F$15,$A133,0)))</f>
        <v>Estruturas de Concreto</v>
      </c>
      <c r="O133" s="168"/>
      <c r="Q133" s="168"/>
      <c r="R133" s="169"/>
      <c r="S133" s="169"/>
      <c r="T133" s="169"/>
      <c r="U133" s="169">
        <v>6345</v>
      </c>
      <c r="V133" s="169"/>
      <c r="W133" s="169"/>
      <c r="X133" s="169"/>
      <c r="Y133" s="169"/>
      <c r="Z133" s="170"/>
      <c r="AA133" s="169"/>
      <c r="AB133" s="169"/>
      <c r="AC133" s="169"/>
      <c r="AD133" s="169"/>
      <c r="AE133" s="169"/>
      <c r="AF133" s="169"/>
      <c r="AG133" s="169"/>
      <c r="AH133" s="170"/>
      <c r="AJ133" s="453">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0</v>
      </c>
      <c r="AK133" s="453">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0</v>
      </c>
      <c r="AL133" s="453">
        <f ca="1">IF(AND($D133="Serviço",AL$12&lt;&gt;0,$H133&gt;0,OR(AUTOEVENTO&lt;&gt;"manual",$M133&lt;&gt;$A$15)),
        IF(Import.TipoArredondamento&lt;&gt;"TransfereGOV",
              ROUND(OFFSET($P133,0,AL$13),15-13*ORÇAMENTO!$AF$7)/$H133*OFFSET(ORÇAMENTO!$X$15,ROW(AL133)-ROW(AL$15),0),
              ROUND(ROUND(OFFSET($P133,0,AL$13),15-13*ORÇAMENTO!$AF$7)*OFFSET(ORÇAMENTO!$W$15,ROW(AL133)-ROW(AL$15),0),15-13*ORÇAMENTO!$AF$11)),
         0)</f>
        <v>0</v>
      </c>
      <c r="AM133" s="453">
        <f ca="1">IF(AND($D133="Serviço",AM$12&lt;&gt;0,$H133&gt;0,OR(AUTOEVENTO&lt;&gt;"manual",$M133&lt;&gt;$A$15)),
        IF(Import.TipoArredondamento&lt;&gt;"TransfereGOV",
              ROUND(OFFSET($P133,0,AM$13),15-13*ORÇAMENTO!$AF$7)/$H133*OFFSET(ORÇAMENTO!$X$15,ROW(AM133)-ROW(AM$15),0),
              ROUND(ROUND(OFFSET($P133,0,AM$13),15-13*ORÇAMENTO!$AF$7)*OFFSET(ORÇAMENTO!$W$15,ROW(AM133)-ROW(AM$15),0),15-13*ORÇAMENTO!$AF$11)),
         0)</f>
        <v>0</v>
      </c>
      <c r="AN133" s="453">
        <f ca="1">IF(AND($D133="Serviço",AN$12&lt;&gt;0,$H133&gt;0,OR(AUTOEVENTO&lt;&gt;"manual",$M133&lt;&gt;$A$15)),
        IF(Import.TipoArredondamento&lt;&gt;"TransfereGOV",
              ROUND(OFFSET($P133,0,AN$13),15-13*ORÇAMENTO!$AF$7)/$H133*OFFSET(ORÇAMENTO!$X$15,ROW(AN133)-ROW(AN$15),0),
              ROUND(ROUND(OFFSET($P133,0,AN$13),15-13*ORÇAMENTO!$AF$7)*OFFSET(ORÇAMENTO!$W$15,ROW(AN133)-ROW(AN$15),0),15-13*ORÇAMENTO!$AF$11)),
         0)</f>
        <v>0</v>
      </c>
      <c r="AO133" s="453">
        <f ca="1">IF(AND($D133="Serviço",AO$12&lt;&gt;0,$H133&gt;0,OR(AUTOEVENTO&lt;&gt;"manual",$M133&lt;&gt;$A$15)),
        IF(Import.TipoArredondamento&lt;&gt;"TransfereGOV",
              ROUND(OFFSET($P133,0,AO$13),15-13*ORÇAMENTO!$AF$7)/$H133*OFFSET(ORÇAMENTO!$X$15,ROW(AO133)-ROW(AO$15),0),
              ROUND(ROUND(OFFSET($P133,0,AO$13),15-13*ORÇAMENTO!$AF$7)*OFFSET(ORÇAMENTO!$W$15,ROW(AO133)-ROW(AO$15),0),15-13*ORÇAMENTO!$AF$11)),
         0)</f>
        <v>0</v>
      </c>
      <c r="AP133" s="453">
        <f ca="1">IF(AND($D133="Serviço",AP$12&lt;&gt;0,$H133&gt;0,OR(AUTOEVENTO&lt;&gt;"manual",$M133&lt;&gt;$A$15)),
        IF(Import.TipoArredondamento&lt;&gt;"TransfereGOV",
              ROUND(OFFSET($P133,0,AP$13),15-13*ORÇAMENTO!$AF$7)/$H133*OFFSET(ORÇAMENTO!$X$15,ROW(AP133)-ROW(AP$15),0),
              ROUND(ROUND(OFFSET($P133,0,AP$13),15-13*ORÇAMENTO!$AF$7)*OFFSET(ORÇAMENTO!$W$15,ROW(AP133)-ROW(AP$15),0),15-13*ORÇAMENTO!$AF$11)),
         0)</f>
        <v>0</v>
      </c>
      <c r="AQ133" s="453">
        <f ca="1">IF(AND($D133="Serviço",AQ$12&lt;&gt;0,$H133&gt;0,OR(AUTOEVENTO&lt;&gt;"manual",$M133&lt;&gt;$A$15)),
        IF(Import.TipoArredondamento&lt;&gt;"TransfereGOV",
              ROUND(OFFSET($P133,0,AQ$13),15-13*ORÇAMENTO!$AF$7)/$H133*OFFSET(ORÇAMENTO!$X$15,ROW(AQ133)-ROW(AQ$15),0),
              ROUND(ROUND(OFFSET($P133,0,AQ$13),15-13*ORÇAMENTO!$AF$7)*OFFSET(ORÇAMENTO!$W$15,ROW(AQ133)-ROW(AQ$15),0),15-13*ORÇAMENTO!$AF$11)),
         0)</f>
        <v>0</v>
      </c>
      <c r="AR133" s="453">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3">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3">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3">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3">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3">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3">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3">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3">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3">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C133" s="171">
        <f ca="1">IF(OR($D133&lt;&gt;"Serviço",AND(AUTOEVENTO="Manual",$M133=$A$15)),0,
         IF(OFFSET(CRONOPLE!$F$15,$M133-$A$15,BC$13)=0,10^12,OFFSET(CRONOPLE!$F$15,$M133-$A$15,BC$13)))</f>
        <v>1</v>
      </c>
      <c r="BD133" s="171">
        <f ca="1">IF(OR($D133&lt;&gt;"Serviço",AND(AUTOEVENTO="Manual",$M133=$A$15)),0,
         IF(OFFSET(CRONOPLE!$F$15,$M133-$A$15,BD$13)=0,10^12,OFFSET(CRONOPLE!$F$15,$M133-$A$15,BD$13)))</f>
        <v>2</v>
      </c>
      <c r="BE133" s="171">
        <f ca="1">IF(OR($D133&lt;&gt;"Serviço",AND(AUTOEVENTO="Manual",$M133=$A$15)),0,
         IF(OFFSET(CRONOPLE!$F$15,$M133-$A$15,BE$13)=0,10^12,OFFSET(CRONOPLE!$F$15,$M133-$A$15,BE$13)))</f>
        <v>3</v>
      </c>
      <c r="BF133" s="171">
        <f ca="1">IF(OR($D133&lt;&gt;"Serviço",AND(AUTOEVENTO="Manual",$M133=$A$15)),0,
         IF(OFFSET(CRONOPLE!$F$15,$M133-$A$15,BF$13)=0,10^12,OFFSET(CRONOPLE!$F$15,$M133-$A$15,BF$13)))</f>
        <v>4</v>
      </c>
      <c r="BG133" s="171">
        <f ca="1">IF(OR($D133&lt;&gt;"Serviço",AND(AUTOEVENTO="Manual",$M133=$A$15)),0,
         IF(OFFSET(CRONOPLE!$F$15,$M133-$A$15,BG$13)=0,10^12,OFFSET(CRONOPLE!$F$15,$M133-$A$15,BG$13)))</f>
        <v>5</v>
      </c>
      <c r="BH133" s="171">
        <f ca="1">IF(OR($D133&lt;&gt;"Serviço",AND(AUTOEVENTO="Manual",$M133=$A$15)),0,
         IF(OFFSET(CRONOPLE!$F$15,$M133-$A$15,BH$13)=0,10^12,OFFSET(CRONOPLE!$F$15,$M133-$A$15,BH$13)))</f>
        <v>6</v>
      </c>
      <c r="BI133" s="171">
        <f ca="1">IF(OR($D133&lt;&gt;"Serviço",AND(AUTOEVENTO="Manual",$M133=$A$15)),0,
         IF(OFFSET(CRONOPLE!$F$15,$M133-$A$15,BI$13)=0,10^12,OFFSET(CRONOPLE!$F$15,$M133-$A$15,BI$13)))</f>
        <v>7</v>
      </c>
      <c r="BJ133" s="171">
        <f ca="1">IF(OR($D133&lt;&gt;"Serviço",AND(AUTOEVENTO="Manual",$M133=$A$15)),0,
         IF(OFFSET(CRONOPLE!$F$15,$M133-$A$15,BJ$13)=0,10^12,OFFSET(CRONOPLE!$F$15,$M133-$A$15,BJ$13)))</f>
        <v>8</v>
      </c>
      <c r="BK133" s="171">
        <f ca="1">IF(OR($D133&lt;&gt;"Serviço",AND(AUTOEVENTO="Manual",$M133=$A$15)),0,
         IF(OFFSET(CRONOPLE!$F$15,$M133-$A$15,BK$13)=0,10^12,OFFSET(CRONOPLE!$F$15,$M133-$A$15,BK$13)))</f>
        <v>9</v>
      </c>
      <c r="BL133" s="171">
        <f ca="1">IF(OR($D133&lt;&gt;"Serviço",AND(AUTOEVENTO="Manual",$M133=$A$15)),0,
         IF(OFFSET(CRONOPLE!$F$15,$M133-$A$15,BL$13)=0,10^12,OFFSET(CRONOPLE!$F$15,$M133-$A$15,BL$13)))</f>
        <v>10</v>
      </c>
      <c r="BM133" s="171">
        <f ca="1">IF(OR($D133&lt;&gt;"Serviço",AND(AUTOEVENTO="Manual",$M133=$A$15)),0,
         IF(OFFSET(CRONOPLE!$F$15,$M133-$A$15,BM$13)=0,10^12,OFFSET(CRONOPLE!$F$15,$M133-$A$15,BM$13)))</f>
        <v>1000000000000</v>
      </c>
      <c r="BN133" s="171">
        <f ca="1">IF(OR($D133&lt;&gt;"Serviço",AND(AUTOEVENTO="Manual",$M133=$A$15)),0,
         IF(OFFSET(CRONOPLE!$F$15,$M133-$A$15,BN$13)=0,10^12,OFFSET(CRONOPLE!$F$15,$M133-$A$15,BN$13)))</f>
        <v>1000000000000</v>
      </c>
      <c r="BO133" s="171">
        <f ca="1">IF(OR($D133&lt;&gt;"Serviço",AND(AUTOEVENTO="Manual",$M133=$A$15)),0,
         IF(OFFSET(CRONOPLE!$F$15,$M133-$A$15,BO$13)=0,10^12,OFFSET(CRONOPLE!$F$15,$M133-$A$15,BO$13)))</f>
        <v>1000000000000</v>
      </c>
      <c r="BP133" s="171">
        <f ca="1">IF(OR($D133&lt;&gt;"Serviço",AND(AUTOEVENTO="Manual",$M133=$A$15)),0,
         IF(OFFSET(CRONOPLE!$F$15,$M133-$A$15,BP$13)=0,10^12,OFFSET(CRONOPLE!$F$15,$M133-$A$15,BP$13)))</f>
        <v>1000000000000</v>
      </c>
      <c r="BQ133" s="171">
        <f ca="1">IF(OR($D133&lt;&gt;"Serviço",AND(AUTOEVENTO="Manual",$M133=$A$15)),0,
         IF(OFFSET(CRONOPLE!$F$15,$M133-$A$15,BQ$13)=0,10^12,OFFSET(CRONOPLE!$F$15,$M133-$A$15,BQ$13)))</f>
        <v>1000000000000</v>
      </c>
      <c r="BR133" s="171">
        <f ca="1">IF(OR($D133&lt;&gt;"Serviço",AND(AUTOEVENTO="Manual",$M133=$A$15)),0,
         IF(OFFSET(CRONOPLE!$F$15,$M133-$A$15,BR$13)=0,10^12,OFFSET(CRONOPLE!$F$15,$M133-$A$15,BR$13)))</f>
        <v>1000000000000</v>
      </c>
      <c r="BS133" s="171">
        <f ca="1">IF(OR($D133&lt;&gt;"Serviço",AND(AUTOEVENTO="Manual",$M133=$A$15)),0,
         IF(OFFSET(CRONOPLE!$F$15,$M133-$A$15,BS$13)=0,10^12,OFFSET(CRONOPLE!$F$15,$M133-$A$15,BS$13)))</f>
        <v>1000000000000</v>
      </c>
      <c r="BT133" s="171">
        <f ca="1">IF(OR($D133&lt;&gt;"Serviço",AND(AUTOEVENTO="Manual",$M133=$A$15)),0,
         IF(OFFSET(CRONOPLE!$F$15,$M133-$A$15,BT$13)=0,10^12,OFFSET(CRONOPLE!$F$15,$M133-$A$15,BT$13)))</f>
        <v>1000000000000</v>
      </c>
      <c r="BV133" s="172">
        <f ca="1">IF(OR($D133&lt;&gt;"Serviço",AND(AUTOEVENTO="Manual",$M133=$A$15),$M133&gt;(ROW(PLE.lastrow)-ROW(PLE.firstrow))),0,
           IF(OFFSET(PLE!$G$15,$M133-$A$15,BV$13)="",10^12,OFFSET(PLE!$G$15,$M133-$A$15,BV$13)))</f>
        <v>1000000000000</v>
      </c>
      <c r="BW133" s="172">
        <f ca="1">IF(OR($D133&lt;&gt;"Serviço",AND(AUTOEVENTO="Manual",$M133=$A$15),$M133&gt;(ROW(PLE.lastrow)-ROW(PLE.firstrow))),0,
           IF(OFFSET(PLE!$G$15,$M133-$A$15,BW$13)="",10^12,OFFSET(PLE!$G$15,$M133-$A$15,BW$13)))</f>
        <v>1000000000000</v>
      </c>
      <c r="BX133" s="172">
        <f ca="1">IF(OR($D133&lt;&gt;"Serviço",AND(AUTOEVENTO="Manual",$M133=$A$15),$M133&gt;(ROW(PLE.lastrow)-ROW(PLE.firstrow))),0,
           IF(OFFSET(PLE!$G$15,$M133-$A$15,BX$13)="",10^12,OFFSET(PLE!$G$15,$M133-$A$15,BX$13)))</f>
        <v>1000000000000</v>
      </c>
      <c r="BY133" s="172">
        <f ca="1">IF(OR($D133&lt;&gt;"Serviço",AND(AUTOEVENTO="Manual",$M133=$A$15),$M133&gt;(ROW(PLE.lastrow)-ROW(PLE.firstrow))),0,
           IF(OFFSET(PLE!$G$15,$M133-$A$15,BY$13)="",10^12,OFFSET(PLE!$G$15,$M133-$A$15,BY$13)))</f>
        <v>1000000000000</v>
      </c>
      <c r="BZ133" s="172">
        <f ca="1">IF(OR($D133&lt;&gt;"Serviço",AND(AUTOEVENTO="Manual",$M133=$A$15),$M133&gt;(ROW(PLE.lastrow)-ROW(PLE.firstrow))),0,
           IF(OFFSET(PLE!$G$15,$M133-$A$15,BZ$13)="",10^12,OFFSET(PLE!$G$15,$M133-$A$15,BZ$13)))</f>
        <v>1000000000000</v>
      </c>
      <c r="CA133" s="172">
        <f ca="1">IF(OR($D133&lt;&gt;"Serviço",AND(AUTOEVENTO="Manual",$M133=$A$15),$M133&gt;(ROW(PLE.lastrow)-ROW(PLE.firstrow))),0,
           IF(OFFSET(PLE!$G$15,$M133-$A$15,CA$13)="",10^12,OFFSET(PLE!$G$15,$M133-$A$15,CA$13)))</f>
        <v>1000000000000</v>
      </c>
      <c r="CB133" s="172">
        <f ca="1">IF(OR($D133&lt;&gt;"Serviço",AND(AUTOEVENTO="Manual",$M133=$A$15),$M133&gt;(ROW(PLE.lastrow)-ROW(PLE.firstrow))),0,
           IF(OFFSET(PLE!$G$15,$M133-$A$15,CB$13)="",10^12,OFFSET(PLE!$G$15,$M133-$A$15,CB$13)))</f>
        <v>1000000000000</v>
      </c>
      <c r="CC133" s="172">
        <f ca="1">IF(OR($D133&lt;&gt;"Serviço",AND(AUTOEVENTO="Manual",$M133=$A$15),$M133&gt;(ROW(PLE.lastrow)-ROW(PLE.firstrow))),0,
           IF(OFFSET(PLE!$G$15,$M133-$A$15,CC$13)="",10^12,OFFSET(PLE!$G$15,$M133-$A$15,CC$13)))</f>
        <v>1000000000000</v>
      </c>
      <c r="CD133" s="172">
        <f ca="1">IF(OR($D133&lt;&gt;"Serviço",AND(AUTOEVENTO="Manual",$M133=$A$15),$M133&gt;(ROW(PLE.lastrow)-ROW(PLE.firstrow))),0,
           IF(OFFSET(PLE!$G$15,$M133-$A$15,CD$13)="",10^12,OFFSET(PLE!$G$15,$M133-$A$15,CD$13)))</f>
        <v>1000000000000</v>
      </c>
      <c r="CE133" s="172">
        <f ca="1">IF(OR($D133&lt;&gt;"Serviço",AND(AUTOEVENTO="Manual",$M133=$A$15),$M133&gt;(ROW(PLE.lastrow)-ROW(PLE.firstrow))),0,
           IF(OFFSET(PLE!$G$15,$M133-$A$15,CE$13)="",10^12,OFFSET(PLE!$G$15,$M133-$A$15,CE$13)))</f>
        <v>1000000000000</v>
      </c>
      <c r="CF133" s="172">
        <f ca="1">IF(OR($D133&lt;&gt;"Serviço",AND(AUTOEVENTO="Manual",$M133=$A$15),$M133&gt;(ROW(PLE.lastrow)-ROW(PLE.firstrow))),0,
           IF(OFFSET(PLE!$G$15,$M133-$A$15,CF$13)="",10^12,OFFSET(PLE!$G$15,$M133-$A$15,CF$13)))</f>
        <v>1000000000000</v>
      </c>
      <c r="CG133" s="172">
        <f ca="1">IF(OR($D133&lt;&gt;"Serviço",AND(AUTOEVENTO="Manual",$M133=$A$15),$M133&gt;(ROW(PLE.lastrow)-ROW(PLE.firstrow))),0,
           IF(OFFSET(PLE!$G$15,$M133-$A$15,CG$13)="",10^12,OFFSET(PLE!$G$15,$M133-$A$15,CG$13)))</f>
        <v>1000000000000</v>
      </c>
      <c r="CH133" s="172">
        <f ca="1">IF(OR($D133&lt;&gt;"Serviço",AND(AUTOEVENTO="Manual",$M133=$A$15),$M133&gt;(ROW(PLE.lastrow)-ROW(PLE.firstrow))),0,
           IF(OFFSET(PLE!$G$15,$M133-$A$15,CH$13)="",10^12,OFFSET(PLE!$G$15,$M133-$A$15,CH$13)))</f>
        <v>1000000000000</v>
      </c>
      <c r="CI133" s="172">
        <f ca="1">IF(OR($D133&lt;&gt;"Serviço",AND(AUTOEVENTO="Manual",$M133=$A$15),$M133&gt;(ROW(PLE.lastrow)-ROW(PLE.firstrow))),0,
           IF(OFFSET(PLE!$G$15,$M133-$A$15,CI$13)="",10^12,OFFSET(PLE!$G$15,$M133-$A$15,CI$13)))</f>
        <v>1000000000000</v>
      </c>
      <c r="CJ133" s="172">
        <f ca="1">IF(OR($D133&lt;&gt;"Serviço",AND(AUTOEVENTO="Manual",$M133=$A$15),$M133&gt;(ROW(PLE.lastrow)-ROW(PLE.firstrow))),0,
           IF(OFFSET(PLE!$G$15,$M133-$A$15,CJ$13)="",10^12,OFFSET(PLE!$G$15,$M133-$A$15,CJ$13)))</f>
        <v>1000000000000</v>
      </c>
      <c r="CK133" s="172">
        <f ca="1">IF(OR($D133&lt;&gt;"Serviço",AND(AUTOEVENTO="Manual",$M133=$A$15),$M133&gt;(ROW(PLE.lastrow)-ROW(PLE.firstrow))),0,
           IF(OFFSET(PLE!$G$15,$M133-$A$15,CK$13)="",10^12,OFFSET(PLE!$G$15,$M133-$A$15,CK$13)))</f>
        <v>1000000000000</v>
      </c>
      <c r="CL133" s="172">
        <f ca="1">IF(OR($D133&lt;&gt;"Serviço",AND(AUTOEVENTO="Manual",$M133=$A$15),$M133&gt;(ROW(PLE.lastrow)-ROW(PLE.firstrow))),0,
           IF(OFFSET(PLE!$G$15,$M133-$A$15,CL$13)="",10^12,OFFSET(PLE!$G$15,$M133-$A$15,CL$13)))</f>
        <v>1000000000000</v>
      </c>
      <c r="CM133" s="172">
        <f ca="1">IF(OR($D133&lt;&gt;"Serviço",AND(AUTOEVENTO="Manual",$M133=$A$15),$M133&gt;(ROW(PLE.lastrow)-ROW(PLE.firstrow))),0,
           IF(OFFSET(PLE!$G$15,$M133-$A$15,CM$13)="",10^12,OFFSET(PLE!$G$15,$M133-$A$15,CM$13)))</f>
        <v>1000000000000</v>
      </c>
    </row>
    <row r="134" spans="1:91" ht="12.75" x14ac:dyDescent="0.2">
      <c r="A134" s="7">
        <f t="shared" ca="1" si="11"/>
        <v>0</v>
      </c>
      <c r="B134" s="7">
        <f ca="1">OFFSET(ORÇAMENTO!C$15,ROW(B134)-ROW(B$15),0)</f>
        <v>3</v>
      </c>
      <c r="C134" s="7" t="str">
        <f ca="1">OFFSET(ORÇAMENTO!L$15,ROW(C134)-ROW(C$15),0)</f>
        <v>F</v>
      </c>
      <c r="D134" s="116" t="str">
        <f ca="1">OFFSET(ORÇAMENTO!N$15,ROW(D134)-ROW(D$15),0)</f>
        <v>Nível 3</v>
      </c>
      <c r="E134" s="117" t="str">
        <f ca="1">OFFSET(ORÇAMENTO!O$15,ROW(E134)-ROW(E$15),0)</f>
        <v>1.5.3.</v>
      </c>
      <c r="F134" s="163" t="str">
        <f ca="1">OFFSET(ORÇAMENTO!R$15,ROW(F134)-ROW(F$15),0)</f>
        <v>LEITOS DE SECAGEM</v>
      </c>
      <c r="G134" s="164" t="str">
        <f ca="1">IF($D134&lt;&gt;"Serviço","",OFFSET(ORÇAMENTO!S$15,ROW(G134)-ROW(G$15),0))</f>
        <v/>
      </c>
      <c r="H134" s="122" cm="1">
        <f t="array" aca="1" ref="H134" ca="1">IF($D134&lt;&gt;"Serviço",0,IF(ACOMPANHAMENTO="BM",ROUND(OFFSET(ORÇAMENTO!AJ$15,ROW(H134)-ROW(H$15),0),15-13*ORÇAMENTO!$AF$7),SUMPRODUCT(($Q$1:$AI$1=1)*ROUND($Q134:$AI134,15-13*ORÇAMENTO!$AF$7))))</f>
        <v>0</v>
      </c>
      <c r="I134" s="468"/>
      <c r="J134" s="640" t="str" cm="1">
        <f t="array" aca="1" ref="J134" ca="1">IF(OR(B134&lt;&gt;"S",CÁLCULO.FrentesPreenchidas=0),"",IF(AND(ACOMPANHAMENTO="PLE",AUTOEVENTO="Manual",OR(H134&gt;0,ORÇAMENTO!AC134="QUANT."),OR(K134="",M134=0,N134="")),"►E",IF(AND(ACOMPANHAMENTO="PLE",ORÇAMENTO!AC134="QUANT."),"►Q",IF(AND(ACOMPANHAMENTO="PLE",H134&lt;&gt;SUMPRODUCT(($Q$1:$AI$1=1)*ROUND(Q134:AI134,15))),"►S",IF(AND(COUNTIF($P$11:$AI$11,"▼")=0,H134&gt;0,I134=""),"◄M","")))))</f>
        <v/>
      </c>
      <c r="K134" s="641"/>
      <c r="L134" s="165" t="s">
        <v>764</v>
      </c>
      <c r="M134" s="166" t="str">
        <f ca="1">IF($D134&lt;&gt;"Serviço","",
          IF(AUTOEVENTO="manual",$A134,
                IF(ISERROR(MATCH($A134,$A$15:OFFSET($A134,-1,0),0)),MAX($M$15:OFFSET(M134,-1,0))+1,
                      INDEX($M$15:OFFSET(M134,-1,0),MATCH($A134,$A$15:OFFSET($A134,-1,0),0)))))</f>
        <v/>
      </c>
      <c r="N134" s="167" t="str">
        <f ca="1">IF($D134&lt;&gt;"Serviço","",
         IF(AUTOEVENTO="Manual",
                IF($A134=0,"&lt;-- defina o número do agrupador",
                       OFFSET(EVENTOS!$D$15,$A134-$A$15,0)),
                OFFSET($F$15,$A134,0)))</f>
        <v/>
      </c>
      <c r="O134" s="168"/>
      <c r="Q134" s="168"/>
      <c r="R134" s="169"/>
      <c r="S134" s="169"/>
      <c r="T134" s="169"/>
      <c r="U134" s="169"/>
      <c r="V134" s="169"/>
      <c r="W134" s="169"/>
      <c r="X134" s="169"/>
      <c r="Y134" s="169"/>
      <c r="Z134" s="170"/>
      <c r="AA134" s="169"/>
      <c r="AB134" s="169"/>
      <c r="AC134" s="169"/>
      <c r="AD134" s="169"/>
      <c r="AE134" s="169"/>
      <c r="AF134" s="169"/>
      <c r="AG134" s="169"/>
      <c r="AH134" s="170"/>
      <c r="AJ134" s="453">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0</v>
      </c>
      <c r="AK134" s="453">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0</v>
      </c>
      <c r="AL134" s="453">
        <f ca="1">IF(AND($D134="Serviço",AL$12&lt;&gt;0,$H134&gt;0,OR(AUTOEVENTO&lt;&gt;"manual",$M134&lt;&gt;$A$15)),
        IF(Import.TipoArredondamento&lt;&gt;"TransfereGOV",
              ROUND(OFFSET($P134,0,AL$13),15-13*ORÇAMENTO!$AF$7)/$H134*OFFSET(ORÇAMENTO!$X$15,ROW(AL134)-ROW(AL$15),0),
              ROUND(ROUND(OFFSET($P134,0,AL$13),15-13*ORÇAMENTO!$AF$7)*OFFSET(ORÇAMENTO!$W$15,ROW(AL134)-ROW(AL$15),0),15-13*ORÇAMENTO!$AF$11)),
         0)</f>
        <v>0</v>
      </c>
      <c r="AM134" s="453">
        <f ca="1">IF(AND($D134="Serviço",AM$12&lt;&gt;0,$H134&gt;0,OR(AUTOEVENTO&lt;&gt;"manual",$M134&lt;&gt;$A$15)),
        IF(Import.TipoArredondamento&lt;&gt;"TransfereGOV",
              ROUND(OFFSET($P134,0,AM$13),15-13*ORÇAMENTO!$AF$7)/$H134*OFFSET(ORÇAMENTO!$X$15,ROW(AM134)-ROW(AM$15),0),
              ROUND(ROUND(OFFSET($P134,0,AM$13),15-13*ORÇAMENTO!$AF$7)*OFFSET(ORÇAMENTO!$W$15,ROW(AM134)-ROW(AM$15),0),15-13*ORÇAMENTO!$AF$11)),
         0)</f>
        <v>0</v>
      </c>
      <c r="AN134" s="453">
        <f ca="1">IF(AND($D134="Serviço",AN$12&lt;&gt;0,$H134&gt;0,OR(AUTOEVENTO&lt;&gt;"manual",$M134&lt;&gt;$A$15)),
        IF(Import.TipoArredondamento&lt;&gt;"TransfereGOV",
              ROUND(OFFSET($P134,0,AN$13),15-13*ORÇAMENTO!$AF$7)/$H134*OFFSET(ORÇAMENTO!$X$15,ROW(AN134)-ROW(AN$15),0),
              ROUND(ROUND(OFFSET($P134,0,AN$13),15-13*ORÇAMENTO!$AF$7)*OFFSET(ORÇAMENTO!$W$15,ROW(AN134)-ROW(AN$15),0),15-13*ORÇAMENTO!$AF$11)),
         0)</f>
        <v>0</v>
      </c>
      <c r="AO134" s="453">
        <f ca="1">IF(AND($D134="Serviço",AO$12&lt;&gt;0,$H134&gt;0,OR(AUTOEVENTO&lt;&gt;"manual",$M134&lt;&gt;$A$15)),
        IF(Import.TipoArredondamento&lt;&gt;"TransfereGOV",
              ROUND(OFFSET($P134,0,AO$13),15-13*ORÇAMENTO!$AF$7)/$H134*OFFSET(ORÇAMENTO!$X$15,ROW(AO134)-ROW(AO$15),0),
              ROUND(ROUND(OFFSET($P134,0,AO$13),15-13*ORÇAMENTO!$AF$7)*OFFSET(ORÇAMENTO!$W$15,ROW(AO134)-ROW(AO$15),0),15-13*ORÇAMENTO!$AF$11)),
         0)</f>
        <v>0</v>
      </c>
      <c r="AP134" s="453">
        <f ca="1">IF(AND($D134="Serviço",AP$12&lt;&gt;0,$H134&gt;0,OR(AUTOEVENTO&lt;&gt;"manual",$M134&lt;&gt;$A$15)),
        IF(Import.TipoArredondamento&lt;&gt;"TransfereGOV",
              ROUND(OFFSET($P134,0,AP$13),15-13*ORÇAMENTO!$AF$7)/$H134*OFFSET(ORÇAMENTO!$X$15,ROW(AP134)-ROW(AP$15),0),
              ROUND(ROUND(OFFSET($P134,0,AP$13),15-13*ORÇAMENTO!$AF$7)*OFFSET(ORÇAMENTO!$W$15,ROW(AP134)-ROW(AP$15),0),15-13*ORÇAMENTO!$AF$11)),
         0)</f>
        <v>0</v>
      </c>
      <c r="AQ134" s="453">
        <f ca="1">IF(AND($D134="Serviço",AQ$12&lt;&gt;0,$H134&gt;0,OR(AUTOEVENTO&lt;&gt;"manual",$M134&lt;&gt;$A$15)),
        IF(Import.TipoArredondamento&lt;&gt;"TransfereGOV",
              ROUND(OFFSET($P134,0,AQ$13),15-13*ORÇAMENTO!$AF$7)/$H134*OFFSET(ORÇAMENTO!$X$15,ROW(AQ134)-ROW(AQ$15),0),
              ROUND(ROUND(OFFSET($P134,0,AQ$13),15-13*ORÇAMENTO!$AF$7)*OFFSET(ORÇAMENTO!$W$15,ROW(AQ134)-ROW(AQ$15),0),15-13*ORÇAMENTO!$AF$11)),
         0)</f>
        <v>0</v>
      </c>
      <c r="AR134" s="453">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3">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3">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3">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3">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3">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3">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3">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3">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3">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C134" s="171">
        <f ca="1">IF(OR($D134&lt;&gt;"Serviço",AND(AUTOEVENTO="Manual",$M134=$A$15)),0,
         IF(OFFSET(CRONOPLE!$F$15,$M134-$A$15,BC$13)=0,10^12,OFFSET(CRONOPLE!$F$15,$M134-$A$15,BC$13)))</f>
        <v>0</v>
      </c>
      <c r="BD134" s="171">
        <f ca="1">IF(OR($D134&lt;&gt;"Serviço",AND(AUTOEVENTO="Manual",$M134=$A$15)),0,
         IF(OFFSET(CRONOPLE!$F$15,$M134-$A$15,BD$13)=0,10^12,OFFSET(CRONOPLE!$F$15,$M134-$A$15,BD$13)))</f>
        <v>0</v>
      </c>
      <c r="BE134" s="171">
        <f ca="1">IF(OR($D134&lt;&gt;"Serviço",AND(AUTOEVENTO="Manual",$M134=$A$15)),0,
         IF(OFFSET(CRONOPLE!$F$15,$M134-$A$15,BE$13)=0,10^12,OFFSET(CRONOPLE!$F$15,$M134-$A$15,BE$13)))</f>
        <v>0</v>
      </c>
      <c r="BF134" s="171">
        <f ca="1">IF(OR($D134&lt;&gt;"Serviço",AND(AUTOEVENTO="Manual",$M134=$A$15)),0,
         IF(OFFSET(CRONOPLE!$F$15,$M134-$A$15,BF$13)=0,10^12,OFFSET(CRONOPLE!$F$15,$M134-$A$15,BF$13)))</f>
        <v>0</v>
      </c>
      <c r="BG134" s="171">
        <f ca="1">IF(OR($D134&lt;&gt;"Serviço",AND(AUTOEVENTO="Manual",$M134=$A$15)),0,
         IF(OFFSET(CRONOPLE!$F$15,$M134-$A$15,BG$13)=0,10^12,OFFSET(CRONOPLE!$F$15,$M134-$A$15,BG$13)))</f>
        <v>0</v>
      </c>
      <c r="BH134" s="171">
        <f ca="1">IF(OR($D134&lt;&gt;"Serviço",AND(AUTOEVENTO="Manual",$M134=$A$15)),0,
         IF(OFFSET(CRONOPLE!$F$15,$M134-$A$15,BH$13)=0,10^12,OFFSET(CRONOPLE!$F$15,$M134-$A$15,BH$13)))</f>
        <v>0</v>
      </c>
      <c r="BI134" s="171">
        <f ca="1">IF(OR($D134&lt;&gt;"Serviço",AND(AUTOEVENTO="Manual",$M134=$A$15)),0,
         IF(OFFSET(CRONOPLE!$F$15,$M134-$A$15,BI$13)=0,10^12,OFFSET(CRONOPLE!$F$15,$M134-$A$15,BI$13)))</f>
        <v>0</v>
      </c>
      <c r="BJ134" s="171">
        <f ca="1">IF(OR($D134&lt;&gt;"Serviço",AND(AUTOEVENTO="Manual",$M134=$A$15)),0,
         IF(OFFSET(CRONOPLE!$F$15,$M134-$A$15,BJ$13)=0,10^12,OFFSET(CRONOPLE!$F$15,$M134-$A$15,BJ$13)))</f>
        <v>0</v>
      </c>
      <c r="BK134" s="171">
        <f ca="1">IF(OR($D134&lt;&gt;"Serviço",AND(AUTOEVENTO="Manual",$M134=$A$15)),0,
         IF(OFFSET(CRONOPLE!$F$15,$M134-$A$15,BK$13)=0,10^12,OFFSET(CRONOPLE!$F$15,$M134-$A$15,BK$13)))</f>
        <v>0</v>
      </c>
      <c r="BL134" s="171">
        <f ca="1">IF(OR($D134&lt;&gt;"Serviço",AND(AUTOEVENTO="Manual",$M134=$A$15)),0,
         IF(OFFSET(CRONOPLE!$F$15,$M134-$A$15,BL$13)=0,10^12,OFFSET(CRONOPLE!$F$15,$M134-$A$15,BL$13)))</f>
        <v>0</v>
      </c>
      <c r="BM134" s="171">
        <f ca="1">IF(OR($D134&lt;&gt;"Serviço",AND(AUTOEVENTO="Manual",$M134=$A$15)),0,
         IF(OFFSET(CRONOPLE!$F$15,$M134-$A$15,BM$13)=0,10^12,OFFSET(CRONOPLE!$F$15,$M134-$A$15,BM$13)))</f>
        <v>0</v>
      </c>
      <c r="BN134" s="171">
        <f ca="1">IF(OR($D134&lt;&gt;"Serviço",AND(AUTOEVENTO="Manual",$M134=$A$15)),0,
         IF(OFFSET(CRONOPLE!$F$15,$M134-$A$15,BN$13)=0,10^12,OFFSET(CRONOPLE!$F$15,$M134-$A$15,BN$13)))</f>
        <v>0</v>
      </c>
      <c r="BO134" s="171">
        <f ca="1">IF(OR($D134&lt;&gt;"Serviço",AND(AUTOEVENTO="Manual",$M134=$A$15)),0,
         IF(OFFSET(CRONOPLE!$F$15,$M134-$A$15,BO$13)=0,10^12,OFFSET(CRONOPLE!$F$15,$M134-$A$15,BO$13)))</f>
        <v>0</v>
      </c>
      <c r="BP134" s="171">
        <f ca="1">IF(OR($D134&lt;&gt;"Serviço",AND(AUTOEVENTO="Manual",$M134=$A$15)),0,
         IF(OFFSET(CRONOPLE!$F$15,$M134-$A$15,BP$13)=0,10^12,OFFSET(CRONOPLE!$F$15,$M134-$A$15,BP$13)))</f>
        <v>0</v>
      </c>
      <c r="BQ134" s="171">
        <f ca="1">IF(OR($D134&lt;&gt;"Serviço",AND(AUTOEVENTO="Manual",$M134=$A$15)),0,
         IF(OFFSET(CRONOPLE!$F$15,$M134-$A$15,BQ$13)=0,10^12,OFFSET(CRONOPLE!$F$15,$M134-$A$15,BQ$13)))</f>
        <v>0</v>
      </c>
      <c r="BR134" s="171">
        <f ca="1">IF(OR($D134&lt;&gt;"Serviço",AND(AUTOEVENTO="Manual",$M134=$A$15)),0,
         IF(OFFSET(CRONOPLE!$F$15,$M134-$A$15,BR$13)=0,10^12,OFFSET(CRONOPLE!$F$15,$M134-$A$15,BR$13)))</f>
        <v>0</v>
      </c>
      <c r="BS134" s="171">
        <f ca="1">IF(OR($D134&lt;&gt;"Serviço",AND(AUTOEVENTO="Manual",$M134=$A$15)),0,
         IF(OFFSET(CRONOPLE!$F$15,$M134-$A$15,BS$13)=0,10^12,OFFSET(CRONOPLE!$F$15,$M134-$A$15,BS$13)))</f>
        <v>0</v>
      </c>
      <c r="BT134" s="171">
        <f ca="1">IF(OR($D134&lt;&gt;"Serviço",AND(AUTOEVENTO="Manual",$M134=$A$15)),0,
         IF(OFFSET(CRONOPLE!$F$15,$M134-$A$15,BT$13)=0,10^12,OFFSET(CRONOPLE!$F$15,$M134-$A$15,BT$13)))</f>
        <v>0</v>
      </c>
      <c r="BV134" s="172">
        <f ca="1">IF(OR($D134&lt;&gt;"Serviço",AND(AUTOEVENTO="Manual",$M134=$A$15),$M134&gt;(ROW(PLE.lastrow)-ROW(PLE.firstrow))),0,
           IF(OFFSET(PLE!$G$15,$M134-$A$15,BV$13)="",10^12,OFFSET(PLE!$G$15,$M134-$A$15,BV$13)))</f>
        <v>0</v>
      </c>
      <c r="BW134" s="172">
        <f ca="1">IF(OR($D134&lt;&gt;"Serviço",AND(AUTOEVENTO="Manual",$M134=$A$15),$M134&gt;(ROW(PLE.lastrow)-ROW(PLE.firstrow))),0,
           IF(OFFSET(PLE!$G$15,$M134-$A$15,BW$13)="",10^12,OFFSET(PLE!$G$15,$M134-$A$15,BW$13)))</f>
        <v>0</v>
      </c>
      <c r="BX134" s="172">
        <f ca="1">IF(OR($D134&lt;&gt;"Serviço",AND(AUTOEVENTO="Manual",$M134=$A$15),$M134&gt;(ROW(PLE.lastrow)-ROW(PLE.firstrow))),0,
           IF(OFFSET(PLE!$G$15,$M134-$A$15,BX$13)="",10^12,OFFSET(PLE!$G$15,$M134-$A$15,BX$13)))</f>
        <v>0</v>
      </c>
      <c r="BY134" s="172">
        <f ca="1">IF(OR($D134&lt;&gt;"Serviço",AND(AUTOEVENTO="Manual",$M134=$A$15),$M134&gt;(ROW(PLE.lastrow)-ROW(PLE.firstrow))),0,
           IF(OFFSET(PLE!$G$15,$M134-$A$15,BY$13)="",10^12,OFFSET(PLE!$G$15,$M134-$A$15,BY$13)))</f>
        <v>0</v>
      </c>
      <c r="BZ134" s="172">
        <f ca="1">IF(OR($D134&lt;&gt;"Serviço",AND(AUTOEVENTO="Manual",$M134=$A$15),$M134&gt;(ROW(PLE.lastrow)-ROW(PLE.firstrow))),0,
           IF(OFFSET(PLE!$G$15,$M134-$A$15,BZ$13)="",10^12,OFFSET(PLE!$G$15,$M134-$A$15,BZ$13)))</f>
        <v>0</v>
      </c>
      <c r="CA134" s="172">
        <f ca="1">IF(OR($D134&lt;&gt;"Serviço",AND(AUTOEVENTO="Manual",$M134=$A$15),$M134&gt;(ROW(PLE.lastrow)-ROW(PLE.firstrow))),0,
           IF(OFFSET(PLE!$G$15,$M134-$A$15,CA$13)="",10^12,OFFSET(PLE!$G$15,$M134-$A$15,CA$13)))</f>
        <v>0</v>
      </c>
      <c r="CB134" s="172">
        <f ca="1">IF(OR($D134&lt;&gt;"Serviço",AND(AUTOEVENTO="Manual",$M134=$A$15),$M134&gt;(ROW(PLE.lastrow)-ROW(PLE.firstrow))),0,
           IF(OFFSET(PLE!$G$15,$M134-$A$15,CB$13)="",10^12,OFFSET(PLE!$G$15,$M134-$A$15,CB$13)))</f>
        <v>0</v>
      </c>
      <c r="CC134" s="172">
        <f ca="1">IF(OR($D134&lt;&gt;"Serviço",AND(AUTOEVENTO="Manual",$M134=$A$15),$M134&gt;(ROW(PLE.lastrow)-ROW(PLE.firstrow))),0,
           IF(OFFSET(PLE!$G$15,$M134-$A$15,CC$13)="",10^12,OFFSET(PLE!$G$15,$M134-$A$15,CC$13)))</f>
        <v>0</v>
      </c>
      <c r="CD134" s="172">
        <f ca="1">IF(OR($D134&lt;&gt;"Serviço",AND(AUTOEVENTO="Manual",$M134=$A$15),$M134&gt;(ROW(PLE.lastrow)-ROW(PLE.firstrow))),0,
           IF(OFFSET(PLE!$G$15,$M134-$A$15,CD$13)="",10^12,OFFSET(PLE!$G$15,$M134-$A$15,CD$13)))</f>
        <v>0</v>
      </c>
      <c r="CE134" s="172">
        <f ca="1">IF(OR($D134&lt;&gt;"Serviço",AND(AUTOEVENTO="Manual",$M134=$A$15),$M134&gt;(ROW(PLE.lastrow)-ROW(PLE.firstrow))),0,
           IF(OFFSET(PLE!$G$15,$M134-$A$15,CE$13)="",10^12,OFFSET(PLE!$G$15,$M134-$A$15,CE$13)))</f>
        <v>0</v>
      </c>
      <c r="CF134" s="172">
        <f ca="1">IF(OR($D134&lt;&gt;"Serviço",AND(AUTOEVENTO="Manual",$M134=$A$15),$M134&gt;(ROW(PLE.lastrow)-ROW(PLE.firstrow))),0,
           IF(OFFSET(PLE!$G$15,$M134-$A$15,CF$13)="",10^12,OFFSET(PLE!$G$15,$M134-$A$15,CF$13)))</f>
        <v>0</v>
      </c>
      <c r="CG134" s="172">
        <f ca="1">IF(OR($D134&lt;&gt;"Serviço",AND(AUTOEVENTO="Manual",$M134=$A$15),$M134&gt;(ROW(PLE.lastrow)-ROW(PLE.firstrow))),0,
           IF(OFFSET(PLE!$G$15,$M134-$A$15,CG$13)="",10^12,OFFSET(PLE!$G$15,$M134-$A$15,CG$13)))</f>
        <v>0</v>
      </c>
      <c r="CH134" s="172">
        <f ca="1">IF(OR($D134&lt;&gt;"Serviço",AND(AUTOEVENTO="Manual",$M134=$A$15),$M134&gt;(ROW(PLE.lastrow)-ROW(PLE.firstrow))),0,
           IF(OFFSET(PLE!$G$15,$M134-$A$15,CH$13)="",10^12,OFFSET(PLE!$G$15,$M134-$A$15,CH$13)))</f>
        <v>0</v>
      </c>
      <c r="CI134" s="172">
        <f ca="1">IF(OR($D134&lt;&gt;"Serviço",AND(AUTOEVENTO="Manual",$M134=$A$15),$M134&gt;(ROW(PLE.lastrow)-ROW(PLE.firstrow))),0,
           IF(OFFSET(PLE!$G$15,$M134-$A$15,CI$13)="",10^12,OFFSET(PLE!$G$15,$M134-$A$15,CI$13)))</f>
        <v>0</v>
      </c>
      <c r="CJ134" s="172">
        <f ca="1">IF(OR($D134&lt;&gt;"Serviço",AND(AUTOEVENTO="Manual",$M134=$A$15),$M134&gt;(ROW(PLE.lastrow)-ROW(PLE.firstrow))),0,
           IF(OFFSET(PLE!$G$15,$M134-$A$15,CJ$13)="",10^12,OFFSET(PLE!$G$15,$M134-$A$15,CJ$13)))</f>
        <v>0</v>
      </c>
      <c r="CK134" s="172">
        <f ca="1">IF(OR($D134&lt;&gt;"Serviço",AND(AUTOEVENTO="Manual",$M134=$A$15),$M134&gt;(ROW(PLE.lastrow)-ROW(PLE.firstrow))),0,
           IF(OFFSET(PLE!$G$15,$M134-$A$15,CK$13)="",10^12,OFFSET(PLE!$G$15,$M134-$A$15,CK$13)))</f>
        <v>0</v>
      </c>
      <c r="CL134" s="172">
        <f ca="1">IF(OR($D134&lt;&gt;"Serviço",AND(AUTOEVENTO="Manual",$M134=$A$15),$M134&gt;(ROW(PLE.lastrow)-ROW(PLE.firstrow))),0,
           IF(OFFSET(PLE!$G$15,$M134-$A$15,CL$13)="",10^12,OFFSET(PLE!$G$15,$M134-$A$15,CL$13)))</f>
        <v>0</v>
      </c>
      <c r="CM134" s="172">
        <f ca="1">IF(OR($D134&lt;&gt;"Serviço",AND(AUTOEVENTO="Manual",$M134=$A$15),$M134&gt;(ROW(PLE.lastrow)-ROW(PLE.firstrow))),0,
           IF(OFFSET(PLE!$G$15,$M134-$A$15,CM$13)="",10^12,OFFSET(PLE!$G$15,$M134-$A$15,CM$13)))</f>
        <v>0</v>
      </c>
    </row>
    <row r="135" spans="1:91" ht="51" x14ac:dyDescent="0.2">
      <c r="A135" s="7">
        <f t="shared" ca="1" si="11"/>
        <v>4</v>
      </c>
      <c r="B135" s="7" t="str">
        <f ca="1">OFFSET(ORÇAMENTO!C$15,ROW(B135)-ROW(B$15),0)</f>
        <v>S</v>
      </c>
      <c r="C135" s="7" t="str">
        <f ca="1">OFFSET(ORÇAMENTO!L$15,ROW(C135)-ROW(C$15),0)</f>
        <v>F</v>
      </c>
      <c r="D135" s="116" t="str">
        <f ca="1">OFFSET(ORÇAMENTO!N$15,ROW(D135)-ROW(D$15),0)</f>
        <v>Serviço</v>
      </c>
      <c r="E135" s="117" t="str">
        <f ca="1">OFFSET(ORÇAMENTO!O$15,ROW(E135)-ROW(E$15),0)</f>
        <v>1.5.3.0.1.</v>
      </c>
      <c r="F135" s="163" t="str">
        <f ca="1">OFFSET(ORÇAMENTO!R$15,ROW(F135)-ROW(F$15),0)</f>
        <v>CONCRETO FCK = 40MPA, TRAÇO 1:1,6:1,9 (EM MASSA SECA DE CIMENTO/ AREIA MÉDIA/ BRITA 1) - PREPARO MECÂNICO COM BETONEIRA 600 L. AF_05/2021</v>
      </c>
      <c r="G135" s="164" t="str">
        <f ca="1">IF($D135&lt;&gt;"Serviço","",OFFSET(ORÇAMENTO!S$15,ROW(G135)-ROW(G$15),0))</f>
        <v>M3</v>
      </c>
      <c r="H135" s="122" cm="1">
        <f t="array" aca="1" ref="H135" ca="1">IF($D135&lt;&gt;"Serviço",0,IF(ACOMPANHAMENTO="BM",ROUND(OFFSET(ORÇAMENTO!AJ$15,ROW(H135)-ROW(H$15),0),15-13*ORÇAMENTO!$AF$7),SUMPRODUCT(($Q$1:$AI$1=1)*ROUND($Q135:$AI135,15-13*ORÇAMENTO!$AF$7))))</f>
        <v>62.5</v>
      </c>
      <c r="I135" s="468" t="s">
        <v>1328</v>
      </c>
      <c r="J135" s="640" t="str" cm="1">
        <f t="array" aca="1" ref="J135" ca="1">IF(OR(B135&lt;&gt;"S",CÁLCULO.FrentesPreenchidas=0),"",IF(AND(ACOMPANHAMENTO="PLE",AUTOEVENTO="Manual",OR(H135&gt;0,ORÇAMENTO!AC135="QUANT."),OR(K135="",M135=0,N135="")),"►E",IF(AND(ACOMPANHAMENTO="PLE",ORÇAMENTO!AC135="QUANT."),"►Q",IF(AND(ACOMPANHAMENTO="PLE",H135&lt;&gt;SUMPRODUCT(($Q$1:$AI$1=1)*ROUND(Q135:AI135,15))),"►S",IF(AND(COUNTIF($P$11:$AI$11,"▼")=0,H135&gt;0,I135=""),"◄M","")))))</f>
        <v/>
      </c>
      <c r="K135" s="641" t="s">
        <v>1389</v>
      </c>
      <c r="L135" s="165" t="s">
        <v>764</v>
      </c>
      <c r="M135" s="166">
        <f ca="1">IF($D135&lt;&gt;"Serviço","",
          IF(AUTOEVENTO="manual",$A135,
                IF(ISERROR(MATCH($A135,$A$15:OFFSET($A135,-1,0),0)),MAX($M$15:OFFSET(M135,-1,0))+1,
                      INDEX($M$15:OFFSET(M135,-1,0),MATCH($A135,$A$15:OFFSET($A135,-1,0),0)))))</f>
        <v>4</v>
      </c>
      <c r="N135" s="167" t="str">
        <f ca="1">IF($D135&lt;&gt;"Serviço","",
         IF(AUTOEVENTO="Manual",
                IF($A135=0,"&lt;-- defina o número do agrupador",
                       OFFSET(EVENTOS!$D$15,$A135-$A$15,0)),
                OFFSET($F$15,$A135,0)))</f>
        <v>Estruturas de Concreto</v>
      </c>
      <c r="O135" s="168"/>
      <c r="Q135" s="168"/>
      <c r="R135" s="169"/>
      <c r="S135" s="169"/>
      <c r="T135" s="169"/>
      <c r="U135" s="169">
        <v>62.5</v>
      </c>
      <c r="V135" s="169"/>
      <c r="W135" s="169"/>
      <c r="X135" s="169"/>
      <c r="Y135" s="169"/>
      <c r="Z135" s="170"/>
      <c r="AA135" s="169"/>
      <c r="AB135" s="169"/>
      <c r="AC135" s="169"/>
      <c r="AD135" s="169"/>
      <c r="AE135" s="169"/>
      <c r="AF135" s="169"/>
      <c r="AG135" s="169"/>
      <c r="AH135" s="170"/>
      <c r="AJ135" s="453">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0</v>
      </c>
      <c r="AK135" s="453">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0</v>
      </c>
      <c r="AL135" s="453">
        <f ca="1">IF(AND($D135="Serviço",AL$12&lt;&gt;0,$H135&gt;0,OR(AUTOEVENTO&lt;&gt;"manual",$M135&lt;&gt;$A$15)),
        IF(Import.TipoArredondamento&lt;&gt;"TransfereGOV",
              ROUND(OFFSET($P135,0,AL$13),15-13*ORÇAMENTO!$AF$7)/$H135*OFFSET(ORÇAMENTO!$X$15,ROW(AL135)-ROW(AL$15),0),
              ROUND(ROUND(OFFSET($P135,0,AL$13),15-13*ORÇAMENTO!$AF$7)*OFFSET(ORÇAMENTO!$W$15,ROW(AL135)-ROW(AL$15),0),15-13*ORÇAMENTO!$AF$11)),
         0)</f>
        <v>0</v>
      </c>
      <c r="AM135" s="453">
        <f ca="1">IF(AND($D135="Serviço",AM$12&lt;&gt;0,$H135&gt;0,OR(AUTOEVENTO&lt;&gt;"manual",$M135&lt;&gt;$A$15)),
        IF(Import.TipoArredondamento&lt;&gt;"TransfereGOV",
              ROUND(OFFSET($P135,0,AM$13),15-13*ORÇAMENTO!$AF$7)/$H135*OFFSET(ORÇAMENTO!$X$15,ROW(AM135)-ROW(AM$15),0),
              ROUND(ROUND(OFFSET($P135,0,AM$13),15-13*ORÇAMENTO!$AF$7)*OFFSET(ORÇAMENTO!$W$15,ROW(AM135)-ROW(AM$15),0),15-13*ORÇAMENTO!$AF$11)),
         0)</f>
        <v>0</v>
      </c>
      <c r="AN135" s="453">
        <f ca="1">IF(AND($D135="Serviço",AN$12&lt;&gt;0,$H135&gt;0,OR(AUTOEVENTO&lt;&gt;"manual",$M135&lt;&gt;$A$15)),
        IF(Import.TipoArredondamento&lt;&gt;"TransfereGOV",
              ROUND(OFFSET($P135,0,AN$13),15-13*ORÇAMENTO!$AF$7)/$H135*OFFSET(ORÇAMENTO!$X$15,ROW(AN135)-ROW(AN$15),0),
              ROUND(ROUND(OFFSET($P135,0,AN$13),15-13*ORÇAMENTO!$AF$7)*OFFSET(ORÇAMENTO!$W$15,ROW(AN135)-ROW(AN$15),0),15-13*ORÇAMENTO!$AF$11)),
         0)</f>
        <v>0</v>
      </c>
      <c r="AO135" s="453">
        <f ca="1">IF(AND($D135="Serviço",AO$12&lt;&gt;0,$H135&gt;0,OR(AUTOEVENTO&lt;&gt;"manual",$M135&lt;&gt;$A$15)),
        IF(Import.TipoArredondamento&lt;&gt;"TransfereGOV",
              ROUND(OFFSET($P135,0,AO$13),15-13*ORÇAMENTO!$AF$7)/$H135*OFFSET(ORÇAMENTO!$X$15,ROW(AO135)-ROW(AO$15),0),
              ROUND(ROUND(OFFSET($P135,0,AO$13),15-13*ORÇAMENTO!$AF$7)*OFFSET(ORÇAMENTO!$W$15,ROW(AO135)-ROW(AO$15),0),15-13*ORÇAMENTO!$AF$11)),
         0)</f>
        <v>0</v>
      </c>
      <c r="AP135" s="453">
        <f ca="1">IF(AND($D135="Serviço",AP$12&lt;&gt;0,$H135&gt;0,OR(AUTOEVENTO&lt;&gt;"manual",$M135&lt;&gt;$A$15)),
        IF(Import.TipoArredondamento&lt;&gt;"TransfereGOV",
              ROUND(OFFSET($P135,0,AP$13),15-13*ORÇAMENTO!$AF$7)/$H135*OFFSET(ORÇAMENTO!$X$15,ROW(AP135)-ROW(AP$15),0),
              ROUND(ROUND(OFFSET($P135,0,AP$13),15-13*ORÇAMENTO!$AF$7)*OFFSET(ORÇAMENTO!$W$15,ROW(AP135)-ROW(AP$15),0),15-13*ORÇAMENTO!$AF$11)),
         0)</f>
        <v>0</v>
      </c>
      <c r="AQ135" s="453">
        <f ca="1">IF(AND($D135="Serviço",AQ$12&lt;&gt;0,$H135&gt;0,OR(AUTOEVENTO&lt;&gt;"manual",$M135&lt;&gt;$A$15)),
        IF(Import.TipoArredondamento&lt;&gt;"TransfereGOV",
              ROUND(OFFSET($P135,0,AQ$13),15-13*ORÇAMENTO!$AF$7)/$H135*OFFSET(ORÇAMENTO!$X$15,ROW(AQ135)-ROW(AQ$15),0),
              ROUND(ROUND(OFFSET($P135,0,AQ$13),15-13*ORÇAMENTO!$AF$7)*OFFSET(ORÇAMENTO!$W$15,ROW(AQ135)-ROW(AQ$15),0),15-13*ORÇAMENTO!$AF$11)),
         0)</f>
        <v>0</v>
      </c>
      <c r="AR135" s="453">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3">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3">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3">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3">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3">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3">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3">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3">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3">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C135" s="171">
        <f ca="1">IF(OR($D135&lt;&gt;"Serviço",AND(AUTOEVENTO="Manual",$M135=$A$15)),0,
         IF(OFFSET(CRONOPLE!$F$15,$M135-$A$15,BC$13)=0,10^12,OFFSET(CRONOPLE!$F$15,$M135-$A$15,BC$13)))</f>
        <v>1</v>
      </c>
      <c r="BD135" s="171">
        <f ca="1">IF(OR($D135&lt;&gt;"Serviço",AND(AUTOEVENTO="Manual",$M135=$A$15)),0,
         IF(OFFSET(CRONOPLE!$F$15,$M135-$A$15,BD$13)=0,10^12,OFFSET(CRONOPLE!$F$15,$M135-$A$15,BD$13)))</f>
        <v>2</v>
      </c>
      <c r="BE135" s="171">
        <f ca="1">IF(OR($D135&lt;&gt;"Serviço",AND(AUTOEVENTO="Manual",$M135=$A$15)),0,
         IF(OFFSET(CRONOPLE!$F$15,$M135-$A$15,BE$13)=0,10^12,OFFSET(CRONOPLE!$F$15,$M135-$A$15,BE$13)))</f>
        <v>3</v>
      </c>
      <c r="BF135" s="171">
        <f ca="1">IF(OR($D135&lt;&gt;"Serviço",AND(AUTOEVENTO="Manual",$M135=$A$15)),0,
         IF(OFFSET(CRONOPLE!$F$15,$M135-$A$15,BF$13)=0,10^12,OFFSET(CRONOPLE!$F$15,$M135-$A$15,BF$13)))</f>
        <v>4</v>
      </c>
      <c r="BG135" s="171">
        <f ca="1">IF(OR($D135&lt;&gt;"Serviço",AND(AUTOEVENTO="Manual",$M135=$A$15)),0,
         IF(OFFSET(CRONOPLE!$F$15,$M135-$A$15,BG$13)=0,10^12,OFFSET(CRONOPLE!$F$15,$M135-$A$15,BG$13)))</f>
        <v>5</v>
      </c>
      <c r="BH135" s="171">
        <f ca="1">IF(OR($D135&lt;&gt;"Serviço",AND(AUTOEVENTO="Manual",$M135=$A$15)),0,
         IF(OFFSET(CRONOPLE!$F$15,$M135-$A$15,BH$13)=0,10^12,OFFSET(CRONOPLE!$F$15,$M135-$A$15,BH$13)))</f>
        <v>6</v>
      </c>
      <c r="BI135" s="171">
        <f ca="1">IF(OR($D135&lt;&gt;"Serviço",AND(AUTOEVENTO="Manual",$M135=$A$15)),0,
         IF(OFFSET(CRONOPLE!$F$15,$M135-$A$15,BI$13)=0,10^12,OFFSET(CRONOPLE!$F$15,$M135-$A$15,BI$13)))</f>
        <v>7</v>
      </c>
      <c r="BJ135" s="171">
        <f ca="1">IF(OR($D135&lt;&gt;"Serviço",AND(AUTOEVENTO="Manual",$M135=$A$15)),0,
         IF(OFFSET(CRONOPLE!$F$15,$M135-$A$15,BJ$13)=0,10^12,OFFSET(CRONOPLE!$F$15,$M135-$A$15,BJ$13)))</f>
        <v>8</v>
      </c>
      <c r="BK135" s="171">
        <f ca="1">IF(OR($D135&lt;&gt;"Serviço",AND(AUTOEVENTO="Manual",$M135=$A$15)),0,
         IF(OFFSET(CRONOPLE!$F$15,$M135-$A$15,BK$13)=0,10^12,OFFSET(CRONOPLE!$F$15,$M135-$A$15,BK$13)))</f>
        <v>9</v>
      </c>
      <c r="BL135" s="171">
        <f ca="1">IF(OR($D135&lt;&gt;"Serviço",AND(AUTOEVENTO="Manual",$M135=$A$15)),0,
         IF(OFFSET(CRONOPLE!$F$15,$M135-$A$15,BL$13)=0,10^12,OFFSET(CRONOPLE!$F$15,$M135-$A$15,BL$13)))</f>
        <v>10</v>
      </c>
      <c r="BM135" s="171">
        <f ca="1">IF(OR($D135&lt;&gt;"Serviço",AND(AUTOEVENTO="Manual",$M135=$A$15)),0,
         IF(OFFSET(CRONOPLE!$F$15,$M135-$A$15,BM$13)=0,10^12,OFFSET(CRONOPLE!$F$15,$M135-$A$15,BM$13)))</f>
        <v>1000000000000</v>
      </c>
      <c r="BN135" s="171">
        <f ca="1">IF(OR($D135&lt;&gt;"Serviço",AND(AUTOEVENTO="Manual",$M135=$A$15)),0,
         IF(OFFSET(CRONOPLE!$F$15,$M135-$A$15,BN$13)=0,10^12,OFFSET(CRONOPLE!$F$15,$M135-$A$15,BN$13)))</f>
        <v>1000000000000</v>
      </c>
      <c r="BO135" s="171">
        <f ca="1">IF(OR($D135&lt;&gt;"Serviço",AND(AUTOEVENTO="Manual",$M135=$A$15)),0,
         IF(OFFSET(CRONOPLE!$F$15,$M135-$A$15,BO$13)=0,10^12,OFFSET(CRONOPLE!$F$15,$M135-$A$15,BO$13)))</f>
        <v>1000000000000</v>
      </c>
      <c r="BP135" s="171">
        <f ca="1">IF(OR($D135&lt;&gt;"Serviço",AND(AUTOEVENTO="Manual",$M135=$A$15)),0,
         IF(OFFSET(CRONOPLE!$F$15,$M135-$A$15,BP$13)=0,10^12,OFFSET(CRONOPLE!$F$15,$M135-$A$15,BP$13)))</f>
        <v>1000000000000</v>
      </c>
      <c r="BQ135" s="171">
        <f ca="1">IF(OR($D135&lt;&gt;"Serviço",AND(AUTOEVENTO="Manual",$M135=$A$15)),0,
         IF(OFFSET(CRONOPLE!$F$15,$M135-$A$15,BQ$13)=0,10^12,OFFSET(CRONOPLE!$F$15,$M135-$A$15,BQ$13)))</f>
        <v>1000000000000</v>
      </c>
      <c r="BR135" s="171">
        <f ca="1">IF(OR($D135&lt;&gt;"Serviço",AND(AUTOEVENTO="Manual",$M135=$A$15)),0,
         IF(OFFSET(CRONOPLE!$F$15,$M135-$A$15,BR$13)=0,10^12,OFFSET(CRONOPLE!$F$15,$M135-$A$15,BR$13)))</f>
        <v>1000000000000</v>
      </c>
      <c r="BS135" s="171">
        <f ca="1">IF(OR($D135&lt;&gt;"Serviço",AND(AUTOEVENTO="Manual",$M135=$A$15)),0,
         IF(OFFSET(CRONOPLE!$F$15,$M135-$A$15,BS$13)=0,10^12,OFFSET(CRONOPLE!$F$15,$M135-$A$15,BS$13)))</f>
        <v>1000000000000</v>
      </c>
      <c r="BT135" s="171">
        <f ca="1">IF(OR($D135&lt;&gt;"Serviço",AND(AUTOEVENTO="Manual",$M135=$A$15)),0,
         IF(OFFSET(CRONOPLE!$F$15,$M135-$A$15,BT$13)=0,10^12,OFFSET(CRONOPLE!$F$15,$M135-$A$15,BT$13)))</f>
        <v>1000000000000</v>
      </c>
      <c r="BV135" s="172">
        <f ca="1">IF(OR($D135&lt;&gt;"Serviço",AND(AUTOEVENTO="Manual",$M135=$A$15),$M135&gt;(ROW(PLE.lastrow)-ROW(PLE.firstrow))),0,
           IF(OFFSET(PLE!$G$15,$M135-$A$15,BV$13)="",10^12,OFFSET(PLE!$G$15,$M135-$A$15,BV$13)))</f>
        <v>1000000000000</v>
      </c>
      <c r="BW135" s="172">
        <f ca="1">IF(OR($D135&lt;&gt;"Serviço",AND(AUTOEVENTO="Manual",$M135=$A$15),$M135&gt;(ROW(PLE.lastrow)-ROW(PLE.firstrow))),0,
           IF(OFFSET(PLE!$G$15,$M135-$A$15,BW$13)="",10^12,OFFSET(PLE!$G$15,$M135-$A$15,BW$13)))</f>
        <v>1000000000000</v>
      </c>
      <c r="BX135" s="172">
        <f ca="1">IF(OR($D135&lt;&gt;"Serviço",AND(AUTOEVENTO="Manual",$M135=$A$15),$M135&gt;(ROW(PLE.lastrow)-ROW(PLE.firstrow))),0,
           IF(OFFSET(PLE!$G$15,$M135-$A$15,BX$13)="",10^12,OFFSET(PLE!$G$15,$M135-$A$15,BX$13)))</f>
        <v>1000000000000</v>
      </c>
      <c r="BY135" s="172">
        <f ca="1">IF(OR($D135&lt;&gt;"Serviço",AND(AUTOEVENTO="Manual",$M135=$A$15),$M135&gt;(ROW(PLE.lastrow)-ROW(PLE.firstrow))),0,
           IF(OFFSET(PLE!$G$15,$M135-$A$15,BY$13)="",10^12,OFFSET(PLE!$G$15,$M135-$A$15,BY$13)))</f>
        <v>1000000000000</v>
      </c>
      <c r="BZ135" s="172">
        <f ca="1">IF(OR($D135&lt;&gt;"Serviço",AND(AUTOEVENTO="Manual",$M135=$A$15),$M135&gt;(ROW(PLE.lastrow)-ROW(PLE.firstrow))),0,
           IF(OFFSET(PLE!$G$15,$M135-$A$15,BZ$13)="",10^12,OFFSET(PLE!$G$15,$M135-$A$15,BZ$13)))</f>
        <v>1000000000000</v>
      </c>
      <c r="CA135" s="172">
        <f ca="1">IF(OR($D135&lt;&gt;"Serviço",AND(AUTOEVENTO="Manual",$M135=$A$15),$M135&gt;(ROW(PLE.lastrow)-ROW(PLE.firstrow))),0,
           IF(OFFSET(PLE!$G$15,$M135-$A$15,CA$13)="",10^12,OFFSET(PLE!$G$15,$M135-$A$15,CA$13)))</f>
        <v>1000000000000</v>
      </c>
      <c r="CB135" s="172">
        <f ca="1">IF(OR($D135&lt;&gt;"Serviço",AND(AUTOEVENTO="Manual",$M135=$A$15),$M135&gt;(ROW(PLE.lastrow)-ROW(PLE.firstrow))),0,
           IF(OFFSET(PLE!$G$15,$M135-$A$15,CB$13)="",10^12,OFFSET(PLE!$G$15,$M135-$A$15,CB$13)))</f>
        <v>1000000000000</v>
      </c>
      <c r="CC135" s="172">
        <f ca="1">IF(OR($D135&lt;&gt;"Serviço",AND(AUTOEVENTO="Manual",$M135=$A$15),$M135&gt;(ROW(PLE.lastrow)-ROW(PLE.firstrow))),0,
           IF(OFFSET(PLE!$G$15,$M135-$A$15,CC$13)="",10^12,OFFSET(PLE!$G$15,$M135-$A$15,CC$13)))</f>
        <v>1000000000000</v>
      </c>
      <c r="CD135" s="172">
        <f ca="1">IF(OR($D135&lt;&gt;"Serviço",AND(AUTOEVENTO="Manual",$M135=$A$15),$M135&gt;(ROW(PLE.lastrow)-ROW(PLE.firstrow))),0,
           IF(OFFSET(PLE!$G$15,$M135-$A$15,CD$13)="",10^12,OFFSET(PLE!$G$15,$M135-$A$15,CD$13)))</f>
        <v>1000000000000</v>
      </c>
      <c r="CE135" s="172">
        <f ca="1">IF(OR($D135&lt;&gt;"Serviço",AND(AUTOEVENTO="Manual",$M135=$A$15),$M135&gt;(ROW(PLE.lastrow)-ROW(PLE.firstrow))),0,
           IF(OFFSET(PLE!$G$15,$M135-$A$15,CE$13)="",10^12,OFFSET(PLE!$G$15,$M135-$A$15,CE$13)))</f>
        <v>1000000000000</v>
      </c>
      <c r="CF135" s="172">
        <f ca="1">IF(OR($D135&lt;&gt;"Serviço",AND(AUTOEVENTO="Manual",$M135=$A$15),$M135&gt;(ROW(PLE.lastrow)-ROW(PLE.firstrow))),0,
           IF(OFFSET(PLE!$G$15,$M135-$A$15,CF$13)="",10^12,OFFSET(PLE!$G$15,$M135-$A$15,CF$13)))</f>
        <v>1000000000000</v>
      </c>
      <c r="CG135" s="172">
        <f ca="1">IF(OR($D135&lt;&gt;"Serviço",AND(AUTOEVENTO="Manual",$M135=$A$15),$M135&gt;(ROW(PLE.lastrow)-ROW(PLE.firstrow))),0,
           IF(OFFSET(PLE!$G$15,$M135-$A$15,CG$13)="",10^12,OFFSET(PLE!$G$15,$M135-$A$15,CG$13)))</f>
        <v>1000000000000</v>
      </c>
      <c r="CH135" s="172">
        <f ca="1">IF(OR($D135&lt;&gt;"Serviço",AND(AUTOEVENTO="Manual",$M135=$A$15),$M135&gt;(ROW(PLE.lastrow)-ROW(PLE.firstrow))),0,
           IF(OFFSET(PLE!$G$15,$M135-$A$15,CH$13)="",10^12,OFFSET(PLE!$G$15,$M135-$A$15,CH$13)))</f>
        <v>1000000000000</v>
      </c>
      <c r="CI135" s="172">
        <f ca="1">IF(OR($D135&lt;&gt;"Serviço",AND(AUTOEVENTO="Manual",$M135=$A$15),$M135&gt;(ROW(PLE.lastrow)-ROW(PLE.firstrow))),0,
           IF(OFFSET(PLE!$G$15,$M135-$A$15,CI$13)="",10^12,OFFSET(PLE!$G$15,$M135-$A$15,CI$13)))</f>
        <v>1000000000000</v>
      </c>
      <c r="CJ135" s="172">
        <f ca="1">IF(OR($D135&lt;&gt;"Serviço",AND(AUTOEVENTO="Manual",$M135=$A$15),$M135&gt;(ROW(PLE.lastrow)-ROW(PLE.firstrow))),0,
           IF(OFFSET(PLE!$G$15,$M135-$A$15,CJ$13)="",10^12,OFFSET(PLE!$G$15,$M135-$A$15,CJ$13)))</f>
        <v>1000000000000</v>
      </c>
      <c r="CK135" s="172">
        <f ca="1">IF(OR($D135&lt;&gt;"Serviço",AND(AUTOEVENTO="Manual",$M135=$A$15),$M135&gt;(ROW(PLE.lastrow)-ROW(PLE.firstrow))),0,
           IF(OFFSET(PLE!$G$15,$M135-$A$15,CK$13)="",10^12,OFFSET(PLE!$G$15,$M135-$A$15,CK$13)))</f>
        <v>1000000000000</v>
      </c>
      <c r="CL135" s="172">
        <f ca="1">IF(OR($D135&lt;&gt;"Serviço",AND(AUTOEVENTO="Manual",$M135=$A$15),$M135&gt;(ROW(PLE.lastrow)-ROW(PLE.firstrow))),0,
           IF(OFFSET(PLE!$G$15,$M135-$A$15,CL$13)="",10^12,OFFSET(PLE!$G$15,$M135-$A$15,CL$13)))</f>
        <v>1000000000000</v>
      </c>
      <c r="CM135" s="172">
        <f ca="1">IF(OR($D135&lt;&gt;"Serviço",AND(AUTOEVENTO="Manual",$M135=$A$15),$M135&gt;(ROW(PLE.lastrow)-ROW(PLE.firstrow))),0,
           IF(OFFSET(PLE!$G$15,$M135-$A$15,CM$13)="",10^12,OFFSET(PLE!$G$15,$M135-$A$15,CM$13)))</f>
        <v>1000000000000</v>
      </c>
    </row>
    <row r="136" spans="1:91" ht="51" x14ac:dyDescent="0.2">
      <c r="A136" s="7">
        <f t="shared" ca="1" si="11"/>
        <v>4</v>
      </c>
      <c r="B136" s="7" t="str">
        <f ca="1">OFFSET(ORÇAMENTO!C$15,ROW(B136)-ROW(B$15),0)</f>
        <v>S</v>
      </c>
      <c r="C136" s="7" t="str">
        <f ca="1">OFFSET(ORÇAMENTO!L$15,ROW(C136)-ROW(C$15),0)</f>
        <v>F</v>
      </c>
      <c r="D136" s="116" t="str">
        <f ca="1">OFFSET(ORÇAMENTO!N$15,ROW(D136)-ROW(D$15),0)</f>
        <v>Serviço</v>
      </c>
      <c r="E136" s="117" t="str">
        <f ca="1">OFFSET(ORÇAMENTO!O$15,ROW(E136)-ROW(E$15),0)</f>
        <v>1.5.3.0.2.</v>
      </c>
      <c r="F136" s="163" t="str">
        <f ca="1">OFFSET(ORÇAMENTO!R$15,ROW(F136)-ROW(F$15),0)</f>
        <v>LANÇAMENTO COM USO DE BOMBA, ADENSAMENTO E ACABAMENTO DE CONCRETO EM ESTRUTURAS. AF_02/2022</v>
      </c>
      <c r="G136" s="164" t="str">
        <f ca="1">IF($D136&lt;&gt;"Serviço","",OFFSET(ORÇAMENTO!S$15,ROW(G136)-ROW(G$15),0))</f>
        <v>M3</v>
      </c>
      <c r="H136" s="122" cm="1">
        <f t="array" aca="1" ref="H136" ca="1">IF($D136&lt;&gt;"Serviço",0,IF(ACOMPANHAMENTO="BM",ROUND(OFFSET(ORÇAMENTO!AJ$15,ROW(H136)-ROW(H$15),0),15-13*ORÇAMENTO!$AF$7),SUMPRODUCT(($Q$1:$AI$1=1)*ROUND($Q136:$AI136,15-13*ORÇAMENTO!$AF$7))))</f>
        <v>62.5</v>
      </c>
      <c r="I136" s="468" t="s">
        <v>1328</v>
      </c>
      <c r="J136" s="640" t="str" cm="1">
        <f t="array" aca="1" ref="J136" ca="1">IF(OR(B136&lt;&gt;"S",CÁLCULO.FrentesPreenchidas=0),"",IF(AND(ACOMPANHAMENTO="PLE",AUTOEVENTO="Manual",OR(H136&gt;0,ORÇAMENTO!AC136="QUANT."),OR(K136="",M136=0,N136="")),"►E",IF(AND(ACOMPANHAMENTO="PLE",ORÇAMENTO!AC136="QUANT."),"►Q",IF(AND(ACOMPANHAMENTO="PLE",H136&lt;&gt;SUMPRODUCT(($Q$1:$AI$1=1)*ROUND(Q136:AI136,15))),"►S",IF(AND(COUNTIF($P$11:$AI$11,"▼")=0,H136&gt;0,I136=""),"◄M","")))))</f>
        <v/>
      </c>
      <c r="K136" s="641" t="s">
        <v>1389</v>
      </c>
      <c r="L136" s="165" t="s">
        <v>764</v>
      </c>
      <c r="M136" s="166">
        <f ca="1">IF($D136&lt;&gt;"Serviço","",
          IF(AUTOEVENTO="manual",$A136,
                IF(ISERROR(MATCH($A136,$A$15:OFFSET($A136,-1,0),0)),MAX($M$15:OFFSET(M136,-1,0))+1,
                      INDEX($M$15:OFFSET(M136,-1,0),MATCH($A136,$A$15:OFFSET($A136,-1,0),0)))))</f>
        <v>4</v>
      </c>
      <c r="N136" s="167" t="str">
        <f ca="1">IF($D136&lt;&gt;"Serviço","",
         IF(AUTOEVENTO="Manual",
                IF($A136=0,"&lt;-- defina o número do agrupador",
                       OFFSET(EVENTOS!$D$15,$A136-$A$15,0)),
                OFFSET($F$15,$A136,0)))</f>
        <v>Estruturas de Concreto</v>
      </c>
      <c r="O136" s="168"/>
      <c r="Q136" s="168"/>
      <c r="R136" s="169"/>
      <c r="S136" s="169"/>
      <c r="T136" s="169"/>
      <c r="U136" s="169">
        <f>U135</f>
        <v>62.5</v>
      </c>
      <c r="V136" s="169"/>
      <c r="W136" s="169"/>
      <c r="X136" s="169"/>
      <c r="Y136" s="169"/>
      <c r="Z136" s="170"/>
      <c r="AA136" s="169"/>
      <c r="AB136" s="169"/>
      <c r="AC136" s="169"/>
      <c r="AD136" s="169"/>
      <c r="AE136" s="169"/>
      <c r="AF136" s="169"/>
      <c r="AG136" s="169"/>
      <c r="AH136" s="170"/>
      <c r="AJ136" s="453">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0</v>
      </c>
      <c r="AK136" s="453">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0</v>
      </c>
      <c r="AL136" s="453">
        <f ca="1">IF(AND($D136="Serviço",AL$12&lt;&gt;0,$H136&gt;0,OR(AUTOEVENTO&lt;&gt;"manual",$M136&lt;&gt;$A$15)),
        IF(Import.TipoArredondamento&lt;&gt;"TransfereGOV",
              ROUND(OFFSET($P136,0,AL$13),15-13*ORÇAMENTO!$AF$7)/$H136*OFFSET(ORÇAMENTO!$X$15,ROW(AL136)-ROW(AL$15),0),
              ROUND(ROUND(OFFSET($P136,0,AL$13),15-13*ORÇAMENTO!$AF$7)*OFFSET(ORÇAMENTO!$W$15,ROW(AL136)-ROW(AL$15),0),15-13*ORÇAMENTO!$AF$11)),
         0)</f>
        <v>0</v>
      </c>
      <c r="AM136" s="453">
        <f ca="1">IF(AND($D136="Serviço",AM$12&lt;&gt;0,$H136&gt;0,OR(AUTOEVENTO&lt;&gt;"manual",$M136&lt;&gt;$A$15)),
        IF(Import.TipoArredondamento&lt;&gt;"TransfereGOV",
              ROUND(OFFSET($P136,0,AM$13),15-13*ORÇAMENTO!$AF$7)/$H136*OFFSET(ORÇAMENTO!$X$15,ROW(AM136)-ROW(AM$15),0),
              ROUND(ROUND(OFFSET($P136,0,AM$13),15-13*ORÇAMENTO!$AF$7)*OFFSET(ORÇAMENTO!$W$15,ROW(AM136)-ROW(AM$15),0),15-13*ORÇAMENTO!$AF$11)),
         0)</f>
        <v>0</v>
      </c>
      <c r="AN136" s="453">
        <f ca="1">IF(AND($D136="Serviço",AN$12&lt;&gt;0,$H136&gt;0,OR(AUTOEVENTO&lt;&gt;"manual",$M136&lt;&gt;$A$15)),
        IF(Import.TipoArredondamento&lt;&gt;"TransfereGOV",
              ROUND(OFFSET($P136,0,AN$13),15-13*ORÇAMENTO!$AF$7)/$H136*OFFSET(ORÇAMENTO!$X$15,ROW(AN136)-ROW(AN$15),0),
              ROUND(ROUND(OFFSET($P136,0,AN$13),15-13*ORÇAMENTO!$AF$7)*OFFSET(ORÇAMENTO!$W$15,ROW(AN136)-ROW(AN$15),0),15-13*ORÇAMENTO!$AF$11)),
         0)</f>
        <v>0</v>
      </c>
      <c r="AO136" s="453">
        <f ca="1">IF(AND($D136="Serviço",AO$12&lt;&gt;0,$H136&gt;0,OR(AUTOEVENTO&lt;&gt;"manual",$M136&lt;&gt;$A$15)),
        IF(Import.TipoArredondamento&lt;&gt;"TransfereGOV",
              ROUND(OFFSET($P136,0,AO$13),15-13*ORÇAMENTO!$AF$7)/$H136*OFFSET(ORÇAMENTO!$X$15,ROW(AO136)-ROW(AO$15),0),
              ROUND(ROUND(OFFSET($P136,0,AO$13),15-13*ORÇAMENTO!$AF$7)*OFFSET(ORÇAMENTO!$W$15,ROW(AO136)-ROW(AO$15),0),15-13*ORÇAMENTO!$AF$11)),
         0)</f>
        <v>0</v>
      </c>
      <c r="AP136" s="453">
        <f ca="1">IF(AND($D136="Serviço",AP$12&lt;&gt;0,$H136&gt;0,OR(AUTOEVENTO&lt;&gt;"manual",$M136&lt;&gt;$A$15)),
        IF(Import.TipoArredondamento&lt;&gt;"TransfereGOV",
              ROUND(OFFSET($P136,0,AP$13),15-13*ORÇAMENTO!$AF$7)/$H136*OFFSET(ORÇAMENTO!$X$15,ROW(AP136)-ROW(AP$15),0),
              ROUND(ROUND(OFFSET($P136,0,AP$13),15-13*ORÇAMENTO!$AF$7)*OFFSET(ORÇAMENTO!$W$15,ROW(AP136)-ROW(AP$15),0),15-13*ORÇAMENTO!$AF$11)),
         0)</f>
        <v>0</v>
      </c>
      <c r="AQ136" s="453">
        <f ca="1">IF(AND($D136="Serviço",AQ$12&lt;&gt;0,$H136&gt;0,OR(AUTOEVENTO&lt;&gt;"manual",$M136&lt;&gt;$A$15)),
        IF(Import.TipoArredondamento&lt;&gt;"TransfereGOV",
              ROUND(OFFSET($P136,0,AQ$13),15-13*ORÇAMENTO!$AF$7)/$H136*OFFSET(ORÇAMENTO!$X$15,ROW(AQ136)-ROW(AQ$15),0),
              ROUND(ROUND(OFFSET($P136,0,AQ$13),15-13*ORÇAMENTO!$AF$7)*OFFSET(ORÇAMENTO!$W$15,ROW(AQ136)-ROW(AQ$15),0),15-13*ORÇAMENTO!$AF$11)),
         0)</f>
        <v>0</v>
      </c>
      <c r="AR136" s="453">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3">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3">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3">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3">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3">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3">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3">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3">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3">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C136" s="171">
        <f ca="1">IF(OR($D136&lt;&gt;"Serviço",AND(AUTOEVENTO="Manual",$M136=$A$15)),0,
         IF(OFFSET(CRONOPLE!$F$15,$M136-$A$15,BC$13)=0,10^12,OFFSET(CRONOPLE!$F$15,$M136-$A$15,BC$13)))</f>
        <v>1</v>
      </c>
      <c r="BD136" s="171">
        <f ca="1">IF(OR($D136&lt;&gt;"Serviço",AND(AUTOEVENTO="Manual",$M136=$A$15)),0,
         IF(OFFSET(CRONOPLE!$F$15,$M136-$A$15,BD$13)=0,10^12,OFFSET(CRONOPLE!$F$15,$M136-$A$15,BD$13)))</f>
        <v>2</v>
      </c>
      <c r="BE136" s="171">
        <f ca="1">IF(OR($D136&lt;&gt;"Serviço",AND(AUTOEVENTO="Manual",$M136=$A$15)),0,
         IF(OFFSET(CRONOPLE!$F$15,$M136-$A$15,BE$13)=0,10^12,OFFSET(CRONOPLE!$F$15,$M136-$A$15,BE$13)))</f>
        <v>3</v>
      </c>
      <c r="BF136" s="171">
        <f ca="1">IF(OR($D136&lt;&gt;"Serviço",AND(AUTOEVENTO="Manual",$M136=$A$15)),0,
         IF(OFFSET(CRONOPLE!$F$15,$M136-$A$15,BF$13)=0,10^12,OFFSET(CRONOPLE!$F$15,$M136-$A$15,BF$13)))</f>
        <v>4</v>
      </c>
      <c r="BG136" s="171">
        <f ca="1">IF(OR($D136&lt;&gt;"Serviço",AND(AUTOEVENTO="Manual",$M136=$A$15)),0,
         IF(OFFSET(CRONOPLE!$F$15,$M136-$A$15,BG$13)=0,10^12,OFFSET(CRONOPLE!$F$15,$M136-$A$15,BG$13)))</f>
        <v>5</v>
      </c>
      <c r="BH136" s="171">
        <f ca="1">IF(OR($D136&lt;&gt;"Serviço",AND(AUTOEVENTO="Manual",$M136=$A$15)),0,
         IF(OFFSET(CRONOPLE!$F$15,$M136-$A$15,BH$13)=0,10^12,OFFSET(CRONOPLE!$F$15,$M136-$A$15,BH$13)))</f>
        <v>6</v>
      </c>
      <c r="BI136" s="171">
        <f ca="1">IF(OR($D136&lt;&gt;"Serviço",AND(AUTOEVENTO="Manual",$M136=$A$15)),0,
         IF(OFFSET(CRONOPLE!$F$15,$M136-$A$15,BI$13)=0,10^12,OFFSET(CRONOPLE!$F$15,$M136-$A$15,BI$13)))</f>
        <v>7</v>
      </c>
      <c r="BJ136" s="171">
        <f ca="1">IF(OR($D136&lt;&gt;"Serviço",AND(AUTOEVENTO="Manual",$M136=$A$15)),0,
         IF(OFFSET(CRONOPLE!$F$15,$M136-$A$15,BJ$13)=0,10^12,OFFSET(CRONOPLE!$F$15,$M136-$A$15,BJ$13)))</f>
        <v>8</v>
      </c>
      <c r="BK136" s="171">
        <f ca="1">IF(OR($D136&lt;&gt;"Serviço",AND(AUTOEVENTO="Manual",$M136=$A$15)),0,
         IF(OFFSET(CRONOPLE!$F$15,$M136-$A$15,BK$13)=0,10^12,OFFSET(CRONOPLE!$F$15,$M136-$A$15,BK$13)))</f>
        <v>9</v>
      </c>
      <c r="BL136" s="171">
        <f ca="1">IF(OR($D136&lt;&gt;"Serviço",AND(AUTOEVENTO="Manual",$M136=$A$15)),0,
         IF(OFFSET(CRONOPLE!$F$15,$M136-$A$15,BL$13)=0,10^12,OFFSET(CRONOPLE!$F$15,$M136-$A$15,BL$13)))</f>
        <v>10</v>
      </c>
      <c r="BM136" s="171">
        <f ca="1">IF(OR($D136&lt;&gt;"Serviço",AND(AUTOEVENTO="Manual",$M136=$A$15)),0,
         IF(OFFSET(CRONOPLE!$F$15,$M136-$A$15,BM$13)=0,10^12,OFFSET(CRONOPLE!$F$15,$M136-$A$15,BM$13)))</f>
        <v>1000000000000</v>
      </c>
      <c r="BN136" s="171">
        <f ca="1">IF(OR($D136&lt;&gt;"Serviço",AND(AUTOEVENTO="Manual",$M136=$A$15)),0,
         IF(OFFSET(CRONOPLE!$F$15,$M136-$A$15,BN$13)=0,10^12,OFFSET(CRONOPLE!$F$15,$M136-$A$15,BN$13)))</f>
        <v>1000000000000</v>
      </c>
      <c r="BO136" s="171">
        <f ca="1">IF(OR($D136&lt;&gt;"Serviço",AND(AUTOEVENTO="Manual",$M136=$A$15)),0,
         IF(OFFSET(CRONOPLE!$F$15,$M136-$A$15,BO$13)=0,10^12,OFFSET(CRONOPLE!$F$15,$M136-$A$15,BO$13)))</f>
        <v>1000000000000</v>
      </c>
      <c r="BP136" s="171">
        <f ca="1">IF(OR($D136&lt;&gt;"Serviço",AND(AUTOEVENTO="Manual",$M136=$A$15)),0,
         IF(OFFSET(CRONOPLE!$F$15,$M136-$A$15,BP$13)=0,10^12,OFFSET(CRONOPLE!$F$15,$M136-$A$15,BP$13)))</f>
        <v>1000000000000</v>
      </c>
      <c r="BQ136" s="171">
        <f ca="1">IF(OR($D136&lt;&gt;"Serviço",AND(AUTOEVENTO="Manual",$M136=$A$15)),0,
         IF(OFFSET(CRONOPLE!$F$15,$M136-$A$15,BQ$13)=0,10^12,OFFSET(CRONOPLE!$F$15,$M136-$A$15,BQ$13)))</f>
        <v>1000000000000</v>
      </c>
      <c r="BR136" s="171">
        <f ca="1">IF(OR($D136&lt;&gt;"Serviço",AND(AUTOEVENTO="Manual",$M136=$A$15)),0,
         IF(OFFSET(CRONOPLE!$F$15,$M136-$A$15,BR$13)=0,10^12,OFFSET(CRONOPLE!$F$15,$M136-$A$15,BR$13)))</f>
        <v>1000000000000</v>
      </c>
      <c r="BS136" s="171">
        <f ca="1">IF(OR($D136&lt;&gt;"Serviço",AND(AUTOEVENTO="Manual",$M136=$A$15)),0,
         IF(OFFSET(CRONOPLE!$F$15,$M136-$A$15,BS$13)=0,10^12,OFFSET(CRONOPLE!$F$15,$M136-$A$15,BS$13)))</f>
        <v>1000000000000</v>
      </c>
      <c r="BT136" s="171">
        <f ca="1">IF(OR($D136&lt;&gt;"Serviço",AND(AUTOEVENTO="Manual",$M136=$A$15)),0,
         IF(OFFSET(CRONOPLE!$F$15,$M136-$A$15,BT$13)=0,10^12,OFFSET(CRONOPLE!$F$15,$M136-$A$15,BT$13)))</f>
        <v>1000000000000</v>
      </c>
      <c r="BV136" s="172">
        <f ca="1">IF(OR($D136&lt;&gt;"Serviço",AND(AUTOEVENTO="Manual",$M136=$A$15),$M136&gt;(ROW(PLE.lastrow)-ROW(PLE.firstrow))),0,
           IF(OFFSET(PLE!$G$15,$M136-$A$15,BV$13)="",10^12,OFFSET(PLE!$G$15,$M136-$A$15,BV$13)))</f>
        <v>1000000000000</v>
      </c>
      <c r="BW136" s="172">
        <f ca="1">IF(OR($D136&lt;&gt;"Serviço",AND(AUTOEVENTO="Manual",$M136=$A$15),$M136&gt;(ROW(PLE.lastrow)-ROW(PLE.firstrow))),0,
           IF(OFFSET(PLE!$G$15,$M136-$A$15,BW$13)="",10^12,OFFSET(PLE!$G$15,$M136-$A$15,BW$13)))</f>
        <v>1000000000000</v>
      </c>
      <c r="BX136" s="172">
        <f ca="1">IF(OR($D136&lt;&gt;"Serviço",AND(AUTOEVENTO="Manual",$M136=$A$15),$M136&gt;(ROW(PLE.lastrow)-ROW(PLE.firstrow))),0,
           IF(OFFSET(PLE!$G$15,$M136-$A$15,BX$13)="",10^12,OFFSET(PLE!$G$15,$M136-$A$15,BX$13)))</f>
        <v>1000000000000</v>
      </c>
      <c r="BY136" s="172">
        <f ca="1">IF(OR($D136&lt;&gt;"Serviço",AND(AUTOEVENTO="Manual",$M136=$A$15),$M136&gt;(ROW(PLE.lastrow)-ROW(PLE.firstrow))),0,
           IF(OFFSET(PLE!$G$15,$M136-$A$15,BY$13)="",10^12,OFFSET(PLE!$G$15,$M136-$A$15,BY$13)))</f>
        <v>1000000000000</v>
      </c>
      <c r="BZ136" s="172">
        <f ca="1">IF(OR($D136&lt;&gt;"Serviço",AND(AUTOEVENTO="Manual",$M136=$A$15),$M136&gt;(ROW(PLE.lastrow)-ROW(PLE.firstrow))),0,
           IF(OFFSET(PLE!$G$15,$M136-$A$15,BZ$13)="",10^12,OFFSET(PLE!$G$15,$M136-$A$15,BZ$13)))</f>
        <v>1000000000000</v>
      </c>
      <c r="CA136" s="172">
        <f ca="1">IF(OR($D136&lt;&gt;"Serviço",AND(AUTOEVENTO="Manual",$M136=$A$15),$M136&gt;(ROW(PLE.lastrow)-ROW(PLE.firstrow))),0,
           IF(OFFSET(PLE!$G$15,$M136-$A$15,CA$13)="",10^12,OFFSET(PLE!$G$15,$M136-$A$15,CA$13)))</f>
        <v>1000000000000</v>
      </c>
      <c r="CB136" s="172">
        <f ca="1">IF(OR($D136&lt;&gt;"Serviço",AND(AUTOEVENTO="Manual",$M136=$A$15),$M136&gt;(ROW(PLE.lastrow)-ROW(PLE.firstrow))),0,
           IF(OFFSET(PLE!$G$15,$M136-$A$15,CB$13)="",10^12,OFFSET(PLE!$G$15,$M136-$A$15,CB$13)))</f>
        <v>1000000000000</v>
      </c>
      <c r="CC136" s="172">
        <f ca="1">IF(OR($D136&lt;&gt;"Serviço",AND(AUTOEVENTO="Manual",$M136=$A$15),$M136&gt;(ROW(PLE.lastrow)-ROW(PLE.firstrow))),0,
           IF(OFFSET(PLE!$G$15,$M136-$A$15,CC$13)="",10^12,OFFSET(PLE!$G$15,$M136-$A$15,CC$13)))</f>
        <v>1000000000000</v>
      </c>
      <c r="CD136" s="172">
        <f ca="1">IF(OR($D136&lt;&gt;"Serviço",AND(AUTOEVENTO="Manual",$M136=$A$15),$M136&gt;(ROW(PLE.lastrow)-ROW(PLE.firstrow))),0,
           IF(OFFSET(PLE!$G$15,$M136-$A$15,CD$13)="",10^12,OFFSET(PLE!$G$15,$M136-$A$15,CD$13)))</f>
        <v>1000000000000</v>
      </c>
      <c r="CE136" s="172">
        <f ca="1">IF(OR($D136&lt;&gt;"Serviço",AND(AUTOEVENTO="Manual",$M136=$A$15),$M136&gt;(ROW(PLE.lastrow)-ROW(PLE.firstrow))),0,
           IF(OFFSET(PLE!$G$15,$M136-$A$15,CE$13)="",10^12,OFFSET(PLE!$G$15,$M136-$A$15,CE$13)))</f>
        <v>1000000000000</v>
      </c>
      <c r="CF136" s="172">
        <f ca="1">IF(OR($D136&lt;&gt;"Serviço",AND(AUTOEVENTO="Manual",$M136=$A$15),$M136&gt;(ROW(PLE.lastrow)-ROW(PLE.firstrow))),0,
           IF(OFFSET(PLE!$G$15,$M136-$A$15,CF$13)="",10^12,OFFSET(PLE!$G$15,$M136-$A$15,CF$13)))</f>
        <v>1000000000000</v>
      </c>
      <c r="CG136" s="172">
        <f ca="1">IF(OR($D136&lt;&gt;"Serviço",AND(AUTOEVENTO="Manual",$M136=$A$15),$M136&gt;(ROW(PLE.lastrow)-ROW(PLE.firstrow))),0,
           IF(OFFSET(PLE!$G$15,$M136-$A$15,CG$13)="",10^12,OFFSET(PLE!$G$15,$M136-$A$15,CG$13)))</f>
        <v>1000000000000</v>
      </c>
      <c r="CH136" s="172">
        <f ca="1">IF(OR($D136&lt;&gt;"Serviço",AND(AUTOEVENTO="Manual",$M136=$A$15),$M136&gt;(ROW(PLE.lastrow)-ROW(PLE.firstrow))),0,
           IF(OFFSET(PLE!$G$15,$M136-$A$15,CH$13)="",10^12,OFFSET(PLE!$G$15,$M136-$A$15,CH$13)))</f>
        <v>1000000000000</v>
      </c>
      <c r="CI136" s="172">
        <f ca="1">IF(OR($D136&lt;&gt;"Serviço",AND(AUTOEVENTO="Manual",$M136=$A$15),$M136&gt;(ROW(PLE.lastrow)-ROW(PLE.firstrow))),0,
           IF(OFFSET(PLE!$G$15,$M136-$A$15,CI$13)="",10^12,OFFSET(PLE!$G$15,$M136-$A$15,CI$13)))</f>
        <v>1000000000000</v>
      </c>
      <c r="CJ136" s="172">
        <f ca="1">IF(OR($D136&lt;&gt;"Serviço",AND(AUTOEVENTO="Manual",$M136=$A$15),$M136&gt;(ROW(PLE.lastrow)-ROW(PLE.firstrow))),0,
           IF(OFFSET(PLE!$G$15,$M136-$A$15,CJ$13)="",10^12,OFFSET(PLE!$G$15,$M136-$A$15,CJ$13)))</f>
        <v>1000000000000</v>
      </c>
      <c r="CK136" s="172">
        <f ca="1">IF(OR($D136&lt;&gt;"Serviço",AND(AUTOEVENTO="Manual",$M136=$A$15),$M136&gt;(ROW(PLE.lastrow)-ROW(PLE.firstrow))),0,
           IF(OFFSET(PLE!$G$15,$M136-$A$15,CK$13)="",10^12,OFFSET(PLE!$G$15,$M136-$A$15,CK$13)))</f>
        <v>1000000000000</v>
      </c>
      <c r="CL136" s="172">
        <f ca="1">IF(OR($D136&lt;&gt;"Serviço",AND(AUTOEVENTO="Manual",$M136=$A$15),$M136&gt;(ROW(PLE.lastrow)-ROW(PLE.firstrow))),0,
           IF(OFFSET(PLE!$G$15,$M136-$A$15,CL$13)="",10^12,OFFSET(PLE!$G$15,$M136-$A$15,CL$13)))</f>
        <v>1000000000000</v>
      </c>
      <c r="CM136" s="172">
        <f ca="1">IF(OR($D136&lt;&gt;"Serviço",AND(AUTOEVENTO="Manual",$M136=$A$15),$M136&gt;(ROW(PLE.lastrow)-ROW(PLE.firstrow))),0,
           IF(OFFSET(PLE!$G$15,$M136-$A$15,CM$13)="",10^12,OFFSET(PLE!$G$15,$M136-$A$15,CM$13)))</f>
        <v>1000000000000</v>
      </c>
    </row>
    <row r="137" spans="1:91" ht="51" x14ac:dyDescent="0.2">
      <c r="A137" s="7">
        <f t="shared" ca="1" si="11"/>
        <v>4</v>
      </c>
      <c r="B137" s="7" t="str">
        <f ca="1">OFFSET(ORÇAMENTO!C$15,ROW(B137)-ROW(B$15),0)</f>
        <v>S</v>
      </c>
      <c r="C137" s="7" t="str">
        <f ca="1">OFFSET(ORÇAMENTO!L$15,ROW(C137)-ROW(C$15),0)</f>
        <v>F</v>
      </c>
      <c r="D137" s="116" t="str">
        <f ca="1">OFFSET(ORÇAMENTO!N$15,ROW(D137)-ROW(D$15),0)</f>
        <v>Serviço</v>
      </c>
      <c r="E137" s="117" t="str">
        <f ca="1">OFFSET(ORÇAMENTO!O$15,ROW(E137)-ROW(E$15),0)</f>
        <v>1.5.3.0.3.</v>
      </c>
      <c r="F137" s="163" t="str">
        <f ca="1">OFFSET(ORÇAMENTO!R$15,ROW(F137)-ROW(F$15),0)</f>
        <v>FÔRMAS DE COMPENSADO RESINADO 10 MM - USO GERAL - UTILIZAÇÃO DE 3 VEZES - CONFECÇÃO, INSTALAÇÃO E RETIRADA</v>
      </c>
      <c r="G137" s="164" t="str">
        <f ca="1">IF($D137&lt;&gt;"Serviço","",OFFSET(ORÇAMENTO!S$15,ROW(G137)-ROW(G$15),0))</f>
        <v>M2</v>
      </c>
      <c r="H137" s="122" cm="1">
        <f t="array" aca="1" ref="H137" ca="1">IF($D137&lt;&gt;"Serviço",0,IF(ACOMPANHAMENTO="BM",ROUND(OFFSET(ORÇAMENTO!AJ$15,ROW(H137)-ROW(H$15),0),15-13*ORÇAMENTO!$AF$7),SUMPRODUCT(($Q$1:$AI$1=1)*ROUND($Q137:$AI137,15-13*ORÇAMENTO!$AF$7))))</f>
        <v>449.12</v>
      </c>
      <c r="I137" s="468" t="s">
        <v>1328</v>
      </c>
      <c r="J137" s="640" t="str" cm="1">
        <f t="array" aca="1" ref="J137" ca="1">IF(OR(B137&lt;&gt;"S",CÁLCULO.FrentesPreenchidas=0),"",IF(AND(ACOMPANHAMENTO="PLE",AUTOEVENTO="Manual",OR(H137&gt;0,ORÇAMENTO!AC137="QUANT."),OR(K137="",M137=0,N137="")),"►E",IF(AND(ACOMPANHAMENTO="PLE",ORÇAMENTO!AC137="QUANT."),"►Q",IF(AND(ACOMPANHAMENTO="PLE",H137&lt;&gt;SUMPRODUCT(($Q$1:$AI$1=1)*ROUND(Q137:AI137,15))),"►S",IF(AND(COUNTIF($P$11:$AI$11,"▼")=0,H137&gt;0,I137=""),"◄M","")))))</f>
        <v/>
      </c>
      <c r="K137" s="641" t="s">
        <v>1389</v>
      </c>
      <c r="L137" s="165" t="s">
        <v>764</v>
      </c>
      <c r="M137" s="166">
        <f ca="1">IF($D137&lt;&gt;"Serviço","",
          IF(AUTOEVENTO="manual",$A137,
                IF(ISERROR(MATCH($A137,$A$15:OFFSET($A137,-1,0),0)),MAX($M$15:OFFSET(M137,-1,0))+1,
                      INDEX($M$15:OFFSET(M137,-1,0),MATCH($A137,$A$15:OFFSET($A137,-1,0),0)))))</f>
        <v>4</v>
      </c>
      <c r="N137" s="167" t="str">
        <f ca="1">IF($D137&lt;&gt;"Serviço","",
         IF(AUTOEVENTO="Manual",
                IF($A137=0,"&lt;-- defina o número do agrupador",
                       OFFSET(EVENTOS!$D$15,$A137-$A$15,0)),
                OFFSET($F$15,$A137,0)))</f>
        <v>Estruturas de Concreto</v>
      </c>
      <c r="O137" s="168"/>
      <c r="Q137" s="168"/>
      <c r="R137" s="169"/>
      <c r="S137" s="169"/>
      <c r="T137" s="169"/>
      <c r="U137" s="169">
        <v>449.12</v>
      </c>
      <c r="V137" s="169"/>
      <c r="W137" s="169"/>
      <c r="X137" s="169"/>
      <c r="Y137" s="169"/>
      <c r="Z137" s="170"/>
      <c r="AA137" s="169"/>
      <c r="AB137" s="169"/>
      <c r="AC137" s="169"/>
      <c r="AD137" s="169"/>
      <c r="AE137" s="169"/>
      <c r="AF137" s="169"/>
      <c r="AG137" s="169"/>
      <c r="AH137" s="170"/>
      <c r="AJ137" s="453">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3">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L137" s="453">
        <f ca="1">IF(AND($D137="Serviço",AL$12&lt;&gt;0,$H137&gt;0,OR(AUTOEVENTO&lt;&gt;"manual",$M137&lt;&gt;$A$15)),
        IF(Import.TipoArredondamento&lt;&gt;"TransfereGOV",
              ROUND(OFFSET($P137,0,AL$13),15-13*ORÇAMENTO!$AF$7)/$H137*OFFSET(ORÇAMENTO!$X$15,ROW(AL137)-ROW(AL$15),0),
              ROUND(ROUND(OFFSET($P137,0,AL$13),15-13*ORÇAMENTO!$AF$7)*OFFSET(ORÇAMENTO!$W$15,ROW(AL137)-ROW(AL$15),0),15-13*ORÇAMENTO!$AF$11)),
         0)</f>
        <v>0</v>
      </c>
      <c r="AM137" s="453">
        <f ca="1">IF(AND($D137="Serviço",AM$12&lt;&gt;0,$H137&gt;0,OR(AUTOEVENTO&lt;&gt;"manual",$M137&lt;&gt;$A$15)),
        IF(Import.TipoArredondamento&lt;&gt;"TransfereGOV",
              ROUND(OFFSET($P137,0,AM$13),15-13*ORÇAMENTO!$AF$7)/$H137*OFFSET(ORÇAMENTO!$X$15,ROW(AM137)-ROW(AM$15),0),
              ROUND(ROUND(OFFSET($P137,0,AM$13),15-13*ORÇAMENTO!$AF$7)*OFFSET(ORÇAMENTO!$W$15,ROW(AM137)-ROW(AM$15),0),15-13*ORÇAMENTO!$AF$11)),
         0)</f>
        <v>0</v>
      </c>
      <c r="AN137" s="453">
        <f ca="1">IF(AND($D137="Serviço",AN$12&lt;&gt;0,$H137&gt;0,OR(AUTOEVENTO&lt;&gt;"manual",$M137&lt;&gt;$A$15)),
        IF(Import.TipoArredondamento&lt;&gt;"TransfereGOV",
              ROUND(OFFSET($P137,0,AN$13),15-13*ORÇAMENTO!$AF$7)/$H137*OFFSET(ORÇAMENTO!$X$15,ROW(AN137)-ROW(AN$15),0),
              ROUND(ROUND(OFFSET($P137,0,AN$13),15-13*ORÇAMENTO!$AF$7)*OFFSET(ORÇAMENTO!$W$15,ROW(AN137)-ROW(AN$15),0),15-13*ORÇAMENTO!$AF$11)),
         0)</f>
        <v>0</v>
      </c>
      <c r="AO137" s="453">
        <f ca="1">IF(AND($D137="Serviço",AO$12&lt;&gt;0,$H137&gt;0,OR(AUTOEVENTO&lt;&gt;"manual",$M137&lt;&gt;$A$15)),
        IF(Import.TipoArredondamento&lt;&gt;"TransfereGOV",
              ROUND(OFFSET($P137,0,AO$13),15-13*ORÇAMENTO!$AF$7)/$H137*OFFSET(ORÇAMENTO!$X$15,ROW(AO137)-ROW(AO$15),0),
              ROUND(ROUND(OFFSET($P137,0,AO$13),15-13*ORÇAMENTO!$AF$7)*OFFSET(ORÇAMENTO!$W$15,ROW(AO137)-ROW(AO$15),0),15-13*ORÇAMENTO!$AF$11)),
         0)</f>
        <v>0</v>
      </c>
      <c r="AP137" s="453">
        <f ca="1">IF(AND($D137="Serviço",AP$12&lt;&gt;0,$H137&gt;0,OR(AUTOEVENTO&lt;&gt;"manual",$M137&lt;&gt;$A$15)),
        IF(Import.TipoArredondamento&lt;&gt;"TransfereGOV",
              ROUND(OFFSET($P137,0,AP$13),15-13*ORÇAMENTO!$AF$7)/$H137*OFFSET(ORÇAMENTO!$X$15,ROW(AP137)-ROW(AP$15),0),
              ROUND(ROUND(OFFSET($P137,0,AP$13),15-13*ORÇAMENTO!$AF$7)*OFFSET(ORÇAMENTO!$W$15,ROW(AP137)-ROW(AP$15),0),15-13*ORÇAMENTO!$AF$11)),
         0)</f>
        <v>0</v>
      </c>
      <c r="AQ137" s="453">
        <f ca="1">IF(AND($D137="Serviço",AQ$12&lt;&gt;0,$H137&gt;0,OR(AUTOEVENTO&lt;&gt;"manual",$M137&lt;&gt;$A$15)),
        IF(Import.TipoArredondamento&lt;&gt;"TransfereGOV",
              ROUND(OFFSET($P137,0,AQ$13),15-13*ORÇAMENTO!$AF$7)/$H137*OFFSET(ORÇAMENTO!$X$15,ROW(AQ137)-ROW(AQ$15),0),
              ROUND(ROUND(OFFSET($P137,0,AQ$13),15-13*ORÇAMENTO!$AF$7)*OFFSET(ORÇAMENTO!$W$15,ROW(AQ137)-ROW(AQ$15),0),15-13*ORÇAMENTO!$AF$11)),
         0)</f>
        <v>0</v>
      </c>
      <c r="AR137" s="453">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3">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3">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3">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3">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3">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3">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3">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3">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3">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C137" s="171">
        <f ca="1">IF(OR($D137&lt;&gt;"Serviço",AND(AUTOEVENTO="Manual",$M137=$A$15)),0,
         IF(OFFSET(CRONOPLE!$F$15,$M137-$A$15,BC$13)=0,10^12,OFFSET(CRONOPLE!$F$15,$M137-$A$15,BC$13)))</f>
        <v>1</v>
      </c>
      <c r="BD137" s="171">
        <f ca="1">IF(OR($D137&lt;&gt;"Serviço",AND(AUTOEVENTO="Manual",$M137=$A$15)),0,
         IF(OFFSET(CRONOPLE!$F$15,$M137-$A$15,BD$13)=0,10^12,OFFSET(CRONOPLE!$F$15,$M137-$A$15,BD$13)))</f>
        <v>2</v>
      </c>
      <c r="BE137" s="171">
        <f ca="1">IF(OR($D137&lt;&gt;"Serviço",AND(AUTOEVENTO="Manual",$M137=$A$15)),0,
         IF(OFFSET(CRONOPLE!$F$15,$M137-$A$15,BE$13)=0,10^12,OFFSET(CRONOPLE!$F$15,$M137-$A$15,BE$13)))</f>
        <v>3</v>
      </c>
      <c r="BF137" s="171">
        <f ca="1">IF(OR($D137&lt;&gt;"Serviço",AND(AUTOEVENTO="Manual",$M137=$A$15)),0,
         IF(OFFSET(CRONOPLE!$F$15,$M137-$A$15,BF$13)=0,10^12,OFFSET(CRONOPLE!$F$15,$M137-$A$15,BF$13)))</f>
        <v>4</v>
      </c>
      <c r="BG137" s="171">
        <f ca="1">IF(OR($D137&lt;&gt;"Serviço",AND(AUTOEVENTO="Manual",$M137=$A$15)),0,
         IF(OFFSET(CRONOPLE!$F$15,$M137-$A$15,BG$13)=0,10^12,OFFSET(CRONOPLE!$F$15,$M137-$A$15,BG$13)))</f>
        <v>5</v>
      </c>
      <c r="BH137" s="171">
        <f ca="1">IF(OR($D137&lt;&gt;"Serviço",AND(AUTOEVENTO="Manual",$M137=$A$15)),0,
         IF(OFFSET(CRONOPLE!$F$15,$M137-$A$15,BH$13)=0,10^12,OFFSET(CRONOPLE!$F$15,$M137-$A$15,BH$13)))</f>
        <v>6</v>
      </c>
      <c r="BI137" s="171">
        <f ca="1">IF(OR($D137&lt;&gt;"Serviço",AND(AUTOEVENTO="Manual",$M137=$A$15)),0,
         IF(OFFSET(CRONOPLE!$F$15,$M137-$A$15,BI$13)=0,10^12,OFFSET(CRONOPLE!$F$15,$M137-$A$15,BI$13)))</f>
        <v>7</v>
      </c>
      <c r="BJ137" s="171">
        <f ca="1">IF(OR($D137&lt;&gt;"Serviço",AND(AUTOEVENTO="Manual",$M137=$A$15)),0,
         IF(OFFSET(CRONOPLE!$F$15,$M137-$A$15,BJ$13)=0,10^12,OFFSET(CRONOPLE!$F$15,$M137-$A$15,BJ$13)))</f>
        <v>8</v>
      </c>
      <c r="BK137" s="171">
        <f ca="1">IF(OR($D137&lt;&gt;"Serviço",AND(AUTOEVENTO="Manual",$M137=$A$15)),0,
         IF(OFFSET(CRONOPLE!$F$15,$M137-$A$15,BK$13)=0,10^12,OFFSET(CRONOPLE!$F$15,$M137-$A$15,BK$13)))</f>
        <v>9</v>
      </c>
      <c r="BL137" s="171">
        <f ca="1">IF(OR($D137&lt;&gt;"Serviço",AND(AUTOEVENTO="Manual",$M137=$A$15)),0,
         IF(OFFSET(CRONOPLE!$F$15,$M137-$A$15,BL$13)=0,10^12,OFFSET(CRONOPLE!$F$15,$M137-$A$15,BL$13)))</f>
        <v>10</v>
      </c>
      <c r="BM137" s="171">
        <f ca="1">IF(OR($D137&lt;&gt;"Serviço",AND(AUTOEVENTO="Manual",$M137=$A$15)),0,
         IF(OFFSET(CRONOPLE!$F$15,$M137-$A$15,BM$13)=0,10^12,OFFSET(CRONOPLE!$F$15,$M137-$A$15,BM$13)))</f>
        <v>1000000000000</v>
      </c>
      <c r="BN137" s="171">
        <f ca="1">IF(OR($D137&lt;&gt;"Serviço",AND(AUTOEVENTO="Manual",$M137=$A$15)),0,
         IF(OFFSET(CRONOPLE!$F$15,$M137-$A$15,BN$13)=0,10^12,OFFSET(CRONOPLE!$F$15,$M137-$A$15,BN$13)))</f>
        <v>1000000000000</v>
      </c>
      <c r="BO137" s="171">
        <f ca="1">IF(OR($D137&lt;&gt;"Serviço",AND(AUTOEVENTO="Manual",$M137=$A$15)),0,
         IF(OFFSET(CRONOPLE!$F$15,$M137-$A$15,BO$13)=0,10^12,OFFSET(CRONOPLE!$F$15,$M137-$A$15,BO$13)))</f>
        <v>1000000000000</v>
      </c>
      <c r="BP137" s="171">
        <f ca="1">IF(OR($D137&lt;&gt;"Serviço",AND(AUTOEVENTO="Manual",$M137=$A$15)),0,
         IF(OFFSET(CRONOPLE!$F$15,$M137-$A$15,BP$13)=0,10^12,OFFSET(CRONOPLE!$F$15,$M137-$A$15,BP$13)))</f>
        <v>1000000000000</v>
      </c>
      <c r="BQ137" s="171">
        <f ca="1">IF(OR($D137&lt;&gt;"Serviço",AND(AUTOEVENTO="Manual",$M137=$A$15)),0,
         IF(OFFSET(CRONOPLE!$F$15,$M137-$A$15,BQ$13)=0,10^12,OFFSET(CRONOPLE!$F$15,$M137-$A$15,BQ$13)))</f>
        <v>1000000000000</v>
      </c>
      <c r="BR137" s="171">
        <f ca="1">IF(OR($D137&lt;&gt;"Serviço",AND(AUTOEVENTO="Manual",$M137=$A$15)),0,
         IF(OFFSET(CRONOPLE!$F$15,$M137-$A$15,BR$13)=0,10^12,OFFSET(CRONOPLE!$F$15,$M137-$A$15,BR$13)))</f>
        <v>1000000000000</v>
      </c>
      <c r="BS137" s="171">
        <f ca="1">IF(OR($D137&lt;&gt;"Serviço",AND(AUTOEVENTO="Manual",$M137=$A$15)),0,
         IF(OFFSET(CRONOPLE!$F$15,$M137-$A$15,BS$13)=0,10^12,OFFSET(CRONOPLE!$F$15,$M137-$A$15,BS$13)))</f>
        <v>1000000000000</v>
      </c>
      <c r="BT137" s="171">
        <f ca="1">IF(OR($D137&lt;&gt;"Serviço",AND(AUTOEVENTO="Manual",$M137=$A$15)),0,
         IF(OFFSET(CRONOPLE!$F$15,$M137-$A$15,BT$13)=0,10^12,OFFSET(CRONOPLE!$F$15,$M137-$A$15,BT$13)))</f>
        <v>1000000000000</v>
      </c>
      <c r="BV137" s="172">
        <f ca="1">IF(OR($D137&lt;&gt;"Serviço",AND(AUTOEVENTO="Manual",$M137=$A$15),$M137&gt;(ROW(PLE.lastrow)-ROW(PLE.firstrow))),0,
           IF(OFFSET(PLE!$G$15,$M137-$A$15,BV$13)="",10^12,OFFSET(PLE!$G$15,$M137-$A$15,BV$13)))</f>
        <v>1000000000000</v>
      </c>
      <c r="BW137" s="172">
        <f ca="1">IF(OR($D137&lt;&gt;"Serviço",AND(AUTOEVENTO="Manual",$M137=$A$15),$M137&gt;(ROW(PLE.lastrow)-ROW(PLE.firstrow))),0,
           IF(OFFSET(PLE!$G$15,$M137-$A$15,BW$13)="",10^12,OFFSET(PLE!$G$15,$M137-$A$15,BW$13)))</f>
        <v>1000000000000</v>
      </c>
      <c r="BX137" s="172">
        <f ca="1">IF(OR($D137&lt;&gt;"Serviço",AND(AUTOEVENTO="Manual",$M137=$A$15),$M137&gt;(ROW(PLE.lastrow)-ROW(PLE.firstrow))),0,
           IF(OFFSET(PLE!$G$15,$M137-$A$15,BX$13)="",10^12,OFFSET(PLE!$G$15,$M137-$A$15,BX$13)))</f>
        <v>1000000000000</v>
      </c>
      <c r="BY137" s="172">
        <f ca="1">IF(OR($D137&lt;&gt;"Serviço",AND(AUTOEVENTO="Manual",$M137=$A$15),$M137&gt;(ROW(PLE.lastrow)-ROW(PLE.firstrow))),0,
           IF(OFFSET(PLE!$G$15,$M137-$A$15,BY$13)="",10^12,OFFSET(PLE!$G$15,$M137-$A$15,BY$13)))</f>
        <v>1000000000000</v>
      </c>
      <c r="BZ137" s="172">
        <f ca="1">IF(OR($D137&lt;&gt;"Serviço",AND(AUTOEVENTO="Manual",$M137=$A$15),$M137&gt;(ROW(PLE.lastrow)-ROW(PLE.firstrow))),0,
           IF(OFFSET(PLE!$G$15,$M137-$A$15,BZ$13)="",10^12,OFFSET(PLE!$G$15,$M137-$A$15,BZ$13)))</f>
        <v>1000000000000</v>
      </c>
      <c r="CA137" s="172">
        <f ca="1">IF(OR($D137&lt;&gt;"Serviço",AND(AUTOEVENTO="Manual",$M137=$A$15),$M137&gt;(ROW(PLE.lastrow)-ROW(PLE.firstrow))),0,
           IF(OFFSET(PLE!$G$15,$M137-$A$15,CA$13)="",10^12,OFFSET(PLE!$G$15,$M137-$A$15,CA$13)))</f>
        <v>1000000000000</v>
      </c>
      <c r="CB137" s="172">
        <f ca="1">IF(OR($D137&lt;&gt;"Serviço",AND(AUTOEVENTO="Manual",$M137=$A$15),$M137&gt;(ROW(PLE.lastrow)-ROW(PLE.firstrow))),0,
           IF(OFFSET(PLE!$G$15,$M137-$A$15,CB$13)="",10^12,OFFSET(PLE!$G$15,$M137-$A$15,CB$13)))</f>
        <v>1000000000000</v>
      </c>
      <c r="CC137" s="172">
        <f ca="1">IF(OR($D137&lt;&gt;"Serviço",AND(AUTOEVENTO="Manual",$M137=$A$15),$M137&gt;(ROW(PLE.lastrow)-ROW(PLE.firstrow))),0,
           IF(OFFSET(PLE!$G$15,$M137-$A$15,CC$13)="",10^12,OFFSET(PLE!$G$15,$M137-$A$15,CC$13)))</f>
        <v>1000000000000</v>
      </c>
      <c r="CD137" s="172">
        <f ca="1">IF(OR($D137&lt;&gt;"Serviço",AND(AUTOEVENTO="Manual",$M137=$A$15),$M137&gt;(ROW(PLE.lastrow)-ROW(PLE.firstrow))),0,
           IF(OFFSET(PLE!$G$15,$M137-$A$15,CD$13)="",10^12,OFFSET(PLE!$G$15,$M137-$A$15,CD$13)))</f>
        <v>1000000000000</v>
      </c>
      <c r="CE137" s="172">
        <f ca="1">IF(OR($D137&lt;&gt;"Serviço",AND(AUTOEVENTO="Manual",$M137=$A$15),$M137&gt;(ROW(PLE.lastrow)-ROW(PLE.firstrow))),0,
           IF(OFFSET(PLE!$G$15,$M137-$A$15,CE$13)="",10^12,OFFSET(PLE!$G$15,$M137-$A$15,CE$13)))</f>
        <v>1000000000000</v>
      </c>
      <c r="CF137" s="172">
        <f ca="1">IF(OR($D137&lt;&gt;"Serviço",AND(AUTOEVENTO="Manual",$M137=$A$15),$M137&gt;(ROW(PLE.lastrow)-ROW(PLE.firstrow))),0,
           IF(OFFSET(PLE!$G$15,$M137-$A$15,CF$13)="",10^12,OFFSET(PLE!$G$15,$M137-$A$15,CF$13)))</f>
        <v>1000000000000</v>
      </c>
      <c r="CG137" s="172">
        <f ca="1">IF(OR($D137&lt;&gt;"Serviço",AND(AUTOEVENTO="Manual",$M137=$A$15),$M137&gt;(ROW(PLE.lastrow)-ROW(PLE.firstrow))),0,
           IF(OFFSET(PLE!$G$15,$M137-$A$15,CG$13)="",10^12,OFFSET(PLE!$G$15,$M137-$A$15,CG$13)))</f>
        <v>1000000000000</v>
      </c>
      <c r="CH137" s="172">
        <f ca="1">IF(OR($D137&lt;&gt;"Serviço",AND(AUTOEVENTO="Manual",$M137=$A$15),$M137&gt;(ROW(PLE.lastrow)-ROW(PLE.firstrow))),0,
           IF(OFFSET(PLE!$G$15,$M137-$A$15,CH$13)="",10^12,OFFSET(PLE!$G$15,$M137-$A$15,CH$13)))</f>
        <v>1000000000000</v>
      </c>
      <c r="CI137" s="172">
        <f ca="1">IF(OR($D137&lt;&gt;"Serviço",AND(AUTOEVENTO="Manual",$M137=$A$15),$M137&gt;(ROW(PLE.lastrow)-ROW(PLE.firstrow))),0,
           IF(OFFSET(PLE!$G$15,$M137-$A$15,CI$13)="",10^12,OFFSET(PLE!$G$15,$M137-$A$15,CI$13)))</f>
        <v>1000000000000</v>
      </c>
      <c r="CJ137" s="172">
        <f ca="1">IF(OR($D137&lt;&gt;"Serviço",AND(AUTOEVENTO="Manual",$M137=$A$15),$M137&gt;(ROW(PLE.lastrow)-ROW(PLE.firstrow))),0,
           IF(OFFSET(PLE!$G$15,$M137-$A$15,CJ$13)="",10^12,OFFSET(PLE!$G$15,$M137-$A$15,CJ$13)))</f>
        <v>1000000000000</v>
      </c>
      <c r="CK137" s="172">
        <f ca="1">IF(OR($D137&lt;&gt;"Serviço",AND(AUTOEVENTO="Manual",$M137=$A$15),$M137&gt;(ROW(PLE.lastrow)-ROW(PLE.firstrow))),0,
           IF(OFFSET(PLE!$G$15,$M137-$A$15,CK$13)="",10^12,OFFSET(PLE!$G$15,$M137-$A$15,CK$13)))</f>
        <v>1000000000000</v>
      </c>
      <c r="CL137" s="172">
        <f ca="1">IF(OR($D137&lt;&gt;"Serviço",AND(AUTOEVENTO="Manual",$M137=$A$15),$M137&gt;(ROW(PLE.lastrow)-ROW(PLE.firstrow))),0,
           IF(OFFSET(PLE!$G$15,$M137-$A$15,CL$13)="",10^12,OFFSET(PLE!$G$15,$M137-$A$15,CL$13)))</f>
        <v>1000000000000</v>
      </c>
      <c r="CM137" s="172">
        <f ca="1">IF(OR($D137&lt;&gt;"Serviço",AND(AUTOEVENTO="Manual",$M137=$A$15),$M137&gt;(ROW(PLE.lastrow)-ROW(PLE.firstrow))),0,
           IF(OFFSET(PLE!$G$15,$M137-$A$15,CM$13)="",10^12,OFFSET(PLE!$G$15,$M137-$A$15,CM$13)))</f>
        <v>1000000000000</v>
      </c>
    </row>
    <row r="138" spans="1:91" ht="51" x14ac:dyDescent="0.2">
      <c r="A138" s="7">
        <f t="shared" ca="1" si="11"/>
        <v>4</v>
      </c>
      <c r="B138" s="7" t="str">
        <f ca="1">OFFSET(ORÇAMENTO!C$15,ROW(B138)-ROW(B$15),0)</f>
        <v>S</v>
      </c>
      <c r="C138" s="7" t="str">
        <f ca="1">OFFSET(ORÇAMENTO!L$15,ROW(C138)-ROW(C$15),0)</f>
        <v>F</v>
      </c>
      <c r="D138" s="116" t="str">
        <f ca="1">OFFSET(ORÇAMENTO!N$15,ROW(D138)-ROW(D$15),0)</f>
        <v>Serviço</v>
      </c>
      <c r="E138" s="117" t="str">
        <f ca="1">OFFSET(ORÇAMENTO!O$15,ROW(E138)-ROW(E$15),0)</f>
        <v>1.5.3.0.4.</v>
      </c>
      <c r="F138" s="163" t="str">
        <f ca="1">OFFSET(ORÇAMENTO!R$15,ROW(F138)-ROW(F$15),0)</f>
        <v>ARMAÇÃO EM AÇO CA-50 - FORNECIMENTO, PREPARO E COLOCAÇÃO</v>
      </c>
      <c r="G138" s="164" t="str">
        <f ca="1">IF($D138&lt;&gt;"Serviço","",OFFSET(ORÇAMENTO!S$15,ROW(G138)-ROW(G$15),0))</f>
        <v>KG</v>
      </c>
      <c r="H138" s="122" cm="1">
        <f t="array" aca="1" ref="H138" ca="1">IF($D138&lt;&gt;"Serviço",0,IF(ACOMPANHAMENTO="BM",ROUND(OFFSET(ORÇAMENTO!AJ$15,ROW(H138)-ROW(H$15),0),15-13*ORÇAMENTO!$AF$7),SUMPRODUCT(($Q$1:$AI$1=1)*ROUND($Q138:$AI138,15-13*ORÇAMENTO!$AF$7))))</f>
        <v>7036</v>
      </c>
      <c r="I138" s="468" t="s">
        <v>1329</v>
      </c>
      <c r="J138" s="640" t="str" cm="1">
        <f t="array" aca="1" ref="J138" ca="1">IF(OR(B138&lt;&gt;"S",CÁLCULO.FrentesPreenchidas=0),"",IF(AND(ACOMPANHAMENTO="PLE",AUTOEVENTO="Manual",OR(H138&gt;0,ORÇAMENTO!AC138="QUANT."),OR(K138="",M138=0,N138="")),"►E",IF(AND(ACOMPANHAMENTO="PLE",ORÇAMENTO!AC138="QUANT."),"►Q",IF(AND(ACOMPANHAMENTO="PLE",H138&lt;&gt;SUMPRODUCT(($Q$1:$AI$1=1)*ROUND(Q138:AI138,15))),"►S",IF(AND(COUNTIF($P$11:$AI$11,"▼")=0,H138&gt;0,I138=""),"◄M","")))))</f>
        <v/>
      </c>
      <c r="K138" s="641" t="s">
        <v>1389</v>
      </c>
      <c r="L138" s="165" t="s">
        <v>764</v>
      </c>
      <c r="M138" s="166">
        <f ca="1">IF($D138&lt;&gt;"Serviço","",
          IF(AUTOEVENTO="manual",$A138,
                IF(ISERROR(MATCH($A138,$A$15:OFFSET($A138,-1,0),0)),MAX($M$15:OFFSET(M138,-1,0))+1,
                      INDEX($M$15:OFFSET(M138,-1,0),MATCH($A138,$A$15:OFFSET($A138,-1,0),0)))))</f>
        <v>4</v>
      </c>
      <c r="N138" s="167" t="str">
        <f ca="1">IF($D138&lt;&gt;"Serviço","",
         IF(AUTOEVENTO="Manual",
                IF($A138=0,"&lt;-- defina o número do agrupador",
                       OFFSET(EVENTOS!$D$15,$A138-$A$15,0)),
                OFFSET($F$15,$A138,0)))</f>
        <v>Estruturas de Concreto</v>
      </c>
      <c r="O138" s="168"/>
      <c r="Q138" s="168"/>
      <c r="R138" s="169"/>
      <c r="S138" s="169"/>
      <c r="T138" s="169"/>
      <c r="U138" s="169">
        <v>7036</v>
      </c>
      <c r="V138" s="169"/>
      <c r="W138" s="169"/>
      <c r="X138" s="169"/>
      <c r="Y138" s="169"/>
      <c r="Z138" s="170"/>
      <c r="AA138" s="169"/>
      <c r="AB138" s="169"/>
      <c r="AC138" s="169"/>
      <c r="AD138" s="169"/>
      <c r="AE138" s="169"/>
      <c r="AF138" s="169"/>
      <c r="AG138" s="169"/>
      <c r="AH138" s="170"/>
      <c r="AJ138" s="453">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0</v>
      </c>
      <c r="AK138" s="453">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0</v>
      </c>
      <c r="AL138" s="453">
        <f ca="1">IF(AND($D138="Serviço",AL$12&lt;&gt;0,$H138&gt;0,OR(AUTOEVENTO&lt;&gt;"manual",$M138&lt;&gt;$A$15)),
        IF(Import.TipoArredondamento&lt;&gt;"TransfereGOV",
              ROUND(OFFSET($P138,0,AL$13),15-13*ORÇAMENTO!$AF$7)/$H138*OFFSET(ORÇAMENTO!$X$15,ROW(AL138)-ROW(AL$15),0),
              ROUND(ROUND(OFFSET($P138,0,AL$13),15-13*ORÇAMENTO!$AF$7)*OFFSET(ORÇAMENTO!$W$15,ROW(AL138)-ROW(AL$15),0),15-13*ORÇAMENTO!$AF$11)),
         0)</f>
        <v>0</v>
      </c>
      <c r="AM138" s="453">
        <f ca="1">IF(AND($D138="Serviço",AM$12&lt;&gt;0,$H138&gt;0,OR(AUTOEVENTO&lt;&gt;"manual",$M138&lt;&gt;$A$15)),
        IF(Import.TipoArredondamento&lt;&gt;"TransfereGOV",
              ROUND(OFFSET($P138,0,AM$13),15-13*ORÇAMENTO!$AF$7)/$H138*OFFSET(ORÇAMENTO!$X$15,ROW(AM138)-ROW(AM$15),0),
              ROUND(ROUND(OFFSET($P138,0,AM$13),15-13*ORÇAMENTO!$AF$7)*OFFSET(ORÇAMENTO!$W$15,ROW(AM138)-ROW(AM$15),0),15-13*ORÇAMENTO!$AF$11)),
         0)</f>
        <v>0</v>
      </c>
      <c r="AN138" s="453">
        <f ca="1">IF(AND($D138="Serviço",AN$12&lt;&gt;0,$H138&gt;0,OR(AUTOEVENTO&lt;&gt;"manual",$M138&lt;&gt;$A$15)),
        IF(Import.TipoArredondamento&lt;&gt;"TransfereGOV",
              ROUND(OFFSET($P138,0,AN$13),15-13*ORÇAMENTO!$AF$7)/$H138*OFFSET(ORÇAMENTO!$X$15,ROW(AN138)-ROW(AN$15),0),
              ROUND(ROUND(OFFSET($P138,0,AN$13),15-13*ORÇAMENTO!$AF$7)*OFFSET(ORÇAMENTO!$W$15,ROW(AN138)-ROW(AN$15),0),15-13*ORÇAMENTO!$AF$11)),
         0)</f>
        <v>0</v>
      </c>
      <c r="AO138" s="453">
        <f ca="1">IF(AND($D138="Serviço",AO$12&lt;&gt;0,$H138&gt;0,OR(AUTOEVENTO&lt;&gt;"manual",$M138&lt;&gt;$A$15)),
        IF(Import.TipoArredondamento&lt;&gt;"TransfereGOV",
              ROUND(OFFSET($P138,0,AO$13),15-13*ORÇAMENTO!$AF$7)/$H138*OFFSET(ORÇAMENTO!$X$15,ROW(AO138)-ROW(AO$15),0),
              ROUND(ROUND(OFFSET($P138,0,AO$13),15-13*ORÇAMENTO!$AF$7)*OFFSET(ORÇAMENTO!$W$15,ROW(AO138)-ROW(AO$15),0),15-13*ORÇAMENTO!$AF$11)),
         0)</f>
        <v>0</v>
      </c>
      <c r="AP138" s="453">
        <f ca="1">IF(AND($D138="Serviço",AP$12&lt;&gt;0,$H138&gt;0,OR(AUTOEVENTO&lt;&gt;"manual",$M138&lt;&gt;$A$15)),
        IF(Import.TipoArredondamento&lt;&gt;"TransfereGOV",
              ROUND(OFFSET($P138,0,AP$13),15-13*ORÇAMENTO!$AF$7)/$H138*OFFSET(ORÇAMENTO!$X$15,ROW(AP138)-ROW(AP$15),0),
              ROUND(ROUND(OFFSET($P138,0,AP$13),15-13*ORÇAMENTO!$AF$7)*OFFSET(ORÇAMENTO!$W$15,ROW(AP138)-ROW(AP$15),0),15-13*ORÇAMENTO!$AF$11)),
         0)</f>
        <v>0</v>
      </c>
      <c r="AQ138" s="453">
        <f ca="1">IF(AND($D138="Serviço",AQ$12&lt;&gt;0,$H138&gt;0,OR(AUTOEVENTO&lt;&gt;"manual",$M138&lt;&gt;$A$15)),
        IF(Import.TipoArredondamento&lt;&gt;"TransfereGOV",
              ROUND(OFFSET($P138,0,AQ$13),15-13*ORÇAMENTO!$AF$7)/$H138*OFFSET(ORÇAMENTO!$X$15,ROW(AQ138)-ROW(AQ$15),0),
              ROUND(ROUND(OFFSET($P138,0,AQ$13),15-13*ORÇAMENTO!$AF$7)*OFFSET(ORÇAMENTO!$W$15,ROW(AQ138)-ROW(AQ$15),0),15-13*ORÇAMENTO!$AF$11)),
         0)</f>
        <v>0</v>
      </c>
      <c r="AR138" s="453">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3">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3">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3">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3">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3">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3">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3">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3">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3">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C138" s="171">
        <f ca="1">IF(OR($D138&lt;&gt;"Serviço",AND(AUTOEVENTO="Manual",$M138=$A$15)),0,
         IF(OFFSET(CRONOPLE!$F$15,$M138-$A$15,BC$13)=0,10^12,OFFSET(CRONOPLE!$F$15,$M138-$A$15,BC$13)))</f>
        <v>1</v>
      </c>
      <c r="BD138" s="171">
        <f ca="1">IF(OR($D138&lt;&gt;"Serviço",AND(AUTOEVENTO="Manual",$M138=$A$15)),0,
         IF(OFFSET(CRONOPLE!$F$15,$M138-$A$15,BD$13)=0,10^12,OFFSET(CRONOPLE!$F$15,$M138-$A$15,BD$13)))</f>
        <v>2</v>
      </c>
      <c r="BE138" s="171">
        <f ca="1">IF(OR($D138&lt;&gt;"Serviço",AND(AUTOEVENTO="Manual",$M138=$A$15)),0,
         IF(OFFSET(CRONOPLE!$F$15,$M138-$A$15,BE$13)=0,10^12,OFFSET(CRONOPLE!$F$15,$M138-$A$15,BE$13)))</f>
        <v>3</v>
      </c>
      <c r="BF138" s="171">
        <f ca="1">IF(OR($D138&lt;&gt;"Serviço",AND(AUTOEVENTO="Manual",$M138=$A$15)),0,
         IF(OFFSET(CRONOPLE!$F$15,$M138-$A$15,BF$13)=0,10^12,OFFSET(CRONOPLE!$F$15,$M138-$A$15,BF$13)))</f>
        <v>4</v>
      </c>
      <c r="BG138" s="171">
        <f ca="1">IF(OR($D138&lt;&gt;"Serviço",AND(AUTOEVENTO="Manual",$M138=$A$15)),0,
         IF(OFFSET(CRONOPLE!$F$15,$M138-$A$15,BG$13)=0,10^12,OFFSET(CRONOPLE!$F$15,$M138-$A$15,BG$13)))</f>
        <v>5</v>
      </c>
      <c r="BH138" s="171">
        <f ca="1">IF(OR($D138&lt;&gt;"Serviço",AND(AUTOEVENTO="Manual",$M138=$A$15)),0,
         IF(OFFSET(CRONOPLE!$F$15,$M138-$A$15,BH$13)=0,10^12,OFFSET(CRONOPLE!$F$15,$M138-$A$15,BH$13)))</f>
        <v>6</v>
      </c>
      <c r="BI138" s="171">
        <f ca="1">IF(OR($D138&lt;&gt;"Serviço",AND(AUTOEVENTO="Manual",$M138=$A$15)),0,
         IF(OFFSET(CRONOPLE!$F$15,$M138-$A$15,BI$13)=0,10^12,OFFSET(CRONOPLE!$F$15,$M138-$A$15,BI$13)))</f>
        <v>7</v>
      </c>
      <c r="BJ138" s="171">
        <f ca="1">IF(OR($D138&lt;&gt;"Serviço",AND(AUTOEVENTO="Manual",$M138=$A$15)),0,
         IF(OFFSET(CRONOPLE!$F$15,$M138-$A$15,BJ$13)=0,10^12,OFFSET(CRONOPLE!$F$15,$M138-$A$15,BJ$13)))</f>
        <v>8</v>
      </c>
      <c r="BK138" s="171">
        <f ca="1">IF(OR($D138&lt;&gt;"Serviço",AND(AUTOEVENTO="Manual",$M138=$A$15)),0,
         IF(OFFSET(CRONOPLE!$F$15,$M138-$A$15,BK$13)=0,10^12,OFFSET(CRONOPLE!$F$15,$M138-$A$15,BK$13)))</f>
        <v>9</v>
      </c>
      <c r="BL138" s="171">
        <f ca="1">IF(OR($D138&lt;&gt;"Serviço",AND(AUTOEVENTO="Manual",$M138=$A$15)),0,
         IF(OFFSET(CRONOPLE!$F$15,$M138-$A$15,BL$13)=0,10^12,OFFSET(CRONOPLE!$F$15,$M138-$A$15,BL$13)))</f>
        <v>10</v>
      </c>
      <c r="BM138" s="171">
        <f ca="1">IF(OR($D138&lt;&gt;"Serviço",AND(AUTOEVENTO="Manual",$M138=$A$15)),0,
         IF(OFFSET(CRONOPLE!$F$15,$M138-$A$15,BM$13)=0,10^12,OFFSET(CRONOPLE!$F$15,$M138-$A$15,BM$13)))</f>
        <v>1000000000000</v>
      </c>
      <c r="BN138" s="171">
        <f ca="1">IF(OR($D138&lt;&gt;"Serviço",AND(AUTOEVENTO="Manual",$M138=$A$15)),0,
         IF(OFFSET(CRONOPLE!$F$15,$M138-$A$15,BN$13)=0,10^12,OFFSET(CRONOPLE!$F$15,$M138-$A$15,BN$13)))</f>
        <v>1000000000000</v>
      </c>
      <c r="BO138" s="171">
        <f ca="1">IF(OR($D138&lt;&gt;"Serviço",AND(AUTOEVENTO="Manual",$M138=$A$15)),0,
         IF(OFFSET(CRONOPLE!$F$15,$M138-$A$15,BO$13)=0,10^12,OFFSET(CRONOPLE!$F$15,$M138-$A$15,BO$13)))</f>
        <v>1000000000000</v>
      </c>
      <c r="BP138" s="171">
        <f ca="1">IF(OR($D138&lt;&gt;"Serviço",AND(AUTOEVENTO="Manual",$M138=$A$15)),0,
         IF(OFFSET(CRONOPLE!$F$15,$M138-$A$15,BP$13)=0,10^12,OFFSET(CRONOPLE!$F$15,$M138-$A$15,BP$13)))</f>
        <v>1000000000000</v>
      </c>
      <c r="BQ138" s="171">
        <f ca="1">IF(OR($D138&lt;&gt;"Serviço",AND(AUTOEVENTO="Manual",$M138=$A$15)),0,
         IF(OFFSET(CRONOPLE!$F$15,$M138-$A$15,BQ$13)=0,10^12,OFFSET(CRONOPLE!$F$15,$M138-$A$15,BQ$13)))</f>
        <v>1000000000000</v>
      </c>
      <c r="BR138" s="171">
        <f ca="1">IF(OR($D138&lt;&gt;"Serviço",AND(AUTOEVENTO="Manual",$M138=$A$15)),0,
         IF(OFFSET(CRONOPLE!$F$15,$M138-$A$15,BR$13)=0,10^12,OFFSET(CRONOPLE!$F$15,$M138-$A$15,BR$13)))</f>
        <v>1000000000000</v>
      </c>
      <c r="BS138" s="171">
        <f ca="1">IF(OR($D138&lt;&gt;"Serviço",AND(AUTOEVENTO="Manual",$M138=$A$15)),0,
         IF(OFFSET(CRONOPLE!$F$15,$M138-$A$15,BS$13)=0,10^12,OFFSET(CRONOPLE!$F$15,$M138-$A$15,BS$13)))</f>
        <v>1000000000000</v>
      </c>
      <c r="BT138" s="171">
        <f ca="1">IF(OR($D138&lt;&gt;"Serviço",AND(AUTOEVENTO="Manual",$M138=$A$15)),0,
         IF(OFFSET(CRONOPLE!$F$15,$M138-$A$15,BT$13)=0,10^12,OFFSET(CRONOPLE!$F$15,$M138-$A$15,BT$13)))</f>
        <v>1000000000000</v>
      </c>
      <c r="BV138" s="172">
        <f ca="1">IF(OR($D138&lt;&gt;"Serviço",AND(AUTOEVENTO="Manual",$M138=$A$15),$M138&gt;(ROW(PLE.lastrow)-ROW(PLE.firstrow))),0,
           IF(OFFSET(PLE!$G$15,$M138-$A$15,BV$13)="",10^12,OFFSET(PLE!$G$15,$M138-$A$15,BV$13)))</f>
        <v>1000000000000</v>
      </c>
      <c r="BW138" s="172">
        <f ca="1">IF(OR($D138&lt;&gt;"Serviço",AND(AUTOEVENTO="Manual",$M138=$A$15),$M138&gt;(ROW(PLE.lastrow)-ROW(PLE.firstrow))),0,
           IF(OFFSET(PLE!$G$15,$M138-$A$15,BW$13)="",10^12,OFFSET(PLE!$G$15,$M138-$A$15,BW$13)))</f>
        <v>1000000000000</v>
      </c>
      <c r="BX138" s="172">
        <f ca="1">IF(OR($D138&lt;&gt;"Serviço",AND(AUTOEVENTO="Manual",$M138=$A$15),$M138&gt;(ROW(PLE.lastrow)-ROW(PLE.firstrow))),0,
           IF(OFFSET(PLE!$G$15,$M138-$A$15,BX$13)="",10^12,OFFSET(PLE!$G$15,$M138-$A$15,BX$13)))</f>
        <v>1000000000000</v>
      </c>
      <c r="BY138" s="172">
        <f ca="1">IF(OR($D138&lt;&gt;"Serviço",AND(AUTOEVENTO="Manual",$M138=$A$15),$M138&gt;(ROW(PLE.lastrow)-ROW(PLE.firstrow))),0,
           IF(OFFSET(PLE!$G$15,$M138-$A$15,BY$13)="",10^12,OFFSET(PLE!$G$15,$M138-$A$15,BY$13)))</f>
        <v>1000000000000</v>
      </c>
      <c r="BZ138" s="172">
        <f ca="1">IF(OR($D138&lt;&gt;"Serviço",AND(AUTOEVENTO="Manual",$M138=$A$15),$M138&gt;(ROW(PLE.lastrow)-ROW(PLE.firstrow))),0,
           IF(OFFSET(PLE!$G$15,$M138-$A$15,BZ$13)="",10^12,OFFSET(PLE!$G$15,$M138-$A$15,BZ$13)))</f>
        <v>1000000000000</v>
      </c>
      <c r="CA138" s="172">
        <f ca="1">IF(OR($D138&lt;&gt;"Serviço",AND(AUTOEVENTO="Manual",$M138=$A$15),$M138&gt;(ROW(PLE.lastrow)-ROW(PLE.firstrow))),0,
           IF(OFFSET(PLE!$G$15,$M138-$A$15,CA$13)="",10^12,OFFSET(PLE!$G$15,$M138-$A$15,CA$13)))</f>
        <v>1000000000000</v>
      </c>
      <c r="CB138" s="172">
        <f ca="1">IF(OR($D138&lt;&gt;"Serviço",AND(AUTOEVENTO="Manual",$M138=$A$15),$M138&gt;(ROW(PLE.lastrow)-ROW(PLE.firstrow))),0,
           IF(OFFSET(PLE!$G$15,$M138-$A$15,CB$13)="",10^12,OFFSET(PLE!$G$15,$M138-$A$15,CB$13)))</f>
        <v>1000000000000</v>
      </c>
      <c r="CC138" s="172">
        <f ca="1">IF(OR($D138&lt;&gt;"Serviço",AND(AUTOEVENTO="Manual",$M138=$A$15),$M138&gt;(ROW(PLE.lastrow)-ROW(PLE.firstrow))),0,
           IF(OFFSET(PLE!$G$15,$M138-$A$15,CC$13)="",10^12,OFFSET(PLE!$G$15,$M138-$A$15,CC$13)))</f>
        <v>1000000000000</v>
      </c>
      <c r="CD138" s="172">
        <f ca="1">IF(OR($D138&lt;&gt;"Serviço",AND(AUTOEVENTO="Manual",$M138=$A$15),$M138&gt;(ROW(PLE.lastrow)-ROW(PLE.firstrow))),0,
           IF(OFFSET(PLE!$G$15,$M138-$A$15,CD$13)="",10^12,OFFSET(PLE!$G$15,$M138-$A$15,CD$13)))</f>
        <v>1000000000000</v>
      </c>
      <c r="CE138" s="172">
        <f ca="1">IF(OR($D138&lt;&gt;"Serviço",AND(AUTOEVENTO="Manual",$M138=$A$15),$M138&gt;(ROW(PLE.lastrow)-ROW(PLE.firstrow))),0,
           IF(OFFSET(PLE!$G$15,$M138-$A$15,CE$13)="",10^12,OFFSET(PLE!$G$15,$M138-$A$15,CE$13)))</f>
        <v>1000000000000</v>
      </c>
      <c r="CF138" s="172">
        <f ca="1">IF(OR($D138&lt;&gt;"Serviço",AND(AUTOEVENTO="Manual",$M138=$A$15),$M138&gt;(ROW(PLE.lastrow)-ROW(PLE.firstrow))),0,
           IF(OFFSET(PLE!$G$15,$M138-$A$15,CF$13)="",10^12,OFFSET(PLE!$G$15,$M138-$A$15,CF$13)))</f>
        <v>1000000000000</v>
      </c>
      <c r="CG138" s="172">
        <f ca="1">IF(OR($D138&lt;&gt;"Serviço",AND(AUTOEVENTO="Manual",$M138=$A$15),$M138&gt;(ROW(PLE.lastrow)-ROW(PLE.firstrow))),0,
           IF(OFFSET(PLE!$G$15,$M138-$A$15,CG$13)="",10^12,OFFSET(PLE!$G$15,$M138-$A$15,CG$13)))</f>
        <v>1000000000000</v>
      </c>
      <c r="CH138" s="172">
        <f ca="1">IF(OR($D138&lt;&gt;"Serviço",AND(AUTOEVENTO="Manual",$M138=$A$15),$M138&gt;(ROW(PLE.lastrow)-ROW(PLE.firstrow))),0,
           IF(OFFSET(PLE!$G$15,$M138-$A$15,CH$13)="",10^12,OFFSET(PLE!$G$15,$M138-$A$15,CH$13)))</f>
        <v>1000000000000</v>
      </c>
      <c r="CI138" s="172">
        <f ca="1">IF(OR($D138&lt;&gt;"Serviço",AND(AUTOEVENTO="Manual",$M138=$A$15),$M138&gt;(ROW(PLE.lastrow)-ROW(PLE.firstrow))),0,
           IF(OFFSET(PLE!$G$15,$M138-$A$15,CI$13)="",10^12,OFFSET(PLE!$G$15,$M138-$A$15,CI$13)))</f>
        <v>1000000000000</v>
      </c>
      <c r="CJ138" s="172">
        <f ca="1">IF(OR($D138&lt;&gt;"Serviço",AND(AUTOEVENTO="Manual",$M138=$A$15),$M138&gt;(ROW(PLE.lastrow)-ROW(PLE.firstrow))),0,
           IF(OFFSET(PLE!$G$15,$M138-$A$15,CJ$13)="",10^12,OFFSET(PLE!$G$15,$M138-$A$15,CJ$13)))</f>
        <v>1000000000000</v>
      </c>
      <c r="CK138" s="172">
        <f ca="1">IF(OR($D138&lt;&gt;"Serviço",AND(AUTOEVENTO="Manual",$M138=$A$15),$M138&gt;(ROW(PLE.lastrow)-ROW(PLE.firstrow))),0,
           IF(OFFSET(PLE!$G$15,$M138-$A$15,CK$13)="",10^12,OFFSET(PLE!$G$15,$M138-$A$15,CK$13)))</f>
        <v>1000000000000</v>
      </c>
      <c r="CL138" s="172">
        <f ca="1">IF(OR($D138&lt;&gt;"Serviço",AND(AUTOEVENTO="Manual",$M138=$A$15),$M138&gt;(ROW(PLE.lastrow)-ROW(PLE.firstrow))),0,
           IF(OFFSET(PLE!$G$15,$M138-$A$15,CL$13)="",10^12,OFFSET(PLE!$G$15,$M138-$A$15,CL$13)))</f>
        <v>1000000000000</v>
      </c>
      <c r="CM138" s="172">
        <f ca="1">IF(OR($D138&lt;&gt;"Serviço",AND(AUTOEVENTO="Manual",$M138=$A$15),$M138&gt;(ROW(PLE.lastrow)-ROW(PLE.firstrow))),0,
           IF(OFFSET(PLE!$G$15,$M138-$A$15,CM$13)="",10^12,OFFSET(PLE!$G$15,$M138-$A$15,CM$13)))</f>
        <v>1000000000000</v>
      </c>
    </row>
    <row r="139" spans="1:91" ht="51" x14ac:dyDescent="0.2">
      <c r="A139" s="7">
        <f t="shared" ca="1" si="11"/>
        <v>4</v>
      </c>
      <c r="B139" s="7" t="str">
        <f ca="1">OFFSET(ORÇAMENTO!C$15,ROW(B139)-ROW(B$15),0)</f>
        <v>S</v>
      </c>
      <c r="C139" s="7" t="str">
        <f ca="1">OFFSET(ORÇAMENTO!L$15,ROW(C139)-ROW(C$15),0)</f>
        <v>F</v>
      </c>
      <c r="D139" s="116" t="str">
        <f ca="1">OFFSET(ORÇAMENTO!N$15,ROW(D139)-ROW(D$15),0)</f>
        <v>Serviço</v>
      </c>
      <c r="E139" s="117" t="str">
        <f ca="1">OFFSET(ORÇAMENTO!O$15,ROW(E139)-ROW(E$15),0)</f>
        <v>1.5.3.0.5.</v>
      </c>
      <c r="F139" s="163" t="str">
        <f ca="1">OFFSET(ORÇAMENTO!R$15,ROW(F139)-ROW(F$15),0)</f>
        <v>ARMAÇÃO DO SISTEMA DE PAREDES DE CONCRETO, EXECUTADA COMO ARMADURA POSITIVA DE LAJES, TELA Q-113. AF_12/2024</v>
      </c>
      <c r="G139" s="164" t="str">
        <f ca="1">IF($D139&lt;&gt;"Serviço","",OFFSET(ORÇAMENTO!S$15,ROW(G139)-ROW(G$15),0))</f>
        <v>KG</v>
      </c>
      <c r="H139" s="122" cm="1">
        <f t="array" aca="1" ref="H139" ca="1">IF($D139&lt;&gt;"Serviço",0,IF(ACOMPANHAMENTO="BM",ROUND(OFFSET(ORÇAMENTO!AJ$15,ROW(H139)-ROW(H$15),0),15-13*ORÇAMENTO!$AF$7),SUMPRODUCT(($Q$1:$AI$1=1)*ROUND($Q139:$AI139,15-13*ORÇAMENTO!$AF$7))))</f>
        <v>1306.8</v>
      </c>
      <c r="I139" s="468" t="s">
        <v>1329</v>
      </c>
      <c r="J139" s="640" t="str" cm="1">
        <f t="array" aca="1" ref="J139" ca="1">IF(OR(B139&lt;&gt;"S",CÁLCULO.FrentesPreenchidas=0),"",IF(AND(ACOMPANHAMENTO="PLE",AUTOEVENTO="Manual",OR(H139&gt;0,ORÇAMENTO!AC139="QUANT."),OR(K139="",M139=0,N139="")),"►E",IF(AND(ACOMPANHAMENTO="PLE",ORÇAMENTO!AC139="QUANT."),"►Q",IF(AND(ACOMPANHAMENTO="PLE",H139&lt;&gt;SUMPRODUCT(($Q$1:$AI$1=1)*ROUND(Q139:AI139,15))),"►S",IF(AND(COUNTIF($P$11:$AI$11,"▼")=0,H139&gt;0,I139=""),"◄M","")))))</f>
        <v/>
      </c>
      <c r="K139" s="641" t="s">
        <v>1389</v>
      </c>
      <c r="L139" s="165" t="s">
        <v>764</v>
      </c>
      <c r="M139" s="166">
        <f ca="1">IF($D139&lt;&gt;"Serviço","",
          IF(AUTOEVENTO="manual",$A139,
                IF(ISERROR(MATCH($A139,$A$15:OFFSET($A139,-1,0),0)),MAX($M$15:OFFSET(M139,-1,0))+1,
                      INDEX($M$15:OFFSET(M139,-1,0),MATCH($A139,$A$15:OFFSET($A139,-1,0),0)))))</f>
        <v>4</v>
      </c>
      <c r="N139" s="167" t="str">
        <f ca="1">IF($D139&lt;&gt;"Serviço","",
         IF(AUTOEVENTO="Manual",
                IF($A139=0,"&lt;-- defina o número do agrupador",
                       OFFSET(EVENTOS!$D$15,$A139-$A$15,0)),
                OFFSET($F$15,$A139,0)))</f>
        <v>Estruturas de Concreto</v>
      </c>
      <c r="O139" s="168"/>
      <c r="Q139" s="168"/>
      <c r="R139" s="169"/>
      <c r="S139" s="169"/>
      <c r="T139" s="169"/>
      <c r="U139" s="169">
        <v>1306.8</v>
      </c>
      <c r="V139" s="169"/>
      <c r="W139" s="169"/>
      <c r="X139" s="169"/>
      <c r="Y139" s="169"/>
      <c r="Z139" s="170"/>
      <c r="AA139" s="169"/>
      <c r="AB139" s="169"/>
      <c r="AC139" s="169"/>
      <c r="AD139" s="169"/>
      <c r="AE139" s="169"/>
      <c r="AF139" s="169"/>
      <c r="AG139" s="169"/>
      <c r="AH139" s="170"/>
      <c r="AJ139" s="453">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0</v>
      </c>
      <c r="AK139" s="453">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0</v>
      </c>
      <c r="AL139" s="453">
        <f ca="1">IF(AND($D139="Serviço",AL$12&lt;&gt;0,$H139&gt;0,OR(AUTOEVENTO&lt;&gt;"manual",$M139&lt;&gt;$A$15)),
        IF(Import.TipoArredondamento&lt;&gt;"TransfereGOV",
              ROUND(OFFSET($P139,0,AL$13),15-13*ORÇAMENTO!$AF$7)/$H139*OFFSET(ORÇAMENTO!$X$15,ROW(AL139)-ROW(AL$15),0),
              ROUND(ROUND(OFFSET($P139,0,AL$13),15-13*ORÇAMENTO!$AF$7)*OFFSET(ORÇAMENTO!$W$15,ROW(AL139)-ROW(AL$15),0),15-13*ORÇAMENTO!$AF$11)),
         0)</f>
        <v>0</v>
      </c>
      <c r="AM139" s="453">
        <f ca="1">IF(AND($D139="Serviço",AM$12&lt;&gt;0,$H139&gt;0,OR(AUTOEVENTO&lt;&gt;"manual",$M139&lt;&gt;$A$15)),
        IF(Import.TipoArredondamento&lt;&gt;"TransfereGOV",
              ROUND(OFFSET($P139,0,AM$13),15-13*ORÇAMENTO!$AF$7)/$H139*OFFSET(ORÇAMENTO!$X$15,ROW(AM139)-ROW(AM$15),0),
              ROUND(ROUND(OFFSET($P139,0,AM$13),15-13*ORÇAMENTO!$AF$7)*OFFSET(ORÇAMENTO!$W$15,ROW(AM139)-ROW(AM$15),0),15-13*ORÇAMENTO!$AF$11)),
         0)</f>
        <v>0</v>
      </c>
      <c r="AN139" s="453">
        <f ca="1">IF(AND($D139="Serviço",AN$12&lt;&gt;0,$H139&gt;0,OR(AUTOEVENTO&lt;&gt;"manual",$M139&lt;&gt;$A$15)),
        IF(Import.TipoArredondamento&lt;&gt;"TransfereGOV",
              ROUND(OFFSET($P139,0,AN$13),15-13*ORÇAMENTO!$AF$7)/$H139*OFFSET(ORÇAMENTO!$X$15,ROW(AN139)-ROW(AN$15),0),
              ROUND(ROUND(OFFSET($P139,0,AN$13),15-13*ORÇAMENTO!$AF$7)*OFFSET(ORÇAMENTO!$W$15,ROW(AN139)-ROW(AN$15),0),15-13*ORÇAMENTO!$AF$11)),
         0)</f>
        <v>0</v>
      </c>
      <c r="AO139" s="453">
        <f ca="1">IF(AND($D139="Serviço",AO$12&lt;&gt;0,$H139&gt;0,OR(AUTOEVENTO&lt;&gt;"manual",$M139&lt;&gt;$A$15)),
        IF(Import.TipoArredondamento&lt;&gt;"TransfereGOV",
              ROUND(OFFSET($P139,0,AO$13),15-13*ORÇAMENTO!$AF$7)/$H139*OFFSET(ORÇAMENTO!$X$15,ROW(AO139)-ROW(AO$15),0),
              ROUND(ROUND(OFFSET($P139,0,AO$13),15-13*ORÇAMENTO!$AF$7)*OFFSET(ORÇAMENTO!$W$15,ROW(AO139)-ROW(AO$15),0),15-13*ORÇAMENTO!$AF$11)),
         0)</f>
        <v>0</v>
      </c>
      <c r="AP139" s="453">
        <f ca="1">IF(AND($D139="Serviço",AP$12&lt;&gt;0,$H139&gt;0,OR(AUTOEVENTO&lt;&gt;"manual",$M139&lt;&gt;$A$15)),
        IF(Import.TipoArredondamento&lt;&gt;"TransfereGOV",
              ROUND(OFFSET($P139,0,AP$13),15-13*ORÇAMENTO!$AF$7)/$H139*OFFSET(ORÇAMENTO!$X$15,ROW(AP139)-ROW(AP$15),0),
              ROUND(ROUND(OFFSET($P139,0,AP$13),15-13*ORÇAMENTO!$AF$7)*OFFSET(ORÇAMENTO!$W$15,ROW(AP139)-ROW(AP$15),0),15-13*ORÇAMENTO!$AF$11)),
         0)</f>
        <v>0</v>
      </c>
      <c r="AQ139" s="453">
        <f ca="1">IF(AND($D139="Serviço",AQ$12&lt;&gt;0,$H139&gt;0,OR(AUTOEVENTO&lt;&gt;"manual",$M139&lt;&gt;$A$15)),
        IF(Import.TipoArredondamento&lt;&gt;"TransfereGOV",
              ROUND(OFFSET($P139,0,AQ$13),15-13*ORÇAMENTO!$AF$7)/$H139*OFFSET(ORÇAMENTO!$X$15,ROW(AQ139)-ROW(AQ$15),0),
              ROUND(ROUND(OFFSET($P139,0,AQ$13),15-13*ORÇAMENTO!$AF$7)*OFFSET(ORÇAMENTO!$W$15,ROW(AQ139)-ROW(AQ$15),0),15-13*ORÇAMENTO!$AF$11)),
         0)</f>
        <v>0</v>
      </c>
      <c r="AR139" s="453">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3">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3">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3">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3">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3">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3">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3">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3">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3">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C139" s="171">
        <f ca="1">IF(OR($D139&lt;&gt;"Serviço",AND(AUTOEVENTO="Manual",$M139=$A$15)),0,
         IF(OFFSET(CRONOPLE!$F$15,$M139-$A$15,BC$13)=0,10^12,OFFSET(CRONOPLE!$F$15,$M139-$A$15,BC$13)))</f>
        <v>1</v>
      </c>
      <c r="BD139" s="171">
        <f ca="1">IF(OR($D139&lt;&gt;"Serviço",AND(AUTOEVENTO="Manual",$M139=$A$15)),0,
         IF(OFFSET(CRONOPLE!$F$15,$M139-$A$15,BD$13)=0,10^12,OFFSET(CRONOPLE!$F$15,$M139-$A$15,BD$13)))</f>
        <v>2</v>
      </c>
      <c r="BE139" s="171">
        <f ca="1">IF(OR($D139&lt;&gt;"Serviço",AND(AUTOEVENTO="Manual",$M139=$A$15)),0,
         IF(OFFSET(CRONOPLE!$F$15,$M139-$A$15,BE$13)=0,10^12,OFFSET(CRONOPLE!$F$15,$M139-$A$15,BE$13)))</f>
        <v>3</v>
      </c>
      <c r="BF139" s="171">
        <f ca="1">IF(OR($D139&lt;&gt;"Serviço",AND(AUTOEVENTO="Manual",$M139=$A$15)),0,
         IF(OFFSET(CRONOPLE!$F$15,$M139-$A$15,BF$13)=0,10^12,OFFSET(CRONOPLE!$F$15,$M139-$A$15,BF$13)))</f>
        <v>4</v>
      </c>
      <c r="BG139" s="171">
        <f ca="1">IF(OR($D139&lt;&gt;"Serviço",AND(AUTOEVENTO="Manual",$M139=$A$15)),0,
         IF(OFFSET(CRONOPLE!$F$15,$M139-$A$15,BG$13)=0,10^12,OFFSET(CRONOPLE!$F$15,$M139-$A$15,BG$13)))</f>
        <v>5</v>
      </c>
      <c r="BH139" s="171">
        <f ca="1">IF(OR($D139&lt;&gt;"Serviço",AND(AUTOEVENTO="Manual",$M139=$A$15)),0,
         IF(OFFSET(CRONOPLE!$F$15,$M139-$A$15,BH$13)=0,10^12,OFFSET(CRONOPLE!$F$15,$M139-$A$15,BH$13)))</f>
        <v>6</v>
      </c>
      <c r="BI139" s="171">
        <f ca="1">IF(OR($D139&lt;&gt;"Serviço",AND(AUTOEVENTO="Manual",$M139=$A$15)),0,
         IF(OFFSET(CRONOPLE!$F$15,$M139-$A$15,BI$13)=0,10^12,OFFSET(CRONOPLE!$F$15,$M139-$A$15,BI$13)))</f>
        <v>7</v>
      </c>
      <c r="BJ139" s="171">
        <f ca="1">IF(OR($D139&lt;&gt;"Serviço",AND(AUTOEVENTO="Manual",$M139=$A$15)),0,
         IF(OFFSET(CRONOPLE!$F$15,$M139-$A$15,BJ$13)=0,10^12,OFFSET(CRONOPLE!$F$15,$M139-$A$15,BJ$13)))</f>
        <v>8</v>
      </c>
      <c r="BK139" s="171">
        <f ca="1">IF(OR($D139&lt;&gt;"Serviço",AND(AUTOEVENTO="Manual",$M139=$A$15)),0,
         IF(OFFSET(CRONOPLE!$F$15,$M139-$A$15,BK$13)=0,10^12,OFFSET(CRONOPLE!$F$15,$M139-$A$15,BK$13)))</f>
        <v>9</v>
      </c>
      <c r="BL139" s="171">
        <f ca="1">IF(OR($D139&lt;&gt;"Serviço",AND(AUTOEVENTO="Manual",$M139=$A$15)),0,
         IF(OFFSET(CRONOPLE!$F$15,$M139-$A$15,BL$13)=0,10^12,OFFSET(CRONOPLE!$F$15,$M139-$A$15,BL$13)))</f>
        <v>10</v>
      </c>
      <c r="BM139" s="171">
        <f ca="1">IF(OR($D139&lt;&gt;"Serviço",AND(AUTOEVENTO="Manual",$M139=$A$15)),0,
         IF(OFFSET(CRONOPLE!$F$15,$M139-$A$15,BM$13)=0,10^12,OFFSET(CRONOPLE!$F$15,$M139-$A$15,BM$13)))</f>
        <v>1000000000000</v>
      </c>
      <c r="BN139" s="171">
        <f ca="1">IF(OR($D139&lt;&gt;"Serviço",AND(AUTOEVENTO="Manual",$M139=$A$15)),0,
         IF(OFFSET(CRONOPLE!$F$15,$M139-$A$15,BN$13)=0,10^12,OFFSET(CRONOPLE!$F$15,$M139-$A$15,BN$13)))</f>
        <v>1000000000000</v>
      </c>
      <c r="BO139" s="171">
        <f ca="1">IF(OR($D139&lt;&gt;"Serviço",AND(AUTOEVENTO="Manual",$M139=$A$15)),0,
         IF(OFFSET(CRONOPLE!$F$15,$M139-$A$15,BO$13)=0,10^12,OFFSET(CRONOPLE!$F$15,$M139-$A$15,BO$13)))</f>
        <v>1000000000000</v>
      </c>
      <c r="BP139" s="171">
        <f ca="1">IF(OR($D139&lt;&gt;"Serviço",AND(AUTOEVENTO="Manual",$M139=$A$15)),0,
         IF(OFFSET(CRONOPLE!$F$15,$M139-$A$15,BP$13)=0,10^12,OFFSET(CRONOPLE!$F$15,$M139-$A$15,BP$13)))</f>
        <v>1000000000000</v>
      </c>
      <c r="BQ139" s="171">
        <f ca="1">IF(OR($D139&lt;&gt;"Serviço",AND(AUTOEVENTO="Manual",$M139=$A$15)),0,
         IF(OFFSET(CRONOPLE!$F$15,$M139-$A$15,BQ$13)=0,10^12,OFFSET(CRONOPLE!$F$15,$M139-$A$15,BQ$13)))</f>
        <v>1000000000000</v>
      </c>
      <c r="BR139" s="171">
        <f ca="1">IF(OR($D139&lt;&gt;"Serviço",AND(AUTOEVENTO="Manual",$M139=$A$15)),0,
         IF(OFFSET(CRONOPLE!$F$15,$M139-$A$15,BR$13)=0,10^12,OFFSET(CRONOPLE!$F$15,$M139-$A$15,BR$13)))</f>
        <v>1000000000000</v>
      </c>
      <c r="BS139" s="171">
        <f ca="1">IF(OR($D139&lt;&gt;"Serviço",AND(AUTOEVENTO="Manual",$M139=$A$15)),0,
         IF(OFFSET(CRONOPLE!$F$15,$M139-$A$15,BS$13)=0,10^12,OFFSET(CRONOPLE!$F$15,$M139-$A$15,BS$13)))</f>
        <v>1000000000000</v>
      </c>
      <c r="BT139" s="171">
        <f ca="1">IF(OR($D139&lt;&gt;"Serviço",AND(AUTOEVENTO="Manual",$M139=$A$15)),0,
         IF(OFFSET(CRONOPLE!$F$15,$M139-$A$15,BT$13)=0,10^12,OFFSET(CRONOPLE!$F$15,$M139-$A$15,BT$13)))</f>
        <v>1000000000000</v>
      </c>
      <c r="BV139" s="172">
        <f ca="1">IF(OR($D139&lt;&gt;"Serviço",AND(AUTOEVENTO="Manual",$M139=$A$15),$M139&gt;(ROW(PLE.lastrow)-ROW(PLE.firstrow))),0,
           IF(OFFSET(PLE!$G$15,$M139-$A$15,BV$13)="",10^12,OFFSET(PLE!$G$15,$M139-$A$15,BV$13)))</f>
        <v>1000000000000</v>
      </c>
      <c r="BW139" s="172">
        <f ca="1">IF(OR($D139&lt;&gt;"Serviço",AND(AUTOEVENTO="Manual",$M139=$A$15),$M139&gt;(ROW(PLE.lastrow)-ROW(PLE.firstrow))),0,
           IF(OFFSET(PLE!$G$15,$M139-$A$15,BW$13)="",10^12,OFFSET(PLE!$G$15,$M139-$A$15,BW$13)))</f>
        <v>1000000000000</v>
      </c>
      <c r="BX139" s="172">
        <f ca="1">IF(OR($D139&lt;&gt;"Serviço",AND(AUTOEVENTO="Manual",$M139=$A$15),$M139&gt;(ROW(PLE.lastrow)-ROW(PLE.firstrow))),0,
           IF(OFFSET(PLE!$G$15,$M139-$A$15,BX$13)="",10^12,OFFSET(PLE!$G$15,$M139-$A$15,BX$13)))</f>
        <v>1000000000000</v>
      </c>
      <c r="BY139" s="172">
        <f ca="1">IF(OR($D139&lt;&gt;"Serviço",AND(AUTOEVENTO="Manual",$M139=$A$15),$M139&gt;(ROW(PLE.lastrow)-ROW(PLE.firstrow))),0,
           IF(OFFSET(PLE!$G$15,$M139-$A$15,BY$13)="",10^12,OFFSET(PLE!$G$15,$M139-$A$15,BY$13)))</f>
        <v>1000000000000</v>
      </c>
      <c r="BZ139" s="172">
        <f ca="1">IF(OR($D139&lt;&gt;"Serviço",AND(AUTOEVENTO="Manual",$M139=$A$15),$M139&gt;(ROW(PLE.lastrow)-ROW(PLE.firstrow))),0,
           IF(OFFSET(PLE!$G$15,$M139-$A$15,BZ$13)="",10^12,OFFSET(PLE!$G$15,$M139-$A$15,BZ$13)))</f>
        <v>1000000000000</v>
      </c>
      <c r="CA139" s="172">
        <f ca="1">IF(OR($D139&lt;&gt;"Serviço",AND(AUTOEVENTO="Manual",$M139=$A$15),$M139&gt;(ROW(PLE.lastrow)-ROW(PLE.firstrow))),0,
           IF(OFFSET(PLE!$G$15,$M139-$A$15,CA$13)="",10^12,OFFSET(PLE!$G$15,$M139-$A$15,CA$13)))</f>
        <v>1000000000000</v>
      </c>
      <c r="CB139" s="172">
        <f ca="1">IF(OR($D139&lt;&gt;"Serviço",AND(AUTOEVENTO="Manual",$M139=$A$15),$M139&gt;(ROW(PLE.lastrow)-ROW(PLE.firstrow))),0,
           IF(OFFSET(PLE!$G$15,$M139-$A$15,CB$13)="",10^12,OFFSET(PLE!$G$15,$M139-$A$15,CB$13)))</f>
        <v>1000000000000</v>
      </c>
      <c r="CC139" s="172">
        <f ca="1">IF(OR($D139&lt;&gt;"Serviço",AND(AUTOEVENTO="Manual",$M139=$A$15),$M139&gt;(ROW(PLE.lastrow)-ROW(PLE.firstrow))),0,
           IF(OFFSET(PLE!$G$15,$M139-$A$15,CC$13)="",10^12,OFFSET(PLE!$G$15,$M139-$A$15,CC$13)))</f>
        <v>1000000000000</v>
      </c>
      <c r="CD139" s="172">
        <f ca="1">IF(OR($D139&lt;&gt;"Serviço",AND(AUTOEVENTO="Manual",$M139=$A$15),$M139&gt;(ROW(PLE.lastrow)-ROW(PLE.firstrow))),0,
           IF(OFFSET(PLE!$G$15,$M139-$A$15,CD$13)="",10^12,OFFSET(PLE!$G$15,$M139-$A$15,CD$13)))</f>
        <v>1000000000000</v>
      </c>
      <c r="CE139" s="172">
        <f ca="1">IF(OR($D139&lt;&gt;"Serviço",AND(AUTOEVENTO="Manual",$M139=$A$15),$M139&gt;(ROW(PLE.lastrow)-ROW(PLE.firstrow))),0,
           IF(OFFSET(PLE!$G$15,$M139-$A$15,CE$13)="",10^12,OFFSET(PLE!$G$15,$M139-$A$15,CE$13)))</f>
        <v>1000000000000</v>
      </c>
      <c r="CF139" s="172">
        <f ca="1">IF(OR($D139&lt;&gt;"Serviço",AND(AUTOEVENTO="Manual",$M139=$A$15),$M139&gt;(ROW(PLE.lastrow)-ROW(PLE.firstrow))),0,
           IF(OFFSET(PLE!$G$15,$M139-$A$15,CF$13)="",10^12,OFFSET(PLE!$G$15,$M139-$A$15,CF$13)))</f>
        <v>1000000000000</v>
      </c>
      <c r="CG139" s="172">
        <f ca="1">IF(OR($D139&lt;&gt;"Serviço",AND(AUTOEVENTO="Manual",$M139=$A$15),$M139&gt;(ROW(PLE.lastrow)-ROW(PLE.firstrow))),0,
           IF(OFFSET(PLE!$G$15,$M139-$A$15,CG$13)="",10^12,OFFSET(PLE!$G$15,$M139-$A$15,CG$13)))</f>
        <v>1000000000000</v>
      </c>
      <c r="CH139" s="172">
        <f ca="1">IF(OR($D139&lt;&gt;"Serviço",AND(AUTOEVENTO="Manual",$M139=$A$15),$M139&gt;(ROW(PLE.lastrow)-ROW(PLE.firstrow))),0,
           IF(OFFSET(PLE!$G$15,$M139-$A$15,CH$13)="",10^12,OFFSET(PLE!$G$15,$M139-$A$15,CH$13)))</f>
        <v>1000000000000</v>
      </c>
      <c r="CI139" s="172">
        <f ca="1">IF(OR($D139&lt;&gt;"Serviço",AND(AUTOEVENTO="Manual",$M139=$A$15),$M139&gt;(ROW(PLE.lastrow)-ROW(PLE.firstrow))),0,
           IF(OFFSET(PLE!$G$15,$M139-$A$15,CI$13)="",10^12,OFFSET(PLE!$G$15,$M139-$A$15,CI$13)))</f>
        <v>1000000000000</v>
      </c>
      <c r="CJ139" s="172">
        <f ca="1">IF(OR($D139&lt;&gt;"Serviço",AND(AUTOEVENTO="Manual",$M139=$A$15),$M139&gt;(ROW(PLE.lastrow)-ROW(PLE.firstrow))),0,
           IF(OFFSET(PLE!$G$15,$M139-$A$15,CJ$13)="",10^12,OFFSET(PLE!$G$15,$M139-$A$15,CJ$13)))</f>
        <v>1000000000000</v>
      </c>
      <c r="CK139" s="172">
        <f ca="1">IF(OR($D139&lt;&gt;"Serviço",AND(AUTOEVENTO="Manual",$M139=$A$15),$M139&gt;(ROW(PLE.lastrow)-ROW(PLE.firstrow))),0,
           IF(OFFSET(PLE!$G$15,$M139-$A$15,CK$13)="",10^12,OFFSET(PLE!$G$15,$M139-$A$15,CK$13)))</f>
        <v>1000000000000</v>
      </c>
      <c r="CL139" s="172">
        <f ca="1">IF(OR($D139&lt;&gt;"Serviço",AND(AUTOEVENTO="Manual",$M139=$A$15),$M139&gt;(ROW(PLE.lastrow)-ROW(PLE.firstrow))),0,
           IF(OFFSET(PLE!$G$15,$M139-$A$15,CL$13)="",10^12,OFFSET(PLE!$G$15,$M139-$A$15,CL$13)))</f>
        <v>1000000000000</v>
      </c>
      <c r="CM139" s="172">
        <f ca="1">IF(OR($D139&lt;&gt;"Serviço",AND(AUTOEVENTO="Manual",$M139=$A$15),$M139&gt;(ROW(PLE.lastrow)-ROW(PLE.firstrow))),0,
           IF(OFFSET(PLE!$G$15,$M139-$A$15,CM$13)="",10^12,OFFSET(PLE!$G$15,$M139-$A$15,CM$13)))</f>
        <v>1000000000000</v>
      </c>
    </row>
    <row r="140" spans="1:91" ht="12.75" x14ac:dyDescent="0.2">
      <c r="A140" s="7">
        <f t="shared" ca="1" si="11"/>
        <v>0</v>
      </c>
      <c r="B140" s="7">
        <f ca="1">OFFSET(ORÇAMENTO!C$15,ROW(B140)-ROW(B$15),0)</f>
        <v>3</v>
      </c>
      <c r="C140" s="7" t="str">
        <f ca="1">OFFSET(ORÇAMENTO!L$15,ROW(C140)-ROW(C$15),0)</f>
        <v>F</v>
      </c>
      <c r="D140" s="116" t="str">
        <f ca="1">OFFSET(ORÇAMENTO!N$15,ROW(D140)-ROW(D$15),0)</f>
        <v>Nível 3</v>
      </c>
      <c r="E140" s="117" t="str">
        <f ca="1">OFFSET(ORÇAMENTO!O$15,ROW(E140)-ROW(E$15),0)</f>
        <v>1.5.4.</v>
      </c>
      <c r="F140" s="163" t="str">
        <f ca="1">OFFSET(ORÇAMENTO!R$15,ROW(F140)-ROW(F$15),0)</f>
        <v>DESINFECÇÃO POR ULTRAVIOLETA</v>
      </c>
      <c r="G140" s="164" t="str">
        <f ca="1">IF($D140&lt;&gt;"Serviço","",OFFSET(ORÇAMENTO!S$15,ROW(G140)-ROW(G$15),0))</f>
        <v/>
      </c>
      <c r="H140" s="122" cm="1">
        <f t="array" aca="1" ref="H140" ca="1">IF($D140&lt;&gt;"Serviço",0,IF(ACOMPANHAMENTO="BM",ROUND(OFFSET(ORÇAMENTO!AJ$15,ROW(H140)-ROW(H$15),0),15-13*ORÇAMENTO!$AF$7),SUMPRODUCT(($Q$1:$AI$1=1)*ROUND($Q140:$AI140,15-13*ORÇAMENTO!$AF$7))))</f>
        <v>0</v>
      </c>
      <c r="I140" s="468"/>
      <c r="J140" s="640" t="str" cm="1">
        <f t="array" aca="1" ref="J140" ca="1">IF(OR(B140&lt;&gt;"S",CÁLCULO.FrentesPreenchidas=0),"",IF(AND(ACOMPANHAMENTO="PLE",AUTOEVENTO="Manual",OR(H140&gt;0,ORÇAMENTO!AC140="QUANT."),OR(K140="",M140=0,N140="")),"►E",IF(AND(ACOMPANHAMENTO="PLE",ORÇAMENTO!AC140="QUANT."),"►Q",IF(AND(ACOMPANHAMENTO="PLE",H140&lt;&gt;SUMPRODUCT(($Q$1:$AI$1=1)*ROUND(Q140:AI140,15))),"►S",IF(AND(COUNTIF($P$11:$AI$11,"▼")=0,H140&gt;0,I140=""),"◄M","")))))</f>
        <v/>
      </c>
      <c r="K140" s="641"/>
      <c r="L140" s="165" t="s">
        <v>764</v>
      </c>
      <c r="M140" s="166" t="str">
        <f ca="1">IF($D140&lt;&gt;"Serviço","",
          IF(AUTOEVENTO="manual",$A140,
                IF(ISERROR(MATCH($A140,$A$15:OFFSET($A140,-1,0),0)),MAX($M$15:OFFSET(M140,-1,0))+1,
                      INDEX($M$15:OFFSET(M140,-1,0),MATCH($A140,$A$15:OFFSET($A140,-1,0),0)))))</f>
        <v/>
      </c>
      <c r="N140" s="167" t="str">
        <f ca="1">IF($D140&lt;&gt;"Serviço","",
         IF(AUTOEVENTO="Manual",
                IF($A140=0,"&lt;-- defina o número do agrupador",
                       OFFSET(EVENTOS!$D$15,$A140-$A$15,0)),
                OFFSET($F$15,$A140,0)))</f>
        <v/>
      </c>
      <c r="O140" s="168"/>
      <c r="Q140" s="168"/>
      <c r="R140" s="169"/>
      <c r="S140" s="169"/>
      <c r="T140" s="169"/>
      <c r="U140" s="169"/>
      <c r="V140" s="169"/>
      <c r="W140" s="169"/>
      <c r="X140" s="169"/>
      <c r="Y140" s="169"/>
      <c r="Z140" s="170"/>
      <c r="AA140" s="169"/>
      <c r="AB140" s="169"/>
      <c r="AC140" s="169"/>
      <c r="AD140" s="169"/>
      <c r="AE140" s="169"/>
      <c r="AF140" s="169"/>
      <c r="AG140" s="169"/>
      <c r="AH140" s="170"/>
      <c r="AJ140" s="453">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0</v>
      </c>
      <c r="AK140" s="453">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0</v>
      </c>
      <c r="AL140" s="453">
        <f ca="1">IF(AND($D140="Serviço",AL$12&lt;&gt;0,$H140&gt;0,OR(AUTOEVENTO&lt;&gt;"manual",$M140&lt;&gt;$A$15)),
        IF(Import.TipoArredondamento&lt;&gt;"TransfereGOV",
              ROUND(OFFSET($P140,0,AL$13),15-13*ORÇAMENTO!$AF$7)/$H140*OFFSET(ORÇAMENTO!$X$15,ROW(AL140)-ROW(AL$15),0),
              ROUND(ROUND(OFFSET($P140,0,AL$13),15-13*ORÇAMENTO!$AF$7)*OFFSET(ORÇAMENTO!$W$15,ROW(AL140)-ROW(AL$15),0),15-13*ORÇAMENTO!$AF$11)),
         0)</f>
        <v>0</v>
      </c>
      <c r="AM140" s="453">
        <f ca="1">IF(AND($D140="Serviço",AM$12&lt;&gt;0,$H140&gt;0,OR(AUTOEVENTO&lt;&gt;"manual",$M140&lt;&gt;$A$15)),
        IF(Import.TipoArredondamento&lt;&gt;"TransfereGOV",
              ROUND(OFFSET($P140,0,AM$13),15-13*ORÇAMENTO!$AF$7)/$H140*OFFSET(ORÇAMENTO!$X$15,ROW(AM140)-ROW(AM$15),0),
              ROUND(ROUND(OFFSET($P140,0,AM$13),15-13*ORÇAMENTO!$AF$7)*OFFSET(ORÇAMENTO!$W$15,ROW(AM140)-ROW(AM$15),0),15-13*ORÇAMENTO!$AF$11)),
         0)</f>
        <v>0</v>
      </c>
      <c r="AN140" s="453">
        <f ca="1">IF(AND($D140="Serviço",AN$12&lt;&gt;0,$H140&gt;0,OR(AUTOEVENTO&lt;&gt;"manual",$M140&lt;&gt;$A$15)),
        IF(Import.TipoArredondamento&lt;&gt;"TransfereGOV",
              ROUND(OFFSET($P140,0,AN$13),15-13*ORÇAMENTO!$AF$7)/$H140*OFFSET(ORÇAMENTO!$X$15,ROW(AN140)-ROW(AN$15),0),
              ROUND(ROUND(OFFSET($P140,0,AN$13),15-13*ORÇAMENTO!$AF$7)*OFFSET(ORÇAMENTO!$W$15,ROW(AN140)-ROW(AN$15),0),15-13*ORÇAMENTO!$AF$11)),
         0)</f>
        <v>0</v>
      </c>
      <c r="AO140" s="453">
        <f ca="1">IF(AND($D140="Serviço",AO$12&lt;&gt;0,$H140&gt;0,OR(AUTOEVENTO&lt;&gt;"manual",$M140&lt;&gt;$A$15)),
        IF(Import.TipoArredondamento&lt;&gt;"TransfereGOV",
              ROUND(OFFSET($P140,0,AO$13),15-13*ORÇAMENTO!$AF$7)/$H140*OFFSET(ORÇAMENTO!$X$15,ROW(AO140)-ROW(AO$15),0),
              ROUND(ROUND(OFFSET($P140,0,AO$13),15-13*ORÇAMENTO!$AF$7)*OFFSET(ORÇAMENTO!$W$15,ROW(AO140)-ROW(AO$15),0),15-13*ORÇAMENTO!$AF$11)),
         0)</f>
        <v>0</v>
      </c>
      <c r="AP140" s="453">
        <f ca="1">IF(AND($D140="Serviço",AP$12&lt;&gt;0,$H140&gt;0,OR(AUTOEVENTO&lt;&gt;"manual",$M140&lt;&gt;$A$15)),
        IF(Import.TipoArredondamento&lt;&gt;"TransfereGOV",
              ROUND(OFFSET($P140,0,AP$13),15-13*ORÇAMENTO!$AF$7)/$H140*OFFSET(ORÇAMENTO!$X$15,ROW(AP140)-ROW(AP$15),0),
              ROUND(ROUND(OFFSET($P140,0,AP$13),15-13*ORÇAMENTO!$AF$7)*OFFSET(ORÇAMENTO!$W$15,ROW(AP140)-ROW(AP$15),0),15-13*ORÇAMENTO!$AF$11)),
         0)</f>
        <v>0</v>
      </c>
      <c r="AQ140" s="453">
        <f ca="1">IF(AND($D140="Serviço",AQ$12&lt;&gt;0,$H140&gt;0,OR(AUTOEVENTO&lt;&gt;"manual",$M140&lt;&gt;$A$15)),
        IF(Import.TipoArredondamento&lt;&gt;"TransfereGOV",
              ROUND(OFFSET($P140,0,AQ$13),15-13*ORÇAMENTO!$AF$7)/$H140*OFFSET(ORÇAMENTO!$X$15,ROW(AQ140)-ROW(AQ$15),0),
              ROUND(ROUND(OFFSET($P140,0,AQ$13),15-13*ORÇAMENTO!$AF$7)*OFFSET(ORÇAMENTO!$W$15,ROW(AQ140)-ROW(AQ$15),0),15-13*ORÇAMENTO!$AF$11)),
         0)</f>
        <v>0</v>
      </c>
      <c r="AR140" s="453">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3">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3">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3">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3">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3">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3">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3">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3">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3">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C140" s="171">
        <f ca="1">IF(OR($D140&lt;&gt;"Serviço",AND(AUTOEVENTO="Manual",$M140=$A$15)),0,
         IF(OFFSET(CRONOPLE!$F$15,$M140-$A$15,BC$13)=0,10^12,OFFSET(CRONOPLE!$F$15,$M140-$A$15,BC$13)))</f>
        <v>0</v>
      </c>
      <c r="BD140" s="171">
        <f ca="1">IF(OR($D140&lt;&gt;"Serviço",AND(AUTOEVENTO="Manual",$M140=$A$15)),0,
         IF(OFFSET(CRONOPLE!$F$15,$M140-$A$15,BD$13)=0,10^12,OFFSET(CRONOPLE!$F$15,$M140-$A$15,BD$13)))</f>
        <v>0</v>
      </c>
      <c r="BE140" s="171">
        <f ca="1">IF(OR($D140&lt;&gt;"Serviço",AND(AUTOEVENTO="Manual",$M140=$A$15)),0,
         IF(OFFSET(CRONOPLE!$F$15,$M140-$A$15,BE$13)=0,10^12,OFFSET(CRONOPLE!$F$15,$M140-$A$15,BE$13)))</f>
        <v>0</v>
      </c>
      <c r="BF140" s="171">
        <f ca="1">IF(OR($D140&lt;&gt;"Serviço",AND(AUTOEVENTO="Manual",$M140=$A$15)),0,
         IF(OFFSET(CRONOPLE!$F$15,$M140-$A$15,BF$13)=0,10^12,OFFSET(CRONOPLE!$F$15,$M140-$A$15,BF$13)))</f>
        <v>0</v>
      </c>
      <c r="BG140" s="171">
        <f ca="1">IF(OR($D140&lt;&gt;"Serviço",AND(AUTOEVENTO="Manual",$M140=$A$15)),0,
         IF(OFFSET(CRONOPLE!$F$15,$M140-$A$15,BG$13)=0,10^12,OFFSET(CRONOPLE!$F$15,$M140-$A$15,BG$13)))</f>
        <v>0</v>
      </c>
      <c r="BH140" s="171">
        <f ca="1">IF(OR($D140&lt;&gt;"Serviço",AND(AUTOEVENTO="Manual",$M140=$A$15)),0,
         IF(OFFSET(CRONOPLE!$F$15,$M140-$A$15,BH$13)=0,10^12,OFFSET(CRONOPLE!$F$15,$M140-$A$15,BH$13)))</f>
        <v>0</v>
      </c>
      <c r="BI140" s="171">
        <f ca="1">IF(OR($D140&lt;&gt;"Serviço",AND(AUTOEVENTO="Manual",$M140=$A$15)),0,
         IF(OFFSET(CRONOPLE!$F$15,$M140-$A$15,BI$13)=0,10^12,OFFSET(CRONOPLE!$F$15,$M140-$A$15,BI$13)))</f>
        <v>0</v>
      </c>
      <c r="BJ140" s="171">
        <f ca="1">IF(OR($D140&lt;&gt;"Serviço",AND(AUTOEVENTO="Manual",$M140=$A$15)),0,
         IF(OFFSET(CRONOPLE!$F$15,$M140-$A$15,BJ$13)=0,10^12,OFFSET(CRONOPLE!$F$15,$M140-$A$15,BJ$13)))</f>
        <v>0</v>
      </c>
      <c r="BK140" s="171">
        <f ca="1">IF(OR($D140&lt;&gt;"Serviço",AND(AUTOEVENTO="Manual",$M140=$A$15)),0,
         IF(OFFSET(CRONOPLE!$F$15,$M140-$A$15,BK$13)=0,10^12,OFFSET(CRONOPLE!$F$15,$M140-$A$15,BK$13)))</f>
        <v>0</v>
      </c>
      <c r="BL140" s="171">
        <f ca="1">IF(OR($D140&lt;&gt;"Serviço",AND(AUTOEVENTO="Manual",$M140=$A$15)),0,
         IF(OFFSET(CRONOPLE!$F$15,$M140-$A$15,BL$13)=0,10^12,OFFSET(CRONOPLE!$F$15,$M140-$A$15,BL$13)))</f>
        <v>0</v>
      </c>
      <c r="BM140" s="171">
        <f ca="1">IF(OR($D140&lt;&gt;"Serviço",AND(AUTOEVENTO="Manual",$M140=$A$15)),0,
         IF(OFFSET(CRONOPLE!$F$15,$M140-$A$15,BM$13)=0,10^12,OFFSET(CRONOPLE!$F$15,$M140-$A$15,BM$13)))</f>
        <v>0</v>
      </c>
      <c r="BN140" s="171">
        <f ca="1">IF(OR($D140&lt;&gt;"Serviço",AND(AUTOEVENTO="Manual",$M140=$A$15)),0,
         IF(OFFSET(CRONOPLE!$F$15,$M140-$A$15,BN$13)=0,10^12,OFFSET(CRONOPLE!$F$15,$M140-$A$15,BN$13)))</f>
        <v>0</v>
      </c>
      <c r="BO140" s="171">
        <f ca="1">IF(OR($D140&lt;&gt;"Serviço",AND(AUTOEVENTO="Manual",$M140=$A$15)),0,
         IF(OFFSET(CRONOPLE!$F$15,$M140-$A$15,BO$13)=0,10^12,OFFSET(CRONOPLE!$F$15,$M140-$A$15,BO$13)))</f>
        <v>0</v>
      </c>
      <c r="BP140" s="171">
        <f ca="1">IF(OR($D140&lt;&gt;"Serviço",AND(AUTOEVENTO="Manual",$M140=$A$15)),0,
         IF(OFFSET(CRONOPLE!$F$15,$M140-$A$15,BP$13)=0,10^12,OFFSET(CRONOPLE!$F$15,$M140-$A$15,BP$13)))</f>
        <v>0</v>
      </c>
      <c r="BQ140" s="171">
        <f ca="1">IF(OR($D140&lt;&gt;"Serviço",AND(AUTOEVENTO="Manual",$M140=$A$15)),0,
         IF(OFFSET(CRONOPLE!$F$15,$M140-$A$15,BQ$13)=0,10^12,OFFSET(CRONOPLE!$F$15,$M140-$A$15,BQ$13)))</f>
        <v>0</v>
      </c>
      <c r="BR140" s="171">
        <f ca="1">IF(OR($D140&lt;&gt;"Serviço",AND(AUTOEVENTO="Manual",$M140=$A$15)),0,
         IF(OFFSET(CRONOPLE!$F$15,$M140-$A$15,BR$13)=0,10^12,OFFSET(CRONOPLE!$F$15,$M140-$A$15,BR$13)))</f>
        <v>0</v>
      </c>
      <c r="BS140" s="171">
        <f ca="1">IF(OR($D140&lt;&gt;"Serviço",AND(AUTOEVENTO="Manual",$M140=$A$15)),0,
         IF(OFFSET(CRONOPLE!$F$15,$M140-$A$15,BS$13)=0,10^12,OFFSET(CRONOPLE!$F$15,$M140-$A$15,BS$13)))</f>
        <v>0</v>
      </c>
      <c r="BT140" s="171">
        <f ca="1">IF(OR($D140&lt;&gt;"Serviço",AND(AUTOEVENTO="Manual",$M140=$A$15)),0,
         IF(OFFSET(CRONOPLE!$F$15,$M140-$A$15,BT$13)=0,10^12,OFFSET(CRONOPLE!$F$15,$M140-$A$15,BT$13)))</f>
        <v>0</v>
      </c>
      <c r="BV140" s="172">
        <f ca="1">IF(OR($D140&lt;&gt;"Serviço",AND(AUTOEVENTO="Manual",$M140=$A$15),$M140&gt;(ROW(PLE.lastrow)-ROW(PLE.firstrow))),0,
           IF(OFFSET(PLE!$G$15,$M140-$A$15,BV$13)="",10^12,OFFSET(PLE!$G$15,$M140-$A$15,BV$13)))</f>
        <v>0</v>
      </c>
      <c r="BW140" s="172">
        <f ca="1">IF(OR($D140&lt;&gt;"Serviço",AND(AUTOEVENTO="Manual",$M140=$A$15),$M140&gt;(ROW(PLE.lastrow)-ROW(PLE.firstrow))),0,
           IF(OFFSET(PLE!$G$15,$M140-$A$15,BW$13)="",10^12,OFFSET(PLE!$G$15,$M140-$A$15,BW$13)))</f>
        <v>0</v>
      </c>
      <c r="BX140" s="172">
        <f ca="1">IF(OR($D140&lt;&gt;"Serviço",AND(AUTOEVENTO="Manual",$M140=$A$15),$M140&gt;(ROW(PLE.lastrow)-ROW(PLE.firstrow))),0,
           IF(OFFSET(PLE!$G$15,$M140-$A$15,BX$13)="",10^12,OFFSET(PLE!$G$15,$M140-$A$15,BX$13)))</f>
        <v>0</v>
      </c>
      <c r="BY140" s="172">
        <f ca="1">IF(OR($D140&lt;&gt;"Serviço",AND(AUTOEVENTO="Manual",$M140=$A$15),$M140&gt;(ROW(PLE.lastrow)-ROW(PLE.firstrow))),0,
           IF(OFFSET(PLE!$G$15,$M140-$A$15,BY$13)="",10^12,OFFSET(PLE!$G$15,$M140-$A$15,BY$13)))</f>
        <v>0</v>
      </c>
      <c r="BZ140" s="172">
        <f ca="1">IF(OR($D140&lt;&gt;"Serviço",AND(AUTOEVENTO="Manual",$M140=$A$15),$M140&gt;(ROW(PLE.lastrow)-ROW(PLE.firstrow))),0,
           IF(OFFSET(PLE!$G$15,$M140-$A$15,BZ$13)="",10^12,OFFSET(PLE!$G$15,$M140-$A$15,BZ$13)))</f>
        <v>0</v>
      </c>
      <c r="CA140" s="172">
        <f ca="1">IF(OR($D140&lt;&gt;"Serviço",AND(AUTOEVENTO="Manual",$M140=$A$15),$M140&gt;(ROW(PLE.lastrow)-ROW(PLE.firstrow))),0,
           IF(OFFSET(PLE!$G$15,$M140-$A$15,CA$13)="",10^12,OFFSET(PLE!$G$15,$M140-$A$15,CA$13)))</f>
        <v>0</v>
      </c>
      <c r="CB140" s="172">
        <f ca="1">IF(OR($D140&lt;&gt;"Serviço",AND(AUTOEVENTO="Manual",$M140=$A$15),$M140&gt;(ROW(PLE.lastrow)-ROW(PLE.firstrow))),0,
           IF(OFFSET(PLE!$G$15,$M140-$A$15,CB$13)="",10^12,OFFSET(PLE!$G$15,$M140-$A$15,CB$13)))</f>
        <v>0</v>
      </c>
      <c r="CC140" s="172">
        <f ca="1">IF(OR($D140&lt;&gt;"Serviço",AND(AUTOEVENTO="Manual",$M140=$A$15),$M140&gt;(ROW(PLE.lastrow)-ROW(PLE.firstrow))),0,
           IF(OFFSET(PLE!$G$15,$M140-$A$15,CC$13)="",10^12,OFFSET(PLE!$G$15,$M140-$A$15,CC$13)))</f>
        <v>0</v>
      </c>
      <c r="CD140" s="172">
        <f ca="1">IF(OR($D140&lt;&gt;"Serviço",AND(AUTOEVENTO="Manual",$M140=$A$15),$M140&gt;(ROW(PLE.lastrow)-ROW(PLE.firstrow))),0,
           IF(OFFSET(PLE!$G$15,$M140-$A$15,CD$13)="",10^12,OFFSET(PLE!$G$15,$M140-$A$15,CD$13)))</f>
        <v>0</v>
      </c>
      <c r="CE140" s="172">
        <f ca="1">IF(OR($D140&lt;&gt;"Serviço",AND(AUTOEVENTO="Manual",$M140=$A$15),$M140&gt;(ROW(PLE.lastrow)-ROW(PLE.firstrow))),0,
           IF(OFFSET(PLE!$G$15,$M140-$A$15,CE$13)="",10^12,OFFSET(PLE!$G$15,$M140-$A$15,CE$13)))</f>
        <v>0</v>
      </c>
      <c r="CF140" s="172">
        <f ca="1">IF(OR($D140&lt;&gt;"Serviço",AND(AUTOEVENTO="Manual",$M140=$A$15),$M140&gt;(ROW(PLE.lastrow)-ROW(PLE.firstrow))),0,
           IF(OFFSET(PLE!$G$15,$M140-$A$15,CF$13)="",10^12,OFFSET(PLE!$G$15,$M140-$A$15,CF$13)))</f>
        <v>0</v>
      </c>
      <c r="CG140" s="172">
        <f ca="1">IF(OR($D140&lt;&gt;"Serviço",AND(AUTOEVENTO="Manual",$M140=$A$15),$M140&gt;(ROW(PLE.lastrow)-ROW(PLE.firstrow))),0,
           IF(OFFSET(PLE!$G$15,$M140-$A$15,CG$13)="",10^12,OFFSET(PLE!$G$15,$M140-$A$15,CG$13)))</f>
        <v>0</v>
      </c>
      <c r="CH140" s="172">
        <f ca="1">IF(OR($D140&lt;&gt;"Serviço",AND(AUTOEVENTO="Manual",$M140=$A$15),$M140&gt;(ROW(PLE.lastrow)-ROW(PLE.firstrow))),0,
           IF(OFFSET(PLE!$G$15,$M140-$A$15,CH$13)="",10^12,OFFSET(PLE!$G$15,$M140-$A$15,CH$13)))</f>
        <v>0</v>
      </c>
      <c r="CI140" s="172">
        <f ca="1">IF(OR($D140&lt;&gt;"Serviço",AND(AUTOEVENTO="Manual",$M140=$A$15),$M140&gt;(ROW(PLE.lastrow)-ROW(PLE.firstrow))),0,
           IF(OFFSET(PLE!$G$15,$M140-$A$15,CI$13)="",10^12,OFFSET(PLE!$G$15,$M140-$A$15,CI$13)))</f>
        <v>0</v>
      </c>
      <c r="CJ140" s="172">
        <f ca="1">IF(OR($D140&lt;&gt;"Serviço",AND(AUTOEVENTO="Manual",$M140=$A$15),$M140&gt;(ROW(PLE.lastrow)-ROW(PLE.firstrow))),0,
           IF(OFFSET(PLE!$G$15,$M140-$A$15,CJ$13)="",10^12,OFFSET(PLE!$G$15,$M140-$A$15,CJ$13)))</f>
        <v>0</v>
      </c>
      <c r="CK140" s="172">
        <f ca="1">IF(OR($D140&lt;&gt;"Serviço",AND(AUTOEVENTO="Manual",$M140=$A$15),$M140&gt;(ROW(PLE.lastrow)-ROW(PLE.firstrow))),0,
           IF(OFFSET(PLE!$G$15,$M140-$A$15,CK$13)="",10^12,OFFSET(PLE!$G$15,$M140-$A$15,CK$13)))</f>
        <v>0</v>
      </c>
      <c r="CL140" s="172">
        <f ca="1">IF(OR($D140&lt;&gt;"Serviço",AND(AUTOEVENTO="Manual",$M140=$A$15),$M140&gt;(ROW(PLE.lastrow)-ROW(PLE.firstrow))),0,
           IF(OFFSET(PLE!$G$15,$M140-$A$15,CL$13)="",10^12,OFFSET(PLE!$G$15,$M140-$A$15,CL$13)))</f>
        <v>0</v>
      </c>
      <c r="CM140" s="172">
        <f ca="1">IF(OR($D140&lt;&gt;"Serviço",AND(AUTOEVENTO="Manual",$M140=$A$15),$M140&gt;(ROW(PLE.lastrow)-ROW(PLE.firstrow))),0,
           IF(OFFSET(PLE!$G$15,$M140-$A$15,CM$13)="",10^12,OFFSET(PLE!$G$15,$M140-$A$15,CM$13)))</f>
        <v>0</v>
      </c>
    </row>
    <row r="141" spans="1:91" ht="76.5" x14ac:dyDescent="0.2">
      <c r="A141" s="7">
        <f t="shared" ca="1" si="11"/>
        <v>4</v>
      </c>
      <c r="B141" s="7" t="str">
        <f ca="1">OFFSET(ORÇAMENTO!C$15,ROW(B141)-ROW(B$15),0)</f>
        <v>S</v>
      </c>
      <c r="C141" s="7" t="str">
        <f ca="1">OFFSET(ORÇAMENTO!L$15,ROW(C141)-ROW(C$15),0)</f>
        <v>F</v>
      </c>
      <c r="D141" s="116" t="str">
        <f ca="1">OFFSET(ORÇAMENTO!N$15,ROW(D141)-ROW(D$15),0)</f>
        <v>Serviço</v>
      </c>
      <c r="E141" s="117" t="str">
        <f ca="1">OFFSET(ORÇAMENTO!O$15,ROW(E141)-ROW(E$15),0)</f>
        <v>1.5.4.0.1.</v>
      </c>
      <c r="F141" s="163" t="str">
        <f ca="1">OFFSET(ORÇAMENTO!R$15,ROW(F141)-ROW(F$15),0)</f>
        <v>CONCRETO FCK = 40MPA, TRAÇO 1:1,6:1,9 (EM MASSA SECA DE CIMENTO/ AREIA MÉDIA/ BRITA 1) - PREPARO MECÂNICO COM BETONEIRA 600 L. AF_05/2021</v>
      </c>
      <c r="G141" s="164" t="str">
        <f ca="1">IF($D141&lt;&gt;"Serviço","",OFFSET(ORÇAMENTO!S$15,ROW(G141)-ROW(G$15),0))</f>
        <v>M3</v>
      </c>
      <c r="H141" s="122" cm="1">
        <f t="array" aca="1" ref="H141" ca="1">IF($D141&lt;&gt;"Serviço",0,IF(ACOMPANHAMENTO="BM",ROUND(OFFSET(ORÇAMENTO!AJ$15,ROW(H141)-ROW(H$15),0),15-13*ORÇAMENTO!$AF$7),SUMPRODUCT(($Q$1:$AI$1=1)*ROUND($Q141:$AI141,15-13*ORÇAMENTO!$AF$7))))</f>
        <v>21.82</v>
      </c>
      <c r="I141" s="468" t="s">
        <v>1330</v>
      </c>
      <c r="J141" s="640" t="str" cm="1">
        <f t="array" aca="1" ref="J141" ca="1">IF(OR(B141&lt;&gt;"S",CÁLCULO.FrentesPreenchidas=0),"",IF(AND(ACOMPANHAMENTO="PLE",AUTOEVENTO="Manual",OR(H141&gt;0,ORÇAMENTO!AC141="QUANT."),OR(K141="",M141=0,N141="")),"►E",IF(AND(ACOMPANHAMENTO="PLE",ORÇAMENTO!AC141="QUANT."),"►Q",IF(AND(ACOMPANHAMENTO="PLE",H141&lt;&gt;SUMPRODUCT(($Q$1:$AI$1=1)*ROUND(Q141:AI141,15))),"►S",IF(AND(COUNTIF($P$11:$AI$11,"▼")=0,H141&gt;0,I141=""),"◄M","")))))</f>
        <v/>
      </c>
      <c r="K141" s="641" t="s">
        <v>1389</v>
      </c>
      <c r="L141" s="165" t="s">
        <v>764</v>
      </c>
      <c r="M141" s="166">
        <f ca="1">IF($D141&lt;&gt;"Serviço","",
          IF(AUTOEVENTO="manual",$A141,
                IF(ISERROR(MATCH($A141,$A$15:OFFSET($A141,-1,0),0)),MAX($M$15:OFFSET(M141,-1,0))+1,
                      INDEX($M$15:OFFSET(M141,-1,0),MATCH($A141,$A$15:OFFSET($A141,-1,0),0)))))</f>
        <v>4</v>
      </c>
      <c r="N141" s="167" t="str">
        <f ca="1">IF($D141&lt;&gt;"Serviço","",
         IF(AUTOEVENTO="Manual",
                IF($A141=0,"&lt;-- defina o número do agrupador",
                       OFFSET(EVENTOS!$D$15,$A141-$A$15,0)),
                OFFSET($F$15,$A141,0)))</f>
        <v>Estruturas de Concreto</v>
      </c>
      <c r="O141" s="168"/>
      <c r="Q141" s="168"/>
      <c r="R141" s="169"/>
      <c r="S141" s="169"/>
      <c r="T141" s="169"/>
      <c r="U141" s="169"/>
      <c r="V141" s="169">
        <f>15.29 + 3.48 + 3.05</f>
        <v>21.82</v>
      </c>
      <c r="W141" s="169"/>
      <c r="X141" s="169"/>
      <c r="Y141" s="169"/>
      <c r="Z141" s="170"/>
      <c r="AA141" s="169"/>
      <c r="AB141" s="169"/>
      <c r="AC141" s="169"/>
      <c r="AD141" s="169"/>
      <c r="AE141" s="169"/>
      <c r="AF141" s="169"/>
      <c r="AG141" s="169"/>
      <c r="AH141" s="170"/>
      <c r="AJ141" s="453">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0</v>
      </c>
      <c r="AK141" s="453">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0</v>
      </c>
      <c r="AL141" s="453">
        <f ca="1">IF(AND($D141="Serviço",AL$12&lt;&gt;0,$H141&gt;0,OR(AUTOEVENTO&lt;&gt;"manual",$M141&lt;&gt;$A$15)),
        IF(Import.TipoArredondamento&lt;&gt;"TransfereGOV",
              ROUND(OFFSET($P141,0,AL$13),15-13*ORÇAMENTO!$AF$7)/$H141*OFFSET(ORÇAMENTO!$X$15,ROW(AL141)-ROW(AL$15),0),
              ROUND(ROUND(OFFSET($P141,0,AL$13),15-13*ORÇAMENTO!$AF$7)*OFFSET(ORÇAMENTO!$W$15,ROW(AL141)-ROW(AL$15),0),15-13*ORÇAMENTO!$AF$11)),
         0)</f>
        <v>0</v>
      </c>
      <c r="AM141" s="453">
        <f ca="1">IF(AND($D141="Serviço",AM$12&lt;&gt;0,$H141&gt;0,OR(AUTOEVENTO&lt;&gt;"manual",$M141&lt;&gt;$A$15)),
        IF(Import.TipoArredondamento&lt;&gt;"TransfereGOV",
              ROUND(OFFSET($P141,0,AM$13),15-13*ORÇAMENTO!$AF$7)/$H141*OFFSET(ORÇAMENTO!$X$15,ROW(AM141)-ROW(AM$15),0),
              ROUND(ROUND(OFFSET($P141,0,AM$13),15-13*ORÇAMENTO!$AF$7)*OFFSET(ORÇAMENTO!$W$15,ROW(AM141)-ROW(AM$15),0),15-13*ORÇAMENTO!$AF$11)),
         0)</f>
        <v>0</v>
      </c>
      <c r="AN141" s="453">
        <f ca="1">IF(AND($D141="Serviço",AN$12&lt;&gt;0,$H141&gt;0,OR(AUTOEVENTO&lt;&gt;"manual",$M141&lt;&gt;$A$15)),
        IF(Import.TipoArredondamento&lt;&gt;"TransfereGOV",
              ROUND(OFFSET($P141,0,AN$13),15-13*ORÇAMENTO!$AF$7)/$H141*OFFSET(ORÇAMENTO!$X$15,ROW(AN141)-ROW(AN$15),0),
              ROUND(ROUND(OFFSET($P141,0,AN$13),15-13*ORÇAMENTO!$AF$7)*OFFSET(ORÇAMENTO!$W$15,ROW(AN141)-ROW(AN$15),0),15-13*ORÇAMENTO!$AF$11)),
         0)</f>
        <v>0</v>
      </c>
      <c r="AO141" s="453">
        <f ca="1">IF(AND($D141="Serviço",AO$12&lt;&gt;0,$H141&gt;0,OR(AUTOEVENTO&lt;&gt;"manual",$M141&lt;&gt;$A$15)),
        IF(Import.TipoArredondamento&lt;&gt;"TransfereGOV",
              ROUND(OFFSET($P141,0,AO$13),15-13*ORÇAMENTO!$AF$7)/$H141*OFFSET(ORÇAMENTO!$X$15,ROW(AO141)-ROW(AO$15),0),
              ROUND(ROUND(OFFSET($P141,0,AO$13),15-13*ORÇAMENTO!$AF$7)*OFFSET(ORÇAMENTO!$W$15,ROW(AO141)-ROW(AO$15),0),15-13*ORÇAMENTO!$AF$11)),
         0)</f>
        <v>0</v>
      </c>
      <c r="AP141" s="453">
        <f ca="1">IF(AND($D141="Serviço",AP$12&lt;&gt;0,$H141&gt;0,OR(AUTOEVENTO&lt;&gt;"manual",$M141&lt;&gt;$A$15)),
        IF(Import.TipoArredondamento&lt;&gt;"TransfereGOV",
              ROUND(OFFSET($P141,0,AP$13),15-13*ORÇAMENTO!$AF$7)/$H141*OFFSET(ORÇAMENTO!$X$15,ROW(AP141)-ROW(AP$15),0),
              ROUND(ROUND(OFFSET($P141,0,AP$13),15-13*ORÇAMENTO!$AF$7)*OFFSET(ORÇAMENTO!$W$15,ROW(AP141)-ROW(AP$15),0),15-13*ORÇAMENTO!$AF$11)),
         0)</f>
        <v>0</v>
      </c>
      <c r="AQ141" s="453">
        <f ca="1">IF(AND($D141="Serviço",AQ$12&lt;&gt;0,$H141&gt;0,OR(AUTOEVENTO&lt;&gt;"manual",$M141&lt;&gt;$A$15)),
        IF(Import.TipoArredondamento&lt;&gt;"TransfereGOV",
              ROUND(OFFSET($P141,0,AQ$13),15-13*ORÇAMENTO!$AF$7)/$H141*OFFSET(ORÇAMENTO!$X$15,ROW(AQ141)-ROW(AQ$15),0),
              ROUND(ROUND(OFFSET($P141,0,AQ$13),15-13*ORÇAMENTO!$AF$7)*OFFSET(ORÇAMENTO!$W$15,ROW(AQ141)-ROW(AQ$15),0),15-13*ORÇAMENTO!$AF$11)),
         0)</f>
        <v>0</v>
      </c>
      <c r="AR141" s="453">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3">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3">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3">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3">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3">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3">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3">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3">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3">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C141" s="171">
        <f ca="1">IF(OR($D141&lt;&gt;"Serviço",AND(AUTOEVENTO="Manual",$M141=$A$15)),0,
         IF(OFFSET(CRONOPLE!$F$15,$M141-$A$15,BC$13)=0,10^12,OFFSET(CRONOPLE!$F$15,$M141-$A$15,BC$13)))</f>
        <v>1</v>
      </c>
      <c r="BD141" s="171">
        <f ca="1">IF(OR($D141&lt;&gt;"Serviço",AND(AUTOEVENTO="Manual",$M141=$A$15)),0,
         IF(OFFSET(CRONOPLE!$F$15,$M141-$A$15,BD$13)=0,10^12,OFFSET(CRONOPLE!$F$15,$M141-$A$15,BD$13)))</f>
        <v>2</v>
      </c>
      <c r="BE141" s="171">
        <f ca="1">IF(OR($D141&lt;&gt;"Serviço",AND(AUTOEVENTO="Manual",$M141=$A$15)),0,
         IF(OFFSET(CRONOPLE!$F$15,$M141-$A$15,BE$13)=0,10^12,OFFSET(CRONOPLE!$F$15,$M141-$A$15,BE$13)))</f>
        <v>3</v>
      </c>
      <c r="BF141" s="171">
        <f ca="1">IF(OR($D141&lt;&gt;"Serviço",AND(AUTOEVENTO="Manual",$M141=$A$15)),0,
         IF(OFFSET(CRONOPLE!$F$15,$M141-$A$15,BF$13)=0,10^12,OFFSET(CRONOPLE!$F$15,$M141-$A$15,BF$13)))</f>
        <v>4</v>
      </c>
      <c r="BG141" s="171">
        <f ca="1">IF(OR($D141&lt;&gt;"Serviço",AND(AUTOEVENTO="Manual",$M141=$A$15)),0,
         IF(OFFSET(CRONOPLE!$F$15,$M141-$A$15,BG$13)=0,10^12,OFFSET(CRONOPLE!$F$15,$M141-$A$15,BG$13)))</f>
        <v>5</v>
      </c>
      <c r="BH141" s="171">
        <f ca="1">IF(OR($D141&lt;&gt;"Serviço",AND(AUTOEVENTO="Manual",$M141=$A$15)),0,
         IF(OFFSET(CRONOPLE!$F$15,$M141-$A$15,BH$13)=0,10^12,OFFSET(CRONOPLE!$F$15,$M141-$A$15,BH$13)))</f>
        <v>6</v>
      </c>
      <c r="BI141" s="171">
        <f ca="1">IF(OR($D141&lt;&gt;"Serviço",AND(AUTOEVENTO="Manual",$M141=$A$15)),0,
         IF(OFFSET(CRONOPLE!$F$15,$M141-$A$15,BI$13)=0,10^12,OFFSET(CRONOPLE!$F$15,$M141-$A$15,BI$13)))</f>
        <v>7</v>
      </c>
      <c r="BJ141" s="171">
        <f ca="1">IF(OR($D141&lt;&gt;"Serviço",AND(AUTOEVENTO="Manual",$M141=$A$15)),0,
         IF(OFFSET(CRONOPLE!$F$15,$M141-$A$15,BJ$13)=0,10^12,OFFSET(CRONOPLE!$F$15,$M141-$A$15,BJ$13)))</f>
        <v>8</v>
      </c>
      <c r="BK141" s="171">
        <f ca="1">IF(OR($D141&lt;&gt;"Serviço",AND(AUTOEVENTO="Manual",$M141=$A$15)),0,
         IF(OFFSET(CRONOPLE!$F$15,$M141-$A$15,BK$13)=0,10^12,OFFSET(CRONOPLE!$F$15,$M141-$A$15,BK$13)))</f>
        <v>9</v>
      </c>
      <c r="BL141" s="171">
        <f ca="1">IF(OR($D141&lt;&gt;"Serviço",AND(AUTOEVENTO="Manual",$M141=$A$15)),0,
         IF(OFFSET(CRONOPLE!$F$15,$M141-$A$15,BL$13)=0,10^12,OFFSET(CRONOPLE!$F$15,$M141-$A$15,BL$13)))</f>
        <v>10</v>
      </c>
      <c r="BM141" s="171">
        <f ca="1">IF(OR($D141&lt;&gt;"Serviço",AND(AUTOEVENTO="Manual",$M141=$A$15)),0,
         IF(OFFSET(CRONOPLE!$F$15,$M141-$A$15,BM$13)=0,10^12,OFFSET(CRONOPLE!$F$15,$M141-$A$15,BM$13)))</f>
        <v>1000000000000</v>
      </c>
      <c r="BN141" s="171">
        <f ca="1">IF(OR($D141&lt;&gt;"Serviço",AND(AUTOEVENTO="Manual",$M141=$A$15)),0,
         IF(OFFSET(CRONOPLE!$F$15,$M141-$A$15,BN$13)=0,10^12,OFFSET(CRONOPLE!$F$15,$M141-$A$15,BN$13)))</f>
        <v>1000000000000</v>
      </c>
      <c r="BO141" s="171">
        <f ca="1">IF(OR($D141&lt;&gt;"Serviço",AND(AUTOEVENTO="Manual",$M141=$A$15)),0,
         IF(OFFSET(CRONOPLE!$F$15,$M141-$A$15,BO$13)=0,10^12,OFFSET(CRONOPLE!$F$15,$M141-$A$15,BO$13)))</f>
        <v>1000000000000</v>
      </c>
      <c r="BP141" s="171">
        <f ca="1">IF(OR($D141&lt;&gt;"Serviço",AND(AUTOEVENTO="Manual",$M141=$A$15)),0,
         IF(OFFSET(CRONOPLE!$F$15,$M141-$A$15,BP$13)=0,10^12,OFFSET(CRONOPLE!$F$15,$M141-$A$15,BP$13)))</f>
        <v>1000000000000</v>
      </c>
      <c r="BQ141" s="171">
        <f ca="1">IF(OR($D141&lt;&gt;"Serviço",AND(AUTOEVENTO="Manual",$M141=$A$15)),0,
         IF(OFFSET(CRONOPLE!$F$15,$M141-$A$15,BQ$13)=0,10^12,OFFSET(CRONOPLE!$F$15,$M141-$A$15,BQ$13)))</f>
        <v>1000000000000</v>
      </c>
      <c r="BR141" s="171">
        <f ca="1">IF(OR($D141&lt;&gt;"Serviço",AND(AUTOEVENTO="Manual",$M141=$A$15)),0,
         IF(OFFSET(CRONOPLE!$F$15,$M141-$A$15,BR$13)=0,10^12,OFFSET(CRONOPLE!$F$15,$M141-$A$15,BR$13)))</f>
        <v>1000000000000</v>
      </c>
      <c r="BS141" s="171">
        <f ca="1">IF(OR($D141&lt;&gt;"Serviço",AND(AUTOEVENTO="Manual",$M141=$A$15)),0,
         IF(OFFSET(CRONOPLE!$F$15,$M141-$A$15,BS$13)=0,10^12,OFFSET(CRONOPLE!$F$15,$M141-$A$15,BS$13)))</f>
        <v>1000000000000</v>
      </c>
      <c r="BT141" s="171">
        <f ca="1">IF(OR($D141&lt;&gt;"Serviço",AND(AUTOEVENTO="Manual",$M141=$A$15)),0,
         IF(OFFSET(CRONOPLE!$F$15,$M141-$A$15,BT$13)=0,10^12,OFFSET(CRONOPLE!$F$15,$M141-$A$15,BT$13)))</f>
        <v>1000000000000</v>
      </c>
      <c r="BV141" s="172">
        <f ca="1">IF(OR($D141&lt;&gt;"Serviço",AND(AUTOEVENTO="Manual",$M141=$A$15),$M141&gt;(ROW(PLE.lastrow)-ROW(PLE.firstrow))),0,
           IF(OFFSET(PLE!$G$15,$M141-$A$15,BV$13)="",10^12,OFFSET(PLE!$G$15,$M141-$A$15,BV$13)))</f>
        <v>1000000000000</v>
      </c>
      <c r="BW141" s="172">
        <f ca="1">IF(OR($D141&lt;&gt;"Serviço",AND(AUTOEVENTO="Manual",$M141=$A$15),$M141&gt;(ROW(PLE.lastrow)-ROW(PLE.firstrow))),0,
           IF(OFFSET(PLE!$G$15,$M141-$A$15,BW$13)="",10^12,OFFSET(PLE!$G$15,$M141-$A$15,BW$13)))</f>
        <v>1000000000000</v>
      </c>
      <c r="BX141" s="172">
        <f ca="1">IF(OR($D141&lt;&gt;"Serviço",AND(AUTOEVENTO="Manual",$M141=$A$15),$M141&gt;(ROW(PLE.lastrow)-ROW(PLE.firstrow))),0,
           IF(OFFSET(PLE!$G$15,$M141-$A$15,BX$13)="",10^12,OFFSET(PLE!$G$15,$M141-$A$15,BX$13)))</f>
        <v>1000000000000</v>
      </c>
      <c r="BY141" s="172">
        <f ca="1">IF(OR($D141&lt;&gt;"Serviço",AND(AUTOEVENTO="Manual",$M141=$A$15),$M141&gt;(ROW(PLE.lastrow)-ROW(PLE.firstrow))),0,
           IF(OFFSET(PLE!$G$15,$M141-$A$15,BY$13)="",10^12,OFFSET(PLE!$G$15,$M141-$A$15,BY$13)))</f>
        <v>1000000000000</v>
      </c>
      <c r="BZ141" s="172">
        <f ca="1">IF(OR($D141&lt;&gt;"Serviço",AND(AUTOEVENTO="Manual",$M141=$A$15),$M141&gt;(ROW(PLE.lastrow)-ROW(PLE.firstrow))),0,
           IF(OFFSET(PLE!$G$15,$M141-$A$15,BZ$13)="",10^12,OFFSET(PLE!$G$15,$M141-$A$15,BZ$13)))</f>
        <v>1000000000000</v>
      </c>
      <c r="CA141" s="172">
        <f ca="1">IF(OR($D141&lt;&gt;"Serviço",AND(AUTOEVENTO="Manual",$M141=$A$15),$M141&gt;(ROW(PLE.lastrow)-ROW(PLE.firstrow))),0,
           IF(OFFSET(PLE!$G$15,$M141-$A$15,CA$13)="",10^12,OFFSET(PLE!$G$15,$M141-$A$15,CA$13)))</f>
        <v>1000000000000</v>
      </c>
      <c r="CB141" s="172">
        <f ca="1">IF(OR($D141&lt;&gt;"Serviço",AND(AUTOEVENTO="Manual",$M141=$A$15),$M141&gt;(ROW(PLE.lastrow)-ROW(PLE.firstrow))),0,
           IF(OFFSET(PLE!$G$15,$M141-$A$15,CB$13)="",10^12,OFFSET(PLE!$G$15,$M141-$A$15,CB$13)))</f>
        <v>1000000000000</v>
      </c>
      <c r="CC141" s="172">
        <f ca="1">IF(OR($D141&lt;&gt;"Serviço",AND(AUTOEVENTO="Manual",$M141=$A$15),$M141&gt;(ROW(PLE.lastrow)-ROW(PLE.firstrow))),0,
           IF(OFFSET(PLE!$G$15,$M141-$A$15,CC$13)="",10^12,OFFSET(PLE!$G$15,$M141-$A$15,CC$13)))</f>
        <v>1000000000000</v>
      </c>
      <c r="CD141" s="172">
        <f ca="1">IF(OR($D141&lt;&gt;"Serviço",AND(AUTOEVENTO="Manual",$M141=$A$15),$M141&gt;(ROW(PLE.lastrow)-ROW(PLE.firstrow))),0,
           IF(OFFSET(PLE!$G$15,$M141-$A$15,CD$13)="",10^12,OFFSET(PLE!$G$15,$M141-$A$15,CD$13)))</f>
        <v>1000000000000</v>
      </c>
      <c r="CE141" s="172">
        <f ca="1">IF(OR($D141&lt;&gt;"Serviço",AND(AUTOEVENTO="Manual",$M141=$A$15),$M141&gt;(ROW(PLE.lastrow)-ROW(PLE.firstrow))),0,
           IF(OFFSET(PLE!$G$15,$M141-$A$15,CE$13)="",10^12,OFFSET(PLE!$G$15,$M141-$A$15,CE$13)))</f>
        <v>1000000000000</v>
      </c>
      <c r="CF141" s="172">
        <f ca="1">IF(OR($D141&lt;&gt;"Serviço",AND(AUTOEVENTO="Manual",$M141=$A$15),$M141&gt;(ROW(PLE.lastrow)-ROW(PLE.firstrow))),0,
           IF(OFFSET(PLE!$G$15,$M141-$A$15,CF$13)="",10^12,OFFSET(PLE!$G$15,$M141-$A$15,CF$13)))</f>
        <v>1000000000000</v>
      </c>
      <c r="CG141" s="172">
        <f ca="1">IF(OR($D141&lt;&gt;"Serviço",AND(AUTOEVENTO="Manual",$M141=$A$15),$M141&gt;(ROW(PLE.lastrow)-ROW(PLE.firstrow))),0,
           IF(OFFSET(PLE!$G$15,$M141-$A$15,CG$13)="",10^12,OFFSET(PLE!$G$15,$M141-$A$15,CG$13)))</f>
        <v>1000000000000</v>
      </c>
      <c r="CH141" s="172">
        <f ca="1">IF(OR($D141&lt;&gt;"Serviço",AND(AUTOEVENTO="Manual",$M141=$A$15),$M141&gt;(ROW(PLE.lastrow)-ROW(PLE.firstrow))),0,
           IF(OFFSET(PLE!$G$15,$M141-$A$15,CH$13)="",10^12,OFFSET(PLE!$G$15,$M141-$A$15,CH$13)))</f>
        <v>1000000000000</v>
      </c>
      <c r="CI141" s="172">
        <f ca="1">IF(OR($D141&lt;&gt;"Serviço",AND(AUTOEVENTO="Manual",$M141=$A$15),$M141&gt;(ROW(PLE.lastrow)-ROW(PLE.firstrow))),0,
           IF(OFFSET(PLE!$G$15,$M141-$A$15,CI$13)="",10^12,OFFSET(PLE!$G$15,$M141-$A$15,CI$13)))</f>
        <v>1000000000000</v>
      </c>
      <c r="CJ141" s="172">
        <f ca="1">IF(OR($D141&lt;&gt;"Serviço",AND(AUTOEVENTO="Manual",$M141=$A$15),$M141&gt;(ROW(PLE.lastrow)-ROW(PLE.firstrow))),0,
           IF(OFFSET(PLE!$G$15,$M141-$A$15,CJ$13)="",10^12,OFFSET(PLE!$G$15,$M141-$A$15,CJ$13)))</f>
        <v>1000000000000</v>
      </c>
      <c r="CK141" s="172">
        <f ca="1">IF(OR($D141&lt;&gt;"Serviço",AND(AUTOEVENTO="Manual",$M141=$A$15),$M141&gt;(ROW(PLE.lastrow)-ROW(PLE.firstrow))),0,
           IF(OFFSET(PLE!$G$15,$M141-$A$15,CK$13)="",10^12,OFFSET(PLE!$G$15,$M141-$A$15,CK$13)))</f>
        <v>1000000000000</v>
      </c>
      <c r="CL141" s="172">
        <f ca="1">IF(OR($D141&lt;&gt;"Serviço",AND(AUTOEVENTO="Manual",$M141=$A$15),$M141&gt;(ROW(PLE.lastrow)-ROW(PLE.firstrow))),0,
           IF(OFFSET(PLE!$G$15,$M141-$A$15,CL$13)="",10^12,OFFSET(PLE!$G$15,$M141-$A$15,CL$13)))</f>
        <v>1000000000000</v>
      </c>
      <c r="CM141" s="172">
        <f ca="1">IF(OR($D141&lt;&gt;"Serviço",AND(AUTOEVENTO="Manual",$M141=$A$15),$M141&gt;(ROW(PLE.lastrow)-ROW(PLE.firstrow))),0,
           IF(OFFSET(PLE!$G$15,$M141-$A$15,CM$13)="",10^12,OFFSET(PLE!$G$15,$M141-$A$15,CM$13)))</f>
        <v>1000000000000</v>
      </c>
    </row>
    <row r="142" spans="1:91" ht="76.5" x14ac:dyDescent="0.2">
      <c r="A142" s="7">
        <f t="shared" ca="1" si="11"/>
        <v>4</v>
      </c>
      <c r="B142" s="7" t="str">
        <f ca="1">OFFSET(ORÇAMENTO!C$15,ROW(B142)-ROW(B$15),0)</f>
        <v>S</v>
      </c>
      <c r="C142" s="7" t="str">
        <f ca="1">OFFSET(ORÇAMENTO!L$15,ROW(C142)-ROW(C$15),0)</f>
        <v>F</v>
      </c>
      <c r="D142" s="116" t="str">
        <f ca="1">OFFSET(ORÇAMENTO!N$15,ROW(D142)-ROW(D$15),0)</f>
        <v>Serviço</v>
      </c>
      <c r="E142" s="117" t="str">
        <f ca="1">OFFSET(ORÇAMENTO!O$15,ROW(E142)-ROW(E$15),0)</f>
        <v>1.5.4.0.2.</v>
      </c>
      <c r="F142" s="163" t="str">
        <f ca="1">OFFSET(ORÇAMENTO!R$15,ROW(F142)-ROW(F$15),0)</f>
        <v>LANÇAMENTO COM USO DE BOMBA, ADENSAMENTO E ACABAMENTO DE CONCRETO EM ESTRUTURAS. AF_02/2022</v>
      </c>
      <c r="G142" s="164" t="str">
        <f ca="1">IF($D142&lt;&gt;"Serviço","",OFFSET(ORÇAMENTO!S$15,ROW(G142)-ROW(G$15),0))</f>
        <v>M3</v>
      </c>
      <c r="H142" s="122" cm="1">
        <f t="array" aca="1" ref="H142" ca="1">IF($D142&lt;&gt;"Serviço",0,IF(ACOMPANHAMENTO="BM",ROUND(OFFSET(ORÇAMENTO!AJ$15,ROW(H142)-ROW(H$15),0),15-13*ORÇAMENTO!$AF$7),SUMPRODUCT(($Q$1:$AI$1=1)*ROUND($Q142:$AI142,15-13*ORÇAMENTO!$AF$7))))</f>
        <v>21.82</v>
      </c>
      <c r="I142" s="468" t="s">
        <v>1331</v>
      </c>
      <c r="J142" s="640" t="str" cm="1">
        <f t="array" aca="1" ref="J142" ca="1">IF(OR(B142&lt;&gt;"S",CÁLCULO.FrentesPreenchidas=0),"",IF(AND(ACOMPANHAMENTO="PLE",AUTOEVENTO="Manual",OR(H142&gt;0,ORÇAMENTO!AC142="QUANT."),OR(K142="",M142=0,N142="")),"►E",IF(AND(ACOMPANHAMENTO="PLE",ORÇAMENTO!AC142="QUANT."),"►Q",IF(AND(ACOMPANHAMENTO="PLE",H142&lt;&gt;SUMPRODUCT(($Q$1:$AI$1=1)*ROUND(Q142:AI142,15))),"►S",IF(AND(COUNTIF($P$11:$AI$11,"▼")=0,H142&gt;0,I142=""),"◄M","")))))</f>
        <v/>
      </c>
      <c r="K142" s="641" t="s">
        <v>1389</v>
      </c>
      <c r="L142" s="165" t="s">
        <v>764</v>
      </c>
      <c r="M142" s="166">
        <f ca="1">IF($D142&lt;&gt;"Serviço","",
          IF(AUTOEVENTO="manual",$A142,
                IF(ISERROR(MATCH($A142,$A$15:OFFSET($A142,-1,0),0)),MAX($M$15:OFFSET(M142,-1,0))+1,
                      INDEX($M$15:OFFSET(M142,-1,0),MATCH($A142,$A$15:OFFSET($A142,-1,0),0)))))</f>
        <v>4</v>
      </c>
      <c r="N142" s="167" t="str">
        <f ca="1">IF($D142&lt;&gt;"Serviço","",
         IF(AUTOEVENTO="Manual",
                IF($A142=0,"&lt;-- defina o número do agrupador",
                       OFFSET(EVENTOS!$D$15,$A142-$A$15,0)),
                OFFSET($F$15,$A142,0)))</f>
        <v>Estruturas de Concreto</v>
      </c>
      <c r="O142" s="168"/>
      <c r="Q142" s="168"/>
      <c r="R142" s="169"/>
      <c r="S142" s="169"/>
      <c r="T142" s="169"/>
      <c r="U142" s="169"/>
      <c r="V142" s="169">
        <f>V141</f>
        <v>21.82</v>
      </c>
      <c r="W142" s="169"/>
      <c r="X142" s="169"/>
      <c r="Y142" s="169"/>
      <c r="Z142" s="170"/>
      <c r="AA142" s="169"/>
      <c r="AB142" s="169"/>
      <c r="AC142" s="169"/>
      <c r="AD142" s="169"/>
      <c r="AE142" s="169"/>
      <c r="AF142" s="169"/>
      <c r="AG142" s="169"/>
      <c r="AH142" s="170"/>
      <c r="AJ142" s="453">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0</v>
      </c>
      <c r="AK142" s="453">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0</v>
      </c>
      <c r="AL142" s="453">
        <f ca="1">IF(AND($D142="Serviço",AL$12&lt;&gt;0,$H142&gt;0,OR(AUTOEVENTO&lt;&gt;"manual",$M142&lt;&gt;$A$15)),
        IF(Import.TipoArredondamento&lt;&gt;"TransfereGOV",
              ROUND(OFFSET($P142,0,AL$13),15-13*ORÇAMENTO!$AF$7)/$H142*OFFSET(ORÇAMENTO!$X$15,ROW(AL142)-ROW(AL$15),0),
              ROUND(ROUND(OFFSET($P142,0,AL$13),15-13*ORÇAMENTO!$AF$7)*OFFSET(ORÇAMENTO!$W$15,ROW(AL142)-ROW(AL$15),0),15-13*ORÇAMENTO!$AF$11)),
         0)</f>
        <v>0</v>
      </c>
      <c r="AM142" s="453">
        <f ca="1">IF(AND($D142="Serviço",AM$12&lt;&gt;0,$H142&gt;0,OR(AUTOEVENTO&lt;&gt;"manual",$M142&lt;&gt;$A$15)),
        IF(Import.TipoArredondamento&lt;&gt;"TransfereGOV",
              ROUND(OFFSET($P142,0,AM$13),15-13*ORÇAMENTO!$AF$7)/$H142*OFFSET(ORÇAMENTO!$X$15,ROW(AM142)-ROW(AM$15),0),
              ROUND(ROUND(OFFSET($P142,0,AM$13),15-13*ORÇAMENTO!$AF$7)*OFFSET(ORÇAMENTO!$W$15,ROW(AM142)-ROW(AM$15),0),15-13*ORÇAMENTO!$AF$11)),
         0)</f>
        <v>0</v>
      </c>
      <c r="AN142" s="453">
        <f ca="1">IF(AND($D142="Serviço",AN$12&lt;&gt;0,$H142&gt;0,OR(AUTOEVENTO&lt;&gt;"manual",$M142&lt;&gt;$A$15)),
        IF(Import.TipoArredondamento&lt;&gt;"TransfereGOV",
              ROUND(OFFSET($P142,0,AN$13),15-13*ORÇAMENTO!$AF$7)/$H142*OFFSET(ORÇAMENTO!$X$15,ROW(AN142)-ROW(AN$15),0),
              ROUND(ROUND(OFFSET($P142,0,AN$13),15-13*ORÇAMENTO!$AF$7)*OFFSET(ORÇAMENTO!$W$15,ROW(AN142)-ROW(AN$15),0),15-13*ORÇAMENTO!$AF$11)),
         0)</f>
        <v>0</v>
      </c>
      <c r="AO142" s="453">
        <f ca="1">IF(AND($D142="Serviço",AO$12&lt;&gt;0,$H142&gt;0,OR(AUTOEVENTO&lt;&gt;"manual",$M142&lt;&gt;$A$15)),
        IF(Import.TipoArredondamento&lt;&gt;"TransfereGOV",
              ROUND(OFFSET($P142,0,AO$13),15-13*ORÇAMENTO!$AF$7)/$H142*OFFSET(ORÇAMENTO!$X$15,ROW(AO142)-ROW(AO$15),0),
              ROUND(ROUND(OFFSET($P142,0,AO$13),15-13*ORÇAMENTO!$AF$7)*OFFSET(ORÇAMENTO!$W$15,ROW(AO142)-ROW(AO$15),0),15-13*ORÇAMENTO!$AF$11)),
         0)</f>
        <v>0</v>
      </c>
      <c r="AP142" s="453">
        <f ca="1">IF(AND($D142="Serviço",AP$12&lt;&gt;0,$H142&gt;0,OR(AUTOEVENTO&lt;&gt;"manual",$M142&lt;&gt;$A$15)),
        IF(Import.TipoArredondamento&lt;&gt;"TransfereGOV",
              ROUND(OFFSET($P142,0,AP$13),15-13*ORÇAMENTO!$AF$7)/$H142*OFFSET(ORÇAMENTO!$X$15,ROW(AP142)-ROW(AP$15),0),
              ROUND(ROUND(OFFSET($P142,0,AP$13),15-13*ORÇAMENTO!$AF$7)*OFFSET(ORÇAMENTO!$W$15,ROW(AP142)-ROW(AP$15),0),15-13*ORÇAMENTO!$AF$11)),
         0)</f>
        <v>0</v>
      </c>
      <c r="AQ142" s="453">
        <f ca="1">IF(AND($D142="Serviço",AQ$12&lt;&gt;0,$H142&gt;0,OR(AUTOEVENTO&lt;&gt;"manual",$M142&lt;&gt;$A$15)),
        IF(Import.TipoArredondamento&lt;&gt;"TransfereGOV",
              ROUND(OFFSET($P142,0,AQ$13),15-13*ORÇAMENTO!$AF$7)/$H142*OFFSET(ORÇAMENTO!$X$15,ROW(AQ142)-ROW(AQ$15),0),
              ROUND(ROUND(OFFSET($P142,0,AQ$13),15-13*ORÇAMENTO!$AF$7)*OFFSET(ORÇAMENTO!$W$15,ROW(AQ142)-ROW(AQ$15),0),15-13*ORÇAMENTO!$AF$11)),
         0)</f>
        <v>0</v>
      </c>
      <c r="AR142" s="453">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3">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3">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3">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3">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3">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3">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3">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3">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3">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C142" s="171">
        <f ca="1">IF(OR($D142&lt;&gt;"Serviço",AND(AUTOEVENTO="Manual",$M142=$A$15)),0,
         IF(OFFSET(CRONOPLE!$F$15,$M142-$A$15,BC$13)=0,10^12,OFFSET(CRONOPLE!$F$15,$M142-$A$15,BC$13)))</f>
        <v>1</v>
      </c>
      <c r="BD142" s="171">
        <f ca="1">IF(OR($D142&lt;&gt;"Serviço",AND(AUTOEVENTO="Manual",$M142=$A$15)),0,
         IF(OFFSET(CRONOPLE!$F$15,$M142-$A$15,BD$13)=0,10^12,OFFSET(CRONOPLE!$F$15,$M142-$A$15,BD$13)))</f>
        <v>2</v>
      </c>
      <c r="BE142" s="171">
        <f ca="1">IF(OR($D142&lt;&gt;"Serviço",AND(AUTOEVENTO="Manual",$M142=$A$15)),0,
         IF(OFFSET(CRONOPLE!$F$15,$M142-$A$15,BE$13)=0,10^12,OFFSET(CRONOPLE!$F$15,$M142-$A$15,BE$13)))</f>
        <v>3</v>
      </c>
      <c r="BF142" s="171">
        <f ca="1">IF(OR($D142&lt;&gt;"Serviço",AND(AUTOEVENTO="Manual",$M142=$A$15)),0,
         IF(OFFSET(CRONOPLE!$F$15,$M142-$A$15,BF$13)=0,10^12,OFFSET(CRONOPLE!$F$15,$M142-$A$15,BF$13)))</f>
        <v>4</v>
      </c>
      <c r="BG142" s="171">
        <f ca="1">IF(OR($D142&lt;&gt;"Serviço",AND(AUTOEVENTO="Manual",$M142=$A$15)),0,
         IF(OFFSET(CRONOPLE!$F$15,$M142-$A$15,BG$13)=0,10^12,OFFSET(CRONOPLE!$F$15,$M142-$A$15,BG$13)))</f>
        <v>5</v>
      </c>
      <c r="BH142" s="171">
        <f ca="1">IF(OR($D142&lt;&gt;"Serviço",AND(AUTOEVENTO="Manual",$M142=$A$15)),0,
         IF(OFFSET(CRONOPLE!$F$15,$M142-$A$15,BH$13)=0,10^12,OFFSET(CRONOPLE!$F$15,$M142-$A$15,BH$13)))</f>
        <v>6</v>
      </c>
      <c r="BI142" s="171">
        <f ca="1">IF(OR($D142&lt;&gt;"Serviço",AND(AUTOEVENTO="Manual",$M142=$A$15)),0,
         IF(OFFSET(CRONOPLE!$F$15,$M142-$A$15,BI$13)=0,10^12,OFFSET(CRONOPLE!$F$15,$M142-$A$15,BI$13)))</f>
        <v>7</v>
      </c>
      <c r="BJ142" s="171">
        <f ca="1">IF(OR($D142&lt;&gt;"Serviço",AND(AUTOEVENTO="Manual",$M142=$A$15)),0,
         IF(OFFSET(CRONOPLE!$F$15,$M142-$A$15,BJ$13)=0,10^12,OFFSET(CRONOPLE!$F$15,$M142-$A$15,BJ$13)))</f>
        <v>8</v>
      </c>
      <c r="BK142" s="171">
        <f ca="1">IF(OR($D142&lt;&gt;"Serviço",AND(AUTOEVENTO="Manual",$M142=$A$15)),0,
         IF(OFFSET(CRONOPLE!$F$15,$M142-$A$15,BK$13)=0,10^12,OFFSET(CRONOPLE!$F$15,$M142-$A$15,BK$13)))</f>
        <v>9</v>
      </c>
      <c r="BL142" s="171">
        <f ca="1">IF(OR($D142&lt;&gt;"Serviço",AND(AUTOEVENTO="Manual",$M142=$A$15)),0,
         IF(OFFSET(CRONOPLE!$F$15,$M142-$A$15,BL$13)=0,10^12,OFFSET(CRONOPLE!$F$15,$M142-$A$15,BL$13)))</f>
        <v>10</v>
      </c>
      <c r="BM142" s="171">
        <f ca="1">IF(OR($D142&lt;&gt;"Serviço",AND(AUTOEVENTO="Manual",$M142=$A$15)),0,
         IF(OFFSET(CRONOPLE!$F$15,$M142-$A$15,BM$13)=0,10^12,OFFSET(CRONOPLE!$F$15,$M142-$A$15,BM$13)))</f>
        <v>1000000000000</v>
      </c>
      <c r="BN142" s="171">
        <f ca="1">IF(OR($D142&lt;&gt;"Serviço",AND(AUTOEVENTO="Manual",$M142=$A$15)),0,
         IF(OFFSET(CRONOPLE!$F$15,$M142-$A$15,BN$13)=0,10^12,OFFSET(CRONOPLE!$F$15,$M142-$A$15,BN$13)))</f>
        <v>1000000000000</v>
      </c>
      <c r="BO142" s="171">
        <f ca="1">IF(OR($D142&lt;&gt;"Serviço",AND(AUTOEVENTO="Manual",$M142=$A$15)),0,
         IF(OFFSET(CRONOPLE!$F$15,$M142-$A$15,BO$13)=0,10^12,OFFSET(CRONOPLE!$F$15,$M142-$A$15,BO$13)))</f>
        <v>1000000000000</v>
      </c>
      <c r="BP142" s="171">
        <f ca="1">IF(OR($D142&lt;&gt;"Serviço",AND(AUTOEVENTO="Manual",$M142=$A$15)),0,
         IF(OFFSET(CRONOPLE!$F$15,$M142-$A$15,BP$13)=0,10^12,OFFSET(CRONOPLE!$F$15,$M142-$A$15,BP$13)))</f>
        <v>1000000000000</v>
      </c>
      <c r="BQ142" s="171">
        <f ca="1">IF(OR($D142&lt;&gt;"Serviço",AND(AUTOEVENTO="Manual",$M142=$A$15)),0,
         IF(OFFSET(CRONOPLE!$F$15,$M142-$A$15,BQ$13)=0,10^12,OFFSET(CRONOPLE!$F$15,$M142-$A$15,BQ$13)))</f>
        <v>1000000000000</v>
      </c>
      <c r="BR142" s="171">
        <f ca="1">IF(OR($D142&lt;&gt;"Serviço",AND(AUTOEVENTO="Manual",$M142=$A$15)),0,
         IF(OFFSET(CRONOPLE!$F$15,$M142-$A$15,BR$13)=0,10^12,OFFSET(CRONOPLE!$F$15,$M142-$A$15,BR$13)))</f>
        <v>1000000000000</v>
      </c>
      <c r="BS142" s="171">
        <f ca="1">IF(OR($D142&lt;&gt;"Serviço",AND(AUTOEVENTO="Manual",$M142=$A$15)),0,
         IF(OFFSET(CRONOPLE!$F$15,$M142-$A$15,BS$13)=0,10^12,OFFSET(CRONOPLE!$F$15,$M142-$A$15,BS$13)))</f>
        <v>1000000000000</v>
      </c>
      <c r="BT142" s="171">
        <f ca="1">IF(OR($D142&lt;&gt;"Serviço",AND(AUTOEVENTO="Manual",$M142=$A$15)),0,
         IF(OFFSET(CRONOPLE!$F$15,$M142-$A$15,BT$13)=0,10^12,OFFSET(CRONOPLE!$F$15,$M142-$A$15,BT$13)))</f>
        <v>1000000000000</v>
      </c>
      <c r="BV142" s="172">
        <f ca="1">IF(OR($D142&lt;&gt;"Serviço",AND(AUTOEVENTO="Manual",$M142=$A$15),$M142&gt;(ROW(PLE.lastrow)-ROW(PLE.firstrow))),0,
           IF(OFFSET(PLE!$G$15,$M142-$A$15,BV$13)="",10^12,OFFSET(PLE!$G$15,$M142-$A$15,BV$13)))</f>
        <v>1000000000000</v>
      </c>
      <c r="BW142" s="172">
        <f ca="1">IF(OR($D142&lt;&gt;"Serviço",AND(AUTOEVENTO="Manual",$M142=$A$15),$M142&gt;(ROW(PLE.lastrow)-ROW(PLE.firstrow))),0,
           IF(OFFSET(PLE!$G$15,$M142-$A$15,BW$13)="",10^12,OFFSET(PLE!$G$15,$M142-$A$15,BW$13)))</f>
        <v>1000000000000</v>
      </c>
      <c r="BX142" s="172">
        <f ca="1">IF(OR($D142&lt;&gt;"Serviço",AND(AUTOEVENTO="Manual",$M142=$A$15),$M142&gt;(ROW(PLE.lastrow)-ROW(PLE.firstrow))),0,
           IF(OFFSET(PLE!$G$15,$M142-$A$15,BX$13)="",10^12,OFFSET(PLE!$G$15,$M142-$A$15,BX$13)))</f>
        <v>1000000000000</v>
      </c>
      <c r="BY142" s="172">
        <f ca="1">IF(OR($D142&lt;&gt;"Serviço",AND(AUTOEVENTO="Manual",$M142=$A$15),$M142&gt;(ROW(PLE.lastrow)-ROW(PLE.firstrow))),0,
           IF(OFFSET(PLE!$G$15,$M142-$A$15,BY$13)="",10^12,OFFSET(PLE!$G$15,$M142-$A$15,BY$13)))</f>
        <v>1000000000000</v>
      </c>
      <c r="BZ142" s="172">
        <f ca="1">IF(OR($D142&lt;&gt;"Serviço",AND(AUTOEVENTO="Manual",$M142=$A$15),$M142&gt;(ROW(PLE.lastrow)-ROW(PLE.firstrow))),0,
           IF(OFFSET(PLE!$G$15,$M142-$A$15,BZ$13)="",10^12,OFFSET(PLE!$G$15,$M142-$A$15,BZ$13)))</f>
        <v>1000000000000</v>
      </c>
      <c r="CA142" s="172">
        <f ca="1">IF(OR($D142&lt;&gt;"Serviço",AND(AUTOEVENTO="Manual",$M142=$A$15),$M142&gt;(ROW(PLE.lastrow)-ROW(PLE.firstrow))),0,
           IF(OFFSET(PLE!$G$15,$M142-$A$15,CA$13)="",10^12,OFFSET(PLE!$G$15,$M142-$A$15,CA$13)))</f>
        <v>1000000000000</v>
      </c>
      <c r="CB142" s="172">
        <f ca="1">IF(OR($D142&lt;&gt;"Serviço",AND(AUTOEVENTO="Manual",$M142=$A$15),$M142&gt;(ROW(PLE.lastrow)-ROW(PLE.firstrow))),0,
           IF(OFFSET(PLE!$G$15,$M142-$A$15,CB$13)="",10^12,OFFSET(PLE!$G$15,$M142-$A$15,CB$13)))</f>
        <v>1000000000000</v>
      </c>
      <c r="CC142" s="172">
        <f ca="1">IF(OR($D142&lt;&gt;"Serviço",AND(AUTOEVENTO="Manual",$M142=$A$15),$M142&gt;(ROW(PLE.lastrow)-ROW(PLE.firstrow))),0,
           IF(OFFSET(PLE!$G$15,$M142-$A$15,CC$13)="",10^12,OFFSET(PLE!$G$15,$M142-$A$15,CC$13)))</f>
        <v>1000000000000</v>
      </c>
      <c r="CD142" s="172">
        <f ca="1">IF(OR($D142&lt;&gt;"Serviço",AND(AUTOEVENTO="Manual",$M142=$A$15),$M142&gt;(ROW(PLE.lastrow)-ROW(PLE.firstrow))),0,
           IF(OFFSET(PLE!$G$15,$M142-$A$15,CD$13)="",10^12,OFFSET(PLE!$G$15,$M142-$A$15,CD$13)))</f>
        <v>1000000000000</v>
      </c>
      <c r="CE142" s="172">
        <f ca="1">IF(OR($D142&lt;&gt;"Serviço",AND(AUTOEVENTO="Manual",$M142=$A$15),$M142&gt;(ROW(PLE.lastrow)-ROW(PLE.firstrow))),0,
           IF(OFFSET(PLE!$G$15,$M142-$A$15,CE$13)="",10^12,OFFSET(PLE!$G$15,$M142-$A$15,CE$13)))</f>
        <v>1000000000000</v>
      </c>
      <c r="CF142" s="172">
        <f ca="1">IF(OR($D142&lt;&gt;"Serviço",AND(AUTOEVENTO="Manual",$M142=$A$15),$M142&gt;(ROW(PLE.lastrow)-ROW(PLE.firstrow))),0,
           IF(OFFSET(PLE!$G$15,$M142-$A$15,CF$13)="",10^12,OFFSET(PLE!$G$15,$M142-$A$15,CF$13)))</f>
        <v>1000000000000</v>
      </c>
      <c r="CG142" s="172">
        <f ca="1">IF(OR($D142&lt;&gt;"Serviço",AND(AUTOEVENTO="Manual",$M142=$A$15),$M142&gt;(ROW(PLE.lastrow)-ROW(PLE.firstrow))),0,
           IF(OFFSET(PLE!$G$15,$M142-$A$15,CG$13)="",10^12,OFFSET(PLE!$G$15,$M142-$A$15,CG$13)))</f>
        <v>1000000000000</v>
      </c>
      <c r="CH142" s="172">
        <f ca="1">IF(OR($D142&lt;&gt;"Serviço",AND(AUTOEVENTO="Manual",$M142=$A$15),$M142&gt;(ROW(PLE.lastrow)-ROW(PLE.firstrow))),0,
           IF(OFFSET(PLE!$G$15,$M142-$A$15,CH$13)="",10^12,OFFSET(PLE!$G$15,$M142-$A$15,CH$13)))</f>
        <v>1000000000000</v>
      </c>
      <c r="CI142" s="172">
        <f ca="1">IF(OR($D142&lt;&gt;"Serviço",AND(AUTOEVENTO="Manual",$M142=$A$15),$M142&gt;(ROW(PLE.lastrow)-ROW(PLE.firstrow))),0,
           IF(OFFSET(PLE!$G$15,$M142-$A$15,CI$13)="",10^12,OFFSET(PLE!$G$15,$M142-$A$15,CI$13)))</f>
        <v>1000000000000</v>
      </c>
      <c r="CJ142" s="172">
        <f ca="1">IF(OR($D142&lt;&gt;"Serviço",AND(AUTOEVENTO="Manual",$M142=$A$15),$M142&gt;(ROW(PLE.lastrow)-ROW(PLE.firstrow))),0,
           IF(OFFSET(PLE!$G$15,$M142-$A$15,CJ$13)="",10^12,OFFSET(PLE!$G$15,$M142-$A$15,CJ$13)))</f>
        <v>1000000000000</v>
      </c>
      <c r="CK142" s="172">
        <f ca="1">IF(OR($D142&lt;&gt;"Serviço",AND(AUTOEVENTO="Manual",$M142=$A$15),$M142&gt;(ROW(PLE.lastrow)-ROW(PLE.firstrow))),0,
           IF(OFFSET(PLE!$G$15,$M142-$A$15,CK$13)="",10^12,OFFSET(PLE!$G$15,$M142-$A$15,CK$13)))</f>
        <v>1000000000000</v>
      </c>
      <c r="CL142" s="172">
        <f ca="1">IF(OR($D142&lt;&gt;"Serviço",AND(AUTOEVENTO="Manual",$M142=$A$15),$M142&gt;(ROW(PLE.lastrow)-ROW(PLE.firstrow))),0,
           IF(OFFSET(PLE!$G$15,$M142-$A$15,CL$13)="",10^12,OFFSET(PLE!$G$15,$M142-$A$15,CL$13)))</f>
        <v>1000000000000</v>
      </c>
      <c r="CM142" s="172">
        <f ca="1">IF(OR($D142&lt;&gt;"Serviço",AND(AUTOEVENTO="Manual",$M142=$A$15),$M142&gt;(ROW(PLE.lastrow)-ROW(PLE.firstrow))),0,
           IF(OFFSET(PLE!$G$15,$M142-$A$15,CM$13)="",10^12,OFFSET(PLE!$G$15,$M142-$A$15,CM$13)))</f>
        <v>1000000000000</v>
      </c>
    </row>
    <row r="143" spans="1:91" ht="76.5" x14ac:dyDescent="0.2">
      <c r="A143" s="7">
        <f t="shared" ca="1" si="11"/>
        <v>4</v>
      </c>
      <c r="B143" s="7" t="str">
        <f ca="1">OFFSET(ORÇAMENTO!C$15,ROW(B143)-ROW(B$15),0)</f>
        <v>S</v>
      </c>
      <c r="C143" s="7" t="str">
        <f ca="1">OFFSET(ORÇAMENTO!L$15,ROW(C143)-ROW(C$15),0)</f>
        <v>F</v>
      </c>
      <c r="D143" s="116" t="str">
        <f ca="1">OFFSET(ORÇAMENTO!N$15,ROW(D143)-ROW(D$15),0)</f>
        <v>Serviço</v>
      </c>
      <c r="E143" s="117" t="str">
        <f ca="1">OFFSET(ORÇAMENTO!O$15,ROW(E143)-ROW(E$15),0)</f>
        <v>1.5.4.0.3.</v>
      </c>
      <c r="F143" s="163" t="str">
        <f ca="1">OFFSET(ORÇAMENTO!R$15,ROW(F143)-ROW(F$15),0)</f>
        <v>FÔRMAS DE COMPENSADO RESINADO 10 MM - USO GERAL - UTILIZAÇÃO DE 3 VEZES - CONFECÇÃO, INSTALAÇÃO E RETIRADA</v>
      </c>
      <c r="G143" s="164" t="str">
        <f ca="1">IF($D143&lt;&gt;"Serviço","",OFFSET(ORÇAMENTO!S$15,ROW(G143)-ROW(G$15),0))</f>
        <v>M2</v>
      </c>
      <c r="H143" s="122" cm="1">
        <f t="array" aca="1" ref="H143" ca="1">IF($D143&lt;&gt;"Serviço",0,IF(ACOMPANHAMENTO="BM",ROUND(OFFSET(ORÇAMENTO!AJ$15,ROW(H143)-ROW(H$15),0),15-13*ORÇAMENTO!$AF$7),SUMPRODUCT(($Q$1:$AI$1=1)*ROUND($Q143:$AI143,15-13*ORÇAMENTO!$AF$7))))</f>
        <v>201.39</v>
      </c>
      <c r="I143" s="468" t="s">
        <v>1332</v>
      </c>
      <c r="J143" s="640" t="str" cm="1">
        <f t="array" aca="1" ref="J143" ca="1">IF(OR(B143&lt;&gt;"S",CÁLCULO.FrentesPreenchidas=0),"",IF(AND(ACOMPANHAMENTO="PLE",AUTOEVENTO="Manual",OR(H143&gt;0,ORÇAMENTO!AC143="QUANT."),OR(K143="",M143=0,N143="")),"►E",IF(AND(ACOMPANHAMENTO="PLE",ORÇAMENTO!AC143="QUANT."),"►Q",IF(AND(ACOMPANHAMENTO="PLE",H143&lt;&gt;SUMPRODUCT(($Q$1:$AI$1=1)*ROUND(Q143:AI143,15))),"►S",IF(AND(COUNTIF($P$11:$AI$11,"▼")=0,H143&gt;0,I143=""),"◄M","")))))</f>
        <v/>
      </c>
      <c r="K143" s="641" t="s">
        <v>1389</v>
      </c>
      <c r="L143" s="165" t="s">
        <v>764</v>
      </c>
      <c r="M143" s="166">
        <f ca="1">IF($D143&lt;&gt;"Serviço","",
          IF(AUTOEVENTO="manual",$A143,
                IF(ISERROR(MATCH($A143,$A$15:OFFSET($A143,-1,0),0)),MAX($M$15:OFFSET(M143,-1,0))+1,
                      INDEX($M$15:OFFSET(M143,-1,0),MATCH($A143,$A$15:OFFSET($A143,-1,0),0)))))</f>
        <v>4</v>
      </c>
      <c r="N143" s="167" t="str">
        <f ca="1">IF($D143&lt;&gt;"Serviço","",
         IF(AUTOEVENTO="Manual",
                IF($A143=0,"&lt;-- defina o número do agrupador",
                       OFFSET(EVENTOS!$D$15,$A143-$A$15,0)),
                OFFSET($F$15,$A143,0)))</f>
        <v>Estruturas de Concreto</v>
      </c>
      <c r="O143" s="168"/>
      <c r="Q143" s="168"/>
      <c r="R143" s="169"/>
      <c r="S143" s="169"/>
      <c r="T143" s="169"/>
      <c r="U143" s="169"/>
      <c r="V143" s="169">
        <f>139.47 + 33.44 + 28.48</f>
        <v>201.39</v>
      </c>
      <c r="W143" s="169"/>
      <c r="X143" s="169"/>
      <c r="Y143" s="169"/>
      <c r="Z143" s="170"/>
      <c r="AA143" s="169"/>
      <c r="AB143" s="169"/>
      <c r="AC143" s="169"/>
      <c r="AD143" s="169"/>
      <c r="AE143" s="169"/>
      <c r="AF143" s="169"/>
      <c r="AG143" s="169"/>
      <c r="AH143" s="170"/>
      <c r="AJ143" s="453">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0</v>
      </c>
      <c r="AK143" s="453">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0</v>
      </c>
      <c r="AL143" s="453">
        <f ca="1">IF(AND($D143="Serviço",AL$12&lt;&gt;0,$H143&gt;0,OR(AUTOEVENTO&lt;&gt;"manual",$M143&lt;&gt;$A$15)),
        IF(Import.TipoArredondamento&lt;&gt;"TransfereGOV",
              ROUND(OFFSET($P143,0,AL$13),15-13*ORÇAMENTO!$AF$7)/$H143*OFFSET(ORÇAMENTO!$X$15,ROW(AL143)-ROW(AL$15),0),
              ROUND(ROUND(OFFSET($P143,0,AL$13),15-13*ORÇAMENTO!$AF$7)*OFFSET(ORÇAMENTO!$W$15,ROW(AL143)-ROW(AL$15),0),15-13*ORÇAMENTO!$AF$11)),
         0)</f>
        <v>0</v>
      </c>
      <c r="AM143" s="453">
        <f ca="1">IF(AND($D143="Serviço",AM$12&lt;&gt;0,$H143&gt;0,OR(AUTOEVENTO&lt;&gt;"manual",$M143&lt;&gt;$A$15)),
        IF(Import.TipoArredondamento&lt;&gt;"TransfereGOV",
              ROUND(OFFSET($P143,0,AM$13),15-13*ORÇAMENTO!$AF$7)/$H143*OFFSET(ORÇAMENTO!$X$15,ROW(AM143)-ROW(AM$15),0),
              ROUND(ROUND(OFFSET($P143,0,AM$13),15-13*ORÇAMENTO!$AF$7)*OFFSET(ORÇAMENTO!$W$15,ROW(AM143)-ROW(AM$15),0),15-13*ORÇAMENTO!$AF$11)),
         0)</f>
        <v>0</v>
      </c>
      <c r="AN143" s="453">
        <f ca="1">IF(AND($D143="Serviço",AN$12&lt;&gt;0,$H143&gt;0,OR(AUTOEVENTO&lt;&gt;"manual",$M143&lt;&gt;$A$15)),
        IF(Import.TipoArredondamento&lt;&gt;"TransfereGOV",
              ROUND(OFFSET($P143,0,AN$13),15-13*ORÇAMENTO!$AF$7)/$H143*OFFSET(ORÇAMENTO!$X$15,ROW(AN143)-ROW(AN$15),0),
              ROUND(ROUND(OFFSET($P143,0,AN$13),15-13*ORÇAMENTO!$AF$7)*OFFSET(ORÇAMENTO!$W$15,ROW(AN143)-ROW(AN$15),0),15-13*ORÇAMENTO!$AF$11)),
         0)</f>
        <v>0</v>
      </c>
      <c r="AO143" s="453">
        <f ca="1">IF(AND($D143="Serviço",AO$12&lt;&gt;0,$H143&gt;0,OR(AUTOEVENTO&lt;&gt;"manual",$M143&lt;&gt;$A$15)),
        IF(Import.TipoArredondamento&lt;&gt;"TransfereGOV",
              ROUND(OFFSET($P143,0,AO$13),15-13*ORÇAMENTO!$AF$7)/$H143*OFFSET(ORÇAMENTO!$X$15,ROW(AO143)-ROW(AO$15),0),
              ROUND(ROUND(OFFSET($P143,0,AO$13),15-13*ORÇAMENTO!$AF$7)*OFFSET(ORÇAMENTO!$W$15,ROW(AO143)-ROW(AO$15),0),15-13*ORÇAMENTO!$AF$11)),
         0)</f>
        <v>0</v>
      </c>
      <c r="AP143" s="453">
        <f ca="1">IF(AND($D143="Serviço",AP$12&lt;&gt;0,$H143&gt;0,OR(AUTOEVENTO&lt;&gt;"manual",$M143&lt;&gt;$A$15)),
        IF(Import.TipoArredondamento&lt;&gt;"TransfereGOV",
              ROUND(OFFSET($P143,0,AP$13),15-13*ORÇAMENTO!$AF$7)/$H143*OFFSET(ORÇAMENTO!$X$15,ROW(AP143)-ROW(AP$15),0),
              ROUND(ROUND(OFFSET($P143,0,AP$13),15-13*ORÇAMENTO!$AF$7)*OFFSET(ORÇAMENTO!$W$15,ROW(AP143)-ROW(AP$15),0),15-13*ORÇAMENTO!$AF$11)),
         0)</f>
        <v>0</v>
      </c>
      <c r="AQ143" s="453">
        <f ca="1">IF(AND($D143="Serviço",AQ$12&lt;&gt;0,$H143&gt;0,OR(AUTOEVENTO&lt;&gt;"manual",$M143&lt;&gt;$A$15)),
        IF(Import.TipoArredondamento&lt;&gt;"TransfereGOV",
              ROUND(OFFSET($P143,0,AQ$13),15-13*ORÇAMENTO!$AF$7)/$H143*OFFSET(ORÇAMENTO!$X$15,ROW(AQ143)-ROW(AQ$15),0),
              ROUND(ROUND(OFFSET($P143,0,AQ$13),15-13*ORÇAMENTO!$AF$7)*OFFSET(ORÇAMENTO!$W$15,ROW(AQ143)-ROW(AQ$15),0),15-13*ORÇAMENTO!$AF$11)),
         0)</f>
        <v>0</v>
      </c>
      <c r="AR143" s="453">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3">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3">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3">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3">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3">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3">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3">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3">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3">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C143" s="171">
        <f ca="1">IF(OR($D143&lt;&gt;"Serviço",AND(AUTOEVENTO="Manual",$M143=$A$15)),0,
         IF(OFFSET(CRONOPLE!$F$15,$M143-$A$15,BC$13)=0,10^12,OFFSET(CRONOPLE!$F$15,$M143-$A$15,BC$13)))</f>
        <v>1</v>
      </c>
      <c r="BD143" s="171">
        <f ca="1">IF(OR($D143&lt;&gt;"Serviço",AND(AUTOEVENTO="Manual",$M143=$A$15)),0,
         IF(OFFSET(CRONOPLE!$F$15,$M143-$A$15,BD$13)=0,10^12,OFFSET(CRONOPLE!$F$15,$M143-$A$15,BD$13)))</f>
        <v>2</v>
      </c>
      <c r="BE143" s="171">
        <f ca="1">IF(OR($D143&lt;&gt;"Serviço",AND(AUTOEVENTO="Manual",$M143=$A$15)),0,
         IF(OFFSET(CRONOPLE!$F$15,$M143-$A$15,BE$13)=0,10^12,OFFSET(CRONOPLE!$F$15,$M143-$A$15,BE$13)))</f>
        <v>3</v>
      </c>
      <c r="BF143" s="171">
        <f ca="1">IF(OR($D143&lt;&gt;"Serviço",AND(AUTOEVENTO="Manual",$M143=$A$15)),0,
         IF(OFFSET(CRONOPLE!$F$15,$M143-$A$15,BF$13)=0,10^12,OFFSET(CRONOPLE!$F$15,$M143-$A$15,BF$13)))</f>
        <v>4</v>
      </c>
      <c r="BG143" s="171">
        <f ca="1">IF(OR($D143&lt;&gt;"Serviço",AND(AUTOEVENTO="Manual",$M143=$A$15)),0,
         IF(OFFSET(CRONOPLE!$F$15,$M143-$A$15,BG$13)=0,10^12,OFFSET(CRONOPLE!$F$15,$M143-$A$15,BG$13)))</f>
        <v>5</v>
      </c>
      <c r="BH143" s="171">
        <f ca="1">IF(OR($D143&lt;&gt;"Serviço",AND(AUTOEVENTO="Manual",$M143=$A$15)),0,
         IF(OFFSET(CRONOPLE!$F$15,$M143-$A$15,BH$13)=0,10^12,OFFSET(CRONOPLE!$F$15,$M143-$A$15,BH$13)))</f>
        <v>6</v>
      </c>
      <c r="BI143" s="171">
        <f ca="1">IF(OR($D143&lt;&gt;"Serviço",AND(AUTOEVENTO="Manual",$M143=$A$15)),0,
         IF(OFFSET(CRONOPLE!$F$15,$M143-$A$15,BI$13)=0,10^12,OFFSET(CRONOPLE!$F$15,$M143-$A$15,BI$13)))</f>
        <v>7</v>
      </c>
      <c r="BJ143" s="171">
        <f ca="1">IF(OR($D143&lt;&gt;"Serviço",AND(AUTOEVENTO="Manual",$M143=$A$15)),0,
         IF(OFFSET(CRONOPLE!$F$15,$M143-$A$15,BJ$13)=0,10^12,OFFSET(CRONOPLE!$F$15,$M143-$A$15,BJ$13)))</f>
        <v>8</v>
      </c>
      <c r="BK143" s="171">
        <f ca="1">IF(OR($D143&lt;&gt;"Serviço",AND(AUTOEVENTO="Manual",$M143=$A$15)),0,
         IF(OFFSET(CRONOPLE!$F$15,$M143-$A$15,BK$13)=0,10^12,OFFSET(CRONOPLE!$F$15,$M143-$A$15,BK$13)))</f>
        <v>9</v>
      </c>
      <c r="BL143" s="171">
        <f ca="1">IF(OR($D143&lt;&gt;"Serviço",AND(AUTOEVENTO="Manual",$M143=$A$15)),0,
         IF(OFFSET(CRONOPLE!$F$15,$M143-$A$15,BL$13)=0,10^12,OFFSET(CRONOPLE!$F$15,$M143-$A$15,BL$13)))</f>
        <v>10</v>
      </c>
      <c r="BM143" s="171">
        <f ca="1">IF(OR($D143&lt;&gt;"Serviço",AND(AUTOEVENTO="Manual",$M143=$A$15)),0,
         IF(OFFSET(CRONOPLE!$F$15,$M143-$A$15,BM$13)=0,10^12,OFFSET(CRONOPLE!$F$15,$M143-$A$15,BM$13)))</f>
        <v>1000000000000</v>
      </c>
      <c r="BN143" s="171">
        <f ca="1">IF(OR($D143&lt;&gt;"Serviço",AND(AUTOEVENTO="Manual",$M143=$A$15)),0,
         IF(OFFSET(CRONOPLE!$F$15,$M143-$A$15,BN$13)=0,10^12,OFFSET(CRONOPLE!$F$15,$M143-$A$15,BN$13)))</f>
        <v>1000000000000</v>
      </c>
      <c r="BO143" s="171">
        <f ca="1">IF(OR($D143&lt;&gt;"Serviço",AND(AUTOEVENTO="Manual",$M143=$A$15)),0,
         IF(OFFSET(CRONOPLE!$F$15,$M143-$A$15,BO$13)=0,10^12,OFFSET(CRONOPLE!$F$15,$M143-$A$15,BO$13)))</f>
        <v>1000000000000</v>
      </c>
      <c r="BP143" s="171">
        <f ca="1">IF(OR($D143&lt;&gt;"Serviço",AND(AUTOEVENTO="Manual",$M143=$A$15)),0,
         IF(OFFSET(CRONOPLE!$F$15,$M143-$A$15,BP$13)=0,10^12,OFFSET(CRONOPLE!$F$15,$M143-$A$15,BP$13)))</f>
        <v>1000000000000</v>
      </c>
      <c r="BQ143" s="171">
        <f ca="1">IF(OR($D143&lt;&gt;"Serviço",AND(AUTOEVENTO="Manual",$M143=$A$15)),0,
         IF(OFFSET(CRONOPLE!$F$15,$M143-$A$15,BQ$13)=0,10^12,OFFSET(CRONOPLE!$F$15,$M143-$A$15,BQ$13)))</f>
        <v>1000000000000</v>
      </c>
      <c r="BR143" s="171">
        <f ca="1">IF(OR($D143&lt;&gt;"Serviço",AND(AUTOEVENTO="Manual",$M143=$A$15)),0,
         IF(OFFSET(CRONOPLE!$F$15,$M143-$A$15,BR$13)=0,10^12,OFFSET(CRONOPLE!$F$15,$M143-$A$15,BR$13)))</f>
        <v>1000000000000</v>
      </c>
      <c r="BS143" s="171">
        <f ca="1">IF(OR($D143&lt;&gt;"Serviço",AND(AUTOEVENTO="Manual",$M143=$A$15)),0,
         IF(OFFSET(CRONOPLE!$F$15,$M143-$A$15,BS$13)=0,10^12,OFFSET(CRONOPLE!$F$15,$M143-$A$15,BS$13)))</f>
        <v>1000000000000</v>
      </c>
      <c r="BT143" s="171">
        <f ca="1">IF(OR($D143&lt;&gt;"Serviço",AND(AUTOEVENTO="Manual",$M143=$A$15)),0,
         IF(OFFSET(CRONOPLE!$F$15,$M143-$A$15,BT$13)=0,10^12,OFFSET(CRONOPLE!$F$15,$M143-$A$15,BT$13)))</f>
        <v>1000000000000</v>
      </c>
      <c r="BV143" s="172">
        <f ca="1">IF(OR($D143&lt;&gt;"Serviço",AND(AUTOEVENTO="Manual",$M143=$A$15),$M143&gt;(ROW(PLE.lastrow)-ROW(PLE.firstrow))),0,
           IF(OFFSET(PLE!$G$15,$M143-$A$15,BV$13)="",10^12,OFFSET(PLE!$G$15,$M143-$A$15,BV$13)))</f>
        <v>1000000000000</v>
      </c>
      <c r="BW143" s="172">
        <f ca="1">IF(OR($D143&lt;&gt;"Serviço",AND(AUTOEVENTO="Manual",$M143=$A$15),$M143&gt;(ROW(PLE.lastrow)-ROW(PLE.firstrow))),0,
           IF(OFFSET(PLE!$G$15,$M143-$A$15,BW$13)="",10^12,OFFSET(PLE!$G$15,$M143-$A$15,BW$13)))</f>
        <v>1000000000000</v>
      </c>
      <c r="BX143" s="172">
        <f ca="1">IF(OR($D143&lt;&gt;"Serviço",AND(AUTOEVENTO="Manual",$M143=$A$15),$M143&gt;(ROW(PLE.lastrow)-ROW(PLE.firstrow))),0,
           IF(OFFSET(PLE!$G$15,$M143-$A$15,BX$13)="",10^12,OFFSET(PLE!$G$15,$M143-$A$15,BX$13)))</f>
        <v>1000000000000</v>
      </c>
      <c r="BY143" s="172">
        <f ca="1">IF(OR($D143&lt;&gt;"Serviço",AND(AUTOEVENTO="Manual",$M143=$A$15),$M143&gt;(ROW(PLE.lastrow)-ROW(PLE.firstrow))),0,
           IF(OFFSET(PLE!$G$15,$M143-$A$15,BY$13)="",10^12,OFFSET(PLE!$G$15,$M143-$A$15,BY$13)))</f>
        <v>1000000000000</v>
      </c>
      <c r="BZ143" s="172">
        <f ca="1">IF(OR($D143&lt;&gt;"Serviço",AND(AUTOEVENTO="Manual",$M143=$A$15),$M143&gt;(ROW(PLE.lastrow)-ROW(PLE.firstrow))),0,
           IF(OFFSET(PLE!$G$15,$M143-$A$15,BZ$13)="",10^12,OFFSET(PLE!$G$15,$M143-$A$15,BZ$13)))</f>
        <v>1000000000000</v>
      </c>
      <c r="CA143" s="172">
        <f ca="1">IF(OR($D143&lt;&gt;"Serviço",AND(AUTOEVENTO="Manual",$M143=$A$15),$M143&gt;(ROW(PLE.lastrow)-ROW(PLE.firstrow))),0,
           IF(OFFSET(PLE!$G$15,$M143-$A$15,CA$13)="",10^12,OFFSET(PLE!$G$15,$M143-$A$15,CA$13)))</f>
        <v>1000000000000</v>
      </c>
      <c r="CB143" s="172">
        <f ca="1">IF(OR($D143&lt;&gt;"Serviço",AND(AUTOEVENTO="Manual",$M143=$A$15),$M143&gt;(ROW(PLE.lastrow)-ROW(PLE.firstrow))),0,
           IF(OFFSET(PLE!$G$15,$M143-$A$15,CB$13)="",10^12,OFFSET(PLE!$G$15,$M143-$A$15,CB$13)))</f>
        <v>1000000000000</v>
      </c>
      <c r="CC143" s="172">
        <f ca="1">IF(OR($D143&lt;&gt;"Serviço",AND(AUTOEVENTO="Manual",$M143=$A$15),$M143&gt;(ROW(PLE.lastrow)-ROW(PLE.firstrow))),0,
           IF(OFFSET(PLE!$G$15,$M143-$A$15,CC$13)="",10^12,OFFSET(PLE!$G$15,$M143-$A$15,CC$13)))</f>
        <v>1000000000000</v>
      </c>
      <c r="CD143" s="172">
        <f ca="1">IF(OR($D143&lt;&gt;"Serviço",AND(AUTOEVENTO="Manual",$M143=$A$15),$M143&gt;(ROW(PLE.lastrow)-ROW(PLE.firstrow))),0,
           IF(OFFSET(PLE!$G$15,$M143-$A$15,CD$13)="",10^12,OFFSET(PLE!$G$15,$M143-$A$15,CD$13)))</f>
        <v>1000000000000</v>
      </c>
      <c r="CE143" s="172">
        <f ca="1">IF(OR($D143&lt;&gt;"Serviço",AND(AUTOEVENTO="Manual",$M143=$A$15),$M143&gt;(ROW(PLE.lastrow)-ROW(PLE.firstrow))),0,
           IF(OFFSET(PLE!$G$15,$M143-$A$15,CE$13)="",10^12,OFFSET(PLE!$G$15,$M143-$A$15,CE$13)))</f>
        <v>1000000000000</v>
      </c>
      <c r="CF143" s="172">
        <f ca="1">IF(OR($D143&lt;&gt;"Serviço",AND(AUTOEVENTO="Manual",$M143=$A$15),$M143&gt;(ROW(PLE.lastrow)-ROW(PLE.firstrow))),0,
           IF(OFFSET(PLE!$G$15,$M143-$A$15,CF$13)="",10^12,OFFSET(PLE!$G$15,$M143-$A$15,CF$13)))</f>
        <v>1000000000000</v>
      </c>
      <c r="CG143" s="172">
        <f ca="1">IF(OR($D143&lt;&gt;"Serviço",AND(AUTOEVENTO="Manual",$M143=$A$15),$M143&gt;(ROW(PLE.lastrow)-ROW(PLE.firstrow))),0,
           IF(OFFSET(PLE!$G$15,$M143-$A$15,CG$13)="",10^12,OFFSET(PLE!$G$15,$M143-$A$15,CG$13)))</f>
        <v>1000000000000</v>
      </c>
      <c r="CH143" s="172">
        <f ca="1">IF(OR($D143&lt;&gt;"Serviço",AND(AUTOEVENTO="Manual",$M143=$A$15),$M143&gt;(ROW(PLE.lastrow)-ROW(PLE.firstrow))),0,
           IF(OFFSET(PLE!$G$15,$M143-$A$15,CH$13)="",10^12,OFFSET(PLE!$G$15,$M143-$A$15,CH$13)))</f>
        <v>1000000000000</v>
      </c>
      <c r="CI143" s="172">
        <f ca="1">IF(OR($D143&lt;&gt;"Serviço",AND(AUTOEVENTO="Manual",$M143=$A$15),$M143&gt;(ROW(PLE.lastrow)-ROW(PLE.firstrow))),0,
           IF(OFFSET(PLE!$G$15,$M143-$A$15,CI$13)="",10^12,OFFSET(PLE!$G$15,$M143-$A$15,CI$13)))</f>
        <v>1000000000000</v>
      </c>
      <c r="CJ143" s="172">
        <f ca="1">IF(OR($D143&lt;&gt;"Serviço",AND(AUTOEVENTO="Manual",$M143=$A$15),$M143&gt;(ROW(PLE.lastrow)-ROW(PLE.firstrow))),0,
           IF(OFFSET(PLE!$G$15,$M143-$A$15,CJ$13)="",10^12,OFFSET(PLE!$G$15,$M143-$A$15,CJ$13)))</f>
        <v>1000000000000</v>
      </c>
      <c r="CK143" s="172">
        <f ca="1">IF(OR($D143&lt;&gt;"Serviço",AND(AUTOEVENTO="Manual",$M143=$A$15),$M143&gt;(ROW(PLE.lastrow)-ROW(PLE.firstrow))),0,
           IF(OFFSET(PLE!$G$15,$M143-$A$15,CK$13)="",10^12,OFFSET(PLE!$G$15,$M143-$A$15,CK$13)))</f>
        <v>1000000000000</v>
      </c>
      <c r="CL143" s="172">
        <f ca="1">IF(OR($D143&lt;&gt;"Serviço",AND(AUTOEVENTO="Manual",$M143=$A$15),$M143&gt;(ROW(PLE.lastrow)-ROW(PLE.firstrow))),0,
           IF(OFFSET(PLE!$G$15,$M143-$A$15,CL$13)="",10^12,OFFSET(PLE!$G$15,$M143-$A$15,CL$13)))</f>
        <v>1000000000000</v>
      </c>
      <c r="CM143" s="172">
        <f ca="1">IF(OR($D143&lt;&gt;"Serviço",AND(AUTOEVENTO="Manual",$M143=$A$15),$M143&gt;(ROW(PLE.lastrow)-ROW(PLE.firstrow))),0,
           IF(OFFSET(PLE!$G$15,$M143-$A$15,CM$13)="",10^12,OFFSET(PLE!$G$15,$M143-$A$15,CM$13)))</f>
        <v>1000000000000</v>
      </c>
    </row>
    <row r="144" spans="1:91" ht="76.5" x14ac:dyDescent="0.2">
      <c r="A144" s="7">
        <f t="shared" ca="1" si="11"/>
        <v>4</v>
      </c>
      <c r="B144" s="7" t="str">
        <f ca="1">OFFSET(ORÇAMENTO!C$15,ROW(B144)-ROW(B$15),0)</f>
        <v>S</v>
      </c>
      <c r="C144" s="7" t="str">
        <f ca="1">OFFSET(ORÇAMENTO!L$15,ROW(C144)-ROW(C$15),0)</f>
        <v>F</v>
      </c>
      <c r="D144" s="116" t="str">
        <f ca="1">OFFSET(ORÇAMENTO!N$15,ROW(D144)-ROW(D$15),0)</f>
        <v>Serviço</v>
      </c>
      <c r="E144" s="117" t="str">
        <f ca="1">OFFSET(ORÇAMENTO!O$15,ROW(E144)-ROW(E$15),0)</f>
        <v>1.5.4.0.4.</v>
      </c>
      <c r="F144" s="163" t="str">
        <f ca="1">OFFSET(ORÇAMENTO!R$15,ROW(F144)-ROW(F$15),0)</f>
        <v>ARMAÇÃO EM AÇO CA-50 - FORNECIMENTO, PREPARO E COLOCAÇÃO</v>
      </c>
      <c r="G144" s="164" t="str">
        <f ca="1">IF($D144&lt;&gt;"Serviço","",OFFSET(ORÇAMENTO!S$15,ROW(G144)-ROW(G$15),0))</f>
        <v>KG</v>
      </c>
      <c r="H144" s="122" cm="1">
        <f t="array" aca="1" ref="H144" ca="1">IF($D144&lt;&gt;"Serviço",0,IF(ACOMPANHAMENTO="BM",ROUND(OFFSET(ORÇAMENTO!AJ$15,ROW(H144)-ROW(H$15),0),15-13*ORÇAMENTO!$AF$7),SUMPRODUCT(($Q$1:$AI$1=1)*ROUND($Q144:$AI144,15-13*ORÇAMENTO!$AF$7))))</f>
        <v>2150.5</v>
      </c>
      <c r="I144" s="468" t="s">
        <v>1333</v>
      </c>
      <c r="J144" s="640" t="str" cm="1">
        <f t="array" aca="1" ref="J144" ca="1">IF(OR(B144&lt;&gt;"S",CÁLCULO.FrentesPreenchidas=0),"",IF(AND(ACOMPANHAMENTO="PLE",AUTOEVENTO="Manual",OR(H144&gt;0,ORÇAMENTO!AC144="QUANT."),OR(K144="",M144=0,N144="")),"►E",IF(AND(ACOMPANHAMENTO="PLE",ORÇAMENTO!AC144="QUANT."),"►Q",IF(AND(ACOMPANHAMENTO="PLE",H144&lt;&gt;SUMPRODUCT(($Q$1:$AI$1=1)*ROUND(Q144:AI144,15))),"►S",IF(AND(COUNTIF($P$11:$AI$11,"▼")=0,H144&gt;0,I144=""),"◄M","")))))</f>
        <v/>
      </c>
      <c r="K144" s="641" t="s">
        <v>1389</v>
      </c>
      <c r="L144" s="165" t="s">
        <v>764</v>
      </c>
      <c r="M144" s="166">
        <f ca="1">IF($D144&lt;&gt;"Serviço","",
          IF(AUTOEVENTO="manual",$A144,
                IF(ISERROR(MATCH($A144,$A$15:OFFSET($A144,-1,0),0)),MAX($M$15:OFFSET(M144,-1,0))+1,
                      INDEX($M$15:OFFSET(M144,-1,0),MATCH($A144,$A$15:OFFSET($A144,-1,0),0)))))</f>
        <v>4</v>
      </c>
      <c r="N144" s="167" t="str">
        <f ca="1">IF($D144&lt;&gt;"Serviço","",
         IF(AUTOEVENTO="Manual",
                IF($A144=0,"&lt;-- defina o número do agrupador",
                       OFFSET(EVENTOS!$D$15,$A144-$A$15,0)),
                OFFSET($F$15,$A144,0)))</f>
        <v>Estruturas de Concreto</v>
      </c>
      <c r="O144" s="168"/>
      <c r="Q144" s="168"/>
      <c r="R144" s="169"/>
      <c r="S144" s="169"/>
      <c r="T144" s="169"/>
      <c r="U144" s="169"/>
      <c r="V144" s="169">
        <f>663.6 + 734.9 + 372.1 + 379.9</f>
        <v>2150.5</v>
      </c>
      <c r="W144" s="169"/>
      <c r="X144" s="169"/>
      <c r="Y144" s="169"/>
      <c r="Z144" s="170"/>
      <c r="AA144" s="169"/>
      <c r="AB144" s="169"/>
      <c r="AC144" s="169"/>
      <c r="AD144" s="169"/>
      <c r="AE144" s="169"/>
      <c r="AF144" s="169"/>
      <c r="AG144" s="169"/>
      <c r="AH144" s="170"/>
      <c r="AJ144" s="453">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0</v>
      </c>
      <c r="AK144" s="453">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0</v>
      </c>
      <c r="AL144" s="453">
        <f ca="1">IF(AND($D144="Serviço",AL$12&lt;&gt;0,$H144&gt;0,OR(AUTOEVENTO&lt;&gt;"manual",$M144&lt;&gt;$A$15)),
        IF(Import.TipoArredondamento&lt;&gt;"TransfereGOV",
              ROUND(OFFSET($P144,0,AL$13),15-13*ORÇAMENTO!$AF$7)/$H144*OFFSET(ORÇAMENTO!$X$15,ROW(AL144)-ROW(AL$15),0),
              ROUND(ROUND(OFFSET($P144,0,AL$13),15-13*ORÇAMENTO!$AF$7)*OFFSET(ORÇAMENTO!$W$15,ROW(AL144)-ROW(AL$15),0),15-13*ORÇAMENTO!$AF$11)),
         0)</f>
        <v>0</v>
      </c>
      <c r="AM144" s="453">
        <f ca="1">IF(AND($D144="Serviço",AM$12&lt;&gt;0,$H144&gt;0,OR(AUTOEVENTO&lt;&gt;"manual",$M144&lt;&gt;$A$15)),
        IF(Import.TipoArredondamento&lt;&gt;"TransfereGOV",
              ROUND(OFFSET($P144,0,AM$13),15-13*ORÇAMENTO!$AF$7)/$H144*OFFSET(ORÇAMENTO!$X$15,ROW(AM144)-ROW(AM$15),0),
              ROUND(ROUND(OFFSET($P144,0,AM$13),15-13*ORÇAMENTO!$AF$7)*OFFSET(ORÇAMENTO!$W$15,ROW(AM144)-ROW(AM$15),0),15-13*ORÇAMENTO!$AF$11)),
         0)</f>
        <v>0</v>
      </c>
      <c r="AN144" s="453">
        <f ca="1">IF(AND($D144="Serviço",AN$12&lt;&gt;0,$H144&gt;0,OR(AUTOEVENTO&lt;&gt;"manual",$M144&lt;&gt;$A$15)),
        IF(Import.TipoArredondamento&lt;&gt;"TransfereGOV",
              ROUND(OFFSET($P144,0,AN$13),15-13*ORÇAMENTO!$AF$7)/$H144*OFFSET(ORÇAMENTO!$X$15,ROW(AN144)-ROW(AN$15),0),
              ROUND(ROUND(OFFSET($P144,0,AN$13),15-13*ORÇAMENTO!$AF$7)*OFFSET(ORÇAMENTO!$W$15,ROW(AN144)-ROW(AN$15),0),15-13*ORÇAMENTO!$AF$11)),
         0)</f>
        <v>0</v>
      </c>
      <c r="AO144" s="453">
        <f ca="1">IF(AND($D144="Serviço",AO$12&lt;&gt;0,$H144&gt;0,OR(AUTOEVENTO&lt;&gt;"manual",$M144&lt;&gt;$A$15)),
        IF(Import.TipoArredondamento&lt;&gt;"TransfereGOV",
              ROUND(OFFSET($P144,0,AO$13),15-13*ORÇAMENTO!$AF$7)/$H144*OFFSET(ORÇAMENTO!$X$15,ROW(AO144)-ROW(AO$15),0),
              ROUND(ROUND(OFFSET($P144,0,AO$13),15-13*ORÇAMENTO!$AF$7)*OFFSET(ORÇAMENTO!$W$15,ROW(AO144)-ROW(AO$15),0),15-13*ORÇAMENTO!$AF$11)),
         0)</f>
        <v>0</v>
      </c>
      <c r="AP144" s="453">
        <f ca="1">IF(AND($D144="Serviço",AP$12&lt;&gt;0,$H144&gt;0,OR(AUTOEVENTO&lt;&gt;"manual",$M144&lt;&gt;$A$15)),
        IF(Import.TipoArredondamento&lt;&gt;"TransfereGOV",
              ROUND(OFFSET($P144,0,AP$13),15-13*ORÇAMENTO!$AF$7)/$H144*OFFSET(ORÇAMENTO!$X$15,ROW(AP144)-ROW(AP$15),0),
              ROUND(ROUND(OFFSET($P144,0,AP$13),15-13*ORÇAMENTO!$AF$7)*OFFSET(ORÇAMENTO!$W$15,ROW(AP144)-ROW(AP$15),0),15-13*ORÇAMENTO!$AF$11)),
         0)</f>
        <v>0</v>
      </c>
      <c r="AQ144" s="453">
        <f ca="1">IF(AND($D144="Serviço",AQ$12&lt;&gt;0,$H144&gt;0,OR(AUTOEVENTO&lt;&gt;"manual",$M144&lt;&gt;$A$15)),
        IF(Import.TipoArredondamento&lt;&gt;"TransfereGOV",
              ROUND(OFFSET($P144,0,AQ$13),15-13*ORÇAMENTO!$AF$7)/$H144*OFFSET(ORÇAMENTO!$X$15,ROW(AQ144)-ROW(AQ$15),0),
              ROUND(ROUND(OFFSET($P144,0,AQ$13),15-13*ORÇAMENTO!$AF$7)*OFFSET(ORÇAMENTO!$W$15,ROW(AQ144)-ROW(AQ$15),0),15-13*ORÇAMENTO!$AF$11)),
         0)</f>
        <v>0</v>
      </c>
      <c r="AR144" s="453">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3">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3">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3">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3">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3">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3">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3">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3">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3">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C144" s="171">
        <f ca="1">IF(OR($D144&lt;&gt;"Serviço",AND(AUTOEVENTO="Manual",$M144=$A$15)),0,
         IF(OFFSET(CRONOPLE!$F$15,$M144-$A$15,BC$13)=0,10^12,OFFSET(CRONOPLE!$F$15,$M144-$A$15,BC$13)))</f>
        <v>1</v>
      </c>
      <c r="BD144" s="171">
        <f ca="1">IF(OR($D144&lt;&gt;"Serviço",AND(AUTOEVENTO="Manual",$M144=$A$15)),0,
         IF(OFFSET(CRONOPLE!$F$15,$M144-$A$15,BD$13)=0,10^12,OFFSET(CRONOPLE!$F$15,$M144-$A$15,BD$13)))</f>
        <v>2</v>
      </c>
      <c r="BE144" s="171">
        <f ca="1">IF(OR($D144&lt;&gt;"Serviço",AND(AUTOEVENTO="Manual",$M144=$A$15)),0,
         IF(OFFSET(CRONOPLE!$F$15,$M144-$A$15,BE$13)=0,10^12,OFFSET(CRONOPLE!$F$15,$M144-$A$15,BE$13)))</f>
        <v>3</v>
      </c>
      <c r="BF144" s="171">
        <f ca="1">IF(OR($D144&lt;&gt;"Serviço",AND(AUTOEVENTO="Manual",$M144=$A$15)),0,
         IF(OFFSET(CRONOPLE!$F$15,$M144-$A$15,BF$13)=0,10^12,OFFSET(CRONOPLE!$F$15,$M144-$A$15,BF$13)))</f>
        <v>4</v>
      </c>
      <c r="BG144" s="171">
        <f ca="1">IF(OR($D144&lt;&gt;"Serviço",AND(AUTOEVENTO="Manual",$M144=$A$15)),0,
         IF(OFFSET(CRONOPLE!$F$15,$M144-$A$15,BG$13)=0,10^12,OFFSET(CRONOPLE!$F$15,$M144-$A$15,BG$13)))</f>
        <v>5</v>
      </c>
      <c r="BH144" s="171">
        <f ca="1">IF(OR($D144&lt;&gt;"Serviço",AND(AUTOEVENTO="Manual",$M144=$A$15)),0,
         IF(OFFSET(CRONOPLE!$F$15,$M144-$A$15,BH$13)=0,10^12,OFFSET(CRONOPLE!$F$15,$M144-$A$15,BH$13)))</f>
        <v>6</v>
      </c>
      <c r="BI144" s="171">
        <f ca="1">IF(OR($D144&lt;&gt;"Serviço",AND(AUTOEVENTO="Manual",$M144=$A$15)),0,
         IF(OFFSET(CRONOPLE!$F$15,$M144-$A$15,BI$13)=0,10^12,OFFSET(CRONOPLE!$F$15,$M144-$A$15,BI$13)))</f>
        <v>7</v>
      </c>
      <c r="BJ144" s="171">
        <f ca="1">IF(OR($D144&lt;&gt;"Serviço",AND(AUTOEVENTO="Manual",$M144=$A$15)),0,
         IF(OFFSET(CRONOPLE!$F$15,$M144-$A$15,BJ$13)=0,10^12,OFFSET(CRONOPLE!$F$15,$M144-$A$15,BJ$13)))</f>
        <v>8</v>
      </c>
      <c r="BK144" s="171">
        <f ca="1">IF(OR($D144&lt;&gt;"Serviço",AND(AUTOEVENTO="Manual",$M144=$A$15)),0,
         IF(OFFSET(CRONOPLE!$F$15,$M144-$A$15,BK$13)=0,10^12,OFFSET(CRONOPLE!$F$15,$M144-$A$15,BK$13)))</f>
        <v>9</v>
      </c>
      <c r="BL144" s="171">
        <f ca="1">IF(OR($D144&lt;&gt;"Serviço",AND(AUTOEVENTO="Manual",$M144=$A$15)),0,
         IF(OFFSET(CRONOPLE!$F$15,$M144-$A$15,BL$13)=0,10^12,OFFSET(CRONOPLE!$F$15,$M144-$A$15,BL$13)))</f>
        <v>10</v>
      </c>
      <c r="BM144" s="171">
        <f ca="1">IF(OR($D144&lt;&gt;"Serviço",AND(AUTOEVENTO="Manual",$M144=$A$15)),0,
         IF(OFFSET(CRONOPLE!$F$15,$M144-$A$15,BM$13)=0,10^12,OFFSET(CRONOPLE!$F$15,$M144-$A$15,BM$13)))</f>
        <v>1000000000000</v>
      </c>
      <c r="BN144" s="171">
        <f ca="1">IF(OR($D144&lt;&gt;"Serviço",AND(AUTOEVENTO="Manual",$M144=$A$15)),0,
         IF(OFFSET(CRONOPLE!$F$15,$M144-$A$15,BN$13)=0,10^12,OFFSET(CRONOPLE!$F$15,$M144-$A$15,BN$13)))</f>
        <v>1000000000000</v>
      </c>
      <c r="BO144" s="171">
        <f ca="1">IF(OR($D144&lt;&gt;"Serviço",AND(AUTOEVENTO="Manual",$M144=$A$15)),0,
         IF(OFFSET(CRONOPLE!$F$15,$M144-$A$15,BO$13)=0,10^12,OFFSET(CRONOPLE!$F$15,$M144-$A$15,BO$13)))</f>
        <v>1000000000000</v>
      </c>
      <c r="BP144" s="171">
        <f ca="1">IF(OR($D144&lt;&gt;"Serviço",AND(AUTOEVENTO="Manual",$M144=$A$15)),0,
         IF(OFFSET(CRONOPLE!$F$15,$M144-$A$15,BP$13)=0,10^12,OFFSET(CRONOPLE!$F$15,$M144-$A$15,BP$13)))</f>
        <v>1000000000000</v>
      </c>
      <c r="BQ144" s="171">
        <f ca="1">IF(OR($D144&lt;&gt;"Serviço",AND(AUTOEVENTO="Manual",$M144=$A$15)),0,
         IF(OFFSET(CRONOPLE!$F$15,$M144-$A$15,BQ$13)=0,10^12,OFFSET(CRONOPLE!$F$15,$M144-$A$15,BQ$13)))</f>
        <v>1000000000000</v>
      </c>
      <c r="BR144" s="171">
        <f ca="1">IF(OR($D144&lt;&gt;"Serviço",AND(AUTOEVENTO="Manual",$M144=$A$15)),0,
         IF(OFFSET(CRONOPLE!$F$15,$M144-$A$15,BR$13)=0,10^12,OFFSET(CRONOPLE!$F$15,$M144-$A$15,BR$13)))</f>
        <v>1000000000000</v>
      </c>
      <c r="BS144" s="171">
        <f ca="1">IF(OR($D144&lt;&gt;"Serviço",AND(AUTOEVENTO="Manual",$M144=$A$15)),0,
         IF(OFFSET(CRONOPLE!$F$15,$M144-$A$15,BS$13)=0,10^12,OFFSET(CRONOPLE!$F$15,$M144-$A$15,BS$13)))</f>
        <v>1000000000000</v>
      </c>
      <c r="BT144" s="171">
        <f ca="1">IF(OR($D144&lt;&gt;"Serviço",AND(AUTOEVENTO="Manual",$M144=$A$15)),0,
         IF(OFFSET(CRONOPLE!$F$15,$M144-$A$15,BT$13)=0,10^12,OFFSET(CRONOPLE!$F$15,$M144-$A$15,BT$13)))</f>
        <v>1000000000000</v>
      </c>
      <c r="BV144" s="172">
        <f ca="1">IF(OR($D144&lt;&gt;"Serviço",AND(AUTOEVENTO="Manual",$M144=$A$15),$M144&gt;(ROW(PLE.lastrow)-ROW(PLE.firstrow))),0,
           IF(OFFSET(PLE!$G$15,$M144-$A$15,BV$13)="",10^12,OFFSET(PLE!$G$15,$M144-$A$15,BV$13)))</f>
        <v>1000000000000</v>
      </c>
      <c r="BW144" s="172">
        <f ca="1">IF(OR($D144&lt;&gt;"Serviço",AND(AUTOEVENTO="Manual",$M144=$A$15),$M144&gt;(ROW(PLE.lastrow)-ROW(PLE.firstrow))),0,
           IF(OFFSET(PLE!$G$15,$M144-$A$15,BW$13)="",10^12,OFFSET(PLE!$G$15,$M144-$A$15,BW$13)))</f>
        <v>1000000000000</v>
      </c>
      <c r="BX144" s="172">
        <f ca="1">IF(OR($D144&lt;&gt;"Serviço",AND(AUTOEVENTO="Manual",$M144=$A$15),$M144&gt;(ROW(PLE.lastrow)-ROW(PLE.firstrow))),0,
           IF(OFFSET(PLE!$G$15,$M144-$A$15,BX$13)="",10^12,OFFSET(PLE!$G$15,$M144-$A$15,BX$13)))</f>
        <v>1000000000000</v>
      </c>
      <c r="BY144" s="172">
        <f ca="1">IF(OR($D144&lt;&gt;"Serviço",AND(AUTOEVENTO="Manual",$M144=$A$15),$M144&gt;(ROW(PLE.lastrow)-ROW(PLE.firstrow))),0,
           IF(OFFSET(PLE!$G$15,$M144-$A$15,BY$13)="",10^12,OFFSET(PLE!$G$15,$M144-$A$15,BY$13)))</f>
        <v>1000000000000</v>
      </c>
      <c r="BZ144" s="172">
        <f ca="1">IF(OR($D144&lt;&gt;"Serviço",AND(AUTOEVENTO="Manual",$M144=$A$15),$M144&gt;(ROW(PLE.lastrow)-ROW(PLE.firstrow))),0,
           IF(OFFSET(PLE!$G$15,$M144-$A$15,BZ$13)="",10^12,OFFSET(PLE!$G$15,$M144-$A$15,BZ$13)))</f>
        <v>1000000000000</v>
      </c>
      <c r="CA144" s="172">
        <f ca="1">IF(OR($D144&lt;&gt;"Serviço",AND(AUTOEVENTO="Manual",$M144=$A$15),$M144&gt;(ROW(PLE.lastrow)-ROW(PLE.firstrow))),0,
           IF(OFFSET(PLE!$G$15,$M144-$A$15,CA$13)="",10^12,OFFSET(PLE!$G$15,$M144-$A$15,CA$13)))</f>
        <v>1000000000000</v>
      </c>
      <c r="CB144" s="172">
        <f ca="1">IF(OR($D144&lt;&gt;"Serviço",AND(AUTOEVENTO="Manual",$M144=$A$15),$M144&gt;(ROW(PLE.lastrow)-ROW(PLE.firstrow))),0,
           IF(OFFSET(PLE!$G$15,$M144-$A$15,CB$13)="",10^12,OFFSET(PLE!$G$15,$M144-$A$15,CB$13)))</f>
        <v>1000000000000</v>
      </c>
      <c r="CC144" s="172">
        <f ca="1">IF(OR($D144&lt;&gt;"Serviço",AND(AUTOEVENTO="Manual",$M144=$A$15),$M144&gt;(ROW(PLE.lastrow)-ROW(PLE.firstrow))),0,
           IF(OFFSET(PLE!$G$15,$M144-$A$15,CC$13)="",10^12,OFFSET(PLE!$G$15,$M144-$A$15,CC$13)))</f>
        <v>1000000000000</v>
      </c>
      <c r="CD144" s="172">
        <f ca="1">IF(OR($D144&lt;&gt;"Serviço",AND(AUTOEVENTO="Manual",$M144=$A$15),$M144&gt;(ROW(PLE.lastrow)-ROW(PLE.firstrow))),0,
           IF(OFFSET(PLE!$G$15,$M144-$A$15,CD$13)="",10^12,OFFSET(PLE!$G$15,$M144-$A$15,CD$13)))</f>
        <v>1000000000000</v>
      </c>
      <c r="CE144" s="172">
        <f ca="1">IF(OR($D144&lt;&gt;"Serviço",AND(AUTOEVENTO="Manual",$M144=$A$15),$M144&gt;(ROW(PLE.lastrow)-ROW(PLE.firstrow))),0,
           IF(OFFSET(PLE!$G$15,$M144-$A$15,CE$13)="",10^12,OFFSET(PLE!$G$15,$M144-$A$15,CE$13)))</f>
        <v>1000000000000</v>
      </c>
      <c r="CF144" s="172">
        <f ca="1">IF(OR($D144&lt;&gt;"Serviço",AND(AUTOEVENTO="Manual",$M144=$A$15),$M144&gt;(ROW(PLE.lastrow)-ROW(PLE.firstrow))),0,
           IF(OFFSET(PLE!$G$15,$M144-$A$15,CF$13)="",10^12,OFFSET(PLE!$G$15,$M144-$A$15,CF$13)))</f>
        <v>1000000000000</v>
      </c>
      <c r="CG144" s="172">
        <f ca="1">IF(OR($D144&lt;&gt;"Serviço",AND(AUTOEVENTO="Manual",$M144=$A$15),$M144&gt;(ROW(PLE.lastrow)-ROW(PLE.firstrow))),0,
           IF(OFFSET(PLE!$G$15,$M144-$A$15,CG$13)="",10^12,OFFSET(PLE!$G$15,$M144-$A$15,CG$13)))</f>
        <v>1000000000000</v>
      </c>
      <c r="CH144" s="172">
        <f ca="1">IF(OR($D144&lt;&gt;"Serviço",AND(AUTOEVENTO="Manual",$M144=$A$15),$M144&gt;(ROW(PLE.lastrow)-ROW(PLE.firstrow))),0,
           IF(OFFSET(PLE!$G$15,$M144-$A$15,CH$13)="",10^12,OFFSET(PLE!$G$15,$M144-$A$15,CH$13)))</f>
        <v>1000000000000</v>
      </c>
      <c r="CI144" s="172">
        <f ca="1">IF(OR($D144&lt;&gt;"Serviço",AND(AUTOEVENTO="Manual",$M144=$A$15),$M144&gt;(ROW(PLE.lastrow)-ROW(PLE.firstrow))),0,
           IF(OFFSET(PLE!$G$15,$M144-$A$15,CI$13)="",10^12,OFFSET(PLE!$G$15,$M144-$A$15,CI$13)))</f>
        <v>1000000000000</v>
      </c>
      <c r="CJ144" s="172">
        <f ca="1">IF(OR($D144&lt;&gt;"Serviço",AND(AUTOEVENTO="Manual",$M144=$A$15),$M144&gt;(ROW(PLE.lastrow)-ROW(PLE.firstrow))),0,
           IF(OFFSET(PLE!$G$15,$M144-$A$15,CJ$13)="",10^12,OFFSET(PLE!$G$15,$M144-$A$15,CJ$13)))</f>
        <v>1000000000000</v>
      </c>
      <c r="CK144" s="172">
        <f ca="1">IF(OR($D144&lt;&gt;"Serviço",AND(AUTOEVENTO="Manual",$M144=$A$15),$M144&gt;(ROW(PLE.lastrow)-ROW(PLE.firstrow))),0,
           IF(OFFSET(PLE!$G$15,$M144-$A$15,CK$13)="",10^12,OFFSET(PLE!$G$15,$M144-$A$15,CK$13)))</f>
        <v>1000000000000</v>
      </c>
      <c r="CL144" s="172">
        <f ca="1">IF(OR($D144&lt;&gt;"Serviço",AND(AUTOEVENTO="Manual",$M144=$A$15),$M144&gt;(ROW(PLE.lastrow)-ROW(PLE.firstrow))),0,
           IF(OFFSET(PLE!$G$15,$M144-$A$15,CL$13)="",10^12,OFFSET(PLE!$G$15,$M144-$A$15,CL$13)))</f>
        <v>1000000000000</v>
      </c>
      <c r="CM144" s="172">
        <f ca="1">IF(OR($D144&lt;&gt;"Serviço",AND(AUTOEVENTO="Manual",$M144=$A$15),$M144&gt;(ROW(PLE.lastrow)-ROW(PLE.firstrow))),0,
           IF(OFFSET(PLE!$G$15,$M144-$A$15,CM$13)="",10^12,OFFSET(PLE!$G$15,$M144-$A$15,CM$13)))</f>
        <v>1000000000000</v>
      </c>
    </row>
    <row r="145" spans="1:91" ht="76.5" x14ac:dyDescent="0.2">
      <c r="A145" s="7">
        <f t="shared" ca="1" si="11"/>
        <v>4</v>
      </c>
      <c r="B145" s="7" t="str">
        <f ca="1">OFFSET(ORÇAMENTO!C$15,ROW(B145)-ROW(B$15),0)</f>
        <v>S</v>
      </c>
      <c r="C145" s="7" t="str">
        <f ca="1">OFFSET(ORÇAMENTO!L$15,ROW(C145)-ROW(C$15),0)</f>
        <v>F</v>
      </c>
      <c r="D145" s="116" t="str">
        <f ca="1">OFFSET(ORÇAMENTO!N$15,ROW(D145)-ROW(D$15),0)</f>
        <v>Serviço</v>
      </c>
      <c r="E145" s="117" t="str">
        <f ca="1">OFFSET(ORÇAMENTO!O$15,ROW(E145)-ROW(E$15),0)</f>
        <v>1.5.4.0.5.</v>
      </c>
      <c r="F145" s="163" t="str">
        <f ca="1">OFFSET(ORÇAMENTO!R$15,ROW(F145)-ROW(F$15),0)</f>
        <v>ARMAÇÃO EM AÇO CA-60 - FORNECIMENTO, PREPARO E COLOCAÇÃO</v>
      </c>
      <c r="G145" s="164" t="str">
        <f ca="1">IF($D145&lt;&gt;"Serviço","",OFFSET(ORÇAMENTO!S$15,ROW(G145)-ROW(G$15),0))</f>
        <v>KG</v>
      </c>
      <c r="H145" s="122" cm="1">
        <f t="array" aca="1" ref="H145" ca="1">IF($D145&lt;&gt;"Serviço",0,IF(ACOMPANHAMENTO="BM",ROUND(OFFSET(ORÇAMENTO!AJ$15,ROW(H145)-ROW(H$15),0),15-13*ORÇAMENTO!$AF$7),SUMPRODUCT(($Q$1:$AI$1=1)*ROUND($Q145:$AI145,15-13*ORÇAMENTO!$AF$7))))</f>
        <v>12.8</v>
      </c>
      <c r="I145" s="468" t="s">
        <v>1334</v>
      </c>
      <c r="J145" s="640" t="str" cm="1">
        <f t="array" aca="1" ref="J145" ca="1">IF(OR(B145&lt;&gt;"S",CÁLCULO.FrentesPreenchidas=0),"",IF(AND(ACOMPANHAMENTO="PLE",AUTOEVENTO="Manual",OR(H145&gt;0,ORÇAMENTO!AC145="QUANT."),OR(K145="",M145=0,N145="")),"►E",IF(AND(ACOMPANHAMENTO="PLE",ORÇAMENTO!AC145="QUANT."),"►Q",IF(AND(ACOMPANHAMENTO="PLE",H145&lt;&gt;SUMPRODUCT(($Q$1:$AI$1=1)*ROUND(Q145:AI145,15))),"►S",IF(AND(COUNTIF($P$11:$AI$11,"▼")=0,H145&gt;0,I145=""),"◄M","")))))</f>
        <v/>
      </c>
      <c r="K145" s="641" t="s">
        <v>1389</v>
      </c>
      <c r="L145" s="165" t="s">
        <v>764</v>
      </c>
      <c r="M145" s="166">
        <f ca="1">IF($D145&lt;&gt;"Serviço","",
          IF(AUTOEVENTO="manual",$A145,
                IF(ISERROR(MATCH($A145,$A$15:OFFSET($A145,-1,0),0)),MAX($M$15:OFFSET(M145,-1,0))+1,
                      INDEX($M$15:OFFSET(M145,-1,0),MATCH($A145,$A$15:OFFSET($A145,-1,0),0)))))</f>
        <v>4</v>
      </c>
      <c r="N145" s="167" t="str">
        <f ca="1">IF($D145&lt;&gt;"Serviço","",
         IF(AUTOEVENTO="Manual",
                IF($A145=0,"&lt;-- defina o número do agrupador",
                       OFFSET(EVENTOS!$D$15,$A145-$A$15,0)),
                OFFSET($F$15,$A145,0)))</f>
        <v>Estruturas de Concreto</v>
      </c>
      <c r="O145" s="168"/>
      <c r="Q145" s="168"/>
      <c r="R145" s="169"/>
      <c r="S145" s="169"/>
      <c r="T145" s="169"/>
      <c r="U145" s="169"/>
      <c r="V145" s="169">
        <f>6.7 + 2.9 + 3.2</f>
        <v>12.8</v>
      </c>
      <c r="W145" s="169"/>
      <c r="X145" s="169"/>
      <c r="Y145" s="169"/>
      <c r="Z145" s="170"/>
      <c r="AA145" s="169"/>
      <c r="AB145" s="169"/>
      <c r="AC145" s="169"/>
      <c r="AD145" s="169"/>
      <c r="AE145" s="169"/>
      <c r="AF145" s="169"/>
      <c r="AG145" s="169"/>
      <c r="AH145" s="170"/>
      <c r="AJ145" s="453">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0</v>
      </c>
      <c r="AK145" s="453">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0</v>
      </c>
      <c r="AL145" s="453">
        <f ca="1">IF(AND($D145="Serviço",AL$12&lt;&gt;0,$H145&gt;0,OR(AUTOEVENTO&lt;&gt;"manual",$M145&lt;&gt;$A$15)),
        IF(Import.TipoArredondamento&lt;&gt;"TransfereGOV",
              ROUND(OFFSET($P145,0,AL$13),15-13*ORÇAMENTO!$AF$7)/$H145*OFFSET(ORÇAMENTO!$X$15,ROW(AL145)-ROW(AL$15),0),
              ROUND(ROUND(OFFSET($P145,0,AL$13),15-13*ORÇAMENTO!$AF$7)*OFFSET(ORÇAMENTO!$W$15,ROW(AL145)-ROW(AL$15),0),15-13*ORÇAMENTO!$AF$11)),
         0)</f>
        <v>0</v>
      </c>
      <c r="AM145" s="453">
        <f ca="1">IF(AND($D145="Serviço",AM$12&lt;&gt;0,$H145&gt;0,OR(AUTOEVENTO&lt;&gt;"manual",$M145&lt;&gt;$A$15)),
        IF(Import.TipoArredondamento&lt;&gt;"TransfereGOV",
              ROUND(OFFSET($P145,0,AM$13),15-13*ORÇAMENTO!$AF$7)/$H145*OFFSET(ORÇAMENTO!$X$15,ROW(AM145)-ROW(AM$15),0),
              ROUND(ROUND(OFFSET($P145,0,AM$13),15-13*ORÇAMENTO!$AF$7)*OFFSET(ORÇAMENTO!$W$15,ROW(AM145)-ROW(AM$15),0),15-13*ORÇAMENTO!$AF$11)),
         0)</f>
        <v>0</v>
      </c>
      <c r="AN145" s="453">
        <f ca="1">IF(AND($D145="Serviço",AN$12&lt;&gt;0,$H145&gt;0,OR(AUTOEVENTO&lt;&gt;"manual",$M145&lt;&gt;$A$15)),
        IF(Import.TipoArredondamento&lt;&gt;"TransfereGOV",
              ROUND(OFFSET($P145,0,AN$13),15-13*ORÇAMENTO!$AF$7)/$H145*OFFSET(ORÇAMENTO!$X$15,ROW(AN145)-ROW(AN$15),0),
              ROUND(ROUND(OFFSET($P145,0,AN$13),15-13*ORÇAMENTO!$AF$7)*OFFSET(ORÇAMENTO!$W$15,ROW(AN145)-ROW(AN$15),0),15-13*ORÇAMENTO!$AF$11)),
         0)</f>
        <v>0</v>
      </c>
      <c r="AO145" s="453">
        <f ca="1">IF(AND($D145="Serviço",AO$12&lt;&gt;0,$H145&gt;0,OR(AUTOEVENTO&lt;&gt;"manual",$M145&lt;&gt;$A$15)),
        IF(Import.TipoArredondamento&lt;&gt;"TransfereGOV",
              ROUND(OFFSET($P145,0,AO$13),15-13*ORÇAMENTO!$AF$7)/$H145*OFFSET(ORÇAMENTO!$X$15,ROW(AO145)-ROW(AO$15),0),
              ROUND(ROUND(OFFSET($P145,0,AO$13),15-13*ORÇAMENTO!$AF$7)*OFFSET(ORÇAMENTO!$W$15,ROW(AO145)-ROW(AO$15),0),15-13*ORÇAMENTO!$AF$11)),
         0)</f>
        <v>0</v>
      </c>
      <c r="AP145" s="453">
        <f ca="1">IF(AND($D145="Serviço",AP$12&lt;&gt;0,$H145&gt;0,OR(AUTOEVENTO&lt;&gt;"manual",$M145&lt;&gt;$A$15)),
        IF(Import.TipoArredondamento&lt;&gt;"TransfereGOV",
              ROUND(OFFSET($P145,0,AP$13),15-13*ORÇAMENTO!$AF$7)/$H145*OFFSET(ORÇAMENTO!$X$15,ROW(AP145)-ROW(AP$15),0),
              ROUND(ROUND(OFFSET($P145,0,AP$13),15-13*ORÇAMENTO!$AF$7)*OFFSET(ORÇAMENTO!$W$15,ROW(AP145)-ROW(AP$15),0),15-13*ORÇAMENTO!$AF$11)),
         0)</f>
        <v>0</v>
      </c>
      <c r="AQ145" s="453">
        <f ca="1">IF(AND($D145="Serviço",AQ$12&lt;&gt;0,$H145&gt;0,OR(AUTOEVENTO&lt;&gt;"manual",$M145&lt;&gt;$A$15)),
        IF(Import.TipoArredondamento&lt;&gt;"TransfereGOV",
              ROUND(OFFSET($P145,0,AQ$13),15-13*ORÇAMENTO!$AF$7)/$H145*OFFSET(ORÇAMENTO!$X$15,ROW(AQ145)-ROW(AQ$15),0),
              ROUND(ROUND(OFFSET($P145,0,AQ$13),15-13*ORÇAMENTO!$AF$7)*OFFSET(ORÇAMENTO!$W$15,ROW(AQ145)-ROW(AQ$15),0),15-13*ORÇAMENTO!$AF$11)),
         0)</f>
        <v>0</v>
      </c>
      <c r="AR145" s="453">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3">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3">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3">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3">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3">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3">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3">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3">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3">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C145" s="171">
        <f ca="1">IF(OR($D145&lt;&gt;"Serviço",AND(AUTOEVENTO="Manual",$M145=$A$15)),0,
         IF(OFFSET(CRONOPLE!$F$15,$M145-$A$15,BC$13)=0,10^12,OFFSET(CRONOPLE!$F$15,$M145-$A$15,BC$13)))</f>
        <v>1</v>
      </c>
      <c r="BD145" s="171">
        <f ca="1">IF(OR($D145&lt;&gt;"Serviço",AND(AUTOEVENTO="Manual",$M145=$A$15)),0,
         IF(OFFSET(CRONOPLE!$F$15,$M145-$A$15,BD$13)=0,10^12,OFFSET(CRONOPLE!$F$15,$M145-$A$15,BD$13)))</f>
        <v>2</v>
      </c>
      <c r="BE145" s="171">
        <f ca="1">IF(OR($D145&lt;&gt;"Serviço",AND(AUTOEVENTO="Manual",$M145=$A$15)),0,
         IF(OFFSET(CRONOPLE!$F$15,$M145-$A$15,BE$13)=0,10^12,OFFSET(CRONOPLE!$F$15,$M145-$A$15,BE$13)))</f>
        <v>3</v>
      </c>
      <c r="BF145" s="171">
        <f ca="1">IF(OR($D145&lt;&gt;"Serviço",AND(AUTOEVENTO="Manual",$M145=$A$15)),0,
         IF(OFFSET(CRONOPLE!$F$15,$M145-$A$15,BF$13)=0,10^12,OFFSET(CRONOPLE!$F$15,$M145-$A$15,BF$13)))</f>
        <v>4</v>
      </c>
      <c r="BG145" s="171">
        <f ca="1">IF(OR($D145&lt;&gt;"Serviço",AND(AUTOEVENTO="Manual",$M145=$A$15)),0,
         IF(OFFSET(CRONOPLE!$F$15,$M145-$A$15,BG$13)=0,10^12,OFFSET(CRONOPLE!$F$15,$M145-$A$15,BG$13)))</f>
        <v>5</v>
      </c>
      <c r="BH145" s="171">
        <f ca="1">IF(OR($D145&lt;&gt;"Serviço",AND(AUTOEVENTO="Manual",$M145=$A$15)),0,
         IF(OFFSET(CRONOPLE!$F$15,$M145-$A$15,BH$13)=0,10^12,OFFSET(CRONOPLE!$F$15,$M145-$A$15,BH$13)))</f>
        <v>6</v>
      </c>
      <c r="BI145" s="171">
        <f ca="1">IF(OR($D145&lt;&gt;"Serviço",AND(AUTOEVENTO="Manual",$M145=$A$15)),0,
         IF(OFFSET(CRONOPLE!$F$15,$M145-$A$15,BI$13)=0,10^12,OFFSET(CRONOPLE!$F$15,$M145-$A$15,BI$13)))</f>
        <v>7</v>
      </c>
      <c r="BJ145" s="171">
        <f ca="1">IF(OR($D145&lt;&gt;"Serviço",AND(AUTOEVENTO="Manual",$M145=$A$15)),0,
         IF(OFFSET(CRONOPLE!$F$15,$M145-$A$15,BJ$13)=0,10^12,OFFSET(CRONOPLE!$F$15,$M145-$A$15,BJ$13)))</f>
        <v>8</v>
      </c>
      <c r="BK145" s="171">
        <f ca="1">IF(OR($D145&lt;&gt;"Serviço",AND(AUTOEVENTO="Manual",$M145=$A$15)),0,
         IF(OFFSET(CRONOPLE!$F$15,$M145-$A$15,BK$13)=0,10^12,OFFSET(CRONOPLE!$F$15,$M145-$A$15,BK$13)))</f>
        <v>9</v>
      </c>
      <c r="BL145" s="171">
        <f ca="1">IF(OR($D145&lt;&gt;"Serviço",AND(AUTOEVENTO="Manual",$M145=$A$15)),0,
         IF(OFFSET(CRONOPLE!$F$15,$M145-$A$15,BL$13)=0,10^12,OFFSET(CRONOPLE!$F$15,$M145-$A$15,BL$13)))</f>
        <v>10</v>
      </c>
      <c r="BM145" s="171">
        <f ca="1">IF(OR($D145&lt;&gt;"Serviço",AND(AUTOEVENTO="Manual",$M145=$A$15)),0,
         IF(OFFSET(CRONOPLE!$F$15,$M145-$A$15,BM$13)=0,10^12,OFFSET(CRONOPLE!$F$15,$M145-$A$15,BM$13)))</f>
        <v>1000000000000</v>
      </c>
      <c r="BN145" s="171">
        <f ca="1">IF(OR($D145&lt;&gt;"Serviço",AND(AUTOEVENTO="Manual",$M145=$A$15)),0,
         IF(OFFSET(CRONOPLE!$F$15,$M145-$A$15,BN$13)=0,10^12,OFFSET(CRONOPLE!$F$15,$M145-$A$15,BN$13)))</f>
        <v>1000000000000</v>
      </c>
      <c r="BO145" s="171">
        <f ca="1">IF(OR($D145&lt;&gt;"Serviço",AND(AUTOEVENTO="Manual",$M145=$A$15)),0,
         IF(OFFSET(CRONOPLE!$F$15,$M145-$A$15,BO$13)=0,10^12,OFFSET(CRONOPLE!$F$15,$M145-$A$15,BO$13)))</f>
        <v>1000000000000</v>
      </c>
      <c r="BP145" s="171">
        <f ca="1">IF(OR($D145&lt;&gt;"Serviço",AND(AUTOEVENTO="Manual",$M145=$A$15)),0,
         IF(OFFSET(CRONOPLE!$F$15,$M145-$A$15,BP$13)=0,10^12,OFFSET(CRONOPLE!$F$15,$M145-$A$15,BP$13)))</f>
        <v>1000000000000</v>
      </c>
      <c r="BQ145" s="171">
        <f ca="1">IF(OR($D145&lt;&gt;"Serviço",AND(AUTOEVENTO="Manual",$M145=$A$15)),0,
         IF(OFFSET(CRONOPLE!$F$15,$M145-$A$15,BQ$13)=0,10^12,OFFSET(CRONOPLE!$F$15,$M145-$A$15,BQ$13)))</f>
        <v>1000000000000</v>
      </c>
      <c r="BR145" s="171">
        <f ca="1">IF(OR($D145&lt;&gt;"Serviço",AND(AUTOEVENTO="Manual",$M145=$A$15)),0,
         IF(OFFSET(CRONOPLE!$F$15,$M145-$A$15,BR$13)=0,10^12,OFFSET(CRONOPLE!$F$15,$M145-$A$15,BR$13)))</f>
        <v>1000000000000</v>
      </c>
      <c r="BS145" s="171">
        <f ca="1">IF(OR($D145&lt;&gt;"Serviço",AND(AUTOEVENTO="Manual",$M145=$A$15)),0,
         IF(OFFSET(CRONOPLE!$F$15,$M145-$A$15,BS$13)=0,10^12,OFFSET(CRONOPLE!$F$15,$M145-$A$15,BS$13)))</f>
        <v>1000000000000</v>
      </c>
      <c r="BT145" s="171">
        <f ca="1">IF(OR($D145&lt;&gt;"Serviço",AND(AUTOEVENTO="Manual",$M145=$A$15)),0,
         IF(OFFSET(CRONOPLE!$F$15,$M145-$A$15,BT$13)=0,10^12,OFFSET(CRONOPLE!$F$15,$M145-$A$15,BT$13)))</f>
        <v>1000000000000</v>
      </c>
      <c r="BV145" s="172">
        <f ca="1">IF(OR($D145&lt;&gt;"Serviço",AND(AUTOEVENTO="Manual",$M145=$A$15),$M145&gt;(ROW(PLE.lastrow)-ROW(PLE.firstrow))),0,
           IF(OFFSET(PLE!$G$15,$M145-$A$15,BV$13)="",10^12,OFFSET(PLE!$G$15,$M145-$A$15,BV$13)))</f>
        <v>1000000000000</v>
      </c>
      <c r="BW145" s="172">
        <f ca="1">IF(OR($D145&lt;&gt;"Serviço",AND(AUTOEVENTO="Manual",$M145=$A$15),$M145&gt;(ROW(PLE.lastrow)-ROW(PLE.firstrow))),0,
           IF(OFFSET(PLE!$G$15,$M145-$A$15,BW$13)="",10^12,OFFSET(PLE!$G$15,$M145-$A$15,BW$13)))</f>
        <v>1000000000000</v>
      </c>
      <c r="BX145" s="172">
        <f ca="1">IF(OR($D145&lt;&gt;"Serviço",AND(AUTOEVENTO="Manual",$M145=$A$15),$M145&gt;(ROW(PLE.lastrow)-ROW(PLE.firstrow))),0,
           IF(OFFSET(PLE!$G$15,$M145-$A$15,BX$13)="",10^12,OFFSET(PLE!$G$15,$M145-$A$15,BX$13)))</f>
        <v>1000000000000</v>
      </c>
      <c r="BY145" s="172">
        <f ca="1">IF(OR($D145&lt;&gt;"Serviço",AND(AUTOEVENTO="Manual",$M145=$A$15),$M145&gt;(ROW(PLE.lastrow)-ROW(PLE.firstrow))),0,
           IF(OFFSET(PLE!$G$15,$M145-$A$15,BY$13)="",10^12,OFFSET(PLE!$G$15,$M145-$A$15,BY$13)))</f>
        <v>1000000000000</v>
      </c>
      <c r="BZ145" s="172">
        <f ca="1">IF(OR($D145&lt;&gt;"Serviço",AND(AUTOEVENTO="Manual",$M145=$A$15),$M145&gt;(ROW(PLE.lastrow)-ROW(PLE.firstrow))),0,
           IF(OFFSET(PLE!$G$15,$M145-$A$15,BZ$13)="",10^12,OFFSET(PLE!$G$15,$M145-$A$15,BZ$13)))</f>
        <v>1000000000000</v>
      </c>
      <c r="CA145" s="172">
        <f ca="1">IF(OR($D145&lt;&gt;"Serviço",AND(AUTOEVENTO="Manual",$M145=$A$15),$M145&gt;(ROW(PLE.lastrow)-ROW(PLE.firstrow))),0,
           IF(OFFSET(PLE!$G$15,$M145-$A$15,CA$13)="",10^12,OFFSET(PLE!$G$15,$M145-$A$15,CA$13)))</f>
        <v>1000000000000</v>
      </c>
      <c r="CB145" s="172">
        <f ca="1">IF(OR($D145&lt;&gt;"Serviço",AND(AUTOEVENTO="Manual",$M145=$A$15),$M145&gt;(ROW(PLE.lastrow)-ROW(PLE.firstrow))),0,
           IF(OFFSET(PLE!$G$15,$M145-$A$15,CB$13)="",10^12,OFFSET(PLE!$G$15,$M145-$A$15,CB$13)))</f>
        <v>1000000000000</v>
      </c>
      <c r="CC145" s="172">
        <f ca="1">IF(OR($D145&lt;&gt;"Serviço",AND(AUTOEVENTO="Manual",$M145=$A$15),$M145&gt;(ROW(PLE.lastrow)-ROW(PLE.firstrow))),0,
           IF(OFFSET(PLE!$G$15,$M145-$A$15,CC$13)="",10^12,OFFSET(PLE!$G$15,$M145-$A$15,CC$13)))</f>
        <v>1000000000000</v>
      </c>
      <c r="CD145" s="172">
        <f ca="1">IF(OR($D145&lt;&gt;"Serviço",AND(AUTOEVENTO="Manual",$M145=$A$15),$M145&gt;(ROW(PLE.lastrow)-ROW(PLE.firstrow))),0,
           IF(OFFSET(PLE!$G$15,$M145-$A$15,CD$13)="",10^12,OFFSET(PLE!$G$15,$M145-$A$15,CD$13)))</f>
        <v>1000000000000</v>
      </c>
      <c r="CE145" s="172">
        <f ca="1">IF(OR($D145&lt;&gt;"Serviço",AND(AUTOEVENTO="Manual",$M145=$A$15),$M145&gt;(ROW(PLE.lastrow)-ROW(PLE.firstrow))),0,
           IF(OFFSET(PLE!$G$15,$M145-$A$15,CE$13)="",10^12,OFFSET(PLE!$G$15,$M145-$A$15,CE$13)))</f>
        <v>1000000000000</v>
      </c>
      <c r="CF145" s="172">
        <f ca="1">IF(OR($D145&lt;&gt;"Serviço",AND(AUTOEVENTO="Manual",$M145=$A$15),$M145&gt;(ROW(PLE.lastrow)-ROW(PLE.firstrow))),0,
           IF(OFFSET(PLE!$G$15,$M145-$A$15,CF$13)="",10^12,OFFSET(PLE!$G$15,$M145-$A$15,CF$13)))</f>
        <v>1000000000000</v>
      </c>
      <c r="CG145" s="172">
        <f ca="1">IF(OR($D145&lt;&gt;"Serviço",AND(AUTOEVENTO="Manual",$M145=$A$15),$M145&gt;(ROW(PLE.lastrow)-ROW(PLE.firstrow))),0,
           IF(OFFSET(PLE!$G$15,$M145-$A$15,CG$13)="",10^12,OFFSET(PLE!$G$15,$M145-$A$15,CG$13)))</f>
        <v>1000000000000</v>
      </c>
      <c r="CH145" s="172">
        <f ca="1">IF(OR($D145&lt;&gt;"Serviço",AND(AUTOEVENTO="Manual",$M145=$A$15),$M145&gt;(ROW(PLE.lastrow)-ROW(PLE.firstrow))),0,
           IF(OFFSET(PLE!$G$15,$M145-$A$15,CH$13)="",10^12,OFFSET(PLE!$G$15,$M145-$A$15,CH$13)))</f>
        <v>1000000000000</v>
      </c>
      <c r="CI145" s="172">
        <f ca="1">IF(OR($D145&lt;&gt;"Serviço",AND(AUTOEVENTO="Manual",$M145=$A$15),$M145&gt;(ROW(PLE.lastrow)-ROW(PLE.firstrow))),0,
           IF(OFFSET(PLE!$G$15,$M145-$A$15,CI$13)="",10^12,OFFSET(PLE!$G$15,$M145-$A$15,CI$13)))</f>
        <v>1000000000000</v>
      </c>
      <c r="CJ145" s="172">
        <f ca="1">IF(OR($D145&lt;&gt;"Serviço",AND(AUTOEVENTO="Manual",$M145=$A$15),$M145&gt;(ROW(PLE.lastrow)-ROW(PLE.firstrow))),0,
           IF(OFFSET(PLE!$G$15,$M145-$A$15,CJ$13)="",10^12,OFFSET(PLE!$G$15,$M145-$A$15,CJ$13)))</f>
        <v>1000000000000</v>
      </c>
      <c r="CK145" s="172">
        <f ca="1">IF(OR($D145&lt;&gt;"Serviço",AND(AUTOEVENTO="Manual",$M145=$A$15),$M145&gt;(ROW(PLE.lastrow)-ROW(PLE.firstrow))),0,
           IF(OFFSET(PLE!$G$15,$M145-$A$15,CK$13)="",10^12,OFFSET(PLE!$G$15,$M145-$A$15,CK$13)))</f>
        <v>1000000000000</v>
      </c>
      <c r="CL145" s="172">
        <f ca="1">IF(OR($D145&lt;&gt;"Serviço",AND(AUTOEVENTO="Manual",$M145=$A$15),$M145&gt;(ROW(PLE.lastrow)-ROW(PLE.firstrow))),0,
           IF(OFFSET(PLE!$G$15,$M145-$A$15,CL$13)="",10^12,OFFSET(PLE!$G$15,$M145-$A$15,CL$13)))</f>
        <v>1000000000000</v>
      </c>
      <c r="CM145" s="172">
        <f ca="1">IF(OR($D145&lt;&gt;"Serviço",AND(AUTOEVENTO="Manual",$M145=$A$15),$M145&gt;(ROW(PLE.lastrow)-ROW(PLE.firstrow))),0,
           IF(OFFSET(PLE!$G$15,$M145-$A$15,CM$13)="",10^12,OFFSET(PLE!$G$15,$M145-$A$15,CM$13)))</f>
        <v>1000000000000</v>
      </c>
    </row>
    <row r="146" spans="1:91" ht="114.75" x14ac:dyDescent="0.2">
      <c r="A146" s="7">
        <f t="shared" ca="1" si="11"/>
        <v>4</v>
      </c>
      <c r="B146" s="7" t="str">
        <f ca="1">OFFSET(ORÇAMENTO!C$15,ROW(B146)-ROW(B$15),0)</f>
        <v>S</v>
      </c>
      <c r="C146" s="7" t="str">
        <f ca="1">OFFSET(ORÇAMENTO!L$15,ROW(C146)-ROW(C$15),0)</f>
        <v>F</v>
      </c>
      <c r="D146" s="116" t="str">
        <f ca="1">OFFSET(ORÇAMENTO!N$15,ROW(D146)-ROW(D$15),0)</f>
        <v>Serviço</v>
      </c>
      <c r="E146" s="117" t="str">
        <f ca="1">OFFSET(ORÇAMENTO!O$15,ROW(E146)-ROW(E$15),0)</f>
        <v>1.5.4.0.6.</v>
      </c>
      <c r="F146" s="163" t="str">
        <f ca="1">OFFSET(ORÇAMENTO!R$15,ROW(F146)-ROW(F$15),0)</f>
        <v>IMPERMEABILIZAÇÃO COM EMULSÃO ASFÁLTICA, DUAS (2) DEMÃOS</v>
      </c>
      <c r="G146" s="164" t="str">
        <f ca="1">IF($D146&lt;&gt;"Serviço","",OFFSET(ORÇAMENTO!S$15,ROW(G146)-ROW(G$15),0))</f>
        <v>M2</v>
      </c>
      <c r="H146" s="122" cm="1">
        <f t="array" aca="1" ref="H146" ca="1">IF($D146&lt;&gt;"Serviço",0,IF(ACOMPANHAMENTO="BM",ROUND(OFFSET(ORÇAMENTO!AJ$15,ROW(H146)-ROW(H$15),0),15-13*ORÇAMENTO!$AF$7),SUMPRODUCT(($Q$1:$AI$1=1)*ROUND($Q146:$AI146,15-13*ORÇAMENTO!$AF$7))))</f>
        <v>70.16</v>
      </c>
      <c r="I146" s="468" t="s">
        <v>1335</v>
      </c>
      <c r="J146" s="640" t="str" cm="1">
        <f t="array" aca="1" ref="J146" ca="1">IF(OR(B146&lt;&gt;"S",CÁLCULO.FrentesPreenchidas=0),"",IF(AND(ACOMPANHAMENTO="PLE",AUTOEVENTO="Manual",OR(H146&gt;0,ORÇAMENTO!AC146="QUANT."),OR(K146="",M146=0,N146="")),"►E",IF(AND(ACOMPANHAMENTO="PLE",ORÇAMENTO!AC146="QUANT."),"►Q",IF(AND(ACOMPANHAMENTO="PLE",H146&lt;&gt;SUMPRODUCT(($Q$1:$AI$1=1)*ROUND(Q146:AI146,15))),"►S",IF(AND(COUNTIF($P$11:$AI$11,"▼")=0,H146&gt;0,I146=""),"◄M","")))))</f>
        <v/>
      </c>
      <c r="K146" s="641" t="s">
        <v>1389</v>
      </c>
      <c r="L146" s="165" t="s">
        <v>764</v>
      </c>
      <c r="M146" s="166">
        <f ca="1">IF($D146&lt;&gt;"Serviço","",
          IF(AUTOEVENTO="manual",$A146,
                IF(ISERROR(MATCH($A146,$A$15:OFFSET($A146,-1,0),0)),MAX($M$15:OFFSET(M146,-1,0))+1,
                      INDEX($M$15:OFFSET(M146,-1,0),MATCH($A146,$A$15:OFFSET($A146,-1,0),0)))))</f>
        <v>4</v>
      </c>
      <c r="N146" s="167" t="str">
        <f ca="1">IF($D146&lt;&gt;"Serviço","",
         IF(AUTOEVENTO="Manual",
                IF($A146=0,"&lt;-- defina o número do agrupador",
                       OFFSET(EVENTOS!$D$15,$A146-$A$15,0)),
                OFFSET($F$15,$A146,0)))</f>
        <v>Estruturas de Concreto</v>
      </c>
      <c r="O146" s="168"/>
      <c r="Q146" s="168"/>
      <c r="R146" s="169"/>
      <c r="S146" s="169"/>
      <c r="T146" s="169"/>
      <c r="U146" s="169"/>
      <c r="V146" s="169">
        <f>ROUND(2*(12.47+0.75)*2.3+12.47*0.75,2)</f>
        <v>70.16</v>
      </c>
      <c r="W146" s="169"/>
      <c r="X146" s="169"/>
      <c r="Y146" s="169"/>
      <c r="Z146" s="170"/>
      <c r="AA146" s="169"/>
      <c r="AB146" s="169"/>
      <c r="AC146" s="169"/>
      <c r="AD146" s="169"/>
      <c r="AE146" s="169"/>
      <c r="AF146" s="169"/>
      <c r="AG146" s="169"/>
      <c r="AH146" s="170"/>
      <c r="AJ146" s="453">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0</v>
      </c>
      <c r="AK146" s="453">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0</v>
      </c>
      <c r="AL146" s="453">
        <f ca="1">IF(AND($D146="Serviço",AL$12&lt;&gt;0,$H146&gt;0,OR(AUTOEVENTO&lt;&gt;"manual",$M146&lt;&gt;$A$15)),
        IF(Import.TipoArredondamento&lt;&gt;"TransfereGOV",
              ROUND(OFFSET($P146,0,AL$13),15-13*ORÇAMENTO!$AF$7)/$H146*OFFSET(ORÇAMENTO!$X$15,ROW(AL146)-ROW(AL$15),0),
              ROUND(ROUND(OFFSET($P146,0,AL$13),15-13*ORÇAMENTO!$AF$7)*OFFSET(ORÇAMENTO!$W$15,ROW(AL146)-ROW(AL$15),0),15-13*ORÇAMENTO!$AF$11)),
         0)</f>
        <v>0</v>
      </c>
      <c r="AM146" s="453">
        <f ca="1">IF(AND($D146="Serviço",AM$12&lt;&gt;0,$H146&gt;0,OR(AUTOEVENTO&lt;&gt;"manual",$M146&lt;&gt;$A$15)),
        IF(Import.TipoArredondamento&lt;&gt;"TransfereGOV",
              ROUND(OFFSET($P146,0,AM$13),15-13*ORÇAMENTO!$AF$7)/$H146*OFFSET(ORÇAMENTO!$X$15,ROW(AM146)-ROW(AM$15),0),
              ROUND(ROUND(OFFSET($P146,0,AM$13),15-13*ORÇAMENTO!$AF$7)*OFFSET(ORÇAMENTO!$W$15,ROW(AM146)-ROW(AM$15),0),15-13*ORÇAMENTO!$AF$11)),
         0)</f>
        <v>0</v>
      </c>
      <c r="AN146" s="453">
        <f ca="1">IF(AND($D146="Serviço",AN$12&lt;&gt;0,$H146&gt;0,OR(AUTOEVENTO&lt;&gt;"manual",$M146&lt;&gt;$A$15)),
        IF(Import.TipoArredondamento&lt;&gt;"TransfereGOV",
              ROUND(OFFSET($P146,0,AN$13),15-13*ORÇAMENTO!$AF$7)/$H146*OFFSET(ORÇAMENTO!$X$15,ROW(AN146)-ROW(AN$15),0),
              ROUND(ROUND(OFFSET($P146,0,AN$13),15-13*ORÇAMENTO!$AF$7)*OFFSET(ORÇAMENTO!$W$15,ROW(AN146)-ROW(AN$15),0),15-13*ORÇAMENTO!$AF$11)),
         0)</f>
        <v>0</v>
      </c>
      <c r="AO146" s="453">
        <f ca="1">IF(AND($D146="Serviço",AO$12&lt;&gt;0,$H146&gt;0,OR(AUTOEVENTO&lt;&gt;"manual",$M146&lt;&gt;$A$15)),
        IF(Import.TipoArredondamento&lt;&gt;"TransfereGOV",
              ROUND(OFFSET($P146,0,AO$13),15-13*ORÇAMENTO!$AF$7)/$H146*OFFSET(ORÇAMENTO!$X$15,ROW(AO146)-ROW(AO$15),0),
              ROUND(ROUND(OFFSET($P146,0,AO$13),15-13*ORÇAMENTO!$AF$7)*OFFSET(ORÇAMENTO!$W$15,ROW(AO146)-ROW(AO$15),0),15-13*ORÇAMENTO!$AF$11)),
         0)</f>
        <v>0</v>
      </c>
      <c r="AP146" s="453">
        <f ca="1">IF(AND($D146="Serviço",AP$12&lt;&gt;0,$H146&gt;0,OR(AUTOEVENTO&lt;&gt;"manual",$M146&lt;&gt;$A$15)),
        IF(Import.TipoArredondamento&lt;&gt;"TransfereGOV",
              ROUND(OFFSET($P146,0,AP$13),15-13*ORÇAMENTO!$AF$7)/$H146*OFFSET(ORÇAMENTO!$X$15,ROW(AP146)-ROW(AP$15),0),
              ROUND(ROUND(OFFSET($P146,0,AP$13),15-13*ORÇAMENTO!$AF$7)*OFFSET(ORÇAMENTO!$W$15,ROW(AP146)-ROW(AP$15),0),15-13*ORÇAMENTO!$AF$11)),
         0)</f>
        <v>0</v>
      </c>
      <c r="AQ146" s="453">
        <f ca="1">IF(AND($D146="Serviço",AQ$12&lt;&gt;0,$H146&gt;0,OR(AUTOEVENTO&lt;&gt;"manual",$M146&lt;&gt;$A$15)),
        IF(Import.TipoArredondamento&lt;&gt;"TransfereGOV",
              ROUND(OFFSET($P146,0,AQ$13),15-13*ORÇAMENTO!$AF$7)/$H146*OFFSET(ORÇAMENTO!$X$15,ROW(AQ146)-ROW(AQ$15),0),
              ROUND(ROUND(OFFSET($P146,0,AQ$13),15-13*ORÇAMENTO!$AF$7)*OFFSET(ORÇAMENTO!$W$15,ROW(AQ146)-ROW(AQ$15),0),15-13*ORÇAMENTO!$AF$11)),
         0)</f>
        <v>0</v>
      </c>
      <c r="AR146" s="453">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3">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3">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3">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3">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3">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3">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3">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3">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3">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C146" s="171">
        <f ca="1">IF(OR($D146&lt;&gt;"Serviço",AND(AUTOEVENTO="Manual",$M146=$A$15)),0,
         IF(OFFSET(CRONOPLE!$F$15,$M146-$A$15,BC$13)=0,10^12,OFFSET(CRONOPLE!$F$15,$M146-$A$15,BC$13)))</f>
        <v>1</v>
      </c>
      <c r="BD146" s="171">
        <f ca="1">IF(OR($D146&lt;&gt;"Serviço",AND(AUTOEVENTO="Manual",$M146=$A$15)),0,
         IF(OFFSET(CRONOPLE!$F$15,$M146-$A$15,BD$13)=0,10^12,OFFSET(CRONOPLE!$F$15,$M146-$A$15,BD$13)))</f>
        <v>2</v>
      </c>
      <c r="BE146" s="171">
        <f ca="1">IF(OR($D146&lt;&gt;"Serviço",AND(AUTOEVENTO="Manual",$M146=$A$15)),0,
         IF(OFFSET(CRONOPLE!$F$15,$M146-$A$15,BE$13)=0,10^12,OFFSET(CRONOPLE!$F$15,$M146-$A$15,BE$13)))</f>
        <v>3</v>
      </c>
      <c r="BF146" s="171">
        <f ca="1">IF(OR($D146&lt;&gt;"Serviço",AND(AUTOEVENTO="Manual",$M146=$A$15)),0,
         IF(OFFSET(CRONOPLE!$F$15,$M146-$A$15,BF$13)=0,10^12,OFFSET(CRONOPLE!$F$15,$M146-$A$15,BF$13)))</f>
        <v>4</v>
      </c>
      <c r="BG146" s="171">
        <f ca="1">IF(OR($D146&lt;&gt;"Serviço",AND(AUTOEVENTO="Manual",$M146=$A$15)),0,
         IF(OFFSET(CRONOPLE!$F$15,$M146-$A$15,BG$13)=0,10^12,OFFSET(CRONOPLE!$F$15,$M146-$A$15,BG$13)))</f>
        <v>5</v>
      </c>
      <c r="BH146" s="171">
        <f ca="1">IF(OR($D146&lt;&gt;"Serviço",AND(AUTOEVENTO="Manual",$M146=$A$15)),0,
         IF(OFFSET(CRONOPLE!$F$15,$M146-$A$15,BH$13)=0,10^12,OFFSET(CRONOPLE!$F$15,$M146-$A$15,BH$13)))</f>
        <v>6</v>
      </c>
      <c r="BI146" s="171">
        <f ca="1">IF(OR($D146&lt;&gt;"Serviço",AND(AUTOEVENTO="Manual",$M146=$A$15)),0,
         IF(OFFSET(CRONOPLE!$F$15,$M146-$A$15,BI$13)=0,10^12,OFFSET(CRONOPLE!$F$15,$M146-$A$15,BI$13)))</f>
        <v>7</v>
      </c>
      <c r="BJ146" s="171">
        <f ca="1">IF(OR($D146&lt;&gt;"Serviço",AND(AUTOEVENTO="Manual",$M146=$A$15)),0,
         IF(OFFSET(CRONOPLE!$F$15,$M146-$A$15,BJ$13)=0,10^12,OFFSET(CRONOPLE!$F$15,$M146-$A$15,BJ$13)))</f>
        <v>8</v>
      </c>
      <c r="BK146" s="171">
        <f ca="1">IF(OR($D146&lt;&gt;"Serviço",AND(AUTOEVENTO="Manual",$M146=$A$15)),0,
         IF(OFFSET(CRONOPLE!$F$15,$M146-$A$15,BK$13)=0,10^12,OFFSET(CRONOPLE!$F$15,$M146-$A$15,BK$13)))</f>
        <v>9</v>
      </c>
      <c r="BL146" s="171">
        <f ca="1">IF(OR($D146&lt;&gt;"Serviço",AND(AUTOEVENTO="Manual",$M146=$A$15)),0,
         IF(OFFSET(CRONOPLE!$F$15,$M146-$A$15,BL$13)=0,10^12,OFFSET(CRONOPLE!$F$15,$M146-$A$15,BL$13)))</f>
        <v>10</v>
      </c>
      <c r="BM146" s="171">
        <f ca="1">IF(OR($D146&lt;&gt;"Serviço",AND(AUTOEVENTO="Manual",$M146=$A$15)),0,
         IF(OFFSET(CRONOPLE!$F$15,$M146-$A$15,BM$13)=0,10^12,OFFSET(CRONOPLE!$F$15,$M146-$A$15,BM$13)))</f>
        <v>1000000000000</v>
      </c>
      <c r="BN146" s="171">
        <f ca="1">IF(OR($D146&lt;&gt;"Serviço",AND(AUTOEVENTO="Manual",$M146=$A$15)),0,
         IF(OFFSET(CRONOPLE!$F$15,$M146-$A$15,BN$13)=0,10^12,OFFSET(CRONOPLE!$F$15,$M146-$A$15,BN$13)))</f>
        <v>1000000000000</v>
      </c>
      <c r="BO146" s="171">
        <f ca="1">IF(OR($D146&lt;&gt;"Serviço",AND(AUTOEVENTO="Manual",$M146=$A$15)),0,
         IF(OFFSET(CRONOPLE!$F$15,$M146-$A$15,BO$13)=0,10^12,OFFSET(CRONOPLE!$F$15,$M146-$A$15,BO$13)))</f>
        <v>1000000000000</v>
      </c>
      <c r="BP146" s="171">
        <f ca="1">IF(OR($D146&lt;&gt;"Serviço",AND(AUTOEVENTO="Manual",$M146=$A$15)),0,
         IF(OFFSET(CRONOPLE!$F$15,$M146-$A$15,BP$13)=0,10^12,OFFSET(CRONOPLE!$F$15,$M146-$A$15,BP$13)))</f>
        <v>1000000000000</v>
      </c>
      <c r="BQ146" s="171">
        <f ca="1">IF(OR($D146&lt;&gt;"Serviço",AND(AUTOEVENTO="Manual",$M146=$A$15)),0,
         IF(OFFSET(CRONOPLE!$F$15,$M146-$A$15,BQ$13)=0,10^12,OFFSET(CRONOPLE!$F$15,$M146-$A$15,BQ$13)))</f>
        <v>1000000000000</v>
      </c>
      <c r="BR146" s="171">
        <f ca="1">IF(OR($D146&lt;&gt;"Serviço",AND(AUTOEVENTO="Manual",$M146=$A$15)),0,
         IF(OFFSET(CRONOPLE!$F$15,$M146-$A$15,BR$13)=0,10^12,OFFSET(CRONOPLE!$F$15,$M146-$A$15,BR$13)))</f>
        <v>1000000000000</v>
      </c>
      <c r="BS146" s="171">
        <f ca="1">IF(OR($D146&lt;&gt;"Serviço",AND(AUTOEVENTO="Manual",$M146=$A$15)),0,
         IF(OFFSET(CRONOPLE!$F$15,$M146-$A$15,BS$13)=0,10^12,OFFSET(CRONOPLE!$F$15,$M146-$A$15,BS$13)))</f>
        <v>1000000000000</v>
      </c>
      <c r="BT146" s="171">
        <f ca="1">IF(OR($D146&lt;&gt;"Serviço",AND(AUTOEVENTO="Manual",$M146=$A$15)),0,
         IF(OFFSET(CRONOPLE!$F$15,$M146-$A$15,BT$13)=0,10^12,OFFSET(CRONOPLE!$F$15,$M146-$A$15,BT$13)))</f>
        <v>1000000000000</v>
      </c>
      <c r="BV146" s="172">
        <f ca="1">IF(OR($D146&lt;&gt;"Serviço",AND(AUTOEVENTO="Manual",$M146=$A$15),$M146&gt;(ROW(PLE.lastrow)-ROW(PLE.firstrow))),0,
           IF(OFFSET(PLE!$G$15,$M146-$A$15,BV$13)="",10^12,OFFSET(PLE!$G$15,$M146-$A$15,BV$13)))</f>
        <v>1000000000000</v>
      </c>
      <c r="BW146" s="172">
        <f ca="1">IF(OR($D146&lt;&gt;"Serviço",AND(AUTOEVENTO="Manual",$M146=$A$15),$M146&gt;(ROW(PLE.lastrow)-ROW(PLE.firstrow))),0,
           IF(OFFSET(PLE!$G$15,$M146-$A$15,BW$13)="",10^12,OFFSET(PLE!$G$15,$M146-$A$15,BW$13)))</f>
        <v>1000000000000</v>
      </c>
      <c r="BX146" s="172">
        <f ca="1">IF(OR($D146&lt;&gt;"Serviço",AND(AUTOEVENTO="Manual",$M146=$A$15),$M146&gt;(ROW(PLE.lastrow)-ROW(PLE.firstrow))),0,
           IF(OFFSET(PLE!$G$15,$M146-$A$15,BX$13)="",10^12,OFFSET(PLE!$G$15,$M146-$A$15,BX$13)))</f>
        <v>1000000000000</v>
      </c>
      <c r="BY146" s="172">
        <f ca="1">IF(OR($D146&lt;&gt;"Serviço",AND(AUTOEVENTO="Manual",$M146=$A$15),$M146&gt;(ROW(PLE.lastrow)-ROW(PLE.firstrow))),0,
           IF(OFFSET(PLE!$G$15,$M146-$A$15,BY$13)="",10^12,OFFSET(PLE!$G$15,$M146-$A$15,BY$13)))</f>
        <v>1000000000000</v>
      </c>
      <c r="BZ146" s="172">
        <f ca="1">IF(OR($D146&lt;&gt;"Serviço",AND(AUTOEVENTO="Manual",$M146=$A$15),$M146&gt;(ROW(PLE.lastrow)-ROW(PLE.firstrow))),0,
           IF(OFFSET(PLE!$G$15,$M146-$A$15,BZ$13)="",10^12,OFFSET(PLE!$G$15,$M146-$A$15,BZ$13)))</f>
        <v>1000000000000</v>
      </c>
      <c r="CA146" s="172">
        <f ca="1">IF(OR($D146&lt;&gt;"Serviço",AND(AUTOEVENTO="Manual",$M146=$A$15),$M146&gt;(ROW(PLE.lastrow)-ROW(PLE.firstrow))),0,
           IF(OFFSET(PLE!$G$15,$M146-$A$15,CA$13)="",10^12,OFFSET(PLE!$G$15,$M146-$A$15,CA$13)))</f>
        <v>1000000000000</v>
      </c>
      <c r="CB146" s="172">
        <f ca="1">IF(OR($D146&lt;&gt;"Serviço",AND(AUTOEVENTO="Manual",$M146=$A$15),$M146&gt;(ROW(PLE.lastrow)-ROW(PLE.firstrow))),0,
           IF(OFFSET(PLE!$G$15,$M146-$A$15,CB$13)="",10^12,OFFSET(PLE!$G$15,$M146-$A$15,CB$13)))</f>
        <v>1000000000000</v>
      </c>
      <c r="CC146" s="172">
        <f ca="1">IF(OR($D146&lt;&gt;"Serviço",AND(AUTOEVENTO="Manual",$M146=$A$15),$M146&gt;(ROW(PLE.lastrow)-ROW(PLE.firstrow))),0,
           IF(OFFSET(PLE!$G$15,$M146-$A$15,CC$13)="",10^12,OFFSET(PLE!$G$15,$M146-$A$15,CC$13)))</f>
        <v>1000000000000</v>
      </c>
      <c r="CD146" s="172">
        <f ca="1">IF(OR($D146&lt;&gt;"Serviço",AND(AUTOEVENTO="Manual",$M146=$A$15),$M146&gt;(ROW(PLE.lastrow)-ROW(PLE.firstrow))),0,
           IF(OFFSET(PLE!$G$15,$M146-$A$15,CD$13)="",10^12,OFFSET(PLE!$G$15,$M146-$A$15,CD$13)))</f>
        <v>1000000000000</v>
      </c>
      <c r="CE146" s="172">
        <f ca="1">IF(OR($D146&lt;&gt;"Serviço",AND(AUTOEVENTO="Manual",$M146=$A$15),$M146&gt;(ROW(PLE.lastrow)-ROW(PLE.firstrow))),0,
           IF(OFFSET(PLE!$G$15,$M146-$A$15,CE$13)="",10^12,OFFSET(PLE!$G$15,$M146-$A$15,CE$13)))</f>
        <v>1000000000000</v>
      </c>
      <c r="CF146" s="172">
        <f ca="1">IF(OR($D146&lt;&gt;"Serviço",AND(AUTOEVENTO="Manual",$M146=$A$15),$M146&gt;(ROW(PLE.lastrow)-ROW(PLE.firstrow))),0,
           IF(OFFSET(PLE!$G$15,$M146-$A$15,CF$13)="",10^12,OFFSET(PLE!$G$15,$M146-$A$15,CF$13)))</f>
        <v>1000000000000</v>
      </c>
      <c r="CG146" s="172">
        <f ca="1">IF(OR($D146&lt;&gt;"Serviço",AND(AUTOEVENTO="Manual",$M146=$A$15),$M146&gt;(ROW(PLE.lastrow)-ROW(PLE.firstrow))),0,
           IF(OFFSET(PLE!$G$15,$M146-$A$15,CG$13)="",10^12,OFFSET(PLE!$G$15,$M146-$A$15,CG$13)))</f>
        <v>1000000000000</v>
      </c>
      <c r="CH146" s="172">
        <f ca="1">IF(OR($D146&lt;&gt;"Serviço",AND(AUTOEVENTO="Manual",$M146=$A$15),$M146&gt;(ROW(PLE.lastrow)-ROW(PLE.firstrow))),0,
           IF(OFFSET(PLE!$G$15,$M146-$A$15,CH$13)="",10^12,OFFSET(PLE!$G$15,$M146-$A$15,CH$13)))</f>
        <v>1000000000000</v>
      </c>
      <c r="CI146" s="172">
        <f ca="1">IF(OR($D146&lt;&gt;"Serviço",AND(AUTOEVENTO="Manual",$M146=$A$15),$M146&gt;(ROW(PLE.lastrow)-ROW(PLE.firstrow))),0,
           IF(OFFSET(PLE!$G$15,$M146-$A$15,CI$13)="",10^12,OFFSET(PLE!$G$15,$M146-$A$15,CI$13)))</f>
        <v>1000000000000</v>
      </c>
      <c r="CJ146" s="172">
        <f ca="1">IF(OR($D146&lt;&gt;"Serviço",AND(AUTOEVENTO="Manual",$M146=$A$15),$M146&gt;(ROW(PLE.lastrow)-ROW(PLE.firstrow))),0,
           IF(OFFSET(PLE!$G$15,$M146-$A$15,CJ$13)="",10^12,OFFSET(PLE!$G$15,$M146-$A$15,CJ$13)))</f>
        <v>1000000000000</v>
      </c>
      <c r="CK146" s="172">
        <f ca="1">IF(OR($D146&lt;&gt;"Serviço",AND(AUTOEVENTO="Manual",$M146=$A$15),$M146&gt;(ROW(PLE.lastrow)-ROW(PLE.firstrow))),0,
           IF(OFFSET(PLE!$G$15,$M146-$A$15,CK$13)="",10^12,OFFSET(PLE!$G$15,$M146-$A$15,CK$13)))</f>
        <v>1000000000000</v>
      </c>
      <c r="CL146" s="172">
        <f ca="1">IF(OR($D146&lt;&gt;"Serviço",AND(AUTOEVENTO="Manual",$M146=$A$15),$M146&gt;(ROW(PLE.lastrow)-ROW(PLE.firstrow))),0,
           IF(OFFSET(PLE!$G$15,$M146-$A$15,CL$13)="",10^12,OFFSET(PLE!$G$15,$M146-$A$15,CL$13)))</f>
        <v>1000000000000</v>
      </c>
      <c r="CM146" s="172">
        <f ca="1">IF(OR($D146&lt;&gt;"Serviço",AND(AUTOEVENTO="Manual",$M146=$A$15),$M146&gt;(ROW(PLE.lastrow)-ROW(PLE.firstrow))),0,
           IF(OFFSET(PLE!$G$15,$M146-$A$15,CM$13)="",10^12,OFFSET(PLE!$G$15,$M146-$A$15,CM$13)))</f>
        <v>1000000000000</v>
      </c>
    </row>
    <row r="147" spans="1:91" ht="12.75" x14ac:dyDescent="0.2">
      <c r="A147" s="7">
        <f t="shared" ca="1" si="11"/>
        <v>0</v>
      </c>
      <c r="B147" s="7">
        <f ca="1">OFFSET(ORÇAMENTO!C$15,ROW(B147)-ROW(B$15),0)</f>
        <v>3</v>
      </c>
      <c r="C147" s="7" t="str">
        <f ca="1">OFFSET(ORÇAMENTO!L$15,ROW(C147)-ROW(C$15),0)</f>
        <v>F</v>
      </c>
      <c r="D147" s="116" t="str">
        <f ca="1">OFFSET(ORÇAMENTO!N$15,ROW(D147)-ROW(D$15),0)</f>
        <v>Nível 3</v>
      </c>
      <c r="E147" s="117" t="str">
        <f ca="1">OFFSET(ORÇAMENTO!O$15,ROW(E147)-ROW(E$15),0)</f>
        <v>1.5.5.</v>
      </c>
      <c r="F147" s="163" t="str">
        <f ca="1">OFFSET(ORÇAMENTO!R$15,ROW(F147)-ROW(F$15),0)</f>
        <v>SALA ELÉTRICA E MONOVIA</v>
      </c>
      <c r="G147" s="164" t="str">
        <f ca="1">IF($D147&lt;&gt;"Serviço","",OFFSET(ORÇAMENTO!S$15,ROW(G147)-ROW(G$15),0))</f>
        <v/>
      </c>
      <c r="H147" s="122" cm="1">
        <f t="array" aca="1" ref="H147" ca="1">IF($D147&lt;&gt;"Serviço",0,IF(ACOMPANHAMENTO="BM",ROUND(OFFSET(ORÇAMENTO!AJ$15,ROW(H147)-ROW(H$15),0),15-13*ORÇAMENTO!$AF$7),SUMPRODUCT(($Q$1:$AI$1=1)*ROUND($Q147:$AI147,15-13*ORÇAMENTO!$AF$7))))</f>
        <v>0</v>
      </c>
      <c r="I147" s="468"/>
      <c r="J147" s="640" t="str" cm="1">
        <f t="array" aca="1" ref="J147" ca="1">IF(OR(B147&lt;&gt;"S",CÁLCULO.FrentesPreenchidas=0),"",IF(AND(ACOMPANHAMENTO="PLE",AUTOEVENTO="Manual",OR(H147&gt;0,ORÇAMENTO!AC147="QUANT."),OR(K147="",M147=0,N147="")),"►E",IF(AND(ACOMPANHAMENTO="PLE",ORÇAMENTO!AC147="QUANT."),"►Q",IF(AND(ACOMPANHAMENTO="PLE",H147&lt;&gt;SUMPRODUCT(($Q$1:$AI$1=1)*ROUND(Q147:AI147,15))),"►S",IF(AND(COUNTIF($P$11:$AI$11,"▼")=0,H147&gt;0,I147=""),"◄M","")))))</f>
        <v/>
      </c>
      <c r="K147" s="641"/>
      <c r="L147" s="165" t="s">
        <v>764</v>
      </c>
      <c r="M147" s="166" t="str">
        <f ca="1">IF($D147&lt;&gt;"Serviço","",
          IF(AUTOEVENTO="manual",$A147,
                IF(ISERROR(MATCH($A147,$A$15:OFFSET($A147,-1,0),0)),MAX($M$15:OFFSET(M147,-1,0))+1,
                      INDEX($M$15:OFFSET(M147,-1,0),MATCH($A147,$A$15:OFFSET($A147,-1,0),0)))))</f>
        <v/>
      </c>
      <c r="N147" s="167" t="str">
        <f ca="1">IF($D147&lt;&gt;"Serviço","",
         IF(AUTOEVENTO="Manual",
                IF($A147=0,"&lt;-- defina o número do agrupador",
                       OFFSET(EVENTOS!$D$15,$A147-$A$15,0)),
                OFFSET($F$15,$A147,0)))</f>
        <v/>
      </c>
      <c r="O147" s="168"/>
      <c r="Q147" s="168"/>
      <c r="R147" s="169"/>
      <c r="S147" s="169"/>
      <c r="T147" s="169"/>
      <c r="U147" s="169"/>
      <c r="V147" s="169"/>
      <c r="W147" s="169"/>
      <c r="X147" s="169"/>
      <c r="Y147" s="169"/>
      <c r="Z147" s="170"/>
      <c r="AA147" s="169"/>
      <c r="AB147" s="169"/>
      <c r="AC147" s="169"/>
      <c r="AD147" s="169"/>
      <c r="AE147" s="169"/>
      <c r="AF147" s="169"/>
      <c r="AG147" s="169"/>
      <c r="AH147" s="170"/>
      <c r="AJ147" s="453">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0</v>
      </c>
      <c r="AK147" s="453">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0</v>
      </c>
      <c r="AL147" s="453">
        <f ca="1">IF(AND($D147="Serviço",AL$12&lt;&gt;0,$H147&gt;0,OR(AUTOEVENTO&lt;&gt;"manual",$M147&lt;&gt;$A$15)),
        IF(Import.TipoArredondamento&lt;&gt;"TransfereGOV",
              ROUND(OFFSET($P147,0,AL$13),15-13*ORÇAMENTO!$AF$7)/$H147*OFFSET(ORÇAMENTO!$X$15,ROW(AL147)-ROW(AL$15),0),
              ROUND(ROUND(OFFSET($P147,0,AL$13),15-13*ORÇAMENTO!$AF$7)*OFFSET(ORÇAMENTO!$W$15,ROW(AL147)-ROW(AL$15),0),15-13*ORÇAMENTO!$AF$11)),
         0)</f>
        <v>0</v>
      </c>
      <c r="AM147" s="453">
        <f ca="1">IF(AND($D147="Serviço",AM$12&lt;&gt;0,$H147&gt;0,OR(AUTOEVENTO&lt;&gt;"manual",$M147&lt;&gt;$A$15)),
        IF(Import.TipoArredondamento&lt;&gt;"TransfereGOV",
              ROUND(OFFSET($P147,0,AM$13),15-13*ORÇAMENTO!$AF$7)/$H147*OFFSET(ORÇAMENTO!$X$15,ROW(AM147)-ROW(AM$15),0),
              ROUND(ROUND(OFFSET($P147,0,AM$13),15-13*ORÇAMENTO!$AF$7)*OFFSET(ORÇAMENTO!$W$15,ROW(AM147)-ROW(AM$15),0),15-13*ORÇAMENTO!$AF$11)),
         0)</f>
        <v>0</v>
      </c>
      <c r="AN147" s="453">
        <f ca="1">IF(AND($D147="Serviço",AN$12&lt;&gt;0,$H147&gt;0,OR(AUTOEVENTO&lt;&gt;"manual",$M147&lt;&gt;$A$15)),
        IF(Import.TipoArredondamento&lt;&gt;"TransfereGOV",
              ROUND(OFFSET($P147,0,AN$13),15-13*ORÇAMENTO!$AF$7)/$H147*OFFSET(ORÇAMENTO!$X$15,ROW(AN147)-ROW(AN$15),0),
              ROUND(ROUND(OFFSET($P147,0,AN$13),15-13*ORÇAMENTO!$AF$7)*OFFSET(ORÇAMENTO!$W$15,ROW(AN147)-ROW(AN$15),0),15-13*ORÇAMENTO!$AF$11)),
         0)</f>
        <v>0</v>
      </c>
      <c r="AO147" s="453">
        <f ca="1">IF(AND($D147="Serviço",AO$12&lt;&gt;0,$H147&gt;0,OR(AUTOEVENTO&lt;&gt;"manual",$M147&lt;&gt;$A$15)),
        IF(Import.TipoArredondamento&lt;&gt;"TransfereGOV",
              ROUND(OFFSET($P147,0,AO$13),15-13*ORÇAMENTO!$AF$7)/$H147*OFFSET(ORÇAMENTO!$X$15,ROW(AO147)-ROW(AO$15),0),
              ROUND(ROUND(OFFSET($P147,0,AO$13),15-13*ORÇAMENTO!$AF$7)*OFFSET(ORÇAMENTO!$W$15,ROW(AO147)-ROW(AO$15),0),15-13*ORÇAMENTO!$AF$11)),
         0)</f>
        <v>0</v>
      </c>
      <c r="AP147" s="453">
        <f ca="1">IF(AND($D147="Serviço",AP$12&lt;&gt;0,$H147&gt;0,OR(AUTOEVENTO&lt;&gt;"manual",$M147&lt;&gt;$A$15)),
        IF(Import.TipoArredondamento&lt;&gt;"TransfereGOV",
              ROUND(OFFSET($P147,0,AP$13),15-13*ORÇAMENTO!$AF$7)/$H147*OFFSET(ORÇAMENTO!$X$15,ROW(AP147)-ROW(AP$15),0),
              ROUND(ROUND(OFFSET($P147,0,AP$13),15-13*ORÇAMENTO!$AF$7)*OFFSET(ORÇAMENTO!$W$15,ROW(AP147)-ROW(AP$15),0),15-13*ORÇAMENTO!$AF$11)),
         0)</f>
        <v>0</v>
      </c>
      <c r="AQ147" s="453">
        <f ca="1">IF(AND($D147="Serviço",AQ$12&lt;&gt;0,$H147&gt;0,OR(AUTOEVENTO&lt;&gt;"manual",$M147&lt;&gt;$A$15)),
        IF(Import.TipoArredondamento&lt;&gt;"TransfereGOV",
              ROUND(OFFSET($P147,0,AQ$13),15-13*ORÇAMENTO!$AF$7)/$H147*OFFSET(ORÇAMENTO!$X$15,ROW(AQ147)-ROW(AQ$15),0),
              ROUND(ROUND(OFFSET($P147,0,AQ$13),15-13*ORÇAMENTO!$AF$7)*OFFSET(ORÇAMENTO!$W$15,ROW(AQ147)-ROW(AQ$15),0),15-13*ORÇAMENTO!$AF$11)),
         0)</f>
        <v>0</v>
      </c>
      <c r="AR147" s="453">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3">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3">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3">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3">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3">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3">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3">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3">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3">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C147" s="171">
        <f ca="1">IF(OR($D147&lt;&gt;"Serviço",AND(AUTOEVENTO="Manual",$M147=$A$15)),0,
         IF(OFFSET(CRONOPLE!$F$15,$M147-$A$15,BC$13)=0,10^12,OFFSET(CRONOPLE!$F$15,$M147-$A$15,BC$13)))</f>
        <v>0</v>
      </c>
      <c r="BD147" s="171">
        <f ca="1">IF(OR($D147&lt;&gt;"Serviço",AND(AUTOEVENTO="Manual",$M147=$A$15)),0,
         IF(OFFSET(CRONOPLE!$F$15,$M147-$A$15,BD$13)=0,10^12,OFFSET(CRONOPLE!$F$15,$M147-$A$15,BD$13)))</f>
        <v>0</v>
      </c>
      <c r="BE147" s="171">
        <f ca="1">IF(OR($D147&lt;&gt;"Serviço",AND(AUTOEVENTO="Manual",$M147=$A$15)),0,
         IF(OFFSET(CRONOPLE!$F$15,$M147-$A$15,BE$13)=0,10^12,OFFSET(CRONOPLE!$F$15,$M147-$A$15,BE$13)))</f>
        <v>0</v>
      </c>
      <c r="BF147" s="171">
        <f ca="1">IF(OR($D147&lt;&gt;"Serviço",AND(AUTOEVENTO="Manual",$M147=$A$15)),0,
         IF(OFFSET(CRONOPLE!$F$15,$M147-$A$15,BF$13)=0,10^12,OFFSET(CRONOPLE!$F$15,$M147-$A$15,BF$13)))</f>
        <v>0</v>
      </c>
      <c r="BG147" s="171">
        <f ca="1">IF(OR($D147&lt;&gt;"Serviço",AND(AUTOEVENTO="Manual",$M147=$A$15)),0,
         IF(OFFSET(CRONOPLE!$F$15,$M147-$A$15,BG$13)=0,10^12,OFFSET(CRONOPLE!$F$15,$M147-$A$15,BG$13)))</f>
        <v>0</v>
      </c>
      <c r="BH147" s="171">
        <f ca="1">IF(OR($D147&lt;&gt;"Serviço",AND(AUTOEVENTO="Manual",$M147=$A$15)),0,
         IF(OFFSET(CRONOPLE!$F$15,$M147-$A$15,BH$13)=0,10^12,OFFSET(CRONOPLE!$F$15,$M147-$A$15,BH$13)))</f>
        <v>0</v>
      </c>
      <c r="BI147" s="171">
        <f ca="1">IF(OR($D147&lt;&gt;"Serviço",AND(AUTOEVENTO="Manual",$M147=$A$15)),0,
         IF(OFFSET(CRONOPLE!$F$15,$M147-$A$15,BI$13)=0,10^12,OFFSET(CRONOPLE!$F$15,$M147-$A$15,BI$13)))</f>
        <v>0</v>
      </c>
      <c r="BJ147" s="171">
        <f ca="1">IF(OR($D147&lt;&gt;"Serviço",AND(AUTOEVENTO="Manual",$M147=$A$15)),0,
         IF(OFFSET(CRONOPLE!$F$15,$M147-$A$15,BJ$13)=0,10^12,OFFSET(CRONOPLE!$F$15,$M147-$A$15,BJ$13)))</f>
        <v>0</v>
      </c>
      <c r="BK147" s="171">
        <f ca="1">IF(OR($D147&lt;&gt;"Serviço",AND(AUTOEVENTO="Manual",$M147=$A$15)),0,
         IF(OFFSET(CRONOPLE!$F$15,$M147-$A$15,BK$13)=0,10^12,OFFSET(CRONOPLE!$F$15,$M147-$A$15,BK$13)))</f>
        <v>0</v>
      </c>
      <c r="BL147" s="171">
        <f ca="1">IF(OR($D147&lt;&gt;"Serviço",AND(AUTOEVENTO="Manual",$M147=$A$15)),0,
         IF(OFFSET(CRONOPLE!$F$15,$M147-$A$15,BL$13)=0,10^12,OFFSET(CRONOPLE!$F$15,$M147-$A$15,BL$13)))</f>
        <v>0</v>
      </c>
      <c r="BM147" s="171">
        <f ca="1">IF(OR($D147&lt;&gt;"Serviço",AND(AUTOEVENTO="Manual",$M147=$A$15)),0,
         IF(OFFSET(CRONOPLE!$F$15,$M147-$A$15,BM$13)=0,10^12,OFFSET(CRONOPLE!$F$15,$M147-$A$15,BM$13)))</f>
        <v>0</v>
      </c>
      <c r="BN147" s="171">
        <f ca="1">IF(OR($D147&lt;&gt;"Serviço",AND(AUTOEVENTO="Manual",$M147=$A$15)),0,
         IF(OFFSET(CRONOPLE!$F$15,$M147-$A$15,BN$13)=0,10^12,OFFSET(CRONOPLE!$F$15,$M147-$A$15,BN$13)))</f>
        <v>0</v>
      </c>
      <c r="BO147" s="171">
        <f ca="1">IF(OR($D147&lt;&gt;"Serviço",AND(AUTOEVENTO="Manual",$M147=$A$15)),0,
         IF(OFFSET(CRONOPLE!$F$15,$M147-$A$15,BO$13)=0,10^12,OFFSET(CRONOPLE!$F$15,$M147-$A$15,BO$13)))</f>
        <v>0</v>
      </c>
      <c r="BP147" s="171">
        <f ca="1">IF(OR($D147&lt;&gt;"Serviço",AND(AUTOEVENTO="Manual",$M147=$A$15)),0,
         IF(OFFSET(CRONOPLE!$F$15,$M147-$A$15,BP$13)=0,10^12,OFFSET(CRONOPLE!$F$15,$M147-$A$15,BP$13)))</f>
        <v>0</v>
      </c>
      <c r="BQ147" s="171">
        <f ca="1">IF(OR($D147&lt;&gt;"Serviço",AND(AUTOEVENTO="Manual",$M147=$A$15)),0,
         IF(OFFSET(CRONOPLE!$F$15,$M147-$A$15,BQ$13)=0,10^12,OFFSET(CRONOPLE!$F$15,$M147-$A$15,BQ$13)))</f>
        <v>0</v>
      </c>
      <c r="BR147" s="171">
        <f ca="1">IF(OR($D147&lt;&gt;"Serviço",AND(AUTOEVENTO="Manual",$M147=$A$15)),0,
         IF(OFFSET(CRONOPLE!$F$15,$M147-$A$15,BR$13)=0,10^12,OFFSET(CRONOPLE!$F$15,$M147-$A$15,BR$13)))</f>
        <v>0</v>
      </c>
      <c r="BS147" s="171">
        <f ca="1">IF(OR($D147&lt;&gt;"Serviço",AND(AUTOEVENTO="Manual",$M147=$A$15)),0,
         IF(OFFSET(CRONOPLE!$F$15,$M147-$A$15,BS$13)=0,10^12,OFFSET(CRONOPLE!$F$15,$M147-$A$15,BS$13)))</f>
        <v>0</v>
      </c>
      <c r="BT147" s="171">
        <f ca="1">IF(OR($D147&lt;&gt;"Serviço",AND(AUTOEVENTO="Manual",$M147=$A$15)),0,
         IF(OFFSET(CRONOPLE!$F$15,$M147-$A$15,BT$13)=0,10^12,OFFSET(CRONOPLE!$F$15,$M147-$A$15,BT$13)))</f>
        <v>0</v>
      </c>
      <c r="BV147" s="172">
        <f ca="1">IF(OR($D147&lt;&gt;"Serviço",AND(AUTOEVENTO="Manual",$M147=$A$15),$M147&gt;(ROW(PLE.lastrow)-ROW(PLE.firstrow))),0,
           IF(OFFSET(PLE!$G$15,$M147-$A$15,BV$13)="",10^12,OFFSET(PLE!$G$15,$M147-$A$15,BV$13)))</f>
        <v>0</v>
      </c>
      <c r="BW147" s="172">
        <f ca="1">IF(OR($D147&lt;&gt;"Serviço",AND(AUTOEVENTO="Manual",$M147=$A$15),$M147&gt;(ROW(PLE.lastrow)-ROW(PLE.firstrow))),0,
           IF(OFFSET(PLE!$G$15,$M147-$A$15,BW$13)="",10^12,OFFSET(PLE!$G$15,$M147-$A$15,BW$13)))</f>
        <v>0</v>
      </c>
      <c r="BX147" s="172">
        <f ca="1">IF(OR($D147&lt;&gt;"Serviço",AND(AUTOEVENTO="Manual",$M147=$A$15),$M147&gt;(ROW(PLE.lastrow)-ROW(PLE.firstrow))),0,
           IF(OFFSET(PLE!$G$15,$M147-$A$15,BX$13)="",10^12,OFFSET(PLE!$G$15,$M147-$A$15,BX$13)))</f>
        <v>0</v>
      </c>
      <c r="BY147" s="172">
        <f ca="1">IF(OR($D147&lt;&gt;"Serviço",AND(AUTOEVENTO="Manual",$M147=$A$15),$M147&gt;(ROW(PLE.lastrow)-ROW(PLE.firstrow))),0,
           IF(OFFSET(PLE!$G$15,$M147-$A$15,BY$13)="",10^12,OFFSET(PLE!$G$15,$M147-$A$15,BY$13)))</f>
        <v>0</v>
      </c>
      <c r="BZ147" s="172">
        <f ca="1">IF(OR($D147&lt;&gt;"Serviço",AND(AUTOEVENTO="Manual",$M147=$A$15),$M147&gt;(ROW(PLE.lastrow)-ROW(PLE.firstrow))),0,
           IF(OFFSET(PLE!$G$15,$M147-$A$15,BZ$13)="",10^12,OFFSET(PLE!$G$15,$M147-$A$15,BZ$13)))</f>
        <v>0</v>
      </c>
      <c r="CA147" s="172">
        <f ca="1">IF(OR($D147&lt;&gt;"Serviço",AND(AUTOEVENTO="Manual",$M147=$A$15),$M147&gt;(ROW(PLE.lastrow)-ROW(PLE.firstrow))),0,
           IF(OFFSET(PLE!$G$15,$M147-$A$15,CA$13)="",10^12,OFFSET(PLE!$G$15,$M147-$A$15,CA$13)))</f>
        <v>0</v>
      </c>
      <c r="CB147" s="172">
        <f ca="1">IF(OR($D147&lt;&gt;"Serviço",AND(AUTOEVENTO="Manual",$M147=$A$15),$M147&gt;(ROW(PLE.lastrow)-ROW(PLE.firstrow))),0,
           IF(OFFSET(PLE!$G$15,$M147-$A$15,CB$13)="",10^12,OFFSET(PLE!$G$15,$M147-$A$15,CB$13)))</f>
        <v>0</v>
      </c>
      <c r="CC147" s="172">
        <f ca="1">IF(OR($D147&lt;&gt;"Serviço",AND(AUTOEVENTO="Manual",$M147=$A$15),$M147&gt;(ROW(PLE.lastrow)-ROW(PLE.firstrow))),0,
           IF(OFFSET(PLE!$G$15,$M147-$A$15,CC$13)="",10^12,OFFSET(PLE!$G$15,$M147-$A$15,CC$13)))</f>
        <v>0</v>
      </c>
      <c r="CD147" s="172">
        <f ca="1">IF(OR($D147&lt;&gt;"Serviço",AND(AUTOEVENTO="Manual",$M147=$A$15),$M147&gt;(ROW(PLE.lastrow)-ROW(PLE.firstrow))),0,
           IF(OFFSET(PLE!$G$15,$M147-$A$15,CD$13)="",10^12,OFFSET(PLE!$G$15,$M147-$A$15,CD$13)))</f>
        <v>0</v>
      </c>
      <c r="CE147" s="172">
        <f ca="1">IF(OR($D147&lt;&gt;"Serviço",AND(AUTOEVENTO="Manual",$M147=$A$15),$M147&gt;(ROW(PLE.lastrow)-ROW(PLE.firstrow))),0,
           IF(OFFSET(PLE!$G$15,$M147-$A$15,CE$13)="",10^12,OFFSET(PLE!$G$15,$M147-$A$15,CE$13)))</f>
        <v>0</v>
      </c>
      <c r="CF147" s="172">
        <f ca="1">IF(OR($D147&lt;&gt;"Serviço",AND(AUTOEVENTO="Manual",$M147=$A$15),$M147&gt;(ROW(PLE.lastrow)-ROW(PLE.firstrow))),0,
           IF(OFFSET(PLE!$G$15,$M147-$A$15,CF$13)="",10^12,OFFSET(PLE!$G$15,$M147-$A$15,CF$13)))</f>
        <v>0</v>
      </c>
      <c r="CG147" s="172">
        <f ca="1">IF(OR($D147&lt;&gt;"Serviço",AND(AUTOEVENTO="Manual",$M147=$A$15),$M147&gt;(ROW(PLE.lastrow)-ROW(PLE.firstrow))),0,
           IF(OFFSET(PLE!$G$15,$M147-$A$15,CG$13)="",10^12,OFFSET(PLE!$G$15,$M147-$A$15,CG$13)))</f>
        <v>0</v>
      </c>
      <c r="CH147" s="172">
        <f ca="1">IF(OR($D147&lt;&gt;"Serviço",AND(AUTOEVENTO="Manual",$M147=$A$15),$M147&gt;(ROW(PLE.lastrow)-ROW(PLE.firstrow))),0,
           IF(OFFSET(PLE!$G$15,$M147-$A$15,CH$13)="",10^12,OFFSET(PLE!$G$15,$M147-$A$15,CH$13)))</f>
        <v>0</v>
      </c>
      <c r="CI147" s="172">
        <f ca="1">IF(OR($D147&lt;&gt;"Serviço",AND(AUTOEVENTO="Manual",$M147=$A$15),$M147&gt;(ROW(PLE.lastrow)-ROW(PLE.firstrow))),0,
           IF(OFFSET(PLE!$G$15,$M147-$A$15,CI$13)="",10^12,OFFSET(PLE!$G$15,$M147-$A$15,CI$13)))</f>
        <v>0</v>
      </c>
      <c r="CJ147" s="172">
        <f ca="1">IF(OR($D147&lt;&gt;"Serviço",AND(AUTOEVENTO="Manual",$M147=$A$15),$M147&gt;(ROW(PLE.lastrow)-ROW(PLE.firstrow))),0,
           IF(OFFSET(PLE!$G$15,$M147-$A$15,CJ$13)="",10^12,OFFSET(PLE!$G$15,$M147-$A$15,CJ$13)))</f>
        <v>0</v>
      </c>
      <c r="CK147" s="172">
        <f ca="1">IF(OR($D147&lt;&gt;"Serviço",AND(AUTOEVENTO="Manual",$M147=$A$15),$M147&gt;(ROW(PLE.lastrow)-ROW(PLE.firstrow))),0,
           IF(OFFSET(PLE!$G$15,$M147-$A$15,CK$13)="",10^12,OFFSET(PLE!$G$15,$M147-$A$15,CK$13)))</f>
        <v>0</v>
      </c>
      <c r="CL147" s="172">
        <f ca="1">IF(OR($D147&lt;&gt;"Serviço",AND(AUTOEVENTO="Manual",$M147=$A$15),$M147&gt;(ROW(PLE.lastrow)-ROW(PLE.firstrow))),0,
           IF(OFFSET(PLE!$G$15,$M147-$A$15,CL$13)="",10^12,OFFSET(PLE!$G$15,$M147-$A$15,CL$13)))</f>
        <v>0</v>
      </c>
      <c r="CM147" s="172">
        <f ca="1">IF(OR($D147&lt;&gt;"Serviço",AND(AUTOEVENTO="Manual",$M147=$A$15),$M147&gt;(ROW(PLE.lastrow)-ROW(PLE.firstrow))),0,
           IF(OFFSET(PLE!$G$15,$M147-$A$15,CM$13)="",10^12,OFFSET(PLE!$G$15,$M147-$A$15,CM$13)))</f>
        <v>0</v>
      </c>
    </row>
    <row r="148" spans="1:91" ht="12.75" x14ac:dyDescent="0.2">
      <c r="A148" s="7">
        <f t="shared" ca="1" si="11"/>
        <v>0</v>
      </c>
      <c r="B148" s="7">
        <f ca="1">OFFSET(ORÇAMENTO!C$15,ROW(B148)-ROW(B$15),0)</f>
        <v>4</v>
      </c>
      <c r="C148" s="7" t="str">
        <f ca="1">OFFSET(ORÇAMENTO!L$15,ROW(C148)-ROW(C$15),0)</f>
        <v>F</v>
      </c>
      <c r="D148" s="116" t="str">
        <f ca="1">OFFSET(ORÇAMENTO!N$15,ROW(D148)-ROW(D$15),0)</f>
        <v>Nível 4</v>
      </c>
      <c r="E148" s="117" t="str">
        <f ca="1">OFFSET(ORÇAMENTO!O$15,ROW(E148)-ROW(E$15),0)</f>
        <v>1.5.5.1.</v>
      </c>
      <c r="F148" s="163" t="str">
        <f ca="1">OFFSET(ORÇAMENTO!R$15,ROW(F148)-ROW(F$15),0)</f>
        <v>ESTACAS</v>
      </c>
      <c r="G148" s="164" t="str">
        <f ca="1">IF($D148&lt;&gt;"Serviço","",OFFSET(ORÇAMENTO!S$15,ROW(G148)-ROW(G$15),0))</f>
        <v/>
      </c>
      <c r="H148" s="122" cm="1">
        <f t="array" aca="1" ref="H148" ca="1">IF($D148&lt;&gt;"Serviço",0,IF(ACOMPANHAMENTO="BM",ROUND(OFFSET(ORÇAMENTO!AJ$15,ROW(H148)-ROW(H$15),0),15-13*ORÇAMENTO!$AF$7),SUMPRODUCT(($Q$1:$AI$1=1)*ROUND($Q148:$AI148,15-13*ORÇAMENTO!$AF$7))))</f>
        <v>0</v>
      </c>
      <c r="I148" s="468"/>
      <c r="J148" s="640" t="str" cm="1">
        <f t="array" aca="1" ref="J148" ca="1">IF(OR(B148&lt;&gt;"S",CÁLCULO.FrentesPreenchidas=0),"",IF(AND(ACOMPANHAMENTO="PLE",AUTOEVENTO="Manual",OR(H148&gt;0,ORÇAMENTO!AC148="QUANT."),OR(K148="",M148=0,N148="")),"►E",IF(AND(ACOMPANHAMENTO="PLE",ORÇAMENTO!AC148="QUANT."),"►Q",IF(AND(ACOMPANHAMENTO="PLE",H148&lt;&gt;SUMPRODUCT(($Q$1:$AI$1=1)*ROUND(Q148:AI148,15))),"►S",IF(AND(COUNTIF($P$11:$AI$11,"▼")=0,H148&gt;0,I148=""),"◄M","")))))</f>
        <v/>
      </c>
      <c r="K148" s="641"/>
      <c r="L148" s="165" t="s">
        <v>764</v>
      </c>
      <c r="M148" s="166" t="str">
        <f ca="1">IF($D148&lt;&gt;"Serviço","",
          IF(AUTOEVENTO="manual",$A148,
                IF(ISERROR(MATCH($A148,$A$15:OFFSET($A148,-1,0),0)),MAX($M$15:OFFSET(M148,-1,0))+1,
                      INDEX($M$15:OFFSET(M148,-1,0),MATCH($A148,$A$15:OFFSET($A148,-1,0),0)))))</f>
        <v/>
      </c>
      <c r="N148" s="167" t="str">
        <f ca="1">IF($D148&lt;&gt;"Serviço","",
         IF(AUTOEVENTO="Manual",
                IF($A148=0,"&lt;-- defina o número do agrupador",
                       OFFSET(EVENTOS!$D$15,$A148-$A$15,0)),
                OFFSET($F$15,$A148,0)))</f>
        <v/>
      </c>
      <c r="O148" s="168"/>
      <c r="Q148" s="168"/>
      <c r="R148" s="169"/>
      <c r="S148" s="169"/>
      <c r="T148" s="169"/>
      <c r="U148" s="169"/>
      <c r="V148" s="169"/>
      <c r="W148" s="169"/>
      <c r="X148" s="169"/>
      <c r="Y148" s="169"/>
      <c r="Z148" s="170"/>
      <c r="AA148" s="169"/>
      <c r="AB148" s="169"/>
      <c r="AC148" s="169"/>
      <c r="AD148" s="169"/>
      <c r="AE148" s="169"/>
      <c r="AF148" s="169"/>
      <c r="AG148" s="169"/>
      <c r="AH148" s="170"/>
      <c r="AJ148" s="453">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0</v>
      </c>
      <c r="AK148" s="453">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0</v>
      </c>
      <c r="AL148" s="453">
        <f ca="1">IF(AND($D148="Serviço",AL$12&lt;&gt;0,$H148&gt;0,OR(AUTOEVENTO&lt;&gt;"manual",$M148&lt;&gt;$A$15)),
        IF(Import.TipoArredondamento&lt;&gt;"TransfereGOV",
              ROUND(OFFSET($P148,0,AL$13),15-13*ORÇAMENTO!$AF$7)/$H148*OFFSET(ORÇAMENTO!$X$15,ROW(AL148)-ROW(AL$15),0),
              ROUND(ROUND(OFFSET($P148,0,AL$13),15-13*ORÇAMENTO!$AF$7)*OFFSET(ORÇAMENTO!$W$15,ROW(AL148)-ROW(AL$15),0),15-13*ORÇAMENTO!$AF$11)),
         0)</f>
        <v>0</v>
      </c>
      <c r="AM148" s="453">
        <f ca="1">IF(AND($D148="Serviço",AM$12&lt;&gt;0,$H148&gt;0,OR(AUTOEVENTO&lt;&gt;"manual",$M148&lt;&gt;$A$15)),
        IF(Import.TipoArredondamento&lt;&gt;"TransfereGOV",
              ROUND(OFFSET($P148,0,AM$13),15-13*ORÇAMENTO!$AF$7)/$H148*OFFSET(ORÇAMENTO!$X$15,ROW(AM148)-ROW(AM$15),0),
              ROUND(ROUND(OFFSET($P148,0,AM$13),15-13*ORÇAMENTO!$AF$7)*OFFSET(ORÇAMENTO!$W$15,ROW(AM148)-ROW(AM$15),0),15-13*ORÇAMENTO!$AF$11)),
         0)</f>
        <v>0</v>
      </c>
      <c r="AN148" s="453">
        <f ca="1">IF(AND($D148="Serviço",AN$12&lt;&gt;0,$H148&gt;0,OR(AUTOEVENTO&lt;&gt;"manual",$M148&lt;&gt;$A$15)),
        IF(Import.TipoArredondamento&lt;&gt;"TransfereGOV",
              ROUND(OFFSET($P148,0,AN$13),15-13*ORÇAMENTO!$AF$7)/$H148*OFFSET(ORÇAMENTO!$X$15,ROW(AN148)-ROW(AN$15),0),
              ROUND(ROUND(OFFSET($P148,0,AN$13),15-13*ORÇAMENTO!$AF$7)*OFFSET(ORÇAMENTO!$W$15,ROW(AN148)-ROW(AN$15),0),15-13*ORÇAMENTO!$AF$11)),
         0)</f>
        <v>0</v>
      </c>
      <c r="AO148" s="453">
        <f ca="1">IF(AND($D148="Serviço",AO$12&lt;&gt;0,$H148&gt;0,OR(AUTOEVENTO&lt;&gt;"manual",$M148&lt;&gt;$A$15)),
        IF(Import.TipoArredondamento&lt;&gt;"TransfereGOV",
              ROUND(OFFSET($P148,0,AO$13),15-13*ORÇAMENTO!$AF$7)/$H148*OFFSET(ORÇAMENTO!$X$15,ROW(AO148)-ROW(AO$15),0),
              ROUND(ROUND(OFFSET($P148,0,AO$13),15-13*ORÇAMENTO!$AF$7)*OFFSET(ORÇAMENTO!$W$15,ROW(AO148)-ROW(AO$15),0),15-13*ORÇAMENTO!$AF$11)),
         0)</f>
        <v>0</v>
      </c>
      <c r="AP148" s="453">
        <f ca="1">IF(AND($D148="Serviço",AP$12&lt;&gt;0,$H148&gt;0,OR(AUTOEVENTO&lt;&gt;"manual",$M148&lt;&gt;$A$15)),
        IF(Import.TipoArredondamento&lt;&gt;"TransfereGOV",
              ROUND(OFFSET($P148,0,AP$13),15-13*ORÇAMENTO!$AF$7)/$H148*OFFSET(ORÇAMENTO!$X$15,ROW(AP148)-ROW(AP$15),0),
              ROUND(ROUND(OFFSET($P148,0,AP$13),15-13*ORÇAMENTO!$AF$7)*OFFSET(ORÇAMENTO!$W$15,ROW(AP148)-ROW(AP$15),0),15-13*ORÇAMENTO!$AF$11)),
         0)</f>
        <v>0</v>
      </c>
      <c r="AQ148" s="453">
        <f ca="1">IF(AND($D148="Serviço",AQ$12&lt;&gt;0,$H148&gt;0,OR(AUTOEVENTO&lt;&gt;"manual",$M148&lt;&gt;$A$15)),
        IF(Import.TipoArredondamento&lt;&gt;"TransfereGOV",
              ROUND(OFFSET($P148,0,AQ$13),15-13*ORÇAMENTO!$AF$7)/$H148*OFFSET(ORÇAMENTO!$X$15,ROW(AQ148)-ROW(AQ$15),0),
              ROUND(ROUND(OFFSET($P148,0,AQ$13),15-13*ORÇAMENTO!$AF$7)*OFFSET(ORÇAMENTO!$W$15,ROW(AQ148)-ROW(AQ$15),0),15-13*ORÇAMENTO!$AF$11)),
         0)</f>
        <v>0</v>
      </c>
      <c r="AR148" s="453">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3">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3">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3">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3">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3">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3">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3">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3">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3">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C148" s="171">
        <f ca="1">IF(OR($D148&lt;&gt;"Serviço",AND(AUTOEVENTO="Manual",$M148=$A$15)),0,
         IF(OFFSET(CRONOPLE!$F$15,$M148-$A$15,BC$13)=0,10^12,OFFSET(CRONOPLE!$F$15,$M148-$A$15,BC$13)))</f>
        <v>0</v>
      </c>
      <c r="BD148" s="171">
        <f ca="1">IF(OR($D148&lt;&gt;"Serviço",AND(AUTOEVENTO="Manual",$M148=$A$15)),0,
         IF(OFFSET(CRONOPLE!$F$15,$M148-$A$15,BD$13)=0,10^12,OFFSET(CRONOPLE!$F$15,$M148-$A$15,BD$13)))</f>
        <v>0</v>
      </c>
      <c r="BE148" s="171">
        <f ca="1">IF(OR($D148&lt;&gt;"Serviço",AND(AUTOEVENTO="Manual",$M148=$A$15)),0,
         IF(OFFSET(CRONOPLE!$F$15,$M148-$A$15,BE$13)=0,10^12,OFFSET(CRONOPLE!$F$15,$M148-$A$15,BE$13)))</f>
        <v>0</v>
      </c>
      <c r="BF148" s="171">
        <f ca="1">IF(OR($D148&lt;&gt;"Serviço",AND(AUTOEVENTO="Manual",$M148=$A$15)),0,
         IF(OFFSET(CRONOPLE!$F$15,$M148-$A$15,BF$13)=0,10^12,OFFSET(CRONOPLE!$F$15,$M148-$A$15,BF$13)))</f>
        <v>0</v>
      </c>
      <c r="BG148" s="171">
        <f ca="1">IF(OR($D148&lt;&gt;"Serviço",AND(AUTOEVENTO="Manual",$M148=$A$15)),0,
         IF(OFFSET(CRONOPLE!$F$15,$M148-$A$15,BG$13)=0,10^12,OFFSET(CRONOPLE!$F$15,$M148-$A$15,BG$13)))</f>
        <v>0</v>
      </c>
      <c r="BH148" s="171">
        <f ca="1">IF(OR($D148&lt;&gt;"Serviço",AND(AUTOEVENTO="Manual",$M148=$A$15)),0,
         IF(OFFSET(CRONOPLE!$F$15,$M148-$A$15,BH$13)=0,10^12,OFFSET(CRONOPLE!$F$15,$M148-$A$15,BH$13)))</f>
        <v>0</v>
      </c>
      <c r="BI148" s="171">
        <f ca="1">IF(OR($D148&lt;&gt;"Serviço",AND(AUTOEVENTO="Manual",$M148=$A$15)),0,
         IF(OFFSET(CRONOPLE!$F$15,$M148-$A$15,BI$13)=0,10^12,OFFSET(CRONOPLE!$F$15,$M148-$A$15,BI$13)))</f>
        <v>0</v>
      </c>
      <c r="BJ148" s="171">
        <f ca="1">IF(OR($D148&lt;&gt;"Serviço",AND(AUTOEVENTO="Manual",$M148=$A$15)),0,
         IF(OFFSET(CRONOPLE!$F$15,$M148-$A$15,BJ$13)=0,10^12,OFFSET(CRONOPLE!$F$15,$M148-$A$15,BJ$13)))</f>
        <v>0</v>
      </c>
      <c r="BK148" s="171">
        <f ca="1">IF(OR($D148&lt;&gt;"Serviço",AND(AUTOEVENTO="Manual",$M148=$A$15)),0,
         IF(OFFSET(CRONOPLE!$F$15,$M148-$A$15,BK$13)=0,10^12,OFFSET(CRONOPLE!$F$15,$M148-$A$15,BK$13)))</f>
        <v>0</v>
      </c>
      <c r="BL148" s="171">
        <f ca="1">IF(OR($D148&lt;&gt;"Serviço",AND(AUTOEVENTO="Manual",$M148=$A$15)),0,
         IF(OFFSET(CRONOPLE!$F$15,$M148-$A$15,BL$13)=0,10^12,OFFSET(CRONOPLE!$F$15,$M148-$A$15,BL$13)))</f>
        <v>0</v>
      </c>
      <c r="BM148" s="171">
        <f ca="1">IF(OR($D148&lt;&gt;"Serviço",AND(AUTOEVENTO="Manual",$M148=$A$15)),0,
         IF(OFFSET(CRONOPLE!$F$15,$M148-$A$15,BM$13)=0,10^12,OFFSET(CRONOPLE!$F$15,$M148-$A$15,BM$13)))</f>
        <v>0</v>
      </c>
      <c r="BN148" s="171">
        <f ca="1">IF(OR($D148&lt;&gt;"Serviço",AND(AUTOEVENTO="Manual",$M148=$A$15)),0,
         IF(OFFSET(CRONOPLE!$F$15,$M148-$A$15,BN$13)=0,10^12,OFFSET(CRONOPLE!$F$15,$M148-$A$15,BN$13)))</f>
        <v>0</v>
      </c>
      <c r="BO148" s="171">
        <f ca="1">IF(OR($D148&lt;&gt;"Serviço",AND(AUTOEVENTO="Manual",$M148=$A$15)),0,
         IF(OFFSET(CRONOPLE!$F$15,$M148-$A$15,BO$13)=0,10^12,OFFSET(CRONOPLE!$F$15,$M148-$A$15,BO$13)))</f>
        <v>0</v>
      </c>
      <c r="BP148" s="171">
        <f ca="1">IF(OR($D148&lt;&gt;"Serviço",AND(AUTOEVENTO="Manual",$M148=$A$15)),0,
         IF(OFFSET(CRONOPLE!$F$15,$M148-$A$15,BP$13)=0,10^12,OFFSET(CRONOPLE!$F$15,$M148-$A$15,BP$13)))</f>
        <v>0</v>
      </c>
      <c r="BQ148" s="171">
        <f ca="1">IF(OR($D148&lt;&gt;"Serviço",AND(AUTOEVENTO="Manual",$M148=$A$15)),0,
         IF(OFFSET(CRONOPLE!$F$15,$M148-$A$15,BQ$13)=0,10^12,OFFSET(CRONOPLE!$F$15,$M148-$A$15,BQ$13)))</f>
        <v>0</v>
      </c>
      <c r="BR148" s="171">
        <f ca="1">IF(OR($D148&lt;&gt;"Serviço",AND(AUTOEVENTO="Manual",$M148=$A$15)),0,
         IF(OFFSET(CRONOPLE!$F$15,$M148-$A$15,BR$13)=0,10^12,OFFSET(CRONOPLE!$F$15,$M148-$A$15,BR$13)))</f>
        <v>0</v>
      </c>
      <c r="BS148" s="171">
        <f ca="1">IF(OR($D148&lt;&gt;"Serviço",AND(AUTOEVENTO="Manual",$M148=$A$15)),0,
         IF(OFFSET(CRONOPLE!$F$15,$M148-$A$15,BS$13)=0,10^12,OFFSET(CRONOPLE!$F$15,$M148-$A$15,BS$13)))</f>
        <v>0</v>
      </c>
      <c r="BT148" s="171">
        <f ca="1">IF(OR($D148&lt;&gt;"Serviço",AND(AUTOEVENTO="Manual",$M148=$A$15)),0,
         IF(OFFSET(CRONOPLE!$F$15,$M148-$A$15,BT$13)=0,10^12,OFFSET(CRONOPLE!$F$15,$M148-$A$15,BT$13)))</f>
        <v>0</v>
      </c>
      <c r="BV148" s="172">
        <f ca="1">IF(OR($D148&lt;&gt;"Serviço",AND(AUTOEVENTO="Manual",$M148=$A$15),$M148&gt;(ROW(PLE.lastrow)-ROW(PLE.firstrow))),0,
           IF(OFFSET(PLE!$G$15,$M148-$A$15,BV$13)="",10^12,OFFSET(PLE!$G$15,$M148-$A$15,BV$13)))</f>
        <v>0</v>
      </c>
      <c r="BW148" s="172">
        <f ca="1">IF(OR($D148&lt;&gt;"Serviço",AND(AUTOEVENTO="Manual",$M148=$A$15),$M148&gt;(ROW(PLE.lastrow)-ROW(PLE.firstrow))),0,
           IF(OFFSET(PLE!$G$15,$M148-$A$15,BW$13)="",10^12,OFFSET(PLE!$G$15,$M148-$A$15,BW$13)))</f>
        <v>0</v>
      </c>
      <c r="BX148" s="172">
        <f ca="1">IF(OR($D148&lt;&gt;"Serviço",AND(AUTOEVENTO="Manual",$M148=$A$15),$M148&gt;(ROW(PLE.lastrow)-ROW(PLE.firstrow))),0,
           IF(OFFSET(PLE!$G$15,$M148-$A$15,BX$13)="",10^12,OFFSET(PLE!$G$15,$M148-$A$15,BX$13)))</f>
        <v>0</v>
      </c>
      <c r="BY148" s="172">
        <f ca="1">IF(OR($D148&lt;&gt;"Serviço",AND(AUTOEVENTO="Manual",$M148=$A$15),$M148&gt;(ROW(PLE.lastrow)-ROW(PLE.firstrow))),0,
           IF(OFFSET(PLE!$G$15,$M148-$A$15,BY$13)="",10^12,OFFSET(PLE!$G$15,$M148-$A$15,BY$13)))</f>
        <v>0</v>
      </c>
      <c r="BZ148" s="172">
        <f ca="1">IF(OR($D148&lt;&gt;"Serviço",AND(AUTOEVENTO="Manual",$M148=$A$15),$M148&gt;(ROW(PLE.lastrow)-ROW(PLE.firstrow))),0,
           IF(OFFSET(PLE!$G$15,$M148-$A$15,BZ$13)="",10^12,OFFSET(PLE!$G$15,$M148-$A$15,BZ$13)))</f>
        <v>0</v>
      </c>
      <c r="CA148" s="172">
        <f ca="1">IF(OR($D148&lt;&gt;"Serviço",AND(AUTOEVENTO="Manual",$M148=$A$15),$M148&gt;(ROW(PLE.lastrow)-ROW(PLE.firstrow))),0,
           IF(OFFSET(PLE!$G$15,$M148-$A$15,CA$13)="",10^12,OFFSET(PLE!$G$15,$M148-$A$15,CA$13)))</f>
        <v>0</v>
      </c>
      <c r="CB148" s="172">
        <f ca="1">IF(OR($D148&lt;&gt;"Serviço",AND(AUTOEVENTO="Manual",$M148=$A$15),$M148&gt;(ROW(PLE.lastrow)-ROW(PLE.firstrow))),0,
           IF(OFFSET(PLE!$G$15,$M148-$A$15,CB$13)="",10^12,OFFSET(PLE!$G$15,$M148-$A$15,CB$13)))</f>
        <v>0</v>
      </c>
      <c r="CC148" s="172">
        <f ca="1">IF(OR($D148&lt;&gt;"Serviço",AND(AUTOEVENTO="Manual",$M148=$A$15),$M148&gt;(ROW(PLE.lastrow)-ROW(PLE.firstrow))),0,
           IF(OFFSET(PLE!$G$15,$M148-$A$15,CC$13)="",10^12,OFFSET(PLE!$G$15,$M148-$A$15,CC$13)))</f>
        <v>0</v>
      </c>
      <c r="CD148" s="172">
        <f ca="1">IF(OR($D148&lt;&gt;"Serviço",AND(AUTOEVENTO="Manual",$M148=$A$15),$M148&gt;(ROW(PLE.lastrow)-ROW(PLE.firstrow))),0,
           IF(OFFSET(PLE!$G$15,$M148-$A$15,CD$13)="",10^12,OFFSET(PLE!$G$15,$M148-$A$15,CD$13)))</f>
        <v>0</v>
      </c>
      <c r="CE148" s="172">
        <f ca="1">IF(OR($D148&lt;&gt;"Serviço",AND(AUTOEVENTO="Manual",$M148=$A$15),$M148&gt;(ROW(PLE.lastrow)-ROW(PLE.firstrow))),0,
           IF(OFFSET(PLE!$G$15,$M148-$A$15,CE$13)="",10^12,OFFSET(PLE!$G$15,$M148-$A$15,CE$13)))</f>
        <v>0</v>
      </c>
      <c r="CF148" s="172">
        <f ca="1">IF(OR($D148&lt;&gt;"Serviço",AND(AUTOEVENTO="Manual",$M148=$A$15),$M148&gt;(ROW(PLE.lastrow)-ROW(PLE.firstrow))),0,
           IF(OFFSET(PLE!$G$15,$M148-$A$15,CF$13)="",10^12,OFFSET(PLE!$G$15,$M148-$A$15,CF$13)))</f>
        <v>0</v>
      </c>
      <c r="CG148" s="172">
        <f ca="1">IF(OR($D148&lt;&gt;"Serviço",AND(AUTOEVENTO="Manual",$M148=$A$15),$M148&gt;(ROW(PLE.lastrow)-ROW(PLE.firstrow))),0,
           IF(OFFSET(PLE!$G$15,$M148-$A$15,CG$13)="",10^12,OFFSET(PLE!$G$15,$M148-$A$15,CG$13)))</f>
        <v>0</v>
      </c>
      <c r="CH148" s="172">
        <f ca="1">IF(OR($D148&lt;&gt;"Serviço",AND(AUTOEVENTO="Manual",$M148=$A$15),$M148&gt;(ROW(PLE.lastrow)-ROW(PLE.firstrow))),0,
           IF(OFFSET(PLE!$G$15,$M148-$A$15,CH$13)="",10^12,OFFSET(PLE!$G$15,$M148-$A$15,CH$13)))</f>
        <v>0</v>
      </c>
      <c r="CI148" s="172">
        <f ca="1">IF(OR($D148&lt;&gt;"Serviço",AND(AUTOEVENTO="Manual",$M148=$A$15),$M148&gt;(ROW(PLE.lastrow)-ROW(PLE.firstrow))),0,
           IF(OFFSET(PLE!$G$15,$M148-$A$15,CI$13)="",10^12,OFFSET(PLE!$G$15,$M148-$A$15,CI$13)))</f>
        <v>0</v>
      </c>
      <c r="CJ148" s="172">
        <f ca="1">IF(OR($D148&lt;&gt;"Serviço",AND(AUTOEVENTO="Manual",$M148=$A$15),$M148&gt;(ROW(PLE.lastrow)-ROW(PLE.firstrow))),0,
           IF(OFFSET(PLE!$G$15,$M148-$A$15,CJ$13)="",10^12,OFFSET(PLE!$G$15,$M148-$A$15,CJ$13)))</f>
        <v>0</v>
      </c>
      <c r="CK148" s="172">
        <f ca="1">IF(OR($D148&lt;&gt;"Serviço",AND(AUTOEVENTO="Manual",$M148=$A$15),$M148&gt;(ROW(PLE.lastrow)-ROW(PLE.firstrow))),0,
           IF(OFFSET(PLE!$G$15,$M148-$A$15,CK$13)="",10^12,OFFSET(PLE!$G$15,$M148-$A$15,CK$13)))</f>
        <v>0</v>
      </c>
      <c r="CL148" s="172">
        <f ca="1">IF(OR($D148&lt;&gt;"Serviço",AND(AUTOEVENTO="Manual",$M148=$A$15),$M148&gt;(ROW(PLE.lastrow)-ROW(PLE.firstrow))),0,
           IF(OFFSET(PLE!$G$15,$M148-$A$15,CL$13)="",10^12,OFFSET(PLE!$G$15,$M148-$A$15,CL$13)))</f>
        <v>0</v>
      </c>
      <c r="CM148" s="172">
        <f ca="1">IF(OR($D148&lt;&gt;"Serviço",AND(AUTOEVENTO="Manual",$M148=$A$15),$M148&gt;(ROW(PLE.lastrow)-ROW(PLE.firstrow))),0,
           IF(OFFSET(PLE!$G$15,$M148-$A$15,CM$13)="",10^12,OFFSET(PLE!$G$15,$M148-$A$15,CM$13)))</f>
        <v>0</v>
      </c>
    </row>
    <row r="149" spans="1:91" ht="38.25" x14ac:dyDescent="0.2">
      <c r="A149" s="7">
        <f t="shared" ref="A149:A212" ca="1" si="12">IFERROR(IF(AUTOEVENTO="Manual",IF(K149&lt;&gt;"",MIN(VALUE(LEFT(K149,FIND(".",K149)-1)),COUNTA(EVENTOS.Lista)),0),IF(OR($B149&gt;AUTOEVENTO,$B149="S",$B149=0),SUBSTITUTE(OFFSET($A149,-1,0),IF($D149="Serviço",".",""),""),ROW(A149)-ROW($A$15)&amp;".")),0)</f>
        <v>4</v>
      </c>
      <c r="B149" s="7" t="str">
        <f ca="1">OFFSET(ORÇAMENTO!C$15,ROW(B149)-ROW(B$15),0)</f>
        <v>S</v>
      </c>
      <c r="C149" s="7" t="str">
        <f ca="1">OFFSET(ORÇAMENTO!L$15,ROW(C149)-ROW(C$15),0)</f>
        <v>F</v>
      </c>
      <c r="D149" s="116" t="str">
        <f ca="1">OFFSET(ORÇAMENTO!N$15,ROW(D149)-ROW(D$15),0)</f>
        <v>Serviço</v>
      </c>
      <c r="E149" s="117" t="str">
        <f ca="1">OFFSET(ORÇAMENTO!O$15,ROW(E149)-ROW(E$15),0)</f>
        <v>1.5.5.1.1.</v>
      </c>
      <c r="F149" s="163" t="str">
        <f ca="1">OFFSET(ORÇAMENTO!R$15,ROW(F149)-ROW(F$15),0)</f>
        <v>ESTACA BROCA MANUAL D = 30 CM - CONFECÇÃO</v>
      </c>
      <c r="G149" s="164" t="str">
        <f ca="1">IF($D149&lt;&gt;"Serviço","",OFFSET(ORÇAMENTO!S$15,ROW(G149)-ROW(G$15),0))</f>
        <v>M</v>
      </c>
      <c r="H149" s="122" cm="1">
        <f t="array" aca="1" ref="H149" ca="1">IF($D149&lt;&gt;"Serviço",0,IF(ACOMPANHAMENTO="BM",ROUND(OFFSET(ORÇAMENTO!AJ$15,ROW(H149)-ROW(H$15),0),15-13*ORÇAMENTO!$AF$7),SUMPRODUCT(($Q$1:$AI$1=1)*ROUND($Q149:$AI149,15-13*ORÇAMENTO!$AF$7))))</f>
        <v>6.2</v>
      </c>
      <c r="I149" s="468" t="s">
        <v>1336</v>
      </c>
      <c r="J149" s="640" t="str" cm="1">
        <f t="array" aca="1" ref="J149" ca="1">IF(OR(B149&lt;&gt;"S",CÁLCULO.FrentesPreenchidas=0),"",IF(AND(ACOMPANHAMENTO="PLE",AUTOEVENTO="Manual",OR(H149&gt;0,ORÇAMENTO!AC149="QUANT."),OR(K149="",M149=0,N149="")),"►E",IF(AND(ACOMPANHAMENTO="PLE",ORÇAMENTO!AC149="QUANT."),"►Q",IF(AND(ACOMPANHAMENTO="PLE",H149&lt;&gt;SUMPRODUCT(($Q$1:$AI$1=1)*ROUND(Q149:AI149,15))),"►S",IF(AND(COUNTIF($P$11:$AI$11,"▼")=0,H149&gt;0,I149=""),"◄M","")))))</f>
        <v/>
      </c>
      <c r="K149" s="641" t="s">
        <v>1389</v>
      </c>
      <c r="L149" s="165" t="s">
        <v>764</v>
      </c>
      <c r="M149" s="166">
        <f ca="1">IF($D149&lt;&gt;"Serviço","",
          IF(AUTOEVENTO="manual",$A149,
                IF(ISERROR(MATCH($A149,$A$15:OFFSET($A149,-1,0),0)),MAX($M$15:OFFSET(M149,-1,0))+1,
                      INDEX($M$15:OFFSET(M149,-1,0),MATCH($A149,$A$15:OFFSET($A149,-1,0),0)))))</f>
        <v>4</v>
      </c>
      <c r="N149" s="167" t="str">
        <f ca="1">IF($D149&lt;&gt;"Serviço","",
         IF(AUTOEVENTO="Manual",
                IF($A149=0,"&lt;-- defina o número do agrupador",
                       OFFSET(EVENTOS!$D$15,$A149-$A$15,0)),
                OFFSET($F$15,$A149,0)))</f>
        <v>Estruturas de Concreto</v>
      </c>
      <c r="O149" s="168"/>
      <c r="Q149" s="168"/>
      <c r="R149" s="169"/>
      <c r="S149" s="169"/>
      <c r="T149" s="169"/>
      <c r="U149" s="169"/>
      <c r="V149" s="169">
        <f>3.1*2</f>
        <v>6.2</v>
      </c>
      <c r="W149" s="169"/>
      <c r="X149" s="169"/>
      <c r="Y149" s="169"/>
      <c r="Z149" s="170"/>
      <c r="AA149" s="169"/>
      <c r="AB149" s="169"/>
      <c r="AC149" s="169"/>
      <c r="AD149" s="169"/>
      <c r="AE149" s="169"/>
      <c r="AF149" s="169"/>
      <c r="AG149" s="169"/>
      <c r="AH149" s="170"/>
      <c r="AJ149" s="453">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0</v>
      </c>
      <c r="AK149" s="453">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0</v>
      </c>
      <c r="AL149" s="453">
        <f ca="1">IF(AND($D149="Serviço",AL$12&lt;&gt;0,$H149&gt;0,OR(AUTOEVENTO&lt;&gt;"manual",$M149&lt;&gt;$A$15)),
        IF(Import.TipoArredondamento&lt;&gt;"TransfereGOV",
              ROUND(OFFSET($P149,0,AL$13),15-13*ORÇAMENTO!$AF$7)/$H149*OFFSET(ORÇAMENTO!$X$15,ROW(AL149)-ROW(AL$15),0),
              ROUND(ROUND(OFFSET($P149,0,AL$13),15-13*ORÇAMENTO!$AF$7)*OFFSET(ORÇAMENTO!$W$15,ROW(AL149)-ROW(AL$15),0),15-13*ORÇAMENTO!$AF$11)),
         0)</f>
        <v>0</v>
      </c>
      <c r="AM149" s="453">
        <f ca="1">IF(AND($D149="Serviço",AM$12&lt;&gt;0,$H149&gt;0,OR(AUTOEVENTO&lt;&gt;"manual",$M149&lt;&gt;$A$15)),
        IF(Import.TipoArredondamento&lt;&gt;"TransfereGOV",
              ROUND(OFFSET($P149,0,AM$13),15-13*ORÇAMENTO!$AF$7)/$H149*OFFSET(ORÇAMENTO!$X$15,ROW(AM149)-ROW(AM$15),0),
              ROUND(ROUND(OFFSET($P149,0,AM$13),15-13*ORÇAMENTO!$AF$7)*OFFSET(ORÇAMENTO!$W$15,ROW(AM149)-ROW(AM$15),0),15-13*ORÇAMENTO!$AF$11)),
         0)</f>
        <v>0</v>
      </c>
      <c r="AN149" s="453">
        <f ca="1">IF(AND($D149="Serviço",AN$12&lt;&gt;0,$H149&gt;0,OR(AUTOEVENTO&lt;&gt;"manual",$M149&lt;&gt;$A$15)),
        IF(Import.TipoArredondamento&lt;&gt;"TransfereGOV",
              ROUND(OFFSET($P149,0,AN$13),15-13*ORÇAMENTO!$AF$7)/$H149*OFFSET(ORÇAMENTO!$X$15,ROW(AN149)-ROW(AN$15),0),
              ROUND(ROUND(OFFSET($P149,0,AN$13),15-13*ORÇAMENTO!$AF$7)*OFFSET(ORÇAMENTO!$W$15,ROW(AN149)-ROW(AN$15),0),15-13*ORÇAMENTO!$AF$11)),
         0)</f>
        <v>0</v>
      </c>
      <c r="AO149" s="453">
        <f ca="1">IF(AND($D149="Serviço",AO$12&lt;&gt;0,$H149&gt;0,OR(AUTOEVENTO&lt;&gt;"manual",$M149&lt;&gt;$A$15)),
        IF(Import.TipoArredondamento&lt;&gt;"TransfereGOV",
              ROUND(OFFSET($P149,0,AO$13),15-13*ORÇAMENTO!$AF$7)/$H149*OFFSET(ORÇAMENTO!$X$15,ROW(AO149)-ROW(AO$15),0),
              ROUND(ROUND(OFFSET($P149,0,AO$13),15-13*ORÇAMENTO!$AF$7)*OFFSET(ORÇAMENTO!$W$15,ROW(AO149)-ROW(AO$15),0),15-13*ORÇAMENTO!$AF$11)),
         0)</f>
        <v>0</v>
      </c>
      <c r="AP149" s="453">
        <f ca="1">IF(AND($D149="Serviço",AP$12&lt;&gt;0,$H149&gt;0,OR(AUTOEVENTO&lt;&gt;"manual",$M149&lt;&gt;$A$15)),
        IF(Import.TipoArredondamento&lt;&gt;"TransfereGOV",
              ROUND(OFFSET($P149,0,AP$13),15-13*ORÇAMENTO!$AF$7)/$H149*OFFSET(ORÇAMENTO!$X$15,ROW(AP149)-ROW(AP$15),0),
              ROUND(ROUND(OFFSET($P149,0,AP$13),15-13*ORÇAMENTO!$AF$7)*OFFSET(ORÇAMENTO!$W$15,ROW(AP149)-ROW(AP$15),0),15-13*ORÇAMENTO!$AF$11)),
         0)</f>
        <v>0</v>
      </c>
      <c r="AQ149" s="453">
        <f ca="1">IF(AND($D149="Serviço",AQ$12&lt;&gt;0,$H149&gt;0,OR(AUTOEVENTO&lt;&gt;"manual",$M149&lt;&gt;$A$15)),
        IF(Import.TipoArredondamento&lt;&gt;"TransfereGOV",
              ROUND(OFFSET($P149,0,AQ$13),15-13*ORÇAMENTO!$AF$7)/$H149*OFFSET(ORÇAMENTO!$X$15,ROW(AQ149)-ROW(AQ$15),0),
              ROUND(ROUND(OFFSET($P149,0,AQ$13),15-13*ORÇAMENTO!$AF$7)*OFFSET(ORÇAMENTO!$W$15,ROW(AQ149)-ROW(AQ$15),0),15-13*ORÇAMENTO!$AF$11)),
         0)</f>
        <v>0</v>
      </c>
      <c r="AR149" s="453">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3">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3">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3">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3">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3">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3">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3">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3">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3">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C149" s="171">
        <f ca="1">IF(OR($D149&lt;&gt;"Serviço",AND(AUTOEVENTO="Manual",$M149=$A$15)),0,
         IF(OFFSET(CRONOPLE!$F$15,$M149-$A$15,BC$13)=0,10^12,OFFSET(CRONOPLE!$F$15,$M149-$A$15,BC$13)))</f>
        <v>1</v>
      </c>
      <c r="BD149" s="171">
        <f ca="1">IF(OR($D149&lt;&gt;"Serviço",AND(AUTOEVENTO="Manual",$M149=$A$15)),0,
         IF(OFFSET(CRONOPLE!$F$15,$M149-$A$15,BD$13)=0,10^12,OFFSET(CRONOPLE!$F$15,$M149-$A$15,BD$13)))</f>
        <v>2</v>
      </c>
      <c r="BE149" s="171">
        <f ca="1">IF(OR($D149&lt;&gt;"Serviço",AND(AUTOEVENTO="Manual",$M149=$A$15)),0,
         IF(OFFSET(CRONOPLE!$F$15,$M149-$A$15,BE$13)=0,10^12,OFFSET(CRONOPLE!$F$15,$M149-$A$15,BE$13)))</f>
        <v>3</v>
      </c>
      <c r="BF149" s="171">
        <f ca="1">IF(OR($D149&lt;&gt;"Serviço",AND(AUTOEVENTO="Manual",$M149=$A$15)),0,
         IF(OFFSET(CRONOPLE!$F$15,$M149-$A$15,BF$13)=0,10^12,OFFSET(CRONOPLE!$F$15,$M149-$A$15,BF$13)))</f>
        <v>4</v>
      </c>
      <c r="BG149" s="171">
        <f ca="1">IF(OR($D149&lt;&gt;"Serviço",AND(AUTOEVENTO="Manual",$M149=$A$15)),0,
         IF(OFFSET(CRONOPLE!$F$15,$M149-$A$15,BG$13)=0,10^12,OFFSET(CRONOPLE!$F$15,$M149-$A$15,BG$13)))</f>
        <v>5</v>
      </c>
      <c r="BH149" s="171">
        <f ca="1">IF(OR($D149&lt;&gt;"Serviço",AND(AUTOEVENTO="Manual",$M149=$A$15)),0,
         IF(OFFSET(CRONOPLE!$F$15,$M149-$A$15,BH$13)=0,10^12,OFFSET(CRONOPLE!$F$15,$M149-$A$15,BH$13)))</f>
        <v>6</v>
      </c>
      <c r="BI149" s="171">
        <f ca="1">IF(OR($D149&lt;&gt;"Serviço",AND(AUTOEVENTO="Manual",$M149=$A$15)),0,
         IF(OFFSET(CRONOPLE!$F$15,$M149-$A$15,BI$13)=0,10^12,OFFSET(CRONOPLE!$F$15,$M149-$A$15,BI$13)))</f>
        <v>7</v>
      </c>
      <c r="BJ149" s="171">
        <f ca="1">IF(OR($D149&lt;&gt;"Serviço",AND(AUTOEVENTO="Manual",$M149=$A$15)),0,
         IF(OFFSET(CRONOPLE!$F$15,$M149-$A$15,BJ$13)=0,10^12,OFFSET(CRONOPLE!$F$15,$M149-$A$15,BJ$13)))</f>
        <v>8</v>
      </c>
      <c r="BK149" s="171">
        <f ca="1">IF(OR($D149&lt;&gt;"Serviço",AND(AUTOEVENTO="Manual",$M149=$A$15)),0,
         IF(OFFSET(CRONOPLE!$F$15,$M149-$A$15,BK$13)=0,10^12,OFFSET(CRONOPLE!$F$15,$M149-$A$15,BK$13)))</f>
        <v>9</v>
      </c>
      <c r="BL149" s="171">
        <f ca="1">IF(OR($D149&lt;&gt;"Serviço",AND(AUTOEVENTO="Manual",$M149=$A$15)),0,
         IF(OFFSET(CRONOPLE!$F$15,$M149-$A$15,BL$13)=0,10^12,OFFSET(CRONOPLE!$F$15,$M149-$A$15,BL$13)))</f>
        <v>10</v>
      </c>
      <c r="BM149" s="171">
        <f ca="1">IF(OR($D149&lt;&gt;"Serviço",AND(AUTOEVENTO="Manual",$M149=$A$15)),0,
         IF(OFFSET(CRONOPLE!$F$15,$M149-$A$15,BM$13)=0,10^12,OFFSET(CRONOPLE!$F$15,$M149-$A$15,BM$13)))</f>
        <v>1000000000000</v>
      </c>
      <c r="BN149" s="171">
        <f ca="1">IF(OR($D149&lt;&gt;"Serviço",AND(AUTOEVENTO="Manual",$M149=$A$15)),0,
         IF(OFFSET(CRONOPLE!$F$15,$M149-$A$15,BN$13)=0,10^12,OFFSET(CRONOPLE!$F$15,$M149-$A$15,BN$13)))</f>
        <v>1000000000000</v>
      </c>
      <c r="BO149" s="171">
        <f ca="1">IF(OR($D149&lt;&gt;"Serviço",AND(AUTOEVENTO="Manual",$M149=$A$15)),0,
         IF(OFFSET(CRONOPLE!$F$15,$M149-$A$15,BO$13)=0,10^12,OFFSET(CRONOPLE!$F$15,$M149-$A$15,BO$13)))</f>
        <v>1000000000000</v>
      </c>
      <c r="BP149" s="171">
        <f ca="1">IF(OR($D149&lt;&gt;"Serviço",AND(AUTOEVENTO="Manual",$M149=$A$15)),0,
         IF(OFFSET(CRONOPLE!$F$15,$M149-$A$15,BP$13)=0,10^12,OFFSET(CRONOPLE!$F$15,$M149-$A$15,BP$13)))</f>
        <v>1000000000000</v>
      </c>
      <c r="BQ149" s="171">
        <f ca="1">IF(OR($D149&lt;&gt;"Serviço",AND(AUTOEVENTO="Manual",$M149=$A$15)),0,
         IF(OFFSET(CRONOPLE!$F$15,$M149-$A$15,BQ$13)=0,10^12,OFFSET(CRONOPLE!$F$15,$M149-$A$15,BQ$13)))</f>
        <v>1000000000000</v>
      </c>
      <c r="BR149" s="171">
        <f ca="1">IF(OR($D149&lt;&gt;"Serviço",AND(AUTOEVENTO="Manual",$M149=$A$15)),0,
         IF(OFFSET(CRONOPLE!$F$15,$M149-$A$15,BR$13)=0,10^12,OFFSET(CRONOPLE!$F$15,$M149-$A$15,BR$13)))</f>
        <v>1000000000000</v>
      </c>
      <c r="BS149" s="171">
        <f ca="1">IF(OR($D149&lt;&gt;"Serviço",AND(AUTOEVENTO="Manual",$M149=$A$15)),0,
         IF(OFFSET(CRONOPLE!$F$15,$M149-$A$15,BS$13)=0,10^12,OFFSET(CRONOPLE!$F$15,$M149-$A$15,BS$13)))</f>
        <v>1000000000000</v>
      </c>
      <c r="BT149" s="171">
        <f ca="1">IF(OR($D149&lt;&gt;"Serviço",AND(AUTOEVENTO="Manual",$M149=$A$15)),0,
         IF(OFFSET(CRONOPLE!$F$15,$M149-$A$15,BT$13)=0,10^12,OFFSET(CRONOPLE!$F$15,$M149-$A$15,BT$13)))</f>
        <v>1000000000000</v>
      </c>
      <c r="BV149" s="172">
        <f ca="1">IF(OR($D149&lt;&gt;"Serviço",AND(AUTOEVENTO="Manual",$M149=$A$15),$M149&gt;(ROW(PLE.lastrow)-ROW(PLE.firstrow))),0,
           IF(OFFSET(PLE!$G$15,$M149-$A$15,BV$13)="",10^12,OFFSET(PLE!$G$15,$M149-$A$15,BV$13)))</f>
        <v>1000000000000</v>
      </c>
      <c r="BW149" s="172">
        <f ca="1">IF(OR($D149&lt;&gt;"Serviço",AND(AUTOEVENTO="Manual",$M149=$A$15),$M149&gt;(ROW(PLE.lastrow)-ROW(PLE.firstrow))),0,
           IF(OFFSET(PLE!$G$15,$M149-$A$15,BW$13)="",10^12,OFFSET(PLE!$G$15,$M149-$A$15,BW$13)))</f>
        <v>1000000000000</v>
      </c>
      <c r="BX149" s="172">
        <f ca="1">IF(OR($D149&lt;&gt;"Serviço",AND(AUTOEVENTO="Manual",$M149=$A$15),$M149&gt;(ROW(PLE.lastrow)-ROW(PLE.firstrow))),0,
           IF(OFFSET(PLE!$G$15,$M149-$A$15,BX$13)="",10^12,OFFSET(PLE!$G$15,$M149-$A$15,BX$13)))</f>
        <v>1000000000000</v>
      </c>
      <c r="BY149" s="172">
        <f ca="1">IF(OR($D149&lt;&gt;"Serviço",AND(AUTOEVENTO="Manual",$M149=$A$15),$M149&gt;(ROW(PLE.lastrow)-ROW(PLE.firstrow))),0,
           IF(OFFSET(PLE!$G$15,$M149-$A$15,BY$13)="",10^12,OFFSET(PLE!$G$15,$M149-$A$15,BY$13)))</f>
        <v>1000000000000</v>
      </c>
      <c r="BZ149" s="172">
        <f ca="1">IF(OR($D149&lt;&gt;"Serviço",AND(AUTOEVENTO="Manual",$M149=$A$15),$M149&gt;(ROW(PLE.lastrow)-ROW(PLE.firstrow))),0,
           IF(OFFSET(PLE!$G$15,$M149-$A$15,BZ$13)="",10^12,OFFSET(PLE!$G$15,$M149-$A$15,BZ$13)))</f>
        <v>1000000000000</v>
      </c>
      <c r="CA149" s="172">
        <f ca="1">IF(OR($D149&lt;&gt;"Serviço",AND(AUTOEVENTO="Manual",$M149=$A$15),$M149&gt;(ROW(PLE.lastrow)-ROW(PLE.firstrow))),0,
           IF(OFFSET(PLE!$G$15,$M149-$A$15,CA$13)="",10^12,OFFSET(PLE!$G$15,$M149-$A$15,CA$13)))</f>
        <v>1000000000000</v>
      </c>
      <c r="CB149" s="172">
        <f ca="1">IF(OR($D149&lt;&gt;"Serviço",AND(AUTOEVENTO="Manual",$M149=$A$15),$M149&gt;(ROW(PLE.lastrow)-ROW(PLE.firstrow))),0,
           IF(OFFSET(PLE!$G$15,$M149-$A$15,CB$13)="",10^12,OFFSET(PLE!$G$15,$M149-$A$15,CB$13)))</f>
        <v>1000000000000</v>
      </c>
      <c r="CC149" s="172">
        <f ca="1">IF(OR($D149&lt;&gt;"Serviço",AND(AUTOEVENTO="Manual",$M149=$A$15),$M149&gt;(ROW(PLE.lastrow)-ROW(PLE.firstrow))),0,
           IF(OFFSET(PLE!$G$15,$M149-$A$15,CC$13)="",10^12,OFFSET(PLE!$G$15,$M149-$A$15,CC$13)))</f>
        <v>1000000000000</v>
      </c>
      <c r="CD149" s="172">
        <f ca="1">IF(OR($D149&lt;&gt;"Serviço",AND(AUTOEVENTO="Manual",$M149=$A$15),$M149&gt;(ROW(PLE.lastrow)-ROW(PLE.firstrow))),0,
           IF(OFFSET(PLE!$G$15,$M149-$A$15,CD$13)="",10^12,OFFSET(PLE!$G$15,$M149-$A$15,CD$13)))</f>
        <v>1000000000000</v>
      </c>
      <c r="CE149" s="172">
        <f ca="1">IF(OR($D149&lt;&gt;"Serviço",AND(AUTOEVENTO="Manual",$M149=$A$15),$M149&gt;(ROW(PLE.lastrow)-ROW(PLE.firstrow))),0,
           IF(OFFSET(PLE!$G$15,$M149-$A$15,CE$13)="",10^12,OFFSET(PLE!$G$15,$M149-$A$15,CE$13)))</f>
        <v>1000000000000</v>
      </c>
      <c r="CF149" s="172">
        <f ca="1">IF(OR($D149&lt;&gt;"Serviço",AND(AUTOEVENTO="Manual",$M149=$A$15),$M149&gt;(ROW(PLE.lastrow)-ROW(PLE.firstrow))),0,
           IF(OFFSET(PLE!$G$15,$M149-$A$15,CF$13)="",10^12,OFFSET(PLE!$G$15,$M149-$A$15,CF$13)))</f>
        <v>1000000000000</v>
      </c>
      <c r="CG149" s="172">
        <f ca="1">IF(OR($D149&lt;&gt;"Serviço",AND(AUTOEVENTO="Manual",$M149=$A$15),$M149&gt;(ROW(PLE.lastrow)-ROW(PLE.firstrow))),0,
           IF(OFFSET(PLE!$G$15,$M149-$A$15,CG$13)="",10^12,OFFSET(PLE!$G$15,$M149-$A$15,CG$13)))</f>
        <v>1000000000000</v>
      </c>
      <c r="CH149" s="172">
        <f ca="1">IF(OR($D149&lt;&gt;"Serviço",AND(AUTOEVENTO="Manual",$M149=$A$15),$M149&gt;(ROW(PLE.lastrow)-ROW(PLE.firstrow))),0,
           IF(OFFSET(PLE!$G$15,$M149-$A$15,CH$13)="",10^12,OFFSET(PLE!$G$15,$M149-$A$15,CH$13)))</f>
        <v>1000000000000</v>
      </c>
      <c r="CI149" s="172">
        <f ca="1">IF(OR($D149&lt;&gt;"Serviço",AND(AUTOEVENTO="Manual",$M149=$A$15),$M149&gt;(ROW(PLE.lastrow)-ROW(PLE.firstrow))),0,
           IF(OFFSET(PLE!$G$15,$M149-$A$15,CI$13)="",10^12,OFFSET(PLE!$G$15,$M149-$A$15,CI$13)))</f>
        <v>1000000000000</v>
      </c>
      <c r="CJ149" s="172">
        <f ca="1">IF(OR($D149&lt;&gt;"Serviço",AND(AUTOEVENTO="Manual",$M149=$A$15),$M149&gt;(ROW(PLE.lastrow)-ROW(PLE.firstrow))),0,
           IF(OFFSET(PLE!$G$15,$M149-$A$15,CJ$13)="",10^12,OFFSET(PLE!$G$15,$M149-$A$15,CJ$13)))</f>
        <v>1000000000000</v>
      </c>
      <c r="CK149" s="172">
        <f ca="1">IF(OR($D149&lt;&gt;"Serviço",AND(AUTOEVENTO="Manual",$M149=$A$15),$M149&gt;(ROW(PLE.lastrow)-ROW(PLE.firstrow))),0,
           IF(OFFSET(PLE!$G$15,$M149-$A$15,CK$13)="",10^12,OFFSET(PLE!$G$15,$M149-$A$15,CK$13)))</f>
        <v>1000000000000</v>
      </c>
      <c r="CL149" s="172">
        <f ca="1">IF(OR($D149&lt;&gt;"Serviço",AND(AUTOEVENTO="Manual",$M149=$A$15),$M149&gt;(ROW(PLE.lastrow)-ROW(PLE.firstrow))),0,
           IF(OFFSET(PLE!$G$15,$M149-$A$15,CL$13)="",10^12,OFFSET(PLE!$G$15,$M149-$A$15,CL$13)))</f>
        <v>1000000000000</v>
      </c>
      <c r="CM149" s="172">
        <f ca="1">IF(OR($D149&lt;&gt;"Serviço",AND(AUTOEVENTO="Manual",$M149=$A$15),$M149&gt;(ROW(PLE.lastrow)-ROW(PLE.firstrow))),0,
           IF(OFFSET(PLE!$G$15,$M149-$A$15,CM$13)="",10^12,OFFSET(PLE!$G$15,$M149-$A$15,CM$13)))</f>
        <v>1000000000000</v>
      </c>
    </row>
    <row r="150" spans="1:91" ht="25.5" x14ac:dyDescent="0.2">
      <c r="A150" s="7">
        <f t="shared" ca="1" si="12"/>
        <v>4</v>
      </c>
      <c r="B150" s="7" t="str">
        <f ca="1">OFFSET(ORÇAMENTO!C$15,ROW(B150)-ROW(B$15),0)</f>
        <v>S</v>
      </c>
      <c r="C150" s="7" t="str">
        <f ca="1">OFFSET(ORÇAMENTO!L$15,ROW(C150)-ROW(C$15),0)</f>
        <v>F</v>
      </c>
      <c r="D150" s="116" t="str">
        <f ca="1">OFFSET(ORÇAMENTO!N$15,ROW(D150)-ROW(D$15),0)</f>
        <v>Serviço</v>
      </c>
      <c r="E150" s="117" t="str">
        <f ca="1">OFFSET(ORÇAMENTO!O$15,ROW(E150)-ROW(E$15),0)</f>
        <v>1.5.5.1.2.</v>
      </c>
      <c r="F150" s="163" t="str">
        <f ca="1">OFFSET(ORÇAMENTO!R$15,ROW(F150)-ROW(F$15),0)</f>
        <v>ESTACA ESCAVADA COM TRADO MANUAL, D=30CM, INCLUSIVE CONCRETO EXCLUSIVE ARMAÇÃO</v>
      </c>
      <c r="G150" s="164" t="str">
        <f ca="1">IF($D150&lt;&gt;"Serviço","",OFFSET(ORÇAMENTO!S$15,ROW(G150)-ROW(G$15),0))</f>
        <v>M</v>
      </c>
      <c r="H150" s="122" cm="1">
        <f t="array" aca="1" ref="H150" ca="1">IF($D150&lt;&gt;"Serviço",0,IF(ACOMPANHAMENTO="BM",ROUND(OFFSET(ORÇAMENTO!AJ$15,ROW(H150)-ROW(H$15),0),15-13*ORÇAMENTO!$AF$7),SUMPRODUCT(($Q$1:$AI$1=1)*ROUND($Q150:$AI150,15-13*ORÇAMENTO!$AF$7))))</f>
        <v>52.7</v>
      </c>
      <c r="I150" s="468" t="s">
        <v>1337</v>
      </c>
      <c r="J150" s="640" t="str" cm="1">
        <f t="array" aca="1" ref="J150" ca="1">IF(OR(B150&lt;&gt;"S",CÁLCULO.FrentesPreenchidas=0),"",IF(AND(ACOMPANHAMENTO="PLE",AUTOEVENTO="Manual",OR(H150&gt;0,ORÇAMENTO!AC150="QUANT."),OR(K150="",M150=0,N150="")),"►E",IF(AND(ACOMPANHAMENTO="PLE",ORÇAMENTO!AC150="QUANT."),"►Q",IF(AND(ACOMPANHAMENTO="PLE",H150&lt;&gt;SUMPRODUCT(($Q$1:$AI$1=1)*ROUND(Q150:AI150,15))),"►S",IF(AND(COUNTIF($P$11:$AI$11,"▼")=0,H150&gt;0,I150=""),"◄M","")))))</f>
        <v/>
      </c>
      <c r="K150" s="641" t="s">
        <v>1389</v>
      </c>
      <c r="L150" s="165" t="s">
        <v>764</v>
      </c>
      <c r="M150" s="166">
        <f ca="1">IF($D150&lt;&gt;"Serviço","",
          IF(AUTOEVENTO="manual",$A150,
                IF(ISERROR(MATCH($A150,$A$15:OFFSET($A150,-1,0),0)),MAX($M$15:OFFSET(M150,-1,0))+1,
                      INDEX($M$15:OFFSET(M150,-1,0),MATCH($A150,$A$15:OFFSET($A150,-1,0),0)))))</f>
        <v>4</v>
      </c>
      <c r="N150" s="167" t="str">
        <f ca="1">IF($D150&lt;&gt;"Serviço","",
         IF(AUTOEVENTO="Manual",
                IF($A150=0,"&lt;-- defina o número do agrupador",
                       OFFSET(EVENTOS!$D$15,$A150-$A$15,0)),
                OFFSET($F$15,$A150,0)))</f>
        <v>Estruturas de Concreto</v>
      </c>
      <c r="O150" s="168"/>
      <c r="Q150" s="168"/>
      <c r="R150" s="169"/>
      <c r="S150" s="169"/>
      <c r="T150" s="169"/>
      <c r="U150" s="169"/>
      <c r="V150" s="169">
        <f>17*3.1</f>
        <v>52.7</v>
      </c>
      <c r="W150" s="169"/>
      <c r="X150" s="169"/>
      <c r="Y150" s="169"/>
      <c r="Z150" s="170"/>
      <c r="AA150" s="169"/>
      <c r="AB150" s="169"/>
      <c r="AC150" s="169"/>
      <c r="AD150" s="169"/>
      <c r="AE150" s="169"/>
      <c r="AF150" s="169"/>
      <c r="AG150" s="169"/>
      <c r="AH150" s="170"/>
      <c r="AJ150" s="453">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0</v>
      </c>
      <c r="AK150" s="453">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0</v>
      </c>
      <c r="AL150" s="453">
        <f ca="1">IF(AND($D150="Serviço",AL$12&lt;&gt;0,$H150&gt;0,OR(AUTOEVENTO&lt;&gt;"manual",$M150&lt;&gt;$A$15)),
        IF(Import.TipoArredondamento&lt;&gt;"TransfereGOV",
              ROUND(OFFSET($P150,0,AL$13),15-13*ORÇAMENTO!$AF$7)/$H150*OFFSET(ORÇAMENTO!$X$15,ROW(AL150)-ROW(AL$15),0),
              ROUND(ROUND(OFFSET($P150,0,AL$13),15-13*ORÇAMENTO!$AF$7)*OFFSET(ORÇAMENTO!$W$15,ROW(AL150)-ROW(AL$15),0),15-13*ORÇAMENTO!$AF$11)),
         0)</f>
        <v>0</v>
      </c>
      <c r="AM150" s="453">
        <f ca="1">IF(AND($D150="Serviço",AM$12&lt;&gt;0,$H150&gt;0,OR(AUTOEVENTO&lt;&gt;"manual",$M150&lt;&gt;$A$15)),
        IF(Import.TipoArredondamento&lt;&gt;"TransfereGOV",
              ROUND(OFFSET($P150,0,AM$13),15-13*ORÇAMENTO!$AF$7)/$H150*OFFSET(ORÇAMENTO!$X$15,ROW(AM150)-ROW(AM$15),0),
              ROUND(ROUND(OFFSET($P150,0,AM$13),15-13*ORÇAMENTO!$AF$7)*OFFSET(ORÇAMENTO!$W$15,ROW(AM150)-ROW(AM$15),0),15-13*ORÇAMENTO!$AF$11)),
         0)</f>
        <v>0</v>
      </c>
      <c r="AN150" s="453">
        <f ca="1">IF(AND($D150="Serviço",AN$12&lt;&gt;0,$H150&gt;0,OR(AUTOEVENTO&lt;&gt;"manual",$M150&lt;&gt;$A$15)),
        IF(Import.TipoArredondamento&lt;&gt;"TransfereGOV",
              ROUND(OFFSET($P150,0,AN$13),15-13*ORÇAMENTO!$AF$7)/$H150*OFFSET(ORÇAMENTO!$X$15,ROW(AN150)-ROW(AN$15),0),
              ROUND(ROUND(OFFSET($P150,0,AN$13),15-13*ORÇAMENTO!$AF$7)*OFFSET(ORÇAMENTO!$W$15,ROW(AN150)-ROW(AN$15),0),15-13*ORÇAMENTO!$AF$11)),
         0)</f>
        <v>0</v>
      </c>
      <c r="AO150" s="453">
        <f ca="1">IF(AND($D150="Serviço",AO$12&lt;&gt;0,$H150&gt;0,OR(AUTOEVENTO&lt;&gt;"manual",$M150&lt;&gt;$A$15)),
        IF(Import.TipoArredondamento&lt;&gt;"TransfereGOV",
              ROUND(OFFSET($P150,0,AO$13),15-13*ORÇAMENTO!$AF$7)/$H150*OFFSET(ORÇAMENTO!$X$15,ROW(AO150)-ROW(AO$15),0),
              ROUND(ROUND(OFFSET($P150,0,AO$13),15-13*ORÇAMENTO!$AF$7)*OFFSET(ORÇAMENTO!$W$15,ROW(AO150)-ROW(AO$15),0),15-13*ORÇAMENTO!$AF$11)),
         0)</f>
        <v>0</v>
      </c>
      <c r="AP150" s="453">
        <f ca="1">IF(AND($D150="Serviço",AP$12&lt;&gt;0,$H150&gt;0,OR(AUTOEVENTO&lt;&gt;"manual",$M150&lt;&gt;$A$15)),
        IF(Import.TipoArredondamento&lt;&gt;"TransfereGOV",
              ROUND(OFFSET($P150,0,AP$13),15-13*ORÇAMENTO!$AF$7)/$H150*OFFSET(ORÇAMENTO!$X$15,ROW(AP150)-ROW(AP$15),0),
              ROUND(ROUND(OFFSET($P150,0,AP$13),15-13*ORÇAMENTO!$AF$7)*OFFSET(ORÇAMENTO!$W$15,ROW(AP150)-ROW(AP$15),0),15-13*ORÇAMENTO!$AF$11)),
         0)</f>
        <v>0</v>
      </c>
      <c r="AQ150" s="453">
        <f ca="1">IF(AND($D150="Serviço",AQ$12&lt;&gt;0,$H150&gt;0,OR(AUTOEVENTO&lt;&gt;"manual",$M150&lt;&gt;$A$15)),
        IF(Import.TipoArredondamento&lt;&gt;"TransfereGOV",
              ROUND(OFFSET($P150,0,AQ$13),15-13*ORÇAMENTO!$AF$7)/$H150*OFFSET(ORÇAMENTO!$X$15,ROW(AQ150)-ROW(AQ$15),0),
              ROUND(ROUND(OFFSET($P150,0,AQ$13),15-13*ORÇAMENTO!$AF$7)*OFFSET(ORÇAMENTO!$W$15,ROW(AQ150)-ROW(AQ$15),0),15-13*ORÇAMENTO!$AF$11)),
         0)</f>
        <v>0</v>
      </c>
      <c r="AR150" s="453">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3">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3">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3">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3">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3">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3">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3">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3">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3">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C150" s="171">
        <f ca="1">IF(OR($D150&lt;&gt;"Serviço",AND(AUTOEVENTO="Manual",$M150=$A$15)),0,
         IF(OFFSET(CRONOPLE!$F$15,$M150-$A$15,BC$13)=0,10^12,OFFSET(CRONOPLE!$F$15,$M150-$A$15,BC$13)))</f>
        <v>1</v>
      </c>
      <c r="BD150" s="171">
        <f ca="1">IF(OR($D150&lt;&gt;"Serviço",AND(AUTOEVENTO="Manual",$M150=$A$15)),0,
         IF(OFFSET(CRONOPLE!$F$15,$M150-$A$15,BD$13)=0,10^12,OFFSET(CRONOPLE!$F$15,$M150-$A$15,BD$13)))</f>
        <v>2</v>
      </c>
      <c r="BE150" s="171">
        <f ca="1">IF(OR($D150&lt;&gt;"Serviço",AND(AUTOEVENTO="Manual",$M150=$A$15)),0,
         IF(OFFSET(CRONOPLE!$F$15,$M150-$A$15,BE$13)=0,10^12,OFFSET(CRONOPLE!$F$15,$M150-$A$15,BE$13)))</f>
        <v>3</v>
      </c>
      <c r="BF150" s="171">
        <f ca="1">IF(OR($D150&lt;&gt;"Serviço",AND(AUTOEVENTO="Manual",$M150=$A$15)),0,
         IF(OFFSET(CRONOPLE!$F$15,$M150-$A$15,BF$13)=0,10^12,OFFSET(CRONOPLE!$F$15,$M150-$A$15,BF$13)))</f>
        <v>4</v>
      </c>
      <c r="BG150" s="171">
        <f ca="1">IF(OR($D150&lt;&gt;"Serviço",AND(AUTOEVENTO="Manual",$M150=$A$15)),0,
         IF(OFFSET(CRONOPLE!$F$15,$M150-$A$15,BG$13)=0,10^12,OFFSET(CRONOPLE!$F$15,$M150-$A$15,BG$13)))</f>
        <v>5</v>
      </c>
      <c r="BH150" s="171">
        <f ca="1">IF(OR($D150&lt;&gt;"Serviço",AND(AUTOEVENTO="Manual",$M150=$A$15)),0,
         IF(OFFSET(CRONOPLE!$F$15,$M150-$A$15,BH$13)=0,10^12,OFFSET(CRONOPLE!$F$15,$M150-$A$15,BH$13)))</f>
        <v>6</v>
      </c>
      <c r="BI150" s="171">
        <f ca="1">IF(OR($D150&lt;&gt;"Serviço",AND(AUTOEVENTO="Manual",$M150=$A$15)),0,
         IF(OFFSET(CRONOPLE!$F$15,$M150-$A$15,BI$13)=0,10^12,OFFSET(CRONOPLE!$F$15,$M150-$A$15,BI$13)))</f>
        <v>7</v>
      </c>
      <c r="BJ150" s="171">
        <f ca="1">IF(OR($D150&lt;&gt;"Serviço",AND(AUTOEVENTO="Manual",$M150=$A$15)),0,
         IF(OFFSET(CRONOPLE!$F$15,$M150-$A$15,BJ$13)=0,10^12,OFFSET(CRONOPLE!$F$15,$M150-$A$15,BJ$13)))</f>
        <v>8</v>
      </c>
      <c r="BK150" s="171">
        <f ca="1">IF(OR($D150&lt;&gt;"Serviço",AND(AUTOEVENTO="Manual",$M150=$A$15)),0,
         IF(OFFSET(CRONOPLE!$F$15,$M150-$A$15,BK$13)=0,10^12,OFFSET(CRONOPLE!$F$15,$M150-$A$15,BK$13)))</f>
        <v>9</v>
      </c>
      <c r="BL150" s="171">
        <f ca="1">IF(OR($D150&lt;&gt;"Serviço",AND(AUTOEVENTO="Manual",$M150=$A$15)),0,
         IF(OFFSET(CRONOPLE!$F$15,$M150-$A$15,BL$13)=0,10^12,OFFSET(CRONOPLE!$F$15,$M150-$A$15,BL$13)))</f>
        <v>10</v>
      </c>
      <c r="BM150" s="171">
        <f ca="1">IF(OR($D150&lt;&gt;"Serviço",AND(AUTOEVENTO="Manual",$M150=$A$15)),0,
         IF(OFFSET(CRONOPLE!$F$15,$M150-$A$15,BM$13)=0,10^12,OFFSET(CRONOPLE!$F$15,$M150-$A$15,BM$13)))</f>
        <v>1000000000000</v>
      </c>
      <c r="BN150" s="171">
        <f ca="1">IF(OR($D150&lt;&gt;"Serviço",AND(AUTOEVENTO="Manual",$M150=$A$15)),0,
         IF(OFFSET(CRONOPLE!$F$15,$M150-$A$15,BN$13)=0,10^12,OFFSET(CRONOPLE!$F$15,$M150-$A$15,BN$13)))</f>
        <v>1000000000000</v>
      </c>
      <c r="BO150" s="171">
        <f ca="1">IF(OR($D150&lt;&gt;"Serviço",AND(AUTOEVENTO="Manual",$M150=$A$15)),0,
         IF(OFFSET(CRONOPLE!$F$15,$M150-$A$15,BO$13)=0,10^12,OFFSET(CRONOPLE!$F$15,$M150-$A$15,BO$13)))</f>
        <v>1000000000000</v>
      </c>
      <c r="BP150" s="171">
        <f ca="1">IF(OR($D150&lt;&gt;"Serviço",AND(AUTOEVENTO="Manual",$M150=$A$15)),0,
         IF(OFFSET(CRONOPLE!$F$15,$M150-$A$15,BP$13)=0,10^12,OFFSET(CRONOPLE!$F$15,$M150-$A$15,BP$13)))</f>
        <v>1000000000000</v>
      </c>
      <c r="BQ150" s="171">
        <f ca="1">IF(OR($D150&lt;&gt;"Serviço",AND(AUTOEVENTO="Manual",$M150=$A$15)),0,
         IF(OFFSET(CRONOPLE!$F$15,$M150-$A$15,BQ$13)=0,10^12,OFFSET(CRONOPLE!$F$15,$M150-$A$15,BQ$13)))</f>
        <v>1000000000000</v>
      </c>
      <c r="BR150" s="171">
        <f ca="1">IF(OR($D150&lt;&gt;"Serviço",AND(AUTOEVENTO="Manual",$M150=$A$15)),0,
         IF(OFFSET(CRONOPLE!$F$15,$M150-$A$15,BR$13)=0,10^12,OFFSET(CRONOPLE!$F$15,$M150-$A$15,BR$13)))</f>
        <v>1000000000000</v>
      </c>
      <c r="BS150" s="171">
        <f ca="1">IF(OR($D150&lt;&gt;"Serviço",AND(AUTOEVENTO="Manual",$M150=$A$15)),0,
         IF(OFFSET(CRONOPLE!$F$15,$M150-$A$15,BS$13)=0,10^12,OFFSET(CRONOPLE!$F$15,$M150-$A$15,BS$13)))</f>
        <v>1000000000000</v>
      </c>
      <c r="BT150" s="171">
        <f ca="1">IF(OR($D150&lt;&gt;"Serviço",AND(AUTOEVENTO="Manual",$M150=$A$15)),0,
         IF(OFFSET(CRONOPLE!$F$15,$M150-$A$15,BT$13)=0,10^12,OFFSET(CRONOPLE!$F$15,$M150-$A$15,BT$13)))</f>
        <v>1000000000000</v>
      </c>
      <c r="BV150" s="172">
        <f ca="1">IF(OR($D150&lt;&gt;"Serviço",AND(AUTOEVENTO="Manual",$M150=$A$15),$M150&gt;(ROW(PLE.lastrow)-ROW(PLE.firstrow))),0,
           IF(OFFSET(PLE!$G$15,$M150-$A$15,BV$13)="",10^12,OFFSET(PLE!$G$15,$M150-$A$15,BV$13)))</f>
        <v>1000000000000</v>
      </c>
      <c r="BW150" s="172">
        <f ca="1">IF(OR($D150&lt;&gt;"Serviço",AND(AUTOEVENTO="Manual",$M150=$A$15),$M150&gt;(ROW(PLE.lastrow)-ROW(PLE.firstrow))),0,
           IF(OFFSET(PLE!$G$15,$M150-$A$15,BW$13)="",10^12,OFFSET(PLE!$G$15,$M150-$A$15,BW$13)))</f>
        <v>1000000000000</v>
      </c>
      <c r="BX150" s="172">
        <f ca="1">IF(OR($D150&lt;&gt;"Serviço",AND(AUTOEVENTO="Manual",$M150=$A$15),$M150&gt;(ROW(PLE.lastrow)-ROW(PLE.firstrow))),0,
           IF(OFFSET(PLE!$G$15,$M150-$A$15,BX$13)="",10^12,OFFSET(PLE!$G$15,$M150-$A$15,BX$13)))</f>
        <v>1000000000000</v>
      </c>
      <c r="BY150" s="172">
        <f ca="1">IF(OR($D150&lt;&gt;"Serviço",AND(AUTOEVENTO="Manual",$M150=$A$15),$M150&gt;(ROW(PLE.lastrow)-ROW(PLE.firstrow))),0,
           IF(OFFSET(PLE!$G$15,$M150-$A$15,BY$13)="",10^12,OFFSET(PLE!$G$15,$M150-$A$15,BY$13)))</f>
        <v>1000000000000</v>
      </c>
      <c r="BZ150" s="172">
        <f ca="1">IF(OR($D150&lt;&gt;"Serviço",AND(AUTOEVENTO="Manual",$M150=$A$15),$M150&gt;(ROW(PLE.lastrow)-ROW(PLE.firstrow))),0,
           IF(OFFSET(PLE!$G$15,$M150-$A$15,BZ$13)="",10^12,OFFSET(PLE!$G$15,$M150-$A$15,BZ$13)))</f>
        <v>1000000000000</v>
      </c>
      <c r="CA150" s="172">
        <f ca="1">IF(OR($D150&lt;&gt;"Serviço",AND(AUTOEVENTO="Manual",$M150=$A$15),$M150&gt;(ROW(PLE.lastrow)-ROW(PLE.firstrow))),0,
           IF(OFFSET(PLE!$G$15,$M150-$A$15,CA$13)="",10^12,OFFSET(PLE!$G$15,$M150-$A$15,CA$13)))</f>
        <v>1000000000000</v>
      </c>
      <c r="CB150" s="172">
        <f ca="1">IF(OR($D150&lt;&gt;"Serviço",AND(AUTOEVENTO="Manual",$M150=$A$15),$M150&gt;(ROW(PLE.lastrow)-ROW(PLE.firstrow))),0,
           IF(OFFSET(PLE!$G$15,$M150-$A$15,CB$13)="",10^12,OFFSET(PLE!$G$15,$M150-$A$15,CB$13)))</f>
        <v>1000000000000</v>
      </c>
      <c r="CC150" s="172">
        <f ca="1">IF(OR($D150&lt;&gt;"Serviço",AND(AUTOEVENTO="Manual",$M150=$A$15),$M150&gt;(ROW(PLE.lastrow)-ROW(PLE.firstrow))),0,
           IF(OFFSET(PLE!$G$15,$M150-$A$15,CC$13)="",10^12,OFFSET(PLE!$G$15,$M150-$A$15,CC$13)))</f>
        <v>1000000000000</v>
      </c>
      <c r="CD150" s="172">
        <f ca="1">IF(OR($D150&lt;&gt;"Serviço",AND(AUTOEVENTO="Manual",$M150=$A$15),$M150&gt;(ROW(PLE.lastrow)-ROW(PLE.firstrow))),0,
           IF(OFFSET(PLE!$G$15,$M150-$A$15,CD$13)="",10^12,OFFSET(PLE!$G$15,$M150-$A$15,CD$13)))</f>
        <v>1000000000000</v>
      </c>
      <c r="CE150" s="172">
        <f ca="1">IF(OR($D150&lt;&gt;"Serviço",AND(AUTOEVENTO="Manual",$M150=$A$15),$M150&gt;(ROW(PLE.lastrow)-ROW(PLE.firstrow))),0,
           IF(OFFSET(PLE!$G$15,$M150-$A$15,CE$13)="",10^12,OFFSET(PLE!$G$15,$M150-$A$15,CE$13)))</f>
        <v>1000000000000</v>
      </c>
      <c r="CF150" s="172">
        <f ca="1">IF(OR($D150&lt;&gt;"Serviço",AND(AUTOEVENTO="Manual",$M150=$A$15),$M150&gt;(ROW(PLE.lastrow)-ROW(PLE.firstrow))),0,
           IF(OFFSET(PLE!$G$15,$M150-$A$15,CF$13)="",10^12,OFFSET(PLE!$G$15,$M150-$A$15,CF$13)))</f>
        <v>1000000000000</v>
      </c>
      <c r="CG150" s="172">
        <f ca="1">IF(OR($D150&lt;&gt;"Serviço",AND(AUTOEVENTO="Manual",$M150=$A$15),$M150&gt;(ROW(PLE.lastrow)-ROW(PLE.firstrow))),0,
           IF(OFFSET(PLE!$G$15,$M150-$A$15,CG$13)="",10^12,OFFSET(PLE!$G$15,$M150-$A$15,CG$13)))</f>
        <v>1000000000000</v>
      </c>
      <c r="CH150" s="172">
        <f ca="1">IF(OR($D150&lt;&gt;"Serviço",AND(AUTOEVENTO="Manual",$M150=$A$15),$M150&gt;(ROW(PLE.lastrow)-ROW(PLE.firstrow))),0,
           IF(OFFSET(PLE!$G$15,$M150-$A$15,CH$13)="",10^12,OFFSET(PLE!$G$15,$M150-$A$15,CH$13)))</f>
        <v>1000000000000</v>
      </c>
      <c r="CI150" s="172">
        <f ca="1">IF(OR($D150&lt;&gt;"Serviço",AND(AUTOEVENTO="Manual",$M150=$A$15),$M150&gt;(ROW(PLE.lastrow)-ROW(PLE.firstrow))),0,
           IF(OFFSET(PLE!$G$15,$M150-$A$15,CI$13)="",10^12,OFFSET(PLE!$G$15,$M150-$A$15,CI$13)))</f>
        <v>1000000000000</v>
      </c>
      <c r="CJ150" s="172">
        <f ca="1">IF(OR($D150&lt;&gt;"Serviço",AND(AUTOEVENTO="Manual",$M150=$A$15),$M150&gt;(ROW(PLE.lastrow)-ROW(PLE.firstrow))),0,
           IF(OFFSET(PLE!$G$15,$M150-$A$15,CJ$13)="",10^12,OFFSET(PLE!$G$15,$M150-$A$15,CJ$13)))</f>
        <v>1000000000000</v>
      </c>
      <c r="CK150" s="172">
        <f ca="1">IF(OR($D150&lt;&gt;"Serviço",AND(AUTOEVENTO="Manual",$M150=$A$15),$M150&gt;(ROW(PLE.lastrow)-ROW(PLE.firstrow))),0,
           IF(OFFSET(PLE!$G$15,$M150-$A$15,CK$13)="",10^12,OFFSET(PLE!$G$15,$M150-$A$15,CK$13)))</f>
        <v>1000000000000</v>
      </c>
      <c r="CL150" s="172">
        <f ca="1">IF(OR($D150&lt;&gt;"Serviço",AND(AUTOEVENTO="Manual",$M150=$A$15),$M150&gt;(ROW(PLE.lastrow)-ROW(PLE.firstrow))),0,
           IF(OFFSET(PLE!$G$15,$M150-$A$15,CL$13)="",10^12,OFFSET(PLE!$G$15,$M150-$A$15,CL$13)))</f>
        <v>1000000000000</v>
      </c>
      <c r="CM150" s="172">
        <f ca="1">IF(OR($D150&lt;&gt;"Serviço",AND(AUTOEVENTO="Manual",$M150=$A$15),$M150&gt;(ROW(PLE.lastrow)-ROW(PLE.firstrow))),0,
           IF(OFFSET(PLE!$G$15,$M150-$A$15,CM$13)="",10^12,OFFSET(PLE!$G$15,$M150-$A$15,CM$13)))</f>
        <v>1000000000000</v>
      </c>
    </row>
    <row r="151" spans="1:91" ht="63.75" x14ac:dyDescent="0.2">
      <c r="A151" s="7">
        <f t="shared" ca="1" si="12"/>
        <v>4</v>
      </c>
      <c r="B151" s="7" t="str">
        <f ca="1">OFFSET(ORÇAMENTO!C$15,ROW(B151)-ROW(B$15),0)</f>
        <v>S</v>
      </c>
      <c r="C151" s="7" t="str">
        <f ca="1">OFFSET(ORÇAMENTO!L$15,ROW(C151)-ROW(C$15),0)</f>
        <v>F</v>
      </c>
      <c r="D151" s="116" t="str">
        <f ca="1">OFFSET(ORÇAMENTO!N$15,ROW(D151)-ROW(D$15),0)</f>
        <v>Serviço</v>
      </c>
      <c r="E151" s="117" t="str">
        <f ca="1">OFFSET(ORÇAMENTO!O$15,ROW(E151)-ROW(E$15),0)</f>
        <v>1.5.5.1.3.</v>
      </c>
      <c r="F151" s="163" t="str">
        <f ca="1">OFFSET(ORÇAMENTO!R$15,ROW(F151)-ROW(F$15),0)</f>
        <v>CONCRETO FCK = 40MPA, TRAÇO 1:1,6:1,9 (EM MASSA SECA DE CIMENTO/ AREIA MÉDIA/ BRITA 1) - PREPARO MECÂNICO COM BETONEIRA 600 L. AF_05/2021</v>
      </c>
      <c r="G151" s="164" t="str">
        <f ca="1">IF($D151&lt;&gt;"Serviço","",OFFSET(ORÇAMENTO!S$15,ROW(G151)-ROW(G$15),0))</f>
        <v>M3</v>
      </c>
      <c r="H151" s="122" cm="1">
        <f t="array" aca="1" ref="H151" ca="1">IF($D151&lt;&gt;"Serviço",0,IF(ACOMPANHAMENTO="BM",ROUND(OFFSET(ORÇAMENTO!AJ$15,ROW(H151)-ROW(H$15),0),15-13*ORÇAMENTO!$AF$7),SUMPRODUCT(($Q$1:$AI$1=1)*ROUND($Q151:$AI151,15-13*ORÇAMENTO!$AF$7))))</f>
        <v>4.17</v>
      </c>
      <c r="I151" s="468" t="s">
        <v>1423</v>
      </c>
      <c r="J151" s="640" t="str" cm="1">
        <f t="array" aca="1" ref="J151" ca="1">IF(OR(B151&lt;&gt;"S",CÁLCULO.FrentesPreenchidas=0),"",IF(AND(ACOMPANHAMENTO="PLE",AUTOEVENTO="Manual",OR(H151&gt;0,ORÇAMENTO!AC151="QUANT."),OR(K151="",M151=0,N151="")),"►E",IF(AND(ACOMPANHAMENTO="PLE",ORÇAMENTO!AC151="QUANT."),"►Q",IF(AND(ACOMPANHAMENTO="PLE",H151&lt;&gt;SUMPRODUCT(($Q$1:$AI$1=1)*ROUND(Q151:AI151,15))),"►S",IF(AND(COUNTIF($P$11:$AI$11,"▼")=0,H151&gt;0,I151=""),"◄M","")))))</f>
        <v/>
      </c>
      <c r="K151" s="641" t="s">
        <v>1389</v>
      </c>
      <c r="L151" s="165" t="s">
        <v>764</v>
      </c>
      <c r="M151" s="166">
        <f ca="1">IF($D151&lt;&gt;"Serviço","",
          IF(AUTOEVENTO="manual",$A151,
                IF(ISERROR(MATCH($A151,$A$15:OFFSET($A151,-1,0),0)),MAX($M$15:OFFSET(M151,-1,0))+1,
                      INDEX($M$15:OFFSET(M151,-1,0),MATCH($A151,$A$15:OFFSET($A151,-1,0),0)))))</f>
        <v>4</v>
      </c>
      <c r="N151" s="167" t="str">
        <f ca="1">IF($D151&lt;&gt;"Serviço","",
         IF(AUTOEVENTO="Manual",
                IF($A151=0,"&lt;-- defina o número do agrupador",
                       OFFSET(EVENTOS!$D$15,$A151-$A$15,0)),
                OFFSET($F$15,$A151,0)))</f>
        <v>Estruturas de Concreto</v>
      </c>
      <c r="O151" s="168"/>
      <c r="Q151" s="168"/>
      <c r="R151" s="169"/>
      <c r="S151" s="169"/>
      <c r="T151" s="169"/>
      <c r="U151" s="169"/>
      <c r="V151" s="169">
        <f>ROUND(3.605+0.213+0.213+0.425,2)</f>
        <v>4.46</v>
      </c>
      <c r="W151" s="169"/>
      <c r="X151" s="169"/>
      <c r="Y151" s="169"/>
      <c r="Z151" s="170"/>
      <c r="AA151" s="169"/>
      <c r="AB151" s="169"/>
      <c r="AC151" s="169"/>
      <c r="AD151" s="169"/>
      <c r="AE151" s="169"/>
      <c r="AF151" s="169"/>
      <c r="AG151" s="169"/>
      <c r="AH151" s="170"/>
      <c r="AJ151" s="453">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0</v>
      </c>
      <c r="AK151" s="453">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0</v>
      </c>
      <c r="AL151" s="453">
        <f ca="1">IF(AND($D151="Serviço",AL$12&lt;&gt;0,$H151&gt;0,OR(AUTOEVENTO&lt;&gt;"manual",$M151&lt;&gt;$A$15)),
        IF(Import.TipoArredondamento&lt;&gt;"TransfereGOV",
              ROUND(OFFSET($P151,0,AL$13),15-13*ORÇAMENTO!$AF$7)/$H151*OFFSET(ORÇAMENTO!$X$15,ROW(AL151)-ROW(AL$15),0),
              ROUND(ROUND(OFFSET($P151,0,AL$13),15-13*ORÇAMENTO!$AF$7)*OFFSET(ORÇAMENTO!$W$15,ROW(AL151)-ROW(AL$15),0),15-13*ORÇAMENTO!$AF$11)),
         0)</f>
        <v>0</v>
      </c>
      <c r="AM151" s="453">
        <f ca="1">IF(AND($D151="Serviço",AM$12&lt;&gt;0,$H151&gt;0,OR(AUTOEVENTO&lt;&gt;"manual",$M151&lt;&gt;$A$15)),
        IF(Import.TipoArredondamento&lt;&gt;"TransfereGOV",
              ROUND(OFFSET($P151,0,AM$13),15-13*ORÇAMENTO!$AF$7)/$H151*OFFSET(ORÇAMENTO!$X$15,ROW(AM151)-ROW(AM$15),0),
              ROUND(ROUND(OFFSET($P151,0,AM$13),15-13*ORÇAMENTO!$AF$7)*OFFSET(ORÇAMENTO!$W$15,ROW(AM151)-ROW(AM$15),0),15-13*ORÇAMENTO!$AF$11)),
         0)</f>
        <v>0</v>
      </c>
      <c r="AN151" s="453">
        <f ca="1">IF(AND($D151="Serviço",AN$12&lt;&gt;0,$H151&gt;0,OR(AUTOEVENTO&lt;&gt;"manual",$M151&lt;&gt;$A$15)),
        IF(Import.TipoArredondamento&lt;&gt;"TransfereGOV",
              ROUND(OFFSET($P151,0,AN$13),15-13*ORÇAMENTO!$AF$7)/$H151*OFFSET(ORÇAMENTO!$X$15,ROW(AN151)-ROW(AN$15),0),
              ROUND(ROUND(OFFSET($P151,0,AN$13),15-13*ORÇAMENTO!$AF$7)*OFFSET(ORÇAMENTO!$W$15,ROW(AN151)-ROW(AN$15),0),15-13*ORÇAMENTO!$AF$11)),
         0)</f>
        <v>0</v>
      </c>
      <c r="AO151" s="453">
        <f ca="1">IF(AND($D151="Serviço",AO$12&lt;&gt;0,$H151&gt;0,OR(AUTOEVENTO&lt;&gt;"manual",$M151&lt;&gt;$A$15)),
        IF(Import.TipoArredondamento&lt;&gt;"TransfereGOV",
              ROUND(OFFSET($P151,0,AO$13),15-13*ORÇAMENTO!$AF$7)/$H151*OFFSET(ORÇAMENTO!$X$15,ROW(AO151)-ROW(AO$15),0),
              ROUND(ROUND(OFFSET($P151,0,AO$13),15-13*ORÇAMENTO!$AF$7)*OFFSET(ORÇAMENTO!$W$15,ROW(AO151)-ROW(AO$15),0),15-13*ORÇAMENTO!$AF$11)),
         0)</f>
        <v>0</v>
      </c>
      <c r="AP151" s="453">
        <f ca="1">IF(AND($D151="Serviço",AP$12&lt;&gt;0,$H151&gt;0,OR(AUTOEVENTO&lt;&gt;"manual",$M151&lt;&gt;$A$15)),
        IF(Import.TipoArredondamento&lt;&gt;"TransfereGOV",
              ROUND(OFFSET($P151,0,AP$13),15-13*ORÇAMENTO!$AF$7)/$H151*OFFSET(ORÇAMENTO!$X$15,ROW(AP151)-ROW(AP$15),0),
              ROUND(ROUND(OFFSET($P151,0,AP$13),15-13*ORÇAMENTO!$AF$7)*OFFSET(ORÇAMENTO!$W$15,ROW(AP151)-ROW(AP$15),0),15-13*ORÇAMENTO!$AF$11)),
         0)</f>
        <v>0</v>
      </c>
      <c r="AQ151" s="453">
        <f ca="1">IF(AND($D151="Serviço",AQ$12&lt;&gt;0,$H151&gt;0,OR(AUTOEVENTO&lt;&gt;"manual",$M151&lt;&gt;$A$15)),
        IF(Import.TipoArredondamento&lt;&gt;"TransfereGOV",
              ROUND(OFFSET($P151,0,AQ$13),15-13*ORÇAMENTO!$AF$7)/$H151*OFFSET(ORÇAMENTO!$X$15,ROW(AQ151)-ROW(AQ$15),0),
              ROUND(ROUND(OFFSET($P151,0,AQ$13),15-13*ORÇAMENTO!$AF$7)*OFFSET(ORÇAMENTO!$W$15,ROW(AQ151)-ROW(AQ$15),0),15-13*ORÇAMENTO!$AF$11)),
         0)</f>
        <v>0</v>
      </c>
      <c r="AR151" s="453">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3">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3">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3">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3">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3">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3">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3">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3">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3">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C151" s="171">
        <f ca="1">IF(OR($D151&lt;&gt;"Serviço",AND(AUTOEVENTO="Manual",$M151=$A$15)),0,
         IF(OFFSET(CRONOPLE!$F$15,$M151-$A$15,BC$13)=0,10^12,OFFSET(CRONOPLE!$F$15,$M151-$A$15,BC$13)))</f>
        <v>1</v>
      </c>
      <c r="BD151" s="171">
        <f ca="1">IF(OR($D151&lt;&gt;"Serviço",AND(AUTOEVENTO="Manual",$M151=$A$15)),0,
         IF(OFFSET(CRONOPLE!$F$15,$M151-$A$15,BD$13)=0,10^12,OFFSET(CRONOPLE!$F$15,$M151-$A$15,BD$13)))</f>
        <v>2</v>
      </c>
      <c r="BE151" s="171">
        <f ca="1">IF(OR($D151&lt;&gt;"Serviço",AND(AUTOEVENTO="Manual",$M151=$A$15)),0,
         IF(OFFSET(CRONOPLE!$F$15,$M151-$A$15,BE$13)=0,10^12,OFFSET(CRONOPLE!$F$15,$M151-$A$15,BE$13)))</f>
        <v>3</v>
      </c>
      <c r="BF151" s="171">
        <f ca="1">IF(OR($D151&lt;&gt;"Serviço",AND(AUTOEVENTO="Manual",$M151=$A$15)),0,
         IF(OFFSET(CRONOPLE!$F$15,$M151-$A$15,BF$13)=0,10^12,OFFSET(CRONOPLE!$F$15,$M151-$A$15,BF$13)))</f>
        <v>4</v>
      </c>
      <c r="BG151" s="171">
        <f ca="1">IF(OR($D151&lt;&gt;"Serviço",AND(AUTOEVENTO="Manual",$M151=$A$15)),0,
         IF(OFFSET(CRONOPLE!$F$15,$M151-$A$15,BG$13)=0,10^12,OFFSET(CRONOPLE!$F$15,$M151-$A$15,BG$13)))</f>
        <v>5</v>
      </c>
      <c r="BH151" s="171">
        <f ca="1">IF(OR($D151&lt;&gt;"Serviço",AND(AUTOEVENTO="Manual",$M151=$A$15)),0,
         IF(OFFSET(CRONOPLE!$F$15,$M151-$A$15,BH$13)=0,10^12,OFFSET(CRONOPLE!$F$15,$M151-$A$15,BH$13)))</f>
        <v>6</v>
      </c>
      <c r="BI151" s="171">
        <f ca="1">IF(OR($D151&lt;&gt;"Serviço",AND(AUTOEVENTO="Manual",$M151=$A$15)),0,
         IF(OFFSET(CRONOPLE!$F$15,$M151-$A$15,BI$13)=0,10^12,OFFSET(CRONOPLE!$F$15,$M151-$A$15,BI$13)))</f>
        <v>7</v>
      </c>
      <c r="BJ151" s="171">
        <f ca="1">IF(OR($D151&lt;&gt;"Serviço",AND(AUTOEVENTO="Manual",$M151=$A$15)),0,
         IF(OFFSET(CRONOPLE!$F$15,$M151-$A$15,BJ$13)=0,10^12,OFFSET(CRONOPLE!$F$15,$M151-$A$15,BJ$13)))</f>
        <v>8</v>
      </c>
      <c r="BK151" s="171">
        <f ca="1">IF(OR($D151&lt;&gt;"Serviço",AND(AUTOEVENTO="Manual",$M151=$A$15)),0,
         IF(OFFSET(CRONOPLE!$F$15,$M151-$A$15,BK$13)=0,10^12,OFFSET(CRONOPLE!$F$15,$M151-$A$15,BK$13)))</f>
        <v>9</v>
      </c>
      <c r="BL151" s="171">
        <f ca="1">IF(OR($D151&lt;&gt;"Serviço",AND(AUTOEVENTO="Manual",$M151=$A$15)),0,
         IF(OFFSET(CRONOPLE!$F$15,$M151-$A$15,BL$13)=0,10^12,OFFSET(CRONOPLE!$F$15,$M151-$A$15,BL$13)))</f>
        <v>10</v>
      </c>
      <c r="BM151" s="171">
        <f ca="1">IF(OR($D151&lt;&gt;"Serviço",AND(AUTOEVENTO="Manual",$M151=$A$15)),0,
         IF(OFFSET(CRONOPLE!$F$15,$M151-$A$15,BM$13)=0,10^12,OFFSET(CRONOPLE!$F$15,$M151-$A$15,BM$13)))</f>
        <v>1000000000000</v>
      </c>
      <c r="BN151" s="171">
        <f ca="1">IF(OR($D151&lt;&gt;"Serviço",AND(AUTOEVENTO="Manual",$M151=$A$15)),0,
         IF(OFFSET(CRONOPLE!$F$15,$M151-$A$15,BN$13)=0,10^12,OFFSET(CRONOPLE!$F$15,$M151-$A$15,BN$13)))</f>
        <v>1000000000000</v>
      </c>
      <c r="BO151" s="171">
        <f ca="1">IF(OR($D151&lt;&gt;"Serviço",AND(AUTOEVENTO="Manual",$M151=$A$15)),0,
         IF(OFFSET(CRONOPLE!$F$15,$M151-$A$15,BO$13)=0,10^12,OFFSET(CRONOPLE!$F$15,$M151-$A$15,BO$13)))</f>
        <v>1000000000000</v>
      </c>
      <c r="BP151" s="171">
        <f ca="1">IF(OR($D151&lt;&gt;"Serviço",AND(AUTOEVENTO="Manual",$M151=$A$15)),0,
         IF(OFFSET(CRONOPLE!$F$15,$M151-$A$15,BP$13)=0,10^12,OFFSET(CRONOPLE!$F$15,$M151-$A$15,BP$13)))</f>
        <v>1000000000000</v>
      </c>
      <c r="BQ151" s="171">
        <f ca="1">IF(OR($D151&lt;&gt;"Serviço",AND(AUTOEVENTO="Manual",$M151=$A$15)),0,
         IF(OFFSET(CRONOPLE!$F$15,$M151-$A$15,BQ$13)=0,10^12,OFFSET(CRONOPLE!$F$15,$M151-$A$15,BQ$13)))</f>
        <v>1000000000000</v>
      </c>
      <c r="BR151" s="171">
        <f ca="1">IF(OR($D151&lt;&gt;"Serviço",AND(AUTOEVENTO="Manual",$M151=$A$15)),0,
         IF(OFFSET(CRONOPLE!$F$15,$M151-$A$15,BR$13)=0,10^12,OFFSET(CRONOPLE!$F$15,$M151-$A$15,BR$13)))</f>
        <v>1000000000000</v>
      </c>
      <c r="BS151" s="171">
        <f ca="1">IF(OR($D151&lt;&gt;"Serviço",AND(AUTOEVENTO="Manual",$M151=$A$15)),0,
         IF(OFFSET(CRONOPLE!$F$15,$M151-$A$15,BS$13)=0,10^12,OFFSET(CRONOPLE!$F$15,$M151-$A$15,BS$13)))</f>
        <v>1000000000000</v>
      </c>
      <c r="BT151" s="171">
        <f ca="1">IF(OR($D151&lt;&gt;"Serviço",AND(AUTOEVENTO="Manual",$M151=$A$15)),0,
         IF(OFFSET(CRONOPLE!$F$15,$M151-$A$15,BT$13)=0,10^12,OFFSET(CRONOPLE!$F$15,$M151-$A$15,BT$13)))</f>
        <v>1000000000000</v>
      </c>
      <c r="BV151" s="172">
        <f ca="1">IF(OR($D151&lt;&gt;"Serviço",AND(AUTOEVENTO="Manual",$M151=$A$15),$M151&gt;(ROW(PLE.lastrow)-ROW(PLE.firstrow))),0,
           IF(OFFSET(PLE!$G$15,$M151-$A$15,BV$13)="",10^12,OFFSET(PLE!$G$15,$M151-$A$15,BV$13)))</f>
        <v>1000000000000</v>
      </c>
      <c r="BW151" s="172">
        <f ca="1">IF(OR($D151&lt;&gt;"Serviço",AND(AUTOEVENTO="Manual",$M151=$A$15),$M151&gt;(ROW(PLE.lastrow)-ROW(PLE.firstrow))),0,
           IF(OFFSET(PLE!$G$15,$M151-$A$15,BW$13)="",10^12,OFFSET(PLE!$G$15,$M151-$A$15,BW$13)))</f>
        <v>1000000000000</v>
      </c>
      <c r="BX151" s="172">
        <f ca="1">IF(OR($D151&lt;&gt;"Serviço",AND(AUTOEVENTO="Manual",$M151=$A$15),$M151&gt;(ROW(PLE.lastrow)-ROW(PLE.firstrow))),0,
           IF(OFFSET(PLE!$G$15,$M151-$A$15,BX$13)="",10^12,OFFSET(PLE!$G$15,$M151-$A$15,BX$13)))</f>
        <v>1000000000000</v>
      </c>
      <c r="BY151" s="172">
        <f ca="1">IF(OR($D151&lt;&gt;"Serviço",AND(AUTOEVENTO="Manual",$M151=$A$15),$M151&gt;(ROW(PLE.lastrow)-ROW(PLE.firstrow))),0,
           IF(OFFSET(PLE!$G$15,$M151-$A$15,BY$13)="",10^12,OFFSET(PLE!$G$15,$M151-$A$15,BY$13)))</f>
        <v>1000000000000</v>
      </c>
      <c r="BZ151" s="172">
        <f ca="1">IF(OR($D151&lt;&gt;"Serviço",AND(AUTOEVENTO="Manual",$M151=$A$15),$M151&gt;(ROW(PLE.lastrow)-ROW(PLE.firstrow))),0,
           IF(OFFSET(PLE!$G$15,$M151-$A$15,BZ$13)="",10^12,OFFSET(PLE!$G$15,$M151-$A$15,BZ$13)))</f>
        <v>1000000000000</v>
      </c>
      <c r="CA151" s="172">
        <f ca="1">IF(OR($D151&lt;&gt;"Serviço",AND(AUTOEVENTO="Manual",$M151=$A$15),$M151&gt;(ROW(PLE.lastrow)-ROW(PLE.firstrow))),0,
           IF(OFFSET(PLE!$G$15,$M151-$A$15,CA$13)="",10^12,OFFSET(PLE!$G$15,$M151-$A$15,CA$13)))</f>
        <v>1000000000000</v>
      </c>
      <c r="CB151" s="172">
        <f ca="1">IF(OR($D151&lt;&gt;"Serviço",AND(AUTOEVENTO="Manual",$M151=$A$15),$M151&gt;(ROW(PLE.lastrow)-ROW(PLE.firstrow))),0,
           IF(OFFSET(PLE!$G$15,$M151-$A$15,CB$13)="",10^12,OFFSET(PLE!$G$15,$M151-$A$15,CB$13)))</f>
        <v>1000000000000</v>
      </c>
      <c r="CC151" s="172">
        <f ca="1">IF(OR($D151&lt;&gt;"Serviço",AND(AUTOEVENTO="Manual",$M151=$A$15),$M151&gt;(ROW(PLE.lastrow)-ROW(PLE.firstrow))),0,
           IF(OFFSET(PLE!$G$15,$M151-$A$15,CC$13)="",10^12,OFFSET(PLE!$G$15,$M151-$A$15,CC$13)))</f>
        <v>1000000000000</v>
      </c>
      <c r="CD151" s="172">
        <f ca="1">IF(OR($D151&lt;&gt;"Serviço",AND(AUTOEVENTO="Manual",$M151=$A$15),$M151&gt;(ROW(PLE.lastrow)-ROW(PLE.firstrow))),0,
           IF(OFFSET(PLE!$G$15,$M151-$A$15,CD$13)="",10^12,OFFSET(PLE!$G$15,$M151-$A$15,CD$13)))</f>
        <v>1000000000000</v>
      </c>
      <c r="CE151" s="172">
        <f ca="1">IF(OR($D151&lt;&gt;"Serviço",AND(AUTOEVENTO="Manual",$M151=$A$15),$M151&gt;(ROW(PLE.lastrow)-ROW(PLE.firstrow))),0,
           IF(OFFSET(PLE!$G$15,$M151-$A$15,CE$13)="",10^12,OFFSET(PLE!$G$15,$M151-$A$15,CE$13)))</f>
        <v>1000000000000</v>
      </c>
      <c r="CF151" s="172">
        <f ca="1">IF(OR($D151&lt;&gt;"Serviço",AND(AUTOEVENTO="Manual",$M151=$A$15),$M151&gt;(ROW(PLE.lastrow)-ROW(PLE.firstrow))),0,
           IF(OFFSET(PLE!$G$15,$M151-$A$15,CF$13)="",10^12,OFFSET(PLE!$G$15,$M151-$A$15,CF$13)))</f>
        <v>1000000000000</v>
      </c>
      <c r="CG151" s="172">
        <f ca="1">IF(OR($D151&lt;&gt;"Serviço",AND(AUTOEVENTO="Manual",$M151=$A$15),$M151&gt;(ROW(PLE.lastrow)-ROW(PLE.firstrow))),0,
           IF(OFFSET(PLE!$G$15,$M151-$A$15,CG$13)="",10^12,OFFSET(PLE!$G$15,$M151-$A$15,CG$13)))</f>
        <v>1000000000000</v>
      </c>
      <c r="CH151" s="172">
        <f ca="1">IF(OR($D151&lt;&gt;"Serviço",AND(AUTOEVENTO="Manual",$M151=$A$15),$M151&gt;(ROW(PLE.lastrow)-ROW(PLE.firstrow))),0,
           IF(OFFSET(PLE!$G$15,$M151-$A$15,CH$13)="",10^12,OFFSET(PLE!$G$15,$M151-$A$15,CH$13)))</f>
        <v>1000000000000</v>
      </c>
      <c r="CI151" s="172">
        <f ca="1">IF(OR($D151&lt;&gt;"Serviço",AND(AUTOEVENTO="Manual",$M151=$A$15),$M151&gt;(ROW(PLE.lastrow)-ROW(PLE.firstrow))),0,
           IF(OFFSET(PLE!$G$15,$M151-$A$15,CI$13)="",10^12,OFFSET(PLE!$G$15,$M151-$A$15,CI$13)))</f>
        <v>1000000000000</v>
      </c>
      <c r="CJ151" s="172">
        <f ca="1">IF(OR($D151&lt;&gt;"Serviço",AND(AUTOEVENTO="Manual",$M151=$A$15),$M151&gt;(ROW(PLE.lastrow)-ROW(PLE.firstrow))),0,
           IF(OFFSET(PLE!$G$15,$M151-$A$15,CJ$13)="",10^12,OFFSET(PLE!$G$15,$M151-$A$15,CJ$13)))</f>
        <v>1000000000000</v>
      </c>
      <c r="CK151" s="172">
        <f ca="1">IF(OR($D151&lt;&gt;"Serviço",AND(AUTOEVENTO="Manual",$M151=$A$15),$M151&gt;(ROW(PLE.lastrow)-ROW(PLE.firstrow))),0,
           IF(OFFSET(PLE!$G$15,$M151-$A$15,CK$13)="",10^12,OFFSET(PLE!$G$15,$M151-$A$15,CK$13)))</f>
        <v>1000000000000</v>
      </c>
      <c r="CL151" s="172">
        <f ca="1">IF(OR($D151&lt;&gt;"Serviço",AND(AUTOEVENTO="Manual",$M151=$A$15),$M151&gt;(ROW(PLE.lastrow)-ROW(PLE.firstrow))),0,
           IF(OFFSET(PLE!$G$15,$M151-$A$15,CL$13)="",10^12,OFFSET(PLE!$G$15,$M151-$A$15,CL$13)))</f>
        <v>1000000000000</v>
      </c>
      <c r="CM151" s="172">
        <f ca="1">IF(OR($D151&lt;&gt;"Serviço",AND(AUTOEVENTO="Manual",$M151=$A$15),$M151&gt;(ROW(PLE.lastrow)-ROW(PLE.firstrow))),0,
           IF(OFFSET(PLE!$G$15,$M151-$A$15,CM$13)="",10^12,OFFSET(PLE!$G$15,$M151-$A$15,CM$13)))</f>
        <v>1000000000000</v>
      </c>
    </row>
    <row r="152" spans="1:91" ht="63.75" x14ac:dyDescent="0.2">
      <c r="A152" s="7">
        <f t="shared" ca="1" si="12"/>
        <v>4</v>
      </c>
      <c r="B152" s="7" t="str">
        <f ca="1">OFFSET(ORÇAMENTO!C$15,ROW(B152)-ROW(B$15),0)</f>
        <v>S</v>
      </c>
      <c r="C152" s="7" t="str">
        <f ca="1">OFFSET(ORÇAMENTO!L$15,ROW(C152)-ROW(C$15),0)</f>
        <v>F</v>
      </c>
      <c r="D152" s="116" t="str">
        <f ca="1">OFFSET(ORÇAMENTO!N$15,ROW(D152)-ROW(D$15),0)</f>
        <v>Serviço</v>
      </c>
      <c r="E152" s="117" t="str">
        <f ca="1">OFFSET(ORÇAMENTO!O$15,ROW(E152)-ROW(E$15),0)</f>
        <v>1.5.5.1.4.</v>
      </c>
      <c r="F152" s="163" t="str">
        <f ca="1">OFFSET(ORÇAMENTO!R$15,ROW(F152)-ROW(F$15),0)</f>
        <v>LANÇAMENTO COM USO DE BOMBA, ADENSAMENTO E ACABAMENTO DE CONCRETO EM ESTRUTURAS. AF_02/2022</v>
      </c>
      <c r="G152" s="164" t="str">
        <f ca="1">IF($D152&lt;&gt;"Serviço","",OFFSET(ORÇAMENTO!S$15,ROW(G152)-ROW(G$15),0))</f>
        <v>M3</v>
      </c>
      <c r="H152" s="122" cm="1">
        <f t="array" aca="1" ref="H152" ca="1">IF($D152&lt;&gt;"Serviço",0,IF(ACOMPANHAMENTO="BM",ROUND(OFFSET(ORÇAMENTO!AJ$15,ROW(H152)-ROW(H$15),0),15-13*ORÇAMENTO!$AF$7),SUMPRODUCT(($Q$1:$AI$1=1)*ROUND($Q152:$AI152,15-13*ORÇAMENTO!$AF$7))))</f>
        <v>4.17</v>
      </c>
      <c r="I152" s="468" t="s">
        <v>1423</v>
      </c>
      <c r="J152" s="640" t="str" cm="1">
        <f t="array" aca="1" ref="J152" ca="1">IF(OR(B152&lt;&gt;"S",CÁLCULO.FrentesPreenchidas=0),"",IF(AND(ACOMPANHAMENTO="PLE",AUTOEVENTO="Manual",OR(H152&gt;0,ORÇAMENTO!AC152="QUANT."),OR(K152="",M152=0,N152="")),"►E",IF(AND(ACOMPANHAMENTO="PLE",ORÇAMENTO!AC152="QUANT."),"►Q",IF(AND(ACOMPANHAMENTO="PLE",H152&lt;&gt;SUMPRODUCT(($Q$1:$AI$1=1)*ROUND(Q152:AI152,15))),"►S",IF(AND(COUNTIF($P$11:$AI$11,"▼")=0,H152&gt;0,I152=""),"◄M","")))))</f>
        <v/>
      </c>
      <c r="K152" s="641" t="s">
        <v>1389</v>
      </c>
      <c r="L152" s="165" t="s">
        <v>764</v>
      </c>
      <c r="M152" s="166">
        <f ca="1">IF($D152&lt;&gt;"Serviço","",
          IF(AUTOEVENTO="manual",$A152,
                IF(ISERROR(MATCH($A152,$A$15:OFFSET($A152,-1,0),0)),MAX($M$15:OFFSET(M152,-1,0))+1,
                      INDEX($M$15:OFFSET(M152,-1,0),MATCH($A152,$A$15:OFFSET($A152,-1,0),0)))))</f>
        <v>4</v>
      </c>
      <c r="N152" s="167" t="str">
        <f ca="1">IF($D152&lt;&gt;"Serviço","",
         IF(AUTOEVENTO="Manual",
                IF($A152=0,"&lt;-- defina o número do agrupador",
                       OFFSET(EVENTOS!$D$15,$A152-$A$15,0)),
                OFFSET($F$15,$A152,0)))</f>
        <v>Estruturas de Concreto</v>
      </c>
      <c r="O152" s="168"/>
      <c r="Q152" s="168"/>
      <c r="R152" s="169"/>
      <c r="S152" s="169"/>
      <c r="T152" s="169"/>
      <c r="U152" s="169"/>
      <c r="V152" s="169">
        <f>V151</f>
        <v>4.46</v>
      </c>
      <c r="W152" s="169"/>
      <c r="X152" s="169"/>
      <c r="Y152" s="169"/>
      <c r="Z152" s="170"/>
      <c r="AA152" s="169"/>
      <c r="AB152" s="169"/>
      <c r="AC152" s="169"/>
      <c r="AD152" s="169"/>
      <c r="AE152" s="169"/>
      <c r="AF152" s="169"/>
      <c r="AG152" s="169"/>
      <c r="AH152" s="170"/>
      <c r="AJ152" s="453">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3">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L152" s="453">
        <f ca="1">IF(AND($D152="Serviço",AL$12&lt;&gt;0,$H152&gt;0,OR(AUTOEVENTO&lt;&gt;"manual",$M152&lt;&gt;$A$15)),
        IF(Import.TipoArredondamento&lt;&gt;"TransfereGOV",
              ROUND(OFFSET($P152,0,AL$13),15-13*ORÇAMENTO!$AF$7)/$H152*OFFSET(ORÇAMENTO!$X$15,ROW(AL152)-ROW(AL$15),0),
              ROUND(ROUND(OFFSET($P152,0,AL$13),15-13*ORÇAMENTO!$AF$7)*OFFSET(ORÇAMENTO!$W$15,ROW(AL152)-ROW(AL$15),0),15-13*ORÇAMENTO!$AF$11)),
         0)</f>
        <v>0</v>
      </c>
      <c r="AM152" s="453">
        <f ca="1">IF(AND($D152="Serviço",AM$12&lt;&gt;0,$H152&gt;0,OR(AUTOEVENTO&lt;&gt;"manual",$M152&lt;&gt;$A$15)),
        IF(Import.TipoArredondamento&lt;&gt;"TransfereGOV",
              ROUND(OFFSET($P152,0,AM$13),15-13*ORÇAMENTO!$AF$7)/$H152*OFFSET(ORÇAMENTO!$X$15,ROW(AM152)-ROW(AM$15),0),
              ROUND(ROUND(OFFSET($P152,0,AM$13),15-13*ORÇAMENTO!$AF$7)*OFFSET(ORÇAMENTO!$W$15,ROW(AM152)-ROW(AM$15),0),15-13*ORÇAMENTO!$AF$11)),
         0)</f>
        <v>0</v>
      </c>
      <c r="AN152" s="453">
        <f ca="1">IF(AND($D152="Serviço",AN$12&lt;&gt;0,$H152&gt;0,OR(AUTOEVENTO&lt;&gt;"manual",$M152&lt;&gt;$A$15)),
        IF(Import.TipoArredondamento&lt;&gt;"TransfereGOV",
              ROUND(OFFSET($P152,0,AN$13),15-13*ORÇAMENTO!$AF$7)/$H152*OFFSET(ORÇAMENTO!$X$15,ROW(AN152)-ROW(AN$15),0),
              ROUND(ROUND(OFFSET($P152,0,AN$13),15-13*ORÇAMENTO!$AF$7)*OFFSET(ORÇAMENTO!$W$15,ROW(AN152)-ROW(AN$15),0),15-13*ORÇAMENTO!$AF$11)),
         0)</f>
        <v>0</v>
      </c>
      <c r="AO152" s="453">
        <f ca="1">IF(AND($D152="Serviço",AO$12&lt;&gt;0,$H152&gt;0,OR(AUTOEVENTO&lt;&gt;"manual",$M152&lt;&gt;$A$15)),
        IF(Import.TipoArredondamento&lt;&gt;"TransfereGOV",
              ROUND(OFFSET($P152,0,AO$13),15-13*ORÇAMENTO!$AF$7)/$H152*OFFSET(ORÇAMENTO!$X$15,ROW(AO152)-ROW(AO$15),0),
              ROUND(ROUND(OFFSET($P152,0,AO$13),15-13*ORÇAMENTO!$AF$7)*OFFSET(ORÇAMENTO!$W$15,ROW(AO152)-ROW(AO$15),0),15-13*ORÇAMENTO!$AF$11)),
         0)</f>
        <v>0</v>
      </c>
      <c r="AP152" s="453">
        <f ca="1">IF(AND($D152="Serviço",AP$12&lt;&gt;0,$H152&gt;0,OR(AUTOEVENTO&lt;&gt;"manual",$M152&lt;&gt;$A$15)),
        IF(Import.TipoArredondamento&lt;&gt;"TransfereGOV",
              ROUND(OFFSET($P152,0,AP$13),15-13*ORÇAMENTO!$AF$7)/$H152*OFFSET(ORÇAMENTO!$X$15,ROW(AP152)-ROW(AP$15),0),
              ROUND(ROUND(OFFSET($P152,0,AP$13),15-13*ORÇAMENTO!$AF$7)*OFFSET(ORÇAMENTO!$W$15,ROW(AP152)-ROW(AP$15),0),15-13*ORÇAMENTO!$AF$11)),
         0)</f>
        <v>0</v>
      </c>
      <c r="AQ152" s="453">
        <f ca="1">IF(AND($D152="Serviço",AQ$12&lt;&gt;0,$H152&gt;0,OR(AUTOEVENTO&lt;&gt;"manual",$M152&lt;&gt;$A$15)),
        IF(Import.TipoArredondamento&lt;&gt;"TransfereGOV",
              ROUND(OFFSET($P152,0,AQ$13),15-13*ORÇAMENTO!$AF$7)/$H152*OFFSET(ORÇAMENTO!$X$15,ROW(AQ152)-ROW(AQ$15),0),
              ROUND(ROUND(OFFSET($P152,0,AQ$13),15-13*ORÇAMENTO!$AF$7)*OFFSET(ORÇAMENTO!$W$15,ROW(AQ152)-ROW(AQ$15),0),15-13*ORÇAMENTO!$AF$11)),
         0)</f>
        <v>0</v>
      </c>
      <c r="AR152" s="453">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3">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3">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3">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3">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3">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3">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3">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3">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3">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C152" s="171">
        <f ca="1">IF(OR($D152&lt;&gt;"Serviço",AND(AUTOEVENTO="Manual",$M152=$A$15)),0,
         IF(OFFSET(CRONOPLE!$F$15,$M152-$A$15,BC$13)=0,10^12,OFFSET(CRONOPLE!$F$15,$M152-$A$15,BC$13)))</f>
        <v>1</v>
      </c>
      <c r="BD152" s="171">
        <f ca="1">IF(OR($D152&lt;&gt;"Serviço",AND(AUTOEVENTO="Manual",$M152=$A$15)),0,
         IF(OFFSET(CRONOPLE!$F$15,$M152-$A$15,BD$13)=0,10^12,OFFSET(CRONOPLE!$F$15,$M152-$A$15,BD$13)))</f>
        <v>2</v>
      </c>
      <c r="BE152" s="171">
        <f ca="1">IF(OR($D152&lt;&gt;"Serviço",AND(AUTOEVENTO="Manual",$M152=$A$15)),0,
         IF(OFFSET(CRONOPLE!$F$15,$M152-$A$15,BE$13)=0,10^12,OFFSET(CRONOPLE!$F$15,$M152-$A$15,BE$13)))</f>
        <v>3</v>
      </c>
      <c r="BF152" s="171">
        <f ca="1">IF(OR($D152&lt;&gt;"Serviço",AND(AUTOEVENTO="Manual",$M152=$A$15)),0,
         IF(OFFSET(CRONOPLE!$F$15,$M152-$A$15,BF$13)=0,10^12,OFFSET(CRONOPLE!$F$15,$M152-$A$15,BF$13)))</f>
        <v>4</v>
      </c>
      <c r="BG152" s="171">
        <f ca="1">IF(OR($D152&lt;&gt;"Serviço",AND(AUTOEVENTO="Manual",$M152=$A$15)),0,
         IF(OFFSET(CRONOPLE!$F$15,$M152-$A$15,BG$13)=0,10^12,OFFSET(CRONOPLE!$F$15,$M152-$A$15,BG$13)))</f>
        <v>5</v>
      </c>
      <c r="BH152" s="171">
        <f ca="1">IF(OR($D152&lt;&gt;"Serviço",AND(AUTOEVENTO="Manual",$M152=$A$15)),0,
         IF(OFFSET(CRONOPLE!$F$15,$M152-$A$15,BH$13)=0,10^12,OFFSET(CRONOPLE!$F$15,$M152-$A$15,BH$13)))</f>
        <v>6</v>
      </c>
      <c r="BI152" s="171">
        <f ca="1">IF(OR($D152&lt;&gt;"Serviço",AND(AUTOEVENTO="Manual",$M152=$A$15)),0,
         IF(OFFSET(CRONOPLE!$F$15,$M152-$A$15,BI$13)=0,10^12,OFFSET(CRONOPLE!$F$15,$M152-$A$15,BI$13)))</f>
        <v>7</v>
      </c>
      <c r="BJ152" s="171">
        <f ca="1">IF(OR($D152&lt;&gt;"Serviço",AND(AUTOEVENTO="Manual",$M152=$A$15)),0,
         IF(OFFSET(CRONOPLE!$F$15,$M152-$A$15,BJ$13)=0,10^12,OFFSET(CRONOPLE!$F$15,$M152-$A$15,BJ$13)))</f>
        <v>8</v>
      </c>
      <c r="BK152" s="171">
        <f ca="1">IF(OR($D152&lt;&gt;"Serviço",AND(AUTOEVENTO="Manual",$M152=$A$15)),0,
         IF(OFFSET(CRONOPLE!$F$15,$M152-$A$15,BK$13)=0,10^12,OFFSET(CRONOPLE!$F$15,$M152-$A$15,BK$13)))</f>
        <v>9</v>
      </c>
      <c r="BL152" s="171">
        <f ca="1">IF(OR($D152&lt;&gt;"Serviço",AND(AUTOEVENTO="Manual",$M152=$A$15)),0,
         IF(OFFSET(CRONOPLE!$F$15,$M152-$A$15,BL$13)=0,10^12,OFFSET(CRONOPLE!$F$15,$M152-$A$15,BL$13)))</f>
        <v>10</v>
      </c>
      <c r="BM152" s="171">
        <f ca="1">IF(OR($D152&lt;&gt;"Serviço",AND(AUTOEVENTO="Manual",$M152=$A$15)),0,
         IF(OFFSET(CRONOPLE!$F$15,$M152-$A$15,BM$13)=0,10^12,OFFSET(CRONOPLE!$F$15,$M152-$A$15,BM$13)))</f>
        <v>1000000000000</v>
      </c>
      <c r="BN152" s="171">
        <f ca="1">IF(OR($D152&lt;&gt;"Serviço",AND(AUTOEVENTO="Manual",$M152=$A$15)),0,
         IF(OFFSET(CRONOPLE!$F$15,$M152-$A$15,BN$13)=0,10^12,OFFSET(CRONOPLE!$F$15,$M152-$A$15,BN$13)))</f>
        <v>1000000000000</v>
      </c>
      <c r="BO152" s="171">
        <f ca="1">IF(OR($D152&lt;&gt;"Serviço",AND(AUTOEVENTO="Manual",$M152=$A$15)),0,
         IF(OFFSET(CRONOPLE!$F$15,$M152-$A$15,BO$13)=0,10^12,OFFSET(CRONOPLE!$F$15,$M152-$A$15,BO$13)))</f>
        <v>1000000000000</v>
      </c>
      <c r="BP152" s="171">
        <f ca="1">IF(OR($D152&lt;&gt;"Serviço",AND(AUTOEVENTO="Manual",$M152=$A$15)),0,
         IF(OFFSET(CRONOPLE!$F$15,$M152-$A$15,BP$13)=0,10^12,OFFSET(CRONOPLE!$F$15,$M152-$A$15,BP$13)))</f>
        <v>1000000000000</v>
      </c>
      <c r="BQ152" s="171">
        <f ca="1">IF(OR($D152&lt;&gt;"Serviço",AND(AUTOEVENTO="Manual",$M152=$A$15)),0,
         IF(OFFSET(CRONOPLE!$F$15,$M152-$A$15,BQ$13)=0,10^12,OFFSET(CRONOPLE!$F$15,$M152-$A$15,BQ$13)))</f>
        <v>1000000000000</v>
      </c>
      <c r="BR152" s="171">
        <f ca="1">IF(OR($D152&lt;&gt;"Serviço",AND(AUTOEVENTO="Manual",$M152=$A$15)),0,
         IF(OFFSET(CRONOPLE!$F$15,$M152-$A$15,BR$13)=0,10^12,OFFSET(CRONOPLE!$F$15,$M152-$A$15,BR$13)))</f>
        <v>1000000000000</v>
      </c>
      <c r="BS152" s="171">
        <f ca="1">IF(OR($D152&lt;&gt;"Serviço",AND(AUTOEVENTO="Manual",$M152=$A$15)),0,
         IF(OFFSET(CRONOPLE!$F$15,$M152-$A$15,BS$13)=0,10^12,OFFSET(CRONOPLE!$F$15,$M152-$A$15,BS$13)))</f>
        <v>1000000000000</v>
      </c>
      <c r="BT152" s="171">
        <f ca="1">IF(OR($D152&lt;&gt;"Serviço",AND(AUTOEVENTO="Manual",$M152=$A$15)),0,
         IF(OFFSET(CRONOPLE!$F$15,$M152-$A$15,BT$13)=0,10^12,OFFSET(CRONOPLE!$F$15,$M152-$A$15,BT$13)))</f>
        <v>1000000000000</v>
      </c>
      <c r="BV152" s="172">
        <f ca="1">IF(OR($D152&lt;&gt;"Serviço",AND(AUTOEVENTO="Manual",$M152=$A$15),$M152&gt;(ROW(PLE.lastrow)-ROW(PLE.firstrow))),0,
           IF(OFFSET(PLE!$G$15,$M152-$A$15,BV$13)="",10^12,OFFSET(PLE!$G$15,$M152-$A$15,BV$13)))</f>
        <v>1000000000000</v>
      </c>
      <c r="BW152" s="172">
        <f ca="1">IF(OR($D152&lt;&gt;"Serviço",AND(AUTOEVENTO="Manual",$M152=$A$15),$M152&gt;(ROW(PLE.lastrow)-ROW(PLE.firstrow))),0,
           IF(OFFSET(PLE!$G$15,$M152-$A$15,BW$13)="",10^12,OFFSET(PLE!$G$15,$M152-$A$15,BW$13)))</f>
        <v>1000000000000</v>
      </c>
      <c r="BX152" s="172">
        <f ca="1">IF(OR($D152&lt;&gt;"Serviço",AND(AUTOEVENTO="Manual",$M152=$A$15),$M152&gt;(ROW(PLE.lastrow)-ROW(PLE.firstrow))),0,
           IF(OFFSET(PLE!$G$15,$M152-$A$15,BX$13)="",10^12,OFFSET(PLE!$G$15,$M152-$A$15,BX$13)))</f>
        <v>1000000000000</v>
      </c>
      <c r="BY152" s="172">
        <f ca="1">IF(OR($D152&lt;&gt;"Serviço",AND(AUTOEVENTO="Manual",$M152=$A$15),$M152&gt;(ROW(PLE.lastrow)-ROW(PLE.firstrow))),0,
           IF(OFFSET(PLE!$G$15,$M152-$A$15,BY$13)="",10^12,OFFSET(PLE!$G$15,$M152-$A$15,BY$13)))</f>
        <v>1000000000000</v>
      </c>
      <c r="BZ152" s="172">
        <f ca="1">IF(OR($D152&lt;&gt;"Serviço",AND(AUTOEVENTO="Manual",$M152=$A$15),$M152&gt;(ROW(PLE.lastrow)-ROW(PLE.firstrow))),0,
           IF(OFFSET(PLE!$G$15,$M152-$A$15,BZ$13)="",10^12,OFFSET(PLE!$G$15,$M152-$A$15,BZ$13)))</f>
        <v>1000000000000</v>
      </c>
      <c r="CA152" s="172">
        <f ca="1">IF(OR($D152&lt;&gt;"Serviço",AND(AUTOEVENTO="Manual",$M152=$A$15),$M152&gt;(ROW(PLE.lastrow)-ROW(PLE.firstrow))),0,
           IF(OFFSET(PLE!$G$15,$M152-$A$15,CA$13)="",10^12,OFFSET(PLE!$G$15,$M152-$A$15,CA$13)))</f>
        <v>1000000000000</v>
      </c>
      <c r="CB152" s="172">
        <f ca="1">IF(OR($D152&lt;&gt;"Serviço",AND(AUTOEVENTO="Manual",$M152=$A$15),$M152&gt;(ROW(PLE.lastrow)-ROW(PLE.firstrow))),0,
           IF(OFFSET(PLE!$G$15,$M152-$A$15,CB$13)="",10^12,OFFSET(PLE!$G$15,$M152-$A$15,CB$13)))</f>
        <v>1000000000000</v>
      </c>
      <c r="CC152" s="172">
        <f ca="1">IF(OR($D152&lt;&gt;"Serviço",AND(AUTOEVENTO="Manual",$M152=$A$15),$M152&gt;(ROW(PLE.lastrow)-ROW(PLE.firstrow))),0,
           IF(OFFSET(PLE!$G$15,$M152-$A$15,CC$13)="",10^12,OFFSET(PLE!$G$15,$M152-$A$15,CC$13)))</f>
        <v>1000000000000</v>
      </c>
      <c r="CD152" s="172">
        <f ca="1">IF(OR($D152&lt;&gt;"Serviço",AND(AUTOEVENTO="Manual",$M152=$A$15),$M152&gt;(ROW(PLE.lastrow)-ROW(PLE.firstrow))),0,
           IF(OFFSET(PLE!$G$15,$M152-$A$15,CD$13)="",10^12,OFFSET(PLE!$G$15,$M152-$A$15,CD$13)))</f>
        <v>1000000000000</v>
      </c>
      <c r="CE152" s="172">
        <f ca="1">IF(OR($D152&lt;&gt;"Serviço",AND(AUTOEVENTO="Manual",$M152=$A$15),$M152&gt;(ROW(PLE.lastrow)-ROW(PLE.firstrow))),0,
           IF(OFFSET(PLE!$G$15,$M152-$A$15,CE$13)="",10^12,OFFSET(PLE!$G$15,$M152-$A$15,CE$13)))</f>
        <v>1000000000000</v>
      </c>
      <c r="CF152" s="172">
        <f ca="1">IF(OR($D152&lt;&gt;"Serviço",AND(AUTOEVENTO="Manual",$M152=$A$15),$M152&gt;(ROW(PLE.lastrow)-ROW(PLE.firstrow))),0,
           IF(OFFSET(PLE!$G$15,$M152-$A$15,CF$13)="",10^12,OFFSET(PLE!$G$15,$M152-$A$15,CF$13)))</f>
        <v>1000000000000</v>
      </c>
      <c r="CG152" s="172">
        <f ca="1">IF(OR($D152&lt;&gt;"Serviço",AND(AUTOEVENTO="Manual",$M152=$A$15),$M152&gt;(ROW(PLE.lastrow)-ROW(PLE.firstrow))),0,
           IF(OFFSET(PLE!$G$15,$M152-$A$15,CG$13)="",10^12,OFFSET(PLE!$G$15,$M152-$A$15,CG$13)))</f>
        <v>1000000000000</v>
      </c>
      <c r="CH152" s="172">
        <f ca="1">IF(OR($D152&lt;&gt;"Serviço",AND(AUTOEVENTO="Manual",$M152=$A$15),$M152&gt;(ROW(PLE.lastrow)-ROW(PLE.firstrow))),0,
           IF(OFFSET(PLE!$G$15,$M152-$A$15,CH$13)="",10^12,OFFSET(PLE!$G$15,$M152-$A$15,CH$13)))</f>
        <v>1000000000000</v>
      </c>
      <c r="CI152" s="172">
        <f ca="1">IF(OR($D152&lt;&gt;"Serviço",AND(AUTOEVENTO="Manual",$M152=$A$15),$M152&gt;(ROW(PLE.lastrow)-ROW(PLE.firstrow))),0,
           IF(OFFSET(PLE!$G$15,$M152-$A$15,CI$13)="",10^12,OFFSET(PLE!$G$15,$M152-$A$15,CI$13)))</f>
        <v>1000000000000</v>
      </c>
      <c r="CJ152" s="172">
        <f ca="1">IF(OR($D152&lt;&gt;"Serviço",AND(AUTOEVENTO="Manual",$M152=$A$15),$M152&gt;(ROW(PLE.lastrow)-ROW(PLE.firstrow))),0,
           IF(OFFSET(PLE!$G$15,$M152-$A$15,CJ$13)="",10^12,OFFSET(PLE!$G$15,$M152-$A$15,CJ$13)))</f>
        <v>1000000000000</v>
      </c>
      <c r="CK152" s="172">
        <f ca="1">IF(OR($D152&lt;&gt;"Serviço",AND(AUTOEVENTO="Manual",$M152=$A$15),$M152&gt;(ROW(PLE.lastrow)-ROW(PLE.firstrow))),0,
           IF(OFFSET(PLE!$G$15,$M152-$A$15,CK$13)="",10^12,OFFSET(PLE!$G$15,$M152-$A$15,CK$13)))</f>
        <v>1000000000000</v>
      </c>
      <c r="CL152" s="172">
        <f ca="1">IF(OR($D152&lt;&gt;"Serviço",AND(AUTOEVENTO="Manual",$M152=$A$15),$M152&gt;(ROW(PLE.lastrow)-ROW(PLE.firstrow))),0,
           IF(OFFSET(PLE!$G$15,$M152-$A$15,CL$13)="",10^12,OFFSET(PLE!$G$15,$M152-$A$15,CL$13)))</f>
        <v>1000000000000</v>
      </c>
      <c r="CM152" s="172">
        <f ca="1">IF(OR($D152&lt;&gt;"Serviço",AND(AUTOEVENTO="Manual",$M152=$A$15),$M152&gt;(ROW(PLE.lastrow)-ROW(PLE.firstrow))),0,
           IF(OFFSET(PLE!$G$15,$M152-$A$15,CM$13)="",10^12,OFFSET(PLE!$G$15,$M152-$A$15,CM$13)))</f>
        <v>1000000000000</v>
      </c>
    </row>
    <row r="153" spans="1:91" ht="25.5" x14ac:dyDescent="0.2">
      <c r="A153" s="7">
        <f t="shared" ca="1" si="12"/>
        <v>4</v>
      </c>
      <c r="B153" s="7" t="str">
        <f ca="1">OFFSET(ORÇAMENTO!C$15,ROW(B153)-ROW(B$15),0)</f>
        <v>S</v>
      </c>
      <c r="C153" s="7" t="str">
        <f ca="1">OFFSET(ORÇAMENTO!L$15,ROW(C153)-ROW(C$15),0)</f>
        <v>F</v>
      </c>
      <c r="D153" s="116" t="str">
        <f ca="1">OFFSET(ORÇAMENTO!N$15,ROW(D153)-ROW(D$15),0)</f>
        <v>Serviço</v>
      </c>
      <c r="E153" s="117" t="str">
        <f ca="1">OFFSET(ORÇAMENTO!O$15,ROW(E153)-ROW(E$15),0)</f>
        <v>1.5.5.1.5.</v>
      </c>
      <c r="F153" s="163" t="str">
        <f ca="1">OFFSET(ORÇAMENTO!R$15,ROW(F153)-ROW(F$15),0)</f>
        <v>ARMAÇÃO EM AÇO CA-50 - FORNECIMENTO, PREPARO E COLOCAÇÃO</v>
      </c>
      <c r="G153" s="164" t="str">
        <f ca="1">IF($D153&lt;&gt;"Serviço","",OFFSET(ORÇAMENTO!S$15,ROW(G153)-ROW(G$15),0))</f>
        <v>KG</v>
      </c>
      <c r="H153" s="122" cm="1">
        <f t="array" aca="1" ref="H153" ca="1">IF($D153&lt;&gt;"Serviço",0,IF(ACOMPANHAMENTO="BM",ROUND(OFFSET(ORÇAMENTO!AJ$15,ROW(H153)-ROW(H$15),0),15-13*ORÇAMENTO!$AF$7),SUMPRODUCT(($Q$1:$AI$1=1)*ROUND($Q153:$AI153,15-13*ORÇAMENTO!$AF$7))))</f>
        <v>433.51</v>
      </c>
      <c r="I153" s="468" t="s">
        <v>1424</v>
      </c>
      <c r="J153" s="640" t="str" cm="1">
        <f t="array" aca="1" ref="J153" ca="1">IF(OR(B153&lt;&gt;"S",CÁLCULO.FrentesPreenchidas=0),"",IF(AND(ACOMPANHAMENTO="PLE",AUTOEVENTO="Manual",OR(H153&gt;0,ORÇAMENTO!AC153="QUANT."),OR(K153="",M153=0,N153="")),"►E",IF(AND(ACOMPANHAMENTO="PLE",ORÇAMENTO!AC153="QUANT."),"►Q",IF(AND(ACOMPANHAMENTO="PLE",H153&lt;&gt;SUMPRODUCT(($Q$1:$AI$1=1)*ROUND(Q153:AI153,15))),"►S",IF(AND(COUNTIF($P$11:$AI$11,"▼")=0,H153&gt;0,I153=""),"◄M","")))))</f>
        <v/>
      </c>
      <c r="K153" s="641" t="s">
        <v>1389</v>
      </c>
      <c r="L153" s="165" t="s">
        <v>764</v>
      </c>
      <c r="M153" s="166">
        <f ca="1">IF($D153&lt;&gt;"Serviço","",
          IF(AUTOEVENTO="manual",$A153,
                IF(ISERROR(MATCH($A153,$A$15:OFFSET($A153,-1,0),0)),MAX($M$15:OFFSET(M153,-1,0))+1,
                      INDEX($M$15:OFFSET(M153,-1,0),MATCH($A153,$A$15:OFFSET($A153,-1,0),0)))))</f>
        <v>4</v>
      </c>
      <c r="N153" s="167" t="str">
        <f ca="1">IF($D153&lt;&gt;"Serviço","",
         IF(AUTOEVENTO="Manual",
                IF($A153=0,"&lt;-- defina o número do agrupador",
                       OFFSET(EVENTOS!$D$15,$A153-$A$15,0)),
                OFFSET($F$15,$A153,0)))</f>
        <v>Estruturas de Concreto</v>
      </c>
      <c r="O153" s="168"/>
      <c r="Q153" s="168"/>
      <c r="R153" s="169"/>
      <c r="S153" s="169"/>
      <c r="T153" s="169"/>
      <c r="U153" s="169"/>
      <c r="V153" s="169">
        <f>401.17+32.34</f>
        <v>433.51</v>
      </c>
      <c r="W153" s="169"/>
      <c r="X153" s="169"/>
      <c r="Y153" s="169"/>
      <c r="Z153" s="170"/>
      <c r="AA153" s="169"/>
      <c r="AB153" s="169"/>
      <c r="AC153" s="169"/>
      <c r="AD153" s="169"/>
      <c r="AE153" s="169"/>
      <c r="AF153" s="169"/>
      <c r="AG153" s="169"/>
      <c r="AH153" s="170"/>
      <c r="AJ153" s="453">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0</v>
      </c>
      <c r="AK153" s="453">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0</v>
      </c>
      <c r="AL153" s="453">
        <f ca="1">IF(AND($D153="Serviço",AL$12&lt;&gt;0,$H153&gt;0,OR(AUTOEVENTO&lt;&gt;"manual",$M153&lt;&gt;$A$15)),
        IF(Import.TipoArredondamento&lt;&gt;"TransfereGOV",
              ROUND(OFFSET($P153,0,AL$13),15-13*ORÇAMENTO!$AF$7)/$H153*OFFSET(ORÇAMENTO!$X$15,ROW(AL153)-ROW(AL$15),0),
              ROUND(ROUND(OFFSET($P153,0,AL$13),15-13*ORÇAMENTO!$AF$7)*OFFSET(ORÇAMENTO!$W$15,ROW(AL153)-ROW(AL$15),0),15-13*ORÇAMENTO!$AF$11)),
         0)</f>
        <v>0</v>
      </c>
      <c r="AM153" s="453">
        <f ca="1">IF(AND($D153="Serviço",AM$12&lt;&gt;0,$H153&gt;0,OR(AUTOEVENTO&lt;&gt;"manual",$M153&lt;&gt;$A$15)),
        IF(Import.TipoArredondamento&lt;&gt;"TransfereGOV",
              ROUND(OFFSET($P153,0,AM$13),15-13*ORÇAMENTO!$AF$7)/$H153*OFFSET(ORÇAMENTO!$X$15,ROW(AM153)-ROW(AM$15),0),
              ROUND(ROUND(OFFSET($P153,0,AM$13),15-13*ORÇAMENTO!$AF$7)*OFFSET(ORÇAMENTO!$W$15,ROW(AM153)-ROW(AM$15),0),15-13*ORÇAMENTO!$AF$11)),
         0)</f>
        <v>0</v>
      </c>
      <c r="AN153" s="453">
        <f ca="1">IF(AND($D153="Serviço",AN$12&lt;&gt;0,$H153&gt;0,OR(AUTOEVENTO&lt;&gt;"manual",$M153&lt;&gt;$A$15)),
        IF(Import.TipoArredondamento&lt;&gt;"TransfereGOV",
              ROUND(OFFSET($P153,0,AN$13),15-13*ORÇAMENTO!$AF$7)/$H153*OFFSET(ORÇAMENTO!$X$15,ROW(AN153)-ROW(AN$15),0),
              ROUND(ROUND(OFFSET($P153,0,AN$13),15-13*ORÇAMENTO!$AF$7)*OFFSET(ORÇAMENTO!$W$15,ROW(AN153)-ROW(AN$15),0),15-13*ORÇAMENTO!$AF$11)),
         0)</f>
        <v>0</v>
      </c>
      <c r="AO153" s="453">
        <f ca="1">IF(AND($D153="Serviço",AO$12&lt;&gt;0,$H153&gt;0,OR(AUTOEVENTO&lt;&gt;"manual",$M153&lt;&gt;$A$15)),
        IF(Import.TipoArredondamento&lt;&gt;"TransfereGOV",
              ROUND(OFFSET($P153,0,AO$13),15-13*ORÇAMENTO!$AF$7)/$H153*OFFSET(ORÇAMENTO!$X$15,ROW(AO153)-ROW(AO$15),0),
              ROUND(ROUND(OFFSET($P153,0,AO$13),15-13*ORÇAMENTO!$AF$7)*OFFSET(ORÇAMENTO!$W$15,ROW(AO153)-ROW(AO$15),0),15-13*ORÇAMENTO!$AF$11)),
         0)</f>
        <v>0</v>
      </c>
      <c r="AP153" s="453">
        <f ca="1">IF(AND($D153="Serviço",AP$12&lt;&gt;0,$H153&gt;0,OR(AUTOEVENTO&lt;&gt;"manual",$M153&lt;&gt;$A$15)),
        IF(Import.TipoArredondamento&lt;&gt;"TransfereGOV",
              ROUND(OFFSET($P153,0,AP$13),15-13*ORÇAMENTO!$AF$7)/$H153*OFFSET(ORÇAMENTO!$X$15,ROW(AP153)-ROW(AP$15),0),
              ROUND(ROUND(OFFSET($P153,0,AP$13),15-13*ORÇAMENTO!$AF$7)*OFFSET(ORÇAMENTO!$W$15,ROW(AP153)-ROW(AP$15),0),15-13*ORÇAMENTO!$AF$11)),
         0)</f>
        <v>0</v>
      </c>
      <c r="AQ153" s="453">
        <f ca="1">IF(AND($D153="Serviço",AQ$12&lt;&gt;0,$H153&gt;0,OR(AUTOEVENTO&lt;&gt;"manual",$M153&lt;&gt;$A$15)),
        IF(Import.TipoArredondamento&lt;&gt;"TransfereGOV",
              ROUND(OFFSET($P153,0,AQ$13),15-13*ORÇAMENTO!$AF$7)/$H153*OFFSET(ORÇAMENTO!$X$15,ROW(AQ153)-ROW(AQ$15),0),
              ROUND(ROUND(OFFSET($P153,0,AQ$13),15-13*ORÇAMENTO!$AF$7)*OFFSET(ORÇAMENTO!$W$15,ROW(AQ153)-ROW(AQ$15),0),15-13*ORÇAMENTO!$AF$11)),
         0)</f>
        <v>0</v>
      </c>
      <c r="AR153" s="453">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3">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3">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3">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3">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3">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3">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3">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3">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3">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C153" s="171">
        <f ca="1">IF(OR($D153&lt;&gt;"Serviço",AND(AUTOEVENTO="Manual",$M153=$A$15)),0,
         IF(OFFSET(CRONOPLE!$F$15,$M153-$A$15,BC$13)=0,10^12,OFFSET(CRONOPLE!$F$15,$M153-$A$15,BC$13)))</f>
        <v>1</v>
      </c>
      <c r="BD153" s="171">
        <f ca="1">IF(OR($D153&lt;&gt;"Serviço",AND(AUTOEVENTO="Manual",$M153=$A$15)),0,
         IF(OFFSET(CRONOPLE!$F$15,$M153-$A$15,BD$13)=0,10^12,OFFSET(CRONOPLE!$F$15,$M153-$A$15,BD$13)))</f>
        <v>2</v>
      </c>
      <c r="BE153" s="171">
        <f ca="1">IF(OR($D153&lt;&gt;"Serviço",AND(AUTOEVENTO="Manual",$M153=$A$15)),0,
         IF(OFFSET(CRONOPLE!$F$15,$M153-$A$15,BE$13)=0,10^12,OFFSET(CRONOPLE!$F$15,$M153-$A$15,BE$13)))</f>
        <v>3</v>
      </c>
      <c r="BF153" s="171">
        <f ca="1">IF(OR($D153&lt;&gt;"Serviço",AND(AUTOEVENTO="Manual",$M153=$A$15)),0,
         IF(OFFSET(CRONOPLE!$F$15,$M153-$A$15,BF$13)=0,10^12,OFFSET(CRONOPLE!$F$15,$M153-$A$15,BF$13)))</f>
        <v>4</v>
      </c>
      <c r="BG153" s="171">
        <f ca="1">IF(OR($D153&lt;&gt;"Serviço",AND(AUTOEVENTO="Manual",$M153=$A$15)),0,
         IF(OFFSET(CRONOPLE!$F$15,$M153-$A$15,BG$13)=0,10^12,OFFSET(CRONOPLE!$F$15,$M153-$A$15,BG$13)))</f>
        <v>5</v>
      </c>
      <c r="BH153" s="171">
        <f ca="1">IF(OR($D153&lt;&gt;"Serviço",AND(AUTOEVENTO="Manual",$M153=$A$15)),0,
         IF(OFFSET(CRONOPLE!$F$15,$M153-$A$15,BH$13)=0,10^12,OFFSET(CRONOPLE!$F$15,$M153-$A$15,BH$13)))</f>
        <v>6</v>
      </c>
      <c r="BI153" s="171">
        <f ca="1">IF(OR($D153&lt;&gt;"Serviço",AND(AUTOEVENTO="Manual",$M153=$A$15)),0,
         IF(OFFSET(CRONOPLE!$F$15,$M153-$A$15,BI$13)=0,10^12,OFFSET(CRONOPLE!$F$15,$M153-$A$15,BI$13)))</f>
        <v>7</v>
      </c>
      <c r="BJ153" s="171">
        <f ca="1">IF(OR($D153&lt;&gt;"Serviço",AND(AUTOEVENTO="Manual",$M153=$A$15)),0,
         IF(OFFSET(CRONOPLE!$F$15,$M153-$A$15,BJ$13)=0,10^12,OFFSET(CRONOPLE!$F$15,$M153-$A$15,BJ$13)))</f>
        <v>8</v>
      </c>
      <c r="BK153" s="171">
        <f ca="1">IF(OR($D153&lt;&gt;"Serviço",AND(AUTOEVENTO="Manual",$M153=$A$15)),0,
         IF(OFFSET(CRONOPLE!$F$15,$M153-$A$15,BK$13)=0,10^12,OFFSET(CRONOPLE!$F$15,$M153-$A$15,BK$13)))</f>
        <v>9</v>
      </c>
      <c r="BL153" s="171">
        <f ca="1">IF(OR($D153&lt;&gt;"Serviço",AND(AUTOEVENTO="Manual",$M153=$A$15)),0,
         IF(OFFSET(CRONOPLE!$F$15,$M153-$A$15,BL$13)=0,10^12,OFFSET(CRONOPLE!$F$15,$M153-$A$15,BL$13)))</f>
        <v>10</v>
      </c>
      <c r="BM153" s="171">
        <f ca="1">IF(OR($D153&lt;&gt;"Serviço",AND(AUTOEVENTO="Manual",$M153=$A$15)),0,
         IF(OFFSET(CRONOPLE!$F$15,$M153-$A$15,BM$13)=0,10^12,OFFSET(CRONOPLE!$F$15,$M153-$A$15,BM$13)))</f>
        <v>1000000000000</v>
      </c>
      <c r="BN153" s="171">
        <f ca="1">IF(OR($D153&lt;&gt;"Serviço",AND(AUTOEVENTO="Manual",$M153=$A$15)),0,
         IF(OFFSET(CRONOPLE!$F$15,$M153-$A$15,BN$13)=0,10^12,OFFSET(CRONOPLE!$F$15,$M153-$A$15,BN$13)))</f>
        <v>1000000000000</v>
      </c>
      <c r="BO153" s="171">
        <f ca="1">IF(OR($D153&lt;&gt;"Serviço",AND(AUTOEVENTO="Manual",$M153=$A$15)),0,
         IF(OFFSET(CRONOPLE!$F$15,$M153-$A$15,BO$13)=0,10^12,OFFSET(CRONOPLE!$F$15,$M153-$A$15,BO$13)))</f>
        <v>1000000000000</v>
      </c>
      <c r="BP153" s="171">
        <f ca="1">IF(OR($D153&lt;&gt;"Serviço",AND(AUTOEVENTO="Manual",$M153=$A$15)),0,
         IF(OFFSET(CRONOPLE!$F$15,$M153-$A$15,BP$13)=0,10^12,OFFSET(CRONOPLE!$F$15,$M153-$A$15,BP$13)))</f>
        <v>1000000000000</v>
      </c>
      <c r="BQ153" s="171">
        <f ca="1">IF(OR($D153&lt;&gt;"Serviço",AND(AUTOEVENTO="Manual",$M153=$A$15)),0,
         IF(OFFSET(CRONOPLE!$F$15,$M153-$A$15,BQ$13)=0,10^12,OFFSET(CRONOPLE!$F$15,$M153-$A$15,BQ$13)))</f>
        <v>1000000000000</v>
      </c>
      <c r="BR153" s="171">
        <f ca="1">IF(OR($D153&lt;&gt;"Serviço",AND(AUTOEVENTO="Manual",$M153=$A$15)),0,
         IF(OFFSET(CRONOPLE!$F$15,$M153-$A$15,BR$13)=0,10^12,OFFSET(CRONOPLE!$F$15,$M153-$A$15,BR$13)))</f>
        <v>1000000000000</v>
      </c>
      <c r="BS153" s="171">
        <f ca="1">IF(OR($D153&lt;&gt;"Serviço",AND(AUTOEVENTO="Manual",$M153=$A$15)),0,
         IF(OFFSET(CRONOPLE!$F$15,$M153-$A$15,BS$13)=0,10^12,OFFSET(CRONOPLE!$F$15,$M153-$A$15,BS$13)))</f>
        <v>1000000000000</v>
      </c>
      <c r="BT153" s="171">
        <f ca="1">IF(OR($D153&lt;&gt;"Serviço",AND(AUTOEVENTO="Manual",$M153=$A$15)),0,
         IF(OFFSET(CRONOPLE!$F$15,$M153-$A$15,BT$13)=0,10^12,OFFSET(CRONOPLE!$F$15,$M153-$A$15,BT$13)))</f>
        <v>1000000000000</v>
      </c>
      <c r="BV153" s="172">
        <f ca="1">IF(OR($D153&lt;&gt;"Serviço",AND(AUTOEVENTO="Manual",$M153=$A$15),$M153&gt;(ROW(PLE.lastrow)-ROW(PLE.firstrow))),0,
           IF(OFFSET(PLE!$G$15,$M153-$A$15,BV$13)="",10^12,OFFSET(PLE!$G$15,$M153-$A$15,BV$13)))</f>
        <v>1000000000000</v>
      </c>
      <c r="BW153" s="172">
        <f ca="1">IF(OR($D153&lt;&gt;"Serviço",AND(AUTOEVENTO="Manual",$M153=$A$15),$M153&gt;(ROW(PLE.lastrow)-ROW(PLE.firstrow))),0,
           IF(OFFSET(PLE!$G$15,$M153-$A$15,BW$13)="",10^12,OFFSET(PLE!$G$15,$M153-$A$15,BW$13)))</f>
        <v>1000000000000</v>
      </c>
      <c r="BX153" s="172">
        <f ca="1">IF(OR($D153&lt;&gt;"Serviço",AND(AUTOEVENTO="Manual",$M153=$A$15),$M153&gt;(ROW(PLE.lastrow)-ROW(PLE.firstrow))),0,
           IF(OFFSET(PLE!$G$15,$M153-$A$15,BX$13)="",10^12,OFFSET(PLE!$G$15,$M153-$A$15,BX$13)))</f>
        <v>1000000000000</v>
      </c>
      <c r="BY153" s="172">
        <f ca="1">IF(OR($D153&lt;&gt;"Serviço",AND(AUTOEVENTO="Manual",$M153=$A$15),$M153&gt;(ROW(PLE.lastrow)-ROW(PLE.firstrow))),0,
           IF(OFFSET(PLE!$G$15,$M153-$A$15,BY$13)="",10^12,OFFSET(PLE!$G$15,$M153-$A$15,BY$13)))</f>
        <v>1000000000000</v>
      </c>
      <c r="BZ153" s="172">
        <f ca="1">IF(OR($D153&lt;&gt;"Serviço",AND(AUTOEVENTO="Manual",$M153=$A$15),$M153&gt;(ROW(PLE.lastrow)-ROW(PLE.firstrow))),0,
           IF(OFFSET(PLE!$G$15,$M153-$A$15,BZ$13)="",10^12,OFFSET(PLE!$G$15,$M153-$A$15,BZ$13)))</f>
        <v>1000000000000</v>
      </c>
      <c r="CA153" s="172">
        <f ca="1">IF(OR($D153&lt;&gt;"Serviço",AND(AUTOEVENTO="Manual",$M153=$A$15),$M153&gt;(ROW(PLE.lastrow)-ROW(PLE.firstrow))),0,
           IF(OFFSET(PLE!$G$15,$M153-$A$15,CA$13)="",10^12,OFFSET(PLE!$G$15,$M153-$A$15,CA$13)))</f>
        <v>1000000000000</v>
      </c>
      <c r="CB153" s="172">
        <f ca="1">IF(OR($D153&lt;&gt;"Serviço",AND(AUTOEVENTO="Manual",$M153=$A$15),$M153&gt;(ROW(PLE.lastrow)-ROW(PLE.firstrow))),0,
           IF(OFFSET(PLE!$G$15,$M153-$A$15,CB$13)="",10^12,OFFSET(PLE!$G$15,$M153-$A$15,CB$13)))</f>
        <v>1000000000000</v>
      </c>
      <c r="CC153" s="172">
        <f ca="1">IF(OR($D153&lt;&gt;"Serviço",AND(AUTOEVENTO="Manual",$M153=$A$15),$M153&gt;(ROW(PLE.lastrow)-ROW(PLE.firstrow))),0,
           IF(OFFSET(PLE!$G$15,$M153-$A$15,CC$13)="",10^12,OFFSET(PLE!$G$15,$M153-$A$15,CC$13)))</f>
        <v>1000000000000</v>
      </c>
      <c r="CD153" s="172">
        <f ca="1">IF(OR($D153&lt;&gt;"Serviço",AND(AUTOEVENTO="Manual",$M153=$A$15),$M153&gt;(ROW(PLE.lastrow)-ROW(PLE.firstrow))),0,
           IF(OFFSET(PLE!$G$15,$M153-$A$15,CD$13)="",10^12,OFFSET(PLE!$G$15,$M153-$A$15,CD$13)))</f>
        <v>1000000000000</v>
      </c>
      <c r="CE153" s="172">
        <f ca="1">IF(OR($D153&lt;&gt;"Serviço",AND(AUTOEVENTO="Manual",$M153=$A$15),$M153&gt;(ROW(PLE.lastrow)-ROW(PLE.firstrow))),0,
           IF(OFFSET(PLE!$G$15,$M153-$A$15,CE$13)="",10^12,OFFSET(PLE!$G$15,$M153-$A$15,CE$13)))</f>
        <v>1000000000000</v>
      </c>
      <c r="CF153" s="172">
        <f ca="1">IF(OR($D153&lt;&gt;"Serviço",AND(AUTOEVENTO="Manual",$M153=$A$15),$M153&gt;(ROW(PLE.lastrow)-ROW(PLE.firstrow))),0,
           IF(OFFSET(PLE!$G$15,$M153-$A$15,CF$13)="",10^12,OFFSET(PLE!$G$15,$M153-$A$15,CF$13)))</f>
        <v>1000000000000</v>
      </c>
      <c r="CG153" s="172">
        <f ca="1">IF(OR($D153&lt;&gt;"Serviço",AND(AUTOEVENTO="Manual",$M153=$A$15),$M153&gt;(ROW(PLE.lastrow)-ROW(PLE.firstrow))),0,
           IF(OFFSET(PLE!$G$15,$M153-$A$15,CG$13)="",10^12,OFFSET(PLE!$G$15,$M153-$A$15,CG$13)))</f>
        <v>1000000000000</v>
      </c>
      <c r="CH153" s="172">
        <f ca="1">IF(OR($D153&lt;&gt;"Serviço",AND(AUTOEVENTO="Manual",$M153=$A$15),$M153&gt;(ROW(PLE.lastrow)-ROW(PLE.firstrow))),0,
           IF(OFFSET(PLE!$G$15,$M153-$A$15,CH$13)="",10^12,OFFSET(PLE!$G$15,$M153-$A$15,CH$13)))</f>
        <v>1000000000000</v>
      </c>
      <c r="CI153" s="172">
        <f ca="1">IF(OR($D153&lt;&gt;"Serviço",AND(AUTOEVENTO="Manual",$M153=$A$15),$M153&gt;(ROW(PLE.lastrow)-ROW(PLE.firstrow))),0,
           IF(OFFSET(PLE!$G$15,$M153-$A$15,CI$13)="",10^12,OFFSET(PLE!$G$15,$M153-$A$15,CI$13)))</f>
        <v>1000000000000</v>
      </c>
      <c r="CJ153" s="172">
        <f ca="1">IF(OR($D153&lt;&gt;"Serviço",AND(AUTOEVENTO="Manual",$M153=$A$15),$M153&gt;(ROW(PLE.lastrow)-ROW(PLE.firstrow))),0,
           IF(OFFSET(PLE!$G$15,$M153-$A$15,CJ$13)="",10^12,OFFSET(PLE!$G$15,$M153-$A$15,CJ$13)))</f>
        <v>1000000000000</v>
      </c>
      <c r="CK153" s="172">
        <f ca="1">IF(OR($D153&lt;&gt;"Serviço",AND(AUTOEVENTO="Manual",$M153=$A$15),$M153&gt;(ROW(PLE.lastrow)-ROW(PLE.firstrow))),0,
           IF(OFFSET(PLE!$G$15,$M153-$A$15,CK$13)="",10^12,OFFSET(PLE!$G$15,$M153-$A$15,CK$13)))</f>
        <v>1000000000000</v>
      </c>
      <c r="CL153" s="172">
        <f ca="1">IF(OR($D153&lt;&gt;"Serviço",AND(AUTOEVENTO="Manual",$M153=$A$15),$M153&gt;(ROW(PLE.lastrow)-ROW(PLE.firstrow))),0,
           IF(OFFSET(PLE!$G$15,$M153-$A$15,CL$13)="",10^12,OFFSET(PLE!$G$15,$M153-$A$15,CL$13)))</f>
        <v>1000000000000</v>
      </c>
      <c r="CM153" s="172">
        <f ca="1">IF(OR($D153&lt;&gt;"Serviço",AND(AUTOEVENTO="Manual",$M153=$A$15),$M153&gt;(ROW(PLE.lastrow)-ROW(PLE.firstrow))),0,
           IF(OFFSET(PLE!$G$15,$M153-$A$15,CM$13)="",10^12,OFFSET(PLE!$G$15,$M153-$A$15,CM$13)))</f>
        <v>1000000000000</v>
      </c>
    </row>
    <row r="154" spans="1:91" ht="76.5" x14ac:dyDescent="0.2">
      <c r="A154" s="7">
        <f t="shared" ca="1" si="12"/>
        <v>4</v>
      </c>
      <c r="B154" s="7" t="str">
        <f ca="1">OFFSET(ORÇAMENTO!C$15,ROW(B154)-ROW(B$15),0)</f>
        <v>S</v>
      </c>
      <c r="C154" s="7" t="str">
        <f ca="1">OFFSET(ORÇAMENTO!L$15,ROW(C154)-ROW(C$15),0)</f>
        <v>F</v>
      </c>
      <c r="D154" s="116" t="str">
        <f ca="1">OFFSET(ORÇAMENTO!N$15,ROW(D154)-ROW(D$15),0)</f>
        <v>Serviço</v>
      </c>
      <c r="E154" s="117" t="str">
        <f ca="1">OFFSET(ORÇAMENTO!O$15,ROW(E154)-ROW(E$15),0)</f>
        <v>1.5.5.1.6.</v>
      </c>
      <c r="F154" s="163" t="str">
        <f ca="1">OFFSET(ORÇAMENTO!R$15,ROW(F154)-ROW(F$15),0)</f>
        <v>CARGA, MANOBRA E DESCARGA DE SOLOS E MATERIAIS GRANULARES EM CAMINHÃO BASCULANTE 18 M³ - CARGA COM ESCAVADEIRA HIDRÁULICA (CAÇAMBA DE 1,20 M³ / 155 HP) E DESCARGA LIVRE (UNIDADE: M3). AF_07/2020</v>
      </c>
      <c r="G154" s="164" t="str">
        <f ca="1">IF($D154&lt;&gt;"Serviço","",OFFSET(ORÇAMENTO!S$15,ROW(G154)-ROW(G$15),0))</f>
        <v>M3</v>
      </c>
      <c r="H154" s="122" cm="1">
        <f t="array" aca="1" ref="H154" ca="1">IF($D154&lt;&gt;"Serviço",0,IF(ACOMPANHAMENTO="BM",ROUND(OFFSET(ORÇAMENTO!AJ$15,ROW(H154)-ROW(H$15),0),15-13*ORÇAMENTO!$AF$7),SUMPRODUCT(($Q$1:$AI$1=1)*ROUND($Q154:$AI154,15-13*ORÇAMENTO!$AF$7))))</f>
        <v>6.4</v>
      </c>
      <c r="I154" s="468" t="s">
        <v>1428</v>
      </c>
      <c r="J154" s="640" t="str" cm="1">
        <f t="array" aca="1" ref="J154" ca="1">IF(OR(B154&lt;&gt;"S",CÁLCULO.FrentesPreenchidas=0),"",IF(AND(ACOMPANHAMENTO="PLE",AUTOEVENTO="Manual",OR(H154&gt;0,ORÇAMENTO!AC154="QUANT."),OR(K154="",M154=0,N154="")),"►E",IF(AND(ACOMPANHAMENTO="PLE",ORÇAMENTO!AC154="QUANT."),"►Q",IF(AND(ACOMPANHAMENTO="PLE",H154&lt;&gt;SUMPRODUCT(($Q$1:$AI$1=1)*ROUND(Q154:AI154,15))),"►S",IF(AND(COUNTIF($P$11:$AI$11,"▼")=0,H154&gt;0,I154=""),"◄M","")))))</f>
        <v/>
      </c>
      <c r="K154" s="641" t="s">
        <v>1389</v>
      </c>
      <c r="L154" s="165" t="s">
        <v>764</v>
      </c>
      <c r="M154" s="166">
        <f ca="1">IF($D154&lt;&gt;"Serviço","",
          IF(AUTOEVENTO="manual",$A154,
                IF(ISERROR(MATCH($A154,$A$15:OFFSET($A154,-1,0),0)),MAX($M$15:OFFSET(M154,-1,0))+1,
                      INDEX($M$15:OFFSET(M154,-1,0),MATCH($A154,$A$15:OFFSET($A154,-1,0),0)))))</f>
        <v>4</v>
      </c>
      <c r="N154" s="167" t="str">
        <f ca="1">IF($D154&lt;&gt;"Serviço","",
         IF(AUTOEVENTO="Manual",
                IF($A154=0,"&lt;-- defina o número do agrupador",
                       OFFSET(EVENTOS!$D$15,$A154-$A$15,0)),
                OFFSET($F$15,$A154,0)))</f>
        <v>Estruturas de Concreto</v>
      </c>
      <c r="O154" s="168"/>
      <c r="Q154" s="168"/>
      <c r="R154" s="169"/>
      <c r="S154" s="169"/>
      <c r="T154" s="169"/>
      <c r="U154" s="169"/>
      <c r="V154" s="169">
        <f>ROUND((PI()*(0.3)^2/4*4.1*17)*1.3,2)</f>
        <v>6.4</v>
      </c>
      <c r="W154" s="169"/>
      <c r="X154" s="169"/>
      <c r="Y154" s="169"/>
      <c r="Z154" s="170"/>
      <c r="AA154" s="169"/>
      <c r="AB154" s="169"/>
      <c r="AC154" s="169"/>
      <c r="AD154" s="169"/>
      <c r="AE154" s="169"/>
      <c r="AF154" s="169"/>
      <c r="AG154" s="169"/>
      <c r="AH154" s="170"/>
      <c r="AJ154" s="453">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0</v>
      </c>
      <c r="AK154" s="453">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0</v>
      </c>
      <c r="AL154" s="453">
        <f ca="1">IF(AND($D154="Serviço",AL$12&lt;&gt;0,$H154&gt;0,OR(AUTOEVENTO&lt;&gt;"manual",$M154&lt;&gt;$A$15)),
        IF(Import.TipoArredondamento&lt;&gt;"TransfereGOV",
              ROUND(OFFSET($P154,0,AL$13),15-13*ORÇAMENTO!$AF$7)/$H154*OFFSET(ORÇAMENTO!$X$15,ROW(AL154)-ROW(AL$15),0),
              ROUND(ROUND(OFFSET($P154,0,AL$13),15-13*ORÇAMENTO!$AF$7)*OFFSET(ORÇAMENTO!$W$15,ROW(AL154)-ROW(AL$15),0),15-13*ORÇAMENTO!$AF$11)),
         0)</f>
        <v>0</v>
      </c>
      <c r="AM154" s="453">
        <f ca="1">IF(AND($D154="Serviço",AM$12&lt;&gt;0,$H154&gt;0,OR(AUTOEVENTO&lt;&gt;"manual",$M154&lt;&gt;$A$15)),
        IF(Import.TipoArredondamento&lt;&gt;"TransfereGOV",
              ROUND(OFFSET($P154,0,AM$13),15-13*ORÇAMENTO!$AF$7)/$H154*OFFSET(ORÇAMENTO!$X$15,ROW(AM154)-ROW(AM$15),0),
              ROUND(ROUND(OFFSET($P154,0,AM$13),15-13*ORÇAMENTO!$AF$7)*OFFSET(ORÇAMENTO!$W$15,ROW(AM154)-ROW(AM$15),0),15-13*ORÇAMENTO!$AF$11)),
         0)</f>
        <v>0</v>
      </c>
      <c r="AN154" s="453">
        <f ca="1">IF(AND($D154="Serviço",AN$12&lt;&gt;0,$H154&gt;0,OR(AUTOEVENTO&lt;&gt;"manual",$M154&lt;&gt;$A$15)),
        IF(Import.TipoArredondamento&lt;&gt;"TransfereGOV",
              ROUND(OFFSET($P154,0,AN$13),15-13*ORÇAMENTO!$AF$7)/$H154*OFFSET(ORÇAMENTO!$X$15,ROW(AN154)-ROW(AN$15),0),
              ROUND(ROUND(OFFSET($P154,0,AN$13),15-13*ORÇAMENTO!$AF$7)*OFFSET(ORÇAMENTO!$W$15,ROW(AN154)-ROW(AN$15),0),15-13*ORÇAMENTO!$AF$11)),
         0)</f>
        <v>0</v>
      </c>
      <c r="AO154" s="453">
        <f ca="1">IF(AND($D154="Serviço",AO$12&lt;&gt;0,$H154&gt;0,OR(AUTOEVENTO&lt;&gt;"manual",$M154&lt;&gt;$A$15)),
        IF(Import.TipoArredondamento&lt;&gt;"TransfereGOV",
              ROUND(OFFSET($P154,0,AO$13),15-13*ORÇAMENTO!$AF$7)/$H154*OFFSET(ORÇAMENTO!$X$15,ROW(AO154)-ROW(AO$15),0),
              ROUND(ROUND(OFFSET($P154,0,AO$13),15-13*ORÇAMENTO!$AF$7)*OFFSET(ORÇAMENTO!$W$15,ROW(AO154)-ROW(AO$15),0),15-13*ORÇAMENTO!$AF$11)),
         0)</f>
        <v>0</v>
      </c>
      <c r="AP154" s="453">
        <f ca="1">IF(AND($D154="Serviço",AP$12&lt;&gt;0,$H154&gt;0,OR(AUTOEVENTO&lt;&gt;"manual",$M154&lt;&gt;$A$15)),
        IF(Import.TipoArredondamento&lt;&gt;"TransfereGOV",
              ROUND(OFFSET($P154,0,AP$13),15-13*ORÇAMENTO!$AF$7)/$H154*OFFSET(ORÇAMENTO!$X$15,ROW(AP154)-ROW(AP$15),0),
              ROUND(ROUND(OFFSET($P154,0,AP$13),15-13*ORÇAMENTO!$AF$7)*OFFSET(ORÇAMENTO!$W$15,ROW(AP154)-ROW(AP$15),0),15-13*ORÇAMENTO!$AF$11)),
         0)</f>
        <v>0</v>
      </c>
      <c r="AQ154" s="453">
        <f ca="1">IF(AND($D154="Serviço",AQ$12&lt;&gt;0,$H154&gt;0,OR(AUTOEVENTO&lt;&gt;"manual",$M154&lt;&gt;$A$15)),
        IF(Import.TipoArredondamento&lt;&gt;"TransfereGOV",
              ROUND(OFFSET($P154,0,AQ$13),15-13*ORÇAMENTO!$AF$7)/$H154*OFFSET(ORÇAMENTO!$X$15,ROW(AQ154)-ROW(AQ$15),0),
              ROUND(ROUND(OFFSET($P154,0,AQ$13),15-13*ORÇAMENTO!$AF$7)*OFFSET(ORÇAMENTO!$W$15,ROW(AQ154)-ROW(AQ$15),0),15-13*ORÇAMENTO!$AF$11)),
         0)</f>
        <v>0</v>
      </c>
      <c r="AR154" s="453">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3">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3">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3">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3">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3">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3">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3">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3">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3">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C154" s="171">
        <f ca="1">IF(OR($D154&lt;&gt;"Serviço",AND(AUTOEVENTO="Manual",$M154=$A$15)),0,
         IF(OFFSET(CRONOPLE!$F$15,$M154-$A$15,BC$13)=0,10^12,OFFSET(CRONOPLE!$F$15,$M154-$A$15,BC$13)))</f>
        <v>1</v>
      </c>
      <c r="BD154" s="171">
        <f ca="1">IF(OR($D154&lt;&gt;"Serviço",AND(AUTOEVENTO="Manual",$M154=$A$15)),0,
         IF(OFFSET(CRONOPLE!$F$15,$M154-$A$15,BD$13)=0,10^12,OFFSET(CRONOPLE!$F$15,$M154-$A$15,BD$13)))</f>
        <v>2</v>
      </c>
      <c r="BE154" s="171">
        <f ca="1">IF(OR($D154&lt;&gt;"Serviço",AND(AUTOEVENTO="Manual",$M154=$A$15)),0,
         IF(OFFSET(CRONOPLE!$F$15,$M154-$A$15,BE$13)=0,10^12,OFFSET(CRONOPLE!$F$15,$M154-$A$15,BE$13)))</f>
        <v>3</v>
      </c>
      <c r="BF154" s="171">
        <f ca="1">IF(OR($D154&lt;&gt;"Serviço",AND(AUTOEVENTO="Manual",$M154=$A$15)),0,
         IF(OFFSET(CRONOPLE!$F$15,$M154-$A$15,BF$13)=0,10^12,OFFSET(CRONOPLE!$F$15,$M154-$A$15,BF$13)))</f>
        <v>4</v>
      </c>
      <c r="BG154" s="171">
        <f ca="1">IF(OR($D154&lt;&gt;"Serviço",AND(AUTOEVENTO="Manual",$M154=$A$15)),0,
         IF(OFFSET(CRONOPLE!$F$15,$M154-$A$15,BG$13)=0,10^12,OFFSET(CRONOPLE!$F$15,$M154-$A$15,BG$13)))</f>
        <v>5</v>
      </c>
      <c r="BH154" s="171">
        <f ca="1">IF(OR($D154&lt;&gt;"Serviço",AND(AUTOEVENTO="Manual",$M154=$A$15)),0,
         IF(OFFSET(CRONOPLE!$F$15,$M154-$A$15,BH$13)=0,10^12,OFFSET(CRONOPLE!$F$15,$M154-$A$15,BH$13)))</f>
        <v>6</v>
      </c>
      <c r="BI154" s="171">
        <f ca="1">IF(OR($D154&lt;&gt;"Serviço",AND(AUTOEVENTO="Manual",$M154=$A$15)),0,
         IF(OFFSET(CRONOPLE!$F$15,$M154-$A$15,BI$13)=0,10^12,OFFSET(CRONOPLE!$F$15,$M154-$A$15,BI$13)))</f>
        <v>7</v>
      </c>
      <c r="BJ154" s="171">
        <f ca="1">IF(OR($D154&lt;&gt;"Serviço",AND(AUTOEVENTO="Manual",$M154=$A$15)),0,
         IF(OFFSET(CRONOPLE!$F$15,$M154-$A$15,BJ$13)=0,10^12,OFFSET(CRONOPLE!$F$15,$M154-$A$15,BJ$13)))</f>
        <v>8</v>
      </c>
      <c r="BK154" s="171">
        <f ca="1">IF(OR($D154&lt;&gt;"Serviço",AND(AUTOEVENTO="Manual",$M154=$A$15)),0,
         IF(OFFSET(CRONOPLE!$F$15,$M154-$A$15,BK$13)=0,10^12,OFFSET(CRONOPLE!$F$15,$M154-$A$15,BK$13)))</f>
        <v>9</v>
      </c>
      <c r="BL154" s="171">
        <f ca="1">IF(OR($D154&lt;&gt;"Serviço",AND(AUTOEVENTO="Manual",$M154=$A$15)),0,
         IF(OFFSET(CRONOPLE!$F$15,$M154-$A$15,BL$13)=0,10^12,OFFSET(CRONOPLE!$F$15,$M154-$A$15,BL$13)))</f>
        <v>10</v>
      </c>
      <c r="BM154" s="171">
        <f ca="1">IF(OR($D154&lt;&gt;"Serviço",AND(AUTOEVENTO="Manual",$M154=$A$15)),0,
         IF(OFFSET(CRONOPLE!$F$15,$M154-$A$15,BM$13)=0,10^12,OFFSET(CRONOPLE!$F$15,$M154-$A$15,BM$13)))</f>
        <v>1000000000000</v>
      </c>
      <c r="BN154" s="171">
        <f ca="1">IF(OR($D154&lt;&gt;"Serviço",AND(AUTOEVENTO="Manual",$M154=$A$15)),0,
         IF(OFFSET(CRONOPLE!$F$15,$M154-$A$15,BN$13)=0,10^12,OFFSET(CRONOPLE!$F$15,$M154-$A$15,BN$13)))</f>
        <v>1000000000000</v>
      </c>
      <c r="BO154" s="171">
        <f ca="1">IF(OR($D154&lt;&gt;"Serviço",AND(AUTOEVENTO="Manual",$M154=$A$15)),0,
         IF(OFFSET(CRONOPLE!$F$15,$M154-$A$15,BO$13)=0,10^12,OFFSET(CRONOPLE!$F$15,$M154-$A$15,BO$13)))</f>
        <v>1000000000000</v>
      </c>
      <c r="BP154" s="171">
        <f ca="1">IF(OR($D154&lt;&gt;"Serviço",AND(AUTOEVENTO="Manual",$M154=$A$15)),0,
         IF(OFFSET(CRONOPLE!$F$15,$M154-$A$15,BP$13)=0,10^12,OFFSET(CRONOPLE!$F$15,$M154-$A$15,BP$13)))</f>
        <v>1000000000000</v>
      </c>
      <c r="BQ154" s="171">
        <f ca="1">IF(OR($D154&lt;&gt;"Serviço",AND(AUTOEVENTO="Manual",$M154=$A$15)),0,
         IF(OFFSET(CRONOPLE!$F$15,$M154-$A$15,BQ$13)=0,10^12,OFFSET(CRONOPLE!$F$15,$M154-$A$15,BQ$13)))</f>
        <v>1000000000000</v>
      </c>
      <c r="BR154" s="171">
        <f ca="1">IF(OR($D154&lt;&gt;"Serviço",AND(AUTOEVENTO="Manual",$M154=$A$15)),0,
         IF(OFFSET(CRONOPLE!$F$15,$M154-$A$15,BR$13)=0,10^12,OFFSET(CRONOPLE!$F$15,$M154-$A$15,BR$13)))</f>
        <v>1000000000000</v>
      </c>
      <c r="BS154" s="171">
        <f ca="1">IF(OR($D154&lt;&gt;"Serviço",AND(AUTOEVENTO="Manual",$M154=$A$15)),0,
         IF(OFFSET(CRONOPLE!$F$15,$M154-$A$15,BS$13)=0,10^12,OFFSET(CRONOPLE!$F$15,$M154-$A$15,BS$13)))</f>
        <v>1000000000000</v>
      </c>
      <c r="BT154" s="171">
        <f ca="1">IF(OR($D154&lt;&gt;"Serviço",AND(AUTOEVENTO="Manual",$M154=$A$15)),0,
         IF(OFFSET(CRONOPLE!$F$15,$M154-$A$15,BT$13)=0,10^12,OFFSET(CRONOPLE!$F$15,$M154-$A$15,BT$13)))</f>
        <v>1000000000000</v>
      </c>
      <c r="BV154" s="172">
        <f ca="1">IF(OR($D154&lt;&gt;"Serviço",AND(AUTOEVENTO="Manual",$M154=$A$15),$M154&gt;(ROW(PLE.lastrow)-ROW(PLE.firstrow))),0,
           IF(OFFSET(PLE!$G$15,$M154-$A$15,BV$13)="",10^12,OFFSET(PLE!$G$15,$M154-$A$15,BV$13)))</f>
        <v>1000000000000</v>
      </c>
      <c r="BW154" s="172">
        <f ca="1">IF(OR($D154&lt;&gt;"Serviço",AND(AUTOEVENTO="Manual",$M154=$A$15),$M154&gt;(ROW(PLE.lastrow)-ROW(PLE.firstrow))),0,
           IF(OFFSET(PLE!$G$15,$M154-$A$15,BW$13)="",10^12,OFFSET(PLE!$G$15,$M154-$A$15,BW$13)))</f>
        <v>1000000000000</v>
      </c>
      <c r="BX154" s="172">
        <f ca="1">IF(OR($D154&lt;&gt;"Serviço",AND(AUTOEVENTO="Manual",$M154=$A$15),$M154&gt;(ROW(PLE.lastrow)-ROW(PLE.firstrow))),0,
           IF(OFFSET(PLE!$G$15,$M154-$A$15,BX$13)="",10^12,OFFSET(PLE!$G$15,$M154-$A$15,BX$13)))</f>
        <v>1000000000000</v>
      </c>
      <c r="BY154" s="172">
        <f ca="1">IF(OR($D154&lt;&gt;"Serviço",AND(AUTOEVENTO="Manual",$M154=$A$15),$M154&gt;(ROW(PLE.lastrow)-ROW(PLE.firstrow))),0,
           IF(OFFSET(PLE!$G$15,$M154-$A$15,BY$13)="",10^12,OFFSET(PLE!$G$15,$M154-$A$15,BY$13)))</f>
        <v>1000000000000</v>
      </c>
      <c r="BZ154" s="172">
        <f ca="1">IF(OR($D154&lt;&gt;"Serviço",AND(AUTOEVENTO="Manual",$M154=$A$15),$M154&gt;(ROW(PLE.lastrow)-ROW(PLE.firstrow))),0,
           IF(OFFSET(PLE!$G$15,$M154-$A$15,BZ$13)="",10^12,OFFSET(PLE!$G$15,$M154-$A$15,BZ$13)))</f>
        <v>1000000000000</v>
      </c>
      <c r="CA154" s="172">
        <f ca="1">IF(OR($D154&lt;&gt;"Serviço",AND(AUTOEVENTO="Manual",$M154=$A$15),$M154&gt;(ROW(PLE.lastrow)-ROW(PLE.firstrow))),0,
           IF(OFFSET(PLE!$G$15,$M154-$A$15,CA$13)="",10^12,OFFSET(PLE!$G$15,$M154-$A$15,CA$13)))</f>
        <v>1000000000000</v>
      </c>
      <c r="CB154" s="172">
        <f ca="1">IF(OR($D154&lt;&gt;"Serviço",AND(AUTOEVENTO="Manual",$M154=$A$15),$M154&gt;(ROW(PLE.lastrow)-ROW(PLE.firstrow))),0,
           IF(OFFSET(PLE!$G$15,$M154-$A$15,CB$13)="",10^12,OFFSET(PLE!$G$15,$M154-$A$15,CB$13)))</f>
        <v>1000000000000</v>
      </c>
      <c r="CC154" s="172">
        <f ca="1">IF(OR($D154&lt;&gt;"Serviço",AND(AUTOEVENTO="Manual",$M154=$A$15),$M154&gt;(ROW(PLE.lastrow)-ROW(PLE.firstrow))),0,
           IF(OFFSET(PLE!$G$15,$M154-$A$15,CC$13)="",10^12,OFFSET(PLE!$G$15,$M154-$A$15,CC$13)))</f>
        <v>1000000000000</v>
      </c>
      <c r="CD154" s="172">
        <f ca="1">IF(OR($D154&lt;&gt;"Serviço",AND(AUTOEVENTO="Manual",$M154=$A$15),$M154&gt;(ROW(PLE.lastrow)-ROW(PLE.firstrow))),0,
           IF(OFFSET(PLE!$G$15,$M154-$A$15,CD$13)="",10^12,OFFSET(PLE!$G$15,$M154-$A$15,CD$13)))</f>
        <v>1000000000000</v>
      </c>
      <c r="CE154" s="172">
        <f ca="1">IF(OR($D154&lt;&gt;"Serviço",AND(AUTOEVENTO="Manual",$M154=$A$15),$M154&gt;(ROW(PLE.lastrow)-ROW(PLE.firstrow))),0,
           IF(OFFSET(PLE!$G$15,$M154-$A$15,CE$13)="",10^12,OFFSET(PLE!$G$15,$M154-$A$15,CE$13)))</f>
        <v>1000000000000</v>
      </c>
      <c r="CF154" s="172">
        <f ca="1">IF(OR($D154&lt;&gt;"Serviço",AND(AUTOEVENTO="Manual",$M154=$A$15),$M154&gt;(ROW(PLE.lastrow)-ROW(PLE.firstrow))),0,
           IF(OFFSET(PLE!$G$15,$M154-$A$15,CF$13)="",10^12,OFFSET(PLE!$G$15,$M154-$A$15,CF$13)))</f>
        <v>1000000000000</v>
      </c>
      <c r="CG154" s="172">
        <f ca="1">IF(OR($D154&lt;&gt;"Serviço",AND(AUTOEVENTO="Manual",$M154=$A$15),$M154&gt;(ROW(PLE.lastrow)-ROW(PLE.firstrow))),0,
           IF(OFFSET(PLE!$G$15,$M154-$A$15,CG$13)="",10^12,OFFSET(PLE!$G$15,$M154-$A$15,CG$13)))</f>
        <v>1000000000000</v>
      </c>
      <c r="CH154" s="172">
        <f ca="1">IF(OR($D154&lt;&gt;"Serviço",AND(AUTOEVENTO="Manual",$M154=$A$15),$M154&gt;(ROW(PLE.lastrow)-ROW(PLE.firstrow))),0,
           IF(OFFSET(PLE!$G$15,$M154-$A$15,CH$13)="",10^12,OFFSET(PLE!$G$15,$M154-$A$15,CH$13)))</f>
        <v>1000000000000</v>
      </c>
      <c r="CI154" s="172">
        <f ca="1">IF(OR($D154&lt;&gt;"Serviço",AND(AUTOEVENTO="Manual",$M154=$A$15),$M154&gt;(ROW(PLE.lastrow)-ROW(PLE.firstrow))),0,
           IF(OFFSET(PLE!$G$15,$M154-$A$15,CI$13)="",10^12,OFFSET(PLE!$G$15,$M154-$A$15,CI$13)))</f>
        <v>1000000000000</v>
      </c>
      <c r="CJ154" s="172">
        <f ca="1">IF(OR($D154&lt;&gt;"Serviço",AND(AUTOEVENTO="Manual",$M154=$A$15),$M154&gt;(ROW(PLE.lastrow)-ROW(PLE.firstrow))),0,
           IF(OFFSET(PLE!$G$15,$M154-$A$15,CJ$13)="",10^12,OFFSET(PLE!$G$15,$M154-$A$15,CJ$13)))</f>
        <v>1000000000000</v>
      </c>
      <c r="CK154" s="172">
        <f ca="1">IF(OR($D154&lt;&gt;"Serviço",AND(AUTOEVENTO="Manual",$M154=$A$15),$M154&gt;(ROW(PLE.lastrow)-ROW(PLE.firstrow))),0,
           IF(OFFSET(PLE!$G$15,$M154-$A$15,CK$13)="",10^12,OFFSET(PLE!$G$15,$M154-$A$15,CK$13)))</f>
        <v>1000000000000</v>
      </c>
      <c r="CL154" s="172">
        <f ca="1">IF(OR($D154&lt;&gt;"Serviço",AND(AUTOEVENTO="Manual",$M154=$A$15),$M154&gt;(ROW(PLE.lastrow)-ROW(PLE.firstrow))),0,
           IF(OFFSET(PLE!$G$15,$M154-$A$15,CL$13)="",10^12,OFFSET(PLE!$G$15,$M154-$A$15,CL$13)))</f>
        <v>1000000000000</v>
      </c>
      <c r="CM154" s="172">
        <f ca="1">IF(OR($D154&lt;&gt;"Serviço",AND(AUTOEVENTO="Manual",$M154=$A$15),$M154&gt;(ROW(PLE.lastrow)-ROW(PLE.firstrow))),0,
           IF(OFFSET(PLE!$G$15,$M154-$A$15,CM$13)="",10^12,OFFSET(PLE!$G$15,$M154-$A$15,CM$13)))</f>
        <v>1000000000000</v>
      </c>
    </row>
    <row r="155" spans="1:91" ht="38.25" x14ac:dyDescent="0.2">
      <c r="A155" s="7">
        <f t="shared" ca="1" si="12"/>
        <v>4</v>
      </c>
      <c r="B155" s="7" t="str">
        <f ca="1">OFFSET(ORÇAMENTO!C$15,ROW(B155)-ROW(B$15),0)</f>
        <v>S</v>
      </c>
      <c r="C155" s="7" t="str">
        <f ca="1">OFFSET(ORÇAMENTO!L$15,ROW(C155)-ROW(C$15),0)</f>
        <v>F</v>
      </c>
      <c r="D155" s="116" t="str">
        <f ca="1">OFFSET(ORÇAMENTO!N$15,ROW(D155)-ROW(D$15),0)</f>
        <v>Serviço</v>
      </c>
      <c r="E155" s="117" t="str">
        <f ca="1">OFFSET(ORÇAMENTO!O$15,ROW(E155)-ROW(E$15),0)</f>
        <v>1.5.5.1.7.</v>
      </c>
      <c r="F155" s="163" t="str">
        <f ca="1">OFFSET(ORÇAMENTO!R$15,ROW(F155)-ROW(F$15),0)</f>
        <v>TRANSPORTE COM CAMINHÃO BASCULANTE DE 18 M³, EM VIA URBANA PAVIMENTADA, DMT ATÉ 30 KM (UNIDADE: M3XKM). AF_07/2020</v>
      </c>
      <c r="G155" s="164" t="str">
        <f ca="1">IF($D155&lt;&gt;"Serviço","",OFFSET(ORÇAMENTO!S$15,ROW(G155)-ROW(G$15),0))</f>
        <v>M3XKM</v>
      </c>
      <c r="H155" s="122" cm="1">
        <f t="array" aca="1" ref="H155" ca="1">IF($D155&lt;&gt;"Serviço",0,IF(ACOMPANHAMENTO="BM",ROUND(OFFSET(ORÇAMENTO!AJ$15,ROW(H155)-ROW(H$15),0),15-13*ORÇAMENTO!$AF$7),SUMPRODUCT(($Q$1:$AI$1=1)*ROUND($Q155:$AI155,15-13*ORÇAMENTO!$AF$7))))</f>
        <v>49.28</v>
      </c>
      <c r="I155" s="468" t="s">
        <v>1426</v>
      </c>
      <c r="J155" s="640" t="str" cm="1">
        <f t="array" aca="1" ref="J155" ca="1">IF(OR(B155&lt;&gt;"S",CÁLCULO.FrentesPreenchidas=0),"",IF(AND(ACOMPANHAMENTO="PLE",AUTOEVENTO="Manual",OR(H155&gt;0,ORÇAMENTO!AC155="QUANT."),OR(K155="",M155=0,N155="")),"►E",IF(AND(ACOMPANHAMENTO="PLE",ORÇAMENTO!AC155="QUANT."),"►Q",IF(AND(ACOMPANHAMENTO="PLE",H155&lt;&gt;SUMPRODUCT(($Q$1:$AI$1=1)*ROUND(Q155:AI155,15))),"►S",IF(AND(COUNTIF($P$11:$AI$11,"▼")=0,H155&gt;0,I155=""),"◄M","")))))</f>
        <v/>
      </c>
      <c r="K155" s="641" t="s">
        <v>1389</v>
      </c>
      <c r="L155" s="165" t="s">
        <v>764</v>
      </c>
      <c r="M155" s="166">
        <f ca="1">IF($D155&lt;&gt;"Serviço","",
          IF(AUTOEVENTO="manual",$A155,
                IF(ISERROR(MATCH($A155,$A$15:OFFSET($A155,-1,0),0)),MAX($M$15:OFFSET(M155,-1,0))+1,
                      INDEX($M$15:OFFSET(M155,-1,0),MATCH($A155,$A$15:OFFSET($A155,-1,0),0)))))</f>
        <v>4</v>
      </c>
      <c r="N155" s="167" t="str">
        <f ca="1">IF($D155&lt;&gt;"Serviço","",
         IF(AUTOEVENTO="Manual",
                IF($A155=0,"&lt;-- defina o número do agrupador",
                       OFFSET(EVENTOS!$D$15,$A155-$A$15,0)),
                OFFSET($F$15,$A155,0)))</f>
        <v>Estruturas de Concreto</v>
      </c>
      <c r="O155" s="168"/>
      <c r="Q155" s="168"/>
      <c r="R155" s="169"/>
      <c r="S155" s="169"/>
      <c r="T155" s="169"/>
      <c r="U155" s="169"/>
      <c r="V155" s="169">
        <f>V154*7.7</f>
        <v>49.28</v>
      </c>
      <c r="W155" s="169"/>
      <c r="X155" s="169"/>
      <c r="Y155" s="169"/>
      <c r="Z155" s="170"/>
      <c r="AA155" s="169"/>
      <c r="AB155" s="169"/>
      <c r="AC155" s="169"/>
      <c r="AD155" s="169"/>
      <c r="AE155" s="169"/>
      <c r="AF155" s="169"/>
      <c r="AG155" s="169"/>
      <c r="AH155" s="170"/>
      <c r="AJ155" s="453">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0</v>
      </c>
      <c r="AK155" s="453">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0</v>
      </c>
      <c r="AL155" s="453">
        <f ca="1">IF(AND($D155="Serviço",AL$12&lt;&gt;0,$H155&gt;0,OR(AUTOEVENTO&lt;&gt;"manual",$M155&lt;&gt;$A$15)),
        IF(Import.TipoArredondamento&lt;&gt;"TransfereGOV",
              ROUND(OFFSET($P155,0,AL$13),15-13*ORÇAMENTO!$AF$7)/$H155*OFFSET(ORÇAMENTO!$X$15,ROW(AL155)-ROW(AL$15),0),
              ROUND(ROUND(OFFSET($P155,0,AL$13),15-13*ORÇAMENTO!$AF$7)*OFFSET(ORÇAMENTO!$W$15,ROW(AL155)-ROW(AL$15),0),15-13*ORÇAMENTO!$AF$11)),
         0)</f>
        <v>0</v>
      </c>
      <c r="AM155" s="453">
        <f ca="1">IF(AND($D155="Serviço",AM$12&lt;&gt;0,$H155&gt;0,OR(AUTOEVENTO&lt;&gt;"manual",$M155&lt;&gt;$A$15)),
        IF(Import.TipoArredondamento&lt;&gt;"TransfereGOV",
              ROUND(OFFSET($P155,0,AM$13),15-13*ORÇAMENTO!$AF$7)/$H155*OFFSET(ORÇAMENTO!$X$15,ROW(AM155)-ROW(AM$15),0),
              ROUND(ROUND(OFFSET($P155,0,AM$13),15-13*ORÇAMENTO!$AF$7)*OFFSET(ORÇAMENTO!$W$15,ROW(AM155)-ROW(AM$15),0),15-13*ORÇAMENTO!$AF$11)),
         0)</f>
        <v>0</v>
      </c>
      <c r="AN155" s="453">
        <f ca="1">IF(AND($D155="Serviço",AN$12&lt;&gt;0,$H155&gt;0,OR(AUTOEVENTO&lt;&gt;"manual",$M155&lt;&gt;$A$15)),
        IF(Import.TipoArredondamento&lt;&gt;"TransfereGOV",
              ROUND(OFFSET($P155,0,AN$13),15-13*ORÇAMENTO!$AF$7)/$H155*OFFSET(ORÇAMENTO!$X$15,ROW(AN155)-ROW(AN$15),0),
              ROUND(ROUND(OFFSET($P155,0,AN$13),15-13*ORÇAMENTO!$AF$7)*OFFSET(ORÇAMENTO!$W$15,ROW(AN155)-ROW(AN$15),0),15-13*ORÇAMENTO!$AF$11)),
         0)</f>
        <v>0</v>
      </c>
      <c r="AO155" s="453">
        <f ca="1">IF(AND($D155="Serviço",AO$12&lt;&gt;0,$H155&gt;0,OR(AUTOEVENTO&lt;&gt;"manual",$M155&lt;&gt;$A$15)),
        IF(Import.TipoArredondamento&lt;&gt;"TransfereGOV",
              ROUND(OFFSET($P155,0,AO$13),15-13*ORÇAMENTO!$AF$7)/$H155*OFFSET(ORÇAMENTO!$X$15,ROW(AO155)-ROW(AO$15),0),
              ROUND(ROUND(OFFSET($P155,0,AO$13),15-13*ORÇAMENTO!$AF$7)*OFFSET(ORÇAMENTO!$W$15,ROW(AO155)-ROW(AO$15),0),15-13*ORÇAMENTO!$AF$11)),
         0)</f>
        <v>0</v>
      </c>
      <c r="AP155" s="453">
        <f ca="1">IF(AND($D155="Serviço",AP$12&lt;&gt;0,$H155&gt;0,OR(AUTOEVENTO&lt;&gt;"manual",$M155&lt;&gt;$A$15)),
        IF(Import.TipoArredondamento&lt;&gt;"TransfereGOV",
              ROUND(OFFSET($P155,0,AP$13),15-13*ORÇAMENTO!$AF$7)/$H155*OFFSET(ORÇAMENTO!$X$15,ROW(AP155)-ROW(AP$15),0),
              ROUND(ROUND(OFFSET($P155,0,AP$13),15-13*ORÇAMENTO!$AF$7)*OFFSET(ORÇAMENTO!$W$15,ROW(AP155)-ROW(AP$15),0),15-13*ORÇAMENTO!$AF$11)),
         0)</f>
        <v>0</v>
      </c>
      <c r="AQ155" s="453">
        <f ca="1">IF(AND($D155="Serviço",AQ$12&lt;&gt;0,$H155&gt;0,OR(AUTOEVENTO&lt;&gt;"manual",$M155&lt;&gt;$A$15)),
        IF(Import.TipoArredondamento&lt;&gt;"TransfereGOV",
              ROUND(OFFSET($P155,0,AQ$13),15-13*ORÇAMENTO!$AF$7)/$H155*OFFSET(ORÇAMENTO!$X$15,ROW(AQ155)-ROW(AQ$15),0),
              ROUND(ROUND(OFFSET($P155,0,AQ$13),15-13*ORÇAMENTO!$AF$7)*OFFSET(ORÇAMENTO!$W$15,ROW(AQ155)-ROW(AQ$15),0),15-13*ORÇAMENTO!$AF$11)),
         0)</f>
        <v>0</v>
      </c>
      <c r="AR155" s="453">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3">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3">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3">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3">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3">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3">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3">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3">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3">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C155" s="171">
        <f ca="1">IF(OR($D155&lt;&gt;"Serviço",AND(AUTOEVENTO="Manual",$M155=$A$15)),0,
         IF(OFFSET(CRONOPLE!$F$15,$M155-$A$15,BC$13)=0,10^12,OFFSET(CRONOPLE!$F$15,$M155-$A$15,BC$13)))</f>
        <v>1</v>
      </c>
      <c r="BD155" s="171">
        <f ca="1">IF(OR($D155&lt;&gt;"Serviço",AND(AUTOEVENTO="Manual",$M155=$A$15)),0,
         IF(OFFSET(CRONOPLE!$F$15,$M155-$A$15,BD$13)=0,10^12,OFFSET(CRONOPLE!$F$15,$M155-$A$15,BD$13)))</f>
        <v>2</v>
      </c>
      <c r="BE155" s="171">
        <f ca="1">IF(OR($D155&lt;&gt;"Serviço",AND(AUTOEVENTO="Manual",$M155=$A$15)),0,
         IF(OFFSET(CRONOPLE!$F$15,$M155-$A$15,BE$13)=0,10^12,OFFSET(CRONOPLE!$F$15,$M155-$A$15,BE$13)))</f>
        <v>3</v>
      </c>
      <c r="BF155" s="171">
        <f ca="1">IF(OR($D155&lt;&gt;"Serviço",AND(AUTOEVENTO="Manual",$M155=$A$15)),0,
         IF(OFFSET(CRONOPLE!$F$15,$M155-$A$15,BF$13)=0,10^12,OFFSET(CRONOPLE!$F$15,$M155-$A$15,BF$13)))</f>
        <v>4</v>
      </c>
      <c r="BG155" s="171">
        <f ca="1">IF(OR($D155&lt;&gt;"Serviço",AND(AUTOEVENTO="Manual",$M155=$A$15)),0,
         IF(OFFSET(CRONOPLE!$F$15,$M155-$A$15,BG$13)=0,10^12,OFFSET(CRONOPLE!$F$15,$M155-$A$15,BG$13)))</f>
        <v>5</v>
      </c>
      <c r="BH155" s="171">
        <f ca="1">IF(OR($D155&lt;&gt;"Serviço",AND(AUTOEVENTO="Manual",$M155=$A$15)),0,
         IF(OFFSET(CRONOPLE!$F$15,$M155-$A$15,BH$13)=0,10^12,OFFSET(CRONOPLE!$F$15,$M155-$A$15,BH$13)))</f>
        <v>6</v>
      </c>
      <c r="BI155" s="171">
        <f ca="1">IF(OR($D155&lt;&gt;"Serviço",AND(AUTOEVENTO="Manual",$M155=$A$15)),0,
         IF(OFFSET(CRONOPLE!$F$15,$M155-$A$15,BI$13)=0,10^12,OFFSET(CRONOPLE!$F$15,$M155-$A$15,BI$13)))</f>
        <v>7</v>
      </c>
      <c r="BJ155" s="171">
        <f ca="1">IF(OR($D155&lt;&gt;"Serviço",AND(AUTOEVENTO="Manual",$M155=$A$15)),0,
         IF(OFFSET(CRONOPLE!$F$15,$M155-$A$15,BJ$13)=0,10^12,OFFSET(CRONOPLE!$F$15,$M155-$A$15,BJ$13)))</f>
        <v>8</v>
      </c>
      <c r="BK155" s="171">
        <f ca="1">IF(OR($D155&lt;&gt;"Serviço",AND(AUTOEVENTO="Manual",$M155=$A$15)),0,
         IF(OFFSET(CRONOPLE!$F$15,$M155-$A$15,BK$13)=0,10^12,OFFSET(CRONOPLE!$F$15,$M155-$A$15,BK$13)))</f>
        <v>9</v>
      </c>
      <c r="BL155" s="171">
        <f ca="1">IF(OR($D155&lt;&gt;"Serviço",AND(AUTOEVENTO="Manual",$M155=$A$15)),0,
         IF(OFFSET(CRONOPLE!$F$15,$M155-$A$15,BL$13)=0,10^12,OFFSET(CRONOPLE!$F$15,$M155-$A$15,BL$13)))</f>
        <v>10</v>
      </c>
      <c r="BM155" s="171">
        <f ca="1">IF(OR($D155&lt;&gt;"Serviço",AND(AUTOEVENTO="Manual",$M155=$A$15)),0,
         IF(OFFSET(CRONOPLE!$F$15,$M155-$A$15,BM$13)=0,10^12,OFFSET(CRONOPLE!$F$15,$M155-$A$15,BM$13)))</f>
        <v>1000000000000</v>
      </c>
      <c r="BN155" s="171">
        <f ca="1">IF(OR($D155&lt;&gt;"Serviço",AND(AUTOEVENTO="Manual",$M155=$A$15)),0,
         IF(OFFSET(CRONOPLE!$F$15,$M155-$A$15,BN$13)=0,10^12,OFFSET(CRONOPLE!$F$15,$M155-$A$15,BN$13)))</f>
        <v>1000000000000</v>
      </c>
      <c r="BO155" s="171">
        <f ca="1">IF(OR($D155&lt;&gt;"Serviço",AND(AUTOEVENTO="Manual",$M155=$A$15)),0,
         IF(OFFSET(CRONOPLE!$F$15,$M155-$A$15,BO$13)=0,10^12,OFFSET(CRONOPLE!$F$15,$M155-$A$15,BO$13)))</f>
        <v>1000000000000</v>
      </c>
      <c r="BP155" s="171">
        <f ca="1">IF(OR($D155&lt;&gt;"Serviço",AND(AUTOEVENTO="Manual",$M155=$A$15)),0,
         IF(OFFSET(CRONOPLE!$F$15,$M155-$A$15,BP$13)=0,10^12,OFFSET(CRONOPLE!$F$15,$M155-$A$15,BP$13)))</f>
        <v>1000000000000</v>
      </c>
      <c r="BQ155" s="171">
        <f ca="1">IF(OR($D155&lt;&gt;"Serviço",AND(AUTOEVENTO="Manual",$M155=$A$15)),0,
         IF(OFFSET(CRONOPLE!$F$15,$M155-$A$15,BQ$13)=0,10^12,OFFSET(CRONOPLE!$F$15,$M155-$A$15,BQ$13)))</f>
        <v>1000000000000</v>
      </c>
      <c r="BR155" s="171">
        <f ca="1">IF(OR($D155&lt;&gt;"Serviço",AND(AUTOEVENTO="Manual",$M155=$A$15)),0,
         IF(OFFSET(CRONOPLE!$F$15,$M155-$A$15,BR$13)=0,10^12,OFFSET(CRONOPLE!$F$15,$M155-$A$15,BR$13)))</f>
        <v>1000000000000</v>
      </c>
      <c r="BS155" s="171">
        <f ca="1">IF(OR($D155&lt;&gt;"Serviço",AND(AUTOEVENTO="Manual",$M155=$A$15)),0,
         IF(OFFSET(CRONOPLE!$F$15,$M155-$A$15,BS$13)=0,10^12,OFFSET(CRONOPLE!$F$15,$M155-$A$15,BS$13)))</f>
        <v>1000000000000</v>
      </c>
      <c r="BT155" s="171">
        <f ca="1">IF(OR($D155&lt;&gt;"Serviço",AND(AUTOEVENTO="Manual",$M155=$A$15)),0,
         IF(OFFSET(CRONOPLE!$F$15,$M155-$A$15,BT$13)=0,10^12,OFFSET(CRONOPLE!$F$15,$M155-$A$15,BT$13)))</f>
        <v>1000000000000</v>
      </c>
      <c r="BV155" s="172">
        <f ca="1">IF(OR($D155&lt;&gt;"Serviço",AND(AUTOEVENTO="Manual",$M155=$A$15),$M155&gt;(ROW(PLE.lastrow)-ROW(PLE.firstrow))),0,
           IF(OFFSET(PLE!$G$15,$M155-$A$15,BV$13)="",10^12,OFFSET(PLE!$G$15,$M155-$A$15,BV$13)))</f>
        <v>1000000000000</v>
      </c>
      <c r="BW155" s="172">
        <f ca="1">IF(OR($D155&lt;&gt;"Serviço",AND(AUTOEVENTO="Manual",$M155=$A$15),$M155&gt;(ROW(PLE.lastrow)-ROW(PLE.firstrow))),0,
           IF(OFFSET(PLE!$G$15,$M155-$A$15,BW$13)="",10^12,OFFSET(PLE!$G$15,$M155-$A$15,BW$13)))</f>
        <v>1000000000000</v>
      </c>
      <c r="BX155" s="172">
        <f ca="1">IF(OR($D155&lt;&gt;"Serviço",AND(AUTOEVENTO="Manual",$M155=$A$15),$M155&gt;(ROW(PLE.lastrow)-ROW(PLE.firstrow))),0,
           IF(OFFSET(PLE!$G$15,$M155-$A$15,BX$13)="",10^12,OFFSET(PLE!$G$15,$M155-$A$15,BX$13)))</f>
        <v>1000000000000</v>
      </c>
      <c r="BY155" s="172">
        <f ca="1">IF(OR($D155&lt;&gt;"Serviço",AND(AUTOEVENTO="Manual",$M155=$A$15),$M155&gt;(ROW(PLE.lastrow)-ROW(PLE.firstrow))),0,
           IF(OFFSET(PLE!$G$15,$M155-$A$15,BY$13)="",10^12,OFFSET(PLE!$G$15,$M155-$A$15,BY$13)))</f>
        <v>1000000000000</v>
      </c>
      <c r="BZ155" s="172">
        <f ca="1">IF(OR($D155&lt;&gt;"Serviço",AND(AUTOEVENTO="Manual",$M155=$A$15),$M155&gt;(ROW(PLE.lastrow)-ROW(PLE.firstrow))),0,
           IF(OFFSET(PLE!$G$15,$M155-$A$15,BZ$13)="",10^12,OFFSET(PLE!$G$15,$M155-$A$15,BZ$13)))</f>
        <v>1000000000000</v>
      </c>
      <c r="CA155" s="172">
        <f ca="1">IF(OR($D155&lt;&gt;"Serviço",AND(AUTOEVENTO="Manual",$M155=$A$15),$M155&gt;(ROW(PLE.lastrow)-ROW(PLE.firstrow))),0,
           IF(OFFSET(PLE!$G$15,$M155-$A$15,CA$13)="",10^12,OFFSET(PLE!$G$15,$M155-$A$15,CA$13)))</f>
        <v>1000000000000</v>
      </c>
      <c r="CB155" s="172">
        <f ca="1">IF(OR($D155&lt;&gt;"Serviço",AND(AUTOEVENTO="Manual",$M155=$A$15),$M155&gt;(ROW(PLE.lastrow)-ROW(PLE.firstrow))),0,
           IF(OFFSET(PLE!$G$15,$M155-$A$15,CB$13)="",10^12,OFFSET(PLE!$G$15,$M155-$A$15,CB$13)))</f>
        <v>1000000000000</v>
      </c>
      <c r="CC155" s="172">
        <f ca="1">IF(OR($D155&lt;&gt;"Serviço",AND(AUTOEVENTO="Manual",$M155=$A$15),$M155&gt;(ROW(PLE.lastrow)-ROW(PLE.firstrow))),0,
           IF(OFFSET(PLE!$G$15,$M155-$A$15,CC$13)="",10^12,OFFSET(PLE!$G$15,$M155-$A$15,CC$13)))</f>
        <v>1000000000000</v>
      </c>
      <c r="CD155" s="172">
        <f ca="1">IF(OR($D155&lt;&gt;"Serviço",AND(AUTOEVENTO="Manual",$M155=$A$15),$M155&gt;(ROW(PLE.lastrow)-ROW(PLE.firstrow))),0,
           IF(OFFSET(PLE!$G$15,$M155-$A$15,CD$13)="",10^12,OFFSET(PLE!$G$15,$M155-$A$15,CD$13)))</f>
        <v>1000000000000</v>
      </c>
      <c r="CE155" s="172">
        <f ca="1">IF(OR($D155&lt;&gt;"Serviço",AND(AUTOEVENTO="Manual",$M155=$A$15),$M155&gt;(ROW(PLE.lastrow)-ROW(PLE.firstrow))),0,
           IF(OFFSET(PLE!$G$15,$M155-$A$15,CE$13)="",10^12,OFFSET(PLE!$G$15,$M155-$A$15,CE$13)))</f>
        <v>1000000000000</v>
      </c>
      <c r="CF155" s="172">
        <f ca="1">IF(OR($D155&lt;&gt;"Serviço",AND(AUTOEVENTO="Manual",$M155=$A$15),$M155&gt;(ROW(PLE.lastrow)-ROW(PLE.firstrow))),0,
           IF(OFFSET(PLE!$G$15,$M155-$A$15,CF$13)="",10^12,OFFSET(PLE!$G$15,$M155-$A$15,CF$13)))</f>
        <v>1000000000000</v>
      </c>
      <c r="CG155" s="172">
        <f ca="1">IF(OR($D155&lt;&gt;"Serviço",AND(AUTOEVENTO="Manual",$M155=$A$15),$M155&gt;(ROW(PLE.lastrow)-ROW(PLE.firstrow))),0,
           IF(OFFSET(PLE!$G$15,$M155-$A$15,CG$13)="",10^12,OFFSET(PLE!$G$15,$M155-$A$15,CG$13)))</f>
        <v>1000000000000</v>
      </c>
      <c r="CH155" s="172">
        <f ca="1">IF(OR($D155&lt;&gt;"Serviço",AND(AUTOEVENTO="Manual",$M155=$A$15),$M155&gt;(ROW(PLE.lastrow)-ROW(PLE.firstrow))),0,
           IF(OFFSET(PLE!$G$15,$M155-$A$15,CH$13)="",10^12,OFFSET(PLE!$G$15,$M155-$A$15,CH$13)))</f>
        <v>1000000000000</v>
      </c>
      <c r="CI155" s="172">
        <f ca="1">IF(OR($D155&lt;&gt;"Serviço",AND(AUTOEVENTO="Manual",$M155=$A$15),$M155&gt;(ROW(PLE.lastrow)-ROW(PLE.firstrow))),0,
           IF(OFFSET(PLE!$G$15,$M155-$A$15,CI$13)="",10^12,OFFSET(PLE!$G$15,$M155-$A$15,CI$13)))</f>
        <v>1000000000000</v>
      </c>
      <c r="CJ155" s="172">
        <f ca="1">IF(OR($D155&lt;&gt;"Serviço",AND(AUTOEVENTO="Manual",$M155=$A$15),$M155&gt;(ROW(PLE.lastrow)-ROW(PLE.firstrow))),0,
           IF(OFFSET(PLE!$G$15,$M155-$A$15,CJ$13)="",10^12,OFFSET(PLE!$G$15,$M155-$A$15,CJ$13)))</f>
        <v>1000000000000</v>
      </c>
      <c r="CK155" s="172">
        <f ca="1">IF(OR($D155&lt;&gt;"Serviço",AND(AUTOEVENTO="Manual",$M155=$A$15),$M155&gt;(ROW(PLE.lastrow)-ROW(PLE.firstrow))),0,
           IF(OFFSET(PLE!$G$15,$M155-$A$15,CK$13)="",10^12,OFFSET(PLE!$G$15,$M155-$A$15,CK$13)))</f>
        <v>1000000000000</v>
      </c>
      <c r="CL155" s="172">
        <f ca="1">IF(OR($D155&lt;&gt;"Serviço",AND(AUTOEVENTO="Manual",$M155=$A$15),$M155&gt;(ROW(PLE.lastrow)-ROW(PLE.firstrow))),0,
           IF(OFFSET(PLE!$G$15,$M155-$A$15,CL$13)="",10^12,OFFSET(PLE!$G$15,$M155-$A$15,CL$13)))</f>
        <v>1000000000000</v>
      </c>
      <c r="CM155" s="172">
        <f ca="1">IF(OR($D155&lt;&gt;"Serviço",AND(AUTOEVENTO="Manual",$M155=$A$15),$M155&gt;(ROW(PLE.lastrow)-ROW(PLE.firstrow))),0,
           IF(OFFSET(PLE!$G$15,$M155-$A$15,CM$13)="",10^12,OFFSET(PLE!$G$15,$M155-$A$15,CM$13)))</f>
        <v>1000000000000</v>
      </c>
    </row>
    <row r="156" spans="1:91" ht="63.75" x14ac:dyDescent="0.2">
      <c r="A156" s="7">
        <f t="shared" ca="1" si="12"/>
        <v>4</v>
      </c>
      <c r="B156" s="7" t="str">
        <f ca="1">OFFSET(ORÇAMENTO!C$15,ROW(B156)-ROW(B$15),0)</f>
        <v>S</v>
      </c>
      <c r="C156" s="7" t="str">
        <f ca="1">OFFSET(ORÇAMENTO!L$15,ROW(C156)-ROW(C$15),0)</f>
        <v>F</v>
      </c>
      <c r="D156" s="116" t="str">
        <f ca="1">OFFSET(ORÇAMENTO!N$15,ROW(D156)-ROW(D$15),0)</f>
        <v>Serviço</v>
      </c>
      <c r="E156" s="117" t="str">
        <f ca="1">OFFSET(ORÇAMENTO!O$15,ROW(E156)-ROW(E$15),0)</f>
        <v>1.5.5.1.8.</v>
      </c>
      <c r="F156" s="163" t="str">
        <f ca="1">OFFSET(ORÇAMENTO!R$15,ROW(F156)-ROW(F$15),0)</f>
        <v>TAXA ATERRO SANITÁRIO</v>
      </c>
      <c r="G156" s="164" t="str">
        <f ca="1">IF($D156&lt;&gt;"Serviço","",OFFSET(ORÇAMENTO!S$15,ROW(G156)-ROW(G$15),0))</f>
        <v>T</v>
      </c>
      <c r="H156" s="122" cm="1">
        <f t="array" aca="1" ref="H156" ca="1">IF($D156&lt;&gt;"Serviço",0,IF(ACOMPANHAMENTO="BM",ROUND(OFFSET(ORÇAMENTO!AJ$15,ROW(H156)-ROW(H$15),0),15-13*ORÇAMENTO!$AF$7),SUMPRODUCT(($Q$1:$AI$1=1)*ROUND($Q156:$AI156,15-13*ORÇAMENTO!$AF$7))))</f>
        <v>8.6999999999999993</v>
      </c>
      <c r="I156" s="468" t="s">
        <v>1427</v>
      </c>
      <c r="J156" s="640" t="str" cm="1">
        <f t="array" aca="1" ref="J156" ca="1">IF(OR(B156&lt;&gt;"S",CÁLCULO.FrentesPreenchidas=0),"",IF(AND(ACOMPANHAMENTO="PLE",AUTOEVENTO="Manual",OR(H156&gt;0,ORÇAMENTO!AC156="QUANT."),OR(K156="",M156=0,N156="")),"►E",IF(AND(ACOMPANHAMENTO="PLE",ORÇAMENTO!AC156="QUANT."),"►Q",IF(AND(ACOMPANHAMENTO="PLE",H156&lt;&gt;SUMPRODUCT(($Q$1:$AI$1=1)*ROUND(Q156:AI156,15))),"►S",IF(AND(COUNTIF($P$11:$AI$11,"▼")=0,H156&gt;0,I156=""),"◄M","")))))</f>
        <v/>
      </c>
      <c r="K156" s="641" t="s">
        <v>1389</v>
      </c>
      <c r="L156" s="165" t="s">
        <v>764</v>
      </c>
      <c r="M156" s="166">
        <f ca="1">IF($D156&lt;&gt;"Serviço","",
          IF(AUTOEVENTO="manual",$A156,
                IF(ISERROR(MATCH($A156,$A$15:OFFSET($A156,-1,0),0)),MAX($M$15:OFFSET(M156,-1,0))+1,
                      INDEX($M$15:OFFSET(M156,-1,0),MATCH($A156,$A$15:OFFSET($A156,-1,0),0)))))</f>
        <v>4</v>
      </c>
      <c r="N156" s="167" t="str">
        <f ca="1">IF($D156&lt;&gt;"Serviço","",
         IF(AUTOEVENTO="Manual",
                IF($A156=0,"&lt;-- defina o número do agrupador",
                       OFFSET(EVENTOS!$D$15,$A156-$A$15,0)),
                OFFSET($F$15,$A156,0)))</f>
        <v>Estruturas de Concreto</v>
      </c>
      <c r="O156" s="168"/>
      <c r="Q156" s="168"/>
      <c r="R156" s="169"/>
      <c r="S156" s="169"/>
      <c r="T156" s="169"/>
      <c r="U156" s="169"/>
      <c r="V156" s="169">
        <f>ROUND(V154*1.36,2)</f>
        <v>8.6999999999999993</v>
      </c>
      <c r="W156" s="169"/>
      <c r="X156" s="169"/>
      <c r="Y156" s="169"/>
      <c r="Z156" s="170"/>
      <c r="AA156" s="169"/>
      <c r="AB156" s="169"/>
      <c r="AC156" s="169"/>
      <c r="AD156" s="169"/>
      <c r="AE156" s="169"/>
      <c r="AF156" s="169"/>
      <c r="AG156" s="169"/>
      <c r="AH156" s="170"/>
      <c r="AJ156" s="453">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0</v>
      </c>
      <c r="AK156" s="453">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0</v>
      </c>
      <c r="AL156" s="453">
        <f ca="1">IF(AND($D156="Serviço",AL$12&lt;&gt;0,$H156&gt;0,OR(AUTOEVENTO&lt;&gt;"manual",$M156&lt;&gt;$A$15)),
        IF(Import.TipoArredondamento&lt;&gt;"TransfereGOV",
              ROUND(OFFSET($P156,0,AL$13),15-13*ORÇAMENTO!$AF$7)/$H156*OFFSET(ORÇAMENTO!$X$15,ROW(AL156)-ROW(AL$15),0),
              ROUND(ROUND(OFFSET($P156,0,AL$13),15-13*ORÇAMENTO!$AF$7)*OFFSET(ORÇAMENTO!$W$15,ROW(AL156)-ROW(AL$15),0),15-13*ORÇAMENTO!$AF$11)),
         0)</f>
        <v>0</v>
      </c>
      <c r="AM156" s="453">
        <f ca="1">IF(AND($D156="Serviço",AM$12&lt;&gt;0,$H156&gt;0,OR(AUTOEVENTO&lt;&gt;"manual",$M156&lt;&gt;$A$15)),
        IF(Import.TipoArredondamento&lt;&gt;"TransfereGOV",
              ROUND(OFFSET($P156,0,AM$13),15-13*ORÇAMENTO!$AF$7)/$H156*OFFSET(ORÇAMENTO!$X$15,ROW(AM156)-ROW(AM$15),0),
              ROUND(ROUND(OFFSET($P156,0,AM$13),15-13*ORÇAMENTO!$AF$7)*OFFSET(ORÇAMENTO!$W$15,ROW(AM156)-ROW(AM$15),0),15-13*ORÇAMENTO!$AF$11)),
         0)</f>
        <v>0</v>
      </c>
      <c r="AN156" s="453">
        <f ca="1">IF(AND($D156="Serviço",AN$12&lt;&gt;0,$H156&gt;0,OR(AUTOEVENTO&lt;&gt;"manual",$M156&lt;&gt;$A$15)),
        IF(Import.TipoArredondamento&lt;&gt;"TransfereGOV",
              ROUND(OFFSET($P156,0,AN$13),15-13*ORÇAMENTO!$AF$7)/$H156*OFFSET(ORÇAMENTO!$X$15,ROW(AN156)-ROW(AN$15),0),
              ROUND(ROUND(OFFSET($P156,0,AN$13),15-13*ORÇAMENTO!$AF$7)*OFFSET(ORÇAMENTO!$W$15,ROW(AN156)-ROW(AN$15),0),15-13*ORÇAMENTO!$AF$11)),
         0)</f>
        <v>0</v>
      </c>
      <c r="AO156" s="453">
        <f ca="1">IF(AND($D156="Serviço",AO$12&lt;&gt;0,$H156&gt;0,OR(AUTOEVENTO&lt;&gt;"manual",$M156&lt;&gt;$A$15)),
        IF(Import.TipoArredondamento&lt;&gt;"TransfereGOV",
              ROUND(OFFSET($P156,0,AO$13),15-13*ORÇAMENTO!$AF$7)/$H156*OFFSET(ORÇAMENTO!$X$15,ROW(AO156)-ROW(AO$15),0),
              ROUND(ROUND(OFFSET($P156,0,AO$13),15-13*ORÇAMENTO!$AF$7)*OFFSET(ORÇAMENTO!$W$15,ROW(AO156)-ROW(AO$15),0),15-13*ORÇAMENTO!$AF$11)),
         0)</f>
        <v>0</v>
      </c>
      <c r="AP156" s="453">
        <f ca="1">IF(AND($D156="Serviço",AP$12&lt;&gt;0,$H156&gt;0,OR(AUTOEVENTO&lt;&gt;"manual",$M156&lt;&gt;$A$15)),
        IF(Import.TipoArredondamento&lt;&gt;"TransfereGOV",
              ROUND(OFFSET($P156,0,AP$13),15-13*ORÇAMENTO!$AF$7)/$H156*OFFSET(ORÇAMENTO!$X$15,ROW(AP156)-ROW(AP$15),0),
              ROUND(ROUND(OFFSET($P156,0,AP$13),15-13*ORÇAMENTO!$AF$7)*OFFSET(ORÇAMENTO!$W$15,ROW(AP156)-ROW(AP$15),0),15-13*ORÇAMENTO!$AF$11)),
         0)</f>
        <v>0</v>
      </c>
      <c r="AQ156" s="453">
        <f ca="1">IF(AND($D156="Serviço",AQ$12&lt;&gt;0,$H156&gt;0,OR(AUTOEVENTO&lt;&gt;"manual",$M156&lt;&gt;$A$15)),
        IF(Import.TipoArredondamento&lt;&gt;"TransfereGOV",
              ROUND(OFFSET($P156,0,AQ$13),15-13*ORÇAMENTO!$AF$7)/$H156*OFFSET(ORÇAMENTO!$X$15,ROW(AQ156)-ROW(AQ$15),0),
              ROUND(ROUND(OFFSET($P156,0,AQ$13),15-13*ORÇAMENTO!$AF$7)*OFFSET(ORÇAMENTO!$W$15,ROW(AQ156)-ROW(AQ$15),0),15-13*ORÇAMENTO!$AF$11)),
         0)</f>
        <v>0</v>
      </c>
      <c r="AR156" s="453">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3">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3">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3">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3">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3">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3">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3">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3">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3">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C156" s="171">
        <f ca="1">IF(OR($D156&lt;&gt;"Serviço",AND(AUTOEVENTO="Manual",$M156=$A$15)),0,
         IF(OFFSET(CRONOPLE!$F$15,$M156-$A$15,BC$13)=0,10^12,OFFSET(CRONOPLE!$F$15,$M156-$A$15,BC$13)))</f>
        <v>1</v>
      </c>
      <c r="BD156" s="171">
        <f ca="1">IF(OR($D156&lt;&gt;"Serviço",AND(AUTOEVENTO="Manual",$M156=$A$15)),0,
         IF(OFFSET(CRONOPLE!$F$15,$M156-$A$15,BD$13)=0,10^12,OFFSET(CRONOPLE!$F$15,$M156-$A$15,BD$13)))</f>
        <v>2</v>
      </c>
      <c r="BE156" s="171">
        <f ca="1">IF(OR($D156&lt;&gt;"Serviço",AND(AUTOEVENTO="Manual",$M156=$A$15)),0,
         IF(OFFSET(CRONOPLE!$F$15,$M156-$A$15,BE$13)=0,10^12,OFFSET(CRONOPLE!$F$15,$M156-$A$15,BE$13)))</f>
        <v>3</v>
      </c>
      <c r="BF156" s="171">
        <f ca="1">IF(OR($D156&lt;&gt;"Serviço",AND(AUTOEVENTO="Manual",$M156=$A$15)),0,
         IF(OFFSET(CRONOPLE!$F$15,$M156-$A$15,BF$13)=0,10^12,OFFSET(CRONOPLE!$F$15,$M156-$A$15,BF$13)))</f>
        <v>4</v>
      </c>
      <c r="BG156" s="171">
        <f ca="1">IF(OR($D156&lt;&gt;"Serviço",AND(AUTOEVENTO="Manual",$M156=$A$15)),0,
         IF(OFFSET(CRONOPLE!$F$15,$M156-$A$15,BG$13)=0,10^12,OFFSET(CRONOPLE!$F$15,$M156-$A$15,BG$13)))</f>
        <v>5</v>
      </c>
      <c r="BH156" s="171">
        <f ca="1">IF(OR($D156&lt;&gt;"Serviço",AND(AUTOEVENTO="Manual",$M156=$A$15)),0,
         IF(OFFSET(CRONOPLE!$F$15,$M156-$A$15,BH$13)=0,10^12,OFFSET(CRONOPLE!$F$15,$M156-$A$15,BH$13)))</f>
        <v>6</v>
      </c>
      <c r="BI156" s="171">
        <f ca="1">IF(OR($D156&lt;&gt;"Serviço",AND(AUTOEVENTO="Manual",$M156=$A$15)),0,
         IF(OFFSET(CRONOPLE!$F$15,$M156-$A$15,BI$13)=0,10^12,OFFSET(CRONOPLE!$F$15,$M156-$A$15,BI$13)))</f>
        <v>7</v>
      </c>
      <c r="BJ156" s="171">
        <f ca="1">IF(OR($D156&lt;&gt;"Serviço",AND(AUTOEVENTO="Manual",$M156=$A$15)),0,
         IF(OFFSET(CRONOPLE!$F$15,$M156-$A$15,BJ$13)=0,10^12,OFFSET(CRONOPLE!$F$15,$M156-$A$15,BJ$13)))</f>
        <v>8</v>
      </c>
      <c r="BK156" s="171">
        <f ca="1">IF(OR($D156&lt;&gt;"Serviço",AND(AUTOEVENTO="Manual",$M156=$A$15)),0,
         IF(OFFSET(CRONOPLE!$F$15,$M156-$A$15,BK$13)=0,10^12,OFFSET(CRONOPLE!$F$15,$M156-$A$15,BK$13)))</f>
        <v>9</v>
      </c>
      <c r="BL156" s="171">
        <f ca="1">IF(OR($D156&lt;&gt;"Serviço",AND(AUTOEVENTO="Manual",$M156=$A$15)),0,
         IF(OFFSET(CRONOPLE!$F$15,$M156-$A$15,BL$13)=0,10^12,OFFSET(CRONOPLE!$F$15,$M156-$A$15,BL$13)))</f>
        <v>10</v>
      </c>
      <c r="BM156" s="171">
        <f ca="1">IF(OR($D156&lt;&gt;"Serviço",AND(AUTOEVENTO="Manual",$M156=$A$15)),0,
         IF(OFFSET(CRONOPLE!$F$15,$M156-$A$15,BM$13)=0,10^12,OFFSET(CRONOPLE!$F$15,$M156-$A$15,BM$13)))</f>
        <v>1000000000000</v>
      </c>
      <c r="BN156" s="171">
        <f ca="1">IF(OR($D156&lt;&gt;"Serviço",AND(AUTOEVENTO="Manual",$M156=$A$15)),0,
         IF(OFFSET(CRONOPLE!$F$15,$M156-$A$15,BN$13)=0,10^12,OFFSET(CRONOPLE!$F$15,$M156-$A$15,BN$13)))</f>
        <v>1000000000000</v>
      </c>
      <c r="BO156" s="171">
        <f ca="1">IF(OR($D156&lt;&gt;"Serviço",AND(AUTOEVENTO="Manual",$M156=$A$15)),0,
         IF(OFFSET(CRONOPLE!$F$15,$M156-$A$15,BO$13)=0,10^12,OFFSET(CRONOPLE!$F$15,$M156-$A$15,BO$13)))</f>
        <v>1000000000000</v>
      </c>
      <c r="BP156" s="171">
        <f ca="1">IF(OR($D156&lt;&gt;"Serviço",AND(AUTOEVENTO="Manual",$M156=$A$15)),0,
         IF(OFFSET(CRONOPLE!$F$15,$M156-$A$15,BP$13)=0,10^12,OFFSET(CRONOPLE!$F$15,$M156-$A$15,BP$13)))</f>
        <v>1000000000000</v>
      </c>
      <c r="BQ156" s="171">
        <f ca="1">IF(OR($D156&lt;&gt;"Serviço",AND(AUTOEVENTO="Manual",$M156=$A$15)),0,
         IF(OFFSET(CRONOPLE!$F$15,$M156-$A$15,BQ$13)=0,10^12,OFFSET(CRONOPLE!$F$15,$M156-$A$15,BQ$13)))</f>
        <v>1000000000000</v>
      </c>
      <c r="BR156" s="171">
        <f ca="1">IF(OR($D156&lt;&gt;"Serviço",AND(AUTOEVENTO="Manual",$M156=$A$15)),0,
         IF(OFFSET(CRONOPLE!$F$15,$M156-$A$15,BR$13)=0,10^12,OFFSET(CRONOPLE!$F$15,$M156-$A$15,BR$13)))</f>
        <v>1000000000000</v>
      </c>
      <c r="BS156" s="171">
        <f ca="1">IF(OR($D156&lt;&gt;"Serviço",AND(AUTOEVENTO="Manual",$M156=$A$15)),0,
         IF(OFFSET(CRONOPLE!$F$15,$M156-$A$15,BS$13)=0,10^12,OFFSET(CRONOPLE!$F$15,$M156-$A$15,BS$13)))</f>
        <v>1000000000000</v>
      </c>
      <c r="BT156" s="171">
        <f ca="1">IF(OR($D156&lt;&gt;"Serviço",AND(AUTOEVENTO="Manual",$M156=$A$15)),0,
         IF(OFFSET(CRONOPLE!$F$15,$M156-$A$15,BT$13)=0,10^12,OFFSET(CRONOPLE!$F$15,$M156-$A$15,BT$13)))</f>
        <v>1000000000000</v>
      </c>
      <c r="BV156" s="172">
        <f ca="1">IF(OR($D156&lt;&gt;"Serviço",AND(AUTOEVENTO="Manual",$M156=$A$15),$M156&gt;(ROW(PLE.lastrow)-ROW(PLE.firstrow))),0,
           IF(OFFSET(PLE!$G$15,$M156-$A$15,BV$13)="",10^12,OFFSET(PLE!$G$15,$M156-$A$15,BV$13)))</f>
        <v>1000000000000</v>
      </c>
      <c r="BW156" s="172">
        <f ca="1">IF(OR($D156&lt;&gt;"Serviço",AND(AUTOEVENTO="Manual",$M156=$A$15),$M156&gt;(ROW(PLE.lastrow)-ROW(PLE.firstrow))),0,
           IF(OFFSET(PLE!$G$15,$M156-$A$15,BW$13)="",10^12,OFFSET(PLE!$G$15,$M156-$A$15,BW$13)))</f>
        <v>1000000000000</v>
      </c>
      <c r="BX156" s="172">
        <f ca="1">IF(OR($D156&lt;&gt;"Serviço",AND(AUTOEVENTO="Manual",$M156=$A$15),$M156&gt;(ROW(PLE.lastrow)-ROW(PLE.firstrow))),0,
           IF(OFFSET(PLE!$G$15,$M156-$A$15,BX$13)="",10^12,OFFSET(PLE!$G$15,$M156-$A$15,BX$13)))</f>
        <v>1000000000000</v>
      </c>
      <c r="BY156" s="172">
        <f ca="1">IF(OR($D156&lt;&gt;"Serviço",AND(AUTOEVENTO="Manual",$M156=$A$15),$M156&gt;(ROW(PLE.lastrow)-ROW(PLE.firstrow))),0,
           IF(OFFSET(PLE!$G$15,$M156-$A$15,BY$13)="",10^12,OFFSET(PLE!$G$15,$M156-$A$15,BY$13)))</f>
        <v>1000000000000</v>
      </c>
      <c r="BZ156" s="172">
        <f ca="1">IF(OR($D156&lt;&gt;"Serviço",AND(AUTOEVENTO="Manual",$M156=$A$15),$M156&gt;(ROW(PLE.lastrow)-ROW(PLE.firstrow))),0,
           IF(OFFSET(PLE!$G$15,$M156-$A$15,BZ$13)="",10^12,OFFSET(PLE!$G$15,$M156-$A$15,BZ$13)))</f>
        <v>1000000000000</v>
      </c>
      <c r="CA156" s="172">
        <f ca="1">IF(OR($D156&lt;&gt;"Serviço",AND(AUTOEVENTO="Manual",$M156=$A$15),$M156&gt;(ROW(PLE.lastrow)-ROW(PLE.firstrow))),0,
           IF(OFFSET(PLE!$G$15,$M156-$A$15,CA$13)="",10^12,OFFSET(PLE!$G$15,$M156-$A$15,CA$13)))</f>
        <v>1000000000000</v>
      </c>
      <c r="CB156" s="172">
        <f ca="1">IF(OR($D156&lt;&gt;"Serviço",AND(AUTOEVENTO="Manual",$M156=$A$15),$M156&gt;(ROW(PLE.lastrow)-ROW(PLE.firstrow))),0,
           IF(OFFSET(PLE!$G$15,$M156-$A$15,CB$13)="",10^12,OFFSET(PLE!$G$15,$M156-$A$15,CB$13)))</f>
        <v>1000000000000</v>
      </c>
      <c r="CC156" s="172">
        <f ca="1">IF(OR($D156&lt;&gt;"Serviço",AND(AUTOEVENTO="Manual",$M156=$A$15),$M156&gt;(ROW(PLE.lastrow)-ROW(PLE.firstrow))),0,
           IF(OFFSET(PLE!$G$15,$M156-$A$15,CC$13)="",10^12,OFFSET(PLE!$G$15,$M156-$A$15,CC$13)))</f>
        <v>1000000000000</v>
      </c>
      <c r="CD156" s="172">
        <f ca="1">IF(OR($D156&lt;&gt;"Serviço",AND(AUTOEVENTO="Manual",$M156=$A$15),$M156&gt;(ROW(PLE.lastrow)-ROW(PLE.firstrow))),0,
           IF(OFFSET(PLE!$G$15,$M156-$A$15,CD$13)="",10^12,OFFSET(PLE!$G$15,$M156-$A$15,CD$13)))</f>
        <v>1000000000000</v>
      </c>
      <c r="CE156" s="172">
        <f ca="1">IF(OR($D156&lt;&gt;"Serviço",AND(AUTOEVENTO="Manual",$M156=$A$15),$M156&gt;(ROW(PLE.lastrow)-ROW(PLE.firstrow))),0,
           IF(OFFSET(PLE!$G$15,$M156-$A$15,CE$13)="",10^12,OFFSET(PLE!$G$15,$M156-$A$15,CE$13)))</f>
        <v>1000000000000</v>
      </c>
      <c r="CF156" s="172">
        <f ca="1">IF(OR($D156&lt;&gt;"Serviço",AND(AUTOEVENTO="Manual",$M156=$A$15),$M156&gt;(ROW(PLE.lastrow)-ROW(PLE.firstrow))),0,
           IF(OFFSET(PLE!$G$15,$M156-$A$15,CF$13)="",10^12,OFFSET(PLE!$G$15,$M156-$A$15,CF$13)))</f>
        <v>1000000000000</v>
      </c>
      <c r="CG156" s="172">
        <f ca="1">IF(OR($D156&lt;&gt;"Serviço",AND(AUTOEVENTO="Manual",$M156=$A$15),$M156&gt;(ROW(PLE.lastrow)-ROW(PLE.firstrow))),0,
           IF(OFFSET(PLE!$G$15,$M156-$A$15,CG$13)="",10^12,OFFSET(PLE!$G$15,$M156-$A$15,CG$13)))</f>
        <v>1000000000000</v>
      </c>
      <c r="CH156" s="172">
        <f ca="1">IF(OR($D156&lt;&gt;"Serviço",AND(AUTOEVENTO="Manual",$M156=$A$15),$M156&gt;(ROW(PLE.lastrow)-ROW(PLE.firstrow))),0,
           IF(OFFSET(PLE!$G$15,$M156-$A$15,CH$13)="",10^12,OFFSET(PLE!$G$15,$M156-$A$15,CH$13)))</f>
        <v>1000000000000</v>
      </c>
      <c r="CI156" s="172">
        <f ca="1">IF(OR($D156&lt;&gt;"Serviço",AND(AUTOEVENTO="Manual",$M156=$A$15),$M156&gt;(ROW(PLE.lastrow)-ROW(PLE.firstrow))),0,
           IF(OFFSET(PLE!$G$15,$M156-$A$15,CI$13)="",10^12,OFFSET(PLE!$G$15,$M156-$A$15,CI$13)))</f>
        <v>1000000000000</v>
      </c>
      <c r="CJ156" s="172">
        <f ca="1">IF(OR($D156&lt;&gt;"Serviço",AND(AUTOEVENTO="Manual",$M156=$A$15),$M156&gt;(ROW(PLE.lastrow)-ROW(PLE.firstrow))),0,
           IF(OFFSET(PLE!$G$15,$M156-$A$15,CJ$13)="",10^12,OFFSET(PLE!$G$15,$M156-$A$15,CJ$13)))</f>
        <v>1000000000000</v>
      </c>
      <c r="CK156" s="172">
        <f ca="1">IF(OR($D156&lt;&gt;"Serviço",AND(AUTOEVENTO="Manual",$M156=$A$15),$M156&gt;(ROW(PLE.lastrow)-ROW(PLE.firstrow))),0,
           IF(OFFSET(PLE!$G$15,$M156-$A$15,CK$13)="",10^12,OFFSET(PLE!$G$15,$M156-$A$15,CK$13)))</f>
        <v>1000000000000</v>
      </c>
      <c r="CL156" s="172">
        <f ca="1">IF(OR($D156&lt;&gt;"Serviço",AND(AUTOEVENTO="Manual",$M156=$A$15),$M156&gt;(ROW(PLE.lastrow)-ROW(PLE.firstrow))),0,
           IF(OFFSET(PLE!$G$15,$M156-$A$15,CL$13)="",10^12,OFFSET(PLE!$G$15,$M156-$A$15,CL$13)))</f>
        <v>1000000000000</v>
      </c>
      <c r="CM156" s="172">
        <f ca="1">IF(OR($D156&lt;&gt;"Serviço",AND(AUTOEVENTO="Manual",$M156=$A$15),$M156&gt;(ROW(PLE.lastrow)-ROW(PLE.firstrow))),0,
           IF(OFFSET(PLE!$G$15,$M156-$A$15,CM$13)="",10^12,OFFSET(PLE!$G$15,$M156-$A$15,CM$13)))</f>
        <v>1000000000000</v>
      </c>
    </row>
    <row r="157" spans="1:91" ht="38.25" x14ac:dyDescent="0.2">
      <c r="A157" s="7">
        <f t="shared" ca="1" si="12"/>
        <v>4</v>
      </c>
      <c r="B157" s="7" t="str">
        <f ca="1">OFFSET(ORÇAMENTO!C$15,ROW(B157)-ROW(B$15),0)</f>
        <v>S</v>
      </c>
      <c r="C157" s="7" t="str">
        <f ca="1">OFFSET(ORÇAMENTO!L$15,ROW(C157)-ROW(C$15),0)</f>
        <v>F</v>
      </c>
      <c r="D157" s="116" t="str">
        <f ca="1">OFFSET(ORÇAMENTO!N$15,ROW(D157)-ROW(D$15),0)</f>
        <v>Serviço</v>
      </c>
      <c r="E157" s="117" t="str">
        <f ca="1">OFFSET(ORÇAMENTO!O$15,ROW(E157)-ROW(E$15),0)</f>
        <v>1.5.5.1.9.</v>
      </c>
      <c r="F157" s="163" t="str">
        <f ca="1">OFFSET(ORÇAMENTO!R$15,ROW(F157)-ROW(F$15),0)</f>
        <v>ESPALHAMENTO DE MATERIAL COM TRATOR DE ESTEIRAS. AF_09/2024</v>
      </c>
      <c r="G157" s="164" t="str">
        <f ca="1">IF($D157&lt;&gt;"Serviço","",OFFSET(ORÇAMENTO!S$15,ROW(G157)-ROW(G$15),0))</f>
        <v>M3</v>
      </c>
      <c r="H157" s="122" cm="1">
        <f t="array" aca="1" ref="H157" ca="1">IF($D157&lt;&gt;"Serviço",0,IF(ACOMPANHAMENTO="BM",ROUND(OFFSET(ORÇAMENTO!AJ$15,ROW(H157)-ROW(H$15),0),15-13*ORÇAMENTO!$AF$7),SUMPRODUCT(($Q$1:$AI$1=1)*ROUND($Q157:$AI157,15-13*ORÇAMENTO!$AF$7))))</f>
        <v>6.4</v>
      </c>
      <c r="I157" s="468" t="s">
        <v>1422</v>
      </c>
      <c r="J157" s="640" t="str" cm="1">
        <f t="array" aca="1" ref="J157" ca="1">IF(OR(B157&lt;&gt;"S",CÁLCULO.FrentesPreenchidas=0),"",IF(AND(ACOMPANHAMENTO="PLE",AUTOEVENTO="Manual",OR(H157&gt;0,ORÇAMENTO!AC157="QUANT."),OR(K157="",M157=0,N157="")),"►E",IF(AND(ACOMPANHAMENTO="PLE",ORÇAMENTO!AC157="QUANT."),"►Q",IF(AND(ACOMPANHAMENTO="PLE",H157&lt;&gt;SUMPRODUCT(($Q$1:$AI$1=1)*ROUND(Q157:AI157,15))),"►S",IF(AND(COUNTIF($P$11:$AI$11,"▼")=0,H157&gt;0,I157=""),"◄M","")))))</f>
        <v/>
      </c>
      <c r="K157" s="641" t="s">
        <v>1389</v>
      </c>
      <c r="L157" s="165" t="s">
        <v>764</v>
      </c>
      <c r="M157" s="166">
        <f ca="1">IF($D157&lt;&gt;"Serviço","",
          IF(AUTOEVENTO="manual",$A157,
                IF(ISERROR(MATCH($A157,$A$15:OFFSET($A157,-1,0),0)),MAX($M$15:OFFSET(M157,-1,0))+1,
                      INDEX($M$15:OFFSET(M157,-1,0),MATCH($A157,$A$15:OFFSET($A157,-1,0),0)))))</f>
        <v>4</v>
      </c>
      <c r="N157" s="167" t="str">
        <f ca="1">IF($D157&lt;&gt;"Serviço","",
         IF(AUTOEVENTO="Manual",
                IF($A157=0,"&lt;-- defina o número do agrupador",
                       OFFSET(EVENTOS!$D$15,$A157-$A$15,0)),
                OFFSET($F$15,$A157,0)))</f>
        <v>Estruturas de Concreto</v>
      </c>
      <c r="O157" s="168"/>
      <c r="Q157" s="168"/>
      <c r="R157" s="169"/>
      <c r="S157" s="169"/>
      <c r="T157" s="169"/>
      <c r="U157" s="169"/>
      <c r="V157" s="169">
        <f>V154</f>
        <v>6.4</v>
      </c>
      <c r="W157" s="169"/>
      <c r="X157" s="169"/>
      <c r="Y157" s="169"/>
      <c r="Z157" s="170"/>
      <c r="AA157" s="169"/>
      <c r="AB157" s="169"/>
      <c r="AC157" s="169"/>
      <c r="AD157" s="169"/>
      <c r="AE157" s="169"/>
      <c r="AF157" s="169"/>
      <c r="AG157" s="169"/>
      <c r="AH157" s="170"/>
      <c r="AJ157" s="453">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0</v>
      </c>
      <c r="AK157" s="453">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0</v>
      </c>
      <c r="AL157" s="453">
        <f ca="1">IF(AND($D157="Serviço",AL$12&lt;&gt;0,$H157&gt;0,OR(AUTOEVENTO&lt;&gt;"manual",$M157&lt;&gt;$A$15)),
        IF(Import.TipoArredondamento&lt;&gt;"TransfereGOV",
              ROUND(OFFSET($P157,0,AL$13),15-13*ORÇAMENTO!$AF$7)/$H157*OFFSET(ORÇAMENTO!$X$15,ROW(AL157)-ROW(AL$15),0),
              ROUND(ROUND(OFFSET($P157,0,AL$13),15-13*ORÇAMENTO!$AF$7)*OFFSET(ORÇAMENTO!$W$15,ROW(AL157)-ROW(AL$15),0),15-13*ORÇAMENTO!$AF$11)),
         0)</f>
        <v>0</v>
      </c>
      <c r="AM157" s="453">
        <f ca="1">IF(AND($D157="Serviço",AM$12&lt;&gt;0,$H157&gt;0,OR(AUTOEVENTO&lt;&gt;"manual",$M157&lt;&gt;$A$15)),
        IF(Import.TipoArredondamento&lt;&gt;"TransfereGOV",
              ROUND(OFFSET($P157,0,AM$13),15-13*ORÇAMENTO!$AF$7)/$H157*OFFSET(ORÇAMENTO!$X$15,ROW(AM157)-ROW(AM$15),0),
              ROUND(ROUND(OFFSET($P157,0,AM$13),15-13*ORÇAMENTO!$AF$7)*OFFSET(ORÇAMENTO!$W$15,ROW(AM157)-ROW(AM$15),0),15-13*ORÇAMENTO!$AF$11)),
         0)</f>
        <v>0</v>
      </c>
      <c r="AN157" s="453">
        <f ca="1">IF(AND($D157="Serviço",AN$12&lt;&gt;0,$H157&gt;0,OR(AUTOEVENTO&lt;&gt;"manual",$M157&lt;&gt;$A$15)),
        IF(Import.TipoArredondamento&lt;&gt;"TransfereGOV",
              ROUND(OFFSET($P157,0,AN$13),15-13*ORÇAMENTO!$AF$7)/$H157*OFFSET(ORÇAMENTO!$X$15,ROW(AN157)-ROW(AN$15),0),
              ROUND(ROUND(OFFSET($P157,0,AN$13),15-13*ORÇAMENTO!$AF$7)*OFFSET(ORÇAMENTO!$W$15,ROW(AN157)-ROW(AN$15),0),15-13*ORÇAMENTO!$AF$11)),
         0)</f>
        <v>0</v>
      </c>
      <c r="AO157" s="453">
        <f ca="1">IF(AND($D157="Serviço",AO$12&lt;&gt;0,$H157&gt;0,OR(AUTOEVENTO&lt;&gt;"manual",$M157&lt;&gt;$A$15)),
        IF(Import.TipoArredondamento&lt;&gt;"TransfereGOV",
              ROUND(OFFSET($P157,0,AO$13),15-13*ORÇAMENTO!$AF$7)/$H157*OFFSET(ORÇAMENTO!$X$15,ROW(AO157)-ROW(AO$15),0),
              ROUND(ROUND(OFFSET($P157,0,AO$13),15-13*ORÇAMENTO!$AF$7)*OFFSET(ORÇAMENTO!$W$15,ROW(AO157)-ROW(AO$15),0),15-13*ORÇAMENTO!$AF$11)),
         0)</f>
        <v>0</v>
      </c>
      <c r="AP157" s="453">
        <f ca="1">IF(AND($D157="Serviço",AP$12&lt;&gt;0,$H157&gt;0,OR(AUTOEVENTO&lt;&gt;"manual",$M157&lt;&gt;$A$15)),
        IF(Import.TipoArredondamento&lt;&gt;"TransfereGOV",
              ROUND(OFFSET($P157,0,AP$13),15-13*ORÇAMENTO!$AF$7)/$H157*OFFSET(ORÇAMENTO!$X$15,ROW(AP157)-ROW(AP$15),0),
              ROUND(ROUND(OFFSET($P157,0,AP$13),15-13*ORÇAMENTO!$AF$7)*OFFSET(ORÇAMENTO!$W$15,ROW(AP157)-ROW(AP$15),0),15-13*ORÇAMENTO!$AF$11)),
         0)</f>
        <v>0</v>
      </c>
      <c r="AQ157" s="453">
        <f ca="1">IF(AND($D157="Serviço",AQ$12&lt;&gt;0,$H157&gt;0,OR(AUTOEVENTO&lt;&gt;"manual",$M157&lt;&gt;$A$15)),
        IF(Import.TipoArredondamento&lt;&gt;"TransfereGOV",
              ROUND(OFFSET($P157,0,AQ$13),15-13*ORÇAMENTO!$AF$7)/$H157*OFFSET(ORÇAMENTO!$X$15,ROW(AQ157)-ROW(AQ$15),0),
              ROUND(ROUND(OFFSET($P157,0,AQ$13),15-13*ORÇAMENTO!$AF$7)*OFFSET(ORÇAMENTO!$W$15,ROW(AQ157)-ROW(AQ$15),0),15-13*ORÇAMENTO!$AF$11)),
         0)</f>
        <v>0</v>
      </c>
      <c r="AR157" s="453">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3">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3">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3">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3">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3">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3">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3">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3">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3">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C157" s="171">
        <f ca="1">IF(OR($D157&lt;&gt;"Serviço",AND(AUTOEVENTO="Manual",$M157=$A$15)),0,
         IF(OFFSET(CRONOPLE!$F$15,$M157-$A$15,BC$13)=0,10^12,OFFSET(CRONOPLE!$F$15,$M157-$A$15,BC$13)))</f>
        <v>1</v>
      </c>
      <c r="BD157" s="171">
        <f ca="1">IF(OR($D157&lt;&gt;"Serviço",AND(AUTOEVENTO="Manual",$M157=$A$15)),0,
         IF(OFFSET(CRONOPLE!$F$15,$M157-$A$15,BD$13)=0,10^12,OFFSET(CRONOPLE!$F$15,$M157-$A$15,BD$13)))</f>
        <v>2</v>
      </c>
      <c r="BE157" s="171">
        <f ca="1">IF(OR($D157&lt;&gt;"Serviço",AND(AUTOEVENTO="Manual",$M157=$A$15)),0,
         IF(OFFSET(CRONOPLE!$F$15,$M157-$A$15,BE$13)=0,10^12,OFFSET(CRONOPLE!$F$15,$M157-$A$15,BE$13)))</f>
        <v>3</v>
      </c>
      <c r="BF157" s="171">
        <f ca="1">IF(OR($D157&lt;&gt;"Serviço",AND(AUTOEVENTO="Manual",$M157=$A$15)),0,
         IF(OFFSET(CRONOPLE!$F$15,$M157-$A$15,BF$13)=0,10^12,OFFSET(CRONOPLE!$F$15,$M157-$A$15,BF$13)))</f>
        <v>4</v>
      </c>
      <c r="BG157" s="171">
        <f ca="1">IF(OR($D157&lt;&gt;"Serviço",AND(AUTOEVENTO="Manual",$M157=$A$15)),0,
         IF(OFFSET(CRONOPLE!$F$15,$M157-$A$15,BG$13)=0,10^12,OFFSET(CRONOPLE!$F$15,$M157-$A$15,BG$13)))</f>
        <v>5</v>
      </c>
      <c r="BH157" s="171">
        <f ca="1">IF(OR($D157&lt;&gt;"Serviço",AND(AUTOEVENTO="Manual",$M157=$A$15)),0,
         IF(OFFSET(CRONOPLE!$F$15,$M157-$A$15,BH$13)=0,10^12,OFFSET(CRONOPLE!$F$15,$M157-$A$15,BH$13)))</f>
        <v>6</v>
      </c>
      <c r="BI157" s="171">
        <f ca="1">IF(OR($D157&lt;&gt;"Serviço",AND(AUTOEVENTO="Manual",$M157=$A$15)),0,
         IF(OFFSET(CRONOPLE!$F$15,$M157-$A$15,BI$13)=0,10^12,OFFSET(CRONOPLE!$F$15,$M157-$A$15,BI$13)))</f>
        <v>7</v>
      </c>
      <c r="BJ157" s="171">
        <f ca="1">IF(OR($D157&lt;&gt;"Serviço",AND(AUTOEVENTO="Manual",$M157=$A$15)),0,
         IF(OFFSET(CRONOPLE!$F$15,$M157-$A$15,BJ$13)=0,10^12,OFFSET(CRONOPLE!$F$15,$M157-$A$15,BJ$13)))</f>
        <v>8</v>
      </c>
      <c r="BK157" s="171">
        <f ca="1">IF(OR($D157&lt;&gt;"Serviço",AND(AUTOEVENTO="Manual",$M157=$A$15)),0,
         IF(OFFSET(CRONOPLE!$F$15,$M157-$A$15,BK$13)=0,10^12,OFFSET(CRONOPLE!$F$15,$M157-$A$15,BK$13)))</f>
        <v>9</v>
      </c>
      <c r="BL157" s="171">
        <f ca="1">IF(OR($D157&lt;&gt;"Serviço",AND(AUTOEVENTO="Manual",$M157=$A$15)),0,
         IF(OFFSET(CRONOPLE!$F$15,$M157-$A$15,BL$13)=0,10^12,OFFSET(CRONOPLE!$F$15,$M157-$A$15,BL$13)))</f>
        <v>10</v>
      </c>
      <c r="BM157" s="171">
        <f ca="1">IF(OR($D157&lt;&gt;"Serviço",AND(AUTOEVENTO="Manual",$M157=$A$15)),0,
         IF(OFFSET(CRONOPLE!$F$15,$M157-$A$15,BM$13)=0,10^12,OFFSET(CRONOPLE!$F$15,$M157-$A$15,BM$13)))</f>
        <v>1000000000000</v>
      </c>
      <c r="BN157" s="171">
        <f ca="1">IF(OR($D157&lt;&gt;"Serviço",AND(AUTOEVENTO="Manual",$M157=$A$15)),0,
         IF(OFFSET(CRONOPLE!$F$15,$M157-$A$15,BN$13)=0,10^12,OFFSET(CRONOPLE!$F$15,$M157-$A$15,BN$13)))</f>
        <v>1000000000000</v>
      </c>
      <c r="BO157" s="171">
        <f ca="1">IF(OR($D157&lt;&gt;"Serviço",AND(AUTOEVENTO="Manual",$M157=$A$15)),0,
         IF(OFFSET(CRONOPLE!$F$15,$M157-$A$15,BO$13)=0,10^12,OFFSET(CRONOPLE!$F$15,$M157-$A$15,BO$13)))</f>
        <v>1000000000000</v>
      </c>
      <c r="BP157" s="171">
        <f ca="1">IF(OR($D157&lt;&gt;"Serviço",AND(AUTOEVENTO="Manual",$M157=$A$15)),0,
         IF(OFFSET(CRONOPLE!$F$15,$M157-$A$15,BP$13)=0,10^12,OFFSET(CRONOPLE!$F$15,$M157-$A$15,BP$13)))</f>
        <v>1000000000000</v>
      </c>
      <c r="BQ157" s="171">
        <f ca="1">IF(OR($D157&lt;&gt;"Serviço",AND(AUTOEVENTO="Manual",$M157=$A$15)),0,
         IF(OFFSET(CRONOPLE!$F$15,$M157-$A$15,BQ$13)=0,10^12,OFFSET(CRONOPLE!$F$15,$M157-$A$15,BQ$13)))</f>
        <v>1000000000000</v>
      </c>
      <c r="BR157" s="171">
        <f ca="1">IF(OR($D157&lt;&gt;"Serviço",AND(AUTOEVENTO="Manual",$M157=$A$15)),0,
         IF(OFFSET(CRONOPLE!$F$15,$M157-$A$15,BR$13)=0,10^12,OFFSET(CRONOPLE!$F$15,$M157-$A$15,BR$13)))</f>
        <v>1000000000000</v>
      </c>
      <c r="BS157" s="171">
        <f ca="1">IF(OR($D157&lt;&gt;"Serviço",AND(AUTOEVENTO="Manual",$M157=$A$15)),0,
         IF(OFFSET(CRONOPLE!$F$15,$M157-$A$15,BS$13)=0,10^12,OFFSET(CRONOPLE!$F$15,$M157-$A$15,BS$13)))</f>
        <v>1000000000000</v>
      </c>
      <c r="BT157" s="171">
        <f ca="1">IF(OR($D157&lt;&gt;"Serviço",AND(AUTOEVENTO="Manual",$M157=$A$15)),0,
         IF(OFFSET(CRONOPLE!$F$15,$M157-$A$15,BT$13)=0,10^12,OFFSET(CRONOPLE!$F$15,$M157-$A$15,BT$13)))</f>
        <v>1000000000000</v>
      </c>
      <c r="BV157" s="172">
        <f ca="1">IF(OR($D157&lt;&gt;"Serviço",AND(AUTOEVENTO="Manual",$M157=$A$15),$M157&gt;(ROW(PLE.lastrow)-ROW(PLE.firstrow))),0,
           IF(OFFSET(PLE!$G$15,$M157-$A$15,BV$13)="",10^12,OFFSET(PLE!$G$15,$M157-$A$15,BV$13)))</f>
        <v>1000000000000</v>
      </c>
      <c r="BW157" s="172">
        <f ca="1">IF(OR($D157&lt;&gt;"Serviço",AND(AUTOEVENTO="Manual",$M157=$A$15),$M157&gt;(ROW(PLE.lastrow)-ROW(PLE.firstrow))),0,
           IF(OFFSET(PLE!$G$15,$M157-$A$15,BW$13)="",10^12,OFFSET(PLE!$G$15,$M157-$A$15,BW$13)))</f>
        <v>1000000000000</v>
      </c>
      <c r="BX157" s="172">
        <f ca="1">IF(OR($D157&lt;&gt;"Serviço",AND(AUTOEVENTO="Manual",$M157=$A$15),$M157&gt;(ROW(PLE.lastrow)-ROW(PLE.firstrow))),0,
           IF(OFFSET(PLE!$G$15,$M157-$A$15,BX$13)="",10^12,OFFSET(PLE!$G$15,$M157-$A$15,BX$13)))</f>
        <v>1000000000000</v>
      </c>
      <c r="BY157" s="172">
        <f ca="1">IF(OR($D157&lt;&gt;"Serviço",AND(AUTOEVENTO="Manual",$M157=$A$15),$M157&gt;(ROW(PLE.lastrow)-ROW(PLE.firstrow))),0,
           IF(OFFSET(PLE!$G$15,$M157-$A$15,BY$13)="",10^12,OFFSET(PLE!$G$15,$M157-$A$15,BY$13)))</f>
        <v>1000000000000</v>
      </c>
      <c r="BZ157" s="172">
        <f ca="1">IF(OR($D157&lt;&gt;"Serviço",AND(AUTOEVENTO="Manual",$M157=$A$15),$M157&gt;(ROW(PLE.lastrow)-ROW(PLE.firstrow))),0,
           IF(OFFSET(PLE!$G$15,$M157-$A$15,BZ$13)="",10^12,OFFSET(PLE!$G$15,$M157-$A$15,BZ$13)))</f>
        <v>1000000000000</v>
      </c>
      <c r="CA157" s="172">
        <f ca="1">IF(OR($D157&lt;&gt;"Serviço",AND(AUTOEVENTO="Manual",$M157=$A$15),$M157&gt;(ROW(PLE.lastrow)-ROW(PLE.firstrow))),0,
           IF(OFFSET(PLE!$G$15,$M157-$A$15,CA$13)="",10^12,OFFSET(PLE!$G$15,$M157-$A$15,CA$13)))</f>
        <v>1000000000000</v>
      </c>
      <c r="CB157" s="172">
        <f ca="1">IF(OR($D157&lt;&gt;"Serviço",AND(AUTOEVENTO="Manual",$M157=$A$15),$M157&gt;(ROW(PLE.lastrow)-ROW(PLE.firstrow))),0,
           IF(OFFSET(PLE!$G$15,$M157-$A$15,CB$13)="",10^12,OFFSET(PLE!$G$15,$M157-$A$15,CB$13)))</f>
        <v>1000000000000</v>
      </c>
      <c r="CC157" s="172">
        <f ca="1">IF(OR($D157&lt;&gt;"Serviço",AND(AUTOEVENTO="Manual",$M157=$A$15),$M157&gt;(ROW(PLE.lastrow)-ROW(PLE.firstrow))),0,
           IF(OFFSET(PLE!$G$15,$M157-$A$15,CC$13)="",10^12,OFFSET(PLE!$G$15,$M157-$A$15,CC$13)))</f>
        <v>1000000000000</v>
      </c>
      <c r="CD157" s="172">
        <f ca="1">IF(OR($D157&lt;&gt;"Serviço",AND(AUTOEVENTO="Manual",$M157=$A$15),$M157&gt;(ROW(PLE.lastrow)-ROW(PLE.firstrow))),0,
           IF(OFFSET(PLE!$G$15,$M157-$A$15,CD$13)="",10^12,OFFSET(PLE!$G$15,$M157-$A$15,CD$13)))</f>
        <v>1000000000000</v>
      </c>
      <c r="CE157" s="172">
        <f ca="1">IF(OR($D157&lt;&gt;"Serviço",AND(AUTOEVENTO="Manual",$M157=$A$15),$M157&gt;(ROW(PLE.lastrow)-ROW(PLE.firstrow))),0,
           IF(OFFSET(PLE!$G$15,$M157-$A$15,CE$13)="",10^12,OFFSET(PLE!$G$15,$M157-$A$15,CE$13)))</f>
        <v>1000000000000</v>
      </c>
      <c r="CF157" s="172">
        <f ca="1">IF(OR($D157&lt;&gt;"Serviço",AND(AUTOEVENTO="Manual",$M157=$A$15),$M157&gt;(ROW(PLE.lastrow)-ROW(PLE.firstrow))),0,
           IF(OFFSET(PLE!$G$15,$M157-$A$15,CF$13)="",10^12,OFFSET(PLE!$G$15,$M157-$A$15,CF$13)))</f>
        <v>1000000000000</v>
      </c>
      <c r="CG157" s="172">
        <f ca="1">IF(OR($D157&lt;&gt;"Serviço",AND(AUTOEVENTO="Manual",$M157=$A$15),$M157&gt;(ROW(PLE.lastrow)-ROW(PLE.firstrow))),0,
           IF(OFFSET(PLE!$G$15,$M157-$A$15,CG$13)="",10^12,OFFSET(PLE!$G$15,$M157-$A$15,CG$13)))</f>
        <v>1000000000000</v>
      </c>
      <c r="CH157" s="172">
        <f ca="1">IF(OR($D157&lt;&gt;"Serviço",AND(AUTOEVENTO="Manual",$M157=$A$15),$M157&gt;(ROW(PLE.lastrow)-ROW(PLE.firstrow))),0,
           IF(OFFSET(PLE!$G$15,$M157-$A$15,CH$13)="",10^12,OFFSET(PLE!$G$15,$M157-$A$15,CH$13)))</f>
        <v>1000000000000</v>
      </c>
      <c r="CI157" s="172">
        <f ca="1">IF(OR($D157&lt;&gt;"Serviço",AND(AUTOEVENTO="Manual",$M157=$A$15),$M157&gt;(ROW(PLE.lastrow)-ROW(PLE.firstrow))),0,
           IF(OFFSET(PLE!$G$15,$M157-$A$15,CI$13)="",10^12,OFFSET(PLE!$G$15,$M157-$A$15,CI$13)))</f>
        <v>1000000000000</v>
      </c>
      <c r="CJ157" s="172">
        <f ca="1">IF(OR($D157&lt;&gt;"Serviço",AND(AUTOEVENTO="Manual",$M157=$A$15),$M157&gt;(ROW(PLE.lastrow)-ROW(PLE.firstrow))),0,
           IF(OFFSET(PLE!$G$15,$M157-$A$15,CJ$13)="",10^12,OFFSET(PLE!$G$15,$M157-$A$15,CJ$13)))</f>
        <v>1000000000000</v>
      </c>
      <c r="CK157" s="172">
        <f ca="1">IF(OR($D157&lt;&gt;"Serviço",AND(AUTOEVENTO="Manual",$M157=$A$15),$M157&gt;(ROW(PLE.lastrow)-ROW(PLE.firstrow))),0,
           IF(OFFSET(PLE!$G$15,$M157-$A$15,CK$13)="",10^12,OFFSET(PLE!$G$15,$M157-$A$15,CK$13)))</f>
        <v>1000000000000</v>
      </c>
      <c r="CL157" s="172">
        <f ca="1">IF(OR($D157&lt;&gt;"Serviço",AND(AUTOEVENTO="Manual",$M157=$A$15),$M157&gt;(ROW(PLE.lastrow)-ROW(PLE.firstrow))),0,
           IF(OFFSET(PLE!$G$15,$M157-$A$15,CL$13)="",10^12,OFFSET(PLE!$G$15,$M157-$A$15,CL$13)))</f>
        <v>1000000000000</v>
      </c>
      <c r="CM157" s="172">
        <f ca="1">IF(OR($D157&lt;&gt;"Serviço",AND(AUTOEVENTO="Manual",$M157=$A$15),$M157&gt;(ROW(PLE.lastrow)-ROW(PLE.firstrow))),0,
           IF(OFFSET(PLE!$G$15,$M157-$A$15,CM$13)="",10^12,OFFSET(PLE!$G$15,$M157-$A$15,CM$13)))</f>
        <v>1000000000000</v>
      </c>
    </row>
    <row r="158" spans="1:91" ht="76.5" x14ac:dyDescent="0.2">
      <c r="A158" s="7">
        <f t="shared" ca="1" si="12"/>
        <v>4</v>
      </c>
      <c r="B158" s="7" t="str">
        <f ca="1">OFFSET(ORÇAMENTO!C$15,ROW(B158)-ROW(B$15),0)</f>
        <v>S</v>
      </c>
      <c r="C158" s="7" t="str">
        <f ca="1">OFFSET(ORÇAMENTO!L$15,ROW(C158)-ROW(C$15),0)</f>
        <v>F</v>
      </c>
      <c r="D158" s="116" t="str">
        <f ca="1">OFFSET(ORÇAMENTO!N$15,ROW(D158)-ROW(D$15),0)</f>
        <v>Serviço</v>
      </c>
      <c r="E158" s="117" t="str">
        <f ca="1">OFFSET(ORÇAMENTO!O$15,ROW(E158)-ROW(E$15),0)</f>
        <v>1.5.5.1.10.</v>
      </c>
      <c r="F158" s="163" t="str">
        <f ca="1">OFFSET(ORÇAMENTO!R$15,ROW(F158)-ROW(F$15),0)</f>
        <v>ARRASAMENTO MECANICO DE ESTACA DE CONCRETO ARMADO, DIAMETROS DE ATÉ 40 CM. AF_05/2021</v>
      </c>
      <c r="G158" s="164" t="str">
        <f ca="1">IF($D158&lt;&gt;"Serviço","",OFFSET(ORÇAMENTO!S$15,ROW(G158)-ROW(G$15),0))</f>
        <v>UN</v>
      </c>
      <c r="H158" s="122" cm="1">
        <f t="array" aca="1" ref="H158" ca="1">IF($D158&lt;&gt;"Serviço",0,IF(ACOMPANHAMENTO="BM",ROUND(OFFSET(ORÇAMENTO!AJ$15,ROW(H158)-ROW(H$15),0),15-13*ORÇAMENTO!$AF$7),SUMPRODUCT(($Q$1:$AI$1=1)*ROUND($Q158:$AI158,15-13*ORÇAMENTO!$AF$7))))</f>
        <v>19</v>
      </c>
      <c r="I158" s="468" t="s">
        <v>1436</v>
      </c>
      <c r="J158" s="640" t="str" cm="1">
        <f t="array" aca="1" ref="J158" ca="1">IF(OR(B158&lt;&gt;"S",CÁLCULO.FrentesPreenchidas=0),"",IF(AND(ACOMPANHAMENTO="PLE",AUTOEVENTO="Manual",OR(H158&gt;0,ORÇAMENTO!AC158="QUANT."),OR(K158="",M158=0,N158="")),"►E",IF(AND(ACOMPANHAMENTO="PLE",ORÇAMENTO!AC158="QUANT."),"►Q",IF(AND(ACOMPANHAMENTO="PLE",H158&lt;&gt;SUMPRODUCT(($Q$1:$AI$1=1)*ROUND(Q158:AI158,15))),"►S",IF(AND(COUNTIF($P$11:$AI$11,"▼")=0,H158&gt;0,I158=""),"◄M","")))))</f>
        <v/>
      </c>
      <c r="K158" s="641" t="s">
        <v>1389</v>
      </c>
      <c r="L158" s="165" t="s">
        <v>764</v>
      </c>
      <c r="M158" s="166">
        <f ca="1">IF($D158&lt;&gt;"Serviço","",
          IF(AUTOEVENTO="manual",$A158,
                IF(ISERROR(MATCH($A158,$A$15:OFFSET($A158,-1,0),0)),MAX($M$15:OFFSET(M158,-1,0))+1,
                      INDEX($M$15:OFFSET(M158,-1,0),MATCH($A158,$A$15:OFFSET($A158,-1,0),0)))))</f>
        <v>4</v>
      </c>
      <c r="N158" s="167" t="str">
        <f ca="1">IF($D158&lt;&gt;"Serviço","",
         IF(AUTOEVENTO="Manual",
                IF($A158=0,"&lt;-- defina o número do agrupador",
                       OFFSET(EVENTOS!$D$15,$A158-$A$15,0)),
                OFFSET($F$15,$A158,0)))</f>
        <v>Estruturas de Concreto</v>
      </c>
      <c r="O158" s="168"/>
      <c r="Q158" s="168"/>
      <c r="R158" s="169"/>
      <c r="S158" s="169"/>
      <c r="T158" s="169"/>
      <c r="U158" s="169"/>
      <c r="V158" s="169">
        <v>17</v>
      </c>
      <c r="W158" s="169"/>
      <c r="X158" s="169"/>
      <c r="Y158" s="169"/>
      <c r="Z158" s="170"/>
      <c r="AA158" s="169"/>
      <c r="AB158" s="169"/>
      <c r="AC158" s="169"/>
      <c r="AD158" s="169"/>
      <c r="AE158" s="169"/>
      <c r="AF158" s="169"/>
      <c r="AG158" s="169"/>
      <c r="AH158" s="170"/>
      <c r="AJ158" s="453">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0</v>
      </c>
      <c r="AK158" s="453">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0</v>
      </c>
      <c r="AL158" s="453">
        <f ca="1">IF(AND($D158="Serviço",AL$12&lt;&gt;0,$H158&gt;0,OR(AUTOEVENTO&lt;&gt;"manual",$M158&lt;&gt;$A$15)),
        IF(Import.TipoArredondamento&lt;&gt;"TransfereGOV",
              ROUND(OFFSET($P158,0,AL$13),15-13*ORÇAMENTO!$AF$7)/$H158*OFFSET(ORÇAMENTO!$X$15,ROW(AL158)-ROW(AL$15),0),
              ROUND(ROUND(OFFSET($P158,0,AL$13),15-13*ORÇAMENTO!$AF$7)*OFFSET(ORÇAMENTO!$W$15,ROW(AL158)-ROW(AL$15),0),15-13*ORÇAMENTO!$AF$11)),
         0)</f>
        <v>0</v>
      </c>
      <c r="AM158" s="453">
        <f ca="1">IF(AND($D158="Serviço",AM$12&lt;&gt;0,$H158&gt;0,OR(AUTOEVENTO&lt;&gt;"manual",$M158&lt;&gt;$A$15)),
        IF(Import.TipoArredondamento&lt;&gt;"TransfereGOV",
              ROUND(OFFSET($P158,0,AM$13),15-13*ORÇAMENTO!$AF$7)/$H158*OFFSET(ORÇAMENTO!$X$15,ROW(AM158)-ROW(AM$15),0),
              ROUND(ROUND(OFFSET($P158,0,AM$13),15-13*ORÇAMENTO!$AF$7)*OFFSET(ORÇAMENTO!$W$15,ROW(AM158)-ROW(AM$15),0),15-13*ORÇAMENTO!$AF$11)),
         0)</f>
        <v>0</v>
      </c>
      <c r="AN158" s="453">
        <f ca="1">IF(AND($D158="Serviço",AN$12&lt;&gt;0,$H158&gt;0,OR(AUTOEVENTO&lt;&gt;"manual",$M158&lt;&gt;$A$15)),
        IF(Import.TipoArredondamento&lt;&gt;"TransfereGOV",
              ROUND(OFFSET($P158,0,AN$13),15-13*ORÇAMENTO!$AF$7)/$H158*OFFSET(ORÇAMENTO!$X$15,ROW(AN158)-ROW(AN$15),0),
              ROUND(ROUND(OFFSET($P158,0,AN$13),15-13*ORÇAMENTO!$AF$7)*OFFSET(ORÇAMENTO!$W$15,ROW(AN158)-ROW(AN$15),0),15-13*ORÇAMENTO!$AF$11)),
         0)</f>
        <v>0</v>
      </c>
      <c r="AO158" s="453">
        <f ca="1">IF(AND($D158="Serviço",AO$12&lt;&gt;0,$H158&gt;0,OR(AUTOEVENTO&lt;&gt;"manual",$M158&lt;&gt;$A$15)),
        IF(Import.TipoArredondamento&lt;&gt;"TransfereGOV",
              ROUND(OFFSET($P158,0,AO$13),15-13*ORÇAMENTO!$AF$7)/$H158*OFFSET(ORÇAMENTO!$X$15,ROW(AO158)-ROW(AO$15),0),
              ROUND(ROUND(OFFSET($P158,0,AO$13),15-13*ORÇAMENTO!$AF$7)*OFFSET(ORÇAMENTO!$W$15,ROW(AO158)-ROW(AO$15),0),15-13*ORÇAMENTO!$AF$11)),
         0)</f>
        <v>0</v>
      </c>
      <c r="AP158" s="453">
        <f ca="1">IF(AND($D158="Serviço",AP$12&lt;&gt;0,$H158&gt;0,OR(AUTOEVENTO&lt;&gt;"manual",$M158&lt;&gt;$A$15)),
        IF(Import.TipoArredondamento&lt;&gt;"TransfereGOV",
              ROUND(OFFSET($P158,0,AP$13),15-13*ORÇAMENTO!$AF$7)/$H158*OFFSET(ORÇAMENTO!$X$15,ROW(AP158)-ROW(AP$15),0),
              ROUND(ROUND(OFFSET($P158,0,AP$13),15-13*ORÇAMENTO!$AF$7)*OFFSET(ORÇAMENTO!$W$15,ROW(AP158)-ROW(AP$15),0),15-13*ORÇAMENTO!$AF$11)),
         0)</f>
        <v>0</v>
      </c>
      <c r="AQ158" s="453">
        <f ca="1">IF(AND($D158="Serviço",AQ$12&lt;&gt;0,$H158&gt;0,OR(AUTOEVENTO&lt;&gt;"manual",$M158&lt;&gt;$A$15)),
        IF(Import.TipoArredondamento&lt;&gt;"TransfereGOV",
              ROUND(OFFSET($P158,0,AQ$13),15-13*ORÇAMENTO!$AF$7)/$H158*OFFSET(ORÇAMENTO!$X$15,ROW(AQ158)-ROW(AQ$15),0),
              ROUND(ROUND(OFFSET($P158,0,AQ$13),15-13*ORÇAMENTO!$AF$7)*OFFSET(ORÇAMENTO!$W$15,ROW(AQ158)-ROW(AQ$15),0),15-13*ORÇAMENTO!$AF$11)),
         0)</f>
        <v>0</v>
      </c>
      <c r="AR158" s="453">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3">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3">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3">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3">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3">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3">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3">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3">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3">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C158" s="171">
        <f ca="1">IF(OR($D158&lt;&gt;"Serviço",AND(AUTOEVENTO="Manual",$M158=$A$15)),0,
         IF(OFFSET(CRONOPLE!$F$15,$M158-$A$15,BC$13)=0,10^12,OFFSET(CRONOPLE!$F$15,$M158-$A$15,BC$13)))</f>
        <v>1</v>
      </c>
      <c r="BD158" s="171">
        <f ca="1">IF(OR($D158&lt;&gt;"Serviço",AND(AUTOEVENTO="Manual",$M158=$A$15)),0,
         IF(OFFSET(CRONOPLE!$F$15,$M158-$A$15,BD$13)=0,10^12,OFFSET(CRONOPLE!$F$15,$M158-$A$15,BD$13)))</f>
        <v>2</v>
      </c>
      <c r="BE158" s="171">
        <f ca="1">IF(OR($D158&lt;&gt;"Serviço",AND(AUTOEVENTO="Manual",$M158=$A$15)),0,
         IF(OFFSET(CRONOPLE!$F$15,$M158-$A$15,BE$13)=0,10^12,OFFSET(CRONOPLE!$F$15,$M158-$A$15,BE$13)))</f>
        <v>3</v>
      </c>
      <c r="BF158" s="171">
        <f ca="1">IF(OR($D158&lt;&gt;"Serviço",AND(AUTOEVENTO="Manual",$M158=$A$15)),0,
         IF(OFFSET(CRONOPLE!$F$15,$M158-$A$15,BF$13)=0,10^12,OFFSET(CRONOPLE!$F$15,$M158-$A$15,BF$13)))</f>
        <v>4</v>
      </c>
      <c r="BG158" s="171">
        <f ca="1">IF(OR($D158&lt;&gt;"Serviço",AND(AUTOEVENTO="Manual",$M158=$A$15)),0,
         IF(OFFSET(CRONOPLE!$F$15,$M158-$A$15,BG$13)=0,10^12,OFFSET(CRONOPLE!$F$15,$M158-$A$15,BG$13)))</f>
        <v>5</v>
      </c>
      <c r="BH158" s="171">
        <f ca="1">IF(OR($D158&lt;&gt;"Serviço",AND(AUTOEVENTO="Manual",$M158=$A$15)),0,
         IF(OFFSET(CRONOPLE!$F$15,$M158-$A$15,BH$13)=0,10^12,OFFSET(CRONOPLE!$F$15,$M158-$A$15,BH$13)))</f>
        <v>6</v>
      </c>
      <c r="BI158" s="171">
        <f ca="1">IF(OR($D158&lt;&gt;"Serviço",AND(AUTOEVENTO="Manual",$M158=$A$15)),0,
         IF(OFFSET(CRONOPLE!$F$15,$M158-$A$15,BI$13)=0,10^12,OFFSET(CRONOPLE!$F$15,$M158-$A$15,BI$13)))</f>
        <v>7</v>
      </c>
      <c r="BJ158" s="171">
        <f ca="1">IF(OR($D158&lt;&gt;"Serviço",AND(AUTOEVENTO="Manual",$M158=$A$15)),0,
         IF(OFFSET(CRONOPLE!$F$15,$M158-$A$15,BJ$13)=0,10^12,OFFSET(CRONOPLE!$F$15,$M158-$A$15,BJ$13)))</f>
        <v>8</v>
      </c>
      <c r="BK158" s="171">
        <f ca="1">IF(OR($D158&lt;&gt;"Serviço",AND(AUTOEVENTO="Manual",$M158=$A$15)),0,
         IF(OFFSET(CRONOPLE!$F$15,$M158-$A$15,BK$13)=0,10^12,OFFSET(CRONOPLE!$F$15,$M158-$A$15,BK$13)))</f>
        <v>9</v>
      </c>
      <c r="BL158" s="171">
        <f ca="1">IF(OR($D158&lt;&gt;"Serviço",AND(AUTOEVENTO="Manual",$M158=$A$15)),0,
         IF(OFFSET(CRONOPLE!$F$15,$M158-$A$15,BL$13)=0,10^12,OFFSET(CRONOPLE!$F$15,$M158-$A$15,BL$13)))</f>
        <v>10</v>
      </c>
      <c r="BM158" s="171">
        <f ca="1">IF(OR($D158&lt;&gt;"Serviço",AND(AUTOEVENTO="Manual",$M158=$A$15)),0,
         IF(OFFSET(CRONOPLE!$F$15,$M158-$A$15,BM$13)=0,10^12,OFFSET(CRONOPLE!$F$15,$M158-$A$15,BM$13)))</f>
        <v>1000000000000</v>
      </c>
      <c r="BN158" s="171">
        <f ca="1">IF(OR($D158&lt;&gt;"Serviço",AND(AUTOEVENTO="Manual",$M158=$A$15)),0,
         IF(OFFSET(CRONOPLE!$F$15,$M158-$A$15,BN$13)=0,10^12,OFFSET(CRONOPLE!$F$15,$M158-$A$15,BN$13)))</f>
        <v>1000000000000</v>
      </c>
      <c r="BO158" s="171">
        <f ca="1">IF(OR($D158&lt;&gt;"Serviço",AND(AUTOEVENTO="Manual",$M158=$A$15)),0,
         IF(OFFSET(CRONOPLE!$F$15,$M158-$A$15,BO$13)=0,10^12,OFFSET(CRONOPLE!$F$15,$M158-$A$15,BO$13)))</f>
        <v>1000000000000</v>
      </c>
      <c r="BP158" s="171">
        <f ca="1">IF(OR($D158&lt;&gt;"Serviço",AND(AUTOEVENTO="Manual",$M158=$A$15)),0,
         IF(OFFSET(CRONOPLE!$F$15,$M158-$A$15,BP$13)=0,10^12,OFFSET(CRONOPLE!$F$15,$M158-$A$15,BP$13)))</f>
        <v>1000000000000</v>
      </c>
      <c r="BQ158" s="171">
        <f ca="1">IF(OR($D158&lt;&gt;"Serviço",AND(AUTOEVENTO="Manual",$M158=$A$15)),0,
         IF(OFFSET(CRONOPLE!$F$15,$M158-$A$15,BQ$13)=0,10^12,OFFSET(CRONOPLE!$F$15,$M158-$A$15,BQ$13)))</f>
        <v>1000000000000</v>
      </c>
      <c r="BR158" s="171">
        <f ca="1">IF(OR($D158&lt;&gt;"Serviço",AND(AUTOEVENTO="Manual",$M158=$A$15)),0,
         IF(OFFSET(CRONOPLE!$F$15,$M158-$A$15,BR$13)=0,10^12,OFFSET(CRONOPLE!$F$15,$M158-$A$15,BR$13)))</f>
        <v>1000000000000</v>
      </c>
      <c r="BS158" s="171">
        <f ca="1">IF(OR($D158&lt;&gt;"Serviço",AND(AUTOEVENTO="Manual",$M158=$A$15)),0,
         IF(OFFSET(CRONOPLE!$F$15,$M158-$A$15,BS$13)=0,10^12,OFFSET(CRONOPLE!$F$15,$M158-$A$15,BS$13)))</f>
        <v>1000000000000</v>
      </c>
      <c r="BT158" s="171">
        <f ca="1">IF(OR($D158&lt;&gt;"Serviço",AND(AUTOEVENTO="Manual",$M158=$A$15)),0,
         IF(OFFSET(CRONOPLE!$F$15,$M158-$A$15,BT$13)=0,10^12,OFFSET(CRONOPLE!$F$15,$M158-$A$15,BT$13)))</f>
        <v>1000000000000</v>
      </c>
      <c r="BV158" s="172">
        <f ca="1">IF(OR($D158&lt;&gt;"Serviço",AND(AUTOEVENTO="Manual",$M158=$A$15),$M158&gt;(ROW(PLE.lastrow)-ROW(PLE.firstrow))),0,
           IF(OFFSET(PLE!$G$15,$M158-$A$15,BV$13)="",10^12,OFFSET(PLE!$G$15,$M158-$A$15,BV$13)))</f>
        <v>1000000000000</v>
      </c>
      <c r="BW158" s="172">
        <f ca="1">IF(OR($D158&lt;&gt;"Serviço",AND(AUTOEVENTO="Manual",$M158=$A$15),$M158&gt;(ROW(PLE.lastrow)-ROW(PLE.firstrow))),0,
           IF(OFFSET(PLE!$G$15,$M158-$A$15,BW$13)="",10^12,OFFSET(PLE!$G$15,$M158-$A$15,BW$13)))</f>
        <v>1000000000000</v>
      </c>
      <c r="BX158" s="172">
        <f ca="1">IF(OR($D158&lt;&gt;"Serviço",AND(AUTOEVENTO="Manual",$M158=$A$15),$M158&gt;(ROW(PLE.lastrow)-ROW(PLE.firstrow))),0,
           IF(OFFSET(PLE!$G$15,$M158-$A$15,BX$13)="",10^12,OFFSET(PLE!$G$15,$M158-$A$15,BX$13)))</f>
        <v>1000000000000</v>
      </c>
      <c r="BY158" s="172">
        <f ca="1">IF(OR($D158&lt;&gt;"Serviço",AND(AUTOEVENTO="Manual",$M158=$A$15),$M158&gt;(ROW(PLE.lastrow)-ROW(PLE.firstrow))),0,
           IF(OFFSET(PLE!$G$15,$M158-$A$15,BY$13)="",10^12,OFFSET(PLE!$G$15,$M158-$A$15,BY$13)))</f>
        <v>1000000000000</v>
      </c>
      <c r="BZ158" s="172">
        <f ca="1">IF(OR($D158&lt;&gt;"Serviço",AND(AUTOEVENTO="Manual",$M158=$A$15),$M158&gt;(ROW(PLE.lastrow)-ROW(PLE.firstrow))),0,
           IF(OFFSET(PLE!$G$15,$M158-$A$15,BZ$13)="",10^12,OFFSET(PLE!$G$15,$M158-$A$15,BZ$13)))</f>
        <v>1000000000000</v>
      </c>
      <c r="CA158" s="172">
        <f ca="1">IF(OR($D158&lt;&gt;"Serviço",AND(AUTOEVENTO="Manual",$M158=$A$15),$M158&gt;(ROW(PLE.lastrow)-ROW(PLE.firstrow))),0,
           IF(OFFSET(PLE!$G$15,$M158-$A$15,CA$13)="",10^12,OFFSET(PLE!$G$15,$M158-$A$15,CA$13)))</f>
        <v>1000000000000</v>
      </c>
      <c r="CB158" s="172">
        <f ca="1">IF(OR($D158&lt;&gt;"Serviço",AND(AUTOEVENTO="Manual",$M158=$A$15),$M158&gt;(ROW(PLE.lastrow)-ROW(PLE.firstrow))),0,
           IF(OFFSET(PLE!$G$15,$M158-$A$15,CB$13)="",10^12,OFFSET(PLE!$G$15,$M158-$A$15,CB$13)))</f>
        <v>1000000000000</v>
      </c>
      <c r="CC158" s="172">
        <f ca="1">IF(OR($D158&lt;&gt;"Serviço",AND(AUTOEVENTO="Manual",$M158=$A$15),$M158&gt;(ROW(PLE.lastrow)-ROW(PLE.firstrow))),0,
           IF(OFFSET(PLE!$G$15,$M158-$A$15,CC$13)="",10^12,OFFSET(PLE!$G$15,$M158-$A$15,CC$13)))</f>
        <v>1000000000000</v>
      </c>
      <c r="CD158" s="172">
        <f ca="1">IF(OR($D158&lt;&gt;"Serviço",AND(AUTOEVENTO="Manual",$M158=$A$15),$M158&gt;(ROW(PLE.lastrow)-ROW(PLE.firstrow))),0,
           IF(OFFSET(PLE!$G$15,$M158-$A$15,CD$13)="",10^12,OFFSET(PLE!$G$15,$M158-$A$15,CD$13)))</f>
        <v>1000000000000</v>
      </c>
      <c r="CE158" s="172">
        <f ca="1">IF(OR($D158&lt;&gt;"Serviço",AND(AUTOEVENTO="Manual",$M158=$A$15),$M158&gt;(ROW(PLE.lastrow)-ROW(PLE.firstrow))),0,
           IF(OFFSET(PLE!$G$15,$M158-$A$15,CE$13)="",10^12,OFFSET(PLE!$G$15,$M158-$A$15,CE$13)))</f>
        <v>1000000000000</v>
      </c>
      <c r="CF158" s="172">
        <f ca="1">IF(OR($D158&lt;&gt;"Serviço",AND(AUTOEVENTO="Manual",$M158=$A$15),$M158&gt;(ROW(PLE.lastrow)-ROW(PLE.firstrow))),0,
           IF(OFFSET(PLE!$G$15,$M158-$A$15,CF$13)="",10^12,OFFSET(PLE!$G$15,$M158-$A$15,CF$13)))</f>
        <v>1000000000000</v>
      </c>
      <c r="CG158" s="172">
        <f ca="1">IF(OR($D158&lt;&gt;"Serviço",AND(AUTOEVENTO="Manual",$M158=$A$15),$M158&gt;(ROW(PLE.lastrow)-ROW(PLE.firstrow))),0,
           IF(OFFSET(PLE!$G$15,$M158-$A$15,CG$13)="",10^12,OFFSET(PLE!$G$15,$M158-$A$15,CG$13)))</f>
        <v>1000000000000</v>
      </c>
      <c r="CH158" s="172">
        <f ca="1">IF(OR($D158&lt;&gt;"Serviço",AND(AUTOEVENTO="Manual",$M158=$A$15),$M158&gt;(ROW(PLE.lastrow)-ROW(PLE.firstrow))),0,
           IF(OFFSET(PLE!$G$15,$M158-$A$15,CH$13)="",10^12,OFFSET(PLE!$G$15,$M158-$A$15,CH$13)))</f>
        <v>1000000000000</v>
      </c>
      <c r="CI158" s="172">
        <f ca="1">IF(OR($D158&lt;&gt;"Serviço",AND(AUTOEVENTO="Manual",$M158=$A$15),$M158&gt;(ROW(PLE.lastrow)-ROW(PLE.firstrow))),0,
           IF(OFFSET(PLE!$G$15,$M158-$A$15,CI$13)="",10^12,OFFSET(PLE!$G$15,$M158-$A$15,CI$13)))</f>
        <v>1000000000000</v>
      </c>
      <c r="CJ158" s="172">
        <f ca="1">IF(OR($D158&lt;&gt;"Serviço",AND(AUTOEVENTO="Manual",$M158=$A$15),$M158&gt;(ROW(PLE.lastrow)-ROW(PLE.firstrow))),0,
           IF(OFFSET(PLE!$G$15,$M158-$A$15,CJ$13)="",10^12,OFFSET(PLE!$G$15,$M158-$A$15,CJ$13)))</f>
        <v>1000000000000</v>
      </c>
      <c r="CK158" s="172">
        <f ca="1">IF(OR($D158&lt;&gt;"Serviço",AND(AUTOEVENTO="Manual",$M158=$A$15),$M158&gt;(ROW(PLE.lastrow)-ROW(PLE.firstrow))),0,
           IF(OFFSET(PLE!$G$15,$M158-$A$15,CK$13)="",10^12,OFFSET(PLE!$G$15,$M158-$A$15,CK$13)))</f>
        <v>1000000000000</v>
      </c>
      <c r="CL158" s="172">
        <f ca="1">IF(OR($D158&lt;&gt;"Serviço",AND(AUTOEVENTO="Manual",$M158=$A$15),$M158&gt;(ROW(PLE.lastrow)-ROW(PLE.firstrow))),0,
           IF(OFFSET(PLE!$G$15,$M158-$A$15,CL$13)="",10^12,OFFSET(PLE!$G$15,$M158-$A$15,CL$13)))</f>
        <v>1000000000000</v>
      </c>
      <c r="CM158" s="172">
        <f ca="1">IF(OR($D158&lt;&gt;"Serviço",AND(AUTOEVENTO="Manual",$M158=$A$15),$M158&gt;(ROW(PLE.lastrow)-ROW(PLE.firstrow))),0,
           IF(OFFSET(PLE!$G$15,$M158-$A$15,CM$13)="",10^12,OFFSET(PLE!$G$15,$M158-$A$15,CM$13)))</f>
        <v>1000000000000</v>
      </c>
    </row>
    <row r="159" spans="1:91" ht="12.75" x14ac:dyDescent="0.2">
      <c r="A159" s="7">
        <f t="shared" ca="1" si="12"/>
        <v>0</v>
      </c>
      <c r="B159" s="7">
        <f ca="1">OFFSET(ORÇAMENTO!C$15,ROW(B159)-ROW(B$15),0)</f>
        <v>4</v>
      </c>
      <c r="C159" s="7" t="str">
        <f ca="1">OFFSET(ORÇAMENTO!L$15,ROW(C159)-ROW(C$15),0)</f>
        <v>F</v>
      </c>
      <c r="D159" s="116" t="str">
        <f ca="1">OFFSET(ORÇAMENTO!N$15,ROW(D159)-ROW(D$15),0)</f>
        <v>Nível 4</v>
      </c>
      <c r="E159" s="117" t="str">
        <f ca="1">OFFSET(ORÇAMENTO!O$15,ROW(E159)-ROW(E$15),0)</f>
        <v>1.5.5.2.</v>
      </c>
      <c r="F159" s="163" t="str">
        <f ca="1">OFFSET(ORÇAMENTO!R$15,ROW(F159)-ROW(F$15),0)</f>
        <v>BLOCOS</v>
      </c>
      <c r="G159" s="164" t="str">
        <f ca="1">IF($D159&lt;&gt;"Serviço","",OFFSET(ORÇAMENTO!S$15,ROW(G159)-ROW(G$15),0))</f>
        <v/>
      </c>
      <c r="H159" s="122" cm="1">
        <f t="array" aca="1" ref="H159" ca="1">IF($D159&lt;&gt;"Serviço",0,IF(ACOMPANHAMENTO="BM",ROUND(OFFSET(ORÇAMENTO!AJ$15,ROW(H159)-ROW(H$15),0),15-13*ORÇAMENTO!$AF$7),SUMPRODUCT(($Q$1:$AI$1=1)*ROUND($Q159:$AI159,15-13*ORÇAMENTO!$AF$7))))</f>
        <v>0</v>
      </c>
      <c r="I159" s="468"/>
      <c r="J159" s="640" t="str" cm="1">
        <f t="array" aca="1" ref="J159" ca="1">IF(OR(B159&lt;&gt;"S",CÁLCULO.FrentesPreenchidas=0),"",IF(AND(ACOMPANHAMENTO="PLE",AUTOEVENTO="Manual",OR(H159&gt;0,ORÇAMENTO!AC159="QUANT."),OR(K159="",M159=0,N159="")),"►E",IF(AND(ACOMPANHAMENTO="PLE",ORÇAMENTO!AC159="QUANT."),"►Q",IF(AND(ACOMPANHAMENTO="PLE",H159&lt;&gt;SUMPRODUCT(($Q$1:$AI$1=1)*ROUND(Q159:AI159,15))),"►S",IF(AND(COUNTIF($P$11:$AI$11,"▼")=0,H159&gt;0,I159=""),"◄M","")))))</f>
        <v/>
      </c>
      <c r="K159" s="641"/>
      <c r="L159" s="165" t="s">
        <v>764</v>
      </c>
      <c r="M159" s="166" t="str">
        <f ca="1">IF($D159&lt;&gt;"Serviço","",
          IF(AUTOEVENTO="manual",$A159,
                IF(ISERROR(MATCH($A159,$A$15:OFFSET($A159,-1,0),0)),MAX($M$15:OFFSET(M159,-1,0))+1,
                      INDEX($M$15:OFFSET(M159,-1,0),MATCH($A159,$A$15:OFFSET($A159,-1,0),0)))))</f>
        <v/>
      </c>
      <c r="N159" s="167" t="str">
        <f ca="1">IF($D159&lt;&gt;"Serviço","",
         IF(AUTOEVENTO="Manual",
                IF($A159=0,"&lt;-- defina o número do agrupador",
                       OFFSET(EVENTOS!$D$15,$A159-$A$15,0)),
                OFFSET($F$15,$A159,0)))</f>
        <v/>
      </c>
      <c r="O159" s="168"/>
      <c r="Q159" s="168"/>
      <c r="R159" s="169"/>
      <c r="S159" s="169"/>
      <c r="T159" s="169"/>
      <c r="U159" s="169"/>
      <c r="V159" s="169"/>
      <c r="W159" s="169"/>
      <c r="X159" s="169"/>
      <c r="Y159" s="169"/>
      <c r="Z159" s="170"/>
      <c r="AA159" s="169"/>
      <c r="AB159" s="169"/>
      <c r="AC159" s="169"/>
      <c r="AD159" s="169"/>
      <c r="AE159" s="169"/>
      <c r="AF159" s="169"/>
      <c r="AG159" s="169"/>
      <c r="AH159" s="170"/>
      <c r="AJ159" s="453">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0</v>
      </c>
      <c r="AK159" s="453">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0</v>
      </c>
      <c r="AL159" s="453">
        <f ca="1">IF(AND($D159="Serviço",AL$12&lt;&gt;0,$H159&gt;0,OR(AUTOEVENTO&lt;&gt;"manual",$M159&lt;&gt;$A$15)),
        IF(Import.TipoArredondamento&lt;&gt;"TransfereGOV",
              ROUND(OFFSET($P159,0,AL$13),15-13*ORÇAMENTO!$AF$7)/$H159*OFFSET(ORÇAMENTO!$X$15,ROW(AL159)-ROW(AL$15),0),
              ROUND(ROUND(OFFSET($P159,0,AL$13),15-13*ORÇAMENTO!$AF$7)*OFFSET(ORÇAMENTO!$W$15,ROW(AL159)-ROW(AL$15),0),15-13*ORÇAMENTO!$AF$11)),
         0)</f>
        <v>0</v>
      </c>
      <c r="AM159" s="453">
        <f ca="1">IF(AND($D159="Serviço",AM$12&lt;&gt;0,$H159&gt;0,OR(AUTOEVENTO&lt;&gt;"manual",$M159&lt;&gt;$A$15)),
        IF(Import.TipoArredondamento&lt;&gt;"TransfereGOV",
              ROUND(OFFSET($P159,0,AM$13),15-13*ORÇAMENTO!$AF$7)/$H159*OFFSET(ORÇAMENTO!$X$15,ROW(AM159)-ROW(AM$15),0),
              ROUND(ROUND(OFFSET($P159,0,AM$13),15-13*ORÇAMENTO!$AF$7)*OFFSET(ORÇAMENTO!$W$15,ROW(AM159)-ROW(AM$15),0),15-13*ORÇAMENTO!$AF$11)),
         0)</f>
        <v>0</v>
      </c>
      <c r="AN159" s="453">
        <f ca="1">IF(AND($D159="Serviço",AN$12&lt;&gt;0,$H159&gt;0,OR(AUTOEVENTO&lt;&gt;"manual",$M159&lt;&gt;$A$15)),
        IF(Import.TipoArredondamento&lt;&gt;"TransfereGOV",
              ROUND(OFFSET($P159,0,AN$13),15-13*ORÇAMENTO!$AF$7)/$H159*OFFSET(ORÇAMENTO!$X$15,ROW(AN159)-ROW(AN$15),0),
              ROUND(ROUND(OFFSET($P159,0,AN$13),15-13*ORÇAMENTO!$AF$7)*OFFSET(ORÇAMENTO!$W$15,ROW(AN159)-ROW(AN$15),0),15-13*ORÇAMENTO!$AF$11)),
         0)</f>
        <v>0</v>
      </c>
      <c r="AO159" s="453">
        <f ca="1">IF(AND($D159="Serviço",AO$12&lt;&gt;0,$H159&gt;0,OR(AUTOEVENTO&lt;&gt;"manual",$M159&lt;&gt;$A$15)),
        IF(Import.TipoArredondamento&lt;&gt;"TransfereGOV",
              ROUND(OFFSET($P159,0,AO$13),15-13*ORÇAMENTO!$AF$7)/$H159*OFFSET(ORÇAMENTO!$X$15,ROW(AO159)-ROW(AO$15),0),
              ROUND(ROUND(OFFSET($P159,0,AO$13),15-13*ORÇAMENTO!$AF$7)*OFFSET(ORÇAMENTO!$W$15,ROW(AO159)-ROW(AO$15),0),15-13*ORÇAMENTO!$AF$11)),
         0)</f>
        <v>0</v>
      </c>
      <c r="AP159" s="453">
        <f ca="1">IF(AND($D159="Serviço",AP$12&lt;&gt;0,$H159&gt;0,OR(AUTOEVENTO&lt;&gt;"manual",$M159&lt;&gt;$A$15)),
        IF(Import.TipoArredondamento&lt;&gt;"TransfereGOV",
              ROUND(OFFSET($P159,0,AP$13),15-13*ORÇAMENTO!$AF$7)/$H159*OFFSET(ORÇAMENTO!$X$15,ROW(AP159)-ROW(AP$15),0),
              ROUND(ROUND(OFFSET($P159,0,AP$13),15-13*ORÇAMENTO!$AF$7)*OFFSET(ORÇAMENTO!$W$15,ROW(AP159)-ROW(AP$15),0),15-13*ORÇAMENTO!$AF$11)),
         0)</f>
        <v>0</v>
      </c>
      <c r="AQ159" s="453">
        <f ca="1">IF(AND($D159="Serviço",AQ$12&lt;&gt;0,$H159&gt;0,OR(AUTOEVENTO&lt;&gt;"manual",$M159&lt;&gt;$A$15)),
        IF(Import.TipoArredondamento&lt;&gt;"TransfereGOV",
              ROUND(OFFSET($P159,0,AQ$13),15-13*ORÇAMENTO!$AF$7)/$H159*OFFSET(ORÇAMENTO!$X$15,ROW(AQ159)-ROW(AQ$15),0),
              ROUND(ROUND(OFFSET($P159,0,AQ$13),15-13*ORÇAMENTO!$AF$7)*OFFSET(ORÇAMENTO!$W$15,ROW(AQ159)-ROW(AQ$15),0),15-13*ORÇAMENTO!$AF$11)),
         0)</f>
        <v>0</v>
      </c>
      <c r="AR159" s="453">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3">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3">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3">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3">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3">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3">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3">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3">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3">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C159" s="171">
        <f ca="1">IF(OR($D159&lt;&gt;"Serviço",AND(AUTOEVENTO="Manual",$M159=$A$15)),0,
         IF(OFFSET(CRONOPLE!$F$15,$M159-$A$15,BC$13)=0,10^12,OFFSET(CRONOPLE!$F$15,$M159-$A$15,BC$13)))</f>
        <v>0</v>
      </c>
      <c r="BD159" s="171">
        <f ca="1">IF(OR($D159&lt;&gt;"Serviço",AND(AUTOEVENTO="Manual",$M159=$A$15)),0,
         IF(OFFSET(CRONOPLE!$F$15,$M159-$A$15,BD$13)=0,10^12,OFFSET(CRONOPLE!$F$15,$M159-$A$15,BD$13)))</f>
        <v>0</v>
      </c>
      <c r="BE159" s="171">
        <f ca="1">IF(OR($D159&lt;&gt;"Serviço",AND(AUTOEVENTO="Manual",$M159=$A$15)),0,
         IF(OFFSET(CRONOPLE!$F$15,$M159-$A$15,BE$13)=0,10^12,OFFSET(CRONOPLE!$F$15,$M159-$A$15,BE$13)))</f>
        <v>0</v>
      </c>
      <c r="BF159" s="171">
        <f ca="1">IF(OR($D159&lt;&gt;"Serviço",AND(AUTOEVENTO="Manual",$M159=$A$15)),0,
         IF(OFFSET(CRONOPLE!$F$15,$M159-$A$15,BF$13)=0,10^12,OFFSET(CRONOPLE!$F$15,$M159-$A$15,BF$13)))</f>
        <v>0</v>
      </c>
      <c r="BG159" s="171">
        <f ca="1">IF(OR($D159&lt;&gt;"Serviço",AND(AUTOEVENTO="Manual",$M159=$A$15)),0,
         IF(OFFSET(CRONOPLE!$F$15,$M159-$A$15,BG$13)=0,10^12,OFFSET(CRONOPLE!$F$15,$M159-$A$15,BG$13)))</f>
        <v>0</v>
      </c>
      <c r="BH159" s="171">
        <f ca="1">IF(OR($D159&lt;&gt;"Serviço",AND(AUTOEVENTO="Manual",$M159=$A$15)),0,
         IF(OFFSET(CRONOPLE!$F$15,$M159-$A$15,BH$13)=0,10^12,OFFSET(CRONOPLE!$F$15,$M159-$A$15,BH$13)))</f>
        <v>0</v>
      </c>
      <c r="BI159" s="171">
        <f ca="1">IF(OR($D159&lt;&gt;"Serviço",AND(AUTOEVENTO="Manual",$M159=$A$15)),0,
         IF(OFFSET(CRONOPLE!$F$15,$M159-$A$15,BI$13)=0,10^12,OFFSET(CRONOPLE!$F$15,$M159-$A$15,BI$13)))</f>
        <v>0</v>
      </c>
      <c r="BJ159" s="171">
        <f ca="1">IF(OR($D159&lt;&gt;"Serviço",AND(AUTOEVENTO="Manual",$M159=$A$15)),0,
         IF(OFFSET(CRONOPLE!$F$15,$M159-$A$15,BJ$13)=0,10^12,OFFSET(CRONOPLE!$F$15,$M159-$A$15,BJ$13)))</f>
        <v>0</v>
      </c>
      <c r="BK159" s="171">
        <f ca="1">IF(OR($D159&lt;&gt;"Serviço",AND(AUTOEVENTO="Manual",$M159=$A$15)),0,
         IF(OFFSET(CRONOPLE!$F$15,$M159-$A$15,BK$13)=0,10^12,OFFSET(CRONOPLE!$F$15,$M159-$A$15,BK$13)))</f>
        <v>0</v>
      </c>
      <c r="BL159" s="171">
        <f ca="1">IF(OR($D159&lt;&gt;"Serviço",AND(AUTOEVENTO="Manual",$M159=$A$15)),0,
         IF(OFFSET(CRONOPLE!$F$15,$M159-$A$15,BL$13)=0,10^12,OFFSET(CRONOPLE!$F$15,$M159-$A$15,BL$13)))</f>
        <v>0</v>
      </c>
      <c r="BM159" s="171">
        <f ca="1">IF(OR($D159&lt;&gt;"Serviço",AND(AUTOEVENTO="Manual",$M159=$A$15)),0,
         IF(OFFSET(CRONOPLE!$F$15,$M159-$A$15,BM$13)=0,10^12,OFFSET(CRONOPLE!$F$15,$M159-$A$15,BM$13)))</f>
        <v>0</v>
      </c>
      <c r="BN159" s="171">
        <f ca="1">IF(OR($D159&lt;&gt;"Serviço",AND(AUTOEVENTO="Manual",$M159=$A$15)),0,
         IF(OFFSET(CRONOPLE!$F$15,$M159-$A$15,BN$13)=0,10^12,OFFSET(CRONOPLE!$F$15,$M159-$A$15,BN$13)))</f>
        <v>0</v>
      </c>
      <c r="BO159" s="171">
        <f ca="1">IF(OR($D159&lt;&gt;"Serviço",AND(AUTOEVENTO="Manual",$M159=$A$15)),0,
         IF(OFFSET(CRONOPLE!$F$15,$M159-$A$15,BO$13)=0,10^12,OFFSET(CRONOPLE!$F$15,$M159-$A$15,BO$13)))</f>
        <v>0</v>
      </c>
      <c r="BP159" s="171">
        <f ca="1">IF(OR($D159&lt;&gt;"Serviço",AND(AUTOEVENTO="Manual",$M159=$A$15)),0,
         IF(OFFSET(CRONOPLE!$F$15,$M159-$A$15,BP$13)=0,10^12,OFFSET(CRONOPLE!$F$15,$M159-$A$15,BP$13)))</f>
        <v>0</v>
      </c>
      <c r="BQ159" s="171">
        <f ca="1">IF(OR($D159&lt;&gt;"Serviço",AND(AUTOEVENTO="Manual",$M159=$A$15)),0,
         IF(OFFSET(CRONOPLE!$F$15,$M159-$A$15,BQ$13)=0,10^12,OFFSET(CRONOPLE!$F$15,$M159-$A$15,BQ$13)))</f>
        <v>0</v>
      </c>
      <c r="BR159" s="171">
        <f ca="1">IF(OR($D159&lt;&gt;"Serviço",AND(AUTOEVENTO="Manual",$M159=$A$15)),0,
         IF(OFFSET(CRONOPLE!$F$15,$M159-$A$15,BR$13)=0,10^12,OFFSET(CRONOPLE!$F$15,$M159-$A$15,BR$13)))</f>
        <v>0</v>
      </c>
      <c r="BS159" s="171">
        <f ca="1">IF(OR($D159&lt;&gt;"Serviço",AND(AUTOEVENTO="Manual",$M159=$A$15)),0,
         IF(OFFSET(CRONOPLE!$F$15,$M159-$A$15,BS$13)=0,10^12,OFFSET(CRONOPLE!$F$15,$M159-$A$15,BS$13)))</f>
        <v>0</v>
      </c>
      <c r="BT159" s="171">
        <f ca="1">IF(OR($D159&lt;&gt;"Serviço",AND(AUTOEVENTO="Manual",$M159=$A$15)),0,
         IF(OFFSET(CRONOPLE!$F$15,$M159-$A$15,BT$13)=0,10^12,OFFSET(CRONOPLE!$F$15,$M159-$A$15,BT$13)))</f>
        <v>0</v>
      </c>
      <c r="BV159" s="172">
        <f ca="1">IF(OR($D159&lt;&gt;"Serviço",AND(AUTOEVENTO="Manual",$M159=$A$15),$M159&gt;(ROW(PLE.lastrow)-ROW(PLE.firstrow))),0,
           IF(OFFSET(PLE!$G$15,$M159-$A$15,BV$13)="",10^12,OFFSET(PLE!$G$15,$M159-$A$15,BV$13)))</f>
        <v>0</v>
      </c>
      <c r="BW159" s="172">
        <f ca="1">IF(OR($D159&lt;&gt;"Serviço",AND(AUTOEVENTO="Manual",$M159=$A$15),$M159&gt;(ROW(PLE.lastrow)-ROW(PLE.firstrow))),0,
           IF(OFFSET(PLE!$G$15,$M159-$A$15,BW$13)="",10^12,OFFSET(PLE!$G$15,$M159-$A$15,BW$13)))</f>
        <v>0</v>
      </c>
      <c r="BX159" s="172">
        <f ca="1">IF(OR($D159&lt;&gt;"Serviço",AND(AUTOEVENTO="Manual",$M159=$A$15),$M159&gt;(ROW(PLE.lastrow)-ROW(PLE.firstrow))),0,
           IF(OFFSET(PLE!$G$15,$M159-$A$15,BX$13)="",10^12,OFFSET(PLE!$G$15,$M159-$A$15,BX$13)))</f>
        <v>0</v>
      </c>
      <c r="BY159" s="172">
        <f ca="1">IF(OR($D159&lt;&gt;"Serviço",AND(AUTOEVENTO="Manual",$M159=$A$15),$M159&gt;(ROW(PLE.lastrow)-ROW(PLE.firstrow))),0,
           IF(OFFSET(PLE!$G$15,$M159-$A$15,BY$13)="",10^12,OFFSET(PLE!$G$15,$M159-$A$15,BY$13)))</f>
        <v>0</v>
      </c>
      <c r="BZ159" s="172">
        <f ca="1">IF(OR($D159&lt;&gt;"Serviço",AND(AUTOEVENTO="Manual",$M159=$A$15),$M159&gt;(ROW(PLE.lastrow)-ROW(PLE.firstrow))),0,
           IF(OFFSET(PLE!$G$15,$M159-$A$15,BZ$13)="",10^12,OFFSET(PLE!$G$15,$M159-$A$15,BZ$13)))</f>
        <v>0</v>
      </c>
      <c r="CA159" s="172">
        <f ca="1">IF(OR($D159&lt;&gt;"Serviço",AND(AUTOEVENTO="Manual",$M159=$A$15),$M159&gt;(ROW(PLE.lastrow)-ROW(PLE.firstrow))),0,
           IF(OFFSET(PLE!$G$15,$M159-$A$15,CA$13)="",10^12,OFFSET(PLE!$G$15,$M159-$A$15,CA$13)))</f>
        <v>0</v>
      </c>
      <c r="CB159" s="172">
        <f ca="1">IF(OR($D159&lt;&gt;"Serviço",AND(AUTOEVENTO="Manual",$M159=$A$15),$M159&gt;(ROW(PLE.lastrow)-ROW(PLE.firstrow))),0,
           IF(OFFSET(PLE!$G$15,$M159-$A$15,CB$13)="",10^12,OFFSET(PLE!$G$15,$M159-$A$15,CB$13)))</f>
        <v>0</v>
      </c>
      <c r="CC159" s="172">
        <f ca="1">IF(OR($D159&lt;&gt;"Serviço",AND(AUTOEVENTO="Manual",$M159=$A$15),$M159&gt;(ROW(PLE.lastrow)-ROW(PLE.firstrow))),0,
           IF(OFFSET(PLE!$G$15,$M159-$A$15,CC$13)="",10^12,OFFSET(PLE!$G$15,$M159-$A$15,CC$13)))</f>
        <v>0</v>
      </c>
      <c r="CD159" s="172">
        <f ca="1">IF(OR($D159&lt;&gt;"Serviço",AND(AUTOEVENTO="Manual",$M159=$A$15),$M159&gt;(ROW(PLE.lastrow)-ROW(PLE.firstrow))),0,
           IF(OFFSET(PLE!$G$15,$M159-$A$15,CD$13)="",10^12,OFFSET(PLE!$G$15,$M159-$A$15,CD$13)))</f>
        <v>0</v>
      </c>
      <c r="CE159" s="172">
        <f ca="1">IF(OR($D159&lt;&gt;"Serviço",AND(AUTOEVENTO="Manual",$M159=$A$15),$M159&gt;(ROW(PLE.lastrow)-ROW(PLE.firstrow))),0,
           IF(OFFSET(PLE!$G$15,$M159-$A$15,CE$13)="",10^12,OFFSET(PLE!$G$15,$M159-$A$15,CE$13)))</f>
        <v>0</v>
      </c>
      <c r="CF159" s="172">
        <f ca="1">IF(OR($D159&lt;&gt;"Serviço",AND(AUTOEVENTO="Manual",$M159=$A$15),$M159&gt;(ROW(PLE.lastrow)-ROW(PLE.firstrow))),0,
           IF(OFFSET(PLE!$G$15,$M159-$A$15,CF$13)="",10^12,OFFSET(PLE!$G$15,$M159-$A$15,CF$13)))</f>
        <v>0</v>
      </c>
      <c r="CG159" s="172">
        <f ca="1">IF(OR($D159&lt;&gt;"Serviço",AND(AUTOEVENTO="Manual",$M159=$A$15),$M159&gt;(ROW(PLE.lastrow)-ROW(PLE.firstrow))),0,
           IF(OFFSET(PLE!$G$15,$M159-$A$15,CG$13)="",10^12,OFFSET(PLE!$G$15,$M159-$A$15,CG$13)))</f>
        <v>0</v>
      </c>
      <c r="CH159" s="172">
        <f ca="1">IF(OR($D159&lt;&gt;"Serviço",AND(AUTOEVENTO="Manual",$M159=$A$15),$M159&gt;(ROW(PLE.lastrow)-ROW(PLE.firstrow))),0,
           IF(OFFSET(PLE!$G$15,$M159-$A$15,CH$13)="",10^12,OFFSET(PLE!$G$15,$M159-$A$15,CH$13)))</f>
        <v>0</v>
      </c>
      <c r="CI159" s="172">
        <f ca="1">IF(OR($D159&lt;&gt;"Serviço",AND(AUTOEVENTO="Manual",$M159=$A$15),$M159&gt;(ROW(PLE.lastrow)-ROW(PLE.firstrow))),0,
           IF(OFFSET(PLE!$G$15,$M159-$A$15,CI$13)="",10^12,OFFSET(PLE!$G$15,$M159-$A$15,CI$13)))</f>
        <v>0</v>
      </c>
      <c r="CJ159" s="172">
        <f ca="1">IF(OR($D159&lt;&gt;"Serviço",AND(AUTOEVENTO="Manual",$M159=$A$15),$M159&gt;(ROW(PLE.lastrow)-ROW(PLE.firstrow))),0,
           IF(OFFSET(PLE!$G$15,$M159-$A$15,CJ$13)="",10^12,OFFSET(PLE!$G$15,$M159-$A$15,CJ$13)))</f>
        <v>0</v>
      </c>
      <c r="CK159" s="172">
        <f ca="1">IF(OR($D159&lt;&gt;"Serviço",AND(AUTOEVENTO="Manual",$M159=$A$15),$M159&gt;(ROW(PLE.lastrow)-ROW(PLE.firstrow))),0,
           IF(OFFSET(PLE!$G$15,$M159-$A$15,CK$13)="",10^12,OFFSET(PLE!$G$15,$M159-$A$15,CK$13)))</f>
        <v>0</v>
      </c>
      <c r="CL159" s="172">
        <f ca="1">IF(OR($D159&lt;&gt;"Serviço",AND(AUTOEVENTO="Manual",$M159=$A$15),$M159&gt;(ROW(PLE.lastrow)-ROW(PLE.firstrow))),0,
           IF(OFFSET(PLE!$G$15,$M159-$A$15,CL$13)="",10^12,OFFSET(PLE!$G$15,$M159-$A$15,CL$13)))</f>
        <v>0</v>
      </c>
      <c r="CM159" s="172">
        <f ca="1">IF(OR($D159&lt;&gt;"Serviço",AND(AUTOEVENTO="Manual",$M159=$A$15),$M159&gt;(ROW(PLE.lastrow)-ROW(PLE.firstrow))),0,
           IF(OFFSET(PLE!$G$15,$M159-$A$15,CM$13)="",10^12,OFFSET(PLE!$G$15,$M159-$A$15,CM$13)))</f>
        <v>0</v>
      </c>
    </row>
    <row r="160" spans="1:91" ht="38.25" x14ac:dyDescent="0.2">
      <c r="A160" s="7">
        <f t="shared" ca="1" si="12"/>
        <v>4</v>
      </c>
      <c r="B160" s="7" t="str">
        <f ca="1">OFFSET(ORÇAMENTO!C$15,ROW(B160)-ROW(B$15),0)</f>
        <v>S</v>
      </c>
      <c r="C160" s="7" t="str">
        <f ca="1">OFFSET(ORÇAMENTO!L$15,ROW(C160)-ROW(C$15),0)</f>
        <v>F</v>
      </c>
      <c r="D160" s="116" t="str">
        <f ca="1">OFFSET(ORÇAMENTO!N$15,ROW(D160)-ROW(D$15),0)</f>
        <v>Serviço</v>
      </c>
      <c r="E160" s="117" t="str">
        <f ca="1">OFFSET(ORÇAMENTO!O$15,ROW(E160)-ROW(E$15),0)</f>
        <v>1.5.5.2.1.</v>
      </c>
      <c r="F160" s="163" t="str">
        <f ca="1">OFFSET(ORÇAMENTO!R$15,ROW(F160)-ROW(F$15),0)</f>
        <v>ESCAVAÇÃO MANUAL PARA BLOCO DE COROAMENTO OU SAPATA (INCLUINDO ESCAVAÇÃO PARA COLOCAÇÃO DE FÔRMAS). AF_01/2024</v>
      </c>
      <c r="G160" s="164" t="str">
        <f ca="1">IF($D160&lt;&gt;"Serviço","",OFFSET(ORÇAMENTO!S$15,ROW(G160)-ROW(G$15),0))</f>
        <v>M3</v>
      </c>
      <c r="H160" s="122" cm="1">
        <f t="array" aca="1" ref="H160" ca="1">IF($D160&lt;&gt;"Serviço",0,IF(ACOMPANHAMENTO="BM",ROUND(OFFSET(ORÇAMENTO!AJ$15,ROW(H160)-ROW(H$15),0),15-13*ORÇAMENTO!$AF$7),SUMPRODUCT(($Q$1:$AI$1=1)*ROUND($Q160:$AI160,15-13*ORÇAMENTO!$AF$7))))</f>
        <v>24.99</v>
      </c>
      <c r="I160" s="468" t="s">
        <v>1338</v>
      </c>
      <c r="J160" s="640" t="str" cm="1">
        <f t="array" aca="1" ref="J160" ca="1">IF(OR(B160&lt;&gt;"S",CÁLCULO.FrentesPreenchidas=0),"",IF(AND(ACOMPANHAMENTO="PLE",AUTOEVENTO="Manual",OR(H160&gt;0,ORÇAMENTO!AC160="QUANT."),OR(K160="",M160=0,N160="")),"►E",IF(AND(ACOMPANHAMENTO="PLE",ORÇAMENTO!AC160="QUANT."),"►Q",IF(AND(ACOMPANHAMENTO="PLE",H160&lt;&gt;SUMPRODUCT(($Q$1:$AI$1=1)*ROUND(Q160:AI160,15))),"►S",IF(AND(COUNTIF($P$11:$AI$11,"▼")=0,H160&gt;0,I160=""),"◄M","")))))</f>
        <v/>
      </c>
      <c r="K160" s="641" t="s">
        <v>1389</v>
      </c>
      <c r="L160" s="165" t="s">
        <v>764</v>
      </c>
      <c r="M160" s="166">
        <f ca="1">IF($D160&lt;&gt;"Serviço","",
          IF(AUTOEVENTO="manual",$A160,
                IF(ISERROR(MATCH($A160,$A$15:OFFSET($A160,-1,0),0)),MAX($M$15:OFFSET(M160,-1,0))+1,
                      INDEX($M$15:OFFSET(M160,-1,0),MATCH($A160,$A$15:OFFSET($A160,-1,0),0)))))</f>
        <v>4</v>
      </c>
      <c r="N160" s="167" t="str">
        <f ca="1">IF($D160&lt;&gt;"Serviço","",
         IF(AUTOEVENTO="Manual",
                IF($A160=0,"&lt;-- defina o número do agrupador",
                       OFFSET(EVENTOS!$D$15,$A160-$A$15,0)),
                OFFSET($F$15,$A160,0)))</f>
        <v>Estruturas de Concreto</v>
      </c>
      <c r="O160" s="168"/>
      <c r="Q160" s="168"/>
      <c r="R160" s="169"/>
      <c r="S160" s="169"/>
      <c r="T160" s="169"/>
      <c r="U160" s="169"/>
      <c r="V160" s="169">
        <v>24.99</v>
      </c>
      <c r="W160" s="169"/>
      <c r="X160" s="169"/>
      <c r="Y160" s="169"/>
      <c r="Z160" s="170"/>
      <c r="AA160" s="169"/>
      <c r="AB160" s="169"/>
      <c r="AC160" s="169"/>
      <c r="AD160" s="169"/>
      <c r="AE160" s="169"/>
      <c r="AF160" s="169"/>
      <c r="AG160" s="169"/>
      <c r="AH160" s="170"/>
      <c r="AJ160" s="453">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0</v>
      </c>
      <c r="AK160" s="453">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0</v>
      </c>
      <c r="AL160" s="453">
        <f ca="1">IF(AND($D160="Serviço",AL$12&lt;&gt;0,$H160&gt;0,OR(AUTOEVENTO&lt;&gt;"manual",$M160&lt;&gt;$A$15)),
        IF(Import.TipoArredondamento&lt;&gt;"TransfereGOV",
              ROUND(OFFSET($P160,0,AL$13),15-13*ORÇAMENTO!$AF$7)/$H160*OFFSET(ORÇAMENTO!$X$15,ROW(AL160)-ROW(AL$15),0),
              ROUND(ROUND(OFFSET($P160,0,AL$13),15-13*ORÇAMENTO!$AF$7)*OFFSET(ORÇAMENTO!$W$15,ROW(AL160)-ROW(AL$15),0),15-13*ORÇAMENTO!$AF$11)),
         0)</f>
        <v>0</v>
      </c>
      <c r="AM160" s="453">
        <f ca="1">IF(AND($D160="Serviço",AM$12&lt;&gt;0,$H160&gt;0,OR(AUTOEVENTO&lt;&gt;"manual",$M160&lt;&gt;$A$15)),
        IF(Import.TipoArredondamento&lt;&gt;"TransfereGOV",
              ROUND(OFFSET($P160,0,AM$13),15-13*ORÇAMENTO!$AF$7)/$H160*OFFSET(ORÇAMENTO!$X$15,ROW(AM160)-ROW(AM$15),0),
              ROUND(ROUND(OFFSET($P160,0,AM$13),15-13*ORÇAMENTO!$AF$7)*OFFSET(ORÇAMENTO!$W$15,ROW(AM160)-ROW(AM$15),0),15-13*ORÇAMENTO!$AF$11)),
         0)</f>
        <v>0</v>
      </c>
      <c r="AN160" s="453">
        <f ca="1">IF(AND($D160="Serviço",AN$12&lt;&gt;0,$H160&gt;0,OR(AUTOEVENTO&lt;&gt;"manual",$M160&lt;&gt;$A$15)),
        IF(Import.TipoArredondamento&lt;&gt;"TransfereGOV",
              ROUND(OFFSET($P160,0,AN$13),15-13*ORÇAMENTO!$AF$7)/$H160*OFFSET(ORÇAMENTO!$X$15,ROW(AN160)-ROW(AN$15),0),
              ROUND(ROUND(OFFSET($P160,0,AN$13),15-13*ORÇAMENTO!$AF$7)*OFFSET(ORÇAMENTO!$W$15,ROW(AN160)-ROW(AN$15),0),15-13*ORÇAMENTO!$AF$11)),
         0)</f>
        <v>0</v>
      </c>
      <c r="AO160" s="453">
        <f ca="1">IF(AND($D160="Serviço",AO$12&lt;&gt;0,$H160&gt;0,OR(AUTOEVENTO&lt;&gt;"manual",$M160&lt;&gt;$A$15)),
        IF(Import.TipoArredondamento&lt;&gt;"TransfereGOV",
              ROUND(OFFSET($P160,0,AO$13),15-13*ORÇAMENTO!$AF$7)/$H160*OFFSET(ORÇAMENTO!$X$15,ROW(AO160)-ROW(AO$15),0),
              ROUND(ROUND(OFFSET($P160,0,AO$13),15-13*ORÇAMENTO!$AF$7)*OFFSET(ORÇAMENTO!$W$15,ROW(AO160)-ROW(AO$15),0),15-13*ORÇAMENTO!$AF$11)),
         0)</f>
        <v>0</v>
      </c>
      <c r="AP160" s="453">
        <f ca="1">IF(AND($D160="Serviço",AP$12&lt;&gt;0,$H160&gt;0,OR(AUTOEVENTO&lt;&gt;"manual",$M160&lt;&gt;$A$15)),
        IF(Import.TipoArredondamento&lt;&gt;"TransfereGOV",
              ROUND(OFFSET($P160,0,AP$13),15-13*ORÇAMENTO!$AF$7)/$H160*OFFSET(ORÇAMENTO!$X$15,ROW(AP160)-ROW(AP$15),0),
              ROUND(ROUND(OFFSET($P160,0,AP$13),15-13*ORÇAMENTO!$AF$7)*OFFSET(ORÇAMENTO!$W$15,ROW(AP160)-ROW(AP$15),0),15-13*ORÇAMENTO!$AF$11)),
         0)</f>
        <v>0</v>
      </c>
      <c r="AQ160" s="453">
        <f ca="1">IF(AND($D160="Serviço",AQ$12&lt;&gt;0,$H160&gt;0,OR(AUTOEVENTO&lt;&gt;"manual",$M160&lt;&gt;$A$15)),
        IF(Import.TipoArredondamento&lt;&gt;"TransfereGOV",
              ROUND(OFFSET($P160,0,AQ$13),15-13*ORÇAMENTO!$AF$7)/$H160*OFFSET(ORÇAMENTO!$X$15,ROW(AQ160)-ROW(AQ$15),0),
              ROUND(ROUND(OFFSET($P160,0,AQ$13),15-13*ORÇAMENTO!$AF$7)*OFFSET(ORÇAMENTO!$W$15,ROW(AQ160)-ROW(AQ$15),0),15-13*ORÇAMENTO!$AF$11)),
         0)</f>
        <v>0</v>
      </c>
      <c r="AR160" s="453">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3">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3">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3">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3">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3">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3">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3">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3">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3">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C160" s="171">
        <f ca="1">IF(OR($D160&lt;&gt;"Serviço",AND(AUTOEVENTO="Manual",$M160=$A$15)),0,
         IF(OFFSET(CRONOPLE!$F$15,$M160-$A$15,BC$13)=0,10^12,OFFSET(CRONOPLE!$F$15,$M160-$A$15,BC$13)))</f>
        <v>1</v>
      </c>
      <c r="BD160" s="171">
        <f ca="1">IF(OR($D160&lt;&gt;"Serviço",AND(AUTOEVENTO="Manual",$M160=$A$15)),0,
         IF(OFFSET(CRONOPLE!$F$15,$M160-$A$15,BD$13)=0,10^12,OFFSET(CRONOPLE!$F$15,$M160-$A$15,BD$13)))</f>
        <v>2</v>
      </c>
      <c r="BE160" s="171">
        <f ca="1">IF(OR($D160&lt;&gt;"Serviço",AND(AUTOEVENTO="Manual",$M160=$A$15)),0,
         IF(OFFSET(CRONOPLE!$F$15,$M160-$A$15,BE$13)=0,10^12,OFFSET(CRONOPLE!$F$15,$M160-$A$15,BE$13)))</f>
        <v>3</v>
      </c>
      <c r="BF160" s="171">
        <f ca="1">IF(OR($D160&lt;&gt;"Serviço",AND(AUTOEVENTO="Manual",$M160=$A$15)),0,
         IF(OFFSET(CRONOPLE!$F$15,$M160-$A$15,BF$13)=0,10^12,OFFSET(CRONOPLE!$F$15,$M160-$A$15,BF$13)))</f>
        <v>4</v>
      </c>
      <c r="BG160" s="171">
        <f ca="1">IF(OR($D160&lt;&gt;"Serviço",AND(AUTOEVENTO="Manual",$M160=$A$15)),0,
         IF(OFFSET(CRONOPLE!$F$15,$M160-$A$15,BG$13)=0,10^12,OFFSET(CRONOPLE!$F$15,$M160-$A$15,BG$13)))</f>
        <v>5</v>
      </c>
      <c r="BH160" s="171">
        <f ca="1">IF(OR($D160&lt;&gt;"Serviço",AND(AUTOEVENTO="Manual",$M160=$A$15)),0,
         IF(OFFSET(CRONOPLE!$F$15,$M160-$A$15,BH$13)=0,10^12,OFFSET(CRONOPLE!$F$15,$M160-$A$15,BH$13)))</f>
        <v>6</v>
      </c>
      <c r="BI160" s="171">
        <f ca="1">IF(OR($D160&lt;&gt;"Serviço",AND(AUTOEVENTO="Manual",$M160=$A$15)),0,
         IF(OFFSET(CRONOPLE!$F$15,$M160-$A$15,BI$13)=0,10^12,OFFSET(CRONOPLE!$F$15,$M160-$A$15,BI$13)))</f>
        <v>7</v>
      </c>
      <c r="BJ160" s="171">
        <f ca="1">IF(OR($D160&lt;&gt;"Serviço",AND(AUTOEVENTO="Manual",$M160=$A$15)),0,
         IF(OFFSET(CRONOPLE!$F$15,$M160-$A$15,BJ$13)=0,10^12,OFFSET(CRONOPLE!$F$15,$M160-$A$15,BJ$13)))</f>
        <v>8</v>
      </c>
      <c r="BK160" s="171">
        <f ca="1">IF(OR($D160&lt;&gt;"Serviço",AND(AUTOEVENTO="Manual",$M160=$A$15)),0,
         IF(OFFSET(CRONOPLE!$F$15,$M160-$A$15,BK$13)=0,10^12,OFFSET(CRONOPLE!$F$15,$M160-$A$15,BK$13)))</f>
        <v>9</v>
      </c>
      <c r="BL160" s="171">
        <f ca="1">IF(OR($D160&lt;&gt;"Serviço",AND(AUTOEVENTO="Manual",$M160=$A$15)),0,
         IF(OFFSET(CRONOPLE!$F$15,$M160-$A$15,BL$13)=0,10^12,OFFSET(CRONOPLE!$F$15,$M160-$A$15,BL$13)))</f>
        <v>10</v>
      </c>
      <c r="BM160" s="171">
        <f ca="1">IF(OR($D160&lt;&gt;"Serviço",AND(AUTOEVENTO="Manual",$M160=$A$15)),0,
         IF(OFFSET(CRONOPLE!$F$15,$M160-$A$15,BM$13)=0,10^12,OFFSET(CRONOPLE!$F$15,$M160-$A$15,BM$13)))</f>
        <v>1000000000000</v>
      </c>
      <c r="BN160" s="171">
        <f ca="1">IF(OR($D160&lt;&gt;"Serviço",AND(AUTOEVENTO="Manual",$M160=$A$15)),0,
         IF(OFFSET(CRONOPLE!$F$15,$M160-$A$15,BN$13)=0,10^12,OFFSET(CRONOPLE!$F$15,$M160-$A$15,BN$13)))</f>
        <v>1000000000000</v>
      </c>
      <c r="BO160" s="171">
        <f ca="1">IF(OR($D160&lt;&gt;"Serviço",AND(AUTOEVENTO="Manual",$M160=$A$15)),0,
         IF(OFFSET(CRONOPLE!$F$15,$M160-$A$15,BO$13)=0,10^12,OFFSET(CRONOPLE!$F$15,$M160-$A$15,BO$13)))</f>
        <v>1000000000000</v>
      </c>
      <c r="BP160" s="171">
        <f ca="1">IF(OR($D160&lt;&gt;"Serviço",AND(AUTOEVENTO="Manual",$M160=$A$15)),0,
         IF(OFFSET(CRONOPLE!$F$15,$M160-$A$15,BP$13)=0,10^12,OFFSET(CRONOPLE!$F$15,$M160-$A$15,BP$13)))</f>
        <v>1000000000000</v>
      </c>
      <c r="BQ160" s="171">
        <f ca="1">IF(OR($D160&lt;&gt;"Serviço",AND(AUTOEVENTO="Manual",$M160=$A$15)),0,
         IF(OFFSET(CRONOPLE!$F$15,$M160-$A$15,BQ$13)=0,10^12,OFFSET(CRONOPLE!$F$15,$M160-$A$15,BQ$13)))</f>
        <v>1000000000000</v>
      </c>
      <c r="BR160" s="171">
        <f ca="1">IF(OR($D160&lt;&gt;"Serviço",AND(AUTOEVENTO="Manual",$M160=$A$15)),0,
         IF(OFFSET(CRONOPLE!$F$15,$M160-$A$15,BR$13)=0,10^12,OFFSET(CRONOPLE!$F$15,$M160-$A$15,BR$13)))</f>
        <v>1000000000000</v>
      </c>
      <c r="BS160" s="171">
        <f ca="1">IF(OR($D160&lt;&gt;"Serviço",AND(AUTOEVENTO="Manual",$M160=$A$15)),0,
         IF(OFFSET(CRONOPLE!$F$15,$M160-$A$15,BS$13)=0,10^12,OFFSET(CRONOPLE!$F$15,$M160-$A$15,BS$13)))</f>
        <v>1000000000000</v>
      </c>
      <c r="BT160" s="171">
        <f ca="1">IF(OR($D160&lt;&gt;"Serviço",AND(AUTOEVENTO="Manual",$M160=$A$15)),0,
         IF(OFFSET(CRONOPLE!$F$15,$M160-$A$15,BT$13)=0,10^12,OFFSET(CRONOPLE!$F$15,$M160-$A$15,BT$13)))</f>
        <v>1000000000000</v>
      </c>
      <c r="BV160" s="172">
        <f ca="1">IF(OR($D160&lt;&gt;"Serviço",AND(AUTOEVENTO="Manual",$M160=$A$15),$M160&gt;(ROW(PLE.lastrow)-ROW(PLE.firstrow))),0,
           IF(OFFSET(PLE!$G$15,$M160-$A$15,BV$13)="",10^12,OFFSET(PLE!$G$15,$M160-$A$15,BV$13)))</f>
        <v>1000000000000</v>
      </c>
      <c r="BW160" s="172">
        <f ca="1">IF(OR($D160&lt;&gt;"Serviço",AND(AUTOEVENTO="Manual",$M160=$A$15),$M160&gt;(ROW(PLE.lastrow)-ROW(PLE.firstrow))),0,
           IF(OFFSET(PLE!$G$15,$M160-$A$15,BW$13)="",10^12,OFFSET(PLE!$G$15,$M160-$A$15,BW$13)))</f>
        <v>1000000000000</v>
      </c>
      <c r="BX160" s="172">
        <f ca="1">IF(OR($D160&lt;&gt;"Serviço",AND(AUTOEVENTO="Manual",$M160=$A$15),$M160&gt;(ROW(PLE.lastrow)-ROW(PLE.firstrow))),0,
           IF(OFFSET(PLE!$G$15,$M160-$A$15,BX$13)="",10^12,OFFSET(PLE!$G$15,$M160-$A$15,BX$13)))</f>
        <v>1000000000000</v>
      </c>
      <c r="BY160" s="172">
        <f ca="1">IF(OR($D160&lt;&gt;"Serviço",AND(AUTOEVENTO="Manual",$M160=$A$15),$M160&gt;(ROW(PLE.lastrow)-ROW(PLE.firstrow))),0,
           IF(OFFSET(PLE!$G$15,$M160-$A$15,BY$13)="",10^12,OFFSET(PLE!$G$15,$M160-$A$15,BY$13)))</f>
        <v>1000000000000</v>
      </c>
      <c r="BZ160" s="172">
        <f ca="1">IF(OR($D160&lt;&gt;"Serviço",AND(AUTOEVENTO="Manual",$M160=$A$15),$M160&gt;(ROW(PLE.lastrow)-ROW(PLE.firstrow))),0,
           IF(OFFSET(PLE!$G$15,$M160-$A$15,BZ$13)="",10^12,OFFSET(PLE!$G$15,$M160-$A$15,BZ$13)))</f>
        <v>1000000000000</v>
      </c>
      <c r="CA160" s="172">
        <f ca="1">IF(OR($D160&lt;&gt;"Serviço",AND(AUTOEVENTO="Manual",$M160=$A$15),$M160&gt;(ROW(PLE.lastrow)-ROW(PLE.firstrow))),0,
           IF(OFFSET(PLE!$G$15,$M160-$A$15,CA$13)="",10^12,OFFSET(PLE!$G$15,$M160-$A$15,CA$13)))</f>
        <v>1000000000000</v>
      </c>
      <c r="CB160" s="172">
        <f ca="1">IF(OR($D160&lt;&gt;"Serviço",AND(AUTOEVENTO="Manual",$M160=$A$15),$M160&gt;(ROW(PLE.lastrow)-ROW(PLE.firstrow))),0,
           IF(OFFSET(PLE!$G$15,$M160-$A$15,CB$13)="",10^12,OFFSET(PLE!$G$15,$M160-$A$15,CB$13)))</f>
        <v>1000000000000</v>
      </c>
      <c r="CC160" s="172">
        <f ca="1">IF(OR($D160&lt;&gt;"Serviço",AND(AUTOEVENTO="Manual",$M160=$A$15),$M160&gt;(ROW(PLE.lastrow)-ROW(PLE.firstrow))),0,
           IF(OFFSET(PLE!$G$15,$M160-$A$15,CC$13)="",10^12,OFFSET(PLE!$G$15,$M160-$A$15,CC$13)))</f>
        <v>1000000000000</v>
      </c>
      <c r="CD160" s="172">
        <f ca="1">IF(OR($D160&lt;&gt;"Serviço",AND(AUTOEVENTO="Manual",$M160=$A$15),$M160&gt;(ROW(PLE.lastrow)-ROW(PLE.firstrow))),0,
           IF(OFFSET(PLE!$G$15,$M160-$A$15,CD$13)="",10^12,OFFSET(PLE!$G$15,$M160-$A$15,CD$13)))</f>
        <v>1000000000000</v>
      </c>
      <c r="CE160" s="172">
        <f ca="1">IF(OR($D160&lt;&gt;"Serviço",AND(AUTOEVENTO="Manual",$M160=$A$15),$M160&gt;(ROW(PLE.lastrow)-ROW(PLE.firstrow))),0,
           IF(OFFSET(PLE!$G$15,$M160-$A$15,CE$13)="",10^12,OFFSET(PLE!$G$15,$M160-$A$15,CE$13)))</f>
        <v>1000000000000</v>
      </c>
      <c r="CF160" s="172">
        <f ca="1">IF(OR($D160&lt;&gt;"Serviço",AND(AUTOEVENTO="Manual",$M160=$A$15),$M160&gt;(ROW(PLE.lastrow)-ROW(PLE.firstrow))),0,
           IF(OFFSET(PLE!$G$15,$M160-$A$15,CF$13)="",10^12,OFFSET(PLE!$G$15,$M160-$A$15,CF$13)))</f>
        <v>1000000000000</v>
      </c>
      <c r="CG160" s="172">
        <f ca="1">IF(OR($D160&lt;&gt;"Serviço",AND(AUTOEVENTO="Manual",$M160=$A$15),$M160&gt;(ROW(PLE.lastrow)-ROW(PLE.firstrow))),0,
           IF(OFFSET(PLE!$G$15,$M160-$A$15,CG$13)="",10^12,OFFSET(PLE!$G$15,$M160-$A$15,CG$13)))</f>
        <v>1000000000000</v>
      </c>
      <c r="CH160" s="172">
        <f ca="1">IF(OR($D160&lt;&gt;"Serviço",AND(AUTOEVENTO="Manual",$M160=$A$15),$M160&gt;(ROW(PLE.lastrow)-ROW(PLE.firstrow))),0,
           IF(OFFSET(PLE!$G$15,$M160-$A$15,CH$13)="",10^12,OFFSET(PLE!$G$15,$M160-$A$15,CH$13)))</f>
        <v>1000000000000</v>
      </c>
      <c r="CI160" s="172">
        <f ca="1">IF(OR($D160&lt;&gt;"Serviço",AND(AUTOEVENTO="Manual",$M160=$A$15),$M160&gt;(ROW(PLE.lastrow)-ROW(PLE.firstrow))),0,
           IF(OFFSET(PLE!$G$15,$M160-$A$15,CI$13)="",10^12,OFFSET(PLE!$G$15,$M160-$A$15,CI$13)))</f>
        <v>1000000000000</v>
      </c>
      <c r="CJ160" s="172">
        <f ca="1">IF(OR($D160&lt;&gt;"Serviço",AND(AUTOEVENTO="Manual",$M160=$A$15),$M160&gt;(ROW(PLE.lastrow)-ROW(PLE.firstrow))),0,
           IF(OFFSET(PLE!$G$15,$M160-$A$15,CJ$13)="",10^12,OFFSET(PLE!$G$15,$M160-$A$15,CJ$13)))</f>
        <v>1000000000000</v>
      </c>
      <c r="CK160" s="172">
        <f ca="1">IF(OR($D160&lt;&gt;"Serviço",AND(AUTOEVENTO="Manual",$M160=$A$15),$M160&gt;(ROW(PLE.lastrow)-ROW(PLE.firstrow))),0,
           IF(OFFSET(PLE!$G$15,$M160-$A$15,CK$13)="",10^12,OFFSET(PLE!$G$15,$M160-$A$15,CK$13)))</f>
        <v>1000000000000</v>
      </c>
      <c r="CL160" s="172">
        <f ca="1">IF(OR($D160&lt;&gt;"Serviço",AND(AUTOEVENTO="Manual",$M160=$A$15),$M160&gt;(ROW(PLE.lastrow)-ROW(PLE.firstrow))),0,
           IF(OFFSET(PLE!$G$15,$M160-$A$15,CL$13)="",10^12,OFFSET(PLE!$G$15,$M160-$A$15,CL$13)))</f>
        <v>1000000000000</v>
      </c>
      <c r="CM160" s="172">
        <f ca="1">IF(OR($D160&lt;&gt;"Serviço",AND(AUTOEVENTO="Manual",$M160=$A$15),$M160&gt;(ROW(PLE.lastrow)-ROW(PLE.firstrow))),0,
           IF(OFFSET(PLE!$G$15,$M160-$A$15,CM$13)="",10^12,OFFSET(PLE!$G$15,$M160-$A$15,CM$13)))</f>
        <v>1000000000000</v>
      </c>
    </row>
    <row r="161" spans="1:91" ht="38.25" x14ac:dyDescent="0.2">
      <c r="A161" s="7">
        <f t="shared" ca="1" si="12"/>
        <v>4</v>
      </c>
      <c r="B161" s="7" t="str">
        <f ca="1">OFFSET(ORÇAMENTO!C$15,ROW(B161)-ROW(B$15),0)</f>
        <v>S</v>
      </c>
      <c r="C161" s="7" t="str">
        <f ca="1">OFFSET(ORÇAMENTO!L$15,ROW(C161)-ROW(C$15),0)</f>
        <v>F</v>
      </c>
      <c r="D161" s="116" t="str">
        <f ca="1">OFFSET(ORÇAMENTO!N$15,ROW(D161)-ROW(D$15),0)</f>
        <v>Serviço</v>
      </c>
      <c r="E161" s="117" t="str">
        <f ca="1">OFFSET(ORÇAMENTO!O$15,ROW(E161)-ROW(E$15),0)</f>
        <v>1.5.5.2.2.</v>
      </c>
      <c r="F161" s="163" t="str">
        <f ca="1">OFFSET(ORÇAMENTO!R$15,ROW(F161)-ROW(F$15),0)</f>
        <v>PREPARO DE FUNDO DE VALA COM LARGURA MENOR QUE 1,5 M (ACERTO DO SOLO NATURAL). AF_08/2020</v>
      </c>
      <c r="G161" s="164" t="str">
        <f ca="1">IF($D161&lt;&gt;"Serviço","",OFFSET(ORÇAMENTO!S$15,ROW(G161)-ROW(G$15),0))</f>
        <v>M2</v>
      </c>
      <c r="H161" s="122" cm="1">
        <f t="array" aca="1" ref="H161" ca="1">IF($D161&lt;&gt;"Serviço",0,IF(ACOMPANHAMENTO="BM",ROUND(OFFSET(ORÇAMENTO!AJ$15,ROW(H161)-ROW(H$15),0),15-13*ORÇAMENTO!$AF$7),SUMPRODUCT(($Q$1:$AI$1=1)*ROUND($Q161:$AI161,15-13*ORÇAMENTO!$AF$7))))</f>
        <v>17</v>
      </c>
      <c r="I161" s="468" t="s">
        <v>1441</v>
      </c>
      <c r="J161" s="640" t="str" cm="1">
        <f t="array" aca="1" ref="J161" ca="1">IF(OR(B161&lt;&gt;"S",CÁLCULO.FrentesPreenchidas=0),"",IF(AND(ACOMPANHAMENTO="PLE",AUTOEVENTO="Manual",OR(H161&gt;0,ORÇAMENTO!AC161="QUANT."),OR(K161="",M161=0,N161="")),"►E",IF(AND(ACOMPANHAMENTO="PLE",ORÇAMENTO!AC161="QUANT."),"►Q",IF(AND(ACOMPANHAMENTO="PLE",H161&lt;&gt;SUMPRODUCT(($Q$1:$AI$1=1)*ROUND(Q161:AI161,15))),"►S",IF(AND(COUNTIF($P$11:$AI$11,"▼")=0,H161&gt;0,I161=""),"◄M","")))))</f>
        <v/>
      </c>
      <c r="K161" s="641" t="s">
        <v>1389</v>
      </c>
      <c r="L161" s="165" t="s">
        <v>764</v>
      </c>
      <c r="M161" s="166">
        <f ca="1">IF($D161&lt;&gt;"Serviço","",
          IF(AUTOEVENTO="manual",$A161,
                IF(ISERROR(MATCH($A161,$A$15:OFFSET($A161,-1,0),0)),MAX($M$15:OFFSET(M161,-1,0))+1,
                      INDEX($M$15:OFFSET(M161,-1,0),MATCH($A161,$A$15:OFFSET($A161,-1,0),0)))))</f>
        <v>4</v>
      </c>
      <c r="N161" s="167" t="str">
        <f ca="1">IF($D161&lt;&gt;"Serviço","",
         IF(AUTOEVENTO="Manual",
                IF($A161=0,"&lt;-- defina o número do agrupador",
                       OFFSET(EVENTOS!$D$15,$A161-$A$15,0)),
                OFFSET($F$15,$A161,0)))</f>
        <v>Estruturas de Concreto</v>
      </c>
      <c r="O161" s="168"/>
      <c r="Q161" s="168"/>
      <c r="R161" s="169"/>
      <c r="S161" s="169"/>
      <c r="T161" s="169"/>
      <c r="U161" s="169"/>
      <c r="V161" s="169">
        <v>17</v>
      </c>
      <c r="W161" s="169"/>
      <c r="X161" s="169"/>
      <c r="Y161" s="169"/>
      <c r="Z161" s="170"/>
      <c r="AA161" s="169"/>
      <c r="AB161" s="169"/>
      <c r="AC161" s="169"/>
      <c r="AD161" s="169"/>
      <c r="AE161" s="169"/>
      <c r="AF161" s="169"/>
      <c r="AG161" s="169"/>
      <c r="AH161" s="170"/>
      <c r="AJ161" s="453">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0</v>
      </c>
      <c r="AK161" s="453">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0</v>
      </c>
      <c r="AL161" s="453">
        <f ca="1">IF(AND($D161="Serviço",AL$12&lt;&gt;0,$H161&gt;0,OR(AUTOEVENTO&lt;&gt;"manual",$M161&lt;&gt;$A$15)),
        IF(Import.TipoArredondamento&lt;&gt;"TransfereGOV",
              ROUND(OFFSET($P161,0,AL$13),15-13*ORÇAMENTO!$AF$7)/$H161*OFFSET(ORÇAMENTO!$X$15,ROW(AL161)-ROW(AL$15),0),
              ROUND(ROUND(OFFSET($P161,0,AL$13),15-13*ORÇAMENTO!$AF$7)*OFFSET(ORÇAMENTO!$W$15,ROW(AL161)-ROW(AL$15),0),15-13*ORÇAMENTO!$AF$11)),
         0)</f>
        <v>0</v>
      </c>
      <c r="AM161" s="453">
        <f ca="1">IF(AND($D161="Serviço",AM$12&lt;&gt;0,$H161&gt;0,OR(AUTOEVENTO&lt;&gt;"manual",$M161&lt;&gt;$A$15)),
        IF(Import.TipoArredondamento&lt;&gt;"TransfereGOV",
              ROUND(OFFSET($P161,0,AM$13),15-13*ORÇAMENTO!$AF$7)/$H161*OFFSET(ORÇAMENTO!$X$15,ROW(AM161)-ROW(AM$15),0),
              ROUND(ROUND(OFFSET($P161,0,AM$13),15-13*ORÇAMENTO!$AF$7)*OFFSET(ORÇAMENTO!$W$15,ROW(AM161)-ROW(AM$15),0),15-13*ORÇAMENTO!$AF$11)),
         0)</f>
        <v>0</v>
      </c>
      <c r="AN161" s="453">
        <f ca="1">IF(AND($D161="Serviço",AN$12&lt;&gt;0,$H161&gt;0,OR(AUTOEVENTO&lt;&gt;"manual",$M161&lt;&gt;$A$15)),
        IF(Import.TipoArredondamento&lt;&gt;"TransfereGOV",
              ROUND(OFFSET($P161,0,AN$13),15-13*ORÇAMENTO!$AF$7)/$H161*OFFSET(ORÇAMENTO!$X$15,ROW(AN161)-ROW(AN$15),0),
              ROUND(ROUND(OFFSET($P161,0,AN$13),15-13*ORÇAMENTO!$AF$7)*OFFSET(ORÇAMENTO!$W$15,ROW(AN161)-ROW(AN$15),0),15-13*ORÇAMENTO!$AF$11)),
         0)</f>
        <v>0</v>
      </c>
      <c r="AO161" s="453">
        <f ca="1">IF(AND($D161="Serviço",AO$12&lt;&gt;0,$H161&gt;0,OR(AUTOEVENTO&lt;&gt;"manual",$M161&lt;&gt;$A$15)),
        IF(Import.TipoArredondamento&lt;&gt;"TransfereGOV",
              ROUND(OFFSET($P161,0,AO$13),15-13*ORÇAMENTO!$AF$7)/$H161*OFFSET(ORÇAMENTO!$X$15,ROW(AO161)-ROW(AO$15),0),
              ROUND(ROUND(OFFSET($P161,0,AO$13),15-13*ORÇAMENTO!$AF$7)*OFFSET(ORÇAMENTO!$W$15,ROW(AO161)-ROW(AO$15),0),15-13*ORÇAMENTO!$AF$11)),
         0)</f>
        <v>0</v>
      </c>
      <c r="AP161" s="453">
        <f ca="1">IF(AND($D161="Serviço",AP$12&lt;&gt;0,$H161&gt;0,OR(AUTOEVENTO&lt;&gt;"manual",$M161&lt;&gt;$A$15)),
        IF(Import.TipoArredondamento&lt;&gt;"TransfereGOV",
              ROUND(OFFSET($P161,0,AP$13),15-13*ORÇAMENTO!$AF$7)/$H161*OFFSET(ORÇAMENTO!$X$15,ROW(AP161)-ROW(AP$15),0),
              ROUND(ROUND(OFFSET($P161,0,AP$13),15-13*ORÇAMENTO!$AF$7)*OFFSET(ORÇAMENTO!$W$15,ROW(AP161)-ROW(AP$15),0),15-13*ORÇAMENTO!$AF$11)),
         0)</f>
        <v>0</v>
      </c>
      <c r="AQ161" s="453">
        <f ca="1">IF(AND($D161="Serviço",AQ$12&lt;&gt;0,$H161&gt;0,OR(AUTOEVENTO&lt;&gt;"manual",$M161&lt;&gt;$A$15)),
        IF(Import.TipoArredondamento&lt;&gt;"TransfereGOV",
              ROUND(OFFSET($P161,0,AQ$13),15-13*ORÇAMENTO!$AF$7)/$H161*OFFSET(ORÇAMENTO!$X$15,ROW(AQ161)-ROW(AQ$15),0),
              ROUND(ROUND(OFFSET($P161,0,AQ$13),15-13*ORÇAMENTO!$AF$7)*OFFSET(ORÇAMENTO!$W$15,ROW(AQ161)-ROW(AQ$15),0),15-13*ORÇAMENTO!$AF$11)),
         0)</f>
        <v>0</v>
      </c>
      <c r="AR161" s="453">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3">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3">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3">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3">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3">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3">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3">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3">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3">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C161" s="171">
        <f ca="1">IF(OR($D161&lt;&gt;"Serviço",AND(AUTOEVENTO="Manual",$M161=$A$15)),0,
         IF(OFFSET(CRONOPLE!$F$15,$M161-$A$15,BC$13)=0,10^12,OFFSET(CRONOPLE!$F$15,$M161-$A$15,BC$13)))</f>
        <v>1</v>
      </c>
      <c r="BD161" s="171">
        <f ca="1">IF(OR($D161&lt;&gt;"Serviço",AND(AUTOEVENTO="Manual",$M161=$A$15)),0,
         IF(OFFSET(CRONOPLE!$F$15,$M161-$A$15,BD$13)=0,10^12,OFFSET(CRONOPLE!$F$15,$M161-$A$15,BD$13)))</f>
        <v>2</v>
      </c>
      <c r="BE161" s="171">
        <f ca="1">IF(OR($D161&lt;&gt;"Serviço",AND(AUTOEVENTO="Manual",$M161=$A$15)),0,
         IF(OFFSET(CRONOPLE!$F$15,$M161-$A$15,BE$13)=0,10^12,OFFSET(CRONOPLE!$F$15,$M161-$A$15,BE$13)))</f>
        <v>3</v>
      </c>
      <c r="BF161" s="171">
        <f ca="1">IF(OR($D161&lt;&gt;"Serviço",AND(AUTOEVENTO="Manual",$M161=$A$15)),0,
         IF(OFFSET(CRONOPLE!$F$15,$M161-$A$15,BF$13)=0,10^12,OFFSET(CRONOPLE!$F$15,$M161-$A$15,BF$13)))</f>
        <v>4</v>
      </c>
      <c r="BG161" s="171">
        <f ca="1">IF(OR($D161&lt;&gt;"Serviço",AND(AUTOEVENTO="Manual",$M161=$A$15)),0,
         IF(OFFSET(CRONOPLE!$F$15,$M161-$A$15,BG$13)=0,10^12,OFFSET(CRONOPLE!$F$15,$M161-$A$15,BG$13)))</f>
        <v>5</v>
      </c>
      <c r="BH161" s="171">
        <f ca="1">IF(OR($D161&lt;&gt;"Serviço",AND(AUTOEVENTO="Manual",$M161=$A$15)),0,
         IF(OFFSET(CRONOPLE!$F$15,$M161-$A$15,BH$13)=0,10^12,OFFSET(CRONOPLE!$F$15,$M161-$A$15,BH$13)))</f>
        <v>6</v>
      </c>
      <c r="BI161" s="171">
        <f ca="1">IF(OR($D161&lt;&gt;"Serviço",AND(AUTOEVENTO="Manual",$M161=$A$15)),0,
         IF(OFFSET(CRONOPLE!$F$15,$M161-$A$15,BI$13)=0,10^12,OFFSET(CRONOPLE!$F$15,$M161-$A$15,BI$13)))</f>
        <v>7</v>
      </c>
      <c r="BJ161" s="171">
        <f ca="1">IF(OR($D161&lt;&gt;"Serviço",AND(AUTOEVENTO="Manual",$M161=$A$15)),0,
         IF(OFFSET(CRONOPLE!$F$15,$M161-$A$15,BJ$13)=0,10^12,OFFSET(CRONOPLE!$F$15,$M161-$A$15,BJ$13)))</f>
        <v>8</v>
      </c>
      <c r="BK161" s="171">
        <f ca="1">IF(OR($D161&lt;&gt;"Serviço",AND(AUTOEVENTO="Manual",$M161=$A$15)),0,
         IF(OFFSET(CRONOPLE!$F$15,$M161-$A$15,BK$13)=0,10^12,OFFSET(CRONOPLE!$F$15,$M161-$A$15,BK$13)))</f>
        <v>9</v>
      </c>
      <c r="BL161" s="171">
        <f ca="1">IF(OR($D161&lt;&gt;"Serviço",AND(AUTOEVENTO="Manual",$M161=$A$15)),0,
         IF(OFFSET(CRONOPLE!$F$15,$M161-$A$15,BL$13)=0,10^12,OFFSET(CRONOPLE!$F$15,$M161-$A$15,BL$13)))</f>
        <v>10</v>
      </c>
      <c r="BM161" s="171">
        <f ca="1">IF(OR($D161&lt;&gt;"Serviço",AND(AUTOEVENTO="Manual",$M161=$A$15)),0,
         IF(OFFSET(CRONOPLE!$F$15,$M161-$A$15,BM$13)=0,10^12,OFFSET(CRONOPLE!$F$15,$M161-$A$15,BM$13)))</f>
        <v>1000000000000</v>
      </c>
      <c r="BN161" s="171">
        <f ca="1">IF(OR($D161&lt;&gt;"Serviço",AND(AUTOEVENTO="Manual",$M161=$A$15)),0,
         IF(OFFSET(CRONOPLE!$F$15,$M161-$A$15,BN$13)=0,10^12,OFFSET(CRONOPLE!$F$15,$M161-$A$15,BN$13)))</f>
        <v>1000000000000</v>
      </c>
      <c r="BO161" s="171">
        <f ca="1">IF(OR($D161&lt;&gt;"Serviço",AND(AUTOEVENTO="Manual",$M161=$A$15)),0,
         IF(OFFSET(CRONOPLE!$F$15,$M161-$A$15,BO$13)=0,10^12,OFFSET(CRONOPLE!$F$15,$M161-$A$15,BO$13)))</f>
        <v>1000000000000</v>
      </c>
      <c r="BP161" s="171">
        <f ca="1">IF(OR($D161&lt;&gt;"Serviço",AND(AUTOEVENTO="Manual",$M161=$A$15)),0,
         IF(OFFSET(CRONOPLE!$F$15,$M161-$A$15,BP$13)=0,10^12,OFFSET(CRONOPLE!$F$15,$M161-$A$15,BP$13)))</f>
        <v>1000000000000</v>
      </c>
      <c r="BQ161" s="171">
        <f ca="1">IF(OR($D161&lt;&gt;"Serviço",AND(AUTOEVENTO="Manual",$M161=$A$15)),0,
         IF(OFFSET(CRONOPLE!$F$15,$M161-$A$15,BQ$13)=0,10^12,OFFSET(CRONOPLE!$F$15,$M161-$A$15,BQ$13)))</f>
        <v>1000000000000</v>
      </c>
      <c r="BR161" s="171">
        <f ca="1">IF(OR($D161&lt;&gt;"Serviço",AND(AUTOEVENTO="Manual",$M161=$A$15)),0,
         IF(OFFSET(CRONOPLE!$F$15,$M161-$A$15,BR$13)=0,10^12,OFFSET(CRONOPLE!$F$15,$M161-$A$15,BR$13)))</f>
        <v>1000000000000</v>
      </c>
      <c r="BS161" s="171">
        <f ca="1">IF(OR($D161&lt;&gt;"Serviço",AND(AUTOEVENTO="Manual",$M161=$A$15)),0,
         IF(OFFSET(CRONOPLE!$F$15,$M161-$A$15,BS$13)=0,10^12,OFFSET(CRONOPLE!$F$15,$M161-$A$15,BS$13)))</f>
        <v>1000000000000</v>
      </c>
      <c r="BT161" s="171">
        <f ca="1">IF(OR($D161&lt;&gt;"Serviço",AND(AUTOEVENTO="Manual",$M161=$A$15)),0,
         IF(OFFSET(CRONOPLE!$F$15,$M161-$A$15,BT$13)=0,10^12,OFFSET(CRONOPLE!$F$15,$M161-$A$15,BT$13)))</f>
        <v>1000000000000</v>
      </c>
      <c r="BV161" s="172">
        <f ca="1">IF(OR($D161&lt;&gt;"Serviço",AND(AUTOEVENTO="Manual",$M161=$A$15),$M161&gt;(ROW(PLE.lastrow)-ROW(PLE.firstrow))),0,
           IF(OFFSET(PLE!$G$15,$M161-$A$15,BV$13)="",10^12,OFFSET(PLE!$G$15,$M161-$A$15,BV$13)))</f>
        <v>1000000000000</v>
      </c>
      <c r="BW161" s="172">
        <f ca="1">IF(OR($D161&lt;&gt;"Serviço",AND(AUTOEVENTO="Manual",$M161=$A$15),$M161&gt;(ROW(PLE.lastrow)-ROW(PLE.firstrow))),0,
           IF(OFFSET(PLE!$G$15,$M161-$A$15,BW$13)="",10^12,OFFSET(PLE!$G$15,$M161-$A$15,BW$13)))</f>
        <v>1000000000000</v>
      </c>
      <c r="BX161" s="172">
        <f ca="1">IF(OR($D161&lt;&gt;"Serviço",AND(AUTOEVENTO="Manual",$M161=$A$15),$M161&gt;(ROW(PLE.lastrow)-ROW(PLE.firstrow))),0,
           IF(OFFSET(PLE!$G$15,$M161-$A$15,BX$13)="",10^12,OFFSET(PLE!$G$15,$M161-$A$15,BX$13)))</f>
        <v>1000000000000</v>
      </c>
      <c r="BY161" s="172">
        <f ca="1">IF(OR($D161&lt;&gt;"Serviço",AND(AUTOEVENTO="Manual",$M161=$A$15),$M161&gt;(ROW(PLE.lastrow)-ROW(PLE.firstrow))),0,
           IF(OFFSET(PLE!$G$15,$M161-$A$15,BY$13)="",10^12,OFFSET(PLE!$G$15,$M161-$A$15,BY$13)))</f>
        <v>1000000000000</v>
      </c>
      <c r="BZ161" s="172">
        <f ca="1">IF(OR($D161&lt;&gt;"Serviço",AND(AUTOEVENTO="Manual",$M161=$A$15),$M161&gt;(ROW(PLE.lastrow)-ROW(PLE.firstrow))),0,
           IF(OFFSET(PLE!$G$15,$M161-$A$15,BZ$13)="",10^12,OFFSET(PLE!$G$15,$M161-$A$15,BZ$13)))</f>
        <v>1000000000000</v>
      </c>
      <c r="CA161" s="172">
        <f ca="1">IF(OR($D161&lt;&gt;"Serviço",AND(AUTOEVENTO="Manual",$M161=$A$15),$M161&gt;(ROW(PLE.lastrow)-ROW(PLE.firstrow))),0,
           IF(OFFSET(PLE!$G$15,$M161-$A$15,CA$13)="",10^12,OFFSET(PLE!$G$15,$M161-$A$15,CA$13)))</f>
        <v>1000000000000</v>
      </c>
      <c r="CB161" s="172">
        <f ca="1">IF(OR($D161&lt;&gt;"Serviço",AND(AUTOEVENTO="Manual",$M161=$A$15),$M161&gt;(ROW(PLE.lastrow)-ROW(PLE.firstrow))),0,
           IF(OFFSET(PLE!$G$15,$M161-$A$15,CB$13)="",10^12,OFFSET(PLE!$G$15,$M161-$A$15,CB$13)))</f>
        <v>1000000000000</v>
      </c>
      <c r="CC161" s="172">
        <f ca="1">IF(OR($D161&lt;&gt;"Serviço",AND(AUTOEVENTO="Manual",$M161=$A$15),$M161&gt;(ROW(PLE.lastrow)-ROW(PLE.firstrow))),0,
           IF(OFFSET(PLE!$G$15,$M161-$A$15,CC$13)="",10^12,OFFSET(PLE!$G$15,$M161-$A$15,CC$13)))</f>
        <v>1000000000000</v>
      </c>
      <c r="CD161" s="172">
        <f ca="1">IF(OR($D161&lt;&gt;"Serviço",AND(AUTOEVENTO="Manual",$M161=$A$15),$M161&gt;(ROW(PLE.lastrow)-ROW(PLE.firstrow))),0,
           IF(OFFSET(PLE!$G$15,$M161-$A$15,CD$13)="",10^12,OFFSET(PLE!$G$15,$M161-$A$15,CD$13)))</f>
        <v>1000000000000</v>
      </c>
      <c r="CE161" s="172">
        <f ca="1">IF(OR($D161&lt;&gt;"Serviço",AND(AUTOEVENTO="Manual",$M161=$A$15),$M161&gt;(ROW(PLE.lastrow)-ROW(PLE.firstrow))),0,
           IF(OFFSET(PLE!$G$15,$M161-$A$15,CE$13)="",10^12,OFFSET(PLE!$G$15,$M161-$A$15,CE$13)))</f>
        <v>1000000000000</v>
      </c>
      <c r="CF161" s="172">
        <f ca="1">IF(OR($D161&lt;&gt;"Serviço",AND(AUTOEVENTO="Manual",$M161=$A$15),$M161&gt;(ROW(PLE.lastrow)-ROW(PLE.firstrow))),0,
           IF(OFFSET(PLE!$G$15,$M161-$A$15,CF$13)="",10^12,OFFSET(PLE!$G$15,$M161-$A$15,CF$13)))</f>
        <v>1000000000000</v>
      </c>
      <c r="CG161" s="172">
        <f ca="1">IF(OR($D161&lt;&gt;"Serviço",AND(AUTOEVENTO="Manual",$M161=$A$15),$M161&gt;(ROW(PLE.lastrow)-ROW(PLE.firstrow))),0,
           IF(OFFSET(PLE!$G$15,$M161-$A$15,CG$13)="",10^12,OFFSET(PLE!$G$15,$M161-$A$15,CG$13)))</f>
        <v>1000000000000</v>
      </c>
      <c r="CH161" s="172">
        <f ca="1">IF(OR($D161&lt;&gt;"Serviço",AND(AUTOEVENTO="Manual",$M161=$A$15),$M161&gt;(ROW(PLE.lastrow)-ROW(PLE.firstrow))),0,
           IF(OFFSET(PLE!$G$15,$M161-$A$15,CH$13)="",10^12,OFFSET(PLE!$G$15,$M161-$A$15,CH$13)))</f>
        <v>1000000000000</v>
      </c>
      <c r="CI161" s="172">
        <f ca="1">IF(OR($D161&lt;&gt;"Serviço",AND(AUTOEVENTO="Manual",$M161=$A$15),$M161&gt;(ROW(PLE.lastrow)-ROW(PLE.firstrow))),0,
           IF(OFFSET(PLE!$G$15,$M161-$A$15,CI$13)="",10^12,OFFSET(PLE!$G$15,$M161-$A$15,CI$13)))</f>
        <v>1000000000000</v>
      </c>
      <c r="CJ161" s="172">
        <f ca="1">IF(OR($D161&lt;&gt;"Serviço",AND(AUTOEVENTO="Manual",$M161=$A$15),$M161&gt;(ROW(PLE.lastrow)-ROW(PLE.firstrow))),0,
           IF(OFFSET(PLE!$G$15,$M161-$A$15,CJ$13)="",10^12,OFFSET(PLE!$G$15,$M161-$A$15,CJ$13)))</f>
        <v>1000000000000</v>
      </c>
      <c r="CK161" s="172">
        <f ca="1">IF(OR($D161&lt;&gt;"Serviço",AND(AUTOEVENTO="Manual",$M161=$A$15),$M161&gt;(ROW(PLE.lastrow)-ROW(PLE.firstrow))),0,
           IF(OFFSET(PLE!$G$15,$M161-$A$15,CK$13)="",10^12,OFFSET(PLE!$G$15,$M161-$A$15,CK$13)))</f>
        <v>1000000000000</v>
      </c>
      <c r="CL161" s="172">
        <f ca="1">IF(OR($D161&lt;&gt;"Serviço",AND(AUTOEVENTO="Manual",$M161=$A$15),$M161&gt;(ROW(PLE.lastrow)-ROW(PLE.firstrow))),0,
           IF(OFFSET(PLE!$G$15,$M161-$A$15,CL$13)="",10^12,OFFSET(PLE!$G$15,$M161-$A$15,CL$13)))</f>
        <v>1000000000000</v>
      </c>
      <c r="CM161" s="172">
        <f ca="1">IF(OR($D161&lt;&gt;"Serviço",AND(AUTOEVENTO="Manual",$M161=$A$15),$M161&gt;(ROW(PLE.lastrow)-ROW(PLE.firstrow))),0,
           IF(OFFSET(PLE!$G$15,$M161-$A$15,CM$13)="",10^12,OFFSET(PLE!$G$15,$M161-$A$15,CM$13)))</f>
        <v>1000000000000</v>
      </c>
    </row>
    <row r="162" spans="1:91" ht="51" x14ac:dyDescent="0.2">
      <c r="A162" s="7">
        <f t="shared" ca="1" si="12"/>
        <v>4</v>
      </c>
      <c r="B162" s="7" t="str">
        <f ca="1">OFFSET(ORÇAMENTO!C$15,ROW(B162)-ROW(B$15),0)</f>
        <v>S</v>
      </c>
      <c r="C162" s="7" t="str">
        <f ca="1">OFFSET(ORÇAMENTO!L$15,ROW(C162)-ROW(C$15),0)</f>
        <v>F</v>
      </c>
      <c r="D162" s="116" t="str">
        <f ca="1">OFFSET(ORÇAMENTO!N$15,ROW(D162)-ROW(D$15),0)</f>
        <v>Serviço</v>
      </c>
      <c r="E162" s="117" t="str">
        <f ca="1">OFFSET(ORÇAMENTO!O$15,ROW(E162)-ROW(E$15),0)</f>
        <v>1.5.5.2.3.</v>
      </c>
      <c r="F162" s="163" t="str">
        <f ca="1">OFFSET(ORÇAMENTO!R$15,ROW(F162)-ROW(F$15),0)</f>
        <v>ARMAÇÃO EM AÇO CA-50 - FORNECIMENTO, PREPARO E COLOCAÇÃO</v>
      </c>
      <c r="G162" s="164" t="str">
        <f ca="1">IF($D162&lt;&gt;"Serviço","",OFFSET(ORÇAMENTO!S$15,ROW(G162)-ROW(G$15),0))</f>
        <v>KG</v>
      </c>
      <c r="H162" s="122" cm="1">
        <f t="array" aca="1" ref="H162" ca="1">IF($D162&lt;&gt;"Serviço",0,IF(ACOMPANHAMENTO="BM",ROUND(OFFSET(ORÇAMENTO!AJ$15,ROW(H162)-ROW(H$15),0),15-13*ORÇAMENTO!$AF$7),SUMPRODUCT(($Q$1:$AI$1=1)*ROUND($Q162:$AI162,15-13*ORÇAMENTO!$AF$7))))</f>
        <v>83.7</v>
      </c>
      <c r="I162" s="468" t="s">
        <v>1339</v>
      </c>
      <c r="J162" s="640" t="str" cm="1">
        <f t="array" aca="1" ref="J162" ca="1">IF(OR(B162&lt;&gt;"S",CÁLCULO.FrentesPreenchidas=0),"",IF(AND(ACOMPANHAMENTO="PLE",AUTOEVENTO="Manual",OR(H162&gt;0,ORÇAMENTO!AC162="QUANT."),OR(K162="",M162=0,N162="")),"►E",IF(AND(ACOMPANHAMENTO="PLE",ORÇAMENTO!AC162="QUANT."),"►Q",IF(AND(ACOMPANHAMENTO="PLE",H162&lt;&gt;SUMPRODUCT(($Q$1:$AI$1=1)*ROUND(Q162:AI162,15))),"►S",IF(AND(COUNTIF($P$11:$AI$11,"▼")=0,H162&gt;0,I162=""),"◄M","")))))</f>
        <v/>
      </c>
      <c r="K162" s="641" t="s">
        <v>1389</v>
      </c>
      <c r="L162" s="165" t="s">
        <v>764</v>
      </c>
      <c r="M162" s="166">
        <f ca="1">IF($D162&lt;&gt;"Serviço","",
          IF(AUTOEVENTO="manual",$A162,
                IF(ISERROR(MATCH($A162,$A$15:OFFSET($A162,-1,0),0)),MAX($M$15:OFFSET(M162,-1,0))+1,
                      INDEX($M$15:OFFSET(M162,-1,0),MATCH($A162,$A$15:OFFSET($A162,-1,0),0)))))</f>
        <v>4</v>
      </c>
      <c r="N162" s="167" t="str">
        <f ca="1">IF($D162&lt;&gt;"Serviço","",
         IF(AUTOEVENTO="Manual",
                IF($A162=0,"&lt;-- defina o número do agrupador",
                       OFFSET(EVENTOS!$D$15,$A162-$A$15,0)),
                OFFSET($F$15,$A162,0)))</f>
        <v>Estruturas de Concreto</v>
      </c>
      <c r="O162" s="168"/>
      <c r="Q162" s="168"/>
      <c r="R162" s="169"/>
      <c r="S162" s="169"/>
      <c r="T162" s="169"/>
      <c r="U162" s="169"/>
      <c r="V162" s="169">
        <v>83.7</v>
      </c>
      <c r="W162" s="169"/>
      <c r="X162" s="169"/>
      <c r="Y162" s="169"/>
      <c r="Z162" s="170"/>
      <c r="AA162" s="169"/>
      <c r="AB162" s="169"/>
      <c r="AC162" s="169"/>
      <c r="AD162" s="169"/>
      <c r="AE162" s="169"/>
      <c r="AF162" s="169"/>
      <c r="AG162" s="169"/>
      <c r="AH162" s="170"/>
      <c r="AJ162" s="453">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3">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L162" s="453">
        <f ca="1">IF(AND($D162="Serviço",AL$12&lt;&gt;0,$H162&gt;0,OR(AUTOEVENTO&lt;&gt;"manual",$M162&lt;&gt;$A$15)),
        IF(Import.TipoArredondamento&lt;&gt;"TransfereGOV",
              ROUND(OFFSET($P162,0,AL$13),15-13*ORÇAMENTO!$AF$7)/$H162*OFFSET(ORÇAMENTO!$X$15,ROW(AL162)-ROW(AL$15),0),
              ROUND(ROUND(OFFSET($P162,0,AL$13),15-13*ORÇAMENTO!$AF$7)*OFFSET(ORÇAMENTO!$W$15,ROW(AL162)-ROW(AL$15),0),15-13*ORÇAMENTO!$AF$11)),
         0)</f>
        <v>0</v>
      </c>
      <c r="AM162" s="453">
        <f ca="1">IF(AND($D162="Serviço",AM$12&lt;&gt;0,$H162&gt;0,OR(AUTOEVENTO&lt;&gt;"manual",$M162&lt;&gt;$A$15)),
        IF(Import.TipoArredondamento&lt;&gt;"TransfereGOV",
              ROUND(OFFSET($P162,0,AM$13),15-13*ORÇAMENTO!$AF$7)/$H162*OFFSET(ORÇAMENTO!$X$15,ROW(AM162)-ROW(AM$15),0),
              ROUND(ROUND(OFFSET($P162,0,AM$13),15-13*ORÇAMENTO!$AF$7)*OFFSET(ORÇAMENTO!$W$15,ROW(AM162)-ROW(AM$15),0),15-13*ORÇAMENTO!$AF$11)),
         0)</f>
        <v>0</v>
      </c>
      <c r="AN162" s="453">
        <f ca="1">IF(AND($D162="Serviço",AN$12&lt;&gt;0,$H162&gt;0,OR(AUTOEVENTO&lt;&gt;"manual",$M162&lt;&gt;$A$15)),
        IF(Import.TipoArredondamento&lt;&gt;"TransfereGOV",
              ROUND(OFFSET($P162,0,AN$13),15-13*ORÇAMENTO!$AF$7)/$H162*OFFSET(ORÇAMENTO!$X$15,ROW(AN162)-ROW(AN$15),0),
              ROUND(ROUND(OFFSET($P162,0,AN$13),15-13*ORÇAMENTO!$AF$7)*OFFSET(ORÇAMENTO!$W$15,ROW(AN162)-ROW(AN$15),0),15-13*ORÇAMENTO!$AF$11)),
         0)</f>
        <v>0</v>
      </c>
      <c r="AO162" s="453">
        <f ca="1">IF(AND($D162="Serviço",AO$12&lt;&gt;0,$H162&gt;0,OR(AUTOEVENTO&lt;&gt;"manual",$M162&lt;&gt;$A$15)),
        IF(Import.TipoArredondamento&lt;&gt;"TransfereGOV",
              ROUND(OFFSET($P162,0,AO$13),15-13*ORÇAMENTO!$AF$7)/$H162*OFFSET(ORÇAMENTO!$X$15,ROW(AO162)-ROW(AO$15),0),
              ROUND(ROUND(OFFSET($P162,0,AO$13),15-13*ORÇAMENTO!$AF$7)*OFFSET(ORÇAMENTO!$W$15,ROW(AO162)-ROW(AO$15),0),15-13*ORÇAMENTO!$AF$11)),
         0)</f>
        <v>0</v>
      </c>
      <c r="AP162" s="453">
        <f ca="1">IF(AND($D162="Serviço",AP$12&lt;&gt;0,$H162&gt;0,OR(AUTOEVENTO&lt;&gt;"manual",$M162&lt;&gt;$A$15)),
        IF(Import.TipoArredondamento&lt;&gt;"TransfereGOV",
              ROUND(OFFSET($P162,0,AP$13),15-13*ORÇAMENTO!$AF$7)/$H162*OFFSET(ORÇAMENTO!$X$15,ROW(AP162)-ROW(AP$15),0),
              ROUND(ROUND(OFFSET($P162,0,AP$13),15-13*ORÇAMENTO!$AF$7)*OFFSET(ORÇAMENTO!$W$15,ROW(AP162)-ROW(AP$15),0),15-13*ORÇAMENTO!$AF$11)),
         0)</f>
        <v>0</v>
      </c>
      <c r="AQ162" s="453">
        <f ca="1">IF(AND($D162="Serviço",AQ$12&lt;&gt;0,$H162&gt;0,OR(AUTOEVENTO&lt;&gt;"manual",$M162&lt;&gt;$A$15)),
        IF(Import.TipoArredondamento&lt;&gt;"TransfereGOV",
              ROUND(OFFSET($P162,0,AQ$13),15-13*ORÇAMENTO!$AF$7)/$H162*OFFSET(ORÇAMENTO!$X$15,ROW(AQ162)-ROW(AQ$15),0),
              ROUND(ROUND(OFFSET($P162,0,AQ$13),15-13*ORÇAMENTO!$AF$7)*OFFSET(ORÇAMENTO!$W$15,ROW(AQ162)-ROW(AQ$15),0),15-13*ORÇAMENTO!$AF$11)),
         0)</f>
        <v>0</v>
      </c>
      <c r="AR162" s="453">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3">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3">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3">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3">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3">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3">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3">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3">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3">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C162" s="171">
        <f ca="1">IF(OR($D162&lt;&gt;"Serviço",AND(AUTOEVENTO="Manual",$M162=$A$15)),0,
         IF(OFFSET(CRONOPLE!$F$15,$M162-$A$15,BC$13)=0,10^12,OFFSET(CRONOPLE!$F$15,$M162-$A$15,BC$13)))</f>
        <v>1</v>
      </c>
      <c r="BD162" s="171">
        <f ca="1">IF(OR($D162&lt;&gt;"Serviço",AND(AUTOEVENTO="Manual",$M162=$A$15)),0,
         IF(OFFSET(CRONOPLE!$F$15,$M162-$A$15,BD$13)=0,10^12,OFFSET(CRONOPLE!$F$15,$M162-$A$15,BD$13)))</f>
        <v>2</v>
      </c>
      <c r="BE162" s="171">
        <f ca="1">IF(OR($D162&lt;&gt;"Serviço",AND(AUTOEVENTO="Manual",$M162=$A$15)),0,
         IF(OFFSET(CRONOPLE!$F$15,$M162-$A$15,BE$13)=0,10^12,OFFSET(CRONOPLE!$F$15,$M162-$A$15,BE$13)))</f>
        <v>3</v>
      </c>
      <c r="BF162" s="171">
        <f ca="1">IF(OR($D162&lt;&gt;"Serviço",AND(AUTOEVENTO="Manual",$M162=$A$15)),0,
         IF(OFFSET(CRONOPLE!$F$15,$M162-$A$15,BF$13)=0,10^12,OFFSET(CRONOPLE!$F$15,$M162-$A$15,BF$13)))</f>
        <v>4</v>
      </c>
      <c r="BG162" s="171">
        <f ca="1">IF(OR($D162&lt;&gt;"Serviço",AND(AUTOEVENTO="Manual",$M162=$A$15)),0,
         IF(OFFSET(CRONOPLE!$F$15,$M162-$A$15,BG$13)=0,10^12,OFFSET(CRONOPLE!$F$15,$M162-$A$15,BG$13)))</f>
        <v>5</v>
      </c>
      <c r="BH162" s="171">
        <f ca="1">IF(OR($D162&lt;&gt;"Serviço",AND(AUTOEVENTO="Manual",$M162=$A$15)),0,
         IF(OFFSET(CRONOPLE!$F$15,$M162-$A$15,BH$13)=0,10^12,OFFSET(CRONOPLE!$F$15,$M162-$A$15,BH$13)))</f>
        <v>6</v>
      </c>
      <c r="BI162" s="171">
        <f ca="1">IF(OR($D162&lt;&gt;"Serviço",AND(AUTOEVENTO="Manual",$M162=$A$15)),0,
         IF(OFFSET(CRONOPLE!$F$15,$M162-$A$15,BI$13)=0,10^12,OFFSET(CRONOPLE!$F$15,$M162-$A$15,BI$13)))</f>
        <v>7</v>
      </c>
      <c r="BJ162" s="171">
        <f ca="1">IF(OR($D162&lt;&gt;"Serviço",AND(AUTOEVENTO="Manual",$M162=$A$15)),0,
         IF(OFFSET(CRONOPLE!$F$15,$M162-$A$15,BJ$13)=0,10^12,OFFSET(CRONOPLE!$F$15,$M162-$A$15,BJ$13)))</f>
        <v>8</v>
      </c>
      <c r="BK162" s="171">
        <f ca="1">IF(OR($D162&lt;&gt;"Serviço",AND(AUTOEVENTO="Manual",$M162=$A$15)),0,
         IF(OFFSET(CRONOPLE!$F$15,$M162-$A$15,BK$13)=0,10^12,OFFSET(CRONOPLE!$F$15,$M162-$A$15,BK$13)))</f>
        <v>9</v>
      </c>
      <c r="BL162" s="171">
        <f ca="1">IF(OR($D162&lt;&gt;"Serviço",AND(AUTOEVENTO="Manual",$M162=$A$15)),0,
         IF(OFFSET(CRONOPLE!$F$15,$M162-$A$15,BL$13)=0,10^12,OFFSET(CRONOPLE!$F$15,$M162-$A$15,BL$13)))</f>
        <v>10</v>
      </c>
      <c r="BM162" s="171">
        <f ca="1">IF(OR($D162&lt;&gt;"Serviço",AND(AUTOEVENTO="Manual",$M162=$A$15)),0,
         IF(OFFSET(CRONOPLE!$F$15,$M162-$A$15,BM$13)=0,10^12,OFFSET(CRONOPLE!$F$15,$M162-$A$15,BM$13)))</f>
        <v>1000000000000</v>
      </c>
      <c r="BN162" s="171">
        <f ca="1">IF(OR($D162&lt;&gt;"Serviço",AND(AUTOEVENTO="Manual",$M162=$A$15)),0,
         IF(OFFSET(CRONOPLE!$F$15,$M162-$A$15,BN$13)=0,10^12,OFFSET(CRONOPLE!$F$15,$M162-$A$15,BN$13)))</f>
        <v>1000000000000</v>
      </c>
      <c r="BO162" s="171">
        <f ca="1">IF(OR($D162&lt;&gt;"Serviço",AND(AUTOEVENTO="Manual",$M162=$A$15)),0,
         IF(OFFSET(CRONOPLE!$F$15,$M162-$A$15,BO$13)=0,10^12,OFFSET(CRONOPLE!$F$15,$M162-$A$15,BO$13)))</f>
        <v>1000000000000</v>
      </c>
      <c r="BP162" s="171">
        <f ca="1">IF(OR($D162&lt;&gt;"Serviço",AND(AUTOEVENTO="Manual",$M162=$A$15)),0,
         IF(OFFSET(CRONOPLE!$F$15,$M162-$A$15,BP$13)=0,10^12,OFFSET(CRONOPLE!$F$15,$M162-$A$15,BP$13)))</f>
        <v>1000000000000</v>
      </c>
      <c r="BQ162" s="171">
        <f ca="1">IF(OR($D162&lt;&gt;"Serviço",AND(AUTOEVENTO="Manual",$M162=$A$15)),0,
         IF(OFFSET(CRONOPLE!$F$15,$M162-$A$15,BQ$13)=0,10^12,OFFSET(CRONOPLE!$F$15,$M162-$A$15,BQ$13)))</f>
        <v>1000000000000</v>
      </c>
      <c r="BR162" s="171">
        <f ca="1">IF(OR($D162&lt;&gt;"Serviço",AND(AUTOEVENTO="Manual",$M162=$A$15)),0,
         IF(OFFSET(CRONOPLE!$F$15,$M162-$A$15,BR$13)=0,10^12,OFFSET(CRONOPLE!$F$15,$M162-$A$15,BR$13)))</f>
        <v>1000000000000</v>
      </c>
      <c r="BS162" s="171">
        <f ca="1">IF(OR($D162&lt;&gt;"Serviço",AND(AUTOEVENTO="Manual",$M162=$A$15)),0,
         IF(OFFSET(CRONOPLE!$F$15,$M162-$A$15,BS$13)=0,10^12,OFFSET(CRONOPLE!$F$15,$M162-$A$15,BS$13)))</f>
        <v>1000000000000</v>
      </c>
      <c r="BT162" s="171">
        <f ca="1">IF(OR($D162&lt;&gt;"Serviço",AND(AUTOEVENTO="Manual",$M162=$A$15)),0,
         IF(OFFSET(CRONOPLE!$F$15,$M162-$A$15,BT$13)=0,10^12,OFFSET(CRONOPLE!$F$15,$M162-$A$15,BT$13)))</f>
        <v>1000000000000</v>
      </c>
      <c r="BV162" s="172">
        <f ca="1">IF(OR($D162&lt;&gt;"Serviço",AND(AUTOEVENTO="Manual",$M162=$A$15),$M162&gt;(ROW(PLE.lastrow)-ROW(PLE.firstrow))),0,
           IF(OFFSET(PLE!$G$15,$M162-$A$15,BV$13)="",10^12,OFFSET(PLE!$G$15,$M162-$A$15,BV$13)))</f>
        <v>1000000000000</v>
      </c>
      <c r="BW162" s="172">
        <f ca="1">IF(OR($D162&lt;&gt;"Serviço",AND(AUTOEVENTO="Manual",$M162=$A$15),$M162&gt;(ROW(PLE.lastrow)-ROW(PLE.firstrow))),0,
           IF(OFFSET(PLE!$G$15,$M162-$A$15,BW$13)="",10^12,OFFSET(PLE!$G$15,$M162-$A$15,BW$13)))</f>
        <v>1000000000000</v>
      </c>
      <c r="BX162" s="172">
        <f ca="1">IF(OR($D162&lt;&gt;"Serviço",AND(AUTOEVENTO="Manual",$M162=$A$15),$M162&gt;(ROW(PLE.lastrow)-ROW(PLE.firstrow))),0,
           IF(OFFSET(PLE!$G$15,$M162-$A$15,BX$13)="",10^12,OFFSET(PLE!$G$15,$M162-$A$15,BX$13)))</f>
        <v>1000000000000</v>
      </c>
      <c r="BY162" s="172">
        <f ca="1">IF(OR($D162&lt;&gt;"Serviço",AND(AUTOEVENTO="Manual",$M162=$A$15),$M162&gt;(ROW(PLE.lastrow)-ROW(PLE.firstrow))),0,
           IF(OFFSET(PLE!$G$15,$M162-$A$15,BY$13)="",10^12,OFFSET(PLE!$G$15,$M162-$A$15,BY$13)))</f>
        <v>1000000000000</v>
      </c>
      <c r="BZ162" s="172">
        <f ca="1">IF(OR($D162&lt;&gt;"Serviço",AND(AUTOEVENTO="Manual",$M162=$A$15),$M162&gt;(ROW(PLE.lastrow)-ROW(PLE.firstrow))),0,
           IF(OFFSET(PLE!$G$15,$M162-$A$15,BZ$13)="",10^12,OFFSET(PLE!$G$15,$M162-$A$15,BZ$13)))</f>
        <v>1000000000000</v>
      </c>
      <c r="CA162" s="172">
        <f ca="1">IF(OR($D162&lt;&gt;"Serviço",AND(AUTOEVENTO="Manual",$M162=$A$15),$M162&gt;(ROW(PLE.lastrow)-ROW(PLE.firstrow))),0,
           IF(OFFSET(PLE!$G$15,$M162-$A$15,CA$13)="",10^12,OFFSET(PLE!$G$15,$M162-$A$15,CA$13)))</f>
        <v>1000000000000</v>
      </c>
      <c r="CB162" s="172">
        <f ca="1">IF(OR($D162&lt;&gt;"Serviço",AND(AUTOEVENTO="Manual",$M162=$A$15),$M162&gt;(ROW(PLE.lastrow)-ROW(PLE.firstrow))),0,
           IF(OFFSET(PLE!$G$15,$M162-$A$15,CB$13)="",10^12,OFFSET(PLE!$G$15,$M162-$A$15,CB$13)))</f>
        <v>1000000000000</v>
      </c>
      <c r="CC162" s="172">
        <f ca="1">IF(OR($D162&lt;&gt;"Serviço",AND(AUTOEVENTO="Manual",$M162=$A$15),$M162&gt;(ROW(PLE.lastrow)-ROW(PLE.firstrow))),0,
           IF(OFFSET(PLE!$G$15,$M162-$A$15,CC$13)="",10^12,OFFSET(PLE!$G$15,$M162-$A$15,CC$13)))</f>
        <v>1000000000000</v>
      </c>
      <c r="CD162" s="172">
        <f ca="1">IF(OR($D162&lt;&gt;"Serviço",AND(AUTOEVENTO="Manual",$M162=$A$15),$M162&gt;(ROW(PLE.lastrow)-ROW(PLE.firstrow))),0,
           IF(OFFSET(PLE!$G$15,$M162-$A$15,CD$13)="",10^12,OFFSET(PLE!$G$15,$M162-$A$15,CD$13)))</f>
        <v>1000000000000</v>
      </c>
      <c r="CE162" s="172">
        <f ca="1">IF(OR($D162&lt;&gt;"Serviço",AND(AUTOEVENTO="Manual",$M162=$A$15),$M162&gt;(ROW(PLE.lastrow)-ROW(PLE.firstrow))),0,
           IF(OFFSET(PLE!$G$15,$M162-$A$15,CE$13)="",10^12,OFFSET(PLE!$G$15,$M162-$A$15,CE$13)))</f>
        <v>1000000000000</v>
      </c>
      <c r="CF162" s="172">
        <f ca="1">IF(OR($D162&lt;&gt;"Serviço",AND(AUTOEVENTO="Manual",$M162=$A$15),$M162&gt;(ROW(PLE.lastrow)-ROW(PLE.firstrow))),0,
           IF(OFFSET(PLE!$G$15,$M162-$A$15,CF$13)="",10^12,OFFSET(PLE!$G$15,$M162-$A$15,CF$13)))</f>
        <v>1000000000000</v>
      </c>
      <c r="CG162" s="172">
        <f ca="1">IF(OR($D162&lt;&gt;"Serviço",AND(AUTOEVENTO="Manual",$M162=$A$15),$M162&gt;(ROW(PLE.lastrow)-ROW(PLE.firstrow))),0,
           IF(OFFSET(PLE!$G$15,$M162-$A$15,CG$13)="",10^12,OFFSET(PLE!$G$15,$M162-$A$15,CG$13)))</f>
        <v>1000000000000</v>
      </c>
      <c r="CH162" s="172">
        <f ca="1">IF(OR($D162&lt;&gt;"Serviço",AND(AUTOEVENTO="Manual",$M162=$A$15),$M162&gt;(ROW(PLE.lastrow)-ROW(PLE.firstrow))),0,
           IF(OFFSET(PLE!$G$15,$M162-$A$15,CH$13)="",10^12,OFFSET(PLE!$G$15,$M162-$A$15,CH$13)))</f>
        <v>1000000000000</v>
      </c>
      <c r="CI162" s="172">
        <f ca="1">IF(OR($D162&lt;&gt;"Serviço",AND(AUTOEVENTO="Manual",$M162=$A$15),$M162&gt;(ROW(PLE.lastrow)-ROW(PLE.firstrow))),0,
           IF(OFFSET(PLE!$G$15,$M162-$A$15,CI$13)="",10^12,OFFSET(PLE!$G$15,$M162-$A$15,CI$13)))</f>
        <v>1000000000000</v>
      </c>
      <c r="CJ162" s="172">
        <f ca="1">IF(OR($D162&lt;&gt;"Serviço",AND(AUTOEVENTO="Manual",$M162=$A$15),$M162&gt;(ROW(PLE.lastrow)-ROW(PLE.firstrow))),0,
           IF(OFFSET(PLE!$G$15,$M162-$A$15,CJ$13)="",10^12,OFFSET(PLE!$G$15,$M162-$A$15,CJ$13)))</f>
        <v>1000000000000</v>
      </c>
      <c r="CK162" s="172">
        <f ca="1">IF(OR($D162&lt;&gt;"Serviço",AND(AUTOEVENTO="Manual",$M162=$A$15),$M162&gt;(ROW(PLE.lastrow)-ROW(PLE.firstrow))),0,
           IF(OFFSET(PLE!$G$15,$M162-$A$15,CK$13)="",10^12,OFFSET(PLE!$G$15,$M162-$A$15,CK$13)))</f>
        <v>1000000000000</v>
      </c>
      <c r="CL162" s="172">
        <f ca="1">IF(OR($D162&lt;&gt;"Serviço",AND(AUTOEVENTO="Manual",$M162=$A$15),$M162&gt;(ROW(PLE.lastrow)-ROW(PLE.firstrow))),0,
           IF(OFFSET(PLE!$G$15,$M162-$A$15,CL$13)="",10^12,OFFSET(PLE!$G$15,$M162-$A$15,CL$13)))</f>
        <v>1000000000000</v>
      </c>
      <c r="CM162" s="172">
        <f ca="1">IF(OR($D162&lt;&gt;"Serviço",AND(AUTOEVENTO="Manual",$M162=$A$15),$M162&gt;(ROW(PLE.lastrow)-ROW(PLE.firstrow))),0,
           IF(OFFSET(PLE!$G$15,$M162-$A$15,CM$13)="",10^12,OFFSET(PLE!$G$15,$M162-$A$15,CM$13)))</f>
        <v>1000000000000</v>
      </c>
    </row>
    <row r="163" spans="1:91" ht="51" x14ac:dyDescent="0.2">
      <c r="A163" s="7">
        <f t="shared" ca="1" si="12"/>
        <v>4</v>
      </c>
      <c r="B163" s="7" t="str">
        <f ca="1">OFFSET(ORÇAMENTO!C$15,ROW(B163)-ROW(B$15),0)</f>
        <v>S</v>
      </c>
      <c r="C163" s="7" t="str">
        <f ca="1">OFFSET(ORÇAMENTO!L$15,ROW(C163)-ROW(C$15),0)</f>
        <v>F</v>
      </c>
      <c r="D163" s="116" t="str">
        <f ca="1">OFFSET(ORÇAMENTO!N$15,ROW(D163)-ROW(D$15),0)</f>
        <v>Serviço</v>
      </c>
      <c r="E163" s="117" t="str">
        <f ca="1">OFFSET(ORÇAMENTO!O$15,ROW(E163)-ROW(E$15),0)</f>
        <v>1.5.5.2.4.</v>
      </c>
      <c r="F163" s="163" t="str">
        <f ca="1">OFFSET(ORÇAMENTO!R$15,ROW(F163)-ROW(F$15),0)</f>
        <v>FÔRMAS DE COMPENSADO RESINADO 10 MM - USO GERAL - UTILIZAÇÃO DE 3 VEZES - CONFECÇÃO, INSTALAÇÃO E RETIRADA</v>
      </c>
      <c r="G163" s="164" t="str">
        <f ca="1">IF($D163&lt;&gt;"Serviço","",OFFSET(ORÇAMENTO!S$15,ROW(G163)-ROW(G$15),0))</f>
        <v>M2</v>
      </c>
      <c r="H163" s="122" cm="1">
        <f t="array" aca="1" ref="H163" ca="1">IF($D163&lt;&gt;"Serviço",0,IF(ACOMPANHAMENTO="BM",ROUND(OFFSET(ORÇAMENTO!AJ$15,ROW(H163)-ROW(H$15),0),15-13*ORÇAMENTO!$AF$7),SUMPRODUCT(($Q$1:$AI$1=1)*ROUND($Q163:$AI163,15-13*ORÇAMENTO!$AF$7))))</f>
        <v>24.48</v>
      </c>
      <c r="I163" s="468" t="s">
        <v>1339</v>
      </c>
      <c r="J163" s="640" t="str" cm="1">
        <f t="array" aca="1" ref="J163" ca="1">IF(OR(B163&lt;&gt;"S",CÁLCULO.FrentesPreenchidas=0),"",IF(AND(ACOMPANHAMENTO="PLE",AUTOEVENTO="Manual",OR(H163&gt;0,ORÇAMENTO!AC163="QUANT."),OR(K163="",M163=0,N163="")),"►E",IF(AND(ACOMPANHAMENTO="PLE",ORÇAMENTO!AC163="QUANT."),"►Q",IF(AND(ACOMPANHAMENTO="PLE",H163&lt;&gt;SUMPRODUCT(($Q$1:$AI$1=1)*ROUND(Q163:AI163,15))),"►S",IF(AND(COUNTIF($P$11:$AI$11,"▼")=0,H163&gt;0,I163=""),"◄M","")))))</f>
        <v/>
      </c>
      <c r="K163" s="641" t="s">
        <v>1389</v>
      </c>
      <c r="L163" s="165" t="s">
        <v>764</v>
      </c>
      <c r="M163" s="166">
        <f ca="1">IF($D163&lt;&gt;"Serviço","",
          IF(AUTOEVENTO="manual",$A163,
                IF(ISERROR(MATCH($A163,$A$15:OFFSET($A163,-1,0),0)),MAX($M$15:OFFSET(M163,-1,0))+1,
                      INDEX($M$15:OFFSET(M163,-1,0),MATCH($A163,$A$15:OFFSET($A163,-1,0),0)))))</f>
        <v>4</v>
      </c>
      <c r="N163" s="167" t="str">
        <f ca="1">IF($D163&lt;&gt;"Serviço","",
         IF(AUTOEVENTO="Manual",
                IF($A163=0,"&lt;-- defina o número do agrupador",
                       OFFSET(EVENTOS!$D$15,$A163-$A$15,0)),
                OFFSET($F$15,$A163,0)))</f>
        <v>Estruturas de Concreto</v>
      </c>
      <c r="O163" s="168"/>
      <c r="Q163" s="168"/>
      <c r="R163" s="169"/>
      <c r="S163" s="169"/>
      <c r="T163" s="169"/>
      <c r="U163" s="169"/>
      <c r="V163" s="169">
        <v>24.48</v>
      </c>
      <c r="W163" s="169"/>
      <c r="X163" s="169"/>
      <c r="Y163" s="169"/>
      <c r="Z163" s="170"/>
      <c r="AA163" s="169"/>
      <c r="AB163" s="169"/>
      <c r="AC163" s="169"/>
      <c r="AD163" s="169"/>
      <c r="AE163" s="169"/>
      <c r="AF163" s="169"/>
      <c r="AG163" s="169"/>
      <c r="AH163" s="170"/>
      <c r="AJ163" s="453">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0</v>
      </c>
      <c r="AK163" s="453">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0</v>
      </c>
      <c r="AL163" s="453">
        <f ca="1">IF(AND($D163="Serviço",AL$12&lt;&gt;0,$H163&gt;0,OR(AUTOEVENTO&lt;&gt;"manual",$M163&lt;&gt;$A$15)),
        IF(Import.TipoArredondamento&lt;&gt;"TransfereGOV",
              ROUND(OFFSET($P163,0,AL$13),15-13*ORÇAMENTO!$AF$7)/$H163*OFFSET(ORÇAMENTO!$X$15,ROW(AL163)-ROW(AL$15),0),
              ROUND(ROUND(OFFSET($P163,0,AL$13),15-13*ORÇAMENTO!$AF$7)*OFFSET(ORÇAMENTO!$W$15,ROW(AL163)-ROW(AL$15),0),15-13*ORÇAMENTO!$AF$11)),
         0)</f>
        <v>0</v>
      </c>
      <c r="AM163" s="453">
        <f ca="1">IF(AND($D163="Serviço",AM$12&lt;&gt;0,$H163&gt;0,OR(AUTOEVENTO&lt;&gt;"manual",$M163&lt;&gt;$A$15)),
        IF(Import.TipoArredondamento&lt;&gt;"TransfereGOV",
              ROUND(OFFSET($P163,0,AM$13),15-13*ORÇAMENTO!$AF$7)/$H163*OFFSET(ORÇAMENTO!$X$15,ROW(AM163)-ROW(AM$15),0),
              ROUND(ROUND(OFFSET($P163,0,AM$13),15-13*ORÇAMENTO!$AF$7)*OFFSET(ORÇAMENTO!$W$15,ROW(AM163)-ROW(AM$15),0),15-13*ORÇAMENTO!$AF$11)),
         0)</f>
        <v>0</v>
      </c>
      <c r="AN163" s="453">
        <f ca="1">IF(AND($D163="Serviço",AN$12&lt;&gt;0,$H163&gt;0,OR(AUTOEVENTO&lt;&gt;"manual",$M163&lt;&gt;$A$15)),
        IF(Import.TipoArredondamento&lt;&gt;"TransfereGOV",
              ROUND(OFFSET($P163,0,AN$13),15-13*ORÇAMENTO!$AF$7)/$H163*OFFSET(ORÇAMENTO!$X$15,ROW(AN163)-ROW(AN$15),0),
              ROUND(ROUND(OFFSET($P163,0,AN$13),15-13*ORÇAMENTO!$AF$7)*OFFSET(ORÇAMENTO!$W$15,ROW(AN163)-ROW(AN$15),0),15-13*ORÇAMENTO!$AF$11)),
         0)</f>
        <v>0</v>
      </c>
      <c r="AO163" s="453">
        <f ca="1">IF(AND($D163="Serviço",AO$12&lt;&gt;0,$H163&gt;0,OR(AUTOEVENTO&lt;&gt;"manual",$M163&lt;&gt;$A$15)),
        IF(Import.TipoArredondamento&lt;&gt;"TransfereGOV",
              ROUND(OFFSET($P163,0,AO$13),15-13*ORÇAMENTO!$AF$7)/$H163*OFFSET(ORÇAMENTO!$X$15,ROW(AO163)-ROW(AO$15),0),
              ROUND(ROUND(OFFSET($P163,0,AO$13),15-13*ORÇAMENTO!$AF$7)*OFFSET(ORÇAMENTO!$W$15,ROW(AO163)-ROW(AO$15),0),15-13*ORÇAMENTO!$AF$11)),
         0)</f>
        <v>0</v>
      </c>
      <c r="AP163" s="453">
        <f ca="1">IF(AND($D163="Serviço",AP$12&lt;&gt;0,$H163&gt;0,OR(AUTOEVENTO&lt;&gt;"manual",$M163&lt;&gt;$A$15)),
        IF(Import.TipoArredondamento&lt;&gt;"TransfereGOV",
              ROUND(OFFSET($P163,0,AP$13),15-13*ORÇAMENTO!$AF$7)/$H163*OFFSET(ORÇAMENTO!$X$15,ROW(AP163)-ROW(AP$15),0),
              ROUND(ROUND(OFFSET($P163,0,AP$13),15-13*ORÇAMENTO!$AF$7)*OFFSET(ORÇAMENTO!$W$15,ROW(AP163)-ROW(AP$15),0),15-13*ORÇAMENTO!$AF$11)),
         0)</f>
        <v>0</v>
      </c>
      <c r="AQ163" s="453">
        <f ca="1">IF(AND($D163="Serviço",AQ$12&lt;&gt;0,$H163&gt;0,OR(AUTOEVENTO&lt;&gt;"manual",$M163&lt;&gt;$A$15)),
        IF(Import.TipoArredondamento&lt;&gt;"TransfereGOV",
              ROUND(OFFSET($P163,0,AQ$13),15-13*ORÇAMENTO!$AF$7)/$H163*OFFSET(ORÇAMENTO!$X$15,ROW(AQ163)-ROW(AQ$15),0),
              ROUND(ROUND(OFFSET($P163,0,AQ$13),15-13*ORÇAMENTO!$AF$7)*OFFSET(ORÇAMENTO!$W$15,ROW(AQ163)-ROW(AQ$15),0),15-13*ORÇAMENTO!$AF$11)),
         0)</f>
        <v>0</v>
      </c>
      <c r="AR163" s="453">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3">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3">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3">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3">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3">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3">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3">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3">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3">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C163" s="171">
        <f ca="1">IF(OR($D163&lt;&gt;"Serviço",AND(AUTOEVENTO="Manual",$M163=$A$15)),0,
         IF(OFFSET(CRONOPLE!$F$15,$M163-$A$15,BC$13)=0,10^12,OFFSET(CRONOPLE!$F$15,$M163-$A$15,BC$13)))</f>
        <v>1</v>
      </c>
      <c r="BD163" s="171">
        <f ca="1">IF(OR($D163&lt;&gt;"Serviço",AND(AUTOEVENTO="Manual",$M163=$A$15)),0,
         IF(OFFSET(CRONOPLE!$F$15,$M163-$A$15,BD$13)=0,10^12,OFFSET(CRONOPLE!$F$15,$M163-$A$15,BD$13)))</f>
        <v>2</v>
      </c>
      <c r="BE163" s="171">
        <f ca="1">IF(OR($D163&lt;&gt;"Serviço",AND(AUTOEVENTO="Manual",$M163=$A$15)),0,
         IF(OFFSET(CRONOPLE!$F$15,$M163-$A$15,BE$13)=0,10^12,OFFSET(CRONOPLE!$F$15,$M163-$A$15,BE$13)))</f>
        <v>3</v>
      </c>
      <c r="BF163" s="171">
        <f ca="1">IF(OR($D163&lt;&gt;"Serviço",AND(AUTOEVENTO="Manual",$M163=$A$15)),0,
         IF(OFFSET(CRONOPLE!$F$15,$M163-$A$15,BF$13)=0,10^12,OFFSET(CRONOPLE!$F$15,$M163-$A$15,BF$13)))</f>
        <v>4</v>
      </c>
      <c r="BG163" s="171">
        <f ca="1">IF(OR($D163&lt;&gt;"Serviço",AND(AUTOEVENTO="Manual",$M163=$A$15)),0,
         IF(OFFSET(CRONOPLE!$F$15,$M163-$A$15,BG$13)=0,10^12,OFFSET(CRONOPLE!$F$15,$M163-$A$15,BG$13)))</f>
        <v>5</v>
      </c>
      <c r="BH163" s="171">
        <f ca="1">IF(OR($D163&lt;&gt;"Serviço",AND(AUTOEVENTO="Manual",$M163=$A$15)),0,
         IF(OFFSET(CRONOPLE!$F$15,$M163-$A$15,BH$13)=0,10^12,OFFSET(CRONOPLE!$F$15,$M163-$A$15,BH$13)))</f>
        <v>6</v>
      </c>
      <c r="BI163" s="171">
        <f ca="1">IF(OR($D163&lt;&gt;"Serviço",AND(AUTOEVENTO="Manual",$M163=$A$15)),0,
         IF(OFFSET(CRONOPLE!$F$15,$M163-$A$15,BI$13)=0,10^12,OFFSET(CRONOPLE!$F$15,$M163-$A$15,BI$13)))</f>
        <v>7</v>
      </c>
      <c r="BJ163" s="171">
        <f ca="1">IF(OR($D163&lt;&gt;"Serviço",AND(AUTOEVENTO="Manual",$M163=$A$15)),0,
         IF(OFFSET(CRONOPLE!$F$15,$M163-$A$15,BJ$13)=0,10^12,OFFSET(CRONOPLE!$F$15,$M163-$A$15,BJ$13)))</f>
        <v>8</v>
      </c>
      <c r="BK163" s="171">
        <f ca="1">IF(OR($D163&lt;&gt;"Serviço",AND(AUTOEVENTO="Manual",$M163=$A$15)),0,
         IF(OFFSET(CRONOPLE!$F$15,$M163-$A$15,BK$13)=0,10^12,OFFSET(CRONOPLE!$F$15,$M163-$A$15,BK$13)))</f>
        <v>9</v>
      </c>
      <c r="BL163" s="171">
        <f ca="1">IF(OR($D163&lt;&gt;"Serviço",AND(AUTOEVENTO="Manual",$M163=$A$15)),0,
         IF(OFFSET(CRONOPLE!$F$15,$M163-$A$15,BL$13)=0,10^12,OFFSET(CRONOPLE!$F$15,$M163-$A$15,BL$13)))</f>
        <v>10</v>
      </c>
      <c r="BM163" s="171">
        <f ca="1">IF(OR($D163&lt;&gt;"Serviço",AND(AUTOEVENTO="Manual",$M163=$A$15)),0,
         IF(OFFSET(CRONOPLE!$F$15,$M163-$A$15,BM$13)=0,10^12,OFFSET(CRONOPLE!$F$15,$M163-$A$15,BM$13)))</f>
        <v>1000000000000</v>
      </c>
      <c r="BN163" s="171">
        <f ca="1">IF(OR($D163&lt;&gt;"Serviço",AND(AUTOEVENTO="Manual",$M163=$A$15)),0,
         IF(OFFSET(CRONOPLE!$F$15,$M163-$A$15,BN$13)=0,10^12,OFFSET(CRONOPLE!$F$15,$M163-$A$15,BN$13)))</f>
        <v>1000000000000</v>
      </c>
      <c r="BO163" s="171">
        <f ca="1">IF(OR($D163&lt;&gt;"Serviço",AND(AUTOEVENTO="Manual",$M163=$A$15)),0,
         IF(OFFSET(CRONOPLE!$F$15,$M163-$A$15,BO$13)=0,10^12,OFFSET(CRONOPLE!$F$15,$M163-$A$15,BO$13)))</f>
        <v>1000000000000</v>
      </c>
      <c r="BP163" s="171">
        <f ca="1">IF(OR($D163&lt;&gt;"Serviço",AND(AUTOEVENTO="Manual",$M163=$A$15)),0,
         IF(OFFSET(CRONOPLE!$F$15,$M163-$A$15,BP$13)=0,10^12,OFFSET(CRONOPLE!$F$15,$M163-$A$15,BP$13)))</f>
        <v>1000000000000</v>
      </c>
      <c r="BQ163" s="171">
        <f ca="1">IF(OR($D163&lt;&gt;"Serviço",AND(AUTOEVENTO="Manual",$M163=$A$15)),0,
         IF(OFFSET(CRONOPLE!$F$15,$M163-$A$15,BQ$13)=0,10^12,OFFSET(CRONOPLE!$F$15,$M163-$A$15,BQ$13)))</f>
        <v>1000000000000</v>
      </c>
      <c r="BR163" s="171">
        <f ca="1">IF(OR($D163&lt;&gt;"Serviço",AND(AUTOEVENTO="Manual",$M163=$A$15)),0,
         IF(OFFSET(CRONOPLE!$F$15,$M163-$A$15,BR$13)=0,10^12,OFFSET(CRONOPLE!$F$15,$M163-$A$15,BR$13)))</f>
        <v>1000000000000</v>
      </c>
      <c r="BS163" s="171">
        <f ca="1">IF(OR($D163&lt;&gt;"Serviço",AND(AUTOEVENTO="Manual",$M163=$A$15)),0,
         IF(OFFSET(CRONOPLE!$F$15,$M163-$A$15,BS$13)=0,10^12,OFFSET(CRONOPLE!$F$15,$M163-$A$15,BS$13)))</f>
        <v>1000000000000</v>
      </c>
      <c r="BT163" s="171">
        <f ca="1">IF(OR($D163&lt;&gt;"Serviço",AND(AUTOEVENTO="Manual",$M163=$A$15)),0,
         IF(OFFSET(CRONOPLE!$F$15,$M163-$A$15,BT$13)=0,10^12,OFFSET(CRONOPLE!$F$15,$M163-$A$15,BT$13)))</f>
        <v>1000000000000</v>
      </c>
      <c r="BV163" s="172">
        <f ca="1">IF(OR($D163&lt;&gt;"Serviço",AND(AUTOEVENTO="Manual",$M163=$A$15),$M163&gt;(ROW(PLE.lastrow)-ROW(PLE.firstrow))),0,
           IF(OFFSET(PLE!$G$15,$M163-$A$15,BV$13)="",10^12,OFFSET(PLE!$G$15,$M163-$A$15,BV$13)))</f>
        <v>1000000000000</v>
      </c>
      <c r="BW163" s="172">
        <f ca="1">IF(OR($D163&lt;&gt;"Serviço",AND(AUTOEVENTO="Manual",$M163=$A$15),$M163&gt;(ROW(PLE.lastrow)-ROW(PLE.firstrow))),0,
           IF(OFFSET(PLE!$G$15,$M163-$A$15,BW$13)="",10^12,OFFSET(PLE!$G$15,$M163-$A$15,BW$13)))</f>
        <v>1000000000000</v>
      </c>
      <c r="BX163" s="172">
        <f ca="1">IF(OR($D163&lt;&gt;"Serviço",AND(AUTOEVENTO="Manual",$M163=$A$15),$M163&gt;(ROW(PLE.lastrow)-ROW(PLE.firstrow))),0,
           IF(OFFSET(PLE!$G$15,$M163-$A$15,BX$13)="",10^12,OFFSET(PLE!$G$15,$M163-$A$15,BX$13)))</f>
        <v>1000000000000</v>
      </c>
      <c r="BY163" s="172">
        <f ca="1">IF(OR($D163&lt;&gt;"Serviço",AND(AUTOEVENTO="Manual",$M163=$A$15),$M163&gt;(ROW(PLE.lastrow)-ROW(PLE.firstrow))),0,
           IF(OFFSET(PLE!$G$15,$M163-$A$15,BY$13)="",10^12,OFFSET(PLE!$G$15,$M163-$A$15,BY$13)))</f>
        <v>1000000000000</v>
      </c>
      <c r="BZ163" s="172">
        <f ca="1">IF(OR($D163&lt;&gt;"Serviço",AND(AUTOEVENTO="Manual",$M163=$A$15),$M163&gt;(ROW(PLE.lastrow)-ROW(PLE.firstrow))),0,
           IF(OFFSET(PLE!$G$15,$M163-$A$15,BZ$13)="",10^12,OFFSET(PLE!$G$15,$M163-$A$15,BZ$13)))</f>
        <v>1000000000000</v>
      </c>
      <c r="CA163" s="172">
        <f ca="1">IF(OR($D163&lt;&gt;"Serviço",AND(AUTOEVENTO="Manual",$M163=$A$15),$M163&gt;(ROW(PLE.lastrow)-ROW(PLE.firstrow))),0,
           IF(OFFSET(PLE!$G$15,$M163-$A$15,CA$13)="",10^12,OFFSET(PLE!$G$15,$M163-$A$15,CA$13)))</f>
        <v>1000000000000</v>
      </c>
      <c r="CB163" s="172">
        <f ca="1">IF(OR($D163&lt;&gt;"Serviço",AND(AUTOEVENTO="Manual",$M163=$A$15),$M163&gt;(ROW(PLE.lastrow)-ROW(PLE.firstrow))),0,
           IF(OFFSET(PLE!$G$15,$M163-$A$15,CB$13)="",10^12,OFFSET(PLE!$G$15,$M163-$A$15,CB$13)))</f>
        <v>1000000000000</v>
      </c>
      <c r="CC163" s="172">
        <f ca="1">IF(OR($D163&lt;&gt;"Serviço",AND(AUTOEVENTO="Manual",$M163=$A$15),$M163&gt;(ROW(PLE.lastrow)-ROW(PLE.firstrow))),0,
           IF(OFFSET(PLE!$G$15,$M163-$A$15,CC$13)="",10^12,OFFSET(PLE!$G$15,$M163-$A$15,CC$13)))</f>
        <v>1000000000000</v>
      </c>
      <c r="CD163" s="172">
        <f ca="1">IF(OR($D163&lt;&gt;"Serviço",AND(AUTOEVENTO="Manual",$M163=$A$15),$M163&gt;(ROW(PLE.lastrow)-ROW(PLE.firstrow))),0,
           IF(OFFSET(PLE!$G$15,$M163-$A$15,CD$13)="",10^12,OFFSET(PLE!$G$15,$M163-$A$15,CD$13)))</f>
        <v>1000000000000</v>
      </c>
      <c r="CE163" s="172">
        <f ca="1">IF(OR($D163&lt;&gt;"Serviço",AND(AUTOEVENTO="Manual",$M163=$A$15),$M163&gt;(ROW(PLE.lastrow)-ROW(PLE.firstrow))),0,
           IF(OFFSET(PLE!$G$15,$M163-$A$15,CE$13)="",10^12,OFFSET(PLE!$G$15,$M163-$A$15,CE$13)))</f>
        <v>1000000000000</v>
      </c>
      <c r="CF163" s="172">
        <f ca="1">IF(OR($D163&lt;&gt;"Serviço",AND(AUTOEVENTO="Manual",$M163=$A$15),$M163&gt;(ROW(PLE.lastrow)-ROW(PLE.firstrow))),0,
           IF(OFFSET(PLE!$G$15,$M163-$A$15,CF$13)="",10^12,OFFSET(PLE!$G$15,$M163-$A$15,CF$13)))</f>
        <v>1000000000000</v>
      </c>
      <c r="CG163" s="172">
        <f ca="1">IF(OR($D163&lt;&gt;"Serviço",AND(AUTOEVENTO="Manual",$M163=$A$15),$M163&gt;(ROW(PLE.lastrow)-ROW(PLE.firstrow))),0,
           IF(OFFSET(PLE!$G$15,$M163-$A$15,CG$13)="",10^12,OFFSET(PLE!$G$15,$M163-$A$15,CG$13)))</f>
        <v>1000000000000</v>
      </c>
      <c r="CH163" s="172">
        <f ca="1">IF(OR($D163&lt;&gt;"Serviço",AND(AUTOEVENTO="Manual",$M163=$A$15),$M163&gt;(ROW(PLE.lastrow)-ROW(PLE.firstrow))),0,
           IF(OFFSET(PLE!$G$15,$M163-$A$15,CH$13)="",10^12,OFFSET(PLE!$G$15,$M163-$A$15,CH$13)))</f>
        <v>1000000000000</v>
      </c>
      <c r="CI163" s="172">
        <f ca="1">IF(OR($D163&lt;&gt;"Serviço",AND(AUTOEVENTO="Manual",$M163=$A$15),$M163&gt;(ROW(PLE.lastrow)-ROW(PLE.firstrow))),0,
           IF(OFFSET(PLE!$G$15,$M163-$A$15,CI$13)="",10^12,OFFSET(PLE!$G$15,$M163-$A$15,CI$13)))</f>
        <v>1000000000000</v>
      </c>
      <c r="CJ163" s="172">
        <f ca="1">IF(OR($D163&lt;&gt;"Serviço",AND(AUTOEVENTO="Manual",$M163=$A$15),$M163&gt;(ROW(PLE.lastrow)-ROW(PLE.firstrow))),0,
           IF(OFFSET(PLE!$G$15,$M163-$A$15,CJ$13)="",10^12,OFFSET(PLE!$G$15,$M163-$A$15,CJ$13)))</f>
        <v>1000000000000</v>
      </c>
      <c r="CK163" s="172">
        <f ca="1">IF(OR($D163&lt;&gt;"Serviço",AND(AUTOEVENTO="Manual",$M163=$A$15),$M163&gt;(ROW(PLE.lastrow)-ROW(PLE.firstrow))),0,
           IF(OFFSET(PLE!$G$15,$M163-$A$15,CK$13)="",10^12,OFFSET(PLE!$G$15,$M163-$A$15,CK$13)))</f>
        <v>1000000000000</v>
      </c>
      <c r="CL163" s="172">
        <f ca="1">IF(OR($D163&lt;&gt;"Serviço",AND(AUTOEVENTO="Manual",$M163=$A$15),$M163&gt;(ROW(PLE.lastrow)-ROW(PLE.firstrow))),0,
           IF(OFFSET(PLE!$G$15,$M163-$A$15,CL$13)="",10^12,OFFSET(PLE!$G$15,$M163-$A$15,CL$13)))</f>
        <v>1000000000000</v>
      </c>
      <c r="CM163" s="172">
        <f ca="1">IF(OR($D163&lt;&gt;"Serviço",AND(AUTOEVENTO="Manual",$M163=$A$15),$M163&gt;(ROW(PLE.lastrow)-ROW(PLE.firstrow))),0,
           IF(OFFSET(PLE!$G$15,$M163-$A$15,CM$13)="",10^12,OFFSET(PLE!$G$15,$M163-$A$15,CM$13)))</f>
        <v>1000000000000</v>
      </c>
    </row>
    <row r="164" spans="1:91" ht="38.25" x14ac:dyDescent="0.2">
      <c r="A164" s="7">
        <f t="shared" ca="1" si="12"/>
        <v>4</v>
      </c>
      <c r="B164" s="7" t="str">
        <f ca="1">OFFSET(ORÇAMENTO!C$15,ROW(B164)-ROW(B$15),0)</f>
        <v>S</v>
      </c>
      <c r="C164" s="7" t="str">
        <f ca="1">OFFSET(ORÇAMENTO!L$15,ROW(C164)-ROW(C$15),0)</f>
        <v>F</v>
      </c>
      <c r="D164" s="116" t="str">
        <f ca="1">OFFSET(ORÇAMENTO!N$15,ROW(D164)-ROW(D$15),0)</f>
        <v>Serviço</v>
      </c>
      <c r="E164" s="117" t="str">
        <f ca="1">OFFSET(ORÇAMENTO!O$15,ROW(E164)-ROW(E$15),0)</f>
        <v>1.5.5.2.5.</v>
      </c>
      <c r="F164" s="163" t="str">
        <f ca="1">OFFSET(ORÇAMENTO!R$15,ROW(F164)-ROW(F$15),0)</f>
        <v xml:space="preserve">LASTRO DE CONCRETO MAGRO, INCLUSIVE TRANSPORTE, LANÇAMENTO E ADENSAMENTO </v>
      </c>
      <c r="G164" s="164" t="str">
        <f ca="1">IF($D164&lt;&gt;"Serviço","",OFFSET(ORÇAMENTO!S$15,ROW(G164)-ROW(G$15),0))</f>
        <v>M3</v>
      </c>
      <c r="H164" s="122" cm="1">
        <f t="array" aca="1" ref="H164" ca="1">IF($D164&lt;&gt;"Serviço",0,IF(ACOMPANHAMENTO="BM",ROUND(OFFSET(ORÇAMENTO!AJ$15,ROW(H164)-ROW(H$15),0),15-13*ORÇAMENTO!$AF$7),SUMPRODUCT(($Q$1:$AI$1=1)*ROUND($Q164:$AI164,15-13*ORÇAMENTO!$AF$7))))</f>
        <v>0.85</v>
      </c>
      <c r="I164" s="468" t="s">
        <v>1441</v>
      </c>
      <c r="J164" s="640" t="str" cm="1">
        <f t="array" aca="1" ref="J164" ca="1">IF(OR(B164&lt;&gt;"S",CÁLCULO.FrentesPreenchidas=0),"",IF(AND(ACOMPANHAMENTO="PLE",AUTOEVENTO="Manual",OR(H164&gt;0,ORÇAMENTO!AC164="QUANT."),OR(K164="",M164=0,N164="")),"►E",IF(AND(ACOMPANHAMENTO="PLE",ORÇAMENTO!AC164="QUANT."),"►Q",IF(AND(ACOMPANHAMENTO="PLE",H164&lt;&gt;SUMPRODUCT(($Q$1:$AI$1=1)*ROUND(Q164:AI164,15))),"►S",IF(AND(COUNTIF($P$11:$AI$11,"▼")=0,H164&gt;0,I164=""),"◄M","")))))</f>
        <v/>
      </c>
      <c r="K164" s="641" t="s">
        <v>1389</v>
      </c>
      <c r="L164" s="165" t="s">
        <v>764</v>
      </c>
      <c r="M164" s="166">
        <f ca="1">IF($D164&lt;&gt;"Serviço","",
          IF(AUTOEVENTO="manual",$A164,
                IF(ISERROR(MATCH($A164,$A$15:OFFSET($A164,-1,0),0)),MAX($M$15:OFFSET(M164,-1,0))+1,
                      INDEX($M$15:OFFSET(M164,-1,0),MATCH($A164,$A$15:OFFSET($A164,-1,0),0)))))</f>
        <v>4</v>
      </c>
      <c r="N164" s="167" t="str">
        <f ca="1">IF($D164&lt;&gt;"Serviço","",
         IF(AUTOEVENTO="Manual",
                IF($A164=0,"&lt;-- defina o número do agrupador",
                       OFFSET(EVENTOS!$D$15,$A164-$A$15,0)),
                OFFSET($F$15,$A164,0)))</f>
        <v>Estruturas de Concreto</v>
      </c>
      <c r="O164" s="168"/>
      <c r="Q164" s="168"/>
      <c r="R164" s="169"/>
      <c r="S164" s="169"/>
      <c r="T164" s="169"/>
      <c r="U164" s="169"/>
      <c r="V164" s="169">
        <v>0.85</v>
      </c>
      <c r="W164" s="169"/>
      <c r="X164" s="169"/>
      <c r="Y164" s="169"/>
      <c r="Z164" s="170"/>
      <c r="AA164" s="169"/>
      <c r="AB164" s="169"/>
      <c r="AC164" s="169"/>
      <c r="AD164" s="169"/>
      <c r="AE164" s="169"/>
      <c r="AF164" s="169"/>
      <c r="AG164" s="169"/>
      <c r="AH164" s="170"/>
      <c r="AJ164" s="453">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0</v>
      </c>
      <c r="AK164" s="453">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0</v>
      </c>
      <c r="AL164" s="453">
        <f ca="1">IF(AND($D164="Serviço",AL$12&lt;&gt;0,$H164&gt;0,OR(AUTOEVENTO&lt;&gt;"manual",$M164&lt;&gt;$A$15)),
        IF(Import.TipoArredondamento&lt;&gt;"TransfereGOV",
              ROUND(OFFSET($P164,0,AL$13),15-13*ORÇAMENTO!$AF$7)/$H164*OFFSET(ORÇAMENTO!$X$15,ROW(AL164)-ROW(AL$15),0),
              ROUND(ROUND(OFFSET($P164,0,AL$13),15-13*ORÇAMENTO!$AF$7)*OFFSET(ORÇAMENTO!$W$15,ROW(AL164)-ROW(AL$15),0),15-13*ORÇAMENTO!$AF$11)),
         0)</f>
        <v>0</v>
      </c>
      <c r="AM164" s="453">
        <f ca="1">IF(AND($D164="Serviço",AM$12&lt;&gt;0,$H164&gt;0,OR(AUTOEVENTO&lt;&gt;"manual",$M164&lt;&gt;$A$15)),
        IF(Import.TipoArredondamento&lt;&gt;"TransfereGOV",
              ROUND(OFFSET($P164,0,AM$13),15-13*ORÇAMENTO!$AF$7)/$H164*OFFSET(ORÇAMENTO!$X$15,ROW(AM164)-ROW(AM$15),0),
              ROUND(ROUND(OFFSET($P164,0,AM$13),15-13*ORÇAMENTO!$AF$7)*OFFSET(ORÇAMENTO!$W$15,ROW(AM164)-ROW(AM$15),0),15-13*ORÇAMENTO!$AF$11)),
         0)</f>
        <v>0</v>
      </c>
      <c r="AN164" s="453">
        <f ca="1">IF(AND($D164="Serviço",AN$12&lt;&gt;0,$H164&gt;0,OR(AUTOEVENTO&lt;&gt;"manual",$M164&lt;&gt;$A$15)),
        IF(Import.TipoArredondamento&lt;&gt;"TransfereGOV",
              ROUND(OFFSET($P164,0,AN$13),15-13*ORÇAMENTO!$AF$7)/$H164*OFFSET(ORÇAMENTO!$X$15,ROW(AN164)-ROW(AN$15),0),
              ROUND(ROUND(OFFSET($P164,0,AN$13),15-13*ORÇAMENTO!$AF$7)*OFFSET(ORÇAMENTO!$W$15,ROW(AN164)-ROW(AN$15),0),15-13*ORÇAMENTO!$AF$11)),
         0)</f>
        <v>0</v>
      </c>
      <c r="AO164" s="453">
        <f ca="1">IF(AND($D164="Serviço",AO$12&lt;&gt;0,$H164&gt;0,OR(AUTOEVENTO&lt;&gt;"manual",$M164&lt;&gt;$A$15)),
        IF(Import.TipoArredondamento&lt;&gt;"TransfereGOV",
              ROUND(OFFSET($P164,0,AO$13),15-13*ORÇAMENTO!$AF$7)/$H164*OFFSET(ORÇAMENTO!$X$15,ROW(AO164)-ROW(AO$15),0),
              ROUND(ROUND(OFFSET($P164,0,AO$13),15-13*ORÇAMENTO!$AF$7)*OFFSET(ORÇAMENTO!$W$15,ROW(AO164)-ROW(AO$15),0),15-13*ORÇAMENTO!$AF$11)),
         0)</f>
        <v>0</v>
      </c>
      <c r="AP164" s="453">
        <f ca="1">IF(AND($D164="Serviço",AP$12&lt;&gt;0,$H164&gt;0,OR(AUTOEVENTO&lt;&gt;"manual",$M164&lt;&gt;$A$15)),
        IF(Import.TipoArredondamento&lt;&gt;"TransfereGOV",
              ROUND(OFFSET($P164,0,AP$13),15-13*ORÇAMENTO!$AF$7)/$H164*OFFSET(ORÇAMENTO!$X$15,ROW(AP164)-ROW(AP$15),0),
              ROUND(ROUND(OFFSET($P164,0,AP$13),15-13*ORÇAMENTO!$AF$7)*OFFSET(ORÇAMENTO!$W$15,ROW(AP164)-ROW(AP$15),0),15-13*ORÇAMENTO!$AF$11)),
         0)</f>
        <v>0</v>
      </c>
      <c r="AQ164" s="453">
        <f ca="1">IF(AND($D164="Serviço",AQ$12&lt;&gt;0,$H164&gt;0,OR(AUTOEVENTO&lt;&gt;"manual",$M164&lt;&gt;$A$15)),
        IF(Import.TipoArredondamento&lt;&gt;"TransfereGOV",
              ROUND(OFFSET($P164,0,AQ$13),15-13*ORÇAMENTO!$AF$7)/$H164*OFFSET(ORÇAMENTO!$X$15,ROW(AQ164)-ROW(AQ$15),0),
              ROUND(ROUND(OFFSET($P164,0,AQ$13),15-13*ORÇAMENTO!$AF$7)*OFFSET(ORÇAMENTO!$W$15,ROW(AQ164)-ROW(AQ$15),0),15-13*ORÇAMENTO!$AF$11)),
         0)</f>
        <v>0</v>
      </c>
      <c r="AR164" s="453">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3">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3">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3">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3">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3">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3">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3">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3">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3">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C164" s="171">
        <f ca="1">IF(OR($D164&lt;&gt;"Serviço",AND(AUTOEVENTO="Manual",$M164=$A$15)),0,
         IF(OFFSET(CRONOPLE!$F$15,$M164-$A$15,BC$13)=0,10^12,OFFSET(CRONOPLE!$F$15,$M164-$A$15,BC$13)))</f>
        <v>1</v>
      </c>
      <c r="BD164" s="171">
        <f ca="1">IF(OR($D164&lt;&gt;"Serviço",AND(AUTOEVENTO="Manual",$M164=$A$15)),0,
         IF(OFFSET(CRONOPLE!$F$15,$M164-$A$15,BD$13)=0,10^12,OFFSET(CRONOPLE!$F$15,$M164-$A$15,BD$13)))</f>
        <v>2</v>
      </c>
      <c r="BE164" s="171">
        <f ca="1">IF(OR($D164&lt;&gt;"Serviço",AND(AUTOEVENTO="Manual",$M164=$A$15)),0,
         IF(OFFSET(CRONOPLE!$F$15,$M164-$A$15,BE$13)=0,10^12,OFFSET(CRONOPLE!$F$15,$M164-$A$15,BE$13)))</f>
        <v>3</v>
      </c>
      <c r="BF164" s="171">
        <f ca="1">IF(OR($D164&lt;&gt;"Serviço",AND(AUTOEVENTO="Manual",$M164=$A$15)),0,
         IF(OFFSET(CRONOPLE!$F$15,$M164-$A$15,BF$13)=0,10^12,OFFSET(CRONOPLE!$F$15,$M164-$A$15,BF$13)))</f>
        <v>4</v>
      </c>
      <c r="BG164" s="171">
        <f ca="1">IF(OR($D164&lt;&gt;"Serviço",AND(AUTOEVENTO="Manual",$M164=$A$15)),0,
         IF(OFFSET(CRONOPLE!$F$15,$M164-$A$15,BG$13)=0,10^12,OFFSET(CRONOPLE!$F$15,$M164-$A$15,BG$13)))</f>
        <v>5</v>
      </c>
      <c r="BH164" s="171">
        <f ca="1">IF(OR($D164&lt;&gt;"Serviço",AND(AUTOEVENTO="Manual",$M164=$A$15)),0,
         IF(OFFSET(CRONOPLE!$F$15,$M164-$A$15,BH$13)=0,10^12,OFFSET(CRONOPLE!$F$15,$M164-$A$15,BH$13)))</f>
        <v>6</v>
      </c>
      <c r="BI164" s="171">
        <f ca="1">IF(OR($D164&lt;&gt;"Serviço",AND(AUTOEVENTO="Manual",$M164=$A$15)),0,
         IF(OFFSET(CRONOPLE!$F$15,$M164-$A$15,BI$13)=0,10^12,OFFSET(CRONOPLE!$F$15,$M164-$A$15,BI$13)))</f>
        <v>7</v>
      </c>
      <c r="BJ164" s="171">
        <f ca="1">IF(OR($D164&lt;&gt;"Serviço",AND(AUTOEVENTO="Manual",$M164=$A$15)),0,
         IF(OFFSET(CRONOPLE!$F$15,$M164-$A$15,BJ$13)=0,10^12,OFFSET(CRONOPLE!$F$15,$M164-$A$15,BJ$13)))</f>
        <v>8</v>
      </c>
      <c r="BK164" s="171">
        <f ca="1">IF(OR($D164&lt;&gt;"Serviço",AND(AUTOEVENTO="Manual",$M164=$A$15)),0,
         IF(OFFSET(CRONOPLE!$F$15,$M164-$A$15,BK$13)=0,10^12,OFFSET(CRONOPLE!$F$15,$M164-$A$15,BK$13)))</f>
        <v>9</v>
      </c>
      <c r="BL164" s="171">
        <f ca="1">IF(OR($D164&lt;&gt;"Serviço",AND(AUTOEVENTO="Manual",$M164=$A$15)),0,
         IF(OFFSET(CRONOPLE!$F$15,$M164-$A$15,BL$13)=0,10^12,OFFSET(CRONOPLE!$F$15,$M164-$A$15,BL$13)))</f>
        <v>10</v>
      </c>
      <c r="BM164" s="171">
        <f ca="1">IF(OR($D164&lt;&gt;"Serviço",AND(AUTOEVENTO="Manual",$M164=$A$15)),0,
         IF(OFFSET(CRONOPLE!$F$15,$M164-$A$15,BM$13)=0,10^12,OFFSET(CRONOPLE!$F$15,$M164-$A$15,BM$13)))</f>
        <v>1000000000000</v>
      </c>
      <c r="BN164" s="171">
        <f ca="1">IF(OR($D164&lt;&gt;"Serviço",AND(AUTOEVENTO="Manual",$M164=$A$15)),0,
         IF(OFFSET(CRONOPLE!$F$15,$M164-$A$15,BN$13)=0,10^12,OFFSET(CRONOPLE!$F$15,$M164-$A$15,BN$13)))</f>
        <v>1000000000000</v>
      </c>
      <c r="BO164" s="171">
        <f ca="1">IF(OR($D164&lt;&gt;"Serviço",AND(AUTOEVENTO="Manual",$M164=$A$15)),0,
         IF(OFFSET(CRONOPLE!$F$15,$M164-$A$15,BO$13)=0,10^12,OFFSET(CRONOPLE!$F$15,$M164-$A$15,BO$13)))</f>
        <v>1000000000000</v>
      </c>
      <c r="BP164" s="171">
        <f ca="1">IF(OR($D164&lt;&gt;"Serviço",AND(AUTOEVENTO="Manual",$M164=$A$15)),0,
         IF(OFFSET(CRONOPLE!$F$15,$M164-$A$15,BP$13)=0,10^12,OFFSET(CRONOPLE!$F$15,$M164-$A$15,BP$13)))</f>
        <v>1000000000000</v>
      </c>
      <c r="BQ164" s="171">
        <f ca="1">IF(OR($D164&lt;&gt;"Serviço",AND(AUTOEVENTO="Manual",$M164=$A$15)),0,
         IF(OFFSET(CRONOPLE!$F$15,$M164-$A$15,BQ$13)=0,10^12,OFFSET(CRONOPLE!$F$15,$M164-$A$15,BQ$13)))</f>
        <v>1000000000000</v>
      </c>
      <c r="BR164" s="171">
        <f ca="1">IF(OR($D164&lt;&gt;"Serviço",AND(AUTOEVENTO="Manual",$M164=$A$15)),0,
         IF(OFFSET(CRONOPLE!$F$15,$M164-$A$15,BR$13)=0,10^12,OFFSET(CRONOPLE!$F$15,$M164-$A$15,BR$13)))</f>
        <v>1000000000000</v>
      </c>
      <c r="BS164" s="171">
        <f ca="1">IF(OR($D164&lt;&gt;"Serviço",AND(AUTOEVENTO="Manual",$M164=$A$15)),0,
         IF(OFFSET(CRONOPLE!$F$15,$M164-$A$15,BS$13)=0,10^12,OFFSET(CRONOPLE!$F$15,$M164-$A$15,BS$13)))</f>
        <v>1000000000000</v>
      </c>
      <c r="BT164" s="171">
        <f ca="1">IF(OR($D164&lt;&gt;"Serviço",AND(AUTOEVENTO="Manual",$M164=$A$15)),0,
         IF(OFFSET(CRONOPLE!$F$15,$M164-$A$15,BT$13)=0,10^12,OFFSET(CRONOPLE!$F$15,$M164-$A$15,BT$13)))</f>
        <v>1000000000000</v>
      </c>
      <c r="BV164" s="172">
        <f ca="1">IF(OR($D164&lt;&gt;"Serviço",AND(AUTOEVENTO="Manual",$M164=$A$15),$M164&gt;(ROW(PLE.lastrow)-ROW(PLE.firstrow))),0,
           IF(OFFSET(PLE!$G$15,$M164-$A$15,BV$13)="",10^12,OFFSET(PLE!$G$15,$M164-$A$15,BV$13)))</f>
        <v>1000000000000</v>
      </c>
      <c r="BW164" s="172">
        <f ca="1">IF(OR($D164&lt;&gt;"Serviço",AND(AUTOEVENTO="Manual",$M164=$A$15),$M164&gt;(ROW(PLE.lastrow)-ROW(PLE.firstrow))),0,
           IF(OFFSET(PLE!$G$15,$M164-$A$15,BW$13)="",10^12,OFFSET(PLE!$G$15,$M164-$A$15,BW$13)))</f>
        <v>1000000000000</v>
      </c>
      <c r="BX164" s="172">
        <f ca="1">IF(OR($D164&lt;&gt;"Serviço",AND(AUTOEVENTO="Manual",$M164=$A$15),$M164&gt;(ROW(PLE.lastrow)-ROW(PLE.firstrow))),0,
           IF(OFFSET(PLE!$G$15,$M164-$A$15,BX$13)="",10^12,OFFSET(PLE!$G$15,$M164-$A$15,BX$13)))</f>
        <v>1000000000000</v>
      </c>
      <c r="BY164" s="172">
        <f ca="1">IF(OR($D164&lt;&gt;"Serviço",AND(AUTOEVENTO="Manual",$M164=$A$15),$M164&gt;(ROW(PLE.lastrow)-ROW(PLE.firstrow))),0,
           IF(OFFSET(PLE!$G$15,$M164-$A$15,BY$13)="",10^12,OFFSET(PLE!$G$15,$M164-$A$15,BY$13)))</f>
        <v>1000000000000</v>
      </c>
      <c r="BZ164" s="172">
        <f ca="1">IF(OR($D164&lt;&gt;"Serviço",AND(AUTOEVENTO="Manual",$M164=$A$15),$M164&gt;(ROW(PLE.lastrow)-ROW(PLE.firstrow))),0,
           IF(OFFSET(PLE!$G$15,$M164-$A$15,BZ$13)="",10^12,OFFSET(PLE!$G$15,$M164-$A$15,BZ$13)))</f>
        <v>1000000000000</v>
      </c>
      <c r="CA164" s="172">
        <f ca="1">IF(OR($D164&lt;&gt;"Serviço",AND(AUTOEVENTO="Manual",$M164=$A$15),$M164&gt;(ROW(PLE.lastrow)-ROW(PLE.firstrow))),0,
           IF(OFFSET(PLE!$G$15,$M164-$A$15,CA$13)="",10^12,OFFSET(PLE!$G$15,$M164-$A$15,CA$13)))</f>
        <v>1000000000000</v>
      </c>
      <c r="CB164" s="172">
        <f ca="1">IF(OR($D164&lt;&gt;"Serviço",AND(AUTOEVENTO="Manual",$M164=$A$15),$M164&gt;(ROW(PLE.lastrow)-ROW(PLE.firstrow))),0,
           IF(OFFSET(PLE!$G$15,$M164-$A$15,CB$13)="",10^12,OFFSET(PLE!$G$15,$M164-$A$15,CB$13)))</f>
        <v>1000000000000</v>
      </c>
      <c r="CC164" s="172">
        <f ca="1">IF(OR($D164&lt;&gt;"Serviço",AND(AUTOEVENTO="Manual",$M164=$A$15),$M164&gt;(ROW(PLE.lastrow)-ROW(PLE.firstrow))),0,
           IF(OFFSET(PLE!$G$15,$M164-$A$15,CC$13)="",10^12,OFFSET(PLE!$G$15,$M164-$A$15,CC$13)))</f>
        <v>1000000000000</v>
      </c>
      <c r="CD164" s="172">
        <f ca="1">IF(OR($D164&lt;&gt;"Serviço",AND(AUTOEVENTO="Manual",$M164=$A$15),$M164&gt;(ROW(PLE.lastrow)-ROW(PLE.firstrow))),0,
           IF(OFFSET(PLE!$G$15,$M164-$A$15,CD$13)="",10^12,OFFSET(PLE!$G$15,$M164-$A$15,CD$13)))</f>
        <v>1000000000000</v>
      </c>
      <c r="CE164" s="172">
        <f ca="1">IF(OR($D164&lt;&gt;"Serviço",AND(AUTOEVENTO="Manual",$M164=$A$15),$M164&gt;(ROW(PLE.lastrow)-ROW(PLE.firstrow))),0,
           IF(OFFSET(PLE!$G$15,$M164-$A$15,CE$13)="",10^12,OFFSET(PLE!$G$15,$M164-$A$15,CE$13)))</f>
        <v>1000000000000</v>
      </c>
      <c r="CF164" s="172">
        <f ca="1">IF(OR($D164&lt;&gt;"Serviço",AND(AUTOEVENTO="Manual",$M164=$A$15),$M164&gt;(ROW(PLE.lastrow)-ROW(PLE.firstrow))),0,
           IF(OFFSET(PLE!$G$15,$M164-$A$15,CF$13)="",10^12,OFFSET(PLE!$G$15,$M164-$A$15,CF$13)))</f>
        <v>1000000000000</v>
      </c>
      <c r="CG164" s="172">
        <f ca="1">IF(OR($D164&lt;&gt;"Serviço",AND(AUTOEVENTO="Manual",$M164=$A$15),$M164&gt;(ROW(PLE.lastrow)-ROW(PLE.firstrow))),0,
           IF(OFFSET(PLE!$G$15,$M164-$A$15,CG$13)="",10^12,OFFSET(PLE!$G$15,$M164-$A$15,CG$13)))</f>
        <v>1000000000000</v>
      </c>
      <c r="CH164" s="172">
        <f ca="1">IF(OR($D164&lt;&gt;"Serviço",AND(AUTOEVENTO="Manual",$M164=$A$15),$M164&gt;(ROW(PLE.lastrow)-ROW(PLE.firstrow))),0,
           IF(OFFSET(PLE!$G$15,$M164-$A$15,CH$13)="",10^12,OFFSET(PLE!$G$15,$M164-$A$15,CH$13)))</f>
        <v>1000000000000</v>
      </c>
      <c r="CI164" s="172">
        <f ca="1">IF(OR($D164&lt;&gt;"Serviço",AND(AUTOEVENTO="Manual",$M164=$A$15),$M164&gt;(ROW(PLE.lastrow)-ROW(PLE.firstrow))),0,
           IF(OFFSET(PLE!$G$15,$M164-$A$15,CI$13)="",10^12,OFFSET(PLE!$G$15,$M164-$A$15,CI$13)))</f>
        <v>1000000000000</v>
      </c>
      <c r="CJ164" s="172">
        <f ca="1">IF(OR($D164&lt;&gt;"Serviço",AND(AUTOEVENTO="Manual",$M164=$A$15),$M164&gt;(ROW(PLE.lastrow)-ROW(PLE.firstrow))),0,
           IF(OFFSET(PLE!$G$15,$M164-$A$15,CJ$13)="",10^12,OFFSET(PLE!$G$15,$M164-$A$15,CJ$13)))</f>
        <v>1000000000000</v>
      </c>
      <c r="CK164" s="172">
        <f ca="1">IF(OR($D164&lt;&gt;"Serviço",AND(AUTOEVENTO="Manual",$M164=$A$15),$M164&gt;(ROW(PLE.lastrow)-ROW(PLE.firstrow))),0,
           IF(OFFSET(PLE!$G$15,$M164-$A$15,CK$13)="",10^12,OFFSET(PLE!$G$15,$M164-$A$15,CK$13)))</f>
        <v>1000000000000</v>
      </c>
      <c r="CL164" s="172">
        <f ca="1">IF(OR($D164&lt;&gt;"Serviço",AND(AUTOEVENTO="Manual",$M164=$A$15),$M164&gt;(ROW(PLE.lastrow)-ROW(PLE.firstrow))),0,
           IF(OFFSET(PLE!$G$15,$M164-$A$15,CL$13)="",10^12,OFFSET(PLE!$G$15,$M164-$A$15,CL$13)))</f>
        <v>1000000000000</v>
      </c>
      <c r="CM164" s="172">
        <f ca="1">IF(OR($D164&lt;&gt;"Serviço",AND(AUTOEVENTO="Manual",$M164=$A$15),$M164&gt;(ROW(PLE.lastrow)-ROW(PLE.firstrow))),0,
           IF(OFFSET(PLE!$G$15,$M164-$A$15,CM$13)="",10^12,OFFSET(PLE!$G$15,$M164-$A$15,CM$13)))</f>
        <v>1000000000000</v>
      </c>
    </row>
    <row r="165" spans="1:91" ht="38.25" x14ac:dyDescent="0.2">
      <c r="A165" s="7">
        <f t="shared" ca="1" si="12"/>
        <v>4</v>
      </c>
      <c r="B165" s="7" t="str">
        <f ca="1">OFFSET(ORÇAMENTO!C$15,ROW(B165)-ROW(B$15),0)</f>
        <v>S</v>
      </c>
      <c r="C165" s="7" t="str">
        <f ca="1">OFFSET(ORÇAMENTO!L$15,ROW(C165)-ROW(C$15),0)</f>
        <v>F</v>
      </c>
      <c r="D165" s="116" t="str">
        <f ca="1">OFFSET(ORÇAMENTO!N$15,ROW(D165)-ROW(D$15),0)</f>
        <v>Serviço</v>
      </c>
      <c r="E165" s="117" t="str">
        <f ca="1">OFFSET(ORÇAMENTO!O$15,ROW(E165)-ROW(E$15),0)</f>
        <v>1.5.5.2.6.</v>
      </c>
      <c r="F165" s="163" t="str">
        <f ca="1">OFFSET(ORÇAMENTO!R$15,ROW(F165)-ROW(F$15),0)</f>
        <v>IMPERMEABILIZAÇÃO COM EMULSÃO ASFÁLTICA, DUAS (2) DEMÃOS</v>
      </c>
      <c r="G165" s="164" t="str">
        <f ca="1">IF($D165&lt;&gt;"Serviço","",OFFSET(ORÇAMENTO!S$15,ROW(G165)-ROW(G$15),0))</f>
        <v>M2</v>
      </c>
      <c r="H165" s="122" cm="1">
        <f t="array" aca="1" ref="H165" ca="1">IF($D165&lt;&gt;"Serviço",0,IF(ACOMPANHAMENTO="BM",ROUND(OFFSET(ORÇAMENTO!AJ$15,ROW(H165)-ROW(H$15),0),15-13*ORÇAMENTO!$AF$7),SUMPRODUCT(($Q$1:$AI$1=1)*ROUND($Q165:$AI165,15-13*ORÇAMENTO!$AF$7))))</f>
        <v>24.84</v>
      </c>
      <c r="I165" s="468" t="s">
        <v>1441</v>
      </c>
      <c r="J165" s="640" t="str" cm="1">
        <f t="array" aca="1" ref="J165" ca="1">IF(OR(B165&lt;&gt;"S",CÁLCULO.FrentesPreenchidas=0),"",IF(AND(ACOMPANHAMENTO="PLE",AUTOEVENTO="Manual",OR(H165&gt;0,ORÇAMENTO!AC165="QUANT."),OR(K165="",M165=0,N165="")),"►E",IF(AND(ACOMPANHAMENTO="PLE",ORÇAMENTO!AC165="QUANT."),"►Q",IF(AND(ACOMPANHAMENTO="PLE",H165&lt;&gt;SUMPRODUCT(($Q$1:$AI$1=1)*ROUND(Q165:AI165,15))),"►S",IF(AND(COUNTIF($P$11:$AI$11,"▼")=0,H165&gt;0,I165=""),"◄M","")))))</f>
        <v/>
      </c>
      <c r="K165" s="641" t="s">
        <v>1389</v>
      </c>
      <c r="L165" s="165" t="s">
        <v>764</v>
      </c>
      <c r="M165" s="166">
        <f ca="1">IF($D165&lt;&gt;"Serviço","",
          IF(AUTOEVENTO="manual",$A165,
                IF(ISERROR(MATCH($A165,$A$15:OFFSET($A165,-1,0),0)),MAX($M$15:OFFSET(M165,-1,0))+1,
                      INDEX($M$15:OFFSET(M165,-1,0),MATCH($A165,$A$15:OFFSET($A165,-1,0),0)))))</f>
        <v>4</v>
      </c>
      <c r="N165" s="167" t="str">
        <f ca="1">IF($D165&lt;&gt;"Serviço","",
         IF(AUTOEVENTO="Manual",
                IF($A165=0,"&lt;-- defina o número do agrupador",
                       OFFSET(EVENTOS!$D$15,$A165-$A$15,0)),
                OFFSET($F$15,$A165,0)))</f>
        <v>Estruturas de Concreto</v>
      </c>
      <c r="O165" s="168"/>
      <c r="Q165" s="168"/>
      <c r="R165" s="169"/>
      <c r="S165" s="169"/>
      <c r="T165" s="169"/>
      <c r="U165" s="169"/>
      <c r="V165" s="169">
        <v>24.84</v>
      </c>
      <c r="W165" s="169"/>
      <c r="X165" s="169"/>
      <c r="Y165" s="169"/>
      <c r="Z165" s="170"/>
      <c r="AA165" s="169"/>
      <c r="AB165" s="169"/>
      <c r="AC165" s="169"/>
      <c r="AD165" s="169"/>
      <c r="AE165" s="169"/>
      <c r="AF165" s="169"/>
      <c r="AG165" s="169"/>
      <c r="AH165" s="170"/>
      <c r="AJ165" s="453">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0</v>
      </c>
      <c r="AK165" s="453">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0</v>
      </c>
      <c r="AL165" s="453">
        <f ca="1">IF(AND($D165="Serviço",AL$12&lt;&gt;0,$H165&gt;0,OR(AUTOEVENTO&lt;&gt;"manual",$M165&lt;&gt;$A$15)),
        IF(Import.TipoArredondamento&lt;&gt;"TransfereGOV",
              ROUND(OFFSET($P165,0,AL$13),15-13*ORÇAMENTO!$AF$7)/$H165*OFFSET(ORÇAMENTO!$X$15,ROW(AL165)-ROW(AL$15),0),
              ROUND(ROUND(OFFSET($P165,0,AL$13),15-13*ORÇAMENTO!$AF$7)*OFFSET(ORÇAMENTO!$W$15,ROW(AL165)-ROW(AL$15),0),15-13*ORÇAMENTO!$AF$11)),
         0)</f>
        <v>0</v>
      </c>
      <c r="AM165" s="453">
        <f ca="1">IF(AND($D165="Serviço",AM$12&lt;&gt;0,$H165&gt;0,OR(AUTOEVENTO&lt;&gt;"manual",$M165&lt;&gt;$A$15)),
        IF(Import.TipoArredondamento&lt;&gt;"TransfereGOV",
              ROUND(OFFSET($P165,0,AM$13),15-13*ORÇAMENTO!$AF$7)/$H165*OFFSET(ORÇAMENTO!$X$15,ROW(AM165)-ROW(AM$15),0),
              ROUND(ROUND(OFFSET($P165,0,AM$13),15-13*ORÇAMENTO!$AF$7)*OFFSET(ORÇAMENTO!$W$15,ROW(AM165)-ROW(AM$15),0),15-13*ORÇAMENTO!$AF$11)),
         0)</f>
        <v>0</v>
      </c>
      <c r="AN165" s="453">
        <f ca="1">IF(AND($D165="Serviço",AN$12&lt;&gt;0,$H165&gt;0,OR(AUTOEVENTO&lt;&gt;"manual",$M165&lt;&gt;$A$15)),
        IF(Import.TipoArredondamento&lt;&gt;"TransfereGOV",
              ROUND(OFFSET($P165,0,AN$13),15-13*ORÇAMENTO!$AF$7)/$H165*OFFSET(ORÇAMENTO!$X$15,ROW(AN165)-ROW(AN$15),0),
              ROUND(ROUND(OFFSET($P165,0,AN$13),15-13*ORÇAMENTO!$AF$7)*OFFSET(ORÇAMENTO!$W$15,ROW(AN165)-ROW(AN$15),0),15-13*ORÇAMENTO!$AF$11)),
         0)</f>
        <v>0</v>
      </c>
      <c r="AO165" s="453">
        <f ca="1">IF(AND($D165="Serviço",AO$12&lt;&gt;0,$H165&gt;0,OR(AUTOEVENTO&lt;&gt;"manual",$M165&lt;&gt;$A$15)),
        IF(Import.TipoArredondamento&lt;&gt;"TransfereGOV",
              ROUND(OFFSET($P165,0,AO$13),15-13*ORÇAMENTO!$AF$7)/$H165*OFFSET(ORÇAMENTO!$X$15,ROW(AO165)-ROW(AO$15),0),
              ROUND(ROUND(OFFSET($P165,0,AO$13),15-13*ORÇAMENTO!$AF$7)*OFFSET(ORÇAMENTO!$W$15,ROW(AO165)-ROW(AO$15),0),15-13*ORÇAMENTO!$AF$11)),
         0)</f>
        <v>0</v>
      </c>
      <c r="AP165" s="453">
        <f ca="1">IF(AND($D165="Serviço",AP$12&lt;&gt;0,$H165&gt;0,OR(AUTOEVENTO&lt;&gt;"manual",$M165&lt;&gt;$A$15)),
        IF(Import.TipoArredondamento&lt;&gt;"TransfereGOV",
              ROUND(OFFSET($P165,0,AP$13),15-13*ORÇAMENTO!$AF$7)/$H165*OFFSET(ORÇAMENTO!$X$15,ROW(AP165)-ROW(AP$15),0),
              ROUND(ROUND(OFFSET($P165,0,AP$13),15-13*ORÇAMENTO!$AF$7)*OFFSET(ORÇAMENTO!$W$15,ROW(AP165)-ROW(AP$15),0),15-13*ORÇAMENTO!$AF$11)),
         0)</f>
        <v>0</v>
      </c>
      <c r="AQ165" s="453">
        <f ca="1">IF(AND($D165="Serviço",AQ$12&lt;&gt;0,$H165&gt;0,OR(AUTOEVENTO&lt;&gt;"manual",$M165&lt;&gt;$A$15)),
        IF(Import.TipoArredondamento&lt;&gt;"TransfereGOV",
              ROUND(OFFSET($P165,0,AQ$13),15-13*ORÇAMENTO!$AF$7)/$H165*OFFSET(ORÇAMENTO!$X$15,ROW(AQ165)-ROW(AQ$15),0),
              ROUND(ROUND(OFFSET($P165,0,AQ$13),15-13*ORÇAMENTO!$AF$7)*OFFSET(ORÇAMENTO!$W$15,ROW(AQ165)-ROW(AQ$15),0),15-13*ORÇAMENTO!$AF$11)),
         0)</f>
        <v>0</v>
      </c>
      <c r="AR165" s="453">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0</v>
      </c>
      <c r="AS165" s="453">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0</v>
      </c>
      <c r="AT165" s="453">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0</v>
      </c>
      <c r="AU165" s="453">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0</v>
      </c>
      <c r="AV165" s="453">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0</v>
      </c>
      <c r="AW165" s="453">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0</v>
      </c>
      <c r="AX165" s="453">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0</v>
      </c>
      <c r="AY165" s="453">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0</v>
      </c>
      <c r="AZ165" s="453">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0</v>
      </c>
      <c r="BA165" s="453">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0</v>
      </c>
      <c r="BC165" s="171">
        <f ca="1">IF(OR($D165&lt;&gt;"Serviço",AND(AUTOEVENTO="Manual",$M165=$A$15)),0,
         IF(OFFSET(CRONOPLE!$F$15,$M165-$A$15,BC$13)=0,10^12,OFFSET(CRONOPLE!$F$15,$M165-$A$15,BC$13)))</f>
        <v>1</v>
      </c>
      <c r="BD165" s="171">
        <f ca="1">IF(OR($D165&lt;&gt;"Serviço",AND(AUTOEVENTO="Manual",$M165=$A$15)),0,
         IF(OFFSET(CRONOPLE!$F$15,$M165-$A$15,BD$13)=0,10^12,OFFSET(CRONOPLE!$F$15,$M165-$A$15,BD$13)))</f>
        <v>2</v>
      </c>
      <c r="BE165" s="171">
        <f ca="1">IF(OR($D165&lt;&gt;"Serviço",AND(AUTOEVENTO="Manual",$M165=$A$15)),0,
         IF(OFFSET(CRONOPLE!$F$15,$M165-$A$15,BE$13)=0,10^12,OFFSET(CRONOPLE!$F$15,$M165-$A$15,BE$13)))</f>
        <v>3</v>
      </c>
      <c r="BF165" s="171">
        <f ca="1">IF(OR($D165&lt;&gt;"Serviço",AND(AUTOEVENTO="Manual",$M165=$A$15)),0,
         IF(OFFSET(CRONOPLE!$F$15,$M165-$A$15,BF$13)=0,10^12,OFFSET(CRONOPLE!$F$15,$M165-$A$15,BF$13)))</f>
        <v>4</v>
      </c>
      <c r="BG165" s="171">
        <f ca="1">IF(OR($D165&lt;&gt;"Serviço",AND(AUTOEVENTO="Manual",$M165=$A$15)),0,
         IF(OFFSET(CRONOPLE!$F$15,$M165-$A$15,BG$13)=0,10^12,OFFSET(CRONOPLE!$F$15,$M165-$A$15,BG$13)))</f>
        <v>5</v>
      </c>
      <c r="BH165" s="171">
        <f ca="1">IF(OR($D165&lt;&gt;"Serviço",AND(AUTOEVENTO="Manual",$M165=$A$15)),0,
         IF(OFFSET(CRONOPLE!$F$15,$M165-$A$15,BH$13)=0,10^12,OFFSET(CRONOPLE!$F$15,$M165-$A$15,BH$13)))</f>
        <v>6</v>
      </c>
      <c r="BI165" s="171">
        <f ca="1">IF(OR($D165&lt;&gt;"Serviço",AND(AUTOEVENTO="Manual",$M165=$A$15)),0,
         IF(OFFSET(CRONOPLE!$F$15,$M165-$A$15,BI$13)=0,10^12,OFFSET(CRONOPLE!$F$15,$M165-$A$15,BI$13)))</f>
        <v>7</v>
      </c>
      <c r="BJ165" s="171">
        <f ca="1">IF(OR($D165&lt;&gt;"Serviço",AND(AUTOEVENTO="Manual",$M165=$A$15)),0,
         IF(OFFSET(CRONOPLE!$F$15,$M165-$A$15,BJ$13)=0,10^12,OFFSET(CRONOPLE!$F$15,$M165-$A$15,BJ$13)))</f>
        <v>8</v>
      </c>
      <c r="BK165" s="171">
        <f ca="1">IF(OR($D165&lt;&gt;"Serviço",AND(AUTOEVENTO="Manual",$M165=$A$15)),0,
         IF(OFFSET(CRONOPLE!$F$15,$M165-$A$15,BK$13)=0,10^12,OFFSET(CRONOPLE!$F$15,$M165-$A$15,BK$13)))</f>
        <v>9</v>
      </c>
      <c r="BL165" s="171">
        <f ca="1">IF(OR($D165&lt;&gt;"Serviço",AND(AUTOEVENTO="Manual",$M165=$A$15)),0,
         IF(OFFSET(CRONOPLE!$F$15,$M165-$A$15,BL$13)=0,10^12,OFFSET(CRONOPLE!$F$15,$M165-$A$15,BL$13)))</f>
        <v>10</v>
      </c>
      <c r="BM165" s="171">
        <f ca="1">IF(OR($D165&lt;&gt;"Serviço",AND(AUTOEVENTO="Manual",$M165=$A$15)),0,
         IF(OFFSET(CRONOPLE!$F$15,$M165-$A$15,BM$13)=0,10^12,OFFSET(CRONOPLE!$F$15,$M165-$A$15,BM$13)))</f>
        <v>1000000000000</v>
      </c>
      <c r="BN165" s="171">
        <f ca="1">IF(OR($D165&lt;&gt;"Serviço",AND(AUTOEVENTO="Manual",$M165=$A$15)),0,
         IF(OFFSET(CRONOPLE!$F$15,$M165-$A$15,BN$13)=0,10^12,OFFSET(CRONOPLE!$F$15,$M165-$A$15,BN$13)))</f>
        <v>1000000000000</v>
      </c>
      <c r="BO165" s="171">
        <f ca="1">IF(OR($D165&lt;&gt;"Serviço",AND(AUTOEVENTO="Manual",$M165=$A$15)),0,
         IF(OFFSET(CRONOPLE!$F$15,$M165-$A$15,BO$13)=0,10^12,OFFSET(CRONOPLE!$F$15,$M165-$A$15,BO$13)))</f>
        <v>1000000000000</v>
      </c>
      <c r="BP165" s="171">
        <f ca="1">IF(OR($D165&lt;&gt;"Serviço",AND(AUTOEVENTO="Manual",$M165=$A$15)),0,
         IF(OFFSET(CRONOPLE!$F$15,$M165-$A$15,BP$13)=0,10^12,OFFSET(CRONOPLE!$F$15,$M165-$A$15,BP$13)))</f>
        <v>1000000000000</v>
      </c>
      <c r="BQ165" s="171">
        <f ca="1">IF(OR($D165&lt;&gt;"Serviço",AND(AUTOEVENTO="Manual",$M165=$A$15)),0,
         IF(OFFSET(CRONOPLE!$F$15,$M165-$A$15,BQ$13)=0,10^12,OFFSET(CRONOPLE!$F$15,$M165-$A$15,BQ$13)))</f>
        <v>1000000000000</v>
      </c>
      <c r="BR165" s="171">
        <f ca="1">IF(OR($D165&lt;&gt;"Serviço",AND(AUTOEVENTO="Manual",$M165=$A$15)),0,
         IF(OFFSET(CRONOPLE!$F$15,$M165-$A$15,BR$13)=0,10^12,OFFSET(CRONOPLE!$F$15,$M165-$A$15,BR$13)))</f>
        <v>1000000000000</v>
      </c>
      <c r="BS165" s="171">
        <f ca="1">IF(OR($D165&lt;&gt;"Serviço",AND(AUTOEVENTO="Manual",$M165=$A$15)),0,
         IF(OFFSET(CRONOPLE!$F$15,$M165-$A$15,BS$13)=0,10^12,OFFSET(CRONOPLE!$F$15,$M165-$A$15,BS$13)))</f>
        <v>1000000000000</v>
      </c>
      <c r="BT165" s="171">
        <f ca="1">IF(OR($D165&lt;&gt;"Serviço",AND(AUTOEVENTO="Manual",$M165=$A$15)),0,
         IF(OFFSET(CRONOPLE!$F$15,$M165-$A$15,BT$13)=0,10^12,OFFSET(CRONOPLE!$F$15,$M165-$A$15,BT$13)))</f>
        <v>1000000000000</v>
      </c>
      <c r="BV165" s="172">
        <f ca="1">IF(OR($D165&lt;&gt;"Serviço",AND(AUTOEVENTO="Manual",$M165=$A$15),$M165&gt;(ROW(PLE.lastrow)-ROW(PLE.firstrow))),0,
           IF(OFFSET(PLE!$G$15,$M165-$A$15,BV$13)="",10^12,OFFSET(PLE!$G$15,$M165-$A$15,BV$13)))</f>
        <v>1000000000000</v>
      </c>
      <c r="BW165" s="172">
        <f ca="1">IF(OR($D165&lt;&gt;"Serviço",AND(AUTOEVENTO="Manual",$M165=$A$15),$M165&gt;(ROW(PLE.lastrow)-ROW(PLE.firstrow))),0,
           IF(OFFSET(PLE!$G$15,$M165-$A$15,BW$13)="",10^12,OFFSET(PLE!$G$15,$M165-$A$15,BW$13)))</f>
        <v>1000000000000</v>
      </c>
      <c r="BX165" s="172">
        <f ca="1">IF(OR($D165&lt;&gt;"Serviço",AND(AUTOEVENTO="Manual",$M165=$A$15),$M165&gt;(ROW(PLE.lastrow)-ROW(PLE.firstrow))),0,
           IF(OFFSET(PLE!$G$15,$M165-$A$15,BX$13)="",10^12,OFFSET(PLE!$G$15,$M165-$A$15,BX$13)))</f>
        <v>1000000000000</v>
      </c>
      <c r="BY165" s="172">
        <f ca="1">IF(OR($D165&lt;&gt;"Serviço",AND(AUTOEVENTO="Manual",$M165=$A$15),$M165&gt;(ROW(PLE.lastrow)-ROW(PLE.firstrow))),0,
           IF(OFFSET(PLE!$G$15,$M165-$A$15,BY$13)="",10^12,OFFSET(PLE!$G$15,$M165-$A$15,BY$13)))</f>
        <v>1000000000000</v>
      </c>
      <c r="BZ165" s="172">
        <f ca="1">IF(OR($D165&lt;&gt;"Serviço",AND(AUTOEVENTO="Manual",$M165=$A$15),$M165&gt;(ROW(PLE.lastrow)-ROW(PLE.firstrow))),0,
           IF(OFFSET(PLE!$G$15,$M165-$A$15,BZ$13)="",10^12,OFFSET(PLE!$G$15,$M165-$A$15,BZ$13)))</f>
        <v>1000000000000</v>
      </c>
      <c r="CA165" s="172">
        <f ca="1">IF(OR($D165&lt;&gt;"Serviço",AND(AUTOEVENTO="Manual",$M165=$A$15),$M165&gt;(ROW(PLE.lastrow)-ROW(PLE.firstrow))),0,
           IF(OFFSET(PLE!$G$15,$M165-$A$15,CA$13)="",10^12,OFFSET(PLE!$G$15,$M165-$A$15,CA$13)))</f>
        <v>1000000000000</v>
      </c>
      <c r="CB165" s="172">
        <f ca="1">IF(OR($D165&lt;&gt;"Serviço",AND(AUTOEVENTO="Manual",$M165=$A$15),$M165&gt;(ROW(PLE.lastrow)-ROW(PLE.firstrow))),0,
           IF(OFFSET(PLE!$G$15,$M165-$A$15,CB$13)="",10^12,OFFSET(PLE!$G$15,$M165-$A$15,CB$13)))</f>
        <v>1000000000000</v>
      </c>
      <c r="CC165" s="172">
        <f ca="1">IF(OR($D165&lt;&gt;"Serviço",AND(AUTOEVENTO="Manual",$M165=$A$15),$M165&gt;(ROW(PLE.lastrow)-ROW(PLE.firstrow))),0,
           IF(OFFSET(PLE!$G$15,$M165-$A$15,CC$13)="",10^12,OFFSET(PLE!$G$15,$M165-$A$15,CC$13)))</f>
        <v>1000000000000</v>
      </c>
      <c r="CD165" s="172">
        <f ca="1">IF(OR($D165&lt;&gt;"Serviço",AND(AUTOEVENTO="Manual",$M165=$A$15),$M165&gt;(ROW(PLE.lastrow)-ROW(PLE.firstrow))),0,
           IF(OFFSET(PLE!$G$15,$M165-$A$15,CD$13)="",10^12,OFFSET(PLE!$G$15,$M165-$A$15,CD$13)))</f>
        <v>1000000000000</v>
      </c>
      <c r="CE165" s="172">
        <f ca="1">IF(OR($D165&lt;&gt;"Serviço",AND(AUTOEVENTO="Manual",$M165=$A$15),$M165&gt;(ROW(PLE.lastrow)-ROW(PLE.firstrow))),0,
           IF(OFFSET(PLE!$G$15,$M165-$A$15,CE$13)="",10^12,OFFSET(PLE!$G$15,$M165-$A$15,CE$13)))</f>
        <v>1000000000000</v>
      </c>
      <c r="CF165" s="172">
        <f ca="1">IF(OR($D165&lt;&gt;"Serviço",AND(AUTOEVENTO="Manual",$M165=$A$15),$M165&gt;(ROW(PLE.lastrow)-ROW(PLE.firstrow))),0,
           IF(OFFSET(PLE!$G$15,$M165-$A$15,CF$13)="",10^12,OFFSET(PLE!$G$15,$M165-$A$15,CF$13)))</f>
        <v>1000000000000</v>
      </c>
      <c r="CG165" s="172">
        <f ca="1">IF(OR($D165&lt;&gt;"Serviço",AND(AUTOEVENTO="Manual",$M165=$A$15),$M165&gt;(ROW(PLE.lastrow)-ROW(PLE.firstrow))),0,
           IF(OFFSET(PLE!$G$15,$M165-$A$15,CG$13)="",10^12,OFFSET(PLE!$G$15,$M165-$A$15,CG$13)))</f>
        <v>1000000000000</v>
      </c>
      <c r="CH165" s="172">
        <f ca="1">IF(OR($D165&lt;&gt;"Serviço",AND(AUTOEVENTO="Manual",$M165=$A$15),$M165&gt;(ROW(PLE.lastrow)-ROW(PLE.firstrow))),0,
           IF(OFFSET(PLE!$G$15,$M165-$A$15,CH$13)="",10^12,OFFSET(PLE!$G$15,$M165-$A$15,CH$13)))</f>
        <v>1000000000000</v>
      </c>
      <c r="CI165" s="172">
        <f ca="1">IF(OR($D165&lt;&gt;"Serviço",AND(AUTOEVENTO="Manual",$M165=$A$15),$M165&gt;(ROW(PLE.lastrow)-ROW(PLE.firstrow))),0,
           IF(OFFSET(PLE!$G$15,$M165-$A$15,CI$13)="",10^12,OFFSET(PLE!$G$15,$M165-$A$15,CI$13)))</f>
        <v>1000000000000</v>
      </c>
      <c r="CJ165" s="172">
        <f ca="1">IF(OR($D165&lt;&gt;"Serviço",AND(AUTOEVENTO="Manual",$M165=$A$15),$M165&gt;(ROW(PLE.lastrow)-ROW(PLE.firstrow))),0,
           IF(OFFSET(PLE!$G$15,$M165-$A$15,CJ$13)="",10^12,OFFSET(PLE!$G$15,$M165-$A$15,CJ$13)))</f>
        <v>1000000000000</v>
      </c>
      <c r="CK165" s="172">
        <f ca="1">IF(OR($D165&lt;&gt;"Serviço",AND(AUTOEVENTO="Manual",$M165=$A$15),$M165&gt;(ROW(PLE.lastrow)-ROW(PLE.firstrow))),0,
           IF(OFFSET(PLE!$G$15,$M165-$A$15,CK$13)="",10^12,OFFSET(PLE!$G$15,$M165-$A$15,CK$13)))</f>
        <v>1000000000000</v>
      </c>
      <c r="CL165" s="172">
        <f ca="1">IF(OR($D165&lt;&gt;"Serviço",AND(AUTOEVENTO="Manual",$M165=$A$15),$M165&gt;(ROW(PLE.lastrow)-ROW(PLE.firstrow))),0,
           IF(OFFSET(PLE!$G$15,$M165-$A$15,CL$13)="",10^12,OFFSET(PLE!$G$15,$M165-$A$15,CL$13)))</f>
        <v>1000000000000</v>
      </c>
      <c r="CM165" s="172">
        <f ca="1">IF(OR($D165&lt;&gt;"Serviço",AND(AUTOEVENTO="Manual",$M165=$A$15),$M165&gt;(ROW(PLE.lastrow)-ROW(PLE.firstrow))),0,
           IF(OFFSET(PLE!$G$15,$M165-$A$15,CM$13)="",10^12,OFFSET(PLE!$G$15,$M165-$A$15,CM$13)))</f>
        <v>1000000000000</v>
      </c>
    </row>
    <row r="166" spans="1:91" ht="38.25" x14ac:dyDescent="0.2">
      <c r="A166" s="7">
        <f t="shared" ca="1" si="12"/>
        <v>4</v>
      </c>
      <c r="B166" s="7" t="str">
        <f ca="1">OFFSET(ORÇAMENTO!C$15,ROW(B166)-ROW(B$15),0)</f>
        <v>S</v>
      </c>
      <c r="C166" s="7" t="str">
        <f ca="1">OFFSET(ORÇAMENTO!L$15,ROW(C166)-ROW(C$15),0)</f>
        <v>F</v>
      </c>
      <c r="D166" s="116" t="str">
        <f ca="1">OFFSET(ORÇAMENTO!N$15,ROW(D166)-ROW(D$15),0)</f>
        <v>Serviço</v>
      </c>
      <c r="E166" s="117" t="str">
        <f ca="1">OFFSET(ORÇAMENTO!O$15,ROW(E166)-ROW(E$15),0)</f>
        <v>1.5.5.2.7.</v>
      </c>
      <c r="F166" s="163" t="str">
        <f ca="1">OFFSET(ORÇAMENTO!R$15,ROW(F166)-ROW(F$15),0)</f>
        <v>CONCRETO FCK = 40MPA, TRAÇO 1:1,6:1,9 (EM MASSA SECA DE CIMENTO/ AREIA MÉDIA/ BRITA 1) - PREPARO MECÂNICO COM BETONEIRA 600 L. AF_05/2021</v>
      </c>
      <c r="G166" s="164" t="str">
        <f ca="1">IF($D166&lt;&gt;"Serviço","",OFFSET(ORÇAMENTO!S$15,ROW(G166)-ROW(G$15),0))</f>
        <v>M3</v>
      </c>
      <c r="H166" s="122" cm="1">
        <f t="array" aca="1" ref="H166" ca="1">IF($D166&lt;&gt;"Serviço",0,IF(ACOMPANHAMENTO="BM",ROUND(OFFSET(ORÇAMENTO!AJ$15,ROW(H166)-ROW(H$15),0),15-13*ORÇAMENTO!$AF$7),SUMPRODUCT(($Q$1:$AI$1=1)*ROUND($Q166:$AI166,15-13*ORÇAMENTO!$AF$7))))</f>
        <v>3.55</v>
      </c>
      <c r="I166" s="468" t="s">
        <v>1441</v>
      </c>
      <c r="J166" s="640" t="str" cm="1">
        <f t="array" aca="1" ref="J166" ca="1">IF(OR(B166&lt;&gt;"S",CÁLCULO.FrentesPreenchidas=0),"",IF(AND(ACOMPANHAMENTO="PLE",AUTOEVENTO="Manual",OR(H166&gt;0,ORÇAMENTO!AC166="QUANT."),OR(K166="",M166=0,N166="")),"►E",IF(AND(ACOMPANHAMENTO="PLE",ORÇAMENTO!AC166="QUANT."),"►Q",IF(AND(ACOMPANHAMENTO="PLE",H166&lt;&gt;SUMPRODUCT(($Q$1:$AI$1=1)*ROUND(Q166:AI166,15))),"►S",IF(AND(COUNTIF($P$11:$AI$11,"▼")=0,H166&gt;0,I166=""),"◄M","")))))</f>
        <v/>
      </c>
      <c r="K166" s="641" t="s">
        <v>1389</v>
      </c>
      <c r="L166" s="165" t="s">
        <v>764</v>
      </c>
      <c r="M166" s="166">
        <f ca="1">IF($D166&lt;&gt;"Serviço","",
          IF(AUTOEVENTO="manual",$A166,
                IF(ISERROR(MATCH($A166,$A$15:OFFSET($A166,-1,0),0)),MAX($M$15:OFFSET(M166,-1,0))+1,
                      INDEX($M$15:OFFSET(M166,-1,0),MATCH($A166,$A$15:OFFSET($A166,-1,0),0)))))</f>
        <v>4</v>
      </c>
      <c r="N166" s="167" t="str">
        <f ca="1">IF($D166&lt;&gt;"Serviço","",
         IF(AUTOEVENTO="Manual",
                IF($A166=0,"&lt;-- defina o número do agrupador",
                       OFFSET(EVENTOS!$D$15,$A166-$A$15,0)),
                OFFSET($F$15,$A166,0)))</f>
        <v>Estruturas de Concreto</v>
      </c>
      <c r="O166" s="168"/>
      <c r="Q166" s="168"/>
      <c r="R166" s="169"/>
      <c r="S166" s="169"/>
      <c r="T166" s="169"/>
      <c r="U166" s="169"/>
      <c r="V166" s="169">
        <v>3.55</v>
      </c>
      <c r="W166" s="169"/>
      <c r="X166" s="169"/>
      <c r="Y166" s="169"/>
      <c r="Z166" s="170"/>
      <c r="AA166" s="169"/>
      <c r="AB166" s="169"/>
      <c r="AC166" s="169"/>
      <c r="AD166" s="169"/>
      <c r="AE166" s="169"/>
      <c r="AF166" s="169"/>
      <c r="AG166" s="169"/>
      <c r="AH166" s="170"/>
      <c r="AJ166" s="453">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0</v>
      </c>
      <c r="AK166" s="453">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0</v>
      </c>
      <c r="AL166" s="453">
        <f ca="1">IF(AND($D166="Serviço",AL$12&lt;&gt;0,$H166&gt;0,OR(AUTOEVENTO&lt;&gt;"manual",$M166&lt;&gt;$A$15)),
        IF(Import.TipoArredondamento&lt;&gt;"TransfereGOV",
              ROUND(OFFSET($P166,0,AL$13),15-13*ORÇAMENTO!$AF$7)/$H166*OFFSET(ORÇAMENTO!$X$15,ROW(AL166)-ROW(AL$15),0),
              ROUND(ROUND(OFFSET($P166,0,AL$13),15-13*ORÇAMENTO!$AF$7)*OFFSET(ORÇAMENTO!$W$15,ROW(AL166)-ROW(AL$15),0),15-13*ORÇAMENTO!$AF$11)),
         0)</f>
        <v>0</v>
      </c>
      <c r="AM166" s="453">
        <f ca="1">IF(AND($D166="Serviço",AM$12&lt;&gt;0,$H166&gt;0,OR(AUTOEVENTO&lt;&gt;"manual",$M166&lt;&gt;$A$15)),
        IF(Import.TipoArredondamento&lt;&gt;"TransfereGOV",
              ROUND(OFFSET($P166,0,AM$13),15-13*ORÇAMENTO!$AF$7)/$H166*OFFSET(ORÇAMENTO!$X$15,ROW(AM166)-ROW(AM$15),0),
              ROUND(ROUND(OFFSET($P166,0,AM$13),15-13*ORÇAMENTO!$AF$7)*OFFSET(ORÇAMENTO!$W$15,ROW(AM166)-ROW(AM$15),0),15-13*ORÇAMENTO!$AF$11)),
         0)</f>
        <v>0</v>
      </c>
      <c r="AN166" s="453">
        <f ca="1">IF(AND($D166="Serviço",AN$12&lt;&gt;0,$H166&gt;0,OR(AUTOEVENTO&lt;&gt;"manual",$M166&lt;&gt;$A$15)),
        IF(Import.TipoArredondamento&lt;&gt;"TransfereGOV",
              ROUND(OFFSET($P166,0,AN$13),15-13*ORÇAMENTO!$AF$7)/$H166*OFFSET(ORÇAMENTO!$X$15,ROW(AN166)-ROW(AN$15),0),
              ROUND(ROUND(OFFSET($P166,0,AN$13),15-13*ORÇAMENTO!$AF$7)*OFFSET(ORÇAMENTO!$W$15,ROW(AN166)-ROW(AN$15),0),15-13*ORÇAMENTO!$AF$11)),
         0)</f>
        <v>0</v>
      </c>
      <c r="AO166" s="453">
        <f ca="1">IF(AND($D166="Serviço",AO$12&lt;&gt;0,$H166&gt;0,OR(AUTOEVENTO&lt;&gt;"manual",$M166&lt;&gt;$A$15)),
        IF(Import.TipoArredondamento&lt;&gt;"TransfereGOV",
              ROUND(OFFSET($P166,0,AO$13),15-13*ORÇAMENTO!$AF$7)/$H166*OFFSET(ORÇAMENTO!$X$15,ROW(AO166)-ROW(AO$15),0),
              ROUND(ROUND(OFFSET($P166,0,AO$13),15-13*ORÇAMENTO!$AF$7)*OFFSET(ORÇAMENTO!$W$15,ROW(AO166)-ROW(AO$15),0),15-13*ORÇAMENTO!$AF$11)),
         0)</f>
        <v>0</v>
      </c>
      <c r="AP166" s="453">
        <f ca="1">IF(AND($D166="Serviço",AP$12&lt;&gt;0,$H166&gt;0,OR(AUTOEVENTO&lt;&gt;"manual",$M166&lt;&gt;$A$15)),
        IF(Import.TipoArredondamento&lt;&gt;"TransfereGOV",
              ROUND(OFFSET($P166,0,AP$13),15-13*ORÇAMENTO!$AF$7)/$H166*OFFSET(ORÇAMENTO!$X$15,ROW(AP166)-ROW(AP$15),0),
              ROUND(ROUND(OFFSET($P166,0,AP$13),15-13*ORÇAMENTO!$AF$7)*OFFSET(ORÇAMENTO!$W$15,ROW(AP166)-ROW(AP$15),0),15-13*ORÇAMENTO!$AF$11)),
         0)</f>
        <v>0</v>
      </c>
      <c r="AQ166" s="453">
        <f ca="1">IF(AND($D166="Serviço",AQ$12&lt;&gt;0,$H166&gt;0,OR(AUTOEVENTO&lt;&gt;"manual",$M166&lt;&gt;$A$15)),
        IF(Import.TipoArredondamento&lt;&gt;"TransfereGOV",
              ROUND(OFFSET($P166,0,AQ$13),15-13*ORÇAMENTO!$AF$7)/$H166*OFFSET(ORÇAMENTO!$X$15,ROW(AQ166)-ROW(AQ$15),0),
              ROUND(ROUND(OFFSET($P166,0,AQ$13),15-13*ORÇAMENTO!$AF$7)*OFFSET(ORÇAMENTO!$W$15,ROW(AQ166)-ROW(AQ$15),0),15-13*ORÇAMENTO!$AF$11)),
         0)</f>
        <v>0</v>
      </c>
      <c r="AR166" s="453">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0</v>
      </c>
      <c r="AS166" s="453">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0</v>
      </c>
      <c r="AT166" s="453">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0</v>
      </c>
      <c r="AU166" s="453">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0</v>
      </c>
      <c r="AV166" s="453">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0</v>
      </c>
      <c r="AW166" s="453">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0</v>
      </c>
      <c r="AX166" s="453">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0</v>
      </c>
      <c r="AY166" s="453">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0</v>
      </c>
      <c r="AZ166" s="453">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0</v>
      </c>
      <c r="BA166" s="453">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0</v>
      </c>
      <c r="BC166" s="171">
        <f ca="1">IF(OR($D166&lt;&gt;"Serviço",AND(AUTOEVENTO="Manual",$M166=$A$15)),0,
         IF(OFFSET(CRONOPLE!$F$15,$M166-$A$15,BC$13)=0,10^12,OFFSET(CRONOPLE!$F$15,$M166-$A$15,BC$13)))</f>
        <v>1</v>
      </c>
      <c r="BD166" s="171">
        <f ca="1">IF(OR($D166&lt;&gt;"Serviço",AND(AUTOEVENTO="Manual",$M166=$A$15)),0,
         IF(OFFSET(CRONOPLE!$F$15,$M166-$A$15,BD$13)=0,10^12,OFFSET(CRONOPLE!$F$15,$M166-$A$15,BD$13)))</f>
        <v>2</v>
      </c>
      <c r="BE166" s="171">
        <f ca="1">IF(OR($D166&lt;&gt;"Serviço",AND(AUTOEVENTO="Manual",$M166=$A$15)),0,
         IF(OFFSET(CRONOPLE!$F$15,$M166-$A$15,BE$13)=0,10^12,OFFSET(CRONOPLE!$F$15,$M166-$A$15,BE$13)))</f>
        <v>3</v>
      </c>
      <c r="BF166" s="171">
        <f ca="1">IF(OR($D166&lt;&gt;"Serviço",AND(AUTOEVENTO="Manual",$M166=$A$15)),0,
         IF(OFFSET(CRONOPLE!$F$15,$M166-$A$15,BF$13)=0,10^12,OFFSET(CRONOPLE!$F$15,$M166-$A$15,BF$13)))</f>
        <v>4</v>
      </c>
      <c r="BG166" s="171">
        <f ca="1">IF(OR($D166&lt;&gt;"Serviço",AND(AUTOEVENTO="Manual",$M166=$A$15)),0,
         IF(OFFSET(CRONOPLE!$F$15,$M166-$A$15,BG$13)=0,10^12,OFFSET(CRONOPLE!$F$15,$M166-$A$15,BG$13)))</f>
        <v>5</v>
      </c>
      <c r="BH166" s="171">
        <f ca="1">IF(OR($D166&lt;&gt;"Serviço",AND(AUTOEVENTO="Manual",$M166=$A$15)),0,
         IF(OFFSET(CRONOPLE!$F$15,$M166-$A$15,BH$13)=0,10^12,OFFSET(CRONOPLE!$F$15,$M166-$A$15,BH$13)))</f>
        <v>6</v>
      </c>
      <c r="BI166" s="171">
        <f ca="1">IF(OR($D166&lt;&gt;"Serviço",AND(AUTOEVENTO="Manual",$M166=$A$15)),0,
         IF(OFFSET(CRONOPLE!$F$15,$M166-$A$15,BI$13)=0,10^12,OFFSET(CRONOPLE!$F$15,$M166-$A$15,BI$13)))</f>
        <v>7</v>
      </c>
      <c r="BJ166" s="171">
        <f ca="1">IF(OR($D166&lt;&gt;"Serviço",AND(AUTOEVENTO="Manual",$M166=$A$15)),0,
         IF(OFFSET(CRONOPLE!$F$15,$M166-$A$15,BJ$13)=0,10^12,OFFSET(CRONOPLE!$F$15,$M166-$A$15,BJ$13)))</f>
        <v>8</v>
      </c>
      <c r="BK166" s="171">
        <f ca="1">IF(OR($D166&lt;&gt;"Serviço",AND(AUTOEVENTO="Manual",$M166=$A$15)),0,
         IF(OFFSET(CRONOPLE!$F$15,$M166-$A$15,BK$13)=0,10^12,OFFSET(CRONOPLE!$F$15,$M166-$A$15,BK$13)))</f>
        <v>9</v>
      </c>
      <c r="BL166" s="171">
        <f ca="1">IF(OR($D166&lt;&gt;"Serviço",AND(AUTOEVENTO="Manual",$M166=$A$15)),0,
         IF(OFFSET(CRONOPLE!$F$15,$M166-$A$15,BL$13)=0,10^12,OFFSET(CRONOPLE!$F$15,$M166-$A$15,BL$13)))</f>
        <v>10</v>
      </c>
      <c r="BM166" s="171">
        <f ca="1">IF(OR($D166&lt;&gt;"Serviço",AND(AUTOEVENTO="Manual",$M166=$A$15)),0,
         IF(OFFSET(CRONOPLE!$F$15,$M166-$A$15,BM$13)=0,10^12,OFFSET(CRONOPLE!$F$15,$M166-$A$15,BM$13)))</f>
        <v>1000000000000</v>
      </c>
      <c r="BN166" s="171">
        <f ca="1">IF(OR($D166&lt;&gt;"Serviço",AND(AUTOEVENTO="Manual",$M166=$A$15)),0,
         IF(OFFSET(CRONOPLE!$F$15,$M166-$A$15,BN$13)=0,10^12,OFFSET(CRONOPLE!$F$15,$M166-$A$15,BN$13)))</f>
        <v>1000000000000</v>
      </c>
      <c r="BO166" s="171">
        <f ca="1">IF(OR($D166&lt;&gt;"Serviço",AND(AUTOEVENTO="Manual",$M166=$A$15)),0,
         IF(OFFSET(CRONOPLE!$F$15,$M166-$A$15,BO$13)=0,10^12,OFFSET(CRONOPLE!$F$15,$M166-$A$15,BO$13)))</f>
        <v>1000000000000</v>
      </c>
      <c r="BP166" s="171">
        <f ca="1">IF(OR($D166&lt;&gt;"Serviço",AND(AUTOEVENTO="Manual",$M166=$A$15)),0,
         IF(OFFSET(CRONOPLE!$F$15,$M166-$A$15,BP$13)=0,10^12,OFFSET(CRONOPLE!$F$15,$M166-$A$15,BP$13)))</f>
        <v>1000000000000</v>
      </c>
      <c r="BQ166" s="171">
        <f ca="1">IF(OR($D166&lt;&gt;"Serviço",AND(AUTOEVENTO="Manual",$M166=$A$15)),0,
         IF(OFFSET(CRONOPLE!$F$15,$M166-$A$15,BQ$13)=0,10^12,OFFSET(CRONOPLE!$F$15,$M166-$A$15,BQ$13)))</f>
        <v>1000000000000</v>
      </c>
      <c r="BR166" s="171">
        <f ca="1">IF(OR($D166&lt;&gt;"Serviço",AND(AUTOEVENTO="Manual",$M166=$A$15)),0,
         IF(OFFSET(CRONOPLE!$F$15,$M166-$A$15,BR$13)=0,10^12,OFFSET(CRONOPLE!$F$15,$M166-$A$15,BR$13)))</f>
        <v>1000000000000</v>
      </c>
      <c r="BS166" s="171">
        <f ca="1">IF(OR($D166&lt;&gt;"Serviço",AND(AUTOEVENTO="Manual",$M166=$A$15)),0,
         IF(OFFSET(CRONOPLE!$F$15,$M166-$A$15,BS$13)=0,10^12,OFFSET(CRONOPLE!$F$15,$M166-$A$15,BS$13)))</f>
        <v>1000000000000</v>
      </c>
      <c r="BT166" s="171">
        <f ca="1">IF(OR($D166&lt;&gt;"Serviço",AND(AUTOEVENTO="Manual",$M166=$A$15)),0,
         IF(OFFSET(CRONOPLE!$F$15,$M166-$A$15,BT$13)=0,10^12,OFFSET(CRONOPLE!$F$15,$M166-$A$15,BT$13)))</f>
        <v>1000000000000</v>
      </c>
      <c r="BV166" s="172">
        <f ca="1">IF(OR($D166&lt;&gt;"Serviço",AND(AUTOEVENTO="Manual",$M166=$A$15),$M166&gt;(ROW(PLE.lastrow)-ROW(PLE.firstrow))),0,
           IF(OFFSET(PLE!$G$15,$M166-$A$15,BV$13)="",10^12,OFFSET(PLE!$G$15,$M166-$A$15,BV$13)))</f>
        <v>1000000000000</v>
      </c>
      <c r="BW166" s="172">
        <f ca="1">IF(OR($D166&lt;&gt;"Serviço",AND(AUTOEVENTO="Manual",$M166=$A$15),$M166&gt;(ROW(PLE.lastrow)-ROW(PLE.firstrow))),0,
           IF(OFFSET(PLE!$G$15,$M166-$A$15,BW$13)="",10^12,OFFSET(PLE!$G$15,$M166-$A$15,BW$13)))</f>
        <v>1000000000000</v>
      </c>
      <c r="BX166" s="172">
        <f ca="1">IF(OR($D166&lt;&gt;"Serviço",AND(AUTOEVENTO="Manual",$M166=$A$15),$M166&gt;(ROW(PLE.lastrow)-ROW(PLE.firstrow))),0,
           IF(OFFSET(PLE!$G$15,$M166-$A$15,BX$13)="",10^12,OFFSET(PLE!$G$15,$M166-$A$15,BX$13)))</f>
        <v>1000000000000</v>
      </c>
      <c r="BY166" s="172">
        <f ca="1">IF(OR($D166&lt;&gt;"Serviço",AND(AUTOEVENTO="Manual",$M166=$A$15),$M166&gt;(ROW(PLE.lastrow)-ROW(PLE.firstrow))),0,
           IF(OFFSET(PLE!$G$15,$M166-$A$15,BY$13)="",10^12,OFFSET(PLE!$G$15,$M166-$A$15,BY$13)))</f>
        <v>1000000000000</v>
      </c>
      <c r="BZ166" s="172">
        <f ca="1">IF(OR($D166&lt;&gt;"Serviço",AND(AUTOEVENTO="Manual",$M166=$A$15),$M166&gt;(ROW(PLE.lastrow)-ROW(PLE.firstrow))),0,
           IF(OFFSET(PLE!$G$15,$M166-$A$15,BZ$13)="",10^12,OFFSET(PLE!$G$15,$M166-$A$15,BZ$13)))</f>
        <v>1000000000000</v>
      </c>
      <c r="CA166" s="172">
        <f ca="1">IF(OR($D166&lt;&gt;"Serviço",AND(AUTOEVENTO="Manual",$M166=$A$15),$M166&gt;(ROW(PLE.lastrow)-ROW(PLE.firstrow))),0,
           IF(OFFSET(PLE!$G$15,$M166-$A$15,CA$13)="",10^12,OFFSET(PLE!$G$15,$M166-$A$15,CA$13)))</f>
        <v>1000000000000</v>
      </c>
      <c r="CB166" s="172">
        <f ca="1">IF(OR($D166&lt;&gt;"Serviço",AND(AUTOEVENTO="Manual",$M166=$A$15),$M166&gt;(ROW(PLE.lastrow)-ROW(PLE.firstrow))),0,
           IF(OFFSET(PLE!$G$15,$M166-$A$15,CB$13)="",10^12,OFFSET(PLE!$G$15,$M166-$A$15,CB$13)))</f>
        <v>1000000000000</v>
      </c>
      <c r="CC166" s="172">
        <f ca="1">IF(OR($D166&lt;&gt;"Serviço",AND(AUTOEVENTO="Manual",$M166=$A$15),$M166&gt;(ROW(PLE.lastrow)-ROW(PLE.firstrow))),0,
           IF(OFFSET(PLE!$G$15,$M166-$A$15,CC$13)="",10^12,OFFSET(PLE!$G$15,$M166-$A$15,CC$13)))</f>
        <v>1000000000000</v>
      </c>
      <c r="CD166" s="172">
        <f ca="1">IF(OR($D166&lt;&gt;"Serviço",AND(AUTOEVENTO="Manual",$M166=$A$15),$M166&gt;(ROW(PLE.lastrow)-ROW(PLE.firstrow))),0,
           IF(OFFSET(PLE!$G$15,$M166-$A$15,CD$13)="",10^12,OFFSET(PLE!$G$15,$M166-$A$15,CD$13)))</f>
        <v>1000000000000</v>
      </c>
      <c r="CE166" s="172">
        <f ca="1">IF(OR($D166&lt;&gt;"Serviço",AND(AUTOEVENTO="Manual",$M166=$A$15),$M166&gt;(ROW(PLE.lastrow)-ROW(PLE.firstrow))),0,
           IF(OFFSET(PLE!$G$15,$M166-$A$15,CE$13)="",10^12,OFFSET(PLE!$G$15,$M166-$A$15,CE$13)))</f>
        <v>1000000000000</v>
      </c>
      <c r="CF166" s="172">
        <f ca="1">IF(OR($D166&lt;&gt;"Serviço",AND(AUTOEVENTO="Manual",$M166=$A$15),$M166&gt;(ROW(PLE.lastrow)-ROW(PLE.firstrow))),0,
           IF(OFFSET(PLE!$G$15,$M166-$A$15,CF$13)="",10^12,OFFSET(PLE!$G$15,$M166-$A$15,CF$13)))</f>
        <v>1000000000000</v>
      </c>
      <c r="CG166" s="172">
        <f ca="1">IF(OR($D166&lt;&gt;"Serviço",AND(AUTOEVENTO="Manual",$M166=$A$15),$M166&gt;(ROW(PLE.lastrow)-ROW(PLE.firstrow))),0,
           IF(OFFSET(PLE!$G$15,$M166-$A$15,CG$13)="",10^12,OFFSET(PLE!$G$15,$M166-$A$15,CG$13)))</f>
        <v>1000000000000</v>
      </c>
      <c r="CH166" s="172">
        <f ca="1">IF(OR($D166&lt;&gt;"Serviço",AND(AUTOEVENTO="Manual",$M166=$A$15),$M166&gt;(ROW(PLE.lastrow)-ROW(PLE.firstrow))),0,
           IF(OFFSET(PLE!$G$15,$M166-$A$15,CH$13)="",10^12,OFFSET(PLE!$G$15,$M166-$A$15,CH$13)))</f>
        <v>1000000000000</v>
      </c>
      <c r="CI166" s="172">
        <f ca="1">IF(OR($D166&lt;&gt;"Serviço",AND(AUTOEVENTO="Manual",$M166=$A$15),$M166&gt;(ROW(PLE.lastrow)-ROW(PLE.firstrow))),0,
           IF(OFFSET(PLE!$G$15,$M166-$A$15,CI$13)="",10^12,OFFSET(PLE!$G$15,$M166-$A$15,CI$13)))</f>
        <v>1000000000000</v>
      </c>
      <c r="CJ166" s="172">
        <f ca="1">IF(OR($D166&lt;&gt;"Serviço",AND(AUTOEVENTO="Manual",$M166=$A$15),$M166&gt;(ROW(PLE.lastrow)-ROW(PLE.firstrow))),0,
           IF(OFFSET(PLE!$G$15,$M166-$A$15,CJ$13)="",10^12,OFFSET(PLE!$G$15,$M166-$A$15,CJ$13)))</f>
        <v>1000000000000</v>
      </c>
      <c r="CK166" s="172">
        <f ca="1">IF(OR($D166&lt;&gt;"Serviço",AND(AUTOEVENTO="Manual",$M166=$A$15),$M166&gt;(ROW(PLE.lastrow)-ROW(PLE.firstrow))),0,
           IF(OFFSET(PLE!$G$15,$M166-$A$15,CK$13)="",10^12,OFFSET(PLE!$G$15,$M166-$A$15,CK$13)))</f>
        <v>1000000000000</v>
      </c>
      <c r="CL166" s="172">
        <f ca="1">IF(OR($D166&lt;&gt;"Serviço",AND(AUTOEVENTO="Manual",$M166=$A$15),$M166&gt;(ROW(PLE.lastrow)-ROW(PLE.firstrow))),0,
           IF(OFFSET(PLE!$G$15,$M166-$A$15,CL$13)="",10^12,OFFSET(PLE!$G$15,$M166-$A$15,CL$13)))</f>
        <v>1000000000000</v>
      </c>
      <c r="CM166" s="172">
        <f ca="1">IF(OR($D166&lt;&gt;"Serviço",AND(AUTOEVENTO="Manual",$M166=$A$15),$M166&gt;(ROW(PLE.lastrow)-ROW(PLE.firstrow))),0,
           IF(OFFSET(PLE!$G$15,$M166-$A$15,CM$13)="",10^12,OFFSET(PLE!$G$15,$M166-$A$15,CM$13)))</f>
        <v>1000000000000</v>
      </c>
    </row>
    <row r="167" spans="1:91" ht="38.25" x14ac:dyDescent="0.2">
      <c r="A167" s="7">
        <f t="shared" ca="1" si="12"/>
        <v>4</v>
      </c>
      <c r="B167" s="7" t="str">
        <f ca="1">OFFSET(ORÇAMENTO!C$15,ROW(B167)-ROW(B$15),0)</f>
        <v>S</v>
      </c>
      <c r="C167" s="7" t="str">
        <f ca="1">OFFSET(ORÇAMENTO!L$15,ROW(C167)-ROW(C$15),0)</f>
        <v>F</v>
      </c>
      <c r="D167" s="116" t="str">
        <f ca="1">OFFSET(ORÇAMENTO!N$15,ROW(D167)-ROW(D$15),0)</f>
        <v>Serviço</v>
      </c>
      <c r="E167" s="117" t="str">
        <f ca="1">OFFSET(ORÇAMENTO!O$15,ROW(E167)-ROW(E$15),0)</f>
        <v>1.5.5.2.8.</v>
      </c>
      <c r="F167" s="163" t="str">
        <f ca="1">OFFSET(ORÇAMENTO!R$15,ROW(F167)-ROW(F$15),0)</f>
        <v>LANÇAMENTO COM USO DE BOMBA, ADENSAMENTO E ACABAMENTO DE CONCRETO EM ESTRUTURAS. AF_02/2022</v>
      </c>
      <c r="G167" s="164" t="str">
        <f ca="1">IF($D167&lt;&gt;"Serviço","",OFFSET(ORÇAMENTO!S$15,ROW(G167)-ROW(G$15),0))</f>
        <v>M3</v>
      </c>
      <c r="H167" s="122" cm="1">
        <f t="array" aca="1" ref="H167" ca="1">IF($D167&lt;&gt;"Serviço",0,IF(ACOMPANHAMENTO="BM",ROUND(OFFSET(ORÇAMENTO!AJ$15,ROW(H167)-ROW(H$15),0),15-13*ORÇAMENTO!$AF$7),SUMPRODUCT(($Q$1:$AI$1=1)*ROUND($Q167:$AI167,15-13*ORÇAMENTO!$AF$7))))</f>
        <v>3.55</v>
      </c>
      <c r="I167" s="468" t="s">
        <v>1441</v>
      </c>
      <c r="J167" s="640" t="str" cm="1">
        <f t="array" aca="1" ref="J167" ca="1">IF(OR(B167&lt;&gt;"S",CÁLCULO.FrentesPreenchidas=0),"",IF(AND(ACOMPANHAMENTO="PLE",AUTOEVENTO="Manual",OR(H167&gt;0,ORÇAMENTO!AC167="QUANT."),OR(K167="",M167=0,N167="")),"►E",IF(AND(ACOMPANHAMENTO="PLE",ORÇAMENTO!AC167="QUANT."),"►Q",IF(AND(ACOMPANHAMENTO="PLE",H167&lt;&gt;SUMPRODUCT(($Q$1:$AI$1=1)*ROUND(Q167:AI167,15))),"►S",IF(AND(COUNTIF($P$11:$AI$11,"▼")=0,H167&gt;0,I167=""),"◄M","")))))</f>
        <v/>
      </c>
      <c r="K167" s="641" t="s">
        <v>1389</v>
      </c>
      <c r="L167" s="165" t="s">
        <v>764</v>
      </c>
      <c r="M167" s="166">
        <f ca="1">IF($D167&lt;&gt;"Serviço","",
          IF(AUTOEVENTO="manual",$A167,
                IF(ISERROR(MATCH($A167,$A$15:OFFSET($A167,-1,0),0)),MAX($M$15:OFFSET(M167,-1,0))+1,
                      INDEX($M$15:OFFSET(M167,-1,0),MATCH($A167,$A$15:OFFSET($A167,-1,0),0)))))</f>
        <v>4</v>
      </c>
      <c r="N167" s="167" t="str">
        <f ca="1">IF($D167&lt;&gt;"Serviço","",
         IF(AUTOEVENTO="Manual",
                IF($A167=0,"&lt;-- defina o número do agrupador",
                       OFFSET(EVENTOS!$D$15,$A167-$A$15,0)),
                OFFSET($F$15,$A167,0)))</f>
        <v>Estruturas de Concreto</v>
      </c>
      <c r="O167" s="168"/>
      <c r="Q167" s="168"/>
      <c r="R167" s="169"/>
      <c r="S167" s="169"/>
      <c r="T167" s="169"/>
      <c r="U167" s="169"/>
      <c r="V167" s="169">
        <f>V166</f>
        <v>3.55</v>
      </c>
      <c r="W167" s="169"/>
      <c r="X167" s="169"/>
      <c r="Y167" s="169"/>
      <c r="Z167" s="170"/>
      <c r="AA167" s="169"/>
      <c r="AB167" s="169"/>
      <c r="AC167" s="169"/>
      <c r="AD167" s="169"/>
      <c r="AE167" s="169"/>
      <c r="AF167" s="169"/>
      <c r="AG167" s="169"/>
      <c r="AH167" s="170"/>
      <c r="AJ167" s="453">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0</v>
      </c>
      <c r="AK167" s="453">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0</v>
      </c>
      <c r="AL167" s="453">
        <f ca="1">IF(AND($D167="Serviço",AL$12&lt;&gt;0,$H167&gt;0,OR(AUTOEVENTO&lt;&gt;"manual",$M167&lt;&gt;$A$15)),
        IF(Import.TipoArredondamento&lt;&gt;"TransfereGOV",
              ROUND(OFFSET($P167,0,AL$13),15-13*ORÇAMENTO!$AF$7)/$H167*OFFSET(ORÇAMENTO!$X$15,ROW(AL167)-ROW(AL$15),0),
              ROUND(ROUND(OFFSET($P167,0,AL$13),15-13*ORÇAMENTO!$AF$7)*OFFSET(ORÇAMENTO!$W$15,ROW(AL167)-ROW(AL$15),0),15-13*ORÇAMENTO!$AF$11)),
         0)</f>
        <v>0</v>
      </c>
      <c r="AM167" s="453">
        <f ca="1">IF(AND($D167="Serviço",AM$12&lt;&gt;0,$H167&gt;0,OR(AUTOEVENTO&lt;&gt;"manual",$M167&lt;&gt;$A$15)),
        IF(Import.TipoArredondamento&lt;&gt;"TransfereGOV",
              ROUND(OFFSET($P167,0,AM$13),15-13*ORÇAMENTO!$AF$7)/$H167*OFFSET(ORÇAMENTO!$X$15,ROW(AM167)-ROW(AM$15),0),
              ROUND(ROUND(OFFSET($P167,0,AM$13),15-13*ORÇAMENTO!$AF$7)*OFFSET(ORÇAMENTO!$W$15,ROW(AM167)-ROW(AM$15),0),15-13*ORÇAMENTO!$AF$11)),
         0)</f>
        <v>0</v>
      </c>
      <c r="AN167" s="453">
        <f ca="1">IF(AND($D167="Serviço",AN$12&lt;&gt;0,$H167&gt;0,OR(AUTOEVENTO&lt;&gt;"manual",$M167&lt;&gt;$A$15)),
        IF(Import.TipoArredondamento&lt;&gt;"TransfereGOV",
              ROUND(OFFSET($P167,0,AN$13),15-13*ORÇAMENTO!$AF$7)/$H167*OFFSET(ORÇAMENTO!$X$15,ROW(AN167)-ROW(AN$15),0),
              ROUND(ROUND(OFFSET($P167,0,AN$13),15-13*ORÇAMENTO!$AF$7)*OFFSET(ORÇAMENTO!$W$15,ROW(AN167)-ROW(AN$15),0),15-13*ORÇAMENTO!$AF$11)),
         0)</f>
        <v>0</v>
      </c>
      <c r="AO167" s="453">
        <f ca="1">IF(AND($D167="Serviço",AO$12&lt;&gt;0,$H167&gt;0,OR(AUTOEVENTO&lt;&gt;"manual",$M167&lt;&gt;$A$15)),
        IF(Import.TipoArredondamento&lt;&gt;"TransfereGOV",
              ROUND(OFFSET($P167,0,AO$13),15-13*ORÇAMENTO!$AF$7)/$H167*OFFSET(ORÇAMENTO!$X$15,ROW(AO167)-ROW(AO$15),0),
              ROUND(ROUND(OFFSET($P167,0,AO$13),15-13*ORÇAMENTO!$AF$7)*OFFSET(ORÇAMENTO!$W$15,ROW(AO167)-ROW(AO$15),0),15-13*ORÇAMENTO!$AF$11)),
         0)</f>
        <v>0</v>
      </c>
      <c r="AP167" s="453">
        <f ca="1">IF(AND($D167="Serviço",AP$12&lt;&gt;0,$H167&gt;0,OR(AUTOEVENTO&lt;&gt;"manual",$M167&lt;&gt;$A$15)),
        IF(Import.TipoArredondamento&lt;&gt;"TransfereGOV",
              ROUND(OFFSET($P167,0,AP$13),15-13*ORÇAMENTO!$AF$7)/$H167*OFFSET(ORÇAMENTO!$X$15,ROW(AP167)-ROW(AP$15),0),
              ROUND(ROUND(OFFSET($P167,0,AP$13),15-13*ORÇAMENTO!$AF$7)*OFFSET(ORÇAMENTO!$W$15,ROW(AP167)-ROW(AP$15),0),15-13*ORÇAMENTO!$AF$11)),
         0)</f>
        <v>0</v>
      </c>
      <c r="AQ167" s="453">
        <f ca="1">IF(AND($D167="Serviço",AQ$12&lt;&gt;0,$H167&gt;0,OR(AUTOEVENTO&lt;&gt;"manual",$M167&lt;&gt;$A$15)),
        IF(Import.TipoArredondamento&lt;&gt;"TransfereGOV",
              ROUND(OFFSET($P167,0,AQ$13),15-13*ORÇAMENTO!$AF$7)/$H167*OFFSET(ORÇAMENTO!$X$15,ROW(AQ167)-ROW(AQ$15),0),
              ROUND(ROUND(OFFSET($P167,0,AQ$13),15-13*ORÇAMENTO!$AF$7)*OFFSET(ORÇAMENTO!$W$15,ROW(AQ167)-ROW(AQ$15),0),15-13*ORÇAMENTO!$AF$11)),
         0)</f>
        <v>0</v>
      </c>
      <c r="AR167" s="453">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0</v>
      </c>
      <c r="AS167" s="453">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0</v>
      </c>
      <c r="AT167" s="453">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0</v>
      </c>
      <c r="AU167" s="453">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0</v>
      </c>
      <c r="AV167" s="453">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0</v>
      </c>
      <c r="AW167" s="453">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0</v>
      </c>
      <c r="AX167" s="453">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0</v>
      </c>
      <c r="AY167" s="453">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0</v>
      </c>
      <c r="AZ167" s="453">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0</v>
      </c>
      <c r="BA167" s="453">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0</v>
      </c>
      <c r="BC167" s="171">
        <f ca="1">IF(OR($D167&lt;&gt;"Serviço",AND(AUTOEVENTO="Manual",$M167=$A$15)),0,
         IF(OFFSET(CRONOPLE!$F$15,$M167-$A$15,BC$13)=0,10^12,OFFSET(CRONOPLE!$F$15,$M167-$A$15,BC$13)))</f>
        <v>1</v>
      </c>
      <c r="BD167" s="171">
        <f ca="1">IF(OR($D167&lt;&gt;"Serviço",AND(AUTOEVENTO="Manual",$M167=$A$15)),0,
         IF(OFFSET(CRONOPLE!$F$15,$M167-$A$15,BD$13)=0,10^12,OFFSET(CRONOPLE!$F$15,$M167-$A$15,BD$13)))</f>
        <v>2</v>
      </c>
      <c r="BE167" s="171">
        <f ca="1">IF(OR($D167&lt;&gt;"Serviço",AND(AUTOEVENTO="Manual",$M167=$A$15)),0,
         IF(OFFSET(CRONOPLE!$F$15,$M167-$A$15,BE$13)=0,10^12,OFFSET(CRONOPLE!$F$15,$M167-$A$15,BE$13)))</f>
        <v>3</v>
      </c>
      <c r="BF167" s="171">
        <f ca="1">IF(OR($D167&lt;&gt;"Serviço",AND(AUTOEVENTO="Manual",$M167=$A$15)),0,
         IF(OFFSET(CRONOPLE!$F$15,$M167-$A$15,BF$13)=0,10^12,OFFSET(CRONOPLE!$F$15,$M167-$A$15,BF$13)))</f>
        <v>4</v>
      </c>
      <c r="BG167" s="171">
        <f ca="1">IF(OR($D167&lt;&gt;"Serviço",AND(AUTOEVENTO="Manual",$M167=$A$15)),0,
         IF(OFFSET(CRONOPLE!$F$15,$M167-$A$15,BG$13)=0,10^12,OFFSET(CRONOPLE!$F$15,$M167-$A$15,BG$13)))</f>
        <v>5</v>
      </c>
      <c r="BH167" s="171">
        <f ca="1">IF(OR($D167&lt;&gt;"Serviço",AND(AUTOEVENTO="Manual",$M167=$A$15)),0,
         IF(OFFSET(CRONOPLE!$F$15,$M167-$A$15,BH$13)=0,10^12,OFFSET(CRONOPLE!$F$15,$M167-$A$15,BH$13)))</f>
        <v>6</v>
      </c>
      <c r="BI167" s="171">
        <f ca="1">IF(OR($D167&lt;&gt;"Serviço",AND(AUTOEVENTO="Manual",$M167=$A$15)),0,
         IF(OFFSET(CRONOPLE!$F$15,$M167-$A$15,BI$13)=0,10^12,OFFSET(CRONOPLE!$F$15,$M167-$A$15,BI$13)))</f>
        <v>7</v>
      </c>
      <c r="BJ167" s="171">
        <f ca="1">IF(OR($D167&lt;&gt;"Serviço",AND(AUTOEVENTO="Manual",$M167=$A$15)),0,
         IF(OFFSET(CRONOPLE!$F$15,$M167-$A$15,BJ$13)=0,10^12,OFFSET(CRONOPLE!$F$15,$M167-$A$15,BJ$13)))</f>
        <v>8</v>
      </c>
      <c r="BK167" s="171">
        <f ca="1">IF(OR($D167&lt;&gt;"Serviço",AND(AUTOEVENTO="Manual",$M167=$A$15)),0,
         IF(OFFSET(CRONOPLE!$F$15,$M167-$A$15,BK$13)=0,10^12,OFFSET(CRONOPLE!$F$15,$M167-$A$15,BK$13)))</f>
        <v>9</v>
      </c>
      <c r="BL167" s="171">
        <f ca="1">IF(OR($D167&lt;&gt;"Serviço",AND(AUTOEVENTO="Manual",$M167=$A$15)),0,
         IF(OFFSET(CRONOPLE!$F$15,$M167-$A$15,BL$13)=0,10^12,OFFSET(CRONOPLE!$F$15,$M167-$A$15,BL$13)))</f>
        <v>10</v>
      </c>
      <c r="BM167" s="171">
        <f ca="1">IF(OR($D167&lt;&gt;"Serviço",AND(AUTOEVENTO="Manual",$M167=$A$15)),0,
         IF(OFFSET(CRONOPLE!$F$15,$M167-$A$15,BM$13)=0,10^12,OFFSET(CRONOPLE!$F$15,$M167-$A$15,BM$13)))</f>
        <v>1000000000000</v>
      </c>
      <c r="BN167" s="171">
        <f ca="1">IF(OR($D167&lt;&gt;"Serviço",AND(AUTOEVENTO="Manual",$M167=$A$15)),0,
         IF(OFFSET(CRONOPLE!$F$15,$M167-$A$15,BN$13)=0,10^12,OFFSET(CRONOPLE!$F$15,$M167-$A$15,BN$13)))</f>
        <v>1000000000000</v>
      </c>
      <c r="BO167" s="171">
        <f ca="1">IF(OR($D167&lt;&gt;"Serviço",AND(AUTOEVENTO="Manual",$M167=$A$15)),0,
         IF(OFFSET(CRONOPLE!$F$15,$M167-$A$15,BO$13)=0,10^12,OFFSET(CRONOPLE!$F$15,$M167-$A$15,BO$13)))</f>
        <v>1000000000000</v>
      </c>
      <c r="BP167" s="171">
        <f ca="1">IF(OR($D167&lt;&gt;"Serviço",AND(AUTOEVENTO="Manual",$M167=$A$15)),0,
         IF(OFFSET(CRONOPLE!$F$15,$M167-$A$15,BP$13)=0,10^12,OFFSET(CRONOPLE!$F$15,$M167-$A$15,BP$13)))</f>
        <v>1000000000000</v>
      </c>
      <c r="BQ167" s="171">
        <f ca="1">IF(OR($D167&lt;&gt;"Serviço",AND(AUTOEVENTO="Manual",$M167=$A$15)),0,
         IF(OFFSET(CRONOPLE!$F$15,$M167-$A$15,BQ$13)=0,10^12,OFFSET(CRONOPLE!$F$15,$M167-$A$15,BQ$13)))</f>
        <v>1000000000000</v>
      </c>
      <c r="BR167" s="171">
        <f ca="1">IF(OR($D167&lt;&gt;"Serviço",AND(AUTOEVENTO="Manual",$M167=$A$15)),0,
         IF(OFFSET(CRONOPLE!$F$15,$M167-$A$15,BR$13)=0,10^12,OFFSET(CRONOPLE!$F$15,$M167-$A$15,BR$13)))</f>
        <v>1000000000000</v>
      </c>
      <c r="BS167" s="171">
        <f ca="1">IF(OR($D167&lt;&gt;"Serviço",AND(AUTOEVENTO="Manual",$M167=$A$15)),0,
         IF(OFFSET(CRONOPLE!$F$15,$M167-$A$15,BS$13)=0,10^12,OFFSET(CRONOPLE!$F$15,$M167-$A$15,BS$13)))</f>
        <v>1000000000000</v>
      </c>
      <c r="BT167" s="171">
        <f ca="1">IF(OR($D167&lt;&gt;"Serviço",AND(AUTOEVENTO="Manual",$M167=$A$15)),0,
         IF(OFFSET(CRONOPLE!$F$15,$M167-$A$15,BT$13)=0,10^12,OFFSET(CRONOPLE!$F$15,$M167-$A$15,BT$13)))</f>
        <v>1000000000000</v>
      </c>
      <c r="BV167" s="172">
        <f ca="1">IF(OR($D167&lt;&gt;"Serviço",AND(AUTOEVENTO="Manual",$M167=$A$15),$M167&gt;(ROW(PLE.lastrow)-ROW(PLE.firstrow))),0,
           IF(OFFSET(PLE!$G$15,$M167-$A$15,BV$13)="",10^12,OFFSET(PLE!$G$15,$M167-$A$15,BV$13)))</f>
        <v>1000000000000</v>
      </c>
      <c r="BW167" s="172">
        <f ca="1">IF(OR($D167&lt;&gt;"Serviço",AND(AUTOEVENTO="Manual",$M167=$A$15),$M167&gt;(ROW(PLE.lastrow)-ROW(PLE.firstrow))),0,
           IF(OFFSET(PLE!$G$15,$M167-$A$15,BW$13)="",10^12,OFFSET(PLE!$G$15,$M167-$A$15,BW$13)))</f>
        <v>1000000000000</v>
      </c>
      <c r="BX167" s="172">
        <f ca="1">IF(OR($D167&lt;&gt;"Serviço",AND(AUTOEVENTO="Manual",$M167=$A$15),$M167&gt;(ROW(PLE.lastrow)-ROW(PLE.firstrow))),0,
           IF(OFFSET(PLE!$G$15,$M167-$A$15,BX$13)="",10^12,OFFSET(PLE!$G$15,$M167-$A$15,BX$13)))</f>
        <v>1000000000000</v>
      </c>
      <c r="BY167" s="172">
        <f ca="1">IF(OR($D167&lt;&gt;"Serviço",AND(AUTOEVENTO="Manual",$M167=$A$15),$M167&gt;(ROW(PLE.lastrow)-ROW(PLE.firstrow))),0,
           IF(OFFSET(PLE!$G$15,$M167-$A$15,BY$13)="",10^12,OFFSET(PLE!$G$15,$M167-$A$15,BY$13)))</f>
        <v>1000000000000</v>
      </c>
      <c r="BZ167" s="172">
        <f ca="1">IF(OR($D167&lt;&gt;"Serviço",AND(AUTOEVENTO="Manual",$M167=$A$15),$M167&gt;(ROW(PLE.lastrow)-ROW(PLE.firstrow))),0,
           IF(OFFSET(PLE!$G$15,$M167-$A$15,BZ$13)="",10^12,OFFSET(PLE!$G$15,$M167-$A$15,BZ$13)))</f>
        <v>1000000000000</v>
      </c>
      <c r="CA167" s="172">
        <f ca="1">IF(OR($D167&lt;&gt;"Serviço",AND(AUTOEVENTO="Manual",$M167=$A$15),$M167&gt;(ROW(PLE.lastrow)-ROW(PLE.firstrow))),0,
           IF(OFFSET(PLE!$G$15,$M167-$A$15,CA$13)="",10^12,OFFSET(PLE!$G$15,$M167-$A$15,CA$13)))</f>
        <v>1000000000000</v>
      </c>
      <c r="CB167" s="172">
        <f ca="1">IF(OR($D167&lt;&gt;"Serviço",AND(AUTOEVENTO="Manual",$M167=$A$15),$M167&gt;(ROW(PLE.lastrow)-ROW(PLE.firstrow))),0,
           IF(OFFSET(PLE!$G$15,$M167-$A$15,CB$13)="",10^12,OFFSET(PLE!$G$15,$M167-$A$15,CB$13)))</f>
        <v>1000000000000</v>
      </c>
      <c r="CC167" s="172">
        <f ca="1">IF(OR($D167&lt;&gt;"Serviço",AND(AUTOEVENTO="Manual",$M167=$A$15),$M167&gt;(ROW(PLE.lastrow)-ROW(PLE.firstrow))),0,
           IF(OFFSET(PLE!$G$15,$M167-$A$15,CC$13)="",10^12,OFFSET(PLE!$G$15,$M167-$A$15,CC$13)))</f>
        <v>1000000000000</v>
      </c>
      <c r="CD167" s="172">
        <f ca="1">IF(OR($D167&lt;&gt;"Serviço",AND(AUTOEVENTO="Manual",$M167=$A$15),$M167&gt;(ROW(PLE.lastrow)-ROW(PLE.firstrow))),0,
           IF(OFFSET(PLE!$G$15,$M167-$A$15,CD$13)="",10^12,OFFSET(PLE!$G$15,$M167-$A$15,CD$13)))</f>
        <v>1000000000000</v>
      </c>
      <c r="CE167" s="172">
        <f ca="1">IF(OR($D167&lt;&gt;"Serviço",AND(AUTOEVENTO="Manual",$M167=$A$15),$M167&gt;(ROW(PLE.lastrow)-ROW(PLE.firstrow))),0,
           IF(OFFSET(PLE!$G$15,$M167-$A$15,CE$13)="",10^12,OFFSET(PLE!$G$15,$M167-$A$15,CE$13)))</f>
        <v>1000000000000</v>
      </c>
      <c r="CF167" s="172">
        <f ca="1">IF(OR($D167&lt;&gt;"Serviço",AND(AUTOEVENTO="Manual",$M167=$A$15),$M167&gt;(ROW(PLE.lastrow)-ROW(PLE.firstrow))),0,
           IF(OFFSET(PLE!$G$15,$M167-$A$15,CF$13)="",10^12,OFFSET(PLE!$G$15,$M167-$A$15,CF$13)))</f>
        <v>1000000000000</v>
      </c>
      <c r="CG167" s="172">
        <f ca="1">IF(OR($D167&lt;&gt;"Serviço",AND(AUTOEVENTO="Manual",$M167=$A$15),$M167&gt;(ROW(PLE.lastrow)-ROW(PLE.firstrow))),0,
           IF(OFFSET(PLE!$G$15,$M167-$A$15,CG$13)="",10^12,OFFSET(PLE!$G$15,$M167-$A$15,CG$13)))</f>
        <v>1000000000000</v>
      </c>
      <c r="CH167" s="172">
        <f ca="1">IF(OR($D167&lt;&gt;"Serviço",AND(AUTOEVENTO="Manual",$M167=$A$15),$M167&gt;(ROW(PLE.lastrow)-ROW(PLE.firstrow))),0,
           IF(OFFSET(PLE!$G$15,$M167-$A$15,CH$13)="",10^12,OFFSET(PLE!$G$15,$M167-$A$15,CH$13)))</f>
        <v>1000000000000</v>
      </c>
      <c r="CI167" s="172">
        <f ca="1">IF(OR($D167&lt;&gt;"Serviço",AND(AUTOEVENTO="Manual",$M167=$A$15),$M167&gt;(ROW(PLE.lastrow)-ROW(PLE.firstrow))),0,
           IF(OFFSET(PLE!$G$15,$M167-$A$15,CI$13)="",10^12,OFFSET(PLE!$G$15,$M167-$A$15,CI$13)))</f>
        <v>1000000000000</v>
      </c>
      <c r="CJ167" s="172">
        <f ca="1">IF(OR($D167&lt;&gt;"Serviço",AND(AUTOEVENTO="Manual",$M167=$A$15),$M167&gt;(ROW(PLE.lastrow)-ROW(PLE.firstrow))),0,
           IF(OFFSET(PLE!$G$15,$M167-$A$15,CJ$13)="",10^12,OFFSET(PLE!$G$15,$M167-$A$15,CJ$13)))</f>
        <v>1000000000000</v>
      </c>
      <c r="CK167" s="172">
        <f ca="1">IF(OR($D167&lt;&gt;"Serviço",AND(AUTOEVENTO="Manual",$M167=$A$15),$M167&gt;(ROW(PLE.lastrow)-ROW(PLE.firstrow))),0,
           IF(OFFSET(PLE!$G$15,$M167-$A$15,CK$13)="",10^12,OFFSET(PLE!$G$15,$M167-$A$15,CK$13)))</f>
        <v>1000000000000</v>
      </c>
      <c r="CL167" s="172">
        <f ca="1">IF(OR($D167&lt;&gt;"Serviço",AND(AUTOEVENTO="Manual",$M167=$A$15),$M167&gt;(ROW(PLE.lastrow)-ROW(PLE.firstrow))),0,
           IF(OFFSET(PLE!$G$15,$M167-$A$15,CL$13)="",10^12,OFFSET(PLE!$G$15,$M167-$A$15,CL$13)))</f>
        <v>1000000000000</v>
      </c>
      <c r="CM167" s="172">
        <f ca="1">IF(OR($D167&lt;&gt;"Serviço",AND(AUTOEVENTO="Manual",$M167=$A$15),$M167&gt;(ROW(PLE.lastrow)-ROW(PLE.firstrow))),0,
           IF(OFFSET(PLE!$G$15,$M167-$A$15,CM$13)="",10^12,OFFSET(PLE!$G$15,$M167-$A$15,CM$13)))</f>
        <v>1000000000000</v>
      </c>
    </row>
    <row r="168" spans="1:91" ht="38.25" x14ac:dyDescent="0.2">
      <c r="A168" s="7">
        <f t="shared" ca="1" si="12"/>
        <v>4</v>
      </c>
      <c r="B168" s="7" t="str">
        <f ca="1">OFFSET(ORÇAMENTO!C$15,ROW(B168)-ROW(B$15),0)</f>
        <v>S</v>
      </c>
      <c r="C168" s="7" t="str">
        <f ca="1">OFFSET(ORÇAMENTO!L$15,ROW(C168)-ROW(C$15),0)</f>
        <v>F</v>
      </c>
      <c r="D168" s="116" t="str">
        <f ca="1">OFFSET(ORÇAMENTO!N$15,ROW(D168)-ROW(D$15),0)</f>
        <v>Serviço</v>
      </c>
      <c r="E168" s="117" t="str">
        <f ca="1">OFFSET(ORÇAMENTO!O$15,ROW(E168)-ROW(E$15),0)</f>
        <v>1.5.5.2.9.</v>
      </c>
      <c r="F168" s="163" t="str">
        <f ca="1">OFFSET(ORÇAMENTO!R$15,ROW(F168)-ROW(F$15),0)</f>
        <v>REATERRO MANUAL DE VALAS, COM COMPACTADOR DE SOLOS DE PERCUSSÃO. AF_08/2023</v>
      </c>
      <c r="G168" s="164" t="str">
        <f ca="1">IF($D168&lt;&gt;"Serviço","",OFFSET(ORÇAMENTO!S$15,ROW(G168)-ROW(G$15),0))</f>
        <v>M3</v>
      </c>
      <c r="H168" s="122" cm="1">
        <f t="array" aca="1" ref="H168" ca="1">IF($D168&lt;&gt;"Serviço",0,IF(ACOMPANHAMENTO="BM",ROUND(OFFSET(ORÇAMENTO!AJ$15,ROW(H168)-ROW(H$15),0),15-13*ORÇAMENTO!$AF$7),SUMPRODUCT(($Q$1:$AI$1=1)*ROUND($Q168:$AI168,15-13*ORÇAMENTO!$AF$7))))</f>
        <v>20.59</v>
      </c>
      <c r="I168" s="468" t="s">
        <v>1441</v>
      </c>
      <c r="J168" s="640" t="str" cm="1">
        <f t="array" aca="1" ref="J168" ca="1">IF(OR(B168&lt;&gt;"S",CÁLCULO.FrentesPreenchidas=0),"",IF(AND(ACOMPANHAMENTO="PLE",AUTOEVENTO="Manual",OR(H168&gt;0,ORÇAMENTO!AC168="QUANT."),OR(K168="",M168=0,N168="")),"►E",IF(AND(ACOMPANHAMENTO="PLE",ORÇAMENTO!AC168="QUANT."),"►Q",IF(AND(ACOMPANHAMENTO="PLE",H168&lt;&gt;SUMPRODUCT(($Q$1:$AI$1=1)*ROUND(Q168:AI168,15))),"►S",IF(AND(COUNTIF($P$11:$AI$11,"▼")=0,H168&gt;0,I168=""),"◄M","")))))</f>
        <v/>
      </c>
      <c r="K168" s="641" t="s">
        <v>1389</v>
      </c>
      <c r="L168" s="165" t="s">
        <v>764</v>
      </c>
      <c r="M168" s="166">
        <f ca="1">IF($D168&lt;&gt;"Serviço","",
          IF(AUTOEVENTO="manual",$A168,
                IF(ISERROR(MATCH($A168,$A$15:OFFSET($A168,-1,0),0)),MAX($M$15:OFFSET(M168,-1,0))+1,
                      INDEX($M$15:OFFSET(M168,-1,0),MATCH($A168,$A$15:OFFSET($A168,-1,0),0)))))</f>
        <v>4</v>
      </c>
      <c r="N168" s="167" t="str">
        <f ca="1">IF($D168&lt;&gt;"Serviço","",
         IF(AUTOEVENTO="Manual",
                IF($A168=0,"&lt;-- defina o número do agrupador",
                       OFFSET(EVENTOS!$D$15,$A168-$A$15,0)),
                OFFSET($F$15,$A168,0)))</f>
        <v>Estruturas de Concreto</v>
      </c>
      <c r="O168" s="168"/>
      <c r="Q168" s="168"/>
      <c r="R168" s="169"/>
      <c r="S168" s="169"/>
      <c r="T168" s="169"/>
      <c r="U168" s="169"/>
      <c r="V168" s="169">
        <v>20.59</v>
      </c>
      <c r="W168" s="169"/>
      <c r="X168" s="169"/>
      <c r="Y168" s="169"/>
      <c r="Z168" s="170"/>
      <c r="AA168" s="169"/>
      <c r="AB168" s="169"/>
      <c r="AC168" s="169"/>
      <c r="AD168" s="169"/>
      <c r="AE168" s="169"/>
      <c r="AF168" s="169"/>
      <c r="AG168" s="169"/>
      <c r="AH168" s="170"/>
      <c r="AJ168" s="453">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0</v>
      </c>
      <c r="AK168" s="453">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0</v>
      </c>
      <c r="AL168" s="453">
        <f ca="1">IF(AND($D168="Serviço",AL$12&lt;&gt;0,$H168&gt;0,OR(AUTOEVENTO&lt;&gt;"manual",$M168&lt;&gt;$A$15)),
        IF(Import.TipoArredondamento&lt;&gt;"TransfereGOV",
              ROUND(OFFSET($P168,0,AL$13),15-13*ORÇAMENTO!$AF$7)/$H168*OFFSET(ORÇAMENTO!$X$15,ROW(AL168)-ROW(AL$15),0),
              ROUND(ROUND(OFFSET($P168,0,AL$13),15-13*ORÇAMENTO!$AF$7)*OFFSET(ORÇAMENTO!$W$15,ROW(AL168)-ROW(AL$15),0),15-13*ORÇAMENTO!$AF$11)),
         0)</f>
        <v>0</v>
      </c>
      <c r="AM168" s="453">
        <f ca="1">IF(AND($D168="Serviço",AM$12&lt;&gt;0,$H168&gt;0,OR(AUTOEVENTO&lt;&gt;"manual",$M168&lt;&gt;$A$15)),
        IF(Import.TipoArredondamento&lt;&gt;"TransfereGOV",
              ROUND(OFFSET($P168,0,AM$13),15-13*ORÇAMENTO!$AF$7)/$H168*OFFSET(ORÇAMENTO!$X$15,ROW(AM168)-ROW(AM$15),0),
              ROUND(ROUND(OFFSET($P168,0,AM$13),15-13*ORÇAMENTO!$AF$7)*OFFSET(ORÇAMENTO!$W$15,ROW(AM168)-ROW(AM$15),0),15-13*ORÇAMENTO!$AF$11)),
         0)</f>
        <v>0</v>
      </c>
      <c r="AN168" s="453">
        <f ca="1">IF(AND($D168="Serviço",AN$12&lt;&gt;0,$H168&gt;0,OR(AUTOEVENTO&lt;&gt;"manual",$M168&lt;&gt;$A$15)),
        IF(Import.TipoArredondamento&lt;&gt;"TransfereGOV",
              ROUND(OFFSET($P168,0,AN$13),15-13*ORÇAMENTO!$AF$7)/$H168*OFFSET(ORÇAMENTO!$X$15,ROW(AN168)-ROW(AN$15),0),
              ROUND(ROUND(OFFSET($P168,0,AN$13),15-13*ORÇAMENTO!$AF$7)*OFFSET(ORÇAMENTO!$W$15,ROW(AN168)-ROW(AN$15),0),15-13*ORÇAMENTO!$AF$11)),
         0)</f>
        <v>0</v>
      </c>
      <c r="AO168" s="453">
        <f ca="1">IF(AND($D168="Serviço",AO$12&lt;&gt;0,$H168&gt;0,OR(AUTOEVENTO&lt;&gt;"manual",$M168&lt;&gt;$A$15)),
        IF(Import.TipoArredondamento&lt;&gt;"TransfereGOV",
              ROUND(OFFSET($P168,0,AO$13),15-13*ORÇAMENTO!$AF$7)/$H168*OFFSET(ORÇAMENTO!$X$15,ROW(AO168)-ROW(AO$15),0),
              ROUND(ROUND(OFFSET($P168,0,AO$13),15-13*ORÇAMENTO!$AF$7)*OFFSET(ORÇAMENTO!$W$15,ROW(AO168)-ROW(AO$15),0),15-13*ORÇAMENTO!$AF$11)),
         0)</f>
        <v>0</v>
      </c>
      <c r="AP168" s="453">
        <f ca="1">IF(AND($D168="Serviço",AP$12&lt;&gt;0,$H168&gt;0,OR(AUTOEVENTO&lt;&gt;"manual",$M168&lt;&gt;$A$15)),
        IF(Import.TipoArredondamento&lt;&gt;"TransfereGOV",
              ROUND(OFFSET($P168,0,AP$13),15-13*ORÇAMENTO!$AF$7)/$H168*OFFSET(ORÇAMENTO!$X$15,ROW(AP168)-ROW(AP$15),0),
              ROUND(ROUND(OFFSET($P168,0,AP$13),15-13*ORÇAMENTO!$AF$7)*OFFSET(ORÇAMENTO!$W$15,ROW(AP168)-ROW(AP$15),0),15-13*ORÇAMENTO!$AF$11)),
         0)</f>
        <v>0</v>
      </c>
      <c r="AQ168" s="453">
        <f ca="1">IF(AND($D168="Serviço",AQ$12&lt;&gt;0,$H168&gt;0,OR(AUTOEVENTO&lt;&gt;"manual",$M168&lt;&gt;$A$15)),
        IF(Import.TipoArredondamento&lt;&gt;"TransfereGOV",
              ROUND(OFFSET($P168,0,AQ$13),15-13*ORÇAMENTO!$AF$7)/$H168*OFFSET(ORÇAMENTO!$X$15,ROW(AQ168)-ROW(AQ$15),0),
              ROUND(ROUND(OFFSET($P168,0,AQ$13),15-13*ORÇAMENTO!$AF$7)*OFFSET(ORÇAMENTO!$W$15,ROW(AQ168)-ROW(AQ$15),0),15-13*ORÇAMENTO!$AF$11)),
         0)</f>
        <v>0</v>
      </c>
      <c r="AR168" s="453">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0</v>
      </c>
      <c r="AS168" s="453">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0</v>
      </c>
      <c r="AT168" s="453">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0</v>
      </c>
      <c r="AU168" s="453">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0</v>
      </c>
      <c r="AV168" s="453">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0</v>
      </c>
      <c r="AW168" s="453">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0</v>
      </c>
      <c r="AX168" s="453">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0</v>
      </c>
      <c r="AY168" s="453">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0</v>
      </c>
      <c r="AZ168" s="453">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0</v>
      </c>
      <c r="BA168" s="453">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0</v>
      </c>
      <c r="BC168" s="171">
        <f ca="1">IF(OR($D168&lt;&gt;"Serviço",AND(AUTOEVENTO="Manual",$M168=$A$15)),0,
         IF(OFFSET(CRONOPLE!$F$15,$M168-$A$15,BC$13)=0,10^12,OFFSET(CRONOPLE!$F$15,$M168-$A$15,BC$13)))</f>
        <v>1</v>
      </c>
      <c r="BD168" s="171">
        <f ca="1">IF(OR($D168&lt;&gt;"Serviço",AND(AUTOEVENTO="Manual",$M168=$A$15)),0,
         IF(OFFSET(CRONOPLE!$F$15,$M168-$A$15,BD$13)=0,10^12,OFFSET(CRONOPLE!$F$15,$M168-$A$15,BD$13)))</f>
        <v>2</v>
      </c>
      <c r="BE168" s="171">
        <f ca="1">IF(OR($D168&lt;&gt;"Serviço",AND(AUTOEVENTO="Manual",$M168=$A$15)),0,
         IF(OFFSET(CRONOPLE!$F$15,$M168-$A$15,BE$13)=0,10^12,OFFSET(CRONOPLE!$F$15,$M168-$A$15,BE$13)))</f>
        <v>3</v>
      </c>
      <c r="BF168" s="171">
        <f ca="1">IF(OR($D168&lt;&gt;"Serviço",AND(AUTOEVENTO="Manual",$M168=$A$15)),0,
         IF(OFFSET(CRONOPLE!$F$15,$M168-$A$15,BF$13)=0,10^12,OFFSET(CRONOPLE!$F$15,$M168-$A$15,BF$13)))</f>
        <v>4</v>
      </c>
      <c r="BG168" s="171">
        <f ca="1">IF(OR($D168&lt;&gt;"Serviço",AND(AUTOEVENTO="Manual",$M168=$A$15)),0,
         IF(OFFSET(CRONOPLE!$F$15,$M168-$A$15,BG$13)=0,10^12,OFFSET(CRONOPLE!$F$15,$M168-$A$15,BG$13)))</f>
        <v>5</v>
      </c>
      <c r="BH168" s="171">
        <f ca="1">IF(OR($D168&lt;&gt;"Serviço",AND(AUTOEVENTO="Manual",$M168=$A$15)),0,
         IF(OFFSET(CRONOPLE!$F$15,$M168-$A$15,BH$13)=0,10^12,OFFSET(CRONOPLE!$F$15,$M168-$A$15,BH$13)))</f>
        <v>6</v>
      </c>
      <c r="BI168" s="171">
        <f ca="1">IF(OR($D168&lt;&gt;"Serviço",AND(AUTOEVENTO="Manual",$M168=$A$15)),0,
         IF(OFFSET(CRONOPLE!$F$15,$M168-$A$15,BI$13)=0,10^12,OFFSET(CRONOPLE!$F$15,$M168-$A$15,BI$13)))</f>
        <v>7</v>
      </c>
      <c r="BJ168" s="171">
        <f ca="1">IF(OR($D168&lt;&gt;"Serviço",AND(AUTOEVENTO="Manual",$M168=$A$15)),0,
         IF(OFFSET(CRONOPLE!$F$15,$M168-$A$15,BJ$13)=0,10^12,OFFSET(CRONOPLE!$F$15,$M168-$A$15,BJ$13)))</f>
        <v>8</v>
      </c>
      <c r="BK168" s="171">
        <f ca="1">IF(OR($D168&lt;&gt;"Serviço",AND(AUTOEVENTO="Manual",$M168=$A$15)),0,
         IF(OFFSET(CRONOPLE!$F$15,$M168-$A$15,BK$13)=0,10^12,OFFSET(CRONOPLE!$F$15,$M168-$A$15,BK$13)))</f>
        <v>9</v>
      </c>
      <c r="BL168" s="171">
        <f ca="1">IF(OR($D168&lt;&gt;"Serviço",AND(AUTOEVENTO="Manual",$M168=$A$15)),0,
         IF(OFFSET(CRONOPLE!$F$15,$M168-$A$15,BL$13)=0,10^12,OFFSET(CRONOPLE!$F$15,$M168-$A$15,BL$13)))</f>
        <v>10</v>
      </c>
      <c r="BM168" s="171">
        <f ca="1">IF(OR($D168&lt;&gt;"Serviço",AND(AUTOEVENTO="Manual",$M168=$A$15)),0,
         IF(OFFSET(CRONOPLE!$F$15,$M168-$A$15,BM$13)=0,10^12,OFFSET(CRONOPLE!$F$15,$M168-$A$15,BM$13)))</f>
        <v>1000000000000</v>
      </c>
      <c r="BN168" s="171">
        <f ca="1">IF(OR($D168&lt;&gt;"Serviço",AND(AUTOEVENTO="Manual",$M168=$A$15)),0,
         IF(OFFSET(CRONOPLE!$F$15,$M168-$A$15,BN$13)=0,10^12,OFFSET(CRONOPLE!$F$15,$M168-$A$15,BN$13)))</f>
        <v>1000000000000</v>
      </c>
      <c r="BO168" s="171">
        <f ca="1">IF(OR($D168&lt;&gt;"Serviço",AND(AUTOEVENTO="Manual",$M168=$A$15)),0,
         IF(OFFSET(CRONOPLE!$F$15,$M168-$A$15,BO$13)=0,10^12,OFFSET(CRONOPLE!$F$15,$M168-$A$15,BO$13)))</f>
        <v>1000000000000</v>
      </c>
      <c r="BP168" s="171">
        <f ca="1">IF(OR($D168&lt;&gt;"Serviço",AND(AUTOEVENTO="Manual",$M168=$A$15)),0,
         IF(OFFSET(CRONOPLE!$F$15,$M168-$A$15,BP$13)=0,10^12,OFFSET(CRONOPLE!$F$15,$M168-$A$15,BP$13)))</f>
        <v>1000000000000</v>
      </c>
      <c r="BQ168" s="171">
        <f ca="1">IF(OR($D168&lt;&gt;"Serviço",AND(AUTOEVENTO="Manual",$M168=$A$15)),0,
         IF(OFFSET(CRONOPLE!$F$15,$M168-$A$15,BQ$13)=0,10^12,OFFSET(CRONOPLE!$F$15,$M168-$A$15,BQ$13)))</f>
        <v>1000000000000</v>
      </c>
      <c r="BR168" s="171">
        <f ca="1">IF(OR($D168&lt;&gt;"Serviço",AND(AUTOEVENTO="Manual",$M168=$A$15)),0,
         IF(OFFSET(CRONOPLE!$F$15,$M168-$A$15,BR$13)=0,10^12,OFFSET(CRONOPLE!$F$15,$M168-$A$15,BR$13)))</f>
        <v>1000000000000</v>
      </c>
      <c r="BS168" s="171">
        <f ca="1">IF(OR($D168&lt;&gt;"Serviço",AND(AUTOEVENTO="Manual",$M168=$A$15)),0,
         IF(OFFSET(CRONOPLE!$F$15,$M168-$A$15,BS$13)=0,10^12,OFFSET(CRONOPLE!$F$15,$M168-$A$15,BS$13)))</f>
        <v>1000000000000</v>
      </c>
      <c r="BT168" s="171">
        <f ca="1">IF(OR($D168&lt;&gt;"Serviço",AND(AUTOEVENTO="Manual",$M168=$A$15)),0,
         IF(OFFSET(CRONOPLE!$F$15,$M168-$A$15,BT$13)=0,10^12,OFFSET(CRONOPLE!$F$15,$M168-$A$15,BT$13)))</f>
        <v>1000000000000</v>
      </c>
      <c r="BV168" s="172">
        <f ca="1">IF(OR($D168&lt;&gt;"Serviço",AND(AUTOEVENTO="Manual",$M168=$A$15),$M168&gt;(ROW(PLE.lastrow)-ROW(PLE.firstrow))),0,
           IF(OFFSET(PLE!$G$15,$M168-$A$15,BV$13)="",10^12,OFFSET(PLE!$G$15,$M168-$A$15,BV$13)))</f>
        <v>1000000000000</v>
      </c>
      <c r="BW168" s="172">
        <f ca="1">IF(OR($D168&lt;&gt;"Serviço",AND(AUTOEVENTO="Manual",$M168=$A$15),$M168&gt;(ROW(PLE.lastrow)-ROW(PLE.firstrow))),0,
           IF(OFFSET(PLE!$G$15,$M168-$A$15,BW$13)="",10^12,OFFSET(PLE!$G$15,$M168-$A$15,BW$13)))</f>
        <v>1000000000000</v>
      </c>
      <c r="BX168" s="172">
        <f ca="1">IF(OR($D168&lt;&gt;"Serviço",AND(AUTOEVENTO="Manual",$M168=$A$15),$M168&gt;(ROW(PLE.lastrow)-ROW(PLE.firstrow))),0,
           IF(OFFSET(PLE!$G$15,$M168-$A$15,BX$13)="",10^12,OFFSET(PLE!$G$15,$M168-$A$15,BX$13)))</f>
        <v>1000000000000</v>
      </c>
      <c r="BY168" s="172">
        <f ca="1">IF(OR($D168&lt;&gt;"Serviço",AND(AUTOEVENTO="Manual",$M168=$A$15),$M168&gt;(ROW(PLE.lastrow)-ROW(PLE.firstrow))),0,
           IF(OFFSET(PLE!$G$15,$M168-$A$15,BY$13)="",10^12,OFFSET(PLE!$G$15,$M168-$A$15,BY$13)))</f>
        <v>1000000000000</v>
      </c>
      <c r="BZ168" s="172">
        <f ca="1">IF(OR($D168&lt;&gt;"Serviço",AND(AUTOEVENTO="Manual",$M168=$A$15),$M168&gt;(ROW(PLE.lastrow)-ROW(PLE.firstrow))),0,
           IF(OFFSET(PLE!$G$15,$M168-$A$15,BZ$13)="",10^12,OFFSET(PLE!$G$15,$M168-$A$15,BZ$13)))</f>
        <v>1000000000000</v>
      </c>
      <c r="CA168" s="172">
        <f ca="1">IF(OR($D168&lt;&gt;"Serviço",AND(AUTOEVENTO="Manual",$M168=$A$15),$M168&gt;(ROW(PLE.lastrow)-ROW(PLE.firstrow))),0,
           IF(OFFSET(PLE!$G$15,$M168-$A$15,CA$13)="",10^12,OFFSET(PLE!$G$15,$M168-$A$15,CA$13)))</f>
        <v>1000000000000</v>
      </c>
      <c r="CB168" s="172">
        <f ca="1">IF(OR($D168&lt;&gt;"Serviço",AND(AUTOEVENTO="Manual",$M168=$A$15),$M168&gt;(ROW(PLE.lastrow)-ROW(PLE.firstrow))),0,
           IF(OFFSET(PLE!$G$15,$M168-$A$15,CB$13)="",10^12,OFFSET(PLE!$G$15,$M168-$A$15,CB$13)))</f>
        <v>1000000000000</v>
      </c>
      <c r="CC168" s="172">
        <f ca="1">IF(OR($D168&lt;&gt;"Serviço",AND(AUTOEVENTO="Manual",$M168=$A$15),$M168&gt;(ROW(PLE.lastrow)-ROW(PLE.firstrow))),0,
           IF(OFFSET(PLE!$G$15,$M168-$A$15,CC$13)="",10^12,OFFSET(PLE!$G$15,$M168-$A$15,CC$13)))</f>
        <v>1000000000000</v>
      </c>
      <c r="CD168" s="172">
        <f ca="1">IF(OR($D168&lt;&gt;"Serviço",AND(AUTOEVENTO="Manual",$M168=$A$15),$M168&gt;(ROW(PLE.lastrow)-ROW(PLE.firstrow))),0,
           IF(OFFSET(PLE!$G$15,$M168-$A$15,CD$13)="",10^12,OFFSET(PLE!$G$15,$M168-$A$15,CD$13)))</f>
        <v>1000000000000</v>
      </c>
      <c r="CE168" s="172">
        <f ca="1">IF(OR($D168&lt;&gt;"Serviço",AND(AUTOEVENTO="Manual",$M168=$A$15),$M168&gt;(ROW(PLE.lastrow)-ROW(PLE.firstrow))),0,
           IF(OFFSET(PLE!$G$15,$M168-$A$15,CE$13)="",10^12,OFFSET(PLE!$G$15,$M168-$A$15,CE$13)))</f>
        <v>1000000000000</v>
      </c>
      <c r="CF168" s="172">
        <f ca="1">IF(OR($D168&lt;&gt;"Serviço",AND(AUTOEVENTO="Manual",$M168=$A$15),$M168&gt;(ROW(PLE.lastrow)-ROW(PLE.firstrow))),0,
           IF(OFFSET(PLE!$G$15,$M168-$A$15,CF$13)="",10^12,OFFSET(PLE!$G$15,$M168-$A$15,CF$13)))</f>
        <v>1000000000000</v>
      </c>
      <c r="CG168" s="172">
        <f ca="1">IF(OR($D168&lt;&gt;"Serviço",AND(AUTOEVENTO="Manual",$M168=$A$15),$M168&gt;(ROW(PLE.lastrow)-ROW(PLE.firstrow))),0,
           IF(OFFSET(PLE!$G$15,$M168-$A$15,CG$13)="",10^12,OFFSET(PLE!$G$15,$M168-$A$15,CG$13)))</f>
        <v>1000000000000</v>
      </c>
      <c r="CH168" s="172">
        <f ca="1">IF(OR($D168&lt;&gt;"Serviço",AND(AUTOEVENTO="Manual",$M168=$A$15),$M168&gt;(ROW(PLE.lastrow)-ROW(PLE.firstrow))),0,
           IF(OFFSET(PLE!$G$15,$M168-$A$15,CH$13)="",10^12,OFFSET(PLE!$G$15,$M168-$A$15,CH$13)))</f>
        <v>1000000000000</v>
      </c>
      <c r="CI168" s="172">
        <f ca="1">IF(OR($D168&lt;&gt;"Serviço",AND(AUTOEVENTO="Manual",$M168=$A$15),$M168&gt;(ROW(PLE.lastrow)-ROW(PLE.firstrow))),0,
           IF(OFFSET(PLE!$G$15,$M168-$A$15,CI$13)="",10^12,OFFSET(PLE!$G$15,$M168-$A$15,CI$13)))</f>
        <v>1000000000000</v>
      </c>
      <c r="CJ168" s="172">
        <f ca="1">IF(OR($D168&lt;&gt;"Serviço",AND(AUTOEVENTO="Manual",$M168=$A$15),$M168&gt;(ROW(PLE.lastrow)-ROW(PLE.firstrow))),0,
           IF(OFFSET(PLE!$G$15,$M168-$A$15,CJ$13)="",10^12,OFFSET(PLE!$G$15,$M168-$A$15,CJ$13)))</f>
        <v>1000000000000</v>
      </c>
      <c r="CK168" s="172">
        <f ca="1">IF(OR($D168&lt;&gt;"Serviço",AND(AUTOEVENTO="Manual",$M168=$A$15),$M168&gt;(ROW(PLE.lastrow)-ROW(PLE.firstrow))),0,
           IF(OFFSET(PLE!$G$15,$M168-$A$15,CK$13)="",10^12,OFFSET(PLE!$G$15,$M168-$A$15,CK$13)))</f>
        <v>1000000000000</v>
      </c>
      <c r="CL168" s="172">
        <f ca="1">IF(OR($D168&lt;&gt;"Serviço",AND(AUTOEVENTO="Manual",$M168=$A$15),$M168&gt;(ROW(PLE.lastrow)-ROW(PLE.firstrow))),0,
           IF(OFFSET(PLE!$G$15,$M168-$A$15,CL$13)="",10^12,OFFSET(PLE!$G$15,$M168-$A$15,CL$13)))</f>
        <v>1000000000000</v>
      </c>
      <c r="CM168" s="172">
        <f ca="1">IF(OR($D168&lt;&gt;"Serviço",AND(AUTOEVENTO="Manual",$M168=$A$15),$M168&gt;(ROW(PLE.lastrow)-ROW(PLE.firstrow))),0,
           IF(OFFSET(PLE!$G$15,$M168-$A$15,CM$13)="",10^12,OFFSET(PLE!$G$15,$M168-$A$15,CM$13)))</f>
        <v>1000000000000</v>
      </c>
    </row>
    <row r="169" spans="1:91" ht="51" x14ac:dyDescent="0.2">
      <c r="A169" s="7">
        <f t="shared" ca="1" si="12"/>
        <v>4</v>
      </c>
      <c r="B169" s="7" t="str">
        <f ca="1">OFFSET(ORÇAMENTO!C$15,ROW(B169)-ROW(B$15),0)</f>
        <v>S</v>
      </c>
      <c r="C169" s="7" t="str">
        <f ca="1">OFFSET(ORÇAMENTO!L$15,ROW(C169)-ROW(C$15),0)</f>
        <v>F</v>
      </c>
      <c r="D169" s="116" t="str">
        <f ca="1">OFFSET(ORÇAMENTO!N$15,ROW(D169)-ROW(D$15),0)</f>
        <v>Serviço</v>
      </c>
      <c r="E169" s="117" t="str">
        <f ca="1">OFFSET(ORÇAMENTO!O$15,ROW(E169)-ROW(E$15),0)</f>
        <v>1.5.5.2.10.</v>
      </c>
      <c r="F169" s="163" t="str">
        <f ca="1">OFFSET(ORÇAMENTO!R$15,ROW(F169)-ROW(F$15),0)</f>
        <v>CARGA, MANOBRA E DESCARGA DE SOLOS E MATERIAIS GRANULARES EM CAMINHÃO BASCULANTE 18 M³ - CARGA COM ESCAVADEIRA HIDRÁULICA (CAÇAMBA DE 1,20 M³ / 155 HP) E DESCARGA LIVRE (UNIDADE: M3). AF_07/2020</v>
      </c>
      <c r="G169" s="164" t="str">
        <f ca="1">IF($D169&lt;&gt;"Serviço","",OFFSET(ORÇAMENTO!S$15,ROW(G169)-ROW(G$15),0))</f>
        <v>M3</v>
      </c>
      <c r="H169" s="122" cm="1">
        <f t="array" aca="1" ref="H169" ca="1">IF($D169&lt;&gt;"Serviço",0,IF(ACOMPANHAMENTO="BM",ROUND(OFFSET(ORÇAMENTO!AJ$15,ROW(H169)-ROW(H$15),0),15-13*ORÇAMENTO!$AF$7),SUMPRODUCT(($Q$1:$AI$1=1)*ROUND($Q169:$AI169,15-13*ORÇAMENTO!$AF$7))))</f>
        <v>5.72</v>
      </c>
      <c r="I169" s="468" t="s">
        <v>1441</v>
      </c>
      <c r="J169" s="640" t="str" cm="1">
        <f t="array" aca="1" ref="J169" ca="1">IF(OR(B169&lt;&gt;"S",CÁLCULO.FrentesPreenchidas=0),"",IF(AND(ACOMPANHAMENTO="PLE",AUTOEVENTO="Manual",OR(H169&gt;0,ORÇAMENTO!AC169="QUANT."),OR(K169="",M169=0,N169="")),"►E",IF(AND(ACOMPANHAMENTO="PLE",ORÇAMENTO!AC169="QUANT."),"►Q",IF(AND(ACOMPANHAMENTO="PLE",H169&lt;&gt;SUMPRODUCT(($Q$1:$AI$1=1)*ROUND(Q169:AI169,15))),"►S",IF(AND(COUNTIF($P$11:$AI$11,"▼")=0,H169&gt;0,I169=""),"◄M","")))))</f>
        <v/>
      </c>
      <c r="K169" s="641" t="s">
        <v>1389</v>
      </c>
      <c r="L169" s="165" t="s">
        <v>764</v>
      </c>
      <c r="M169" s="166">
        <f ca="1">IF($D169&lt;&gt;"Serviço","",
          IF(AUTOEVENTO="manual",$A169,
                IF(ISERROR(MATCH($A169,$A$15:OFFSET($A169,-1,0),0)),MAX($M$15:OFFSET(M169,-1,0))+1,
                      INDEX($M$15:OFFSET(M169,-1,0),MATCH($A169,$A$15:OFFSET($A169,-1,0),0)))))</f>
        <v>4</v>
      </c>
      <c r="N169" s="167" t="str">
        <f ca="1">IF($D169&lt;&gt;"Serviço","",
         IF(AUTOEVENTO="Manual",
                IF($A169=0,"&lt;-- defina o número do agrupador",
                       OFFSET(EVENTOS!$D$15,$A169-$A$15,0)),
                OFFSET($F$15,$A169,0)))</f>
        <v>Estruturas de Concreto</v>
      </c>
      <c r="O169" s="168"/>
      <c r="Q169" s="168"/>
      <c r="R169" s="169"/>
      <c r="S169" s="169"/>
      <c r="T169" s="169"/>
      <c r="U169" s="169"/>
      <c r="V169" s="169">
        <v>5.72</v>
      </c>
      <c r="W169" s="169"/>
      <c r="X169" s="169"/>
      <c r="Y169" s="169"/>
      <c r="Z169" s="170"/>
      <c r="AA169" s="169"/>
      <c r="AB169" s="169"/>
      <c r="AC169" s="169"/>
      <c r="AD169" s="169"/>
      <c r="AE169" s="169"/>
      <c r="AF169" s="169"/>
      <c r="AG169" s="169"/>
      <c r="AH169" s="170"/>
      <c r="AJ169" s="453">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3">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L169" s="453">
        <f ca="1">IF(AND($D169="Serviço",AL$12&lt;&gt;0,$H169&gt;0,OR(AUTOEVENTO&lt;&gt;"manual",$M169&lt;&gt;$A$15)),
        IF(Import.TipoArredondamento&lt;&gt;"TransfereGOV",
              ROUND(OFFSET($P169,0,AL$13),15-13*ORÇAMENTO!$AF$7)/$H169*OFFSET(ORÇAMENTO!$X$15,ROW(AL169)-ROW(AL$15),0),
              ROUND(ROUND(OFFSET($P169,0,AL$13),15-13*ORÇAMENTO!$AF$7)*OFFSET(ORÇAMENTO!$W$15,ROW(AL169)-ROW(AL$15),0),15-13*ORÇAMENTO!$AF$11)),
         0)</f>
        <v>0</v>
      </c>
      <c r="AM169" s="453">
        <f ca="1">IF(AND($D169="Serviço",AM$12&lt;&gt;0,$H169&gt;0,OR(AUTOEVENTO&lt;&gt;"manual",$M169&lt;&gt;$A$15)),
        IF(Import.TipoArredondamento&lt;&gt;"TransfereGOV",
              ROUND(OFFSET($P169,0,AM$13),15-13*ORÇAMENTO!$AF$7)/$H169*OFFSET(ORÇAMENTO!$X$15,ROW(AM169)-ROW(AM$15),0),
              ROUND(ROUND(OFFSET($P169,0,AM$13),15-13*ORÇAMENTO!$AF$7)*OFFSET(ORÇAMENTO!$W$15,ROW(AM169)-ROW(AM$15),0),15-13*ORÇAMENTO!$AF$11)),
         0)</f>
        <v>0</v>
      </c>
      <c r="AN169" s="453">
        <f ca="1">IF(AND($D169="Serviço",AN$12&lt;&gt;0,$H169&gt;0,OR(AUTOEVENTO&lt;&gt;"manual",$M169&lt;&gt;$A$15)),
        IF(Import.TipoArredondamento&lt;&gt;"TransfereGOV",
              ROUND(OFFSET($P169,0,AN$13),15-13*ORÇAMENTO!$AF$7)/$H169*OFFSET(ORÇAMENTO!$X$15,ROW(AN169)-ROW(AN$15),0),
              ROUND(ROUND(OFFSET($P169,0,AN$13),15-13*ORÇAMENTO!$AF$7)*OFFSET(ORÇAMENTO!$W$15,ROW(AN169)-ROW(AN$15),0),15-13*ORÇAMENTO!$AF$11)),
         0)</f>
        <v>0</v>
      </c>
      <c r="AO169" s="453">
        <f ca="1">IF(AND($D169="Serviço",AO$12&lt;&gt;0,$H169&gt;0,OR(AUTOEVENTO&lt;&gt;"manual",$M169&lt;&gt;$A$15)),
        IF(Import.TipoArredondamento&lt;&gt;"TransfereGOV",
              ROUND(OFFSET($P169,0,AO$13),15-13*ORÇAMENTO!$AF$7)/$H169*OFFSET(ORÇAMENTO!$X$15,ROW(AO169)-ROW(AO$15),0),
              ROUND(ROUND(OFFSET($P169,0,AO$13),15-13*ORÇAMENTO!$AF$7)*OFFSET(ORÇAMENTO!$W$15,ROW(AO169)-ROW(AO$15),0),15-13*ORÇAMENTO!$AF$11)),
         0)</f>
        <v>0</v>
      </c>
      <c r="AP169" s="453">
        <f ca="1">IF(AND($D169="Serviço",AP$12&lt;&gt;0,$H169&gt;0,OR(AUTOEVENTO&lt;&gt;"manual",$M169&lt;&gt;$A$15)),
        IF(Import.TipoArredondamento&lt;&gt;"TransfereGOV",
              ROUND(OFFSET($P169,0,AP$13),15-13*ORÇAMENTO!$AF$7)/$H169*OFFSET(ORÇAMENTO!$X$15,ROW(AP169)-ROW(AP$15),0),
              ROUND(ROUND(OFFSET($P169,0,AP$13),15-13*ORÇAMENTO!$AF$7)*OFFSET(ORÇAMENTO!$W$15,ROW(AP169)-ROW(AP$15),0),15-13*ORÇAMENTO!$AF$11)),
         0)</f>
        <v>0</v>
      </c>
      <c r="AQ169" s="453">
        <f ca="1">IF(AND($D169="Serviço",AQ$12&lt;&gt;0,$H169&gt;0,OR(AUTOEVENTO&lt;&gt;"manual",$M169&lt;&gt;$A$15)),
        IF(Import.TipoArredondamento&lt;&gt;"TransfereGOV",
              ROUND(OFFSET($P169,0,AQ$13),15-13*ORÇAMENTO!$AF$7)/$H169*OFFSET(ORÇAMENTO!$X$15,ROW(AQ169)-ROW(AQ$15),0),
              ROUND(ROUND(OFFSET($P169,0,AQ$13),15-13*ORÇAMENTO!$AF$7)*OFFSET(ORÇAMENTO!$W$15,ROW(AQ169)-ROW(AQ$15),0),15-13*ORÇAMENTO!$AF$11)),
         0)</f>
        <v>0</v>
      </c>
      <c r="AR169" s="453">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0</v>
      </c>
      <c r="AS169" s="453">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0</v>
      </c>
      <c r="AT169" s="453">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0</v>
      </c>
      <c r="AU169" s="453">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0</v>
      </c>
      <c r="AV169" s="453">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0</v>
      </c>
      <c r="AW169" s="453">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0</v>
      </c>
      <c r="AX169" s="453">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0</v>
      </c>
      <c r="AY169" s="453">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0</v>
      </c>
      <c r="AZ169" s="453">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0</v>
      </c>
      <c r="BA169" s="453">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0</v>
      </c>
      <c r="BC169" s="171">
        <f ca="1">IF(OR($D169&lt;&gt;"Serviço",AND(AUTOEVENTO="Manual",$M169=$A$15)),0,
         IF(OFFSET(CRONOPLE!$F$15,$M169-$A$15,BC$13)=0,10^12,OFFSET(CRONOPLE!$F$15,$M169-$A$15,BC$13)))</f>
        <v>1</v>
      </c>
      <c r="BD169" s="171">
        <f ca="1">IF(OR($D169&lt;&gt;"Serviço",AND(AUTOEVENTO="Manual",$M169=$A$15)),0,
         IF(OFFSET(CRONOPLE!$F$15,$M169-$A$15,BD$13)=0,10^12,OFFSET(CRONOPLE!$F$15,$M169-$A$15,BD$13)))</f>
        <v>2</v>
      </c>
      <c r="BE169" s="171">
        <f ca="1">IF(OR($D169&lt;&gt;"Serviço",AND(AUTOEVENTO="Manual",$M169=$A$15)),0,
         IF(OFFSET(CRONOPLE!$F$15,$M169-$A$15,BE$13)=0,10^12,OFFSET(CRONOPLE!$F$15,$M169-$A$15,BE$13)))</f>
        <v>3</v>
      </c>
      <c r="BF169" s="171">
        <f ca="1">IF(OR($D169&lt;&gt;"Serviço",AND(AUTOEVENTO="Manual",$M169=$A$15)),0,
         IF(OFFSET(CRONOPLE!$F$15,$M169-$A$15,BF$13)=0,10^12,OFFSET(CRONOPLE!$F$15,$M169-$A$15,BF$13)))</f>
        <v>4</v>
      </c>
      <c r="BG169" s="171">
        <f ca="1">IF(OR($D169&lt;&gt;"Serviço",AND(AUTOEVENTO="Manual",$M169=$A$15)),0,
         IF(OFFSET(CRONOPLE!$F$15,$M169-$A$15,BG$13)=0,10^12,OFFSET(CRONOPLE!$F$15,$M169-$A$15,BG$13)))</f>
        <v>5</v>
      </c>
      <c r="BH169" s="171">
        <f ca="1">IF(OR($D169&lt;&gt;"Serviço",AND(AUTOEVENTO="Manual",$M169=$A$15)),0,
         IF(OFFSET(CRONOPLE!$F$15,$M169-$A$15,BH$13)=0,10^12,OFFSET(CRONOPLE!$F$15,$M169-$A$15,BH$13)))</f>
        <v>6</v>
      </c>
      <c r="BI169" s="171">
        <f ca="1">IF(OR($D169&lt;&gt;"Serviço",AND(AUTOEVENTO="Manual",$M169=$A$15)),0,
         IF(OFFSET(CRONOPLE!$F$15,$M169-$A$15,BI$13)=0,10^12,OFFSET(CRONOPLE!$F$15,$M169-$A$15,BI$13)))</f>
        <v>7</v>
      </c>
      <c r="BJ169" s="171">
        <f ca="1">IF(OR($D169&lt;&gt;"Serviço",AND(AUTOEVENTO="Manual",$M169=$A$15)),0,
         IF(OFFSET(CRONOPLE!$F$15,$M169-$A$15,BJ$13)=0,10^12,OFFSET(CRONOPLE!$F$15,$M169-$A$15,BJ$13)))</f>
        <v>8</v>
      </c>
      <c r="BK169" s="171">
        <f ca="1">IF(OR($D169&lt;&gt;"Serviço",AND(AUTOEVENTO="Manual",$M169=$A$15)),0,
         IF(OFFSET(CRONOPLE!$F$15,$M169-$A$15,BK$13)=0,10^12,OFFSET(CRONOPLE!$F$15,$M169-$A$15,BK$13)))</f>
        <v>9</v>
      </c>
      <c r="BL169" s="171">
        <f ca="1">IF(OR($D169&lt;&gt;"Serviço",AND(AUTOEVENTO="Manual",$M169=$A$15)),0,
         IF(OFFSET(CRONOPLE!$F$15,$M169-$A$15,BL$13)=0,10^12,OFFSET(CRONOPLE!$F$15,$M169-$A$15,BL$13)))</f>
        <v>10</v>
      </c>
      <c r="BM169" s="171">
        <f ca="1">IF(OR($D169&lt;&gt;"Serviço",AND(AUTOEVENTO="Manual",$M169=$A$15)),0,
         IF(OFFSET(CRONOPLE!$F$15,$M169-$A$15,BM$13)=0,10^12,OFFSET(CRONOPLE!$F$15,$M169-$A$15,BM$13)))</f>
        <v>1000000000000</v>
      </c>
      <c r="BN169" s="171">
        <f ca="1">IF(OR($D169&lt;&gt;"Serviço",AND(AUTOEVENTO="Manual",$M169=$A$15)),0,
         IF(OFFSET(CRONOPLE!$F$15,$M169-$A$15,BN$13)=0,10^12,OFFSET(CRONOPLE!$F$15,$M169-$A$15,BN$13)))</f>
        <v>1000000000000</v>
      </c>
      <c r="BO169" s="171">
        <f ca="1">IF(OR($D169&lt;&gt;"Serviço",AND(AUTOEVENTO="Manual",$M169=$A$15)),0,
         IF(OFFSET(CRONOPLE!$F$15,$M169-$A$15,BO$13)=0,10^12,OFFSET(CRONOPLE!$F$15,$M169-$A$15,BO$13)))</f>
        <v>1000000000000</v>
      </c>
      <c r="BP169" s="171">
        <f ca="1">IF(OR($D169&lt;&gt;"Serviço",AND(AUTOEVENTO="Manual",$M169=$A$15)),0,
         IF(OFFSET(CRONOPLE!$F$15,$M169-$A$15,BP$13)=0,10^12,OFFSET(CRONOPLE!$F$15,$M169-$A$15,BP$13)))</f>
        <v>1000000000000</v>
      </c>
      <c r="BQ169" s="171">
        <f ca="1">IF(OR($D169&lt;&gt;"Serviço",AND(AUTOEVENTO="Manual",$M169=$A$15)),0,
         IF(OFFSET(CRONOPLE!$F$15,$M169-$A$15,BQ$13)=0,10^12,OFFSET(CRONOPLE!$F$15,$M169-$A$15,BQ$13)))</f>
        <v>1000000000000</v>
      </c>
      <c r="BR169" s="171">
        <f ca="1">IF(OR($D169&lt;&gt;"Serviço",AND(AUTOEVENTO="Manual",$M169=$A$15)),0,
         IF(OFFSET(CRONOPLE!$F$15,$M169-$A$15,BR$13)=0,10^12,OFFSET(CRONOPLE!$F$15,$M169-$A$15,BR$13)))</f>
        <v>1000000000000</v>
      </c>
      <c r="BS169" s="171">
        <f ca="1">IF(OR($D169&lt;&gt;"Serviço",AND(AUTOEVENTO="Manual",$M169=$A$15)),0,
         IF(OFFSET(CRONOPLE!$F$15,$M169-$A$15,BS$13)=0,10^12,OFFSET(CRONOPLE!$F$15,$M169-$A$15,BS$13)))</f>
        <v>1000000000000</v>
      </c>
      <c r="BT169" s="171">
        <f ca="1">IF(OR($D169&lt;&gt;"Serviço",AND(AUTOEVENTO="Manual",$M169=$A$15)),0,
         IF(OFFSET(CRONOPLE!$F$15,$M169-$A$15,BT$13)=0,10^12,OFFSET(CRONOPLE!$F$15,$M169-$A$15,BT$13)))</f>
        <v>1000000000000</v>
      </c>
      <c r="BV169" s="172">
        <f ca="1">IF(OR($D169&lt;&gt;"Serviço",AND(AUTOEVENTO="Manual",$M169=$A$15),$M169&gt;(ROW(PLE.lastrow)-ROW(PLE.firstrow))),0,
           IF(OFFSET(PLE!$G$15,$M169-$A$15,BV$13)="",10^12,OFFSET(PLE!$G$15,$M169-$A$15,BV$13)))</f>
        <v>1000000000000</v>
      </c>
      <c r="BW169" s="172">
        <f ca="1">IF(OR($D169&lt;&gt;"Serviço",AND(AUTOEVENTO="Manual",$M169=$A$15),$M169&gt;(ROW(PLE.lastrow)-ROW(PLE.firstrow))),0,
           IF(OFFSET(PLE!$G$15,$M169-$A$15,BW$13)="",10^12,OFFSET(PLE!$G$15,$M169-$A$15,BW$13)))</f>
        <v>1000000000000</v>
      </c>
      <c r="BX169" s="172">
        <f ca="1">IF(OR($D169&lt;&gt;"Serviço",AND(AUTOEVENTO="Manual",$M169=$A$15),$M169&gt;(ROW(PLE.lastrow)-ROW(PLE.firstrow))),0,
           IF(OFFSET(PLE!$G$15,$M169-$A$15,BX$13)="",10^12,OFFSET(PLE!$G$15,$M169-$A$15,BX$13)))</f>
        <v>1000000000000</v>
      </c>
      <c r="BY169" s="172">
        <f ca="1">IF(OR($D169&lt;&gt;"Serviço",AND(AUTOEVENTO="Manual",$M169=$A$15),$M169&gt;(ROW(PLE.lastrow)-ROW(PLE.firstrow))),0,
           IF(OFFSET(PLE!$G$15,$M169-$A$15,BY$13)="",10^12,OFFSET(PLE!$G$15,$M169-$A$15,BY$13)))</f>
        <v>1000000000000</v>
      </c>
      <c r="BZ169" s="172">
        <f ca="1">IF(OR($D169&lt;&gt;"Serviço",AND(AUTOEVENTO="Manual",$M169=$A$15),$M169&gt;(ROW(PLE.lastrow)-ROW(PLE.firstrow))),0,
           IF(OFFSET(PLE!$G$15,$M169-$A$15,BZ$13)="",10^12,OFFSET(PLE!$G$15,$M169-$A$15,BZ$13)))</f>
        <v>1000000000000</v>
      </c>
      <c r="CA169" s="172">
        <f ca="1">IF(OR($D169&lt;&gt;"Serviço",AND(AUTOEVENTO="Manual",$M169=$A$15),$M169&gt;(ROW(PLE.lastrow)-ROW(PLE.firstrow))),0,
           IF(OFFSET(PLE!$G$15,$M169-$A$15,CA$13)="",10^12,OFFSET(PLE!$G$15,$M169-$A$15,CA$13)))</f>
        <v>1000000000000</v>
      </c>
      <c r="CB169" s="172">
        <f ca="1">IF(OR($D169&lt;&gt;"Serviço",AND(AUTOEVENTO="Manual",$M169=$A$15),$M169&gt;(ROW(PLE.lastrow)-ROW(PLE.firstrow))),0,
           IF(OFFSET(PLE!$G$15,$M169-$A$15,CB$13)="",10^12,OFFSET(PLE!$G$15,$M169-$A$15,CB$13)))</f>
        <v>1000000000000</v>
      </c>
      <c r="CC169" s="172">
        <f ca="1">IF(OR($D169&lt;&gt;"Serviço",AND(AUTOEVENTO="Manual",$M169=$A$15),$M169&gt;(ROW(PLE.lastrow)-ROW(PLE.firstrow))),0,
           IF(OFFSET(PLE!$G$15,$M169-$A$15,CC$13)="",10^12,OFFSET(PLE!$G$15,$M169-$A$15,CC$13)))</f>
        <v>1000000000000</v>
      </c>
      <c r="CD169" s="172">
        <f ca="1">IF(OR($D169&lt;&gt;"Serviço",AND(AUTOEVENTO="Manual",$M169=$A$15),$M169&gt;(ROW(PLE.lastrow)-ROW(PLE.firstrow))),0,
           IF(OFFSET(PLE!$G$15,$M169-$A$15,CD$13)="",10^12,OFFSET(PLE!$G$15,$M169-$A$15,CD$13)))</f>
        <v>1000000000000</v>
      </c>
      <c r="CE169" s="172">
        <f ca="1">IF(OR($D169&lt;&gt;"Serviço",AND(AUTOEVENTO="Manual",$M169=$A$15),$M169&gt;(ROW(PLE.lastrow)-ROW(PLE.firstrow))),0,
           IF(OFFSET(PLE!$G$15,$M169-$A$15,CE$13)="",10^12,OFFSET(PLE!$G$15,$M169-$A$15,CE$13)))</f>
        <v>1000000000000</v>
      </c>
      <c r="CF169" s="172">
        <f ca="1">IF(OR($D169&lt;&gt;"Serviço",AND(AUTOEVENTO="Manual",$M169=$A$15),$M169&gt;(ROW(PLE.lastrow)-ROW(PLE.firstrow))),0,
           IF(OFFSET(PLE!$G$15,$M169-$A$15,CF$13)="",10^12,OFFSET(PLE!$G$15,$M169-$A$15,CF$13)))</f>
        <v>1000000000000</v>
      </c>
      <c r="CG169" s="172">
        <f ca="1">IF(OR($D169&lt;&gt;"Serviço",AND(AUTOEVENTO="Manual",$M169=$A$15),$M169&gt;(ROW(PLE.lastrow)-ROW(PLE.firstrow))),0,
           IF(OFFSET(PLE!$G$15,$M169-$A$15,CG$13)="",10^12,OFFSET(PLE!$G$15,$M169-$A$15,CG$13)))</f>
        <v>1000000000000</v>
      </c>
      <c r="CH169" s="172">
        <f ca="1">IF(OR($D169&lt;&gt;"Serviço",AND(AUTOEVENTO="Manual",$M169=$A$15),$M169&gt;(ROW(PLE.lastrow)-ROW(PLE.firstrow))),0,
           IF(OFFSET(PLE!$G$15,$M169-$A$15,CH$13)="",10^12,OFFSET(PLE!$G$15,$M169-$A$15,CH$13)))</f>
        <v>1000000000000</v>
      </c>
      <c r="CI169" s="172">
        <f ca="1">IF(OR($D169&lt;&gt;"Serviço",AND(AUTOEVENTO="Manual",$M169=$A$15),$M169&gt;(ROW(PLE.lastrow)-ROW(PLE.firstrow))),0,
           IF(OFFSET(PLE!$G$15,$M169-$A$15,CI$13)="",10^12,OFFSET(PLE!$G$15,$M169-$A$15,CI$13)))</f>
        <v>1000000000000</v>
      </c>
      <c r="CJ169" s="172">
        <f ca="1">IF(OR($D169&lt;&gt;"Serviço",AND(AUTOEVENTO="Manual",$M169=$A$15),$M169&gt;(ROW(PLE.lastrow)-ROW(PLE.firstrow))),0,
           IF(OFFSET(PLE!$G$15,$M169-$A$15,CJ$13)="",10^12,OFFSET(PLE!$G$15,$M169-$A$15,CJ$13)))</f>
        <v>1000000000000</v>
      </c>
      <c r="CK169" s="172">
        <f ca="1">IF(OR($D169&lt;&gt;"Serviço",AND(AUTOEVENTO="Manual",$M169=$A$15),$M169&gt;(ROW(PLE.lastrow)-ROW(PLE.firstrow))),0,
           IF(OFFSET(PLE!$G$15,$M169-$A$15,CK$13)="",10^12,OFFSET(PLE!$G$15,$M169-$A$15,CK$13)))</f>
        <v>1000000000000</v>
      </c>
      <c r="CL169" s="172">
        <f ca="1">IF(OR($D169&lt;&gt;"Serviço",AND(AUTOEVENTO="Manual",$M169=$A$15),$M169&gt;(ROW(PLE.lastrow)-ROW(PLE.firstrow))),0,
           IF(OFFSET(PLE!$G$15,$M169-$A$15,CL$13)="",10^12,OFFSET(PLE!$G$15,$M169-$A$15,CL$13)))</f>
        <v>1000000000000</v>
      </c>
      <c r="CM169" s="172">
        <f ca="1">IF(OR($D169&lt;&gt;"Serviço",AND(AUTOEVENTO="Manual",$M169=$A$15),$M169&gt;(ROW(PLE.lastrow)-ROW(PLE.firstrow))),0,
           IF(OFFSET(PLE!$G$15,$M169-$A$15,CM$13)="",10^12,OFFSET(PLE!$G$15,$M169-$A$15,CM$13)))</f>
        <v>1000000000000</v>
      </c>
    </row>
    <row r="170" spans="1:91" ht="38.25" x14ac:dyDescent="0.2">
      <c r="A170" s="7">
        <f t="shared" ca="1" si="12"/>
        <v>4</v>
      </c>
      <c r="B170" s="7" t="str">
        <f ca="1">OFFSET(ORÇAMENTO!C$15,ROW(B170)-ROW(B$15),0)</f>
        <v>S</v>
      </c>
      <c r="C170" s="7" t="str">
        <f ca="1">OFFSET(ORÇAMENTO!L$15,ROW(C170)-ROW(C$15),0)</f>
        <v>F</v>
      </c>
      <c r="D170" s="116" t="str">
        <f ca="1">OFFSET(ORÇAMENTO!N$15,ROW(D170)-ROW(D$15),0)</f>
        <v>Serviço</v>
      </c>
      <c r="E170" s="117" t="str">
        <f ca="1">OFFSET(ORÇAMENTO!O$15,ROW(E170)-ROW(E$15),0)</f>
        <v>1.5.5.2.11.</v>
      </c>
      <c r="F170" s="163" t="str">
        <f ca="1">OFFSET(ORÇAMENTO!R$15,ROW(F170)-ROW(F$15),0)</f>
        <v>TRANSPORTE COM CAMINHÃO BASCULANTE DE 18 M³, EM VIA URBANA PAVIMENTADA, DMT ATÉ 30 KM (UNIDADE: M3XKM). AF_07/2020</v>
      </c>
      <c r="G170" s="164" t="str">
        <f ca="1">IF($D170&lt;&gt;"Serviço","",OFFSET(ORÇAMENTO!S$15,ROW(G170)-ROW(G$15),0))</f>
        <v>M3XKM</v>
      </c>
      <c r="H170" s="122" cm="1">
        <f t="array" aca="1" ref="H170" ca="1">IF($D170&lt;&gt;"Serviço",0,IF(ACOMPANHAMENTO="BM",ROUND(OFFSET(ORÇAMENTO!AJ$15,ROW(H170)-ROW(H$15),0),15-13*ORÇAMENTO!$AF$7),SUMPRODUCT(($Q$1:$AI$1=1)*ROUND($Q170:$AI170,15-13*ORÇAMENTO!$AF$7))))</f>
        <v>28.6</v>
      </c>
      <c r="I170" s="468" t="s">
        <v>1441</v>
      </c>
      <c r="J170" s="640" t="str" cm="1">
        <f t="array" aca="1" ref="J170" ca="1">IF(OR(B170&lt;&gt;"S",CÁLCULO.FrentesPreenchidas=0),"",IF(AND(ACOMPANHAMENTO="PLE",AUTOEVENTO="Manual",OR(H170&gt;0,ORÇAMENTO!AC170="QUANT."),OR(K170="",M170=0,N170="")),"►E",IF(AND(ACOMPANHAMENTO="PLE",ORÇAMENTO!AC170="QUANT."),"►Q",IF(AND(ACOMPANHAMENTO="PLE",H170&lt;&gt;SUMPRODUCT(($Q$1:$AI$1=1)*ROUND(Q170:AI170,15))),"►S",IF(AND(COUNTIF($P$11:$AI$11,"▼")=0,H170&gt;0,I170=""),"◄M","")))))</f>
        <v/>
      </c>
      <c r="K170" s="641" t="s">
        <v>1389</v>
      </c>
      <c r="L170" s="165" t="s">
        <v>764</v>
      </c>
      <c r="M170" s="166">
        <f ca="1">IF($D170&lt;&gt;"Serviço","",
          IF(AUTOEVENTO="manual",$A170,
                IF(ISERROR(MATCH($A170,$A$15:OFFSET($A170,-1,0),0)),MAX($M$15:OFFSET(M170,-1,0))+1,
                      INDEX($M$15:OFFSET(M170,-1,0),MATCH($A170,$A$15:OFFSET($A170,-1,0),0)))))</f>
        <v>4</v>
      </c>
      <c r="N170" s="167" t="str">
        <f ca="1">IF($D170&lt;&gt;"Serviço","",
         IF(AUTOEVENTO="Manual",
                IF($A170=0,"&lt;-- defina o número do agrupador",
                       OFFSET(EVENTOS!$D$15,$A170-$A$15,0)),
                OFFSET($F$15,$A170,0)))</f>
        <v>Estruturas de Concreto</v>
      </c>
      <c r="O170" s="168"/>
      <c r="Q170" s="168"/>
      <c r="R170" s="169"/>
      <c r="S170" s="169"/>
      <c r="T170" s="169"/>
      <c r="U170" s="169"/>
      <c r="V170" s="169">
        <f>V169*5</f>
        <v>28.599999999999998</v>
      </c>
      <c r="W170" s="169"/>
      <c r="X170" s="169"/>
      <c r="Y170" s="169"/>
      <c r="Z170" s="170"/>
      <c r="AA170" s="169"/>
      <c r="AB170" s="169"/>
      <c r="AC170" s="169"/>
      <c r="AD170" s="169"/>
      <c r="AE170" s="169"/>
      <c r="AF170" s="169"/>
      <c r="AG170" s="169"/>
      <c r="AH170" s="170"/>
      <c r="AJ170" s="453">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0</v>
      </c>
      <c r="AK170" s="453">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0</v>
      </c>
      <c r="AL170" s="453">
        <f ca="1">IF(AND($D170="Serviço",AL$12&lt;&gt;0,$H170&gt;0,OR(AUTOEVENTO&lt;&gt;"manual",$M170&lt;&gt;$A$15)),
        IF(Import.TipoArredondamento&lt;&gt;"TransfereGOV",
              ROUND(OFFSET($P170,0,AL$13),15-13*ORÇAMENTO!$AF$7)/$H170*OFFSET(ORÇAMENTO!$X$15,ROW(AL170)-ROW(AL$15),0),
              ROUND(ROUND(OFFSET($P170,0,AL$13),15-13*ORÇAMENTO!$AF$7)*OFFSET(ORÇAMENTO!$W$15,ROW(AL170)-ROW(AL$15),0),15-13*ORÇAMENTO!$AF$11)),
         0)</f>
        <v>0</v>
      </c>
      <c r="AM170" s="453">
        <f ca="1">IF(AND($D170="Serviço",AM$12&lt;&gt;0,$H170&gt;0,OR(AUTOEVENTO&lt;&gt;"manual",$M170&lt;&gt;$A$15)),
        IF(Import.TipoArredondamento&lt;&gt;"TransfereGOV",
              ROUND(OFFSET($P170,0,AM$13),15-13*ORÇAMENTO!$AF$7)/$H170*OFFSET(ORÇAMENTO!$X$15,ROW(AM170)-ROW(AM$15),0),
              ROUND(ROUND(OFFSET($P170,0,AM$13),15-13*ORÇAMENTO!$AF$7)*OFFSET(ORÇAMENTO!$W$15,ROW(AM170)-ROW(AM$15),0),15-13*ORÇAMENTO!$AF$11)),
         0)</f>
        <v>0</v>
      </c>
      <c r="AN170" s="453">
        <f ca="1">IF(AND($D170="Serviço",AN$12&lt;&gt;0,$H170&gt;0,OR(AUTOEVENTO&lt;&gt;"manual",$M170&lt;&gt;$A$15)),
        IF(Import.TipoArredondamento&lt;&gt;"TransfereGOV",
              ROUND(OFFSET($P170,0,AN$13),15-13*ORÇAMENTO!$AF$7)/$H170*OFFSET(ORÇAMENTO!$X$15,ROW(AN170)-ROW(AN$15),0),
              ROUND(ROUND(OFFSET($P170,0,AN$13),15-13*ORÇAMENTO!$AF$7)*OFFSET(ORÇAMENTO!$W$15,ROW(AN170)-ROW(AN$15),0),15-13*ORÇAMENTO!$AF$11)),
         0)</f>
        <v>0</v>
      </c>
      <c r="AO170" s="453">
        <f ca="1">IF(AND($D170="Serviço",AO$12&lt;&gt;0,$H170&gt;0,OR(AUTOEVENTO&lt;&gt;"manual",$M170&lt;&gt;$A$15)),
        IF(Import.TipoArredondamento&lt;&gt;"TransfereGOV",
              ROUND(OFFSET($P170,0,AO$13),15-13*ORÇAMENTO!$AF$7)/$H170*OFFSET(ORÇAMENTO!$X$15,ROW(AO170)-ROW(AO$15),0),
              ROUND(ROUND(OFFSET($P170,0,AO$13),15-13*ORÇAMENTO!$AF$7)*OFFSET(ORÇAMENTO!$W$15,ROW(AO170)-ROW(AO$15),0),15-13*ORÇAMENTO!$AF$11)),
         0)</f>
        <v>0</v>
      </c>
      <c r="AP170" s="453">
        <f ca="1">IF(AND($D170="Serviço",AP$12&lt;&gt;0,$H170&gt;0,OR(AUTOEVENTO&lt;&gt;"manual",$M170&lt;&gt;$A$15)),
        IF(Import.TipoArredondamento&lt;&gt;"TransfereGOV",
              ROUND(OFFSET($P170,0,AP$13),15-13*ORÇAMENTO!$AF$7)/$H170*OFFSET(ORÇAMENTO!$X$15,ROW(AP170)-ROW(AP$15),0),
              ROUND(ROUND(OFFSET($P170,0,AP$13),15-13*ORÇAMENTO!$AF$7)*OFFSET(ORÇAMENTO!$W$15,ROW(AP170)-ROW(AP$15),0),15-13*ORÇAMENTO!$AF$11)),
         0)</f>
        <v>0</v>
      </c>
      <c r="AQ170" s="453">
        <f ca="1">IF(AND($D170="Serviço",AQ$12&lt;&gt;0,$H170&gt;0,OR(AUTOEVENTO&lt;&gt;"manual",$M170&lt;&gt;$A$15)),
        IF(Import.TipoArredondamento&lt;&gt;"TransfereGOV",
              ROUND(OFFSET($P170,0,AQ$13),15-13*ORÇAMENTO!$AF$7)/$H170*OFFSET(ORÇAMENTO!$X$15,ROW(AQ170)-ROW(AQ$15),0),
              ROUND(ROUND(OFFSET($P170,0,AQ$13),15-13*ORÇAMENTO!$AF$7)*OFFSET(ORÇAMENTO!$W$15,ROW(AQ170)-ROW(AQ$15),0),15-13*ORÇAMENTO!$AF$11)),
         0)</f>
        <v>0</v>
      </c>
      <c r="AR170" s="453">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0</v>
      </c>
      <c r="AS170" s="453">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0</v>
      </c>
      <c r="AT170" s="453">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0</v>
      </c>
      <c r="AU170" s="453">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0</v>
      </c>
      <c r="AV170" s="453">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0</v>
      </c>
      <c r="AW170" s="453">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0</v>
      </c>
      <c r="AX170" s="453">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0</v>
      </c>
      <c r="AY170" s="453">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0</v>
      </c>
      <c r="AZ170" s="453">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0</v>
      </c>
      <c r="BA170" s="453">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0</v>
      </c>
      <c r="BC170" s="171">
        <f ca="1">IF(OR($D170&lt;&gt;"Serviço",AND(AUTOEVENTO="Manual",$M170=$A$15)),0,
         IF(OFFSET(CRONOPLE!$F$15,$M170-$A$15,BC$13)=0,10^12,OFFSET(CRONOPLE!$F$15,$M170-$A$15,BC$13)))</f>
        <v>1</v>
      </c>
      <c r="BD170" s="171">
        <f ca="1">IF(OR($D170&lt;&gt;"Serviço",AND(AUTOEVENTO="Manual",$M170=$A$15)),0,
         IF(OFFSET(CRONOPLE!$F$15,$M170-$A$15,BD$13)=0,10^12,OFFSET(CRONOPLE!$F$15,$M170-$A$15,BD$13)))</f>
        <v>2</v>
      </c>
      <c r="BE170" s="171">
        <f ca="1">IF(OR($D170&lt;&gt;"Serviço",AND(AUTOEVENTO="Manual",$M170=$A$15)),0,
         IF(OFFSET(CRONOPLE!$F$15,$M170-$A$15,BE$13)=0,10^12,OFFSET(CRONOPLE!$F$15,$M170-$A$15,BE$13)))</f>
        <v>3</v>
      </c>
      <c r="BF170" s="171">
        <f ca="1">IF(OR($D170&lt;&gt;"Serviço",AND(AUTOEVENTO="Manual",$M170=$A$15)),0,
         IF(OFFSET(CRONOPLE!$F$15,$M170-$A$15,BF$13)=0,10^12,OFFSET(CRONOPLE!$F$15,$M170-$A$15,BF$13)))</f>
        <v>4</v>
      </c>
      <c r="BG170" s="171">
        <f ca="1">IF(OR($D170&lt;&gt;"Serviço",AND(AUTOEVENTO="Manual",$M170=$A$15)),0,
         IF(OFFSET(CRONOPLE!$F$15,$M170-$A$15,BG$13)=0,10^12,OFFSET(CRONOPLE!$F$15,$M170-$A$15,BG$13)))</f>
        <v>5</v>
      </c>
      <c r="BH170" s="171">
        <f ca="1">IF(OR($D170&lt;&gt;"Serviço",AND(AUTOEVENTO="Manual",$M170=$A$15)),0,
         IF(OFFSET(CRONOPLE!$F$15,$M170-$A$15,BH$13)=0,10^12,OFFSET(CRONOPLE!$F$15,$M170-$A$15,BH$13)))</f>
        <v>6</v>
      </c>
      <c r="BI170" s="171">
        <f ca="1">IF(OR($D170&lt;&gt;"Serviço",AND(AUTOEVENTO="Manual",$M170=$A$15)),0,
         IF(OFFSET(CRONOPLE!$F$15,$M170-$A$15,BI$13)=0,10^12,OFFSET(CRONOPLE!$F$15,$M170-$A$15,BI$13)))</f>
        <v>7</v>
      </c>
      <c r="BJ170" s="171">
        <f ca="1">IF(OR($D170&lt;&gt;"Serviço",AND(AUTOEVENTO="Manual",$M170=$A$15)),0,
         IF(OFFSET(CRONOPLE!$F$15,$M170-$A$15,BJ$13)=0,10^12,OFFSET(CRONOPLE!$F$15,$M170-$A$15,BJ$13)))</f>
        <v>8</v>
      </c>
      <c r="BK170" s="171">
        <f ca="1">IF(OR($D170&lt;&gt;"Serviço",AND(AUTOEVENTO="Manual",$M170=$A$15)),0,
         IF(OFFSET(CRONOPLE!$F$15,$M170-$A$15,BK$13)=0,10^12,OFFSET(CRONOPLE!$F$15,$M170-$A$15,BK$13)))</f>
        <v>9</v>
      </c>
      <c r="BL170" s="171">
        <f ca="1">IF(OR($D170&lt;&gt;"Serviço",AND(AUTOEVENTO="Manual",$M170=$A$15)),0,
         IF(OFFSET(CRONOPLE!$F$15,$M170-$A$15,BL$13)=0,10^12,OFFSET(CRONOPLE!$F$15,$M170-$A$15,BL$13)))</f>
        <v>10</v>
      </c>
      <c r="BM170" s="171">
        <f ca="1">IF(OR($D170&lt;&gt;"Serviço",AND(AUTOEVENTO="Manual",$M170=$A$15)),0,
         IF(OFFSET(CRONOPLE!$F$15,$M170-$A$15,BM$13)=0,10^12,OFFSET(CRONOPLE!$F$15,$M170-$A$15,BM$13)))</f>
        <v>1000000000000</v>
      </c>
      <c r="BN170" s="171">
        <f ca="1">IF(OR($D170&lt;&gt;"Serviço",AND(AUTOEVENTO="Manual",$M170=$A$15)),0,
         IF(OFFSET(CRONOPLE!$F$15,$M170-$A$15,BN$13)=0,10^12,OFFSET(CRONOPLE!$F$15,$M170-$A$15,BN$13)))</f>
        <v>1000000000000</v>
      </c>
      <c r="BO170" s="171">
        <f ca="1">IF(OR($D170&lt;&gt;"Serviço",AND(AUTOEVENTO="Manual",$M170=$A$15)),0,
         IF(OFFSET(CRONOPLE!$F$15,$M170-$A$15,BO$13)=0,10^12,OFFSET(CRONOPLE!$F$15,$M170-$A$15,BO$13)))</f>
        <v>1000000000000</v>
      </c>
      <c r="BP170" s="171">
        <f ca="1">IF(OR($D170&lt;&gt;"Serviço",AND(AUTOEVENTO="Manual",$M170=$A$15)),0,
         IF(OFFSET(CRONOPLE!$F$15,$M170-$A$15,BP$13)=0,10^12,OFFSET(CRONOPLE!$F$15,$M170-$A$15,BP$13)))</f>
        <v>1000000000000</v>
      </c>
      <c r="BQ170" s="171">
        <f ca="1">IF(OR($D170&lt;&gt;"Serviço",AND(AUTOEVENTO="Manual",$M170=$A$15)),0,
         IF(OFFSET(CRONOPLE!$F$15,$M170-$A$15,BQ$13)=0,10^12,OFFSET(CRONOPLE!$F$15,$M170-$A$15,BQ$13)))</f>
        <v>1000000000000</v>
      </c>
      <c r="BR170" s="171">
        <f ca="1">IF(OR($D170&lt;&gt;"Serviço",AND(AUTOEVENTO="Manual",$M170=$A$15)),0,
         IF(OFFSET(CRONOPLE!$F$15,$M170-$A$15,BR$13)=0,10^12,OFFSET(CRONOPLE!$F$15,$M170-$A$15,BR$13)))</f>
        <v>1000000000000</v>
      </c>
      <c r="BS170" s="171">
        <f ca="1">IF(OR($D170&lt;&gt;"Serviço",AND(AUTOEVENTO="Manual",$M170=$A$15)),0,
         IF(OFFSET(CRONOPLE!$F$15,$M170-$A$15,BS$13)=0,10^12,OFFSET(CRONOPLE!$F$15,$M170-$A$15,BS$13)))</f>
        <v>1000000000000</v>
      </c>
      <c r="BT170" s="171">
        <f ca="1">IF(OR($D170&lt;&gt;"Serviço",AND(AUTOEVENTO="Manual",$M170=$A$15)),0,
         IF(OFFSET(CRONOPLE!$F$15,$M170-$A$15,BT$13)=0,10^12,OFFSET(CRONOPLE!$F$15,$M170-$A$15,BT$13)))</f>
        <v>1000000000000</v>
      </c>
      <c r="BV170" s="172">
        <f ca="1">IF(OR($D170&lt;&gt;"Serviço",AND(AUTOEVENTO="Manual",$M170=$A$15),$M170&gt;(ROW(PLE.lastrow)-ROW(PLE.firstrow))),0,
           IF(OFFSET(PLE!$G$15,$M170-$A$15,BV$13)="",10^12,OFFSET(PLE!$G$15,$M170-$A$15,BV$13)))</f>
        <v>1000000000000</v>
      </c>
      <c r="BW170" s="172">
        <f ca="1">IF(OR($D170&lt;&gt;"Serviço",AND(AUTOEVENTO="Manual",$M170=$A$15),$M170&gt;(ROW(PLE.lastrow)-ROW(PLE.firstrow))),0,
           IF(OFFSET(PLE!$G$15,$M170-$A$15,BW$13)="",10^12,OFFSET(PLE!$G$15,$M170-$A$15,BW$13)))</f>
        <v>1000000000000</v>
      </c>
      <c r="BX170" s="172">
        <f ca="1">IF(OR($D170&lt;&gt;"Serviço",AND(AUTOEVENTO="Manual",$M170=$A$15),$M170&gt;(ROW(PLE.lastrow)-ROW(PLE.firstrow))),0,
           IF(OFFSET(PLE!$G$15,$M170-$A$15,BX$13)="",10^12,OFFSET(PLE!$G$15,$M170-$A$15,BX$13)))</f>
        <v>1000000000000</v>
      </c>
      <c r="BY170" s="172">
        <f ca="1">IF(OR($D170&lt;&gt;"Serviço",AND(AUTOEVENTO="Manual",$M170=$A$15),$M170&gt;(ROW(PLE.lastrow)-ROW(PLE.firstrow))),0,
           IF(OFFSET(PLE!$G$15,$M170-$A$15,BY$13)="",10^12,OFFSET(PLE!$G$15,$M170-$A$15,BY$13)))</f>
        <v>1000000000000</v>
      </c>
      <c r="BZ170" s="172">
        <f ca="1">IF(OR($D170&lt;&gt;"Serviço",AND(AUTOEVENTO="Manual",$M170=$A$15),$M170&gt;(ROW(PLE.lastrow)-ROW(PLE.firstrow))),0,
           IF(OFFSET(PLE!$G$15,$M170-$A$15,BZ$13)="",10^12,OFFSET(PLE!$G$15,$M170-$A$15,BZ$13)))</f>
        <v>1000000000000</v>
      </c>
      <c r="CA170" s="172">
        <f ca="1">IF(OR($D170&lt;&gt;"Serviço",AND(AUTOEVENTO="Manual",$M170=$A$15),$M170&gt;(ROW(PLE.lastrow)-ROW(PLE.firstrow))),0,
           IF(OFFSET(PLE!$G$15,$M170-$A$15,CA$13)="",10^12,OFFSET(PLE!$G$15,$M170-$A$15,CA$13)))</f>
        <v>1000000000000</v>
      </c>
      <c r="CB170" s="172">
        <f ca="1">IF(OR($D170&lt;&gt;"Serviço",AND(AUTOEVENTO="Manual",$M170=$A$15),$M170&gt;(ROW(PLE.lastrow)-ROW(PLE.firstrow))),0,
           IF(OFFSET(PLE!$G$15,$M170-$A$15,CB$13)="",10^12,OFFSET(PLE!$G$15,$M170-$A$15,CB$13)))</f>
        <v>1000000000000</v>
      </c>
      <c r="CC170" s="172">
        <f ca="1">IF(OR($D170&lt;&gt;"Serviço",AND(AUTOEVENTO="Manual",$M170=$A$15),$M170&gt;(ROW(PLE.lastrow)-ROW(PLE.firstrow))),0,
           IF(OFFSET(PLE!$G$15,$M170-$A$15,CC$13)="",10^12,OFFSET(PLE!$G$15,$M170-$A$15,CC$13)))</f>
        <v>1000000000000</v>
      </c>
      <c r="CD170" s="172">
        <f ca="1">IF(OR($D170&lt;&gt;"Serviço",AND(AUTOEVENTO="Manual",$M170=$A$15),$M170&gt;(ROW(PLE.lastrow)-ROW(PLE.firstrow))),0,
           IF(OFFSET(PLE!$G$15,$M170-$A$15,CD$13)="",10^12,OFFSET(PLE!$G$15,$M170-$A$15,CD$13)))</f>
        <v>1000000000000</v>
      </c>
      <c r="CE170" s="172">
        <f ca="1">IF(OR($D170&lt;&gt;"Serviço",AND(AUTOEVENTO="Manual",$M170=$A$15),$M170&gt;(ROW(PLE.lastrow)-ROW(PLE.firstrow))),0,
           IF(OFFSET(PLE!$G$15,$M170-$A$15,CE$13)="",10^12,OFFSET(PLE!$G$15,$M170-$A$15,CE$13)))</f>
        <v>1000000000000</v>
      </c>
      <c r="CF170" s="172">
        <f ca="1">IF(OR($D170&lt;&gt;"Serviço",AND(AUTOEVENTO="Manual",$M170=$A$15),$M170&gt;(ROW(PLE.lastrow)-ROW(PLE.firstrow))),0,
           IF(OFFSET(PLE!$G$15,$M170-$A$15,CF$13)="",10^12,OFFSET(PLE!$G$15,$M170-$A$15,CF$13)))</f>
        <v>1000000000000</v>
      </c>
      <c r="CG170" s="172">
        <f ca="1">IF(OR($D170&lt;&gt;"Serviço",AND(AUTOEVENTO="Manual",$M170=$A$15),$M170&gt;(ROW(PLE.lastrow)-ROW(PLE.firstrow))),0,
           IF(OFFSET(PLE!$G$15,$M170-$A$15,CG$13)="",10^12,OFFSET(PLE!$G$15,$M170-$A$15,CG$13)))</f>
        <v>1000000000000</v>
      </c>
      <c r="CH170" s="172">
        <f ca="1">IF(OR($D170&lt;&gt;"Serviço",AND(AUTOEVENTO="Manual",$M170=$A$15),$M170&gt;(ROW(PLE.lastrow)-ROW(PLE.firstrow))),0,
           IF(OFFSET(PLE!$G$15,$M170-$A$15,CH$13)="",10^12,OFFSET(PLE!$G$15,$M170-$A$15,CH$13)))</f>
        <v>1000000000000</v>
      </c>
      <c r="CI170" s="172">
        <f ca="1">IF(OR($D170&lt;&gt;"Serviço",AND(AUTOEVENTO="Manual",$M170=$A$15),$M170&gt;(ROW(PLE.lastrow)-ROW(PLE.firstrow))),0,
           IF(OFFSET(PLE!$G$15,$M170-$A$15,CI$13)="",10^12,OFFSET(PLE!$G$15,$M170-$A$15,CI$13)))</f>
        <v>1000000000000</v>
      </c>
      <c r="CJ170" s="172">
        <f ca="1">IF(OR($D170&lt;&gt;"Serviço",AND(AUTOEVENTO="Manual",$M170=$A$15),$M170&gt;(ROW(PLE.lastrow)-ROW(PLE.firstrow))),0,
           IF(OFFSET(PLE!$G$15,$M170-$A$15,CJ$13)="",10^12,OFFSET(PLE!$G$15,$M170-$A$15,CJ$13)))</f>
        <v>1000000000000</v>
      </c>
      <c r="CK170" s="172">
        <f ca="1">IF(OR($D170&lt;&gt;"Serviço",AND(AUTOEVENTO="Manual",$M170=$A$15),$M170&gt;(ROW(PLE.lastrow)-ROW(PLE.firstrow))),0,
           IF(OFFSET(PLE!$G$15,$M170-$A$15,CK$13)="",10^12,OFFSET(PLE!$G$15,$M170-$A$15,CK$13)))</f>
        <v>1000000000000</v>
      </c>
      <c r="CL170" s="172">
        <f ca="1">IF(OR($D170&lt;&gt;"Serviço",AND(AUTOEVENTO="Manual",$M170=$A$15),$M170&gt;(ROW(PLE.lastrow)-ROW(PLE.firstrow))),0,
           IF(OFFSET(PLE!$G$15,$M170-$A$15,CL$13)="",10^12,OFFSET(PLE!$G$15,$M170-$A$15,CL$13)))</f>
        <v>1000000000000</v>
      </c>
      <c r="CM170" s="172">
        <f ca="1">IF(OR($D170&lt;&gt;"Serviço",AND(AUTOEVENTO="Manual",$M170=$A$15),$M170&gt;(ROW(PLE.lastrow)-ROW(PLE.firstrow))),0,
           IF(OFFSET(PLE!$G$15,$M170-$A$15,CM$13)="",10^12,OFFSET(PLE!$G$15,$M170-$A$15,CM$13)))</f>
        <v>1000000000000</v>
      </c>
    </row>
    <row r="171" spans="1:91" ht="25.5" x14ac:dyDescent="0.2">
      <c r="A171" s="7">
        <f t="shared" ca="1" si="12"/>
        <v>4</v>
      </c>
      <c r="B171" s="7" t="str">
        <f ca="1">OFFSET(ORÇAMENTO!C$15,ROW(B171)-ROW(B$15),0)</f>
        <v>S</v>
      </c>
      <c r="C171" s="7" t="str">
        <f ca="1">OFFSET(ORÇAMENTO!L$15,ROW(C171)-ROW(C$15),0)</f>
        <v>F</v>
      </c>
      <c r="D171" s="116" t="str">
        <f ca="1">OFFSET(ORÇAMENTO!N$15,ROW(D171)-ROW(D$15),0)</f>
        <v>Serviço</v>
      </c>
      <c r="E171" s="117" t="str">
        <f ca="1">OFFSET(ORÇAMENTO!O$15,ROW(E171)-ROW(E$15),0)</f>
        <v>1.5.5.2.12.</v>
      </c>
      <c r="F171" s="163" t="str">
        <f ca="1">OFFSET(ORÇAMENTO!R$15,ROW(F171)-ROW(F$15),0)</f>
        <v>TAXA ATERRO SANITÁRIO</v>
      </c>
      <c r="G171" s="164" t="str">
        <f ca="1">IF($D171&lt;&gt;"Serviço","",OFFSET(ORÇAMENTO!S$15,ROW(G171)-ROW(G$15),0))</f>
        <v>T</v>
      </c>
      <c r="H171" s="122" cm="1">
        <f t="array" aca="1" ref="H171" ca="1">IF($D171&lt;&gt;"Serviço",0,IF(ACOMPANHAMENTO="BM",ROUND(OFFSET(ORÇAMENTO!AJ$15,ROW(H171)-ROW(H$15),0),15-13*ORÇAMENTO!$AF$7),SUMPRODUCT(($Q$1:$AI$1=1)*ROUND($Q171:$AI171,15-13*ORÇAMENTO!$AF$7))))</f>
        <v>7.78</v>
      </c>
      <c r="I171" s="468" t="s">
        <v>1301</v>
      </c>
      <c r="J171" s="640" t="str" cm="1">
        <f t="array" aca="1" ref="J171" ca="1">IF(OR(B171&lt;&gt;"S",CÁLCULO.FrentesPreenchidas=0),"",IF(AND(ACOMPANHAMENTO="PLE",AUTOEVENTO="Manual",OR(H171&gt;0,ORÇAMENTO!AC171="QUANT."),OR(K171="",M171=0,N171="")),"►E",IF(AND(ACOMPANHAMENTO="PLE",ORÇAMENTO!AC171="QUANT."),"►Q",IF(AND(ACOMPANHAMENTO="PLE",H171&lt;&gt;SUMPRODUCT(($Q$1:$AI$1=1)*ROUND(Q171:AI171,15))),"►S",IF(AND(COUNTIF($P$11:$AI$11,"▼")=0,H171&gt;0,I171=""),"◄M","")))))</f>
        <v/>
      </c>
      <c r="K171" s="641" t="s">
        <v>1389</v>
      </c>
      <c r="L171" s="165" t="s">
        <v>764</v>
      </c>
      <c r="M171" s="166">
        <f ca="1">IF($D171&lt;&gt;"Serviço","",
          IF(AUTOEVENTO="manual",$A171,
                IF(ISERROR(MATCH($A171,$A$15:OFFSET($A171,-1,0),0)),MAX($M$15:OFFSET(M171,-1,0))+1,
                      INDEX($M$15:OFFSET(M171,-1,0),MATCH($A171,$A$15:OFFSET($A171,-1,0),0)))))</f>
        <v>4</v>
      </c>
      <c r="N171" s="167" t="str">
        <f ca="1">IF($D171&lt;&gt;"Serviço","",
         IF(AUTOEVENTO="Manual",
                IF($A171=0,"&lt;-- defina o número do agrupador",
                       OFFSET(EVENTOS!$D$15,$A171-$A$15,0)),
                OFFSET($F$15,$A171,0)))</f>
        <v>Estruturas de Concreto</v>
      </c>
      <c r="O171" s="168"/>
      <c r="Q171" s="168"/>
      <c r="R171" s="169"/>
      <c r="S171" s="169"/>
      <c r="T171" s="169"/>
      <c r="U171" s="169"/>
      <c r="V171" s="169">
        <f>ROUND(V169*1.36,2)</f>
        <v>7.78</v>
      </c>
      <c r="W171" s="169"/>
      <c r="X171" s="169"/>
      <c r="Y171" s="169"/>
      <c r="Z171" s="170"/>
      <c r="AA171" s="169"/>
      <c r="AB171" s="169"/>
      <c r="AC171" s="169"/>
      <c r="AD171" s="169"/>
      <c r="AE171" s="169"/>
      <c r="AF171" s="169"/>
      <c r="AG171" s="169"/>
      <c r="AH171" s="170"/>
      <c r="AJ171" s="453">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0</v>
      </c>
      <c r="AK171" s="453">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0</v>
      </c>
      <c r="AL171" s="453">
        <f ca="1">IF(AND($D171="Serviço",AL$12&lt;&gt;0,$H171&gt;0,OR(AUTOEVENTO&lt;&gt;"manual",$M171&lt;&gt;$A$15)),
        IF(Import.TipoArredondamento&lt;&gt;"TransfereGOV",
              ROUND(OFFSET($P171,0,AL$13),15-13*ORÇAMENTO!$AF$7)/$H171*OFFSET(ORÇAMENTO!$X$15,ROW(AL171)-ROW(AL$15),0),
              ROUND(ROUND(OFFSET($P171,0,AL$13),15-13*ORÇAMENTO!$AF$7)*OFFSET(ORÇAMENTO!$W$15,ROW(AL171)-ROW(AL$15),0),15-13*ORÇAMENTO!$AF$11)),
         0)</f>
        <v>0</v>
      </c>
      <c r="AM171" s="453">
        <f ca="1">IF(AND($D171="Serviço",AM$12&lt;&gt;0,$H171&gt;0,OR(AUTOEVENTO&lt;&gt;"manual",$M171&lt;&gt;$A$15)),
        IF(Import.TipoArredondamento&lt;&gt;"TransfereGOV",
              ROUND(OFFSET($P171,0,AM$13),15-13*ORÇAMENTO!$AF$7)/$H171*OFFSET(ORÇAMENTO!$X$15,ROW(AM171)-ROW(AM$15),0),
              ROUND(ROUND(OFFSET($P171,0,AM$13),15-13*ORÇAMENTO!$AF$7)*OFFSET(ORÇAMENTO!$W$15,ROW(AM171)-ROW(AM$15),0),15-13*ORÇAMENTO!$AF$11)),
         0)</f>
        <v>0</v>
      </c>
      <c r="AN171" s="453">
        <f ca="1">IF(AND($D171="Serviço",AN$12&lt;&gt;0,$H171&gt;0,OR(AUTOEVENTO&lt;&gt;"manual",$M171&lt;&gt;$A$15)),
        IF(Import.TipoArredondamento&lt;&gt;"TransfereGOV",
              ROUND(OFFSET($P171,0,AN$13),15-13*ORÇAMENTO!$AF$7)/$H171*OFFSET(ORÇAMENTO!$X$15,ROW(AN171)-ROW(AN$15),0),
              ROUND(ROUND(OFFSET($P171,0,AN$13),15-13*ORÇAMENTO!$AF$7)*OFFSET(ORÇAMENTO!$W$15,ROW(AN171)-ROW(AN$15),0),15-13*ORÇAMENTO!$AF$11)),
         0)</f>
        <v>0</v>
      </c>
      <c r="AO171" s="453">
        <f ca="1">IF(AND($D171="Serviço",AO$12&lt;&gt;0,$H171&gt;0,OR(AUTOEVENTO&lt;&gt;"manual",$M171&lt;&gt;$A$15)),
        IF(Import.TipoArredondamento&lt;&gt;"TransfereGOV",
              ROUND(OFFSET($P171,0,AO$13),15-13*ORÇAMENTO!$AF$7)/$H171*OFFSET(ORÇAMENTO!$X$15,ROW(AO171)-ROW(AO$15),0),
              ROUND(ROUND(OFFSET($P171,0,AO$13),15-13*ORÇAMENTO!$AF$7)*OFFSET(ORÇAMENTO!$W$15,ROW(AO171)-ROW(AO$15),0),15-13*ORÇAMENTO!$AF$11)),
         0)</f>
        <v>0</v>
      </c>
      <c r="AP171" s="453">
        <f ca="1">IF(AND($D171="Serviço",AP$12&lt;&gt;0,$H171&gt;0,OR(AUTOEVENTO&lt;&gt;"manual",$M171&lt;&gt;$A$15)),
        IF(Import.TipoArredondamento&lt;&gt;"TransfereGOV",
              ROUND(OFFSET($P171,0,AP$13),15-13*ORÇAMENTO!$AF$7)/$H171*OFFSET(ORÇAMENTO!$X$15,ROW(AP171)-ROW(AP$15),0),
              ROUND(ROUND(OFFSET($P171,0,AP$13),15-13*ORÇAMENTO!$AF$7)*OFFSET(ORÇAMENTO!$W$15,ROW(AP171)-ROW(AP$15),0),15-13*ORÇAMENTO!$AF$11)),
         0)</f>
        <v>0</v>
      </c>
      <c r="AQ171" s="453">
        <f ca="1">IF(AND($D171="Serviço",AQ$12&lt;&gt;0,$H171&gt;0,OR(AUTOEVENTO&lt;&gt;"manual",$M171&lt;&gt;$A$15)),
        IF(Import.TipoArredondamento&lt;&gt;"TransfereGOV",
              ROUND(OFFSET($P171,0,AQ$13),15-13*ORÇAMENTO!$AF$7)/$H171*OFFSET(ORÇAMENTO!$X$15,ROW(AQ171)-ROW(AQ$15),0),
              ROUND(ROUND(OFFSET($P171,0,AQ$13),15-13*ORÇAMENTO!$AF$7)*OFFSET(ORÇAMENTO!$W$15,ROW(AQ171)-ROW(AQ$15),0),15-13*ORÇAMENTO!$AF$11)),
         0)</f>
        <v>0</v>
      </c>
      <c r="AR171" s="453">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453">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453">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453">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453">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453">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453">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453">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453">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453">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C171" s="171">
        <f ca="1">IF(OR($D171&lt;&gt;"Serviço",AND(AUTOEVENTO="Manual",$M171=$A$15)),0,
         IF(OFFSET(CRONOPLE!$F$15,$M171-$A$15,BC$13)=0,10^12,OFFSET(CRONOPLE!$F$15,$M171-$A$15,BC$13)))</f>
        <v>1</v>
      </c>
      <c r="BD171" s="171">
        <f ca="1">IF(OR($D171&lt;&gt;"Serviço",AND(AUTOEVENTO="Manual",$M171=$A$15)),0,
         IF(OFFSET(CRONOPLE!$F$15,$M171-$A$15,BD$13)=0,10^12,OFFSET(CRONOPLE!$F$15,$M171-$A$15,BD$13)))</f>
        <v>2</v>
      </c>
      <c r="BE171" s="171">
        <f ca="1">IF(OR($D171&lt;&gt;"Serviço",AND(AUTOEVENTO="Manual",$M171=$A$15)),0,
         IF(OFFSET(CRONOPLE!$F$15,$M171-$A$15,BE$13)=0,10^12,OFFSET(CRONOPLE!$F$15,$M171-$A$15,BE$13)))</f>
        <v>3</v>
      </c>
      <c r="BF171" s="171">
        <f ca="1">IF(OR($D171&lt;&gt;"Serviço",AND(AUTOEVENTO="Manual",$M171=$A$15)),0,
         IF(OFFSET(CRONOPLE!$F$15,$M171-$A$15,BF$13)=0,10^12,OFFSET(CRONOPLE!$F$15,$M171-$A$15,BF$13)))</f>
        <v>4</v>
      </c>
      <c r="BG171" s="171">
        <f ca="1">IF(OR($D171&lt;&gt;"Serviço",AND(AUTOEVENTO="Manual",$M171=$A$15)),0,
         IF(OFFSET(CRONOPLE!$F$15,$M171-$A$15,BG$13)=0,10^12,OFFSET(CRONOPLE!$F$15,$M171-$A$15,BG$13)))</f>
        <v>5</v>
      </c>
      <c r="BH171" s="171">
        <f ca="1">IF(OR($D171&lt;&gt;"Serviço",AND(AUTOEVENTO="Manual",$M171=$A$15)),0,
         IF(OFFSET(CRONOPLE!$F$15,$M171-$A$15,BH$13)=0,10^12,OFFSET(CRONOPLE!$F$15,$M171-$A$15,BH$13)))</f>
        <v>6</v>
      </c>
      <c r="BI171" s="171">
        <f ca="1">IF(OR($D171&lt;&gt;"Serviço",AND(AUTOEVENTO="Manual",$M171=$A$15)),0,
         IF(OFFSET(CRONOPLE!$F$15,$M171-$A$15,BI$13)=0,10^12,OFFSET(CRONOPLE!$F$15,$M171-$A$15,BI$13)))</f>
        <v>7</v>
      </c>
      <c r="BJ171" s="171">
        <f ca="1">IF(OR($D171&lt;&gt;"Serviço",AND(AUTOEVENTO="Manual",$M171=$A$15)),0,
         IF(OFFSET(CRONOPLE!$F$15,$M171-$A$15,BJ$13)=0,10^12,OFFSET(CRONOPLE!$F$15,$M171-$A$15,BJ$13)))</f>
        <v>8</v>
      </c>
      <c r="BK171" s="171">
        <f ca="1">IF(OR($D171&lt;&gt;"Serviço",AND(AUTOEVENTO="Manual",$M171=$A$15)),0,
         IF(OFFSET(CRONOPLE!$F$15,$M171-$A$15,BK$13)=0,10^12,OFFSET(CRONOPLE!$F$15,$M171-$A$15,BK$13)))</f>
        <v>9</v>
      </c>
      <c r="BL171" s="171">
        <f ca="1">IF(OR($D171&lt;&gt;"Serviço",AND(AUTOEVENTO="Manual",$M171=$A$15)),0,
         IF(OFFSET(CRONOPLE!$F$15,$M171-$A$15,BL$13)=0,10^12,OFFSET(CRONOPLE!$F$15,$M171-$A$15,BL$13)))</f>
        <v>10</v>
      </c>
      <c r="BM171" s="171">
        <f ca="1">IF(OR($D171&lt;&gt;"Serviço",AND(AUTOEVENTO="Manual",$M171=$A$15)),0,
         IF(OFFSET(CRONOPLE!$F$15,$M171-$A$15,BM$13)=0,10^12,OFFSET(CRONOPLE!$F$15,$M171-$A$15,BM$13)))</f>
        <v>1000000000000</v>
      </c>
      <c r="BN171" s="171">
        <f ca="1">IF(OR($D171&lt;&gt;"Serviço",AND(AUTOEVENTO="Manual",$M171=$A$15)),0,
         IF(OFFSET(CRONOPLE!$F$15,$M171-$A$15,BN$13)=0,10^12,OFFSET(CRONOPLE!$F$15,$M171-$A$15,BN$13)))</f>
        <v>1000000000000</v>
      </c>
      <c r="BO171" s="171">
        <f ca="1">IF(OR($D171&lt;&gt;"Serviço",AND(AUTOEVENTO="Manual",$M171=$A$15)),0,
         IF(OFFSET(CRONOPLE!$F$15,$M171-$A$15,BO$13)=0,10^12,OFFSET(CRONOPLE!$F$15,$M171-$A$15,BO$13)))</f>
        <v>1000000000000</v>
      </c>
      <c r="BP171" s="171">
        <f ca="1">IF(OR($D171&lt;&gt;"Serviço",AND(AUTOEVENTO="Manual",$M171=$A$15)),0,
         IF(OFFSET(CRONOPLE!$F$15,$M171-$A$15,BP$13)=0,10^12,OFFSET(CRONOPLE!$F$15,$M171-$A$15,BP$13)))</f>
        <v>1000000000000</v>
      </c>
      <c r="BQ171" s="171">
        <f ca="1">IF(OR($D171&lt;&gt;"Serviço",AND(AUTOEVENTO="Manual",$M171=$A$15)),0,
         IF(OFFSET(CRONOPLE!$F$15,$M171-$A$15,BQ$13)=0,10^12,OFFSET(CRONOPLE!$F$15,$M171-$A$15,BQ$13)))</f>
        <v>1000000000000</v>
      </c>
      <c r="BR171" s="171">
        <f ca="1">IF(OR($D171&lt;&gt;"Serviço",AND(AUTOEVENTO="Manual",$M171=$A$15)),0,
         IF(OFFSET(CRONOPLE!$F$15,$M171-$A$15,BR$13)=0,10^12,OFFSET(CRONOPLE!$F$15,$M171-$A$15,BR$13)))</f>
        <v>1000000000000</v>
      </c>
      <c r="BS171" s="171">
        <f ca="1">IF(OR($D171&lt;&gt;"Serviço",AND(AUTOEVENTO="Manual",$M171=$A$15)),0,
         IF(OFFSET(CRONOPLE!$F$15,$M171-$A$15,BS$13)=0,10^12,OFFSET(CRONOPLE!$F$15,$M171-$A$15,BS$13)))</f>
        <v>1000000000000</v>
      </c>
      <c r="BT171" s="171">
        <f ca="1">IF(OR($D171&lt;&gt;"Serviço",AND(AUTOEVENTO="Manual",$M171=$A$15)),0,
         IF(OFFSET(CRONOPLE!$F$15,$M171-$A$15,BT$13)=0,10^12,OFFSET(CRONOPLE!$F$15,$M171-$A$15,BT$13)))</f>
        <v>1000000000000</v>
      </c>
      <c r="BV171" s="172">
        <f ca="1">IF(OR($D171&lt;&gt;"Serviço",AND(AUTOEVENTO="Manual",$M171=$A$15),$M171&gt;(ROW(PLE.lastrow)-ROW(PLE.firstrow))),0,
           IF(OFFSET(PLE!$G$15,$M171-$A$15,BV$13)="",10^12,OFFSET(PLE!$G$15,$M171-$A$15,BV$13)))</f>
        <v>1000000000000</v>
      </c>
      <c r="BW171" s="172">
        <f ca="1">IF(OR($D171&lt;&gt;"Serviço",AND(AUTOEVENTO="Manual",$M171=$A$15),$M171&gt;(ROW(PLE.lastrow)-ROW(PLE.firstrow))),0,
           IF(OFFSET(PLE!$G$15,$M171-$A$15,BW$13)="",10^12,OFFSET(PLE!$G$15,$M171-$A$15,BW$13)))</f>
        <v>1000000000000</v>
      </c>
      <c r="BX171" s="172">
        <f ca="1">IF(OR($D171&lt;&gt;"Serviço",AND(AUTOEVENTO="Manual",$M171=$A$15),$M171&gt;(ROW(PLE.lastrow)-ROW(PLE.firstrow))),0,
           IF(OFFSET(PLE!$G$15,$M171-$A$15,BX$13)="",10^12,OFFSET(PLE!$G$15,$M171-$A$15,BX$13)))</f>
        <v>1000000000000</v>
      </c>
      <c r="BY171" s="172">
        <f ca="1">IF(OR($D171&lt;&gt;"Serviço",AND(AUTOEVENTO="Manual",$M171=$A$15),$M171&gt;(ROW(PLE.lastrow)-ROW(PLE.firstrow))),0,
           IF(OFFSET(PLE!$G$15,$M171-$A$15,BY$13)="",10^12,OFFSET(PLE!$G$15,$M171-$A$15,BY$13)))</f>
        <v>1000000000000</v>
      </c>
      <c r="BZ171" s="172">
        <f ca="1">IF(OR($D171&lt;&gt;"Serviço",AND(AUTOEVENTO="Manual",$M171=$A$15),$M171&gt;(ROW(PLE.lastrow)-ROW(PLE.firstrow))),0,
           IF(OFFSET(PLE!$G$15,$M171-$A$15,BZ$13)="",10^12,OFFSET(PLE!$G$15,$M171-$A$15,BZ$13)))</f>
        <v>1000000000000</v>
      </c>
      <c r="CA171" s="172">
        <f ca="1">IF(OR($D171&lt;&gt;"Serviço",AND(AUTOEVENTO="Manual",$M171=$A$15),$M171&gt;(ROW(PLE.lastrow)-ROW(PLE.firstrow))),0,
           IF(OFFSET(PLE!$G$15,$M171-$A$15,CA$13)="",10^12,OFFSET(PLE!$G$15,$M171-$A$15,CA$13)))</f>
        <v>1000000000000</v>
      </c>
      <c r="CB171" s="172">
        <f ca="1">IF(OR($D171&lt;&gt;"Serviço",AND(AUTOEVENTO="Manual",$M171=$A$15),$M171&gt;(ROW(PLE.lastrow)-ROW(PLE.firstrow))),0,
           IF(OFFSET(PLE!$G$15,$M171-$A$15,CB$13)="",10^12,OFFSET(PLE!$G$15,$M171-$A$15,CB$13)))</f>
        <v>1000000000000</v>
      </c>
      <c r="CC171" s="172">
        <f ca="1">IF(OR($D171&lt;&gt;"Serviço",AND(AUTOEVENTO="Manual",$M171=$A$15),$M171&gt;(ROW(PLE.lastrow)-ROW(PLE.firstrow))),0,
           IF(OFFSET(PLE!$G$15,$M171-$A$15,CC$13)="",10^12,OFFSET(PLE!$G$15,$M171-$A$15,CC$13)))</f>
        <v>1000000000000</v>
      </c>
      <c r="CD171" s="172">
        <f ca="1">IF(OR($D171&lt;&gt;"Serviço",AND(AUTOEVENTO="Manual",$M171=$A$15),$M171&gt;(ROW(PLE.lastrow)-ROW(PLE.firstrow))),0,
           IF(OFFSET(PLE!$G$15,$M171-$A$15,CD$13)="",10^12,OFFSET(PLE!$G$15,$M171-$A$15,CD$13)))</f>
        <v>1000000000000</v>
      </c>
      <c r="CE171" s="172">
        <f ca="1">IF(OR($D171&lt;&gt;"Serviço",AND(AUTOEVENTO="Manual",$M171=$A$15),$M171&gt;(ROW(PLE.lastrow)-ROW(PLE.firstrow))),0,
           IF(OFFSET(PLE!$G$15,$M171-$A$15,CE$13)="",10^12,OFFSET(PLE!$G$15,$M171-$A$15,CE$13)))</f>
        <v>1000000000000</v>
      </c>
      <c r="CF171" s="172">
        <f ca="1">IF(OR($D171&lt;&gt;"Serviço",AND(AUTOEVENTO="Manual",$M171=$A$15),$M171&gt;(ROW(PLE.lastrow)-ROW(PLE.firstrow))),0,
           IF(OFFSET(PLE!$G$15,$M171-$A$15,CF$13)="",10^12,OFFSET(PLE!$G$15,$M171-$A$15,CF$13)))</f>
        <v>1000000000000</v>
      </c>
      <c r="CG171" s="172">
        <f ca="1">IF(OR($D171&lt;&gt;"Serviço",AND(AUTOEVENTO="Manual",$M171=$A$15),$M171&gt;(ROW(PLE.lastrow)-ROW(PLE.firstrow))),0,
           IF(OFFSET(PLE!$G$15,$M171-$A$15,CG$13)="",10^12,OFFSET(PLE!$G$15,$M171-$A$15,CG$13)))</f>
        <v>1000000000000</v>
      </c>
      <c r="CH171" s="172">
        <f ca="1">IF(OR($D171&lt;&gt;"Serviço",AND(AUTOEVENTO="Manual",$M171=$A$15),$M171&gt;(ROW(PLE.lastrow)-ROW(PLE.firstrow))),0,
           IF(OFFSET(PLE!$G$15,$M171-$A$15,CH$13)="",10^12,OFFSET(PLE!$G$15,$M171-$A$15,CH$13)))</f>
        <v>1000000000000</v>
      </c>
      <c r="CI171" s="172">
        <f ca="1">IF(OR($D171&lt;&gt;"Serviço",AND(AUTOEVENTO="Manual",$M171=$A$15),$M171&gt;(ROW(PLE.lastrow)-ROW(PLE.firstrow))),0,
           IF(OFFSET(PLE!$G$15,$M171-$A$15,CI$13)="",10^12,OFFSET(PLE!$G$15,$M171-$A$15,CI$13)))</f>
        <v>1000000000000</v>
      </c>
      <c r="CJ171" s="172">
        <f ca="1">IF(OR($D171&lt;&gt;"Serviço",AND(AUTOEVENTO="Manual",$M171=$A$15),$M171&gt;(ROW(PLE.lastrow)-ROW(PLE.firstrow))),0,
           IF(OFFSET(PLE!$G$15,$M171-$A$15,CJ$13)="",10^12,OFFSET(PLE!$G$15,$M171-$A$15,CJ$13)))</f>
        <v>1000000000000</v>
      </c>
      <c r="CK171" s="172">
        <f ca="1">IF(OR($D171&lt;&gt;"Serviço",AND(AUTOEVENTO="Manual",$M171=$A$15),$M171&gt;(ROW(PLE.lastrow)-ROW(PLE.firstrow))),0,
           IF(OFFSET(PLE!$G$15,$M171-$A$15,CK$13)="",10^12,OFFSET(PLE!$G$15,$M171-$A$15,CK$13)))</f>
        <v>1000000000000</v>
      </c>
      <c r="CL171" s="172">
        <f ca="1">IF(OR($D171&lt;&gt;"Serviço",AND(AUTOEVENTO="Manual",$M171=$A$15),$M171&gt;(ROW(PLE.lastrow)-ROW(PLE.firstrow))),0,
           IF(OFFSET(PLE!$G$15,$M171-$A$15,CL$13)="",10^12,OFFSET(PLE!$G$15,$M171-$A$15,CL$13)))</f>
        <v>1000000000000</v>
      </c>
      <c r="CM171" s="172">
        <f ca="1">IF(OR($D171&lt;&gt;"Serviço",AND(AUTOEVENTO="Manual",$M171=$A$15),$M171&gt;(ROW(PLE.lastrow)-ROW(PLE.firstrow))),0,
           IF(OFFSET(PLE!$G$15,$M171-$A$15,CM$13)="",10^12,OFFSET(PLE!$G$15,$M171-$A$15,CM$13)))</f>
        <v>1000000000000</v>
      </c>
    </row>
    <row r="172" spans="1:91" ht="38.25" x14ac:dyDescent="0.2">
      <c r="A172" s="7">
        <f t="shared" ca="1" si="12"/>
        <v>4</v>
      </c>
      <c r="B172" s="7" t="str">
        <f ca="1">OFFSET(ORÇAMENTO!C$15,ROW(B172)-ROW(B$15),0)</f>
        <v>S</v>
      </c>
      <c r="C172" s="7" t="str">
        <f ca="1">OFFSET(ORÇAMENTO!L$15,ROW(C172)-ROW(C$15),0)</f>
        <v>F</v>
      </c>
      <c r="D172" s="116" t="str">
        <f ca="1">OFFSET(ORÇAMENTO!N$15,ROW(D172)-ROW(D$15),0)</f>
        <v>Serviço</v>
      </c>
      <c r="E172" s="117" t="str">
        <f ca="1">OFFSET(ORÇAMENTO!O$15,ROW(E172)-ROW(E$15),0)</f>
        <v>1.5.5.2.13.</v>
      </c>
      <c r="F172" s="163" t="str">
        <f ca="1">OFFSET(ORÇAMENTO!R$15,ROW(F172)-ROW(F$15),0)</f>
        <v>ESPALHAMENTO DE MATERIAL COM TRATOR DE ESTEIRAS. AF_09/2024</v>
      </c>
      <c r="G172" s="164" t="str">
        <f ca="1">IF($D172&lt;&gt;"Serviço","",OFFSET(ORÇAMENTO!S$15,ROW(G172)-ROW(G$15),0))</f>
        <v>M3</v>
      </c>
      <c r="H172" s="122" cm="1">
        <f t="array" aca="1" ref="H172" ca="1">IF($D172&lt;&gt;"Serviço",0,IF(ACOMPANHAMENTO="BM",ROUND(OFFSET(ORÇAMENTO!AJ$15,ROW(H172)-ROW(H$15),0),15-13*ORÇAMENTO!$AF$7),SUMPRODUCT(($Q$1:$AI$1=1)*ROUND($Q172:$AI172,15-13*ORÇAMENTO!$AF$7))))</f>
        <v>5.72</v>
      </c>
      <c r="I172" s="468" t="s">
        <v>1441</v>
      </c>
      <c r="J172" s="640" t="str" cm="1">
        <f t="array" aca="1" ref="J172" ca="1">IF(OR(B172&lt;&gt;"S",CÁLCULO.FrentesPreenchidas=0),"",IF(AND(ACOMPANHAMENTO="PLE",AUTOEVENTO="Manual",OR(H172&gt;0,ORÇAMENTO!AC172="QUANT."),OR(K172="",M172=0,N172="")),"►E",IF(AND(ACOMPANHAMENTO="PLE",ORÇAMENTO!AC172="QUANT."),"►Q",IF(AND(ACOMPANHAMENTO="PLE",H172&lt;&gt;SUMPRODUCT(($Q$1:$AI$1=1)*ROUND(Q172:AI172,15))),"►S",IF(AND(COUNTIF($P$11:$AI$11,"▼")=0,H172&gt;0,I172=""),"◄M","")))))</f>
        <v/>
      </c>
      <c r="K172" s="641" t="s">
        <v>1389</v>
      </c>
      <c r="L172" s="165" t="s">
        <v>764</v>
      </c>
      <c r="M172" s="166">
        <f ca="1">IF($D172&lt;&gt;"Serviço","",
          IF(AUTOEVENTO="manual",$A172,
                IF(ISERROR(MATCH($A172,$A$15:OFFSET($A172,-1,0),0)),MAX($M$15:OFFSET(M172,-1,0))+1,
                      INDEX($M$15:OFFSET(M172,-1,0),MATCH($A172,$A$15:OFFSET($A172,-1,0),0)))))</f>
        <v>4</v>
      </c>
      <c r="N172" s="167" t="str">
        <f ca="1">IF($D172&lt;&gt;"Serviço","",
         IF(AUTOEVENTO="Manual",
                IF($A172=0,"&lt;-- defina o número do agrupador",
                       OFFSET(EVENTOS!$D$15,$A172-$A$15,0)),
                OFFSET($F$15,$A172,0)))</f>
        <v>Estruturas de Concreto</v>
      </c>
      <c r="O172" s="168"/>
      <c r="Q172" s="168"/>
      <c r="R172" s="169"/>
      <c r="S172" s="169"/>
      <c r="T172" s="169"/>
      <c r="U172" s="169"/>
      <c r="V172" s="169">
        <f>V169</f>
        <v>5.72</v>
      </c>
      <c r="W172" s="169"/>
      <c r="X172" s="169"/>
      <c r="Y172" s="169"/>
      <c r="Z172" s="170"/>
      <c r="AA172" s="169"/>
      <c r="AB172" s="169"/>
      <c r="AC172" s="169"/>
      <c r="AD172" s="169"/>
      <c r="AE172" s="169"/>
      <c r="AF172" s="169"/>
      <c r="AG172" s="169"/>
      <c r="AH172" s="170"/>
      <c r="AJ172" s="453">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0</v>
      </c>
      <c r="AK172" s="453">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0</v>
      </c>
      <c r="AL172" s="453">
        <f ca="1">IF(AND($D172="Serviço",AL$12&lt;&gt;0,$H172&gt;0,OR(AUTOEVENTO&lt;&gt;"manual",$M172&lt;&gt;$A$15)),
        IF(Import.TipoArredondamento&lt;&gt;"TransfereGOV",
              ROUND(OFFSET($P172,0,AL$13),15-13*ORÇAMENTO!$AF$7)/$H172*OFFSET(ORÇAMENTO!$X$15,ROW(AL172)-ROW(AL$15),0),
              ROUND(ROUND(OFFSET($P172,0,AL$13),15-13*ORÇAMENTO!$AF$7)*OFFSET(ORÇAMENTO!$W$15,ROW(AL172)-ROW(AL$15),0),15-13*ORÇAMENTO!$AF$11)),
         0)</f>
        <v>0</v>
      </c>
      <c r="AM172" s="453">
        <f ca="1">IF(AND($D172="Serviço",AM$12&lt;&gt;0,$H172&gt;0,OR(AUTOEVENTO&lt;&gt;"manual",$M172&lt;&gt;$A$15)),
        IF(Import.TipoArredondamento&lt;&gt;"TransfereGOV",
              ROUND(OFFSET($P172,0,AM$13),15-13*ORÇAMENTO!$AF$7)/$H172*OFFSET(ORÇAMENTO!$X$15,ROW(AM172)-ROW(AM$15),0),
              ROUND(ROUND(OFFSET($P172,0,AM$13),15-13*ORÇAMENTO!$AF$7)*OFFSET(ORÇAMENTO!$W$15,ROW(AM172)-ROW(AM$15),0),15-13*ORÇAMENTO!$AF$11)),
         0)</f>
        <v>0</v>
      </c>
      <c r="AN172" s="453">
        <f ca="1">IF(AND($D172="Serviço",AN$12&lt;&gt;0,$H172&gt;0,OR(AUTOEVENTO&lt;&gt;"manual",$M172&lt;&gt;$A$15)),
        IF(Import.TipoArredondamento&lt;&gt;"TransfereGOV",
              ROUND(OFFSET($P172,0,AN$13),15-13*ORÇAMENTO!$AF$7)/$H172*OFFSET(ORÇAMENTO!$X$15,ROW(AN172)-ROW(AN$15),0),
              ROUND(ROUND(OFFSET($P172,0,AN$13),15-13*ORÇAMENTO!$AF$7)*OFFSET(ORÇAMENTO!$W$15,ROW(AN172)-ROW(AN$15),0),15-13*ORÇAMENTO!$AF$11)),
         0)</f>
        <v>0</v>
      </c>
      <c r="AO172" s="453">
        <f ca="1">IF(AND($D172="Serviço",AO$12&lt;&gt;0,$H172&gt;0,OR(AUTOEVENTO&lt;&gt;"manual",$M172&lt;&gt;$A$15)),
        IF(Import.TipoArredondamento&lt;&gt;"TransfereGOV",
              ROUND(OFFSET($P172,0,AO$13),15-13*ORÇAMENTO!$AF$7)/$H172*OFFSET(ORÇAMENTO!$X$15,ROW(AO172)-ROW(AO$15),0),
              ROUND(ROUND(OFFSET($P172,0,AO$13),15-13*ORÇAMENTO!$AF$7)*OFFSET(ORÇAMENTO!$W$15,ROW(AO172)-ROW(AO$15),0),15-13*ORÇAMENTO!$AF$11)),
         0)</f>
        <v>0</v>
      </c>
      <c r="AP172" s="453">
        <f ca="1">IF(AND($D172="Serviço",AP$12&lt;&gt;0,$H172&gt;0,OR(AUTOEVENTO&lt;&gt;"manual",$M172&lt;&gt;$A$15)),
        IF(Import.TipoArredondamento&lt;&gt;"TransfereGOV",
              ROUND(OFFSET($P172,0,AP$13),15-13*ORÇAMENTO!$AF$7)/$H172*OFFSET(ORÇAMENTO!$X$15,ROW(AP172)-ROW(AP$15),0),
              ROUND(ROUND(OFFSET($P172,0,AP$13),15-13*ORÇAMENTO!$AF$7)*OFFSET(ORÇAMENTO!$W$15,ROW(AP172)-ROW(AP$15),0),15-13*ORÇAMENTO!$AF$11)),
         0)</f>
        <v>0</v>
      </c>
      <c r="AQ172" s="453">
        <f ca="1">IF(AND($D172="Serviço",AQ$12&lt;&gt;0,$H172&gt;0,OR(AUTOEVENTO&lt;&gt;"manual",$M172&lt;&gt;$A$15)),
        IF(Import.TipoArredondamento&lt;&gt;"TransfereGOV",
              ROUND(OFFSET($P172,0,AQ$13),15-13*ORÇAMENTO!$AF$7)/$H172*OFFSET(ORÇAMENTO!$X$15,ROW(AQ172)-ROW(AQ$15),0),
              ROUND(ROUND(OFFSET($P172,0,AQ$13),15-13*ORÇAMENTO!$AF$7)*OFFSET(ORÇAMENTO!$W$15,ROW(AQ172)-ROW(AQ$15),0),15-13*ORÇAMENTO!$AF$11)),
         0)</f>
        <v>0</v>
      </c>
      <c r="AR172" s="453">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453">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453">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453">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453">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453">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453">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453">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453">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453">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C172" s="171">
        <f ca="1">IF(OR($D172&lt;&gt;"Serviço",AND(AUTOEVENTO="Manual",$M172=$A$15)),0,
         IF(OFFSET(CRONOPLE!$F$15,$M172-$A$15,BC$13)=0,10^12,OFFSET(CRONOPLE!$F$15,$M172-$A$15,BC$13)))</f>
        <v>1</v>
      </c>
      <c r="BD172" s="171">
        <f ca="1">IF(OR($D172&lt;&gt;"Serviço",AND(AUTOEVENTO="Manual",$M172=$A$15)),0,
         IF(OFFSET(CRONOPLE!$F$15,$M172-$A$15,BD$13)=0,10^12,OFFSET(CRONOPLE!$F$15,$M172-$A$15,BD$13)))</f>
        <v>2</v>
      </c>
      <c r="BE172" s="171">
        <f ca="1">IF(OR($D172&lt;&gt;"Serviço",AND(AUTOEVENTO="Manual",$M172=$A$15)),0,
         IF(OFFSET(CRONOPLE!$F$15,$M172-$A$15,BE$13)=0,10^12,OFFSET(CRONOPLE!$F$15,$M172-$A$15,BE$13)))</f>
        <v>3</v>
      </c>
      <c r="BF172" s="171">
        <f ca="1">IF(OR($D172&lt;&gt;"Serviço",AND(AUTOEVENTO="Manual",$M172=$A$15)),0,
         IF(OFFSET(CRONOPLE!$F$15,$M172-$A$15,BF$13)=0,10^12,OFFSET(CRONOPLE!$F$15,$M172-$A$15,BF$13)))</f>
        <v>4</v>
      </c>
      <c r="BG172" s="171">
        <f ca="1">IF(OR($D172&lt;&gt;"Serviço",AND(AUTOEVENTO="Manual",$M172=$A$15)),0,
         IF(OFFSET(CRONOPLE!$F$15,$M172-$A$15,BG$13)=0,10^12,OFFSET(CRONOPLE!$F$15,$M172-$A$15,BG$13)))</f>
        <v>5</v>
      </c>
      <c r="BH172" s="171">
        <f ca="1">IF(OR($D172&lt;&gt;"Serviço",AND(AUTOEVENTO="Manual",$M172=$A$15)),0,
         IF(OFFSET(CRONOPLE!$F$15,$M172-$A$15,BH$13)=0,10^12,OFFSET(CRONOPLE!$F$15,$M172-$A$15,BH$13)))</f>
        <v>6</v>
      </c>
      <c r="BI172" s="171">
        <f ca="1">IF(OR($D172&lt;&gt;"Serviço",AND(AUTOEVENTO="Manual",$M172=$A$15)),0,
         IF(OFFSET(CRONOPLE!$F$15,$M172-$A$15,BI$13)=0,10^12,OFFSET(CRONOPLE!$F$15,$M172-$A$15,BI$13)))</f>
        <v>7</v>
      </c>
      <c r="BJ172" s="171">
        <f ca="1">IF(OR($D172&lt;&gt;"Serviço",AND(AUTOEVENTO="Manual",$M172=$A$15)),0,
         IF(OFFSET(CRONOPLE!$F$15,$M172-$A$15,BJ$13)=0,10^12,OFFSET(CRONOPLE!$F$15,$M172-$A$15,BJ$13)))</f>
        <v>8</v>
      </c>
      <c r="BK172" s="171">
        <f ca="1">IF(OR($D172&lt;&gt;"Serviço",AND(AUTOEVENTO="Manual",$M172=$A$15)),0,
         IF(OFFSET(CRONOPLE!$F$15,$M172-$A$15,BK$13)=0,10^12,OFFSET(CRONOPLE!$F$15,$M172-$A$15,BK$13)))</f>
        <v>9</v>
      </c>
      <c r="BL172" s="171">
        <f ca="1">IF(OR($D172&lt;&gt;"Serviço",AND(AUTOEVENTO="Manual",$M172=$A$15)),0,
         IF(OFFSET(CRONOPLE!$F$15,$M172-$A$15,BL$13)=0,10^12,OFFSET(CRONOPLE!$F$15,$M172-$A$15,BL$13)))</f>
        <v>10</v>
      </c>
      <c r="BM172" s="171">
        <f ca="1">IF(OR($D172&lt;&gt;"Serviço",AND(AUTOEVENTO="Manual",$M172=$A$15)),0,
         IF(OFFSET(CRONOPLE!$F$15,$M172-$A$15,BM$13)=0,10^12,OFFSET(CRONOPLE!$F$15,$M172-$A$15,BM$13)))</f>
        <v>1000000000000</v>
      </c>
      <c r="BN172" s="171">
        <f ca="1">IF(OR($D172&lt;&gt;"Serviço",AND(AUTOEVENTO="Manual",$M172=$A$15)),0,
         IF(OFFSET(CRONOPLE!$F$15,$M172-$A$15,BN$13)=0,10^12,OFFSET(CRONOPLE!$F$15,$M172-$A$15,BN$13)))</f>
        <v>1000000000000</v>
      </c>
      <c r="BO172" s="171">
        <f ca="1">IF(OR($D172&lt;&gt;"Serviço",AND(AUTOEVENTO="Manual",$M172=$A$15)),0,
         IF(OFFSET(CRONOPLE!$F$15,$M172-$A$15,BO$13)=0,10^12,OFFSET(CRONOPLE!$F$15,$M172-$A$15,BO$13)))</f>
        <v>1000000000000</v>
      </c>
      <c r="BP172" s="171">
        <f ca="1">IF(OR($D172&lt;&gt;"Serviço",AND(AUTOEVENTO="Manual",$M172=$A$15)),0,
         IF(OFFSET(CRONOPLE!$F$15,$M172-$A$15,BP$13)=0,10^12,OFFSET(CRONOPLE!$F$15,$M172-$A$15,BP$13)))</f>
        <v>1000000000000</v>
      </c>
      <c r="BQ172" s="171">
        <f ca="1">IF(OR($D172&lt;&gt;"Serviço",AND(AUTOEVENTO="Manual",$M172=$A$15)),0,
         IF(OFFSET(CRONOPLE!$F$15,$M172-$A$15,BQ$13)=0,10^12,OFFSET(CRONOPLE!$F$15,$M172-$A$15,BQ$13)))</f>
        <v>1000000000000</v>
      </c>
      <c r="BR172" s="171">
        <f ca="1">IF(OR($D172&lt;&gt;"Serviço",AND(AUTOEVENTO="Manual",$M172=$A$15)),0,
         IF(OFFSET(CRONOPLE!$F$15,$M172-$A$15,BR$13)=0,10^12,OFFSET(CRONOPLE!$F$15,$M172-$A$15,BR$13)))</f>
        <v>1000000000000</v>
      </c>
      <c r="BS172" s="171">
        <f ca="1">IF(OR($D172&lt;&gt;"Serviço",AND(AUTOEVENTO="Manual",$M172=$A$15)),0,
         IF(OFFSET(CRONOPLE!$F$15,$M172-$A$15,BS$13)=0,10^12,OFFSET(CRONOPLE!$F$15,$M172-$A$15,BS$13)))</f>
        <v>1000000000000</v>
      </c>
      <c r="BT172" s="171">
        <f ca="1">IF(OR($D172&lt;&gt;"Serviço",AND(AUTOEVENTO="Manual",$M172=$A$15)),0,
         IF(OFFSET(CRONOPLE!$F$15,$M172-$A$15,BT$13)=0,10^12,OFFSET(CRONOPLE!$F$15,$M172-$A$15,BT$13)))</f>
        <v>1000000000000</v>
      </c>
      <c r="BV172" s="172">
        <f ca="1">IF(OR($D172&lt;&gt;"Serviço",AND(AUTOEVENTO="Manual",$M172=$A$15),$M172&gt;(ROW(PLE.lastrow)-ROW(PLE.firstrow))),0,
           IF(OFFSET(PLE!$G$15,$M172-$A$15,BV$13)="",10^12,OFFSET(PLE!$G$15,$M172-$A$15,BV$13)))</f>
        <v>1000000000000</v>
      </c>
      <c r="BW172" s="172">
        <f ca="1">IF(OR($D172&lt;&gt;"Serviço",AND(AUTOEVENTO="Manual",$M172=$A$15),$M172&gt;(ROW(PLE.lastrow)-ROW(PLE.firstrow))),0,
           IF(OFFSET(PLE!$G$15,$M172-$A$15,BW$13)="",10^12,OFFSET(PLE!$G$15,$M172-$A$15,BW$13)))</f>
        <v>1000000000000</v>
      </c>
      <c r="BX172" s="172">
        <f ca="1">IF(OR($D172&lt;&gt;"Serviço",AND(AUTOEVENTO="Manual",$M172=$A$15),$M172&gt;(ROW(PLE.lastrow)-ROW(PLE.firstrow))),0,
           IF(OFFSET(PLE!$G$15,$M172-$A$15,BX$13)="",10^12,OFFSET(PLE!$G$15,$M172-$A$15,BX$13)))</f>
        <v>1000000000000</v>
      </c>
      <c r="BY172" s="172">
        <f ca="1">IF(OR($D172&lt;&gt;"Serviço",AND(AUTOEVENTO="Manual",$M172=$A$15),$M172&gt;(ROW(PLE.lastrow)-ROW(PLE.firstrow))),0,
           IF(OFFSET(PLE!$G$15,$M172-$A$15,BY$13)="",10^12,OFFSET(PLE!$G$15,$M172-$A$15,BY$13)))</f>
        <v>1000000000000</v>
      </c>
      <c r="BZ172" s="172">
        <f ca="1">IF(OR($D172&lt;&gt;"Serviço",AND(AUTOEVENTO="Manual",$M172=$A$15),$M172&gt;(ROW(PLE.lastrow)-ROW(PLE.firstrow))),0,
           IF(OFFSET(PLE!$G$15,$M172-$A$15,BZ$13)="",10^12,OFFSET(PLE!$G$15,$M172-$A$15,BZ$13)))</f>
        <v>1000000000000</v>
      </c>
      <c r="CA172" s="172">
        <f ca="1">IF(OR($D172&lt;&gt;"Serviço",AND(AUTOEVENTO="Manual",$M172=$A$15),$M172&gt;(ROW(PLE.lastrow)-ROW(PLE.firstrow))),0,
           IF(OFFSET(PLE!$G$15,$M172-$A$15,CA$13)="",10^12,OFFSET(PLE!$G$15,$M172-$A$15,CA$13)))</f>
        <v>1000000000000</v>
      </c>
      <c r="CB172" s="172">
        <f ca="1">IF(OR($D172&lt;&gt;"Serviço",AND(AUTOEVENTO="Manual",$M172=$A$15),$M172&gt;(ROW(PLE.lastrow)-ROW(PLE.firstrow))),0,
           IF(OFFSET(PLE!$G$15,$M172-$A$15,CB$13)="",10^12,OFFSET(PLE!$G$15,$M172-$A$15,CB$13)))</f>
        <v>1000000000000</v>
      </c>
      <c r="CC172" s="172">
        <f ca="1">IF(OR($D172&lt;&gt;"Serviço",AND(AUTOEVENTO="Manual",$M172=$A$15),$M172&gt;(ROW(PLE.lastrow)-ROW(PLE.firstrow))),0,
           IF(OFFSET(PLE!$G$15,$M172-$A$15,CC$13)="",10^12,OFFSET(PLE!$G$15,$M172-$A$15,CC$13)))</f>
        <v>1000000000000</v>
      </c>
      <c r="CD172" s="172">
        <f ca="1">IF(OR($D172&lt;&gt;"Serviço",AND(AUTOEVENTO="Manual",$M172=$A$15),$M172&gt;(ROW(PLE.lastrow)-ROW(PLE.firstrow))),0,
           IF(OFFSET(PLE!$G$15,$M172-$A$15,CD$13)="",10^12,OFFSET(PLE!$G$15,$M172-$A$15,CD$13)))</f>
        <v>1000000000000</v>
      </c>
      <c r="CE172" s="172">
        <f ca="1">IF(OR($D172&lt;&gt;"Serviço",AND(AUTOEVENTO="Manual",$M172=$A$15),$M172&gt;(ROW(PLE.lastrow)-ROW(PLE.firstrow))),0,
           IF(OFFSET(PLE!$G$15,$M172-$A$15,CE$13)="",10^12,OFFSET(PLE!$G$15,$M172-$A$15,CE$13)))</f>
        <v>1000000000000</v>
      </c>
      <c r="CF172" s="172">
        <f ca="1">IF(OR($D172&lt;&gt;"Serviço",AND(AUTOEVENTO="Manual",$M172=$A$15),$M172&gt;(ROW(PLE.lastrow)-ROW(PLE.firstrow))),0,
           IF(OFFSET(PLE!$G$15,$M172-$A$15,CF$13)="",10^12,OFFSET(PLE!$G$15,$M172-$A$15,CF$13)))</f>
        <v>1000000000000</v>
      </c>
      <c r="CG172" s="172">
        <f ca="1">IF(OR($D172&lt;&gt;"Serviço",AND(AUTOEVENTO="Manual",$M172=$A$15),$M172&gt;(ROW(PLE.lastrow)-ROW(PLE.firstrow))),0,
           IF(OFFSET(PLE!$G$15,$M172-$A$15,CG$13)="",10^12,OFFSET(PLE!$G$15,$M172-$A$15,CG$13)))</f>
        <v>1000000000000</v>
      </c>
      <c r="CH172" s="172">
        <f ca="1">IF(OR($D172&lt;&gt;"Serviço",AND(AUTOEVENTO="Manual",$M172=$A$15),$M172&gt;(ROW(PLE.lastrow)-ROW(PLE.firstrow))),0,
           IF(OFFSET(PLE!$G$15,$M172-$A$15,CH$13)="",10^12,OFFSET(PLE!$G$15,$M172-$A$15,CH$13)))</f>
        <v>1000000000000</v>
      </c>
      <c r="CI172" s="172">
        <f ca="1">IF(OR($D172&lt;&gt;"Serviço",AND(AUTOEVENTO="Manual",$M172=$A$15),$M172&gt;(ROW(PLE.lastrow)-ROW(PLE.firstrow))),0,
           IF(OFFSET(PLE!$G$15,$M172-$A$15,CI$13)="",10^12,OFFSET(PLE!$G$15,$M172-$A$15,CI$13)))</f>
        <v>1000000000000</v>
      </c>
      <c r="CJ172" s="172">
        <f ca="1">IF(OR($D172&lt;&gt;"Serviço",AND(AUTOEVENTO="Manual",$M172=$A$15),$M172&gt;(ROW(PLE.lastrow)-ROW(PLE.firstrow))),0,
           IF(OFFSET(PLE!$G$15,$M172-$A$15,CJ$13)="",10^12,OFFSET(PLE!$G$15,$M172-$A$15,CJ$13)))</f>
        <v>1000000000000</v>
      </c>
      <c r="CK172" s="172">
        <f ca="1">IF(OR($D172&lt;&gt;"Serviço",AND(AUTOEVENTO="Manual",$M172=$A$15),$M172&gt;(ROW(PLE.lastrow)-ROW(PLE.firstrow))),0,
           IF(OFFSET(PLE!$G$15,$M172-$A$15,CK$13)="",10^12,OFFSET(PLE!$G$15,$M172-$A$15,CK$13)))</f>
        <v>1000000000000</v>
      </c>
      <c r="CL172" s="172">
        <f ca="1">IF(OR($D172&lt;&gt;"Serviço",AND(AUTOEVENTO="Manual",$M172=$A$15),$M172&gt;(ROW(PLE.lastrow)-ROW(PLE.firstrow))),0,
           IF(OFFSET(PLE!$G$15,$M172-$A$15,CL$13)="",10^12,OFFSET(PLE!$G$15,$M172-$A$15,CL$13)))</f>
        <v>1000000000000</v>
      </c>
      <c r="CM172" s="172">
        <f ca="1">IF(OR($D172&lt;&gt;"Serviço",AND(AUTOEVENTO="Manual",$M172=$A$15),$M172&gt;(ROW(PLE.lastrow)-ROW(PLE.firstrow))),0,
           IF(OFFSET(PLE!$G$15,$M172-$A$15,CM$13)="",10^12,OFFSET(PLE!$G$15,$M172-$A$15,CM$13)))</f>
        <v>1000000000000</v>
      </c>
    </row>
    <row r="173" spans="1:91" ht="12.75" x14ac:dyDescent="0.2">
      <c r="A173" s="7">
        <f t="shared" ca="1" si="12"/>
        <v>0</v>
      </c>
      <c r="B173" s="7">
        <f ca="1">OFFSET(ORÇAMENTO!C$15,ROW(B173)-ROW(B$15),0)</f>
        <v>4</v>
      </c>
      <c r="C173" s="7" t="str">
        <f ca="1">OFFSET(ORÇAMENTO!L$15,ROW(C173)-ROW(C$15),0)</f>
        <v>F</v>
      </c>
      <c r="D173" s="116" t="str">
        <f ca="1">OFFSET(ORÇAMENTO!N$15,ROW(D173)-ROW(D$15),0)</f>
        <v>Nível 4</v>
      </c>
      <c r="E173" s="117" t="str">
        <f ca="1">OFFSET(ORÇAMENTO!O$15,ROW(E173)-ROW(E$15),0)</f>
        <v>1.5.5.3.</v>
      </c>
      <c r="F173" s="163" t="str">
        <f ca="1">OFFSET(ORÇAMENTO!R$15,ROW(F173)-ROW(F$15),0)</f>
        <v>VIGAS BALDRAMES</v>
      </c>
      <c r="G173" s="164" t="str">
        <f ca="1">IF($D173&lt;&gt;"Serviço","",OFFSET(ORÇAMENTO!S$15,ROW(G173)-ROW(G$15),0))</f>
        <v/>
      </c>
      <c r="H173" s="122" cm="1">
        <f t="array" aca="1" ref="H173" ca="1">IF($D173&lt;&gt;"Serviço",0,IF(ACOMPANHAMENTO="BM",ROUND(OFFSET(ORÇAMENTO!AJ$15,ROW(H173)-ROW(H$15),0),15-13*ORÇAMENTO!$AF$7),SUMPRODUCT(($Q$1:$AI$1=1)*ROUND($Q173:$AI173,15-13*ORÇAMENTO!$AF$7))))</f>
        <v>0</v>
      </c>
      <c r="I173" s="468"/>
      <c r="J173" s="640" t="str" cm="1">
        <f t="array" aca="1" ref="J173" ca="1">IF(OR(B173&lt;&gt;"S",CÁLCULO.FrentesPreenchidas=0),"",IF(AND(ACOMPANHAMENTO="PLE",AUTOEVENTO="Manual",OR(H173&gt;0,ORÇAMENTO!AC173="QUANT."),OR(K173="",M173=0,N173="")),"►E",IF(AND(ACOMPANHAMENTO="PLE",ORÇAMENTO!AC173="QUANT."),"►Q",IF(AND(ACOMPANHAMENTO="PLE",H173&lt;&gt;SUMPRODUCT(($Q$1:$AI$1=1)*ROUND(Q173:AI173,15))),"►S",IF(AND(COUNTIF($P$11:$AI$11,"▼")=0,H173&gt;0,I173=""),"◄M","")))))</f>
        <v/>
      </c>
      <c r="K173" s="641"/>
      <c r="L173" s="165" t="s">
        <v>764</v>
      </c>
      <c r="M173" s="166" t="str">
        <f ca="1">IF($D173&lt;&gt;"Serviço","",
          IF(AUTOEVENTO="manual",$A173,
                IF(ISERROR(MATCH($A173,$A$15:OFFSET($A173,-1,0),0)),MAX($M$15:OFFSET(M173,-1,0))+1,
                      INDEX($M$15:OFFSET(M173,-1,0),MATCH($A173,$A$15:OFFSET($A173,-1,0),0)))))</f>
        <v/>
      </c>
      <c r="N173" s="167" t="str">
        <f ca="1">IF($D173&lt;&gt;"Serviço","",
         IF(AUTOEVENTO="Manual",
                IF($A173=0,"&lt;-- defina o número do agrupador",
                       OFFSET(EVENTOS!$D$15,$A173-$A$15,0)),
                OFFSET($F$15,$A173,0)))</f>
        <v/>
      </c>
      <c r="O173" s="168"/>
      <c r="Q173" s="168"/>
      <c r="R173" s="169"/>
      <c r="S173" s="169"/>
      <c r="T173" s="169"/>
      <c r="U173" s="169"/>
      <c r="V173" s="169"/>
      <c r="W173" s="169"/>
      <c r="X173" s="169"/>
      <c r="Y173" s="169"/>
      <c r="Z173" s="170"/>
      <c r="AA173" s="169"/>
      <c r="AB173" s="169"/>
      <c r="AC173" s="169"/>
      <c r="AD173" s="169"/>
      <c r="AE173" s="169"/>
      <c r="AF173" s="169"/>
      <c r="AG173" s="169"/>
      <c r="AH173" s="170"/>
      <c r="AJ173" s="453">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0</v>
      </c>
      <c r="AK173" s="453">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0</v>
      </c>
      <c r="AL173" s="453">
        <f ca="1">IF(AND($D173="Serviço",AL$12&lt;&gt;0,$H173&gt;0,OR(AUTOEVENTO&lt;&gt;"manual",$M173&lt;&gt;$A$15)),
        IF(Import.TipoArredondamento&lt;&gt;"TransfereGOV",
              ROUND(OFFSET($P173,0,AL$13),15-13*ORÇAMENTO!$AF$7)/$H173*OFFSET(ORÇAMENTO!$X$15,ROW(AL173)-ROW(AL$15),0),
              ROUND(ROUND(OFFSET($P173,0,AL$13),15-13*ORÇAMENTO!$AF$7)*OFFSET(ORÇAMENTO!$W$15,ROW(AL173)-ROW(AL$15),0),15-13*ORÇAMENTO!$AF$11)),
         0)</f>
        <v>0</v>
      </c>
      <c r="AM173" s="453">
        <f ca="1">IF(AND($D173="Serviço",AM$12&lt;&gt;0,$H173&gt;0,OR(AUTOEVENTO&lt;&gt;"manual",$M173&lt;&gt;$A$15)),
        IF(Import.TipoArredondamento&lt;&gt;"TransfereGOV",
              ROUND(OFFSET($P173,0,AM$13),15-13*ORÇAMENTO!$AF$7)/$H173*OFFSET(ORÇAMENTO!$X$15,ROW(AM173)-ROW(AM$15),0),
              ROUND(ROUND(OFFSET($P173,0,AM$13),15-13*ORÇAMENTO!$AF$7)*OFFSET(ORÇAMENTO!$W$15,ROW(AM173)-ROW(AM$15),0),15-13*ORÇAMENTO!$AF$11)),
         0)</f>
        <v>0</v>
      </c>
      <c r="AN173" s="453">
        <f ca="1">IF(AND($D173="Serviço",AN$12&lt;&gt;0,$H173&gt;0,OR(AUTOEVENTO&lt;&gt;"manual",$M173&lt;&gt;$A$15)),
        IF(Import.TipoArredondamento&lt;&gt;"TransfereGOV",
              ROUND(OFFSET($P173,0,AN$13),15-13*ORÇAMENTO!$AF$7)/$H173*OFFSET(ORÇAMENTO!$X$15,ROW(AN173)-ROW(AN$15),0),
              ROUND(ROUND(OFFSET($P173,0,AN$13),15-13*ORÇAMENTO!$AF$7)*OFFSET(ORÇAMENTO!$W$15,ROW(AN173)-ROW(AN$15),0),15-13*ORÇAMENTO!$AF$11)),
         0)</f>
        <v>0</v>
      </c>
      <c r="AO173" s="453">
        <f ca="1">IF(AND($D173="Serviço",AO$12&lt;&gt;0,$H173&gt;0,OR(AUTOEVENTO&lt;&gt;"manual",$M173&lt;&gt;$A$15)),
        IF(Import.TipoArredondamento&lt;&gt;"TransfereGOV",
              ROUND(OFFSET($P173,0,AO$13),15-13*ORÇAMENTO!$AF$7)/$H173*OFFSET(ORÇAMENTO!$X$15,ROW(AO173)-ROW(AO$15),0),
              ROUND(ROUND(OFFSET($P173,0,AO$13),15-13*ORÇAMENTO!$AF$7)*OFFSET(ORÇAMENTO!$W$15,ROW(AO173)-ROW(AO$15),0),15-13*ORÇAMENTO!$AF$11)),
         0)</f>
        <v>0</v>
      </c>
      <c r="AP173" s="453">
        <f ca="1">IF(AND($D173="Serviço",AP$12&lt;&gt;0,$H173&gt;0,OR(AUTOEVENTO&lt;&gt;"manual",$M173&lt;&gt;$A$15)),
        IF(Import.TipoArredondamento&lt;&gt;"TransfereGOV",
              ROUND(OFFSET($P173,0,AP$13),15-13*ORÇAMENTO!$AF$7)/$H173*OFFSET(ORÇAMENTO!$X$15,ROW(AP173)-ROW(AP$15),0),
              ROUND(ROUND(OFFSET($P173,0,AP$13),15-13*ORÇAMENTO!$AF$7)*OFFSET(ORÇAMENTO!$W$15,ROW(AP173)-ROW(AP$15),0),15-13*ORÇAMENTO!$AF$11)),
         0)</f>
        <v>0</v>
      </c>
      <c r="AQ173" s="453">
        <f ca="1">IF(AND($D173="Serviço",AQ$12&lt;&gt;0,$H173&gt;0,OR(AUTOEVENTO&lt;&gt;"manual",$M173&lt;&gt;$A$15)),
        IF(Import.TipoArredondamento&lt;&gt;"TransfereGOV",
              ROUND(OFFSET($P173,0,AQ$13),15-13*ORÇAMENTO!$AF$7)/$H173*OFFSET(ORÇAMENTO!$X$15,ROW(AQ173)-ROW(AQ$15),0),
              ROUND(ROUND(OFFSET($P173,0,AQ$13),15-13*ORÇAMENTO!$AF$7)*OFFSET(ORÇAMENTO!$W$15,ROW(AQ173)-ROW(AQ$15),0),15-13*ORÇAMENTO!$AF$11)),
         0)</f>
        <v>0</v>
      </c>
      <c r="AR173" s="453">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0</v>
      </c>
      <c r="AS173" s="453">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0</v>
      </c>
      <c r="AT173" s="453">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0</v>
      </c>
      <c r="AU173" s="453">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0</v>
      </c>
      <c r="AV173" s="453">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0</v>
      </c>
      <c r="AW173" s="453">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0</v>
      </c>
      <c r="AX173" s="453">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0</v>
      </c>
      <c r="AY173" s="453">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0</v>
      </c>
      <c r="AZ173" s="453">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0</v>
      </c>
      <c r="BA173" s="453">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0</v>
      </c>
      <c r="BC173" s="171">
        <f ca="1">IF(OR($D173&lt;&gt;"Serviço",AND(AUTOEVENTO="Manual",$M173=$A$15)),0,
         IF(OFFSET(CRONOPLE!$F$15,$M173-$A$15,BC$13)=0,10^12,OFFSET(CRONOPLE!$F$15,$M173-$A$15,BC$13)))</f>
        <v>0</v>
      </c>
      <c r="BD173" s="171">
        <f ca="1">IF(OR($D173&lt;&gt;"Serviço",AND(AUTOEVENTO="Manual",$M173=$A$15)),0,
         IF(OFFSET(CRONOPLE!$F$15,$M173-$A$15,BD$13)=0,10^12,OFFSET(CRONOPLE!$F$15,$M173-$A$15,BD$13)))</f>
        <v>0</v>
      </c>
      <c r="BE173" s="171">
        <f ca="1">IF(OR($D173&lt;&gt;"Serviço",AND(AUTOEVENTO="Manual",$M173=$A$15)),0,
         IF(OFFSET(CRONOPLE!$F$15,$M173-$A$15,BE$13)=0,10^12,OFFSET(CRONOPLE!$F$15,$M173-$A$15,BE$13)))</f>
        <v>0</v>
      </c>
      <c r="BF173" s="171">
        <f ca="1">IF(OR($D173&lt;&gt;"Serviço",AND(AUTOEVENTO="Manual",$M173=$A$15)),0,
         IF(OFFSET(CRONOPLE!$F$15,$M173-$A$15,BF$13)=0,10^12,OFFSET(CRONOPLE!$F$15,$M173-$A$15,BF$13)))</f>
        <v>0</v>
      </c>
      <c r="BG173" s="171">
        <f ca="1">IF(OR($D173&lt;&gt;"Serviço",AND(AUTOEVENTO="Manual",$M173=$A$15)),0,
         IF(OFFSET(CRONOPLE!$F$15,$M173-$A$15,BG$13)=0,10^12,OFFSET(CRONOPLE!$F$15,$M173-$A$15,BG$13)))</f>
        <v>0</v>
      </c>
      <c r="BH173" s="171">
        <f ca="1">IF(OR($D173&lt;&gt;"Serviço",AND(AUTOEVENTO="Manual",$M173=$A$15)),0,
         IF(OFFSET(CRONOPLE!$F$15,$M173-$A$15,BH$13)=0,10^12,OFFSET(CRONOPLE!$F$15,$M173-$A$15,BH$13)))</f>
        <v>0</v>
      </c>
      <c r="BI173" s="171">
        <f ca="1">IF(OR($D173&lt;&gt;"Serviço",AND(AUTOEVENTO="Manual",$M173=$A$15)),0,
         IF(OFFSET(CRONOPLE!$F$15,$M173-$A$15,BI$13)=0,10^12,OFFSET(CRONOPLE!$F$15,$M173-$A$15,BI$13)))</f>
        <v>0</v>
      </c>
      <c r="BJ173" s="171">
        <f ca="1">IF(OR($D173&lt;&gt;"Serviço",AND(AUTOEVENTO="Manual",$M173=$A$15)),0,
         IF(OFFSET(CRONOPLE!$F$15,$M173-$A$15,BJ$13)=0,10^12,OFFSET(CRONOPLE!$F$15,$M173-$A$15,BJ$13)))</f>
        <v>0</v>
      </c>
      <c r="BK173" s="171">
        <f ca="1">IF(OR($D173&lt;&gt;"Serviço",AND(AUTOEVENTO="Manual",$M173=$A$15)),0,
         IF(OFFSET(CRONOPLE!$F$15,$M173-$A$15,BK$13)=0,10^12,OFFSET(CRONOPLE!$F$15,$M173-$A$15,BK$13)))</f>
        <v>0</v>
      </c>
      <c r="BL173" s="171">
        <f ca="1">IF(OR($D173&lt;&gt;"Serviço",AND(AUTOEVENTO="Manual",$M173=$A$15)),0,
         IF(OFFSET(CRONOPLE!$F$15,$M173-$A$15,BL$13)=0,10^12,OFFSET(CRONOPLE!$F$15,$M173-$A$15,BL$13)))</f>
        <v>0</v>
      </c>
      <c r="BM173" s="171">
        <f ca="1">IF(OR($D173&lt;&gt;"Serviço",AND(AUTOEVENTO="Manual",$M173=$A$15)),0,
         IF(OFFSET(CRONOPLE!$F$15,$M173-$A$15,BM$13)=0,10^12,OFFSET(CRONOPLE!$F$15,$M173-$A$15,BM$13)))</f>
        <v>0</v>
      </c>
      <c r="BN173" s="171">
        <f ca="1">IF(OR($D173&lt;&gt;"Serviço",AND(AUTOEVENTO="Manual",$M173=$A$15)),0,
         IF(OFFSET(CRONOPLE!$F$15,$M173-$A$15,BN$13)=0,10^12,OFFSET(CRONOPLE!$F$15,$M173-$A$15,BN$13)))</f>
        <v>0</v>
      </c>
      <c r="BO173" s="171">
        <f ca="1">IF(OR($D173&lt;&gt;"Serviço",AND(AUTOEVENTO="Manual",$M173=$A$15)),0,
         IF(OFFSET(CRONOPLE!$F$15,$M173-$A$15,BO$13)=0,10^12,OFFSET(CRONOPLE!$F$15,$M173-$A$15,BO$13)))</f>
        <v>0</v>
      </c>
      <c r="BP173" s="171">
        <f ca="1">IF(OR($D173&lt;&gt;"Serviço",AND(AUTOEVENTO="Manual",$M173=$A$15)),0,
         IF(OFFSET(CRONOPLE!$F$15,$M173-$A$15,BP$13)=0,10^12,OFFSET(CRONOPLE!$F$15,$M173-$A$15,BP$13)))</f>
        <v>0</v>
      </c>
      <c r="BQ173" s="171">
        <f ca="1">IF(OR($D173&lt;&gt;"Serviço",AND(AUTOEVENTO="Manual",$M173=$A$15)),0,
         IF(OFFSET(CRONOPLE!$F$15,$M173-$A$15,BQ$13)=0,10^12,OFFSET(CRONOPLE!$F$15,$M173-$A$15,BQ$13)))</f>
        <v>0</v>
      </c>
      <c r="BR173" s="171">
        <f ca="1">IF(OR($D173&lt;&gt;"Serviço",AND(AUTOEVENTO="Manual",$M173=$A$15)),0,
         IF(OFFSET(CRONOPLE!$F$15,$M173-$A$15,BR$13)=0,10^12,OFFSET(CRONOPLE!$F$15,$M173-$A$15,BR$13)))</f>
        <v>0</v>
      </c>
      <c r="BS173" s="171">
        <f ca="1">IF(OR($D173&lt;&gt;"Serviço",AND(AUTOEVENTO="Manual",$M173=$A$15)),0,
         IF(OFFSET(CRONOPLE!$F$15,$M173-$A$15,BS$13)=0,10^12,OFFSET(CRONOPLE!$F$15,$M173-$A$15,BS$13)))</f>
        <v>0</v>
      </c>
      <c r="BT173" s="171">
        <f ca="1">IF(OR($D173&lt;&gt;"Serviço",AND(AUTOEVENTO="Manual",$M173=$A$15)),0,
         IF(OFFSET(CRONOPLE!$F$15,$M173-$A$15,BT$13)=0,10^12,OFFSET(CRONOPLE!$F$15,$M173-$A$15,BT$13)))</f>
        <v>0</v>
      </c>
      <c r="BV173" s="172">
        <f ca="1">IF(OR($D173&lt;&gt;"Serviço",AND(AUTOEVENTO="Manual",$M173=$A$15),$M173&gt;(ROW(PLE.lastrow)-ROW(PLE.firstrow))),0,
           IF(OFFSET(PLE!$G$15,$M173-$A$15,BV$13)="",10^12,OFFSET(PLE!$G$15,$M173-$A$15,BV$13)))</f>
        <v>0</v>
      </c>
      <c r="BW173" s="172">
        <f ca="1">IF(OR($D173&lt;&gt;"Serviço",AND(AUTOEVENTO="Manual",$M173=$A$15),$M173&gt;(ROW(PLE.lastrow)-ROW(PLE.firstrow))),0,
           IF(OFFSET(PLE!$G$15,$M173-$A$15,BW$13)="",10^12,OFFSET(PLE!$G$15,$M173-$A$15,BW$13)))</f>
        <v>0</v>
      </c>
      <c r="BX173" s="172">
        <f ca="1">IF(OR($D173&lt;&gt;"Serviço",AND(AUTOEVENTO="Manual",$M173=$A$15),$M173&gt;(ROW(PLE.lastrow)-ROW(PLE.firstrow))),0,
           IF(OFFSET(PLE!$G$15,$M173-$A$15,BX$13)="",10^12,OFFSET(PLE!$G$15,$M173-$A$15,BX$13)))</f>
        <v>0</v>
      </c>
      <c r="BY173" s="172">
        <f ca="1">IF(OR($D173&lt;&gt;"Serviço",AND(AUTOEVENTO="Manual",$M173=$A$15),$M173&gt;(ROW(PLE.lastrow)-ROW(PLE.firstrow))),0,
           IF(OFFSET(PLE!$G$15,$M173-$A$15,BY$13)="",10^12,OFFSET(PLE!$G$15,$M173-$A$15,BY$13)))</f>
        <v>0</v>
      </c>
      <c r="BZ173" s="172">
        <f ca="1">IF(OR($D173&lt;&gt;"Serviço",AND(AUTOEVENTO="Manual",$M173=$A$15),$M173&gt;(ROW(PLE.lastrow)-ROW(PLE.firstrow))),0,
           IF(OFFSET(PLE!$G$15,$M173-$A$15,BZ$13)="",10^12,OFFSET(PLE!$G$15,$M173-$A$15,BZ$13)))</f>
        <v>0</v>
      </c>
      <c r="CA173" s="172">
        <f ca="1">IF(OR($D173&lt;&gt;"Serviço",AND(AUTOEVENTO="Manual",$M173=$A$15),$M173&gt;(ROW(PLE.lastrow)-ROW(PLE.firstrow))),0,
           IF(OFFSET(PLE!$G$15,$M173-$A$15,CA$13)="",10^12,OFFSET(PLE!$G$15,$M173-$A$15,CA$13)))</f>
        <v>0</v>
      </c>
      <c r="CB173" s="172">
        <f ca="1">IF(OR($D173&lt;&gt;"Serviço",AND(AUTOEVENTO="Manual",$M173=$A$15),$M173&gt;(ROW(PLE.lastrow)-ROW(PLE.firstrow))),0,
           IF(OFFSET(PLE!$G$15,$M173-$A$15,CB$13)="",10^12,OFFSET(PLE!$G$15,$M173-$A$15,CB$13)))</f>
        <v>0</v>
      </c>
      <c r="CC173" s="172">
        <f ca="1">IF(OR($D173&lt;&gt;"Serviço",AND(AUTOEVENTO="Manual",$M173=$A$15),$M173&gt;(ROW(PLE.lastrow)-ROW(PLE.firstrow))),0,
           IF(OFFSET(PLE!$G$15,$M173-$A$15,CC$13)="",10^12,OFFSET(PLE!$G$15,$M173-$A$15,CC$13)))</f>
        <v>0</v>
      </c>
      <c r="CD173" s="172">
        <f ca="1">IF(OR($D173&lt;&gt;"Serviço",AND(AUTOEVENTO="Manual",$M173=$A$15),$M173&gt;(ROW(PLE.lastrow)-ROW(PLE.firstrow))),0,
           IF(OFFSET(PLE!$G$15,$M173-$A$15,CD$13)="",10^12,OFFSET(PLE!$G$15,$M173-$A$15,CD$13)))</f>
        <v>0</v>
      </c>
      <c r="CE173" s="172">
        <f ca="1">IF(OR($D173&lt;&gt;"Serviço",AND(AUTOEVENTO="Manual",$M173=$A$15),$M173&gt;(ROW(PLE.lastrow)-ROW(PLE.firstrow))),0,
           IF(OFFSET(PLE!$G$15,$M173-$A$15,CE$13)="",10^12,OFFSET(PLE!$G$15,$M173-$A$15,CE$13)))</f>
        <v>0</v>
      </c>
      <c r="CF173" s="172">
        <f ca="1">IF(OR($D173&lt;&gt;"Serviço",AND(AUTOEVENTO="Manual",$M173=$A$15),$M173&gt;(ROW(PLE.lastrow)-ROW(PLE.firstrow))),0,
           IF(OFFSET(PLE!$G$15,$M173-$A$15,CF$13)="",10^12,OFFSET(PLE!$G$15,$M173-$A$15,CF$13)))</f>
        <v>0</v>
      </c>
      <c r="CG173" s="172">
        <f ca="1">IF(OR($D173&lt;&gt;"Serviço",AND(AUTOEVENTO="Manual",$M173=$A$15),$M173&gt;(ROW(PLE.lastrow)-ROW(PLE.firstrow))),0,
           IF(OFFSET(PLE!$G$15,$M173-$A$15,CG$13)="",10^12,OFFSET(PLE!$G$15,$M173-$A$15,CG$13)))</f>
        <v>0</v>
      </c>
      <c r="CH173" s="172">
        <f ca="1">IF(OR($D173&lt;&gt;"Serviço",AND(AUTOEVENTO="Manual",$M173=$A$15),$M173&gt;(ROW(PLE.lastrow)-ROW(PLE.firstrow))),0,
           IF(OFFSET(PLE!$G$15,$M173-$A$15,CH$13)="",10^12,OFFSET(PLE!$G$15,$M173-$A$15,CH$13)))</f>
        <v>0</v>
      </c>
      <c r="CI173" s="172">
        <f ca="1">IF(OR($D173&lt;&gt;"Serviço",AND(AUTOEVENTO="Manual",$M173=$A$15),$M173&gt;(ROW(PLE.lastrow)-ROW(PLE.firstrow))),0,
           IF(OFFSET(PLE!$G$15,$M173-$A$15,CI$13)="",10^12,OFFSET(PLE!$G$15,$M173-$A$15,CI$13)))</f>
        <v>0</v>
      </c>
      <c r="CJ173" s="172">
        <f ca="1">IF(OR($D173&lt;&gt;"Serviço",AND(AUTOEVENTO="Manual",$M173=$A$15),$M173&gt;(ROW(PLE.lastrow)-ROW(PLE.firstrow))),0,
           IF(OFFSET(PLE!$G$15,$M173-$A$15,CJ$13)="",10^12,OFFSET(PLE!$G$15,$M173-$A$15,CJ$13)))</f>
        <v>0</v>
      </c>
      <c r="CK173" s="172">
        <f ca="1">IF(OR($D173&lt;&gt;"Serviço",AND(AUTOEVENTO="Manual",$M173=$A$15),$M173&gt;(ROW(PLE.lastrow)-ROW(PLE.firstrow))),0,
           IF(OFFSET(PLE!$G$15,$M173-$A$15,CK$13)="",10^12,OFFSET(PLE!$G$15,$M173-$A$15,CK$13)))</f>
        <v>0</v>
      </c>
      <c r="CL173" s="172">
        <f ca="1">IF(OR($D173&lt;&gt;"Serviço",AND(AUTOEVENTO="Manual",$M173=$A$15),$M173&gt;(ROW(PLE.lastrow)-ROW(PLE.firstrow))),0,
           IF(OFFSET(PLE!$G$15,$M173-$A$15,CL$13)="",10^12,OFFSET(PLE!$G$15,$M173-$A$15,CL$13)))</f>
        <v>0</v>
      </c>
      <c r="CM173" s="172">
        <f ca="1">IF(OR($D173&lt;&gt;"Serviço",AND(AUTOEVENTO="Manual",$M173=$A$15),$M173&gt;(ROW(PLE.lastrow)-ROW(PLE.firstrow))),0,
           IF(OFFSET(PLE!$G$15,$M173-$A$15,CM$13)="",10^12,OFFSET(PLE!$G$15,$M173-$A$15,CM$13)))</f>
        <v>0</v>
      </c>
    </row>
    <row r="174" spans="1:91" ht="38.25" x14ac:dyDescent="0.2">
      <c r="A174" s="7">
        <f t="shared" ca="1" si="12"/>
        <v>4</v>
      </c>
      <c r="B174" s="7" t="str">
        <f ca="1">OFFSET(ORÇAMENTO!C$15,ROW(B174)-ROW(B$15),0)</f>
        <v>S</v>
      </c>
      <c r="C174" s="7" t="str">
        <f ca="1">OFFSET(ORÇAMENTO!L$15,ROW(C174)-ROW(C$15),0)</f>
        <v>F</v>
      </c>
      <c r="D174" s="116" t="str">
        <f ca="1">OFFSET(ORÇAMENTO!N$15,ROW(D174)-ROW(D$15),0)</f>
        <v>Serviço</v>
      </c>
      <c r="E174" s="117" t="str">
        <f ca="1">OFFSET(ORÇAMENTO!O$15,ROW(E174)-ROW(E$15),0)</f>
        <v>1.5.5.3.1.</v>
      </c>
      <c r="F174" s="163" t="str">
        <f ca="1">OFFSET(ORÇAMENTO!R$15,ROW(F174)-ROW(F$15),0)</f>
        <v>ESCAVAÇÃO MANUAL DE VALA COM PROFUNDIDADE MENOR OU IGUAL A 1,5M, INCLUSIVE DESCARGA LATERAL</v>
      </c>
      <c r="G174" s="164" t="str">
        <f ca="1">IF($D174&lt;&gt;"Serviço","",OFFSET(ORÇAMENTO!S$15,ROW(G174)-ROW(G$15),0))</f>
        <v>M3</v>
      </c>
      <c r="H174" s="122" cm="1">
        <f t="array" aca="1" ref="H174" ca="1">IF($D174&lt;&gt;"Serviço",0,IF(ACOMPANHAMENTO="BM",ROUND(OFFSET(ORÇAMENTO!AJ$15,ROW(H174)-ROW(H$15),0),15-13*ORÇAMENTO!$AF$7),SUMPRODUCT(($Q$1:$AI$1=1)*ROUND($Q174:$AI174,15-13*ORÇAMENTO!$AF$7))))</f>
        <v>5.72</v>
      </c>
      <c r="I174" s="468" t="s">
        <v>1441</v>
      </c>
      <c r="J174" s="640" t="str" cm="1">
        <f t="array" aca="1" ref="J174" ca="1">IF(OR(B174&lt;&gt;"S",CÁLCULO.FrentesPreenchidas=0),"",IF(AND(ACOMPANHAMENTO="PLE",AUTOEVENTO="Manual",OR(H174&gt;0,ORÇAMENTO!AC174="QUANT."),OR(K174="",M174=0,N174="")),"►E",IF(AND(ACOMPANHAMENTO="PLE",ORÇAMENTO!AC174="QUANT."),"►Q",IF(AND(ACOMPANHAMENTO="PLE",H174&lt;&gt;SUMPRODUCT(($Q$1:$AI$1=1)*ROUND(Q174:AI174,15))),"►S",IF(AND(COUNTIF($P$11:$AI$11,"▼")=0,H174&gt;0,I174=""),"◄M","")))))</f>
        <v/>
      </c>
      <c r="K174" s="641" t="s">
        <v>1389</v>
      </c>
      <c r="L174" s="165" t="s">
        <v>764</v>
      </c>
      <c r="M174" s="166">
        <f ca="1">IF($D174&lt;&gt;"Serviço","",
          IF(AUTOEVENTO="manual",$A174,
                IF(ISERROR(MATCH($A174,$A$15:OFFSET($A174,-1,0),0)),MAX($M$15:OFFSET(M174,-1,0))+1,
                      INDEX($M$15:OFFSET(M174,-1,0),MATCH($A174,$A$15:OFFSET($A174,-1,0),0)))))</f>
        <v>4</v>
      </c>
      <c r="N174" s="167" t="str">
        <f ca="1">IF($D174&lt;&gt;"Serviço","",
         IF(AUTOEVENTO="Manual",
                IF($A174=0,"&lt;-- defina o número do agrupador",
                       OFFSET(EVENTOS!$D$15,$A174-$A$15,0)),
                OFFSET($F$15,$A174,0)))</f>
        <v>Estruturas de Concreto</v>
      </c>
      <c r="O174" s="168"/>
      <c r="Q174" s="168"/>
      <c r="R174" s="169"/>
      <c r="S174" s="169"/>
      <c r="T174" s="169"/>
      <c r="U174" s="169"/>
      <c r="V174" s="169">
        <v>5.72</v>
      </c>
      <c r="W174" s="169"/>
      <c r="X174" s="169"/>
      <c r="Y174" s="169"/>
      <c r="Z174" s="170"/>
      <c r="AA174" s="169"/>
      <c r="AB174" s="169"/>
      <c r="AC174" s="169"/>
      <c r="AD174" s="169"/>
      <c r="AE174" s="169"/>
      <c r="AF174" s="169"/>
      <c r="AG174" s="169"/>
      <c r="AH174" s="170"/>
      <c r="AJ174" s="453">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3">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L174" s="453">
        <f ca="1">IF(AND($D174="Serviço",AL$12&lt;&gt;0,$H174&gt;0,OR(AUTOEVENTO&lt;&gt;"manual",$M174&lt;&gt;$A$15)),
        IF(Import.TipoArredondamento&lt;&gt;"TransfereGOV",
              ROUND(OFFSET($P174,0,AL$13),15-13*ORÇAMENTO!$AF$7)/$H174*OFFSET(ORÇAMENTO!$X$15,ROW(AL174)-ROW(AL$15),0),
              ROUND(ROUND(OFFSET($P174,0,AL$13),15-13*ORÇAMENTO!$AF$7)*OFFSET(ORÇAMENTO!$W$15,ROW(AL174)-ROW(AL$15),0),15-13*ORÇAMENTO!$AF$11)),
         0)</f>
        <v>0</v>
      </c>
      <c r="AM174" s="453">
        <f ca="1">IF(AND($D174="Serviço",AM$12&lt;&gt;0,$H174&gt;0,OR(AUTOEVENTO&lt;&gt;"manual",$M174&lt;&gt;$A$15)),
        IF(Import.TipoArredondamento&lt;&gt;"TransfereGOV",
              ROUND(OFFSET($P174,0,AM$13),15-13*ORÇAMENTO!$AF$7)/$H174*OFFSET(ORÇAMENTO!$X$15,ROW(AM174)-ROW(AM$15),0),
              ROUND(ROUND(OFFSET($P174,0,AM$13),15-13*ORÇAMENTO!$AF$7)*OFFSET(ORÇAMENTO!$W$15,ROW(AM174)-ROW(AM$15),0),15-13*ORÇAMENTO!$AF$11)),
         0)</f>
        <v>0</v>
      </c>
      <c r="AN174" s="453">
        <f ca="1">IF(AND($D174="Serviço",AN$12&lt;&gt;0,$H174&gt;0,OR(AUTOEVENTO&lt;&gt;"manual",$M174&lt;&gt;$A$15)),
        IF(Import.TipoArredondamento&lt;&gt;"TransfereGOV",
              ROUND(OFFSET($P174,0,AN$13),15-13*ORÇAMENTO!$AF$7)/$H174*OFFSET(ORÇAMENTO!$X$15,ROW(AN174)-ROW(AN$15),0),
              ROUND(ROUND(OFFSET($P174,0,AN$13),15-13*ORÇAMENTO!$AF$7)*OFFSET(ORÇAMENTO!$W$15,ROW(AN174)-ROW(AN$15),0),15-13*ORÇAMENTO!$AF$11)),
         0)</f>
        <v>0</v>
      </c>
      <c r="AO174" s="453">
        <f ca="1">IF(AND($D174="Serviço",AO$12&lt;&gt;0,$H174&gt;0,OR(AUTOEVENTO&lt;&gt;"manual",$M174&lt;&gt;$A$15)),
        IF(Import.TipoArredondamento&lt;&gt;"TransfereGOV",
              ROUND(OFFSET($P174,0,AO$13),15-13*ORÇAMENTO!$AF$7)/$H174*OFFSET(ORÇAMENTO!$X$15,ROW(AO174)-ROW(AO$15),0),
              ROUND(ROUND(OFFSET($P174,0,AO$13),15-13*ORÇAMENTO!$AF$7)*OFFSET(ORÇAMENTO!$W$15,ROW(AO174)-ROW(AO$15),0),15-13*ORÇAMENTO!$AF$11)),
         0)</f>
        <v>0</v>
      </c>
      <c r="AP174" s="453">
        <f ca="1">IF(AND($D174="Serviço",AP$12&lt;&gt;0,$H174&gt;0,OR(AUTOEVENTO&lt;&gt;"manual",$M174&lt;&gt;$A$15)),
        IF(Import.TipoArredondamento&lt;&gt;"TransfereGOV",
              ROUND(OFFSET($P174,0,AP$13),15-13*ORÇAMENTO!$AF$7)/$H174*OFFSET(ORÇAMENTO!$X$15,ROW(AP174)-ROW(AP$15),0),
              ROUND(ROUND(OFFSET($P174,0,AP$13),15-13*ORÇAMENTO!$AF$7)*OFFSET(ORÇAMENTO!$W$15,ROW(AP174)-ROW(AP$15),0),15-13*ORÇAMENTO!$AF$11)),
         0)</f>
        <v>0</v>
      </c>
      <c r="AQ174" s="453">
        <f ca="1">IF(AND($D174="Serviço",AQ$12&lt;&gt;0,$H174&gt;0,OR(AUTOEVENTO&lt;&gt;"manual",$M174&lt;&gt;$A$15)),
        IF(Import.TipoArredondamento&lt;&gt;"TransfereGOV",
              ROUND(OFFSET($P174,0,AQ$13),15-13*ORÇAMENTO!$AF$7)/$H174*OFFSET(ORÇAMENTO!$X$15,ROW(AQ174)-ROW(AQ$15),0),
              ROUND(ROUND(OFFSET($P174,0,AQ$13),15-13*ORÇAMENTO!$AF$7)*OFFSET(ORÇAMENTO!$W$15,ROW(AQ174)-ROW(AQ$15),0),15-13*ORÇAMENTO!$AF$11)),
         0)</f>
        <v>0</v>
      </c>
      <c r="AR174" s="453">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0</v>
      </c>
      <c r="AS174" s="453">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0</v>
      </c>
      <c r="AT174" s="453">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0</v>
      </c>
      <c r="AU174" s="453">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0</v>
      </c>
      <c r="AV174" s="453">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0</v>
      </c>
      <c r="AW174" s="453">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0</v>
      </c>
      <c r="AX174" s="453">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0</v>
      </c>
      <c r="AY174" s="453">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0</v>
      </c>
      <c r="AZ174" s="453">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0</v>
      </c>
      <c r="BA174" s="453">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0</v>
      </c>
      <c r="BC174" s="171">
        <f ca="1">IF(OR($D174&lt;&gt;"Serviço",AND(AUTOEVENTO="Manual",$M174=$A$15)),0,
         IF(OFFSET(CRONOPLE!$F$15,$M174-$A$15,BC$13)=0,10^12,OFFSET(CRONOPLE!$F$15,$M174-$A$15,BC$13)))</f>
        <v>1</v>
      </c>
      <c r="BD174" s="171">
        <f ca="1">IF(OR($D174&lt;&gt;"Serviço",AND(AUTOEVENTO="Manual",$M174=$A$15)),0,
         IF(OFFSET(CRONOPLE!$F$15,$M174-$A$15,BD$13)=0,10^12,OFFSET(CRONOPLE!$F$15,$M174-$A$15,BD$13)))</f>
        <v>2</v>
      </c>
      <c r="BE174" s="171">
        <f ca="1">IF(OR($D174&lt;&gt;"Serviço",AND(AUTOEVENTO="Manual",$M174=$A$15)),0,
         IF(OFFSET(CRONOPLE!$F$15,$M174-$A$15,BE$13)=0,10^12,OFFSET(CRONOPLE!$F$15,$M174-$A$15,BE$13)))</f>
        <v>3</v>
      </c>
      <c r="BF174" s="171">
        <f ca="1">IF(OR($D174&lt;&gt;"Serviço",AND(AUTOEVENTO="Manual",$M174=$A$15)),0,
         IF(OFFSET(CRONOPLE!$F$15,$M174-$A$15,BF$13)=0,10^12,OFFSET(CRONOPLE!$F$15,$M174-$A$15,BF$13)))</f>
        <v>4</v>
      </c>
      <c r="BG174" s="171">
        <f ca="1">IF(OR($D174&lt;&gt;"Serviço",AND(AUTOEVENTO="Manual",$M174=$A$15)),0,
         IF(OFFSET(CRONOPLE!$F$15,$M174-$A$15,BG$13)=0,10^12,OFFSET(CRONOPLE!$F$15,$M174-$A$15,BG$13)))</f>
        <v>5</v>
      </c>
      <c r="BH174" s="171">
        <f ca="1">IF(OR($D174&lt;&gt;"Serviço",AND(AUTOEVENTO="Manual",$M174=$A$15)),0,
         IF(OFFSET(CRONOPLE!$F$15,$M174-$A$15,BH$13)=0,10^12,OFFSET(CRONOPLE!$F$15,$M174-$A$15,BH$13)))</f>
        <v>6</v>
      </c>
      <c r="BI174" s="171">
        <f ca="1">IF(OR($D174&lt;&gt;"Serviço",AND(AUTOEVENTO="Manual",$M174=$A$15)),0,
         IF(OFFSET(CRONOPLE!$F$15,$M174-$A$15,BI$13)=0,10^12,OFFSET(CRONOPLE!$F$15,$M174-$A$15,BI$13)))</f>
        <v>7</v>
      </c>
      <c r="BJ174" s="171">
        <f ca="1">IF(OR($D174&lt;&gt;"Serviço",AND(AUTOEVENTO="Manual",$M174=$A$15)),0,
         IF(OFFSET(CRONOPLE!$F$15,$M174-$A$15,BJ$13)=0,10^12,OFFSET(CRONOPLE!$F$15,$M174-$A$15,BJ$13)))</f>
        <v>8</v>
      </c>
      <c r="BK174" s="171">
        <f ca="1">IF(OR($D174&lt;&gt;"Serviço",AND(AUTOEVENTO="Manual",$M174=$A$15)),0,
         IF(OFFSET(CRONOPLE!$F$15,$M174-$A$15,BK$13)=0,10^12,OFFSET(CRONOPLE!$F$15,$M174-$A$15,BK$13)))</f>
        <v>9</v>
      </c>
      <c r="BL174" s="171">
        <f ca="1">IF(OR($D174&lt;&gt;"Serviço",AND(AUTOEVENTO="Manual",$M174=$A$15)),0,
         IF(OFFSET(CRONOPLE!$F$15,$M174-$A$15,BL$13)=0,10^12,OFFSET(CRONOPLE!$F$15,$M174-$A$15,BL$13)))</f>
        <v>10</v>
      </c>
      <c r="BM174" s="171">
        <f ca="1">IF(OR($D174&lt;&gt;"Serviço",AND(AUTOEVENTO="Manual",$M174=$A$15)),0,
         IF(OFFSET(CRONOPLE!$F$15,$M174-$A$15,BM$13)=0,10^12,OFFSET(CRONOPLE!$F$15,$M174-$A$15,BM$13)))</f>
        <v>1000000000000</v>
      </c>
      <c r="BN174" s="171">
        <f ca="1">IF(OR($D174&lt;&gt;"Serviço",AND(AUTOEVENTO="Manual",$M174=$A$15)),0,
         IF(OFFSET(CRONOPLE!$F$15,$M174-$A$15,BN$13)=0,10^12,OFFSET(CRONOPLE!$F$15,$M174-$A$15,BN$13)))</f>
        <v>1000000000000</v>
      </c>
      <c r="BO174" s="171">
        <f ca="1">IF(OR($D174&lt;&gt;"Serviço",AND(AUTOEVENTO="Manual",$M174=$A$15)),0,
         IF(OFFSET(CRONOPLE!$F$15,$M174-$A$15,BO$13)=0,10^12,OFFSET(CRONOPLE!$F$15,$M174-$A$15,BO$13)))</f>
        <v>1000000000000</v>
      </c>
      <c r="BP174" s="171">
        <f ca="1">IF(OR($D174&lt;&gt;"Serviço",AND(AUTOEVENTO="Manual",$M174=$A$15)),0,
         IF(OFFSET(CRONOPLE!$F$15,$M174-$A$15,BP$13)=0,10^12,OFFSET(CRONOPLE!$F$15,$M174-$A$15,BP$13)))</f>
        <v>1000000000000</v>
      </c>
      <c r="BQ174" s="171">
        <f ca="1">IF(OR($D174&lt;&gt;"Serviço",AND(AUTOEVENTO="Manual",$M174=$A$15)),0,
         IF(OFFSET(CRONOPLE!$F$15,$M174-$A$15,BQ$13)=0,10^12,OFFSET(CRONOPLE!$F$15,$M174-$A$15,BQ$13)))</f>
        <v>1000000000000</v>
      </c>
      <c r="BR174" s="171">
        <f ca="1">IF(OR($D174&lt;&gt;"Serviço",AND(AUTOEVENTO="Manual",$M174=$A$15)),0,
         IF(OFFSET(CRONOPLE!$F$15,$M174-$A$15,BR$13)=0,10^12,OFFSET(CRONOPLE!$F$15,$M174-$A$15,BR$13)))</f>
        <v>1000000000000</v>
      </c>
      <c r="BS174" s="171">
        <f ca="1">IF(OR($D174&lt;&gt;"Serviço",AND(AUTOEVENTO="Manual",$M174=$A$15)),0,
         IF(OFFSET(CRONOPLE!$F$15,$M174-$A$15,BS$13)=0,10^12,OFFSET(CRONOPLE!$F$15,$M174-$A$15,BS$13)))</f>
        <v>1000000000000</v>
      </c>
      <c r="BT174" s="171">
        <f ca="1">IF(OR($D174&lt;&gt;"Serviço",AND(AUTOEVENTO="Manual",$M174=$A$15)),0,
         IF(OFFSET(CRONOPLE!$F$15,$M174-$A$15,BT$13)=0,10^12,OFFSET(CRONOPLE!$F$15,$M174-$A$15,BT$13)))</f>
        <v>1000000000000</v>
      </c>
      <c r="BV174" s="172">
        <f ca="1">IF(OR($D174&lt;&gt;"Serviço",AND(AUTOEVENTO="Manual",$M174=$A$15),$M174&gt;(ROW(PLE.lastrow)-ROW(PLE.firstrow))),0,
           IF(OFFSET(PLE!$G$15,$M174-$A$15,BV$13)="",10^12,OFFSET(PLE!$G$15,$M174-$A$15,BV$13)))</f>
        <v>1000000000000</v>
      </c>
      <c r="BW174" s="172">
        <f ca="1">IF(OR($D174&lt;&gt;"Serviço",AND(AUTOEVENTO="Manual",$M174=$A$15),$M174&gt;(ROW(PLE.lastrow)-ROW(PLE.firstrow))),0,
           IF(OFFSET(PLE!$G$15,$M174-$A$15,BW$13)="",10^12,OFFSET(PLE!$G$15,$M174-$A$15,BW$13)))</f>
        <v>1000000000000</v>
      </c>
      <c r="BX174" s="172">
        <f ca="1">IF(OR($D174&lt;&gt;"Serviço",AND(AUTOEVENTO="Manual",$M174=$A$15),$M174&gt;(ROW(PLE.lastrow)-ROW(PLE.firstrow))),0,
           IF(OFFSET(PLE!$G$15,$M174-$A$15,BX$13)="",10^12,OFFSET(PLE!$G$15,$M174-$A$15,BX$13)))</f>
        <v>1000000000000</v>
      </c>
      <c r="BY174" s="172">
        <f ca="1">IF(OR($D174&lt;&gt;"Serviço",AND(AUTOEVENTO="Manual",$M174=$A$15),$M174&gt;(ROW(PLE.lastrow)-ROW(PLE.firstrow))),0,
           IF(OFFSET(PLE!$G$15,$M174-$A$15,BY$13)="",10^12,OFFSET(PLE!$G$15,$M174-$A$15,BY$13)))</f>
        <v>1000000000000</v>
      </c>
      <c r="BZ174" s="172">
        <f ca="1">IF(OR($D174&lt;&gt;"Serviço",AND(AUTOEVENTO="Manual",$M174=$A$15),$M174&gt;(ROW(PLE.lastrow)-ROW(PLE.firstrow))),0,
           IF(OFFSET(PLE!$G$15,$M174-$A$15,BZ$13)="",10^12,OFFSET(PLE!$G$15,$M174-$A$15,BZ$13)))</f>
        <v>1000000000000</v>
      </c>
      <c r="CA174" s="172">
        <f ca="1">IF(OR($D174&lt;&gt;"Serviço",AND(AUTOEVENTO="Manual",$M174=$A$15),$M174&gt;(ROW(PLE.lastrow)-ROW(PLE.firstrow))),0,
           IF(OFFSET(PLE!$G$15,$M174-$A$15,CA$13)="",10^12,OFFSET(PLE!$G$15,$M174-$A$15,CA$13)))</f>
        <v>1000000000000</v>
      </c>
      <c r="CB174" s="172">
        <f ca="1">IF(OR($D174&lt;&gt;"Serviço",AND(AUTOEVENTO="Manual",$M174=$A$15),$M174&gt;(ROW(PLE.lastrow)-ROW(PLE.firstrow))),0,
           IF(OFFSET(PLE!$G$15,$M174-$A$15,CB$13)="",10^12,OFFSET(PLE!$G$15,$M174-$A$15,CB$13)))</f>
        <v>1000000000000</v>
      </c>
      <c r="CC174" s="172">
        <f ca="1">IF(OR($D174&lt;&gt;"Serviço",AND(AUTOEVENTO="Manual",$M174=$A$15),$M174&gt;(ROW(PLE.lastrow)-ROW(PLE.firstrow))),0,
           IF(OFFSET(PLE!$G$15,$M174-$A$15,CC$13)="",10^12,OFFSET(PLE!$G$15,$M174-$A$15,CC$13)))</f>
        <v>1000000000000</v>
      </c>
      <c r="CD174" s="172">
        <f ca="1">IF(OR($D174&lt;&gt;"Serviço",AND(AUTOEVENTO="Manual",$M174=$A$15),$M174&gt;(ROW(PLE.lastrow)-ROW(PLE.firstrow))),0,
           IF(OFFSET(PLE!$G$15,$M174-$A$15,CD$13)="",10^12,OFFSET(PLE!$G$15,$M174-$A$15,CD$13)))</f>
        <v>1000000000000</v>
      </c>
      <c r="CE174" s="172">
        <f ca="1">IF(OR($D174&lt;&gt;"Serviço",AND(AUTOEVENTO="Manual",$M174=$A$15),$M174&gt;(ROW(PLE.lastrow)-ROW(PLE.firstrow))),0,
           IF(OFFSET(PLE!$G$15,$M174-$A$15,CE$13)="",10^12,OFFSET(PLE!$G$15,$M174-$A$15,CE$13)))</f>
        <v>1000000000000</v>
      </c>
      <c r="CF174" s="172">
        <f ca="1">IF(OR($D174&lt;&gt;"Serviço",AND(AUTOEVENTO="Manual",$M174=$A$15),$M174&gt;(ROW(PLE.lastrow)-ROW(PLE.firstrow))),0,
           IF(OFFSET(PLE!$G$15,$M174-$A$15,CF$13)="",10^12,OFFSET(PLE!$G$15,$M174-$A$15,CF$13)))</f>
        <v>1000000000000</v>
      </c>
      <c r="CG174" s="172">
        <f ca="1">IF(OR($D174&lt;&gt;"Serviço",AND(AUTOEVENTO="Manual",$M174=$A$15),$M174&gt;(ROW(PLE.lastrow)-ROW(PLE.firstrow))),0,
           IF(OFFSET(PLE!$G$15,$M174-$A$15,CG$13)="",10^12,OFFSET(PLE!$G$15,$M174-$A$15,CG$13)))</f>
        <v>1000000000000</v>
      </c>
      <c r="CH174" s="172">
        <f ca="1">IF(OR($D174&lt;&gt;"Serviço",AND(AUTOEVENTO="Manual",$M174=$A$15),$M174&gt;(ROW(PLE.lastrow)-ROW(PLE.firstrow))),0,
           IF(OFFSET(PLE!$G$15,$M174-$A$15,CH$13)="",10^12,OFFSET(PLE!$G$15,$M174-$A$15,CH$13)))</f>
        <v>1000000000000</v>
      </c>
      <c r="CI174" s="172">
        <f ca="1">IF(OR($D174&lt;&gt;"Serviço",AND(AUTOEVENTO="Manual",$M174=$A$15),$M174&gt;(ROW(PLE.lastrow)-ROW(PLE.firstrow))),0,
           IF(OFFSET(PLE!$G$15,$M174-$A$15,CI$13)="",10^12,OFFSET(PLE!$G$15,$M174-$A$15,CI$13)))</f>
        <v>1000000000000</v>
      </c>
      <c r="CJ174" s="172">
        <f ca="1">IF(OR($D174&lt;&gt;"Serviço",AND(AUTOEVENTO="Manual",$M174=$A$15),$M174&gt;(ROW(PLE.lastrow)-ROW(PLE.firstrow))),0,
           IF(OFFSET(PLE!$G$15,$M174-$A$15,CJ$13)="",10^12,OFFSET(PLE!$G$15,$M174-$A$15,CJ$13)))</f>
        <v>1000000000000</v>
      </c>
      <c r="CK174" s="172">
        <f ca="1">IF(OR($D174&lt;&gt;"Serviço",AND(AUTOEVENTO="Manual",$M174=$A$15),$M174&gt;(ROW(PLE.lastrow)-ROW(PLE.firstrow))),0,
           IF(OFFSET(PLE!$G$15,$M174-$A$15,CK$13)="",10^12,OFFSET(PLE!$G$15,$M174-$A$15,CK$13)))</f>
        <v>1000000000000</v>
      </c>
      <c r="CL174" s="172">
        <f ca="1">IF(OR($D174&lt;&gt;"Serviço",AND(AUTOEVENTO="Manual",$M174=$A$15),$M174&gt;(ROW(PLE.lastrow)-ROW(PLE.firstrow))),0,
           IF(OFFSET(PLE!$G$15,$M174-$A$15,CL$13)="",10^12,OFFSET(PLE!$G$15,$M174-$A$15,CL$13)))</f>
        <v>1000000000000</v>
      </c>
      <c r="CM174" s="172">
        <f ca="1">IF(OR($D174&lt;&gt;"Serviço",AND(AUTOEVENTO="Manual",$M174=$A$15),$M174&gt;(ROW(PLE.lastrow)-ROW(PLE.firstrow))),0,
           IF(OFFSET(PLE!$G$15,$M174-$A$15,CM$13)="",10^12,OFFSET(PLE!$G$15,$M174-$A$15,CM$13)))</f>
        <v>1000000000000</v>
      </c>
    </row>
    <row r="175" spans="1:91" ht="38.25" x14ac:dyDescent="0.2">
      <c r="A175" s="7">
        <f t="shared" ca="1" si="12"/>
        <v>4</v>
      </c>
      <c r="B175" s="7" t="str">
        <f ca="1">OFFSET(ORÇAMENTO!C$15,ROW(B175)-ROW(B$15),0)</f>
        <v>S</v>
      </c>
      <c r="C175" s="7" t="str">
        <f ca="1">OFFSET(ORÇAMENTO!L$15,ROW(C175)-ROW(C$15),0)</f>
        <v>F</v>
      </c>
      <c r="D175" s="116" t="str">
        <f ca="1">OFFSET(ORÇAMENTO!N$15,ROW(D175)-ROW(D$15),0)</f>
        <v>Serviço</v>
      </c>
      <c r="E175" s="117" t="str">
        <f ca="1">OFFSET(ORÇAMENTO!O$15,ROW(E175)-ROW(E$15),0)</f>
        <v>1.5.5.3.2.</v>
      </c>
      <c r="F175" s="163" t="str">
        <f ca="1">OFFSET(ORÇAMENTO!R$15,ROW(F175)-ROW(F$15),0)</f>
        <v>PREPARO DE FUNDO DE VALA COM LARGURA MENOR QUE 1,5 M (ACERTO DO SOLO NATURAL). AF_08/2020</v>
      </c>
      <c r="G175" s="164" t="str">
        <f ca="1">IF($D175&lt;&gt;"Serviço","",OFFSET(ORÇAMENTO!S$15,ROW(G175)-ROW(G$15),0))</f>
        <v>M2</v>
      </c>
      <c r="H175" s="122" cm="1">
        <f t="array" aca="1" ref="H175" ca="1">IF($D175&lt;&gt;"Serviço",0,IF(ACOMPANHAMENTO="BM",ROUND(OFFSET(ORÇAMENTO!AJ$15,ROW(H175)-ROW(H$15),0),15-13*ORÇAMENTO!$AF$7),SUMPRODUCT(($Q$1:$AI$1=1)*ROUND($Q175:$AI175,15-13*ORÇAMENTO!$AF$7))))</f>
        <v>8.17</v>
      </c>
      <c r="I175" s="468" t="s">
        <v>1441</v>
      </c>
      <c r="J175" s="640" t="str" cm="1">
        <f t="array" aca="1" ref="J175" ca="1">IF(OR(B175&lt;&gt;"S",CÁLCULO.FrentesPreenchidas=0),"",IF(AND(ACOMPANHAMENTO="PLE",AUTOEVENTO="Manual",OR(H175&gt;0,ORÇAMENTO!AC175="QUANT."),OR(K175="",M175=0,N175="")),"►E",IF(AND(ACOMPANHAMENTO="PLE",ORÇAMENTO!AC175="QUANT."),"►Q",IF(AND(ACOMPANHAMENTO="PLE",H175&lt;&gt;SUMPRODUCT(($Q$1:$AI$1=1)*ROUND(Q175:AI175,15))),"►S",IF(AND(COUNTIF($P$11:$AI$11,"▼")=0,H175&gt;0,I175=""),"◄M","")))))</f>
        <v/>
      </c>
      <c r="K175" s="641" t="s">
        <v>1389</v>
      </c>
      <c r="L175" s="165" t="s">
        <v>764</v>
      </c>
      <c r="M175" s="166">
        <f ca="1">IF($D175&lt;&gt;"Serviço","",
          IF(AUTOEVENTO="manual",$A175,
                IF(ISERROR(MATCH($A175,$A$15:OFFSET($A175,-1,0),0)),MAX($M$15:OFFSET(M175,-1,0))+1,
                      INDEX($M$15:OFFSET(M175,-1,0),MATCH($A175,$A$15:OFFSET($A175,-1,0),0)))))</f>
        <v>4</v>
      </c>
      <c r="N175" s="167" t="str">
        <f ca="1">IF($D175&lt;&gt;"Serviço","",
         IF(AUTOEVENTO="Manual",
                IF($A175=0,"&lt;-- defina o número do agrupador",
                       OFFSET(EVENTOS!$D$15,$A175-$A$15,0)),
                OFFSET($F$15,$A175,0)))</f>
        <v>Estruturas de Concreto</v>
      </c>
      <c r="O175" s="168"/>
      <c r="Q175" s="168"/>
      <c r="R175" s="169"/>
      <c r="S175" s="169"/>
      <c r="T175" s="169"/>
      <c r="U175" s="169"/>
      <c r="V175" s="169">
        <v>8.17</v>
      </c>
      <c r="W175" s="169"/>
      <c r="X175" s="169"/>
      <c r="Y175" s="169"/>
      <c r="Z175" s="170"/>
      <c r="AA175" s="169"/>
      <c r="AB175" s="169"/>
      <c r="AC175" s="169"/>
      <c r="AD175" s="169"/>
      <c r="AE175" s="169"/>
      <c r="AF175" s="169"/>
      <c r="AG175" s="169"/>
      <c r="AH175" s="170"/>
      <c r="AJ175" s="453">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0</v>
      </c>
      <c r="AK175" s="453">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0</v>
      </c>
      <c r="AL175" s="453">
        <f ca="1">IF(AND($D175="Serviço",AL$12&lt;&gt;0,$H175&gt;0,OR(AUTOEVENTO&lt;&gt;"manual",$M175&lt;&gt;$A$15)),
        IF(Import.TipoArredondamento&lt;&gt;"TransfereGOV",
              ROUND(OFFSET($P175,0,AL$13),15-13*ORÇAMENTO!$AF$7)/$H175*OFFSET(ORÇAMENTO!$X$15,ROW(AL175)-ROW(AL$15),0),
              ROUND(ROUND(OFFSET($P175,0,AL$13),15-13*ORÇAMENTO!$AF$7)*OFFSET(ORÇAMENTO!$W$15,ROW(AL175)-ROW(AL$15),0),15-13*ORÇAMENTO!$AF$11)),
         0)</f>
        <v>0</v>
      </c>
      <c r="AM175" s="453">
        <f ca="1">IF(AND($D175="Serviço",AM$12&lt;&gt;0,$H175&gt;0,OR(AUTOEVENTO&lt;&gt;"manual",$M175&lt;&gt;$A$15)),
        IF(Import.TipoArredondamento&lt;&gt;"TransfereGOV",
              ROUND(OFFSET($P175,0,AM$13),15-13*ORÇAMENTO!$AF$7)/$H175*OFFSET(ORÇAMENTO!$X$15,ROW(AM175)-ROW(AM$15),0),
              ROUND(ROUND(OFFSET($P175,0,AM$13),15-13*ORÇAMENTO!$AF$7)*OFFSET(ORÇAMENTO!$W$15,ROW(AM175)-ROW(AM$15),0),15-13*ORÇAMENTO!$AF$11)),
         0)</f>
        <v>0</v>
      </c>
      <c r="AN175" s="453">
        <f ca="1">IF(AND($D175="Serviço",AN$12&lt;&gt;0,$H175&gt;0,OR(AUTOEVENTO&lt;&gt;"manual",$M175&lt;&gt;$A$15)),
        IF(Import.TipoArredondamento&lt;&gt;"TransfereGOV",
              ROUND(OFFSET($P175,0,AN$13),15-13*ORÇAMENTO!$AF$7)/$H175*OFFSET(ORÇAMENTO!$X$15,ROW(AN175)-ROW(AN$15),0),
              ROUND(ROUND(OFFSET($P175,0,AN$13),15-13*ORÇAMENTO!$AF$7)*OFFSET(ORÇAMENTO!$W$15,ROW(AN175)-ROW(AN$15),0),15-13*ORÇAMENTO!$AF$11)),
         0)</f>
        <v>0</v>
      </c>
      <c r="AO175" s="453">
        <f ca="1">IF(AND($D175="Serviço",AO$12&lt;&gt;0,$H175&gt;0,OR(AUTOEVENTO&lt;&gt;"manual",$M175&lt;&gt;$A$15)),
        IF(Import.TipoArredondamento&lt;&gt;"TransfereGOV",
              ROUND(OFFSET($P175,0,AO$13),15-13*ORÇAMENTO!$AF$7)/$H175*OFFSET(ORÇAMENTO!$X$15,ROW(AO175)-ROW(AO$15),0),
              ROUND(ROUND(OFFSET($P175,0,AO$13),15-13*ORÇAMENTO!$AF$7)*OFFSET(ORÇAMENTO!$W$15,ROW(AO175)-ROW(AO$15),0),15-13*ORÇAMENTO!$AF$11)),
         0)</f>
        <v>0</v>
      </c>
      <c r="AP175" s="453">
        <f ca="1">IF(AND($D175="Serviço",AP$12&lt;&gt;0,$H175&gt;0,OR(AUTOEVENTO&lt;&gt;"manual",$M175&lt;&gt;$A$15)),
        IF(Import.TipoArredondamento&lt;&gt;"TransfereGOV",
              ROUND(OFFSET($P175,0,AP$13),15-13*ORÇAMENTO!$AF$7)/$H175*OFFSET(ORÇAMENTO!$X$15,ROW(AP175)-ROW(AP$15),0),
              ROUND(ROUND(OFFSET($P175,0,AP$13),15-13*ORÇAMENTO!$AF$7)*OFFSET(ORÇAMENTO!$W$15,ROW(AP175)-ROW(AP$15),0),15-13*ORÇAMENTO!$AF$11)),
         0)</f>
        <v>0</v>
      </c>
      <c r="AQ175" s="453">
        <f ca="1">IF(AND($D175="Serviço",AQ$12&lt;&gt;0,$H175&gt;0,OR(AUTOEVENTO&lt;&gt;"manual",$M175&lt;&gt;$A$15)),
        IF(Import.TipoArredondamento&lt;&gt;"TransfereGOV",
              ROUND(OFFSET($P175,0,AQ$13),15-13*ORÇAMENTO!$AF$7)/$H175*OFFSET(ORÇAMENTO!$X$15,ROW(AQ175)-ROW(AQ$15),0),
              ROUND(ROUND(OFFSET($P175,0,AQ$13),15-13*ORÇAMENTO!$AF$7)*OFFSET(ORÇAMENTO!$W$15,ROW(AQ175)-ROW(AQ$15),0),15-13*ORÇAMENTO!$AF$11)),
         0)</f>
        <v>0</v>
      </c>
      <c r="AR175" s="453">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0</v>
      </c>
      <c r="AS175" s="453">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0</v>
      </c>
      <c r="AT175" s="453">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0</v>
      </c>
      <c r="AU175" s="453">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0</v>
      </c>
      <c r="AV175" s="453">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0</v>
      </c>
      <c r="AW175" s="453">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0</v>
      </c>
      <c r="AX175" s="453">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0</v>
      </c>
      <c r="AY175" s="453">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0</v>
      </c>
      <c r="AZ175" s="453">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0</v>
      </c>
      <c r="BA175" s="453">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0</v>
      </c>
      <c r="BC175" s="171">
        <f ca="1">IF(OR($D175&lt;&gt;"Serviço",AND(AUTOEVENTO="Manual",$M175=$A$15)),0,
         IF(OFFSET(CRONOPLE!$F$15,$M175-$A$15,BC$13)=0,10^12,OFFSET(CRONOPLE!$F$15,$M175-$A$15,BC$13)))</f>
        <v>1</v>
      </c>
      <c r="BD175" s="171">
        <f ca="1">IF(OR($D175&lt;&gt;"Serviço",AND(AUTOEVENTO="Manual",$M175=$A$15)),0,
         IF(OFFSET(CRONOPLE!$F$15,$M175-$A$15,BD$13)=0,10^12,OFFSET(CRONOPLE!$F$15,$M175-$A$15,BD$13)))</f>
        <v>2</v>
      </c>
      <c r="BE175" s="171">
        <f ca="1">IF(OR($D175&lt;&gt;"Serviço",AND(AUTOEVENTO="Manual",$M175=$A$15)),0,
         IF(OFFSET(CRONOPLE!$F$15,$M175-$A$15,BE$13)=0,10^12,OFFSET(CRONOPLE!$F$15,$M175-$A$15,BE$13)))</f>
        <v>3</v>
      </c>
      <c r="BF175" s="171">
        <f ca="1">IF(OR($D175&lt;&gt;"Serviço",AND(AUTOEVENTO="Manual",$M175=$A$15)),0,
         IF(OFFSET(CRONOPLE!$F$15,$M175-$A$15,BF$13)=0,10^12,OFFSET(CRONOPLE!$F$15,$M175-$A$15,BF$13)))</f>
        <v>4</v>
      </c>
      <c r="BG175" s="171">
        <f ca="1">IF(OR($D175&lt;&gt;"Serviço",AND(AUTOEVENTO="Manual",$M175=$A$15)),0,
         IF(OFFSET(CRONOPLE!$F$15,$M175-$A$15,BG$13)=0,10^12,OFFSET(CRONOPLE!$F$15,$M175-$A$15,BG$13)))</f>
        <v>5</v>
      </c>
      <c r="BH175" s="171">
        <f ca="1">IF(OR($D175&lt;&gt;"Serviço",AND(AUTOEVENTO="Manual",$M175=$A$15)),0,
         IF(OFFSET(CRONOPLE!$F$15,$M175-$A$15,BH$13)=0,10^12,OFFSET(CRONOPLE!$F$15,$M175-$A$15,BH$13)))</f>
        <v>6</v>
      </c>
      <c r="BI175" s="171">
        <f ca="1">IF(OR($D175&lt;&gt;"Serviço",AND(AUTOEVENTO="Manual",$M175=$A$15)),0,
         IF(OFFSET(CRONOPLE!$F$15,$M175-$A$15,BI$13)=0,10^12,OFFSET(CRONOPLE!$F$15,$M175-$A$15,BI$13)))</f>
        <v>7</v>
      </c>
      <c r="BJ175" s="171">
        <f ca="1">IF(OR($D175&lt;&gt;"Serviço",AND(AUTOEVENTO="Manual",$M175=$A$15)),0,
         IF(OFFSET(CRONOPLE!$F$15,$M175-$A$15,BJ$13)=0,10^12,OFFSET(CRONOPLE!$F$15,$M175-$A$15,BJ$13)))</f>
        <v>8</v>
      </c>
      <c r="BK175" s="171">
        <f ca="1">IF(OR($D175&lt;&gt;"Serviço",AND(AUTOEVENTO="Manual",$M175=$A$15)),0,
         IF(OFFSET(CRONOPLE!$F$15,$M175-$A$15,BK$13)=0,10^12,OFFSET(CRONOPLE!$F$15,$M175-$A$15,BK$13)))</f>
        <v>9</v>
      </c>
      <c r="BL175" s="171">
        <f ca="1">IF(OR($D175&lt;&gt;"Serviço",AND(AUTOEVENTO="Manual",$M175=$A$15)),0,
         IF(OFFSET(CRONOPLE!$F$15,$M175-$A$15,BL$13)=0,10^12,OFFSET(CRONOPLE!$F$15,$M175-$A$15,BL$13)))</f>
        <v>10</v>
      </c>
      <c r="BM175" s="171">
        <f ca="1">IF(OR($D175&lt;&gt;"Serviço",AND(AUTOEVENTO="Manual",$M175=$A$15)),0,
         IF(OFFSET(CRONOPLE!$F$15,$M175-$A$15,BM$13)=0,10^12,OFFSET(CRONOPLE!$F$15,$M175-$A$15,BM$13)))</f>
        <v>1000000000000</v>
      </c>
      <c r="BN175" s="171">
        <f ca="1">IF(OR($D175&lt;&gt;"Serviço",AND(AUTOEVENTO="Manual",$M175=$A$15)),0,
         IF(OFFSET(CRONOPLE!$F$15,$M175-$A$15,BN$13)=0,10^12,OFFSET(CRONOPLE!$F$15,$M175-$A$15,BN$13)))</f>
        <v>1000000000000</v>
      </c>
      <c r="BO175" s="171">
        <f ca="1">IF(OR($D175&lt;&gt;"Serviço",AND(AUTOEVENTO="Manual",$M175=$A$15)),0,
         IF(OFFSET(CRONOPLE!$F$15,$M175-$A$15,BO$13)=0,10^12,OFFSET(CRONOPLE!$F$15,$M175-$A$15,BO$13)))</f>
        <v>1000000000000</v>
      </c>
      <c r="BP175" s="171">
        <f ca="1">IF(OR($D175&lt;&gt;"Serviço",AND(AUTOEVENTO="Manual",$M175=$A$15)),0,
         IF(OFFSET(CRONOPLE!$F$15,$M175-$A$15,BP$13)=0,10^12,OFFSET(CRONOPLE!$F$15,$M175-$A$15,BP$13)))</f>
        <v>1000000000000</v>
      </c>
      <c r="BQ175" s="171">
        <f ca="1">IF(OR($D175&lt;&gt;"Serviço",AND(AUTOEVENTO="Manual",$M175=$A$15)),0,
         IF(OFFSET(CRONOPLE!$F$15,$M175-$A$15,BQ$13)=0,10^12,OFFSET(CRONOPLE!$F$15,$M175-$A$15,BQ$13)))</f>
        <v>1000000000000</v>
      </c>
      <c r="BR175" s="171">
        <f ca="1">IF(OR($D175&lt;&gt;"Serviço",AND(AUTOEVENTO="Manual",$M175=$A$15)),0,
         IF(OFFSET(CRONOPLE!$F$15,$M175-$A$15,BR$13)=0,10^12,OFFSET(CRONOPLE!$F$15,$M175-$A$15,BR$13)))</f>
        <v>1000000000000</v>
      </c>
      <c r="BS175" s="171">
        <f ca="1">IF(OR($D175&lt;&gt;"Serviço",AND(AUTOEVENTO="Manual",$M175=$A$15)),0,
         IF(OFFSET(CRONOPLE!$F$15,$M175-$A$15,BS$13)=0,10^12,OFFSET(CRONOPLE!$F$15,$M175-$A$15,BS$13)))</f>
        <v>1000000000000</v>
      </c>
      <c r="BT175" s="171">
        <f ca="1">IF(OR($D175&lt;&gt;"Serviço",AND(AUTOEVENTO="Manual",$M175=$A$15)),0,
         IF(OFFSET(CRONOPLE!$F$15,$M175-$A$15,BT$13)=0,10^12,OFFSET(CRONOPLE!$F$15,$M175-$A$15,BT$13)))</f>
        <v>1000000000000</v>
      </c>
      <c r="BV175" s="172">
        <f ca="1">IF(OR($D175&lt;&gt;"Serviço",AND(AUTOEVENTO="Manual",$M175=$A$15),$M175&gt;(ROW(PLE.lastrow)-ROW(PLE.firstrow))),0,
           IF(OFFSET(PLE!$G$15,$M175-$A$15,BV$13)="",10^12,OFFSET(PLE!$G$15,$M175-$A$15,BV$13)))</f>
        <v>1000000000000</v>
      </c>
      <c r="BW175" s="172">
        <f ca="1">IF(OR($D175&lt;&gt;"Serviço",AND(AUTOEVENTO="Manual",$M175=$A$15),$M175&gt;(ROW(PLE.lastrow)-ROW(PLE.firstrow))),0,
           IF(OFFSET(PLE!$G$15,$M175-$A$15,BW$13)="",10^12,OFFSET(PLE!$G$15,$M175-$A$15,BW$13)))</f>
        <v>1000000000000</v>
      </c>
      <c r="BX175" s="172">
        <f ca="1">IF(OR($D175&lt;&gt;"Serviço",AND(AUTOEVENTO="Manual",$M175=$A$15),$M175&gt;(ROW(PLE.lastrow)-ROW(PLE.firstrow))),0,
           IF(OFFSET(PLE!$G$15,$M175-$A$15,BX$13)="",10^12,OFFSET(PLE!$G$15,$M175-$A$15,BX$13)))</f>
        <v>1000000000000</v>
      </c>
      <c r="BY175" s="172">
        <f ca="1">IF(OR($D175&lt;&gt;"Serviço",AND(AUTOEVENTO="Manual",$M175=$A$15),$M175&gt;(ROW(PLE.lastrow)-ROW(PLE.firstrow))),0,
           IF(OFFSET(PLE!$G$15,$M175-$A$15,BY$13)="",10^12,OFFSET(PLE!$G$15,$M175-$A$15,BY$13)))</f>
        <v>1000000000000</v>
      </c>
      <c r="BZ175" s="172">
        <f ca="1">IF(OR($D175&lt;&gt;"Serviço",AND(AUTOEVENTO="Manual",$M175=$A$15),$M175&gt;(ROW(PLE.lastrow)-ROW(PLE.firstrow))),0,
           IF(OFFSET(PLE!$G$15,$M175-$A$15,BZ$13)="",10^12,OFFSET(PLE!$G$15,$M175-$A$15,BZ$13)))</f>
        <v>1000000000000</v>
      </c>
      <c r="CA175" s="172">
        <f ca="1">IF(OR($D175&lt;&gt;"Serviço",AND(AUTOEVENTO="Manual",$M175=$A$15),$M175&gt;(ROW(PLE.lastrow)-ROW(PLE.firstrow))),0,
           IF(OFFSET(PLE!$G$15,$M175-$A$15,CA$13)="",10^12,OFFSET(PLE!$G$15,$M175-$A$15,CA$13)))</f>
        <v>1000000000000</v>
      </c>
      <c r="CB175" s="172">
        <f ca="1">IF(OR($D175&lt;&gt;"Serviço",AND(AUTOEVENTO="Manual",$M175=$A$15),$M175&gt;(ROW(PLE.lastrow)-ROW(PLE.firstrow))),0,
           IF(OFFSET(PLE!$G$15,$M175-$A$15,CB$13)="",10^12,OFFSET(PLE!$G$15,$M175-$A$15,CB$13)))</f>
        <v>1000000000000</v>
      </c>
      <c r="CC175" s="172">
        <f ca="1">IF(OR($D175&lt;&gt;"Serviço",AND(AUTOEVENTO="Manual",$M175=$A$15),$M175&gt;(ROW(PLE.lastrow)-ROW(PLE.firstrow))),0,
           IF(OFFSET(PLE!$G$15,$M175-$A$15,CC$13)="",10^12,OFFSET(PLE!$G$15,$M175-$A$15,CC$13)))</f>
        <v>1000000000000</v>
      </c>
      <c r="CD175" s="172">
        <f ca="1">IF(OR($D175&lt;&gt;"Serviço",AND(AUTOEVENTO="Manual",$M175=$A$15),$M175&gt;(ROW(PLE.lastrow)-ROW(PLE.firstrow))),0,
           IF(OFFSET(PLE!$G$15,$M175-$A$15,CD$13)="",10^12,OFFSET(PLE!$G$15,$M175-$A$15,CD$13)))</f>
        <v>1000000000000</v>
      </c>
      <c r="CE175" s="172">
        <f ca="1">IF(OR($D175&lt;&gt;"Serviço",AND(AUTOEVENTO="Manual",$M175=$A$15),$M175&gt;(ROW(PLE.lastrow)-ROW(PLE.firstrow))),0,
           IF(OFFSET(PLE!$G$15,$M175-$A$15,CE$13)="",10^12,OFFSET(PLE!$G$15,$M175-$A$15,CE$13)))</f>
        <v>1000000000000</v>
      </c>
      <c r="CF175" s="172">
        <f ca="1">IF(OR($D175&lt;&gt;"Serviço",AND(AUTOEVENTO="Manual",$M175=$A$15),$M175&gt;(ROW(PLE.lastrow)-ROW(PLE.firstrow))),0,
           IF(OFFSET(PLE!$G$15,$M175-$A$15,CF$13)="",10^12,OFFSET(PLE!$G$15,$M175-$A$15,CF$13)))</f>
        <v>1000000000000</v>
      </c>
      <c r="CG175" s="172">
        <f ca="1">IF(OR($D175&lt;&gt;"Serviço",AND(AUTOEVENTO="Manual",$M175=$A$15),$M175&gt;(ROW(PLE.lastrow)-ROW(PLE.firstrow))),0,
           IF(OFFSET(PLE!$G$15,$M175-$A$15,CG$13)="",10^12,OFFSET(PLE!$G$15,$M175-$A$15,CG$13)))</f>
        <v>1000000000000</v>
      </c>
      <c r="CH175" s="172">
        <f ca="1">IF(OR($D175&lt;&gt;"Serviço",AND(AUTOEVENTO="Manual",$M175=$A$15),$M175&gt;(ROW(PLE.lastrow)-ROW(PLE.firstrow))),0,
           IF(OFFSET(PLE!$G$15,$M175-$A$15,CH$13)="",10^12,OFFSET(PLE!$G$15,$M175-$A$15,CH$13)))</f>
        <v>1000000000000</v>
      </c>
      <c r="CI175" s="172">
        <f ca="1">IF(OR($D175&lt;&gt;"Serviço",AND(AUTOEVENTO="Manual",$M175=$A$15),$M175&gt;(ROW(PLE.lastrow)-ROW(PLE.firstrow))),0,
           IF(OFFSET(PLE!$G$15,$M175-$A$15,CI$13)="",10^12,OFFSET(PLE!$G$15,$M175-$A$15,CI$13)))</f>
        <v>1000000000000</v>
      </c>
      <c r="CJ175" s="172">
        <f ca="1">IF(OR($D175&lt;&gt;"Serviço",AND(AUTOEVENTO="Manual",$M175=$A$15),$M175&gt;(ROW(PLE.lastrow)-ROW(PLE.firstrow))),0,
           IF(OFFSET(PLE!$G$15,$M175-$A$15,CJ$13)="",10^12,OFFSET(PLE!$G$15,$M175-$A$15,CJ$13)))</f>
        <v>1000000000000</v>
      </c>
      <c r="CK175" s="172">
        <f ca="1">IF(OR($D175&lt;&gt;"Serviço",AND(AUTOEVENTO="Manual",$M175=$A$15),$M175&gt;(ROW(PLE.lastrow)-ROW(PLE.firstrow))),0,
           IF(OFFSET(PLE!$G$15,$M175-$A$15,CK$13)="",10^12,OFFSET(PLE!$G$15,$M175-$A$15,CK$13)))</f>
        <v>1000000000000</v>
      </c>
      <c r="CL175" s="172">
        <f ca="1">IF(OR($D175&lt;&gt;"Serviço",AND(AUTOEVENTO="Manual",$M175=$A$15),$M175&gt;(ROW(PLE.lastrow)-ROW(PLE.firstrow))),0,
           IF(OFFSET(PLE!$G$15,$M175-$A$15,CL$13)="",10^12,OFFSET(PLE!$G$15,$M175-$A$15,CL$13)))</f>
        <v>1000000000000</v>
      </c>
      <c r="CM175" s="172">
        <f ca="1">IF(OR($D175&lt;&gt;"Serviço",AND(AUTOEVENTO="Manual",$M175=$A$15),$M175&gt;(ROW(PLE.lastrow)-ROW(PLE.firstrow))),0,
           IF(OFFSET(PLE!$G$15,$M175-$A$15,CM$13)="",10^12,OFFSET(PLE!$G$15,$M175-$A$15,CM$13)))</f>
        <v>1000000000000</v>
      </c>
    </row>
    <row r="176" spans="1:91" ht="38.25" x14ac:dyDescent="0.2">
      <c r="A176" s="7">
        <f t="shared" ca="1" si="12"/>
        <v>4</v>
      </c>
      <c r="B176" s="7" t="str">
        <f ca="1">OFFSET(ORÇAMENTO!C$15,ROW(B176)-ROW(B$15),0)</f>
        <v>S</v>
      </c>
      <c r="C176" s="7" t="str">
        <f ca="1">OFFSET(ORÇAMENTO!L$15,ROW(C176)-ROW(C$15),0)</f>
        <v>F</v>
      </c>
      <c r="D176" s="116" t="str">
        <f ca="1">OFFSET(ORÇAMENTO!N$15,ROW(D176)-ROW(D$15),0)</f>
        <v>Serviço</v>
      </c>
      <c r="E176" s="117" t="str">
        <f ca="1">OFFSET(ORÇAMENTO!O$15,ROW(E176)-ROW(E$15),0)</f>
        <v>1.5.5.3.3.</v>
      </c>
      <c r="F176" s="163" t="str">
        <f ca="1">OFFSET(ORÇAMENTO!R$15,ROW(F176)-ROW(F$15),0)</f>
        <v>FÔRMAS DE COMPENSADO RESINADO 10 MM - USO GERAL - UTILIZAÇÃO DE 3 VEZES - CONFECÇÃO, INSTALAÇÃO E RETIRADA</v>
      </c>
      <c r="G176" s="164" t="str">
        <f ca="1">IF($D176&lt;&gt;"Serviço","",OFFSET(ORÇAMENTO!S$15,ROW(G176)-ROW(G$15),0))</f>
        <v>M2</v>
      </c>
      <c r="H176" s="122" cm="1">
        <f t="array" aca="1" ref="H176" ca="1">IF($D176&lt;&gt;"Serviço",0,IF(ACOMPANHAMENTO="BM",ROUND(OFFSET(ORÇAMENTO!AJ$15,ROW(H176)-ROW(H$15),0),15-13*ORÇAMENTO!$AF$7),SUMPRODUCT(($Q$1:$AI$1=1)*ROUND($Q176:$AI176,15-13*ORÇAMENTO!$AF$7))))</f>
        <v>9.61</v>
      </c>
      <c r="I176" s="468" t="s">
        <v>1441</v>
      </c>
      <c r="J176" s="640" t="str" cm="1">
        <f t="array" aca="1" ref="J176" ca="1">IF(OR(B176&lt;&gt;"S",CÁLCULO.FrentesPreenchidas=0),"",IF(AND(ACOMPANHAMENTO="PLE",AUTOEVENTO="Manual",OR(H176&gt;0,ORÇAMENTO!AC176="QUANT."),OR(K176="",M176=0,N176="")),"►E",IF(AND(ACOMPANHAMENTO="PLE",ORÇAMENTO!AC176="QUANT."),"►Q",IF(AND(ACOMPANHAMENTO="PLE",H176&lt;&gt;SUMPRODUCT(($Q$1:$AI$1=1)*ROUND(Q176:AI176,15))),"►S",IF(AND(COUNTIF($P$11:$AI$11,"▼")=0,H176&gt;0,I176=""),"◄M","")))))</f>
        <v/>
      </c>
      <c r="K176" s="641" t="s">
        <v>1389</v>
      </c>
      <c r="L176" s="165" t="s">
        <v>764</v>
      </c>
      <c r="M176" s="166">
        <f ca="1">IF($D176&lt;&gt;"Serviço","",
          IF(AUTOEVENTO="manual",$A176,
                IF(ISERROR(MATCH($A176,$A$15:OFFSET($A176,-1,0),0)),MAX($M$15:OFFSET(M176,-1,0))+1,
                      INDEX($M$15:OFFSET(M176,-1,0),MATCH($A176,$A$15:OFFSET($A176,-1,0),0)))))</f>
        <v>4</v>
      </c>
      <c r="N176" s="167" t="str">
        <f ca="1">IF($D176&lt;&gt;"Serviço","",
         IF(AUTOEVENTO="Manual",
                IF($A176=0,"&lt;-- defina o número do agrupador",
                       OFFSET(EVENTOS!$D$15,$A176-$A$15,0)),
                OFFSET($F$15,$A176,0)))</f>
        <v>Estruturas de Concreto</v>
      </c>
      <c r="O176" s="168"/>
      <c r="Q176" s="168"/>
      <c r="R176" s="169"/>
      <c r="S176" s="169"/>
      <c r="T176" s="169"/>
      <c r="U176" s="169"/>
      <c r="V176" s="169">
        <v>9.61</v>
      </c>
      <c r="W176" s="169"/>
      <c r="X176" s="169"/>
      <c r="Y176" s="169"/>
      <c r="Z176" s="170"/>
      <c r="AA176" s="169"/>
      <c r="AB176" s="169"/>
      <c r="AC176" s="169"/>
      <c r="AD176" s="169"/>
      <c r="AE176" s="169"/>
      <c r="AF176" s="169"/>
      <c r="AG176" s="169"/>
      <c r="AH176" s="170"/>
      <c r="AJ176" s="453">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0</v>
      </c>
      <c r="AK176" s="453">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0</v>
      </c>
      <c r="AL176" s="453">
        <f ca="1">IF(AND($D176="Serviço",AL$12&lt;&gt;0,$H176&gt;0,OR(AUTOEVENTO&lt;&gt;"manual",$M176&lt;&gt;$A$15)),
        IF(Import.TipoArredondamento&lt;&gt;"TransfereGOV",
              ROUND(OFFSET($P176,0,AL$13),15-13*ORÇAMENTO!$AF$7)/$H176*OFFSET(ORÇAMENTO!$X$15,ROW(AL176)-ROW(AL$15),0),
              ROUND(ROUND(OFFSET($P176,0,AL$13),15-13*ORÇAMENTO!$AF$7)*OFFSET(ORÇAMENTO!$W$15,ROW(AL176)-ROW(AL$15),0),15-13*ORÇAMENTO!$AF$11)),
         0)</f>
        <v>0</v>
      </c>
      <c r="AM176" s="453">
        <f ca="1">IF(AND($D176="Serviço",AM$12&lt;&gt;0,$H176&gt;0,OR(AUTOEVENTO&lt;&gt;"manual",$M176&lt;&gt;$A$15)),
        IF(Import.TipoArredondamento&lt;&gt;"TransfereGOV",
              ROUND(OFFSET($P176,0,AM$13),15-13*ORÇAMENTO!$AF$7)/$H176*OFFSET(ORÇAMENTO!$X$15,ROW(AM176)-ROW(AM$15),0),
              ROUND(ROUND(OFFSET($P176,0,AM$13),15-13*ORÇAMENTO!$AF$7)*OFFSET(ORÇAMENTO!$W$15,ROW(AM176)-ROW(AM$15),0),15-13*ORÇAMENTO!$AF$11)),
         0)</f>
        <v>0</v>
      </c>
      <c r="AN176" s="453">
        <f ca="1">IF(AND($D176="Serviço",AN$12&lt;&gt;0,$H176&gt;0,OR(AUTOEVENTO&lt;&gt;"manual",$M176&lt;&gt;$A$15)),
        IF(Import.TipoArredondamento&lt;&gt;"TransfereGOV",
              ROUND(OFFSET($P176,0,AN$13),15-13*ORÇAMENTO!$AF$7)/$H176*OFFSET(ORÇAMENTO!$X$15,ROW(AN176)-ROW(AN$15),0),
              ROUND(ROUND(OFFSET($P176,0,AN$13),15-13*ORÇAMENTO!$AF$7)*OFFSET(ORÇAMENTO!$W$15,ROW(AN176)-ROW(AN$15),0),15-13*ORÇAMENTO!$AF$11)),
         0)</f>
        <v>0</v>
      </c>
      <c r="AO176" s="453">
        <f ca="1">IF(AND($D176="Serviço",AO$12&lt;&gt;0,$H176&gt;0,OR(AUTOEVENTO&lt;&gt;"manual",$M176&lt;&gt;$A$15)),
        IF(Import.TipoArredondamento&lt;&gt;"TransfereGOV",
              ROUND(OFFSET($P176,0,AO$13),15-13*ORÇAMENTO!$AF$7)/$H176*OFFSET(ORÇAMENTO!$X$15,ROW(AO176)-ROW(AO$15),0),
              ROUND(ROUND(OFFSET($P176,0,AO$13),15-13*ORÇAMENTO!$AF$7)*OFFSET(ORÇAMENTO!$W$15,ROW(AO176)-ROW(AO$15),0),15-13*ORÇAMENTO!$AF$11)),
         0)</f>
        <v>0</v>
      </c>
      <c r="AP176" s="453">
        <f ca="1">IF(AND($D176="Serviço",AP$12&lt;&gt;0,$H176&gt;0,OR(AUTOEVENTO&lt;&gt;"manual",$M176&lt;&gt;$A$15)),
        IF(Import.TipoArredondamento&lt;&gt;"TransfereGOV",
              ROUND(OFFSET($P176,0,AP$13),15-13*ORÇAMENTO!$AF$7)/$H176*OFFSET(ORÇAMENTO!$X$15,ROW(AP176)-ROW(AP$15),0),
              ROUND(ROUND(OFFSET($P176,0,AP$13),15-13*ORÇAMENTO!$AF$7)*OFFSET(ORÇAMENTO!$W$15,ROW(AP176)-ROW(AP$15),0),15-13*ORÇAMENTO!$AF$11)),
         0)</f>
        <v>0</v>
      </c>
      <c r="AQ176" s="453">
        <f ca="1">IF(AND($D176="Serviço",AQ$12&lt;&gt;0,$H176&gt;0,OR(AUTOEVENTO&lt;&gt;"manual",$M176&lt;&gt;$A$15)),
        IF(Import.TipoArredondamento&lt;&gt;"TransfereGOV",
              ROUND(OFFSET($P176,0,AQ$13),15-13*ORÇAMENTO!$AF$7)/$H176*OFFSET(ORÇAMENTO!$X$15,ROW(AQ176)-ROW(AQ$15),0),
              ROUND(ROUND(OFFSET($P176,0,AQ$13),15-13*ORÇAMENTO!$AF$7)*OFFSET(ORÇAMENTO!$W$15,ROW(AQ176)-ROW(AQ$15),0),15-13*ORÇAMENTO!$AF$11)),
         0)</f>
        <v>0</v>
      </c>
      <c r="AR176" s="453">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0</v>
      </c>
      <c r="AS176" s="453">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0</v>
      </c>
      <c r="AT176" s="453">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0</v>
      </c>
      <c r="AU176" s="453">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0</v>
      </c>
      <c r="AV176" s="453">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0</v>
      </c>
      <c r="AW176" s="453">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0</v>
      </c>
      <c r="AX176" s="453">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0</v>
      </c>
      <c r="AY176" s="453">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0</v>
      </c>
      <c r="AZ176" s="453">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0</v>
      </c>
      <c r="BA176" s="453">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0</v>
      </c>
      <c r="BC176" s="171">
        <f ca="1">IF(OR($D176&lt;&gt;"Serviço",AND(AUTOEVENTO="Manual",$M176=$A$15)),0,
         IF(OFFSET(CRONOPLE!$F$15,$M176-$A$15,BC$13)=0,10^12,OFFSET(CRONOPLE!$F$15,$M176-$A$15,BC$13)))</f>
        <v>1</v>
      </c>
      <c r="BD176" s="171">
        <f ca="1">IF(OR($D176&lt;&gt;"Serviço",AND(AUTOEVENTO="Manual",$M176=$A$15)),0,
         IF(OFFSET(CRONOPLE!$F$15,$M176-$A$15,BD$13)=0,10^12,OFFSET(CRONOPLE!$F$15,$M176-$A$15,BD$13)))</f>
        <v>2</v>
      </c>
      <c r="BE176" s="171">
        <f ca="1">IF(OR($D176&lt;&gt;"Serviço",AND(AUTOEVENTO="Manual",$M176=$A$15)),0,
         IF(OFFSET(CRONOPLE!$F$15,$M176-$A$15,BE$13)=0,10^12,OFFSET(CRONOPLE!$F$15,$M176-$A$15,BE$13)))</f>
        <v>3</v>
      </c>
      <c r="BF176" s="171">
        <f ca="1">IF(OR($D176&lt;&gt;"Serviço",AND(AUTOEVENTO="Manual",$M176=$A$15)),0,
         IF(OFFSET(CRONOPLE!$F$15,$M176-$A$15,BF$13)=0,10^12,OFFSET(CRONOPLE!$F$15,$M176-$A$15,BF$13)))</f>
        <v>4</v>
      </c>
      <c r="BG176" s="171">
        <f ca="1">IF(OR($D176&lt;&gt;"Serviço",AND(AUTOEVENTO="Manual",$M176=$A$15)),0,
         IF(OFFSET(CRONOPLE!$F$15,$M176-$A$15,BG$13)=0,10^12,OFFSET(CRONOPLE!$F$15,$M176-$A$15,BG$13)))</f>
        <v>5</v>
      </c>
      <c r="BH176" s="171">
        <f ca="1">IF(OR($D176&lt;&gt;"Serviço",AND(AUTOEVENTO="Manual",$M176=$A$15)),0,
         IF(OFFSET(CRONOPLE!$F$15,$M176-$A$15,BH$13)=0,10^12,OFFSET(CRONOPLE!$F$15,$M176-$A$15,BH$13)))</f>
        <v>6</v>
      </c>
      <c r="BI176" s="171">
        <f ca="1">IF(OR($D176&lt;&gt;"Serviço",AND(AUTOEVENTO="Manual",$M176=$A$15)),0,
         IF(OFFSET(CRONOPLE!$F$15,$M176-$A$15,BI$13)=0,10^12,OFFSET(CRONOPLE!$F$15,$M176-$A$15,BI$13)))</f>
        <v>7</v>
      </c>
      <c r="BJ176" s="171">
        <f ca="1">IF(OR($D176&lt;&gt;"Serviço",AND(AUTOEVENTO="Manual",$M176=$A$15)),0,
         IF(OFFSET(CRONOPLE!$F$15,$M176-$A$15,BJ$13)=0,10^12,OFFSET(CRONOPLE!$F$15,$M176-$A$15,BJ$13)))</f>
        <v>8</v>
      </c>
      <c r="BK176" s="171">
        <f ca="1">IF(OR($D176&lt;&gt;"Serviço",AND(AUTOEVENTO="Manual",$M176=$A$15)),0,
         IF(OFFSET(CRONOPLE!$F$15,$M176-$A$15,BK$13)=0,10^12,OFFSET(CRONOPLE!$F$15,$M176-$A$15,BK$13)))</f>
        <v>9</v>
      </c>
      <c r="BL176" s="171">
        <f ca="1">IF(OR($D176&lt;&gt;"Serviço",AND(AUTOEVENTO="Manual",$M176=$A$15)),0,
         IF(OFFSET(CRONOPLE!$F$15,$M176-$A$15,BL$13)=0,10^12,OFFSET(CRONOPLE!$F$15,$M176-$A$15,BL$13)))</f>
        <v>10</v>
      </c>
      <c r="BM176" s="171">
        <f ca="1">IF(OR($D176&lt;&gt;"Serviço",AND(AUTOEVENTO="Manual",$M176=$A$15)),0,
         IF(OFFSET(CRONOPLE!$F$15,$M176-$A$15,BM$13)=0,10^12,OFFSET(CRONOPLE!$F$15,$M176-$A$15,BM$13)))</f>
        <v>1000000000000</v>
      </c>
      <c r="BN176" s="171">
        <f ca="1">IF(OR($D176&lt;&gt;"Serviço",AND(AUTOEVENTO="Manual",$M176=$A$15)),0,
         IF(OFFSET(CRONOPLE!$F$15,$M176-$A$15,BN$13)=0,10^12,OFFSET(CRONOPLE!$F$15,$M176-$A$15,BN$13)))</f>
        <v>1000000000000</v>
      </c>
      <c r="BO176" s="171">
        <f ca="1">IF(OR($D176&lt;&gt;"Serviço",AND(AUTOEVENTO="Manual",$M176=$A$15)),0,
         IF(OFFSET(CRONOPLE!$F$15,$M176-$A$15,BO$13)=0,10^12,OFFSET(CRONOPLE!$F$15,$M176-$A$15,BO$13)))</f>
        <v>1000000000000</v>
      </c>
      <c r="BP176" s="171">
        <f ca="1">IF(OR($D176&lt;&gt;"Serviço",AND(AUTOEVENTO="Manual",$M176=$A$15)),0,
         IF(OFFSET(CRONOPLE!$F$15,$M176-$A$15,BP$13)=0,10^12,OFFSET(CRONOPLE!$F$15,$M176-$A$15,BP$13)))</f>
        <v>1000000000000</v>
      </c>
      <c r="BQ176" s="171">
        <f ca="1">IF(OR($D176&lt;&gt;"Serviço",AND(AUTOEVENTO="Manual",$M176=$A$15)),0,
         IF(OFFSET(CRONOPLE!$F$15,$M176-$A$15,BQ$13)=0,10^12,OFFSET(CRONOPLE!$F$15,$M176-$A$15,BQ$13)))</f>
        <v>1000000000000</v>
      </c>
      <c r="BR176" s="171">
        <f ca="1">IF(OR($D176&lt;&gt;"Serviço",AND(AUTOEVENTO="Manual",$M176=$A$15)),0,
         IF(OFFSET(CRONOPLE!$F$15,$M176-$A$15,BR$13)=0,10^12,OFFSET(CRONOPLE!$F$15,$M176-$A$15,BR$13)))</f>
        <v>1000000000000</v>
      </c>
      <c r="BS176" s="171">
        <f ca="1">IF(OR($D176&lt;&gt;"Serviço",AND(AUTOEVENTO="Manual",$M176=$A$15)),0,
         IF(OFFSET(CRONOPLE!$F$15,$M176-$A$15,BS$13)=0,10^12,OFFSET(CRONOPLE!$F$15,$M176-$A$15,BS$13)))</f>
        <v>1000000000000</v>
      </c>
      <c r="BT176" s="171">
        <f ca="1">IF(OR($D176&lt;&gt;"Serviço",AND(AUTOEVENTO="Manual",$M176=$A$15)),0,
         IF(OFFSET(CRONOPLE!$F$15,$M176-$A$15,BT$13)=0,10^12,OFFSET(CRONOPLE!$F$15,$M176-$A$15,BT$13)))</f>
        <v>1000000000000</v>
      </c>
      <c r="BV176" s="172">
        <f ca="1">IF(OR($D176&lt;&gt;"Serviço",AND(AUTOEVENTO="Manual",$M176=$A$15),$M176&gt;(ROW(PLE.lastrow)-ROW(PLE.firstrow))),0,
           IF(OFFSET(PLE!$G$15,$M176-$A$15,BV$13)="",10^12,OFFSET(PLE!$G$15,$M176-$A$15,BV$13)))</f>
        <v>1000000000000</v>
      </c>
      <c r="BW176" s="172">
        <f ca="1">IF(OR($D176&lt;&gt;"Serviço",AND(AUTOEVENTO="Manual",$M176=$A$15),$M176&gt;(ROW(PLE.lastrow)-ROW(PLE.firstrow))),0,
           IF(OFFSET(PLE!$G$15,$M176-$A$15,BW$13)="",10^12,OFFSET(PLE!$G$15,$M176-$A$15,BW$13)))</f>
        <v>1000000000000</v>
      </c>
      <c r="BX176" s="172">
        <f ca="1">IF(OR($D176&lt;&gt;"Serviço",AND(AUTOEVENTO="Manual",$M176=$A$15),$M176&gt;(ROW(PLE.lastrow)-ROW(PLE.firstrow))),0,
           IF(OFFSET(PLE!$G$15,$M176-$A$15,BX$13)="",10^12,OFFSET(PLE!$G$15,$M176-$A$15,BX$13)))</f>
        <v>1000000000000</v>
      </c>
      <c r="BY176" s="172">
        <f ca="1">IF(OR($D176&lt;&gt;"Serviço",AND(AUTOEVENTO="Manual",$M176=$A$15),$M176&gt;(ROW(PLE.lastrow)-ROW(PLE.firstrow))),0,
           IF(OFFSET(PLE!$G$15,$M176-$A$15,BY$13)="",10^12,OFFSET(PLE!$G$15,$M176-$A$15,BY$13)))</f>
        <v>1000000000000</v>
      </c>
      <c r="BZ176" s="172">
        <f ca="1">IF(OR($D176&lt;&gt;"Serviço",AND(AUTOEVENTO="Manual",$M176=$A$15),$M176&gt;(ROW(PLE.lastrow)-ROW(PLE.firstrow))),0,
           IF(OFFSET(PLE!$G$15,$M176-$A$15,BZ$13)="",10^12,OFFSET(PLE!$G$15,$M176-$A$15,BZ$13)))</f>
        <v>1000000000000</v>
      </c>
      <c r="CA176" s="172">
        <f ca="1">IF(OR($D176&lt;&gt;"Serviço",AND(AUTOEVENTO="Manual",$M176=$A$15),$M176&gt;(ROW(PLE.lastrow)-ROW(PLE.firstrow))),0,
           IF(OFFSET(PLE!$G$15,$M176-$A$15,CA$13)="",10^12,OFFSET(PLE!$G$15,$M176-$A$15,CA$13)))</f>
        <v>1000000000000</v>
      </c>
      <c r="CB176" s="172">
        <f ca="1">IF(OR($D176&lt;&gt;"Serviço",AND(AUTOEVENTO="Manual",$M176=$A$15),$M176&gt;(ROW(PLE.lastrow)-ROW(PLE.firstrow))),0,
           IF(OFFSET(PLE!$G$15,$M176-$A$15,CB$13)="",10^12,OFFSET(PLE!$G$15,$M176-$A$15,CB$13)))</f>
        <v>1000000000000</v>
      </c>
      <c r="CC176" s="172">
        <f ca="1">IF(OR($D176&lt;&gt;"Serviço",AND(AUTOEVENTO="Manual",$M176=$A$15),$M176&gt;(ROW(PLE.lastrow)-ROW(PLE.firstrow))),0,
           IF(OFFSET(PLE!$G$15,$M176-$A$15,CC$13)="",10^12,OFFSET(PLE!$G$15,$M176-$A$15,CC$13)))</f>
        <v>1000000000000</v>
      </c>
      <c r="CD176" s="172">
        <f ca="1">IF(OR($D176&lt;&gt;"Serviço",AND(AUTOEVENTO="Manual",$M176=$A$15),$M176&gt;(ROW(PLE.lastrow)-ROW(PLE.firstrow))),0,
           IF(OFFSET(PLE!$G$15,$M176-$A$15,CD$13)="",10^12,OFFSET(PLE!$G$15,$M176-$A$15,CD$13)))</f>
        <v>1000000000000</v>
      </c>
      <c r="CE176" s="172">
        <f ca="1">IF(OR($D176&lt;&gt;"Serviço",AND(AUTOEVENTO="Manual",$M176=$A$15),$M176&gt;(ROW(PLE.lastrow)-ROW(PLE.firstrow))),0,
           IF(OFFSET(PLE!$G$15,$M176-$A$15,CE$13)="",10^12,OFFSET(PLE!$G$15,$M176-$A$15,CE$13)))</f>
        <v>1000000000000</v>
      </c>
      <c r="CF176" s="172">
        <f ca="1">IF(OR($D176&lt;&gt;"Serviço",AND(AUTOEVENTO="Manual",$M176=$A$15),$M176&gt;(ROW(PLE.lastrow)-ROW(PLE.firstrow))),0,
           IF(OFFSET(PLE!$G$15,$M176-$A$15,CF$13)="",10^12,OFFSET(PLE!$G$15,$M176-$A$15,CF$13)))</f>
        <v>1000000000000</v>
      </c>
      <c r="CG176" s="172">
        <f ca="1">IF(OR($D176&lt;&gt;"Serviço",AND(AUTOEVENTO="Manual",$M176=$A$15),$M176&gt;(ROW(PLE.lastrow)-ROW(PLE.firstrow))),0,
           IF(OFFSET(PLE!$G$15,$M176-$A$15,CG$13)="",10^12,OFFSET(PLE!$G$15,$M176-$A$15,CG$13)))</f>
        <v>1000000000000</v>
      </c>
      <c r="CH176" s="172">
        <f ca="1">IF(OR($D176&lt;&gt;"Serviço",AND(AUTOEVENTO="Manual",$M176=$A$15),$M176&gt;(ROW(PLE.lastrow)-ROW(PLE.firstrow))),0,
           IF(OFFSET(PLE!$G$15,$M176-$A$15,CH$13)="",10^12,OFFSET(PLE!$G$15,$M176-$A$15,CH$13)))</f>
        <v>1000000000000</v>
      </c>
      <c r="CI176" s="172">
        <f ca="1">IF(OR($D176&lt;&gt;"Serviço",AND(AUTOEVENTO="Manual",$M176=$A$15),$M176&gt;(ROW(PLE.lastrow)-ROW(PLE.firstrow))),0,
           IF(OFFSET(PLE!$G$15,$M176-$A$15,CI$13)="",10^12,OFFSET(PLE!$G$15,$M176-$A$15,CI$13)))</f>
        <v>1000000000000</v>
      </c>
      <c r="CJ176" s="172">
        <f ca="1">IF(OR($D176&lt;&gt;"Serviço",AND(AUTOEVENTO="Manual",$M176=$A$15),$M176&gt;(ROW(PLE.lastrow)-ROW(PLE.firstrow))),0,
           IF(OFFSET(PLE!$G$15,$M176-$A$15,CJ$13)="",10^12,OFFSET(PLE!$G$15,$M176-$A$15,CJ$13)))</f>
        <v>1000000000000</v>
      </c>
      <c r="CK176" s="172">
        <f ca="1">IF(OR($D176&lt;&gt;"Serviço",AND(AUTOEVENTO="Manual",$M176=$A$15),$M176&gt;(ROW(PLE.lastrow)-ROW(PLE.firstrow))),0,
           IF(OFFSET(PLE!$G$15,$M176-$A$15,CK$13)="",10^12,OFFSET(PLE!$G$15,$M176-$A$15,CK$13)))</f>
        <v>1000000000000</v>
      </c>
      <c r="CL176" s="172">
        <f ca="1">IF(OR($D176&lt;&gt;"Serviço",AND(AUTOEVENTO="Manual",$M176=$A$15),$M176&gt;(ROW(PLE.lastrow)-ROW(PLE.firstrow))),0,
           IF(OFFSET(PLE!$G$15,$M176-$A$15,CL$13)="",10^12,OFFSET(PLE!$G$15,$M176-$A$15,CL$13)))</f>
        <v>1000000000000</v>
      </c>
      <c r="CM176" s="172">
        <f ca="1">IF(OR($D176&lt;&gt;"Serviço",AND(AUTOEVENTO="Manual",$M176=$A$15),$M176&gt;(ROW(PLE.lastrow)-ROW(PLE.firstrow))),0,
           IF(OFFSET(PLE!$G$15,$M176-$A$15,CM$13)="",10^12,OFFSET(PLE!$G$15,$M176-$A$15,CM$13)))</f>
        <v>1000000000000</v>
      </c>
    </row>
    <row r="177" spans="1:91" ht="38.25" x14ac:dyDescent="0.2">
      <c r="A177" s="7">
        <f t="shared" ca="1" si="12"/>
        <v>4</v>
      </c>
      <c r="B177" s="7" t="str">
        <f ca="1">OFFSET(ORÇAMENTO!C$15,ROW(B177)-ROW(B$15),0)</f>
        <v>S</v>
      </c>
      <c r="C177" s="7" t="str">
        <f ca="1">OFFSET(ORÇAMENTO!L$15,ROW(C177)-ROW(C$15),0)</f>
        <v>F</v>
      </c>
      <c r="D177" s="116" t="str">
        <f ca="1">OFFSET(ORÇAMENTO!N$15,ROW(D177)-ROW(D$15),0)</f>
        <v>Serviço</v>
      </c>
      <c r="E177" s="117" t="str">
        <f ca="1">OFFSET(ORÇAMENTO!O$15,ROW(E177)-ROW(E$15),0)</f>
        <v>1.5.5.3.4.</v>
      </c>
      <c r="F177" s="163" t="str">
        <f ca="1">OFFSET(ORÇAMENTO!R$15,ROW(F177)-ROW(F$15),0)</f>
        <v xml:space="preserve">LASTRO DE CONCRETO MAGRO, INCLUSIVE TRANSPORTE, LANÇAMENTO E ADENSAMENTO </v>
      </c>
      <c r="G177" s="164" t="str">
        <f ca="1">IF($D177&lt;&gt;"Serviço","",OFFSET(ORÇAMENTO!S$15,ROW(G177)-ROW(G$15),0))</f>
        <v>M3</v>
      </c>
      <c r="H177" s="122" cm="1">
        <f t="array" aca="1" ref="H177" ca="1">IF($D177&lt;&gt;"Serviço",0,IF(ACOMPANHAMENTO="BM",ROUND(OFFSET(ORÇAMENTO!AJ$15,ROW(H177)-ROW(H$15),0),15-13*ORÇAMENTO!$AF$7),SUMPRODUCT(($Q$1:$AI$1=1)*ROUND($Q177:$AI177,15-13*ORÇAMENTO!$AF$7))))</f>
        <v>0.41</v>
      </c>
      <c r="I177" s="468" t="s">
        <v>1441</v>
      </c>
      <c r="J177" s="640" t="str" cm="1">
        <f t="array" aca="1" ref="J177" ca="1">IF(OR(B177&lt;&gt;"S",CÁLCULO.FrentesPreenchidas=0),"",IF(AND(ACOMPANHAMENTO="PLE",AUTOEVENTO="Manual",OR(H177&gt;0,ORÇAMENTO!AC177="QUANT."),OR(K177="",M177=0,N177="")),"►E",IF(AND(ACOMPANHAMENTO="PLE",ORÇAMENTO!AC177="QUANT."),"►Q",IF(AND(ACOMPANHAMENTO="PLE",H177&lt;&gt;SUMPRODUCT(($Q$1:$AI$1=1)*ROUND(Q177:AI177,15))),"►S",IF(AND(COUNTIF($P$11:$AI$11,"▼")=0,H177&gt;0,I177=""),"◄M","")))))</f>
        <v/>
      </c>
      <c r="K177" s="641" t="s">
        <v>1389</v>
      </c>
      <c r="L177" s="165" t="s">
        <v>764</v>
      </c>
      <c r="M177" s="166">
        <f ca="1">IF($D177&lt;&gt;"Serviço","",
          IF(AUTOEVENTO="manual",$A177,
                IF(ISERROR(MATCH($A177,$A$15:OFFSET($A177,-1,0),0)),MAX($M$15:OFFSET(M177,-1,0))+1,
                      INDEX($M$15:OFFSET(M177,-1,0),MATCH($A177,$A$15:OFFSET($A177,-1,0),0)))))</f>
        <v>4</v>
      </c>
      <c r="N177" s="167" t="str">
        <f ca="1">IF($D177&lt;&gt;"Serviço","",
         IF(AUTOEVENTO="Manual",
                IF($A177=0,"&lt;-- defina o número do agrupador",
                       OFFSET(EVENTOS!$D$15,$A177-$A$15,0)),
                OFFSET($F$15,$A177,0)))</f>
        <v>Estruturas de Concreto</v>
      </c>
      <c r="O177" s="168"/>
      <c r="Q177" s="168"/>
      <c r="R177" s="169"/>
      <c r="S177" s="169"/>
      <c r="T177" s="169"/>
      <c r="U177" s="169"/>
      <c r="V177" s="169">
        <v>0.41</v>
      </c>
      <c r="W177" s="169"/>
      <c r="X177" s="169"/>
      <c r="Y177" s="169"/>
      <c r="Z177" s="170"/>
      <c r="AA177" s="169"/>
      <c r="AB177" s="169"/>
      <c r="AC177" s="169"/>
      <c r="AD177" s="169"/>
      <c r="AE177" s="169"/>
      <c r="AF177" s="169"/>
      <c r="AG177" s="169"/>
      <c r="AH177" s="170"/>
      <c r="AJ177" s="453">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0</v>
      </c>
      <c r="AK177" s="453">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0</v>
      </c>
      <c r="AL177" s="453">
        <f ca="1">IF(AND($D177="Serviço",AL$12&lt;&gt;0,$H177&gt;0,OR(AUTOEVENTO&lt;&gt;"manual",$M177&lt;&gt;$A$15)),
        IF(Import.TipoArredondamento&lt;&gt;"TransfereGOV",
              ROUND(OFFSET($P177,0,AL$13),15-13*ORÇAMENTO!$AF$7)/$H177*OFFSET(ORÇAMENTO!$X$15,ROW(AL177)-ROW(AL$15),0),
              ROUND(ROUND(OFFSET($P177,0,AL$13),15-13*ORÇAMENTO!$AF$7)*OFFSET(ORÇAMENTO!$W$15,ROW(AL177)-ROW(AL$15),0),15-13*ORÇAMENTO!$AF$11)),
         0)</f>
        <v>0</v>
      </c>
      <c r="AM177" s="453">
        <f ca="1">IF(AND($D177="Serviço",AM$12&lt;&gt;0,$H177&gt;0,OR(AUTOEVENTO&lt;&gt;"manual",$M177&lt;&gt;$A$15)),
        IF(Import.TipoArredondamento&lt;&gt;"TransfereGOV",
              ROUND(OFFSET($P177,0,AM$13),15-13*ORÇAMENTO!$AF$7)/$H177*OFFSET(ORÇAMENTO!$X$15,ROW(AM177)-ROW(AM$15),0),
              ROUND(ROUND(OFFSET($P177,0,AM$13),15-13*ORÇAMENTO!$AF$7)*OFFSET(ORÇAMENTO!$W$15,ROW(AM177)-ROW(AM$15),0),15-13*ORÇAMENTO!$AF$11)),
         0)</f>
        <v>0</v>
      </c>
      <c r="AN177" s="453">
        <f ca="1">IF(AND($D177="Serviço",AN$12&lt;&gt;0,$H177&gt;0,OR(AUTOEVENTO&lt;&gt;"manual",$M177&lt;&gt;$A$15)),
        IF(Import.TipoArredondamento&lt;&gt;"TransfereGOV",
              ROUND(OFFSET($P177,0,AN$13),15-13*ORÇAMENTO!$AF$7)/$H177*OFFSET(ORÇAMENTO!$X$15,ROW(AN177)-ROW(AN$15),0),
              ROUND(ROUND(OFFSET($P177,0,AN$13),15-13*ORÇAMENTO!$AF$7)*OFFSET(ORÇAMENTO!$W$15,ROW(AN177)-ROW(AN$15),0),15-13*ORÇAMENTO!$AF$11)),
         0)</f>
        <v>0</v>
      </c>
      <c r="AO177" s="453">
        <f ca="1">IF(AND($D177="Serviço",AO$12&lt;&gt;0,$H177&gt;0,OR(AUTOEVENTO&lt;&gt;"manual",$M177&lt;&gt;$A$15)),
        IF(Import.TipoArredondamento&lt;&gt;"TransfereGOV",
              ROUND(OFFSET($P177,0,AO$13),15-13*ORÇAMENTO!$AF$7)/$H177*OFFSET(ORÇAMENTO!$X$15,ROW(AO177)-ROW(AO$15),0),
              ROUND(ROUND(OFFSET($P177,0,AO$13),15-13*ORÇAMENTO!$AF$7)*OFFSET(ORÇAMENTO!$W$15,ROW(AO177)-ROW(AO$15),0),15-13*ORÇAMENTO!$AF$11)),
         0)</f>
        <v>0</v>
      </c>
      <c r="AP177" s="453">
        <f ca="1">IF(AND($D177="Serviço",AP$12&lt;&gt;0,$H177&gt;0,OR(AUTOEVENTO&lt;&gt;"manual",$M177&lt;&gt;$A$15)),
        IF(Import.TipoArredondamento&lt;&gt;"TransfereGOV",
              ROUND(OFFSET($P177,0,AP$13),15-13*ORÇAMENTO!$AF$7)/$H177*OFFSET(ORÇAMENTO!$X$15,ROW(AP177)-ROW(AP$15),0),
              ROUND(ROUND(OFFSET($P177,0,AP$13),15-13*ORÇAMENTO!$AF$7)*OFFSET(ORÇAMENTO!$W$15,ROW(AP177)-ROW(AP$15),0),15-13*ORÇAMENTO!$AF$11)),
         0)</f>
        <v>0</v>
      </c>
      <c r="AQ177" s="453">
        <f ca="1">IF(AND($D177="Serviço",AQ$12&lt;&gt;0,$H177&gt;0,OR(AUTOEVENTO&lt;&gt;"manual",$M177&lt;&gt;$A$15)),
        IF(Import.TipoArredondamento&lt;&gt;"TransfereGOV",
              ROUND(OFFSET($P177,0,AQ$13),15-13*ORÇAMENTO!$AF$7)/$H177*OFFSET(ORÇAMENTO!$X$15,ROW(AQ177)-ROW(AQ$15),0),
              ROUND(ROUND(OFFSET($P177,0,AQ$13),15-13*ORÇAMENTO!$AF$7)*OFFSET(ORÇAMENTO!$W$15,ROW(AQ177)-ROW(AQ$15),0),15-13*ORÇAMENTO!$AF$11)),
         0)</f>
        <v>0</v>
      </c>
      <c r="AR177" s="453">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0</v>
      </c>
      <c r="AS177" s="453">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0</v>
      </c>
      <c r="AT177" s="453">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0</v>
      </c>
      <c r="AU177" s="453">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0</v>
      </c>
      <c r="AV177" s="453">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0</v>
      </c>
      <c r="AW177" s="453">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0</v>
      </c>
      <c r="AX177" s="453">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0</v>
      </c>
      <c r="AY177" s="453">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0</v>
      </c>
      <c r="AZ177" s="453">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0</v>
      </c>
      <c r="BA177" s="453">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0</v>
      </c>
      <c r="BC177" s="171">
        <f ca="1">IF(OR($D177&lt;&gt;"Serviço",AND(AUTOEVENTO="Manual",$M177=$A$15)),0,
         IF(OFFSET(CRONOPLE!$F$15,$M177-$A$15,BC$13)=0,10^12,OFFSET(CRONOPLE!$F$15,$M177-$A$15,BC$13)))</f>
        <v>1</v>
      </c>
      <c r="BD177" s="171">
        <f ca="1">IF(OR($D177&lt;&gt;"Serviço",AND(AUTOEVENTO="Manual",$M177=$A$15)),0,
         IF(OFFSET(CRONOPLE!$F$15,$M177-$A$15,BD$13)=0,10^12,OFFSET(CRONOPLE!$F$15,$M177-$A$15,BD$13)))</f>
        <v>2</v>
      </c>
      <c r="BE177" s="171">
        <f ca="1">IF(OR($D177&lt;&gt;"Serviço",AND(AUTOEVENTO="Manual",$M177=$A$15)),0,
         IF(OFFSET(CRONOPLE!$F$15,$M177-$A$15,BE$13)=0,10^12,OFFSET(CRONOPLE!$F$15,$M177-$A$15,BE$13)))</f>
        <v>3</v>
      </c>
      <c r="BF177" s="171">
        <f ca="1">IF(OR($D177&lt;&gt;"Serviço",AND(AUTOEVENTO="Manual",$M177=$A$15)),0,
         IF(OFFSET(CRONOPLE!$F$15,$M177-$A$15,BF$13)=0,10^12,OFFSET(CRONOPLE!$F$15,$M177-$A$15,BF$13)))</f>
        <v>4</v>
      </c>
      <c r="BG177" s="171">
        <f ca="1">IF(OR($D177&lt;&gt;"Serviço",AND(AUTOEVENTO="Manual",$M177=$A$15)),0,
         IF(OFFSET(CRONOPLE!$F$15,$M177-$A$15,BG$13)=0,10^12,OFFSET(CRONOPLE!$F$15,$M177-$A$15,BG$13)))</f>
        <v>5</v>
      </c>
      <c r="BH177" s="171">
        <f ca="1">IF(OR($D177&lt;&gt;"Serviço",AND(AUTOEVENTO="Manual",$M177=$A$15)),0,
         IF(OFFSET(CRONOPLE!$F$15,$M177-$A$15,BH$13)=0,10^12,OFFSET(CRONOPLE!$F$15,$M177-$A$15,BH$13)))</f>
        <v>6</v>
      </c>
      <c r="BI177" s="171">
        <f ca="1">IF(OR($D177&lt;&gt;"Serviço",AND(AUTOEVENTO="Manual",$M177=$A$15)),0,
         IF(OFFSET(CRONOPLE!$F$15,$M177-$A$15,BI$13)=0,10^12,OFFSET(CRONOPLE!$F$15,$M177-$A$15,BI$13)))</f>
        <v>7</v>
      </c>
      <c r="BJ177" s="171">
        <f ca="1">IF(OR($D177&lt;&gt;"Serviço",AND(AUTOEVENTO="Manual",$M177=$A$15)),0,
         IF(OFFSET(CRONOPLE!$F$15,$M177-$A$15,BJ$13)=0,10^12,OFFSET(CRONOPLE!$F$15,$M177-$A$15,BJ$13)))</f>
        <v>8</v>
      </c>
      <c r="BK177" s="171">
        <f ca="1">IF(OR($D177&lt;&gt;"Serviço",AND(AUTOEVENTO="Manual",$M177=$A$15)),0,
         IF(OFFSET(CRONOPLE!$F$15,$M177-$A$15,BK$13)=0,10^12,OFFSET(CRONOPLE!$F$15,$M177-$A$15,BK$13)))</f>
        <v>9</v>
      </c>
      <c r="BL177" s="171">
        <f ca="1">IF(OR($D177&lt;&gt;"Serviço",AND(AUTOEVENTO="Manual",$M177=$A$15)),0,
         IF(OFFSET(CRONOPLE!$F$15,$M177-$A$15,BL$13)=0,10^12,OFFSET(CRONOPLE!$F$15,$M177-$A$15,BL$13)))</f>
        <v>10</v>
      </c>
      <c r="BM177" s="171">
        <f ca="1">IF(OR($D177&lt;&gt;"Serviço",AND(AUTOEVENTO="Manual",$M177=$A$15)),0,
         IF(OFFSET(CRONOPLE!$F$15,$M177-$A$15,BM$13)=0,10^12,OFFSET(CRONOPLE!$F$15,$M177-$A$15,BM$13)))</f>
        <v>1000000000000</v>
      </c>
      <c r="BN177" s="171">
        <f ca="1">IF(OR($D177&lt;&gt;"Serviço",AND(AUTOEVENTO="Manual",$M177=$A$15)),0,
         IF(OFFSET(CRONOPLE!$F$15,$M177-$A$15,BN$13)=0,10^12,OFFSET(CRONOPLE!$F$15,$M177-$A$15,BN$13)))</f>
        <v>1000000000000</v>
      </c>
      <c r="BO177" s="171">
        <f ca="1">IF(OR($D177&lt;&gt;"Serviço",AND(AUTOEVENTO="Manual",$M177=$A$15)),0,
         IF(OFFSET(CRONOPLE!$F$15,$M177-$A$15,BO$13)=0,10^12,OFFSET(CRONOPLE!$F$15,$M177-$A$15,BO$13)))</f>
        <v>1000000000000</v>
      </c>
      <c r="BP177" s="171">
        <f ca="1">IF(OR($D177&lt;&gt;"Serviço",AND(AUTOEVENTO="Manual",$M177=$A$15)),0,
         IF(OFFSET(CRONOPLE!$F$15,$M177-$A$15,BP$13)=0,10^12,OFFSET(CRONOPLE!$F$15,$M177-$A$15,BP$13)))</f>
        <v>1000000000000</v>
      </c>
      <c r="BQ177" s="171">
        <f ca="1">IF(OR($D177&lt;&gt;"Serviço",AND(AUTOEVENTO="Manual",$M177=$A$15)),0,
         IF(OFFSET(CRONOPLE!$F$15,$M177-$A$15,BQ$13)=0,10^12,OFFSET(CRONOPLE!$F$15,$M177-$A$15,BQ$13)))</f>
        <v>1000000000000</v>
      </c>
      <c r="BR177" s="171">
        <f ca="1">IF(OR($D177&lt;&gt;"Serviço",AND(AUTOEVENTO="Manual",$M177=$A$15)),0,
         IF(OFFSET(CRONOPLE!$F$15,$M177-$A$15,BR$13)=0,10^12,OFFSET(CRONOPLE!$F$15,$M177-$A$15,BR$13)))</f>
        <v>1000000000000</v>
      </c>
      <c r="BS177" s="171">
        <f ca="1">IF(OR($D177&lt;&gt;"Serviço",AND(AUTOEVENTO="Manual",$M177=$A$15)),0,
         IF(OFFSET(CRONOPLE!$F$15,$M177-$A$15,BS$13)=0,10^12,OFFSET(CRONOPLE!$F$15,$M177-$A$15,BS$13)))</f>
        <v>1000000000000</v>
      </c>
      <c r="BT177" s="171">
        <f ca="1">IF(OR($D177&lt;&gt;"Serviço",AND(AUTOEVENTO="Manual",$M177=$A$15)),0,
         IF(OFFSET(CRONOPLE!$F$15,$M177-$A$15,BT$13)=0,10^12,OFFSET(CRONOPLE!$F$15,$M177-$A$15,BT$13)))</f>
        <v>1000000000000</v>
      </c>
      <c r="BV177" s="172">
        <f ca="1">IF(OR($D177&lt;&gt;"Serviço",AND(AUTOEVENTO="Manual",$M177=$A$15),$M177&gt;(ROW(PLE.lastrow)-ROW(PLE.firstrow))),0,
           IF(OFFSET(PLE!$G$15,$M177-$A$15,BV$13)="",10^12,OFFSET(PLE!$G$15,$M177-$A$15,BV$13)))</f>
        <v>1000000000000</v>
      </c>
      <c r="BW177" s="172">
        <f ca="1">IF(OR($D177&lt;&gt;"Serviço",AND(AUTOEVENTO="Manual",$M177=$A$15),$M177&gt;(ROW(PLE.lastrow)-ROW(PLE.firstrow))),0,
           IF(OFFSET(PLE!$G$15,$M177-$A$15,BW$13)="",10^12,OFFSET(PLE!$G$15,$M177-$A$15,BW$13)))</f>
        <v>1000000000000</v>
      </c>
      <c r="BX177" s="172">
        <f ca="1">IF(OR($D177&lt;&gt;"Serviço",AND(AUTOEVENTO="Manual",$M177=$A$15),$M177&gt;(ROW(PLE.lastrow)-ROW(PLE.firstrow))),0,
           IF(OFFSET(PLE!$G$15,$M177-$A$15,BX$13)="",10^12,OFFSET(PLE!$G$15,$M177-$A$15,BX$13)))</f>
        <v>1000000000000</v>
      </c>
      <c r="BY177" s="172">
        <f ca="1">IF(OR($D177&lt;&gt;"Serviço",AND(AUTOEVENTO="Manual",$M177=$A$15),$M177&gt;(ROW(PLE.lastrow)-ROW(PLE.firstrow))),0,
           IF(OFFSET(PLE!$G$15,$M177-$A$15,BY$13)="",10^12,OFFSET(PLE!$G$15,$M177-$A$15,BY$13)))</f>
        <v>1000000000000</v>
      </c>
      <c r="BZ177" s="172">
        <f ca="1">IF(OR($D177&lt;&gt;"Serviço",AND(AUTOEVENTO="Manual",$M177=$A$15),$M177&gt;(ROW(PLE.lastrow)-ROW(PLE.firstrow))),0,
           IF(OFFSET(PLE!$G$15,$M177-$A$15,BZ$13)="",10^12,OFFSET(PLE!$G$15,$M177-$A$15,BZ$13)))</f>
        <v>1000000000000</v>
      </c>
      <c r="CA177" s="172">
        <f ca="1">IF(OR($D177&lt;&gt;"Serviço",AND(AUTOEVENTO="Manual",$M177=$A$15),$M177&gt;(ROW(PLE.lastrow)-ROW(PLE.firstrow))),0,
           IF(OFFSET(PLE!$G$15,$M177-$A$15,CA$13)="",10^12,OFFSET(PLE!$G$15,$M177-$A$15,CA$13)))</f>
        <v>1000000000000</v>
      </c>
      <c r="CB177" s="172">
        <f ca="1">IF(OR($D177&lt;&gt;"Serviço",AND(AUTOEVENTO="Manual",$M177=$A$15),$M177&gt;(ROW(PLE.lastrow)-ROW(PLE.firstrow))),0,
           IF(OFFSET(PLE!$G$15,$M177-$A$15,CB$13)="",10^12,OFFSET(PLE!$G$15,$M177-$A$15,CB$13)))</f>
        <v>1000000000000</v>
      </c>
      <c r="CC177" s="172">
        <f ca="1">IF(OR($D177&lt;&gt;"Serviço",AND(AUTOEVENTO="Manual",$M177=$A$15),$M177&gt;(ROW(PLE.lastrow)-ROW(PLE.firstrow))),0,
           IF(OFFSET(PLE!$G$15,$M177-$A$15,CC$13)="",10^12,OFFSET(PLE!$G$15,$M177-$A$15,CC$13)))</f>
        <v>1000000000000</v>
      </c>
      <c r="CD177" s="172">
        <f ca="1">IF(OR($D177&lt;&gt;"Serviço",AND(AUTOEVENTO="Manual",$M177=$A$15),$M177&gt;(ROW(PLE.lastrow)-ROW(PLE.firstrow))),0,
           IF(OFFSET(PLE!$G$15,$M177-$A$15,CD$13)="",10^12,OFFSET(PLE!$G$15,$M177-$A$15,CD$13)))</f>
        <v>1000000000000</v>
      </c>
      <c r="CE177" s="172">
        <f ca="1">IF(OR($D177&lt;&gt;"Serviço",AND(AUTOEVENTO="Manual",$M177=$A$15),$M177&gt;(ROW(PLE.lastrow)-ROW(PLE.firstrow))),0,
           IF(OFFSET(PLE!$G$15,$M177-$A$15,CE$13)="",10^12,OFFSET(PLE!$G$15,$M177-$A$15,CE$13)))</f>
        <v>1000000000000</v>
      </c>
      <c r="CF177" s="172">
        <f ca="1">IF(OR($D177&lt;&gt;"Serviço",AND(AUTOEVENTO="Manual",$M177=$A$15),$M177&gt;(ROW(PLE.lastrow)-ROW(PLE.firstrow))),0,
           IF(OFFSET(PLE!$G$15,$M177-$A$15,CF$13)="",10^12,OFFSET(PLE!$G$15,$M177-$A$15,CF$13)))</f>
        <v>1000000000000</v>
      </c>
      <c r="CG177" s="172">
        <f ca="1">IF(OR($D177&lt;&gt;"Serviço",AND(AUTOEVENTO="Manual",$M177=$A$15),$M177&gt;(ROW(PLE.lastrow)-ROW(PLE.firstrow))),0,
           IF(OFFSET(PLE!$G$15,$M177-$A$15,CG$13)="",10^12,OFFSET(PLE!$G$15,$M177-$A$15,CG$13)))</f>
        <v>1000000000000</v>
      </c>
      <c r="CH177" s="172">
        <f ca="1">IF(OR($D177&lt;&gt;"Serviço",AND(AUTOEVENTO="Manual",$M177=$A$15),$M177&gt;(ROW(PLE.lastrow)-ROW(PLE.firstrow))),0,
           IF(OFFSET(PLE!$G$15,$M177-$A$15,CH$13)="",10^12,OFFSET(PLE!$G$15,$M177-$A$15,CH$13)))</f>
        <v>1000000000000</v>
      </c>
      <c r="CI177" s="172">
        <f ca="1">IF(OR($D177&lt;&gt;"Serviço",AND(AUTOEVENTO="Manual",$M177=$A$15),$M177&gt;(ROW(PLE.lastrow)-ROW(PLE.firstrow))),0,
           IF(OFFSET(PLE!$G$15,$M177-$A$15,CI$13)="",10^12,OFFSET(PLE!$G$15,$M177-$A$15,CI$13)))</f>
        <v>1000000000000</v>
      </c>
      <c r="CJ177" s="172">
        <f ca="1">IF(OR($D177&lt;&gt;"Serviço",AND(AUTOEVENTO="Manual",$M177=$A$15),$M177&gt;(ROW(PLE.lastrow)-ROW(PLE.firstrow))),0,
           IF(OFFSET(PLE!$G$15,$M177-$A$15,CJ$13)="",10^12,OFFSET(PLE!$G$15,$M177-$A$15,CJ$13)))</f>
        <v>1000000000000</v>
      </c>
      <c r="CK177" s="172">
        <f ca="1">IF(OR($D177&lt;&gt;"Serviço",AND(AUTOEVENTO="Manual",$M177=$A$15),$M177&gt;(ROW(PLE.lastrow)-ROW(PLE.firstrow))),0,
           IF(OFFSET(PLE!$G$15,$M177-$A$15,CK$13)="",10^12,OFFSET(PLE!$G$15,$M177-$A$15,CK$13)))</f>
        <v>1000000000000</v>
      </c>
      <c r="CL177" s="172">
        <f ca="1">IF(OR($D177&lt;&gt;"Serviço",AND(AUTOEVENTO="Manual",$M177=$A$15),$M177&gt;(ROW(PLE.lastrow)-ROW(PLE.firstrow))),0,
           IF(OFFSET(PLE!$G$15,$M177-$A$15,CL$13)="",10^12,OFFSET(PLE!$G$15,$M177-$A$15,CL$13)))</f>
        <v>1000000000000</v>
      </c>
      <c r="CM177" s="172">
        <f ca="1">IF(OR($D177&lt;&gt;"Serviço",AND(AUTOEVENTO="Manual",$M177=$A$15),$M177&gt;(ROW(PLE.lastrow)-ROW(PLE.firstrow))),0,
           IF(OFFSET(PLE!$G$15,$M177-$A$15,CM$13)="",10^12,OFFSET(PLE!$G$15,$M177-$A$15,CM$13)))</f>
        <v>1000000000000</v>
      </c>
    </row>
    <row r="178" spans="1:91" ht="38.25" x14ac:dyDescent="0.2">
      <c r="A178" s="7">
        <f t="shared" ca="1" si="12"/>
        <v>4</v>
      </c>
      <c r="B178" s="7" t="str">
        <f ca="1">OFFSET(ORÇAMENTO!C$15,ROW(B178)-ROW(B$15),0)</f>
        <v>S</v>
      </c>
      <c r="C178" s="7" t="str">
        <f ca="1">OFFSET(ORÇAMENTO!L$15,ROW(C178)-ROW(C$15),0)</f>
        <v>F</v>
      </c>
      <c r="D178" s="116" t="str">
        <f ca="1">OFFSET(ORÇAMENTO!N$15,ROW(D178)-ROW(D$15),0)</f>
        <v>Serviço</v>
      </c>
      <c r="E178" s="117" t="str">
        <f ca="1">OFFSET(ORÇAMENTO!O$15,ROW(E178)-ROW(E$15),0)</f>
        <v>1.5.5.3.5.</v>
      </c>
      <c r="F178" s="163" t="str">
        <f ca="1">OFFSET(ORÇAMENTO!R$15,ROW(F178)-ROW(F$15),0)</f>
        <v>IMPERMEABILIZAÇÃO COM EMULSÃO ASFÁLTICA, DUAS (2) DEMÃOS</v>
      </c>
      <c r="G178" s="164" t="str">
        <f ca="1">IF($D178&lt;&gt;"Serviço","",OFFSET(ORÇAMENTO!S$15,ROW(G178)-ROW(G$15),0))</f>
        <v>M2</v>
      </c>
      <c r="H178" s="122" cm="1">
        <f t="array" aca="1" ref="H178" ca="1">IF($D178&lt;&gt;"Serviço",0,IF(ACOMPANHAMENTO="BM",ROUND(OFFSET(ORÇAMENTO!AJ$15,ROW(H178)-ROW(H$15),0),15-13*ORÇAMENTO!$AF$7),SUMPRODUCT(($Q$1:$AI$1=1)*ROUND($Q178:$AI178,15-13*ORÇAMENTO!$AF$7))))</f>
        <v>10.81</v>
      </c>
      <c r="I178" s="468" t="s">
        <v>1441</v>
      </c>
      <c r="J178" s="640" t="str" cm="1">
        <f t="array" aca="1" ref="J178" ca="1">IF(OR(B178&lt;&gt;"S",CÁLCULO.FrentesPreenchidas=0),"",IF(AND(ACOMPANHAMENTO="PLE",AUTOEVENTO="Manual",OR(H178&gt;0,ORÇAMENTO!AC178="QUANT."),OR(K178="",M178=0,N178="")),"►E",IF(AND(ACOMPANHAMENTO="PLE",ORÇAMENTO!AC178="QUANT."),"►Q",IF(AND(ACOMPANHAMENTO="PLE",H178&lt;&gt;SUMPRODUCT(($Q$1:$AI$1=1)*ROUND(Q178:AI178,15))),"►S",IF(AND(COUNTIF($P$11:$AI$11,"▼")=0,H178&gt;0,I178=""),"◄M","")))))</f>
        <v/>
      </c>
      <c r="K178" s="641" t="s">
        <v>1389</v>
      </c>
      <c r="L178" s="165" t="s">
        <v>764</v>
      </c>
      <c r="M178" s="166">
        <f ca="1">IF($D178&lt;&gt;"Serviço","",
          IF(AUTOEVENTO="manual",$A178,
                IF(ISERROR(MATCH($A178,$A$15:OFFSET($A178,-1,0),0)),MAX($M$15:OFFSET(M178,-1,0))+1,
                      INDEX($M$15:OFFSET(M178,-1,0),MATCH($A178,$A$15:OFFSET($A178,-1,0),0)))))</f>
        <v>4</v>
      </c>
      <c r="N178" s="167" t="str">
        <f ca="1">IF($D178&lt;&gt;"Serviço","",
         IF(AUTOEVENTO="Manual",
                IF($A178=0,"&lt;-- defina o número do agrupador",
                       OFFSET(EVENTOS!$D$15,$A178-$A$15,0)),
                OFFSET($F$15,$A178,0)))</f>
        <v>Estruturas de Concreto</v>
      </c>
      <c r="O178" s="168"/>
      <c r="Q178" s="168"/>
      <c r="R178" s="169"/>
      <c r="S178" s="169"/>
      <c r="T178" s="169"/>
      <c r="U178" s="169"/>
      <c r="V178" s="169">
        <v>10.81</v>
      </c>
      <c r="W178" s="169"/>
      <c r="X178" s="169"/>
      <c r="Y178" s="169"/>
      <c r="Z178" s="170"/>
      <c r="AA178" s="169"/>
      <c r="AB178" s="169"/>
      <c r="AC178" s="169"/>
      <c r="AD178" s="169"/>
      <c r="AE178" s="169"/>
      <c r="AF178" s="169"/>
      <c r="AG178" s="169"/>
      <c r="AH178" s="170"/>
      <c r="AJ178" s="453">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0</v>
      </c>
      <c r="AK178" s="453">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0</v>
      </c>
      <c r="AL178" s="453">
        <f ca="1">IF(AND($D178="Serviço",AL$12&lt;&gt;0,$H178&gt;0,OR(AUTOEVENTO&lt;&gt;"manual",$M178&lt;&gt;$A$15)),
        IF(Import.TipoArredondamento&lt;&gt;"TransfereGOV",
              ROUND(OFFSET($P178,0,AL$13),15-13*ORÇAMENTO!$AF$7)/$H178*OFFSET(ORÇAMENTO!$X$15,ROW(AL178)-ROW(AL$15),0),
              ROUND(ROUND(OFFSET($P178,0,AL$13),15-13*ORÇAMENTO!$AF$7)*OFFSET(ORÇAMENTO!$W$15,ROW(AL178)-ROW(AL$15),0),15-13*ORÇAMENTO!$AF$11)),
         0)</f>
        <v>0</v>
      </c>
      <c r="AM178" s="453">
        <f ca="1">IF(AND($D178="Serviço",AM$12&lt;&gt;0,$H178&gt;0,OR(AUTOEVENTO&lt;&gt;"manual",$M178&lt;&gt;$A$15)),
        IF(Import.TipoArredondamento&lt;&gt;"TransfereGOV",
              ROUND(OFFSET($P178,0,AM$13),15-13*ORÇAMENTO!$AF$7)/$H178*OFFSET(ORÇAMENTO!$X$15,ROW(AM178)-ROW(AM$15),0),
              ROUND(ROUND(OFFSET($P178,0,AM$13),15-13*ORÇAMENTO!$AF$7)*OFFSET(ORÇAMENTO!$W$15,ROW(AM178)-ROW(AM$15),0),15-13*ORÇAMENTO!$AF$11)),
         0)</f>
        <v>0</v>
      </c>
      <c r="AN178" s="453">
        <f ca="1">IF(AND($D178="Serviço",AN$12&lt;&gt;0,$H178&gt;0,OR(AUTOEVENTO&lt;&gt;"manual",$M178&lt;&gt;$A$15)),
        IF(Import.TipoArredondamento&lt;&gt;"TransfereGOV",
              ROUND(OFFSET($P178,0,AN$13),15-13*ORÇAMENTO!$AF$7)/$H178*OFFSET(ORÇAMENTO!$X$15,ROW(AN178)-ROW(AN$15),0),
              ROUND(ROUND(OFFSET($P178,0,AN$13),15-13*ORÇAMENTO!$AF$7)*OFFSET(ORÇAMENTO!$W$15,ROW(AN178)-ROW(AN$15),0),15-13*ORÇAMENTO!$AF$11)),
         0)</f>
        <v>0</v>
      </c>
      <c r="AO178" s="453">
        <f ca="1">IF(AND($D178="Serviço",AO$12&lt;&gt;0,$H178&gt;0,OR(AUTOEVENTO&lt;&gt;"manual",$M178&lt;&gt;$A$15)),
        IF(Import.TipoArredondamento&lt;&gt;"TransfereGOV",
              ROUND(OFFSET($P178,0,AO$13),15-13*ORÇAMENTO!$AF$7)/$H178*OFFSET(ORÇAMENTO!$X$15,ROW(AO178)-ROW(AO$15),0),
              ROUND(ROUND(OFFSET($P178,0,AO$13),15-13*ORÇAMENTO!$AF$7)*OFFSET(ORÇAMENTO!$W$15,ROW(AO178)-ROW(AO$15),0),15-13*ORÇAMENTO!$AF$11)),
         0)</f>
        <v>0</v>
      </c>
      <c r="AP178" s="453">
        <f ca="1">IF(AND($D178="Serviço",AP$12&lt;&gt;0,$H178&gt;0,OR(AUTOEVENTO&lt;&gt;"manual",$M178&lt;&gt;$A$15)),
        IF(Import.TipoArredondamento&lt;&gt;"TransfereGOV",
              ROUND(OFFSET($P178,0,AP$13),15-13*ORÇAMENTO!$AF$7)/$H178*OFFSET(ORÇAMENTO!$X$15,ROW(AP178)-ROW(AP$15),0),
              ROUND(ROUND(OFFSET($P178,0,AP$13),15-13*ORÇAMENTO!$AF$7)*OFFSET(ORÇAMENTO!$W$15,ROW(AP178)-ROW(AP$15),0),15-13*ORÇAMENTO!$AF$11)),
         0)</f>
        <v>0</v>
      </c>
      <c r="AQ178" s="453">
        <f ca="1">IF(AND($D178="Serviço",AQ$12&lt;&gt;0,$H178&gt;0,OR(AUTOEVENTO&lt;&gt;"manual",$M178&lt;&gt;$A$15)),
        IF(Import.TipoArredondamento&lt;&gt;"TransfereGOV",
              ROUND(OFFSET($P178,0,AQ$13),15-13*ORÇAMENTO!$AF$7)/$H178*OFFSET(ORÇAMENTO!$X$15,ROW(AQ178)-ROW(AQ$15),0),
              ROUND(ROUND(OFFSET($P178,0,AQ$13),15-13*ORÇAMENTO!$AF$7)*OFFSET(ORÇAMENTO!$W$15,ROW(AQ178)-ROW(AQ$15),0),15-13*ORÇAMENTO!$AF$11)),
         0)</f>
        <v>0</v>
      </c>
      <c r="AR178" s="453">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0</v>
      </c>
      <c r="AS178" s="453">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0</v>
      </c>
      <c r="AT178" s="453">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0</v>
      </c>
      <c r="AU178" s="453">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0</v>
      </c>
      <c r="AV178" s="453">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0</v>
      </c>
      <c r="AW178" s="453">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0</v>
      </c>
      <c r="AX178" s="453">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0</v>
      </c>
      <c r="AY178" s="453">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0</v>
      </c>
      <c r="AZ178" s="453">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0</v>
      </c>
      <c r="BA178" s="453">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0</v>
      </c>
      <c r="BC178" s="171">
        <f ca="1">IF(OR($D178&lt;&gt;"Serviço",AND(AUTOEVENTO="Manual",$M178=$A$15)),0,
         IF(OFFSET(CRONOPLE!$F$15,$M178-$A$15,BC$13)=0,10^12,OFFSET(CRONOPLE!$F$15,$M178-$A$15,BC$13)))</f>
        <v>1</v>
      </c>
      <c r="BD178" s="171">
        <f ca="1">IF(OR($D178&lt;&gt;"Serviço",AND(AUTOEVENTO="Manual",$M178=$A$15)),0,
         IF(OFFSET(CRONOPLE!$F$15,$M178-$A$15,BD$13)=0,10^12,OFFSET(CRONOPLE!$F$15,$M178-$A$15,BD$13)))</f>
        <v>2</v>
      </c>
      <c r="BE178" s="171">
        <f ca="1">IF(OR($D178&lt;&gt;"Serviço",AND(AUTOEVENTO="Manual",$M178=$A$15)),0,
         IF(OFFSET(CRONOPLE!$F$15,$M178-$A$15,BE$13)=0,10^12,OFFSET(CRONOPLE!$F$15,$M178-$A$15,BE$13)))</f>
        <v>3</v>
      </c>
      <c r="BF178" s="171">
        <f ca="1">IF(OR($D178&lt;&gt;"Serviço",AND(AUTOEVENTO="Manual",$M178=$A$15)),0,
         IF(OFFSET(CRONOPLE!$F$15,$M178-$A$15,BF$13)=0,10^12,OFFSET(CRONOPLE!$F$15,$M178-$A$15,BF$13)))</f>
        <v>4</v>
      </c>
      <c r="BG178" s="171">
        <f ca="1">IF(OR($D178&lt;&gt;"Serviço",AND(AUTOEVENTO="Manual",$M178=$A$15)),0,
         IF(OFFSET(CRONOPLE!$F$15,$M178-$A$15,BG$13)=0,10^12,OFFSET(CRONOPLE!$F$15,$M178-$A$15,BG$13)))</f>
        <v>5</v>
      </c>
      <c r="BH178" s="171">
        <f ca="1">IF(OR($D178&lt;&gt;"Serviço",AND(AUTOEVENTO="Manual",$M178=$A$15)),0,
         IF(OFFSET(CRONOPLE!$F$15,$M178-$A$15,BH$13)=0,10^12,OFFSET(CRONOPLE!$F$15,$M178-$A$15,BH$13)))</f>
        <v>6</v>
      </c>
      <c r="BI178" s="171">
        <f ca="1">IF(OR($D178&lt;&gt;"Serviço",AND(AUTOEVENTO="Manual",$M178=$A$15)),0,
         IF(OFFSET(CRONOPLE!$F$15,$M178-$A$15,BI$13)=0,10^12,OFFSET(CRONOPLE!$F$15,$M178-$A$15,BI$13)))</f>
        <v>7</v>
      </c>
      <c r="BJ178" s="171">
        <f ca="1">IF(OR($D178&lt;&gt;"Serviço",AND(AUTOEVENTO="Manual",$M178=$A$15)),0,
         IF(OFFSET(CRONOPLE!$F$15,$M178-$A$15,BJ$13)=0,10^12,OFFSET(CRONOPLE!$F$15,$M178-$A$15,BJ$13)))</f>
        <v>8</v>
      </c>
      <c r="BK178" s="171">
        <f ca="1">IF(OR($D178&lt;&gt;"Serviço",AND(AUTOEVENTO="Manual",$M178=$A$15)),0,
         IF(OFFSET(CRONOPLE!$F$15,$M178-$A$15,BK$13)=0,10^12,OFFSET(CRONOPLE!$F$15,$M178-$A$15,BK$13)))</f>
        <v>9</v>
      </c>
      <c r="BL178" s="171">
        <f ca="1">IF(OR($D178&lt;&gt;"Serviço",AND(AUTOEVENTO="Manual",$M178=$A$15)),0,
         IF(OFFSET(CRONOPLE!$F$15,$M178-$A$15,BL$13)=0,10^12,OFFSET(CRONOPLE!$F$15,$M178-$A$15,BL$13)))</f>
        <v>10</v>
      </c>
      <c r="BM178" s="171">
        <f ca="1">IF(OR($D178&lt;&gt;"Serviço",AND(AUTOEVENTO="Manual",$M178=$A$15)),0,
         IF(OFFSET(CRONOPLE!$F$15,$M178-$A$15,BM$13)=0,10^12,OFFSET(CRONOPLE!$F$15,$M178-$A$15,BM$13)))</f>
        <v>1000000000000</v>
      </c>
      <c r="BN178" s="171">
        <f ca="1">IF(OR($D178&lt;&gt;"Serviço",AND(AUTOEVENTO="Manual",$M178=$A$15)),0,
         IF(OFFSET(CRONOPLE!$F$15,$M178-$A$15,BN$13)=0,10^12,OFFSET(CRONOPLE!$F$15,$M178-$A$15,BN$13)))</f>
        <v>1000000000000</v>
      </c>
      <c r="BO178" s="171">
        <f ca="1">IF(OR($D178&lt;&gt;"Serviço",AND(AUTOEVENTO="Manual",$M178=$A$15)),0,
         IF(OFFSET(CRONOPLE!$F$15,$M178-$A$15,BO$13)=0,10^12,OFFSET(CRONOPLE!$F$15,$M178-$A$15,BO$13)))</f>
        <v>1000000000000</v>
      </c>
      <c r="BP178" s="171">
        <f ca="1">IF(OR($D178&lt;&gt;"Serviço",AND(AUTOEVENTO="Manual",$M178=$A$15)),0,
         IF(OFFSET(CRONOPLE!$F$15,$M178-$A$15,BP$13)=0,10^12,OFFSET(CRONOPLE!$F$15,$M178-$A$15,BP$13)))</f>
        <v>1000000000000</v>
      </c>
      <c r="BQ178" s="171">
        <f ca="1">IF(OR($D178&lt;&gt;"Serviço",AND(AUTOEVENTO="Manual",$M178=$A$15)),0,
         IF(OFFSET(CRONOPLE!$F$15,$M178-$A$15,BQ$13)=0,10^12,OFFSET(CRONOPLE!$F$15,$M178-$A$15,BQ$13)))</f>
        <v>1000000000000</v>
      </c>
      <c r="BR178" s="171">
        <f ca="1">IF(OR($D178&lt;&gt;"Serviço",AND(AUTOEVENTO="Manual",$M178=$A$15)),0,
         IF(OFFSET(CRONOPLE!$F$15,$M178-$A$15,BR$13)=0,10^12,OFFSET(CRONOPLE!$F$15,$M178-$A$15,BR$13)))</f>
        <v>1000000000000</v>
      </c>
      <c r="BS178" s="171">
        <f ca="1">IF(OR($D178&lt;&gt;"Serviço",AND(AUTOEVENTO="Manual",$M178=$A$15)),0,
         IF(OFFSET(CRONOPLE!$F$15,$M178-$A$15,BS$13)=0,10^12,OFFSET(CRONOPLE!$F$15,$M178-$A$15,BS$13)))</f>
        <v>1000000000000</v>
      </c>
      <c r="BT178" s="171">
        <f ca="1">IF(OR($D178&lt;&gt;"Serviço",AND(AUTOEVENTO="Manual",$M178=$A$15)),0,
         IF(OFFSET(CRONOPLE!$F$15,$M178-$A$15,BT$13)=0,10^12,OFFSET(CRONOPLE!$F$15,$M178-$A$15,BT$13)))</f>
        <v>1000000000000</v>
      </c>
      <c r="BV178" s="172">
        <f ca="1">IF(OR($D178&lt;&gt;"Serviço",AND(AUTOEVENTO="Manual",$M178=$A$15),$M178&gt;(ROW(PLE.lastrow)-ROW(PLE.firstrow))),0,
           IF(OFFSET(PLE!$G$15,$M178-$A$15,BV$13)="",10^12,OFFSET(PLE!$G$15,$M178-$A$15,BV$13)))</f>
        <v>1000000000000</v>
      </c>
      <c r="BW178" s="172">
        <f ca="1">IF(OR($D178&lt;&gt;"Serviço",AND(AUTOEVENTO="Manual",$M178=$A$15),$M178&gt;(ROW(PLE.lastrow)-ROW(PLE.firstrow))),0,
           IF(OFFSET(PLE!$G$15,$M178-$A$15,BW$13)="",10^12,OFFSET(PLE!$G$15,$M178-$A$15,BW$13)))</f>
        <v>1000000000000</v>
      </c>
      <c r="BX178" s="172">
        <f ca="1">IF(OR($D178&lt;&gt;"Serviço",AND(AUTOEVENTO="Manual",$M178=$A$15),$M178&gt;(ROW(PLE.lastrow)-ROW(PLE.firstrow))),0,
           IF(OFFSET(PLE!$G$15,$M178-$A$15,BX$13)="",10^12,OFFSET(PLE!$G$15,$M178-$A$15,BX$13)))</f>
        <v>1000000000000</v>
      </c>
      <c r="BY178" s="172">
        <f ca="1">IF(OR($D178&lt;&gt;"Serviço",AND(AUTOEVENTO="Manual",$M178=$A$15),$M178&gt;(ROW(PLE.lastrow)-ROW(PLE.firstrow))),0,
           IF(OFFSET(PLE!$G$15,$M178-$A$15,BY$13)="",10^12,OFFSET(PLE!$G$15,$M178-$A$15,BY$13)))</f>
        <v>1000000000000</v>
      </c>
      <c r="BZ178" s="172">
        <f ca="1">IF(OR($D178&lt;&gt;"Serviço",AND(AUTOEVENTO="Manual",$M178=$A$15),$M178&gt;(ROW(PLE.lastrow)-ROW(PLE.firstrow))),0,
           IF(OFFSET(PLE!$G$15,$M178-$A$15,BZ$13)="",10^12,OFFSET(PLE!$G$15,$M178-$A$15,BZ$13)))</f>
        <v>1000000000000</v>
      </c>
      <c r="CA178" s="172">
        <f ca="1">IF(OR($D178&lt;&gt;"Serviço",AND(AUTOEVENTO="Manual",$M178=$A$15),$M178&gt;(ROW(PLE.lastrow)-ROW(PLE.firstrow))),0,
           IF(OFFSET(PLE!$G$15,$M178-$A$15,CA$13)="",10^12,OFFSET(PLE!$G$15,$M178-$A$15,CA$13)))</f>
        <v>1000000000000</v>
      </c>
      <c r="CB178" s="172">
        <f ca="1">IF(OR($D178&lt;&gt;"Serviço",AND(AUTOEVENTO="Manual",$M178=$A$15),$M178&gt;(ROW(PLE.lastrow)-ROW(PLE.firstrow))),0,
           IF(OFFSET(PLE!$G$15,$M178-$A$15,CB$13)="",10^12,OFFSET(PLE!$G$15,$M178-$A$15,CB$13)))</f>
        <v>1000000000000</v>
      </c>
      <c r="CC178" s="172">
        <f ca="1">IF(OR($D178&lt;&gt;"Serviço",AND(AUTOEVENTO="Manual",$M178=$A$15),$M178&gt;(ROW(PLE.lastrow)-ROW(PLE.firstrow))),0,
           IF(OFFSET(PLE!$G$15,$M178-$A$15,CC$13)="",10^12,OFFSET(PLE!$G$15,$M178-$A$15,CC$13)))</f>
        <v>1000000000000</v>
      </c>
      <c r="CD178" s="172">
        <f ca="1">IF(OR($D178&lt;&gt;"Serviço",AND(AUTOEVENTO="Manual",$M178=$A$15),$M178&gt;(ROW(PLE.lastrow)-ROW(PLE.firstrow))),0,
           IF(OFFSET(PLE!$G$15,$M178-$A$15,CD$13)="",10^12,OFFSET(PLE!$G$15,$M178-$A$15,CD$13)))</f>
        <v>1000000000000</v>
      </c>
      <c r="CE178" s="172">
        <f ca="1">IF(OR($D178&lt;&gt;"Serviço",AND(AUTOEVENTO="Manual",$M178=$A$15),$M178&gt;(ROW(PLE.lastrow)-ROW(PLE.firstrow))),0,
           IF(OFFSET(PLE!$G$15,$M178-$A$15,CE$13)="",10^12,OFFSET(PLE!$G$15,$M178-$A$15,CE$13)))</f>
        <v>1000000000000</v>
      </c>
      <c r="CF178" s="172">
        <f ca="1">IF(OR($D178&lt;&gt;"Serviço",AND(AUTOEVENTO="Manual",$M178=$A$15),$M178&gt;(ROW(PLE.lastrow)-ROW(PLE.firstrow))),0,
           IF(OFFSET(PLE!$G$15,$M178-$A$15,CF$13)="",10^12,OFFSET(PLE!$G$15,$M178-$A$15,CF$13)))</f>
        <v>1000000000000</v>
      </c>
      <c r="CG178" s="172">
        <f ca="1">IF(OR($D178&lt;&gt;"Serviço",AND(AUTOEVENTO="Manual",$M178=$A$15),$M178&gt;(ROW(PLE.lastrow)-ROW(PLE.firstrow))),0,
           IF(OFFSET(PLE!$G$15,$M178-$A$15,CG$13)="",10^12,OFFSET(PLE!$G$15,$M178-$A$15,CG$13)))</f>
        <v>1000000000000</v>
      </c>
      <c r="CH178" s="172">
        <f ca="1">IF(OR($D178&lt;&gt;"Serviço",AND(AUTOEVENTO="Manual",$M178=$A$15),$M178&gt;(ROW(PLE.lastrow)-ROW(PLE.firstrow))),0,
           IF(OFFSET(PLE!$G$15,$M178-$A$15,CH$13)="",10^12,OFFSET(PLE!$G$15,$M178-$A$15,CH$13)))</f>
        <v>1000000000000</v>
      </c>
      <c r="CI178" s="172">
        <f ca="1">IF(OR($D178&lt;&gt;"Serviço",AND(AUTOEVENTO="Manual",$M178=$A$15),$M178&gt;(ROW(PLE.lastrow)-ROW(PLE.firstrow))),0,
           IF(OFFSET(PLE!$G$15,$M178-$A$15,CI$13)="",10^12,OFFSET(PLE!$G$15,$M178-$A$15,CI$13)))</f>
        <v>1000000000000</v>
      </c>
      <c r="CJ178" s="172">
        <f ca="1">IF(OR($D178&lt;&gt;"Serviço",AND(AUTOEVENTO="Manual",$M178=$A$15),$M178&gt;(ROW(PLE.lastrow)-ROW(PLE.firstrow))),0,
           IF(OFFSET(PLE!$G$15,$M178-$A$15,CJ$13)="",10^12,OFFSET(PLE!$G$15,$M178-$A$15,CJ$13)))</f>
        <v>1000000000000</v>
      </c>
      <c r="CK178" s="172">
        <f ca="1">IF(OR($D178&lt;&gt;"Serviço",AND(AUTOEVENTO="Manual",$M178=$A$15),$M178&gt;(ROW(PLE.lastrow)-ROW(PLE.firstrow))),0,
           IF(OFFSET(PLE!$G$15,$M178-$A$15,CK$13)="",10^12,OFFSET(PLE!$G$15,$M178-$A$15,CK$13)))</f>
        <v>1000000000000</v>
      </c>
      <c r="CL178" s="172">
        <f ca="1">IF(OR($D178&lt;&gt;"Serviço",AND(AUTOEVENTO="Manual",$M178=$A$15),$M178&gt;(ROW(PLE.lastrow)-ROW(PLE.firstrow))),0,
           IF(OFFSET(PLE!$G$15,$M178-$A$15,CL$13)="",10^12,OFFSET(PLE!$G$15,$M178-$A$15,CL$13)))</f>
        <v>1000000000000</v>
      </c>
      <c r="CM178" s="172">
        <f ca="1">IF(OR($D178&lt;&gt;"Serviço",AND(AUTOEVENTO="Manual",$M178=$A$15),$M178&gt;(ROW(PLE.lastrow)-ROW(PLE.firstrow))),0,
           IF(OFFSET(PLE!$G$15,$M178-$A$15,CM$13)="",10^12,OFFSET(PLE!$G$15,$M178-$A$15,CM$13)))</f>
        <v>1000000000000</v>
      </c>
    </row>
    <row r="179" spans="1:91" ht="51" x14ac:dyDescent="0.2">
      <c r="A179" s="7">
        <f t="shared" ca="1" si="12"/>
        <v>4</v>
      </c>
      <c r="B179" s="7" t="str">
        <f ca="1">OFFSET(ORÇAMENTO!C$15,ROW(B179)-ROW(B$15),0)</f>
        <v>S</v>
      </c>
      <c r="C179" s="7" t="str">
        <f ca="1">OFFSET(ORÇAMENTO!L$15,ROW(C179)-ROW(C$15),0)</f>
        <v>F</v>
      </c>
      <c r="D179" s="116" t="str">
        <f ca="1">OFFSET(ORÇAMENTO!N$15,ROW(D179)-ROW(D$15),0)</f>
        <v>Serviço</v>
      </c>
      <c r="E179" s="117" t="str">
        <f ca="1">OFFSET(ORÇAMENTO!O$15,ROW(E179)-ROW(E$15),0)</f>
        <v>1.5.5.3.6.</v>
      </c>
      <c r="F179" s="163" t="str">
        <f ca="1">OFFSET(ORÇAMENTO!R$15,ROW(F179)-ROW(F$15),0)</f>
        <v>ARMAÇÃO EM AÇO CA-50 - FORNECIMENTO, PREPARO E COLOCAÇÃO</v>
      </c>
      <c r="G179" s="164" t="str">
        <f ca="1">IF($D179&lt;&gt;"Serviço","",OFFSET(ORÇAMENTO!S$15,ROW(G179)-ROW(G$15),0))</f>
        <v>KG</v>
      </c>
      <c r="H179" s="122" cm="1">
        <f t="array" aca="1" ref="H179" ca="1">IF($D179&lt;&gt;"Serviço",0,IF(ACOMPANHAMENTO="BM",ROUND(OFFSET(ORÇAMENTO!AJ$15,ROW(H179)-ROW(H$15),0),15-13*ORÇAMENTO!$AF$7),SUMPRODUCT(($Q$1:$AI$1=1)*ROUND($Q179:$AI179,15-13*ORÇAMENTO!$AF$7))))</f>
        <v>24.6</v>
      </c>
      <c r="I179" s="468" t="s">
        <v>1438</v>
      </c>
      <c r="J179" s="640" t="str" cm="1">
        <f t="array" aca="1" ref="J179" ca="1">IF(OR(B179&lt;&gt;"S",CÁLCULO.FrentesPreenchidas=0),"",IF(AND(ACOMPANHAMENTO="PLE",AUTOEVENTO="Manual",OR(H179&gt;0,ORÇAMENTO!AC179="QUANT."),OR(K179="",M179=0,N179="")),"►E",IF(AND(ACOMPANHAMENTO="PLE",ORÇAMENTO!AC179="QUANT."),"►Q",IF(AND(ACOMPANHAMENTO="PLE",H179&lt;&gt;SUMPRODUCT(($Q$1:$AI$1=1)*ROUND(Q179:AI179,15))),"►S",IF(AND(COUNTIF($P$11:$AI$11,"▼")=0,H179&gt;0,I179=""),"◄M","")))))</f>
        <v/>
      </c>
      <c r="K179" s="641" t="s">
        <v>1389</v>
      </c>
      <c r="L179" s="165" t="s">
        <v>764</v>
      </c>
      <c r="M179" s="166">
        <f ca="1">IF($D179&lt;&gt;"Serviço","",
          IF(AUTOEVENTO="manual",$A179,
                IF(ISERROR(MATCH($A179,$A$15:OFFSET($A179,-1,0),0)),MAX($M$15:OFFSET(M179,-1,0))+1,
                      INDEX($M$15:OFFSET(M179,-1,0),MATCH($A179,$A$15:OFFSET($A179,-1,0),0)))))</f>
        <v>4</v>
      </c>
      <c r="N179" s="167" t="str">
        <f ca="1">IF($D179&lt;&gt;"Serviço","",
         IF(AUTOEVENTO="Manual",
                IF($A179=0,"&lt;-- defina o número do agrupador",
                       OFFSET(EVENTOS!$D$15,$A179-$A$15,0)),
                OFFSET($F$15,$A179,0)))</f>
        <v>Estruturas de Concreto</v>
      </c>
      <c r="O179" s="168"/>
      <c r="Q179" s="168"/>
      <c r="R179" s="169"/>
      <c r="S179" s="169"/>
      <c r="T179" s="169"/>
      <c r="U179" s="169"/>
      <c r="V179" s="169">
        <v>24.6</v>
      </c>
      <c r="W179" s="169"/>
      <c r="X179" s="169"/>
      <c r="Y179" s="169"/>
      <c r="Z179" s="170"/>
      <c r="AA179" s="169"/>
      <c r="AB179" s="169"/>
      <c r="AC179" s="169"/>
      <c r="AD179" s="169"/>
      <c r="AE179" s="169"/>
      <c r="AF179" s="169"/>
      <c r="AG179" s="169"/>
      <c r="AH179" s="170"/>
      <c r="AJ179" s="453">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0</v>
      </c>
      <c r="AK179" s="453">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0</v>
      </c>
      <c r="AL179" s="453">
        <f ca="1">IF(AND($D179="Serviço",AL$12&lt;&gt;0,$H179&gt;0,OR(AUTOEVENTO&lt;&gt;"manual",$M179&lt;&gt;$A$15)),
        IF(Import.TipoArredondamento&lt;&gt;"TransfereGOV",
              ROUND(OFFSET($P179,0,AL$13),15-13*ORÇAMENTO!$AF$7)/$H179*OFFSET(ORÇAMENTO!$X$15,ROW(AL179)-ROW(AL$15),0),
              ROUND(ROUND(OFFSET($P179,0,AL$13),15-13*ORÇAMENTO!$AF$7)*OFFSET(ORÇAMENTO!$W$15,ROW(AL179)-ROW(AL$15),0),15-13*ORÇAMENTO!$AF$11)),
         0)</f>
        <v>0</v>
      </c>
      <c r="AM179" s="453">
        <f ca="1">IF(AND($D179="Serviço",AM$12&lt;&gt;0,$H179&gt;0,OR(AUTOEVENTO&lt;&gt;"manual",$M179&lt;&gt;$A$15)),
        IF(Import.TipoArredondamento&lt;&gt;"TransfereGOV",
              ROUND(OFFSET($P179,0,AM$13),15-13*ORÇAMENTO!$AF$7)/$H179*OFFSET(ORÇAMENTO!$X$15,ROW(AM179)-ROW(AM$15),0),
              ROUND(ROUND(OFFSET($P179,0,AM$13),15-13*ORÇAMENTO!$AF$7)*OFFSET(ORÇAMENTO!$W$15,ROW(AM179)-ROW(AM$15),0),15-13*ORÇAMENTO!$AF$11)),
         0)</f>
        <v>0</v>
      </c>
      <c r="AN179" s="453">
        <f ca="1">IF(AND($D179="Serviço",AN$12&lt;&gt;0,$H179&gt;0,OR(AUTOEVENTO&lt;&gt;"manual",$M179&lt;&gt;$A$15)),
        IF(Import.TipoArredondamento&lt;&gt;"TransfereGOV",
              ROUND(OFFSET($P179,0,AN$13),15-13*ORÇAMENTO!$AF$7)/$H179*OFFSET(ORÇAMENTO!$X$15,ROW(AN179)-ROW(AN$15),0),
              ROUND(ROUND(OFFSET($P179,0,AN$13),15-13*ORÇAMENTO!$AF$7)*OFFSET(ORÇAMENTO!$W$15,ROW(AN179)-ROW(AN$15),0),15-13*ORÇAMENTO!$AF$11)),
         0)</f>
        <v>0</v>
      </c>
      <c r="AO179" s="453">
        <f ca="1">IF(AND($D179="Serviço",AO$12&lt;&gt;0,$H179&gt;0,OR(AUTOEVENTO&lt;&gt;"manual",$M179&lt;&gt;$A$15)),
        IF(Import.TipoArredondamento&lt;&gt;"TransfereGOV",
              ROUND(OFFSET($P179,0,AO$13),15-13*ORÇAMENTO!$AF$7)/$H179*OFFSET(ORÇAMENTO!$X$15,ROW(AO179)-ROW(AO$15),0),
              ROUND(ROUND(OFFSET($P179,0,AO$13),15-13*ORÇAMENTO!$AF$7)*OFFSET(ORÇAMENTO!$W$15,ROW(AO179)-ROW(AO$15),0),15-13*ORÇAMENTO!$AF$11)),
         0)</f>
        <v>0</v>
      </c>
      <c r="AP179" s="453">
        <f ca="1">IF(AND($D179="Serviço",AP$12&lt;&gt;0,$H179&gt;0,OR(AUTOEVENTO&lt;&gt;"manual",$M179&lt;&gt;$A$15)),
        IF(Import.TipoArredondamento&lt;&gt;"TransfereGOV",
              ROUND(OFFSET($P179,0,AP$13),15-13*ORÇAMENTO!$AF$7)/$H179*OFFSET(ORÇAMENTO!$X$15,ROW(AP179)-ROW(AP$15),0),
              ROUND(ROUND(OFFSET($P179,0,AP$13),15-13*ORÇAMENTO!$AF$7)*OFFSET(ORÇAMENTO!$W$15,ROW(AP179)-ROW(AP$15),0),15-13*ORÇAMENTO!$AF$11)),
         0)</f>
        <v>0</v>
      </c>
      <c r="AQ179" s="453">
        <f ca="1">IF(AND($D179="Serviço",AQ$12&lt;&gt;0,$H179&gt;0,OR(AUTOEVENTO&lt;&gt;"manual",$M179&lt;&gt;$A$15)),
        IF(Import.TipoArredondamento&lt;&gt;"TransfereGOV",
              ROUND(OFFSET($P179,0,AQ$13),15-13*ORÇAMENTO!$AF$7)/$H179*OFFSET(ORÇAMENTO!$X$15,ROW(AQ179)-ROW(AQ$15),0),
              ROUND(ROUND(OFFSET($P179,0,AQ$13),15-13*ORÇAMENTO!$AF$7)*OFFSET(ORÇAMENTO!$W$15,ROW(AQ179)-ROW(AQ$15),0),15-13*ORÇAMENTO!$AF$11)),
         0)</f>
        <v>0</v>
      </c>
      <c r="AR179" s="453">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0</v>
      </c>
      <c r="AS179" s="453">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0</v>
      </c>
      <c r="AT179" s="453">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0</v>
      </c>
      <c r="AU179" s="453">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0</v>
      </c>
      <c r="AV179" s="453">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0</v>
      </c>
      <c r="AW179" s="453">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0</v>
      </c>
      <c r="AX179" s="453">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0</v>
      </c>
      <c r="AY179" s="453">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0</v>
      </c>
      <c r="AZ179" s="453">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0</v>
      </c>
      <c r="BA179" s="453">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0</v>
      </c>
      <c r="BC179" s="171">
        <f ca="1">IF(OR($D179&lt;&gt;"Serviço",AND(AUTOEVENTO="Manual",$M179=$A$15)),0,
         IF(OFFSET(CRONOPLE!$F$15,$M179-$A$15,BC$13)=0,10^12,OFFSET(CRONOPLE!$F$15,$M179-$A$15,BC$13)))</f>
        <v>1</v>
      </c>
      <c r="BD179" s="171">
        <f ca="1">IF(OR($D179&lt;&gt;"Serviço",AND(AUTOEVENTO="Manual",$M179=$A$15)),0,
         IF(OFFSET(CRONOPLE!$F$15,$M179-$A$15,BD$13)=0,10^12,OFFSET(CRONOPLE!$F$15,$M179-$A$15,BD$13)))</f>
        <v>2</v>
      </c>
      <c r="BE179" s="171">
        <f ca="1">IF(OR($D179&lt;&gt;"Serviço",AND(AUTOEVENTO="Manual",$M179=$A$15)),0,
         IF(OFFSET(CRONOPLE!$F$15,$M179-$A$15,BE$13)=0,10^12,OFFSET(CRONOPLE!$F$15,$M179-$A$15,BE$13)))</f>
        <v>3</v>
      </c>
      <c r="BF179" s="171">
        <f ca="1">IF(OR($D179&lt;&gt;"Serviço",AND(AUTOEVENTO="Manual",$M179=$A$15)),0,
         IF(OFFSET(CRONOPLE!$F$15,$M179-$A$15,BF$13)=0,10^12,OFFSET(CRONOPLE!$F$15,$M179-$A$15,BF$13)))</f>
        <v>4</v>
      </c>
      <c r="BG179" s="171">
        <f ca="1">IF(OR($D179&lt;&gt;"Serviço",AND(AUTOEVENTO="Manual",$M179=$A$15)),0,
         IF(OFFSET(CRONOPLE!$F$15,$M179-$A$15,BG$13)=0,10^12,OFFSET(CRONOPLE!$F$15,$M179-$A$15,BG$13)))</f>
        <v>5</v>
      </c>
      <c r="BH179" s="171">
        <f ca="1">IF(OR($D179&lt;&gt;"Serviço",AND(AUTOEVENTO="Manual",$M179=$A$15)),0,
         IF(OFFSET(CRONOPLE!$F$15,$M179-$A$15,BH$13)=0,10^12,OFFSET(CRONOPLE!$F$15,$M179-$A$15,BH$13)))</f>
        <v>6</v>
      </c>
      <c r="BI179" s="171">
        <f ca="1">IF(OR($D179&lt;&gt;"Serviço",AND(AUTOEVENTO="Manual",$M179=$A$15)),0,
         IF(OFFSET(CRONOPLE!$F$15,$M179-$A$15,BI$13)=0,10^12,OFFSET(CRONOPLE!$F$15,$M179-$A$15,BI$13)))</f>
        <v>7</v>
      </c>
      <c r="BJ179" s="171">
        <f ca="1">IF(OR($D179&lt;&gt;"Serviço",AND(AUTOEVENTO="Manual",$M179=$A$15)),0,
         IF(OFFSET(CRONOPLE!$F$15,$M179-$A$15,BJ$13)=0,10^12,OFFSET(CRONOPLE!$F$15,$M179-$A$15,BJ$13)))</f>
        <v>8</v>
      </c>
      <c r="BK179" s="171">
        <f ca="1">IF(OR($D179&lt;&gt;"Serviço",AND(AUTOEVENTO="Manual",$M179=$A$15)),0,
         IF(OFFSET(CRONOPLE!$F$15,$M179-$A$15,BK$13)=0,10^12,OFFSET(CRONOPLE!$F$15,$M179-$A$15,BK$13)))</f>
        <v>9</v>
      </c>
      <c r="BL179" s="171">
        <f ca="1">IF(OR($D179&lt;&gt;"Serviço",AND(AUTOEVENTO="Manual",$M179=$A$15)),0,
         IF(OFFSET(CRONOPLE!$F$15,$M179-$A$15,BL$13)=0,10^12,OFFSET(CRONOPLE!$F$15,$M179-$A$15,BL$13)))</f>
        <v>10</v>
      </c>
      <c r="BM179" s="171">
        <f ca="1">IF(OR($D179&lt;&gt;"Serviço",AND(AUTOEVENTO="Manual",$M179=$A$15)),0,
         IF(OFFSET(CRONOPLE!$F$15,$M179-$A$15,BM$13)=0,10^12,OFFSET(CRONOPLE!$F$15,$M179-$A$15,BM$13)))</f>
        <v>1000000000000</v>
      </c>
      <c r="BN179" s="171">
        <f ca="1">IF(OR($D179&lt;&gt;"Serviço",AND(AUTOEVENTO="Manual",$M179=$A$15)),0,
         IF(OFFSET(CRONOPLE!$F$15,$M179-$A$15,BN$13)=0,10^12,OFFSET(CRONOPLE!$F$15,$M179-$A$15,BN$13)))</f>
        <v>1000000000000</v>
      </c>
      <c r="BO179" s="171">
        <f ca="1">IF(OR($D179&lt;&gt;"Serviço",AND(AUTOEVENTO="Manual",$M179=$A$15)),0,
         IF(OFFSET(CRONOPLE!$F$15,$M179-$A$15,BO$13)=0,10^12,OFFSET(CRONOPLE!$F$15,$M179-$A$15,BO$13)))</f>
        <v>1000000000000</v>
      </c>
      <c r="BP179" s="171">
        <f ca="1">IF(OR($D179&lt;&gt;"Serviço",AND(AUTOEVENTO="Manual",$M179=$A$15)),0,
         IF(OFFSET(CRONOPLE!$F$15,$M179-$A$15,BP$13)=0,10^12,OFFSET(CRONOPLE!$F$15,$M179-$A$15,BP$13)))</f>
        <v>1000000000000</v>
      </c>
      <c r="BQ179" s="171">
        <f ca="1">IF(OR($D179&lt;&gt;"Serviço",AND(AUTOEVENTO="Manual",$M179=$A$15)),0,
         IF(OFFSET(CRONOPLE!$F$15,$M179-$A$15,BQ$13)=0,10^12,OFFSET(CRONOPLE!$F$15,$M179-$A$15,BQ$13)))</f>
        <v>1000000000000</v>
      </c>
      <c r="BR179" s="171">
        <f ca="1">IF(OR($D179&lt;&gt;"Serviço",AND(AUTOEVENTO="Manual",$M179=$A$15)),0,
         IF(OFFSET(CRONOPLE!$F$15,$M179-$A$15,BR$13)=0,10^12,OFFSET(CRONOPLE!$F$15,$M179-$A$15,BR$13)))</f>
        <v>1000000000000</v>
      </c>
      <c r="BS179" s="171">
        <f ca="1">IF(OR($D179&lt;&gt;"Serviço",AND(AUTOEVENTO="Manual",$M179=$A$15)),0,
         IF(OFFSET(CRONOPLE!$F$15,$M179-$A$15,BS$13)=0,10^12,OFFSET(CRONOPLE!$F$15,$M179-$A$15,BS$13)))</f>
        <v>1000000000000</v>
      </c>
      <c r="BT179" s="171">
        <f ca="1">IF(OR($D179&lt;&gt;"Serviço",AND(AUTOEVENTO="Manual",$M179=$A$15)),0,
         IF(OFFSET(CRONOPLE!$F$15,$M179-$A$15,BT$13)=0,10^12,OFFSET(CRONOPLE!$F$15,$M179-$A$15,BT$13)))</f>
        <v>1000000000000</v>
      </c>
      <c r="BV179" s="172">
        <f ca="1">IF(OR($D179&lt;&gt;"Serviço",AND(AUTOEVENTO="Manual",$M179=$A$15),$M179&gt;(ROW(PLE.lastrow)-ROW(PLE.firstrow))),0,
           IF(OFFSET(PLE!$G$15,$M179-$A$15,BV$13)="",10^12,OFFSET(PLE!$G$15,$M179-$A$15,BV$13)))</f>
        <v>1000000000000</v>
      </c>
      <c r="BW179" s="172">
        <f ca="1">IF(OR($D179&lt;&gt;"Serviço",AND(AUTOEVENTO="Manual",$M179=$A$15),$M179&gt;(ROW(PLE.lastrow)-ROW(PLE.firstrow))),0,
           IF(OFFSET(PLE!$G$15,$M179-$A$15,BW$13)="",10^12,OFFSET(PLE!$G$15,$M179-$A$15,BW$13)))</f>
        <v>1000000000000</v>
      </c>
      <c r="BX179" s="172">
        <f ca="1">IF(OR($D179&lt;&gt;"Serviço",AND(AUTOEVENTO="Manual",$M179=$A$15),$M179&gt;(ROW(PLE.lastrow)-ROW(PLE.firstrow))),0,
           IF(OFFSET(PLE!$G$15,$M179-$A$15,BX$13)="",10^12,OFFSET(PLE!$G$15,$M179-$A$15,BX$13)))</f>
        <v>1000000000000</v>
      </c>
      <c r="BY179" s="172">
        <f ca="1">IF(OR($D179&lt;&gt;"Serviço",AND(AUTOEVENTO="Manual",$M179=$A$15),$M179&gt;(ROW(PLE.lastrow)-ROW(PLE.firstrow))),0,
           IF(OFFSET(PLE!$G$15,$M179-$A$15,BY$13)="",10^12,OFFSET(PLE!$G$15,$M179-$A$15,BY$13)))</f>
        <v>1000000000000</v>
      </c>
      <c r="BZ179" s="172">
        <f ca="1">IF(OR($D179&lt;&gt;"Serviço",AND(AUTOEVENTO="Manual",$M179=$A$15),$M179&gt;(ROW(PLE.lastrow)-ROW(PLE.firstrow))),0,
           IF(OFFSET(PLE!$G$15,$M179-$A$15,BZ$13)="",10^12,OFFSET(PLE!$G$15,$M179-$A$15,BZ$13)))</f>
        <v>1000000000000</v>
      </c>
      <c r="CA179" s="172">
        <f ca="1">IF(OR($D179&lt;&gt;"Serviço",AND(AUTOEVENTO="Manual",$M179=$A$15),$M179&gt;(ROW(PLE.lastrow)-ROW(PLE.firstrow))),0,
           IF(OFFSET(PLE!$G$15,$M179-$A$15,CA$13)="",10^12,OFFSET(PLE!$G$15,$M179-$A$15,CA$13)))</f>
        <v>1000000000000</v>
      </c>
      <c r="CB179" s="172">
        <f ca="1">IF(OR($D179&lt;&gt;"Serviço",AND(AUTOEVENTO="Manual",$M179=$A$15),$M179&gt;(ROW(PLE.lastrow)-ROW(PLE.firstrow))),0,
           IF(OFFSET(PLE!$G$15,$M179-$A$15,CB$13)="",10^12,OFFSET(PLE!$G$15,$M179-$A$15,CB$13)))</f>
        <v>1000000000000</v>
      </c>
      <c r="CC179" s="172">
        <f ca="1">IF(OR($D179&lt;&gt;"Serviço",AND(AUTOEVENTO="Manual",$M179=$A$15),$M179&gt;(ROW(PLE.lastrow)-ROW(PLE.firstrow))),0,
           IF(OFFSET(PLE!$G$15,$M179-$A$15,CC$13)="",10^12,OFFSET(PLE!$G$15,$M179-$A$15,CC$13)))</f>
        <v>1000000000000</v>
      </c>
      <c r="CD179" s="172">
        <f ca="1">IF(OR($D179&lt;&gt;"Serviço",AND(AUTOEVENTO="Manual",$M179=$A$15),$M179&gt;(ROW(PLE.lastrow)-ROW(PLE.firstrow))),0,
           IF(OFFSET(PLE!$G$15,$M179-$A$15,CD$13)="",10^12,OFFSET(PLE!$G$15,$M179-$A$15,CD$13)))</f>
        <v>1000000000000</v>
      </c>
      <c r="CE179" s="172">
        <f ca="1">IF(OR($D179&lt;&gt;"Serviço",AND(AUTOEVENTO="Manual",$M179=$A$15),$M179&gt;(ROW(PLE.lastrow)-ROW(PLE.firstrow))),0,
           IF(OFFSET(PLE!$G$15,$M179-$A$15,CE$13)="",10^12,OFFSET(PLE!$G$15,$M179-$A$15,CE$13)))</f>
        <v>1000000000000</v>
      </c>
      <c r="CF179" s="172">
        <f ca="1">IF(OR($D179&lt;&gt;"Serviço",AND(AUTOEVENTO="Manual",$M179=$A$15),$M179&gt;(ROW(PLE.lastrow)-ROW(PLE.firstrow))),0,
           IF(OFFSET(PLE!$G$15,$M179-$A$15,CF$13)="",10^12,OFFSET(PLE!$G$15,$M179-$A$15,CF$13)))</f>
        <v>1000000000000</v>
      </c>
      <c r="CG179" s="172">
        <f ca="1">IF(OR($D179&lt;&gt;"Serviço",AND(AUTOEVENTO="Manual",$M179=$A$15),$M179&gt;(ROW(PLE.lastrow)-ROW(PLE.firstrow))),0,
           IF(OFFSET(PLE!$G$15,$M179-$A$15,CG$13)="",10^12,OFFSET(PLE!$G$15,$M179-$A$15,CG$13)))</f>
        <v>1000000000000</v>
      </c>
      <c r="CH179" s="172">
        <f ca="1">IF(OR($D179&lt;&gt;"Serviço",AND(AUTOEVENTO="Manual",$M179=$A$15),$M179&gt;(ROW(PLE.lastrow)-ROW(PLE.firstrow))),0,
           IF(OFFSET(PLE!$G$15,$M179-$A$15,CH$13)="",10^12,OFFSET(PLE!$G$15,$M179-$A$15,CH$13)))</f>
        <v>1000000000000</v>
      </c>
      <c r="CI179" s="172">
        <f ca="1">IF(OR($D179&lt;&gt;"Serviço",AND(AUTOEVENTO="Manual",$M179=$A$15),$M179&gt;(ROW(PLE.lastrow)-ROW(PLE.firstrow))),0,
           IF(OFFSET(PLE!$G$15,$M179-$A$15,CI$13)="",10^12,OFFSET(PLE!$G$15,$M179-$A$15,CI$13)))</f>
        <v>1000000000000</v>
      </c>
      <c r="CJ179" s="172">
        <f ca="1">IF(OR($D179&lt;&gt;"Serviço",AND(AUTOEVENTO="Manual",$M179=$A$15),$M179&gt;(ROW(PLE.lastrow)-ROW(PLE.firstrow))),0,
           IF(OFFSET(PLE!$G$15,$M179-$A$15,CJ$13)="",10^12,OFFSET(PLE!$G$15,$M179-$A$15,CJ$13)))</f>
        <v>1000000000000</v>
      </c>
      <c r="CK179" s="172">
        <f ca="1">IF(OR($D179&lt;&gt;"Serviço",AND(AUTOEVENTO="Manual",$M179=$A$15),$M179&gt;(ROW(PLE.lastrow)-ROW(PLE.firstrow))),0,
           IF(OFFSET(PLE!$G$15,$M179-$A$15,CK$13)="",10^12,OFFSET(PLE!$G$15,$M179-$A$15,CK$13)))</f>
        <v>1000000000000</v>
      </c>
      <c r="CL179" s="172">
        <f ca="1">IF(OR($D179&lt;&gt;"Serviço",AND(AUTOEVENTO="Manual",$M179=$A$15),$M179&gt;(ROW(PLE.lastrow)-ROW(PLE.firstrow))),0,
           IF(OFFSET(PLE!$G$15,$M179-$A$15,CL$13)="",10^12,OFFSET(PLE!$G$15,$M179-$A$15,CL$13)))</f>
        <v>1000000000000</v>
      </c>
      <c r="CM179" s="172">
        <f ca="1">IF(OR($D179&lt;&gt;"Serviço",AND(AUTOEVENTO="Manual",$M179=$A$15),$M179&gt;(ROW(PLE.lastrow)-ROW(PLE.firstrow))),0,
           IF(OFFSET(PLE!$G$15,$M179-$A$15,CM$13)="",10^12,OFFSET(PLE!$G$15,$M179-$A$15,CM$13)))</f>
        <v>1000000000000</v>
      </c>
    </row>
    <row r="180" spans="1:91" ht="51" x14ac:dyDescent="0.2">
      <c r="A180" s="7">
        <f t="shared" ca="1" si="12"/>
        <v>4</v>
      </c>
      <c r="B180" s="7" t="str">
        <f ca="1">OFFSET(ORÇAMENTO!C$15,ROW(B180)-ROW(B$15),0)</f>
        <v>S</v>
      </c>
      <c r="C180" s="7" t="str">
        <f ca="1">OFFSET(ORÇAMENTO!L$15,ROW(C180)-ROW(C$15),0)</f>
        <v>F</v>
      </c>
      <c r="D180" s="116" t="str">
        <f ca="1">OFFSET(ORÇAMENTO!N$15,ROW(D180)-ROW(D$15),0)</f>
        <v>Serviço</v>
      </c>
      <c r="E180" s="117" t="str">
        <f ca="1">OFFSET(ORÇAMENTO!O$15,ROW(E180)-ROW(E$15),0)</f>
        <v>1.5.5.3.7.</v>
      </c>
      <c r="F180" s="163" t="str">
        <f ca="1">OFFSET(ORÇAMENTO!R$15,ROW(F180)-ROW(F$15),0)</f>
        <v>ARMAÇÃO EM AÇO CA-60 - FORNECIMENTO, PREPARO E COLOCAÇÃO</v>
      </c>
      <c r="G180" s="164" t="str">
        <f ca="1">IF($D180&lt;&gt;"Serviço","",OFFSET(ORÇAMENTO!S$15,ROW(G180)-ROW(G$15),0))</f>
        <v>KG</v>
      </c>
      <c r="H180" s="122" cm="1">
        <f t="array" aca="1" ref="H180" ca="1">IF($D180&lt;&gt;"Serviço",0,IF(ACOMPANHAMENTO="BM",ROUND(OFFSET(ORÇAMENTO!AJ$15,ROW(H180)-ROW(H$15),0),15-13*ORÇAMENTO!$AF$7),SUMPRODUCT(($Q$1:$AI$1=1)*ROUND($Q180:$AI180,15-13*ORÇAMENTO!$AF$7))))</f>
        <v>9.8000000000000007</v>
      </c>
      <c r="I180" s="468" t="s">
        <v>1438</v>
      </c>
      <c r="J180" s="640" t="str" cm="1">
        <f t="array" aca="1" ref="J180" ca="1">IF(OR(B180&lt;&gt;"S",CÁLCULO.FrentesPreenchidas=0),"",IF(AND(ACOMPANHAMENTO="PLE",AUTOEVENTO="Manual",OR(H180&gt;0,ORÇAMENTO!AC180="QUANT."),OR(K180="",M180=0,N180="")),"►E",IF(AND(ACOMPANHAMENTO="PLE",ORÇAMENTO!AC180="QUANT."),"►Q",IF(AND(ACOMPANHAMENTO="PLE",H180&lt;&gt;SUMPRODUCT(($Q$1:$AI$1=1)*ROUND(Q180:AI180,15))),"►S",IF(AND(COUNTIF($P$11:$AI$11,"▼")=0,H180&gt;0,I180=""),"◄M","")))))</f>
        <v/>
      </c>
      <c r="K180" s="641" t="s">
        <v>1389</v>
      </c>
      <c r="L180" s="165" t="s">
        <v>764</v>
      </c>
      <c r="M180" s="166">
        <f ca="1">IF($D180&lt;&gt;"Serviço","",
          IF(AUTOEVENTO="manual",$A180,
                IF(ISERROR(MATCH($A180,$A$15:OFFSET($A180,-1,0),0)),MAX($M$15:OFFSET(M180,-1,0))+1,
                      INDEX($M$15:OFFSET(M180,-1,0),MATCH($A180,$A$15:OFFSET($A180,-1,0),0)))))</f>
        <v>4</v>
      </c>
      <c r="N180" s="167" t="str">
        <f ca="1">IF($D180&lt;&gt;"Serviço","",
         IF(AUTOEVENTO="Manual",
                IF($A180=0,"&lt;-- defina o número do agrupador",
                       OFFSET(EVENTOS!$D$15,$A180-$A$15,0)),
                OFFSET($F$15,$A180,0)))</f>
        <v>Estruturas de Concreto</v>
      </c>
      <c r="O180" s="168"/>
      <c r="Q180" s="168"/>
      <c r="R180" s="169"/>
      <c r="S180" s="169"/>
      <c r="T180" s="169"/>
      <c r="U180" s="169"/>
      <c r="V180" s="169">
        <v>9.8000000000000007</v>
      </c>
      <c r="W180" s="169"/>
      <c r="X180" s="169"/>
      <c r="Y180" s="169"/>
      <c r="Z180" s="170"/>
      <c r="AA180" s="169"/>
      <c r="AB180" s="169"/>
      <c r="AC180" s="169"/>
      <c r="AD180" s="169"/>
      <c r="AE180" s="169"/>
      <c r="AF180" s="169"/>
      <c r="AG180" s="169"/>
      <c r="AH180" s="170"/>
      <c r="AJ180" s="453">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0</v>
      </c>
      <c r="AK180" s="453">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0</v>
      </c>
      <c r="AL180" s="453">
        <f ca="1">IF(AND($D180="Serviço",AL$12&lt;&gt;0,$H180&gt;0,OR(AUTOEVENTO&lt;&gt;"manual",$M180&lt;&gt;$A$15)),
        IF(Import.TipoArredondamento&lt;&gt;"TransfereGOV",
              ROUND(OFFSET($P180,0,AL$13),15-13*ORÇAMENTO!$AF$7)/$H180*OFFSET(ORÇAMENTO!$X$15,ROW(AL180)-ROW(AL$15),0),
              ROUND(ROUND(OFFSET($P180,0,AL$13),15-13*ORÇAMENTO!$AF$7)*OFFSET(ORÇAMENTO!$W$15,ROW(AL180)-ROW(AL$15),0),15-13*ORÇAMENTO!$AF$11)),
         0)</f>
        <v>0</v>
      </c>
      <c r="AM180" s="453">
        <f ca="1">IF(AND($D180="Serviço",AM$12&lt;&gt;0,$H180&gt;0,OR(AUTOEVENTO&lt;&gt;"manual",$M180&lt;&gt;$A$15)),
        IF(Import.TipoArredondamento&lt;&gt;"TransfereGOV",
              ROUND(OFFSET($P180,0,AM$13),15-13*ORÇAMENTO!$AF$7)/$H180*OFFSET(ORÇAMENTO!$X$15,ROW(AM180)-ROW(AM$15),0),
              ROUND(ROUND(OFFSET($P180,0,AM$13),15-13*ORÇAMENTO!$AF$7)*OFFSET(ORÇAMENTO!$W$15,ROW(AM180)-ROW(AM$15),0),15-13*ORÇAMENTO!$AF$11)),
         0)</f>
        <v>0</v>
      </c>
      <c r="AN180" s="453">
        <f ca="1">IF(AND($D180="Serviço",AN$12&lt;&gt;0,$H180&gt;0,OR(AUTOEVENTO&lt;&gt;"manual",$M180&lt;&gt;$A$15)),
        IF(Import.TipoArredondamento&lt;&gt;"TransfereGOV",
              ROUND(OFFSET($P180,0,AN$13),15-13*ORÇAMENTO!$AF$7)/$H180*OFFSET(ORÇAMENTO!$X$15,ROW(AN180)-ROW(AN$15),0),
              ROUND(ROUND(OFFSET($P180,0,AN$13),15-13*ORÇAMENTO!$AF$7)*OFFSET(ORÇAMENTO!$W$15,ROW(AN180)-ROW(AN$15),0),15-13*ORÇAMENTO!$AF$11)),
         0)</f>
        <v>0</v>
      </c>
      <c r="AO180" s="453">
        <f ca="1">IF(AND($D180="Serviço",AO$12&lt;&gt;0,$H180&gt;0,OR(AUTOEVENTO&lt;&gt;"manual",$M180&lt;&gt;$A$15)),
        IF(Import.TipoArredondamento&lt;&gt;"TransfereGOV",
              ROUND(OFFSET($P180,0,AO$13),15-13*ORÇAMENTO!$AF$7)/$H180*OFFSET(ORÇAMENTO!$X$15,ROW(AO180)-ROW(AO$15),0),
              ROUND(ROUND(OFFSET($P180,0,AO$13),15-13*ORÇAMENTO!$AF$7)*OFFSET(ORÇAMENTO!$W$15,ROW(AO180)-ROW(AO$15),0),15-13*ORÇAMENTO!$AF$11)),
         0)</f>
        <v>0</v>
      </c>
      <c r="AP180" s="453">
        <f ca="1">IF(AND($D180="Serviço",AP$12&lt;&gt;0,$H180&gt;0,OR(AUTOEVENTO&lt;&gt;"manual",$M180&lt;&gt;$A$15)),
        IF(Import.TipoArredondamento&lt;&gt;"TransfereGOV",
              ROUND(OFFSET($P180,0,AP$13),15-13*ORÇAMENTO!$AF$7)/$H180*OFFSET(ORÇAMENTO!$X$15,ROW(AP180)-ROW(AP$15),0),
              ROUND(ROUND(OFFSET($P180,0,AP$13),15-13*ORÇAMENTO!$AF$7)*OFFSET(ORÇAMENTO!$W$15,ROW(AP180)-ROW(AP$15),0),15-13*ORÇAMENTO!$AF$11)),
         0)</f>
        <v>0</v>
      </c>
      <c r="AQ180" s="453">
        <f ca="1">IF(AND($D180="Serviço",AQ$12&lt;&gt;0,$H180&gt;0,OR(AUTOEVENTO&lt;&gt;"manual",$M180&lt;&gt;$A$15)),
        IF(Import.TipoArredondamento&lt;&gt;"TransfereGOV",
              ROUND(OFFSET($P180,0,AQ$13),15-13*ORÇAMENTO!$AF$7)/$H180*OFFSET(ORÇAMENTO!$X$15,ROW(AQ180)-ROW(AQ$15),0),
              ROUND(ROUND(OFFSET($P180,0,AQ$13),15-13*ORÇAMENTO!$AF$7)*OFFSET(ORÇAMENTO!$W$15,ROW(AQ180)-ROW(AQ$15),0),15-13*ORÇAMENTO!$AF$11)),
         0)</f>
        <v>0</v>
      </c>
      <c r="AR180" s="453">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453">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453">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453">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453">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453">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453">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453">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453">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453">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C180" s="171">
        <f ca="1">IF(OR($D180&lt;&gt;"Serviço",AND(AUTOEVENTO="Manual",$M180=$A$15)),0,
         IF(OFFSET(CRONOPLE!$F$15,$M180-$A$15,BC$13)=0,10^12,OFFSET(CRONOPLE!$F$15,$M180-$A$15,BC$13)))</f>
        <v>1</v>
      </c>
      <c r="BD180" s="171">
        <f ca="1">IF(OR($D180&lt;&gt;"Serviço",AND(AUTOEVENTO="Manual",$M180=$A$15)),0,
         IF(OFFSET(CRONOPLE!$F$15,$M180-$A$15,BD$13)=0,10^12,OFFSET(CRONOPLE!$F$15,$M180-$A$15,BD$13)))</f>
        <v>2</v>
      </c>
      <c r="BE180" s="171">
        <f ca="1">IF(OR($D180&lt;&gt;"Serviço",AND(AUTOEVENTO="Manual",$M180=$A$15)),0,
         IF(OFFSET(CRONOPLE!$F$15,$M180-$A$15,BE$13)=0,10^12,OFFSET(CRONOPLE!$F$15,$M180-$A$15,BE$13)))</f>
        <v>3</v>
      </c>
      <c r="BF180" s="171">
        <f ca="1">IF(OR($D180&lt;&gt;"Serviço",AND(AUTOEVENTO="Manual",$M180=$A$15)),0,
         IF(OFFSET(CRONOPLE!$F$15,$M180-$A$15,BF$13)=0,10^12,OFFSET(CRONOPLE!$F$15,$M180-$A$15,BF$13)))</f>
        <v>4</v>
      </c>
      <c r="BG180" s="171">
        <f ca="1">IF(OR($D180&lt;&gt;"Serviço",AND(AUTOEVENTO="Manual",$M180=$A$15)),0,
         IF(OFFSET(CRONOPLE!$F$15,$M180-$A$15,BG$13)=0,10^12,OFFSET(CRONOPLE!$F$15,$M180-$A$15,BG$13)))</f>
        <v>5</v>
      </c>
      <c r="BH180" s="171">
        <f ca="1">IF(OR($D180&lt;&gt;"Serviço",AND(AUTOEVENTO="Manual",$M180=$A$15)),0,
         IF(OFFSET(CRONOPLE!$F$15,$M180-$A$15,BH$13)=0,10^12,OFFSET(CRONOPLE!$F$15,$M180-$A$15,BH$13)))</f>
        <v>6</v>
      </c>
      <c r="BI180" s="171">
        <f ca="1">IF(OR($D180&lt;&gt;"Serviço",AND(AUTOEVENTO="Manual",$M180=$A$15)),0,
         IF(OFFSET(CRONOPLE!$F$15,$M180-$A$15,BI$13)=0,10^12,OFFSET(CRONOPLE!$F$15,$M180-$A$15,BI$13)))</f>
        <v>7</v>
      </c>
      <c r="BJ180" s="171">
        <f ca="1">IF(OR($D180&lt;&gt;"Serviço",AND(AUTOEVENTO="Manual",$M180=$A$15)),0,
         IF(OFFSET(CRONOPLE!$F$15,$M180-$A$15,BJ$13)=0,10^12,OFFSET(CRONOPLE!$F$15,$M180-$A$15,BJ$13)))</f>
        <v>8</v>
      </c>
      <c r="BK180" s="171">
        <f ca="1">IF(OR($D180&lt;&gt;"Serviço",AND(AUTOEVENTO="Manual",$M180=$A$15)),0,
         IF(OFFSET(CRONOPLE!$F$15,$M180-$A$15,BK$13)=0,10^12,OFFSET(CRONOPLE!$F$15,$M180-$A$15,BK$13)))</f>
        <v>9</v>
      </c>
      <c r="BL180" s="171">
        <f ca="1">IF(OR($D180&lt;&gt;"Serviço",AND(AUTOEVENTO="Manual",$M180=$A$15)),0,
         IF(OFFSET(CRONOPLE!$F$15,$M180-$A$15,BL$13)=0,10^12,OFFSET(CRONOPLE!$F$15,$M180-$A$15,BL$13)))</f>
        <v>10</v>
      </c>
      <c r="BM180" s="171">
        <f ca="1">IF(OR($D180&lt;&gt;"Serviço",AND(AUTOEVENTO="Manual",$M180=$A$15)),0,
         IF(OFFSET(CRONOPLE!$F$15,$M180-$A$15,BM$13)=0,10^12,OFFSET(CRONOPLE!$F$15,$M180-$A$15,BM$13)))</f>
        <v>1000000000000</v>
      </c>
      <c r="BN180" s="171">
        <f ca="1">IF(OR($D180&lt;&gt;"Serviço",AND(AUTOEVENTO="Manual",$M180=$A$15)),0,
         IF(OFFSET(CRONOPLE!$F$15,$M180-$A$15,BN$13)=0,10^12,OFFSET(CRONOPLE!$F$15,$M180-$A$15,BN$13)))</f>
        <v>1000000000000</v>
      </c>
      <c r="BO180" s="171">
        <f ca="1">IF(OR($D180&lt;&gt;"Serviço",AND(AUTOEVENTO="Manual",$M180=$A$15)),0,
         IF(OFFSET(CRONOPLE!$F$15,$M180-$A$15,BO$13)=0,10^12,OFFSET(CRONOPLE!$F$15,$M180-$A$15,BO$13)))</f>
        <v>1000000000000</v>
      </c>
      <c r="BP180" s="171">
        <f ca="1">IF(OR($D180&lt;&gt;"Serviço",AND(AUTOEVENTO="Manual",$M180=$A$15)),0,
         IF(OFFSET(CRONOPLE!$F$15,$M180-$A$15,BP$13)=0,10^12,OFFSET(CRONOPLE!$F$15,$M180-$A$15,BP$13)))</f>
        <v>1000000000000</v>
      </c>
      <c r="BQ180" s="171">
        <f ca="1">IF(OR($D180&lt;&gt;"Serviço",AND(AUTOEVENTO="Manual",$M180=$A$15)),0,
         IF(OFFSET(CRONOPLE!$F$15,$M180-$A$15,BQ$13)=0,10^12,OFFSET(CRONOPLE!$F$15,$M180-$A$15,BQ$13)))</f>
        <v>1000000000000</v>
      </c>
      <c r="BR180" s="171">
        <f ca="1">IF(OR($D180&lt;&gt;"Serviço",AND(AUTOEVENTO="Manual",$M180=$A$15)),0,
         IF(OFFSET(CRONOPLE!$F$15,$M180-$A$15,BR$13)=0,10^12,OFFSET(CRONOPLE!$F$15,$M180-$A$15,BR$13)))</f>
        <v>1000000000000</v>
      </c>
      <c r="BS180" s="171">
        <f ca="1">IF(OR($D180&lt;&gt;"Serviço",AND(AUTOEVENTO="Manual",$M180=$A$15)),0,
         IF(OFFSET(CRONOPLE!$F$15,$M180-$A$15,BS$13)=0,10^12,OFFSET(CRONOPLE!$F$15,$M180-$A$15,BS$13)))</f>
        <v>1000000000000</v>
      </c>
      <c r="BT180" s="171">
        <f ca="1">IF(OR($D180&lt;&gt;"Serviço",AND(AUTOEVENTO="Manual",$M180=$A$15)),0,
         IF(OFFSET(CRONOPLE!$F$15,$M180-$A$15,BT$13)=0,10^12,OFFSET(CRONOPLE!$F$15,$M180-$A$15,BT$13)))</f>
        <v>1000000000000</v>
      </c>
      <c r="BV180" s="172">
        <f ca="1">IF(OR($D180&lt;&gt;"Serviço",AND(AUTOEVENTO="Manual",$M180=$A$15),$M180&gt;(ROW(PLE.lastrow)-ROW(PLE.firstrow))),0,
           IF(OFFSET(PLE!$G$15,$M180-$A$15,BV$13)="",10^12,OFFSET(PLE!$G$15,$M180-$A$15,BV$13)))</f>
        <v>1000000000000</v>
      </c>
      <c r="BW180" s="172">
        <f ca="1">IF(OR($D180&lt;&gt;"Serviço",AND(AUTOEVENTO="Manual",$M180=$A$15),$M180&gt;(ROW(PLE.lastrow)-ROW(PLE.firstrow))),0,
           IF(OFFSET(PLE!$G$15,$M180-$A$15,BW$13)="",10^12,OFFSET(PLE!$G$15,$M180-$A$15,BW$13)))</f>
        <v>1000000000000</v>
      </c>
      <c r="BX180" s="172">
        <f ca="1">IF(OR($D180&lt;&gt;"Serviço",AND(AUTOEVENTO="Manual",$M180=$A$15),$M180&gt;(ROW(PLE.lastrow)-ROW(PLE.firstrow))),0,
           IF(OFFSET(PLE!$G$15,$M180-$A$15,BX$13)="",10^12,OFFSET(PLE!$G$15,$M180-$A$15,BX$13)))</f>
        <v>1000000000000</v>
      </c>
      <c r="BY180" s="172">
        <f ca="1">IF(OR($D180&lt;&gt;"Serviço",AND(AUTOEVENTO="Manual",$M180=$A$15),$M180&gt;(ROW(PLE.lastrow)-ROW(PLE.firstrow))),0,
           IF(OFFSET(PLE!$G$15,$M180-$A$15,BY$13)="",10^12,OFFSET(PLE!$G$15,$M180-$A$15,BY$13)))</f>
        <v>1000000000000</v>
      </c>
      <c r="BZ180" s="172">
        <f ca="1">IF(OR($D180&lt;&gt;"Serviço",AND(AUTOEVENTO="Manual",$M180=$A$15),$M180&gt;(ROW(PLE.lastrow)-ROW(PLE.firstrow))),0,
           IF(OFFSET(PLE!$G$15,$M180-$A$15,BZ$13)="",10^12,OFFSET(PLE!$G$15,$M180-$A$15,BZ$13)))</f>
        <v>1000000000000</v>
      </c>
      <c r="CA180" s="172">
        <f ca="1">IF(OR($D180&lt;&gt;"Serviço",AND(AUTOEVENTO="Manual",$M180=$A$15),$M180&gt;(ROW(PLE.lastrow)-ROW(PLE.firstrow))),0,
           IF(OFFSET(PLE!$G$15,$M180-$A$15,CA$13)="",10^12,OFFSET(PLE!$G$15,$M180-$A$15,CA$13)))</f>
        <v>1000000000000</v>
      </c>
      <c r="CB180" s="172">
        <f ca="1">IF(OR($D180&lt;&gt;"Serviço",AND(AUTOEVENTO="Manual",$M180=$A$15),$M180&gt;(ROW(PLE.lastrow)-ROW(PLE.firstrow))),0,
           IF(OFFSET(PLE!$G$15,$M180-$A$15,CB$13)="",10^12,OFFSET(PLE!$G$15,$M180-$A$15,CB$13)))</f>
        <v>1000000000000</v>
      </c>
      <c r="CC180" s="172">
        <f ca="1">IF(OR($D180&lt;&gt;"Serviço",AND(AUTOEVENTO="Manual",$M180=$A$15),$M180&gt;(ROW(PLE.lastrow)-ROW(PLE.firstrow))),0,
           IF(OFFSET(PLE!$G$15,$M180-$A$15,CC$13)="",10^12,OFFSET(PLE!$G$15,$M180-$A$15,CC$13)))</f>
        <v>1000000000000</v>
      </c>
      <c r="CD180" s="172">
        <f ca="1">IF(OR($D180&lt;&gt;"Serviço",AND(AUTOEVENTO="Manual",$M180=$A$15),$M180&gt;(ROW(PLE.lastrow)-ROW(PLE.firstrow))),0,
           IF(OFFSET(PLE!$G$15,$M180-$A$15,CD$13)="",10^12,OFFSET(PLE!$G$15,$M180-$A$15,CD$13)))</f>
        <v>1000000000000</v>
      </c>
      <c r="CE180" s="172">
        <f ca="1">IF(OR($D180&lt;&gt;"Serviço",AND(AUTOEVENTO="Manual",$M180=$A$15),$M180&gt;(ROW(PLE.lastrow)-ROW(PLE.firstrow))),0,
           IF(OFFSET(PLE!$G$15,$M180-$A$15,CE$13)="",10^12,OFFSET(PLE!$G$15,$M180-$A$15,CE$13)))</f>
        <v>1000000000000</v>
      </c>
      <c r="CF180" s="172">
        <f ca="1">IF(OR($D180&lt;&gt;"Serviço",AND(AUTOEVENTO="Manual",$M180=$A$15),$M180&gt;(ROW(PLE.lastrow)-ROW(PLE.firstrow))),0,
           IF(OFFSET(PLE!$G$15,$M180-$A$15,CF$13)="",10^12,OFFSET(PLE!$G$15,$M180-$A$15,CF$13)))</f>
        <v>1000000000000</v>
      </c>
      <c r="CG180" s="172">
        <f ca="1">IF(OR($D180&lt;&gt;"Serviço",AND(AUTOEVENTO="Manual",$M180=$A$15),$M180&gt;(ROW(PLE.lastrow)-ROW(PLE.firstrow))),0,
           IF(OFFSET(PLE!$G$15,$M180-$A$15,CG$13)="",10^12,OFFSET(PLE!$G$15,$M180-$A$15,CG$13)))</f>
        <v>1000000000000</v>
      </c>
      <c r="CH180" s="172">
        <f ca="1">IF(OR($D180&lt;&gt;"Serviço",AND(AUTOEVENTO="Manual",$M180=$A$15),$M180&gt;(ROW(PLE.lastrow)-ROW(PLE.firstrow))),0,
           IF(OFFSET(PLE!$G$15,$M180-$A$15,CH$13)="",10^12,OFFSET(PLE!$G$15,$M180-$A$15,CH$13)))</f>
        <v>1000000000000</v>
      </c>
      <c r="CI180" s="172">
        <f ca="1">IF(OR($D180&lt;&gt;"Serviço",AND(AUTOEVENTO="Manual",$M180=$A$15),$M180&gt;(ROW(PLE.lastrow)-ROW(PLE.firstrow))),0,
           IF(OFFSET(PLE!$G$15,$M180-$A$15,CI$13)="",10^12,OFFSET(PLE!$G$15,$M180-$A$15,CI$13)))</f>
        <v>1000000000000</v>
      </c>
      <c r="CJ180" s="172">
        <f ca="1">IF(OR($D180&lt;&gt;"Serviço",AND(AUTOEVENTO="Manual",$M180=$A$15),$M180&gt;(ROW(PLE.lastrow)-ROW(PLE.firstrow))),0,
           IF(OFFSET(PLE!$G$15,$M180-$A$15,CJ$13)="",10^12,OFFSET(PLE!$G$15,$M180-$A$15,CJ$13)))</f>
        <v>1000000000000</v>
      </c>
      <c r="CK180" s="172">
        <f ca="1">IF(OR($D180&lt;&gt;"Serviço",AND(AUTOEVENTO="Manual",$M180=$A$15),$M180&gt;(ROW(PLE.lastrow)-ROW(PLE.firstrow))),0,
           IF(OFFSET(PLE!$G$15,$M180-$A$15,CK$13)="",10^12,OFFSET(PLE!$G$15,$M180-$A$15,CK$13)))</f>
        <v>1000000000000</v>
      </c>
      <c r="CL180" s="172">
        <f ca="1">IF(OR($D180&lt;&gt;"Serviço",AND(AUTOEVENTO="Manual",$M180=$A$15),$M180&gt;(ROW(PLE.lastrow)-ROW(PLE.firstrow))),0,
           IF(OFFSET(PLE!$G$15,$M180-$A$15,CL$13)="",10^12,OFFSET(PLE!$G$15,$M180-$A$15,CL$13)))</f>
        <v>1000000000000</v>
      </c>
      <c r="CM180" s="172">
        <f ca="1">IF(OR($D180&lt;&gt;"Serviço",AND(AUTOEVENTO="Manual",$M180=$A$15),$M180&gt;(ROW(PLE.lastrow)-ROW(PLE.firstrow))),0,
           IF(OFFSET(PLE!$G$15,$M180-$A$15,CM$13)="",10^12,OFFSET(PLE!$G$15,$M180-$A$15,CM$13)))</f>
        <v>1000000000000</v>
      </c>
    </row>
    <row r="181" spans="1:91" ht="38.25" x14ac:dyDescent="0.2">
      <c r="A181" s="7">
        <f t="shared" ca="1" si="12"/>
        <v>4</v>
      </c>
      <c r="B181" s="7" t="str">
        <f ca="1">OFFSET(ORÇAMENTO!C$15,ROW(B181)-ROW(B$15),0)</f>
        <v>S</v>
      </c>
      <c r="C181" s="7" t="str">
        <f ca="1">OFFSET(ORÇAMENTO!L$15,ROW(C181)-ROW(C$15),0)</f>
        <v>F</v>
      </c>
      <c r="D181" s="116" t="str">
        <f ca="1">OFFSET(ORÇAMENTO!N$15,ROW(D181)-ROW(D$15),0)</f>
        <v>Serviço</v>
      </c>
      <c r="E181" s="117" t="str">
        <f ca="1">OFFSET(ORÇAMENTO!O$15,ROW(E181)-ROW(E$15),0)</f>
        <v>1.5.5.3.8.</v>
      </c>
      <c r="F181" s="163" t="str">
        <f ca="1">OFFSET(ORÇAMENTO!R$15,ROW(F181)-ROW(F$15),0)</f>
        <v>CONCRETO FCK = 40MPA, TRAÇO 1:1,6:1,9 (EM MASSA SECA DE CIMENTO/ AREIA MÉDIA/ BRITA 1) - PREPARO MECÂNICO COM BETONEIRA 600 L. AF_05/2021</v>
      </c>
      <c r="G181" s="164" t="str">
        <f ca="1">IF($D181&lt;&gt;"Serviço","",OFFSET(ORÇAMENTO!S$15,ROW(G181)-ROW(G$15),0))</f>
        <v>M3</v>
      </c>
      <c r="H181" s="122" cm="1">
        <f t="array" aca="1" ref="H181" ca="1">IF($D181&lt;&gt;"Serviço",0,IF(ACOMPANHAMENTO="BM",ROUND(OFFSET(ORÇAMENTO!AJ$15,ROW(H181)-ROW(H$15),0),15-13*ORÇAMENTO!$AF$7),SUMPRODUCT(($Q$1:$AI$1=1)*ROUND($Q181:$AI181,15-13*ORÇAMENTO!$AF$7))))</f>
        <v>0.72</v>
      </c>
      <c r="I181" s="468" t="s">
        <v>1338</v>
      </c>
      <c r="J181" s="640" t="str" cm="1">
        <f t="array" aca="1" ref="J181" ca="1">IF(OR(B181&lt;&gt;"S",CÁLCULO.FrentesPreenchidas=0),"",IF(AND(ACOMPANHAMENTO="PLE",AUTOEVENTO="Manual",OR(H181&gt;0,ORÇAMENTO!AC181="QUANT."),OR(K181="",M181=0,N181="")),"►E",IF(AND(ACOMPANHAMENTO="PLE",ORÇAMENTO!AC181="QUANT."),"►Q",IF(AND(ACOMPANHAMENTO="PLE",H181&lt;&gt;SUMPRODUCT(($Q$1:$AI$1=1)*ROUND(Q181:AI181,15))),"►S",IF(AND(COUNTIF($P$11:$AI$11,"▼")=0,H181&gt;0,I181=""),"◄M","")))))</f>
        <v/>
      </c>
      <c r="K181" s="641" t="s">
        <v>1389</v>
      </c>
      <c r="L181" s="165" t="s">
        <v>764</v>
      </c>
      <c r="M181" s="166">
        <f ca="1">IF($D181&lt;&gt;"Serviço","",
          IF(AUTOEVENTO="manual",$A181,
                IF(ISERROR(MATCH($A181,$A$15:OFFSET($A181,-1,0),0)),MAX($M$15:OFFSET(M181,-1,0))+1,
                      INDEX($M$15:OFFSET(M181,-1,0),MATCH($A181,$A$15:OFFSET($A181,-1,0),0)))))</f>
        <v>4</v>
      </c>
      <c r="N181" s="167" t="str">
        <f ca="1">IF($D181&lt;&gt;"Serviço","",
         IF(AUTOEVENTO="Manual",
                IF($A181=0,"&lt;-- defina o número do agrupador",
                       OFFSET(EVENTOS!$D$15,$A181-$A$15,0)),
                OFFSET($F$15,$A181,0)))</f>
        <v>Estruturas de Concreto</v>
      </c>
      <c r="O181" s="168"/>
      <c r="Q181" s="168"/>
      <c r="R181" s="169"/>
      <c r="S181" s="169"/>
      <c r="T181" s="169"/>
      <c r="U181" s="169"/>
      <c r="V181" s="169">
        <v>0.72</v>
      </c>
      <c r="W181" s="169"/>
      <c r="X181" s="169"/>
      <c r="Y181" s="169"/>
      <c r="Z181" s="170"/>
      <c r="AA181" s="169"/>
      <c r="AB181" s="169"/>
      <c r="AC181" s="169"/>
      <c r="AD181" s="169"/>
      <c r="AE181" s="169"/>
      <c r="AF181" s="169"/>
      <c r="AG181" s="169"/>
      <c r="AH181" s="170"/>
      <c r="AJ181" s="453">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3">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L181" s="453">
        <f ca="1">IF(AND($D181="Serviço",AL$12&lt;&gt;0,$H181&gt;0,OR(AUTOEVENTO&lt;&gt;"manual",$M181&lt;&gt;$A$15)),
        IF(Import.TipoArredondamento&lt;&gt;"TransfereGOV",
              ROUND(OFFSET($P181,0,AL$13),15-13*ORÇAMENTO!$AF$7)/$H181*OFFSET(ORÇAMENTO!$X$15,ROW(AL181)-ROW(AL$15),0),
              ROUND(ROUND(OFFSET($P181,0,AL$13),15-13*ORÇAMENTO!$AF$7)*OFFSET(ORÇAMENTO!$W$15,ROW(AL181)-ROW(AL$15),0),15-13*ORÇAMENTO!$AF$11)),
         0)</f>
        <v>0</v>
      </c>
      <c r="AM181" s="453">
        <f ca="1">IF(AND($D181="Serviço",AM$12&lt;&gt;0,$H181&gt;0,OR(AUTOEVENTO&lt;&gt;"manual",$M181&lt;&gt;$A$15)),
        IF(Import.TipoArredondamento&lt;&gt;"TransfereGOV",
              ROUND(OFFSET($P181,0,AM$13),15-13*ORÇAMENTO!$AF$7)/$H181*OFFSET(ORÇAMENTO!$X$15,ROW(AM181)-ROW(AM$15),0),
              ROUND(ROUND(OFFSET($P181,0,AM$13),15-13*ORÇAMENTO!$AF$7)*OFFSET(ORÇAMENTO!$W$15,ROW(AM181)-ROW(AM$15),0),15-13*ORÇAMENTO!$AF$11)),
         0)</f>
        <v>0</v>
      </c>
      <c r="AN181" s="453">
        <f ca="1">IF(AND($D181="Serviço",AN$12&lt;&gt;0,$H181&gt;0,OR(AUTOEVENTO&lt;&gt;"manual",$M181&lt;&gt;$A$15)),
        IF(Import.TipoArredondamento&lt;&gt;"TransfereGOV",
              ROUND(OFFSET($P181,0,AN$13),15-13*ORÇAMENTO!$AF$7)/$H181*OFFSET(ORÇAMENTO!$X$15,ROW(AN181)-ROW(AN$15),0),
              ROUND(ROUND(OFFSET($P181,0,AN$13),15-13*ORÇAMENTO!$AF$7)*OFFSET(ORÇAMENTO!$W$15,ROW(AN181)-ROW(AN$15),0),15-13*ORÇAMENTO!$AF$11)),
         0)</f>
        <v>0</v>
      </c>
      <c r="AO181" s="453">
        <f ca="1">IF(AND($D181="Serviço",AO$12&lt;&gt;0,$H181&gt;0,OR(AUTOEVENTO&lt;&gt;"manual",$M181&lt;&gt;$A$15)),
        IF(Import.TipoArredondamento&lt;&gt;"TransfereGOV",
              ROUND(OFFSET($P181,0,AO$13),15-13*ORÇAMENTO!$AF$7)/$H181*OFFSET(ORÇAMENTO!$X$15,ROW(AO181)-ROW(AO$15),0),
              ROUND(ROUND(OFFSET($P181,0,AO$13),15-13*ORÇAMENTO!$AF$7)*OFFSET(ORÇAMENTO!$W$15,ROW(AO181)-ROW(AO$15),0),15-13*ORÇAMENTO!$AF$11)),
         0)</f>
        <v>0</v>
      </c>
      <c r="AP181" s="453">
        <f ca="1">IF(AND($D181="Serviço",AP$12&lt;&gt;0,$H181&gt;0,OR(AUTOEVENTO&lt;&gt;"manual",$M181&lt;&gt;$A$15)),
        IF(Import.TipoArredondamento&lt;&gt;"TransfereGOV",
              ROUND(OFFSET($P181,0,AP$13),15-13*ORÇAMENTO!$AF$7)/$H181*OFFSET(ORÇAMENTO!$X$15,ROW(AP181)-ROW(AP$15),0),
              ROUND(ROUND(OFFSET($P181,0,AP$13),15-13*ORÇAMENTO!$AF$7)*OFFSET(ORÇAMENTO!$W$15,ROW(AP181)-ROW(AP$15),0),15-13*ORÇAMENTO!$AF$11)),
         0)</f>
        <v>0</v>
      </c>
      <c r="AQ181" s="453">
        <f ca="1">IF(AND($D181="Serviço",AQ$12&lt;&gt;0,$H181&gt;0,OR(AUTOEVENTO&lt;&gt;"manual",$M181&lt;&gt;$A$15)),
        IF(Import.TipoArredondamento&lt;&gt;"TransfereGOV",
              ROUND(OFFSET($P181,0,AQ$13),15-13*ORÇAMENTO!$AF$7)/$H181*OFFSET(ORÇAMENTO!$X$15,ROW(AQ181)-ROW(AQ$15),0),
              ROUND(ROUND(OFFSET($P181,0,AQ$13),15-13*ORÇAMENTO!$AF$7)*OFFSET(ORÇAMENTO!$W$15,ROW(AQ181)-ROW(AQ$15),0),15-13*ORÇAMENTO!$AF$11)),
         0)</f>
        <v>0</v>
      </c>
      <c r="AR181" s="453">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0</v>
      </c>
      <c r="AS181" s="453">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0</v>
      </c>
      <c r="AT181" s="453">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0</v>
      </c>
      <c r="AU181" s="453">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0</v>
      </c>
      <c r="AV181" s="453">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0</v>
      </c>
      <c r="AW181" s="453">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0</v>
      </c>
      <c r="AX181" s="453">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0</v>
      </c>
      <c r="AY181" s="453">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0</v>
      </c>
      <c r="AZ181" s="453">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0</v>
      </c>
      <c r="BA181" s="453">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0</v>
      </c>
      <c r="BC181" s="171">
        <f ca="1">IF(OR($D181&lt;&gt;"Serviço",AND(AUTOEVENTO="Manual",$M181=$A$15)),0,
         IF(OFFSET(CRONOPLE!$F$15,$M181-$A$15,BC$13)=0,10^12,OFFSET(CRONOPLE!$F$15,$M181-$A$15,BC$13)))</f>
        <v>1</v>
      </c>
      <c r="BD181" s="171">
        <f ca="1">IF(OR($D181&lt;&gt;"Serviço",AND(AUTOEVENTO="Manual",$M181=$A$15)),0,
         IF(OFFSET(CRONOPLE!$F$15,$M181-$A$15,BD$13)=0,10^12,OFFSET(CRONOPLE!$F$15,$M181-$A$15,BD$13)))</f>
        <v>2</v>
      </c>
      <c r="BE181" s="171">
        <f ca="1">IF(OR($D181&lt;&gt;"Serviço",AND(AUTOEVENTO="Manual",$M181=$A$15)),0,
         IF(OFFSET(CRONOPLE!$F$15,$M181-$A$15,BE$13)=0,10^12,OFFSET(CRONOPLE!$F$15,$M181-$A$15,BE$13)))</f>
        <v>3</v>
      </c>
      <c r="BF181" s="171">
        <f ca="1">IF(OR($D181&lt;&gt;"Serviço",AND(AUTOEVENTO="Manual",$M181=$A$15)),0,
         IF(OFFSET(CRONOPLE!$F$15,$M181-$A$15,BF$13)=0,10^12,OFFSET(CRONOPLE!$F$15,$M181-$A$15,BF$13)))</f>
        <v>4</v>
      </c>
      <c r="BG181" s="171">
        <f ca="1">IF(OR($D181&lt;&gt;"Serviço",AND(AUTOEVENTO="Manual",$M181=$A$15)),0,
         IF(OFFSET(CRONOPLE!$F$15,$M181-$A$15,BG$13)=0,10^12,OFFSET(CRONOPLE!$F$15,$M181-$A$15,BG$13)))</f>
        <v>5</v>
      </c>
      <c r="BH181" s="171">
        <f ca="1">IF(OR($D181&lt;&gt;"Serviço",AND(AUTOEVENTO="Manual",$M181=$A$15)),0,
         IF(OFFSET(CRONOPLE!$F$15,$M181-$A$15,BH$13)=0,10^12,OFFSET(CRONOPLE!$F$15,$M181-$A$15,BH$13)))</f>
        <v>6</v>
      </c>
      <c r="BI181" s="171">
        <f ca="1">IF(OR($D181&lt;&gt;"Serviço",AND(AUTOEVENTO="Manual",$M181=$A$15)),0,
         IF(OFFSET(CRONOPLE!$F$15,$M181-$A$15,BI$13)=0,10^12,OFFSET(CRONOPLE!$F$15,$M181-$A$15,BI$13)))</f>
        <v>7</v>
      </c>
      <c r="BJ181" s="171">
        <f ca="1">IF(OR($D181&lt;&gt;"Serviço",AND(AUTOEVENTO="Manual",$M181=$A$15)),0,
         IF(OFFSET(CRONOPLE!$F$15,$M181-$A$15,BJ$13)=0,10^12,OFFSET(CRONOPLE!$F$15,$M181-$A$15,BJ$13)))</f>
        <v>8</v>
      </c>
      <c r="BK181" s="171">
        <f ca="1">IF(OR($D181&lt;&gt;"Serviço",AND(AUTOEVENTO="Manual",$M181=$A$15)),0,
         IF(OFFSET(CRONOPLE!$F$15,$M181-$A$15,BK$13)=0,10^12,OFFSET(CRONOPLE!$F$15,$M181-$A$15,BK$13)))</f>
        <v>9</v>
      </c>
      <c r="BL181" s="171">
        <f ca="1">IF(OR($D181&lt;&gt;"Serviço",AND(AUTOEVENTO="Manual",$M181=$A$15)),0,
         IF(OFFSET(CRONOPLE!$F$15,$M181-$A$15,BL$13)=0,10^12,OFFSET(CRONOPLE!$F$15,$M181-$A$15,BL$13)))</f>
        <v>10</v>
      </c>
      <c r="BM181" s="171">
        <f ca="1">IF(OR($D181&lt;&gt;"Serviço",AND(AUTOEVENTO="Manual",$M181=$A$15)),0,
         IF(OFFSET(CRONOPLE!$F$15,$M181-$A$15,BM$13)=0,10^12,OFFSET(CRONOPLE!$F$15,$M181-$A$15,BM$13)))</f>
        <v>1000000000000</v>
      </c>
      <c r="BN181" s="171">
        <f ca="1">IF(OR($D181&lt;&gt;"Serviço",AND(AUTOEVENTO="Manual",$M181=$A$15)),0,
         IF(OFFSET(CRONOPLE!$F$15,$M181-$A$15,BN$13)=0,10^12,OFFSET(CRONOPLE!$F$15,$M181-$A$15,BN$13)))</f>
        <v>1000000000000</v>
      </c>
      <c r="BO181" s="171">
        <f ca="1">IF(OR($D181&lt;&gt;"Serviço",AND(AUTOEVENTO="Manual",$M181=$A$15)),0,
         IF(OFFSET(CRONOPLE!$F$15,$M181-$A$15,BO$13)=0,10^12,OFFSET(CRONOPLE!$F$15,$M181-$A$15,BO$13)))</f>
        <v>1000000000000</v>
      </c>
      <c r="BP181" s="171">
        <f ca="1">IF(OR($D181&lt;&gt;"Serviço",AND(AUTOEVENTO="Manual",$M181=$A$15)),0,
         IF(OFFSET(CRONOPLE!$F$15,$M181-$A$15,BP$13)=0,10^12,OFFSET(CRONOPLE!$F$15,$M181-$A$15,BP$13)))</f>
        <v>1000000000000</v>
      </c>
      <c r="BQ181" s="171">
        <f ca="1">IF(OR($D181&lt;&gt;"Serviço",AND(AUTOEVENTO="Manual",$M181=$A$15)),0,
         IF(OFFSET(CRONOPLE!$F$15,$M181-$A$15,BQ$13)=0,10^12,OFFSET(CRONOPLE!$F$15,$M181-$A$15,BQ$13)))</f>
        <v>1000000000000</v>
      </c>
      <c r="BR181" s="171">
        <f ca="1">IF(OR($D181&lt;&gt;"Serviço",AND(AUTOEVENTO="Manual",$M181=$A$15)),0,
         IF(OFFSET(CRONOPLE!$F$15,$M181-$A$15,BR$13)=0,10^12,OFFSET(CRONOPLE!$F$15,$M181-$A$15,BR$13)))</f>
        <v>1000000000000</v>
      </c>
      <c r="BS181" s="171">
        <f ca="1">IF(OR($D181&lt;&gt;"Serviço",AND(AUTOEVENTO="Manual",$M181=$A$15)),0,
         IF(OFFSET(CRONOPLE!$F$15,$M181-$A$15,BS$13)=0,10^12,OFFSET(CRONOPLE!$F$15,$M181-$A$15,BS$13)))</f>
        <v>1000000000000</v>
      </c>
      <c r="BT181" s="171">
        <f ca="1">IF(OR($D181&lt;&gt;"Serviço",AND(AUTOEVENTO="Manual",$M181=$A$15)),0,
         IF(OFFSET(CRONOPLE!$F$15,$M181-$A$15,BT$13)=0,10^12,OFFSET(CRONOPLE!$F$15,$M181-$A$15,BT$13)))</f>
        <v>1000000000000</v>
      </c>
      <c r="BV181" s="172">
        <f ca="1">IF(OR($D181&lt;&gt;"Serviço",AND(AUTOEVENTO="Manual",$M181=$A$15),$M181&gt;(ROW(PLE.lastrow)-ROW(PLE.firstrow))),0,
           IF(OFFSET(PLE!$G$15,$M181-$A$15,BV$13)="",10^12,OFFSET(PLE!$G$15,$M181-$A$15,BV$13)))</f>
        <v>1000000000000</v>
      </c>
      <c r="BW181" s="172">
        <f ca="1">IF(OR($D181&lt;&gt;"Serviço",AND(AUTOEVENTO="Manual",$M181=$A$15),$M181&gt;(ROW(PLE.lastrow)-ROW(PLE.firstrow))),0,
           IF(OFFSET(PLE!$G$15,$M181-$A$15,BW$13)="",10^12,OFFSET(PLE!$G$15,$M181-$A$15,BW$13)))</f>
        <v>1000000000000</v>
      </c>
      <c r="BX181" s="172">
        <f ca="1">IF(OR($D181&lt;&gt;"Serviço",AND(AUTOEVENTO="Manual",$M181=$A$15),$M181&gt;(ROW(PLE.lastrow)-ROW(PLE.firstrow))),0,
           IF(OFFSET(PLE!$G$15,$M181-$A$15,BX$13)="",10^12,OFFSET(PLE!$G$15,$M181-$A$15,BX$13)))</f>
        <v>1000000000000</v>
      </c>
      <c r="BY181" s="172">
        <f ca="1">IF(OR($D181&lt;&gt;"Serviço",AND(AUTOEVENTO="Manual",$M181=$A$15),$M181&gt;(ROW(PLE.lastrow)-ROW(PLE.firstrow))),0,
           IF(OFFSET(PLE!$G$15,$M181-$A$15,BY$13)="",10^12,OFFSET(PLE!$G$15,$M181-$A$15,BY$13)))</f>
        <v>1000000000000</v>
      </c>
      <c r="BZ181" s="172">
        <f ca="1">IF(OR($D181&lt;&gt;"Serviço",AND(AUTOEVENTO="Manual",$M181=$A$15),$M181&gt;(ROW(PLE.lastrow)-ROW(PLE.firstrow))),0,
           IF(OFFSET(PLE!$G$15,$M181-$A$15,BZ$13)="",10^12,OFFSET(PLE!$G$15,$M181-$A$15,BZ$13)))</f>
        <v>1000000000000</v>
      </c>
      <c r="CA181" s="172">
        <f ca="1">IF(OR($D181&lt;&gt;"Serviço",AND(AUTOEVENTO="Manual",$M181=$A$15),$M181&gt;(ROW(PLE.lastrow)-ROW(PLE.firstrow))),0,
           IF(OFFSET(PLE!$G$15,$M181-$A$15,CA$13)="",10^12,OFFSET(PLE!$G$15,$M181-$A$15,CA$13)))</f>
        <v>1000000000000</v>
      </c>
      <c r="CB181" s="172">
        <f ca="1">IF(OR($D181&lt;&gt;"Serviço",AND(AUTOEVENTO="Manual",$M181=$A$15),$M181&gt;(ROW(PLE.lastrow)-ROW(PLE.firstrow))),0,
           IF(OFFSET(PLE!$G$15,$M181-$A$15,CB$13)="",10^12,OFFSET(PLE!$G$15,$M181-$A$15,CB$13)))</f>
        <v>1000000000000</v>
      </c>
      <c r="CC181" s="172">
        <f ca="1">IF(OR($D181&lt;&gt;"Serviço",AND(AUTOEVENTO="Manual",$M181=$A$15),$M181&gt;(ROW(PLE.lastrow)-ROW(PLE.firstrow))),0,
           IF(OFFSET(PLE!$G$15,$M181-$A$15,CC$13)="",10^12,OFFSET(PLE!$G$15,$M181-$A$15,CC$13)))</f>
        <v>1000000000000</v>
      </c>
      <c r="CD181" s="172">
        <f ca="1">IF(OR($D181&lt;&gt;"Serviço",AND(AUTOEVENTO="Manual",$M181=$A$15),$M181&gt;(ROW(PLE.lastrow)-ROW(PLE.firstrow))),0,
           IF(OFFSET(PLE!$G$15,$M181-$A$15,CD$13)="",10^12,OFFSET(PLE!$G$15,$M181-$A$15,CD$13)))</f>
        <v>1000000000000</v>
      </c>
      <c r="CE181" s="172">
        <f ca="1">IF(OR($D181&lt;&gt;"Serviço",AND(AUTOEVENTO="Manual",$M181=$A$15),$M181&gt;(ROW(PLE.lastrow)-ROW(PLE.firstrow))),0,
           IF(OFFSET(PLE!$G$15,$M181-$A$15,CE$13)="",10^12,OFFSET(PLE!$G$15,$M181-$A$15,CE$13)))</f>
        <v>1000000000000</v>
      </c>
      <c r="CF181" s="172">
        <f ca="1">IF(OR($D181&lt;&gt;"Serviço",AND(AUTOEVENTO="Manual",$M181=$A$15),$M181&gt;(ROW(PLE.lastrow)-ROW(PLE.firstrow))),0,
           IF(OFFSET(PLE!$G$15,$M181-$A$15,CF$13)="",10^12,OFFSET(PLE!$G$15,$M181-$A$15,CF$13)))</f>
        <v>1000000000000</v>
      </c>
      <c r="CG181" s="172">
        <f ca="1">IF(OR($D181&lt;&gt;"Serviço",AND(AUTOEVENTO="Manual",$M181=$A$15),$M181&gt;(ROW(PLE.lastrow)-ROW(PLE.firstrow))),0,
           IF(OFFSET(PLE!$G$15,$M181-$A$15,CG$13)="",10^12,OFFSET(PLE!$G$15,$M181-$A$15,CG$13)))</f>
        <v>1000000000000</v>
      </c>
      <c r="CH181" s="172">
        <f ca="1">IF(OR($D181&lt;&gt;"Serviço",AND(AUTOEVENTO="Manual",$M181=$A$15),$M181&gt;(ROW(PLE.lastrow)-ROW(PLE.firstrow))),0,
           IF(OFFSET(PLE!$G$15,$M181-$A$15,CH$13)="",10^12,OFFSET(PLE!$G$15,$M181-$A$15,CH$13)))</f>
        <v>1000000000000</v>
      </c>
      <c r="CI181" s="172">
        <f ca="1">IF(OR($D181&lt;&gt;"Serviço",AND(AUTOEVENTO="Manual",$M181=$A$15),$M181&gt;(ROW(PLE.lastrow)-ROW(PLE.firstrow))),0,
           IF(OFFSET(PLE!$G$15,$M181-$A$15,CI$13)="",10^12,OFFSET(PLE!$G$15,$M181-$A$15,CI$13)))</f>
        <v>1000000000000</v>
      </c>
      <c r="CJ181" s="172">
        <f ca="1">IF(OR($D181&lt;&gt;"Serviço",AND(AUTOEVENTO="Manual",$M181=$A$15),$M181&gt;(ROW(PLE.lastrow)-ROW(PLE.firstrow))),0,
           IF(OFFSET(PLE!$G$15,$M181-$A$15,CJ$13)="",10^12,OFFSET(PLE!$G$15,$M181-$A$15,CJ$13)))</f>
        <v>1000000000000</v>
      </c>
      <c r="CK181" s="172">
        <f ca="1">IF(OR($D181&lt;&gt;"Serviço",AND(AUTOEVENTO="Manual",$M181=$A$15),$M181&gt;(ROW(PLE.lastrow)-ROW(PLE.firstrow))),0,
           IF(OFFSET(PLE!$G$15,$M181-$A$15,CK$13)="",10^12,OFFSET(PLE!$G$15,$M181-$A$15,CK$13)))</f>
        <v>1000000000000</v>
      </c>
      <c r="CL181" s="172">
        <f ca="1">IF(OR($D181&lt;&gt;"Serviço",AND(AUTOEVENTO="Manual",$M181=$A$15),$M181&gt;(ROW(PLE.lastrow)-ROW(PLE.firstrow))),0,
           IF(OFFSET(PLE!$G$15,$M181-$A$15,CL$13)="",10^12,OFFSET(PLE!$G$15,$M181-$A$15,CL$13)))</f>
        <v>1000000000000</v>
      </c>
      <c r="CM181" s="172">
        <f ca="1">IF(OR($D181&lt;&gt;"Serviço",AND(AUTOEVENTO="Manual",$M181=$A$15),$M181&gt;(ROW(PLE.lastrow)-ROW(PLE.firstrow))),0,
           IF(OFFSET(PLE!$G$15,$M181-$A$15,CM$13)="",10^12,OFFSET(PLE!$G$15,$M181-$A$15,CM$13)))</f>
        <v>1000000000000</v>
      </c>
    </row>
    <row r="182" spans="1:91" ht="38.25" x14ac:dyDescent="0.2">
      <c r="A182" s="7">
        <f t="shared" ca="1" si="12"/>
        <v>4</v>
      </c>
      <c r="B182" s="7" t="str">
        <f ca="1">OFFSET(ORÇAMENTO!C$15,ROW(B182)-ROW(B$15),0)</f>
        <v>S</v>
      </c>
      <c r="C182" s="7" t="str">
        <f ca="1">OFFSET(ORÇAMENTO!L$15,ROW(C182)-ROW(C$15),0)</f>
        <v>F</v>
      </c>
      <c r="D182" s="116" t="str">
        <f ca="1">OFFSET(ORÇAMENTO!N$15,ROW(D182)-ROW(D$15),0)</f>
        <v>Serviço</v>
      </c>
      <c r="E182" s="117" t="str">
        <f ca="1">OFFSET(ORÇAMENTO!O$15,ROW(E182)-ROW(E$15),0)</f>
        <v>1.5.5.3.9.</v>
      </c>
      <c r="F182" s="163" t="str">
        <f ca="1">OFFSET(ORÇAMENTO!R$15,ROW(F182)-ROW(F$15),0)</f>
        <v>LANÇAMENTO COM USO DE BOMBA, ADENSAMENTO E ACABAMENTO DE CONCRETO EM ESTRUTURAS. AF_02/2022</v>
      </c>
      <c r="G182" s="164" t="str">
        <f ca="1">IF($D182&lt;&gt;"Serviço","",OFFSET(ORÇAMENTO!S$15,ROW(G182)-ROW(G$15),0))</f>
        <v>M3</v>
      </c>
      <c r="H182" s="122" cm="1">
        <f t="array" aca="1" ref="H182" ca="1">IF($D182&lt;&gt;"Serviço",0,IF(ACOMPANHAMENTO="BM",ROUND(OFFSET(ORÇAMENTO!AJ$15,ROW(H182)-ROW(H$15),0),15-13*ORÇAMENTO!$AF$7),SUMPRODUCT(($Q$1:$AI$1=1)*ROUND($Q182:$AI182,15-13*ORÇAMENTO!$AF$7))))</f>
        <v>0.72</v>
      </c>
      <c r="I182" s="468" t="s">
        <v>1441</v>
      </c>
      <c r="J182" s="640" t="str" cm="1">
        <f t="array" aca="1" ref="J182" ca="1">IF(OR(B182&lt;&gt;"S",CÁLCULO.FrentesPreenchidas=0),"",IF(AND(ACOMPANHAMENTO="PLE",AUTOEVENTO="Manual",OR(H182&gt;0,ORÇAMENTO!AC182="QUANT."),OR(K182="",M182=0,N182="")),"►E",IF(AND(ACOMPANHAMENTO="PLE",ORÇAMENTO!AC182="QUANT."),"►Q",IF(AND(ACOMPANHAMENTO="PLE",H182&lt;&gt;SUMPRODUCT(($Q$1:$AI$1=1)*ROUND(Q182:AI182,15))),"►S",IF(AND(COUNTIF($P$11:$AI$11,"▼")=0,H182&gt;0,I182=""),"◄M","")))))</f>
        <v/>
      </c>
      <c r="K182" s="641" t="s">
        <v>1389</v>
      </c>
      <c r="L182" s="165" t="s">
        <v>764</v>
      </c>
      <c r="M182" s="166">
        <f ca="1">IF($D182&lt;&gt;"Serviço","",
          IF(AUTOEVENTO="manual",$A182,
                IF(ISERROR(MATCH($A182,$A$15:OFFSET($A182,-1,0),0)),MAX($M$15:OFFSET(M182,-1,0))+1,
                      INDEX($M$15:OFFSET(M182,-1,0),MATCH($A182,$A$15:OFFSET($A182,-1,0),0)))))</f>
        <v>4</v>
      </c>
      <c r="N182" s="167" t="str">
        <f ca="1">IF($D182&lt;&gt;"Serviço","",
         IF(AUTOEVENTO="Manual",
                IF($A182=0,"&lt;-- defina o número do agrupador",
                       OFFSET(EVENTOS!$D$15,$A182-$A$15,0)),
                OFFSET($F$15,$A182,0)))</f>
        <v>Estruturas de Concreto</v>
      </c>
      <c r="O182" s="168"/>
      <c r="Q182" s="168"/>
      <c r="R182" s="169"/>
      <c r="S182" s="169"/>
      <c r="T182" s="169"/>
      <c r="U182" s="169"/>
      <c r="V182" s="169">
        <f>V181</f>
        <v>0.72</v>
      </c>
      <c r="W182" s="169"/>
      <c r="X182" s="169"/>
      <c r="Y182" s="169"/>
      <c r="Z182" s="170"/>
      <c r="AA182" s="169"/>
      <c r="AB182" s="169"/>
      <c r="AC182" s="169"/>
      <c r="AD182" s="169"/>
      <c r="AE182" s="169"/>
      <c r="AF182" s="169"/>
      <c r="AG182" s="169"/>
      <c r="AH182" s="170"/>
      <c r="AJ182" s="453">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0</v>
      </c>
      <c r="AK182" s="453">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0</v>
      </c>
      <c r="AL182" s="453">
        <f ca="1">IF(AND($D182="Serviço",AL$12&lt;&gt;0,$H182&gt;0,OR(AUTOEVENTO&lt;&gt;"manual",$M182&lt;&gt;$A$15)),
        IF(Import.TipoArredondamento&lt;&gt;"TransfereGOV",
              ROUND(OFFSET($P182,0,AL$13),15-13*ORÇAMENTO!$AF$7)/$H182*OFFSET(ORÇAMENTO!$X$15,ROW(AL182)-ROW(AL$15),0),
              ROUND(ROUND(OFFSET($P182,0,AL$13),15-13*ORÇAMENTO!$AF$7)*OFFSET(ORÇAMENTO!$W$15,ROW(AL182)-ROW(AL$15),0),15-13*ORÇAMENTO!$AF$11)),
         0)</f>
        <v>0</v>
      </c>
      <c r="AM182" s="453">
        <f ca="1">IF(AND($D182="Serviço",AM$12&lt;&gt;0,$H182&gt;0,OR(AUTOEVENTO&lt;&gt;"manual",$M182&lt;&gt;$A$15)),
        IF(Import.TipoArredondamento&lt;&gt;"TransfereGOV",
              ROUND(OFFSET($P182,0,AM$13),15-13*ORÇAMENTO!$AF$7)/$H182*OFFSET(ORÇAMENTO!$X$15,ROW(AM182)-ROW(AM$15),0),
              ROUND(ROUND(OFFSET($P182,0,AM$13),15-13*ORÇAMENTO!$AF$7)*OFFSET(ORÇAMENTO!$W$15,ROW(AM182)-ROW(AM$15),0),15-13*ORÇAMENTO!$AF$11)),
         0)</f>
        <v>0</v>
      </c>
      <c r="AN182" s="453">
        <f ca="1">IF(AND($D182="Serviço",AN$12&lt;&gt;0,$H182&gt;0,OR(AUTOEVENTO&lt;&gt;"manual",$M182&lt;&gt;$A$15)),
        IF(Import.TipoArredondamento&lt;&gt;"TransfereGOV",
              ROUND(OFFSET($P182,0,AN$13),15-13*ORÇAMENTO!$AF$7)/$H182*OFFSET(ORÇAMENTO!$X$15,ROW(AN182)-ROW(AN$15),0),
              ROUND(ROUND(OFFSET($P182,0,AN$13),15-13*ORÇAMENTO!$AF$7)*OFFSET(ORÇAMENTO!$W$15,ROW(AN182)-ROW(AN$15),0),15-13*ORÇAMENTO!$AF$11)),
         0)</f>
        <v>0</v>
      </c>
      <c r="AO182" s="453">
        <f ca="1">IF(AND($D182="Serviço",AO$12&lt;&gt;0,$H182&gt;0,OR(AUTOEVENTO&lt;&gt;"manual",$M182&lt;&gt;$A$15)),
        IF(Import.TipoArredondamento&lt;&gt;"TransfereGOV",
              ROUND(OFFSET($P182,0,AO$13),15-13*ORÇAMENTO!$AF$7)/$H182*OFFSET(ORÇAMENTO!$X$15,ROW(AO182)-ROW(AO$15),0),
              ROUND(ROUND(OFFSET($P182,0,AO$13),15-13*ORÇAMENTO!$AF$7)*OFFSET(ORÇAMENTO!$W$15,ROW(AO182)-ROW(AO$15),0),15-13*ORÇAMENTO!$AF$11)),
         0)</f>
        <v>0</v>
      </c>
      <c r="AP182" s="453">
        <f ca="1">IF(AND($D182="Serviço",AP$12&lt;&gt;0,$H182&gt;0,OR(AUTOEVENTO&lt;&gt;"manual",$M182&lt;&gt;$A$15)),
        IF(Import.TipoArredondamento&lt;&gt;"TransfereGOV",
              ROUND(OFFSET($P182,0,AP$13),15-13*ORÇAMENTO!$AF$7)/$H182*OFFSET(ORÇAMENTO!$X$15,ROW(AP182)-ROW(AP$15),0),
              ROUND(ROUND(OFFSET($P182,0,AP$13),15-13*ORÇAMENTO!$AF$7)*OFFSET(ORÇAMENTO!$W$15,ROW(AP182)-ROW(AP$15),0),15-13*ORÇAMENTO!$AF$11)),
         0)</f>
        <v>0</v>
      </c>
      <c r="AQ182" s="453">
        <f ca="1">IF(AND($D182="Serviço",AQ$12&lt;&gt;0,$H182&gt;0,OR(AUTOEVENTO&lt;&gt;"manual",$M182&lt;&gt;$A$15)),
        IF(Import.TipoArredondamento&lt;&gt;"TransfereGOV",
              ROUND(OFFSET($P182,0,AQ$13),15-13*ORÇAMENTO!$AF$7)/$H182*OFFSET(ORÇAMENTO!$X$15,ROW(AQ182)-ROW(AQ$15),0),
              ROUND(ROUND(OFFSET($P182,0,AQ$13),15-13*ORÇAMENTO!$AF$7)*OFFSET(ORÇAMENTO!$W$15,ROW(AQ182)-ROW(AQ$15),0),15-13*ORÇAMENTO!$AF$11)),
         0)</f>
        <v>0</v>
      </c>
      <c r="AR182" s="453">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0</v>
      </c>
      <c r="AS182" s="453">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0</v>
      </c>
      <c r="AT182" s="453">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0</v>
      </c>
      <c r="AU182" s="453">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0</v>
      </c>
      <c r="AV182" s="453">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0</v>
      </c>
      <c r="AW182" s="453">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0</v>
      </c>
      <c r="AX182" s="453">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0</v>
      </c>
      <c r="AY182" s="453">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0</v>
      </c>
      <c r="AZ182" s="453">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0</v>
      </c>
      <c r="BA182" s="453">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0</v>
      </c>
      <c r="BC182" s="171">
        <f ca="1">IF(OR($D182&lt;&gt;"Serviço",AND(AUTOEVENTO="Manual",$M182=$A$15)),0,
         IF(OFFSET(CRONOPLE!$F$15,$M182-$A$15,BC$13)=0,10^12,OFFSET(CRONOPLE!$F$15,$M182-$A$15,BC$13)))</f>
        <v>1</v>
      </c>
      <c r="BD182" s="171">
        <f ca="1">IF(OR($D182&lt;&gt;"Serviço",AND(AUTOEVENTO="Manual",$M182=$A$15)),0,
         IF(OFFSET(CRONOPLE!$F$15,$M182-$A$15,BD$13)=0,10^12,OFFSET(CRONOPLE!$F$15,$M182-$A$15,BD$13)))</f>
        <v>2</v>
      </c>
      <c r="BE182" s="171">
        <f ca="1">IF(OR($D182&lt;&gt;"Serviço",AND(AUTOEVENTO="Manual",$M182=$A$15)),0,
         IF(OFFSET(CRONOPLE!$F$15,$M182-$A$15,BE$13)=0,10^12,OFFSET(CRONOPLE!$F$15,$M182-$A$15,BE$13)))</f>
        <v>3</v>
      </c>
      <c r="BF182" s="171">
        <f ca="1">IF(OR($D182&lt;&gt;"Serviço",AND(AUTOEVENTO="Manual",$M182=$A$15)),0,
         IF(OFFSET(CRONOPLE!$F$15,$M182-$A$15,BF$13)=0,10^12,OFFSET(CRONOPLE!$F$15,$M182-$A$15,BF$13)))</f>
        <v>4</v>
      </c>
      <c r="BG182" s="171">
        <f ca="1">IF(OR($D182&lt;&gt;"Serviço",AND(AUTOEVENTO="Manual",$M182=$A$15)),0,
         IF(OFFSET(CRONOPLE!$F$15,$M182-$A$15,BG$13)=0,10^12,OFFSET(CRONOPLE!$F$15,$M182-$A$15,BG$13)))</f>
        <v>5</v>
      </c>
      <c r="BH182" s="171">
        <f ca="1">IF(OR($D182&lt;&gt;"Serviço",AND(AUTOEVENTO="Manual",$M182=$A$15)),0,
         IF(OFFSET(CRONOPLE!$F$15,$M182-$A$15,BH$13)=0,10^12,OFFSET(CRONOPLE!$F$15,$M182-$A$15,BH$13)))</f>
        <v>6</v>
      </c>
      <c r="BI182" s="171">
        <f ca="1">IF(OR($D182&lt;&gt;"Serviço",AND(AUTOEVENTO="Manual",$M182=$A$15)),0,
         IF(OFFSET(CRONOPLE!$F$15,$M182-$A$15,BI$13)=0,10^12,OFFSET(CRONOPLE!$F$15,$M182-$A$15,BI$13)))</f>
        <v>7</v>
      </c>
      <c r="BJ182" s="171">
        <f ca="1">IF(OR($D182&lt;&gt;"Serviço",AND(AUTOEVENTO="Manual",$M182=$A$15)),0,
         IF(OFFSET(CRONOPLE!$F$15,$M182-$A$15,BJ$13)=0,10^12,OFFSET(CRONOPLE!$F$15,$M182-$A$15,BJ$13)))</f>
        <v>8</v>
      </c>
      <c r="BK182" s="171">
        <f ca="1">IF(OR($D182&lt;&gt;"Serviço",AND(AUTOEVENTO="Manual",$M182=$A$15)),0,
         IF(OFFSET(CRONOPLE!$F$15,$M182-$A$15,BK$13)=0,10^12,OFFSET(CRONOPLE!$F$15,$M182-$A$15,BK$13)))</f>
        <v>9</v>
      </c>
      <c r="BL182" s="171">
        <f ca="1">IF(OR($D182&lt;&gt;"Serviço",AND(AUTOEVENTO="Manual",$M182=$A$15)),0,
         IF(OFFSET(CRONOPLE!$F$15,$M182-$A$15,BL$13)=0,10^12,OFFSET(CRONOPLE!$F$15,$M182-$A$15,BL$13)))</f>
        <v>10</v>
      </c>
      <c r="BM182" s="171">
        <f ca="1">IF(OR($D182&lt;&gt;"Serviço",AND(AUTOEVENTO="Manual",$M182=$A$15)),0,
         IF(OFFSET(CRONOPLE!$F$15,$M182-$A$15,BM$13)=0,10^12,OFFSET(CRONOPLE!$F$15,$M182-$A$15,BM$13)))</f>
        <v>1000000000000</v>
      </c>
      <c r="BN182" s="171">
        <f ca="1">IF(OR($D182&lt;&gt;"Serviço",AND(AUTOEVENTO="Manual",$M182=$A$15)),0,
         IF(OFFSET(CRONOPLE!$F$15,$M182-$A$15,BN$13)=0,10^12,OFFSET(CRONOPLE!$F$15,$M182-$A$15,BN$13)))</f>
        <v>1000000000000</v>
      </c>
      <c r="BO182" s="171">
        <f ca="1">IF(OR($D182&lt;&gt;"Serviço",AND(AUTOEVENTO="Manual",$M182=$A$15)),0,
         IF(OFFSET(CRONOPLE!$F$15,$M182-$A$15,BO$13)=0,10^12,OFFSET(CRONOPLE!$F$15,$M182-$A$15,BO$13)))</f>
        <v>1000000000000</v>
      </c>
      <c r="BP182" s="171">
        <f ca="1">IF(OR($D182&lt;&gt;"Serviço",AND(AUTOEVENTO="Manual",$M182=$A$15)),0,
         IF(OFFSET(CRONOPLE!$F$15,$M182-$A$15,BP$13)=0,10^12,OFFSET(CRONOPLE!$F$15,$M182-$A$15,BP$13)))</f>
        <v>1000000000000</v>
      </c>
      <c r="BQ182" s="171">
        <f ca="1">IF(OR($D182&lt;&gt;"Serviço",AND(AUTOEVENTO="Manual",$M182=$A$15)),0,
         IF(OFFSET(CRONOPLE!$F$15,$M182-$A$15,BQ$13)=0,10^12,OFFSET(CRONOPLE!$F$15,$M182-$A$15,BQ$13)))</f>
        <v>1000000000000</v>
      </c>
      <c r="BR182" s="171">
        <f ca="1">IF(OR($D182&lt;&gt;"Serviço",AND(AUTOEVENTO="Manual",$M182=$A$15)),0,
         IF(OFFSET(CRONOPLE!$F$15,$M182-$A$15,BR$13)=0,10^12,OFFSET(CRONOPLE!$F$15,$M182-$A$15,BR$13)))</f>
        <v>1000000000000</v>
      </c>
      <c r="BS182" s="171">
        <f ca="1">IF(OR($D182&lt;&gt;"Serviço",AND(AUTOEVENTO="Manual",$M182=$A$15)),0,
         IF(OFFSET(CRONOPLE!$F$15,$M182-$A$15,BS$13)=0,10^12,OFFSET(CRONOPLE!$F$15,$M182-$A$15,BS$13)))</f>
        <v>1000000000000</v>
      </c>
      <c r="BT182" s="171">
        <f ca="1">IF(OR($D182&lt;&gt;"Serviço",AND(AUTOEVENTO="Manual",$M182=$A$15)),0,
         IF(OFFSET(CRONOPLE!$F$15,$M182-$A$15,BT$13)=0,10^12,OFFSET(CRONOPLE!$F$15,$M182-$A$15,BT$13)))</f>
        <v>1000000000000</v>
      </c>
      <c r="BV182" s="172">
        <f ca="1">IF(OR($D182&lt;&gt;"Serviço",AND(AUTOEVENTO="Manual",$M182=$A$15),$M182&gt;(ROW(PLE.lastrow)-ROW(PLE.firstrow))),0,
           IF(OFFSET(PLE!$G$15,$M182-$A$15,BV$13)="",10^12,OFFSET(PLE!$G$15,$M182-$A$15,BV$13)))</f>
        <v>1000000000000</v>
      </c>
      <c r="BW182" s="172">
        <f ca="1">IF(OR($D182&lt;&gt;"Serviço",AND(AUTOEVENTO="Manual",$M182=$A$15),$M182&gt;(ROW(PLE.lastrow)-ROW(PLE.firstrow))),0,
           IF(OFFSET(PLE!$G$15,$M182-$A$15,BW$13)="",10^12,OFFSET(PLE!$G$15,$M182-$A$15,BW$13)))</f>
        <v>1000000000000</v>
      </c>
      <c r="BX182" s="172">
        <f ca="1">IF(OR($D182&lt;&gt;"Serviço",AND(AUTOEVENTO="Manual",$M182=$A$15),$M182&gt;(ROW(PLE.lastrow)-ROW(PLE.firstrow))),0,
           IF(OFFSET(PLE!$G$15,$M182-$A$15,BX$13)="",10^12,OFFSET(PLE!$G$15,$M182-$A$15,BX$13)))</f>
        <v>1000000000000</v>
      </c>
      <c r="BY182" s="172">
        <f ca="1">IF(OR($D182&lt;&gt;"Serviço",AND(AUTOEVENTO="Manual",$M182=$A$15),$M182&gt;(ROW(PLE.lastrow)-ROW(PLE.firstrow))),0,
           IF(OFFSET(PLE!$G$15,$M182-$A$15,BY$13)="",10^12,OFFSET(PLE!$G$15,$M182-$A$15,BY$13)))</f>
        <v>1000000000000</v>
      </c>
      <c r="BZ182" s="172">
        <f ca="1">IF(OR($D182&lt;&gt;"Serviço",AND(AUTOEVENTO="Manual",$M182=$A$15),$M182&gt;(ROW(PLE.lastrow)-ROW(PLE.firstrow))),0,
           IF(OFFSET(PLE!$G$15,$M182-$A$15,BZ$13)="",10^12,OFFSET(PLE!$G$15,$M182-$A$15,BZ$13)))</f>
        <v>1000000000000</v>
      </c>
      <c r="CA182" s="172">
        <f ca="1">IF(OR($D182&lt;&gt;"Serviço",AND(AUTOEVENTO="Manual",$M182=$A$15),$M182&gt;(ROW(PLE.lastrow)-ROW(PLE.firstrow))),0,
           IF(OFFSET(PLE!$G$15,$M182-$A$15,CA$13)="",10^12,OFFSET(PLE!$G$15,$M182-$A$15,CA$13)))</f>
        <v>1000000000000</v>
      </c>
      <c r="CB182" s="172">
        <f ca="1">IF(OR($D182&lt;&gt;"Serviço",AND(AUTOEVENTO="Manual",$M182=$A$15),$M182&gt;(ROW(PLE.lastrow)-ROW(PLE.firstrow))),0,
           IF(OFFSET(PLE!$G$15,$M182-$A$15,CB$13)="",10^12,OFFSET(PLE!$G$15,$M182-$A$15,CB$13)))</f>
        <v>1000000000000</v>
      </c>
      <c r="CC182" s="172">
        <f ca="1">IF(OR($D182&lt;&gt;"Serviço",AND(AUTOEVENTO="Manual",$M182=$A$15),$M182&gt;(ROW(PLE.lastrow)-ROW(PLE.firstrow))),0,
           IF(OFFSET(PLE!$G$15,$M182-$A$15,CC$13)="",10^12,OFFSET(PLE!$G$15,$M182-$A$15,CC$13)))</f>
        <v>1000000000000</v>
      </c>
      <c r="CD182" s="172">
        <f ca="1">IF(OR($D182&lt;&gt;"Serviço",AND(AUTOEVENTO="Manual",$M182=$A$15),$M182&gt;(ROW(PLE.lastrow)-ROW(PLE.firstrow))),0,
           IF(OFFSET(PLE!$G$15,$M182-$A$15,CD$13)="",10^12,OFFSET(PLE!$G$15,$M182-$A$15,CD$13)))</f>
        <v>1000000000000</v>
      </c>
      <c r="CE182" s="172">
        <f ca="1">IF(OR($D182&lt;&gt;"Serviço",AND(AUTOEVENTO="Manual",$M182=$A$15),$M182&gt;(ROW(PLE.lastrow)-ROW(PLE.firstrow))),0,
           IF(OFFSET(PLE!$G$15,$M182-$A$15,CE$13)="",10^12,OFFSET(PLE!$G$15,$M182-$A$15,CE$13)))</f>
        <v>1000000000000</v>
      </c>
      <c r="CF182" s="172">
        <f ca="1">IF(OR($D182&lt;&gt;"Serviço",AND(AUTOEVENTO="Manual",$M182=$A$15),$M182&gt;(ROW(PLE.lastrow)-ROW(PLE.firstrow))),0,
           IF(OFFSET(PLE!$G$15,$M182-$A$15,CF$13)="",10^12,OFFSET(PLE!$G$15,$M182-$A$15,CF$13)))</f>
        <v>1000000000000</v>
      </c>
      <c r="CG182" s="172">
        <f ca="1">IF(OR($D182&lt;&gt;"Serviço",AND(AUTOEVENTO="Manual",$M182=$A$15),$M182&gt;(ROW(PLE.lastrow)-ROW(PLE.firstrow))),0,
           IF(OFFSET(PLE!$G$15,$M182-$A$15,CG$13)="",10^12,OFFSET(PLE!$G$15,$M182-$A$15,CG$13)))</f>
        <v>1000000000000</v>
      </c>
      <c r="CH182" s="172">
        <f ca="1">IF(OR($D182&lt;&gt;"Serviço",AND(AUTOEVENTO="Manual",$M182=$A$15),$M182&gt;(ROW(PLE.lastrow)-ROW(PLE.firstrow))),0,
           IF(OFFSET(PLE!$G$15,$M182-$A$15,CH$13)="",10^12,OFFSET(PLE!$G$15,$M182-$A$15,CH$13)))</f>
        <v>1000000000000</v>
      </c>
      <c r="CI182" s="172">
        <f ca="1">IF(OR($D182&lt;&gt;"Serviço",AND(AUTOEVENTO="Manual",$M182=$A$15),$M182&gt;(ROW(PLE.lastrow)-ROW(PLE.firstrow))),0,
           IF(OFFSET(PLE!$G$15,$M182-$A$15,CI$13)="",10^12,OFFSET(PLE!$G$15,$M182-$A$15,CI$13)))</f>
        <v>1000000000000</v>
      </c>
      <c r="CJ182" s="172">
        <f ca="1">IF(OR($D182&lt;&gt;"Serviço",AND(AUTOEVENTO="Manual",$M182=$A$15),$M182&gt;(ROW(PLE.lastrow)-ROW(PLE.firstrow))),0,
           IF(OFFSET(PLE!$G$15,$M182-$A$15,CJ$13)="",10^12,OFFSET(PLE!$G$15,$M182-$A$15,CJ$13)))</f>
        <v>1000000000000</v>
      </c>
      <c r="CK182" s="172">
        <f ca="1">IF(OR($D182&lt;&gt;"Serviço",AND(AUTOEVENTO="Manual",$M182=$A$15),$M182&gt;(ROW(PLE.lastrow)-ROW(PLE.firstrow))),0,
           IF(OFFSET(PLE!$G$15,$M182-$A$15,CK$13)="",10^12,OFFSET(PLE!$G$15,$M182-$A$15,CK$13)))</f>
        <v>1000000000000</v>
      </c>
      <c r="CL182" s="172">
        <f ca="1">IF(OR($D182&lt;&gt;"Serviço",AND(AUTOEVENTO="Manual",$M182=$A$15),$M182&gt;(ROW(PLE.lastrow)-ROW(PLE.firstrow))),0,
           IF(OFFSET(PLE!$G$15,$M182-$A$15,CL$13)="",10^12,OFFSET(PLE!$G$15,$M182-$A$15,CL$13)))</f>
        <v>1000000000000</v>
      </c>
      <c r="CM182" s="172">
        <f ca="1">IF(OR($D182&lt;&gt;"Serviço",AND(AUTOEVENTO="Manual",$M182=$A$15),$M182&gt;(ROW(PLE.lastrow)-ROW(PLE.firstrow))),0,
           IF(OFFSET(PLE!$G$15,$M182-$A$15,CM$13)="",10^12,OFFSET(PLE!$G$15,$M182-$A$15,CM$13)))</f>
        <v>1000000000000</v>
      </c>
    </row>
    <row r="183" spans="1:91" ht="38.25" x14ac:dyDescent="0.2">
      <c r="A183" s="7">
        <f t="shared" ca="1" si="12"/>
        <v>4</v>
      </c>
      <c r="B183" s="7" t="str">
        <f ca="1">OFFSET(ORÇAMENTO!C$15,ROW(B183)-ROW(B$15),0)</f>
        <v>S</v>
      </c>
      <c r="C183" s="7" t="str">
        <f ca="1">OFFSET(ORÇAMENTO!L$15,ROW(C183)-ROW(C$15),0)</f>
        <v>F</v>
      </c>
      <c r="D183" s="116" t="str">
        <f ca="1">OFFSET(ORÇAMENTO!N$15,ROW(D183)-ROW(D$15),0)</f>
        <v>Serviço</v>
      </c>
      <c r="E183" s="117" t="str">
        <f ca="1">OFFSET(ORÇAMENTO!O$15,ROW(E183)-ROW(E$15),0)</f>
        <v>1.5.5.3.10.</v>
      </c>
      <c r="F183" s="163" t="str">
        <f ca="1">OFFSET(ORÇAMENTO!R$15,ROW(F183)-ROW(F$15),0)</f>
        <v>REATERRO MANUAL DE VALAS, COM COMPACTADOR DE SOLOS DE PERCUSSÃO. AF_08/2023</v>
      </c>
      <c r="G183" s="164" t="str">
        <f ca="1">IF($D183&lt;&gt;"Serviço","",OFFSET(ORÇAMENTO!S$15,ROW(G183)-ROW(G$15),0))</f>
        <v>M3</v>
      </c>
      <c r="H183" s="122" cm="1">
        <f t="array" aca="1" ref="H183" ca="1">IF($D183&lt;&gt;"Serviço",0,IF(ACOMPANHAMENTO="BM",ROUND(OFFSET(ORÇAMENTO!AJ$15,ROW(H183)-ROW(H$15),0),15-13*ORÇAMENTO!$AF$7),SUMPRODUCT(($Q$1:$AI$1=1)*ROUND($Q183:$AI183,15-13*ORÇAMENTO!$AF$7))))</f>
        <v>4.59</v>
      </c>
      <c r="I183" s="468" t="s">
        <v>1441</v>
      </c>
      <c r="J183" s="640" t="str" cm="1">
        <f t="array" aca="1" ref="J183" ca="1">IF(OR(B183&lt;&gt;"S",CÁLCULO.FrentesPreenchidas=0),"",IF(AND(ACOMPANHAMENTO="PLE",AUTOEVENTO="Manual",OR(H183&gt;0,ORÇAMENTO!AC183="QUANT."),OR(K183="",M183=0,N183="")),"►E",IF(AND(ACOMPANHAMENTO="PLE",ORÇAMENTO!AC183="QUANT."),"►Q",IF(AND(ACOMPANHAMENTO="PLE",H183&lt;&gt;SUMPRODUCT(($Q$1:$AI$1=1)*ROUND(Q183:AI183,15))),"►S",IF(AND(COUNTIF($P$11:$AI$11,"▼")=0,H183&gt;0,I183=""),"◄M","")))))</f>
        <v/>
      </c>
      <c r="K183" s="641" t="s">
        <v>1389</v>
      </c>
      <c r="L183" s="165" t="s">
        <v>764</v>
      </c>
      <c r="M183" s="166">
        <f ca="1">IF($D183&lt;&gt;"Serviço","",
          IF(AUTOEVENTO="manual",$A183,
                IF(ISERROR(MATCH($A183,$A$15:OFFSET($A183,-1,0),0)),MAX($M$15:OFFSET(M183,-1,0))+1,
                      INDEX($M$15:OFFSET(M183,-1,0),MATCH($A183,$A$15:OFFSET($A183,-1,0),0)))))</f>
        <v>4</v>
      </c>
      <c r="N183" s="167" t="str">
        <f ca="1">IF($D183&lt;&gt;"Serviço","",
         IF(AUTOEVENTO="Manual",
                IF($A183=0,"&lt;-- defina o número do agrupador",
                       OFFSET(EVENTOS!$D$15,$A183-$A$15,0)),
                OFFSET($F$15,$A183,0)))</f>
        <v>Estruturas de Concreto</v>
      </c>
      <c r="O183" s="168"/>
      <c r="Q183" s="168"/>
      <c r="R183" s="169"/>
      <c r="S183" s="169"/>
      <c r="T183" s="169"/>
      <c r="U183" s="169"/>
      <c r="V183" s="169">
        <v>4.59</v>
      </c>
      <c r="W183" s="169"/>
      <c r="X183" s="169"/>
      <c r="Y183" s="169"/>
      <c r="Z183" s="170"/>
      <c r="AA183" s="169"/>
      <c r="AB183" s="169"/>
      <c r="AC183" s="169"/>
      <c r="AD183" s="169"/>
      <c r="AE183" s="169"/>
      <c r="AF183" s="169"/>
      <c r="AG183" s="169"/>
      <c r="AH183" s="170"/>
      <c r="AJ183" s="453">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0</v>
      </c>
      <c r="AK183" s="453">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0</v>
      </c>
      <c r="AL183" s="453">
        <f ca="1">IF(AND($D183="Serviço",AL$12&lt;&gt;0,$H183&gt;0,OR(AUTOEVENTO&lt;&gt;"manual",$M183&lt;&gt;$A$15)),
        IF(Import.TipoArredondamento&lt;&gt;"TransfereGOV",
              ROUND(OFFSET($P183,0,AL$13),15-13*ORÇAMENTO!$AF$7)/$H183*OFFSET(ORÇAMENTO!$X$15,ROW(AL183)-ROW(AL$15),0),
              ROUND(ROUND(OFFSET($P183,0,AL$13),15-13*ORÇAMENTO!$AF$7)*OFFSET(ORÇAMENTO!$W$15,ROW(AL183)-ROW(AL$15),0),15-13*ORÇAMENTO!$AF$11)),
         0)</f>
        <v>0</v>
      </c>
      <c r="AM183" s="453">
        <f ca="1">IF(AND($D183="Serviço",AM$12&lt;&gt;0,$H183&gt;0,OR(AUTOEVENTO&lt;&gt;"manual",$M183&lt;&gt;$A$15)),
        IF(Import.TipoArredondamento&lt;&gt;"TransfereGOV",
              ROUND(OFFSET($P183,0,AM$13),15-13*ORÇAMENTO!$AF$7)/$H183*OFFSET(ORÇAMENTO!$X$15,ROW(AM183)-ROW(AM$15),0),
              ROUND(ROUND(OFFSET($P183,0,AM$13),15-13*ORÇAMENTO!$AF$7)*OFFSET(ORÇAMENTO!$W$15,ROW(AM183)-ROW(AM$15),0),15-13*ORÇAMENTO!$AF$11)),
         0)</f>
        <v>0</v>
      </c>
      <c r="AN183" s="453">
        <f ca="1">IF(AND($D183="Serviço",AN$12&lt;&gt;0,$H183&gt;0,OR(AUTOEVENTO&lt;&gt;"manual",$M183&lt;&gt;$A$15)),
        IF(Import.TipoArredondamento&lt;&gt;"TransfereGOV",
              ROUND(OFFSET($P183,0,AN$13),15-13*ORÇAMENTO!$AF$7)/$H183*OFFSET(ORÇAMENTO!$X$15,ROW(AN183)-ROW(AN$15),0),
              ROUND(ROUND(OFFSET($P183,0,AN$13),15-13*ORÇAMENTO!$AF$7)*OFFSET(ORÇAMENTO!$W$15,ROW(AN183)-ROW(AN$15),0),15-13*ORÇAMENTO!$AF$11)),
         0)</f>
        <v>0</v>
      </c>
      <c r="AO183" s="453">
        <f ca="1">IF(AND($D183="Serviço",AO$12&lt;&gt;0,$H183&gt;0,OR(AUTOEVENTO&lt;&gt;"manual",$M183&lt;&gt;$A$15)),
        IF(Import.TipoArredondamento&lt;&gt;"TransfereGOV",
              ROUND(OFFSET($P183,0,AO$13),15-13*ORÇAMENTO!$AF$7)/$H183*OFFSET(ORÇAMENTO!$X$15,ROW(AO183)-ROW(AO$15),0),
              ROUND(ROUND(OFFSET($P183,0,AO$13),15-13*ORÇAMENTO!$AF$7)*OFFSET(ORÇAMENTO!$W$15,ROW(AO183)-ROW(AO$15),0),15-13*ORÇAMENTO!$AF$11)),
         0)</f>
        <v>0</v>
      </c>
      <c r="AP183" s="453">
        <f ca="1">IF(AND($D183="Serviço",AP$12&lt;&gt;0,$H183&gt;0,OR(AUTOEVENTO&lt;&gt;"manual",$M183&lt;&gt;$A$15)),
        IF(Import.TipoArredondamento&lt;&gt;"TransfereGOV",
              ROUND(OFFSET($P183,0,AP$13),15-13*ORÇAMENTO!$AF$7)/$H183*OFFSET(ORÇAMENTO!$X$15,ROW(AP183)-ROW(AP$15),0),
              ROUND(ROUND(OFFSET($P183,0,AP$13),15-13*ORÇAMENTO!$AF$7)*OFFSET(ORÇAMENTO!$W$15,ROW(AP183)-ROW(AP$15),0),15-13*ORÇAMENTO!$AF$11)),
         0)</f>
        <v>0</v>
      </c>
      <c r="AQ183" s="453">
        <f ca="1">IF(AND($D183="Serviço",AQ$12&lt;&gt;0,$H183&gt;0,OR(AUTOEVENTO&lt;&gt;"manual",$M183&lt;&gt;$A$15)),
        IF(Import.TipoArredondamento&lt;&gt;"TransfereGOV",
              ROUND(OFFSET($P183,0,AQ$13),15-13*ORÇAMENTO!$AF$7)/$H183*OFFSET(ORÇAMENTO!$X$15,ROW(AQ183)-ROW(AQ$15),0),
              ROUND(ROUND(OFFSET($P183,0,AQ$13),15-13*ORÇAMENTO!$AF$7)*OFFSET(ORÇAMENTO!$W$15,ROW(AQ183)-ROW(AQ$15),0),15-13*ORÇAMENTO!$AF$11)),
         0)</f>
        <v>0</v>
      </c>
      <c r="AR183" s="453">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0</v>
      </c>
      <c r="AS183" s="453">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0</v>
      </c>
      <c r="AT183" s="453">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0</v>
      </c>
      <c r="AU183" s="453">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0</v>
      </c>
      <c r="AV183" s="453">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0</v>
      </c>
      <c r="AW183" s="453">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0</v>
      </c>
      <c r="AX183" s="453">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0</v>
      </c>
      <c r="AY183" s="453">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0</v>
      </c>
      <c r="AZ183" s="453">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0</v>
      </c>
      <c r="BA183" s="453">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0</v>
      </c>
      <c r="BC183" s="171">
        <f ca="1">IF(OR($D183&lt;&gt;"Serviço",AND(AUTOEVENTO="Manual",$M183=$A$15)),0,
         IF(OFFSET(CRONOPLE!$F$15,$M183-$A$15,BC$13)=0,10^12,OFFSET(CRONOPLE!$F$15,$M183-$A$15,BC$13)))</f>
        <v>1</v>
      </c>
      <c r="BD183" s="171">
        <f ca="1">IF(OR($D183&lt;&gt;"Serviço",AND(AUTOEVENTO="Manual",$M183=$A$15)),0,
         IF(OFFSET(CRONOPLE!$F$15,$M183-$A$15,BD$13)=0,10^12,OFFSET(CRONOPLE!$F$15,$M183-$A$15,BD$13)))</f>
        <v>2</v>
      </c>
      <c r="BE183" s="171">
        <f ca="1">IF(OR($D183&lt;&gt;"Serviço",AND(AUTOEVENTO="Manual",$M183=$A$15)),0,
         IF(OFFSET(CRONOPLE!$F$15,$M183-$A$15,BE$13)=0,10^12,OFFSET(CRONOPLE!$F$15,$M183-$A$15,BE$13)))</f>
        <v>3</v>
      </c>
      <c r="BF183" s="171">
        <f ca="1">IF(OR($D183&lt;&gt;"Serviço",AND(AUTOEVENTO="Manual",$M183=$A$15)),0,
         IF(OFFSET(CRONOPLE!$F$15,$M183-$A$15,BF$13)=0,10^12,OFFSET(CRONOPLE!$F$15,$M183-$A$15,BF$13)))</f>
        <v>4</v>
      </c>
      <c r="BG183" s="171">
        <f ca="1">IF(OR($D183&lt;&gt;"Serviço",AND(AUTOEVENTO="Manual",$M183=$A$15)),0,
         IF(OFFSET(CRONOPLE!$F$15,$M183-$A$15,BG$13)=0,10^12,OFFSET(CRONOPLE!$F$15,$M183-$A$15,BG$13)))</f>
        <v>5</v>
      </c>
      <c r="BH183" s="171">
        <f ca="1">IF(OR($D183&lt;&gt;"Serviço",AND(AUTOEVENTO="Manual",$M183=$A$15)),0,
         IF(OFFSET(CRONOPLE!$F$15,$M183-$A$15,BH$13)=0,10^12,OFFSET(CRONOPLE!$F$15,$M183-$A$15,BH$13)))</f>
        <v>6</v>
      </c>
      <c r="BI183" s="171">
        <f ca="1">IF(OR($D183&lt;&gt;"Serviço",AND(AUTOEVENTO="Manual",$M183=$A$15)),0,
         IF(OFFSET(CRONOPLE!$F$15,$M183-$A$15,BI$13)=0,10^12,OFFSET(CRONOPLE!$F$15,$M183-$A$15,BI$13)))</f>
        <v>7</v>
      </c>
      <c r="BJ183" s="171">
        <f ca="1">IF(OR($D183&lt;&gt;"Serviço",AND(AUTOEVENTO="Manual",$M183=$A$15)),0,
         IF(OFFSET(CRONOPLE!$F$15,$M183-$A$15,BJ$13)=0,10^12,OFFSET(CRONOPLE!$F$15,$M183-$A$15,BJ$13)))</f>
        <v>8</v>
      </c>
      <c r="BK183" s="171">
        <f ca="1">IF(OR($D183&lt;&gt;"Serviço",AND(AUTOEVENTO="Manual",$M183=$A$15)),0,
         IF(OFFSET(CRONOPLE!$F$15,$M183-$A$15,BK$13)=0,10^12,OFFSET(CRONOPLE!$F$15,$M183-$A$15,BK$13)))</f>
        <v>9</v>
      </c>
      <c r="BL183" s="171">
        <f ca="1">IF(OR($D183&lt;&gt;"Serviço",AND(AUTOEVENTO="Manual",$M183=$A$15)),0,
         IF(OFFSET(CRONOPLE!$F$15,$M183-$A$15,BL$13)=0,10^12,OFFSET(CRONOPLE!$F$15,$M183-$A$15,BL$13)))</f>
        <v>10</v>
      </c>
      <c r="BM183" s="171">
        <f ca="1">IF(OR($D183&lt;&gt;"Serviço",AND(AUTOEVENTO="Manual",$M183=$A$15)),0,
         IF(OFFSET(CRONOPLE!$F$15,$M183-$A$15,BM$13)=0,10^12,OFFSET(CRONOPLE!$F$15,$M183-$A$15,BM$13)))</f>
        <v>1000000000000</v>
      </c>
      <c r="BN183" s="171">
        <f ca="1">IF(OR($D183&lt;&gt;"Serviço",AND(AUTOEVENTO="Manual",$M183=$A$15)),0,
         IF(OFFSET(CRONOPLE!$F$15,$M183-$A$15,BN$13)=0,10^12,OFFSET(CRONOPLE!$F$15,$M183-$A$15,BN$13)))</f>
        <v>1000000000000</v>
      </c>
      <c r="BO183" s="171">
        <f ca="1">IF(OR($D183&lt;&gt;"Serviço",AND(AUTOEVENTO="Manual",$M183=$A$15)),0,
         IF(OFFSET(CRONOPLE!$F$15,$M183-$A$15,BO$13)=0,10^12,OFFSET(CRONOPLE!$F$15,$M183-$A$15,BO$13)))</f>
        <v>1000000000000</v>
      </c>
      <c r="BP183" s="171">
        <f ca="1">IF(OR($D183&lt;&gt;"Serviço",AND(AUTOEVENTO="Manual",$M183=$A$15)),0,
         IF(OFFSET(CRONOPLE!$F$15,$M183-$A$15,BP$13)=0,10^12,OFFSET(CRONOPLE!$F$15,$M183-$A$15,BP$13)))</f>
        <v>1000000000000</v>
      </c>
      <c r="BQ183" s="171">
        <f ca="1">IF(OR($D183&lt;&gt;"Serviço",AND(AUTOEVENTO="Manual",$M183=$A$15)),0,
         IF(OFFSET(CRONOPLE!$F$15,$M183-$A$15,BQ$13)=0,10^12,OFFSET(CRONOPLE!$F$15,$M183-$A$15,BQ$13)))</f>
        <v>1000000000000</v>
      </c>
      <c r="BR183" s="171">
        <f ca="1">IF(OR($D183&lt;&gt;"Serviço",AND(AUTOEVENTO="Manual",$M183=$A$15)),0,
         IF(OFFSET(CRONOPLE!$F$15,$M183-$A$15,BR$13)=0,10^12,OFFSET(CRONOPLE!$F$15,$M183-$A$15,BR$13)))</f>
        <v>1000000000000</v>
      </c>
      <c r="BS183" s="171">
        <f ca="1">IF(OR($D183&lt;&gt;"Serviço",AND(AUTOEVENTO="Manual",$M183=$A$15)),0,
         IF(OFFSET(CRONOPLE!$F$15,$M183-$A$15,BS$13)=0,10^12,OFFSET(CRONOPLE!$F$15,$M183-$A$15,BS$13)))</f>
        <v>1000000000000</v>
      </c>
      <c r="BT183" s="171">
        <f ca="1">IF(OR($D183&lt;&gt;"Serviço",AND(AUTOEVENTO="Manual",$M183=$A$15)),0,
         IF(OFFSET(CRONOPLE!$F$15,$M183-$A$15,BT$13)=0,10^12,OFFSET(CRONOPLE!$F$15,$M183-$A$15,BT$13)))</f>
        <v>1000000000000</v>
      </c>
      <c r="BV183" s="172">
        <f ca="1">IF(OR($D183&lt;&gt;"Serviço",AND(AUTOEVENTO="Manual",$M183=$A$15),$M183&gt;(ROW(PLE.lastrow)-ROW(PLE.firstrow))),0,
           IF(OFFSET(PLE!$G$15,$M183-$A$15,BV$13)="",10^12,OFFSET(PLE!$G$15,$M183-$A$15,BV$13)))</f>
        <v>1000000000000</v>
      </c>
      <c r="BW183" s="172">
        <f ca="1">IF(OR($D183&lt;&gt;"Serviço",AND(AUTOEVENTO="Manual",$M183=$A$15),$M183&gt;(ROW(PLE.lastrow)-ROW(PLE.firstrow))),0,
           IF(OFFSET(PLE!$G$15,$M183-$A$15,BW$13)="",10^12,OFFSET(PLE!$G$15,$M183-$A$15,BW$13)))</f>
        <v>1000000000000</v>
      </c>
      <c r="BX183" s="172">
        <f ca="1">IF(OR($D183&lt;&gt;"Serviço",AND(AUTOEVENTO="Manual",$M183=$A$15),$M183&gt;(ROW(PLE.lastrow)-ROW(PLE.firstrow))),0,
           IF(OFFSET(PLE!$G$15,$M183-$A$15,BX$13)="",10^12,OFFSET(PLE!$G$15,$M183-$A$15,BX$13)))</f>
        <v>1000000000000</v>
      </c>
      <c r="BY183" s="172">
        <f ca="1">IF(OR($D183&lt;&gt;"Serviço",AND(AUTOEVENTO="Manual",$M183=$A$15),$M183&gt;(ROW(PLE.lastrow)-ROW(PLE.firstrow))),0,
           IF(OFFSET(PLE!$G$15,$M183-$A$15,BY$13)="",10^12,OFFSET(PLE!$G$15,$M183-$A$15,BY$13)))</f>
        <v>1000000000000</v>
      </c>
      <c r="BZ183" s="172">
        <f ca="1">IF(OR($D183&lt;&gt;"Serviço",AND(AUTOEVENTO="Manual",$M183=$A$15),$M183&gt;(ROW(PLE.lastrow)-ROW(PLE.firstrow))),0,
           IF(OFFSET(PLE!$G$15,$M183-$A$15,BZ$13)="",10^12,OFFSET(PLE!$G$15,$M183-$A$15,BZ$13)))</f>
        <v>1000000000000</v>
      </c>
      <c r="CA183" s="172">
        <f ca="1">IF(OR($D183&lt;&gt;"Serviço",AND(AUTOEVENTO="Manual",$M183=$A$15),$M183&gt;(ROW(PLE.lastrow)-ROW(PLE.firstrow))),0,
           IF(OFFSET(PLE!$G$15,$M183-$A$15,CA$13)="",10^12,OFFSET(PLE!$G$15,$M183-$A$15,CA$13)))</f>
        <v>1000000000000</v>
      </c>
      <c r="CB183" s="172">
        <f ca="1">IF(OR($D183&lt;&gt;"Serviço",AND(AUTOEVENTO="Manual",$M183=$A$15),$M183&gt;(ROW(PLE.lastrow)-ROW(PLE.firstrow))),0,
           IF(OFFSET(PLE!$G$15,$M183-$A$15,CB$13)="",10^12,OFFSET(PLE!$G$15,$M183-$A$15,CB$13)))</f>
        <v>1000000000000</v>
      </c>
      <c r="CC183" s="172">
        <f ca="1">IF(OR($D183&lt;&gt;"Serviço",AND(AUTOEVENTO="Manual",$M183=$A$15),$M183&gt;(ROW(PLE.lastrow)-ROW(PLE.firstrow))),0,
           IF(OFFSET(PLE!$G$15,$M183-$A$15,CC$13)="",10^12,OFFSET(PLE!$G$15,$M183-$A$15,CC$13)))</f>
        <v>1000000000000</v>
      </c>
      <c r="CD183" s="172">
        <f ca="1">IF(OR($D183&lt;&gt;"Serviço",AND(AUTOEVENTO="Manual",$M183=$A$15),$M183&gt;(ROW(PLE.lastrow)-ROW(PLE.firstrow))),0,
           IF(OFFSET(PLE!$G$15,$M183-$A$15,CD$13)="",10^12,OFFSET(PLE!$G$15,$M183-$A$15,CD$13)))</f>
        <v>1000000000000</v>
      </c>
      <c r="CE183" s="172">
        <f ca="1">IF(OR($D183&lt;&gt;"Serviço",AND(AUTOEVENTO="Manual",$M183=$A$15),$M183&gt;(ROW(PLE.lastrow)-ROW(PLE.firstrow))),0,
           IF(OFFSET(PLE!$G$15,$M183-$A$15,CE$13)="",10^12,OFFSET(PLE!$G$15,$M183-$A$15,CE$13)))</f>
        <v>1000000000000</v>
      </c>
      <c r="CF183" s="172">
        <f ca="1">IF(OR($D183&lt;&gt;"Serviço",AND(AUTOEVENTO="Manual",$M183=$A$15),$M183&gt;(ROW(PLE.lastrow)-ROW(PLE.firstrow))),0,
           IF(OFFSET(PLE!$G$15,$M183-$A$15,CF$13)="",10^12,OFFSET(PLE!$G$15,$M183-$A$15,CF$13)))</f>
        <v>1000000000000</v>
      </c>
      <c r="CG183" s="172">
        <f ca="1">IF(OR($D183&lt;&gt;"Serviço",AND(AUTOEVENTO="Manual",$M183=$A$15),$M183&gt;(ROW(PLE.lastrow)-ROW(PLE.firstrow))),0,
           IF(OFFSET(PLE!$G$15,$M183-$A$15,CG$13)="",10^12,OFFSET(PLE!$G$15,$M183-$A$15,CG$13)))</f>
        <v>1000000000000</v>
      </c>
      <c r="CH183" s="172">
        <f ca="1">IF(OR($D183&lt;&gt;"Serviço",AND(AUTOEVENTO="Manual",$M183=$A$15),$M183&gt;(ROW(PLE.lastrow)-ROW(PLE.firstrow))),0,
           IF(OFFSET(PLE!$G$15,$M183-$A$15,CH$13)="",10^12,OFFSET(PLE!$G$15,$M183-$A$15,CH$13)))</f>
        <v>1000000000000</v>
      </c>
      <c r="CI183" s="172">
        <f ca="1">IF(OR($D183&lt;&gt;"Serviço",AND(AUTOEVENTO="Manual",$M183=$A$15),$M183&gt;(ROW(PLE.lastrow)-ROW(PLE.firstrow))),0,
           IF(OFFSET(PLE!$G$15,$M183-$A$15,CI$13)="",10^12,OFFSET(PLE!$G$15,$M183-$A$15,CI$13)))</f>
        <v>1000000000000</v>
      </c>
      <c r="CJ183" s="172">
        <f ca="1">IF(OR($D183&lt;&gt;"Serviço",AND(AUTOEVENTO="Manual",$M183=$A$15),$M183&gt;(ROW(PLE.lastrow)-ROW(PLE.firstrow))),0,
           IF(OFFSET(PLE!$G$15,$M183-$A$15,CJ$13)="",10^12,OFFSET(PLE!$G$15,$M183-$A$15,CJ$13)))</f>
        <v>1000000000000</v>
      </c>
      <c r="CK183" s="172">
        <f ca="1">IF(OR($D183&lt;&gt;"Serviço",AND(AUTOEVENTO="Manual",$M183=$A$15),$M183&gt;(ROW(PLE.lastrow)-ROW(PLE.firstrow))),0,
           IF(OFFSET(PLE!$G$15,$M183-$A$15,CK$13)="",10^12,OFFSET(PLE!$G$15,$M183-$A$15,CK$13)))</f>
        <v>1000000000000</v>
      </c>
      <c r="CL183" s="172">
        <f ca="1">IF(OR($D183&lt;&gt;"Serviço",AND(AUTOEVENTO="Manual",$M183=$A$15),$M183&gt;(ROW(PLE.lastrow)-ROW(PLE.firstrow))),0,
           IF(OFFSET(PLE!$G$15,$M183-$A$15,CL$13)="",10^12,OFFSET(PLE!$G$15,$M183-$A$15,CL$13)))</f>
        <v>1000000000000</v>
      </c>
      <c r="CM183" s="172">
        <f ca="1">IF(OR($D183&lt;&gt;"Serviço",AND(AUTOEVENTO="Manual",$M183=$A$15),$M183&gt;(ROW(PLE.lastrow)-ROW(PLE.firstrow))),0,
           IF(OFFSET(PLE!$G$15,$M183-$A$15,CM$13)="",10^12,OFFSET(PLE!$G$15,$M183-$A$15,CM$13)))</f>
        <v>1000000000000</v>
      </c>
    </row>
    <row r="184" spans="1:91" ht="51" x14ac:dyDescent="0.2">
      <c r="A184" s="7">
        <f t="shared" ca="1" si="12"/>
        <v>4</v>
      </c>
      <c r="B184" s="7" t="str">
        <f ca="1">OFFSET(ORÇAMENTO!C$15,ROW(B184)-ROW(B$15),0)</f>
        <v>S</v>
      </c>
      <c r="C184" s="7" t="str">
        <f ca="1">OFFSET(ORÇAMENTO!L$15,ROW(C184)-ROW(C$15),0)</f>
        <v>F</v>
      </c>
      <c r="D184" s="116" t="str">
        <f ca="1">OFFSET(ORÇAMENTO!N$15,ROW(D184)-ROW(D$15),0)</f>
        <v>Serviço</v>
      </c>
      <c r="E184" s="117" t="str">
        <f ca="1">OFFSET(ORÇAMENTO!O$15,ROW(E184)-ROW(E$15),0)</f>
        <v>1.5.5.3.11.</v>
      </c>
      <c r="F184" s="163" t="str">
        <f ca="1">OFFSET(ORÇAMENTO!R$15,ROW(F184)-ROW(F$15),0)</f>
        <v>CARGA, MANOBRA E DESCARGA DE SOLOS E MATERIAIS GRANULARES EM CAMINHÃO BASCULANTE 18 M³ - CARGA COM ESCAVADEIRA HIDRÁULICA (CAÇAMBA DE 1,20 M³ / 155 HP) E DESCARGA LIVRE (UNIDADE: M3). AF_07/2020</v>
      </c>
      <c r="G184" s="164" t="str">
        <f ca="1">IF($D184&lt;&gt;"Serviço","",OFFSET(ORÇAMENTO!S$15,ROW(G184)-ROW(G$15),0))</f>
        <v>M3</v>
      </c>
      <c r="H184" s="122" cm="1">
        <f t="array" aca="1" ref="H184" ca="1">IF($D184&lt;&gt;"Serviço",0,IF(ACOMPANHAMENTO="BM",ROUND(OFFSET(ORÇAMENTO!AJ$15,ROW(H184)-ROW(H$15),0),15-13*ORÇAMENTO!$AF$7),SUMPRODUCT(($Q$1:$AI$1=1)*ROUND($Q184:$AI184,15-13*ORÇAMENTO!$AF$7))))</f>
        <v>1.47</v>
      </c>
      <c r="I184" s="468" t="s">
        <v>1441</v>
      </c>
      <c r="J184" s="640" t="str" cm="1">
        <f t="array" aca="1" ref="J184" ca="1">IF(OR(B184&lt;&gt;"S",CÁLCULO.FrentesPreenchidas=0),"",IF(AND(ACOMPANHAMENTO="PLE",AUTOEVENTO="Manual",OR(H184&gt;0,ORÇAMENTO!AC184="QUANT."),OR(K184="",M184=0,N184="")),"►E",IF(AND(ACOMPANHAMENTO="PLE",ORÇAMENTO!AC184="QUANT."),"►Q",IF(AND(ACOMPANHAMENTO="PLE",H184&lt;&gt;SUMPRODUCT(($Q$1:$AI$1=1)*ROUND(Q184:AI184,15))),"►S",IF(AND(COUNTIF($P$11:$AI$11,"▼")=0,H184&gt;0,I184=""),"◄M","")))))</f>
        <v/>
      </c>
      <c r="K184" s="641" t="s">
        <v>1389</v>
      </c>
      <c r="L184" s="165" t="s">
        <v>764</v>
      </c>
      <c r="M184" s="166">
        <f ca="1">IF($D184&lt;&gt;"Serviço","",
          IF(AUTOEVENTO="manual",$A184,
                IF(ISERROR(MATCH($A184,$A$15:OFFSET($A184,-1,0),0)),MAX($M$15:OFFSET(M184,-1,0))+1,
                      INDEX($M$15:OFFSET(M184,-1,0),MATCH($A184,$A$15:OFFSET($A184,-1,0),0)))))</f>
        <v>4</v>
      </c>
      <c r="N184" s="167" t="str">
        <f ca="1">IF($D184&lt;&gt;"Serviço","",
         IF(AUTOEVENTO="Manual",
                IF($A184=0,"&lt;-- defina o número do agrupador",
                       OFFSET(EVENTOS!$D$15,$A184-$A$15,0)),
                OFFSET($F$15,$A184,0)))</f>
        <v>Estruturas de Concreto</v>
      </c>
      <c r="O184" s="168"/>
      <c r="Q184" s="168"/>
      <c r="R184" s="169"/>
      <c r="S184" s="169"/>
      <c r="T184" s="169"/>
      <c r="U184" s="169"/>
      <c r="V184" s="169">
        <v>1.47</v>
      </c>
      <c r="W184" s="169"/>
      <c r="X184" s="169"/>
      <c r="Y184" s="169"/>
      <c r="Z184" s="170"/>
      <c r="AA184" s="169"/>
      <c r="AB184" s="169"/>
      <c r="AC184" s="169"/>
      <c r="AD184" s="169"/>
      <c r="AE184" s="169"/>
      <c r="AF184" s="169"/>
      <c r="AG184" s="169"/>
      <c r="AH184" s="170"/>
      <c r="AJ184" s="453">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0</v>
      </c>
      <c r="AK184" s="453">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0</v>
      </c>
      <c r="AL184" s="453">
        <f ca="1">IF(AND($D184="Serviço",AL$12&lt;&gt;0,$H184&gt;0,OR(AUTOEVENTO&lt;&gt;"manual",$M184&lt;&gt;$A$15)),
        IF(Import.TipoArredondamento&lt;&gt;"TransfereGOV",
              ROUND(OFFSET($P184,0,AL$13),15-13*ORÇAMENTO!$AF$7)/$H184*OFFSET(ORÇAMENTO!$X$15,ROW(AL184)-ROW(AL$15),0),
              ROUND(ROUND(OFFSET($P184,0,AL$13),15-13*ORÇAMENTO!$AF$7)*OFFSET(ORÇAMENTO!$W$15,ROW(AL184)-ROW(AL$15),0),15-13*ORÇAMENTO!$AF$11)),
         0)</f>
        <v>0</v>
      </c>
      <c r="AM184" s="453">
        <f ca="1">IF(AND($D184="Serviço",AM$12&lt;&gt;0,$H184&gt;0,OR(AUTOEVENTO&lt;&gt;"manual",$M184&lt;&gt;$A$15)),
        IF(Import.TipoArredondamento&lt;&gt;"TransfereGOV",
              ROUND(OFFSET($P184,0,AM$13),15-13*ORÇAMENTO!$AF$7)/$H184*OFFSET(ORÇAMENTO!$X$15,ROW(AM184)-ROW(AM$15),0),
              ROUND(ROUND(OFFSET($P184,0,AM$13),15-13*ORÇAMENTO!$AF$7)*OFFSET(ORÇAMENTO!$W$15,ROW(AM184)-ROW(AM$15),0),15-13*ORÇAMENTO!$AF$11)),
         0)</f>
        <v>0</v>
      </c>
      <c r="AN184" s="453">
        <f ca="1">IF(AND($D184="Serviço",AN$12&lt;&gt;0,$H184&gt;0,OR(AUTOEVENTO&lt;&gt;"manual",$M184&lt;&gt;$A$15)),
        IF(Import.TipoArredondamento&lt;&gt;"TransfereGOV",
              ROUND(OFFSET($P184,0,AN$13),15-13*ORÇAMENTO!$AF$7)/$H184*OFFSET(ORÇAMENTO!$X$15,ROW(AN184)-ROW(AN$15),0),
              ROUND(ROUND(OFFSET($P184,0,AN$13),15-13*ORÇAMENTO!$AF$7)*OFFSET(ORÇAMENTO!$W$15,ROW(AN184)-ROW(AN$15),0),15-13*ORÇAMENTO!$AF$11)),
         0)</f>
        <v>0</v>
      </c>
      <c r="AO184" s="453">
        <f ca="1">IF(AND($D184="Serviço",AO$12&lt;&gt;0,$H184&gt;0,OR(AUTOEVENTO&lt;&gt;"manual",$M184&lt;&gt;$A$15)),
        IF(Import.TipoArredondamento&lt;&gt;"TransfereGOV",
              ROUND(OFFSET($P184,0,AO$13),15-13*ORÇAMENTO!$AF$7)/$H184*OFFSET(ORÇAMENTO!$X$15,ROW(AO184)-ROW(AO$15),0),
              ROUND(ROUND(OFFSET($P184,0,AO$13),15-13*ORÇAMENTO!$AF$7)*OFFSET(ORÇAMENTO!$W$15,ROW(AO184)-ROW(AO$15),0),15-13*ORÇAMENTO!$AF$11)),
         0)</f>
        <v>0</v>
      </c>
      <c r="AP184" s="453">
        <f ca="1">IF(AND($D184="Serviço",AP$12&lt;&gt;0,$H184&gt;0,OR(AUTOEVENTO&lt;&gt;"manual",$M184&lt;&gt;$A$15)),
        IF(Import.TipoArredondamento&lt;&gt;"TransfereGOV",
              ROUND(OFFSET($P184,0,AP$13),15-13*ORÇAMENTO!$AF$7)/$H184*OFFSET(ORÇAMENTO!$X$15,ROW(AP184)-ROW(AP$15),0),
              ROUND(ROUND(OFFSET($P184,0,AP$13),15-13*ORÇAMENTO!$AF$7)*OFFSET(ORÇAMENTO!$W$15,ROW(AP184)-ROW(AP$15),0),15-13*ORÇAMENTO!$AF$11)),
         0)</f>
        <v>0</v>
      </c>
      <c r="AQ184" s="453">
        <f ca="1">IF(AND($D184="Serviço",AQ$12&lt;&gt;0,$H184&gt;0,OR(AUTOEVENTO&lt;&gt;"manual",$M184&lt;&gt;$A$15)),
        IF(Import.TipoArredondamento&lt;&gt;"TransfereGOV",
              ROUND(OFFSET($P184,0,AQ$13),15-13*ORÇAMENTO!$AF$7)/$H184*OFFSET(ORÇAMENTO!$X$15,ROW(AQ184)-ROW(AQ$15),0),
              ROUND(ROUND(OFFSET($P184,0,AQ$13),15-13*ORÇAMENTO!$AF$7)*OFFSET(ORÇAMENTO!$W$15,ROW(AQ184)-ROW(AQ$15),0),15-13*ORÇAMENTO!$AF$11)),
         0)</f>
        <v>0</v>
      </c>
      <c r="AR184" s="453">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0</v>
      </c>
      <c r="AS184" s="453">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0</v>
      </c>
      <c r="AT184" s="453">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0</v>
      </c>
      <c r="AU184" s="453">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0</v>
      </c>
      <c r="AV184" s="453">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0</v>
      </c>
      <c r="AW184" s="453">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0</v>
      </c>
      <c r="AX184" s="453">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0</v>
      </c>
      <c r="AY184" s="453">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0</v>
      </c>
      <c r="AZ184" s="453">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0</v>
      </c>
      <c r="BA184" s="453">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0</v>
      </c>
      <c r="BC184" s="171">
        <f ca="1">IF(OR($D184&lt;&gt;"Serviço",AND(AUTOEVENTO="Manual",$M184=$A$15)),0,
         IF(OFFSET(CRONOPLE!$F$15,$M184-$A$15,BC$13)=0,10^12,OFFSET(CRONOPLE!$F$15,$M184-$A$15,BC$13)))</f>
        <v>1</v>
      </c>
      <c r="BD184" s="171">
        <f ca="1">IF(OR($D184&lt;&gt;"Serviço",AND(AUTOEVENTO="Manual",$M184=$A$15)),0,
         IF(OFFSET(CRONOPLE!$F$15,$M184-$A$15,BD$13)=0,10^12,OFFSET(CRONOPLE!$F$15,$M184-$A$15,BD$13)))</f>
        <v>2</v>
      </c>
      <c r="BE184" s="171">
        <f ca="1">IF(OR($D184&lt;&gt;"Serviço",AND(AUTOEVENTO="Manual",$M184=$A$15)),0,
         IF(OFFSET(CRONOPLE!$F$15,$M184-$A$15,BE$13)=0,10^12,OFFSET(CRONOPLE!$F$15,$M184-$A$15,BE$13)))</f>
        <v>3</v>
      </c>
      <c r="BF184" s="171">
        <f ca="1">IF(OR($D184&lt;&gt;"Serviço",AND(AUTOEVENTO="Manual",$M184=$A$15)),0,
         IF(OFFSET(CRONOPLE!$F$15,$M184-$A$15,BF$13)=0,10^12,OFFSET(CRONOPLE!$F$15,$M184-$A$15,BF$13)))</f>
        <v>4</v>
      </c>
      <c r="BG184" s="171">
        <f ca="1">IF(OR($D184&lt;&gt;"Serviço",AND(AUTOEVENTO="Manual",$M184=$A$15)),0,
         IF(OFFSET(CRONOPLE!$F$15,$M184-$A$15,BG$13)=0,10^12,OFFSET(CRONOPLE!$F$15,$M184-$A$15,BG$13)))</f>
        <v>5</v>
      </c>
      <c r="BH184" s="171">
        <f ca="1">IF(OR($D184&lt;&gt;"Serviço",AND(AUTOEVENTO="Manual",$M184=$A$15)),0,
         IF(OFFSET(CRONOPLE!$F$15,$M184-$A$15,BH$13)=0,10^12,OFFSET(CRONOPLE!$F$15,$M184-$A$15,BH$13)))</f>
        <v>6</v>
      </c>
      <c r="BI184" s="171">
        <f ca="1">IF(OR($D184&lt;&gt;"Serviço",AND(AUTOEVENTO="Manual",$M184=$A$15)),0,
         IF(OFFSET(CRONOPLE!$F$15,$M184-$A$15,BI$13)=0,10^12,OFFSET(CRONOPLE!$F$15,$M184-$A$15,BI$13)))</f>
        <v>7</v>
      </c>
      <c r="BJ184" s="171">
        <f ca="1">IF(OR($D184&lt;&gt;"Serviço",AND(AUTOEVENTO="Manual",$M184=$A$15)),0,
         IF(OFFSET(CRONOPLE!$F$15,$M184-$A$15,BJ$13)=0,10^12,OFFSET(CRONOPLE!$F$15,$M184-$A$15,BJ$13)))</f>
        <v>8</v>
      </c>
      <c r="BK184" s="171">
        <f ca="1">IF(OR($D184&lt;&gt;"Serviço",AND(AUTOEVENTO="Manual",$M184=$A$15)),0,
         IF(OFFSET(CRONOPLE!$F$15,$M184-$A$15,BK$13)=0,10^12,OFFSET(CRONOPLE!$F$15,$M184-$A$15,BK$13)))</f>
        <v>9</v>
      </c>
      <c r="BL184" s="171">
        <f ca="1">IF(OR($D184&lt;&gt;"Serviço",AND(AUTOEVENTO="Manual",$M184=$A$15)),0,
         IF(OFFSET(CRONOPLE!$F$15,$M184-$A$15,BL$13)=0,10^12,OFFSET(CRONOPLE!$F$15,$M184-$A$15,BL$13)))</f>
        <v>10</v>
      </c>
      <c r="BM184" s="171">
        <f ca="1">IF(OR($D184&lt;&gt;"Serviço",AND(AUTOEVENTO="Manual",$M184=$A$15)),0,
         IF(OFFSET(CRONOPLE!$F$15,$M184-$A$15,BM$13)=0,10^12,OFFSET(CRONOPLE!$F$15,$M184-$A$15,BM$13)))</f>
        <v>1000000000000</v>
      </c>
      <c r="BN184" s="171">
        <f ca="1">IF(OR($D184&lt;&gt;"Serviço",AND(AUTOEVENTO="Manual",$M184=$A$15)),0,
         IF(OFFSET(CRONOPLE!$F$15,$M184-$A$15,BN$13)=0,10^12,OFFSET(CRONOPLE!$F$15,$M184-$A$15,BN$13)))</f>
        <v>1000000000000</v>
      </c>
      <c r="BO184" s="171">
        <f ca="1">IF(OR($D184&lt;&gt;"Serviço",AND(AUTOEVENTO="Manual",$M184=$A$15)),0,
         IF(OFFSET(CRONOPLE!$F$15,$M184-$A$15,BO$13)=0,10^12,OFFSET(CRONOPLE!$F$15,$M184-$A$15,BO$13)))</f>
        <v>1000000000000</v>
      </c>
      <c r="BP184" s="171">
        <f ca="1">IF(OR($D184&lt;&gt;"Serviço",AND(AUTOEVENTO="Manual",$M184=$A$15)),0,
         IF(OFFSET(CRONOPLE!$F$15,$M184-$A$15,BP$13)=0,10^12,OFFSET(CRONOPLE!$F$15,$M184-$A$15,BP$13)))</f>
        <v>1000000000000</v>
      </c>
      <c r="BQ184" s="171">
        <f ca="1">IF(OR($D184&lt;&gt;"Serviço",AND(AUTOEVENTO="Manual",$M184=$A$15)),0,
         IF(OFFSET(CRONOPLE!$F$15,$M184-$A$15,BQ$13)=0,10^12,OFFSET(CRONOPLE!$F$15,$M184-$A$15,BQ$13)))</f>
        <v>1000000000000</v>
      </c>
      <c r="BR184" s="171">
        <f ca="1">IF(OR($D184&lt;&gt;"Serviço",AND(AUTOEVENTO="Manual",$M184=$A$15)),0,
         IF(OFFSET(CRONOPLE!$F$15,$M184-$A$15,BR$13)=0,10^12,OFFSET(CRONOPLE!$F$15,$M184-$A$15,BR$13)))</f>
        <v>1000000000000</v>
      </c>
      <c r="BS184" s="171">
        <f ca="1">IF(OR($D184&lt;&gt;"Serviço",AND(AUTOEVENTO="Manual",$M184=$A$15)),0,
         IF(OFFSET(CRONOPLE!$F$15,$M184-$A$15,BS$13)=0,10^12,OFFSET(CRONOPLE!$F$15,$M184-$A$15,BS$13)))</f>
        <v>1000000000000</v>
      </c>
      <c r="BT184" s="171">
        <f ca="1">IF(OR($D184&lt;&gt;"Serviço",AND(AUTOEVENTO="Manual",$M184=$A$15)),0,
         IF(OFFSET(CRONOPLE!$F$15,$M184-$A$15,BT$13)=0,10^12,OFFSET(CRONOPLE!$F$15,$M184-$A$15,BT$13)))</f>
        <v>1000000000000</v>
      </c>
      <c r="BV184" s="172">
        <f ca="1">IF(OR($D184&lt;&gt;"Serviço",AND(AUTOEVENTO="Manual",$M184=$A$15),$M184&gt;(ROW(PLE.lastrow)-ROW(PLE.firstrow))),0,
           IF(OFFSET(PLE!$G$15,$M184-$A$15,BV$13)="",10^12,OFFSET(PLE!$G$15,$M184-$A$15,BV$13)))</f>
        <v>1000000000000</v>
      </c>
      <c r="BW184" s="172">
        <f ca="1">IF(OR($D184&lt;&gt;"Serviço",AND(AUTOEVENTO="Manual",$M184=$A$15),$M184&gt;(ROW(PLE.lastrow)-ROW(PLE.firstrow))),0,
           IF(OFFSET(PLE!$G$15,$M184-$A$15,BW$13)="",10^12,OFFSET(PLE!$G$15,$M184-$A$15,BW$13)))</f>
        <v>1000000000000</v>
      </c>
      <c r="BX184" s="172">
        <f ca="1">IF(OR($D184&lt;&gt;"Serviço",AND(AUTOEVENTO="Manual",$M184=$A$15),$M184&gt;(ROW(PLE.lastrow)-ROW(PLE.firstrow))),0,
           IF(OFFSET(PLE!$G$15,$M184-$A$15,BX$13)="",10^12,OFFSET(PLE!$G$15,$M184-$A$15,BX$13)))</f>
        <v>1000000000000</v>
      </c>
      <c r="BY184" s="172">
        <f ca="1">IF(OR($D184&lt;&gt;"Serviço",AND(AUTOEVENTO="Manual",$M184=$A$15),$M184&gt;(ROW(PLE.lastrow)-ROW(PLE.firstrow))),0,
           IF(OFFSET(PLE!$G$15,$M184-$A$15,BY$13)="",10^12,OFFSET(PLE!$G$15,$M184-$A$15,BY$13)))</f>
        <v>1000000000000</v>
      </c>
      <c r="BZ184" s="172">
        <f ca="1">IF(OR($D184&lt;&gt;"Serviço",AND(AUTOEVENTO="Manual",$M184=$A$15),$M184&gt;(ROW(PLE.lastrow)-ROW(PLE.firstrow))),0,
           IF(OFFSET(PLE!$G$15,$M184-$A$15,BZ$13)="",10^12,OFFSET(PLE!$G$15,$M184-$A$15,BZ$13)))</f>
        <v>1000000000000</v>
      </c>
      <c r="CA184" s="172">
        <f ca="1">IF(OR($D184&lt;&gt;"Serviço",AND(AUTOEVENTO="Manual",$M184=$A$15),$M184&gt;(ROW(PLE.lastrow)-ROW(PLE.firstrow))),0,
           IF(OFFSET(PLE!$G$15,$M184-$A$15,CA$13)="",10^12,OFFSET(PLE!$G$15,$M184-$A$15,CA$13)))</f>
        <v>1000000000000</v>
      </c>
      <c r="CB184" s="172">
        <f ca="1">IF(OR($D184&lt;&gt;"Serviço",AND(AUTOEVENTO="Manual",$M184=$A$15),$M184&gt;(ROW(PLE.lastrow)-ROW(PLE.firstrow))),0,
           IF(OFFSET(PLE!$G$15,$M184-$A$15,CB$13)="",10^12,OFFSET(PLE!$G$15,$M184-$A$15,CB$13)))</f>
        <v>1000000000000</v>
      </c>
      <c r="CC184" s="172">
        <f ca="1">IF(OR($D184&lt;&gt;"Serviço",AND(AUTOEVENTO="Manual",$M184=$A$15),$M184&gt;(ROW(PLE.lastrow)-ROW(PLE.firstrow))),0,
           IF(OFFSET(PLE!$G$15,$M184-$A$15,CC$13)="",10^12,OFFSET(PLE!$G$15,$M184-$A$15,CC$13)))</f>
        <v>1000000000000</v>
      </c>
      <c r="CD184" s="172">
        <f ca="1">IF(OR($D184&lt;&gt;"Serviço",AND(AUTOEVENTO="Manual",$M184=$A$15),$M184&gt;(ROW(PLE.lastrow)-ROW(PLE.firstrow))),0,
           IF(OFFSET(PLE!$G$15,$M184-$A$15,CD$13)="",10^12,OFFSET(PLE!$G$15,$M184-$A$15,CD$13)))</f>
        <v>1000000000000</v>
      </c>
      <c r="CE184" s="172">
        <f ca="1">IF(OR($D184&lt;&gt;"Serviço",AND(AUTOEVENTO="Manual",$M184=$A$15),$M184&gt;(ROW(PLE.lastrow)-ROW(PLE.firstrow))),0,
           IF(OFFSET(PLE!$G$15,$M184-$A$15,CE$13)="",10^12,OFFSET(PLE!$G$15,$M184-$A$15,CE$13)))</f>
        <v>1000000000000</v>
      </c>
      <c r="CF184" s="172">
        <f ca="1">IF(OR($D184&lt;&gt;"Serviço",AND(AUTOEVENTO="Manual",$M184=$A$15),$M184&gt;(ROW(PLE.lastrow)-ROW(PLE.firstrow))),0,
           IF(OFFSET(PLE!$G$15,$M184-$A$15,CF$13)="",10^12,OFFSET(PLE!$G$15,$M184-$A$15,CF$13)))</f>
        <v>1000000000000</v>
      </c>
      <c r="CG184" s="172">
        <f ca="1">IF(OR($D184&lt;&gt;"Serviço",AND(AUTOEVENTO="Manual",$M184=$A$15),$M184&gt;(ROW(PLE.lastrow)-ROW(PLE.firstrow))),0,
           IF(OFFSET(PLE!$G$15,$M184-$A$15,CG$13)="",10^12,OFFSET(PLE!$G$15,$M184-$A$15,CG$13)))</f>
        <v>1000000000000</v>
      </c>
      <c r="CH184" s="172">
        <f ca="1">IF(OR($D184&lt;&gt;"Serviço",AND(AUTOEVENTO="Manual",$M184=$A$15),$M184&gt;(ROW(PLE.lastrow)-ROW(PLE.firstrow))),0,
           IF(OFFSET(PLE!$G$15,$M184-$A$15,CH$13)="",10^12,OFFSET(PLE!$G$15,$M184-$A$15,CH$13)))</f>
        <v>1000000000000</v>
      </c>
      <c r="CI184" s="172">
        <f ca="1">IF(OR($D184&lt;&gt;"Serviço",AND(AUTOEVENTO="Manual",$M184=$A$15),$M184&gt;(ROW(PLE.lastrow)-ROW(PLE.firstrow))),0,
           IF(OFFSET(PLE!$G$15,$M184-$A$15,CI$13)="",10^12,OFFSET(PLE!$G$15,$M184-$A$15,CI$13)))</f>
        <v>1000000000000</v>
      </c>
      <c r="CJ184" s="172">
        <f ca="1">IF(OR($D184&lt;&gt;"Serviço",AND(AUTOEVENTO="Manual",$M184=$A$15),$M184&gt;(ROW(PLE.lastrow)-ROW(PLE.firstrow))),0,
           IF(OFFSET(PLE!$G$15,$M184-$A$15,CJ$13)="",10^12,OFFSET(PLE!$G$15,$M184-$A$15,CJ$13)))</f>
        <v>1000000000000</v>
      </c>
      <c r="CK184" s="172">
        <f ca="1">IF(OR($D184&lt;&gt;"Serviço",AND(AUTOEVENTO="Manual",$M184=$A$15),$M184&gt;(ROW(PLE.lastrow)-ROW(PLE.firstrow))),0,
           IF(OFFSET(PLE!$G$15,$M184-$A$15,CK$13)="",10^12,OFFSET(PLE!$G$15,$M184-$A$15,CK$13)))</f>
        <v>1000000000000</v>
      </c>
      <c r="CL184" s="172">
        <f ca="1">IF(OR($D184&lt;&gt;"Serviço",AND(AUTOEVENTO="Manual",$M184=$A$15),$M184&gt;(ROW(PLE.lastrow)-ROW(PLE.firstrow))),0,
           IF(OFFSET(PLE!$G$15,$M184-$A$15,CL$13)="",10^12,OFFSET(PLE!$G$15,$M184-$A$15,CL$13)))</f>
        <v>1000000000000</v>
      </c>
      <c r="CM184" s="172">
        <f ca="1">IF(OR($D184&lt;&gt;"Serviço",AND(AUTOEVENTO="Manual",$M184=$A$15),$M184&gt;(ROW(PLE.lastrow)-ROW(PLE.firstrow))),0,
           IF(OFFSET(PLE!$G$15,$M184-$A$15,CM$13)="",10^12,OFFSET(PLE!$G$15,$M184-$A$15,CM$13)))</f>
        <v>1000000000000</v>
      </c>
    </row>
    <row r="185" spans="1:91" ht="38.25" x14ac:dyDescent="0.2">
      <c r="A185" s="7">
        <f t="shared" ca="1" si="12"/>
        <v>4</v>
      </c>
      <c r="B185" s="7" t="str">
        <f ca="1">OFFSET(ORÇAMENTO!C$15,ROW(B185)-ROW(B$15),0)</f>
        <v>S</v>
      </c>
      <c r="C185" s="7" t="str">
        <f ca="1">OFFSET(ORÇAMENTO!L$15,ROW(C185)-ROW(C$15),0)</f>
        <v>F</v>
      </c>
      <c r="D185" s="116" t="str">
        <f ca="1">OFFSET(ORÇAMENTO!N$15,ROW(D185)-ROW(D$15),0)</f>
        <v>Serviço</v>
      </c>
      <c r="E185" s="117" t="str">
        <f ca="1">OFFSET(ORÇAMENTO!O$15,ROW(E185)-ROW(E$15),0)</f>
        <v>1.5.5.3.12.</v>
      </c>
      <c r="F185" s="163" t="str">
        <f ca="1">OFFSET(ORÇAMENTO!R$15,ROW(F185)-ROW(F$15),0)</f>
        <v>TRANSPORTE COM CAMINHÃO BASCULANTE DE 18 M³, EM VIA URBANA PAVIMENTADA, DMT ATÉ 30 KM (UNIDADE: M3XKM). AF_07/2020</v>
      </c>
      <c r="G185" s="164" t="str">
        <f ca="1">IF($D185&lt;&gt;"Serviço","",OFFSET(ORÇAMENTO!S$15,ROW(G185)-ROW(G$15),0))</f>
        <v>M3XKM</v>
      </c>
      <c r="H185" s="122" cm="1">
        <f t="array" aca="1" ref="H185" ca="1">IF($D185&lt;&gt;"Serviço",0,IF(ACOMPANHAMENTO="BM",ROUND(OFFSET(ORÇAMENTO!AJ$15,ROW(H185)-ROW(H$15),0),15-13*ORÇAMENTO!$AF$7),SUMPRODUCT(($Q$1:$AI$1=1)*ROUND($Q185:$AI185,15-13*ORÇAMENTO!$AF$7))))</f>
        <v>7.35</v>
      </c>
      <c r="I185" s="468" t="s">
        <v>1441</v>
      </c>
      <c r="J185" s="640" t="str" cm="1">
        <f t="array" aca="1" ref="J185" ca="1">IF(OR(B185&lt;&gt;"S",CÁLCULO.FrentesPreenchidas=0),"",IF(AND(ACOMPANHAMENTO="PLE",AUTOEVENTO="Manual",OR(H185&gt;0,ORÇAMENTO!AC185="QUANT."),OR(K185="",M185=0,N185="")),"►E",IF(AND(ACOMPANHAMENTO="PLE",ORÇAMENTO!AC185="QUANT."),"►Q",IF(AND(ACOMPANHAMENTO="PLE",H185&lt;&gt;SUMPRODUCT(($Q$1:$AI$1=1)*ROUND(Q185:AI185,15))),"►S",IF(AND(COUNTIF($P$11:$AI$11,"▼")=0,H185&gt;0,I185=""),"◄M","")))))</f>
        <v/>
      </c>
      <c r="K185" s="641" t="s">
        <v>1389</v>
      </c>
      <c r="L185" s="165" t="s">
        <v>764</v>
      </c>
      <c r="M185" s="166">
        <f ca="1">IF($D185&lt;&gt;"Serviço","",
          IF(AUTOEVENTO="manual",$A185,
                IF(ISERROR(MATCH($A185,$A$15:OFFSET($A185,-1,0),0)),MAX($M$15:OFFSET(M185,-1,0))+1,
                      INDEX($M$15:OFFSET(M185,-1,0),MATCH($A185,$A$15:OFFSET($A185,-1,0),0)))))</f>
        <v>4</v>
      </c>
      <c r="N185" s="167" t="str">
        <f ca="1">IF($D185&lt;&gt;"Serviço","",
         IF(AUTOEVENTO="Manual",
                IF($A185=0,"&lt;-- defina o número do agrupador",
                       OFFSET(EVENTOS!$D$15,$A185-$A$15,0)),
                OFFSET($F$15,$A185,0)))</f>
        <v>Estruturas de Concreto</v>
      </c>
      <c r="O185" s="168"/>
      <c r="Q185" s="168"/>
      <c r="R185" s="169"/>
      <c r="S185" s="169"/>
      <c r="T185" s="169"/>
      <c r="U185" s="169"/>
      <c r="V185" s="169">
        <v>7.35</v>
      </c>
      <c r="W185" s="169"/>
      <c r="X185" s="169"/>
      <c r="Y185" s="169"/>
      <c r="Z185" s="170"/>
      <c r="AA185" s="169"/>
      <c r="AB185" s="169"/>
      <c r="AC185" s="169"/>
      <c r="AD185" s="169"/>
      <c r="AE185" s="169"/>
      <c r="AF185" s="169"/>
      <c r="AG185" s="169"/>
      <c r="AH185" s="170"/>
      <c r="AJ185" s="453">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0</v>
      </c>
      <c r="AK185" s="453">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0</v>
      </c>
      <c r="AL185" s="453">
        <f ca="1">IF(AND($D185="Serviço",AL$12&lt;&gt;0,$H185&gt;0,OR(AUTOEVENTO&lt;&gt;"manual",$M185&lt;&gt;$A$15)),
        IF(Import.TipoArredondamento&lt;&gt;"TransfereGOV",
              ROUND(OFFSET($P185,0,AL$13),15-13*ORÇAMENTO!$AF$7)/$H185*OFFSET(ORÇAMENTO!$X$15,ROW(AL185)-ROW(AL$15),0),
              ROUND(ROUND(OFFSET($P185,0,AL$13),15-13*ORÇAMENTO!$AF$7)*OFFSET(ORÇAMENTO!$W$15,ROW(AL185)-ROW(AL$15),0),15-13*ORÇAMENTO!$AF$11)),
         0)</f>
        <v>0</v>
      </c>
      <c r="AM185" s="453">
        <f ca="1">IF(AND($D185="Serviço",AM$12&lt;&gt;0,$H185&gt;0,OR(AUTOEVENTO&lt;&gt;"manual",$M185&lt;&gt;$A$15)),
        IF(Import.TipoArredondamento&lt;&gt;"TransfereGOV",
              ROUND(OFFSET($P185,0,AM$13),15-13*ORÇAMENTO!$AF$7)/$H185*OFFSET(ORÇAMENTO!$X$15,ROW(AM185)-ROW(AM$15),0),
              ROUND(ROUND(OFFSET($P185,0,AM$13),15-13*ORÇAMENTO!$AF$7)*OFFSET(ORÇAMENTO!$W$15,ROW(AM185)-ROW(AM$15),0),15-13*ORÇAMENTO!$AF$11)),
         0)</f>
        <v>0</v>
      </c>
      <c r="AN185" s="453">
        <f ca="1">IF(AND($D185="Serviço",AN$12&lt;&gt;0,$H185&gt;0,OR(AUTOEVENTO&lt;&gt;"manual",$M185&lt;&gt;$A$15)),
        IF(Import.TipoArredondamento&lt;&gt;"TransfereGOV",
              ROUND(OFFSET($P185,0,AN$13),15-13*ORÇAMENTO!$AF$7)/$H185*OFFSET(ORÇAMENTO!$X$15,ROW(AN185)-ROW(AN$15),0),
              ROUND(ROUND(OFFSET($P185,0,AN$13),15-13*ORÇAMENTO!$AF$7)*OFFSET(ORÇAMENTO!$W$15,ROW(AN185)-ROW(AN$15),0),15-13*ORÇAMENTO!$AF$11)),
         0)</f>
        <v>0</v>
      </c>
      <c r="AO185" s="453">
        <f ca="1">IF(AND($D185="Serviço",AO$12&lt;&gt;0,$H185&gt;0,OR(AUTOEVENTO&lt;&gt;"manual",$M185&lt;&gt;$A$15)),
        IF(Import.TipoArredondamento&lt;&gt;"TransfereGOV",
              ROUND(OFFSET($P185,0,AO$13),15-13*ORÇAMENTO!$AF$7)/$H185*OFFSET(ORÇAMENTO!$X$15,ROW(AO185)-ROW(AO$15),0),
              ROUND(ROUND(OFFSET($P185,0,AO$13),15-13*ORÇAMENTO!$AF$7)*OFFSET(ORÇAMENTO!$W$15,ROW(AO185)-ROW(AO$15),0),15-13*ORÇAMENTO!$AF$11)),
         0)</f>
        <v>0</v>
      </c>
      <c r="AP185" s="453">
        <f ca="1">IF(AND($D185="Serviço",AP$12&lt;&gt;0,$H185&gt;0,OR(AUTOEVENTO&lt;&gt;"manual",$M185&lt;&gt;$A$15)),
        IF(Import.TipoArredondamento&lt;&gt;"TransfereGOV",
              ROUND(OFFSET($P185,0,AP$13),15-13*ORÇAMENTO!$AF$7)/$H185*OFFSET(ORÇAMENTO!$X$15,ROW(AP185)-ROW(AP$15),0),
              ROUND(ROUND(OFFSET($P185,0,AP$13),15-13*ORÇAMENTO!$AF$7)*OFFSET(ORÇAMENTO!$W$15,ROW(AP185)-ROW(AP$15),0),15-13*ORÇAMENTO!$AF$11)),
         0)</f>
        <v>0</v>
      </c>
      <c r="AQ185" s="453">
        <f ca="1">IF(AND($D185="Serviço",AQ$12&lt;&gt;0,$H185&gt;0,OR(AUTOEVENTO&lt;&gt;"manual",$M185&lt;&gt;$A$15)),
        IF(Import.TipoArredondamento&lt;&gt;"TransfereGOV",
              ROUND(OFFSET($P185,0,AQ$13),15-13*ORÇAMENTO!$AF$7)/$H185*OFFSET(ORÇAMENTO!$X$15,ROW(AQ185)-ROW(AQ$15),0),
              ROUND(ROUND(OFFSET($P185,0,AQ$13),15-13*ORÇAMENTO!$AF$7)*OFFSET(ORÇAMENTO!$W$15,ROW(AQ185)-ROW(AQ$15),0),15-13*ORÇAMENTO!$AF$11)),
         0)</f>
        <v>0</v>
      </c>
      <c r="AR185" s="453">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453">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453">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453">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453">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453">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453">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453">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453">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453">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C185" s="171">
        <f ca="1">IF(OR($D185&lt;&gt;"Serviço",AND(AUTOEVENTO="Manual",$M185=$A$15)),0,
         IF(OFFSET(CRONOPLE!$F$15,$M185-$A$15,BC$13)=0,10^12,OFFSET(CRONOPLE!$F$15,$M185-$A$15,BC$13)))</f>
        <v>1</v>
      </c>
      <c r="BD185" s="171">
        <f ca="1">IF(OR($D185&lt;&gt;"Serviço",AND(AUTOEVENTO="Manual",$M185=$A$15)),0,
         IF(OFFSET(CRONOPLE!$F$15,$M185-$A$15,BD$13)=0,10^12,OFFSET(CRONOPLE!$F$15,$M185-$A$15,BD$13)))</f>
        <v>2</v>
      </c>
      <c r="BE185" s="171">
        <f ca="1">IF(OR($D185&lt;&gt;"Serviço",AND(AUTOEVENTO="Manual",$M185=$A$15)),0,
         IF(OFFSET(CRONOPLE!$F$15,$M185-$A$15,BE$13)=0,10^12,OFFSET(CRONOPLE!$F$15,$M185-$A$15,BE$13)))</f>
        <v>3</v>
      </c>
      <c r="BF185" s="171">
        <f ca="1">IF(OR($D185&lt;&gt;"Serviço",AND(AUTOEVENTO="Manual",$M185=$A$15)),0,
         IF(OFFSET(CRONOPLE!$F$15,$M185-$A$15,BF$13)=0,10^12,OFFSET(CRONOPLE!$F$15,$M185-$A$15,BF$13)))</f>
        <v>4</v>
      </c>
      <c r="BG185" s="171">
        <f ca="1">IF(OR($D185&lt;&gt;"Serviço",AND(AUTOEVENTO="Manual",$M185=$A$15)),0,
         IF(OFFSET(CRONOPLE!$F$15,$M185-$A$15,BG$13)=0,10^12,OFFSET(CRONOPLE!$F$15,$M185-$A$15,BG$13)))</f>
        <v>5</v>
      </c>
      <c r="BH185" s="171">
        <f ca="1">IF(OR($D185&lt;&gt;"Serviço",AND(AUTOEVENTO="Manual",$M185=$A$15)),0,
         IF(OFFSET(CRONOPLE!$F$15,$M185-$A$15,BH$13)=0,10^12,OFFSET(CRONOPLE!$F$15,$M185-$A$15,BH$13)))</f>
        <v>6</v>
      </c>
      <c r="BI185" s="171">
        <f ca="1">IF(OR($D185&lt;&gt;"Serviço",AND(AUTOEVENTO="Manual",$M185=$A$15)),0,
         IF(OFFSET(CRONOPLE!$F$15,$M185-$A$15,BI$13)=0,10^12,OFFSET(CRONOPLE!$F$15,$M185-$A$15,BI$13)))</f>
        <v>7</v>
      </c>
      <c r="BJ185" s="171">
        <f ca="1">IF(OR($D185&lt;&gt;"Serviço",AND(AUTOEVENTO="Manual",$M185=$A$15)),0,
         IF(OFFSET(CRONOPLE!$F$15,$M185-$A$15,BJ$13)=0,10^12,OFFSET(CRONOPLE!$F$15,$M185-$A$15,BJ$13)))</f>
        <v>8</v>
      </c>
      <c r="BK185" s="171">
        <f ca="1">IF(OR($D185&lt;&gt;"Serviço",AND(AUTOEVENTO="Manual",$M185=$A$15)),0,
         IF(OFFSET(CRONOPLE!$F$15,$M185-$A$15,BK$13)=0,10^12,OFFSET(CRONOPLE!$F$15,$M185-$A$15,BK$13)))</f>
        <v>9</v>
      </c>
      <c r="BL185" s="171">
        <f ca="1">IF(OR($D185&lt;&gt;"Serviço",AND(AUTOEVENTO="Manual",$M185=$A$15)),0,
         IF(OFFSET(CRONOPLE!$F$15,$M185-$A$15,BL$13)=0,10^12,OFFSET(CRONOPLE!$F$15,$M185-$A$15,BL$13)))</f>
        <v>10</v>
      </c>
      <c r="BM185" s="171">
        <f ca="1">IF(OR($D185&lt;&gt;"Serviço",AND(AUTOEVENTO="Manual",$M185=$A$15)),0,
         IF(OFFSET(CRONOPLE!$F$15,$M185-$A$15,BM$13)=0,10^12,OFFSET(CRONOPLE!$F$15,$M185-$A$15,BM$13)))</f>
        <v>1000000000000</v>
      </c>
      <c r="BN185" s="171">
        <f ca="1">IF(OR($D185&lt;&gt;"Serviço",AND(AUTOEVENTO="Manual",$M185=$A$15)),0,
         IF(OFFSET(CRONOPLE!$F$15,$M185-$A$15,BN$13)=0,10^12,OFFSET(CRONOPLE!$F$15,$M185-$A$15,BN$13)))</f>
        <v>1000000000000</v>
      </c>
      <c r="BO185" s="171">
        <f ca="1">IF(OR($D185&lt;&gt;"Serviço",AND(AUTOEVENTO="Manual",$M185=$A$15)),0,
         IF(OFFSET(CRONOPLE!$F$15,$M185-$A$15,BO$13)=0,10^12,OFFSET(CRONOPLE!$F$15,$M185-$A$15,BO$13)))</f>
        <v>1000000000000</v>
      </c>
      <c r="BP185" s="171">
        <f ca="1">IF(OR($D185&lt;&gt;"Serviço",AND(AUTOEVENTO="Manual",$M185=$A$15)),0,
         IF(OFFSET(CRONOPLE!$F$15,$M185-$A$15,BP$13)=0,10^12,OFFSET(CRONOPLE!$F$15,$M185-$A$15,BP$13)))</f>
        <v>1000000000000</v>
      </c>
      <c r="BQ185" s="171">
        <f ca="1">IF(OR($D185&lt;&gt;"Serviço",AND(AUTOEVENTO="Manual",$M185=$A$15)),0,
         IF(OFFSET(CRONOPLE!$F$15,$M185-$A$15,BQ$13)=0,10^12,OFFSET(CRONOPLE!$F$15,$M185-$A$15,BQ$13)))</f>
        <v>1000000000000</v>
      </c>
      <c r="BR185" s="171">
        <f ca="1">IF(OR($D185&lt;&gt;"Serviço",AND(AUTOEVENTO="Manual",$M185=$A$15)),0,
         IF(OFFSET(CRONOPLE!$F$15,$M185-$A$15,BR$13)=0,10^12,OFFSET(CRONOPLE!$F$15,$M185-$A$15,BR$13)))</f>
        <v>1000000000000</v>
      </c>
      <c r="BS185" s="171">
        <f ca="1">IF(OR($D185&lt;&gt;"Serviço",AND(AUTOEVENTO="Manual",$M185=$A$15)),0,
         IF(OFFSET(CRONOPLE!$F$15,$M185-$A$15,BS$13)=0,10^12,OFFSET(CRONOPLE!$F$15,$M185-$A$15,BS$13)))</f>
        <v>1000000000000</v>
      </c>
      <c r="BT185" s="171">
        <f ca="1">IF(OR($D185&lt;&gt;"Serviço",AND(AUTOEVENTO="Manual",$M185=$A$15)),0,
         IF(OFFSET(CRONOPLE!$F$15,$M185-$A$15,BT$13)=0,10^12,OFFSET(CRONOPLE!$F$15,$M185-$A$15,BT$13)))</f>
        <v>1000000000000</v>
      </c>
      <c r="BV185" s="172">
        <f ca="1">IF(OR($D185&lt;&gt;"Serviço",AND(AUTOEVENTO="Manual",$M185=$A$15),$M185&gt;(ROW(PLE.lastrow)-ROW(PLE.firstrow))),0,
           IF(OFFSET(PLE!$G$15,$M185-$A$15,BV$13)="",10^12,OFFSET(PLE!$G$15,$M185-$A$15,BV$13)))</f>
        <v>1000000000000</v>
      </c>
      <c r="BW185" s="172">
        <f ca="1">IF(OR($D185&lt;&gt;"Serviço",AND(AUTOEVENTO="Manual",$M185=$A$15),$M185&gt;(ROW(PLE.lastrow)-ROW(PLE.firstrow))),0,
           IF(OFFSET(PLE!$G$15,$M185-$A$15,BW$13)="",10^12,OFFSET(PLE!$G$15,$M185-$A$15,BW$13)))</f>
        <v>1000000000000</v>
      </c>
      <c r="BX185" s="172">
        <f ca="1">IF(OR($D185&lt;&gt;"Serviço",AND(AUTOEVENTO="Manual",$M185=$A$15),$M185&gt;(ROW(PLE.lastrow)-ROW(PLE.firstrow))),0,
           IF(OFFSET(PLE!$G$15,$M185-$A$15,BX$13)="",10^12,OFFSET(PLE!$G$15,$M185-$A$15,BX$13)))</f>
        <v>1000000000000</v>
      </c>
      <c r="BY185" s="172">
        <f ca="1">IF(OR($D185&lt;&gt;"Serviço",AND(AUTOEVENTO="Manual",$M185=$A$15),$M185&gt;(ROW(PLE.lastrow)-ROW(PLE.firstrow))),0,
           IF(OFFSET(PLE!$G$15,$M185-$A$15,BY$13)="",10^12,OFFSET(PLE!$G$15,$M185-$A$15,BY$13)))</f>
        <v>1000000000000</v>
      </c>
      <c r="BZ185" s="172">
        <f ca="1">IF(OR($D185&lt;&gt;"Serviço",AND(AUTOEVENTO="Manual",$M185=$A$15),$M185&gt;(ROW(PLE.lastrow)-ROW(PLE.firstrow))),0,
           IF(OFFSET(PLE!$G$15,$M185-$A$15,BZ$13)="",10^12,OFFSET(PLE!$G$15,$M185-$A$15,BZ$13)))</f>
        <v>1000000000000</v>
      </c>
      <c r="CA185" s="172">
        <f ca="1">IF(OR($D185&lt;&gt;"Serviço",AND(AUTOEVENTO="Manual",$M185=$A$15),$M185&gt;(ROW(PLE.lastrow)-ROW(PLE.firstrow))),0,
           IF(OFFSET(PLE!$G$15,$M185-$A$15,CA$13)="",10^12,OFFSET(PLE!$G$15,$M185-$A$15,CA$13)))</f>
        <v>1000000000000</v>
      </c>
      <c r="CB185" s="172">
        <f ca="1">IF(OR($D185&lt;&gt;"Serviço",AND(AUTOEVENTO="Manual",$M185=$A$15),$M185&gt;(ROW(PLE.lastrow)-ROW(PLE.firstrow))),0,
           IF(OFFSET(PLE!$G$15,$M185-$A$15,CB$13)="",10^12,OFFSET(PLE!$G$15,$M185-$A$15,CB$13)))</f>
        <v>1000000000000</v>
      </c>
      <c r="CC185" s="172">
        <f ca="1">IF(OR($D185&lt;&gt;"Serviço",AND(AUTOEVENTO="Manual",$M185=$A$15),$M185&gt;(ROW(PLE.lastrow)-ROW(PLE.firstrow))),0,
           IF(OFFSET(PLE!$G$15,$M185-$A$15,CC$13)="",10^12,OFFSET(PLE!$G$15,$M185-$A$15,CC$13)))</f>
        <v>1000000000000</v>
      </c>
      <c r="CD185" s="172">
        <f ca="1">IF(OR($D185&lt;&gt;"Serviço",AND(AUTOEVENTO="Manual",$M185=$A$15),$M185&gt;(ROW(PLE.lastrow)-ROW(PLE.firstrow))),0,
           IF(OFFSET(PLE!$G$15,$M185-$A$15,CD$13)="",10^12,OFFSET(PLE!$G$15,$M185-$A$15,CD$13)))</f>
        <v>1000000000000</v>
      </c>
      <c r="CE185" s="172">
        <f ca="1">IF(OR($D185&lt;&gt;"Serviço",AND(AUTOEVENTO="Manual",$M185=$A$15),$M185&gt;(ROW(PLE.lastrow)-ROW(PLE.firstrow))),0,
           IF(OFFSET(PLE!$G$15,$M185-$A$15,CE$13)="",10^12,OFFSET(PLE!$G$15,$M185-$A$15,CE$13)))</f>
        <v>1000000000000</v>
      </c>
      <c r="CF185" s="172">
        <f ca="1">IF(OR($D185&lt;&gt;"Serviço",AND(AUTOEVENTO="Manual",$M185=$A$15),$M185&gt;(ROW(PLE.lastrow)-ROW(PLE.firstrow))),0,
           IF(OFFSET(PLE!$G$15,$M185-$A$15,CF$13)="",10^12,OFFSET(PLE!$G$15,$M185-$A$15,CF$13)))</f>
        <v>1000000000000</v>
      </c>
      <c r="CG185" s="172">
        <f ca="1">IF(OR($D185&lt;&gt;"Serviço",AND(AUTOEVENTO="Manual",$M185=$A$15),$M185&gt;(ROW(PLE.lastrow)-ROW(PLE.firstrow))),0,
           IF(OFFSET(PLE!$G$15,$M185-$A$15,CG$13)="",10^12,OFFSET(PLE!$G$15,$M185-$A$15,CG$13)))</f>
        <v>1000000000000</v>
      </c>
      <c r="CH185" s="172">
        <f ca="1">IF(OR($D185&lt;&gt;"Serviço",AND(AUTOEVENTO="Manual",$M185=$A$15),$M185&gt;(ROW(PLE.lastrow)-ROW(PLE.firstrow))),0,
           IF(OFFSET(PLE!$G$15,$M185-$A$15,CH$13)="",10^12,OFFSET(PLE!$G$15,$M185-$A$15,CH$13)))</f>
        <v>1000000000000</v>
      </c>
      <c r="CI185" s="172">
        <f ca="1">IF(OR($D185&lt;&gt;"Serviço",AND(AUTOEVENTO="Manual",$M185=$A$15),$M185&gt;(ROW(PLE.lastrow)-ROW(PLE.firstrow))),0,
           IF(OFFSET(PLE!$G$15,$M185-$A$15,CI$13)="",10^12,OFFSET(PLE!$G$15,$M185-$A$15,CI$13)))</f>
        <v>1000000000000</v>
      </c>
      <c r="CJ185" s="172">
        <f ca="1">IF(OR($D185&lt;&gt;"Serviço",AND(AUTOEVENTO="Manual",$M185=$A$15),$M185&gt;(ROW(PLE.lastrow)-ROW(PLE.firstrow))),0,
           IF(OFFSET(PLE!$G$15,$M185-$A$15,CJ$13)="",10^12,OFFSET(PLE!$G$15,$M185-$A$15,CJ$13)))</f>
        <v>1000000000000</v>
      </c>
      <c r="CK185" s="172">
        <f ca="1">IF(OR($D185&lt;&gt;"Serviço",AND(AUTOEVENTO="Manual",$M185=$A$15),$M185&gt;(ROW(PLE.lastrow)-ROW(PLE.firstrow))),0,
           IF(OFFSET(PLE!$G$15,$M185-$A$15,CK$13)="",10^12,OFFSET(PLE!$G$15,$M185-$A$15,CK$13)))</f>
        <v>1000000000000</v>
      </c>
      <c r="CL185" s="172">
        <f ca="1">IF(OR($D185&lt;&gt;"Serviço",AND(AUTOEVENTO="Manual",$M185=$A$15),$M185&gt;(ROW(PLE.lastrow)-ROW(PLE.firstrow))),0,
           IF(OFFSET(PLE!$G$15,$M185-$A$15,CL$13)="",10^12,OFFSET(PLE!$G$15,$M185-$A$15,CL$13)))</f>
        <v>1000000000000</v>
      </c>
      <c r="CM185" s="172">
        <f ca="1">IF(OR($D185&lt;&gt;"Serviço",AND(AUTOEVENTO="Manual",$M185=$A$15),$M185&gt;(ROW(PLE.lastrow)-ROW(PLE.firstrow))),0,
           IF(OFFSET(PLE!$G$15,$M185-$A$15,CM$13)="",10^12,OFFSET(PLE!$G$15,$M185-$A$15,CM$13)))</f>
        <v>1000000000000</v>
      </c>
    </row>
    <row r="186" spans="1:91" ht="25.5" x14ac:dyDescent="0.2">
      <c r="A186" s="7">
        <f t="shared" ca="1" si="12"/>
        <v>4</v>
      </c>
      <c r="B186" s="7" t="str">
        <f ca="1">OFFSET(ORÇAMENTO!C$15,ROW(B186)-ROW(B$15),0)</f>
        <v>S</v>
      </c>
      <c r="C186" s="7" t="str">
        <f ca="1">OFFSET(ORÇAMENTO!L$15,ROW(C186)-ROW(C$15),0)</f>
        <v>F</v>
      </c>
      <c r="D186" s="116" t="str">
        <f ca="1">OFFSET(ORÇAMENTO!N$15,ROW(D186)-ROW(D$15),0)</f>
        <v>Serviço</v>
      </c>
      <c r="E186" s="117" t="str">
        <f ca="1">OFFSET(ORÇAMENTO!O$15,ROW(E186)-ROW(E$15),0)</f>
        <v>1.5.5.3.13.</v>
      </c>
      <c r="F186" s="163" t="str">
        <f ca="1">OFFSET(ORÇAMENTO!R$15,ROW(F186)-ROW(F$15),0)</f>
        <v>TAXA ATERRO SANITÁRIO</v>
      </c>
      <c r="G186" s="164" t="str">
        <f ca="1">IF($D186&lt;&gt;"Serviço","",OFFSET(ORÇAMENTO!S$15,ROW(G186)-ROW(G$15),0))</f>
        <v>T</v>
      </c>
      <c r="H186" s="122" cm="1">
        <f t="array" aca="1" ref="H186" ca="1">IF($D186&lt;&gt;"Serviço",0,IF(ACOMPANHAMENTO="BM",ROUND(OFFSET(ORÇAMENTO!AJ$15,ROW(H186)-ROW(H$15),0),15-13*ORÇAMENTO!$AF$7),SUMPRODUCT(($Q$1:$AI$1=1)*ROUND($Q186:$AI186,15-13*ORÇAMENTO!$AF$7))))</f>
        <v>2</v>
      </c>
      <c r="I186" s="468" t="s">
        <v>1301</v>
      </c>
      <c r="J186" s="640" t="str" cm="1">
        <f t="array" aca="1" ref="J186" ca="1">IF(OR(B186&lt;&gt;"S",CÁLCULO.FrentesPreenchidas=0),"",IF(AND(ACOMPANHAMENTO="PLE",AUTOEVENTO="Manual",OR(H186&gt;0,ORÇAMENTO!AC186="QUANT."),OR(K186="",M186=0,N186="")),"►E",IF(AND(ACOMPANHAMENTO="PLE",ORÇAMENTO!AC186="QUANT."),"►Q",IF(AND(ACOMPANHAMENTO="PLE",H186&lt;&gt;SUMPRODUCT(($Q$1:$AI$1=1)*ROUND(Q186:AI186,15))),"►S",IF(AND(COUNTIF($P$11:$AI$11,"▼")=0,H186&gt;0,I186=""),"◄M","")))))</f>
        <v/>
      </c>
      <c r="K186" s="641" t="s">
        <v>1389</v>
      </c>
      <c r="L186" s="165" t="s">
        <v>764</v>
      </c>
      <c r="M186" s="166">
        <f ca="1">IF($D186&lt;&gt;"Serviço","",
          IF(AUTOEVENTO="manual",$A186,
                IF(ISERROR(MATCH($A186,$A$15:OFFSET($A186,-1,0),0)),MAX($M$15:OFFSET(M186,-1,0))+1,
                      INDEX($M$15:OFFSET(M186,-1,0),MATCH($A186,$A$15:OFFSET($A186,-1,0),0)))))</f>
        <v>4</v>
      </c>
      <c r="N186" s="167" t="str">
        <f ca="1">IF($D186&lt;&gt;"Serviço","",
         IF(AUTOEVENTO="Manual",
                IF($A186=0,"&lt;-- defina o número do agrupador",
                       OFFSET(EVENTOS!$D$15,$A186-$A$15,0)),
                OFFSET($F$15,$A186,0)))</f>
        <v>Estruturas de Concreto</v>
      </c>
      <c r="O186" s="168"/>
      <c r="Q186" s="168"/>
      <c r="R186" s="169"/>
      <c r="S186" s="169"/>
      <c r="T186" s="169"/>
      <c r="U186" s="169"/>
      <c r="V186" s="169">
        <f>ROUND(V184*1.36,2)</f>
        <v>2</v>
      </c>
      <c r="W186" s="169"/>
      <c r="X186" s="169"/>
      <c r="Y186" s="169"/>
      <c r="Z186" s="170"/>
      <c r="AA186" s="169"/>
      <c r="AB186" s="169"/>
      <c r="AC186" s="169"/>
      <c r="AD186" s="169"/>
      <c r="AE186" s="169"/>
      <c r="AF186" s="169"/>
      <c r="AG186" s="169"/>
      <c r="AH186" s="170"/>
      <c r="AJ186" s="453">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0</v>
      </c>
      <c r="AK186" s="453">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0</v>
      </c>
      <c r="AL186" s="453">
        <f ca="1">IF(AND($D186="Serviço",AL$12&lt;&gt;0,$H186&gt;0,OR(AUTOEVENTO&lt;&gt;"manual",$M186&lt;&gt;$A$15)),
        IF(Import.TipoArredondamento&lt;&gt;"TransfereGOV",
              ROUND(OFFSET($P186,0,AL$13),15-13*ORÇAMENTO!$AF$7)/$H186*OFFSET(ORÇAMENTO!$X$15,ROW(AL186)-ROW(AL$15),0),
              ROUND(ROUND(OFFSET($P186,0,AL$13),15-13*ORÇAMENTO!$AF$7)*OFFSET(ORÇAMENTO!$W$15,ROW(AL186)-ROW(AL$15),0),15-13*ORÇAMENTO!$AF$11)),
         0)</f>
        <v>0</v>
      </c>
      <c r="AM186" s="453">
        <f ca="1">IF(AND($D186="Serviço",AM$12&lt;&gt;0,$H186&gt;0,OR(AUTOEVENTO&lt;&gt;"manual",$M186&lt;&gt;$A$15)),
        IF(Import.TipoArredondamento&lt;&gt;"TransfereGOV",
              ROUND(OFFSET($P186,0,AM$13),15-13*ORÇAMENTO!$AF$7)/$H186*OFFSET(ORÇAMENTO!$X$15,ROW(AM186)-ROW(AM$15),0),
              ROUND(ROUND(OFFSET($P186,0,AM$13),15-13*ORÇAMENTO!$AF$7)*OFFSET(ORÇAMENTO!$W$15,ROW(AM186)-ROW(AM$15),0),15-13*ORÇAMENTO!$AF$11)),
         0)</f>
        <v>0</v>
      </c>
      <c r="AN186" s="453">
        <f ca="1">IF(AND($D186="Serviço",AN$12&lt;&gt;0,$H186&gt;0,OR(AUTOEVENTO&lt;&gt;"manual",$M186&lt;&gt;$A$15)),
        IF(Import.TipoArredondamento&lt;&gt;"TransfereGOV",
              ROUND(OFFSET($P186,0,AN$13),15-13*ORÇAMENTO!$AF$7)/$H186*OFFSET(ORÇAMENTO!$X$15,ROW(AN186)-ROW(AN$15),0),
              ROUND(ROUND(OFFSET($P186,0,AN$13),15-13*ORÇAMENTO!$AF$7)*OFFSET(ORÇAMENTO!$W$15,ROW(AN186)-ROW(AN$15),0),15-13*ORÇAMENTO!$AF$11)),
         0)</f>
        <v>0</v>
      </c>
      <c r="AO186" s="453">
        <f ca="1">IF(AND($D186="Serviço",AO$12&lt;&gt;0,$H186&gt;0,OR(AUTOEVENTO&lt;&gt;"manual",$M186&lt;&gt;$A$15)),
        IF(Import.TipoArredondamento&lt;&gt;"TransfereGOV",
              ROUND(OFFSET($P186,0,AO$13),15-13*ORÇAMENTO!$AF$7)/$H186*OFFSET(ORÇAMENTO!$X$15,ROW(AO186)-ROW(AO$15),0),
              ROUND(ROUND(OFFSET($P186,0,AO$13),15-13*ORÇAMENTO!$AF$7)*OFFSET(ORÇAMENTO!$W$15,ROW(AO186)-ROW(AO$15),0),15-13*ORÇAMENTO!$AF$11)),
         0)</f>
        <v>0</v>
      </c>
      <c r="AP186" s="453">
        <f ca="1">IF(AND($D186="Serviço",AP$12&lt;&gt;0,$H186&gt;0,OR(AUTOEVENTO&lt;&gt;"manual",$M186&lt;&gt;$A$15)),
        IF(Import.TipoArredondamento&lt;&gt;"TransfereGOV",
              ROUND(OFFSET($P186,0,AP$13),15-13*ORÇAMENTO!$AF$7)/$H186*OFFSET(ORÇAMENTO!$X$15,ROW(AP186)-ROW(AP$15),0),
              ROUND(ROUND(OFFSET($P186,0,AP$13),15-13*ORÇAMENTO!$AF$7)*OFFSET(ORÇAMENTO!$W$15,ROW(AP186)-ROW(AP$15),0),15-13*ORÇAMENTO!$AF$11)),
         0)</f>
        <v>0</v>
      </c>
      <c r="AQ186" s="453">
        <f ca="1">IF(AND($D186="Serviço",AQ$12&lt;&gt;0,$H186&gt;0,OR(AUTOEVENTO&lt;&gt;"manual",$M186&lt;&gt;$A$15)),
        IF(Import.TipoArredondamento&lt;&gt;"TransfereGOV",
              ROUND(OFFSET($P186,0,AQ$13),15-13*ORÇAMENTO!$AF$7)/$H186*OFFSET(ORÇAMENTO!$X$15,ROW(AQ186)-ROW(AQ$15),0),
              ROUND(ROUND(OFFSET($P186,0,AQ$13),15-13*ORÇAMENTO!$AF$7)*OFFSET(ORÇAMENTO!$W$15,ROW(AQ186)-ROW(AQ$15),0),15-13*ORÇAMENTO!$AF$11)),
         0)</f>
        <v>0</v>
      </c>
      <c r="AR186" s="453">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0</v>
      </c>
      <c r="AS186" s="453">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0</v>
      </c>
      <c r="AT186" s="453">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0</v>
      </c>
      <c r="AU186" s="453">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0</v>
      </c>
      <c r="AV186" s="453">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0</v>
      </c>
      <c r="AW186" s="453">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0</v>
      </c>
      <c r="AX186" s="453">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0</v>
      </c>
      <c r="AY186" s="453">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0</v>
      </c>
      <c r="AZ186" s="453">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0</v>
      </c>
      <c r="BA186" s="453">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0</v>
      </c>
      <c r="BC186" s="171">
        <f ca="1">IF(OR($D186&lt;&gt;"Serviço",AND(AUTOEVENTO="Manual",$M186=$A$15)),0,
         IF(OFFSET(CRONOPLE!$F$15,$M186-$A$15,BC$13)=0,10^12,OFFSET(CRONOPLE!$F$15,$M186-$A$15,BC$13)))</f>
        <v>1</v>
      </c>
      <c r="BD186" s="171">
        <f ca="1">IF(OR($D186&lt;&gt;"Serviço",AND(AUTOEVENTO="Manual",$M186=$A$15)),0,
         IF(OFFSET(CRONOPLE!$F$15,$M186-$A$15,BD$13)=0,10^12,OFFSET(CRONOPLE!$F$15,$M186-$A$15,BD$13)))</f>
        <v>2</v>
      </c>
      <c r="BE186" s="171">
        <f ca="1">IF(OR($D186&lt;&gt;"Serviço",AND(AUTOEVENTO="Manual",$M186=$A$15)),0,
         IF(OFFSET(CRONOPLE!$F$15,$M186-$A$15,BE$13)=0,10^12,OFFSET(CRONOPLE!$F$15,$M186-$A$15,BE$13)))</f>
        <v>3</v>
      </c>
      <c r="BF186" s="171">
        <f ca="1">IF(OR($D186&lt;&gt;"Serviço",AND(AUTOEVENTO="Manual",$M186=$A$15)),0,
         IF(OFFSET(CRONOPLE!$F$15,$M186-$A$15,BF$13)=0,10^12,OFFSET(CRONOPLE!$F$15,$M186-$A$15,BF$13)))</f>
        <v>4</v>
      </c>
      <c r="BG186" s="171">
        <f ca="1">IF(OR($D186&lt;&gt;"Serviço",AND(AUTOEVENTO="Manual",$M186=$A$15)),0,
         IF(OFFSET(CRONOPLE!$F$15,$M186-$A$15,BG$13)=0,10^12,OFFSET(CRONOPLE!$F$15,$M186-$A$15,BG$13)))</f>
        <v>5</v>
      </c>
      <c r="BH186" s="171">
        <f ca="1">IF(OR($D186&lt;&gt;"Serviço",AND(AUTOEVENTO="Manual",$M186=$A$15)),0,
         IF(OFFSET(CRONOPLE!$F$15,$M186-$A$15,BH$13)=0,10^12,OFFSET(CRONOPLE!$F$15,$M186-$A$15,BH$13)))</f>
        <v>6</v>
      </c>
      <c r="BI186" s="171">
        <f ca="1">IF(OR($D186&lt;&gt;"Serviço",AND(AUTOEVENTO="Manual",$M186=$A$15)),0,
         IF(OFFSET(CRONOPLE!$F$15,$M186-$A$15,BI$13)=0,10^12,OFFSET(CRONOPLE!$F$15,$M186-$A$15,BI$13)))</f>
        <v>7</v>
      </c>
      <c r="BJ186" s="171">
        <f ca="1">IF(OR($D186&lt;&gt;"Serviço",AND(AUTOEVENTO="Manual",$M186=$A$15)),0,
         IF(OFFSET(CRONOPLE!$F$15,$M186-$A$15,BJ$13)=0,10^12,OFFSET(CRONOPLE!$F$15,$M186-$A$15,BJ$13)))</f>
        <v>8</v>
      </c>
      <c r="BK186" s="171">
        <f ca="1">IF(OR($D186&lt;&gt;"Serviço",AND(AUTOEVENTO="Manual",$M186=$A$15)),0,
         IF(OFFSET(CRONOPLE!$F$15,$M186-$A$15,BK$13)=0,10^12,OFFSET(CRONOPLE!$F$15,$M186-$A$15,BK$13)))</f>
        <v>9</v>
      </c>
      <c r="BL186" s="171">
        <f ca="1">IF(OR($D186&lt;&gt;"Serviço",AND(AUTOEVENTO="Manual",$M186=$A$15)),0,
         IF(OFFSET(CRONOPLE!$F$15,$M186-$A$15,BL$13)=0,10^12,OFFSET(CRONOPLE!$F$15,$M186-$A$15,BL$13)))</f>
        <v>10</v>
      </c>
      <c r="BM186" s="171">
        <f ca="1">IF(OR($D186&lt;&gt;"Serviço",AND(AUTOEVENTO="Manual",$M186=$A$15)),0,
         IF(OFFSET(CRONOPLE!$F$15,$M186-$A$15,BM$13)=0,10^12,OFFSET(CRONOPLE!$F$15,$M186-$A$15,BM$13)))</f>
        <v>1000000000000</v>
      </c>
      <c r="BN186" s="171">
        <f ca="1">IF(OR($D186&lt;&gt;"Serviço",AND(AUTOEVENTO="Manual",$M186=$A$15)),0,
         IF(OFFSET(CRONOPLE!$F$15,$M186-$A$15,BN$13)=0,10^12,OFFSET(CRONOPLE!$F$15,$M186-$A$15,BN$13)))</f>
        <v>1000000000000</v>
      </c>
      <c r="BO186" s="171">
        <f ca="1">IF(OR($D186&lt;&gt;"Serviço",AND(AUTOEVENTO="Manual",$M186=$A$15)),0,
         IF(OFFSET(CRONOPLE!$F$15,$M186-$A$15,BO$13)=0,10^12,OFFSET(CRONOPLE!$F$15,$M186-$A$15,BO$13)))</f>
        <v>1000000000000</v>
      </c>
      <c r="BP186" s="171">
        <f ca="1">IF(OR($D186&lt;&gt;"Serviço",AND(AUTOEVENTO="Manual",$M186=$A$15)),0,
         IF(OFFSET(CRONOPLE!$F$15,$M186-$A$15,BP$13)=0,10^12,OFFSET(CRONOPLE!$F$15,$M186-$A$15,BP$13)))</f>
        <v>1000000000000</v>
      </c>
      <c r="BQ186" s="171">
        <f ca="1">IF(OR($D186&lt;&gt;"Serviço",AND(AUTOEVENTO="Manual",$M186=$A$15)),0,
         IF(OFFSET(CRONOPLE!$F$15,$M186-$A$15,BQ$13)=0,10^12,OFFSET(CRONOPLE!$F$15,$M186-$A$15,BQ$13)))</f>
        <v>1000000000000</v>
      </c>
      <c r="BR186" s="171">
        <f ca="1">IF(OR($D186&lt;&gt;"Serviço",AND(AUTOEVENTO="Manual",$M186=$A$15)),0,
         IF(OFFSET(CRONOPLE!$F$15,$M186-$A$15,BR$13)=0,10^12,OFFSET(CRONOPLE!$F$15,$M186-$A$15,BR$13)))</f>
        <v>1000000000000</v>
      </c>
      <c r="BS186" s="171">
        <f ca="1">IF(OR($D186&lt;&gt;"Serviço",AND(AUTOEVENTO="Manual",$M186=$A$15)),0,
         IF(OFFSET(CRONOPLE!$F$15,$M186-$A$15,BS$13)=0,10^12,OFFSET(CRONOPLE!$F$15,$M186-$A$15,BS$13)))</f>
        <v>1000000000000</v>
      </c>
      <c r="BT186" s="171">
        <f ca="1">IF(OR($D186&lt;&gt;"Serviço",AND(AUTOEVENTO="Manual",$M186=$A$15)),0,
         IF(OFFSET(CRONOPLE!$F$15,$M186-$A$15,BT$13)=0,10^12,OFFSET(CRONOPLE!$F$15,$M186-$A$15,BT$13)))</f>
        <v>1000000000000</v>
      </c>
      <c r="BV186" s="172">
        <f ca="1">IF(OR($D186&lt;&gt;"Serviço",AND(AUTOEVENTO="Manual",$M186=$A$15),$M186&gt;(ROW(PLE.lastrow)-ROW(PLE.firstrow))),0,
           IF(OFFSET(PLE!$G$15,$M186-$A$15,BV$13)="",10^12,OFFSET(PLE!$G$15,$M186-$A$15,BV$13)))</f>
        <v>1000000000000</v>
      </c>
      <c r="BW186" s="172">
        <f ca="1">IF(OR($D186&lt;&gt;"Serviço",AND(AUTOEVENTO="Manual",$M186=$A$15),$M186&gt;(ROW(PLE.lastrow)-ROW(PLE.firstrow))),0,
           IF(OFFSET(PLE!$G$15,$M186-$A$15,BW$13)="",10^12,OFFSET(PLE!$G$15,$M186-$A$15,BW$13)))</f>
        <v>1000000000000</v>
      </c>
      <c r="BX186" s="172">
        <f ca="1">IF(OR($D186&lt;&gt;"Serviço",AND(AUTOEVENTO="Manual",$M186=$A$15),$M186&gt;(ROW(PLE.lastrow)-ROW(PLE.firstrow))),0,
           IF(OFFSET(PLE!$G$15,$M186-$A$15,BX$13)="",10^12,OFFSET(PLE!$G$15,$M186-$A$15,BX$13)))</f>
        <v>1000000000000</v>
      </c>
      <c r="BY186" s="172">
        <f ca="1">IF(OR($D186&lt;&gt;"Serviço",AND(AUTOEVENTO="Manual",$M186=$A$15),$M186&gt;(ROW(PLE.lastrow)-ROW(PLE.firstrow))),0,
           IF(OFFSET(PLE!$G$15,$M186-$A$15,BY$13)="",10^12,OFFSET(PLE!$G$15,$M186-$A$15,BY$13)))</f>
        <v>1000000000000</v>
      </c>
      <c r="BZ186" s="172">
        <f ca="1">IF(OR($D186&lt;&gt;"Serviço",AND(AUTOEVENTO="Manual",$M186=$A$15),$M186&gt;(ROW(PLE.lastrow)-ROW(PLE.firstrow))),0,
           IF(OFFSET(PLE!$G$15,$M186-$A$15,BZ$13)="",10^12,OFFSET(PLE!$G$15,$M186-$A$15,BZ$13)))</f>
        <v>1000000000000</v>
      </c>
      <c r="CA186" s="172">
        <f ca="1">IF(OR($D186&lt;&gt;"Serviço",AND(AUTOEVENTO="Manual",$M186=$A$15),$M186&gt;(ROW(PLE.lastrow)-ROW(PLE.firstrow))),0,
           IF(OFFSET(PLE!$G$15,$M186-$A$15,CA$13)="",10^12,OFFSET(PLE!$G$15,$M186-$A$15,CA$13)))</f>
        <v>1000000000000</v>
      </c>
      <c r="CB186" s="172">
        <f ca="1">IF(OR($D186&lt;&gt;"Serviço",AND(AUTOEVENTO="Manual",$M186=$A$15),$M186&gt;(ROW(PLE.lastrow)-ROW(PLE.firstrow))),0,
           IF(OFFSET(PLE!$G$15,$M186-$A$15,CB$13)="",10^12,OFFSET(PLE!$G$15,$M186-$A$15,CB$13)))</f>
        <v>1000000000000</v>
      </c>
      <c r="CC186" s="172">
        <f ca="1">IF(OR($D186&lt;&gt;"Serviço",AND(AUTOEVENTO="Manual",$M186=$A$15),$M186&gt;(ROW(PLE.lastrow)-ROW(PLE.firstrow))),0,
           IF(OFFSET(PLE!$G$15,$M186-$A$15,CC$13)="",10^12,OFFSET(PLE!$G$15,$M186-$A$15,CC$13)))</f>
        <v>1000000000000</v>
      </c>
      <c r="CD186" s="172">
        <f ca="1">IF(OR($D186&lt;&gt;"Serviço",AND(AUTOEVENTO="Manual",$M186=$A$15),$M186&gt;(ROW(PLE.lastrow)-ROW(PLE.firstrow))),0,
           IF(OFFSET(PLE!$G$15,$M186-$A$15,CD$13)="",10^12,OFFSET(PLE!$G$15,$M186-$A$15,CD$13)))</f>
        <v>1000000000000</v>
      </c>
      <c r="CE186" s="172">
        <f ca="1">IF(OR($D186&lt;&gt;"Serviço",AND(AUTOEVENTO="Manual",$M186=$A$15),$M186&gt;(ROW(PLE.lastrow)-ROW(PLE.firstrow))),0,
           IF(OFFSET(PLE!$G$15,$M186-$A$15,CE$13)="",10^12,OFFSET(PLE!$G$15,$M186-$A$15,CE$13)))</f>
        <v>1000000000000</v>
      </c>
      <c r="CF186" s="172">
        <f ca="1">IF(OR($D186&lt;&gt;"Serviço",AND(AUTOEVENTO="Manual",$M186=$A$15),$M186&gt;(ROW(PLE.lastrow)-ROW(PLE.firstrow))),0,
           IF(OFFSET(PLE!$G$15,$M186-$A$15,CF$13)="",10^12,OFFSET(PLE!$G$15,$M186-$A$15,CF$13)))</f>
        <v>1000000000000</v>
      </c>
      <c r="CG186" s="172">
        <f ca="1">IF(OR($D186&lt;&gt;"Serviço",AND(AUTOEVENTO="Manual",$M186=$A$15),$M186&gt;(ROW(PLE.lastrow)-ROW(PLE.firstrow))),0,
           IF(OFFSET(PLE!$G$15,$M186-$A$15,CG$13)="",10^12,OFFSET(PLE!$G$15,$M186-$A$15,CG$13)))</f>
        <v>1000000000000</v>
      </c>
      <c r="CH186" s="172">
        <f ca="1">IF(OR($D186&lt;&gt;"Serviço",AND(AUTOEVENTO="Manual",$M186=$A$15),$M186&gt;(ROW(PLE.lastrow)-ROW(PLE.firstrow))),0,
           IF(OFFSET(PLE!$G$15,$M186-$A$15,CH$13)="",10^12,OFFSET(PLE!$G$15,$M186-$A$15,CH$13)))</f>
        <v>1000000000000</v>
      </c>
      <c r="CI186" s="172">
        <f ca="1">IF(OR($D186&lt;&gt;"Serviço",AND(AUTOEVENTO="Manual",$M186=$A$15),$M186&gt;(ROW(PLE.lastrow)-ROW(PLE.firstrow))),0,
           IF(OFFSET(PLE!$G$15,$M186-$A$15,CI$13)="",10^12,OFFSET(PLE!$G$15,$M186-$A$15,CI$13)))</f>
        <v>1000000000000</v>
      </c>
      <c r="CJ186" s="172">
        <f ca="1">IF(OR($D186&lt;&gt;"Serviço",AND(AUTOEVENTO="Manual",$M186=$A$15),$M186&gt;(ROW(PLE.lastrow)-ROW(PLE.firstrow))),0,
           IF(OFFSET(PLE!$G$15,$M186-$A$15,CJ$13)="",10^12,OFFSET(PLE!$G$15,$M186-$A$15,CJ$13)))</f>
        <v>1000000000000</v>
      </c>
      <c r="CK186" s="172">
        <f ca="1">IF(OR($D186&lt;&gt;"Serviço",AND(AUTOEVENTO="Manual",$M186=$A$15),$M186&gt;(ROW(PLE.lastrow)-ROW(PLE.firstrow))),0,
           IF(OFFSET(PLE!$G$15,$M186-$A$15,CK$13)="",10^12,OFFSET(PLE!$G$15,$M186-$A$15,CK$13)))</f>
        <v>1000000000000</v>
      </c>
      <c r="CL186" s="172">
        <f ca="1">IF(OR($D186&lt;&gt;"Serviço",AND(AUTOEVENTO="Manual",$M186=$A$15),$M186&gt;(ROW(PLE.lastrow)-ROW(PLE.firstrow))),0,
           IF(OFFSET(PLE!$G$15,$M186-$A$15,CL$13)="",10^12,OFFSET(PLE!$G$15,$M186-$A$15,CL$13)))</f>
        <v>1000000000000</v>
      </c>
      <c r="CM186" s="172">
        <f ca="1">IF(OR($D186&lt;&gt;"Serviço",AND(AUTOEVENTO="Manual",$M186=$A$15),$M186&gt;(ROW(PLE.lastrow)-ROW(PLE.firstrow))),0,
           IF(OFFSET(PLE!$G$15,$M186-$A$15,CM$13)="",10^12,OFFSET(PLE!$G$15,$M186-$A$15,CM$13)))</f>
        <v>1000000000000</v>
      </c>
    </row>
    <row r="187" spans="1:91" ht="38.25" x14ac:dyDescent="0.2">
      <c r="A187" s="7">
        <f t="shared" ca="1" si="12"/>
        <v>4</v>
      </c>
      <c r="B187" s="7" t="str">
        <f ca="1">OFFSET(ORÇAMENTO!C$15,ROW(B187)-ROW(B$15),0)</f>
        <v>S</v>
      </c>
      <c r="C187" s="7" t="str">
        <f ca="1">OFFSET(ORÇAMENTO!L$15,ROW(C187)-ROW(C$15),0)</f>
        <v>F</v>
      </c>
      <c r="D187" s="116" t="str">
        <f ca="1">OFFSET(ORÇAMENTO!N$15,ROW(D187)-ROW(D$15),0)</f>
        <v>Serviço</v>
      </c>
      <c r="E187" s="117" t="str">
        <f ca="1">OFFSET(ORÇAMENTO!O$15,ROW(E187)-ROW(E$15),0)</f>
        <v>1.5.5.3.14.</v>
      </c>
      <c r="F187" s="163" t="str">
        <f ca="1">OFFSET(ORÇAMENTO!R$15,ROW(F187)-ROW(F$15),0)</f>
        <v>ESPALHAMENTO DE MATERIAL COM TRATOR DE ESTEIRAS. AF_09/2024</v>
      </c>
      <c r="G187" s="164" t="str">
        <f ca="1">IF($D187&lt;&gt;"Serviço","",OFFSET(ORÇAMENTO!S$15,ROW(G187)-ROW(G$15),0))</f>
        <v>M3</v>
      </c>
      <c r="H187" s="122" cm="1">
        <f t="array" aca="1" ref="H187" ca="1">IF($D187&lt;&gt;"Serviço",0,IF(ACOMPANHAMENTO="BM",ROUND(OFFSET(ORÇAMENTO!AJ$15,ROW(H187)-ROW(H$15),0),15-13*ORÇAMENTO!$AF$7),SUMPRODUCT(($Q$1:$AI$1=1)*ROUND($Q187:$AI187,15-13*ORÇAMENTO!$AF$7))))</f>
        <v>0.78</v>
      </c>
      <c r="I187" s="468" t="s">
        <v>1338</v>
      </c>
      <c r="J187" s="640" t="str" cm="1">
        <f t="array" aca="1" ref="J187" ca="1">IF(OR(B187&lt;&gt;"S",CÁLCULO.FrentesPreenchidas=0),"",IF(AND(ACOMPANHAMENTO="PLE",AUTOEVENTO="Manual",OR(H187&gt;0,ORÇAMENTO!AC187="QUANT."),OR(K187="",M187=0,N187="")),"►E",IF(AND(ACOMPANHAMENTO="PLE",ORÇAMENTO!AC187="QUANT."),"►Q",IF(AND(ACOMPANHAMENTO="PLE",H187&lt;&gt;SUMPRODUCT(($Q$1:$AI$1=1)*ROUND(Q187:AI187,15))),"►S",IF(AND(COUNTIF($P$11:$AI$11,"▼")=0,H187&gt;0,I187=""),"◄M","")))))</f>
        <v/>
      </c>
      <c r="K187" s="641" t="s">
        <v>1389</v>
      </c>
      <c r="L187" s="165" t="s">
        <v>764</v>
      </c>
      <c r="M187" s="166">
        <f ca="1">IF($D187&lt;&gt;"Serviço","",
          IF(AUTOEVENTO="manual",$A187,
                IF(ISERROR(MATCH($A187,$A$15:OFFSET($A187,-1,0),0)),MAX($M$15:OFFSET(M187,-1,0))+1,
                      INDEX($M$15:OFFSET(M187,-1,0),MATCH($A187,$A$15:OFFSET($A187,-1,0),0)))))</f>
        <v>4</v>
      </c>
      <c r="N187" s="167" t="str">
        <f ca="1">IF($D187&lt;&gt;"Serviço","",
         IF(AUTOEVENTO="Manual",
                IF($A187=0,"&lt;-- defina o número do agrupador",
                       OFFSET(EVENTOS!$D$15,$A187-$A$15,0)),
                OFFSET($F$15,$A187,0)))</f>
        <v>Estruturas de Concreto</v>
      </c>
      <c r="O187" s="168"/>
      <c r="Q187" s="168"/>
      <c r="R187" s="169"/>
      <c r="S187" s="169"/>
      <c r="T187" s="169"/>
      <c r="U187" s="169"/>
      <c r="V187" s="169">
        <v>0.78</v>
      </c>
      <c r="W187" s="169"/>
      <c r="X187" s="169"/>
      <c r="Y187" s="169"/>
      <c r="Z187" s="170"/>
      <c r="AA187" s="169"/>
      <c r="AB187" s="169"/>
      <c r="AC187" s="169"/>
      <c r="AD187" s="169"/>
      <c r="AE187" s="169"/>
      <c r="AF187" s="169"/>
      <c r="AG187" s="169"/>
      <c r="AH187" s="170"/>
      <c r="AJ187" s="453">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0</v>
      </c>
      <c r="AK187" s="453">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0</v>
      </c>
      <c r="AL187" s="453">
        <f ca="1">IF(AND($D187="Serviço",AL$12&lt;&gt;0,$H187&gt;0,OR(AUTOEVENTO&lt;&gt;"manual",$M187&lt;&gt;$A$15)),
        IF(Import.TipoArredondamento&lt;&gt;"TransfereGOV",
              ROUND(OFFSET($P187,0,AL$13),15-13*ORÇAMENTO!$AF$7)/$H187*OFFSET(ORÇAMENTO!$X$15,ROW(AL187)-ROW(AL$15),0),
              ROUND(ROUND(OFFSET($P187,0,AL$13),15-13*ORÇAMENTO!$AF$7)*OFFSET(ORÇAMENTO!$W$15,ROW(AL187)-ROW(AL$15),0),15-13*ORÇAMENTO!$AF$11)),
         0)</f>
        <v>0</v>
      </c>
      <c r="AM187" s="453">
        <f ca="1">IF(AND($D187="Serviço",AM$12&lt;&gt;0,$H187&gt;0,OR(AUTOEVENTO&lt;&gt;"manual",$M187&lt;&gt;$A$15)),
        IF(Import.TipoArredondamento&lt;&gt;"TransfereGOV",
              ROUND(OFFSET($P187,0,AM$13),15-13*ORÇAMENTO!$AF$7)/$H187*OFFSET(ORÇAMENTO!$X$15,ROW(AM187)-ROW(AM$15),0),
              ROUND(ROUND(OFFSET($P187,0,AM$13),15-13*ORÇAMENTO!$AF$7)*OFFSET(ORÇAMENTO!$W$15,ROW(AM187)-ROW(AM$15),0),15-13*ORÇAMENTO!$AF$11)),
         0)</f>
        <v>0</v>
      </c>
      <c r="AN187" s="453">
        <f ca="1">IF(AND($D187="Serviço",AN$12&lt;&gt;0,$H187&gt;0,OR(AUTOEVENTO&lt;&gt;"manual",$M187&lt;&gt;$A$15)),
        IF(Import.TipoArredondamento&lt;&gt;"TransfereGOV",
              ROUND(OFFSET($P187,0,AN$13),15-13*ORÇAMENTO!$AF$7)/$H187*OFFSET(ORÇAMENTO!$X$15,ROW(AN187)-ROW(AN$15),0),
              ROUND(ROUND(OFFSET($P187,0,AN$13),15-13*ORÇAMENTO!$AF$7)*OFFSET(ORÇAMENTO!$W$15,ROW(AN187)-ROW(AN$15),0),15-13*ORÇAMENTO!$AF$11)),
         0)</f>
        <v>0</v>
      </c>
      <c r="AO187" s="453">
        <f ca="1">IF(AND($D187="Serviço",AO$12&lt;&gt;0,$H187&gt;0,OR(AUTOEVENTO&lt;&gt;"manual",$M187&lt;&gt;$A$15)),
        IF(Import.TipoArredondamento&lt;&gt;"TransfereGOV",
              ROUND(OFFSET($P187,0,AO$13),15-13*ORÇAMENTO!$AF$7)/$H187*OFFSET(ORÇAMENTO!$X$15,ROW(AO187)-ROW(AO$15),0),
              ROUND(ROUND(OFFSET($P187,0,AO$13),15-13*ORÇAMENTO!$AF$7)*OFFSET(ORÇAMENTO!$W$15,ROW(AO187)-ROW(AO$15),0),15-13*ORÇAMENTO!$AF$11)),
         0)</f>
        <v>0</v>
      </c>
      <c r="AP187" s="453">
        <f ca="1">IF(AND($D187="Serviço",AP$12&lt;&gt;0,$H187&gt;0,OR(AUTOEVENTO&lt;&gt;"manual",$M187&lt;&gt;$A$15)),
        IF(Import.TipoArredondamento&lt;&gt;"TransfereGOV",
              ROUND(OFFSET($P187,0,AP$13),15-13*ORÇAMENTO!$AF$7)/$H187*OFFSET(ORÇAMENTO!$X$15,ROW(AP187)-ROW(AP$15),0),
              ROUND(ROUND(OFFSET($P187,0,AP$13),15-13*ORÇAMENTO!$AF$7)*OFFSET(ORÇAMENTO!$W$15,ROW(AP187)-ROW(AP$15),0),15-13*ORÇAMENTO!$AF$11)),
         0)</f>
        <v>0</v>
      </c>
      <c r="AQ187" s="453">
        <f ca="1">IF(AND($D187="Serviço",AQ$12&lt;&gt;0,$H187&gt;0,OR(AUTOEVENTO&lt;&gt;"manual",$M187&lt;&gt;$A$15)),
        IF(Import.TipoArredondamento&lt;&gt;"TransfereGOV",
              ROUND(OFFSET($P187,0,AQ$13),15-13*ORÇAMENTO!$AF$7)/$H187*OFFSET(ORÇAMENTO!$X$15,ROW(AQ187)-ROW(AQ$15),0),
              ROUND(ROUND(OFFSET($P187,0,AQ$13),15-13*ORÇAMENTO!$AF$7)*OFFSET(ORÇAMENTO!$W$15,ROW(AQ187)-ROW(AQ$15),0),15-13*ORÇAMENTO!$AF$11)),
         0)</f>
        <v>0</v>
      </c>
      <c r="AR187" s="453">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0</v>
      </c>
      <c r="AS187" s="453">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0</v>
      </c>
      <c r="AT187" s="453">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0</v>
      </c>
      <c r="AU187" s="453">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0</v>
      </c>
      <c r="AV187" s="453">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0</v>
      </c>
      <c r="AW187" s="453">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0</v>
      </c>
      <c r="AX187" s="453">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0</v>
      </c>
      <c r="AY187" s="453">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0</v>
      </c>
      <c r="AZ187" s="453">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0</v>
      </c>
      <c r="BA187" s="453">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0</v>
      </c>
      <c r="BC187" s="171">
        <f ca="1">IF(OR($D187&lt;&gt;"Serviço",AND(AUTOEVENTO="Manual",$M187=$A$15)),0,
         IF(OFFSET(CRONOPLE!$F$15,$M187-$A$15,BC$13)=0,10^12,OFFSET(CRONOPLE!$F$15,$M187-$A$15,BC$13)))</f>
        <v>1</v>
      </c>
      <c r="BD187" s="171">
        <f ca="1">IF(OR($D187&lt;&gt;"Serviço",AND(AUTOEVENTO="Manual",$M187=$A$15)),0,
         IF(OFFSET(CRONOPLE!$F$15,$M187-$A$15,BD$13)=0,10^12,OFFSET(CRONOPLE!$F$15,$M187-$A$15,BD$13)))</f>
        <v>2</v>
      </c>
      <c r="BE187" s="171">
        <f ca="1">IF(OR($D187&lt;&gt;"Serviço",AND(AUTOEVENTO="Manual",$M187=$A$15)),0,
         IF(OFFSET(CRONOPLE!$F$15,$M187-$A$15,BE$13)=0,10^12,OFFSET(CRONOPLE!$F$15,$M187-$A$15,BE$13)))</f>
        <v>3</v>
      </c>
      <c r="BF187" s="171">
        <f ca="1">IF(OR($D187&lt;&gt;"Serviço",AND(AUTOEVENTO="Manual",$M187=$A$15)),0,
         IF(OFFSET(CRONOPLE!$F$15,$M187-$A$15,BF$13)=0,10^12,OFFSET(CRONOPLE!$F$15,$M187-$A$15,BF$13)))</f>
        <v>4</v>
      </c>
      <c r="BG187" s="171">
        <f ca="1">IF(OR($D187&lt;&gt;"Serviço",AND(AUTOEVENTO="Manual",$M187=$A$15)),0,
         IF(OFFSET(CRONOPLE!$F$15,$M187-$A$15,BG$13)=0,10^12,OFFSET(CRONOPLE!$F$15,$M187-$A$15,BG$13)))</f>
        <v>5</v>
      </c>
      <c r="BH187" s="171">
        <f ca="1">IF(OR($D187&lt;&gt;"Serviço",AND(AUTOEVENTO="Manual",$M187=$A$15)),0,
         IF(OFFSET(CRONOPLE!$F$15,$M187-$A$15,BH$13)=0,10^12,OFFSET(CRONOPLE!$F$15,$M187-$A$15,BH$13)))</f>
        <v>6</v>
      </c>
      <c r="BI187" s="171">
        <f ca="1">IF(OR($D187&lt;&gt;"Serviço",AND(AUTOEVENTO="Manual",$M187=$A$15)),0,
         IF(OFFSET(CRONOPLE!$F$15,$M187-$A$15,BI$13)=0,10^12,OFFSET(CRONOPLE!$F$15,$M187-$A$15,BI$13)))</f>
        <v>7</v>
      </c>
      <c r="BJ187" s="171">
        <f ca="1">IF(OR($D187&lt;&gt;"Serviço",AND(AUTOEVENTO="Manual",$M187=$A$15)),0,
         IF(OFFSET(CRONOPLE!$F$15,$M187-$A$15,BJ$13)=0,10^12,OFFSET(CRONOPLE!$F$15,$M187-$A$15,BJ$13)))</f>
        <v>8</v>
      </c>
      <c r="BK187" s="171">
        <f ca="1">IF(OR($D187&lt;&gt;"Serviço",AND(AUTOEVENTO="Manual",$M187=$A$15)),0,
         IF(OFFSET(CRONOPLE!$F$15,$M187-$A$15,BK$13)=0,10^12,OFFSET(CRONOPLE!$F$15,$M187-$A$15,BK$13)))</f>
        <v>9</v>
      </c>
      <c r="BL187" s="171">
        <f ca="1">IF(OR($D187&lt;&gt;"Serviço",AND(AUTOEVENTO="Manual",$M187=$A$15)),0,
         IF(OFFSET(CRONOPLE!$F$15,$M187-$A$15,BL$13)=0,10^12,OFFSET(CRONOPLE!$F$15,$M187-$A$15,BL$13)))</f>
        <v>10</v>
      </c>
      <c r="BM187" s="171">
        <f ca="1">IF(OR($D187&lt;&gt;"Serviço",AND(AUTOEVENTO="Manual",$M187=$A$15)),0,
         IF(OFFSET(CRONOPLE!$F$15,$M187-$A$15,BM$13)=0,10^12,OFFSET(CRONOPLE!$F$15,$M187-$A$15,BM$13)))</f>
        <v>1000000000000</v>
      </c>
      <c r="BN187" s="171">
        <f ca="1">IF(OR($D187&lt;&gt;"Serviço",AND(AUTOEVENTO="Manual",$M187=$A$15)),0,
         IF(OFFSET(CRONOPLE!$F$15,$M187-$A$15,BN$13)=0,10^12,OFFSET(CRONOPLE!$F$15,$M187-$A$15,BN$13)))</f>
        <v>1000000000000</v>
      </c>
      <c r="BO187" s="171">
        <f ca="1">IF(OR($D187&lt;&gt;"Serviço",AND(AUTOEVENTO="Manual",$M187=$A$15)),0,
         IF(OFFSET(CRONOPLE!$F$15,$M187-$A$15,BO$13)=0,10^12,OFFSET(CRONOPLE!$F$15,$M187-$A$15,BO$13)))</f>
        <v>1000000000000</v>
      </c>
      <c r="BP187" s="171">
        <f ca="1">IF(OR($D187&lt;&gt;"Serviço",AND(AUTOEVENTO="Manual",$M187=$A$15)),0,
         IF(OFFSET(CRONOPLE!$F$15,$M187-$A$15,BP$13)=0,10^12,OFFSET(CRONOPLE!$F$15,$M187-$A$15,BP$13)))</f>
        <v>1000000000000</v>
      </c>
      <c r="BQ187" s="171">
        <f ca="1">IF(OR($D187&lt;&gt;"Serviço",AND(AUTOEVENTO="Manual",$M187=$A$15)),0,
         IF(OFFSET(CRONOPLE!$F$15,$M187-$A$15,BQ$13)=0,10^12,OFFSET(CRONOPLE!$F$15,$M187-$A$15,BQ$13)))</f>
        <v>1000000000000</v>
      </c>
      <c r="BR187" s="171">
        <f ca="1">IF(OR($D187&lt;&gt;"Serviço",AND(AUTOEVENTO="Manual",$M187=$A$15)),0,
         IF(OFFSET(CRONOPLE!$F$15,$M187-$A$15,BR$13)=0,10^12,OFFSET(CRONOPLE!$F$15,$M187-$A$15,BR$13)))</f>
        <v>1000000000000</v>
      </c>
      <c r="BS187" s="171">
        <f ca="1">IF(OR($D187&lt;&gt;"Serviço",AND(AUTOEVENTO="Manual",$M187=$A$15)),0,
         IF(OFFSET(CRONOPLE!$F$15,$M187-$A$15,BS$13)=0,10^12,OFFSET(CRONOPLE!$F$15,$M187-$A$15,BS$13)))</f>
        <v>1000000000000</v>
      </c>
      <c r="BT187" s="171">
        <f ca="1">IF(OR($D187&lt;&gt;"Serviço",AND(AUTOEVENTO="Manual",$M187=$A$15)),0,
         IF(OFFSET(CRONOPLE!$F$15,$M187-$A$15,BT$13)=0,10^12,OFFSET(CRONOPLE!$F$15,$M187-$A$15,BT$13)))</f>
        <v>1000000000000</v>
      </c>
      <c r="BV187" s="172">
        <f ca="1">IF(OR($D187&lt;&gt;"Serviço",AND(AUTOEVENTO="Manual",$M187=$A$15),$M187&gt;(ROW(PLE.lastrow)-ROW(PLE.firstrow))),0,
           IF(OFFSET(PLE!$G$15,$M187-$A$15,BV$13)="",10^12,OFFSET(PLE!$G$15,$M187-$A$15,BV$13)))</f>
        <v>1000000000000</v>
      </c>
      <c r="BW187" s="172">
        <f ca="1">IF(OR($D187&lt;&gt;"Serviço",AND(AUTOEVENTO="Manual",$M187=$A$15),$M187&gt;(ROW(PLE.lastrow)-ROW(PLE.firstrow))),0,
           IF(OFFSET(PLE!$G$15,$M187-$A$15,BW$13)="",10^12,OFFSET(PLE!$G$15,$M187-$A$15,BW$13)))</f>
        <v>1000000000000</v>
      </c>
      <c r="BX187" s="172">
        <f ca="1">IF(OR($D187&lt;&gt;"Serviço",AND(AUTOEVENTO="Manual",$M187=$A$15),$M187&gt;(ROW(PLE.lastrow)-ROW(PLE.firstrow))),0,
           IF(OFFSET(PLE!$G$15,$M187-$A$15,BX$13)="",10^12,OFFSET(PLE!$G$15,$M187-$A$15,BX$13)))</f>
        <v>1000000000000</v>
      </c>
      <c r="BY187" s="172">
        <f ca="1">IF(OR($D187&lt;&gt;"Serviço",AND(AUTOEVENTO="Manual",$M187=$A$15),$M187&gt;(ROW(PLE.lastrow)-ROW(PLE.firstrow))),0,
           IF(OFFSET(PLE!$G$15,$M187-$A$15,BY$13)="",10^12,OFFSET(PLE!$G$15,$M187-$A$15,BY$13)))</f>
        <v>1000000000000</v>
      </c>
      <c r="BZ187" s="172">
        <f ca="1">IF(OR($D187&lt;&gt;"Serviço",AND(AUTOEVENTO="Manual",$M187=$A$15),$M187&gt;(ROW(PLE.lastrow)-ROW(PLE.firstrow))),0,
           IF(OFFSET(PLE!$G$15,$M187-$A$15,BZ$13)="",10^12,OFFSET(PLE!$G$15,$M187-$A$15,BZ$13)))</f>
        <v>1000000000000</v>
      </c>
      <c r="CA187" s="172">
        <f ca="1">IF(OR($D187&lt;&gt;"Serviço",AND(AUTOEVENTO="Manual",$M187=$A$15),$M187&gt;(ROW(PLE.lastrow)-ROW(PLE.firstrow))),0,
           IF(OFFSET(PLE!$G$15,$M187-$A$15,CA$13)="",10^12,OFFSET(PLE!$G$15,$M187-$A$15,CA$13)))</f>
        <v>1000000000000</v>
      </c>
      <c r="CB187" s="172">
        <f ca="1">IF(OR($D187&lt;&gt;"Serviço",AND(AUTOEVENTO="Manual",$M187=$A$15),$M187&gt;(ROW(PLE.lastrow)-ROW(PLE.firstrow))),0,
           IF(OFFSET(PLE!$G$15,$M187-$A$15,CB$13)="",10^12,OFFSET(PLE!$G$15,$M187-$A$15,CB$13)))</f>
        <v>1000000000000</v>
      </c>
      <c r="CC187" s="172">
        <f ca="1">IF(OR($D187&lt;&gt;"Serviço",AND(AUTOEVENTO="Manual",$M187=$A$15),$M187&gt;(ROW(PLE.lastrow)-ROW(PLE.firstrow))),0,
           IF(OFFSET(PLE!$G$15,$M187-$A$15,CC$13)="",10^12,OFFSET(PLE!$G$15,$M187-$A$15,CC$13)))</f>
        <v>1000000000000</v>
      </c>
      <c r="CD187" s="172">
        <f ca="1">IF(OR($D187&lt;&gt;"Serviço",AND(AUTOEVENTO="Manual",$M187=$A$15),$M187&gt;(ROW(PLE.lastrow)-ROW(PLE.firstrow))),0,
           IF(OFFSET(PLE!$G$15,$M187-$A$15,CD$13)="",10^12,OFFSET(PLE!$G$15,$M187-$A$15,CD$13)))</f>
        <v>1000000000000</v>
      </c>
      <c r="CE187" s="172">
        <f ca="1">IF(OR($D187&lt;&gt;"Serviço",AND(AUTOEVENTO="Manual",$M187=$A$15),$M187&gt;(ROW(PLE.lastrow)-ROW(PLE.firstrow))),0,
           IF(OFFSET(PLE!$G$15,$M187-$A$15,CE$13)="",10^12,OFFSET(PLE!$G$15,$M187-$A$15,CE$13)))</f>
        <v>1000000000000</v>
      </c>
      <c r="CF187" s="172">
        <f ca="1">IF(OR($D187&lt;&gt;"Serviço",AND(AUTOEVENTO="Manual",$M187=$A$15),$M187&gt;(ROW(PLE.lastrow)-ROW(PLE.firstrow))),0,
           IF(OFFSET(PLE!$G$15,$M187-$A$15,CF$13)="",10^12,OFFSET(PLE!$G$15,$M187-$A$15,CF$13)))</f>
        <v>1000000000000</v>
      </c>
      <c r="CG187" s="172">
        <f ca="1">IF(OR($D187&lt;&gt;"Serviço",AND(AUTOEVENTO="Manual",$M187=$A$15),$M187&gt;(ROW(PLE.lastrow)-ROW(PLE.firstrow))),0,
           IF(OFFSET(PLE!$G$15,$M187-$A$15,CG$13)="",10^12,OFFSET(PLE!$G$15,$M187-$A$15,CG$13)))</f>
        <v>1000000000000</v>
      </c>
      <c r="CH187" s="172">
        <f ca="1">IF(OR($D187&lt;&gt;"Serviço",AND(AUTOEVENTO="Manual",$M187=$A$15),$M187&gt;(ROW(PLE.lastrow)-ROW(PLE.firstrow))),0,
           IF(OFFSET(PLE!$G$15,$M187-$A$15,CH$13)="",10^12,OFFSET(PLE!$G$15,$M187-$A$15,CH$13)))</f>
        <v>1000000000000</v>
      </c>
      <c r="CI187" s="172">
        <f ca="1">IF(OR($D187&lt;&gt;"Serviço",AND(AUTOEVENTO="Manual",$M187=$A$15),$M187&gt;(ROW(PLE.lastrow)-ROW(PLE.firstrow))),0,
           IF(OFFSET(PLE!$G$15,$M187-$A$15,CI$13)="",10^12,OFFSET(PLE!$G$15,$M187-$A$15,CI$13)))</f>
        <v>1000000000000</v>
      </c>
      <c r="CJ187" s="172">
        <f ca="1">IF(OR($D187&lt;&gt;"Serviço",AND(AUTOEVENTO="Manual",$M187=$A$15),$M187&gt;(ROW(PLE.lastrow)-ROW(PLE.firstrow))),0,
           IF(OFFSET(PLE!$G$15,$M187-$A$15,CJ$13)="",10^12,OFFSET(PLE!$G$15,$M187-$A$15,CJ$13)))</f>
        <v>1000000000000</v>
      </c>
      <c r="CK187" s="172">
        <f ca="1">IF(OR($D187&lt;&gt;"Serviço",AND(AUTOEVENTO="Manual",$M187=$A$15),$M187&gt;(ROW(PLE.lastrow)-ROW(PLE.firstrow))),0,
           IF(OFFSET(PLE!$G$15,$M187-$A$15,CK$13)="",10^12,OFFSET(PLE!$G$15,$M187-$A$15,CK$13)))</f>
        <v>1000000000000</v>
      </c>
      <c r="CL187" s="172">
        <f ca="1">IF(OR($D187&lt;&gt;"Serviço",AND(AUTOEVENTO="Manual",$M187=$A$15),$M187&gt;(ROW(PLE.lastrow)-ROW(PLE.firstrow))),0,
           IF(OFFSET(PLE!$G$15,$M187-$A$15,CL$13)="",10^12,OFFSET(PLE!$G$15,$M187-$A$15,CL$13)))</f>
        <v>1000000000000</v>
      </c>
      <c r="CM187" s="172">
        <f ca="1">IF(OR($D187&lt;&gt;"Serviço",AND(AUTOEVENTO="Manual",$M187=$A$15),$M187&gt;(ROW(PLE.lastrow)-ROW(PLE.firstrow))),0,
           IF(OFFSET(PLE!$G$15,$M187-$A$15,CM$13)="",10^12,OFFSET(PLE!$G$15,$M187-$A$15,CM$13)))</f>
        <v>1000000000000</v>
      </c>
    </row>
    <row r="188" spans="1:91" ht="12.75" x14ac:dyDescent="0.2">
      <c r="A188" s="7">
        <f t="shared" ca="1" si="12"/>
        <v>0</v>
      </c>
      <c r="B188" s="7">
        <f ca="1">OFFSET(ORÇAMENTO!C$15,ROW(B188)-ROW(B$15),0)</f>
        <v>4</v>
      </c>
      <c r="C188" s="7" t="str">
        <f ca="1">OFFSET(ORÇAMENTO!L$15,ROW(C188)-ROW(C$15),0)</f>
        <v>F</v>
      </c>
      <c r="D188" s="116" t="str">
        <f ca="1">OFFSET(ORÇAMENTO!N$15,ROW(D188)-ROW(D$15),0)</f>
        <v>Nível 4</v>
      </c>
      <c r="E188" s="117" t="str">
        <f ca="1">OFFSET(ORÇAMENTO!O$15,ROW(E188)-ROW(E$15),0)</f>
        <v>1.5.5.4.</v>
      </c>
      <c r="F188" s="163" t="str">
        <f ca="1">OFFSET(ORÇAMENTO!R$15,ROW(F188)-ROW(F$15),0)</f>
        <v>PILARES E VIGAS</v>
      </c>
      <c r="G188" s="164" t="str">
        <f ca="1">IF($D188&lt;&gt;"Serviço","",OFFSET(ORÇAMENTO!S$15,ROW(G188)-ROW(G$15),0))</f>
        <v/>
      </c>
      <c r="H188" s="122" cm="1">
        <f t="array" aca="1" ref="H188" ca="1">IF($D188&lt;&gt;"Serviço",0,IF(ACOMPANHAMENTO="BM",ROUND(OFFSET(ORÇAMENTO!AJ$15,ROW(H188)-ROW(H$15),0),15-13*ORÇAMENTO!$AF$7),SUMPRODUCT(($Q$1:$AI$1=1)*ROUND($Q188:$AI188,15-13*ORÇAMENTO!$AF$7))))</f>
        <v>0</v>
      </c>
      <c r="I188" s="468"/>
      <c r="J188" s="640" t="str" cm="1">
        <f t="array" aca="1" ref="J188" ca="1">IF(OR(B188&lt;&gt;"S",CÁLCULO.FrentesPreenchidas=0),"",IF(AND(ACOMPANHAMENTO="PLE",AUTOEVENTO="Manual",OR(H188&gt;0,ORÇAMENTO!AC188="QUANT."),OR(K188="",M188=0,N188="")),"►E",IF(AND(ACOMPANHAMENTO="PLE",ORÇAMENTO!AC188="QUANT."),"►Q",IF(AND(ACOMPANHAMENTO="PLE",H188&lt;&gt;SUMPRODUCT(($Q$1:$AI$1=1)*ROUND(Q188:AI188,15))),"►S",IF(AND(COUNTIF($P$11:$AI$11,"▼")=0,H188&gt;0,I188=""),"◄M","")))))</f>
        <v/>
      </c>
      <c r="K188" s="641"/>
      <c r="L188" s="165" t="s">
        <v>764</v>
      </c>
      <c r="M188" s="166" t="str">
        <f ca="1">IF($D188&lt;&gt;"Serviço","",
          IF(AUTOEVENTO="manual",$A188,
                IF(ISERROR(MATCH($A188,$A$15:OFFSET($A188,-1,0),0)),MAX($M$15:OFFSET(M188,-1,0))+1,
                      INDEX($M$15:OFFSET(M188,-1,0),MATCH($A188,$A$15:OFFSET($A188,-1,0),0)))))</f>
        <v/>
      </c>
      <c r="N188" s="167" t="str">
        <f ca="1">IF($D188&lt;&gt;"Serviço","",
         IF(AUTOEVENTO="Manual",
                IF($A188=0,"&lt;-- defina o número do agrupador",
                       OFFSET(EVENTOS!$D$15,$A188-$A$15,0)),
                OFFSET($F$15,$A188,0)))</f>
        <v/>
      </c>
      <c r="O188" s="168"/>
      <c r="Q188" s="168"/>
      <c r="R188" s="169"/>
      <c r="S188" s="169"/>
      <c r="T188" s="169"/>
      <c r="U188" s="169"/>
      <c r="V188" s="169"/>
      <c r="W188" s="169"/>
      <c r="X188" s="169"/>
      <c r="Y188" s="169"/>
      <c r="Z188" s="170"/>
      <c r="AA188" s="169"/>
      <c r="AB188" s="169"/>
      <c r="AC188" s="169"/>
      <c r="AD188" s="169"/>
      <c r="AE188" s="169"/>
      <c r="AF188" s="169"/>
      <c r="AG188" s="169"/>
      <c r="AH188" s="170"/>
      <c r="AJ188" s="453">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0</v>
      </c>
      <c r="AK188" s="453">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0</v>
      </c>
      <c r="AL188" s="453">
        <f ca="1">IF(AND($D188="Serviço",AL$12&lt;&gt;0,$H188&gt;0,OR(AUTOEVENTO&lt;&gt;"manual",$M188&lt;&gt;$A$15)),
        IF(Import.TipoArredondamento&lt;&gt;"TransfereGOV",
              ROUND(OFFSET($P188,0,AL$13),15-13*ORÇAMENTO!$AF$7)/$H188*OFFSET(ORÇAMENTO!$X$15,ROW(AL188)-ROW(AL$15),0),
              ROUND(ROUND(OFFSET($P188,0,AL$13),15-13*ORÇAMENTO!$AF$7)*OFFSET(ORÇAMENTO!$W$15,ROW(AL188)-ROW(AL$15),0),15-13*ORÇAMENTO!$AF$11)),
         0)</f>
        <v>0</v>
      </c>
      <c r="AM188" s="453">
        <f ca="1">IF(AND($D188="Serviço",AM$12&lt;&gt;0,$H188&gt;0,OR(AUTOEVENTO&lt;&gt;"manual",$M188&lt;&gt;$A$15)),
        IF(Import.TipoArredondamento&lt;&gt;"TransfereGOV",
              ROUND(OFFSET($P188,0,AM$13),15-13*ORÇAMENTO!$AF$7)/$H188*OFFSET(ORÇAMENTO!$X$15,ROW(AM188)-ROW(AM$15),0),
              ROUND(ROUND(OFFSET($P188,0,AM$13),15-13*ORÇAMENTO!$AF$7)*OFFSET(ORÇAMENTO!$W$15,ROW(AM188)-ROW(AM$15),0),15-13*ORÇAMENTO!$AF$11)),
         0)</f>
        <v>0</v>
      </c>
      <c r="AN188" s="453">
        <f ca="1">IF(AND($D188="Serviço",AN$12&lt;&gt;0,$H188&gt;0,OR(AUTOEVENTO&lt;&gt;"manual",$M188&lt;&gt;$A$15)),
        IF(Import.TipoArredondamento&lt;&gt;"TransfereGOV",
              ROUND(OFFSET($P188,0,AN$13),15-13*ORÇAMENTO!$AF$7)/$H188*OFFSET(ORÇAMENTO!$X$15,ROW(AN188)-ROW(AN$15),0),
              ROUND(ROUND(OFFSET($P188,0,AN$13),15-13*ORÇAMENTO!$AF$7)*OFFSET(ORÇAMENTO!$W$15,ROW(AN188)-ROW(AN$15),0),15-13*ORÇAMENTO!$AF$11)),
         0)</f>
        <v>0</v>
      </c>
      <c r="AO188" s="453">
        <f ca="1">IF(AND($D188="Serviço",AO$12&lt;&gt;0,$H188&gt;0,OR(AUTOEVENTO&lt;&gt;"manual",$M188&lt;&gt;$A$15)),
        IF(Import.TipoArredondamento&lt;&gt;"TransfereGOV",
              ROUND(OFFSET($P188,0,AO$13),15-13*ORÇAMENTO!$AF$7)/$H188*OFFSET(ORÇAMENTO!$X$15,ROW(AO188)-ROW(AO$15),0),
              ROUND(ROUND(OFFSET($P188,0,AO$13),15-13*ORÇAMENTO!$AF$7)*OFFSET(ORÇAMENTO!$W$15,ROW(AO188)-ROW(AO$15),0),15-13*ORÇAMENTO!$AF$11)),
         0)</f>
        <v>0</v>
      </c>
      <c r="AP188" s="453">
        <f ca="1">IF(AND($D188="Serviço",AP$12&lt;&gt;0,$H188&gt;0,OR(AUTOEVENTO&lt;&gt;"manual",$M188&lt;&gt;$A$15)),
        IF(Import.TipoArredondamento&lt;&gt;"TransfereGOV",
              ROUND(OFFSET($P188,0,AP$13),15-13*ORÇAMENTO!$AF$7)/$H188*OFFSET(ORÇAMENTO!$X$15,ROW(AP188)-ROW(AP$15),0),
              ROUND(ROUND(OFFSET($P188,0,AP$13),15-13*ORÇAMENTO!$AF$7)*OFFSET(ORÇAMENTO!$W$15,ROW(AP188)-ROW(AP$15),0),15-13*ORÇAMENTO!$AF$11)),
         0)</f>
        <v>0</v>
      </c>
      <c r="AQ188" s="453">
        <f ca="1">IF(AND($D188="Serviço",AQ$12&lt;&gt;0,$H188&gt;0,OR(AUTOEVENTO&lt;&gt;"manual",$M188&lt;&gt;$A$15)),
        IF(Import.TipoArredondamento&lt;&gt;"TransfereGOV",
              ROUND(OFFSET($P188,0,AQ$13),15-13*ORÇAMENTO!$AF$7)/$H188*OFFSET(ORÇAMENTO!$X$15,ROW(AQ188)-ROW(AQ$15),0),
              ROUND(ROUND(OFFSET($P188,0,AQ$13),15-13*ORÇAMENTO!$AF$7)*OFFSET(ORÇAMENTO!$W$15,ROW(AQ188)-ROW(AQ$15),0),15-13*ORÇAMENTO!$AF$11)),
         0)</f>
        <v>0</v>
      </c>
      <c r="AR188" s="453">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0</v>
      </c>
      <c r="AS188" s="453">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0</v>
      </c>
      <c r="AT188" s="453">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0</v>
      </c>
      <c r="AU188" s="453">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0</v>
      </c>
      <c r="AV188" s="453">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0</v>
      </c>
      <c r="AW188" s="453">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0</v>
      </c>
      <c r="AX188" s="453">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0</v>
      </c>
      <c r="AY188" s="453">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0</v>
      </c>
      <c r="AZ188" s="453">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0</v>
      </c>
      <c r="BA188" s="453">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0</v>
      </c>
      <c r="BC188" s="171">
        <f ca="1">IF(OR($D188&lt;&gt;"Serviço",AND(AUTOEVENTO="Manual",$M188=$A$15)),0,
         IF(OFFSET(CRONOPLE!$F$15,$M188-$A$15,BC$13)=0,10^12,OFFSET(CRONOPLE!$F$15,$M188-$A$15,BC$13)))</f>
        <v>0</v>
      </c>
      <c r="BD188" s="171">
        <f ca="1">IF(OR($D188&lt;&gt;"Serviço",AND(AUTOEVENTO="Manual",$M188=$A$15)),0,
         IF(OFFSET(CRONOPLE!$F$15,$M188-$A$15,BD$13)=0,10^12,OFFSET(CRONOPLE!$F$15,$M188-$A$15,BD$13)))</f>
        <v>0</v>
      </c>
      <c r="BE188" s="171">
        <f ca="1">IF(OR($D188&lt;&gt;"Serviço",AND(AUTOEVENTO="Manual",$M188=$A$15)),0,
         IF(OFFSET(CRONOPLE!$F$15,$M188-$A$15,BE$13)=0,10^12,OFFSET(CRONOPLE!$F$15,$M188-$A$15,BE$13)))</f>
        <v>0</v>
      </c>
      <c r="BF188" s="171">
        <f ca="1">IF(OR($D188&lt;&gt;"Serviço",AND(AUTOEVENTO="Manual",$M188=$A$15)),0,
         IF(OFFSET(CRONOPLE!$F$15,$M188-$A$15,BF$13)=0,10^12,OFFSET(CRONOPLE!$F$15,$M188-$A$15,BF$13)))</f>
        <v>0</v>
      </c>
      <c r="BG188" s="171">
        <f ca="1">IF(OR($D188&lt;&gt;"Serviço",AND(AUTOEVENTO="Manual",$M188=$A$15)),0,
         IF(OFFSET(CRONOPLE!$F$15,$M188-$A$15,BG$13)=0,10^12,OFFSET(CRONOPLE!$F$15,$M188-$A$15,BG$13)))</f>
        <v>0</v>
      </c>
      <c r="BH188" s="171">
        <f ca="1">IF(OR($D188&lt;&gt;"Serviço",AND(AUTOEVENTO="Manual",$M188=$A$15)),0,
         IF(OFFSET(CRONOPLE!$F$15,$M188-$A$15,BH$13)=0,10^12,OFFSET(CRONOPLE!$F$15,$M188-$A$15,BH$13)))</f>
        <v>0</v>
      </c>
      <c r="BI188" s="171">
        <f ca="1">IF(OR($D188&lt;&gt;"Serviço",AND(AUTOEVENTO="Manual",$M188=$A$15)),0,
         IF(OFFSET(CRONOPLE!$F$15,$M188-$A$15,BI$13)=0,10^12,OFFSET(CRONOPLE!$F$15,$M188-$A$15,BI$13)))</f>
        <v>0</v>
      </c>
      <c r="BJ188" s="171">
        <f ca="1">IF(OR($D188&lt;&gt;"Serviço",AND(AUTOEVENTO="Manual",$M188=$A$15)),0,
         IF(OFFSET(CRONOPLE!$F$15,$M188-$A$15,BJ$13)=0,10^12,OFFSET(CRONOPLE!$F$15,$M188-$A$15,BJ$13)))</f>
        <v>0</v>
      </c>
      <c r="BK188" s="171">
        <f ca="1">IF(OR($D188&lt;&gt;"Serviço",AND(AUTOEVENTO="Manual",$M188=$A$15)),0,
         IF(OFFSET(CRONOPLE!$F$15,$M188-$A$15,BK$13)=0,10^12,OFFSET(CRONOPLE!$F$15,$M188-$A$15,BK$13)))</f>
        <v>0</v>
      </c>
      <c r="BL188" s="171">
        <f ca="1">IF(OR($D188&lt;&gt;"Serviço",AND(AUTOEVENTO="Manual",$M188=$A$15)),0,
         IF(OFFSET(CRONOPLE!$F$15,$M188-$A$15,BL$13)=0,10^12,OFFSET(CRONOPLE!$F$15,$M188-$A$15,BL$13)))</f>
        <v>0</v>
      </c>
      <c r="BM188" s="171">
        <f ca="1">IF(OR($D188&lt;&gt;"Serviço",AND(AUTOEVENTO="Manual",$M188=$A$15)),0,
         IF(OFFSET(CRONOPLE!$F$15,$M188-$A$15,BM$13)=0,10^12,OFFSET(CRONOPLE!$F$15,$M188-$A$15,BM$13)))</f>
        <v>0</v>
      </c>
      <c r="BN188" s="171">
        <f ca="1">IF(OR($D188&lt;&gt;"Serviço",AND(AUTOEVENTO="Manual",$M188=$A$15)),0,
         IF(OFFSET(CRONOPLE!$F$15,$M188-$A$15,BN$13)=0,10^12,OFFSET(CRONOPLE!$F$15,$M188-$A$15,BN$13)))</f>
        <v>0</v>
      </c>
      <c r="BO188" s="171">
        <f ca="1">IF(OR($D188&lt;&gt;"Serviço",AND(AUTOEVENTO="Manual",$M188=$A$15)),0,
         IF(OFFSET(CRONOPLE!$F$15,$M188-$A$15,BO$13)=0,10^12,OFFSET(CRONOPLE!$F$15,$M188-$A$15,BO$13)))</f>
        <v>0</v>
      </c>
      <c r="BP188" s="171">
        <f ca="1">IF(OR($D188&lt;&gt;"Serviço",AND(AUTOEVENTO="Manual",$M188=$A$15)),0,
         IF(OFFSET(CRONOPLE!$F$15,$M188-$A$15,BP$13)=0,10^12,OFFSET(CRONOPLE!$F$15,$M188-$A$15,BP$13)))</f>
        <v>0</v>
      </c>
      <c r="BQ188" s="171">
        <f ca="1">IF(OR($D188&lt;&gt;"Serviço",AND(AUTOEVENTO="Manual",$M188=$A$15)),0,
         IF(OFFSET(CRONOPLE!$F$15,$M188-$A$15,BQ$13)=0,10^12,OFFSET(CRONOPLE!$F$15,$M188-$A$15,BQ$13)))</f>
        <v>0</v>
      </c>
      <c r="BR188" s="171">
        <f ca="1">IF(OR($D188&lt;&gt;"Serviço",AND(AUTOEVENTO="Manual",$M188=$A$15)),0,
         IF(OFFSET(CRONOPLE!$F$15,$M188-$A$15,BR$13)=0,10^12,OFFSET(CRONOPLE!$F$15,$M188-$A$15,BR$13)))</f>
        <v>0</v>
      </c>
      <c r="BS188" s="171">
        <f ca="1">IF(OR($D188&lt;&gt;"Serviço",AND(AUTOEVENTO="Manual",$M188=$A$15)),0,
         IF(OFFSET(CRONOPLE!$F$15,$M188-$A$15,BS$13)=0,10^12,OFFSET(CRONOPLE!$F$15,$M188-$A$15,BS$13)))</f>
        <v>0</v>
      </c>
      <c r="BT188" s="171">
        <f ca="1">IF(OR($D188&lt;&gt;"Serviço",AND(AUTOEVENTO="Manual",$M188=$A$15)),0,
         IF(OFFSET(CRONOPLE!$F$15,$M188-$A$15,BT$13)=0,10^12,OFFSET(CRONOPLE!$F$15,$M188-$A$15,BT$13)))</f>
        <v>0</v>
      </c>
      <c r="BV188" s="172">
        <f ca="1">IF(OR($D188&lt;&gt;"Serviço",AND(AUTOEVENTO="Manual",$M188=$A$15),$M188&gt;(ROW(PLE.lastrow)-ROW(PLE.firstrow))),0,
           IF(OFFSET(PLE!$G$15,$M188-$A$15,BV$13)="",10^12,OFFSET(PLE!$G$15,$M188-$A$15,BV$13)))</f>
        <v>0</v>
      </c>
      <c r="BW188" s="172">
        <f ca="1">IF(OR($D188&lt;&gt;"Serviço",AND(AUTOEVENTO="Manual",$M188=$A$15),$M188&gt;(ROW(PLE.lastrow)-ROW(PLE.firstrow))),0,
           IF(OFFSET(PLE!$G$15,$M188-$A$15,BW$13)="",10^12,OFFSET(PLE!$G$15,$M188-$A$15,BW$13)))</f>
        <v>0</v>
      </c>
      <c r="BX188" s="172">
        <f ca="1">IF(OR($D188&lt;&gt;"Serviço",AND(AUTOEVENTO="Manual",$M188=$A$15),$M188&gt;(ROW(PLE.lastrow)-ROW(PLE.firstrow))),0,
           IF(OFFSET(PLE!$G$15,$M188-$A$15,BX$13)="",10^12,OFFSET(PLE!$G$15,$M188-$A$15,BX$13)))</f>
        <v>0</v>
      </c>
      <c r="BY188" s="172">
        <f ca="1">IF(OR($D188&lt;&gt;"Serviço",AND(AUTOEVENTO="Manual",$M188=$A$15),$M188&gt;(ROW(PLE.lastrow)-ROW(PLE.firstrow))),0,
           IF(OFFSET(PLE!$G$15,$M188-$A$15,BY$13)="",10^12,OFFSET(PLE!$G$15,$M188-$A$15,BY$13)))</f>
        <v>0</v>
      </c>
      <c r="BZ188" s="172">
        <f ca="1">IF(OR($D188&lt;&gt;"Serviço",AND(AUTOEVENTO="Manual",$M188=$A$15),$M188&gt;(ROW(PLE.lastrow)-ROW(PLE.firstrow))),0,
           IF(OFFSET(PLE!$G$15,$M188-$A$15,BZ$13)="",10^12,OFFSET(PLE!$G$15,$M188-$A$15,BZ$13)))</f>
        <v>0</v>
      </c>
      <c r="CA188" s="172">
        <f ca="1">IF(OR($D188&lt;&gt;"Serviço",AND(AUTOEVENTO="Manual",$M188=$A$15),$M188&gt;(ROW(PLE.lastrow)-ROW(PLE.firstrow))),0,
           IF(OFFSET(PLE!$G$15,$M188-$A$15,CA$13)="",10^12,OFFSET(PLE!$G$15,$M188-$A$15,CA$13)))</f>
        <v>0</v>
      </c>
      <c r="CB188" s="172">
        <f ca="1">IF(OR($D188&lt;&gt;"Serviço",AND(AUTOEVENTO="Manual",$M188=$A$15),$M188&gt;(ROW(PLE.lastrow)-ROW(PLE.firstrow))),0,
           IF(OFFSET(PLE!$G$15,$M188-$A$15,CB$13)="",10^12,OFFSET(PLE!$G$15,$M188-$A$15,CB$13)))</f>
        <v>0</v>
      </c>
      <c r="CC188" s="172">
        <f ca="1">IF(OR($D188&lt;&gt;"Serviço",AND(AUTOEVENTO="Manual",$M188=$A$15),$M188&gt;(ROW(PLE.lastrow)-ROW(PLE.firstrow))),0,
           IF(OFFSET(PLE!$G$15,$M188-$A$15,CC$13)="",10^12,OFFSET(PLE!$G$15,$M188-$A$15,CC$13)))</f>
        <v>0</v>
      </c>
      <c r="CD188" s="172">
        <f ca="1">IF(OR($D188&lt;&gt;"Serviço",AND(AUTOEVENTO="Manual",$M188=$A$15),$M188&gt;(ROW(PLE.lastrow)-ROW(PLE.firstrow))),0,
           IF(OFFSET(PLE!$G$15,$M188-$A$15,CD$13)="",10^12,OFFSET(PLE!$G$15,$M188-$A$15,CD$13)))</f>
        <v>0</v>
      </c>
      <c r="CE188" s="172">
        <f ca="1">IF(OR($D188&lt;&gt;"Serviço",AND(AUTOEVENTO="Manual",$M188=$A$15),$M188&gt;(ROW(PLE.lastrow)-ROW(PLE.firstrow))),0,
           IF(OFFSET(PLE!$G$15,$M188-$A$15,CE$13)="",10^12,OFFSET(PLE!$G$15,$M188-$A$15,CE$13)))</f>
        <v>0</v>
      </c>
      <c r="CF188" s="172">
        <f ca="1">IF(OR($D188&lt;&gt;"Serviço",AND(AUTOEVENTO="Manual",$M188=$A$15),$M188&gt;(ROW(PLE.lastrow)-ROW(PLE.firstrow))),0,
           IF(OFFSET(PLE!$G$15,$M188-$A$15,CF$13)="",10^12,OFFSET(PLE!$G$15,$M188-$A$15,CF$13)))</f>
        <v>0</v>
      </c>
      <c r="CG188" s="172">
        <f ca="1">IF(OR($D188&lt;&gt;"Serviço",AND(AUTOEVENTO="Manual",$M188=$A$15),$M188&gt;(ROW(PLE.lastrow)-ROW(PLE.firstrow))),0,
           IF(OFFSET(PLE!$G$15,$M188-$A$15,CG$13)="",10^12,OFFSET(PLE!$G$15,$M188-$A$15,CG$13)))</f>
        <v>0</v>
      </c>
      <c r="CH188" s="172">
        <f ca="1">IF(OR($D188&lt;&gt;"Serviço",AND(AUTOEVENTO="Manual",$M188=$A$15),$M188&gt;(ROW(PLE.lastrow)-ROW(PLE.firstrow))),0,
           IF(OFFSET(PLE!$G$15,$M188-$A$15,CH$13)="",10^12,OFFSET(PLE!$G$15,$M188-$A$15,CH$13)))</f>
        <v>0</v>
      </c>
      <c r="CI188" s="172">
        <f ca="1">IF(OR($D188&lt;&gt;"Serviço",AND(AUTOEVENTO="Manual",$M188=$A$15),$M188&gt;(ROW(PLE.lastrow)-ROW(PLE.firstrow))),0,
           IF(OFFSET(PLE!$G$15,$M188-$A$15,CI$13)="",10^12,OFFSET(PLE!$G$15,$M188-$A$15,CI$13)))</f>
        <v>0</v>
      </c>
      <c r="CJ188" s="172">
        <f ca="1">IF(OR($D188&lt;&gt;"Serviço",AND(AUTOEVENTO="Manual",$M188=$A$15),$M188&gt;(ROW(PLE.lastrow)-ROW(PLE.firstrow))),0,
           IF(OFFSET(PLE!$G$15,$M188-$A$15,CJ$13)="",10^12,OFFSET(PLE!$G$15,$M188-$A$15,CJ$13)))</f>
        <v>0</v>
      </c>
      <c r="CK188" s="172">
        <f ca="1">IF(OR($D188&lt;&gt;"Serviço",AND(AUTOEVENTO="Manual",$M188=$A$15),$M188&gt;(ROW(PLE.lastrow)-ROW(PLE.firstrow))),0,
           IF(OFFSET(PLE!$G$15,$M188-$A$15,CK$13)="",10^12,OFFSET(PLE!$G$15,$M188-$A$15,CK$13)))</f>
        <v>0</v>
      </c>
      <c r="CL188" s="172">
        <f ca="1">IF(OR($D188&lt;&gt;"Serviço",AND(AUTOEVENTO="Manual",$M188=$A$15),$M188&gt;(ROW(PLE.lastrow)-ROW(PLE.firstrow))),0,
           IF(OFFSET(PLE!$G$15,$M188-$A$15,CL$13)="",10^12,OFFSET(PLE!$G$15,$M188-$A$15,CL$13)))</f>
        <v>0</v>
      </c>
      <c r="CM188" s="172">
        <f ca="1">IF(OR($D188&lt;&gt;"Serviço",AND(AUTOEVENTO="Manual",$M188=$A$15),$M188&gt;(ROW(PLE.lastrow)-ROW(PLE.firstrow))),0,
           IF(OFFSET(PLE!$G$15,$M188-$A$15,CM$13)="",10^12,OFFSET(PLE!$G$15,$M188-$A$15,CM$13)))</f>
        <v>0</v>
      </c>
    </row>
    <row r="189" spans="1:91" ht="89.25" x14ac:dyDescent="0.2">
      <c r="A189" s="7">
        <f t="shared" ca="1" si="12"/>
        <v>4</v>
      </c>
      <c r="B189" s="7" t="str">
        <f ca="1">OFFSET(ORÇAMENTO!C$15,ROW(B189)-ROW(B$15),0)</f>
        <v>S</v>
      </c>
      <c r="C189" s="7" t="str">
        <f ca="1">OFFSET(ORÇAMENTO!L$15,ROW(C189)-ROW(C$15),0)</f>
        <v>F</v>
      </c>
      <c r="D189" s="116" t="str">
        <f ca="1">OFFSET(ORÇAMENTO!N$15,ROW(D189)-ROW(D$15),0)</f>
        <v>Serviço</v>
      </c>
      <c r="E189" s="117" t="str">
        <f ca="1">OFFSET(ORÇAMENTO!O$15,ROW(E189)-ROW(E$15),0)</f>
        <v>1.5.5.4.1.</v>
      </c>
      <c r="F189" s="163" t="str">
        <f ca="1">OFFSET(ORÇAMENTO!R$15,ROW(F189)-ROW(F$15),0)</f>
        <v>CONCRETO FCK = 40MPA, TRAÇO 1:1,6:1,9 (EM MASSA SECA DE CIMENTO/ AREIA MÉDIA/ BRITA 1) - PREPARO MECÂNICO COM BETONEIRA 600 L. AF_05/2021</v>
      </c>
      <c r="G189" s="164" t="str">
        <f ca="1">IF($D189&lt;&gt;"Serviço","",OFFSET(ORÇAMENTO!S$15,ROW(G189)-ROW(G$15),0))</f>
        <v>M3</v>
      </c>
      <c r="H189" s="122" cm="1">
        <f t="array" aca="1" ref="H189" ca="1">IF($D189&lt;&gt;"Serviço",0,IF(ACOMPANHAMENTO="BM",ROUND(OFFSET(ORÇAMENTO!AJ$15,ROW(H189)-ROW(H$15),0),15-13*ORÇAMENTO!$AF$7),SUMPRODUCT(($Q$1:$AI$1=1)*ROUND($Q189:$AI189,15-13*ORÇAMENTO!$AF$7))))</f>
        <v>1.4</v>
      </c>
      <c r="I189" s="468" t="s">
        <v>1340</v>
      </c>
      <c r="J189" s="640" t="str" cm="1">
        <f t="array" aca="1" ref="J189" ca="1">IF(OR(B189&lt;&gt;"S",CÁLCULO.FrentesPreenchidas=0),"",IF(AND(ACOMPANHAMENTO="PLE",AUTOEVENTO="Manual",OR(H189&gt;0,ORÇAMENTO!AC189="QUANT."),OR(K189="",M189=0,N189="")),"►E",IF(AND(ACOMPANHAMENTO="PLE",ORÇAMENTO!AC189="QUANT."),"►Q",IF(AND(ACOMPANHAMENTO="PLE",H189&lt;&gt;SUMPRODUCT(($Q$1:$AI$1=1)*ROUND(Q189:AI189,15))),"►S",IF(AND(COUNTIF($P$11:$AI$11,"▼")=0,H189&gt;0,I189=""),"◄M","")))))</f>
        <v/>
      </c>
      <c r="K189" s="641" t="s">
        <v>1389</v>
      </c>
      <c r="L189" s="165" t="s">
        <v>764</v>
      </c>
      <c r="M189" s="166">
        <f ca="1">IF($D189&lt;&gt;"Serviço","",
          IF(AUTOEVENTO="manual",$A189,
                IF(ISERROR(MATCH($A189,$A$15:OFFSET($A189,-1,0),0)),MAX($M$15:OFFSET(M189,-1,0))+1,
                      INDEX($M$15:OFFSET(M189,-1,0),MATCH($A189,$A$15:OFFSET($A189,-1,0),0)))))</f>
        <v>4</v>
      </c>
      <c r="N189" s="167" t="str">
        <f ca="1">IF($D189&lt;&gt;"Serviço","",
         IF(AUTOEVENTO="Manual",
                IF($A189=0,"&lt;-- defina o número do agrupador",
                       OFFSET(EVENTOS!$D$15,$A189-$A$15,0)),
                OFFSET($F$15,$A189,0)))</f>
        <v>Estruturas de Concreto</v>
      </c>
      <c r="O189" s="168"/>
      <c r="Q189" s="168"/>
      <c r="R189" s="169"/>
      <c r="S189" s="169"/>
      <c r="T189" s="169"/>
      <c r="U189" s="169"/>
      <c r="V189" s="169">
        <f>0.65+0.75</f>
        <v>1.4</v>
      </c>
      <c r="W189" s="169"/>
      <c r="X189" s="169"/>
      <c r="Y189" s="169"/>
      <c r="Z189" s="170"/>
      <c r="AA189" s="169"/>
      <c r="AB189" s="169"/>
      <c r="AC189" s="169"/>
      <c r="AD189" s="169"/>
      <c r="AE189" s="169"/>
      <c r="AF189" s="169"/>
      <c r="AG189" s="169"/>
      <c r="AH189" s="170"/>
      <c r="AJ189" s="453">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0</v>
      </c>
      <c r="AK189" s="453">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0</v>
      </c>
      <c r="AL189" s="453">
        <f ca="1">IF(AND($D189="Serviço",AL$12&lt;&gt;0,$H189&gt;0,OR(AUTOEVENTO&lt;&gt;"manual",$M189&lt;&gt;$A$15)),
        IF(Import.TipoArredondamento&lt;&gt;"TransfereGOV",
              ROUND(OFFSET($P189,0,AL$13),15-13*ORÇAMENTO!$AF$7)/$H189*OFFSET(ORÇAMENTO!$X$15,ROW(AL189)-ROW(AL$15),0),
              ROUND(ROUND(OFFSET($P189,0,AL$13),15-13*ORÇAMENTO!$AF$7)*OFFSET(ORÇAMENTO!$W$15,ROW(AL189)-ROW(AL$15),0),15-13*ORÇAMENTO!$AF$11)),
         0)</f>
        <v>0</v>
      </c>
      <c r="AM189" s="453">
        <f ca="1">IF(AND($D189="Serviço",AM$12&lt;&gt;0,$H189&gt;0,OR(AUTOEVENTO&lt;&gt;"manual",$M189&lt;&gt;$A$15)),
        IF(Import.TipoArredondamento&lt;&gt;"TransfereGOV",
              ROUND(OFFSET($P189,0,AM$13),15-13*ORÇAMENTO!$AF$7)/$H189*OFFSET(ORÇAMENTO!$X$15,ROW(AM189)-ROW(AM$15),0),
              ROUND(ROUND(OFFSET($P189,0,AM$13),15-13*ORÇAMENTO!$AF$7)*OFFSET(ORÇAMENTO!$W$15,ROW(AM189)-ROW(AM$15),0),15-13*ORÇAMENTO!$AF$11)),
         0)</f>
        <v>0</v>
      </c>
      <c r="AN189" s="453">
        <f ca="1">IF(AND($D189="Serviço",AN$12&lt;&gt;0,$H189&gt;0,OR(AUTOEVENTO&lt;&gt;"manual",$M189&lt;&gt;$A$15)),
        IF(Import.TipoArredondamento&lt;&gt;"TransfereGOV",
              ROUND(OFFSET($P189,0,AN$13),15-13*ORÇAMENTO!$AF$7)/$H189*OFFSET(ORÇAMENTO!$X$15,ROW(AN189)-ROW(AN$15),0),
              ROUND(ROUND(OFFSET($P189,0,AN$13),15-13*ORÇAMENTO!$AF$7)*OFFSET(ORÇAMENTO!$W$15,ROW(AN189)-ROW(AN$15),0),15-13*ORÇAMENTO!$AF$11)),
         0)</f>
        <v>0</v>
      </c>
      <c r="AO189" s="453">
        <f ca="1">IF(AND($D189="Serviço",AO$12&lt;&gt;0,$H189&gt;0,OR(AUTOEVENTO&lt;&gt;"manual",$M189&lt;&gt;$A$15)),
        IF(Import.TipoArredondamento&lt;&gt;"TransfereGOV",
              ROUND(OFFSET($P189,0,AO$13),15-13*ORÇAMENTO!$AF$7)/$H189*OFFSET(ORÇAMENTO!$X$15,ROW(AO189)-ROW(AO$15),0),
              ROUND(ROUND(OFFSET($P189,0,AO$13),15-13*ORÇAMENTO!$AF$7)*OFFSET(ORÇAMENTO!$W$15,ROW(AO189)-ROW(AO$15),0),15-13*ORÇAMENTO!$AF$11)),
         0)</f>
        <v>0</v>
      </c>
      <c r="AP189" s="453">
        <f ca="1">IF(AND($D189="Serviço",AP$12&lt;&gt;0,$H189&gt;0,OR(AUTOEVENTO&lt;&gt;"manual",$M189&lt;&gt;$A$15)),
        IF(Import.TipoArredondamento&lt;&gt;"TransfereGOV",
              ROUND(OFFSET($P189,0,AP$13),15-13*ORÇAMENTO!$AF$7)/$H189*OFFSET(ORÇAMENTO!$X$15,ROW(AP189)-ROW(AP$15),0),
              ROUND(ROUND(OFFSET($P189,0,AP$13),15-13*ORÇAMENTO!$AF$7)*OFFSET(ORÇAMENTO!$W$15,ROW(AP189)-ROW(AP$15),0),15-13*ORÇAMENTO!$AF$11)),
         0)</f>
        <v>0</v>
      </c>
      <c r="AQ189" s="453">
        <f ca="1">IF(AND($D189="Serviço",AQ$12&lt;&gt;0,$H189&gt;0,OR(AUTOEVENTO&lt;&gt;"manual",$M189&lt;&gt;$A$15)),
        IF(Import.TipoArredondamento&lt;&gt;"TransfereGOV",
              ROUND(OFFSET($P189,0,AQ$13),15-13*ORÇAMENTO!$AF$7)/$H189*OFFSET(ORÇAMENTO!$X$15,ROW(AQ189)-ROW(AQ$15),0),
              ROUND(ROUND(OFFSET($P189,0,AQ$13),15-13*ORÇAMENTO!$AF$7)*OFFSET(ORÇAMENTO!$W$15,ROW(AQ189)-ROW(AQ$15),0),15-13*ORÇAMENTO!$AF$11)),
         0)</f>
        <v>0</v>
      </c>
      <c r="AR189" s="453">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0</v>
      </c>
      <c r="AS189" s="453">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0</v>
      </c>
      <c r="AT189" s="453">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0</v>
      </c>
      <c r="AU189" s="453">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0</v>
      </c>
      <c r="AV189" s="453">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0</v>
      </c>
      <c r="AW189" s="453">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0</v>
      </c>
      <c r="AX189" s="453">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0</v>
      </c>
      <c r="AY189" s="453">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0</v>
      </c>
      <c r="AZ189" s="453">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0</v>
      </c>
      <c r="BA189" s="453">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0</v>
      </c>
      <c r="BC189" s="171">
        <f ca="1">IF(OR($D189&lt;&gt;"Serviço",AND(AUTOEVENTO="Manual",$M189=$A$15)),0,
         IF(OFFSET(CRONOPLE!$F$15,$M189-$A$15,BC$13)=0,10^12,OFFSET(CRONOPLE!$F$15,$M189-$A$15,BC$13)))</f>
        <v>1</v>
      </c>
      <c r="BD189" s="171">
        <f ca="1">IF(OR($D189&lt;&gt;"Serviço",AND(AUTOEVENTO="Manual",$M189=$A$15)),0,
         IF(OFFSET(CRONOPLE!$F$15,$M189-$A$15,BD$13)=0,10^12,OFFSET(CRONOPLE!$F$15,$M189-$A$15,BD$13)))</f>
        <v>2</v>
      </c>
      <c r="BE189" s="171">
        <f ca="1">IF(OR($D189&lt;&gt;"Serviço",AND(AUTOEVENTO="Manual",$M189=$A$15)),0,
         IF(OFFSET(CRONOPLE!$F$15,$M189-$A$15,BE$13)=0,10^12,OFFSET(CRONOPLE!$F$15,$M189-$A$15,BE$13)))</f>
        <v>3</v>
      </c>
      <c r="BF189" s="171">
        <f ca="1">IF(OR($D189&lt;&gt;"Serviço",AND(AUTOEVENTO="Manual",$M189=$A$15)),0,
         IF(OFFSET(CRONOPLE!$F$15,$M189-$A$15,BF$13)=0,10^12,OFFSET(CRONOPLE!$F$15,$M189-$A$15,BF$13)))</f>
        <v>4</v>
      </c>
      <c r="BG189" s="171">
        <f ca="1">IF(OR($D189&lt;&gt;"Serviço",AND(AUTOEVENTO="Manual",$M189=$A$15)),0,
         IF(OFFSET(CRONOPLE!$F$15,$M189-$A$15,BG$13)=0,10^12,OFFSET(CRONOPLE!$F$15,$M189-$A$15,BG$13)))</f>
        <v>5</v>
      </c>
      <c r="BH189" s="171">
        <f ca="1">IF(OR($D189&lt;&gt;"Serviço",AND(AUTOEVENTO="Manual",$M189=$A$15)),0,
         IF(OFFSET(CRONOPLE!$F$15,$M189-$A$15,BH$13)=0,10^12,OFFSET(CRONOPLE!$F$15,$M189-$A$15,BH$13)))</f>
        <v>6</v>
      </c>
      <c r="BI189" s="171">
        <f ca="1">IF(OR($D189&lt;&gt;"Serviço",AND(AUTOEVENTO="Manual",$M189=$A$15)),0,
         IF(OFFSET(CRONOPLE!$F$15,$M189-$A$15,BI$13)=0,10^12,OFFSET(CRONOPLE!$F$15,$M189-$A$15,BI$13)))</f>
        <v>7</v>
      </c>
      <c r="BJ189" s="171">
        <f ca="1">IF(OR($D189&lt;&gt;"Serviço",AND(AUTOEVENTO="Manual",$M189=$A$15)),0,
         IF(OFFSET(CRONOPLE!$F$15,$M189-$A$15,BJ$13)=0,10^12,OFFSET(CRONOPLE!$F$15,$M189-$A$15,BJ$13)))</f>
        <v>8</v>
      </c>
      <c r="BK189" s="171">
        <f ca="1">IF(OR($D189&lt;&gt;"Serviço",AND(AUTOEVENTO="Manual",$M189=$A$15)),0,
         IF(OFFSET(CRONOPLE!$F$15,$M189-$A$15,BK$13)=0,10^12,OFFSET(CRONOPLE!$F$15,$M189-$A$15,BK$13)))</f>
        <v>9</v>
      </c>
      <c r="BL189" s="171">
        <f ca="1">IF(OR($D189&lt;&gt;"Serviço",AND(AUTOEVENTO="Manual",$M189=$A$15)),0,
         IF(OFFSET(CRONOPLE!$F$15,$M189-$A$15,BL$13)=0,10^12,OFFSET(CRONOPLE!$F$15,$M189-$A$15,BL$13)))</f>
        <v>10</v>
      </c>
      <c r="BM189" s="171">
        <f ca="1">IF(OR($D189&lt;&gt;"Serviço",AND(AUTOEVENTO="Manual",$M189=$A$15)),0,
         IF(OFFSET(CRONOPLE!$F$15,$M189-$A$15,BM$13)=0,10^12,OFFSET(CRONOPLE!$F$15,$M189-$A$15,BM$13)))</f>
        <v>1000000000000</v>
      </c>
      <c r="BN189" s="171">
        <f ca="1">IF(OR($D189&lt;&gt;"Serviço",AND(AUTOEVENTO="Manual",$M189=$A$15)),0,
         IF(OFFSET(CRONOPLE!$F$15,$M189-$A$15,BN$13)=0,10^12,OFFSET(CRONOPLE!$F$15,$M189-$A$15,BN$13)))</f>
        <v>1000000000000</v>
      </c>
      <c r="BO189" s="171">
        <f ca="1">IF(OR($D189&lt;&gt;"Serviço",AND(AUTOEVENTO="Manual",$M189=$A$15)),0,
         IF(OFFSET(CRONOPLE!$F$15,$M189-$A$15,BO$13)=0,10^12,OFFSET(CRONOPLE!$F$15,$M189-$A$15,BO$13)))</f>
        <v>1000000000000</v>
      </c>
      <c r="BP189" s="171">
        <f ca="1">IF(OR($D189&lt;&gt;"Serviço",AND(AUTOEVENTO="Manual",$M189=$A$15)),0,
         IF(OFFSET(CRONOPLE!$F$15,$M189-$A$15,BP$13)=0,10^12,OFFSET(CRONOPLE!$F$15,$M189-$A$15,BP$13)))</f>
        <v>1000000000000</v>
      </c>
      <c r="BQ189" s="171">
        <f ca="1">IF(OR($D189&lt;&gt;"Serviço",AND(AUTOEVENTO="Manual",$M189=$A$15)),0,
         IF(OFFSET(CRONOPLE!$F$15,$M189-$A$15,BQ$13)=0,10^12,OFFSET(CRONOPLE!$F$15,$M189-$A$15,BQ$13)))</f>
        <v>1000000000000</v>
      </c>
      <c r="BR189" s="171">
        <f ca="1">IF(OR($D189&lt;&gt;"Serviço",AND(AUTOEVENTO="Manual",$M189=$A$15)),0,
         IF(OFFSET(CRONOPLE!$F$15,$M189-$A$15,BR$13)=0,10^12,OFFSET(CRONOPLE!$F$15,$M189-$A$15,BR$13)))</f>
        <v>1000000000000</v>
      </c>
      <c r="BS189" s="171">
        <f ca="1">IF(OR($D189&lt;&gt;"Serviço",AND(AUTOEVENTO="Manual",$M189=$A$15)),0,
         IF(OFFSET(CRONOPLE!$F$15,$M189-$A$15,BS$13)=0,10^12,OFFSET(CRONOPLE!$F$15,$M189-$A$15,BS$13)))</f>
        <v>1000000000000</v>
      </c>
      <c r="BT189" s="171">
        <f ca="1">IF(OR($D189&lt;&gt;"Serviço",AND(AUTOEVENTO="Manual",$M189=$A$15)),0,
         IF(OFFSET(CRONOPLE!$F$15,$M189-$A$15,BT$13)=0,10^12,OFFSET(CRONOPLE!$F$15,$M189-$A$15,BT$13)))</f>
        <v>1000000000000</v>
      </c>
      <c r="BV189" s="172">
        <f ca="1">IF(OR($D189&lt;&gt;"Serviço",AND(AUTOEVENTO="Manual",$M189=$A$15),$M189&gt;(ROW(PLE.lastrow)-ROW(PLE.firstrow))),0,
           IF(OFFSET(PLE!$G$15,$M189-$A$15,BV$13)="",10^12,OFFSET(PLE!$G$15,$M189-$A$15,BV$13)))</f>
        <v>1000000000000</v>
      </c>
      <c r="BW189" s="172">
        <f ca="1">IF(OR($D189&lt;&gt;"Serviço",AND(AUTOEVENTO="Manual",$M189=$A$15),$M189&gt;(ROW(PLE.lastrow)-ROW(PLE.firstrow))),0,
           IF(OFFSET(PLE!$G$15,$M189-$A$15,BW$13)="",10^12,OFFSET(PLE!$G$15,$M189-$A$15,BW$13)))</f>
        <v>1000000000000</v>
      </c>
      <c r="BX189" s="172">
        <f ca="1">IF(OR($D189&lt;&gt;"Serviço",AND(AUTOEVENTO="Manual",$M189=$A$15),$M189&gt;(ROW(PLE.lastrow)-ROW(PLE.firstrow))),0,
           IF(OFFSET(PLE!$G$15,$M189-$A$15,BX$13)="",10^12,OFFSET(PLE!$G$15,$M189-$A$15,BX$13)))</f>
        <v>1000000000000</v>
      </c>
      <c r="BY189" s="172">
        <f ca="1">IF(OR($D189&lt;&gt;"Serviço",AND(AUTOEVENTO="Manual",$M189=$A$15),$M189&gt;(ROW(PLE.lastrow)-ROW(PLE.firstrow))),0,
           IF(OFFSET(PLE!$G$15,$M189-$A$15,BY$13)="",10^12,OFFSET(PLE!$G$15,$M189-$A$15,BY$13)))</f>
        <v>1000000000000</v>
      </c>
      <c r="BZ189" s="172">
        <f ca="1">IF(OR($D189&lt;&gt;"Serviço",AND(AUTOEVENTO="Manual",$M189=$A$15),$M189&gt;(ROW(PLE.lastrow)-ROW(PLE.firstrow))),0,
           IF(OFFSET(PLE!$G$15,$M189-$A$15,BZ$13)="",10^12,OFFSET(PLE!$G$15,$M189-$A$15,BZ$13)))</f>
        <v>1000000000000</v>
      </c>
      <c r="CA189" s="172">
        <f ca="1">IF(OR($D189&lt;&gt;"Serviço",AND(AUTOEVENTO="Manual",$M189=$A$15),$M189&gt;(ROW(PLE.lastrow)-ROW(PLE.firstrow))),0,
           IF(OFFSET(PLE!$G$15,$M189-$A$15,CA$13)="",10^12,OFFSET(PLE!$G$15,$M189-$A$15,CA$13)))</f>
        <v>1000000000000</v>
      </c>
      <c r="CB189" s="172">
        <f ca="1">IF(OR($D189&lt;&gt;"Serviço",AND(AUTOEVENTO="Manual",$M189=$A$15),$M189&gt;(ROW(PLE.lastrow)-ROW(PLE.firstrow))),0,
           IF(OFFSET(PLE!$G$15,$M189-$A$15,CB$13)="",10^12,OFFSET(PLE!$G$15,$M189-$A$15,CB$13)))</f>
        <v>1000000000000</v>
      </c>
      <c r="CC189" s="172">
        <f ca="1">IF(OR($D189&lt;&gt;"Serviço",AND(AUTOEVENTO="Manual",$M189=$A$15),$M189&gt;(ROW(PLE.lastrow)-ROW(PLE.firstrow))),0,
           IF(OFFSET(PLE!$G$15,$M189-$A$15,CC$13)="",10^12,OFFSET(PLE!$G$15,$M189-$A$15,CC$13)))</f>
        <v>1000000000000</v>
      </c>
      <c r="CD189" s="172">
        <f ca="1">IF(OR($D189&lt;&gt;"Serviço",AND(AUTOEVENTO="Manual",$M189=$A$15),$M189&gt;(ROW(PLE.lastrow)-ROW(PLE.firstrow))),0,
           IF(OFFSET(PLE!$G$15,$M189-$A$15,CD$13)="",10^12,OFFSET(PLE!$G$15,$M189-$A$15,CD$13)))</f>
        <v>1000000000000</v>
      </c>
      <c r="CE189" s="172">
        <f ca="1">IF(OR($D189&lt;&gt;"Serviço",AND(AUTOEVENTO="Manual",$M189=$A$15),$M189&gt;(ROW(PLE.lastrow)-ROW(PLE.firstrow))),0,
           IF(OFFSET(PLE!$G$15,$M189-$A$15,CE$13)="",10^12,OFFSET(PLE!$G$15,$M189-$A$15,CE$13)))</f>
        <v>1000000000000</v>
      </c>
      <c r="CF189" s="172">
        <f ca="1">IF(OR($D189&lt;&gt;"Serviço",AND(AUTOEVENTO="Manual",$M189=$A$15),$M189&gt;(ROW(PLE.lastrow)-ROW(PLE.firstrow))),0,
           IF(OFFSET(PLE!$G$15,$M189-$A$15,CF$13)="",10^12,OFFSET(PLE!$G$15,$M189-$A$15,CF$13)))</f>
        <v>1000000000000</v>
      </c>
      <c r="CG189" s="172">
        <f ca="1">IF(OR($D189&lt;&gt;"Serviço",AND(AUTOEVENTO="Manual",$M189=$A$15),$M189&gt;(ROW(PLE.lastrow)-ROW(PLE.firstrow))),0,
           IF(OFFSET(PLE!$G$15,$M189-$A$15,CG$13)="",10^12,OFFSET(PLE!$G$15,$M189-$A$15,CG$13)))</f>
        <v>1000000000000</v>
      </c>
      <c r="CH189" s="172">
        <f ca="1">IF(OR($D189&lt;&gt;"Serviço",AND(AUTOEVENTO="Manual",$M189=$A$15),$M189&gt;(ROW(PLE.lastrow)-ROW(PLE.firstrow))),0,
           IF(OFFSET(PLE!$G$15,$M189-$A$15,CH$13)="",10^12,OFFSET(PLE!$G$15,$M189-$A$15,CH$13)))</f>
        <v>1000000000000</v>
      </c>
      <c r="CI189" s="172">
        <f ca="1">IF(OR($D189&lt;&gt;"Serviço",AND(AUTOEVENTO="Manual",$M189=$A$15),$M189&gt;(ROW(PLE.lastrow)-ROW(PLE.firstrow))),0,
           IF(OFFSET(PLE!$G$15,$M189-$A$15,CI$13)="",10^12,OFFSET(PLE!$G$15,$M189-$A$15,CI$13)))</f>
        <v>1000000000000</v>
      </c>
      <c r="CJ189" s="172">
        <f ca="1">IF(OR($D189&lt;&gt;"Serviço",AND(AUTOEVENTO="Manual",$M189=$A$15),$M189&gt;(ROW(PLE.lastrow)-ROW(PLE.firstrow))),0,
           IF(OFFSET(PLE!$G$15,$M189-$A$15,CJ$13)="",10^12,OFFSET(PLE!$G$15,$M189-$A$15,CJ$13)))</f>
        <v>1000000000000</v>
      </c>
      <c r="CK189" s="172">
        <f ca="1">IF(OR($D189&lt;&gt;"Serviço",AND(AUTOEVENTO="Manual",$M189=$A$15),$M189&gt;(ROW(PLE.lastrow)-ROW(PLE.firstrow))),0,
           IF(OFFSET(PLE!$G$15,$M189-$A$15,CK$13)="",10^12,OFFSET(PLE!$G$15,$M189-$A$15,CK$13)))</f>
        <v>1000000000000</v>
      </c>
      <c r="CL189" s="172">
        <f ca="1">IF(OR($D189&lt;&gt;"Serviço",AND(AUTOEVENTO="Manual",$M189=$A$15),$M189&gt;(ROW(PLE.lastrow)-ROW(PLE.firstrow))),0,
           IF(OFFSET(PLE!$G$15,$M189-$A$15,CL$13)="",10^12,OFFSET(PLE!$G$15,$M189-$A$15,CL$13)))</f>
        <v>1000000000000</v>
      </c>
      <c r="CM189" s="172">
        <f ca="1">IF(OR($D189&lt;&gt;"Serviço",AND(AUTOEVENTO="Manual",$M189=$A$15),$M189&gt;(ROW(PLE.lastrow)-ROW(PLE.firstrow))),0,
           IF(OFFSET(PLE!$G$15,$M189-$A$15,CM$13)="",10^12,OFFSET(PLE!$G$15,$M189-$A$15,CM$13)))</f>
        <v>1000000000000</v>
      </c>
    </row>
    <row r="190" spans="1:91" ht="89.25" x14ac:dyDescent="0.2">
      <c r="A190" s="7">
        <f t="shared" ca="1" si="12"/>
        <v>4</v>
      </c>
      <c r="B190" s="7" t="str">
        <f ca="1">OFFSET(ORÇAMENTO!C$15,ROW(B190)-ROW(B$15),0)</f>
        <v>S</v>
      </c>
      <c r="C190" s="7" t="str">
        <f ca="1">OFFSET(ORÇAMENTO!L$15,ROW(C190)-ROW(C$15),0)</f>
        <v>F</v>
      </c>
      <c r="D190" s="116" t="str">
        <f ca="1">OFFSET(ORÇAMENTO!N$15,ROW(D190)-ROW(D$15),0)</f>
        <v>Serviço</v>
      </c>
      <c r="E190" s="117" t="str">
        <f ca="1">OFFSET(ORÇAMENTO!O$15,ROW(E190)-ROW(E$15),0)</f>
        <v>1.5.5.4.2.</v>
      </c>
      <c r="F190" s="163" t="str">
        <f ca="1">OFFSET(ORÇAMENTO!R$15,ROW(F190)-ROW(F$15),0)</f>
        <v>LANÇAMENTO COM USO DE BOMBA, ADENSAMENTO E ACABAMENTO DE CONCRETO EM ESTRUTURAS. AF_02/2022</v>
      </c>
      <c r="G190" s="164" t="str">
        <f ca="1">IF($D190&lt;&gt;"Serviço","",OFFSET(ORÇAMENTO!S$15,ROW(G190)-ROW(G$15),0))</f>
        <v>M3</v>
      </c>
      <c r="H190" s="122" cm="1">
        <f t="array" aca="1" ref="H190" ca="1">IF($D190&lt;&gt;"Serviço",0,IF(ACOMPANHAMENTO="BM",ROUND(OFFSET(ORÇAMENTO!AJ$15,ROW(H190)-ROW(H$15),0),15-13*ORÇAMENTO!$AF$7),SUMPRODUCT(($Q$1:$AI$1=1)*ROUND($Q190:$AI190,15-13*ORÇAMENTO!$AF$7))))</f>
        <v>1.4</v>
      </c>
      <c r="I190" s="468" t="s">
        <v>1341</v>
      </c>
      <c r="J190" s="640" t="str" cm="1">
        <f t="array" aca="1" ref="J190" ca="1">IF(OR(B190&lt;&gt;"S",CÁLCULO.FrentesPreenchidas=0),"",IF(AND(ACOMPANHAMENTO="PLE",AUTOEVENTO="Manual",OR(H190&gt;0,ORÇAMENTO!AC190="QUANT."),OR(K190="",M190=0,N190="")),"►E",IF(AND(ACOMPANHAMENTO="PLE",ORÇAMENTO!AC190="QUANT."),"►Q",IF(AND(ACOMPANHAMENTO="PLE",H190&lt;&gt;SUMPRODUCT(($Q$1:$AI$1=1)*ROUND(Q190:AI190,15))),"►S",IF(AND(COUNTIF($P$11:$AI$11,"▼")=0,H190&gt;0,I190=""),"◄M","")))))</f>
        <v/>
      </c>
      <c r="K190" s="641" t="s">
        <v>1389</v>
      </c>
      <c r="L190" s="165" t="s">
        <v>764</v>
      </c>
      <c r="M190" s="166">
        <f ca="1">IF($D190&lt;&gt;"Serviço","",
          IF(AUTOEVENTO="manual",$A190,
                IF(ISERROR(MATCH($A190,$A$15:OFFSET($A190,-1,0),0)),MAX($M$15:OFFSET(M190,-1,0))+1,
                      INDEX($M$15:OFFSET(M190,-1,0),MATCH($A190,$A$15:OFFSET($A190,-1,0),0)))))</f>
        <v>4</v>
      </c>
      <c r="N190" s="167" t="str">
        <f ca="1">IF($D190&lt;&gt;"Serviço","",
         IF(AUTOEVENTO="Manual",
                IF($A190=0,"&lt;-- defina o número do agrupador",
                       OFFSET(EVENTOS!$D$15,$A190-$A$15,0)),
                OFFSET($F$15,$A190,0)))</f>
        <v>Estruturas de Concreto</v>
      </c>
      <c r="O190" s="168"/>
      <c r="Q190" s="168"/>
      <c r="R190" s="169"/>
      <c r="S190" s="169"/>
      <c r="T190" s="169"/>
      <c r="U190" s="169"/>
      <c r="V190" s="169">
        <f>V189</f>
        <v>1.4</v>
      </c>
      <c r="W190" s="169"/>
      <c r="X190" s="169"/>
      <c r="Y190" s="169"/>
      <c r="Z190" s="170"/>
      <c r="AA190" s="169"/>
      <c r="AB190" s="169"/>
      <c r="AC190" s="169"/>
      <c r="AD190" s="169"/>
      <c r="AE190" s="169"/>
      <c r="AF190" s="169"/>
      <c r="AG190" s="169"/>
      <c r="AH190" s="170"/>
      <c r="AJ190" s="453">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0</v>
      </c>
      <c r="AK190" s="453">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0</v>
      </c>
      <c r="AL190" s="453">
        <f ca="1">IF(AND($D190="Serviço",AL$12&lt;&gt;0,$H190&gt;0,OR(AUTOEVENTO&lt;&gt;"manual",$M190&lt;&gt;$A$15)),
        IF(Import.TipoArredondamento&lt;&gt;"TransfereGOV",
              ROUND(OFFSET($P190,0,AL$13),15-13*ORÇAMENTO!$AF$7)/$H190*OFFSET(ORÇAMENTO!$X$15,ROW(AL190)-ROW(AL$15),0),
              ROUND(ROUND(OFFSET($P190,0,AL$13),15-13*ORÇAMENTO!$AF$7)*OFFSET(ORÇAMENTO!$W$15,ROW(AL190)-ROW(AL$15),0),15-13*ORÇAMENTO!$AF$11)),
         0)</f>
        <v>0</v>
      </c>
      <c r="AM190" s="453">
        <f ca="1">IF(AND($D190="Serviço",AM$12&lt;&gt;0,$H190&gt;0,OR(AUTOEVENTO&lt;&gt;"manual",$M190&lt;&gt;$A$15)),
        IF(Import.TipoArredondamento&lt;&gt;"TransfereGOV",
              ROUND(OFFSET($P190,0,AM$13),15-13*ORÇAMENTO!$AF$7)/$H190*OFFSET(ORÇAMENTO!$X$15,ROW(AM190)-ROW(AM$15),0),
              ROUND(ROUND(OFFSET($P190,0,AM$13),15-13*ORÇAMENTO!$AF$7)*OFFSET(ORÇAMENTO!$W$15,ROW(AM190)-ROW(AM$15),0),15-13*ORÇAMENTO!$AF$11)),
         0)</f>
        <v>0</v>
      </c>
      <c r="AN190" s="453">
        <f ca="1">IF(AND($D190="Serviço",AN$12&lt;&gt;0,$H190&gt;0,OR(AUTOEVENTO&lt;&gt;"manual",$M190&lt;&gt;$A$15)),
        IF(Import.TipoArredondamento&lt;&gt;"TransfereGOV",
              ROUND(OFFSET($P190,0,AN$13),15-13*ORÇAMENTO!$AF$7)/$H190*OFFSET(ORÇAMENTO!$X$15,ROW(AN190)-ROW(AN$15),0),
              ROUND(ROUND(OFFSET($P190,0,AN$13),15-13*ORÇAMENTO!$AF$7)*OFFSET(ORÇAMENTO!$W$15,ROW(AN190)-ROW(AN$15),0),15-13*ORÇAMENTO!$AF$11)),
         0)</f>
        <v>0</v>
      </c>
      <c r="AO190" s="453">
        <f ca="1">IF(AND($D190="Serviço",AO$12&lt;&gt;0,$H190&gt;0,OR(AUTOEVENTO&lt;&gt;"manual",$M190&lt;&gt;$A$15)),
        IF(Import.TipoArredondamento&lt;&gt;"TransfereGOV",
              ROUND(OFFSET($P190,0,AO$13),15-13*ORÇAMENTO!$AF$7)/$H190*OFFSET(ORÇAMENTO!$X$15,ROW(AO190)-ROW(AO$15),0),
              ROUND(ROUND(OFFSET($P190,0,AO$13),15-13*ORÇAMENTO!$AF$7)*OFFSET(ORÇAMENTO!$W$15,ROW(AO190)-ROW(AO$15),0),15-13*ORÇAMENTO!$AF$11)),
         0)</f>
        <v>0</v>
      </c>
      <c r="AP190" s="453">
        <f ca="1">IF(AND($D190="Serviço",AP$12&lt;&gt;0,$H190&gt;0,OR(AUTOEVENTO&lt;&gt;"manual",$M190&lt;&gt;$A$15)),
        IF(Import.TipoArredondamento&lt;&gt;"TransfereGOV",
              ROUND(OFFSET($P190,0,AP$13),15-13*ORÇAMENTO!$AF$7)/$H190*OFFSET(ORÇAMENTO!$X$15,ROW(AP190)-ROW(AP$15),0),
              ROUND(ROUND(OFFSET($P190,0,AP$13),15-13*ORÇAMENTO!$AF$7)*OFFSET(ORÇAMENTO!$W$15,ROW(AP190)-ROW(AP$15),0),15-13*ORÇAMENTO!$AF$11)),
         0)</f>
        <v>0</v>
      </c>
      <c r="AQ190" s="453">
        <f ca="1">IF(AND($D190="Serviço",AQ$12&lt;&gt;0,$H190&gt;0,OR(AUTOEVENTO&lt;&gt;"manual",$M190&lt;&gt;$A$15)),
        IF(Import.TipoArredondamento&lt;&gt;"TransfereGOV",
              ROUND(OFFSET($P190,0,AQ$13),15-13*ORÇAMENTO!$AF$7)/$H190*OFFSET(ORÇAMENTO!$X$15,ROW(AQ190)-ROW(AQ$15),0),
              ROUND(ROUND(OFFSET($P190,0,AQ$13),15-13*ORÇAMENTO!$AF$7)*OFFSET(ORÇAMENTO!$W$15,ROW(AQ190)-ROW(AQ$15),0),15-13*ORÇAMENTO!$AF$11)),
         0)</f>
        <v>0</v>
      </c>
      <c r="AR190" s="453">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0</v>
      </c>
      <c r="AS190" s="453">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0</v>
      </c>
      <c r="AT190" s="453">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0</v>
      </c>
      <c r="AU190" s="453">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0</v>
      </c>
      <c r="AV190" s="453">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0</v>
      </c>
      <c r="AW190" s="453">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0</v>
      </c>
      <c r="AX190" s="453">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0</v>
      </c>
      <c r="AY190" s="453">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0</v>
      </c>
      <c r="AZ190" s="453">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0</v>
      </c>
      <c r="BA190" s="453">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0</v>
      </c>
      <c r="BC190" s="171">
        <f ca="1">IF(OR($D190&lt;&gt;"Serviço",AND(AUTOEVENTO="Manual",$M190=$A$15)),0,
         IF(OFFSET(CRONOPLE!$F$15,$M190-$A$15,BC$13)=0,10^12,OFFSET(CRONOPLE!$F$15,$M190-$A$15,BC$13)))</f>
        <v>1</v>
      </c>
      <c r="BD190" s="171">
        <f ca="1">IF(OR($D190&lt;&gt;"Serviço",AND(AUTOEVENTO="Manual",$M190=$A$15)),0,
         IF(OFFSET(CRONOPLE!$F$15,$M190-$A$15,BD$13)=0,10^12,OFFSET(CRONOPLE!$F$15,$M190-$A$15,BD$13)))</f>
        <v>2</v>
      </c>
      <c r="BE190" s="171">
        <f ca="1">IF(OR($D190&lt;&gt;"Serviço",AND(AUTOEVENTO="Manual",$M190=$A$15)),0,
         IF(OFFSET(CRONOPLE!$F$15,$M190-$A$15,BE$13)=0,10^12,OFFSET(CRONOPLE!$F$15,$M190-$A$15,BE$13)))</f>
        <v>3</v>
      </c>
      <c r="BF190" s="171">
        <f ca="1">IF(OR($D190&lt;&gt;"Serviço",AND(AUTOEVENTO="Manual",$M190=$A$15)),0,
         IF(OFFSET(CRONOPLE!$F$15,$M190-$A$15,BF$13)=0,10^12,OFFSET(CRONOPLE!$F$15,$M190-$A$15,BF$13)))</f>
        <v>4</v>
      </c>
      <c r="BG190" s="171">
        <f ca="1">IF(OR($D190&lt;&gt;"Serviço",AND(AUTOEVENTO="Manual",$M190=$A$15)),0,
         IF(OFFSET(CRONOPLE!$F$15,$M190-$A$15,BG$13)=0,10^12,OFFSET(CRONOPLE!$F$15,$M190-$A$15,BG$13)))</f>
        <v>5</v>
      </c>
      <c r="BH190" s="171">
        <f ca="1">IF(OR($D190&lt;&gt;"Serviço",AND(AUTOEVENTO="Manual",$M190=$A$15)),0,
         IF(OFFSET(CRONOPLE!$F$15,$M190-$A$15,BH$13)=0,10^12,OFFSET(CRONOPLE!$F$15,$M190-$A$15,BH$13)))</f>
        <v>6</v>
      </c>
      <c r="BI190" s="171">
        <f ca="1">IF(OR($D190&lt;&gt;"Serviço",AND(AUTOEVENTO="Manual",$M190=$A$15)),0,
         IF(OFFSET(CRONOPLE!$F$15,$M190-$A$15,BI$13)=0,10^12,OFFSET(CRONOPLE!$F$15,$M190-$A$15,BI$13)))</f>
        <v>7</v>
      </c>
      <c r="BJ190" s="171">
        <f ca="1">IF(OR($D190&lt;&gt;"Serviço",AND(AUTOEVENTO="Manual",$M190=$A$15)),0,
         IF(OFFSET(CRONOPLE!$F$15,$M190-$A$15,BJ$13)=0,10^12,OFFSET(CRONOPLE!$F$15,$M190-$A$15,BJ$13)))</f>
        <v>8</v>
      </c>
      <c r="BK190" s="171">
        <f ca="1">IF(OR($D190&lt;&gt;"Serviço",AND(AUTOEVENTO="Manual",$M190=$A$15)),0,
         IF(OFFSET(CRONOPLE!$F$15,$M190-$A$15,BK$13)=0,10^12,OFFSET(CRONOPLE!$F$15,$M190-$A$15,BK$13)))</f>
        <v>9</v>
      </c>
      <c r="BL190" s="171">
        <f ca="1">IF(OR($D190&lt;&gt;"Serviço",AND(AUTOEVENTO="Manual",$M190=$A$15)),0,
         IF(OFFSET(CRONOPLE!$F$15,$M190-$A$15,BL$13)=0,10^12,OFFSET(CRONOPLE!$F$15,$M190-$A$15,BL$13)))</f>
        <v>10</v>
      </c>
      <c r="BM190" s="171">
        <f ca="1">IF(OR($D190&lt;&gt;"Serviço",AND(AUTOEVENTO="Manual",$M190=$A$15)),0,
         IF(OFFSET(CRONOPLE!$F$15,$M190-$A$15,BM$13)=0,10^12,OFFSET(CRONOPLE!$F$15,$M190-$A$15,BM$13)))</f>
        <v>1000000000000</v>
      </c>
      <c r="BN190" s="171">
        <f ca="1">IF(OR($D190&lt;&gt;"Serviço",AND(AUTOEVENTO="Manual",$M190=$A$15)),0,
         IF(OFFSET(CRONOPLE!$F$15,$M190-$A$15,BN$13)=0,10^12,OFFSET(CRONOPLE!$F$15,$M190-$A$15,BN$13)))</f>
        <v>1000000000000</v>
      </c>
      <c r="BO190" s="171">
        <f ca="1">IF(OR($D190&lt;&gt;"Serviço",AND(AUTOEVENTO="Manual",$M190=$A$15)),0,
         IF(OFFSET(CRONOPLE!$F$15,$M190-$A$15,BO$13)=0,10^12,OFFSET(CRONOPLE!$F$15,$M190-$A$15,BO$13)))</f>
        <v>1000000000000</v>
      </c>
      <c r="BP190" s="171">
        <f ca="1">IF(OR($D190&lt;&gt;"Serviço",AND(AUTOEVENTO="Manual",$M190=$A$15)),0,
         IF(OFFSET(CRONOPLE!$F$15,$M190-$A$15,BP$13)=0,10^12,OFFSET(CRONOPLE!$F$15,$M190-$A$15,BP$13)))</f>
        <v>1000000000000</v>
      </c>
      <c r="BQ190" s="171">
        <f ca="1">IF(OR($D190&lt;&gt;"Serviço",AND(AUTOEVENTO="Manual",$M190=$A$15)),0,
         IF(OFFSET(CRONOPLE!$F$15,$M190-$A$15,BQ$13)=0,10^12,OFFSET(CRONOPLE!$F$15,$M190-$A$15,BQ$13)))</f>
        <v>1000000000000</v>
      </c>
      <c r="BR190" s="171">
        <f ca="1">IF(OR($D190&lt;&gt;"Serviço",AND(AUTOEVENTO="Manual",$M190=$A$15)),0,
         IF(OFFSET(CRONOPLE!$F$15,$M190-$A$15,BR$13)=0,10^12,OFFSET(CRONOPLE!$F$15,$M190-$A$15,BR$13)))</f>
        <v>1000000000000</v>
      </c>
      <c r="BS190" s="171">
        <f ca="1">IF(OR($D190&lt;&gt;"Serviço",AND(AUTOEVENTO="Manual",$M190=$A$15)),0,
         IF(OFFSET(CRONOPLE!$F$15,$M190-$A$15,BS$13)=0,10^12,OFFSET(CRONOPLE!$F$15,$M190-$A$15,BS$13)))</f>
        <v>1000000000000</v>
      </c>
      <c r="BT190" s="171">
        <f ca="1">IF(OR($D190&lt;&gt;"Serviço",AND(AUTOEVENTO="Manual",$M190=$A$15)),0,
         IF(OFFSET(CRONOPLE!$F$15,$M190-$A$15,BT$13)=0,10^12,OFFSET(CRONOPLE!$F$15,$M190-$A$15,BT$13)))</f>
        <v>1000000000000</v>
      </c>
      <c r="BV190" s="172">
        <f ca="1">IF(OR($D190&lt;&gt;"Serviço",AND(AUTOEVENTO="Manual",$M190=$A$15),$M190&gt;(ROW(PLE.lastrow)-ROW(PLE.firstrow))),0,
           IF(OFFSET(PLE!$G$15,$M190-$A$15,BV$13)="",10^12,OFFSET(PLE!$G$15,$M190-$A$15,BV$13)))</f>
        <v>1000000000000</v>
      </c>
      <c r="BW190" s="172">
        <f ca="1">IF(OR($D190&lt;&gt;"Serviço",AND(AUTOEVENTO="Manual",$M190=$A$15),$M190&gt;(ROW(PLE.lastrow)-ROW(PLE.firstrow))),0,
           IF(OFFSET(PLE!$G$15,$M190-$A$15,BW$13)="",10^12,OFFSET(PLE!$G$15,$M190-$A$15,BW$13)))</f>
        <v>1000000000000</v>
      </c>
      <c r="BX190" s="172">
        <f ca="1">IF(OR($D190&lt;&gt;"Serviço",AND(AUTOEVENTO="Manual",$M190=$A$15),$M190&gt;(ROW(PLE.lastrow)-ROW(PLE.firstrow))),0,
           IF(OFFSET(PLE!$G$15,$M190-$A$15,BX$13)="",10^12,OFFSET(PLE!$G$15,$M190-$A$15,BX$13)))</f>
        <v>1000000000000</v>
      </c>
      <c r="BY190" s="172">
        <f ca="1">IF(OR($D190&lt;&gt;"Serviço",AND(AUTOEVENTO="Manual",$M190=$A$15),$M190&gt;(ROW(PLE.lastrow)-ROW(PLE.firstrow))),0,
           IF(OFFSET(PLE!$G$15,$M190-$A$15,BY$13)="",10^12,OFFSET(PLE!$G$15,$M190-$A$15,BY$13)))</f>
        <v>1000000000000</v>
      </c>
      <c r="BZ190" s="172">
        <f ca="1">IF(OR($D190&lt;&gt;"Serviço",AND(AUTOEVENTO="Manual",$M190=$A$15),$M190&gt;(ROW(PLE.lastrow)-ROW(PLE.firstrow))),0,
           IF(OFFSET(PLE!$G$15,$M190-$A$15,BZ$13)="",10^12,OFFSET(PLE!$G$15,$M190-$A$15,BZ$13)))</f>
        <v>1000000000000</v>
      </c>
      <c r="CA190" s="172">
        <f ca="1">IF(OR($D190&lt;&gt;"Serviço",AND(AUTOEVENTO="Manual",$M190=$A$15),$M190&gt;(ROW(PLE.lastrow)-ROW(PLE.firstrow))),0,
           IF(OFFSET(PLE!$G$15,$M190-$A$15,CA$13)="",10^12,OFFSET(PLE!$G$15,$M190-$A$15,CA$13)))</f>
        <v>1000000000000</v>
      </c>
      <c r="CB190" s="172">
        <f ca="1">IF(OR($D190&lt;&gt;"Serviço",AND(AUTOEVENTO="Manual",$M190=$A$15),$M190&gt;(ROW(PLE.lastrow)-ROW(PLE.firstrow))),0,
           IF(OFFSET(PLE!$G$15,$M190-$A$15,CB$13)="",10^12,OFFSET(PLE!$G$15,$M190-$A$15,CB$13)))</f>
        <v>1000000000000</v>
      </c>
      <c r="CC190" s="172">
        <f ca="1">IF(OR($D190&lt;&gt;"Serviço",AND(AUTOEVENTO="Manual",$M190=$A$15),$M190&gt;(ROW(PLE.lastrow)-ROW(PLE.firstrow))),0,
           IF(OFFSET(PLE!$G$15,$M190-$A$15,CC$13)="",10^12,OFFSET(PLE!$G$15,$M190-$A$15,CC$13)))</f>
        <v>1000000000000</v>
      </c>
      <c r="CD190" s="172">
        <f ca="1">IF(OR($D190&lt;&gt;"Serviço",AND(AUTOEVENTO="Manual",$M190=$A$15),$M190&gt;(ROW(PLE.lastrow)-ROW(PLE.firstrow))),0,
           IF(OFFSET(PLE!$G$15,$M190-$A$15,CD$13)="",10^12,OFFSET(PLE!$G$15,$M190-$A$15,CD$13)))</f>
        <v>1000000000000</v>
      </c>
      <c r="CE190" s="172">
        <f ca="1">IF(OR($D190&lt;&gt;"Serviço",AND(AUTOEVENTO="Manual",$M190=$A$15),$M190&gt;(ROW(PLE.lastrow)-ROW(PLE.firstrow))),0,
           IF(OFFSET(PLE!$G$15,$M190-$A$15,CE$13)="",10^12,OFFSET(PLE!$G$15,$M190-$A$15,CE$13)))</f>
        <v>1000000000000</v>
      </c>
      <c r="CF190" s="172">
        <f ca="1">IF(OR($D190&lt;&gt;"Serviço",AND(AUTOEVENTO="Manual",$M190=$A$15),$M190&gt;(ROW(PLE.lastrow)-ROW(PLE.firstrow))),0,
           IF(OFFSET(PLE!$G$15,$M190-$A$15,CF$13)="",10^12,OFFSET(PLE!$G$15,$M190-$A$15,CF$13)))</f>
        <v>1000000000000</v>
      </c>
      <c r="CG190" s="172">
        <f ca="1">IF(OR($D190&lt;&gt;"Serviço",AND(AUTOEVENTO="Manual",$M190=$A$15),$M190&gt;(ROW(PLE.lastrow)-ROW(PLE.firstrow))),0,
           IF(OFFSET(PLE!$G$15,$M190-$A$15,CG$13)="",10^12,OFFSET(PLE!$G$15,$M190-$A$15,CG$13)))</f>
        <v>1000000000000</v>
      </c>
      <c r="CH190" s="172">
        <f ca="1">IF(OR($D190&lt;&gt;"Serviço",AND(AUTOEVENTO="Manual",$M190=$A$15),$M190&gt;(ROW(PLE.lastrow)-ROW(PLE.firstrow))),0,
           IF(OFFSET(PLE!$G$15,$M190-$A$15,CH$13)="",10^12,OFFSET(PLE!$G$15,$M190-$A$15,CH$13)))</f>
        <v>1000000000000</v>
      </c>
      <c r="CI190" s="172">
        <f ca="1">IF(OR($D190&lt;&gt;"Serviço",AND(AUTOEVENTO="Manual",$M190=$A$15),$M190&gt;(ROW(PLE.lastrow)-ROW(PLE.firstrow))),0,
           IF(OFFSET(PLE!$G$15,$M190-$A$15,CI$13)="",10^12,OFFSET(PLE!$G$15,$M190-$A$15,CI$13)))</f>
        <v>1000000000000</v>
      </c>
      <c r="CJ190" s="172">
        <f ca="1">IF(OR($D190&lt;&gt;"Serviço",AND(AUTOEVENTO="Manual",$M190=$A$15),$M190&gt;(ROW(PLE.lastrow)-ROW(PLE.firstrow))),0,
           IF(OFFSET(PLE!$G$15,$M190-$A$15,CJ$13)="",10^12,OFFSET(PLE!$G$15,$M190-$A$15,CJ$13)))</f>
        <v>1000000000000</v>
      </c>
      <c r="CK190" s="172">
        <f ca="1">IF(OR($D190&lt;&gt;"Serviço",AND(AUTOEVENTO="Manual",$M190=$A$15),$M190&gt;(ROW(PLE.lastrow)-ROW(PLE.firstrow))),0,
           IF(OFFSET(PLE!$G$15,$M190-$A$15,CK$13)="",10^12,OFFSET(PLE!$G$15,$M190-$A$15,CK$13)))</f>
        <v>1000000000000</v>
      </c>
      <c r="CL190" s="172">
        <f ca="1">IF(OR($D190&lt;&gt;"Serviço",AND(AUTOEVENTO="Manual",$M190=$A$15),$M190&gt;(ROW(PLE.lastrow)-ROW(PLE.firstrow))),0,
           IF(OFFSET(PLE!$G$15,$M190-$A$15,CL$13)="",10^12,OFFSET(PLE!$G$15,$M190-$A$15,CL$13)))</f>
        <v>1000000000000</v>
      </c>
      <c r="CM190" s="172">
        <f ca="1">IF(OR($D190&lt;&gt;"Serviço",AND(AUTOEVENTO="Manual",$M190=$A$15),$M190&gt;(ROW(PLE.lastrow)-ROW(PLE.firstrow))),0,
           IF(OFFSET(PLE!$G$15,$M190-$A$15,CM$13)="",10^12,OFFSET(PLE!$G$15,$M190-$A$15,CM$13)))</f>
        <v>1000000000000</v>
      </c>
    </row>
    <row r="191" spans="1:91" ht="89.25" x14ac:dyDescent="0.2">
      <c r="A191" s="7">
        <f t="shared" ca="1" si="12"/>
        <v>4</v>
      </c>
      <c r="B191" s="7" t="str">
        <f ca="1">OFFSET(ORÇAMENTO!C$15,ROW(B191)-ROW(B$15),0)</f>
        <v>S</v>
      </c>
      <c r="C191" s="7" t="str">
        <f ca="1">OFFSET(ORÇAMENTO!L$15,ROW(C191)-ROW(C$15),0)</f>
        <v>F</v>
      </c>
      <c r="D191" s="116" t="str">
        <f ca="1">OFFSET(ORÇAMENTO!N$15,ROW(D191)-ROW(D$15),0)</f>
        <v>Serviço</v>
      </c>
      <c r="E191" s="117" t="str">
        <f ca="1">OFFSET(ORÇAMENTO!O$15,ROW(E191)-ROW(E$15),0)</f>
        <v>1.5.5.4.3.</v>
      </c>
      <c r="F191" s="163" t="str">
        <f ca="1">OFFSET(ORÇAMENTO!R$15,ROW(F191)-ROW(F$15),0)</f>
        <v>FÔRMAS DE COMPENSADO RESINADO 10 MM - USO GERAL - UTILIZAÇÃO DE 3 VEZES - CONFECÇÃO, INSTALAÇÃO E RETIRADA</v>
      </c>
      <c r="G191" s="164" t="str">
        <f ca="1">IF($D191&lt;&gt;"Serviço","",OFFSET(ORÇAMENTO!S$15,ROW(G191)-ROW(G$15),0))</f>
        <v>M2</v>
      </c>
      <c r="H191" s="122" cm="1">
        <f t="array" aca="1" ref="H191" ca="1">IF($D191&lt;&gt;"Serviço",0,IF(ACOMPANHAMENTO="BM",ROUND(OFFSET(ORÇAMENTO!AJ$15,ROW(H191)-ROW(H$15),0),15-13*ORÇAMENTO!$AF$7),SUMPRODUCT(($Q$1:$AI$1=1)*ROUND($Q191:$AI191,15-13*ORÇAMENTO!$AF$7))))</f>
        <v>21.01</v>
      </c>
      <c r="I191" s="468" t="s">
        <v>1341</v>
      </c>
      <c r="J191" s="640" t="str" cm="1">
        <f t="array" aca="1" ref="J191" ca="1">IF(OR(B191&lt;&gt;"S",CÁLCULO.FrentesPreenchidas=0),"",IF(AND(ACOMPANHAMENTO="PLE",AUTOEVENTO="Manual",OR(H191&gt;0,ORÇAMENTO!AC191="QUANT."),OR(K191="",M191=0,N191="")),"►E",IF(AND(ACOMPANHAMENTO="PLE",ORÇAMENTO!AC191="QUANT."),"►Q",IF(AND(ACOMPANHAMENTO="PLE",H191&lt;&gt;SUMPRODUCT(($Q$1:$AI$1=1)*ROUND(Q191:AI191,15))),"►S",IF(AND(COUNTIF($P$11:$AI$11,"▼")=0,H191&gt;0,I191=""),"◄M","")))))</f>
        <v/>
      </c>
      <c r="K191" s="641" t="s">
        <v>1389</v>
      </c>
      <c r="L191" s="165" t="s">
        <v>764</v>
      </c>
      <c r="M191" s="166">
        <f ca="1">IF($D191&lt;&gt;"Serviço","",
          IF(AUTOEVENTO="manual",$A191,
                IF(ISERROR(MATCH($A191,$A$15:OFFSET($A191,-1,0),0)),MAX($M$15:OFFSET(M191,-1,0))+1,
                      INDEX($M$15:OFFSET(M191,-1,0),MATCH($A191,$A$15:OFFSET($A191,-1,0),0)))))</f>
        <v>4</v>
      </c>
      <c r="N191" s="167" t="str">
        <f ca="1">IF($D191&lt;&gt;"Serviço","",
         IF(AUTOEVENTO="Manual",
                IF($A191=0,"&lt;-- defina o número do agrupador",
                       OFFSET(EVENTOS!$D$15,$A191-$A$15,0)),
                OFFSET($F$15,$A191,0)))</f>
        <v>Estruturas de Concreto</v>
      </c>
      <c r="O191" s="168"/>
      <c r="Q191" s="168"/>
      <c r="R191" s="169"/>
      <c r="S191" s="169"/>
      <c r="T191" s="169"/>
      <c r="U191" s="169"/>
      <c r="V191" s="169">
        <v>21.01</v>
      </c>
      <c r="W191" s="169"/>
      <c r="X191" s="169"/>
      <c r="Y191" s="169"/>
      <c r="Z191" s="170"/>
      <c r="AA191" s="169"/>
      <c r="AB191" s="169"/>
      <c r="AC191" s="169"/>
      <c r="AD191" s="169"/>
      <c r="AE191" s="169"/>
      <c r="AF191" s="169"/>
      <c r="AG191" s="169"/>
      <c r="AH191" s="170"/>
      <c r="AJ191" s="453">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0</v>
      </c>
      <c r="AK191" s="453">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0</v>
      </c>
      <c r="AL191" s="453">
        <f ca="1">IF(AND($D191="Serviço",AL$12&lt;&gt;0,$H191&gt;0,OR(AUTOEVENTO&lt;&gt;"manual",$M191&lt;&gt;$A$15)),
        IF(Import.TipoArredondamento&lt;&gt;"TransfereGOV",
              ROUND(OFFSET($P191,0,AL$13),15-13*ORÇAMENTO!$AF$7)/$H191*OFFSET(ORÇAMENTO!$X$15,ROW(AL191)-ROW(AL$15),0),
              ROUND(ROUND(OFFSET($P191,0,AL$13),15-13*ORÇAMENTO!$AF$7)*OFFSET(ORÇAMENTO!$W$15,ROW(AL191)-ROW(AL$15),0),15-13*ORÇAMENTO!$AF$11)),
         0)</f>
        <v>0</v>
      </c>
      <c r="AM191" s="453">
        <f ca="1">IF(AND($D191="Serviço",AM$12&lt;&gt;0,$H191&gt;0,OR(AUTOEVENTO&lt;&gt;"manual",$M191&lt;&gt;$A$15)),
        IF(Import.TipoArredondamento&lt;&gt;"TransfereGOV",
              ROUND(OFFSET($P191,0,AM$13),15-13*ORÇAMENTO!$AF$7)/$H191*OFFSET(ORÇAMENTO!$X$15,ROW(AM191)-ROW(AM$15),0),
              ROUND(ROUND(OFFSET($P191,0,AM$13),15-13*ORÇAMENTO!$AF$7)*OFFSET(ORÇAMENTO!$W$15,ROW(AM191)-ROW(AM$15),0),15-13*ORÇAMENTO!$AF$11)),
         0)</f>
        <v>0</v>
      </c>
      <c r="AN191" s="453">
        <f ca="1">IF(AND($D191="Serviço",AN$12&lt;&gt;0,$H191&gt;0,OR(AUTOEVENTO&lt;&gt;"manual",$M191&lt;&gt;$A$15)),
        IF(Import.TipoArredondamento&lt;&gt;"TransfereGOV",
              ROUND(OFFSET($P191,0,AN$13),15-13*ORÇAMENTO!$AF$7)/$H191*OFFSET(ORÇAMENTO!$X$15,ROW(AN191)-ROW(AN$15),0),
              ROUND(ROUND(OFFSET($P191,0,AN$13),15-13*ORÇAMENTO!$AF$7)*OFFSET(ORÇAMENTO!$W$15,ROW(AN191)-ROW(AN$15),0),15-13*ORÇAMENTO!$AF$11)),
         0)</f>
        <v>0</v>
      </c>
      <c r="AO191" s="453">
        <f ca="1">IF(AND($D191="Serviço",AO$12&lt;&gt;0,$H191&gt;0,OR(AUTOEVENTO&lt;&gt;"manual",$M191&lt;&gt;$A$15)),
        IF(Import.TipoArredondamento&lt;&gt;"TransfereGOV",
              ROUND(OFFSET($P191,0,AO$13),15-13*ORÇAMENTO!$AF$7)/$H191*OFFSET(ORÇAMENTO!$X$15,ROW(AO191)-ROW(AO$15),0),
              ROUND(ROUND(OFFSET($P191,0,AO$13),15-13*ORÇAMENTO!$AF$7)*OFFSET(ORÇAMENTO!$W$15,ROW(AO191)-ROW(AO$15),0),15-13*ORÇAMENTO!$AF$11)),
         0)</f>
        <v>0</v>
      </c>
      <c r="AP191" s="453">
        <f ca="1">IF(AND($D191="Serviço",AP$12&lt;&gt;0,$H191&gt;0,OR(AUTOEVENTO&lt;&gt;"manual",$M191&lt;&gt;$A$15)),
        IF(Import.TipoArredondamento&lt;&gt;"TransfereGOV",
              ROUND(OFFSET($P191,0,AP$13),15-13*ORÇAMENTO!$AF$7)/$H191*OFFSET(ORÇAMENTO!$X$15,ROW(AP191)-ROW(AP$15),0),
              ROUND(ROUND(OFFSET($P191,0,AP$13),15-13*ORÇAMENTO!$AF$7)*OFFSET(ORÇAMENTO!$W$15,ROW(AP191)-ROW(AP$15),0),15-13*ORÇAMENTO!$AF$11)),
         0)</f>
        <v>0</v>
      </c>
      <c r="AQ191" s="453">
        <f ca="1">IF(AND($D191="Serviço",AQ$12&lt;&gt;0,$H191&gt;0,OR(AUTOEVENTO&lt;&gt;"manual",$M191&lt;&gt;$A$15)),
        IF(Import.TipoArredondamento&lt;&gt;"TransfereGOV",
              ROUND(OFFSET($P191,0,AQ$13),15-13*ORÇAMENTO!$AF$7)/$H191*OFFSET(ORÇAMENTO!$X$15,ROW(AQ191)-ROW(AQ$15),0),
              ROUND(ROUND(OFFSET($P191,0,AQ$13),15-13*ORÇAMENTO!$AF$7)*OFFSET(ORÇAMENTO!$W$15,ROW(AQ191)-ROW(AQ$15),0),15-13*ORÇAMENTO!$AF$11)),
         0)</f>
        <v>0</v>
      </c>
      <c r="AR191" s="453">
        <f ca="1">IF(AND($D191="Serviço",AR$12&lt;&gt;0,$H191&gt;0,OR(AUTOEVENTO&lt;&gt;"manual",$M191&lt;&gt;$A$15)),
        IF(Import.TipoArredondamento&lt;&gt;"TransfereGOV",
              ROUND(OFFSET($P191,0,AR$13),15-13*ORÇAMENTO!$AF$7)/$H191*OFFSET(ORÇAMENTO!$X$15,ROW(AR191)-ROW(AR$15),0),
              ROUND(ROUND(OFFSET($P191,0,AR$13),15-13*ORÇAMENTO!$AF$7)*OFFSET(ORÇAMENTO!$W$15,ROW(AR191)-ROW(AR$15),0),15-13*ORÇAMENTO!$AF$11)),
         0)</f>
        <v>0</v>
      </c>
      <c r="AS191" s="453">
        <f ca="1">IF(AND($D191="Serviço",AS$12&lt;&gt;0,$H191&gt;0,OR(AUTOEVENTO&lt;&gt;"manual",$M191&lt;&gt;$A$15)),
        IF(Import.TipoArredondamento&lt;&gt;"TransfereGOV",
              ROUND(OFFSET($P191,0,AS$13),15-13*ORÇAMENTO!$AF$7)/$H191*OFFSET(ORÇAMENTO!$X$15,ROW(AS191)-ROW(AS$15),0),
              ROUND(ROUND(OFFSET($P191,0,AS$13),15-13*ORÇAMENTO!$AF$7)*OFFSET(ORÇAMENTO!$W$15,ROW(AS191)-ROW(AS$15),0),15-13*ORÇAMENTO!$AF$11)),
         0)</f>
        <v>0</v>
      </c>
      <c r="AT191" s="453">
        <f ca="1">IF(AND($D191="Serviço",AT$12&lt;&gt;0,$H191&gt;0,OR(AUTOEVENTO&lt;&gt;"manual",$M191&lt;&gt;$A$15)),
        IF(Import.TipoArredondamento&lt;&gt;"TransfereGOV",
              ROUND(OFFSET($P191,0,AT$13),15-13*ORÇAMENTO!$AF$7)/$H191*OFFSET(ORÇAMENTO!$X$15,ROW(AT191)-ROW(AT$15),0),
              ROUND(ROUND(OFFSET($P191,0,AT$13),15-13*ORÇAMENTO!$AF$7)*OFFSET(ORÇAMENTO!$W$15,ROW(AT191)-ROW(AT$15),0),15-13*ORÇAMENTO!$AF$11)),
         0)</f>
        <v>0</v>
      </c>
      <c r="AU191" s="453">
        <f ca="1">IF(AND($D191="Serviço",AU$12&lt;&gt;0,$H191&gt;0,OR(AUTOEVENTO&lt;&gt;"manual",$M191&lt;&gt;$A$15)),
        IF(Import.TipoArredondamento&lt;&gt;"TransfereGOV",
              ROUND(OFFSET($P191,0,AU$13),15-13*ORÇAMENTO!$AF$7)/$H191*OFFSET(ORÇAMENTO!$X$15,ROW(AU191)-ROW(AU$15),0),
              ROUND(ROUND(OFFSET($P191,0,AU$13),15-13*ORÇAMENTO!$AF$7)*OFFSET(ORÇAMENTO!$W$15,ROW(AU191)-ROW(AU$15),0),15-13*ORÇAMENTO!$AF$11)),
         0)</f>
        <v>0</v>
      </c>
      <c r="AV191" s="453">
        <f ca="1">IF(AND($D191="Serviço",AV$12&lt;&gt;0,$H191&gt;0,OR(AUTOEVENTO&lt;&gt;"manual",$M191&lt;&gt;$A$15)),
        IF(Import.TipoArredondamento&lt;&gt;"TransfereGOV",
              ROUND(OFFSET($P191,0,AV$13),15-13*ORÇAMENTO!$AF$7)/$H191*OFFSET(ORÇAMENTO!$X$15,ROW(AV191)-ROW(AV$15),0),
              ROUND(ROUND(OFFSET($P191,0,AV$13),15-13*ORÇAMENTO!$AF$7)*OFFSET(ORÇAMENTO!$W$15,ROW(AV191)-ROW(AV$15),0),15-13*ORÇAMENTO!$AF$11)),
         0)</f>
        <v>0</v>
      </c>
      <c r="AW191" s="453">
        <f ca="1">IF(AND($D191="Serviço",AW$12&lt;&gt;0,$H191&gt;0,OR(AUTOEVENTO&lt;&gt;"manual",$M191&lt;&gt;$A$15)),
        IF(Import.TipoArredondamento&lt;&gt;"TransfereGOV",
              ROUND(OFFSET($P191,0,AW$13),15-13*ORÇAMENTO!$AF$7)/$H191*OFFSET(ORÇAMENTO!$X$15,ROW(AW191)-ROW(AW$15),0),
              ROUND(ROUND(OFFSET($P191,0,AW$13),15-13*ORÇAMENTO!$AF$7)*OFFSET(ORÇAMENTO!$W$15,ROW(AW191)-ROW(AW$15),0),15-13*ORÇAMENTO!$AF$11)),
         0)</f>
        <v>0</v>
      </c>
      <c r="AX191" s="453">
        <f ca="1">IF(AND($D191="Serviço",AX$12&lt;&gt;0,$H191&gt;0,OR(AUTOEVENTO&lt;&gt;"manual",$M191&lt;&gt;$A$15)),
        IF(Import.TipoArredondamento&lt;&gt;"TransfereGOV",
              ROUND(OFFSET($P191,0,AX$13),15-13*ORÇAMENTO!$AF$7)/$H191*OFFSET(ORÇAMENTO!$X$15,ROW(AX191)-ROW(AX$15),0),
              ROUND(ROUND(OFFSET($P191,0,AX$13),15-13*ORÇAMENTO!$AF$7)*OFFSET(ORÇAMENTO!$W$15,ROW(AX191)-ROW(AX$15),0),15-13*ORÇAMENTO!$AF$11)),
         0)</f>
        <v>0</v>
      </c>
      <c r="AY191" s="453">
        <f ca="1">IF(AND($D191="Serviço",AY$12&lt;&gt;0,$H191&gt;0,OR(AUTOEVENTO&lt;&gt;"manual",$M191&lt;&gt;$A$15)),
        IF(Import.TipoArredondamento&lt;&gt;"TransfereGOV",
              ROUND(OFFSET($P191,0,AY$13),15-13*ORÇAMENTO!$AF$7)/$H191*OFFSET(ORÇAMENTO!$X$15,ROW(AY191)-ROW(AY$15),0),
              ROUND(ROUND(OFFSET($P191,0,AY$13),15-13*ORÇAMENTO!$AF$7)*OFFSET(ORÇAMENTO!$W$15,ROW(AY191)-ROW(AY$15),0),15-13*ORÇAMENTO!$AF$11)),
         0)</f>
        <v>0</v>
      </c>
      <c r="AZ191" s="453">
        <f ca="1">IF(AND($D191="Serviço",AZ$12&lt;&gt;0,$H191&gt;0,OR(AUTOEVENTO&lt;&gt;"manual",$M191&lt;&gt;$A$15)),
        IF(Import.TipoArredondamento&lt;&gt;"TransfereGOV",
              ROUND(OFFSET($P191,0,AZ$13),15-13*ORÇAMENTO!$AF$7)/$H191*OFFSET(ORÇAMENTO!$X$15,ROW(AZ191)-ROW(AZ$15),0),
              ROUND(ROUND(OFFSET($P191,0,AZ$13),15-13*ORÇAMENTO!$AF$7)*OFFSET(ORÇAMENTO!$W$15,ROW(AZ191)-ROW(AZ$15),0),15-13*ORÇAMENTO!$AF$11)),
         0)</f>
        <v>0</v>
      </c>
      <c r="BA191" s="453">
        <f ca="1">IF(AND($D191="Serviço",BA$12&lt;&gt;0,$H191&gt;0,OR(AUTOEVENTO&lt;&gt;"manual",$M191&lt;&gt;$A$15)),
        IF(Import.TipoArredondamento&lt;&gt;"TransfereGOV",
              ROUND(OFFSET($P191,0,BA$13),15-13*ORÇAMENTO!$AF$7)/$H191*OFFSET(ORÇAMENTO!$X$15,ROW(BA191)-ROW(BA$15),0),
              ROUND(ROUND(OFFSET($P191,0,BA$13),15-13*ORÇAMENTO!$AF$7)*OFFSET(ORÇAMENTO!$W$15,ROW(BA191)-ROW(BA$15),0),15-13*ORÇAMENTO!$AF$11)),
         0)</f>
        <v>0</v>
      </c>
      <c r="BC191" s="171">
        <f ca="1">IF(OR($D191&lt;&gt;"Serviço",AND(AUTOEVENTO="Manual",$M191=$A$15)),0,
         IF(OFFSET(CRONOPLE!$F$15,$M191-$A$15,BC$13)=0,10^12,OFFSET(CRONOPLE!$F$15,$M191-$A$15,BC$13)))</f>
        <v>1</v>
      </c>
      <c r="BD191" s="171">
        <f ca="1">IF(OR($D191&lt;&gt;"Serviço",AND(AUTOEVENTO="Manual",$M191=$A$15)),0,
         IF(OFFSET(CRONOPLE!$F$15,$M191-$A$15,BD$13)=0,10^12,OFFSET(CRONOPLE!$F$15,$M191-$A$15,BD$13)))</f>
        <v>2</v>
      </c>
      <c r="BE191" s="171">
        <f ca="1">IF(OR($D191&lt;&gt;"Serviço",AND(AUTOEVENTO="Manual",$M191=$A$15)),0,
         IF(OFFSET(CRONOPLE!$F$15,$M191-$A$15,BE$13)=0,10^12,OFFSET(CRONOPLE!$F$15,$M191-$A$15,BE$13)))</f>
        <v>3</v>
      </c>
      <c r="BF191" s="171">
        <f ca="1">IF(OR($D191&lt;&gt;"Serviço",AND(AUTOEVENTO="Manual",$M191=$A$15)),0,
         IF(OFFSET(CRONOPLE!$F$15,$M191-$A$15,BF$13)=0,10^12,OFFSET(CRONOPLE!$F$15,$M191-$A$15,BF$13)))</f>
        <v>4</v>
      </c>
      <c r="BG191" s="171">
        <f ca="1">IF(OR($D191&lt;&gt;"Serviço",AND(AUTOEVENTO="Manual",$M191=$A$15)),0,
         IF(OFFSET(CRONOPLE!$F$15,$M191-$A$15,BG$13)=0,10^12,OFFSET(CRONOPLE!$F$15,$M191-$A$15,BG$13)))</f>
        <v>5</v>
      </c>
      <c r="BH191" s="171">
        <f ca="1">IF(OR($D191&lt;&gt;"Serviço",AND(AUTOEVENTO="Manual",$M191=$A$15)),0,
         IF(OFFSET(CRONOPLE!$F$15,$M191-$A$15,BH$13)=0,10^12,OFFSET(CRONOPLE!$F$15,$M191-$A$15,BH$13)))</f>
        <v>6</v>
      </c>
      <c r="BI191" s="171">
        <f ca="1">IF(OR($D191&lt;&gt;"Serviço",AND(AUTOEVENTO="Manual",$M191=$A$15)),0,
         IF(OFFSET(CRONOPLE!$F$15,$M191-$A$15,BI$13)=0,10^12,OFFSET(CRONOPLE!$F$15,$M191-$A$15,BI$13)))</f>
        <v>7</v>
      </c>
      <c r="BJ191" s="171">
        <f ca="1">IF(OR($D191&lt;&gt;"Serviço",AND(AUTOEVENTO="Manual",$M191=$A$15)),0,
         IF(OFFSET(CRONOPLE!$F$15,$M191-$A$15,BJ$13)=0,10^12,OFFSET(CRONOPLE!$F$15,$M191-$A$15,BJ$13)))</f>
        <v>8</v>
      </c>
      <c r="BK191" s="171">
        <f ca="1">IF(OR($D191&lt;&gt;"Serviço",AND(AUTOEVENTO="Manual",$M191=$A$15)),0,
         IF(OFFSET(CRONOPLE!$F$15,$M191-$A$15,BK$13)=0,10^12,OFFSET(CRONOPLE!$F$15,$M191-$A$15,BK$13)))</f>
        <v>9</v>
      </c>
      <c r="BL191" s="171">
        <f ca="1">IF(OR($D191&lt;&gt;"Serviço",AND(AUTOEVENTO="Manual",$M191=$A$15)),0,
         IF(OFFSET(CRONOPLE!$F$15,$M191-$A$15,BL$13)=0,10^12,OFFSET(CRONOPLE!$F$15,$M191-$A$15,BL$13)))</f>
        <v>10</v>
      </c>
      <c r="BM191" s="171">
        <f ca="1">IF(OR($D191&lt;&gt;"Serviço",AND(AUTOEVENTO="Manual",$M191=$A$15)),0,
         IF(OFFSET(CRONOPLE!$F$15,$M191-$A$15,BM$13)=0,10^12,OFFSET(CRONOPLE!$F$15,$M191-$A$15,BM$13)))</f>
        <v>1000000000000</v>
      </c>
      <c r="BN191" s="171">
        <f ca="1">IF(OR($D191&lt;&gt;"Serviço",AND(AUTOEVENTO="Manual",$M191=$A$15)),0,
         IF(OFFSET(CRONOPLE!$F$15,$M191-$A$15,BN$13)=0,10^12,OFFSET(CRONOPLE!$F$15,$M191-$A$15,BN$13)))</f>
        <v>1000000000000</v>
      </c>
      <c r="BO191" s="171">
        <f ca="1">IF(OR($D191&lt;&gt;"Serviço",AND(AUTOEVENTO="Manual",$M191=$A$15)),0,
         IF(OFFSET(CRONOPLE!$F$15,$M191-$A$15,BO$13)=0,10^12,OFFSET(CRONOPLE!$F$15,$M191-$A$15,BO$13)))</f>
        <v>1000000000000</v>
      </c>
      <c r="BP191" s="171">
        <f ca="1">IF(OR($D191&lt;&gt;"Serviço",AND(AUTOEVENTO="Manual",$M191=$A$15)),0,
         IF(OFFSET(CRONOPLE!$F$15,$M191-$A$15,BP$13)=0,10^12,OFFSET(CRONOPLE!$F$15,$M191-$A$15,BP$13)))</f>
        <v>1000000000000</v>
      </c>
      <c r="BQ191" s="171">
        <f ca="1">IF(OR($D191&lt;&gt;"Serviço",AND(AUTOEVENTO="Manual",$M191=$A$15)),0,
         IF(OFFSET(CRONOPLE!$F$15,$M191-$A$15,BQ$13)=0,10^12,OFFSET(CRONOPLE!$F$15,$M191-$A$15,BQ$13)))</f>
        <v>1000000000000</v>
      </c>
      <c r="BR191" s="171">
        <f ca="1">IF(OR($D191&lt;&gt;"Serviço",AND(AUTOEVENTO="Manual",$M191=$A$15)),0,
         IF(OFFSET(CRONOPLE!$F$15,$M191-$A$15,BR$13)=0,10^12,OFFSET(CRONOPLE!$F$15,$M191-$A$15,BR$13)))</f>
        <v>1000000000000</v>
      </c>
      <c r="BS191" s="171">
        <f ca="1">IF(OR($D191&lt;&gt;"Serviço",AND(AUTOEVENTO="Manual",$M191=$A$15)),0,
         IF(OFFSET(CRONOPLE!$F$15,$M191-$A$15,BS$13)=0,10^12,OFFSET(CRONOPLE!$F$15,$M191-$A$15,BS$13)))</f>
        <v>1000000000000</v>
      </c>
      <c r="BT191" s="171">
        <f ca="1">IF(OR($D191&lt;&gt;"Serviço",AND(AUTOEVENTO="Manual",$M191=$A$15)),0,
         IF(OFFSET(CRONOPLE!$F$15,$M191-$A$15,BT$13)=0,10^12,OFFSET(CRONOPLE!$F$15,$M191-$A$15,BT$13)))</f>
        <v>1000000000000</v>
      </c>
      <c r="BV191" s="172">
        <f ca="1">IF(OR($D191&lt;&gt;"Serviço",AND(AUTOEVENTO="Manual",$M191=$A$15),$M191&gt;(ROW(PLE.lastrow)-ROW(PLE.firstrow))),0,
           IF(OFFSET(PLE!$G$15,$M191-$A$15,BV$13)="",10^12,OFFSET(PLE!$G$15,$M191-$A$15,BV$13)))</f>
        <v>1000000000000</v>
      </c>
      <c r="BW191" s="172">
        <f ca="1">IF(OR($D191&lt;&gt;"Serviço",AND(AUTOEVENTO="Manual",$M191=$A$15),$M191&gt;(ROW(PLE.lastrow)-ROW(PLE.firstrow))),0,
           IF(OFFSET(PLE!$G$15,$M191-$A$15,BW$13)="",10^12,OFFSET(PLE!$G$15,$M191-$A$15,BW$13)))</f>
        <v>1000000000000</v>
      </c>
      <c r="BX191" s="172">
        <f ca="1">IF(OR($D191&lt;&gt;"Serviço",AND(AUTOEVENTO="Manual",$M191=$A$15),$M191&gt;(ROW(PLE.lastrow)-ROW(PLE.firstrow))),0,
           IF(OFFSET(PLE!$G$15,$M191-$A$15,BX$13)="",10^12,OFFSET(PLE!$G$15,$M191-$A$15,BX$13)))</f>
        <v>1000000000000</v>
      </c>
      <c r="BY191" s="172">
        <f ca="1">IF(OR($D191&lt;&gt;"Serviço",AND(AUTOEVENTO="Manual",$M191=$A$15),$M191&gt;(ROW(PLE.lastrow)-ROW(PLE.firstrow))),0,
           IF(OFFSET(PLE!$G$15,$M191-$A$15,BY$13)="",10^12,OFFSET(PLE!$G$15,$M191-$A$15,BY$13)))</f>
        <v>1000000000000</v>
      </c>
      <c r="BZ191" s="172">
        <f ca="1">IF(OR($D191&lt;&gt;"Serviço",AND(AUTOEVENTO="Manual",$M191=$A$15),$M191&gt;(ROW(PLE.lastrow)-ROW(PLE.firstrow))),0,
           IF(OFFSET(PLE!$G$15,$M191-$A$15,BZ$13)="",10^12,OFFSET(PLE!$G$15,$M191-$A$15,BZ$13)))</f>
        <v>1000000000000</v>
      </c>
      <c r="CA191" s="172">
        <f ca="1">IF(OR($D191&lt;&gt;"Serviço",AND(AUTOEVENTO="Manual",$M191=$A$15),$M191&gt;(ROW(PLE.lastrow)-ROW(PLE.firstrow))),0,
           IF(OFFSET(PLE!$G$15,$M191-$A$15,CA$13)="",10^12,OFFSET(PLE!$G$15,$M191-$A$15,CA$13)))</f>
        <v>1000000000000</v>
      </c>
      <c r="CB191" s="172">
        <f ca="1">IF(OR($D191&lt;&gt;"Serviço",AND(AUTOEVENTO="Manual",$M191=$A$15),$M191&gt;(ROW(PLE.lastrow)-ROW(PLE.firstrow))),0,
           IF(OFFSET(PLE!$G$15,$M191-$A$15,CB$13)="",10^12,OFFSET(PLE!$G$15,$M191-$A$15,CB$13)))</f>
        <v>1000000000000</v>
      </c>
      <c r="CC191" s="172">
        <f ca="1">IF(OR($D191&lt;&gt;"Serviço",AND(AUTOEVENTO="Manual",$M191=$A$15),$M191&gt;(ROW(PLE.lastrow)-ROW(PLE.firstrow))),0,
           IF(OFFSET(PLE!$G$15,$M191-$A$15,CC$13)="",10^12,OFFSET(PLE!$G$15,$M191-$A$15,CC$13)))</f>
        <v>1000000000000</v>
      </c>
      <c r="CD191" s="172">
        <f ca="1">IF(OR($D191&lt;&gt;"Serviço",AND(AUTOEVENTO="Manual",$M191=$A$15),$M191&gt;(ROW(PLE.lastrow)-ROW(PLE.firstrow))),0,
           IF(OFFSET(PLE!$G$15,$M191-$A$15,CD$13)="",10^12,OFFSET(PLE!$G$15,$M191-$A$15,CD$13)))</f>
        <v>1000000000000</v>
      </c>
      <c r="CE191" s="172">
        <f ca="1">IF(OR($D191&lt;&gt;"Serviço",AND(AUTOEVENTO="Manual",$M191=$A$15),$M191&gt;(ROW(PLE.lastrow)-ROW(PLE.firstrow))),0,
           IF(OFFSET(PLE!$G$15,$M191-$A$15,CE$13)="",10^12,OFFSET(PLE!$G$15,$M191-$A$15,CE$13)))</f>
        <v>1000000000000</v>
      </c>
      <c r="CF191" s="172">
        <f ca="1">IF(OR($D191&lt;&gt;"Serviço",AND(AUTOEVENTO="Manual",$M191=$A$15),$M191&gt;(ROW(PLE.lastrow)-ROW(PLE.firstrow))),0,
           IF(OFFSET(PLE!$G$15,$M191-$A$15,CF$13)="",10^12,OFFSET(PLE!$G$15,$M191-$A$15,CF$13)))</f>
        <v>1000000000000</v>
      </c>
      <c r="CG191" s="172">
        <f ca="1">IF(OR($D191&lt;&gt;"Serviço",AND(AUTOEVENTO="Manual",$M191=$A$15),$M191&gt;(ROW(PLE.lastrow)-ROW(PLE.firstrow))),0,
           IF(OFFSET(PLE!$G$15,$M191-$A$15,CG$13)="",10^12,OFFSET(PLE!$G$15,$M191-$A$15,CG$13)))</f>
        <v>1000000000000</v>
      </c>
      <c r="CH191" s="172">
        <f ca="1">IF(OR($D191&lt;&gt;"Serviço",AND(AUTOEVENTO="Manual",$M191=$A$15),$M191&gt;(ROW(PLE.lastrow)-ROW(PLE.firstrow))),0,
           IF(OFFSET(PLE!$G$15,$M191-$A$15,CH$13)="",10^12,OFFSET(PLE!$G$15,$M191-$A$15,CH$13)))</f>
        <v>1000000000000</v>
      </c>
      <c r="CI191" s="172">
        <f ca="1">IF(OR($D191&lt;&gt;"Serviço",AND(AUTOEVENTO="Manual",$M191=$A$15),$M191&gt;(ROW(PLE.lastrow)-ROW(PLE.firstrow))),0,
           IF(OFFSET(PLE!$G$15,$M191-$A$15,CI$13)="",10^12,OFFSET(PLE!$G$15,$M191-$A$15,CI$13)))</f>
        <v>1000000000000</v>
      </c>
      <c r="CJ191" s="172">
        <f ca="1">IF(OR($D191&lt;&gt;"Serviço",AND(AUTOEVENTO="Manual",$M191=$A$15),$M191&gt;(ROW(PLE.lastrow)-ROW(PLE.firstrow))),0,
           IF(OFFSET(PLE!$G$15,$M191-$A$15,CJ$13)="",10^12,OFFSET(PLE!$G$15,$M191-$A$15,CJ$13)))</f>
        <v>1000000000000</v>
      </c>
      <c r="CK191" s="172">
        <f ca="1">IF(OR($D191&lt;&gt;"Serviço",AND(AUTOEVENTO="Manual",$M191=$A$15),$M191&gt;(ROW(PLE.lastrow)-ROW(PLE.firstrow))),0,
           IF(OFFSET(PLE!$G$15,$M191-$A$15,CK$13)="",10^12,OFFSET(PLE!$G$15,$M191-$A$15,CK$13)))</f>
        <v>1000000000000</v>
      </c>
      <c r="CL191" s="172">
        <f ca="1">IF(OR($D191&lt;&gt;"Serviço",AND(AUTOEVENTO="Manual",$M191=$A$15),$M191&gt;(ROW(PLE.lastrow)-ROW(PLE.firstrow))),0,
           IF(OFFSET(PLE!$G$15,$M191-$A$15,CL$13)="",10^12,OFFSET(PLE!$G$15,$M191-$A$15,CL$13)))</f>
        <v>1000000000000</v>
      </c>
      <c r="CM191" s="172">
        <f ca="1">IF(OR($D191&lt;&gt;"Serviço",AND(AUTOEVENTO="Manual",$M191=$A$15),$M191&gt;(ROW(PLE.lastrow)-ROW(PLE.firstrow))),0,
           IF(OFFSET(PLE!$G$15,$M191-$A$15,CM$13)="",10^12,OFFSET(PLE!$G$15,$M191-$A$15,CM$13)))</f>
        <v>1000000000000</v>
      </c>
    </row>
    <row r="192" spans="1:91" ht="89.25" x14ac:dyDescent="0.2">
      <c r="A192" s="7">
        <f t="shared" ca="1" si="12"/>
        <v>4</v>
      </c>
      <c r="B192" s="7" t="str">
        <f ca="1">OFFSET(ORÇAMENTO!C$15,ROW(B192)-ROW(B$15),0)</f>
        <v>S</v>
      </c>
      <c r="C192" s="7" t="str">
        <f ca="1">OFFSET(ORÇAMENTO!L$15,ROW(C192)-ROW(C$15),0)</f>
        <v>F</v>
      </c>
      <c r="D192" s="116" t="str">
        <f ca="1">OFFSET(ORÇAMENTO!N$15,ROW(D192)-ROW(D$15),0)</f>
        <v>Serviço</v>
      </c>
      <c r="E192" s="117" t="str">
        <f ca="1">OFFSET(ORÇAMENTO!O$15,ROW(E192)-ROW(E$15),0)</f>
        <v>1.5.5.4.4.</v>
      </c>
      <c r="F192" s="163" t="str">
        <f ca="1">OFFSET(ORÇAMENTO!R$15,ROW(F192)-ROW(F$15),0)</f>
        <v>ARMAÇÃO EM AÇO CA-50 - FORNECIMENTO, PREPARO E COLOCAÇÃO</v>
      </c>
      <c r="G192" s="164" t="str">
        <f ca="1">IF($D192&lt;&gt;"Serviço","",OFFSET(ORÇAMENTO!S$15,ROW(G192)-ROW(G$15),0))</f>
        <v>KG</v>
      </c>
      <c r="H192" s="122" cm="1">
        <f t="array" aca="1" ref="H192" ca="1">IF($D192&lt;&gt;"Serviço",0,IF(ACOMPANHAMENTO="BM",ROUND(OFFSET(ORÇAMENTO!AJ$15,ROW(H192)-ROW(H$15),0),15-13*ORÇAMENTO!$AF$7),SUMPRODUCT(($Q$1:$AI$1=1)*ROUND($Q192:$AI192,15-13*ORÇAMENTO!$AF$7))))</f>
        <v>177.4</v>
      </c>
      <c r="I192" s="468" t="s">
        <v>1437</v>
      </c>
      <c r="J192" s="640" t="str" cm="1">
        <f t="array" aca="1" ref="J192" ca="1">IF(OR(B192&lt;&gt;"S",CÁLCULO.FrentesPreenchidas=0),"",IF(AND(ACOMPANHAMENTO="PLE",AUTOEVENTO="Manual",OR(H192&gt;0,ORÇAMENTO!AC192="QUANT."),OR(K192="",M192=0,N192="")),"►E",IF(AND(ACOMPANHAMENTO="PLE",ORÇAMENTO!AC192="QUANT."),"►Q",IF(AND(ACOMPANHAMENTO="PLE",H192&lt;&gt;SUMPRODUCT(($Q$1:$AI$1=1)*ROUND(Q192:AI192,15))),"►S",IF(AND(COUNTIF($P$11:$AI$11,"▼")=0,H192&gt;0,I192=""),"◄M","")))))</f>
        <v/>
      </c>
      <c r="K192" s="641" t="s">
        <v>1389</v>
      </c>
      <c r="L192" s="165" t="s">
        <v>764</v>
      </c>
      <c r="M192" s="166">
        <f ca="1">IF($D192&lt;&gt;"Serviço","",
          IF(AUTOEVENTO="manual",$A192,
                IF(ISERROR(MATCH($A192,$A$15:OFFSET($A192,-1,0),0)),MAX($M$15:OFFSET(M192,-1,0))+1,
                      INDEX($M$15:OFFSET(M192,-1,0),MATCH($A192,$A$15:OFFSET($A192,-1,0),0)))))</f>
        <v>4</v>
      </c>
      <c r="N192" s="167" t="str">
        <f ca="1">IF($D192&lt;&gt;"Serviço","",
         IF(AUTOEVENTO="Manual",
                IF($A192=0,"&lt;-- defina o número do agrupador",
                       OFFSET(EVENTOS!$D$15,$A192-$A$15,0)),
                OFFSET($F$15,$A192,0)))</f>
        <v>Estruturas de Concreto</v>
      </c>
      <c r="O192" s="168"/>
      <c r="Q192" s="168"/>
      <c r="R192" s="169"/>
      <c r="S192" s="169"/>
      <c r="T192" s="169"/>
      <c r="U192" s="169"/>
      <c r="V192" s="169">
        <v>153.19999999999999</v>
      </c>
      <c r="W192" s="169"/>
      <c r="X192" s="169"/>
      <c r="Y192" s="169"/>
      <c r="Z192" s="170"/>
      <c r="AA192" s="169"/>
      <c r="AB192" s="169"/>
      <c r="AC192" s="169"/>
      <c r="AD192" s="169"/>
      <c r="AE192" s="169"/>
      <c r="AF192" s="169"/>
      <c r="AG192" s="169"/>
      <c r="AH192" s="170"/>
      <c r="AJ192" s="453">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0</v>
      </c>
      <c r="AK192" s="453">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0</v>
      </c>
      <c r="AL192" s="453">
        <f ca="1">IF(AND($D192="Serviço",AL$12&lt;&gt;0,$H192&gt;0,OR(AUTOEVENTO&lt;&gt;"manual",$M192&lt;&gt;$A$15)),
        IF(Import.TipoArredondamento&lt;&gt;"TransfereGOV",
              ROUND(OFFSET($P192,0,AL$13),15-13*ORÇAMENTO!$AF$7)/$H192*OFFSET(ORÇAMENTO!$X$15,ROW(AL192)-ROW(AL$15),0),
              ROUND(ROUND(OFFSET($P192,0,AL$13),15-13*ORÇAMENTO!$AF$7)*OFFSET(ORÇAMENTO!$W$15,ROW(AL192)-ROW(AL$15),0),15-13*ORÇAMENTO!$AF$11)),
         0)</f>
        <v>0</v>
      </c>
      <c r="AM192" s="453">
        <f ca="1">IF(AND($D192="Serviço",AM$12&lt;&gt;0,$H192&gt;0,OR(AUTOEVENTO&lt;&gt;"manual",$M192&lt;&gt;$A$15)),
        IF(Import.TipoArredondamento&lt;&gt;"TransfereGOV",
              ROUND(OFFSET($P192,0,AM$13),15-13*ORÇAMENTO!$AF$7)/$H192*OFFSET(ORÇAMENTO!$X$15,ROW(AM192)-ROW(AM$15),0),
              ROUND(ROUND(OFFSET($P192,0,AM$13),15-13*ORÇAMENTO!$AF$7)*OFFSET(ORÇAMENTO!$W$15,ROW(AM192)-ROW(AM$15),0),15-13*ORÇAMENTO!$AF$11)),
         0)</f>
        <v>0</v>
      </c>
      <c r="AN192" s="453">
        <f ca="1">IF(AND($D192="Serviço",AN$12&lt;&gt;0,$H192&gt;0,OR(AUTOEVENTO&lt;&gt;"manual",$M192&lt;&gt;$A$15)),
        IF(Import.TipoArredondamento&lt;&gt;"TransfereGOV",
              ROUND(OFFSET($P192,0,AN$13),15-13*ORÇAMENTO!$AF$7)/$H192*OFFSET(ORÇAMENTO!$X$15,ROW(AN192)-ROW(AN$15),0),
              ROUND(ROUND(OFFSET($P192,0,AN$13),15-13*ORÇAMENTO!$AF$7)*OFFSET(ORÇAMENTO!$W$15,ROW(AN192)-ROW(AN$15),0),15-13*ORÇAMENTO!$AF$11)),
         0)</f>
        <v>0</v>
      </c>
      <c r="AO192" s="453">
        <f ca="1">IF(AND($D192="Serviço",AO$12&lt;&gt;0,$H192&gt;0,OR(AUTOEVENTO&lt;&gt;"manual",$M192&lt;&gt;$A$15)),
        IF(Import.TipoArredondamento&lt;&gt;"TransfereGOV",
              ROUND(OFFSET($P192,0,AO$13),15-13*ORÇAMENTO!$AF$7)/$H192*OFFSET(ORÇAMENTO!$X$15,ROW(AO192)-ROW(AO$15),0),
              ROUND(ROUND(OFFSET($P192,0,AO$13),15-13*ORÇAMENTO!$AF$7)*OFFSET(ORÇAMENTO!$W$15,ROW(AO192)-ROW(AO$15),0),15-13*ORÇAMENTO!$AF$11)),
         0)</f>
        <v>0</v>
      </c>
      <c r="AP192" s="453">
        <f ca="1">IF(AND($D192="Serviço",AP$12&lt;&gt;0,$H192&gt;0,OR(AUTOEVENTO&lt;&gt;"manual",$M192&lt;&gt;$A$15)),
        IF(Import.TipoArredondamento&lt;&gt;"TransfereGOV",
              ROUND(OFFSET($P192,0,AP$13),15-13*ORÇAMENTO!$AF$7)/$H192*OFFSET(ORÇAMENTO!$X$15,ROW(AP192)-ROW(AP$15),0),
              ROUND(ROUND(OFFSET($P192,0,AP$13),15-13*ORÇAMENTO!$AF$7)*OFFSET(ORÇAMENTO!$W$15,ROW(AP192)-ROW(AP$15),0),15-13*ORÇAMENTO!$AF$11)),
         0)</f>
        <v>0</v>
      </c>
      <c r="AQ192" s="453">
        <f ca="1">IF(AND($D192="Serviço",AQ$12&lt;&gt;0,$H192&gt;0,OR(AUTOEVENTO&lt;&gt;"manual",$M192&lt;&gt;$A$15)),
        IF(Import.TipoArredondamento&lt;&gt;"TransfereGOV",
              ROUND(OFFSET($P192,0,AQ$13),15-13*ORÇAMENTO!$AF$7)/$H192*OFFSET(ORÇAMENTO!$X$15,ROW(AQ192)-ROW(AQ$15),0),
              ROUND(ROUND(OFFSET($P192,0,AQ$13),15-13*ORÇAMENTO!$AF$7)*OFFSET(ORÇAMENTO!$W$15,ROW(AQ192)-ROW(AQ$15),0),15-13*ORÇAMENTO!$AF$11)),
         0)</f>
        <v>0</v>
      </c>
      <c r="AR192" s="453">
        <f ca="1">IF(AND($D192="Serviço",AR$12&lt;&gt;0,$H192&gt;0,OR(AUTOEVENTO&lt;&gt;"manual",$M192&lt;&gt;$A$15)),
        IF(Import.TipoArredondamento&lt;&gt;"TransfereGOV",
              ROUND(OFFSET($P192,0,AR$13),15-13*ORÇAMENTO!$AF$7)/$H192*OFFSET(ORÇAMENTO!$X$15,ROW(AR192)-ROW(AR$15),0),
              ROUND(ROUND(OFFSET($P192,0,AR$13),15-13*ORÇAMENTO!$AF$7)*OFFSET(ORÇAMENTO!$W$15,ROW(AR192)-ROW(AR$15),0),15-13*ORÇAMENTO!$AF$11)),
         0)</f>
        <v>0</v>
      </c>
      <c r="AS192" s="453">
        <f ca="1">IF(AND($D192="Serviço",AS$12&lt;&gt;0,$H192&gt;0,OR(AUTOEVENTO&lt;&gt;"manual",$M192&lt;&gt;$A$15)),
        IF(Import.TipoArredondamento&lt;&gt;"TransfereGOV",
              ROUND(OFFSET($P192,0,AS$13),15-13*ORÇAMENTO!$AF$7)/$H192*OFFSET(ORÇAMENTO!$X$15,ROW(AS192)-ROW(AS$15),0),
              ROUND(ROUND(OFFSET($P192,0,AS$13),15-13*ORÇAMENTO!$AF$7)*OFFSET(ORÇAMENTO!$W$15,ROW(AS192)-ROW(AS$15),0),15-13*ORÇAMENTO!$AF$11)),
         0)</f>
        <v>0</v>
      </c>
      <c r="AT192" s="453">
        <f ca="1">IF(AND($D192="Serviço",AT$12&lt;&gt;0,$H192&gt;0,OR(AUTOEVENTO&lt;&gt;"manual",$M192&lt;&gt;$A$15)),
        IF(Import.TipoArredondamento&lt;&gt;"TransfereGOV",
              ROUND(OFFSET($P192,0,AT$13),15-13*ORÇAMENTO!$AF$7)/$H192*OFFSET(ORÇAMENTO!$X$15,ROW(AT192)-ROW(AT$15),0),
              ROUND(ROUND(OFFSET($P192,0,AT$13),15-13*ORÇAMENTO!$AF$7)*OFFSET(ORÇAMENTO!$W$15,ROW(AT192)-ROW(AT$15),0),15-13*ORÇAMENTO!$AF$11)),
         0)</f>
        <v>0</v>
      </c>
      <c r="AU192" s="453">
        <f ca="1">IF(AND($D192="Serviço",AU$12&lt;&gt;0,$H192&gt;0,OR(AUTOEVENTO&lt;&gt;"manual",$M192&lt;&gt;$A$15)),
        IF(Import.TipoArredondamento&lt;&gt;"TransfereGOV",
              ROUND(OFFSET($P192,0,AU$13),15-13*ORÇAMENTO!$AF$7)/$H192*OFFSET(ORÇAMENTO!$X$15,ROW(AU192)-ROW(AU$15),0),
              ROUND(ROUND(OFFSET($P192,0,AU$13),15-13*ORÇAMENTO!$AF$7)*OFFSET(ORÇAMENTO!$W$15,ROW(AU192)-ROW(AU$15),0),15-13*ORÇAMENTO!$AF$11)),
         0)</f>
        <v>0</v>
      </c>
      <c r="AV192" s="453">
        <f ca="1">IF(AND($D192="Serviço",AV$12&lt;&gt;0,$H192&gt;0,OR(AUTOEVENTO&lt;&gt;"manual",$M192&lt;&gt;$A$15)),
        IF(Import.TipoArredondamento&lt;&gt;"TransfereGOV",
              ROUND(OFFSET($P192,0,AV$13),15-13*ORÇAMENTO!$AF$7)/$H192*OFFSET(ORÇAMENTO!$X$15,ROW(AV192)-ROW(AV$15),0),
              ROUND(ROUND(OFFSET($P192,0,AV$13),15-13*ORÇAMENTO!$AF$7)*OFFSET(ORÇAMENTO!$W$15,ROW(AV192)-ROW(AV$15),0),15-13*ORÇAMENTO!$AF$11)),
         0)</f>
        <v>0</v>
      </c>
      <c r="AW192" s="453">
        <f ca="1">IF(AND($D192="Serviço",AW$12&lt;&gt;0,$H192&gt;0,OR(AUTOEVENTO&lt;&gt;"manual",$M192&lt;&gt;$A$15)),
        IF(Import.TipoArredondamento&lt;&gt;"TransfereGOV",
              ROUND(OFFSET($P192,0,AW$13),15-13*ORÇAMENTO!$AF$7)/$H192*OFFSET(ORÇAMENTO!$X$15,ROW(AW192)-ROW(AW$15),0),
              ROUND(ROUND(OFFSET($P192,0,AW$13),15-13*ORÇAMENTO!$AF$7)*OFFSET(ORÇAMENTO!$W$15,ROW(AW192)-ROW(AW$15),0),15-13*ORÇAMENTO!$AF$11)),
         0)</f>
        <v>0</v>
      </c>
      <c r="AX192" s="453">
        <f ca="1">IF(AND($D192="Serviço",AX$12&lt;&gt;0,$H192&gt;0,OR(AUTOEVENTO&lt;&gt;"manual",$M192&lt;&gt;$A$15)),
        IF(Import.TipoArredondamento&lt;&gt;"TransfereGOV",
              ROUND(OFFSET($P192,0,AX$13),15-13*ORÇAMENTO!$AF$7)/$H192*OFFSET(ORÇAMENTO!$X$15,ROW(AX192)-ROW(AX$15),0),
              ROUND(ROUND(OFFSET($P192,0,AX$13),15-13*ORÇAMENTO!$AF$7)*OFFSET(ORÇAMENTO!$W$15,ROW(AX192)-ROW(AX$15),0),15-13*ORÇAMENTO!$AF$11)),
         0)</f>
        <v>0</v>
      </c>
      <c r="AY192" s="453">
        <f ca="1">IF(AND($D192="Serviço",AY$12&lt;&gt;0,$H192&gt;0,OR(AUTOEVENTO&lt;&gt;"manual",$M192&lt;&gt;$A$15)),
        IF(Import.TipoArredondamento&lt;&gt;"TransfereGOV",
              ROUND(OFFSET($P192,0,AY$13),15-13*ORÇAMENTO!$AF$7)/$H192*OFFSET(ORÇAMENTO!$X$15,ROW(AY192)-ROW(AY$15),0),
              ROUND(ROUND(OFFSET($P192,0,AY$13),15-13*ORÇAMENTO!$AF$7)*OFFSET(ORÇAMENTO!$W$15,ROW(AY192)-ROW(AY$15),0),15-13*ORÇAMENTO!$AF$11)),
         0)</f>
        <v>0</v>
      </c>
      <c r="AZ192" s="453">
        <f ca="1">IF(AND($D192="Serviço",AZ$12&lt;&gt;0,$H192&gt;0,OR(AUTOEVENTO&lt;&gt;"manual",$M192&lt;&gt;$A$15)),
        IF(Import.TipoArredondamento&lt;&gt;"TransfereGOV",
              ROUND(OFFSET($P192,0,AZ$13),15-13*ORÇAMENTO!$AF$7)/$H192*OFFSET(ORÇAMENTO!$X$15,ROW(AZ192)-ROW(AZ$15),0),
              ROUND(ROUND(OFFSET($P192,0,AZ$13),15-13*ORÇAMENTO!$AF$7)*OFFSET(ORÇAMENTO!$W$15,ROW(AZ192)-ROW(AZ$15),0),15-13*ORÇAMENTO!$AF$11)),
         0)</f>
        <v>0</v>
      </c>
      <c r="BA192" s="453">
        <f ca="1">IF(AND($D192="Serviço",BA$12&lt;&gt;0,$H192&gt;0,OR(AUTOEVENTO&lt;&gt;"manual",$M192&lt;&gt;$A$15)),
        IF(Import.TipoArredondamento&lt;&gt;"TransfereGOV",
              ROUND(OFFSET($P192,0,BA$13),15-13*ORÇAMENTO!$AF$7)/$H192*OFFSET(ORÇAMENTO!$X$15,ROW(BA192)-ROW(BA$15),0),
              ROUND(ROUND(OFFSET($P192,0,BA$13),15-13*ORÇAMENTO!$AF$7)*OFFSET(ORÇAMENTO!$W$15,ROW(BA192)-ROW(BA$15),0),15-13*ORÇAMENTO!$AF$11)),
         0)</f>
        <v>0</v>
      </c>
      <c r="BC192" s="171">
        <f ca="1">IF(OR($D192&lt;&gt;"Serviço",AND(AUTOEVENTO="Manual",$M192=$A$15)),0,
         IF(OFFSET(CRONOPLE!$F$15,$M192-$A$15,BC$13)=0,10^12,OFFSET(CRONOPLE!$F$15,$M192-$A$15,BC$13)))</f>
        <v>1</v>
      </c>
      <c r="BD192" s="171">
        <f ca="1">IF(OR($D192&lt;&gt;"Serviço",AND(AUTOEVENTO="Manual",$M192=$A$15)),0,
         IF(OFFSET(CRONOPLE!$F$15,$M192-$A$15,BD$13)=0,10^12,OFFSET(CRONOPLE!$F$15,$M192-$A$15,BD$13)))</f>
        <v>2</v>
      </c>
      <c r="BE192" s="171">
        <f ca="1">IF(OR($D192&lt;&gt;"Serviço",AND(AUTOEVENTO="Manual",$M192=$A$15)),0,
         IF(OFFSET(CRONOPLE!$F$15,$M192-$A$15,BE$13)=0,10^12,OFFSET(CRONOPLE!$F$15,$M192-$A$15,BE$13)))</f>
        <v>3</v>
      </c>
      <c r="BF192" s="171">
        <f ca="1">IF(OR($D192&lt;&gt;"Serviço",AND(AUTOEVENTO="Manual",$M192=$A$15)),0,
         IF(OFFSET(CRONOPLE!$F$15,$M192-$A$15,BF$13)=0,10^12,OFFSET(CRONOPLE!$F$15,$M192-$A$15,BF$13)))</f>
        <v>4</v>
      </c>
      <c r="BG192" s="171">
        <f ca="1">IF(OR($D192&lt;&gt;"Serviço",AND(AUTOEVENTO="Manual",$M192=$A$15)),0,
         IF(OFFSET(CRONOPLE!$F$15,$M192-$A$15,BG$13)=0,10^12,OFFSET(CRONOPLE!$F$15,$M192-$A$15,BG$13)))</f>
        <v>5</v>
      </c>
      <c r="BH192" s="171">
        <f ca="1">IF(OR($D192&lt;&gt;"Serviço",AND(AUTOEVENTO="Manual",$M192=$A$15)),0,
         IF(OFFSET(CRONOPLE!$F$15,$M192-$A$15,BH$13)=0,10^12,OFFSET(CRONOPLE!$F$15,$M192-$A$15,BH$13)))</f>
        <v>6</v>
      </c>
      <c r="BI192" s="171">
        <f ca="1">IF(OR($D192&lt;&gt;"Serviço",AND(AUTOEVENTO="Manual",$M192=$A$15)),0,
         IF(OFFSET(CRONOPLE!$F$15,$M192-$A$15,BI$13)=0,10^12,OFFSET(CRONOPLE!$F$15,$M192-$A$15,BI$13)))</f>
        <v>7</v>
      </c>
      <c r="BJ192" s="171">
        <f ca="1">IF(OR($D192&lt;&gt;"Serviço",AND(AUTOEVENTO="Manual",$M192=$A$15)),0,
         IF(OFFSET(CRONOPLE!$F$15,$M192-$A$15,BJ$13)=0,10^12,OFFSET(CRONOPLE!$F$15,$M192-$A$15,BJ$13)))</f>
        <v>8</v>
      </c>
      <c r="BK192" s="171">
        <f ca="1">IF(OR($D192&lt;&gt;"Serviço",AND(AUTOEVENTO="Manual",$M192=$A$15)),0,
         IF(OFFSET(CRONOPLE!$F$15,$M192-$A$15,BK$13)=0,10^12,OFFSET(CRONOPLE!$F$15,$M192-$A$15,BK$13)))</f>
        <v>9</v>
      </c>
      <c r="BL192" s="171">
        <f ca="1">IF(OR($D192&lt;&gt;"Serviço",AND(AUTOEVENTO="Manual",$M192=$A$15)),0,
         IF(OFFSET(CRONOPLE!$F$15,$M192-$A$15,BL$13)=0,10^12,OFFSET(CRONOPLE!$F$15,$M192-$A$15,BL$13)))</f>
        <v>10</v>
      </c>
      <c r="BM192" s="171">
        <f ca="1">IF(OR($D192&lt;&gt;"Serviço",AND(AUTOEVENTO="Manual",$M192=$A$15)),0,
         IF(OFFSET(CRONOPLE!$F$15,$M192-$A$15,BM$13)=0,10^12,OFFSET(CRONOPLE!$F$15,$M192-$A$15,BM$13)))</f>
        <v>1000000000000</v>
      </c>
      <c r="BN192" s="171">
        <f ca="1">IF(OR($D192&lt;&gt;"Serviço",AND(AUTOEVENTO="Manual",$M192=$A$15)),0,
         IF(OFFSET(CRONOPLE!$F$15,$M192-$A$15,BN$13)=0,10^12,OFFSET(CRONOPLE!$F$15,$M192-$A$15,BN$13)))</f>
        <v>1000000000000</v>
      </c>
      <c r="BO192" s="171">
        <f ca="1">IF(OR($D192&lt;&gt;"Serviço",AND(AUTOEVENTO="Manual",$M192=$A$15)),0,
         IF(OFFSET(CRONOPLE!$F$15,$M192-$A$15,BO$13)=0,10^12,OFFSET(CRONOPLE!$F$15,$M192-$A$15,BO$13)))</f>
        <v>1000000000000</v>
      </c>
      <c r="BP192" s="171">
        <f ca="1">IF(OR($D192&lt;&gt;"Serviço",AND(AUTOEVENTO="Manual",$M192=$A$15)),0,
         IF(OFFSET(CRONOPLE!$F$15,$M192-$A$15,BP$13)=0,10^12,OFFSET(CRONOPLE!$F$15,$M192-$A$15,BP$13)))</f>
        <v>1000000000000</v>
      </c>
      <c r="BQ192" s="171">
        <f ca="1">IF(OR($D192&lt;&gt;"Serviço",AND(AUTOEVENTO="Manual",$M192=$A$15)),0,
         IF(OFFSET(CRONOPLE!$F$15,$M192-$A$15,BQ$13)=0,10^12,OFFSET(CRONOPLE!$F$15,$M192-$A$15,BQ$13)))</f>
        <v>1000000000000</v>
      </c>
      <c r="BR192" s="171">
        <f ca="1">IF(OR($D192&lt;&gt;"Serviço",AND(AUTOEVENTO="Manual",$M192=$A$15)),0,
         IF(OFFSET(CRONOPLE!$F$15,$M192-$A$15,BR$13)=0,10^12,OFFSET(CRONOPLE!$F$15,$M192-$A$15,BR$13)))</f>
        <v>1000000000000</v>
      </c>
      <c r="BS192" s="171">
        <f ca="1">IF(OR($D192&lt;&gt;"Serviço",AND(AUTOEVENTO="Manual",$M192=$A$15)),0,
         IF(OFFSET(CRONOPLE!$F$15,$M192-$A$15,BS$13)=0,10^12,OFFSET(CRONOPLE!$F$15,$M192-$A$15,BS$13)))</f>
        <v>1000000000000</v>
      </c>
      <c r="BT192" s="171">
        <f ca="1">IF(OR($D192&lt;&gt;"Serviço",AND(AUTOEVENTO="Manual",$M192=$A$15)),0,
         IF(OFFSET(CRONOPLE!$F$15,$M192-$A$15,BT$13)=0,10^12,OFFSET(CRONOPLE!$F$15,$M192-$A$15,BT$13)))</f>
        <v>1000000000000</v>
      </c>
      <c r="BV192" s="172">
        <f ca="1">IF(OR($D192&lt;&gt;"Serviço",AND(AUTOEVENTO="Manual",$M192=$A$15),$M192&gt;(ROW(PLE.lastrow)-ROW(PLE.firstrow))),0,
           IF(OFFSET(PLE!$G$15,$M192-$A$15,BV$13)="",10^12,OFFSET(PLE!$G$15,$M192-$A$15,BV$13)))</f>
        <v>1000000000000</v>
      </c>
      <c r="BW192" s="172">
        <f ca="1">IF(OR($D192&lt;&gt;"Serviço",AND(AUTOEVENTO="Manual",$M192=$A$15),$M192&gt;(ROW(PLE.lastrow)-ROW(PLE.firstrow))),0,
           IF(OFFSET(PLE!$G$15,$M192-$A$15,BW$13)="",10^12,OFFSET(PLE!$G$15,$M192-$A$15,BW$13)))</f>
        <v>1000000000000</v>
      </c>
      <c r="BX192" s="172">
        <f ca="1">IF(OR($D192&lt;&gt;"Serviço",AND(AUTOEVENTO="Manual",$M192=$A$15),$M192&gt;(ROW(PLE.lastrow)-ROW(PLE.firstrow))),0,
           IF(OFFSET(PLE!$G$15,$M192-$A$15,BX$13)="",10^12,OFFSET(PLE!$G$15,$M192-$A$15,BX$13)))</f>
        <v>1000000000000</v>
      </c>
      <c r="BY192" s="172">
        <f ca="1">IF(OR($D192&lt;&gt;"Serviço",AND(AUTOEVENTO="Manual",$M192=$A$15),$M192&gt;(ROW(PLE.lastrow)-ROW(PLE.firstrow))),0,
           IF(OFFSET(PLE!$G$15,$M192-$A$15,BY$13)="",10^12,OFFSET(PLE!$G$15,$M192-$A$15,BY$13)))</f>
        <v>1000000000000</v>
      </c>
      <c r="BZ192" s="172">
        <f ca="1">IF(OR($D192&lt;&gt;"Serviço",AND(AUTOEVENTO="Manual",$M192=$A$15),$M192&gt;(ROW(PLE.lastrow)-ROW(PLE.firstrow))),0,
           IF(OFFSET(PLE!$G$15,$M192-$A$15,BZ$13)="",10^12,OFFSET(PLE!$G$15,$M192-$A$15,BZ$13)))</f>
        <v>1000000000000</v>
      </c>
      <c r="CA192" s="172">
        <f ca="1">IF(OR($D192&lt;&gt;"Serviço",AND(AUTOEVENTO="Manual",$M192=$A$15),$M192&gt;(ROW(PLE.lastrow)-ROW(PLE.firstrow))),0,
           IF(OFFSET(PLE!$G$15,$M192-$A$15,CA$13)="",10^12,OFFSET(PLE!$G$15,$M192-$A$15,CA$13)))</f>
        <v>1000000000000</v>
      </c>
      <c r="CB192" s="172">
        <f ca="1">IF(OR($D192&lt;&gt;"Serviço",AND(AUTOEVENTO="Manual",$M192=$A$15),$M192&gt;(ROW(PLE.lastrow)-ROW(PLE.firstrow))),0,
           IF(OFFSET(PLE!$G$15,$M192-$A$15,CB$13)="",10^12,OFFSET(PLE!$G$15,$M192-$A$15,CB$13)))</f>
        <v>1000000000000</v>
      </c>
      <c r="CC192" s="172">
        <f ca="1">IF(OR($D192&lt;&gt;"Serviço",AND(AUTOEVENTO="Manual",$M192=$A$15),$M192&gt;(ROW(PLE.lastrow)-ROW(PLE.firstrow))),0,
           IF(OFFSET(PLE!$G$15,$M192-$A$15,CC$13)="",10^12,OFFSET(PLE!$G$15,$M192-$A$15,CC$13)))</f>
        <v>1000000000000</v>
      </c>
      <c r="CD192" s="172">
        <f ca="1">IF(OR($D192&lt;&gt;"Serviço",AND(AUTOEVENTO="Manual",$M192=$A$15),$M192&gt;(ROW(PLE.lastrow)-ROW(PLE.firstrow))),0,
           IF(OFFSET(PLE!$G$15,$M192-$A$15,CD$13)="",10^12,OFFSET(PLE!$G$15,$M192-$A$15,CD$13)))</f>
        <v>1000000000000</v>
      </c>
      <c r="CE192" s="172">
        <f ca="1">IF(OR($D192&lt;&gt;"Serviço",AND(AUTOEVENTO="Manual",$M192=$A$15),$M192&gt;(ROW(PLE.lastrow)-ROW(PLE.firstrow))),0,
           IF(OFFSET(PLE!$G$15,$M192-$A$15,CE$13)="",10^12,OFFSET(PLE!$G$15,$M192-$A$15,CE$13)))</f>
        <v>1000000000000</v>
      </c>
      <c r="CF192" s="172">
        <f ca="1">IF(OR($D192&lt;&gt;"Serviço",AND(AUTOEVENTO="Manual",$M192=$A$15),$M192&gt;(ROW(PLE.lastrow)-ROW(PLE.firstrow))),0,
           IF(OFFSET(PLE!$G$15,$M192-$A$15,CF$13)="",10^12,OFFSET(PLE!$G$15,$M192-$A$15,CF$13)))</f>
        <v>1000000000000</v>
      </c>
      <c r="CG192" s="172">
        <f ca="1">IF(OR($D192&lt;&gt;"Serviço",AND(AUTOEVENTO="Manual",$M192=$A$15),$M192&gt;(ROW(PLE.lastrow)-ROW(PLE.firstrow))),0,
           IF(OFFSET(PLE!$G$15,$M192-$A$15,CG$13)="",10^12,OFFSET(PLE!$G$15,$M192-$A$15,CG$13)))</f>
        <v>1000000000000</v>
      </c>
      <c r="CH192" s="172">
        <f ca="1">IF(OR($D192&lt;&gt;"Serviço",AND(AUTOEVENTO="Manual",$M192=$A$15),$M192&gt;(ROW(PLE.lastrow)-ROW(PLE.firstrow))),0,
           IF(OFFSET(PLE!$G$15,$M192-$A$15,CH$13)="",10^12,OFFSET(PLE!$G$15,$M192-$A$15,CH$13)))</f>
        <v>1000000000000</v>
      </c>
      <c r="CI192" s="172">
        <f ca="1">IF(OR($D192&lt;&gt;"Serviço",AND(AUTOEVENTO="Manual",$M192=$A$15),$M192&gt;(ROW(PLE.lastrow)-ROW(PLE.firstrow))),0,
           IF(OFFSET(PLE!$G$15,$M192-$A$15,CI$13)="",10^12,OFFSET(PLE!$G$15,$M192-$A$15,CI$13)))</f>
        <v>1000000000000</v>
      </c>
      <c r="CJ192" s="172">
        <f ca="1">IF(OR($D192&lt;&gt;"Serviço",AND(AUTOEVENTO="Manual",$M192=$A$15),$M192&gt;(ROW(PLE.lastrow)-ROW(PLE.firstrow))),0,
           IF(OFFSET(PLE!$G$15,$M192-$A$15,CJ$13)="",10^12,OFFSET(PLE!$G$15,$M192-$A$15,CJ$13)))</f>
        <v>1000000000000</v>
      </c>
      <c r="CK192" s="172">
        <f ca="1">IF(OR($D192&lt;&gt;"Serviço",AND(AUTOEVENTO="Manual",$M192=$A$15),$M192&gt;(ROW(PLE.lastrow)-ROW(PLE.firstrow))),0,
           IF(OFFSET(PLE!$G$15,$M192-$A$15,CK$13)="",10^12,OFFSET(PLE!$G$15,$M192-$A$15,CK$13)))</f>
        <v>1000000000000</v>
      </c>
      <c r="CL192" s="172">
        <f ca="1">IF(OR($D192&lt;&gt;"Serviço",AND(AUTOEVENTO="Manual",$M192=$A$15),$M192&gt;(ROW(PLE.lastrow)-ROW(PLE.firstrow))),0,
           IF(OFFSET(PLE!$G$15,$M192-$A$15,CL$13)="",10^12,OFFSET(PLE!$G$15,$M192-$A$15,CL$13)))</f>
        <v>1000000000000</v>
      </c>
      <c r="CM192" s="172">
        <f ca="1">IF(OR($D192&lt;&gt;"Serviço",AND(AUTOEVENTO="Manual",$M192=$A$15),$M192&gt;(ROW(PLE.lastrow)-ROW(PLE.firstrow))),0,
           IF(OFFSET(PLE!$G$15,$M192-$A$15,CM$13)="",10^12,OFFSET(PLE!$G$15,$M192-$A$15,CM$13)))</f>
        <v>1000000000000</v>
      </c>
    </row>
    <row r="193" spans="1:91" ht="89.25" x14ac:dyDescent="0.2">
      <c r="A193" s="7">
        <f t="shared" ca="1" si="12"/>
        <v>4</v>
      </c>
      <c r="B193" s="7" t="str">
        <f ca="1">OFFSET(ORÇAMENTO!C$15,ROW(B193)-ROW(B$15),0)</f>
        <v>S</v>
      </c>
      <c r="C193" s="7" t="str">
        <f ca="1">OFFSET(ORÇAMENTO!L$15,ROW(C193)-ROW(C$15),0)</f>
        <v>F</v>
      </c>
      <c r="D193" s="116" t="str">
        <f ca="1">OFFSET(ORÇAMENTO!N$15,ROW(D193)-ROW(D$15),0)</f>
        <v>Serviço</v>
      </c>
      <c r="E193" s="117" t="str">
        <f ca="1">OFFSET(ORÇAMENTO!O$15,ROW(E193)-ROW(E$15),0)</f>
        <v>1.5.5.4.5.</v>
      </c>
      <c r="F193" s="163" t="str">
        <f ca="1">OFFSET(ORÇAMENTO!R$15,ROW(F193)-ROW(F$15),0)</f>
        <v>ARMAÇÃO EM AÇO CA-60 - FORNECIMENTO, PREPARO E COLOCAÇÃO</v>
      </c>
      <c r="G193" s="164" t="str">
        <f ca="1">IF($D193&lt;&gt;"Serviço","",OFFSET(ORÇAMENTO!S$15,ROW(G193)-ROW(G$15),0))</f>
        <v>KG</v>
      </c>
      <c r="H193" s="122" cm="1">
        <f t="array" aca="1" ref="H193" ca="1">IF($D193&lt;&gt;"Serviço",0,IF(ACOMPANHAMENTO="BM",ROUND(OFFSET(ORÇAMENTO!AJ$15,ROW(H193)-ROW(H$15),0),15-13*ORÇAMENTO!$AF$7),SUMPRODUCT(($Q$1:$AI$1=1)*ROUND($Q193:$AI193,15-13*ORÇAMENTO!$AF$7))))</f>
        <v>81.099999999999994</v>
      </c>
      <c r="I193" s="468" t="s">
        <v>1437</v>
      </c>
      <c r="J193" s="640" t="str" cm="1">
        <f t="array" aca="1" ref="J193" ca="1">IF(OR(B193&lt;&gt;"S",CÁLCULO.FrentesPreenchidas=0),"",IF(AND(ACOMPANHAMENTO="PLE",AUTOEVENTO="Manual",OR(H193&gt;0,ORÇAMENTO!AC193="QUANT."),OR(K193="",M193=0,N193="")),"►E",IF(AND(ACOMPANHAMENTO="PLE",ORÇAMENTO!AC193="QUANT."),"►Q",IF(AND(ACOMPANHAMENTO="PLE",H193&lt;&gt;SUMPRODUCT(($Q$1:$AI$1=1)*ROUND(Q193:AI193,15))),"►S",IF(AND(COUNTIF($P$11:$AI$11,"▼")=0,H193&gt;0,I193=""),"◄M","")))))</f>
        <v/>
      </c>
      <c r="K193" s="641" t="s">
        <v>1389</v>
      </c>
      <c r="L193" s="165" t="s">
        <v>764</v>
      </c>
      <c r="M193" s="166">
        <f ca="1">IF($D193&lt;&gt;"Serviço","",
          IF(AUTOEVENTO="manual",$A193,
                IF(ISERROR(MATCH($A193,$A$15:OFFSET($A193,-1,0),0)),MAX($M$15:OFFSET(M193,-1,0))+1,
                      INDEX($M$15:OFFSET(M193,-1,0),MATCH($A193,$A$15:OFFSET($A193,-1,0),0)))))</f>
        <v>4</v>
      </c>
      <c r="N193" s="167" t="str">
        <f ca="1">IF($D193&lt;&gt;"Serviço","",
         IF(AUTOEVENTO="Manual",
                IF($A193=0,"&lt;-- defina o número do agrupador",
                       OFFSET(EVENTOS!$D$15,$A193-$A$15,0)),
                OFFSET($F$15,$A193,0)))</f>
        <v>Estruturas de Concreto</v>
      </c>
      <c r="O193" s="168"/>
      <c r="Q193" s="168"/>
      <c r="R193" s="169"/>
      <c r="S193" s="169"/>
      <c r="T193" s="169"/>
      <c r="U193" s="169"/>
      <c r="V193" s="169">
        <v>70.7</v>
      </c>
      <c r="W193" s="169"/>
      <c r="X193" s="169"/>
      <c r="Y193" s="169"/>
      <c r="Z193" s="170"/>
      <c r="AA193" s="169"/>
      <c r="AB193" s="169"/>
      <c r="AC193" s="169"/>
      <c r="AD193" s="169"/>
      <c r="AE193" s="169"/>
      <c r="AF193" s="169"/>
      <c r="AG193" s="169"/>
      <c r="AH193" s="170"/>
      <c r="AJ193" s="453">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0</v>
      </c>
      <c r="AK193" s="453">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0</v>
      </c>
      <c r="AL193" s="453">
        <f ca="1">IF(AND($D193="Serviço",AL$12&lt;&gt;0,$H193&gt;0,OR(AUTOEVENTO&lt;&gt;"manual",$M193&lt;&gt;$A$15)),
        IF(Import.TipoArredondamento&lt;&gt;"TransfereGOV",
              ROUND(OFFSET($P193,0,AL$13),15-13*ORÇAMENTO!$AF$7)/$H193*OFFSET(ORÇAMENTO!$X$15,ROW(AL193)-ROW(AL$15),0),
              ROUND(ROUND(OFFSET($P193,0,AL$13),15-13*ORÇAMENTO!$AF$7)*OFFSET(ORÇAMENTO!$W$15,ROW(AL193)-ROW(AL$15),0),15-13*ORÇAMENTO!$AF$11)),
         0)</f>
        <v>0</v>
      </c>
      <c r="AM193" s="453">
        <f ca="1">IF(AND($D193="Serviço",AM$12&lt;&gt;0,$H193&gt;0,OR(AUTOEVENTO&lt;&gt;"manual",$M193&lt;&gt;$A$15)),
        IF(Import.TipoArredondamento&lt;&gt;"TransfereGOV",
              ROUND(OFFSET($P193,0,AM$13),15-13*ORÇAMENTO!$AF$7)/$H193*OFFSET(ORÇAMENTO!$X$15,ROW(AM193)-ROW(AM$15),0),
              ROUND(ROUND(OFFSET($P193,0,AM$13),15-13*ORÇAMENTO!$AF$7)*OFFSET(ORÇAMENTO!$W$15,ROW(AM193)-ROW(AM$15),0),15-13*ORÇAMENTO!$AF$11)),
         0)</f>
        <v>0</v>
      </c>
      <c r="AN193" s="453">
        <f ca="1">IF(AND($D193="Serviço",AN$12&lt;&gt;0,$H193&gt;0,OR(AUTOEVENTO&lt;&gt;"manual",$M193&lt;&gt;$A$15)),
        IF(Import.TipoArredondamento&lt;&gt;"TransfereGOV",
              ROUND(OFFSET($P193,0,AN$13),15-13*ORÇAMENTO!$AF$7)/$H193*OFFSET(ORÇAMENTO!$X$15,ROW(AN193)-ROW(AN$15),0),
              ROUND(ROUND(OFFSET($P193,0,AN$13),15-13*ORÇAMENTO!$AF$7)*OFFSET(ORÇAMENTO!$W$15,ROW(AN193)-ROW(AN$15),0),15-13*ORÇAMENTO!$AF$11)),
         0)</f>
        <v>0</v>
      </c>
      <c r="AO193" s="453">
        <f ca="1">IF(AND($D193="Serviço",AO$12&lt;&gt;0,$H193&gt;0,OR(AUTOEVENTO&lt;&gt;"manual",$M193&lt;&gt;$A$15)),
        IF(Import.TipoArredondamento&lt;&gt;"TransfereGOV",
              ROUND(OFFSET($P193,0,AO$13),15-13*ORÇAMENTO!$AF$7)/$H193*OFFSET(ORÇAMENTO!$X$15,ROW(AO193)-ROW(AO$15),0),
              ROUND(ROUND(OFFSET($P193,0,AO$13),15-13*ORÇAMENTO!$AF$7)*OFFSET(ORÇAMENTO!$W$15,ROW(AO193)-ROW(AO$15),0),15-13*ORÇAMENTO!$AF$11)),
         0)</f>
        <v>0</v>
      </c>
      <c r="AP193" s="453">
        <f ca="1">IF(AND($D193="Serviço",AP$12&lt;&gt;0,$H193&gt;0,OR(AUTOEVENTO&lt;&gt;"manual",$M193&lt;&gt;$A$15)),
        IF(Import.TipoArredondamento&lt;&gt;"TransfereGOV",
              ROUND(OFFSET($P193,0,AP$13),15-13*ORÇAMENTO!$AF$7)/$H193*OFFSET(ORÇAMENTO!$X$15,ROW(AP193)-ROW(AP$15),0),
              ROUND(ROUND(OFFSET($P193,0,AP$13),15-13*ORÇAMENTO!$AF$7)*OFFSET(ORÇAMENTO!$W$15,ROW(AP193)-ROW(AP$15),0),15-13*ORÇAMENTO!$AF$11)),
         0)</f>
        <v>0</v>
      </c>
      <c r="AQ193" s="453">
        <f ca="1">IF(AND($D193="Serviço",AQ$12&lt;&gt;0,$H193&gt;0,OR(AUTOEVENTO&lt;&gt;"manual",$M193&lt;&gt;$A$15)),
        IF(Import.TipoArredondamento&lt;&gt;"TransfereGOV",
              ROUND(OFFSET($P193,0,AQ$13),15-13*ORÇAMENTO!$AF$7)/$H193*OFFSET(ORÇAMENTO!$X$15,ROW(AQ193)-ROW(AQ$15),0),
              ROUND(ROUND(OFFSET($P193,0,AQ$13),15-13*ORÇAMENTO!$AF$7)*OFFSET(ORÇAMENTO!$W$15,ROW(AQ193)-ROW(AQ$15),0),15-13*ORÇAMENTO!$AF$11)),
         0)</f>
        <v>0</v>
      </c>
      <c r="AR193" s="453">
        <f ca="1">IF(AND($D193="Serviço",AR$12&lt;&gt;0,$H193&gt;0,OR(AUTOEVENTO&lt;&gt;"manual",$M193&lt;&gt;$A$15)),
        IF(Import.TipoArredondamento&lt;&gt;"TransfereGOV",
              ROUND(OFFSET($P193,0,AR$13),15-13*ORÇAMENTO!$AF$7)/$H193*OFFSET(ORÇAMENTO!$X$15,ROW(AR193)-ROW(AR$15),0),
              ROUND(ROUND(OFFSET($P193,0,AR$13),15-13*ORÇAMENTO!$AF$7)*OFFSET(ORÇAMENTO!$W$15,ROW(AR193)-ROW(AR$15),0),15-13*ORÇAMENTO!$AF$11)),
         0)</f>
        <v>0</v>
      </c>
      <c r="AS193" s="453">
        <f ca="1">IF(AND($D193="Serviço",AS$12&lt;&gt;0,$H193&gt;0,OR(AUTOEVENTO&lt;&gt;"manual",$M193&lt;&gt;$A$15)),
        IF(Import.TipoArredondamento&lt;&gt;"TransfereGOV",
              ROUND(OFFSET($P193,0,AS$13),15-13*ORÇAMENTO!$AF$7)/$H193*OFFSET(ORÇAMENTO!$X$15,ROW(AS193)-ROW(AS$15),0),
              ROUND(ROUND(OFFSET($P193,0,AS$13),15-13*ORÇAMENTO!$AF$7)*OFFSET(ORÇAMENTO!$W$15,ROW(AS193)-ROW(AS$15),0),15-13*ORÇAMENTO!$AF$11)),
         0)</f>
        <v>0</v>
      </c>
      <c r="AT193" s="453">
        <f ca="1">IF(AND($D193="Serviço",AT$12&lt;&gt;0,$H193&gt;0,OR(AUTOEVENTO&lt;&gt;"manual",$M193&lt;&gt;$A$15)),
        IF(Import.TipoArredondamento&lt;&gt;"TransfereGOV",
              ROUND(OFFSET($P193,0,AT$13),15-13*ORÇAMENTO!$AF$7)/$H193*OFFSET(ORÇAMENTO!$X$15,ROW(AT193)-ROW(AT$15),0),
              ROUND(ROUND(OFFSET($P193,0,AT$13),15-13*ORÇAMENTO!$AF$7)*OFFSET(ORÇAMENTO!$W$15,ROW(AT193)-ROW(AT$15),0),15-13*ORÇAMENTO!$AF$11)),
         0)</f>
        <v>0</v>
      </c>
      <c r="AU193" s="453">
        <f ca="1">IF(AND($D193="Serviço",AU$12&lt;&gt;0,$H193&gt;0,OR(AUTOEVENTO&lt;&gt;"manual",$M193&lt;&gt;$A$15)),
        IF(Import.TipoArredondamento&lt;&gt;"TransfereGOV",
              ROUND(OFFSET($P193,0,AU$13),15-13*ORÇAMENTO!$AF$7)/$H193*OFFSET(ORÇAMENTO!$X$15,ROW(AU193)-ROW(AU$15),0),
              ROUND(ROUND(OFFSET($P193,0,AU$13),15-13*ORÇAMENTO!$AF$7)*OFFSET(ORÇAMENTO!$W$15,ROW(AU193)-ROW(AU$15),0),15-13*ORÇAMENTO!$AF$11)),
         0)</f>
        <v>0</v>
      </c>
      <c r="AV193" s="453">
        <f ca="1">IF(AND($D193="Serviço",AV$12&lt;&gt;0,$H193&gt;0,OR(AUTOEVENTO&lt;&gt;"manual",$M193&lt;&gt;$A$15)),
        IF(Import.TipoArredondamento&lt;&gt;"TransfereGOV",
              ROUND(OFFSET($P193,0,AV$13),15-13*ORÇAMENTO!$AF$7)/$H193*OFFSET(ORÇAMENTO!$X$15,ROW(AV193)-ROW(AV$15),0),
              ROUND(ROUND(OFFSET($P193,0,AV$13),15-13*ORÇAMENTO!$AF$7)*OFFSET(ORÇAMENTO!$W$15,ROW(AV193)-ROW(AV$15),0),15-13*ORÇAMENTO!$AF$11)),
         0)</f>
        <v>0</v>
      </c>
      <c r="AW193" s="453">
        <f ca="1">IF(AND($D193="Serviço",AW$12&lt;&gt;0,$H193&gt;0,OR(AUTOEVENTO&lt;&gt;"manual",$M193&lt;&gt;$A$15)),
        IF(Import.TipoArredondamento&lt;&gt;"TransfereGOV",
              ROUND(OFFSET($P193,0,AW$13),15-13*ORÇAMENTO!$AF$7)/$H193*OFFSET(ORÇAMENTO!$X$15,ROW(AW193)-ROW(AW$15),0),
              ROUND(ROUND(OFFSET($P193,0,AW$13),15-13*ORÇAMENTO!$AF$7)*OFFSET(ORÇAMENTO!$W$15,ROW(AW193)-ROW(AW$15),0),15-13*ORÇAMENTO!$AF$11)),
         0)</f>
        <v>0</v>
      </c>
      <c r="AX193" s="453">
        <f ca="1">IF(AND($D193="Serviço",AX$12&lt;&gt;0,$H193&gt;0,OR(AUTOEVENTO&lt;&gt;"manual",$M193&lt;&gt;$A$15)),
        IF(Import.TipoArredondamento&lt;&gt;"TransfereGOV",
              ROUND(OFFSET($P193,0,AX$13),15-13*ORÇAMENTO!$AF$7)/$H193*OFFSET(ORÇAMENTO!$X$15,ROW(AX193)-ROW(AX$15),0),
              ROUND(ROUND(OFFSET($P193,0,AX$13),15-13*ORÇAMENTO!$AF$7)*OFFSET(ORÇAMENTO!$W$15,ROW(AX193)-ROW(AX$15),0),15-13*ORÇAMENTO!$AF$11)),
         0)</f>
        <v>0</v>
      </c>
      <c r="AY193" s="453">
        <f ca="1">IF(AND($D193="Serviço",AY$12&lt;&gt;0,$H193&gt;0,OR(AUTOEVENTO&lt;&gt;"manual",$M193&lt;&gt;$A$15)),
        IF(Import.TipoArredondamento&lt;&gt;"TransfereGOV",
              ROUND(OFFSET($P193,0,AY$13),15-13*ORÇAMENTO!$AF$7)/$H193*OFFSET(ORÇAMENTO!$X$15,ROW(AY193)-ROW(AY$15),0),
              ROUND(ROUND(OFFSET($P193,0,AY$13),15-13*ORÇAMENTO!$AF$7)*OFFSET(ORÇAMENTO!$W$15,ROW(AY193)-ROW(AY$15),0),15-13*ORÇAMENTO!$AF$11)),
         0)</f>
        <v>0</v>
      </c>
      <c r="AZ193" s="453">
        <f ca="1">IF(AND($D193="Serviço",AZ$12&lt;&gt;0,$H193&gt;0,OR(AUTOEVENTO&lt;&gt;"manual",$M193&lt;&gt;$A$15)),
        IF(Import.TipoArredondamento&lt;&gt;"TransfereGOV",
              ROUND(OFFSET($P193,0,AZ$13),15-13*ORÇAMENTO!$AF$7)/$H193*OFFSET(ORÇAMENTO!$X$15,ROW(AZ193)-ROW(AZ$15),0),
              ROUND(ROUND(OFFSET($P193,0,AZ$13),15-13*ORÇAMENTO!$AF$7)*OFFSET(ORÇAMENTO!$W$15,ROW(AZ193)-ROW(AZ$15),0),15-13*ORÇAMENTO!$AF$11)),
         0)</f>
        <v>0</v>
      </c>
      <c r="BA193" s="453">
        <f ca="1">IF(AND($D193="Serviço",BA$12&lt;&gt;0,$H193&gt;0,OR(AUTOEVENTO&lt;&gt;"manual",$M193&lt;&gt;$A$15)),
        IF(Import.TipoArredondamento&lt;&gt;"TransfereGOV",
              ROUND(OFFSET($P193,0,BA$13),15-13*ORÇAMENTO!$AF$7)/$H193*OFFSET(ORÇAMENTO!$X$15,ROW(BA193)-ROW(BA$15),0),
              ROUND(ROUND(OFFSET($P193,0,BA$13),15-13*ORÇAMENTO!$AF$7)*OFFSET(ORÇAMENTO!$W$15,ROW(BA193)-ROW(BA$15),0),15-13*ORÇAMENTO!$AF$11)),
         0)</f>
        <v>0</v>
      </c>
      <c r="BC193" s="171">
        <f ca="1">IF(OR($D193&lt;&gt;"Serviço",AND(AUTOEVENTO="Manual",$M193=$A$15)),0,
         IF(OFFSET(CRONOPLE!$F$15,$M193-$A$15,BC$13)=0,10^12,OFFSET(CRONOPLE!$F$15,$M193-$A$15,BC$13)))</f>
        <v>1</v>
      </c>
      <c r="BD193" s="171">
        <f ca="1">IF(OR($D193&lt;&gt;"Serviço",AND(AUTOEVENTO="Manual",$M193=$A$15)),0,
         IF(OFFSET(CRONOPLE!$F$15,$M193-$A$15,BD$13)=0,10^12,OFFSET(CRONOPLE!$F$15,$M193-$A$15,BD$13)))</f>
        <v>2</v>
      </c>
      <c r="BE193" s="171">
        <f ca="1">IF(OR($D193&lt;&gt;"Serviço",AND(AUTOEVENTO="Manual",$M193=$A$15)),0,
         IF(OFFSET(CRONOPLE!$F$15,$M193-$A$15,BE$13)=0,10^12,OFFSET(CRONOPLE!$F$15,$M193-$A$15,BE$13)))</f>
        <v>3</v>
      </c>
      <c r="BF193" s="171">
        <f ca="1">IF(OR($D193&lt;&gt;"Serviço",AND(AUTOEVENTO="Manual",$M193=$A$15)),0,
         IF(OFFSET(CRONOPLE!$F$15,$M193-$A$15,BF$13)=0,10^12,OFFSET(CRONOPLE!$F$15,$M193-$A$15,BF$13)))</f>
        <v>4</v>
      </c>
      <c r="BG193" s="171">
        <f ca="1">IF(OR($D193&lt;&gt;"Serviço",AND(AUTOEVENTO="Manual",$M193=$A$15)),0,
         IF(OFFSET(CRONOPLE!$F$15,$M193-$A$15,BG$13)=0,10^12,OFFSET(CRONOPLE!$F$15,$M193-$A$15,BG$13)))</f>
        <v>5</v>
      </c>
      <c r="BH193" s="171">
        <f ca="1">IF(OR($D193&lt;&gt;"Serviço",AND(AUTOEVENTO="Manual",$M193=$A$15)),0,
         IF(OFFSET(CRONOPLE!$F$15,$M193-$A$15,BH$13)=0,10^12,OFFSET(CRONOPLE!$F$15,$M193-$A$15,BH$13)))</f>
        <v>6</v>
      </c>
      <c r="BI193" s="171">
        <f ca="1">IF(OR($D193&lt;&gt;"Serviço",AND(AUTOEVENTO="Manual",$M193=$A$15)),0,
         IF(OFFSET(CRONOPLE!$F$15,$M193-$A$15,BI$13)=0,10^12,OFFSET(CRONOPLE!$F$15,$M193-$A$15,BI$13)))</f>
        <v>7</v>
      </c>
      <c r="BJ193" s="171">
        <f ca="1">IF(OR($D193&lt;&gt;"Serviço",AND(AUTOEVENTO="Manual",$M193=$A$15)),0,
         IF(OFFSET(CRONOPLE!$F$15,$M193-$A$15,BJ$13)=0,10^12,OFFSET(CRONOPLE!$F$15,$M193-$A$15,BJ$13)))</f>
        <v>8</v>
      </c>
      <c r="BK193" s="171">
        <f ca="1">IF(OR($D193&lt;&gt;"Serviço",AND(AUTOEVENTO="Manual",$M193=$A$15)),0,
         IF(OFFSET(CRONOPLE!$F$15,$M193-$A$15,BK$13)=0,10^12,OFFSET(CRONOPLE!$F$15,$M193-$A$15,BK$13)))</f>
        <v>9</v>
      </c>
      <c r="BL193" s="171">
        <f ca="1">IF(OR($D193&lt;&gt;"Serviço",AND(AUTOEVENTO="Manual",$M193=$A$15)),0,
         IF(OFFSET(CRONOPLE!$F$15,$M193-$A$15,BL$13)=0,10^12,OFFSET(CRONOPLE!$F$15,$M193-$A$15,BL$13)))</f>
        <v>10</v>
      </c>
      <c r="BM193" s="171">
        <f ca="1">IF(OR($D193&lt;&gt;"Serviço",AND(AUTOEVENTO="Manual",$M193=$A$15)),0,
         IF(OFFSET(CRONOPLE!$F$15,$M193-$A$15,BM$13)=0,10^12,OFFSET(CRONOPLE!$F$15,$M193-$A$15,BM$13)))</f>
        <v>1000000000000</v>
      </c>
      <c r="BN193" s="171">
        <f ca="1">IF(OR($D193&lt;&gt;"Serviço",AND(AUTOEVENTO="Manual",$M193=$A$15)),0,
         IF(OFFSET(CRONOPLE!$F$15,$M193-$A$15,BN$13)=0,10^12,OFFSET(CRONOPLE!$F$15,$M193-$A$15,BN$13)))</f>
        <v>1000000000000</v>
      </c>
      <c r="BO193" s="171">
        <f ca="1">IF(OR($D193&lt;&gt;"Serviço",AND(AUTOEVENTO="Manual",$M193=$A$15)),0,
         IF(OFFSET(CRONOPLE!$F$15,$M193-$A$15,BO$13)=0,10^12,OFFSET(CRONOPLE!$F$15,$M193-$A$15,BO$13)))</f>
        <v>1000000000000</v>
      </c>
      <c r="BP193" s="171">
        <f ca="1">IF(OR($D193&lt;&gt;"Serviço",AND(AUTOEVENTO="Manual",$M193=$A$15)),0,
         IF(OFFSET(CRONOPLE!$F$15,$M193-$A$15,BP$13)=0,10^12,OFFSET(CRONOPLE!$F$15,$M193-$A$15,BP$13)))</f>
        <v>1000000000000</v>
      </c>
      <c r="BQ193" s="171">
        <f ca="1">IF(OR($D193&lt;&gt;"Serviço",AND(AUTOEVENTO="Manual",$M193=$A$15)),0,
         IF(OFFSET(CRONOPLE!$F$15,$M193-$A$15,BQ$13)=0,10^12,OFFSET(CRONOPLE!$F$15,$M193-$A$15,BQ$13)))</f>
        <v>1000000000000</v>
      </c>
      <c r="BR193" s="171">
        <f ca="1">IF(OR($D193&lt;&gt;"Serviço",AND(AUTOEVENTO="Manual",$M193=$A$15)),0,
         IF(OFFSET(CRONOPLE!$F$15,$M193-$A$15,BR$13)=0,10^12,OFFSET(CRONOPLE!$F$15,$M193-$A$15,BR$13)))</f>
        <v>1000000000000</v>
      </c>
      <c r="BS193" s="171">
        <f ca="1">IF(OR($D193&lt;&gt;"Serviço",AND(AUTOEVENTO="Manual",$M193=$A$15)),0,
         IF(OFFSET(CRONOPLE!$F$15,$M193-$A$15,BS$13)=0,10^12,OFFSET(CRONOPLE!$F$15,$M193-$A$15,BS$13)))</f>
        <v>1000000000000</v>
      </c>
      <c r="BT193" s="171">
        <f ca="1">IF(OR($D193&lt;&gt;"Serviço",AND(AUTOEVENTO="Manual",$M193=$A$15)),0,
         IF(OFFSET(CRONOPLE!$F$15,$M193-$A$15,BT$13)=0,10^12,OFFSET(CRONOPLE!$F$15,$M193-$A$15,BT$13)))</f>
        <v>1000000000000</v>
      </c>
      <c r="BV193" s="172">
        <f ca="1">IF(OR($D193&lt;&gt;"Serviço",AND(AUTOEVENTO="Manual",$M193=$A$15),$M193&gt;(ROW(PLE.lastrow)-ROW(PLE.firstrow))),0,
           IF(OFFSET(PLE!$G$15,$M193-$A$15,BV$13)="",10^12,OFFSET(PLE!$G$15,$M193-$A$15,BV$13)))</f>
        <v>1000000000000</v>
      </c>
      <c r="BW193" s="172">
        <f ca="1">IF(OR($D193&lt;&gt;"Serviço",AND(AUTOEVENTO="Manual",$M193=$A$15),$M193&gt;(ROW(PLE.lastrow)-ROW(PLE.firstrow))),0,
           IF(OFFSET(PLE!$G$15,$M193-$A$15,BW$13)="",10^12,OFFSET(PLE!$G$15,$M193-$A$15,BW$13)))</f>
        <v>1000000000000</v>
      </c>
      <c r="BX193" s="172">
        <f ca="1">IF(OR($D193&lt;&gt;"Serviço",AND(AUTOEVENTO="Manual",$M193=$A$15),$M193&gt;(ROW(PLE.lastrow)-ROW(PLE.firstrow))),0,
           IF(OFFSET(PLE!$G$15,$M193-$A$15,BX$13)="",10^12,OFFSET(PLE!$G$15,$M193-$A$15,BX$13)))</f>
        <v>1000000000000</v>
      </c>
      <c r="BY193" s="172">
        <f ca="1">IF(OR($D193&lt;&gt;"Serviço",AND(AUTOEVENTO="Manual",$M193=$A$15),$M193&gt;(ROW(PLE.lastrow)-ROW(PLE.firstrow))),0,
           IF(OFFSET(PLE!$G$15,$M193-$A$15,BY$13)="",10^12,OFFSET(PLE!$G$15,$M193-$A$15,BY$13)))</f>
        <v>1000000000000</v>
      </c>
      <c r="BZ193" s="172">
        <f ca="1">IF(OR($D193&lt;&gt;"Serviço",AND(AUTOEVENTO="Manual",$M193=$A$15),$M193&gt;(ROW(PLE.lastrow)-ROW(PLE.firstrow))),0,
           IF(OFFSET(PLE!$G$15,$M193-$A$15,BZ$13)="",10^12,OFFSET(PLE!$G$15,$M193-$A$15,BZ$13)))</f>
        <v>1000000000000</v>
      </c>
      <c r="CA193" s="172">
        <f ca="1">IF(OR($D193&lt;&gt;"Serviço",AND(AUTOEVENTO="Manual",$M193=$A$15),$M193&gt;(ROW(PLE.lastrow)-ROW(PLE.firstrow))),0,
           IF(OFFSET(PLE!$G$15,$M193-$A$15,CA$13)="",10^12,OFFSET(PLE!$G$15,$M193-$A$15,CA$13)))</f>
        <v>1000000000000</v>
      </c>
      <c r="CB193" s="172">
        <f ca="1">IF(OR($D193&lt;&gt;"Serviço",AND(AUTOEVENTO="Manual",$M193=$A$15),$M193&gt;(ROW(PLE.lastrow)-ROW(PLE.firstrow))),0,
           IF(OFFSET(PLE!$G$15,$M193-$A$15,CB$13)="",10^12,OFFSET(PLE!$G$15,$M193-$A$15,CB$13)))</f>
        <v>1000000000000</v>
      </c>
      <c r="CC193" s="172">
        <f ca="1">IF(OR($D193&lt;&gt;"Serviço",AND(AUTOEVENTO="Manual",$M193=$A$15),$M193&gt;(ROW(PLE.lastrow)-ROW(PLE.firstrow))),0,
           IF(OFFSET(PLE!$G$15,$M193-$A$15,CC$13)="",10^12,OFFSET(PLE!$G$15,$M193-$A$15,CC$13)))</f>
        <v>1000000000000</v>
      </c>
      <c r="CD193" s="172">
        <f ca="1">IF(OR($D193&lt;&gt;"Serviço",AND(AUTOEVENTO="Manual",$M193=$A$15),$M193&gt;(ROW(PLE.lastrow)-ROW(PLE.firstrow))),0,
           IF(OFFSET(PLE!$G$15,$M193-$A$15,CD$13)="",10^12,OFFSET(PLE!$G$15,$M193-$A$15,CD$13)))</f>
        <v>1000000000000</v>
      </c>
      <c r="CE193" s="172">
        <f ca="1">IF(OR($D193&lt;&gt;"Serviço",AND(AUTOEVENTO="Manual",$M193=$A$15),$M193&gt;(ROW(PLE.lastrow)-ROW(PLE.firstrow))),0,
           IF(OFFSET(PLE!$G$15,$M193-$A$15,CE$13)="",10^12,OFFSET(PLE!$G$15,$M193-$A$15,CE$13)))</f>
        <v>1000000000000</v>
      </c>
      <c r="CF193" s="172">
        <f ca="1">IF(OR($D193&lt;&gt;"Serviço",AND(AUTOEVENTO="Manual",$M193=$A$15),$M193&gt;(ROW(PLE.lastrow)-ROW(PLE.firstrow))),0,
           IF(OFFSET(PLE!$G$15,$M193-$A$15,CF$13)="",10^12,OFFSET(PLE!$G$15,$M193-$A$15,CF$13)))</f>
        <v>1000000000000</v>
      </c>
      <c r="CG193" s="172">
        <f ca="1">IF(OR($D193&lt;&gt;"Serviço",AND(AUTOEVENTO="Manual",$M193=$A$15),$M193&gt;(ROW(PLE.lastrow)-ROW(PLE.firstrow))),0,
           IF(OFFSET(PLE!$G$15,$M193-$A$15,CG$13)="",10^12,OFFSET(PLE!$G$15,$M193-$A$15,CG$13)))</f>
        <v>1000000000000</v>
      </c>
      <c r="CH193" s="172">
        <f ca="1">IF(OR($D193&lt;&gt;"Serviço",AND(AUTOEVENTO="Manual",$M193=$A$15),$M193&gt;(ROW(PLE.lastrow)-ROW(PLE.firstrow))),0,
           IF(OFFSET(PLE!$G$15,$M193-$A$15,CH$13)="",10^12,OFFSET(PLE!$G$15,$M193-$A$15,CH$13)))</f>
        <v>1000000000000</v>
      </c>
      <c r="CI193" s="172">
        <f ca="1">IF(OR($D193&lt;&gt;"Serviço",AND(AUTOEVENTO="Manual",$M193=$A$15),$M193&gt;(ROW(PLE.lastrow)-ROW(PLE.firstrow))),0,
           IF(OFFSET(PLE!$G$15,$M193-$A$15,CI$13)="",10^12,OFFSET(PLE!$G$15,$M193-$A$15,CI$13)))</f>
        <v>1000000000000</v>
      </c>
      <c r="CJ193" s="172">
        <f ca="1">IF(OR($D193&lt;&gt;"Serviço",AND(AUTOEVENTO="Manual",$M193=$A$15),$M193&gt;(ROW(PLE.lastrow)-ROW(PLE.firstrow))),0,
           IF(OFFSET(PLE!$G$15,$M193-$A$15,CJ$13)="",10^12,OFFSET(PLE!$G$15,$M193-$A$15,CJ$13)))</f>
        <v>1000000000000</v>
      </c>
      <c r="CK193" s="172">
        <f ca="1">IF(OR($D193&lt;&gt;"Serviço",AND(AUTOEVENTO="Manual",$M193=$A$15),$M193&gt;(ROW(PLE.lastrow)-ROW(PLE.firstrow))),0,
           IF(OFFSET(PLE!$G$15,$M193-$A$15,CK$13)="",10^12,OFFSET(PLE!$G$15,$M193-$A$15,CK$13)))</f>
        <v>1000000000000</v>
      </c>
      <c r="CL193" s="172">
        <f ca="1">IF(OR($D193&lt;&gt;"Serviço",AND(AUTOEVENTO="Manual",$M193=$A$15),$M193&gt;(ROW(PLE.lastrow)-ROW(PLE.firstrow))),0,
           IF(OFFSET(PLE!$G$15,$M193-$A$15,CL$13)="",10^12,OFFSET(PLE!$G$15,$M193-$A$15,CL$13)))</f>
        <v>1000000000000</v>
      </c>
      <c r="CM193" s="172">
        <f ca="1">IF(OR($D193&lt;&gt;"Serviço",AND(AUTOEVENTO="Manual",$M193=$A$15),$M193&gt;(ROW(PLE.lastrow)-ROW(PLE.firstrow))),0,
           IF(OFFSET(PLE!$G$15,$M193-$A$15,CM$13)="",10^12,OFFSET(PLE!$G$15,$M193-$A$15,CM$13)))</f>
        <v>1000000000000</v>
      </c>
    </row>
    <row r="194" spans="1:91" ht="12.75" x14ac:dyDescent="0.2">
      <c r="A194" s="7">
        <f t="shared" ca="1" si="12"/>
        <v>0</v>
      </c>
      <c r="B194" s="7">
        <f ca="1">OFFSET(ORÇAMENTO!C$15,ROW(B194)-ROW(B$15),0)</f>
        <v>4</v>
      </c>
      <c r="C194" s="7" t="str">
        <f ca="1">OFFSET(ORÇAMENTO!L$15,ROW(C194)-ROW(C$15),0)</f>
        <v>F</v>
      </c>
      <c r="D194" s="116" t="str">
        <f ca="1">OFFSET(ORÇAMENTO!N$15,ROW(D194)-ROW(D$15),0)</f>
        <v>Nível 4</v>
      </c>
      <c r="E194" s="117" t="str">
        <f ca="1">OFFSET(ORÇAMENTO!O$15,ROW(E194)-ROW(E$15),0)</f>
        <v>1.5.5.5.</v>
      </c>
      <c r="F194" s="163" t="str">
        <f ca="1">OFFSET(ORÇAMENTO!R$15,ROW(F194)-ROW(F$15),0)</f>
        <v>PISO ARMADO</v>
      </c>
      <c r="G194" s="164" t="str">
        <f ca="1">IF($D194&lt;&gt;"Serviço","",OFFSET(ORÇAMENTO!S$15,ROW(G194)-ROW(G$15),0))</f>
        <v/>
      </c>
      <c r="H194" s="122" cm="1">
        <f t="array" aca="1" ref="H194" ca="1">IF($D194&lt;&gt;"Serviço",0,IF(ACOMPANHAMENTO="BM",ROUND(OFFSET(ORÇAMENTO!AJ$15,ROW(H194)-ROW(H$15),0),15-13*ORÇAMENTO!$AF$7),SUMPRODUCT(($Q$1:$AI$1=1)*ROUND($Q194:$AI194,15-13*ORÇAMENTO!$AF$7))))</f>
        <v>0</v>
      </c>
      <c r="I194" s="468"/>
      <c r="J194" s="640" t="str" cm="1">
        <f t="array" aca="1" ref="J194" ca="1">IF(OR(B194&lt;&gt;"S",CÁLCULO.FrentesPreenchidas=0),"",IF(AND(ACOMPANHAMENTO="PLE",AUTOEVENTO="Manual",OR(H194&gt;0,ORÇAMENTO!AC194="QUANT."),OR(K194="",M194=0,N194="")),"►E",IF(AND(ACOMPANHAMENTO="PLE",ORÇAMENTO!AC194="QUANT."),"►Q",IF(AND(ACOMPANHAMENTO="PLE",H194&lt;&gt;SUMPRODUCT(($Q$1:$AI$1=1)*ROUND(Q194:AI194,15))),"►S",IF(AND(COUNTIF($P$11:$AI$11,"▼")=0,H194&gt;0,I194=""),"◄M","")))))</f>
        <v/>
      </c>
      <c r="K194" s="641"/>
      <c r="L194" s="165" t="s">
        <v>764</v>
      </c>
      <c r="M194" s="166" t="str">
        <f ca="1">IF($D194&lt;&gt;"Serviço","",
          IF(AUTOEVENTO="manual",$A194,
                IF(ISERROR(MATCH($A194,$A$15:OFFSET($A194,-1,0),0)),MAX($M$15:OFFSET(M194,-1,0))+1,
                      INDEX($M$15:OFFSET(M194,-1,0),MATCH($A194,$A$15:OFFSET($A194,-1,0),0)))))</f>
        <v/>
      </c>
      <c r="N194" s="167" t="str">
        <f ca="1">IF($D194&lt;&gt;"Serviço","",
         IF(AUTOEVENTO="Manual",
                IF($A194=0,"&lt;-- defina o número do agrupador",
                       OFFSET(EVENTOS!$D$15,$A194-$A$15,0)),
                OFFSET($F$15,$A194,0)))</f>
        <v/>
      </c>
      <c r="O194" s="168"/>
      <c r="Q194" s="168"/>
      <c r="R194" s="169"/>
      <c r="S194" s="169"/>
      <c r="T194" s="169"/>
      <c r="U194" s="169"/>
      <c r="V194" s="169"/>
      <c r="W194" s="169"/>
      <c r="X194" s="169"/>
      <c r="Y194" s="169"/>
      <c r="Z194" s="170"/>
      <c r="AA194" s="169"/>
      <c r="AB194" s="169"/>
      <c r="AC194" s="169"/>
      <c r="AD194" s="169"/>
      <c r="AE194" s="169"/>
      <c r="AF194" s="169"/>
      <c r="AG194" s="169"/>
      <c r="AH194" s="170"/>
      <c r="AJ194" s="453">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0</v>
      </c>
      <c r="AK194" s="453">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0</v>
      </c>
      <c r="AL194" s="453">
        <f ca="1">IF(AND($D194="Serviço",AL$12&lt;&gt;0,$H194&gt;0,OR(AUTOEVENTO&lt;&gt;"manual",$M194&lt;&gt;$A$15)),
        IF(Import.TipoArredondamento&lt;&gt;"TransfereGOV",
              ROUND(OFFSET($P194,0,AL$13),15-13*ORÇAMENTO!$AF$7)/$H194*OFFSET(ORÇAMENTO!$X$15,ROW(AL194)-ROW(AL$15),0),
              ROUND(ROUND(OFFSET($P194,0,AL$13),15-13*ORÇAMENTO!$AF$7)*OFFSET(ORÇAMENTO!$W$15,ROW(AL194)-ROW(AL$15),0),15-13*ORÇAMENTO!$AF$11)),
         0)</f>
        <v>0</v>
      </c>
      <c r="AM194" s="453">
        <f ca="1">IF(AND($D194="Serviço",AM$12&lt;&gt;0,$H194&gt;0,OR(AUTOEVENTO&lt;&gt;"manual",$M194&lt;&gt;$A$15)),
        IF(Import.TipoArredondamento&lt;&gt;"TransfereGOV",
              ROUND(OFFSET($P194,0,AM$13),15-13*ORÇAMENTO!$AF$7)/$H194*OFFSET(ORÇAMENTO!$X$15,ROW(AM194)-ROW(AM$15),0),
              ROUND(ROUND(OFFSET($P194,0,AM$13),15-13*ORÇAMENTO!$AF$7)*OFFSET(ORÇAMENTO!$W$15,ROW(AM194)-ROW(AM$15),0),15-13*ORÇAMENTO!$AF$11)),
         0)</f>
        <v>0</v>
      </c>
      <c r="AN194" s="453">
        <f ca="1">IF(AND($D194="Serviço",AN$12&lt;&gt;0,$H194&gt;0,OR(AUTOEVENTO&lt;&gt;"manual",$M194&lt;&gt;$A$15)),
        IF(Import.TipoArredondamento&lt;&gt;"TransfereGOV",
              ROUND(OFFSET($P194,0,AN$13),15-13*ORÇAMENTO!$AF$7)/$H194*OFFSET(ORÇAMENTO!$X$15,ROW(AN194)-ROW(AN$15),0),
              ROUND(ROUND(OFFSET($P194,0,AN$13),15-13*ORÇAMENTO!$AF$7)*OFFSET(ORÇAMENTO!$W$15,ROW(AN194)-ROW(AN$15),0),15-13*ORÇAMENTO!$AF$11)),
         0)</f>
        <v>0</v>
      </c>
      <c r="AO194" s="453">
        <f ca="1">IF(AND($D194="Serviço",AO$12&lt;&gt;0,$H194&gt;0,OR(AUTOEVENTO&lt;&gt;"manual",$M194&lt;&gt;$A$15)),
        IF(Import.TipoArredondamento&lt;&gt;"TransfereGOV",
              ROUND(OFFSET($P194,0,AO$13),15-13*ORÇAMENTO!$AF$7)/$H194*OFFSET(ORÇAMENTO!$X$15,ROW(AO194)-ROW(AO$15),0),
              ROUND(ROUND(OFFSET($P194,0,AO$13),15-13*ORÇAMENTO!$AF$7)*OFFSET(ORÇAMENTO!$W$15,ROW(AO194)-ROW(AO$15),0),15-13*ORÇAMENTO!$AF$11)),
         0)</f>
        <v>0</v>
      </c>
      <c r="AP194" s="453">
        <f ca="1">IF(AND($D194="Serviço",AP$12&lt;&gt;0,$H194&gt;0,OR(AUTOEVENTO&lt;&gt;"manual",$M194&lt;&gt;$A$15)),
        IF(Import.TipoArredondamento&lt;&gt;"TransfereGOV",
              ROUND(OFFSET($P194,0,AP$13),15-13*ORÇAMENTO!$AF$7)/$H194*OFFSET(ORÇAMENTO!$X$15,ROW(AP194)-ROW(AP$15),0),
              ROUND(ROUND(OFFSET($P194,0,AP$13),15-13*ORÇAMENTO!$AF$7)*OFFSET(ORÇAMENTO!$W$15,ROW(AP194)-ROW(AP$15),0),15-13*ORÇAMENTO!$AF$11)),
         0)</f>
        <v>0</v>
      </c>
      <c r="AQ194" s="453">
        <f ca="1">IF(AND($D194="Serviço",AQ$12&lt;&gt;0,$H194&gt;0,OR(AUTOEVENTO&lt;&gt;"manual",$M194&lt;&gt;$A$15)),
        IF(Import.TipoArredondamento&lt;&gt;"TransfereGOV",
              ROUND(OFFSET($P194,0,AQ$13),15-13*ORÇAMENTO!$AF$7)/$H194*OFFSET(ORÇAMENTO!$X$15,ROW(AQ194)-ROW(AQ$15),0),
              ROUND(ROUND(OFFSET($P194,0,AQ$13),15-13*ORÇAMENTO!$AF$7)*OFFSET(ORÇAMENTO!$W$15,ROW(AQ194)-ROW(AQ$15),0),15-13*ORÇAMENTO!$AF$11)),
         0)</f>
        <v>0</v>
      </c>
      <c r="AR194" s="453">
        <f ca="1">IF(AND($D194="Serviço",AR$12&lt;&gt;0,$H194&gt;0,OR(AUTOEVENTO&lt;&gt;"manual",$M194&lt;&gt;$A$15)),
        IF(Import.TipoArredondamento&lt;&gt;"TransfereGOV",
              ROUND(OFFSET($P194,0,AR$13),15-13*ORÇAMENTO!$AF$7)/$H194*OFFSET(ORÇAMENTO!$X$15,ROW(AR194)-ROW(AR$15),0),
              ROUND(ROUND(OFFSET($P194,0,AR$13),15-13*ORÇAMENTO!$AF$7)*OFFSET(ORÇAMENTO!$W$15,ROW(AR194)-ROW(AR$15),0),15-13*ORÇAMENTO!$AF$11)),
         0)</f>
        <v>0</v>
      </c>
      <c r="AS194" s="453">
        <f ca="1">IF(AND($D194="Serviço",AS$12&lt;&gt;0,$H194&gt;0,OR(AUTOEVENTO&lt;&gt;"manual",$M194&lt;&gt;$A$15)),
        IF(Import.TipoArredondamento&lt;&gt;"TransfereGOV",
              ROUND(OFFSET($P194,0,AS$13),15-13*ORÇAMENTO!$AF$7)/$H194*OFFSET(ORÇAMENTO!$X$15,ROW(AS194)-ROW(AS$15),0),
              ROUND(ROUND(OFFSET($P194,0,AS$13),15-13*ORÇAMENTO!$AF$7)*OFFSET(ORÇAMENTO!$W$15,ROW(AS194)-ROW(AS$15),0),15-13*ORÇAMENTO!$AF$11)),
         0)</f>
        <v>0</v>
      </c>
      <c r="AT194" s="453">
        <f ca="1">IF(AND($D194="Serviço",AT$12&lt;&gt;0,$H194&gt;0,OR(AUTOEVENTO&lt;&gt;"manual",$M194&lt;&gt;$A$15)),
        IF(Import.TipoArredondamento&lt;&gt;"TransfereGOV",
              ROUND(OFFSET($P194,0,AT$13),15-13*ORÇAMENTO!$AF$7)/$H194*OFFSET(ORÇAMENTO!$X$15,ROW(AT194)-ROW(AT$15),0),
              ROUND(ROUND(OFFSET($P194,0,AT$13),15-13*ORÇAMENTO!$AF$7)*OFFSET(ORÇAMENTO!$W$15,ROW(AT194)-ROW(AT$15),0),15-13*ORÇAMENTO!$AF$11)),
         0)</f>
        <v>0</v>
      </c>
      <c r="AU194" s="453">
        <f ca="1">IF(AND($D194="Serviço",AU$12&lt;&gt;0,$H194&gt;0,OR(AUTOEVENTO&lt;&gt;"manual",$M194&lt;&gt;$A$15)),
        IF(Import.TipoArredondamento&lt;&gt;"TransfereGOV",
              ROUND(OFFSET($P194,0,AU$13),15-13*ORÇAMENTO!$AF$7)/$H194*OFFSET(ORÇAMENTO!$X$15,ROW(AU194)-ROW(AU$15),0),
              ROUND(ROUND(OFFSET($P194,0,AU$13),15-13*ORÇAMENTO!$AF$7)*OFFSET(ORÇAMENTO!$W$15,ROW(AU194)-ROW(AU$15),0),15-13*ORÇAMENTO!$AF$11)),
         0)</f>
        <v>0</v>
      </c>
      <c r="AV194" s="453">
        <f ca="1">IF(AND($D194="Serviço",AV$12&lt;&gt;0,$H194&gt;0,OR(AUTOEVENTO&lt;&gt;"manual",$M194&lt;&gt;$A$15)),
        IF(Import.TipoArredondamento&lt;&gt;"TransfereGOV",
              ROUND(OFFSET($P194,0,AV$13),15-13*ORÇAMENTO!$AF$7)/$H194*OFFSET(ORÇAMENTO!$X$15,ROW(AV194)-ROW(AV$15),0),
              ROUND(ROUND(OFFSET($P194,0,AV$13),15-13*ORÇAMENTO!$AF$7)*OFFSET(ORÇAMENTO!$W$15,ROW(AV194)-ROW(AV$15),0),15-13*ORÇAMENTO!$AF$11)),
         0)</f>
        <v>0</v>
      </c>
      <c r="AW194" s="453">
        <f ca="1">IF(AND($D194="Serviço",AW$12&lt;&gt;0,$H194&gt;0,OR(AUTOEVENTO&lt;&gt;"manual",$M194&lt;&gt;$A$15)),
        IF(Import.TipoArredondamento&lt;&gt;"TransfereGOV",
              ROUND(OFFSET($P194,0,AW$13),15-13*ORÇAMENTO!$AF$7)/$H194*OFFSET(ORÇAMENTO!$X$15,ROW(AW194)-ROW(AW$15),0),
              ROUND(ROUND(OFFSET($P194,0,AW$13),15-13*ORÇAMENTO!$AF$7)*OFFSET(ORÇAMENTO!$W$15,ROW(AW194)-ROW(AW$15),0),15-13*ORÇAMENTO!$AF$11)),
         0)</f>
        <v>0</v>
      </c>
      <c r="AX194" s="453">
        <f ca="1">IF(AND($D194="Serviço",AX$12&lt;&gt;0,$H194&gt;0,OR(AUTOEVENTO&lt;&gt;"manual",$M194&lt;&gt;$A$15)),
        IF(Import.TipoArredondamento&lt;&gt;"TransfereGOV",
              ROUND(OFFSET($P194,0,AX$13),15-13*ORÇAMENTO!$AF$7)/$H194*OFFSET(ORÇAMENTO!$X$15,ROW(AX194)-ROW(AX$15),0),
              ROUND(ROUND(OFFSET($P194,0,AX$13),15-13*ORÇAMENTO!$AF$7)*OFFSET(ORÇAMENTO!$W$15,ROW(AX194)-ROW(AX$15),0),15-13*ORÇAMENTO!$AF$11)),
         0)</f>
        <v>0</v>
      </c>
      <c r="AY194" s="453">
        <f ca="1">IF(AND($D194="Serviço",AY$12&lt;&gt;0,$H194&gt;0,OR(AUTOEVENTO&lt;&gt;"manual",$M194&lt;&gt;$A$15)),
        IF(Import.TipoArredondamento&lt;&gt;"TransfereGOV",
              ROUND(OFFSET($P194,0,AY$13),15-13*ORÇAMENTO!$AF$7)/$H194*OFFSET(ORÇAMENTO!$X$15,ROW(AY194)-ROW(AY$15),0),
              ROUND(ROUND(OFFSET($P194,0,AY$13),15-13*ORÇAMENTO!$AF$7)*OFFSET(ORÇAMENTO!$W$15,ROW(AY194)-ROW(AY$15),0),15-13*ORÇAMENTO!$AF$11)),
         0)</f>
        <v>0</v>
      </c>
      <c r="AZ194" s="453">
        <f ca="1">IF(AND($D194="Serviço",AZ$12&lt;&gt;0,$H194&gt;0,OR(AUTOEVENTO&lt;&gt;"manual",$M194&lt;&gt;$A$15)),
        IF(Import.TipoArredondamento&lt;&gt;"TransfereGOV",
              ROUND(OFFSET($P194,0,AZ$13),15-13*ORÇAMENTO!$AF$7)/$H194*OFFSET(ORÇAMENTO!$X$15,ROW(AZ194)-ROW(AZ$15),0),
              ROUND(ROUND(OFFSET($P194,0,AZ$13),15-13*ORÇAMENTO!$AF$7)*OFFSET(ORÇAMENTO!$W$15,ROW(AZ194)-ROW(AZ$15),0),15-13*ORÇAMENTO!$AF$11)),
         0)</f>
        <v>0</v>
      </c>
      <c r="BA194" s="453">
        <f ca="1">IF(AND($D194="Serviço",BA$12&lt;&gt;0,$H194&gt;0,OR(AUTOEVENTO&lt;&gt;"manual",$M194&lt;&gt;$A$15)),
        IF(Import.TipoArredondamento&lt;&gt;"TransfereGOV",
              ROUND(OFFSET($P194,0,BA$13),15-13*ORÇAMENTO!$AF$7)/$H194*OFFSET(ORÇAMENTO!$X$15,ROW(BA194)-ROW(BA$15),0),
              ROUND(ROUND(OFFSET($P194,0,BA$13),15-13*ORÇAMENTO!$AF$7)*OFFSET(ORÇAMENTO!$W$15,ROW(BA194)-ROW(BA$15),0),15-13*ORÇAMENTO!$AF$11)),
         0)</f>
        <v>0</v>
      </c>
      <c r="BC194" s="171">
        <f ca="1">IF(OR($D194&lt;&gt;"Serviço",AND(AUTOEVENTO="Manual",$M194=$A$15)),0,
         IF(OFFSET(CRONOPLE!$F$15,$M194-$A$15,BC$13)=0,10^12,OFFSET(CRONOPLE!$F$15,$M194-$A$15,BC$13)))</f>
        <v>0</v>
      </c>
      <c r="BD194" s="171">
        <f ca="1">IF(OR($D194&lt;&gt;"Serviço",AND(AUTOEVENTO="Manual",$M194=$A$15)),0,
         IF(OFFSET(CRONOPLE!$F$15,$M194-$A$15,BD$13)=0,10^12,OFFSET(CRONOPLE!$F$15,$M194-$A$15,BD$13)))</f>
        <v>0</v>
      </c>
      <c r="BE194" s="171">
        <f ca="1">IF(OR($D194&lt;&gt;"Serviço",AND(AUTOEVENTO="Manual",$M194=$A$15)),0,
         IF(OFFSET(CRONOPLE!$F$15,$M194-$A$15,BE$13)=0,10^12,OFFSET(CRONOPLE!$F$15,$M194-$A$15,BE$13)))</f>
        <v>0</v>
      </c>
      <c r="BF194" s="171">
        <f ca="1">IF(OR($D194&lt;&gt;"Serviço",AND(AUTOEVENTO="Manual",$M194=$A$15)),0,
         IF(OFFSET(CRONOPLE!$F$15,$M194-$A$15,BF$13)=0,10^12,OFFSET(CRONOPLE!$F$15,$M194-$A$15,BF$13)))</f>
        <v>0</v>
      </c>
      <c r="BG194" s="171">
        <f ca="1">IF(OR($D194&lt;&gt;"Serviço",AND(AUTOEVENTO="Manual",$M194=$A$15)),0,
         IF(OFFSET(CRONOPLE!$F$15,$M194-$A$15,BG$13)=0,10^12,OFFSET(CRONOPLE!$F$15,$M194-$A$15,BG$13)))</f>
        <v>0</v>
      </c>
      <c r="BH194" s="171">
        <f ca="1">IF(OR($D194&lt;&gt;"Serviço",AND(AUTOEVENTO="Manual",$M194=$A$15)),0,
         IF(OFFSET(CRONOPLE!$F$15,$M194-$A$15,BH$13)=0,10^12,OFFSET(CRONOPLE!$F$15,$M194-$A$15,BH$13)))</f>
        <v>0</v>
      </c>
      <c r="BI194" s="171">
        <f ca="1">IF(OR($D194&lt;&gt;"Serviço",AND(AUTOEVENTO="Manual",$M194=$A$15)),0,
         IF(OFFSET(CRONOPLE!$F$15,$M194-$A$15,BI$13)=0,10^12,OFFSET(CRONOPLE!$F$15,$M194-$A$15,BI$13)))</f>
        <v>0</v>
      </c>
      <c r="BJ194" s="171">
        <f ca="1">IF(OR($D194&lt;&gt;"Serviço",AND(AUTOEVENTO="Manual",$M194=$A$15)),0,
         IF(OFFSET(CRONOPLE!$F$15,$M194-$A$15,BJ$13)=0,10^12,OFFSET(CRONOPLE!$F$15,$M194-$A$15,BJ$13)))</f>
        <v>0</v>
      </c>
      <c r="BK194" s="171">
        <f ca="1">IF(OR($D194&lt;&gt;"Serviço",AND(AUTOEVENTO="Manual",$M194=$A$15)),0,
         IF(OFFSET(CRONOPLE!$F$15,$M194-$A$15,BK$13)=0,10^12,OFFSET(CRONOPLE!$F$15,$M194-$A$15,BK$13)))</f>
        <v>0</v>
      </c>
      <c r="BL194" s="171">
        <f ca="1">IF(OR($D194&lt;&gt;"Serviço",AND(AUTOEVENTO="Manual",$M194=$A$15)),0,
         IF(OFFSET(CRONOPLE!$F$15,$M194-$A$15,BL$13)=0,10^12,OFFSET(CRONOPLE!$F$15,$M194-$A$15,BL$13)))</f>
        <v>0</v>
      </c>
      <c r="BM194" s="171">
        <f ca="1">IF(OR($D194&lt;&gt;"Serviço",AND(AUTOEVENTO="Manual",$M194=$A$15)),0,
         IF(OFFSET(CRONOPLE!$F$15,$M194-$A$15,BM$13)=0,10^12,OFFSET(CRONOPLE!$F$15,$M194-$A$15,BM$13)))</f>
        <v>0</v>
      </c>
      <c r="BN194" s="171">
        <f ca="1">IF(OR($D194&lt;&gt;"Serviço",AND(AUTOEVENTO="Manual",$M194=$A$15)),0,
         IF(OFFSET(CRONOPLE!$F$15,$M194-$A$15,BN$13)=0,10^12,OFFSET(CRONOPLE!$F$15,$M194-$A$15,BN$13)))</f>
        <v>0</v>
      </c>
      <c r="BO194" s="171">
        <f ca="1">IF(OR($D194&lt;&gt;"Serviço",AND(AUTOEVENTO="Manual",$M194=$A$15)),0,
         IF(OFFSET(CRONOPLE!$F$15,$M194-$A$15,BO$13)=0,10^12,OFFSET(CRONOPLE!$F$15,$M194-$A$15,BO$13)))</f>
        <v>0</v>
      </c>
      <c r="BP194" s="171">
        <f ca="1">IF(OR($D194&lt;&gt;"Serviço",AND(AUTOEVENTO="Manual",$M194=$A$15)),0,
         IF(OFFSET(CRONOPLE!$F$15,$M194-$A$15,BP$13)=0,10^12,OFFSET(CRONOPLE!$F$15,$M194-$A$15,BP$13)))</f>
        <v>0</v>
      </c>
      <c r="BQ194" s="171">
        <f ca="1">IF(OR($D194&lt;&gt;"Serviço",AND(AUTOEVENTO="Manual",$M194=$A$15)),0,
         IF(OFFSET(CRONOPLE!$F$15,$M194-$A$15,BQ$13)=0,10^12,OFFSET(CRONOPLE!$F$15,$M194-$A$15,BQ$13)))</f>
        <v>0</v>
      </c>
      <c r="BR194" s="171">
        <f ca="1">IF(OR($D194&lt;&gt;"Serviço",AND(AUTOEVENTO="Manual",$M194=$A$15)),0,
         IF(OFFSET(CRONOPLE!$F$15,$M194-$A$15,BR$13)=0,10^12,OFFSET(CRONOPLE!$F$15,$M194-$A$15,BR$13)))</f>
        <v>0</v>
      </c>
      <c r="BS194" s="171">
        <f ca="1">IF(OR($D194&lt;&gt;"Serviço",AND(AUTOEVENTO="Manual",$M194=$A$15)),0,
         IF(OFFSET(CRONOPLE!$F$15,$M194-$A$15,BS$13)=0,10^12,OFFSET(CRONOPLE!$F$15,$M194-$A$15,BS$13)))</f>
        <v>0</v>
      </c>
      <c r="BT194" s="171">
        <f ca="1">IF(OR($D194&lt;&gt;"Serviço",AND(AUTOEVENTO="Manual",$M194=$A$15)),0,
         IF(OFFSET(CRONOPLE!$F$15,$M194-$A$15,BT$13)=0,10^12,OFFSET(CRONOPLE!$F$15,$M194-$A$15,BT$13)))</f>
        <v>0</v>
      </c>
      <c r="BV194" s="172">
        <f ca="1">IF(OR($D194&lt;&gt;"Serviço",AND(AUTOEVENTO="Manual",$M194=$A$15),$M194&gt;(ROW(PLE.lastrow)-ROW(PLE.firstrow))),0,
           IF(OFFSET(PLE!$G$15,$M194-$A$15,BV$13)="",10^12,OFFSET(PLE!$G$15,$M194-$A$15,BV$13)))</f>
        <v>0</v>
      </c>
      <c r="BW194" s="172">
        <f ca="1">IF(OR($D194&lt;&gt;"Serviço",AND(AUTOEVENTO="Manual",$M194=$A$15),$M194&gt;(ROW(PLE.lastrow)-ROW(PLE.firstrow))),0,
           IF(OFFSET(PLE!$G$15,$M194-$A$15,BW$13)="",10^12,OFFSET(PLE!$G$15,$M194-$A$15,BW$13)))</f>
        <v>0</v>
      </c>
      <c r="BX194" s="172">
        <f ca="1">IF(OR($D194&lt;&gt;"Serviço",AND(AUTOEVENTO="Manual",$M194=$A$15),$M194&gt;(ROW(PLE.lastrow)-ROW(PLE.firstrow))),0,
           IF(OFFSET(PLE!$G$15,$M194-$A$15,BX$13)="",10^12,OFFSET(PLE!$G$15,$M194-$A$15,BX$13)))</f>
        <v>0</v>
      </c>
      <c r="BY194" s="172">
        <f ca="1">IF(OR($D194&lt;&gt;"Serviço",AND(AUTOEVENTO="Manual",$M194=$A$15),$M194&gt;(ROW(PLE.lastrow)-ROW(PLE.firstrow))),0,
           IF(OFFSET(PLE!$G$15,$M194-$A$15,BY$13)="",10^12,OFFSET(PLE!$G$15,$M194-$A$15,BY$13)))</f>
        <v>0</v>
      </c>
      <c r="BZ194" s="172">
        <f ca="1">IF(OR($D194&lt;&gt;"Serviço",AND(AUTOEVENTO="Manual",$M194=$A$15),$M194&gt;(ROW(PLE.lastrow)-ROW(PLE.firstrow))),0,
           IF(OFFSET(PLE!$G$15,$M194-$A$15,BZ$13)="",10^12,OFFSET(PLE!$G$15,$M194-$A$15,BZ$13)))</f>
        <v>0</v>
      </c>
      <c r="CA194" s="172">
        <f ca="1">IF(OR($D194&lt;&gt;"Serviço",AND(AUTOEVENTO="Manual",$M194=$A$15),$M194&gt;(ROW(PLE.lastrow)-ROW(PLE.firstrow))),0,
           IF(OFFSET(PLE!$G$15,$M194-$A$15,CA$13)="",10^12,OFFSET(PLE!$G$15,$M194-$A$15,CA$13)))</f>
        <v>0</v>
      </c>
      <c r="CB194" s="172">
        <f ca="1">IF(OR($D194&lt;&gt;"Serviço",AND(AUTOEVENTO="Manual",$M194=$A$15),$M194&gt;(ROW(PLE.lastrow)-ROW(PLE.firstrow))),0,
           IF(OFFSET(PLE!$G$15,$M194-$A$15,CB$13)="",10^12,OFFSET(PLE!$G$15,$M194-$A$15,CB$13)))</f>
        <v>0</v>
      </c>
      <c r="CC194" s="172">
        <f ca="1">IF(OR($D194&lt;&gt;"Serviço",AND(AUTOEVENTO="Manual",$M194=$A$15),$M194&gt;(ROW(PLE.lastrow)-ROW(PLE.firstrow))),0,
           IF(OFFSET(PLE!$G$15,$M194-$A$15,CC$13)="",10^12,OFFSET(PLE!$G$15,$M194-$A$15,CC$13)))</f>
        <v>0</v>
      </c>
      <c r="CD194" s="172">
        <f ca="1">IF(OR($D194&lt;&gt;"Serviço",AND(AUTOEVENTO="Manual",$M194=$A$15),$M194&gt;(ROW(PLE.lastrow)-ROW(PLE.firstrow))),0,
           IF(OFFSET(PLE!$G$15,$M194-$A$15,CD$13)="",10^12,OFFSET(PLE!$G$15,$M194-$A$15,CD$13)))</f>
        <v>0</v>
      </c>
      <c r="CE194" s="172">
        <f ca="1">IF(OR($D194&lt;&gt;"Serviço",AND(AUTOEVENTO="Manual",$M194=$A$15),$M194&gt;(ROW(PLE.lastrow)-ROW(PLE.firstrow))),0,
           IF(OFFSET(PLE!$G$15,$M194-$A$15,CE$13)="",10^12,OFFSET(PLE!$G$15,$M194-$A$15,CE$13)))</f>
        <v>0</v>
      </c>
      <c r="CF194" s="172">
        <f ca="1">IF(OR($D194&lt;&gt;"Serviço",AND(AUTOEVENTO="Manual",$M194=$A$15),$M194&gt;(ROW(PLE.lastrow)-ROW(PLE.firstrow))),0,
           IF(OFFSET(PLE!$G$15,$M194-$A$15,CF$13)="",10^12,OFFSET(PLE!$G$15,$M194-$A$15,CF$13)))</f>
        <v>0</v>
      </c>
      <c r="CG194" s="172">
        <f ca="1">IF(OR($D194&lt;&gt;"Serviço",AND(AUTOEVENTO="Manual",$M194=$A$15),$M194&gt;(ROW(PLE.lastrow)-ROW(PLE.firstrow))),0,
           IF(OFFSET(PLE!$G$15,$M194-$A$15,CG$13)="",10^12,OFFSET(PLE!$G$15,$M194-$A$15,CG$13)))</f>
        <v>0</v>
      </c>
      <c r="CH194" s="172">
        <f ca="1">IF(OR($D194&lt;&gt;"Serviço",AND(AUTOEVENTO="Manual",$M194=$A$15),$M194&gt;(ROW(PLE.lastrow)-ROW(PLE.firstrow))),0,
           IF(OFFSET(PLE!$G$15,$M194-$A$15,CH$13)="",10^12,OFFSET(PLE!$G$15,$M194-$A$15,CH$13)))</f>
        <v>0</v>
      </c>
      <c r="CI194" s="172">
        <f ca="1">IF(OR($D194&lt;&gt;"Serviço",AND(AUTOEVENTO="Manual",$M194=$A$15),$M194&gt;(ROW(PLE.lastrow)-ROW(PLE.firstrow))),0,
           IF(OFFSET(PLE!$G$15,$M194-$A$15,CI$13)="",10^12,OFFSET(PLE!$G$15,$M194-$A$15,CI$13)))</f>
        <v>0</v>
      </c>
      <c r="CJ194" s="172">
        <f ca="1">IF(OR($D194&lt;&gt;"Serviço",AND(AUTOEVENTO="Manual",$M194=$A$15),$M194&gt;(ROW(PLE.lastrow)-ROW(PLE.firstrow))),0,
           IF(OFFSET(PLE!$G$15,$M194-$A$15,CJ$13)="",10^12,OFFSET(PLE!$G$15,$M194-$A$15,CJ$13)))</f>
        <v>0</v>
      </c>
      <c r="CK194" s="172">
        <f ca="1">IF(OR($D194&lt;&gt;"Serviço",AND(AUTOEVENTO="Manual",$M194=$A$15),$M194&gt;(ROW(PLE.lastrow)-ROW(PLE.firstrow))),0,
           IF(OFFSET(PLE!$G$15,$M194-$A$15,CK$13)="",10^12,OFFSET(PLE!$G$15,$M194-$A$15,CK$13)))</f>
        <v>0</v>
      </c>
      <c r="CL194" s="172">
        <f ca="1">IF(OR($D194&lt;&gt;"Serviço",AND(AUTOEVENTO="Manual",$M194=$A$15),$M194&gt;(ROW(PLE.lastrow)-ROW(PLE.firstrow))),0,
           IF(OFFSET(PLE!$G$15,$M194-$A$15,CL$13)="",10^12,OFFSET(PLE!$G$15,$M194-$A$15,CL$13)))</f>
        <v>0</v>
      </c>
      <c r="CM194" s="172">
        <f ca="1">IF(OR($D194&lt;&gt;"Serviço",AND(AUTOEVENTO="Manual",$M194=$A$15),$M194&gt;(ROW(PLE.lastrow)-ROW(PLE.firstrow))),0,
           IF(OFFSET(PLE!$G$15,$M194-$A$15,CM$13)="",10^12,OFFSET(PLE!$G$15,$M194-$A$15,CM$13)))</f>
        <v>0</v>
      </c>
    </row>
    <row r="195" spans="1:91" ht="51" x14ac:dyDescent="0.2">
      <c r="A195" s="7">
        <f t="shared" ca="1" si="12"/>
        <v>4</v>
      </c>
      <c r="B195" s="7" t="str">
        <f ca="1">OFFSET(ORÇAMENTO!C$15,ROW(B195)-ROW(B$15),0)</f>
        <v>S</v>
      </c>
      <c r="C195" s="7" t="str">
        <f ca="1">OFFSET(ORÇAMENTO!L$15,ROW(C195)-ROW(C$15),0)</f>
        <v>F</v>
      </c>
      <c r="D195" s="116" t="str">
        <f ca="1">OFFSET(ORÇAMENTO!N$15,ROW(D195)-ROW(D$15),0)</f>
        <v>Serviço</v>
      </c>
      <c r="E195" s="117" t="str">
        <f ca="1">OFFSET(ORÇAMENTO!O$15,ROW(E195)-ROW(E$15),0)</f>
        <v>1.5.5.5.1.</v>
      </c>
      <c r="F195" s="163" t="str">
        <f ca="1">OFFSET(ORÇAMENTO!R$15,ROW(F195)-ROW(F$15),0)</f>
        <v>CONCRETO FCK = 40MPA, TRAÇO 1:1,6:1,9 (EM MASSA SECA DE CIMENTO/ AREIA MÉDIA/ BRITA 1) - PREPARO MECÂNICO COM BETONEIRA 600 L. AF_05/2021</v>
      </c>
      <c r="G195" s="164" t="str">
        <f ca="1">IF($D195&lt;&gt;"Serviço","",OFFSET(ORÇAMENTO!S$15,ROW(G195)-ROW(G$15),0))</f>
        <v>M3</v>
      </c>
      <c r="H195" s="122" cm="1">
        <f t="array" aca="1" ref="H195" ca="1">IF($D195&lt;&gt;"Serviço",0,IF(ACOMPANHAMENTO="BM",ROUND(OFFSET(ORÇAMENTO!AJ$15,ROW(H195)-ROW(H$15),0),15-13*ORÇAMENTO!$AF$7),SUMPRODUCT(($Q$1:$AI$1=1)*ROUND($Q195:$AI195,15-13*ORÇAMENTO!$AF$7))))</f>
        <v>3.4</v>
      </c>
      <c r="I195" s="468" t="s">
        <v>1439</v>
      </c>
      <c r="J195" s="640" t="str" cm="1">
        <f t="array" aca="1" ref="J195" ca="1">IF(OR(B195&lt;&gt;"S",CÁLCULO.FrentesPreenchidas=0),"",IF(AND(ACOMPANHAMENTO="PLE",AUTOEVENTO="Manual",OR(H195&gt;0,ORÇAMENTO!AC195="QUANT."),OR(K195="",M195=0,N195="")),"►E",IF(AND(ACOMPANHAMENTO="PLE",ORÇAMENTO!AC195="QUANT."),"►Q",IF(AND(ACOMPANHAMENTO="PLE",H195&lt;&gt;SUMPRODUCT(($Q$1:$AI$1=1)*ROUND(Q195:AI195,15))),"►S",IF(AND(COUNTIF($P$11:$AI$11,"▼")=0,H195&gt;0,I195=""),"◄M","")))))</f>
        <v/>
      </c>
      <c r="K195" s="641" t="s">
        <v>1389</v>
      </c>
      <c r="L195" s="165" t="s">
        <v>764</v>
      </c>
      <c r="M195" s="166">
        <f ca="1">IF($D195&lt;&gt;"Serviço","",
          IF(AUTOEVENTO="manual",$A195,
                IF(ISERROR(MATCH($A195,$A$15:OFFSET($A195,-1,0),0)),MAX($M$15:OFFSET(M195,-1,0))+1,
                      INDEX($M$15:OFFSET(M195,-1,0),MATCH($A195,$A$15:OFFSET($A195,-1,0),0)))))</f>
        <v>4</v>
      </c>
      <c r="N195" s="167" t="str">
        <f ca="1">IF($D195&lt;&gt;"Serviço","",
         IF(AUTOEVENTO="Manual",
                IF($A195=0,"&lt;-- defina o número do agrupador",
                       OFFSET(EVENTOS!$D$15,$A195-$A$15,0)),
                OFFSET($F$15,$A195,0)))</f>
        <v>Estruturas de Concreto</v>
      </c>
      <c r="O195" s="168"/>
      <c r="Q195" s="168"/>
      <c r="R195" s="169"/>
      <c r="S195" s="169"/>
      <c r="T195" s="169"/>
      <c r="U195" s="169"/>
      <c r="V195" s="169">
        <v>3.4</v>
      </c>
      <c r="W195" s="169"/>
      <c r="X195" s="169"/>
      <c r="Y195" s="169"/>
      <c r="Z195" s="170"/>
      <c r="AA195" s="169"/>
      <c r="AB195" s="169"/>
      <c r="AC195" s="169"/>
      <c r="AD195" s="169"/>
      <c r="AE195" s="169"/>
      <c r="AF195" s="169"/>
      <c r="AG195" s="169"/>
      <c r="AH195" s="170"/>
      <c r="AJ195" s="453">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0</v>
      </c>
      <c r="AK195" s="453">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0</v>
      </c>
      <c r="AL195" s="453">
        <f ca="1">IF(AND($D195="Serviço",AL$12&lt;&gt;0,$H195&gt;0,OR(AUTOEVENTO&lt;&gt;"manual",$M195&lt;&gt;$A$15)),
        IF(Import.TipoArredondamento&lt;&gt;"TransfereGOV",
              ROUND(OFFSET($P195,0,AL$13),15-13*ORÇAMENTO!$AF$7)/$H195*OFFSET(ORÇAMENTO!$X$15,ROW(AL195)-ROW(AL$15),0),
              ROUND(ROUND(OFFSET($P195,0,AL$13),15-13*ORÇAMENTO!$AF$7)*OFFSET(ORÇAMENTO!$W$15,ROW(AL195)-ROW(AL$15),0),15-13*ORÇAMENTO!$AF$11)),
         0)</f>
        <v>0</v>
      </c>
      <c r="AM195" s="453">
        <f ca="1">IF(AND($D195="Serviço",AM$12&lt;&gt;0,$H195&gt;0,OR(AUTOEVENTO&lt;&gt;"manual",$M195&lt;&gt;$A$15)),
        IF(Import.TipoArredondamento&lt;&gt;"TransfereGOV",
              ROUND(OFFSET($P195,0,AM$13),15-13*ORÇAMENTO!$AF$7)/$H195*OFFSET(ORÇAMENTO!$X$15,ROW(AM195)-ROW(AM$15),0),
              ROUND(ROUND(OFFSET($P195,0,AM$13),15-13*ORÇAMENTO!$AF$7)*OFFSET(ORÇAMENTO!$W$15,ROW(AM195)-ROW(AM$15),0),15-13*ORÇAMENTO!$AF$11)),
         0)</f>
        <v>0</v>
      </c>
      <c r="AN195" s="453">
        <f ca="1">IF(AND($D195="Serviço",AN$12&lt;&gt;0,$H195&gt;0,OR(AUTOEVENTO&lt;&gt;"manual",$M195&lt;&gt;$A$15)),
        IF(Import.TipoArredondamento&lt;&gt;"TransfereGOV",
              ROUND(OFFSET($P195,0,AN$13),15-13*ORÇAMENTO!$AF$7)/$H195*OFFSET(ORÇAMENTO!$X$15,ROW(AN195)-ROW(AN$15),0),
              ROUND(ROUND(OFFSET($P195,0,AN$13),15-13*ORÇAMENTO!$AF$7)*OFFSET(ORÇAMENTO!$W$15,ROW(AN195)-ROW(AN$15),0),15-13*ORÇAMENTO!$AF$11)),
         0)</f>
        <v>0</v>
      </c>
      <c r="AO195" s="453">
        <f ca="1">IF(AND($D195="Serviço",AO$12&lt;&gt;0,$H195&gt;0,OR(AUTOEVENTO&lt;&gt;"manual",$M195&lt;&gt;$A$15)),
        IF(Import.TipoArredondamento&lt;&gt;"TransfereGOV",
              ROUND(OFFSET($P195,0,AO$13),15-13*ORÇAMENTO!$AF$7)/$H195*OFFSET(ORÇAMENTO!$X$15,ROW(AO195)-ROW(AO$15),0),
              ROUND(ROUND(OFFSET($P195,0,AO$13),15-13*ORÇAMENTO!$AF$7)*OFFSET(ORÇAMENTO!$W$15,ROW(AO195)-ROW(AO$15),0),15-13*ORÇAMENTO!$AF$11)),
         0)</f>
        <v>0</v>
      </c>
      <c r="AP195" s="453">
        <f ca="1">IF(AND($D195="Serviço",AP$12&lt;&gt;0,$H195&gt;0,OR(AUTOEVENTO&lt;&gt;"manual",$M195&lt;&gt;$A$15)),
        IF(Import.TipoArredondamento&lt;&gt;"TransfereGOV",
              ROUND(OFFSET($P195,0,AP$13),15-13*ORÇAMENTO!$AF$7)/$H195*OFFSET(ORÇAMENTO!$X$15,ROW(AP195)-ROW(AP$15),0),
              ROUND(ROUND(OFFSET($P195,0,AP$13),15-13*ORÇAMENTO!$AF$7)*OFFSET(ORÇAMENTO!$W$15,ROW(AP195)-ROW(AP$15),0),15-13*ORÇAMENTO!$AF$11)),
         0)</f>
        <v>0</v>
      </c>
      <c r="AQ195" s="453">
        <f ca="1">IF(AND($D195="Serviço",AQ$12&lt;&gt;0,$H195&gt;0,OR(AUTOEVENTO&lt;&gt;"manual",$M195&lt;&gt;$A$15)),
        IF(Import.TipoArredondamento&lt;&gt;"TransfereGOV",
              ROUND(OFFSET($P195,0,AQ$13),15-13*ORÇAMENTO!$AF$7)/$H195*OFFSET(ORÇAMENTO!$X$15,ROW(AQ195)-ROW(AQ$15),0),
              ROUND(ROUND(OFFSET($P195,0,AQ$13),15-13*ORÇAMENTO!$AF$7)*OFFSET(ORÇAMENTO!$W$15,ROW(AQ195)-ROW(AQ$15),0),15-13*ORÇAMENTO!$AF$11)),
         0)</f>
        <v>0</v>
      </c>
      <c r="AR195" s="453">
        <f ca="1">IF(AND($D195="Serviço",AR$12&lt;&gt;0,$H195&gt;0,OR(AUTOEVENTO&lt;&gt;"manual",$M195&lt;&gt;$A$15)),
        IF(Import.TipoArredondamento&lt;&gt;"TransfereGOV",
              ROUND(OFFSET($P195,0,AR$13),15-13*ORÇAMENTO!$AF$7)/$H195*OFFSET(ORÇAMENTO!$X$15,ROW(AR195)-ROW(AR$15),0),
              ROUND(ROUND(OFFSET($P195,0,AR$13),15-13*ORÇAMENTO!$AF$7)*OFFSET(ORÇAMENTO!$W$15,ROW(AR195)-ROW(AR$15),0),15-13*ORÇAMENTO!$AF$11)),
         0)</f>
        <v>0</v>
      </c>
      <c r="AS195" s="453">
        <f ca="1">IF(AND($D195="Serviço",AS$12&lt;&gt;0,$H195&gt;0,OR(AUTOEVENTO&lt;&gt;"manual",$M195&lt;&gt;$A$15)),
        IF(Import.TipoArredondamento&lt;&gt;"TransfereGOV",
              ROUND(OFFSET($P195,0,AS$13),15-13*ORÇAMENTO!$AF$7)/$H195*OFFSET(ORÇAMENTO!$X$15,ROW(AS195)-ROW(AS$15),0),
              ROUND(ROUND(OFFSET($P195,0,AS$13),15-13*ORÇAMENTO!$AF$7)*OFFSET(ORÇAMENTO!$W$15,ROW(AS195)-ROW(AS$15),0),15-13*ORÇAMENTO!$AF$11)),
         0)</f>
        <v>0</v>
      </c>
      <c r="AT195" s="453">
        <f ca="1">IF(AND($D195="Serviço",AT$12&lt;&gt;0,$H195&gt;0,OR(AUTOEVENTO&lt;&gt;"manual",$M195&lt;&gt;$A$15)),
        IF(Import.TipoArredondamento&lt;&gt;"TransfereGOV",
              ROUND(OFFSET($P195,0,AT$13),15-13*ORÇAMENTO!$AF$7)/$H195*OFFSET(ORÇAMENTO!$X$15,ROW(AT195)-ROW(AT$15),0),
              ROUND(ROUND(OFFSET($P195,0,AT$13),15-13*ORÇAMENTO!$AF$7)*OFFSET(ORÇAMENTO!$W$15,ROW(AT195)-ROW(AT$15),0),15-13*ORÇAMENTO!$AF$11)),
         0)</f>
        <v>0</v>
      </c>
      <c r="AU195" s="453">
        <f ca="1">IF(AND($D195="Serviço",AU$12&lt;&gt;0,$H195&gt;0,OR(AUTOEVENTO&lt;&gt;"manual",$M195&lt;&gt;$A$15)),
        IF(Import.TipoArredondamento&lt;&gt;"TransfereGOV",
              ROUND(OFFSET($P195,0,AU$13),15-13*ORÇAMENTO!$AF$7)/$H195*OFFSET(ORÇAMENTO!$X$15,ROW(AU195)-ROW(AU$15),0),
              ROUND(ROUND(OFFSET($P195,0,AU$13),15-13*ORÇAMENTO!$AF$7)*OFFSET(ORÇAMENTO!$W$15,ROW(AU195)-ROW(AU$15),0),15-13*ORÇAMENTO!$AF$11)),
         0)</f>
        <v>0</v>
      </c>
      <c r="AV195" s="453">
        <f ca="1">IF(AND($D195="Serviço",AV$12&lt;&gt;0,$H195&gt;0,OR(AUTOEVENTO&lt;&gt;"manual",$M195&lt;&gt;$A$15)),
        IF(Import.TipoArredondamento&lt;&gt;"TransfereGOV",
              ROUND(OFFSET($P195,0,AV$13),15-13*ORÇAMENTO!$AF$7)/$H195*OFFSET(ORÇAMENTO!$X$15,ROW(AV195)-ROW(AV$15),0),
              ROUND(ROUND(OFFSET($P195,0,AV$13),15-13*ORÇAMENTO!$AF$7)*OFFSET(ORÇAMENTO!$W$15,ROW(AV195)-ROW(AV$15),0),15-13*ORÇAMENTO!$AF$11)),
         0)</f>
        <v>0</v>
      </c>
      <c r="AW195" s="453">
        <f ca="1">IF(AND($D195="Serviço",AW$12&lt;&gt;0,$H195&gt;0,OR(AUTOEVENTO&lt;&gt;"manual",$M195&lt;&gt;$A$15)),
        IF(Import.TipoArredondamento&lt;&gt;"TransfereGOV",
              ROUND(OFFSET($P195,0,AW$13),15-13*ORÇAMENTO!$AF$7)/$H195*OFFSET(ORÇAMENTO!$X$15,ROW(AW195)-ROW(AW$15),0),
              ROUND(ROUND(OFFSET($P195,0,AW$13),15-13*ORÇAMENTO!$AF$7)*OFFSET(ORÇAMENTO!$W$15,ROW(AW195)-ROW(AW$15),0),15-13*ORÇAMENTO!$AF$11)),
         0)</f>
        <v>0</v>
      </c>
      <c r="AX195" s="453">
        <f ca="1">IF(AND($D195="Serviço",AX$12&lt;&gt;0,$H195&gt;0,OR(AUTOEVENTO&lt;&gt;"manual",$M195&lt;&gt;$A$15)),
        IF(Import.TipoArredondamento&lt;&gt;"TransfereGOV",
              ROUND(OFFSET($P195,0,AX$13),15-13*ORÇAMENTO!$AF$7)/$H195*OFFSET(ORÇAMENTO!$X$15,ROW(AX195)-ROW(AX$15),0),
              ROUND(ROUND(OFFSET($P195,0,AX$13),15-13*ORÇAMENTO!$AF$7)*OFFSET(ORÇAMENTO!$W$15,ROW(AX195)-ROW(AX$15),0),15-13*ORÇAMENTO!$AF$11)),
         0)</f>
        <v>0</v>
      </c>
      <c r="AY195" s="453">
        <f ca="1">IF(AND($D195="Serviço",AY$12&lt;&gt;0,$H195&gt;0,OR(AUTOEVENTO&lt;&gt;"manual",$M195&lt;&gt;$A$15)),
        IF(Import.TipoArredondamento&lt;&gt;"TransfereGOV",
              ROUND(OFFSET($P195,0,AY$13),15-13*ORÇAMENTO!$AF$7)/$H195*OFFSET(ORÇAMENTO!$X$15,ROW(AY195)-ROW(AY$15),0),
              ROUND(ROUND(OFFSET($P195,0,AY$13),15-13*ORÇAMENTO!$AF$7)*OFFSET(ORÇAMENTO!$W$15,ROW(AY195)-ROW(AY$15),0),15-13*ORÇAMENTO!$AF$11)),
         0)</f>
        <v>0</v>
      </c>
      <c r="AZ195" s="453">
        <f ca="1">IF(AND($D195="Serviço",AZ$12&lt;&gt;0,$H195&gt;0,OR(AUTOEVENTO&lt;&gt;"manual",$M195&lt;&gt;$A$15)),
        IF(Import.TipoArredondamento&lt;&gt;"TransfereGOV",
              ROUND(OFFSET($P195,0,AZ$13),15-13*ORÇAMENTO!$AF$7)/$H195*OFFSET(ORÇAMENTO!$X$15,ROW(AZ195)-ROW(AZ$15),0),
              ROUND(ROUND(OFFSET($P195,0,AZ$13),15-13*ORÇAMENTO!$AF$7)*OFFSET(ORÇAMENTO!$W$15,ROW(AZ195)-ROW(AZ$15),0),15-13*ORÇAMENTO!$AF$11)),
         0)</f>
        <v>0</v>
      </c>
      <c r="BA195" s="453">
        <f ca="1">IF(AND($D195="Serviço",BA$12&lt;&gt;0,$H195&gt;0,OR(AUTOEVENTO&lt;&gt;"manual",$M195&lt;&gt;$A$15)),
        IF(Import.TipoArredondamento&lt;&gt;"TransfereGOV",
              ROUND(OFFSET($P195,0,BA$13),15-13*ORÇAMENTO!$AF$7)/$H195*OFFSET(ORÇAMENTO!$X$15,ROW(BA195)-ROW(BA$15),0),
              ROUND(ROUND(OFFSET($P195,0,BA$13),15-13*ORÇAMENTO!$AF$7)*OFFSET(ORÇAMENTO!$W$15,ROW(BA195)-ROW(BA$15),0),15-13*ORÇAMENTO!$AF$11)),
         0)</f>
        <v>0</v>
      </c>
      <c r="BC195" s="171">
        <f ca="1">IF(OR($D195&lt;&gt;"Serviço",AND(AUTOEVENTO="Manual",$M195=$A$15)),0,
         IF(OFFSET(CRONOPLE!$F$15,$M195-$A$15,BC$13)=0,10^12,OFFSET(CRONOPLE!$F$15,$M195-$A$15,BC$13)))</f>
        <v>1</v>
      </c>
      <c r="BD195" s="171">
        <f ca="1">IF(OR($D195&lt;&gt;"Serviço",AND(AUTOEVENTO="Manual",$M195=$A$15)),0,
         IF(OFFSET(CRONOPLE!$F$15,$M195-$A$15,BD$13)=0,10^12,OFFSET(CRONOPLE!$F$15,$M195-$A$15,BD$13)))</f>
        <v>2</v>
      </c>
      <c r="BE195" s="171">
        <f ca="1">IF(OR($D195&lt;&gt;"Serviço",AND(AUTOEVENTO="Manual",$M195=$A$15)),0,
         IF(OFFSET(CRONOPLE!$F$15,$M195-$A$15,BE$13)=0,10^12,OFFSET(CRONOPLE!$F$15,$M195-$A$15,BE$13)))</f>
        <v>3</v>
      </c>
      <c r="BF195" s="171">
        <f ca="1">IF(OR($D195&lt;&gt;"Serviço",AND(AUTOEVENTO="Manual",$M195=$A$15)),0,
         IF(OFFSET(CRONOPLE!$F$15,$M195-$A$15,BF$13)=0,10^12,OFFSET(CRONOPLE!$F$15,$M195-$A$15,BF$13)))</f>
        <v>4</v>
      </c>
      <c r="BG195" s="171">
        <f ca="1">IF(OR($D195&lt;&gt;"Serviço",AND(AUTOEVENTO="Manual",$M195=$A$15)),0,
         IF(OFFSET(CRONOPLE!$F$15,$M195-$A$15,BG$13)=0,10^12,OFFSET(CRONOPLE!$F$15,$M195-$A$15,BG$13)))</f>
        <v>5</v>
      </c>
      <c r="BH195" s="171">
        <f ca="1">IF(OR($D195&lt;&gt;"Serviço",AND(AUTOEVENTO="Manual",$M195=$A$15)),0,
         IF(OFFSET(CRONOPLE!$F$15,$M195-$A$15,BH$13)=0,10^12,OFFSET(CRONOPLE!$F$15,$M195-$A$15,BH$13)))</f>
        <v>6</v>
      </c>
      <c r="BI195" s="171">
        <f ca="1">IF(OR($D195&lt;&gt;"Serviço",AND(AUTOEVENTO="Manual",$M195=$A$15)),0,
         IF(OFFSET(CRONOPLE!$F$15,$M195-$A$15,BI$13)=0,10^12,OFFSET(CRONOPLE!$F$15,$M195-$A$15,BI$13)))</f>
        <v>7</v>
      </c>
      <c r="BJ195" s="171">
        <f ca="1">IF(OR($D195&lt;&gt;"Serviço",AND(AUTOEVENTO="Manual",$M195=$A$15)),0,
         IF(OFFSET(CRONOPLE!$F$15,$M195-$A$15,BJ$13)=0,10^12,OFFSET(CRONOPLE!$F$15,$M195-$A$15,BJ$13)))</f>
        <v>8</v>
      </c>
      <c r="BK195" s="171">
        <f ca="1">IF(OR($D195&lt;&gt;"Serviço",AND(AUTOEVENTO="Manual",$M195=$A$15)),0,
         IF(OFFSET(CRONOPLE!$F$15,$M195-$A$15,BK$13)=0,10^12,OFFSET(CRONOPLE!$F$15,$M195-$A$15,BK$13)))</f>
        <v>9</v>
      </c>
      <c r="BL195" s="171">
        <f ca="1">IF(OR($D195&lt;&gt;"Serviço",AND(AUTOEVENTO="Manual",$M195=$A$15)),0,
         IF(OFFSET(CRONOPLE!$F$15,$M195-$A$15,BL$13)=0,10^12,OFFSET(CRONOPLE!$F$15,$M195-$A$15,BL$13)))</f>
        <v>10</v>
      </c>
      <c r="BM195" s="171">
        <f ca="1">IF(OR($D195&lt;&gt;"Serviço",AND(AUTOEVENTO="Manual",$M195=$A$15)),0,
         IF(OFFSET(CRONOPLE!$F$15,$M195-$A$15,BM$13)=0,10^12,OFFSET(CRONOPLE!$F$15,$M195-$A$15,BM$13)))</f>
        <v>1000000000000</v>
      </c>
      <c r="BN195" s="171">
        <f ca="1">IF(OR($D195&lt;&gt;"Serviço",AND(AUTOEVENTO="Manual",$M195=$A$15)),0,
         IF(OFFSET(CRONOPLE!$F$15,$M195-$A$15,BN$13)=0,10^12,OFFSET(CRONOPLE!$F$15,$M195-$A$15,BN$13)))</f>
        <v>1000000000000</v>
      </c>
      <c r="BO195" s="171">
        <f ca="1">IF(OR($D195&lt;&gt;"Serviço",AND(AUTOEVENTO="Manual",$M195=$A$15)),0,
         IF(OFFSET(CRONOPLE!$F$15,$M195-$A$15,BO$13)=0,10^12,OFFSET(CRONOPLE!$F$15,$M195-$A$15,BO$13)))</f>
        <v>1000000000000</v>
      </c>
      <c r="BP195" s="171">
        <f ca="1">IF(OR($D195&lt;&gt;"Serviço",AND(AUTOEVENTO="Manual",$M195=$A$15)),0,
         IF(OFFSET(CRONOPLE!$F$15,$M195-$A$15,BP$13)=0,10^12,OFFSET(CRONOPLE!$F$15,$M195-$A$15,BP$13)))</f>
        <v>1000000000000</v>
      </c>
      <c r="BQ195" s="171">
        <f ca="1">IF(OR($D195&lt;&gt;"Serviço",AND(AUTOEVENTO="Manual",$M195=$A$15)),0,
         IF(OFFSET(CRONOPLE!$F$15,$M195-$A$15,BQ$13)=0,10^12,OFFSET(CRONOPLE!$F$15,$M195-$A$15,BQ$13)))</f>
        <v>1000000000000</v>
      </c>
      <c r="BR195" s="171">
        <f ca="1">IF(OR($D195&lt;&gt;"Serviço",AND(AUTOEVENTO="Manual",$M195=$A$15)),0,
         IF(OFFSET(CRONOPLE!$F$15,$M195-$A$15,BR$13)=0,10^12,OFFSET(CRONOPLE!$F$15,$M195-$A$15,BR$13)))</f>
        <v>1000000000000</v>
      </c>
      <c r="BS195" s="171">
        <f ca="1">IF(OR($D195&lt;&gt;"Serviço",AND(AUTOEVENTO="Manual",$M195=$A$15)),0,
         IF(OFFSET(CRONOPLE!$F$15,$M195-$A$15,BS$13)=0,10^12,OFFSET(CRONOPLE!$F$15,$M195-$A$15,BS$13)))</f>
        <v>1000000000000</v>
      </c>
      <c r="BT195" s="171">
        <f ca="1">IF(OR($D195&lt;&gt;"Serviço",AND(AUTOEVENTO="Manual",$M195=$A$15)),0,
         IF(OFFSET(CRONOPLE!$F$15,$M195-$A$15,BT$13)=0,10^12,OFFSET(CRONOPLE!$F$15,$M195-$A$15,BT$13)))</f>
        <v>1000000000000</v>
      </c>
      <c r="BV195" s="172">
        <f ca="1">IF(OR($D195&lt;&gt;"Serviço",AND(AUTOEVENTO="Manual",$M195=$A$15),$M195&gt;(ROW(PLE.lastrow)-ROW(PLE.firstrow))),0,
           IF(OFFSET(PLE!$G$15,$M195-$A$15,BV$13)="",10^12,OFFSET(PLE!$G$15,$M195-$A$15,BV$13)))</f>
        <v>1000000000000</v>
      </c>
      <c r="BW195" s="172">
        <f ca="1">IF(OR($D195&lt;&gt;"Serviço",AND(AUTOEVENTO="Manual",$M195=$A$15),$M195&gt;(ROW(PLE.lastrow)-ROW(PLE.firstrow))),0,
           IF(OFFSET(PLE!$G$15,$M195-$A$15,BW$13)="",10^12,OFFSET(PLE!$G$15,$M195-$A$15,BW$13)))</f>
        <v>1000000000000</v>
      </c>
      <c r="BX195" s="172">
        <f ca="1">IF(OR($D195&lt;&gt;"Serviço",AND(AUTOEVENTO="Manual",$M195=$A$15),$M195&gt;(ROW(PLE.lastrow)-ROW(PLE.firstrow))),0,
           IF(OFFSET(PLE!$G$15,$M195-$A$15,BX$13)="",10^12,OFFSET(PLE!$G$15,$M195-$A$15,BX$13)))</f>
        <v>1000000000000</v>
      </c>
      <c r="BY195" s="172">
        <f ca="1">IF(OR($D195&lt;&gt;"Serviço",AND(AUTOEVENTO="Manual",$M195=$A$15),$M195&gt;(ROW(PLE.lastrow)-ROW(PLE.firstrow))),0,
           IF(OFFSET(PLE!$G$15,$M195-$A$15,BY$13)="",10^12,OFFSET(PLE!$G$15,$M195-$A$15,BY$13)))</f>
        <v>1000000000000</v>
      </c>
      <c r="BZ195" s="172">
        <f ca="1">IF(OR($D195&lt;&gt;"Serviço",AND(AUTOEVENTO="Manual",$M195=$A$15),$M195&gt;(ROW(PLE.lastrow)-ROW(PLE.firstrow))),0,
           IF(OFFSET(PLE!$G$15,$M195-$A$15,BZ$13)="",10^12,OFFSET(PLE!$G$15,$M195-$A$15,BZ$13)))</f>
        <v>1000000000000</v>
      </c>
      <c r="CA195" s="172">
        <f ca="1">IF(OR($D195&lt;&gt;"Serviço",AND(AUTOEVENTO="Manual",$M195=$A$15),$M195&gt;(ROW(PLE.lastrow)-ROW(PLE.firstrow))),0,
           IF(OFFSET(PLE!$G$15,$M195-$A$15,CA$13)="",10^12,OFFSET(PLE!$G$15,$M195-$A$15,CA$13)))</f>
        <v>1000000000000</v>
      </c>
      <c r="CB195" s="172">
        <f ca="1">IF(OR($D195&lt;&gt;"Serviço",AND(AUTOEVENTO="Manual",$M195=$A$15),$M195&gt;(ROW(PLE.lastrow)-ROW(PLE.firstrow))),0,
           IF(OFFSET(PLE!$G$15,$M195-$A$15,CB$13)="",10^12,OFFSET(PLE!$G$15,$M195-$A$15,CB$13)))</f>
        <v>1000000000000</v>
      </c>
      <c r="CC195" s="172">
        <f ca="1">IF(OR($D195&lt;&gt;"Serviço",AND(AUTOEVENTO="Manual",$M195=$A$15),$M195&gt;(ROW(PLE.lastrow)-ROW(PLE.firstrow))),0,
           IF(OFFSET(PLE!$G$15,$M195-$A$15,CC$13)="",10^12,OFFSET(PLE!$G$15,$M195-$A$15,CC$13)))</f>
        <v>1000000000000</v>
      </c>
      <c r="CD195" s="172">
        <f ca="1">IF(OR($D195&lt;&gt;"Serviço",AND(AUTOEVENTO="Manual",$M195=$A$15),$M195&gt;(ROW(PLE.lastrow)-ROW(PLE.firstrow))),0,
           IF(OFFSET(PLE!$G$15,$M195-$A$15,CD$13)="",10^12,OFFSET(PLE!$G$15,$M195-$A$15,CD$13)))</f>
        <v>1000000000000</v>
      </c>
      <c r="CE195" s="172">
        <f ca="1">IF(OR($D195&lt;&gt;"Serviço",AND(AUTOEVENTO="Manual",$M195=$A$15),$M195&gt;(ROW(PLE.lastrow)-ROW(PLE.firstrow))),0,
           IF(OFFSET(PLE!$G$15,$M195-$A$15,CE$13)="",10^12,OFFSET(PLE!$G$15,$M195-$A$15,CE$13)))</f>
        <v>1000000000000</v>
      </c>
      <c r="CF195" s="172">
        <f ca="1">IF(OR($D195&lt;&gt;"Serviço",AND(AUTOEVENTO="Manual",$M195=$A$15),$M195&gt;(ROW(PLE.lastrow)-ROW(PLE.firstrow))),0,
           IF(OFFSET(PLE!$G$15,$M195-$A$15,CF$13)="",10^12,OFFSET(PLE!$G$15,$M195-$A$15,CF$13)))</f>
        <v>1000000000000</v>
      </c>
      <c r="CG195" s="172">
        <f ca="1">IF(OR($D195&lt;&gt;"Serviço",AND(AUTOEVENTO="Manual",$M195=$A$15),$M195&gt;(ROW(PLE.lastrow)-ROW(PLE.firstrow))),0,
           IF(OFFSET(PLE!$G$15,$M195-$A$15,CG$13)="",10^12,OFFSET(PLE!$G$15,$M195-$A$15,CG$13)))</f>
        <v>1000000000000</v>
      </c>
      <c r="CH195" s="172">
        <f ca="1">IF(OR($D195&lt;&gt;"Serviço",AND(AUTOEVENTO="Manual",$M195=$A$15),$M195&gt;(ROW(PLE.lastrow)-ROW(PLE.firstrow))),0,
           IF(OFFSET(PLE!$G$15,$M195-$A$15,CH$13)="",10^12,OFFSET(PLE!$G$15,$M195-$A$15,CH$13)))</f>
        <v>1000000000000</v>
      </c>
      <c r="CI195" s="172">
        <f ca="1">IF(OR($D195&lt;&gt;"Serviço",AND(AUTOEVENTO="Manual",$M195=$A$15),$M195&gt;(ROW(PLE.lastrow)-ROW(PLE.firstrow))),0,
           IF(OFFSET(PLE!$G$15,$M195-$A$15,CI$13)="",10^12,OFFSET(PLE!$G$15,$M195-$A$15,CI$13)))</f>
        <v>1000000000000</v>
      </c>
      <c r="CJ195" s="172">
        <f ca="1">IF(OR($D195&lt;&gt;"Serviço",AND(AUTOEVENTO="Manual",$M195=$A$15),$M195&gt;(ROW(PLE.lastrow)-ROW(PLE.firstrow))),0,
           IF(OFFSET(PLE!$G$15,$M195-$A$15,CJ$13)="",10^12,OFFSET(PLE!$G$15,$M195-$A$15,CJ$13)))</f>
        <v>1000000000000</v>
      </c>
      <c r="CK195" s="172">
        <f ca="1">IF(OR($D195&lt;&gt;"Serviço",AND(AUTOEVENTO="Manual",$M195=$A$15),$M195&gt;(ROW(PLE.lastrow)-ROW(PLE.firstrow))),0,
           IF(OFFSET(PLE!$G$15,$M195-$A$15,CK$13)="",10^12,OFFSET(PLE!$G$15,$M195-$A$15,CK$13)))</f>
        <v>1000000000000</v>
      </c>
      <c r="CL195" s="172">
        <f ca="1">IF(OR($D195&lt;&gt;"Serviço",AND(AUTOEVENTO="Manual",$M195=$A$15),$M195&gt;(ROW(PLE.lastrow)-ROW(PLE.firstrow))),0,
           IF(OFFSET(PLE!$G$15,$M195-$A$15,CL$13)="",10^12,OFFSET(PLE!$G$15,$M195-$A$15,CL$13)))</f>
        <v>1000000000000</v>
      </c>
      <c r="CM195" s="172">
        <f ca="1">IF(OR($D195&lt;&gt;"Serviço",AND(AUTOEVENTO="Manual",$M195=$A$15),$M195&gt;(ROW(PLE.lastrow)-ROW(PLE.firstrow))),0,
           IF(OFFSET(PLE!$G$15,$M195-$A$15,CM$13)="",10^12,OFFSET(PLE!$G$15,$M195-$A$15,CM$13)))</f>
        <v>1000000000000</v>
      </c>
    </row>
    <row r="196" spans="1:91" ht="51" x14ac:dyDescent="0.2">
      <c r="A196" s="7">
        <f t="shared" ca="1" si="12"/>
        <v>4</v>
      </c>
      <c r="B196" s="7" t="str">
        <f ca="1">OFFSET(ORÇAMENTO!C$15,ROW(B196)-ROW(B$15),0)</f>
        <v>S</v>
      </c>
      <c r="C196" s="7" t="str">
        <f ca="1">OFFSET(ORÇAMENTO!L$15,ROW(C196)-ROW(C$15),0)</f>
        <v>F</v>
      </c>
      <c r="D196" s="116" t="str">
        <f ca="1">OFFSET(ORÇAMENTO!N$15,ROW(D196)-ROW(D$15),0)</f>
        <v>Serviço</v>
      </c>
      <c r="E196" s="117" t="str">
        <f ca="1">OFFSET(ORÇAMENTO!O$15,ROW(E196)-ROW(E$15),0)</f>
        <v>1.5.5.5.2.</v>
      </c>
      <c r="F196" s="163" t="str">
        <f ca="1">OFFSET(ORÇAMENTO!R$15,ROW(F196)-ROW(F$15),0)</f>
        <v>LANÇAMENTO COM USO DE BOMBA, ADENSAMENTO E ACABAMENTO DE CONCRETO EM ESTRUTURAS. AF_02/2022</v>
      </c>
      <c r="G196" s="164" t="str">
        <f ca="1">IF($D196&lt;&gt;"Serviço","",OFFSET(ORÇAMENTO!S$15,ROW(G196)-ROW(G$15),0))</f>
        <v>M3</v>
      </c>
      <c r="H196" s="122" cm="1">
        <f t="array" aca="1" ref="H196" ca="1">IF($D196&lt;&gt;"Serviço",0,IF(ACOMPANHAMENTO="BM",ROUND(OFFSET(ORÇAMENTO!AJ$15,ROW(H196)-ROW(H$15),0),15-13*ORÇAMENTO!$AF$7),SUMPRODUCT(($Q$1:$AI$1=1)*ROUND($Q196:$AI196,15-13*ORÇAMENTO!$AF$7))))</f>
        <v>3.4</v>
      </c>
      <c r="I196" s="468" t="s">
        <v>1439</v>
      </c>
      <c r="J196" s="640" t="str" cm="1">
        <f t="array" aca="1" ref="J196" ca="1">IF(OR(B196&lt;&gt;"S",CÁLCULO.FrentesPreenchidas=0),"",IF(AND(ACOMPANHAMENTO="PLE",AUTOEVENTO="Manual",OR(H196&gt;0,ORÇAMENTO!AC196="QUANT."),OR(K196="",M196=0,N196="")),"►E",IF(AND(ACOMPANHAMENTO="PLE",ORÇAMENTO!AC196="QUANT."),"►Q",IF(AND(ACOMPANHAMENTO="PLE",H196&lt;&gt;SUMPRODUCT(($Q$1:$AI$1=1)*ROUND(Q196:AI196,15))),"►S",IF(AND(COUNTIF($P$11:$AI$11,"▼")=0,H196&gt;0,I196=""),"◄M","")))))</f>
        <v/>
      </c>
      <c r="K196" s="641" t="s">
        <v>1389</v>
      </c>
      <c r="L196" s="165" t="s">
        <v>764</v>
      </c>
      <c r="M196" s="166">
        <f ca="1">IF($D196&lt;&gt;"Serviço","",
          IF(AUTOEVENTO="manual",$A196,
                IF(ISERROR(MATCH($A196,$A$15:OFFSET($A196,-1,0),0)),MAX($M$15:OFFSET(M196,-1,0))+1,
                      INDEX($M$15:OFFSET(M196,-1,0),MATCH($A196,$A$15:OFFSET($A196,-1,0),0)))))</f>
        <v>4</v>
      </c>
      <c r="N196" s="167" t="str">
        <f ca="1">IF($D196&lt;&gt;"Serviço","",
         IF(AUTOEVENTO="Manual",
                IF($A196=0,"&lt;-- defina o número do agrupador",
                       OFFSET(EVENTOS!$D$15,$A196-$A$15,0)),
                OFFSET($F$15,$A196,0)))</f>
        <v>Estruturas de Concreto</v>
      </c>
      <c r="O196" s="168"/>
      <c r="Q196" s="168"/>
      <c r="R196" s="169"/>
      <c r="S196" s="169"/>
      <c r="T196" s="169"/>
      <c r="U196" s="169"/>
      <c r="V196" s="169">
        <f>V195</f>
        <v>3.4</v>
      </c>
      <c r="W196" s="169"/>
      <c r="X196" s="169"/>
      <c r="Y196" s="169"/>
      <c r="Z196" s="170"/>
      <c r="AA196" s="169"/>
      <c r="AB196" s="169"/>
      <c r="AC196" s="169"/>
      <c r="AD196" s="169"/>
      <c r="AE196" s="169"/>
      <c r="AF196" s="169"/>
      <c r="AG196" s="169"/>
      <c r="AH196" s="170"/>
      <c r="AJ196" s="453">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3">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L196" s="453">
        <f ca="1">IF(AND($D196="Serviço",AL$12&lt;&gt;0,$H196&gt;0,OR(AUTOEVENTO&lt;&gt;"manual",$M196&lt;&gt;$A$15)),
        IF(Import.TipoArredondamento&lt;&gt;"TransfereGOV",
              ROUND(OFFSET($P196,0,AL$13),15-13*ORÇAMENTO!$AF$7)/$H196*OFFSET(ORÇAMENTO!$X$15,ROW(AL196)-ROW(AL$15),0),
              ROUND(ROUND(OFFSET($P196,0,AL$13),15-13*ORÇAMENTO!$AF$7)*OFFSET(ORÇAMENTO!$W$15,ROW(AL196)-ROW(AL$15),0),15-13*ORÇAMENTO!$AF$11)),
         0)</f>
        <v>0</v>
      </c>
      <c r="AM196" s="453">
        <f ca="1">IF(AND($D196="Serviço",AM$12&lt;&gt;0,$H196&gt;0,OR(AUTOEVENTO&lt;&gt;"manual",$M196&lt;&gt;$A$15)),
        IF(Import.TipoArredondamento&lt;&gt;"TransfereGOV",
              ROUND(OFFSET($P196,0,AM$13),15-13*ORÇAMENTO!$AF$7)/$H196*OFFSET(ORÇAMENTO!$X$15,ROW(AM196)-ROW(AM$15),0),
              ROUND(ROUND(OFFSET($P196,0,AM$13),15-13*ORÇAMENTO!$AF$7)*OFFSET(ORÇAMENTO!$W$15,ROW(AM196)-ROW(AM$15),0),15-13*ORÇAMENTO!$AF$11)),
         0)</f>
        <v>0</v>
      </c>
      <c r="AN196" s="453">
        <f ca="1">IF(AND($D196="Serviço",AN$12&lt;&gt;0,$H196&gt;0,OR(AUTOEVENTO&lt;&gt;"manual",$M196&lt;&gt;$A$15)),
        IF(Import.TipoArredondamento&lt;&gt;"TransfereGOV",
              ROUND(OFFSET($P196,0,AN$13),15-13*ORÇAMENTO!$AF$7)/$H196*OFFSET(ORÇAMENTO!$X$15,ROW(AN196)-ROW(AN$15),0),
              ROUND(ROUND(OFFSET($P196,0,AN$13),15-13*ORÇAMENTO!$AF$7)*OFFSET(ORÇAMENTO!$W$15,ROW(AN196)-ROW(AN$15),0),15-13*ORÇAMENTO!$AF$11)),
         0)</f>
        <v>0</v>
      </c>
      <c r="AO196" s="453">
        <f ca="1">IF(AND($D196="Serviço",AO$12&lt;&gt;0,$H196&gt;0,OR(AUTOEVENTO&lt;&gt;"manual",$M196&lt;&gt;$A$15)),
        IF(Import.TipoArredondamento&lt;&gt;"TransfereGOV",
              ROUND(OFFSET($P196,0,AO$13),15-13*ORÇAMENTO!$AF$7)/$H196*OFFSET(ORÇAMENTO!$X$15,ROW(AO196)-ROW(AO$15),0),
              ROUND(ROUND(OFFSET($P196,0,AO$13),15-13*ORÇAMENTO!$AF$7)*OFFSET(ORÇAMENTO!$W$15,ROW(AO196)-ROW(AO$15),0),15-13*ORÇAMENTO!$AF$11)),
         0)</f>
        <v>0</v>
      </c>
      <c r="AP196" s="453">
        <f ca="1">IF(AND($D196="Serviço",AP$12&lt;&gt;0,$H196&gt;0,OR(AUTOEVENTO&lt;&gt;"manual",$M196&lt;&gt;$A$15)),
        IF(Import.TipoArredondamento&lt;&gt;"TransfereGOV",
              ROUND(OFFSET($P196,0,AP$13),15-13*ORÇAMENTO!$AF$7)/$H196*OFFSET(ORÇAMENTO!$X$15,ROW(AP196)-ROW(AP$15),0),
              ROUND(ROUND(OFFSET($P196,0,AP$13),15-13*ORÇAMENTO!$AF$7)*OFFSET(ORÇAMENTO!$W$15,ROW(AP196)-ROW(AP$15),0),15-13*ORÇAMENTO!$AF$11)),
         0)</f>
        <v>0</v>
      </c>
      <c r="AQ196" s="453">
        <f ca="1">IF(AND($D196="Serviço",AQ$12&lt;&gt;0,$H196&gt;0,OR(AUTOEVENTO&lt;&gt;"manual",$M196&lt;&gt;$A$15)),
        IF(Import.TipoArredondamento&lt;&gt;"TransfereGOV",
              ROUND(OFFSET($P196,0,AQ$13),15-13*ORÇAMENTO!$AF$7)/$H196*OFFSET(ORÇAMENTO!$X$15,ROW(AQ196)-ROW(AQ$15),0),
              ROUND(ROUND(OFFSET($P196,0,AQ$13),15-13*ORÇAMENTO!$AF$7)*OFFSET(ORÇAMENTO!$W$15,ROW(AQ196)-ROW(AQ$15),0),15-13*ORÇAMENTO!$AF$11)),
         0)</f>
        <v>0</v>
      </c>
      <c r="AR196" s="453">
        <f ca="1">IF(AND($D196="Serviço",AR$12&lt;&gt;0,$H196&gt;0,OR(AUTOEVENTO&lt;&gt;"manual",$M196&lt;&gt;$A$15)),
        IF(Import.TipoArredondamento&lt;&gt;"TransfereGOV",
              ROUND(OFFSET($P196,0,AR$13),15-13*ORÇAMENTO!$AF$7)/$H196*OFFSET(ORÇAMENTO!$X$15,ROW(AR196)-ROW(AR$15),0),
              ROUND(ROUND(OFFSET($P196,0,AR$13),15-13*ORÇAMENTO!$AF$7)*OFFSET(ORÇAMENTO!$W$15,ROW(AR196)-ROW(AR$15),0),15-13*ORÇAMENTO!$AF$11)),
         0)</f>
        <v>0</v>
      </c>
      <c r="AS196" s="453">
        <f ca="1">IF(AND($D196="Serviço",AS$12&lt;&gt;0,$H196&gt;0,OR(AUTOEVENTO&lt;&gt;"manual",$M196&lt;&gt;$A$15)),
        IF(Import.TipoArredondamento&lt;&gt;"TransfereGOV",
              ROUND(OFFSET($P196,0,AS$13),15-13*ORÇAMENTO!$AF$7)/$H196*OFFSET(ORÇAMENTO!$X$15,ROW(AS196)-ROW(AS$15),0),
              ROUND(ROUND(OFFSET($P196,0,AS$13),15-13*ORÇAMENTO!$AF$7)*OFFSET(ORÇAMENTO!$W$15,ROW(AS196)-ROW(AS$15),0),15-13*ORÇAMENTO!$AF$11)),
         0)</f>
        <v>0</v>
      </c>
      <c r="AT196" s="453">
        <f ca="1">IF(AND($D196="Serviço",AT$12&lt;&gt;0,$H196&gt;0,OR(AUTOEVENTO&lt;&gt;"manual",$M196&lt;&gt;$A$15)),
        IF(Import.TipoArredondamento&lt;&gt;"TransfereGOV",
              ROUND(OFFSET($P196,0,AT$13),15-13*ORÇAMENTO!$AF$7)/$H196*OFFSET(ORÇAMENTO!$X$15,ROW(AT196)-ROW(AT$15),0),
              ROUND(ROUND(OFFSET($P196,0,AT$13),15-13*ORÇAMENTO!$AF$7)*OFFSET(ORÇAMENTO!$W$15,ROW(AT196)-ROW(AT$15),0),15-13*ORÇAMENTO!$AF$11)),
         0)</f>
        <v>0</v>
      </c>
      <c r="AU196" s="453">
        <f ca="1">IF(AND($D196="Serviço",AU$12&lt;&gt;0,$H196&gt;0,OR(AUTOEVENTO&lt;&gt;"manual",$M196&lt;&gt;$A$15)),
        IF(Import.TipoArredondamento&lt;&gt;"TransfereGOV",
              ROUND(OFFSET($P196,0,AU$13),15-13*ORÇAMENTO!$AF$7)/$H196*OFFSET(ORÇAMENTO!$X$15,ROW(AU196)-ROW(AU$15),0),
              ROUND(ROUND(OFFSET($P196,0,AU$13),15-13*ORÇAMENTO!$AF$7)*OFFSET(ORÇAMENTO!$W$15,ROW(AU196)-ROW(AU$15),0),15-13*ORÇAMENTO!$AF$11)),
         0)</f>
        <v>0</v>
      </c>
      <c r="AV196" s="453">
        <f ca="1">IF(AND($D196="Serviço",AV$12&lt;&gt;0,$H196&gt;0,OR(AUTOEVENTO&lt;&gt;"manual",$M196&lt;&gt;$A$15)),
        IF(Import.TipoArredondamento&lt;&gt;"TransfereGOV",
              ROUND(OFFSET($P196,0,AV$13),15-13*ORÇAMENTO!$AF$7)/$H196*OFFSET(ORÇAMENTO!$X$15,ROW(AV196)-ROW(AV$15),0),
              ROUND(ROUND(OFFSET($P196,0,AV$13),15-13*ORÇAMENTO!$AF$7)*OFFSET(ORÇAMENTO!$W$15,ROW(AV196)-ROW(AV$15),0),15-13*ORÇAMENTO!$AF$11)),
         0)</f>
        <v>0</v>
      </c>
      <c r="AW196" s="453">
        <f ca="1">IF(AND($D196="Serviço",AW$12&lt;&gt;0,$H196&gt;0,OR(AUTOEVENTO&lt;&gt;"manual",$M196&lt;&gt;$A$15)),
        IF(Import.TipoArredondamento&lt;&gt;"TransfereGOV",
              ROUND(OFFSET($P196,0,AW$13),15-13*ORÇAMENTO!$AF$7)/$H196*OFFSET(ORÇAMENTO!$X$15,ROW(AW196)-ROW(AW$15),0),
              ROUND(ROUND(OFFSET($P196,0,AW$13),15-13*ORÇAMENTO!$AF$7)*OFFSET(ORÇAMENTO!$W$15,ROW(AW196)-ROW(AW$15),0),15-13*ORÇAMENTO!$AF$11)),
         0)</f>
        <v>0</v>
      </c>
      <c r="AX196" s="453">
        <f ca="1">IF(AND($D196="Serviço",AX$12&lt;&gt;0,$H196&gt;0,OR(AUTOEVENTO&lt;&gt;"manual",$M196&lt;&gt;$A$15)),
        IF(Import.TipoArredondamento&lt;&gt;"TransfereGOV",
              ROUND(OFFSET($P196,0,AX$13),15-13*ORÇAMENTO!$AF$7)/$H196*OFFSET(ORÇAMENTO!$X$15,ROW(AX196)-ROW(AX$15),0),
              ROUND(ROUND(OFFSET($P196,0,AX$13),15-13*ORÇAMENTO!$AF$7)*OFFSET(ORÇAMENTO!$W$15,ROW(AX196)-ROW(AX$15),0),15-13*ORÇAMENTO!$AF$11)),
         0)</f>
        <v>0</v>
      </c>
      <c r="AY196" s="453">
        <f ca="1">IF(AND($D196="Serviço",AY$12&lt;&gt;0,$H196&gt;0,OR(AUTOEVENTO&lt;&gt;"manual",$M196&lt;&gt;$A$15)),
        IF(Import.TipoArredondamento&lt;&gt;"TransfereGOV",
              ROUND(OFFSET($P196,0,AY$13),15-13*ORÇAMENTO!$AF$7)/$H196*OFFSET(ORÇAMENTO!$X$15,ROW(AY196)-ROW(AY$15),0),
              ROUND(ROUND(OFFSET($P196,0,AY$13),15-13*ORÇAMENTO!$AF$7)*OFFSET(ORÇAMENTO!$W$15,ROW(AY196)-ROW(AY$15),0),15-13*ORÇAMENTO!$AF$11)),
         0)</f>
        <v>0</v>
      </c>
      <c r="AZ196" s="453">
        <f ca="1">IF(AND($D196="Serviço",AZ$12&lt;&gt;0,$H196&gt;0,OR(AUTOEVENTO&lt;&gt;"manual",$M196&lt;&gt;$A$15)),
        IF(Import.TipoArredondamento&lt;&gt;"TransfereGOV",
              ROUND(OFFSET($P196,0,AZ$13),15-13*ORÇAMENTO!$AF$7)/$H196*OFFSET(ORÇAMENTO!$X$15,ROW(AZ196)-ROW(AZ$15),0),
              ROUND(ROUND(OFFSET($P196,0,AZ$13),15-13*ORÇAMENTO!$AF$7)*OFFSET(ORÇAMENTO!$W$15,ROW(AZ196)-ROW(AZ$15),0),15-13*ORÇAMENTO!$AF$11)),
         0)</f>
        <v>0</v>
      </c>
      <c r="BA196" s="453">
        <f ca="1">IF(AND($D196="Serviço",BA$12&lt;&gt;0,$H196&gt;0,OR(AUTOEVENTO&lt;&gt;"manual",$M196&lt;&gt;$A$15)),
        IF(Import.TipoArredondamento&lt;&gt;"TransfereGOV",
              ROUND(OFFSET($P196,0,BA$13),15-13*ORÇAMENTO!$AF$7)/$H196*OFFSET(ORÇAMENTO!$X$15,ROW(BA196)-ROW(BA$15),0),
              ROUND(ROUND(OFFSET($P196,0,BA$13),15-13*ORÇAMENTO!$AF$7)*OFFSET(ORÇAMENTO!$W$15,ROW(BA196)-ROW(BA$15),0),15-13*ORÇAMENTO!$AF$11)),
         0)</f>
        <v>0</v>
      </c>
      <c r="BC196" s="171">
        <f ca="1">IF(OR($D196&lt;&gt;"Serviço",AND(AUTOEVENTO="Manual",$M196=$A$15)),0,
         IF(OFFSET(CRONOPLE!$F$15,$M196-$A$15,BC$13)=0,10^12,OFFSET(CRONOPLE!$F$15,$M196-$A$15,BC$13)))</f>
        <v>1</v>
      </c>
      <c r="BD196" s="171">
        <f ca="1">IF(OR($D196&lt;&gt;"Serviço",AND(AUTOEVENTO="Manual",$M196=$A$15)),0,
         IF(OFFSET(CRONOPLE!$F$15,$M196-$A$15,BD$13)=0,10^12,OFFSET(CRONOPLE!$F$15,$M196-$A$15,BD$13)))</f>
        <v>2</v>
      </c>
      <c r="BE196" s="171">
        <f ca="1">IF(OR($D196&lt;&gt;"Serviço",AND(AUTOEVENTO="Manual",$M196=$A$15)),0,
         IF(OFFSET(CRONOPLE!$F$15,$M196-$A$15,BE$13)=0,10^12,OFFSET(CRONOPLE!$F$15,$M196-$A$15,BE$13)))</f>
        <v>3</v>
      </c>
      <c r="BF196" s="171">
        <f ca="1">IF(OR($D196&lt;&gt;"Serviço",AND(AUTOEVENTO="Manual",$M196=$A$15)),0,
         IF(OFFSET(CRONOPLE!$F$15,$M196-$A$15,BF$13)=0,10^12,OFFSET(CRONOPLE!$F$15,$M196-$A$15,BF$13)))</f>
        <v>4</v>
      </c>
      <c r="BG196" s="171">
        <f ca="1">IF(OR($D196&lt;&gt;"Serviço",AND(AUTOEVENTO="Manual",$M196=$A$15)),0,
         IF(OFFSET(CRONOPLE!$F$15,$M196-$A$15,BG$13)=0,10^12,OFFSET(CRONOPLE!$F$15,$M196-$A$15,BG$13)))</f>
        <v>5</v>
      </c>
      <c r="BH196" s="171">
        <f ca="1">IF(OR($D196&lt;&gt;"Serviço",AND(AUTOEVENTO="Manual",$M196=$A$15)),0,
         IF(OFFSET(CRONOPLE!$F$15,$M196-$A$15,BH$13)=0,10^12,OFFSET(CRONOPLE!$F$15,$M196-$A$15,BH$13)))</f>
        <v>6</v>
      </c>
      <c r="BI196" s="171">
        <f ca="1">IF(OR($D196&lt;&gt;"Serviço",AND(AUTOEVENTO="Manual",$M196=$A$15)),0,
         IF(OFFSET(CRONOPLE!$F$15,$M196-$A$15,BI$13)=0,10^12,OFFSET(CRONOPLE!$F$15,$M196-$A$15,BI$13)))</f>
        <v>7</v>
      </c>
      <c r="BJ196" s="171">
        <f ca="1">IF(OR($D196&lt;&gt;"Serviço",AND(AUTOEVENTO="Manual",$M196=$A$15)),0,
         IF(OFFSET(CRONOPLE!$F$15,$M196-$A$15,BJ$13)=0,10^12,OFFSET(CRONOPLE!$F$15,$M196-$A$15,BJ$13)))</f>
        <v>8</v>
      </c>
      <c r="BK196" s="171">
        <f ca="1">IF(OR($D196&lt;&gt;"Serviço",AND(AUTOEVENTO="Manual",$M196=$A$15)),0,
         IF(OFFSET(CRONOPLE!$F$15,$M196-$A$15,BK$13)=0,10^12,OFFSET(CRONOPLE!$F$15,$M196-$A$15,BK$13)))</f>
        <v>9</v>
      </c>
      <c r="BL196" s="171">
        <f ca="1">IF(OR($D196&lt;&gt;"Serviço",AND(AUTOEVENTO="Manual",$M196=$A$15)),0,
         IF(OFFSET(CRONOPLE!$F$15,$M196-$A$15,BL$13)=0,10^12,OFFSET(CRONOPLE!$F$15,$M196-$A$15,BL$13)))</f>
        <v>10</v>
      </c>
      <c r="BM196" s="171">
        <f ca="1">IF(OR($D196&lt;&gt;"Serviço",AND(AUTOEVENTO="Manual",$M196=$A$15)),0,
         IF(OFFSET(CRONOPLE!$F$15,$M196-$A$15,BM$13)=0,10^12,OFFSET(CRONOPLE!$F$15,$M196-$A$15,BM$13)))</f>
        <v>1000000000000</v>
      </c>
      <c r="BN196" s="171">
        <f ca="1">IF(OR($D196&lt;&gt;"Serviço",AND(AUTOEVENTO="Manual",$M196=$A$15)),0,
         IF(OFFSET(CRONOPLE!$F$15,$M196-$A$15,BN$13)=0,10^12,OFFSET(CRONOPLE!$F$15,$M196-$A$15,BN$13)))</f>
        <v>1000000000000</v>
      </c>
      <c r="BO196" s="171">
        <f ca="1">IF(OR($D196&lt;&gt;"Serviço",AND(AUTOEVENTO="Manual",$M196=$A$15)),0,
         IF(OFFSET(CRONOPLE!$F$15,$M196-$A$15,BO$13)=0,10^12,OFFSET(CRONOPLE!$F$15,$M196-$A$15,BO$13)))</f>
        <v>1000000000000</v>
      </c>
      <c r="BP196" s="171">
        <f ca="1">IF(OR($D196&lt;&gt;"Serviço",AND(AUTOEVENTO="Manual",$M196=$A$15)),0,
         IF(OFFSET(CRONOPLE!$F$15,$M196-$A$15,BP$13)=0,10^12,OFFSET(CRONOPLE!$F$15,$M196-$A$15,BP$13)))</f>
        <v>1000000000000</v>
      </c>
      <c r="BQ196" s="171">
        <f ca="1">IF(OR($D196&lt;&gt;"Serviço",AND(AUTOEVENTO="Manual",$M196=$A$15)),0,
         IF(OFFSET(CRONOPLE!$F$15,$M196-$A$15,BQ$13)=0,10^12,OFFSET(CRONOPLE!$F$15,$M196-$A$15,BQ$13)))</f>
        <v>1000000000000</v>
      </c>
      <c r="BR196" s="171">
        <f ca="1">IF(OR($D196&lt;&gt;"Serviço",AND(AUTOEVENTO="Manual",$M196=$A$15)),0,
         IF(OFFSET(CRONOPLE!$F$15,$M196-$A$15,BR$13)=0,10^12,OFFSET(CRONOPLE!$F$15,$M196-$A$15,BR$13)))</f>
        <v>1000000000000</v>
      </c>
      <c r="BS196" s="171">
        <f ca="1">IF(OR($D196&lt;&gt;"Serviço",AND(AUTOEVENTO="Manual",$M196=$A$15)),0,
         IF(OFFSET(CRONOPLE!$F$15,$M196-$A$15,BS$13)=0,10^12,OFFSET(CRONOPLE!$F$15,$M196-$A$15,BS$13)))</f>
        <v>1000000000000</v>
      </c>
      <c r="BT196" s="171">
        <f ca="1">IF(OR($D196&lt;&gt;"Serviço",AND(AUTOEVENTO="Manual",$M196=$A$15)),0,
         IF(OFFSET(CRONOPLE!$F$15,$M196-$A$15,BT$13)=0,10^12,OFFSET(CRONOPLE!$F$15,$M196-$A$15,BT$13)))</f>
        <v>1000000000000</v>
      </c>
      <c r="BV196" s="172">
        <f ca="1">IF(OR($D196&lt;&gt;"Serviço",AND(AUTOEVENTO="Manual",$M196=$A$15),$M196&gt;(ROW(PLE.lastrow)-ROW(PLE.firstrow))),0,
           IF(OFFSET(PLE!$G$15,$M196-$A$15,BV$13)="",10^12,OFFSET(PLE!$G$15,$M196-$A$15,BV$13)))</f>
        <v>1000000000000</v>
      </c>
      <c r="BW196" s="172">
        <f ca="1">IF(OR($D196&lt;&gt;"Serviço",AND(AUTOEVENTO="Manual",$M196=$A$15),$M196&gt;(ROW(PLE.lastrow)-ROW(PLE.firstrow))),0,
           IF(OFFSET(PLE!$G$15,$M196-$A$15,BW$13)="",10^12,OFFSET(PLE!$G$15,$M196-$A$15,BW$13)))</f>
        <v>1000000000000</v>
      </c>
      <c r="BX196" s="172">
        <f ca="1">IF(OR($D196&lt;&gt;"Serviço",AND(AUTOEVENTO="Manual",$M196=$A$15),$M196&gt;(ROW(PLE.lastrow)-ROW(PLE.firstrow))),0,
           IF(OFFSET(PLE!$G$15,$M196-$A$15,BX$13)="",10^12,OFFSET(PLE!$G$15,$M196-$A$15,BX$13)))</f>
        <v>1000000000000</v>
      </c>
      <c r="BY196" s="172">
        <f ca="1">IF(OR($D196&lt;&gt;"Serviço",AND(AUTOEVENTO="Manual",$M196=$A$15),$M196&gt;(ROW(PLE.lastrow)-ROW(PLE.firstrow))),0,
           IF(OFFSET(PLE!$G$15,$M196-$A$15,BY$13)="",10^12,OFFSET(PLE!$G$15,$M196-$A$15,BY$13)))</f>
        <v>1000000000000</v>
      </c>
      <c r="BZ196" s="172">
        <f ca="1">IF(OR($D196&lt;&gt;"Serviço",AND(AUTOEVENTO="Manual",$M196=$A$15),$M196&gt;(ROW(PLE.lastrow)-ROW(PLE.firstrow))),0,
           IF(OFFSET(PLE!$G$15,$M196-$A$15,BZ$13)="",10^12,OFFSET(PLE!$G$15,$M196-$A$15,BZ$13)))</f>
        <v>1000000000000</v>
      </c>
      <c r="CA196" s="172">
        <f ca="1">IF(OR($D196&lt;&gt;"Serviço",AND(AUTOEVENTO="Manual",$M196=$A$15),$M196&gt;(ROW(PLE.lastrow)-ROW(PLE.firstrow))),0,
           IF(OFFSET(PLE!$G$15,$M196-$A$15,CA$13)="",10^12,OFFSET(PLE!$G$15,$M196-$A$15,CA$13)))</f>
        <v>1000000000000</v>
      </c>
      <c r="CB196" s="172">
        <f ca="1">IF(OR($D196&lt;&gt;"Serviço",AND(AUTOEVENTO="Manual",$M196=$A$15),$M196&gt;(ROW(PLE.lastrow)-ROW(PLE.firstrow))),0,
           IF(OFFSET(PLE!$G$15,$M196-$A$15,CB$13)="",10^12,OFFSET(PLE!$G$15,$M196-$A$15,CB$13)))</f>
        <v>1000000000000</v>
      </c>
      <c r="CC196" s="172">
        <f ca="1">IF(OR($D196&lt;&gt;"Serviço",AND(AUTOEVENTO="Manual",$M196=$A$15),$M196&gt;(ROW(PLE.lastrow)-ROW(PLE.firstrow))),0,
           IF(OFFSET(PLE!$G$15,$M196-$A$15,CC$13)="",10^12,OFFSET(PLE!$G$15,$M196-$A$15,CC$13)))</f>
        <v>1000000000000</v>
      </c>
      <c r="CD196" s="172">
        <f ca="1">IF(OR($D196&lt;&gt;"Serviço",AND(AUTOEVENTO="Manual",$M196=$A$15),$M196&gt;(ROW(PLE.lastrow)-ROW(PLE.firstrow))),0,
           IF(OFFSET(PLE!$G$15,$M196-$A$15,CD$13)="",10^12,OFFSET(PLE!$G$15,$M196-$A$15,CD$13)))</f>
        <v>1000000000000</v>
      </c>
      <c r="CE196" s="172">
        <f ca="1">IF(OR($D196&lt;&gt;"Serviço",AND(AUTOEVENTO="Manual",$M196=$A$15),$M196&gt;(ROW(PLE.lastrow)-ROW(PLE.firstrow))),0,
           IF(OFFSET(PLE!$G$15,$M196-$A$15,CE$13)="",10^12,OFFSET(PLE!$G$15,$M196-$A$15,CE$13)))</f>
        <v>1000000000000</v>
      </c>
      <c r="CF196" s="172">
        <f ca="1">IF(OR($D196&lt;&gt;"Serviço",AND(AUTOEVENTO="Manual",$M196=$A$15),$M196&gt;(ROW(PLE.lastrow)-ROW(PLE.firstrow))),0,
           IF(OFFSET(PLE!$G$15,$M196-$A$15,CF$13)="",10^12,OFFSET(PLE!$G$15,$M196-$A$15,CF$13)))</f>
        <v>1000000000000</v>
      </c>
      <c r="CG196" s="172">
        <f ca="1">IF(OR($D196&lt;&gt;"Serviço",AND(AUTOEVENTO="Manual",$M196=$A$15),$M196&gt;(ROW(PLE.lastrow)-ROW(PLE.firstrow))),0,
           IF(OFFSET(PLE!$G$15,$M196-$A$15,CG$13)="",10^12,OFFSET(PLE!$G$15,$M196-$A$15,CG$13)))</f>
        <v>1000000000000</v>
      </c>
      <c r="CH196" s="172">
        <f ca="1">IF(OR($D196&lt;&gt;"Serviço",AND(AUTOEVENTO="Manual",$M196=$A$15),$M196&gt;(ROW(PLE.lastrow)-ROW(PLE.firstrow))),0,
           IF(OFFSET(PLE!$G$15,$M196-$A$15,CH$13)="",10^12,OFFSET(PLE!$G$15,$M196-$A$15,CH$13)))</f>
        <v>1000000000000</v>
      </c>
      <c r="CI196" s="172">
        <f ca="1">IF(OR($D196&lt;&gt;"Serviço",AND(AUTOEVENTO="Manual",$M196=$A$15),$M196&gt;(ROW(PLE.lastrow)-ROW(PLE.firstrow))),0,
           IF(OFFSET(PLE!$G$15,$M196-$A$15,CI$13)="",10^12,OFFSET(PLE!$G$15,$M196-$A$15,CI$13)))</f>
        <v>1000000000000</v>
      </c>
      <c r="CJ196" s="172">
        <f ca="1">IF(OR($D196&lt;&gt;"Serviço",AND(AUTOEVENTO="Manual",$M196=$A$15),$M196&gt;(ROW(PLE.lastrow)-ROW(PLE.firstrow))),0,
           IF(OFFSET(PLE!$G$15,$M196-$A$15,CJ$13)="",10^12,OFFSET(PLE!$G$15,$M196-$A$15,CJ$13)))</f>
        <v>1000000000000</v>
      </c>
      <c r="CK196" s="172">
        <f ca="1">IF(OR($D196&lt;&gt;"Serviço",AND(AUTOEVENTO="Manual",$M196=$A$15),$M196&gt;(ROW(PLE.lastrow)-ROW(PLE.firstrow))),0,
           IF(OFFSET(PLE!$G$15,$M196-$A$15,CK$13)="",10^12,OFFSET(PLE!$G$15,$M196-$A$15,CK$13)))</f>
        <v>1000000000000</v>
      </c>
      <c r="CL196" s="172">
        <f ca="1">IF(OR($D196&lt;&gt;"Serviço",AND(AUTOEVENTO="Manual",$M196=$A$15),$M196&gt;(ROW(PLE.lastrow)-ROW(PLE.firstrow))),0,
           IF(OFFSET(PLE!$G$15,$M196-$A$15,CL$13)="",10^12,OFFSET(PLE!$G$15,$M196-$A$15,CL$13)))</f>
        <v>1000000000000</v>
      </c>
      <c r="CM196" s="172">
        <f ca="1">IF(OR($D196&lt;&gt;"Serviço",AND(AUTOEVENTO="Manual",$M196=$A$15),$M196&gt;(ROW(PLE.lastrow)-ROW(PLE.firstrow))),0,
           IF(OFFSET(PLE!$G$15,$M196-$A$15,CM$13)="",10^12,OFFSET(PLE!$G$15,$M196-$A$15,CM$13)))</f>
        <v>1000000000000</v>
      </c>
    </row>
    <row r="197" spans="1:91" ht="51" x14ac:dyDescent="0.2">
      <c r="A197" s="7">
        <f t="shared" ca="1" si="12"/>
        <v>4</v>
      </c>
      <c r="B197" s="7" t="str">
        <f ca="1">OFFSET(ORÇAMENTO!C$15,ROW(B197)-ROW(B$15),0)</f>
        <v>S</v>
      </c>
      <c r="C197" s="7" t="str">
        <f ca="1">OFFSET(ORÇAMENTO!L$15,ROW(C197)-ROW(C$15),0)</f>
        <v>F</v>
      </c>
      <c r="D197" s="116" t="str">
        <f ca="1">OFFSET(ORÇAMENTO!N$15,ROW(D197)-ROW(D$15),0)</f>
        <v>Serviço</v>
      </c>
      <c r="E197" s="117" t="str">
        <f ca="1">OFFSET(ORÇAMENTO!O$15,ROW(E197)-ROW(E$15),0)</f>
        <v>1.5.5.5.3.</v>
      </c>
      <c r="F197" s="163" t="str">
        <f ca="1">OFFSET(ORÇAMENTO!R$15,ROW(F197)-ROW(F$15),0)</f>
        <v>ARMAÇÃO PARA EXECUÇÃO DE RADIER, PISO DE CONCRETO OU LAJE SOBRE SOLO, COM USO DE TELA Q-92. AF_09/2021</v>
      </c>
      <c r="G197" s="164" t="str">
        <f ca="1">IF($D197&lt;&gt;"Serviço","",OFFSET(ORÇAMENTO!S$15,ROW(G197)-ROW(G$15),0))</f>
        <v>KG</v>
      </c>
      <c r="H197" s="122" cm="1">
        <f t="array" aca="1" ref="H197" ca="1">IF($D197&lt;&gt;"Serviço",0,IF(ACOMPANHAMENTO="BM",ROUND(OFFSET(ORÇAMENTO!AJ$15,ROW(H197)-ROW(H$15),0),15-13*ORÇAMENTO!$AF$7),SUMPRODUCT(($Q$1:$AI$1=1)*ROUND($Q197:$AI197,15-13*ORÇAMENTO!$AF$7))))</f>
        <v>100.5</v>
      </c>
      <c r="I197" s="468" t="s">
        <v>1439</v>
      </c>
      <c r="J197" s="640" t="str" cm="1">
        <f t="array" aca="1" ref="J197" ca="1">IF(OR(B197&lt;&gt;"S",CÁLCULO.FrentesPreenchidas=0),"",IF(AND(ACOMPANHAMENTO="PLE",AUTOEVENTO="Manual",OR(H197&gt;0,ORÇAMENTO!AC197="QUANT."),OR(K197="",M197=0,N197="")),"►E",IF(AND(ACOMPANHAMENTO="PLE",ORÇAMENTO!AC197="QUANT."),"►Q",IF(AND(ACOMPANHAMENTO="PLE",H197&lt;&gt;SUMPRODUCT(($Q$1:$AI$1=1)*ROUND(Q197:AI197,15))),"►S",IF(AND(COUNTIF($P$11:$AI$11,"▼")=0,H197&gt;0,I197=""),"◄M","")))))</f>
        <v/>
      </c>
      <c r="K197" s="641" t="s">
        <v>1389</v>
      </c>
      <c r="L197" s="165" t="s">
        <v>764</v>
      </c>
      <c r="M197" s="166">
        <f ca="1">IF($D197&lt;&gt;"Serviço","",
          IF(AUTOEVENTO="manual",$A197,
                IF(ISERROR(MATCH($A197,$A$15:OFFSET($A197,-1,0),0)),MAX($M$15:OFFSET(M197,-1,0))+1,
                      INDEX($M$15:OFFSET(M197,-1,0),MATCH($A197,$A$15:OFFSET($A197,-1,0),0)))))</f>
        <v>4</v>
      </c>
      <c r="N197" s="167" t="str">
        <f ca="1">IF($D197&lt;&gt;"Serviço","",
         IF(AUTOEVENTO="Manual",
                IF($A197=0,"&lt;-- defina o número do agrupador",
                       OFFSET(EVENTOS!$D$15,$A197-$A$15,0)),
                OFFSET($F$15,$A197,0)))</f>
        <v>Estruturas de Concreto</v>
      </c>
      <c r="O197" s="168"/>
      <c r="Q197" s="168"/>
      <c r="R197" s="169"/>
      <c r="S197" s="169"/>
      <c r="T197" s="169"/>
      <c r="U197" s="169"/>
      <c r="V197" s="169">
        <v>100.5</v>
      </c>
      <c r="W197" s="169"/>
      <c r="X197" s="169"/>
      <c r="Y197" s="169"/>
      <c r="Z197" s="170"/>
      <c r="AA197" s="169"/>
      <c r="AB197" s="169"/>
      <c r="AC197" s="169"/>
      <c r="AD197" s="169"/>
      <c r="AE197" s="169"/>
      <c r="AF197" s="169"/>
      <c r="AG197" s="169"/>
      <c r="AH197" s="170"/>
      <c r="AJ197" s="453">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0</v>
      </c>
      <c r="AK197" s="453">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0</v>
      </c>
      <c r="AL197" s="453">
        <f ca="1">IF(AND($D197="Serviço",AL$12&lt;&gt;0,$H197&gt;0,OR(AUTOEVENTO&lt;&gt;"manual",$M197&lt;&gt;$A$15)),
        IF(Import.TipoArredondamento&lt;&gt;"TransfereGOV",
              ROUND(OFFSET($P197,0,AL$13),15-13*ORÇAMENTO!$AF$7)/$H197*OFFSET(ORÇAMENTO!$X$15,ROW(AL197)-ROW(AL$15),0),
              ROUND(ROUND(OFFSET($P197,0,AL$13),15-13*ORÇAMENTO!$AF$7)*OFFSET(ORÇAMENTO!$W$15,ROW(AL197)-ROW(AL$15),0),15-13*ORÇAMENTO!$AF$11)),
         0)</f>
        <v>0</v>
      </c>
      <c r="AM197" s="453">
        <f ca="1">IF(AND($D197="Serviço",AM$12&lt;&gt;0,$H197&gt;0,OR(AUTOEVENTO&lt;&gt;"manual",$M197&lt;&gt;$A$15)),
        IF(Import.TipoArredondamento&lt;&gt;"TransfereGOV",
              ROUND(OFFSET($P197,0,AM$13),15-13*ORÇAMENTO!$AF$7)/$H197*OFFSET(ORÇAMENTO!$X$15,ROW(AM197)-ROW(AM$15),0),
              ROUND(ROUND(OFFSET($P197,0,AM$13),15-13*ORÇAMENTO!$AF$7)*OFFSET(ORÇAMENTO!$W$15,ROW(AM197)-ROW(AM$15),0),15-13*ORÇAMENTO!$AF$11)),
         0)</f>
        <v>0</v>
      </c>
      <c r="AN197" s="453">
        <f ca="1">IF(AND($D197="Serviço",AN$12&lt;&gt;0,$H197&gt;0,OR(AUTOEVENTO&lt;&gt;"manual",$M197&lt;&gt;$A$15)),
        IF(Import.TipoArredondamento&lt;&gt;"TransfereGOV",
              ROUND(OFFSET($P197,0,AN$13),15-13*ORÇAMENTO!$AF$7)/$H197*OFFSET(ORÇAMENTO!$X$15,ROW(AN197)-ROW(AN$15),0),
              ROUND(ROUND(OFFSET($P197,0,AN$13),15-13*ORÇAMENTO!$AF$7)*OFFSET(ORÇAMENTO!$W$15,ROW(AN197)-ROW(AN$15),0),15-13*ORÇAMENTO!$AF$11)),
         0)</f>
        <v>0</v>
      </c>
      <c r="AO197" s="453">
        <f ca="1">IF(AND($D197="Serviço",AO$12&lt;&gt;0,$H197&gt;0,OR(AUTOEVENTO&lt;&gt;"manual",$M197&lt;&gt;$A$15)),
        IF(Import.TipoArredondamento&lt;&gt;"TransfereGOV",
              ROUND(OFFSET($P197,0,AO$13),15-13*ORÇAMENTO!$AF$7)/$H197*OFFSET(ORÇAMENTO!$X$15,ROW(AO197)-ROW(AO$15),0),
              ROUND(ROUND(OFFSET($P197,0,AO$13),15-13*ORÇAMENTO!$AF$7)*OFFSET(ORÇAMENTO!$W$15,ROW(AO197)-ROW(AO$15),0),15-13*ORÇAMENTO!$AF$11)),
         0)</f>
        <v>0</v>
      </c>
      <c r="AP197" s="453">
        <f ca="1">IF(AND($D197="Serviço",AP$12&lt;&gt;0,$H197&gt;0,OR(AUTOEVENTO&lt;&gt;"manual",$M197&lt;&gt;$A$15)),
        IF(Import.TipoArredondamento&lt;&gt;"TransfereGOV",
              ROUND(OFFSET($P197,0,AP$13),15-13*ORÇAMENTO!$AF$7)/$H197*OFFSET(ORÇAMENTO!$X$15,ROW(AP197)-ROW(AP$15),0),
              ROUND(ROUND(OFFSET($P197,0,AP$13),15-13*ORÇAMENTO!$AF$7)*OFFSET(ORÇAMENTO!$W$15,ROW(AP197)-ROW(AP$15),0),15-13*ORÇAMENTO!$AF$11)),
         0)</f>
        <v>0</v>
      </c>
      <c r="AQ197" s="453">
        <f ca="1">IF(AND($D197="Serviço",AQ$12&lt;&gt;0,$H197&gt;0,OR(AUTOEVENTO&lt;&gt;"manual",$M197&lt;&gt;$A$15)),
        IF(Import.TipoArredondamento&lt;&gt;"TransfereGOV",
              ROUND(OFFSET($P197,0,AQ$13),15-13*ORÇAMENTO!$AF$7)/$H197*OFFSET(ORÇAMENTO!$X$15,ROW(AQ197)-ROW(AQ$15),0),
              ROUND(ROUND(OFFSET($P197,0,AQ$13),15-13*ORÇAMENTO!$AF$7)*OFFSET(ORÇAMENTO!$W$15,ROW(AQ197)-ROW(AQ$15),0),15-13*ORÇAMENTO!$AF$11)),
         0)</f>
        <v>0</v>
      </c>
      <c r="AR197" s="453">
        <f ca="1">IF(AND($D197="Serviço",AR$12&lt;&gt;0,$H197&gt;0,OR(AUTOEVENTO&lt;&gt;"manual",$M197&lt;&gt;$A$15)),
        IF(Import.TipoArredondamento&lt;&gt;"TransfereGOV",
              ROUND(OFFSET($P197,0,AR$13),15-13*ORÇAMENTO!$AF$7)/$H197*OFFSET(ORÇAMENTO!$X$15,ROW(AR197)-ROW(AR$15),0),
              ROUND(ROUND(OFFSET($P197,0,AR$13),15-13*ORÇAMENTO!$AF$7)*OFFSET(ORÇAMENTO!$W$15,ROW(AR197)-ROW(AR$15),0),15-13*ORÇAMENTO!$AF$11)),
         0)</f>
        <v>0</v>
      </c>
      <c r="AS197" s="453">
        <f ca="1">IF(AND($D197="Serviço",AS$12&lt;&gt;0,$H197&gt;0,OR(AUTOEVENTO&lt;&gt;"manual",$M197&lt;&gt;$A$15)),
        IF(Import.TipoArredondamento&lt;&gt;"TransfereGOV",
              ROUND(OFFSET($P197,0,AS$13),15-13*ORÇAMENTO!$AF$7)/$H197*OFFSET(ORÇAMENTO!$X$15,ROW(AS197)-ROW(AS$15),0),
              ROUND(ROUND(OFFSET($P197,0,AS$13),15-13*ORÇAMENTO!$AF$7)*OFFSET(ORÇAMENTO!$W$15,ROW(AS197)-ROW(AS$15),0),15-13*ORÇAMENTO!$AF$11)),
         0)</f>
        <v>0</v>
      </c>
      <c r="AT197" s="453">
        <f ca="1">IF(AND($D197="Serviço",AT$12&lt;&gt;0,$H197&gt;0,OR(AUTOEVENTO&lt;&gt;"manual",$M197&lt;&gt;$A$15)),
        IF(Import.TipoArredondamento&lt;&gt;"TransfereGOV",
              ROUND(OFFSET($P197,0,AT$13),15-13*ORÇAMENTO!$AF$7)/$H197*OFFSET(ORÇAMENTO!$X$15,ROW(AT197)-ROW(AT$15),0),
              ROUND(ROUND(OFFSET($P197,0,AT$13),15-13*ORÇAMENTO!$AF$7)*OFFSET(ORÇAMENTO!$W$15,ROW(AT197)-ROW(AT$15),0),15-13*ORÇAMENTO!$AF$11)),
         0)</f>
        <v>0</v>
      </c>
      <c r="AU197" s="453">
        <f ca="1">IF(AND($D197="Serviço",AU$12&lt;&gt;0,$H197&gt;0,OR(AUTOEVENTO&lt;&gt;"manual",$M197&lt;&gt;$A$15)),
        IF(Import.TipoArredondamento&lt;&gt;"TransfereGOV",
              ROUND(OFFSET($P197,0,AU$13),15-13*ORÇAMENTO!$AF$7)/$H197*OFFSET(ORÇAMENTO!$X$15,ROW(AU197)-ROW(AU$15),0),
              ROUND(ROUND(OFFSET($P197,0,AU$13),15-13*ORÇAMENTO!$AF$7)*OFFSET(ORÇAMENTO!$W$15,ROW(AU197)-ROW(AU$15),0),15-13*ORÇAMENTO!$AF$11)),
         0)</f>
        <v>0</v>
      </c>
      <c r="AV197" s="453">
        <f ca="1">IF(AND($D197="Serviço",AV$12&lt;&gt;0,$H197&gt;0,OR(AUTOEVENTO&lt;&gt;"manual",$M197&lt;&gt;$A$15)),
        IF(Import.TipoArredondamento&lt;&gt;"TransfereGOV",
              ROUND(OFFSET($P197,0,AV$13),15-13*ORÇAMENTO!$AF$7)/$H197*OFFSET(ORÇAMENTO!$X$15,ROW(AV197)-ROW(AV$15),0),
              ROUND(ROUND(OFFSET($P197,0,AV$13),15-13*ORÇAMENTO!$AF$7)*OFFSET(ORÇAMENTO!$W$15,ROW(AV197)-ROW(AV$15),0),15-13*ORÇAMENTO!$AF$11)),
         0)</f>
        <v>0</v>
      </c>
      <c r="AW197" s="453">
        <f ca="1">IF(AND($D197="Serviço",AW$12&lt;&gt;0,$H197&gt;0,OR(AUTOEVENTO&lt;&gt;"manual",$M197&lt;&gt;$A$15)),
        IF(Import.TipoArredondamento&lt;&gt;"TransfereGOV",
              ROUND(OFFSET($P197,0,AW$13),15-13*ORÇAMENTO!$AF$7)/$H197*OFFSET(ORÇAMENTO!$X$15,ROW(AW197)-ROW(AW$15),0),
              ROUND(ROUND(OFFSET($P197,0,AW$13),15-13*ORÇAMENTO!$AF$7)*OFFSET(ORÇAMENTO!$W$15,ROW(AW197)-ROW(AW$15),0),15-13*ORÇAMENTO!$AF$11)),
         0)</f>
        <v>0</v>
      </c>
      <c r="AX197" s="453">
        <f ca="1">IF(AND($D197="Serviço",AX$12&lt;&gt;0,$H197&gt;0,OR(AUTOEVENTO&lt;&gt;"manual",$M197&lt;&gt;$A$15)),
        IF(Import.TipoArredondamento&lt;&gt;"TransfereGOV",
              ROUND(OFFSET($P197,0,AX$13),15-13*ORÇAMENTO!$AF$7)/$H197*OFFSET(ORÇAMENTO!$X$15,ROW(AX197)-ROW(AX$15),0),
              ROUND(ROUND(OFFSET($P197,0,AX$13),15-13*ORÇAMENTO!$AF$7)*OFFSET(ORÇAMENTO!$W$15,ROW(AX197)-ROW(AX$15),0),15-13*ORÇAMENTO!$AF$11)),
         0)</f>
        <v>0</v>
      </c>
      <c r="AY197" s="453">
        <f ca="1">IF(AND($D197="Serviço",AY$12&lt;&gt;0,$H197&gt;0,OR(AUTOEVENTO&lt;&gt;"manual",$M197&lt;&gt;$A$15)),
        IF(Import.TipoArredondamento&lt;&gt;"TransfereGOV",
              ROUND(OFFSET($P197,0,AY$13),15-13*ORÇAMENTO!$AF$7)/$H197*OFFSET(ORÇAMENTO!$X$15,ROW(AY197)-ROW(AY$15),0),
              ROUND(ROUND(OFFSET($P197,0,AY$13),15-13*ORÇAMENTO!$AF$7)*OFFSET(ORÇAMENTO!$W$15,ROW(AY197)-ROW(AY$15),0),15-13*ORÇAMENTO!$AF$11)),
         0)</f>
        <v>0</v>
      </c>
      <c r="AZ197" s="453">
        <f ca="1">IF(AND($D197="Serviço",AZ$12&lt;&gt;0,$H197&gt;0,OR(AUTOEVENTO&lt;&gt;"manual",$M197&lt;&gt;$A$15)),
        IF(Import.TipoArredondamento&lt;&gt;"TransfereGOV",
              ROUND(OFFSET($P197,0,AZ$13),15-13*ORÇAMENTO!$AF$7)/$H197*OFFSET(ORÇAMENTO!$X$15,ROW(AZ197)-ROW(AZ$15),0),
              ROUND(ROUND(OFFSET($P197,0,AZ$13),15-13*ORÇAMENTO!$AF$7)*OFFSET(ORÇAMENTO!$W$15,ROW(AZ197)-ROW(AZ$15),0),15-13*ORÇAMENTO!$AF$11)),
         0)</f>
        <v>0</v>
      </c>
      <c r="BA197" s="453">
        <f ca="1">IF(AND($D197="Serviço",BA$12&lt;&gt;0,$H197&gt;0,OR(AUTOEVENTO&lt;&gt;"manual",$M197&lt;&gt;$A$15)),
        IF(Import.TipoArredondamento&lt;&gt;"TransfereGOV",
              ROUND(OFFSET($P197,0,BA$13),15-13*ORÇAMENTO!$AF$7)/$H197*OFFSET(ORÇAMENTO!$X$15,ROW(BA197)-ROW(BA$15),0),
              ROUND(ROUND(OFFSET($P197,0,BA$13),15-13*ORÇAMENTO!$AF$7)*OFFSET(ORÇAMENTO!$W$15,ROW(BA197)-ROW(BA$15),0),15-13*ORÇAMENTO!$AF$11)),
         0)</f>
        <v>0</v>
      </c>
      <c r="BC197" s="171">
        <f ca="1">IF(OR($D197&lt;&gt;"Serviço",AND(AUTOEVENTO="Manual",$M197=$A$15)),0,
         IF(OFFSET(CRONOPLE!$F$15,$M197-$A$15,BC$13)=0,10^12,OFFSET(CRONOPLE!$F$15,$M197-$A$15,BC$13)))</f>
        <v>1</v>
      </c>
      <c r="BD197" s="171">
        <f ca="1">IF(OR($D197&lt;&gt;"Serviço",AND(AUTOEVENTO="Manual",$M197=$A$15)),0,
         IF(OFFSET(CRONOPLE!$F$15,$M197-$A$15,BD$13)=0,10^12,OFFSET(CRONOPLE!$F$15,$M197-$A$15,BD$13)))</f>
        <v>2</v>
      </c>
      <c r="BE197" s="171">
        <f ca="1">IF(OR($D197&lt;&gt;"Serviço",AND(AUTOEVENTO="Manual",$M197=$A$15)),0,
         IF(OFFSET(CRONOPLE!$F$15,$M197-$A$15,BE$13)=0,10^12,OFFSET(CRONOPLE!$F$15,$M197-$A$15,BE$13)))</f>
        <v>3</v>
      </c>
      <c r="BF197" s="171">
        <f ca="1">IF(OR($D197&lt;&gt;"Serviço",AND(AUTOEVENTO="Manual",$M197=$A$15)),0,
         IF(OFFSET(CRONOPLE!$F$15,$M197-$A$15,BF$13)=0,10^12,OFFSET(CRONOPLE!$F$15,$M197-$A$15,BF$13)))</f>
        <v>4</v>
      </c>
      <c r="BG197" s="171">
        <f ca="1">IF(OR($D197&lt;&gt;"Serviço",AND(AUTOEVENTO="Manual",$M197=$A$15)),0,
         IF(OFFSET(CRONOPLE!$F$15,$M197-$A$15,BG$13)=0,10^12,OFFSET(CRONOPLE!$F$15,$M197-$A$15,BG$13)))</f>
        <v>5</v>
      </c>
      <c r="BH197" s="171">
        <f ca="1">IF(OR($D197&lt;&gt;"Serviço",AND(AUTOEVENTO="Manual",$M197=$A$15)),0,
         IF(OFFSET(CRONOPLE!$F$15,$M197-$A$15,BH$13)=0,10^12,OFFSET(CRONOPLE!$F$15,$M197-$A$15,BH$13)))</f>
        <v>6</v>
      </c>
      <c r="BI197" s="171">
        <f ca="1">IF(OR($D197&lt;&gt;"Serviço",AND(AUTOEVENTO="Manual",$M197=$A$15)),0,
         IF(OFFSET(CRONOPLE!$F$15,$M197-$A$15,BI$13)=0,10^12,OFFSET(CRONOPLE!$F$15,$M197-$A$15,BI$13)))</f>
        <v>7</v>
      </c>
      <c r="BJ197" s="171">
        <f ca="1">IF(OR($D197&lt;&gt;"Serviço",AND(AUTOEVENTO="Manual",$M197=$A$15)),0,
         IF(OFFSET(CRONOPLE!$F$15,$M197-$A$15,BJ$13)=0,10^12,OFFSET(CRONOPLE!$F$15,$M197-$A$15,BJ$13)))</f>
        <v>8</v>
      </c>
      <c r="BK197" s="171">
        <f ca="1">IF(OR($D197&lt;&gt;"Serviço",AND(AUTOEVENTO="Manual",$M197=$A$15)),0,
         IF(OFFSET(CRONOPLE!$F$15,$M197-$A$15,BK$13)=0,10^12,OFFSET(CRONOPLE!$F$15,$M197-$A$15,BK$13)))</f>
        <v>9</v>
      </c>
      <c r="BL197" s="171">
        <f ca="1">IF(OR($D197&lt;&gt;"Serviço",AND(AUTOEVENTO="Manual",$M197=$A$15)),0,
         IF(OFFSET(CRONOPLE!$F$15,$M197-$A$15,BL$13)=0,10^12,OFFSET(CRONOPLE!$F$15,$M197-$A$15,BL$13)))</f>
        <v>10</v>
      </c>
      <c r="BM197" s="171">
        <f ca="1">IF(OR($D197&lt;&gt;"Serviço",AND(AUTOEVENTO="Manual",$M197=$A$15)),0,
         IF(OFFSET(CRONOPLE!$F$15,$M197-$A$15,BM$13)=0,10^12,OFFSET(CRONOPLE!$F$15,$M197-$A$15,BM$13)))</f>
        <v>1000000000000</v>
      </c>
      <c r="BN197" s="171">
        <f ca="1">IF(OR($D197&lt;&gt;"Serviço",AND(AUTOEVENTO="Manual",$M197=$A$15)),0,
         IF(OFFSET(CRONOPLE!$F$15,$M197-$A$15,BN$13)=0,10^12,OFFSET(CRONOPLE!$F$15,$M197-$A$15,BN$13)))</f>
        <v>1000000000000</v>
      </c>
      <c r="BO197" s="171">
        <f ca="1">IF(OR($D197&lt;&gt;"Serviço",AND(AUTOEVENTO="Manual",$M197=$A$15)),0,
         IF(OFFSET(CRONOPLE!$F$15,$M197-$A$15,BO$13)=0,10^12,OFFSET(CRONOPLE!$F$15,$M197-$A$15,BO$13)))</f>
        <v>1000000000000</v>
      </c>
      <c r="BP197" s="171">
        <f ca="1">IF(OR($D197&lt;&gt;"Serviço",AND(AUTOEVENTO="Manual",$M197=$A$15)),0,
         IF(OFFSET(CRONOPLE!$F$15,$M197-$A$15,BP$13)=0,10^12,OFFSET(CRONOPLE!$F$15,$M197-$A$15,BP$13)))</f>
        <v>1000000000000</v>
      </c>
      <c r="BQ197" s="171">
        <f ca="1">IF(OR($D197&lt;&gt;"Serviço",AND(AUTOEVENTO="Manual",$M197=$A$15)),0,
         IF(OFFSET(CRONOPLE!$F$15,$M197-$A$15,BQ$13)=0,10^12,OFFSET(CRONOPLE!$F$15,$M197-$A$15,BQ$13)))</f>
        <v>1000000000000</v>
      </c>
      <c r="BR197" s="171">
        <f ca="1">IF(OR($D197&lt;&gt;"Serviço",AND(AUTOEVENTO="Manual",$M197=$A$15)),0,
         IF(OFFSET(CRONOPLE!$F$15,$M197-$A$15,BR$13)=0,10^12,OFFSET(CRONOPLE!$F$15,$M197-$A$15,BR$13)))</f>
        <v>1000000000000</v>
      </c>
      <c r="BS197" s="171">
        <f ca="1">IF(OR($D197&lt;&gt;"Serviço",AND(AUTOEVENTO="Manual",$M197=$A$15)),0,
         IF(OFFSET(CRONOPLE!$F$15,$M197-$A$15,BS$13)=0,10^12,OFFSET(CRONOPLE!$F$15,$M197-$A$15,BS$13)))</f>
        <v>1000000000000</v>
      </c>
      <c r="BT197" s="171">
        <f ca="1">IF(OR($D197&lt;&gt;"Serviço",AND(AUTOEVENTO="Manual",$M197=$A$15)),0,
         IF(OFFSET(CRONOPLE!$F$15,$M197-$A$15,BT$13)=0,10^12,OFFSET(CRONOPLE!$F$15,$M197-$A$15,BT$13)))</f>
        <v>1000000000000</v>
      </c>
      <c r="BV197" s="172">
        <f ca="1">IF(OR($D197&lt;&gt;"Serviço",AND(AUTOEVENTO="Manual",$M197=$A$15),$M197&gt;(ROW(PLE.lastrow)-ROW(PLE.firstrow))),0,
           IF(OFFSET(PLE!$G$15,$M197-$A$15,BV$13)="",10^12,OFFSET(PLE!$G$15,$M197-$A$15,BV$13)))</f>
        <v>1000000000000</v>
      </c>
      <c r="BW197" s="172">
        <f ca="1">IF(OR($D197&lt;&gt;"Serviço",AND(AUTOEVENTO="Manual",$M197=$A$15),$M197&gt;(ROW(PLE.lastrow)-ROW(PLE.firstrow))),0,
           IF(OFFSET(PLE!$G$15,$M197-$A$15,BW$13)="",10^12,OFFSET(PLE!$G$15,$M197-$A$15,BW$13)))</f>
        <v>1000000000000</v>
      </c>
      <c r="BX197" s="172">
        <f ca="1">IF(OR($D197&lt;&gt;"Serviço",AND(AUTOEVENTO="Manual",$M197=$A$15),$M197&gt;(ROW(PLE.lastrow)-ROW(PLE.firstrow))),0,
           IF(OFFSET(PLE!$G$15,$M197-$A$15,BX$13)="",10^12,OFFSET(PLE!$G$15,$M197-$A$15,BX$13)))</f>
        <v>1000000000000</v>
      </c>
      <c r="BY197" s="172">
        <f ca="1">IF(OR($D197&lt;&gt;"Serviço",AND(AUTOEVENTO="Manual",$M197=$A$15),$M197&gt;(ROW(PLE.lastrow)-ROW(PLE.firstrow))),0,
           IF(OFFSET(PLE!$G$15,$M197-$A$15,BY$13)="",10^12,OFFSET(PLE!$G$15,$M197-$A$15,BY$13)))</f>
        <v>1000000000000</v>
      </c>
      <c r="BZ197" s="172">
        <f ca="1">IF(OR($D197&lt;&gt;"Serviço",AND(AUTOEVENTO="Manual",$M197=$A$15),$M197&gt;(ROW(PLE.lastrow)-ROW(PLE.firstrow))),0,
           IF(OFFSET(PLE!$G$15,$M197-$A$15,BZ$13)="",10^12,OFFSET(PLE!$G$15,$M197-$A$15,BZ$13)))</f>
        <v>1000000000000</v>
      </c>
      <c r="CA197" s="172">
        <f ca="1">IF(OR($D197&lt;&gt;"Serviço",AND(AUTOEVENTO="Manual",$M197=$A$15),$M197&gt;(ROW(PLE.lastrow)-ROW(PLE.firstrow))),0,
           IF(OFFSET(PLE!$G$15,$M197-$A$15,CA$13)="",10^12,OFFSET(PLE!$G$15,$M197-$A$15,CA$13)))</f>
        <v>1000000000000</v>
      </c>
      <c r="CB197" s="172">
        <f ca="1">IF(OR($D197&lt;&gt;"Serviço",AND(AUTOEVENTO="Manual",$M197=$A$15),$M197&gt;(ROW(PLE.lastrow)-ROW(PLE.firstrow))),0,
           IF(OFFSET(PLE!$G$15,$M197-$A$15,CB$13)="",10^12,OFFSET(PLE!$G$15,$M197-$A$15,CB$13)))</f>
        <v>1000000000000</v>
      </c>
      <c r="CC197" s="172">
        <f ca="1">IF(OR($D197&lt;&gt;"Serviço",AND(AUTOEVENTO="Manual",$M197=$A$15),$M197&gt;(ROW(PLE.lastrow)-ROW(PLE.firstrow))),0,
           IF(OFFSET(PLE!$G$15,$M197-$A$15,CC$13)="",10^12,OFFSET(PLE!$G$15,$M197-$A$15,CC$13)))</f>
        <v>1000000000000</v>
      </c>
      <c r="CD197" s="172">
        <f ca="1">IF(OR($D197&lt;&gt;"Serviço",AND(AUTOEVENTO="Manual",$M197=$A$15),$M197&gt;(ROW(PLE.lastrow)-ROW(PLE.firstrow))),0,
           IF(OFFSET(PLE!$G$15,$M197-$A$15,CD$13)="",10^12,OFFSET(PLE!$G$15,$M197-$A$15,CD$13)))</f>
        <v>1000000000000</v>
      </c>
      <c r="CE197" s="172">
        <f ca="1">IF(OR($D197&lt;&gt;"Serviço",AND(AUTOEVENTO="Manual",$M197=$A$15),$M197&gt;(ROW(PLE.lastrow)-ROW(PLE.firstrow))),0,
           IF(OFFSET(PLE!$G$15,$M197-$A$15,CE$13)="",10^12,OFFSET(PLE!$G$15,$M197-$A$15,CE$13)))</f>
        <v>1000000000000</v>
      </c>
      <c r="CF197" s="172">
        <f ca="1">IF(OR($D197&lt;&gt;"Serviço",AND(AUTOEVENTO="Manual",$M197=$A$15),$M197&gt;(ROW(PLE.lastrow)-ROW(PLE.firstrow))),0,
           IF(OFFSET(PLE!$G$15,$M197-$A$15,CF$13)="",10^12,OFFSET(PLE!$G$15,$M197-$A$15,CF$13)))</f>
        <v>1000000000000</v>
      </c>
      <c r="CG197" s="172">
        <f ca="1">IF(OR($D197&lt;&gt;"Serviço",AND(AUTOEVENTO="Manual",$M197=$A$15),$M197&gt;(ROW(PLE.lastrow)-ROW(PLE.firstrow))),0,
           IF(OFFSET(PLE!$G$15,$M197-$A$15,CG$13)="",10^12,OFFSET(PLE!$G$15,$M197-$A$15,CG$13)))</f>
        <v>1000000000000</v>
      </c>
      <c r="CH197" s="172">
        <f ca="1">IF(OR($D197&lt;&gt;"Serviço",AND(AUTOEVENTO="Manual",$M197=$A$15),$M197&gt;(ROW(PLE.lastrow)-ROW(PLE.firstrow))),0,
           IF(OFFSET(PLE!$G$15,$M197-$A$15,CH$13)="",10^12,OFFSET(PLE!$G$15,$M197-$A$15,CH$13)))</f>
        <v>1000000000000</v>
      </c>
      <c r="CI197" s="172">
        <f ca="1">IF(OR($D197&lt;&gt;"Serviço",AND(AUTOEVENTO="Manual",$M197=$A$15),$M197&gt;(ROW(PLE.lastrow)-ROW(PLE.firstrow))),0,
           IF(OFFSET(PLE!$G$15,$M197-$A$15,CI$13)="",10^12,OFFSET(PLE!$G$15,$M197-$A$15,CI$13)))</f>
        <v>1000000000000</v>
      </c>
      <c r="CJ197" s="172">
        <f ca="1">IF(OR($D197&lt;&gt;"Serviço",AND(AUTOEVENTO="Manual",$M197=$A$15),$M197&gt;(ROW(PLE.lastrow)-ROW(PLE.firstrow))),0,
           IF(OFFSET(PLE!$G$15,$M197-$A$15,CJ$13)="",10^12,OFFSET(PLE!$G$15,$M197-$A$15,CJ$13)))</f>
        <v>1000000000000</v>
      </c>
      <c r="CK197" s="172">
        <f ca="1">IF(OR($D197&lt;&gt;"Serviço",AND(AUTOEVENTO="Manual",$M197=$A$15),$M197&gt;(ROW(PLE.lastrow)-ROW(PLE.firstrow))),0,
           IF(OFFSET(PLE!$G$15,$M197-$A$15,CK$13)="",10^12,OFFSET(PLE!$G$15,$M197-$A$15,CK$13)))</f>
        <v>1000000000000</v>
      </c>
      <c r="CL197" s="172">
        <f ca="1">IF(OR($D197&lt;&gt;"Serviço",AND(AUTOEVENTO="Manual",$M197=$A$15),$M197&gt;(ROW(PLE.lastrow)-ROW(PLE.firstrow))),0,
           IF(OFFSET(PLE!$G$15,$M197-$A$15,CL$13)="",10^12,OFFSET(PLE!$G$15,$M197-$A$15,CL$13)))</f>
        <v>1000000000000</v>
      </c>
      <c r="CM197" s="172">
        <f ca="1">IF(OR($D197&lt;&gt;"Serviço",AND(AUTOEVENTO="Manual",$M197=$A$15),$M197&gt;(ROW(PLE.lastrow)-ROW(PLE.firstrow))),0,
           IF(OFFSET(PLE!$G$15,$M197-$A$15,CM$13)="",10^12,OFFSET(PLE!$G$15,$M197-$A$15,CM$13)))</f>
        <v>1000000000000</v>
      </c>
    </row>
    <row r="198" spans="1:91" ht="51" x14ac:dyDescent="0.2">
      <c r="A198" s="7">
        <f t="shared" ca="1" si="12"/>
        <v>4</v>
      </c>
      <c r="B198" s="7" t="str">
        <f ca="1">OFFSET(ORÇAMENTO!C$15,ROW(B198)-ROW(B$15),0)</f>
        <v>S</v>
      </c>
      <c r="C198" s="7" t="str">
        <f ca="1">OFFSET(ORÇAMENTO!L$15,ROW(C198)-ROW(C$15),0)</f>
        <v>F</v>
      </c>
      <c r="D198" s="116" t="str">
        <f ca="1">OFFSET(ORÇAMENTO!N$15,ROW(D198)-ROW(D$15),0)</f>
        <v>Serviço</v>
      </c>
      <c r="E198" s="117" t="str">
        <f ca="1">OFFSET(ORÇAMENTO!O$15,ROW(E198)-ROW(E$15),0)</f>
        <v>1.5.5.5.4.</v>
      </c>
      <c r="F198" s="163" t="str">
        <f ca="1">OFFSET(ORÇAMENTO!R$15,ROW(F198)-ROW(F$15),0)</f>
        <v>FÔRMAS DE COMPENSADO RESINADO 10 MM - USO GERAL - UTILIZAÇÃO DE 3 VEZES - CONFECÇÃO, INSTALAÇÃO E RETIRADA</v>
      </c>
      <c r="G198" s="164" t="str">
        <f ca="1">IF($D198&lt;&gt;"Serviço","",OFFSET(ORÇAMENTO!S$15,ROW(G198)-ROW(G$15),0))</f>
        <v>M2</v>
      </c>
      <c r="H198" s="122" cm="1">
        <f t="array" aca="1" ref="H198" ca="1">IF($D198&lt;&gt;"Serviço",0,IF(ACOMPANHAMENTO="BM",ROUND(OFFSET(ORÇAMENTO!AJ$15,ROW(H198)-ROW(H$15),0),15-13*ORÇAMENTO!$AF$7),SUMPRODUCT(($Q$1:$AI$1=1)*ROUND($Q198:$AI198,15-13*ORÇAMENTO!$AF$7))))</f>
        <v>2.61</v>
      </c>
      <c r="I198" s="468" t="s">
        <v>1439</v>
      </c>
      <c r="J198" s="640" t="str" cm="1">
        <f t="array" aca="1" ref="J198" ca="1">IF(OR(B198&lt;&gt;"S",CÁLCULO.FrentesPreenchidas=0),"",IF(AND(ACOMPANHAMENTO="PLE",AUTOEVENTO="Manual",OR(H198&gt;0,ORÇAMENTO!AC198="QUANT."),OR(K198="",M198=0,N198="")),"►E",IF(AND(ACOMPANHAMENTO="PLE",ORÇAMENTO!AC198="QUANT."),"►Q",IF(AND(ACOMPANHAMENTO="PLE",H198&lt;&gt;SUMPRODUCT(($Q$1:$AI$1=1)*ROUND(Q198:AI198,15))),"►S",IF(AND(COUNTIF($P$11:$AI$11,"▼")=0,H198&gt;0,I198=""),"◄M","")))))</f>
        <v/>
      </c>
      <c r="K198" s="641" t="s">
        <v>1389</v>
      </c>
      <c r="L198" s="165" t="s">
        <v>764</v>
      </c>
      <c r="M198" s="166">
        <f ca="1">IF($D198&lt;&gt;"Serviço","",
          IF(AUTOEVENTO="manual",$A198,
                IF(ISERROR(MATCH($A198,$A$15:OFFSET($A198,-1,0),0)),MAX($M$15:OFFSET(M198,-1,0))+1,
                      INDEX($M$15:OFFSET(M198,-1,0),MATCH($A198,$A$15:OFFSET($A198,-1,0),0)))))</f>
        <v>4</v>
      </c>
      <c r="N198" s="167" t="str">
        <f ca="1">IF($D198&lt;&gt;"Serviço","",
         IF(AUTOEVENTO="Manual",
                IF($A198=0,"&lt;-- defina o número do agrupador",
                       OFFSET(EVENTOS!$D$15,$A198-$A$15,0)),
                OFFSET($F$15,$A198,0)))</f>
        <v>Estruturas de Concreto</v>
      </c>
      <c r="O198" s="168"/>
      <c r="Q198" s="168"/>
      <c r="R198" s="169"/>
      <c r="S198" s="169"/>
      <c r="T198" s="169"/>
      <c r="U198" s="169"/>
      <c r="V198" s="169">
        <v>2.61</v>
      </c>
      <c r="W198" s="169"/>
      <c r="X198" s="169"/>
      <c r="Y198" s="169"/>
      <c r="Z198" s="170"/>
      <c r="AA198" s="169"/>
      <c r="AB198" s="169"/>
      <c r="AC198" s="169"/>
      <c r="AD198" s="169"/>
      <c r="AE198" s="169"/>
      <c r="AF198" s="169"/>
      <c r="AG198" s="169"/>
      <c r="AH198" s="170"/>
      <c r="AJ198" s="453">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0</v>
      </c>
      <c r="AK198" s="453">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0</v>
      </c>
      <c r="AL198" s="453">
        <f ca="1">IF(AND($D198="Serviço",AL$12&lt;&gt;0,$H198&gt;0,OR(AUTOEVENTO&lt;&gt;"manual",$M198&lt;&gt;$A$15)),
        IF(Import.TipoArredondamento&lt;&gt;"TransfereGOV",
              ROUND(OFFSET($P198,0,AL$13),15-13*ORÇAMENTO!$AF$7)/$H198*OFFSET(ORÇAMENTO!$X$15,ROW(AL198)-ROW(AL$15),0),
              ROUND(ROUND(OFFSET($P198,0,AL$13),15-13*ORÇAMENTO!$AF$7)*OFFSET(ORÇAMENTO!$W$15,ROW(AL198)-ROW(AL$15),0),15-13*ORÇAMENTO!$AF$11)),
         0)</f>
        <v>0</v>
      </c>
      <c r="AM198" s="453">
        <f ca="1">IF(AND($D198="Serviço",AM$12&lt;&gt;0,$H198&gt;0,OR(AUTOEVENTO&lt;&gt;"manual",$M198&lt;&gt;$A$15)),
        IF(Import.TipoArredondamento&lt;&gt;"TransfereGOV",
              ROUND(OFFSET($P198,0,AM$13),15-13*ORÇAMENTO!$AF$7)/$H198*OFFSET(ORÇAMENTO!$X$15,ROW(AM198)-ROW(AM$15),0),
              ROUND(ROUND(OFFSET($P198,0,AM$13),15-13*ORÇAMENTO!$AF$7)*OFFSET(ORÇAMENTO!$W$15,ROW(AM198)-ROW(AM$15),0),15-13*ORÇAMENTO!$AF$11)),
         0)</f>
        <v>0</v>
      </c>
      <c r="AN198" s="453">
        <f ca="1">IF(AND($D198="Serviço",AN$12&lt;&gt;0,$H198&gt;0,OR(AUTOEVENTO&lt;&gt;"manual",$M198&lt;&gt;$A$15)),
        IF(Import.TipoArredondamento&lt;&gt;"TransfereGOV",
              ROUND(OFFSET($P198,0,AN$13),15-13*ORÇAMENTO!$AF$7)/$H198*OFFSET(ORÇAMENTO!$X$15,ROW(AN198)-ROW(AN$15),0),
              ROUND(ROUND(OFFSET($P198,0,AN$13),15-13*ORÇAMENTO!$AF$7)*OFFSET(ORÇAMENTO!$W$15,ROW(AN198)-ROW(AN$15),0),15-13*ORÇAMENTO!$AF$11)),
         0)</f>
        <v>0</v>
      </c>
      <c r="AO198" s="453">
        <f ca="1">IF(AND($D198="Serviço",AO$12&lt;&gt;0,$H198&gt;0,OR(AUTOEVENTO&lt;&gt;"manual",$M198&lt;&gt;$A$15)),
        IF(Import.TipoArredondamento&lt;&gt;"TransfereGOV",
              ROUND(OFFSET($P198,0,AO$13),15-13*ORÇAMENTO!$AF$7)/$H198*OFFSET(ORÇAMENTO!$X$15,ROW(AO198)-ROW(AO$15),0),
              ROUND(ROUND(OFFSET($P198,0,AO$13),15-13*ORÇAMENTO!$AF$7)*OFFSET(ORÇAMENTO!$W$15,ROW(AO198)-ROW(AO$15),0),15-13*ORÇAMENTO!$AF$11)),
         0)</f>
        <v>0</v>
      </c>
      <c r="AP198" s="453">
        <f ca="1">IF(AND($D198="Serviço",AP$12&lt;&gt;0,$H198&gt;0,OR(AUTOEVENTO&lt;&gt;"manual",$M198&lt;&gt;$A$15)),
        IF(Import.TipoArredondamento&lt;&gt;"TransfereGOV",
              ROUND(OFFSET($P198,0,AP$13),15-13*ORÇAMENTO!$AF$7)/$H198*OFFSET(ORÇAMENTO!$X$15,ROW(AP198)-ROW(AP$15),0),
              ROUND(ROUND(OFFSET($P198,0,AP$13),15-13*ORÇAMENTO!$AF$7)*OFFSET(ORÇAMENTO!$W$15,ROW(AP198)-ROW(AP$15),0),15-13*ORÇAMENTO!$AF$11)),
         0)</f>
        <v>0</v>
      </c>
      <c r="AQ198" s="453">
        <f ca="1">IF(AND($D198="Serviço",AQ$12&lt;&gt;0,$H198&gt;0,OR(AUTOEVENTO&lt;&gt;"manual",$M198&lt;&gt;$A$15)),
        IF(Import.TipoArredondamento&lt;&gt;"TransfereGOV",
              ROUND(OFFSET($P198,0,AQ$13),15-13*ORÇAMENTO!$AF$7)/$H198*OFFSET(ORÇAMENTO!$X$15,ROW(AQ198)-ROW(AQ$15),0),
              ROUND(ROUND(OFFSET($P198,0,AQ$13),15-13*ORÇAMENTO!$AF$7)*OFFSET(ORÇAMENTO!$W$15,ROW(AQ198)-ROW(AQ$15),0),15-13*ORÇAMENTO!$AF$11)),
         0)</f>
        <v>0</v>
      </c>
      <c r="AR198" s="453">
        <f ca="1">IF(AND($D198="Serviço",AR$12&lt;&gt;0,$H198&gt;0,OR(AUTOEVENTO&lt;&gt;"manual",$M198&lt;&gt;$A$15)),
        IF(Import.TipoArredondamento&lt;&gt;"TransfereGOV",
              ROUND(OFFSET($P198,0,AR$13),15-13*ORÇAMENTO!$AF$7)/$H198*OFFSET(ORÇAMENTO!$X$15,ROW(AR198)-ROW(AR$15),0),
              ROUND(ROUND(OFFSET($P198,0,AR$13),15-13*ORÇAMENTO!$AF$7)*OFFSET(ORÇAMENTO!$W$15,ROW(AR198)-ROW(AR$15),0),15-13*ORÇAMENTO!$AF$11)),
         0)</f>
        <v>0</v>
      </c>
      <c r="AS198" s="453">
        <f ca="1">IF(AND($D198="Serviço",AS$12&lt;&gt;0,$H198&gt;0,OR(AUTOEVENTO&lt;&gt;"manual",$M198&lt;&gt;$A$15)),
        IF(Import.TipoArredondamento&lt;&gt;"TransfereGOV",
              ROUND(OFFSET($P198,0,AS$13),15-13*ORÇAMENTO!$AF$7)/$H198*OFFSET(ORÇAMENTO!$X$15,ROW(AS198)-ROW(AS$15),0),
              ROUND(ROUND(OFFSET($P198,0,AS$13),15-13*ORÇAMENTO!$AF$7)*OFFSET(ORÇAMENTO!$W$15,ROW(AS198)-ROW(AS$15),0),15-13*ORÇAMENTO!$AF$11)),
         0)</f>
        <v>0</v>
      </c>
      <c r="AT198" s="453">
        <f ca="1">IF(AND($D198="Serviço",AT$12&lt;&gt;0,$H198&gt;0,OR(AUTOEVENTO&lt;&gt;"manual",$M198&lt;&gt;$A$15)),
        IF(Import.TipoArredondamento&lt;&gt;"TransfereGOV",
              ROUND(OFFSET($P198,0,AT$13),15-13*ORÇAMENTO!$AF$7)/$H198*OFFSET(ORÇAMENTO!$X$15,ROW(AT198)-ROW(AT$15),0),
              ROUND(ROUND(OFFSET($P198,0,AT$13),15-13*ORÇAMENTO!$AF$7)*OFFSET(ORÇAMENTO!$W$15,ROW(AT198)-ROW(AT$15),0),15-13*ORÇAMENTO!$AF$11)),
         0)</f>
        <v>0</v>
      </c>
      <c r="AU198" s="453">
        <f ca="1">IF(AND($D198="Serviço",AU$12&lt;&gt;0,$H198&gt;0,OR(AUTOEVENTO&lt;&gt;"manual",$M198&lt;&gt;$A$15)),
        IF(Import.TipoArredondamento&lt;&gt;"TransfereGOV",
              ROUND(OFFSET($P198,0,AU$13),15-13*ORÇAMENTO!$AF$7)/$H198*OFFSET(ORÇAMENTO!$X$15,ROW(AU198)-ROW(AU$15),0),
              ROUND(ROUND(OFFSET($P198,0,AU$13),15-13*ORÇAMENTO!$AF$7)*OFFSET(ORÇAMENTO!$W$15,ROW(AU198)-ROW(AU$15),0),15-13*ORÇAMENTO!$AF$11)),
         0)</f>
        <v>0</v>
      </c>
      <c r="AV198" s="453">
        <f ca="1">IF(AND($D198="Serviço",AV$12&lt;&gt;0,$H198&gt;0,OR(AUTOEVENTO&lt;&gt;"manual",$M198&lt;&gt;$A$15)),
        IF(Import.TipoArredondamento&lt;&gt;"TransfereGOV",
              ROUND(OFFSET($P198,0,AV$13),15-13*ORÇAMENTO!$AF$7)/$H198*OFFSET(ORÇAMENTO!$X$15,ROW(AV198)-ROW(AV$15),0),
              ROUND(ROUND(OFFSET($P198,0,AV$13),15-13*ORÇAMENTO!$AF$7)*OFFSET(ORÇAMENTO!$W$15,ROW(AV198)-ROW(AV$15),0),15-13*ORÇAMENTO!$AF$11)),
         0)</f>
        <v>0</v>
      </c>
      <c r="AW198" s="453">
        <f ca="1">IF(AND($D198="Serviço",AW$12&lt;&gt;0,$H198&gt;0,OR(AUTOEVENTO&lt;&gt;"manual",$M198&lt;&gt;$A$15)),
        IF(Import.TipoArredondamento&lt;&gt;"TransfereGOV",
              ROUND(OFFSET($P198,0,AW$13),15-13*ORÇAMENTO!$AF$7)/$H198*OFFSET(ORÇAMENTO!$X$15,ROW(AW198)-ROW(AW$15),0),
              ROUND(ROUND(OFFSET($P198,0,AW$13),15-13*ORÇAMENTO!$AF$7)*OFFSET(ORÇAMENTO!$W$15,ROW(AW198)-ROW(AW$15),0),15-13*ORÇAMENTO!$AF$11)),
         0)</f>
        <v>0</v>
      </c>
      <c r="AX198" s="453">
        <f ca="1">IF(AND($D198="Serviço",AX$12&lt;&gt;0,$H198&gt;0,OR(AUTOEVENTO&lt;&gt;"manual",$M198&lt;&gt;$A$15)),
        IF(Import.TipoArredondamento&lt;&gt;"TransfereGOV",
              ROUND(OFFSET($P198,0,AX$13),15-13*ORÇAMENTO!$AF$7)/$H198*OFFSET(ORÇAMENTO!$X$15,ROW(AX198)-ROW(AX$15),0),
              ROUND(ROUND(OFFSET($P198,0,AX$13),15-13*ORÇAMENTO!$AF$7)*OFFSET(ORÇAMENTO!$W$15,ROW(AX198)-ROW(AX$15),0),15-13*ORÇAMENTO!$AF$11)),
         0)</f>
        <v>0</v>
      </c>
      <c r="AY198" s="453">
        <f ca="1">IF(AND($D198="Serviço",AY$12&lt;&gt;0,$H198&gt;0,OR(AUTOEVENTO&lt;&gt;"manual",$M198&lt;&gt;$A$15)),
        IF(Import.TipoArredondamento&lt;&gt;"TransfereGOV",
              ROUND(OFFSET($P198,0,AY$13),15-13*ORÇAMENTO!$AF$7)/$H198*OFFSET(ORÇAMENTO!$X$15,ROW(AY198)-ROW(AY$15),0),
              ROUND(ROUND(OFFSET($P198,0,AY$13),15-13*ORÇAMENTO!$AF$7)*OFFSET(ORÇAMENTO!$W$15,ROW(AY198)-ROW(AY$15),0),15-13*ORÇAMENTO!$AF$11)),
         0)</f>
        <v>0</v>
      </c>
      <c r="AZ198" s="453">
        <f ca="1">IF(AND($D198="Serviço",AZ$12&lt;&gt;0,$H198&gt;0,OR(AUTOEVENTO&lt;&gt;"manual",$M198&lt;&gt;$A$15)),
        IF(Import.TipoArredondamento&lt;&gt;"TransfereGOV",
              ROUND(OFFSET($P198,0,AZ$13),15-13*ORÇAMENTO!$AF$7)/$H198*OFFSET(ORÇAMENTO!$X$15,ROW(AZ198)-ROW(AZ$15),0),
              ROUND(ROUND(OFFSET($P198,0,AZ$13),15-13*ORÇAMENTO!$AF$7)*OFFSET(ORÇAMENTO!$W$15,ROW(AZ198)-ROW(AZ$15),0),15-13*ORÇAMENTO!$AF$11)),
         0)</f>
        <v>0</v>
      </c>
      <c r="BA198" s="453">
        <f ca="1">IF(AND($D198="Serviço",BA$12&lt;&gt;0,$H198&gt;0,OR(AUTOEVENTO&lt;&gt;"manual",$M198&lt;&gt;$A$15)),
        IF(Import.TipoArredondamento&lt;&gt;"TransfereGOV",
              ROUND(OFFSET($P198,0,BA$13),15-13*ORÇAMENTO!$AF$7)/$H198*OFFSET(ORÇAMENTO!$X$15,ROW(BA198)-ROW(BA$15),0),
              ROUND(ROUND(OFFSET($P198,0,BA$13),15-13*ORÇAMENTO!$AF$7)*OFFSET(ORÇAMENTO!$W$15,ROW(BA198)-ROW(BA$15),0),15-13*ORÇAMENTO!$AF$11)),
         0)</f>
        <v>0</v>
      </c>
      <c r="BC198" s="171">
        <f ca="1">IF(OR($D198&lt;&gt;"Serviço",AND(AUTOEVENTO="Manual",$M198=$A$15)),0,
         IF(OFFSET(CRONOPLE!$F$15,$M198-$A$15,BC$13)=0,10^12,OFFSET(CRONOPLE!$F$15,$M198-$A$15,BC$13)))</f>
        <v>1</v>
      </c>
      <c r="BD198" s="171">
        <f ca="1">IF(OR($D198&lt;&gt;"Serviço",AND(AUTOEVENTO="Manual",$M198=$A$15)),0,
         IF(OFFSET(CRONOPLE!$F$15,$M198-$A$15,BD$13)=0,10^12,OFFSET(CRONOPLE!$F$15,$M198-$A$15,BD$13)))</f>
        <v>2</v>
      </c>
      <c r="BE198" s="171">
        <f ca="1">IF(OR($D198&lt;&gt;"Serviço",AND(AUTOEVENTO="Manual",$M198=$A$15)),0,
         IF(OFFSET(CRONOPLE!$F$15,$M198-$A$15,BE$13)=0,10^12,OFFSET(CRONOPLE!$F$15,$M198-$A$15,BE$13)))</f>
        <v>3</v>
      </c>
      <c r="BF198" s="171">
        <f ca="1">IF(OR($D198&lt;&gt;"Serviço",AND(AUTOEVENTO="Manual",$M198=$A$15)),0,
         IF(OFFSET(CRONOPLE!$F$15,$M198-$A$15,BF$13)=0,10^12,OFFSET(CRONOPLE!$F$15,$M198-$A$15,BF$13)))</f>
        <v>4</v>
      </c>
      <c r="BG198" s="171">
        <f ca="1">IF(OR($D198&lt;&gt;"Serviço",AND(AUTOEVENTO="Manual",$M198=$A$15)),0,
         IF(OFFSET(CRONOPLE!$F$15,$M198-$A$15,BG$13)=0,10^12,OFFSET(CRONOPLE!$F$15,$M198-$A$15,BG$13)))</f>
        <v>5</v>
      </c>
      <c r="BH198" s="171">
        <f ca="1">IF(OR($D198&lt;&gt;"Serviço",AND(AUTOEVENTO="Manual",$M198=$A$15)),0,
         IF(OFFSET(CRONOPLE!$F$15,$M198-$A$15,BH$13)=0,10^12,OFFSET(CRONOPLE!$F$15,$M198-$A$15,BH$13)))</f>
        <v>6</v>
      </c>
      <c r="BI198" s="171">
        <f ca="1">IF(OR($D198&lt;&gt;"Serviço",AND(AUTOEVENTO="Manual",$M198=$A$15)),0,
         IF(OFFSET(CRONOPLE!$F$15,$M198-$A$15,BI$13)=0,10^12,OFFSET(CRONOPLE!$F$15,$M198-$A$15,BI$13)))</f>
        <v>7</v>
      </c>
      <c r="BJ198" s="171">
        <f ca="1">IF(OR($D198&lt;&gt;"Serviço",AND(AUTOEVENTO="Manual",$M198=$A$15)),0,
         IF(OFFSET(CRONOPLE!$F$15,$M198-$A$15,BJ$13)=0,10^12,OFFSET(CRONOPLE!$F$15,$M198-$A$15,BJ$13)))</f>
        <v>8</v>
      </c>
      <c r="BK198" s="171">
        <f ca="1">IF(OR($D198&lt;&gt;"Serviço",AND(AUTOEVENTO="Manual",$M198=$A$15)),0,
         IF(OFFSET(CRONOPLE!$F$15,$M198-$A$15,BK$13)=0,10^12,OFFSET(CRONOPLE!$F$15,$M198-$A$15,BK$13)))</f>
        <v>9</v>
      </c>
      <c r="BL198" s="171">
        <f ca="1">IF(OR($D198&lt;&gt;"Serviço",AND(AUTOEVENTO="Manual",$M198=$A$15)),0,
         IF(OFFSET(CRONOPLE!$F$15,$M198-$A$15,BL$13)=0,10^12,OFFSET(CRONOPLE!$F$15,$M198-$A$15,BL$13)))</f>
        <v>10</v>
      </c>
      <c r="BM198" s="171">
        <f ca="1">IF(OR($D198&lt;&gt;"Serviço",AND(AUTOEVENTO="Manual",$M198=$A$15)),0,
         IF(OFFSET(CRONOPLE!$F$15,$M198-$A$15,BM$13)=0,10^12,OFFSET(CRONOPLE!$F$15,$M198-$A$15,BM$13)))</f>
        <v>1000000000000</v>
      </c>
      <c r="BN198" s="171">
        <f ca="1">IF(OR($D198&lt;&gt;"Serviço",AND(AUTOEVENTO="Manual",$M198=$A$15)),0,
         IF(OFFSET(CRONOPLE!$F$15,$M198-$A$15,BN$13)=0,10^12,OFFSET(CRONOPLE!$F$15,$M198-$A$15,BN$13)))</f>
        <v>1000000000000</v>
      </c>
      <c r="BO198" s="171">
        <f ca="1">IF(OR($D198&lt;&gt;"Serviço",AND(AUTOEVENTO="Manual",$M198=$A$15)),0,
         IF(OFFSET(CRONOPLE!$F$15,$M198-$A$15,BO$13)=0,10^12,OFFSET(CRONOPLE!$F$15,$M198-$A$15,BO$13)))</f>
        <v>1000000000000</v>
      </c>
      <c r="BP198" s="171">
        <f ca="1">IF(OR($D198&lt;&gt;"Serviço",AND(AUTOEVENTO="Manual",$M198=$A$15)),0,
         IF(OFFSET(CRONOPLE!$F$15,$M198-$A$15,BP$13)=0,10^12,OFFSET(CRONOPLE!$F$15,$M198-$A$15,BP$13)))</f>
        <v>1000000000000</v>
      </c>
      <c r="BQ198" s="171">
        <f ca="1">IF(OR($D198&lt;&gt;"Serviço",AND(AUTOEVENTO="Manual",$M198=$A$15)),0,
         IF(OFFSET(CRONOPLE!$F$15,$M198-$A$15,BQ$13)=0,10^12,OFFSET(CRONOPLE!$F$15,$M198-$A$15,BQ$13)))</f>
        <v>1000000000000</v>
      </c>
      <c r="BR198" s="171">
        <f ca="1">IF(OR($D198&lt;&gt;"Serviço",AND(AUTOEVENTO="Manual",$M198=$A$15)),0,
         IF(OFFSET(CRONOPLE!$F$15,$M198-$A$15,BR$13)=0,10^12,OFFSET(CRONOPLE!$F$15,$M198-$A$15,BR$13)))</f>
        <v>1000000000000</v>
      </c>
      <c r="BS198" s="171">
        <f ca="1">IF(OR($D198&lt;&gt;"Serviço",AND(AUTOEVENTO="Manual",$M198=$A$15)),0,
         IF(OFFSET(CRONOPLE!$F$15,$M198-$A$15,BS$13)=0,10^12,OFFSET(CRONOPLE!$F$15,$M198-$A$15,BS$13)))</f>
        <v>1000000000000</v>
      </c>
      <c r="BT198" s="171">
        <f ca="1">IF(OR($D198&lt;&gt;"Serviço",AND(AUTOEVENTO="Manual",$M198=$A$15)),0,
         IF(OFFSET(CRONOPLE!$F$15,$M198-$A$15,BT$13)=0,10^12,OFFSET(CRONOPLE!$F$15,$M198-$A$15,BT$13)))</f>
        <v>1000000000000</v>
      </c>
      <c r="BV198" s="172">
        <f ca="1">IF(OR($D198&lt;&gt;"Serviço",AND(AUTOEVENTO="Manual",$M198=$A$15),$M198&gt;(ROW(PLE.lastrow)-ROW(PLE.firstrow))),0,
           IF(OFFSET(PLE!$G$15,$M198-$A$15,BV$13)="",10^12,OFFSET(PLE!$G$15,$M198-$A$15,BV$13)))</f>
        <v>1000000000000</v>
      </c>
      <c r="BW198" s="172">
        <f ca="1">IF(OR($D198&lt;&gt;"Serviço",AND(AUTOEVENTO="Manual",$M198=$A$15),$M198&gt;(ROW(PLE.lastrow)-ROW(PLE.firstrow))),0,
           IF(OFFSET(PLE!$G$15,$M198-$A$15,BW$13)="",10^12,OFFSET(PLE!$G$15,$M198-$A$15,BW$13)))</f>
        <v>1000000000000</v>
      </c>
      <c r="BX198" s="172">
        <f ca="1">IF(OR($D198&lt;&gt;"Serviço",AND(AUTOEVENTO="Manual",$M198=$A$15),$M198&gt;(ROW(PLE.lastrow)-ROW(PLE.firstrow))),0,
           IF(OFFSET(PLE!$G$15,$M198-$A$15,BX$13)="",10^12,OFFSET(PLE!$G$15,$M198-$A$15,BX$13)))</f>
        <v>1000000000000</v>
      </c>
      <c r="BY198" s="172">
        <f ca="1">IF(OR($D198&lt;&gt;"Serviço",AND(AUTOEVENTO="Manual",$M198=$A$15),$M198&gt;(ROW(PLE.lastrow)-ROW(PLE.firstrow))),0,
           IF(OFFSET(PLE!$G$15,$M198-$A$15,BY$13)="",10^12,OFFSET(PLE!$G$15,$M198-$A$15,BY$13)))</f>
        <v>1000000000000</v>
      </c>
      <c r="BZ198" s="172">
        <f ca="1">IF(OR($D198&lt;&gt;"Serviço",AND(AUTOEVENTO="Manual",$M198=$A$15),$M198&gt;(ROW(PLE.lastrow)-ROW(PLE.firstrow))),0,
           IF(OFFSET(PLE!$G$15,$M198-$A$15,BZ$13)="",10^12,OFFSET(PLE!$G$15,$M198-$A$15,BZ$13)))</f>
        <v>1000000000000</v>
      </c>
      <c r="CA198" s="172">
        <f ca="1">IF(OR($D198&lt;&gt;"Serviço",AND(AUTOEVENTO="Manual",$M198=$A$15),$M198&gt;(ROW(PLE.lastrow)-ROW(PLE.firstrow))),0,
           IF(OFFSET(PLE!$G$15,$M198-$A$15,CA$13)="",10^12,OFFSET(PLE!$G$15,$M198-$A$15,CA$13)))</f>
        <v>1000000000000</v>
      </c>
      <c r="CB198" s="172">
        <f ca="1">IF(OR($D198&lt;&gt;"Serviço",AND(AUTOEVENTO="Manual",$M198=$A$15),$M198&gt;(ROW(PLE.lastrow)-ROW(PLE.firstrow))),0,
           IF(OFFSET(PLE!$G$15,$M198-$A$15,CB$13)="",10^12,OFFSET(PLE!$G$15,$M198-$A$15,CB$13)))</f>
        <v>1000000000000</v>
      </c>
      <c r="CC198" s="172">
        <f ca="1">IF(OR($D198&lt;&gt;"Serviço",AND(AUTOEVENTO="Manual",$M198=$A$15),$M198&gt;(ROW(PLE.lastrow)-ROW(PLE.firstrow))),0,
           IF(OFFSET(PLE!$G$15,$M198-$A$15,CC$13)="",10^12,OFFSET(PLE!$G$15,$M198-$A$15,CC$13)))</f>
        <v>1000000000000</v>
      </c>
      <c r="CD198" s="172">
        <f ca="1">IF(OR($D198&lt;&gt;"Serviço",AND(AUTOEVENTO="Manual",$M198=$A$15),$M198&gt;(ROW(PLE.lastrow)-ROW(PLE.firstrow))),0,
           IF(OFFSET(PLE!$G$15,$M198-$A$15,CD$13)="",10^12,OFFSET(PLE!$G$15,$M198-$A$15,CD$13)))</f>
        <v>1000000000000</v>
      </c>
      <c r="CE198" s="172">
        <f ca="1">IF(OR($D198&lt;&gt;"Serviço",AND(AUTOEVENTO="Manual",$M198=$A$15),$M198&gt;(ROW(PLE.lastrow)-ROW(PLE.firstrow))),0,
           IF(OFFSET(PLE!$G$15,$M198-$A$15,CE$13)="",10^12,OFFSET(PLE!$G$15,$M198-$A$15,CE$13)))</f>
        <v>1000000000000</v>
      </c>
      <c r="CF198" s="172">
        <f ca="1">IF(OR($D198&lt;&gt;"Serviço",AND(AUTOEVENTO="Manual",$M198=$A$15),$M198&gt;(ROW(PLE.lastrow)-ROW(PLE.firstrow))),0,
           IF(OFFSET(PLE!$G$15,$M198-$A$15,CF$13)="",10^12,OFFSET(PLE!$G$15,$M198-$A$15,CF$13)))</f>
        <v>1000000000000</v>
      </c>
      <c r="CG198" s="172">
        <f ca="1">IF(OR($D198&lt;&gt;"Serviço",AND(AUTOEVENTO="Manual",$M198=$A$15),$M198&gt;(ROW(PLE.lastrow)-ROW(PLE.firstrow))),0,
           IF(OFFSET(PLE!$G$15,$M198-$A$15,CG$13)="",10^12,OFFSET(PLE!$G$15,$M198-$A$15,CG$13)))</f>
        <v>1000000000000</v>
      </c>
      <c r="CH198" s="172">
        <f ca="1">IF(OR($D198&lt;&gt;"Serviço",AND(AUTOEVENTO="Manual",$M198=$A$15),$M198&gt;(ROW(PLE.lastrow)-ROW(PLE.firstrow))),0,
           IF(OFFSET(PLE!$G$15,$M198-$A$15,CH$13)="",10^12,OFFSET(PLE!$G$15,$M198-$A$15,CH$13)))</f>
        <v>1000000000000</v>
      </c>
      <c r="CI198" s="172">
        <f ca="1">IF(OR($D198&lt;&gt;"Serviço",AND(AUTOEVENTO="Manual",$M198=$A$15),$M198&gt;(ROW(PLE.lastrow)-ROW(PLE.firstrow))),0,
           IF(OFFSET(PLE!$G$15,$M198-$A$15,CI$13)="",10^12,OFFSET(PLE!$G$15,$M198-$A$15,CI$13)))</f>
        <v>1000000000000</v>
      </c>
      <c r="CJ198" s="172">
        <f ca="1">IF(OR($D198&lt;&gt;"Serviço",AND(AUTOEVENTO="Manual",$M198=$A$15),$M198&gt;(ROW(PLE.lastrow)-ROW(PLE.firstrow))),0,
           IF(OFFSET(PLE!$G$15,$M198-$A$15,CJ$13)="",10^12,OFFSET(PLE!$G$15,$M198-$A$15,CJ$13)))</f>
        <v>1000000000000</v>
      </c>
      <c r="CK198" s="172">
        <f ca="1">IF(OR($D198&lt;&gt;"Serviço",AND(AUTOEVENTO="Manual",$M198=$A$15),$M198&gt;(ROW(PLE.lastrow)-ROW(PLE.firstrow))),0,
           IF(OFFSET(PLE!$G$15,$M198-$A$15,CK$13)="",10^12,OFFSET(PLE!$G$15,$M198-$A$15,CK$13)))</f>
        <v>1000000000000</v>
      </c>
      <c r="CL198" s="172">
        <f ca="1">IF(OR($D198&lt;&gt;"Serviço",AND(AUTOEVENTO="Manual",$M198=$A$15),$M198&gt;(ROW(PLE.lastrow)-ROW(PLE.firstrow))),0,
           IF(OFFSET(PLE!$G$15,$M198-$A$15,CL$13)="",10^12,OFFSET(PLE!$G$15,$M198-$A$15,CL$13)))</f>
        <v>1000000000000</v>
      </c>
      <c r="CM198" s="172">
        <f ca="1">IF(OR($D198&lt;&gt;"Serviço",AND(AUTOEVENTO="Manual",$M198=$A$15),$M198&gt;(ROW(PLE.lastrow)-ROW(PLE.firstrow))),0,
           IF(OFFSET(PLE!$G$15,$M198-$A$15,CM$13)="",10^12,OFFSET(PLE!$G$15,$M198-$A$15,CM$13)))</f>
        <v>1000000000000</v>
      </c>
    </row>
    <row r="199" spans="1:91" ht="51" x14ac:dyDescent="0.2">
      <c r="A199" s="7">
        <f t="shared" ca="1" si="12"/>
        <v>4</v>
      </c>
      <c r="B199" s="7" t="str">
        <f ca="1">OFFSET(ORÇAMENTO!C$15,ROW(B199)-ROW(B$15),0)</f>
        <v>S</v>
      </c>
      <c r="C199" s="7" t="str">
        <f ca="1">OFFSET(ORÇAMENTO!L$15,ROW(C199)-ROW(C$15),0)</f>
        <v>F</v>
      </c>
      <c r="D199" s="116" t="str">
        <f ca="1">OFFSET(ORÇAMENTO!N$15,ROW(D199)-ROW(D$15),0)</f>
        <v>Serviço</v>
      </c>
      <c r="E199" s="117" t="str">
        <f ca="1">OFFSET(ORÇAMENTO!O$15,ROW(E199)-ROW(E$15),0)</f>
        <v>1.5.5.5.5.</v>
      </c>
      <c r="F199" s="163" t="str">
        <f ca="1">OFFSET(ORÇAMENTO!R$15,ROW(F199)-ROW(F$15),0)</f>
        <v>APLICAÇÃO DE LONA PLÁSTICA PARA EXECUÇÃO DE PAVIMENTOS DE CONCRETO. AF_04/2022</v>
      </c>
      <c r="G199" s="164" t="str">
        <f ca="1">IF($D199&lt;&gt;"Serviço","",OFFSET(ORÇAMENTO!S$15,ROW(G199)-ROW(G$15),0))</f>
        <v>M2</v>
      </c>
      <c r="H199" s="122" cm="1">
        <f t="array" aca="1" ref="H199" ca="1">IF($D199&lt;&gt;"Serviço",0,IF(ACOMPANHAMENTO="BM",ROUND(OFFSET(ORÇAMENTO!AJ$15,ROW(H199)-ROW(H$15),0),15-13*ORÇAMENTO!$AF$7),SUMPRODUCT(($Q$1:$AI$1=1)*ROUND($Q199:$AI199,15-13*ORÇAMENTO!$AF$7))))</f>
        <v>33.950000000000003</v>
      </c>
      <c r="I199" s="468" t="s">
        <v>1439</v>
      </c>
      <c r="J199" s="640" t="str" cm="1">
        <f t="array" aca="1" ref="J199" ca="1">IF(OR(B199&lt;&gt;"S",CÁLCULO.FrentesPreenchidas=0),"",IF(AND(ACOMPANHAMENTO="PLE",AUTOEVENTO="Manual",OR(H199&gt;0,ORÇAMENTO!AC199="QUANT."),OR(K199="",M199=0,N199="")),"►E",IF(AND(ACOMPANHAMENTO="PLE",ORÇAMENTO!AC199="QUANT."),"►Q",IF(AND(ACOMPANHAMENTO="PLE",H199&lt;&gt;SUMPRODUCT(($Q$1:$AI$1=1)*ROUND(Q199:AI199,15))),"►S",IF(AND(COUNTIF($P$11:$AI$11,"▼")=0,H199&gt;0,I199=""),"◄M","")))))</f>
        <v/>
      </c>
      <c r="K199" s="641" t="s">
        <v>1389</v>
      </c>
      <c r="L199" s="165" t="s">
        <v>764</v>
      </c>
      <c r="M199" s="166">
        <f ca="1">IF($D199&lt;&gt;"Serviço","",
          IF(AUTOEVENTO="manual",$A199,
                IF(ISERROR(MATCH($A199,$A$15:OFFSET($A199,-1,0),0)),MAX($M$15:OFFSET(M199,-1,0))+1,
                      INDEX($M$15:OFFSET(M199,-1,0),MATCH($A199,$A$15:OFFSET($A199,-1,0),0)))))</f>
        <v>4</v>
      </c>
      <c r="N199" s="167" t="str">
        <f ca="1">IF($D199&lt;&gt;"Serviço","",
         IF(AUTOEVENTO="Manual",
                IF($A199=0,"&lt;-- defina o número do agrupador",
                       OFFSET(EVENTOS!$D$15,$A199-$A$15,0)),
                OFFSET($F$15,$A199,0)))</f>
        <v>Estruturas de Concreto</v>
      </c>
      <c r="O199" s="168"/>
      <c r="Q199" s="168"/>
      <c r="R199" s="169"/>
      <c r="S199" s="169"/>
      <c r="T199" s="169"/>
      <c r="U199" s="169"/>
      <c r="V199" s="169">
        <v>33.950000000000003</v>
      </c>
      <c r="W199" s="169"/>
      <c r="X199" s="169"/>
      <c r="Y199" s="169"/>
      <c r="Z199" s="170"/>
      <c r="AA199" s="169"/>
      <c r="AB199" s="169"/>
      <c r="AC199" s="169"/>
      <c r="AD199" s="169"/>
      <c r="AE199" s="169"/>
      <c r="AF199" s="169"/>
      <c r="AG199" s="169"/>
      <c r="AH199" s="170"/>
      <c r="AJ199" s="453">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0</v>
      </c>
      <c r="AK199" s="453">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0</v>
      </c>
      <c r="AL199" s="453">
        <f ca="1">IF(AND($D199="Serviço",AL$12&lt;&gt;0,$H199&gt;0,OR(AUTOEVENTO&lt;&gt;"manual",$M199&lt;&gt;$A$15)),
        IF(Import.TipoArredondamento&lt;&gt;"TransfereGOV",
              ROUND(OFFSET($P199,0,AL$13),15-13*ORÇAMENTO!$AF$7)/$H199*OFFSET(ORÇAMENTO!$X$15,ROW(AL199)-ROW(AL$15),0),
              ROUND(ROUND(OFFSET($P199,0,AL$13),15-13*ORÇAMENTO!$AF$7)*OFFSET(ORÇAMENTO!$W$15,ROW(AL199)-ROW(AL$15),0),15-13*ORÇAMENTO!$AF$11)),
         0)</f>
        <v>0</v>
      </c>
      <c r="AM199" s="453">
        <f ca="1">IF(AND($D199="Serviço",AM$12&lt;&gt;0,$H199&gt;0,OR(AUTOEVENTO&lt;&gt;"manual",$M199&lt;&gt;$A$15)),
        IF(Import.TipoArredondamento&lt;&gt;"TransfereGOV",
              ROUND(OFFSET($P199,0,AM$13),15-13*ORÇAMENTO!$AF$7)/$H199*OFFSET(ORÇAMENTO!$X$15,ROW(AM199)-ROW(AM$15),0),
              ROUND(ROUND(OFFSET($P199,0,AM$13),15-13*ORÇAMENTO!$AF$7)*OFFSET(ORÇAMENTO!$W$15,ROW(AM199)-ROW(AM$15),0),15-13*ORÇAMENTO!$AF$11)),
         0)</f>
        <v>0</v>
      </c>
      <c r="AN199" s="453">
        <f ca="1">IF(AND($D199="Serviço",AN$12&lt;&gt;0,$H199&gt;0,OR(AUTOEVENTO&lt;&gt;"manual",$M199&lt;&gt;$A$15)),
        IF(Import.TipoArredondamento&lt;&gt;"TransfereGOV",
              ROUND(OFFSET($P199,0,AN$13),15-13*ORÇAMENTO!$AF$7)/$H199*OFFSET(ORÇAMENTO!$X$15,ROW(AN199)-ROW(AN$15),0),
              ROUND(ROUND(OFFSET($P199,0,AN$13),15-13*ORÇAMENTO!$AF$7)*OFFSET(ORÇAMENTO!$W$15,ROW(AN199)-ROW(AN$15),0),15-13*ORÇAMENTO!$AF$11)),
         0)</f>
        <v>0</v>
      </c>
      <c r="AO199" s="453">
        <f ca="1">IF(AND($D199="Serviço",AO$12&lt;&gt;0,$H199&gt;0,OR(AUTOEVENTO&lt;&gt;"manual",$M199&lt;&gt;$A$15)),
        IF(Import.TipoArredondamento&lt;&gt;"TransfereGOV",
              ROUND(OFFSET($P199,0,AO$13),15-13*ORÇAMENTO!$AF$7)/$H199*OFFSET(ORÇAMENTO!$X$15,ROW(AO199)-ROW(AO$15),0),
              ROUND(ROUND(OFFSET($P199,0,AO$13),15-13*ORÇAMENTO!$AF$7)*OFFSET(ORÇAMENTO!$W$15,ROW(AO199)-ROW(AO$15),0),15-13*ORÇAMENTO!$AF$11)),
         0)</f>
        <v>0</v>
      </c>
      <c r="AP199" s="453">
        <f ca="1">IF(AND($D199="Serviço",AP$12&lt;&gt;0,$H199&gt;0,OR(AUTOEVENTO&lt;&gt;"manual",$M199&lt;&gt;$A$15)),
        IF(Import.TipoArredondamento&lt;&gt;"TransfereGOV",
              ROUND(OFFSET($P199,0,AP$13),15-13*ORÇAMENTO!$AF$7)/$H199*OFFSET(ORÇAMENTO!$X$15,ROW(AP199)-ROW(AP$15),0),
              ROUND(ROUND(OFFSET($P199,0,AP$13),15-13*ORÇAMENTO!$AF$7)*OFFSET(ORÇAMENTO!$W$15,ROW(AP199)-ROW(AP$15),0),15-13*ORÇAMENTO!$AF$11)),
         0)</f>
        <v>0</v>
      </c>
      <c r="AQ199" s="453">
        <f ca="1">IF(AND($D199="Serviço",AQ$12&lt;&gt;0,$H199&gt;0,OR(AUTOEVENTO&lt;&gt;"manual",$M199&lt;&gt;$A$15)),
        IF(Import.TipoArredondamento&lt;&gt;"TransfereGOV",
              ROUND(OFFSET($P199,0,AQ$13),15-13*ORÇAMENTO!$AF$7)/$H199*OFFSET(ORÇAMENTO!$X$15,ROW(AQ199)-ROW(AQ$15),0),
              ROUND(ROUND(OFFSET($P199,0,AQ$13),15-13*ORÇAMENTO!$AF$7)*OFFSET(ORÇAMENTO!$W$15,ROW(AQ199)-ROW(AQ$15),0),15-13*ORÇAMENTO!$AF$11)),
         0)</f>
        <v>0</v>
      </c>
      <c r="AR199" s="453">
        <f ca="1">IF(AND($D199="Serviço",AR$12&lt;&gt;0,$H199&gt;0,OR(AUTOEVENTO&lt;&gt;"manual",$M199&lt;&gt;$A$15)),
        IF(Import.TipoArredondamento&lt;&gt;"TransfereGOV",
              ROUND(OFFSET($P199,0,AR$13),15-13*ORÇAMENTO!$AF$7)/$H199*OFFSET(ORÇAMENTO!$X$15,ROW(AR199)-ROW(AR$15),0),
              ROUND(ROUND(OFFSET($P199,0,AR$13),15-13*ORÇAMENTO!$AF$7)*OFFSET(ORÇAMENTO!$W$15,ROW(AR199)-ROW(AR$15),0),15-13*ORÇAMENTO!$AF$11)),
         0)</f>
        <v>0</v>
      </c>
      <c r="AS199" s="453">
        <f ca="1">IF(AND($D199="Serviço",AS$12&lt;&gt;0,$H199&gt;0,OR(AUTOEVENTO&lt;&gt;"manual",$M199&lt;&gt;$A$15)),
        IF(Import.TipoArredondamento&lt;&gt;"TransfereGOV",
              ROUND(OFFSET($P199,0,AS$13),15-13*ORÇAMENTO!$AF$7)/$H199*OFFSET(ORÇAMENTO!$X$15,ROW(AS199)-ROW(AS$15),0),
              ROUND(ROUND(OFFSET($P199,0,AS$13),15-13*ORÇAMENTO!$AF$7)*OFFSET(ORÇAMENTO!$W$15,ROW(AS199)-ROW(AS$15),0),15-13*ORÇAMENTO!$AF$11)),
         0)</f>
        <v>0</v>
      </c>
      <c r="AT199" s="453">
        <f ca="1">IF(AND($D199="Serviço",AT$12&lt;&gt;0,$H199&gt;0,OR(AUTOEVENTO&lt;&gt;"manual",$M199&lt;&gt;$A$15)),
        IF(Import.TipoArredondamento&lt;&gt;"TransfereGOV",
              ROUND(OFFSET($P199,0,AT$13),15-13*ORÇAMENTO!$AF$7)/$H199*OFFSET(ORÇAMENTO!$X$15,ROW(AT199)-ROW(AT$15),0),
              ROUND(ROUND(OFFSET($P199,0,AT$13),15-13*ORÇAMENTO!$AF$7)*OFFSET(ORÇAMENTO!$W$15,ROW(AT199)-ROW(AT$15),0),15-13*ORÇAMENTO!$AF$11)),
         0)</f>
        <v>0</v>
      </c>
      <c r="AU199" s="453">
        <f ca="1">IF(AND($D199="Serviço",AU$12&lt;&gt;0,$H199&gt;0,OR(AUTOEVENTO&lt;&gt;"manual",$M199&lt;&gt;$A$15)),
        IF(Import.TipoArredondamento&lt;&gt;"TransfereGOV",
              ROUND(OFFSET($P199,0,AU$13),15-13*ORÇAMENTO!$AF$7)/$H199*OFFSET(ORÇAMENTO!$X$15,ROW(AU199)-ROW(AU$15),0),
              ROUND(ROUND(OFFSET($P199,0,AU$13),15-13*ORÇAMENTO!$AF$7)*OFFSET(ORÇAMENTO!$W$15,ROW(AU199)-ROW(AU$15),0),15-13*ORÇAMENTO!$AF$11)),
         0)</f>
        <v>0</v>
      </c>
      <c r="AV199" s="453">
        <f ca="1">IF(AND($D199="Serviço",AV$12&lt;&gt;0,$H199&gt;0,OR(AUTOEVENTO&lt;&gt;"manual",$M199&lt;&gt;$A$15)),
        IF(Import.TipoArredondamento&lt;&gt;"TransfereGOV",
              ROUND(OFFSET($P199,0,AV$13),15-13*ORÇAMENTO!$AF$7)/$H199*OFFSET(ORÇAMENTO!$X$15,ROW(AV199)-ROW(AV$15),0),
              ROUND(ROUND(OFFSET($P199,0,AV$13),15-13*ORÇAMENTO!$AF$7)*OFFSET(ORÇAMENTO!$W$15,ROW(AV199)-ROW(AV$15),0),15-13*ORÇAMENTO!$AF$11)),
         0)</f>
        <v>0</v>
      </c>
      <c r="AW199" s="453">
        <f ca="1">IF(AND($D199="Serviço",AW$12&lt;&gt;0,$H199&gt;0,OR(AUTOEVENTO&lt;&gt;"manual",$M199&lt;&gt;$A$15)),
        IF(Import.TipoArredondamento&lt;&gt;"TransfereGOV",
              ROUND(OFFSET($P199,0,AW$13),15-13*ORÇAMENTO!$AF$7)/$H199*OFFSET(ORÇAMENTO!$X$15,ROW(AW199)-ROW(AW$15),0),
              ROUND(ROUND(OFFSET($P199,0,AW$13),15-13*ORÇAMENTO!$AF$7)*OFFSET(ORÇAMENTO!$W$15,ROW(AW199)-ROW(AW$15),0),15-13*ORÇAMENTO!$AF$11)),
         0)</f>
        <v>0</v>
      </c>
      <c r="AX199" s="453">
        <f ca="1">IF(AND($D199="Serviço",AX$12&lt;&gt;0,$H199&gt;0,OR(AUTOEVENTO&lt;&gt;"manual",$M199&lt;&gt;$A$15)),
        IF(Import.TipoArredondamento&lt;&gt;"TransfereGOV",
              ROUND(OFFSET($P199,0,AX$13),15-13*ORÇAMENTO!$AF$7)/$H199*OFFSET(ORÇAMENTO!$X$15,ROW(AX199)-ROW(AX$15),0),
              ROUND(ROUND(OFFSET($P199,0,AX$13),15-13*ORÇAMENTO!$AF$7)*OFFSET(ORÇAMENTO!$W$15,ROW(AX199)-ROW(AX$15),0),15-13*ORÇAMENTO!$AF$11)),
         0)</f>
        <v>0</v>
      </c>
      <c r="AY199" s="453">
        <f ca="1">IF(AND($D199="Serviço",AY$12&lt;&gt;0,$H199&gt;0,OR(AUTOEVENTO&lt;&gt;"manual",$M199&lt;&gt;$A$15)),
        IF(Import.TipoArredondamento&lt;&gt;"TransfereGOV",
              ROUND(OFFSET($P199,0,AY$13),15-13*ORÇAMENTO!$AF$7)/$H199*OFFSET(ORÇAMENTO!$X$15,ROW(AY199)-ROW(AY$15),0),
              ROUND(ROUND(OFFSET($P199,0,AY$13),15-13*ORÇAMENTO!$AF$7)*OFFSET(ORÇAMENTO!$W$15,ROW(AY199)-ROW(AY$15),0),15-13*ORÇAMENTO!$AF$11)),
         0)</f>
        <v>0</v>
      </c>
      <c r="AZ199" s="453">
        <f ca="1">IF(AND($D199="Serviço",AZ$12&lt;&gt;0,$H199&gt;0,OR(AUTOEVENTO&lt;&gt;"manual",$M199&lt;&gt;$A$15)),
        IF(Import.TipoArredondamento&lt;&gt;"TransfereGOV",
              ROUND(OFFSET($P199,0,AZ$13),15-13*ORÇAMENTO!$AF$7)/$H199*OFFSET(ORÇAMENTO!$X$15,ROW(AZ199)-ROW(AZ$15),0),
              ROUND(ROUND(OFFSET($P199,0,AZ$13),15-13*ORÇAMENTO!$AF$7)*OFFSET(ORÇAMENTO!$W$15,ROW(AZ199)-ROW(AZ$15),0),15-13*ORÇAMENTO!$AF$11)),
         0)</f>
        <v>0</v>
      </c>
      <c r="BA199" s="453">
        <f ca="1">IF(AND($D199="Serviço",BA$12&lt;&gt;0,$H199&gt;0,OR(AUTOEVENTO&lt;&gt;"manual",$M199&lt;&gt;$A$15)),
        IF(Import.TipoArredondamento&lt;&gt;"TransfereGOV",
              ROUND(OFFSET($P199,0,BA$13),15-13*ORÇAMENTO!$AF$7)/$H199*OFFSET(ORÇAMENTO!$X$15,ROW(BA199)-ROW(BA$15),0),
              ROUND(ROUND(OFFSET($P199,0,BA$13),15-13*ORÇAMENTO!$AF$7)*OFFSET(ORÇAMENTO!$W$15,ROW(BA199)-ROW(BA$15),0),15-13*ORÇAMENTO!$AF$11)),
         0)</f>
        <v>0</v>
      </c>
      <c r="BC199" s="171">
        <f ca="1">IF(OR($D199&lt;&gt;"Serviço",AND(AUTOEVENTO="Manual",$M199=$A$15)),0,
         IF(OFFSET(CRONOPLE!$F$15,$M199-$A$15,BC$13)=0,10^12,OFFSET(CRONOPLE!$F$15,$M199-$A$15,BC$13)))</f>
        <v>1</v>
      </c>
      <c r="BD199" s="171">
        <f ca="1">IF(OR($D199&lt;&gt;"Serviço",AND(AUTOEVENTO="Manual",$M199=$A$15)),0,
         IF(OFFSET(CRONOPLE!$F$15,$M199-$A$15,BD$13)=0,10^12,OFFSET(CRONOPLE!$F$15,$M199-$A$15,BD$13)))</f>
        <v>2</v>
      </c>
      <c r="BE199" s="171">
        <f ca="1">IF(OR($D199&lt;&gt;"Serviço",AND(AUTOEVENTO="Manual",$M199=$A$15)),0,
         IF(OFFSET(CRONOPLE!$F$15,$M199-$A$15,BE$13)=0,10^12,OFFSET(CRONOPLE!$F$15,$M199-$A$15,BE$13)))</f>
        <v>3</v>
      </c>
      <c r="BF199" s="171">
        <f ca="1">IF(OR($D199&lt;&gt;"Serviço",AND(AUTOEVENTO="Manual",$M199=$A$15)),0,
         IF(OFFSET(CRONOPLE!$F$15,$M199-$A$15,BF$13)=0,10^12,OFFSET(CRONOPLE!$F$15,$M199-$A$15,BF$13)))</f>
        <v>4</v>
      </c>
      <c r="BG199" s="171">
        <f ca="1">IF(OR($D199&lt;&gt;"Serviço",AND(AUTOEVENTO="Manual",$M199=$A$15)),0,
         IF(OFFSET(CRONOPLE!$F$15,$M199-$A$15,BG$13)=0,10^12,OFFSET(CRONOPLE!$F$15,$M199-$A$15,BG$13)))</f>
        <v>5</v>
      </c>
      <c r="BH199" s="171">
        <f ca="1">IF(OR($D199&lt;&gt;"Serviço",AND(AUTOEVENTO="Manual",$M199=$A$15)),0,
         IF(OFFSET(CRONOPLE!$F$15,$M199-$A$15,BH$13)=0,10^12,OFFSET(CRONOPLE!$F$15,$M199-$A$15,BH$13)))</f>
        <v>6</v>
      </c>
      <c r="BI199" s="171">
        <f ca="1">IF(OR($D199&lt;&gt;"Serviço",AND(AUTOEVENTO="Manual",$M199=$A$15)),0,
         IF(OFFSET(CRONOPLE!$F$15,$M199-$A$15,BI$13)=0,10^12,OFFSET(CRONOPLE!$F$15,$M199-$A$15,BI$13)))</f>
        <v>7</v>
      </c>
      <c r="BJ199" s="171">
        <f ca="1">IF(OR($D199&lt;&gt;"Serviço",AND(AUTOEVENTO="Manual",$M199=$A$15)),0,
         IF(OFFSET(CRONOPLE!$F$15,$M199-$A$15,BJ$13)=0,10^12,OFFSET(CRONOPLE!$F$15,$M199-$A$15,BJ$13)))</f>
        <v>8</v>
      </c>
      <c r="BK199" s="171">
        <f ca="1">IF(OR($D199&lt;&gt;"Serviço",AND(AUTOEVENTO="Manual",$M199=$A$15)),0,
         IF(OFFSET(CRONOPLE!$F$15,$M199-$A$15,BK$13)=0,10^12,OFFSET(CRONOPLE!$F$15,$M199-$A$15,BK$13)))</f>
        <v>9</v>
      </c>
      <c r="BL199" s="171">
        <f ca="1">IF(OR($D199&lt;&gt;"Serviço",AND(AUTOEVENTO="Manual",$M199=$A$15)),0,
         IF(OFFSET(CRONOPLE!$F$15,$M199-$A$15,BL$13)=0,10^12,OFFSET(CRONOPLE!$F$15,$M199-$A$15,BL$13)))</f>
        <v>10</v>
      </c>
      <c r="BM199" s="171">
        <f ca="1">IF(OR($D199&lt;&gt;"Serviço",AND(AUTOEVENTO="Manual",$M199=$A$15)),0,
         IF(OFFSET(CRONOPLE!$F$15,$M199-$A$15,BM$13)=0,10^12,OFFSET(CRONOPLE!$F$15,$M199-$A$15,BM$13)))</f>
        <v>1000000000000</v>
      </c>
      <c r="BN199" s="171">
        <f ca="1">IF(OR($D199&lt;&gt;"Serviço",AND(AUTOEVENTO="Manual",$M199=$A$15)),0,
         IF(OFFSET(CRONOPLE!$F$15,$M199-$A$15,BN$13)=0,10^12,OFFSET(CRONOPLE!$F$15,$M199-$A$15,BN$13)))</f>
        <v>1000000000000</v>
      </c>
      <c r="BO199" s="171">
        <f ca="1">IF(OR($D199&lt;&gt;"Serviço",AND(AUTOEVENTO="Manual",$M199=$A$15)),0,
         IF(OFFSET(CRONOPLE!$F$15,$M199-$A$15,BO$13)=0,10^12,OFFSET(CRONOPLE!$F$15,$M199-$A$15,BO$13)))</f>
        <v>1000000000000</v>
      </c>
      <c r="BP199" s="171">
        <f ca="1">IF(OR($D199&lt;&gt;"Serviço",AND(AUTOEVENTO="Manual",$M199=$A$15)),0,
         IF(OFFSET(CRONOPLE!$F$15,$M199-$A$15,BP$13)=0,10^12,OFFSET(CRONOPLE!$F$15,$M199-$A$15,BP$13)))</f>
        <v>1000000000000</v>
      </c>
      <c r="BQ199" s="171">
        <f ca="1">IF(OR($D199&lt;&gt;"Serviço",AND(AUTOEVENTO="Manual",$M199=$A$15)),0,
         IF(OFFSET(CRONOPLE!$F$15,$M199-$A$15,BQ$13)=0,10^12,OFFSET(CRONOPLE!$F$15,$M199-$A$15,BQ$13)))</f>
        <v>1000000000000</v>
      </c>
      <c r="BR199" s="171">
        <f ca="1">IF(OR($D199&lt;&gt;"Serviço",AND(AUTOEVENTO="Manual",$M199=$A$15)),0,
         IF(OFFSET(CRONOPLE!$F$15,$M199-$A$15,BR$13)=0,10^12,OFFSET(CRONOPLE!$F$15,$M199-$A$15,BR$13)))</f>
        <v>1000000000000</v>
      </c>
      <c r="BS199" s="171">
        <f ca="1">IF(OR($D199&lt;&gt;"Serviço",AND(AUTOEVENTO="Manual",$M199=$A$15)),0,
         IF(OFFSET(CRONOPLE!$F$15,$M199-$A$15,BS$13)=0,10^12,OFFSET(CRONOPLE!$F$15,$M199-$A$15,BS$13)))</f>
        <v>1000000000000</v>
      </c>
      <c r="BT199" s="171">
        <f ca="1">IF(OR($D199&lt;&gt;"Serviço",AND(AUTOEVENTO="Manual",$M199=$A$15)),0,
         IF(OFFSET(CRONOPLE!$F$15,$M199-$A$15,BT$13)=0,10^12,OFFSET(CRONOPLE!$F$15,$M199-$A$15,BT$13)))</f>
        <v>1000000000000</v>
      </c>
      <c r="BV199" s="172">
        <f ca="1">IF(OR($D199&lt;&gt;"Serviço",AND(AUTOEVENTO="Manual",$M199=$A$15),$M199&gt;(ROW(PLE.lastrow)-ROW(PLE.firstrow))),0,
           IF(OFFSET(PLE!$G$15,$M199-$A$15,BV$13)="",10^12,OFFSET(PLE!$G$15,$M199-$A$15,BV$13)))</f>
        <v>1000000000000</v>
      </c>
      <c r="BW199" s="172">
        <f ca="1">IF(OR($D199&lt;&gt;"Serviço",AND(AUTOEVENTO="Manual",$M199=$A$15),$M199&gt;(ROW(PLE.lastrow)-ROW(PLE.firstrow))),0,
           IF(OFFSET(PLE!$G$15,$M199-$A$15,BW$13)="",10^12,OFFSET(PLE!$G$15,$M199-$A$15,BW$13)))</f>
        <v>1000000000000</v>
      </c>
      <c r="BX199" s="172">
        <f ca="1">IF(OR($D199&lt;&gt;"Serviço",AND(AUTOEVENTO="Manual",$M199=$A$15),$M199&gt;(ROW(PLE.lastrow)-ROW(PLE.firstrow))),0,
           IF(OFFSET(PLE!$G$15,$M199-$A$15,BX$13)="",10^12,OFFSET(PLE!$G$15,$M199-$A$15,BX$13)))</f>
        <v>1000000000000</v>
      </c>
      <c r="BY199" s="172">
        <f ca="1">IF(OR($D199&lt;&gt;"Serviço",AND(AUTOEVENTO="Manual",$M199=$A$15),$M199&gt;(ROW(PLE.lastrow)-ROW(PLE.firstrow))),0,
           IF(OFFSET(PLE!$G$15,$M199-$A$15,BY$13)="",10^12,OFFSET(PLE!$G$15,$M199-$A$15,BY$13)))</f>
        <v>1000000000000</v>
      </c>
      <c r="BZ199" s="172">
        <f ca="1">IF(OR($D199&lt;&gt;"Serviço",AND(AUTOEVENTO="Manual",$M199=$A$15),$M199&gt;(ROW(PLE.lastrow)-ROW(PLE.firstrow))),0,
           IF(OFFSET(PLE!$G$15,$M199-$A$15,BZ$13)="",10^12,OFFSET(PLE!$G$15,$M199-$A$15,BZ$13)))</f>
        <v>1000000000000</v>
      </c>
      <c r="CA199" s="172">
        <f ca="1">IF(OR($D199&lt;&gt;"Serviço",AND(AUTOEVENTO="Manual",$M199=$A$15),$M199&gt;(ROW(PLE.lastrow)-ROW(PLE.firstrow))),0,
           IF(OFFSET(PLE!$G$15,$M199-$A$15,CA$13)="",10^12,OFFSET(PLE!$G$15,$M199-$A$15,CA$13)))</f>
        <v>1000000000000</v>
      </c>
      <c r="CB199" s="172">
        <f ca="1">IF(OR($D199&lt;&gt;"Serviço",AND(AUTOEVENTO="Manual",$M199=$A$15),$M199&gt;(ROW(PLE.lastrow)-ROW(PLE.firstrow))),0,
           IF(OFFSET(PLE!$G$15,$M199-$A$15,CB$13)="",10^12,OFFSET(PLE!$G$15,$M199-$A$15,CB$13)))</f>
        <v>1000000000000</v>
      </c>
      <c r="CC199" s="172">
        <f ca="1">IF(OR($D199&lt;&gt;"Serviço",AND(AUTOEVENTO="Manual",$M199=$A$15),$M199&gt;(ROW(PLE.lastrow)-ROW(PLE.firstrow))),0,
           IF(OFFSET(PLE!$G$15,$M199-$A$15,CC$13)="",10^12,OFFSET(PLE!$G$15,$M199-$A$15,CC$13)))</f>
        <v>1000000000000</v>
      </c>
      <c r="CD199" s="172">
        <f ca="1">IF(OR($D199&lt;&gt;"Serviço",AND(AUTOEVENTO="Manual",$M199=$A$15),$M199&gt;(ROW(PLE.lastrow)-ROW(PLE.firstrow))),0,
           IF(OFFSET(PLE!$G$15,$M199-$A$15,CD$13)="",10^12,OFFSET(PLE!$G$15,$M199-$A$15,CD$13)))</f>
        <v>1000000000000</v>
      </c>
      <c r="CE199" s="172">
        <f ca="1">IF(OR($D199&lt;&gt;"Serviço",AND(AUTOEVENTO="Manual",$M199=$A$15),$M199&gt;(ROW(PLE.lastrow)-ROW(PLE.firstrow))),0,
           IF(OFFSET(PLE!$G$15,$M199-$A$15,CE$13)="",10^12,OFFSET(PLE!$G$15,$M199-$A$15,CE$13)))</f>
        <v>1000000000000</v>
      </c>
      <c r="CF199" s="172">
        <f ca="1">IF(OR($D199&lt;&gt;"Serviço",AND(AUTOEVENTO="Manual",$M199=$A$15),$M199&gt;(ROW(PLE.lastrow)-ROW(PLE.firstrow))),0,
           IF(OFFSET(PLE!$G$15,$M199-$A$15,CF$13)="",10^12,OFFSET(PLE!$G$15,$M199-$A$15,CF$13)))</f>
        <v>1000000000000</v>
      </c>
      <c r="CG199" s="172">
        <f ca="1">IF(OR($D199&lt;&gt;"Serviço",AND(AUTOEVENTO="Manual",$M199=$A$15),$M199&gt;(ROW(PLE.lastrow)-ROW(PLE.firstrow))),0,
           IF(OFFSET(PLE!$G$15,$M199-$A$15,CG$13)="",10^12,OFFSET(PLE!$G$15,$M199-$A$15,CG$13)))</f>
        <v>1000000000000</v>
      </c>
      <c r="CH199" s="172">
        <f ca="1">IF(OR($D199&lt;&gt;"Serviço",AND(AUTOEVENTO="Manual",$M199=$A$15),$M199&gt;(ROW(PLE.lastrow)-ROW(PLE.firstrow))),0,
           IF(OFFSET(PLE!$G$15,$M199-$A$15,CH$13)="",10^12,OFFSET(PLE!$G$15,$M199-$A$15,CH$13)))</f>
        <v>1000000000000</v>
      </c>
      <c r="CI199" s="172">
        <f ca="1">IF(OR($D199&lt;&gt;"Serviço",AND(AUTOEVENTO="Manual",$M199=$A$15),$M199&gt;(ROW(PLE.lastrow)-ROW(PLE.firstrow))),0,
           IF(OFFSET(PLE!$G$15,$M199-$A$15,CI$13)="",10^12,OFFSET(PLE!$G$15,$M199-$A$15,CI$13)))</f>
        <v>1000000000000</v>
      </c>
      <c r="CJ199" s="172">
        <f ca="1">IF(OR($D199&lt;&gt;"Serviço",AND(AUTOEVENTO="Manual",$M199=$A$15),$M199&gt;(ROW(PLE.lastrow)-ROW(PLE.firstrow))),0,
           IF(OFFSET(PLE!$G$15,$M199-$A$15,CJ$13)="",10^12,OFFSET(PLE!$G$15,$M199-$A$15,CJ$13)))</f>
        <v>1000000000000</v>
      </c>
      <c r="CK199" s="172">
        <f ca="1">IF(OR($D199&lt;&gt;"Serviço",AND(AUTOEVENTO="Manual",$M199=$A$15),$M199&gt;(ROW(PLE.lastrow)-ROW(PLE.firstrow))),0,
           IF(OFFSET(PLE!$G$15,$M199-$A$15,CK$13)="",10^12,OFFSET(PLE!$G$15,$M199-$A$15,CK$13)))</f>
        <v>1000000000000</v>
      </c>
      <c r="CL199" s="172">
        <f ca="1">IF(OR($D199&lt;&gt;"Serviço",AND(AUTOEVENTO="Manual",$M199=$A$15),$M199&gt;(ROW(PLE.lastrow)-ROW(PLE.firstrow))),0,
           IF(OFFSET(PLE!$G$15,$M199-$A$15,CL$13)="",10^12,OFFSET(PLE!$G$15,$M199-$A$15,CL$13)))</f>
        <v>1000000000000</v>
      </c>
      <c r="CM199" s="172">
        <f ca="1">IF(OR($D199&lt;&gt;"Serviço",AND(AUTOEVENTO="Manual",$M199=$A$15),$M199&gt;(ROW(PLE.lastrow)-ROW(PLE.firstrow))),0,
           IF(OFFSET(PLE!$G$15,$M199-$A$15,CM$13)="",10^12,OFFSET(PLE!$G$15,$M199-$A$15,CM$13)))</f>
        <v>1000000000000</v>
      </c>
    </row>
    <row r="200" spans="1:91" ht="51" x14ac:dyDescent="0.2">
      <c r="A200" s="7">
        <f t="shared" ca="1" si="12"/>
        <v>4</v>
      </c>
      <c r="B200" s="7" t="str">
        <f ca="1">OFFSET(ORÇAMENTO!C$15,ROW(B200)-ROW(B$15),0)</f>
        <v>S</v>
      </c>
      <c r="C200" s="7" t="str">
        <f ca="1">OFFSET(ORÇAMENTO!L$15,ROW(C200)-ROW(C$15),0)</f>
        <v>F</v>
      </c>
      <c r="D200" s="116" t="str">
        <f ca="1">OFFSET(ORÇAMENTO!N$15,ROW(D200)-ROW(D$15),0)</f>
        <v>Serviço</v>
      </c>
      <c r="E200" s="117" t="str">
        <f ca="1">OFFSET(ORÇAMENTO!O$15,ROW(E200)-ROW(E$15),0)</f>
        <v>1.5.5.5.6.</v>
      </c>
      <c r="F200" s="163" t="str">
        <f ca="1">OFFSET(ORÇAMENTO!R$15,ROW(F200)-ROW(F$15),0)</f>
        <v>CONSTRUÇÃO DE BASE E SUB-BASE PARA PAVIMENTAÇÃO DE BRITA GRADUADA SIMPLES TRATADA COM CIMENTO, COM ESPESSURA DE 15 CM - EXCLUSIVE CARGA E TRANSPORTE. AF_09/2024</v>
      </c>
      <c r="G200" s="164" t="str">
        <f ca="1">IF($D200&lt;&gt;"Serviço","",OFFSET(ORÇAMENTO!S$15,ROW(G200)-ROW(G$15),0))</f>
        <v>M3</v>
      </c>
      <c r="H200" s="122" cm="1">
        <f t="array" aca="1" ref="H200" ca="1">IF($D200&lt;&gt;"Serviço",0,IF(ACOMPANHAMENTO="BM",ROUND(OFFSET(ORÇAMENTO!AJ$15,ROW(H200)-ROW(H$15),0),15-13*ORÇAMENTO!$AF$7),SUMPRODUCT(($Q$1:$AI$1=1)*ROUND($Q200:$AI200,15-13*ORÇAMENTO!$AF$7))))</f>
        <v>1.7</v>
      </c>
      <c r="I200" s="468" t="s">
        <v>1439</v>
      </c>
      <c r="J200" s="640" t="str" cm="1">
        <f t="array" aca="1" ref="J200" ca="1">IF(OR(B200&lt;&gt;"S",CÁLCULO.FrentesPreenchidas=0),"",IF(AND(ACOMPANHAMENTO="PLE",AUTOEVENTO="Manual",OR(H200&gt;0,ORÇAMENTO!AC200="QUANT."),OR(K200="",M200=0,N200="")),"►E",IF(AND(ACOMPANHAMENTO="PLE",ORÇAMENTO!AC200="QUANT."),"►Q",IF(AND(ACOMPANHAMENTO="PLE",H200&lt;&gt;SUMPRODUCT(($Q$1:$AI$1=1)*ROUND(Q200:AI200,15))),"►S",IF(AND(COUNTIF($P$11:$AI$11,"▼")=0,H200&gt;0,I200=""),"◄M","")))))</f>
        <v/>
      </c>
      <c r="K200" s="641" t="s">
        <v>1389</v>
      </c>
      <c r="L200" s="165" t="s">
        <v>764</v>
      </c>
      <c r="M200" s="166">
        <f ca="1">IF($D200&lt;&gt;"Serviço","",
          IF(AUTOEVENTO="manual",$A200,
                IF(ISERROR(MATCH($A200,$A$15:OFFSET($A200,-1,0),0)),MAX($M$15:OFFSET(M200,-1,0))+1,
                      INDEX($M$15:OFFSET(M200,-1,0),MATCH($A200,$A$15:OFFSET($A200,-1,0),0)))))</f>
        <v>4</v>
      </c>
      <c r="N200" s="167" t="str">
        <f ca="1">IF($D200&lt;&gt;"Serviço","",
         IF(AUTOEVENTO="Manual",
                IF($A200=0,"&lt;-- defina o número do agrupador",
                       OFFSET(EVENTOS!$D$15,$A200-$A$15,0)),
                OFFSET($F$15,$A200,0)))</f>
        <v>Estruturas de Concreto</v>
      </c>
      <c r="O200" s="168"/>
      <c r="Q200" s="168"/>
      <c r="R200" s="169"/>
      <c r="S200" s="169"/>
      <c r="T200" s="169"/>
      <c r="U200" s="169"/>
      <c r="V200" s="169">
        <f>ROUND(V199*0.05,2)</f>
        <v>1.7</v>
      </c>
      <c r="W200" s="169"/>
      <c r="X200" s="169"/>
      <c r="Y200" s="169"/>
      <c r="Z200" s="170"/>
      <c r="AA200" s="169"/>
      <c r="AB200" s="169"/>
      <c r="AC200" s="169"/>
      <c r="AD200" s="169"/>
      <c r="AE200" s="169"/>
      <c r="AF200" s="169"/>
      <c r="AG200" s="169"/>
      <c r="AH200" s="170"/>
      <c r="AJ200" s="453">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0</v>
      </c>
      <c r="AK200" s="453">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0</v>
      </c>
      <c r="AL200" s="453">
        <f ca="1">IF(AND($D200="Serviço",AL$12&lt;&gt;0,$H200&gt;0,OR(AUTOEVENTO&lt;&gt;"manual",$M200&lt;&gt;$A$15)),
        IF(Import.TipoArredondamento&lt;&gt;"TransfereGOV",
              ROUND(OFFSET($P200,0,AL$13),15-13*ORÇAMENTO!$AF$7)/$H200*OFFSET(ORÇAMENTO!$X$15,ROW(AL200)-ROW(AL$15),0),
              ROUND(ROUND(OFFSET($P200,0,AL$13),15-13*ORÇAMENTO!$AF$7)*OFFSET(ORÇAMENTO!$W$15,ROW(AL200)-ROW(AL$15),0),15-13*ORÇAMENTO!$AF$11)),
         0)</f>
        <v>0</v>
      </c>
      <c r="AM200" s="453">
        <f ca="1">IF(AND($D200="Serviço",AM$12&lt;&gt;0,$H200&gt;0,OR(AUTOEVENTO&lt;&gt;"manual",$M200&lt;&gt;$A$15)),
        IF(Import.TipoArredondamento&lt;&gt;"TransfereGOV",
              ROUND(OFFSET($P200,0,AM$13),15-13*ORÇAMENTO!$AF$7)/$H200*OFFSET(ORÇAMENTO!$X$15,ROW(AM200)-ROW(AM$15),0),
              ROUND(ROUND(OFFSET($P200,0,AM$13),15-13*ORÇAMENTO!$AF$7)*OFFSET(ORÇAMENTO!$W$15,ROW(AM200)-ROW(AM$15),0),15-13*ORÇAMENTO!$AF$11)),
         0)</f>
        <v>0</v>
      </c>
      <c r="AN200" s="453">
        <f ca="1">IF(AND($D200="Serviço",AN$12&lt;&gt;0,$H200&gt;0,OR(AUTOEVENTO&lt;&gt;"manual",$M200&lt;&gt;$A$15)),
        IF(Import.TipoArredondamento&lt;&gt;"TransfereGOV",
              ROUND(OFFSET($P200,0,AN$13),15-13*ORÇAMENTO!$AF$7)/$H200*OFFSET(ORÇAMENTO!$X$15,ROW(AN200)-ROW(AN$15),0),
              ROUND(ROUND(OFFSET($P200,0,AN$13),15-13*ORÇAMENTO!$AF$7)*OFFSET(ORÇAMENTO!$W$15,ROW(AN200)-ROW(AN$15),0),15-13*ORÇAMENTO!$AF$11)),
         0)</f>
        <v>0</v>
      </c>
      <c r="AO200" s="453">
        <f ca="1">IF(AND($D200="Serviço",AO$12&lt;&gt;0,$H200&gt;0,OR(AUTOEVENTO&lt;&gt;"manual",$M200&lt;&gt;$A$15)),
        IF(Import.TipoArredondamento&lt;&gt;"TransfereGOV",
              ROUND(OFFSET($P200,0,AO$13),15-13*ORÇAMENTO!$AF$7)/$H200*OFFSET(ORÇAMENTO!$X$15,ROW(AO200)-ROW(AO$15),0),
              ROUND(ROUND(OFFSET($P200,0,AO$13),15-13*ORÇAMENTO!$AF$7)*OFFSET(ORÇAMENTO!$W$15,ROW(AO200)-ROW(AO$15),0),15-13*ORÇAMENTO!$AF$11)),
         0)</f>
        <v>0</v>
      </c>
      <c r="AP200" s="453">
        <f ca="1">IF(AND($D200="Serviço",AP$12&lt;&gt;0,$H200&gt;0,OR(AUTOEVENTO&lt;&gt;"manual",$M200&lt;&gt;$A$15)),
        IF(Import.TipoArredondamento&lt;&gt;"TransfereGOV",
              ROUND(OFFSET($P200,0,AP$13),15-13*ORÇAMENTO!$AF$7)/$H200*OFFSET(ORÇAMENTO!$X$15,ROW(AP200)-ROW(AP$15),0),
              ROUND(ROUND(OFFSET($P200,0,AP$13),15-13*ORÇAMENTO!$AF$7)*OFFSET(ORÇAMENTO!$W$15,ROW(AP200)-ROW(AP$15),0),15-13*ORÇAMENTO!$AF$11)),
         0)</f>
        <v>0</v>
      </c>
      <c r="AQ200" s="453">
        <f ca="1">IF(AND($D200="Serviço",AQ$12&lt;&gt;0,$H200&gt;0,OR(AUTOEVENTO&lt;&gt;"manual",$M200&lt;&gt;$A$15)),
        IF(Import.TipoArredondamento&lt;&gt;"TransfereGOV",
              ROUND(OFFSET($P200,0,AQ$13),15-13*ORÇAMENTO!$AF$7)/$H200*OFFSET(ORÇAMENTO!$X$15,ROW(AQ200)-ROW(AQ$15),0),
              ROUND(ROUND(OFFSET($P200,0,AQ$13),15-13*ORÇAMENTO!$AF$7)*OFFSET(ORÇAMENTO!$W$15,ROW(AQ200)-ROW(AQ$15),0),15-13*ORÇAMENTO!$AF$11)),
         0)</f>
        <v>0</v>
      </c>
      <c r="AR200" s="453">
        <f ca="1">IF(AND($D200="Serviço",AR$12&lt;&gt;0,$H200&gt;0,OR(AUTOEVENTO&lt;&gt;"manual",$M200&lt;&gt;$A$15)),
        IF(Import.TipoArredondamento&lt;&gt;"TransfereGOV",
              ROUND(OFFSET($P200,0,AR$13),15-13*ORÇAMENTO!$AF$7)/$H200*OFFSET(ORÇAMENTO!$X$15,ROW(AR200)-ROW(AR$15),0),
              ROUND(ROUND(OFFSET($P200,0,AR$13),15-13*ORÇAMENTO!$AF$7)*OFFSET(ORÇAMENTO!$W$15,ROW(AR200)-ROW(AR$15),0),15-13*ORÇAMENTO!$AF$11)),
         0)</f>
        <v>0</v>
      </c>
      <c r="AS200" s="453">
        <f ca="1">IF(AND($D200="Serviço",AS$12&lt;&gt;0,$H200&gt;0,OR(AUTOEVENTO&lt;&gt;"manual",$M200&lt;&gt;$A$15)),
        IF(Import.TipoArredondamento&lt;&gt;"TransfereGOV",
              ROUND(OFFSET($P200,0,AS$13),15-13*ORÇAMENTO!$AF$7)/$H200*OFFSET(ORÇAMENTO!$X$15,ROW(AS200)-ROW(AS$15),0),
              ROUND(ROUND(OFFSET($P200,0,AS$13),15-13*ORÇAMENTO!$AF$7)*OFFSET(ORÇAMENTO!$W$15,ROW(AS200)-ROW(AS$15),0),15-13*ORÇAMENTO!$AF$11)),
         0)</f>
        <v>0</v>
      </c>
      <c r="AT200" s="453">
        <f ca="1">IF(AND($D200="Serviço",AT$12&lt;&gt;0,$H200&gt;0,OR(AUTOEVENTO&lt;&gt;"manual",$M200&lt;&gt;$A$15)),
        IF(Import.TipoArredondamento&lt;&gt;"TransfereGOV",
              ROUND(OFFSET($P200,0,AT$13),15-13*ORÇAMENTO!$AF$7)/$H200*OFFSET(ORÇAMENTO!$X$15,ROW(AT200)-ROW(AT$15),0),
              ROUND(ROUND(OFFSET($P200,0,AT$13),15-13*ORÇAMENTO!$AF$7)*OFFSET(ORÇAMENTO!$W$15,ROW(AT200)-ROW(AT$15),0),15-13*ORÇAMENTO!$AF$11)),
         0)</f>
        <v>0</v>
      </c>
      <c r="AU200" s="453">
        <f ca="1">IF(AND($D200="Serviço",AU$12&lt;&gt;0,$H200&gt;0,OR(AUTOEVENTO&lt;&gt;"manual",$M200&lt;&gt;$A$15)),
        IF(Import.TipoArredondamento&lt;&gt;"TransfereGOV",
              ROUND(OFFSET($P200,0,AU$13),15-13*ORÇAMENTO!$AF$7)/$H200*OFFSET(ORÇAMENTO!$X$15,ROW(AU200)-ROW(AU$15),0),
              ROUND(ROUND(OFFSET($P200,0,AU$13),15-13*ORÇAMENTO!$AF$7)*OFFSET(ORÇAMENTO!$W$15,ROW(AU200)-ROW(AU$15),0),15-13*ORÇAMENTO!$AF$11)),
         0)</f>
        <v>0</v>
      </c>
      <c r="AV200" s="453">
        <f ca="1">IF(AND($D200="Serviço",AV$12&lt;&gt;0,$H200&gt;0,OR(AUTOEVENTO&lt;&gt;"manual",$M200&lt;&gt;$A$15)),
        IF(Import.TipoArredondamento&lt;&gt;"TransfereGOV",
              ROUND(OFFSET($P200,0,AV$13),15-13*ORÇAMENTO!$AF$7)/$H200*OFFSET(ORÇAMENTO!$X$15,ROW(AV200)-ROW(AV$15),0),
              ROUND(ROUND(OFFSET($P200,0,AV$13),15-13*ORÇAMENTO!$AF$7)*OFFSET(ORÇAMENTO!$W$15,ROW(AV200)-ROW(AV$15),0),15-13*ORÇAMENTO!$AF$11)),
         0)</f>
        <v>0</v>
      </c>
      <c r="AW200" s="453">
        <f ca="1">IF(AND($D200="Serviço",AW$12&lt;&gt;0,$H200&gt;0,OR(AUTOEVENTO&lt;&gt;"manual",$M200&lt;&gt;$A$15)),
        IF(Import.TipoArredondamento&lt;&gt;"TransfereGOV",
              ROUND(OFFSET($P200,0,AW$13),15-13*ORÇAMENTO!$AF$7)/$H200*OFFSET(ORÇAMENTO!$X$15,ROW(AW200)-ROW(AW$15),0),
              ROUND(ROUND(OFFSET($P200,0,AW$13),15-13*ORÇAMENTO!$AF$7)*OFFSET(ORÇAMENTO!$W$15,ROW(AW200)-ROW(AW$15),0),15-13*ORÇAMENTO!$AF$11)),
         0)</f>
        <v>0</v>
      </c>
      <c r="AX200" s="453">
        <f ca="1">IF(AND($D200="Serviço",AX$12&lt;&gt;0,$H200&gt;0,OR(AUTOEVENTO&lt;&gt;"manual",$M200&lt;&gt;$A$15)),
        IF(Import.TipoArredondamento&lt;&gt;"TransfereGOV",
              ROUND(OFFSET($P200,0,AX$13),15-13*ORÇAMENTO!$AF$7)/$H200*OFFSET(ORÇAMENTO!$X$15,ROW(AX200)-ROW(AX$15),0),
              ROUND(ROUND(OFFSET($P200,0,AX$13),15-13*ORÇAMENTO!$AF$7)*OFFSET(ORÇAMENTO!$W$15,ROW(AX200)-ROW(AX$15),0),15-13*ORÇAMENTO!$AF$11)),
         0)</f>
        <v>0</v>
      </c>
      <c r="AY200" s="453">
        <f ca="1">IF(AND($D200="Serviço",AY$12&lt;&gt;0,$H200&gt;0,OR(AUTOEVENTO&lt;&gt;"manual",$M200&lt;&gt;$A$15)),
        IF(Import.TipoArredondamento&lt;&gt;"TransfereGOV",
              ROUND(OFFSET($P200,0,AY$13),15-13*ORÇAMENTO!$AF$7)/$H200*OFFSET(ORÇAMENTO!$X$15,ROW(AY200)-ROW(AY$15),0),
              ROUND(ROUND(OFFSET($P200,0,AY$13),15-13*ORÇAMENTO!$AF$7)*OFFSET(ORÇAMENTO!$W$15,ROW(AY200)-ROW(AY$15),0),15-13*ORÇAMENTO!$AF$11)),
         0)</f>
        <v>0</v>
      </c>
      <c r="AZ200" s="453">
        <f ca="1">IF(AND($D200="Serviço",AZ$12&lt;&gt;0,$H200&gt;0,OR(AUTOEVENTO&lt;&gt;"manual",$M200&lt;&gt;$A$15)),
        IF(Import.TipoArredondamento&lt;&gt;"TransfereGOV",
              ROUND(OFFSET($P200,0,AZ$13),15-13*ORÇAMENTO!$AF$7)/$H200*OFFSET(ORÇAMENTO!$X$15,ROW(AZ200)-ROW(AZ$15),0),
              ROUND(ROUND(OFFSET($P200,0,AZ$13),15-13*ORÇAMENTO!$AF$7)*OFFSET(ORÇAMENTO!$W$15,ROW(AZ200)-ROW(AZ$15),0),15-13*ORÇAMENTO!$AF$11)),
         0)</f>
        <v>0</v>
      </c>
      <c r="BA200" s="453">
        <f ca="1">IF(AND($D200="Serviço",BA$12&lt;&gt;0,$H200&gt;0,OR(AUTOEVENTO&lt;&gt;"manual",$M200&lt;&gt;$A$15)),
        IF(Import.TipoArredondamento&lt;&gt;"TransfereGOV",
              ROUND(OFFSET($P200,0,BA$13),15-13*ORÇAMENTO!$AF$7)/$H200*OFFSET(ORÇAMENTO!$X$15,ROW(BA200)-ROW(BA$15),0),
              ROUND(ROUND(OFFSET($P200,0,BA$13),15-13*ORÇAMENTO!$AF$7)*OFFSET(ORÇAMENTO!$W$15,ROW(BA200)-ROW(BA$15),0),15-13*ORÇAMENTO!$AF$11)),
         0)</f>
        <v>0</v>
      </c>
      <c r="BC200" s="171">
        <f ca="1">IF(OR($D200&lt;&gt;"Serviço",AND(AUTOEVENTO="Manual",$M200=$A$15)),0,
         IF(OFFSET(CRONOPLE!$F$15,$M200-$A$15,BC$13)=0,10^12,OFFSET(CRONOPLE!$F$15,$M200-$A$15,BC$13)))</f>
        <v>1</v>
      </c>
      <c r="BD200" s="171">
        <f ca="1">IF(OR($D200&lt;&gt;"Serviço",AND(AUTOEVENTO="Manual",$M200=$A$15)),0,
         IF(OFFSET(CRONOPLE!$F$15,$M200-$A$15,BD$13)=0,10^12,OFFSET(CRONOPLE!$F$15,$M200-$A$15,BD$13)))</f>
        <v>2</v>
      </c>
      <c r="BE200" s="171">
        <f ca="1">IF(OR($D200&lt;&gt;"Serviço",AND(AUTOEVENTO="Manual",$M200=$A$15)),0,
         IF(OFFSET(CRONOPLE!$F$15,$M200-$A$15,BE$13)=0,10^12,OFFSET(CRONOPLE!$F$15,$M200-$A$15,BE$13)))</f>
        <v>3</v>
      </c>
      <c r="BF200" s="171">
        <f ca="1">IF(OR($D200&lt;&gt;"Serviço",AND(AUTOEVENTO="Manual",$M200=$A$15)),0,
         IF(OFFSET(CRONOPLE!$F$15,$M200-$A$15,BF$13)=0,10^12,OFFSET(CRONOPLE!$F$15,$M200-$A$15,BF$13)))</f>
        <v>4</v>
      </c>
      <c r="BG200" s="171">
        <f ca="1">IF(OR($D200&lt;&gt;"Serviço",AND(AUTOEVENTO="Manual",$M200=$A$15)),0,
         IF(OFFSET(CRONOPLE!$F$15,$M200-$A$15,BG$13)=0,10^12,OFFSET(CRONOPLE!$F$15,$M200-$A$15,BG$13)))</f>
        <v>5</v>
      </c>
      <c r="BH200" s="171">
        <f ca="1">IF(OR($D200&lt;&gt;"Serviço",AND(AUTOEVENTO="Manual",$M200=$A$15)),0,
         IF(OFFSET(CRONOPLE!$F$15,$M200-$A$15,BH$13)=0,10^12,OFFSET(CRONOPLE!$F$15,$M200-$A$15,BH$13)))</f>
        <v>6</v>
      </c>
      <c r="BI200" s="171">
        <f ca="1">IF(OR($D200&lt;&gt;"Serviço",AND(AUTOEVENTO="Manual",$M200=$A$15)),0,
         IF(OFFSET(CRONOPLE!$F$15,$M200-$A$15,BI$13)=0,10^12,OFFSET(CRONOPLE!$F$15,$M200-$A$15,BI$13)))</f>
        <v>7</v>
      </c>
      <c r="BJ200" s="171">
        <f ca="1">IF(OR($D200&lt;&gt;"Serviço",AND(AUTOEVENTO="Manual",$M200=$A$15)),0,
         IF(OFFSET(CRONOPLE!$F$15,$M200-$A$15,BJ$13)=0,10^12,OFFSET(CRONOPLE!$F$15,$M200-$A$15,BJ$13)))</f>
        <v>8</v>
      </c>
      <c r="BK200" s="171">
        <f ca="1">IF(OR($D200&lt;&gt;"Serviço",AND(AUTOEVENTO="Manual",$M200=$A$15)),0,
         IF(OFFSET(CRONOPLE!$F$15,$M200-$A$15,BK$13)=0,10^12,OFFSET(CRONOPLE!$F$15,$M200-$A$15,BK$13)))</f>
        <v>9</v>
      </c>
      <c r="BL200" s="171">
        <f ca="1">IF(OR($D200&lt;&gt;"Serviço",AND(AUTOEVENTO="Manual",$M200=$A$15)),0,
         IF(OFFSET(CRONOPLE!$F$15,$M200-$A$15,BL$13)=0,10^12,OFFSET(CRONOPLE!$F$15,$M200-$A$15,BL$13)))</f>
        <v>10</v>
      </c>
      <c r="BM200" s="171">
        <f ca="1">IF(OR($D200&lt;&gt;"Serviço",AND(AUTOEVENTO="Manual",$M200=$A$15)),0,
         IF(OFFSET(CRONOPLE!$F$15,$M200-$A$15,BM$13)=0,10^12,OFFSET(CRONOPLE!$F$15,$M200-$A$15,BM$13)))</f>
        <v>1000000000000</v>
      </c>
      <c r="BN200" s="171">
        <f ca="1">IF(OR($D200&lt;&gt;"Serviço",AND(AUTOEVENTO="Manual",$M200=$A$15)),0,
         IF(OFFSET(CRONOPLE!$F$15,$M200-$A$15,BN$13)=0,10^12,OFFSET(CRONOPLE!$F$15,$M200-$A$15,BN$13)))</f>
        <v>1000000000000</v>
      </c>
      <c r="BO200" s="171">
        <f ca="1">IF(OR($D200&lt;&gt;"Serviço",AND(AUTOEVENTO="Manual",$M200=$A$15)),0,
         IF(OFFSET(CRONOPLE!$F$15,$M200-$A$15,BO$13)=0,10^12,OFFSET(CRONOPLE!$F$15,$M200-$A$15,BO$13)))</f>
        <v>1000000000000</v>
      </c>
      <c r="BP200" s="171">
        <f ca="1">IF(OR($D200&lt;&gt;"Serviço",AND(AUTOEVENTO="Manual",$M200=$A$15)),0,
         IF(OFFSET(CRONOPLE!$F$15,$M200-$A$15,BP$13)=0,10^12,OFFSET(CRONOPLE!$F$15,$M200-$A$15,BP$13)))</f>
        <v>1000000000000</v>
      </c>
      <c r="BQ200" s="171">
        <f ca="1">IF(OR($D200&lt;&gt;"Serviço",AND(AUTOEVENTO="Manual",$M200=$A$15)),0,
         IF(OFFSET(CRONOPLE!$F$15,$M200-$A$15,BQ$13)=0,10^12,OFFSET(CRONOPLE!$F$15,$M200-$A$15,BQ$13)))</f>
        <v>1000000000000</v>
      </c>
      <c r="BR200" s="171">
        <f ca="1">IF(OR($D200&lt;&gt;"Serviço",AND(AUTOEVENTO="Manual",$M200=$A$15)),0,
         IF(OFFSET(CRONOPLE!$F$15,$M200-$A$15,BR$13)=0,10^12,OFFSET(CRONOPLE!$F$15,$M200-$A$15,BR$13)))</f>
        <v>1000000000000</v>
      </c>
      <c r="BS200" s="171">
        <f ca="1">IF(OR($D200&lt;&gt;"Serviço",AND(AUTOEVENTO="Manual",$M200=$A$15)),0,
         IF(OFFSET(CRONOPLE!$F$15,$M200-$A$15,BS$13)=0,10^12,OFFSET(CRONOPLE!$F$15,$M200-$A$15,BS$13)))</f>
        <v>1000000000000</v>
      </c>
      <c r="BT200" s="171">
        <f ca="1">IF(OR($D200&lt;&gt;"Serviço",AND(AUTOEVENTO="Manual",$M200=$A$15)),0,
         IF(OFFSET(CRONOPLE!$F$15,$M200-$A$15,BT$13)=0,10^12,OFFSET(CRONOPLE!$F$15,$M200-$A$15,BT$13)))</f>
        <v>1000000000000</v>
      </c>
      <c r="BV200" s="172">
        <f ca="1">IF(OR($D200&lt;&gt;"Serviço",AND(AUTOEVENTO="Manual",$M200=$A$15),$M200&gt;(ROW(PLE.lastrow)-ROW(PLE.firstrow))),0,
           IF(OFFSET(PLE!$G$15,$M200-$A$15,BV$13)="",10^12,OFFSET(PLE!$G$15,$M200-$A$15,BV$13)))</f>
        <v>1000000000000</v>
      </c>
      <c r="BW200" s="172">
        <f ca="1">IF(OR($D200&lt;&gt;"Serviço",AND(AUTOEVENTO="Manual",$M200=$A$15),$M200&gt;(ROW(PLE.lastrow)-ROW(PLE.firstrow))),0,
           IF(OFFSET(PLE!$G$15,$M200-$A$15,BW$13)="",10^12,OFFSET(PLE!$G$15,$M200-$A$15,BW$13)))</f>
        <v>1000000000000</v>
      </c>
      <c r="BX200" s="172">
        <f ca="1">IF(OR($D200&lt;&gt;"Serviço",AND(AUTOEVENTO="Manual",$M200=$A$15),$M200&gt;(ROW(PLE.lastrow)-ROW(PLE.firstrow))),0,
           IF(OFFSET(PLE!$G$15,$M200-$A$15,BX$13)="",10^12,OFFSET(PLE!$G$15,$M200-$A$15,BX$13)))</f>
        <v>1000000000000</v>
      </c>
      <c r="BY200" s="172">
        <f ca="1">IF(OR($D200&lt;&gt;"Serviço",AND(AUTOEVENTO="Manual",$M200=$A$15),$M200&gt;(ROW(PLE.lastrow)-ROW(PLE.firstrow))),0,
           IF(OFFSET(PLE!$G$15,$M200-$A$15,BY$13)="",10^12,OFFSET(PLE!$G$15,$M200-$A$15,BY$13)))</f>
        <v>1000000000000</v>
      </c>
      <c r="BZ200" s="172">
        <f ca="1">IF(OR($D200&lt;&gt;"Serviço",AND(AUTOEVENTO="Manual",$M200=$A$15),$M200&gt;(ROW(PLE.lastrow)-ROW(PLE.firstrow))),0,
           IF(OFFSET(PLE!$G$15,$M200-$A$15,BZ$13)="",10^12,OFFSET(PLE!$G$15,$M200-$A$15,BZ$13)))</f>
        <v>1000000000000</v>
      </c>
      <c r="CA200" s="172">
        <f ca="1">IF(OR($D200&lt;&gt;"Serviço",AND(AUTOEVENTO="Manual",$M200=$A$15),$M200&gt;(ROW(PLE.lastrow)-ROW(PLE.firstrow))),0,
           IF(OFFSET(PLE!$G$15,$M200-$A$15,CA$13)="",10^12,OFFSET(PLE!$G$15,$M200-$A$15,CA$13)))</f>
        <v>1000000000000</v>
      </c>
      <c r="CB200" s="172">
        <f ca="1">IF(OR($D200&lt;&gt;"Serviço",AND(AUTOEVENTO="Manual",$M200=$A$15),$M200&gt;(ROW(PLE.lastrow)-ROW(PLE.firstrow))),0,
           IF(OFFSET(PLE!$G$15,$M200-$A$15,CB$13)="",10^12,OFFSET(PLE!$G$15,$M200-$A$15,CB$13)))</f>
        <v>1000000000000</v>
      </c>
      <c r="CC200" s="172">
        <f ca="1">IF(OR($D200&lt;&gt;"Serviço",AND(AUTOEVENTO="Manual",$M200=$A$15),$M200&gt;(ROW(PLE.lastrow)-ROW(PLE.firstrow))),0,
           IF(OFFSET(PLE!$G$15,$M200-$A$15,CC$13)="",10^12,OFFSET(PLE!$G$15,$M200-$A$15,CC$13)))</f>
        <v>1000000000000</v>
      </c>
      <c r="CD200" s="172">
        <f ca="1">IF(OR($D200&lt;&gt;"Serviço",AND(AUTOEVENTO="Manual",$M200=$A$15),$M200&gt;(ROW(PLE.lastrow)-ROW(PLE.firstrow))),0,
           IF(OFFSET(PLE!$G$15,$M200-$A$15,CD$13)="",10^12,OFFSET(PLE!$G$15,$M200-$A$15,CD$13)))</f>
        <v>1000000000000</v>
      </c>
      <c r="CE200" s="172">
        <f ca="1">IF(OR($D200&lt;&gt;"Serviço",AND(AUTOEVENTO="Manual",$M200=$A$15),$M200&gt;(ROW(PLE.lastrow)-ROW(PLE.firstrow))),0,
           IF(OFFSET(PLE!$G$15,$M200-$A$15,CE$13)="",10^12,OFFSET(PLE!$G$15,$M200-$A$15,CE$13)))</f>
        <v>1000000000000</v>
      </c>
      <c r="CF200" s="172">
        <f ca="1">IF(OR($D200&lt;&gt;"Serviço",AND(AUTOEVENTO="Manual",$M200=$A$15),$M200&gt;(ROW(PLE.lastrow)-ROW(PLE.firstrow))),0,
           IF(OFFSET(PLE!$G$15,$M200-$A$15,CF$13)="",10^12,OFFSET(PLE!$G$15,$M200-$A$15,CF$13)))</f>
        <v>1000000000000</v>
      </c>
      <c r="CG200" s="172">
        <f ca="1">IF(OR($D200&lt;&gt;"Serviço",AND(AUTOEVENTO="Manual",$M200=$A$15),$M200&gt;(ROW(PLE.lastrow)-ROW(PLE.firstrow))),0,
           IF(OFFSET(PLE!$G$15,$M200-$A$15,CG$13)="",10^12,OFFSET(PLE!$G$15,$M200-$A$15,CG$13)))</f>
        <v>1000000000000</v>
      </c>
      <c r="CH200" s="172">
        <f ca="1">IF(OR($D200&lt;&gt;"Serviço",AND(AUTOEVENTO="Manual",$M200=$A$15),$M200&gt;(ROW(PLE.lastrow)-ROW(PLE.firstrow))),0,
           IF(OFFSET(PLE!$G$15,$M200-$A$15,CH$13)="",10^12,OFFSET(PLE!$G$15,$M200-$A$15,CH$13)))</f>
        <v>1000000000000</v>
      </c>
      <c r="CI200" s="172">
        <f ca="1">IF(OR($D200&lt;&gt;"Serviço",AND(AUTOEVENTO="Manual",$M200=$A$15),$M200&gt;(ROW(PLE.lastrow)-ROW(PLE.firstrow))),0,
           IF(OFFSET(PLE!$G$15,$M200-$A$15,CI$13)="",10^12,OFFSET(PLE!$G$15,$M200-$A$15,CI$13)))</f>
        <v>1000000000000</v>
      </c>
      <c r="CJ200" s="172">
        <f ca="1">IF(OR($D200&lt;&gt;"Serviço",AND(AUTOEVENTO="Manual",$M200=$A$15),$M200&gt;(ROW(PLE.lastrow)-ROW(PLE.firstrow))),0,
           IF(OFFSET(PLE!$G$15,$M200-$A$15,CJ$13)="",10^12,OFFSET(PLE!$G$15,$M200-$A$15,CJ$13)))</f>
        <v>1000000000000</v>
      </c>
      <c r="CK200" s="172">
        <f ca="1">IF(OR($D200&lt;&gt;"Serviço",AND(AUTOEVENTO="Manual",$M200=$A$15),$M200&gt;(ROW(PLE.lastrow)-ROW(PLE.firstrow))),0,
           IF(OFFSET(PLE!$G$15,$M200-$A$15,CK$13)="",10^12,OFFSET(PLE!$G$15,$M200-$A$15,CK$13)))</f>
        <v>1000000000000</v>
      </c>
      <c r="CL200" s="172">
        <f ca="1">IF(OR($D200&lt;&gt;"Serviço",AND(AUTOEVENTO="Manual",$M200=$A$15),$M200&gt;(ROW(PLE.lastrow)-ROW(PLE.firstrow))),0,
           IF(OFFSET(PLE!$G$15,$M200-$A$15,CL$13)="",10^12,OFFSET(PLE!$G$15,$M200-$A$15,CL$13)))</f>
        <v>1000000000000</v>
      </c>
      <c r="CM200" s="172">
        <f ca="1">IF(OR($D200&lt;&gt;"Serviço",AND(AUTOEVENTO="Manual",$M200=$A$15),$M200&gt;(ROW(PLE.lastrow)-ROW(PLE.firstrow))),0,
           IF(OFFSET(PLE!$G$15,$M200-$A$15,CM$13)="",10^12,OFFSET(PLE!$G$15,$M200-$A$15,CM$13)))</f>
        <v>1000000000000</v>
      </c>
    </row>
    <row r="201" spans="1:91" ht="12.75" x14ac:dyDescent="0.2">
      <c r="A201" s="7">
        <f t="shared" ca="1" si="12"/>
        <v>0</v>
      </c>
      <c r="B201" s="7">
        <f ca="1">OFFSET(ORÇAMENTO!C$15,ROW(B201)-ROW(B$15),0)</f>
        <v>4</v>
      </c>
      <c r="C201" s="7" t="str">
        <f ca="1">OFFSET(ORÇAMENTO!L$15,ROW(C201)-ROW(C$15),0)</f>
        <v>F</v>
      </c>
      <c r="D201" s="116" t="str">
        <f ca="1">OFFSET(ORÇAMENTO!N$15,ROW(D201)-ROW(D$15),0)</f>
        <v>Nível 4</v>
      </c>
      <c r="E201" s="117" t="str">
        <f ca="1">OFFSET(ORÇAMENTO!O$15,ROW(E201)-ROW(E$15),0)</f>
        <v>1.5.5.6.</v>
      </c>
      <c r="F201" s="163" t="str">
        <f ca="1">OFFSET(ORÇAMENTO!R$15,ROW(F201)-ROW(F$15),0)</f>
        <v>PISO DE CONCRETO</v>
      </c>
      <c r="G201" s="164" t="str">
        <f ca="1">IF($D201&lt;&gt;"Serviço","",OFFSET(ORÇAMENTO!S$15,ROW(G201)-ROW(G$15),0))</f>
        <v/>
      </c>
      <c r="H201" s="122" cm="1">
        <f t="array" aca="1" ref="H201" ca="1">IF($D201&lt;&gt;"Serviço",0,IF(ACOMPANHAMENTO="BM",ROUND(OFFSET(ORÇAMENTO!AJ$15,ROW(H201)-ROW(H$15),0),15-13*ORÇAMENTO!$AF$7),SUMPRODUCT(($Q$1:$AI$1=1)*ROUND($Q201:$AI201,15-13*ORÇAMENTO!$AF$7))))</f>
        <v>0</v>
      </c>
      <c r="I201" s="468"/>
      <c r="J201" s="640" t="str" cm="1">
        <f t="array" aca="1" ref="J201" ca="1">IF(OR(B201&lt;&gt;"S",CÁLCULO.FrentesPreenchidas=0),"",IF(AND(ACOMPANHAMENTO="PLE",AUTOEVENTO="Manual",OR(H201&gt;0,ORÇAMENTO!AC201="QUANT."),OR(K201="",M201=0,N201="")),"►E",IF(AND(ACOMPANHAMENTO="PLE",ORÇAMENTO!AC201="QUANT."),"►Q",IF(AND(ACOMPANHAMENTO="PLE",H201&lt;&gt;SUMPRODUCT(($Q$1:$AI$1=1)*ROUND(Q201:AI201,15))),"►S",IF(AND(COUNTIF($P$11:$AI$11,"▼")=0,H201&gt;0,I201=""),"◄M","")))))</f>
        <v/>
      </c>
      <c r="K201" s="641"/>
      <c r="L201" s="165" t="s">
        <v>764</v>
      </c>
      <c r="M201" s="166" t="str">
        <f ca="1">IF($D201&lt;&gt;"Serviço","",
          IF(AUTOEVENTO="manual",$A201,
                IF(ISERROR(MATCH($A201,$A$15:OFFSET($A201,-1,0),0)),MAX($M$15:OFFSET(M201,-1,0))+1,
                      INDEX($M$15:OFFSET(M201,-1,0),MATCH($A201,$A$15:OFFSET($A201,-1,0),0)))))</f>
        <v/>
      </c>
      <c r="N201" s="167" t="str">
        <f ca="1">IF($D201&lt;&gt;"Serviço","",
         IF(AUTOEVENTO="Manual",
                IF($A201=0,"&lt;-- defina o número do agrupador",
                       OFFSET(EVENTOS!$D$15,$A201-$A$15,0)),
                OFFSET($F$15,$A201,0)))</f>
        <v/>
      </c>
      <c r="O201" s="168"/>
      <c r="Q201" s="168"/>
      <c r="R201" s="169"/>
      <c r="S201" s="169"/>
      <c r="T201" s="169"/>
      <c r="U201" s="169"/>
      <c r="V201" s="169"/>
      <c r="W201" s="169"/>
      <c r="X201" s="169"/>
      <c r="Y201" s="169"/>
      <c r="Z201" s="170"/>
      <c r="AA201" s="169"/>
      <c r="AB201" s="169"/>
      <c r="AC201" s="169"/>
      <c r="AD201" s="169"/>
      <c r="AE201" s="169"/>
      <c r="AF201" s="169"/>
      <c r="AG201" s="169"/>
      <c r="AH201" s="170"/>
      <c r="AJ201" s="453">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0</v>
      </c>
      <c r="AK201" s="453">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0</v>
      </c>
      <c r="AL201" s="453">
        <f ca="1">IF(AND($D201="Serviço",AL$12&lt;&gt;0,$H201&gt;0,OR(AUTOEVENTO&lt;&gt;"manual",$M201&lt;&gt;$A$15)),
        IF(Import.TipoArredondamento&lt;&gt;"TransfereGOV",
              ROUND(OFFSET($P201,0,AL$13),15-13*ORÇAMENTO!$AF$7)/$H201*OFFSET(ORÇAMENTO!$X$15,ROW(AL201)-ROW(AL$15),0),
              ROUND(ROUND(OFFSET($P201,0,AL$13),15-13*ORÇAMENTO!$AF$7)*OFFSET(ORÇAMENTO!$W$15,ROW(AL201)-ROW(AL$15),0),15-13*ORÇAMENTO!$AF$11)),
         0)</f>
        <v>0</v>
      </c>
      <c r="AM201" s="453">
        <f ca="1">IF(AND($D201="Serviço",AM$12&lt;&gt;0,$H201&gt;0,OR(AUTOEVENTO&lt;&gt;"manual",$M201&lt;&gt;$A$15)),
        IF(Import.TipoArredondamento&lt;&gt;"TransfereGOV",
              ROUND(OFFSET($P201,0,AM$13),15-13*ORÇAMENTO!$AF$7)/$H201*OFFSET(ORÇAMENTO!$X$15,ROW(AM201)-ROW(AM$15),0),
              ROUND(ROUND(OFFSET($P201,0,AM$13),15-13*ORÇAMENTO!$AF$7)*OFFSET(ORÇAMENTO!$W$15,ROW(AM201)-ROW(AM$15),0),15-13*ORÇAMENTO!$AF$11)),
         0)</f>
        <v>0</v>
      </c>
      <c r="AN201" s="453">
        <f ca="1">IF(AND($D201="Serviço",AN$12&lt;&gt;0,$H201&gt;0,OR(AUTOEVENTO&lt;&gt;"manual",$M201&lt;&gt;$A$15)),
        IF(Import.TipoArredondamento&lt;&gt;"TransfereGOV",
              ROUND(OFFSET($P201,0,AN$13),15-13*ORÇAMENTO!$AF$7)/$H201*OFFSET(ORÇAMENTO!$X$15,ROW(AN201)-ROW(AN$15),0),
              ROUND(ROUND(OFFSET($P201,0,AN$13),15-13*ORÇAMENTO!$AF$7)*OFFSET(ORÇAMENTO!$W$15,ROW(AN201)-ROW(AN$15),0),15-13*ORÇAMENTO!$AF$11)),
         0)</f>
        <v>0</v>
      </c>
      <c r="AO201" s="453">
        <f ca="1">IF(AND($D201="Serviço",AO$12&lt;&gt;0,$H201&gt;0,OR(AUTOEVENTO&lt;&gt;"manual",$M201&lt;&gt;$A$15)),
        IF(Import.TipoArredondamento&lt;&gt;"TransfereGOV",
              ROUND(OFFSET($P201,0,AO$13),15-13*ORÇAMENTO!$AF$7)/$H201*OFFSET(ORÇAMENTO!$X$15,ROW(AO201)-ROW(AO$15),0),
              ROUND(ROUND(OFFSET($P201,0,AO$13),15-13*ORÇAMENTO!$AF$7)*OFFSET(ORÇAMENTO!$W$15,ROW(AO201)-ROW(AO$15),0),15-13*ORÇAMENTO!$AF$11)),
         0)</f>
        <v>0</v>
      </c>
      <c r="AP201" s="453">
        <f ca="1">IF(AND($D201="Serviço",AP$12&lt;&gt;0,$H201&gt;0,OR(AUTOEVENTO&lt;&gt;"manual",$M201&lt;&gt;$A$15)),
        IF(Import.TipoArredondamento&lt;&gt;"TransfereGOV",
              ROUND(OFFSET($P201,0,AP$13),15-13*ORÇAMENTO!$AF$7)/$H201*OFFSET(ORÇAMENTO!$X$15,ROW(AP201)-ROW(AP$15),0),
              ROUND(ROUND(OFFSET($P201,0,AP$13),15-13*ORÇAMENTO!$AF$7)*OFFSET(ORÇAMENTO!$W$15,ROW(AP201)-ROW(AP$15),0),15-13*ORÇAMENTO!$AF$11)),
         0)</f>
        <v>0</v>
      </c>
      <c r="AQ201" s="453">
        <f ca="1">IF(AND($D201="Serviço",AQ$12&lt;&gt;0,$H201&gt;0,OR(AUTOEVENTO&lt;&gt;"manual",$M201&lt;&gt;$A$15)),
        IF(Import.TipoArredondamento&lt;&gt;"TransfereGOV",
              ROUND(OFFSET($P201,0,AQ$13),15-13*ORÇAMENTO!$AF$7)/$H201*OFFSET(ORÇAMENTO!$X$15,ROW(AQ201)-ROW(AQ$15),0),
              ROUND(ROUND(OFFSET($P201,0,AQ$13),15-13*ORÇAMENTO!$AF$7)*OFFSET(ORÇAMENTO!$W$15,ROW(AQ201)-ROW(AQ$15),0),15-13*ORÇAMENTO!$AF$11)),
         0)</f>
        <v>0</v>
      </c>
      <c r="AR201" s="453">
        <f ca="1">IF(AND($D201="Serviço",AR$12&lt;&gt;0,$H201&gt;0,OR(AUTOEVENTO&lt;&gt;"manual",$M201&lt;&gt;$A$15)),
        IF(Import.TipoArredondamento&lt;&gt;"TransfereGOV",
              ROUND(OFFSET($P201,0,AR$13),15-13*ORÇAMENTO!$AF$7)/$H201*OFFSET(ORÇAMENTO!$X$15,ROW(AR201)-ROW(AR$15),0),
              ROUND(ROUND(OFFSET($P201,0,AR$13),15-13*ORÇAMENTO!$AF$7)*OFFSET(ORÇAMENTO!$W$15,ROW(AR201)-ROW(AR$15),0),15-13*ORÇAMENTO!$AF$11)),
         0)</f>
        <v>0</v>
      </c>
      <c r="AS201" s="453">
        <f ca="1">IF(AND($D201="Serviço",AS$12&lt;&gt;0,$H201&gt;0,OR(AUTOEVENTO&lt;&gt;"manual",$M201&lt;&gt;$A$15)),
        IF(Import.TipoArredondamento&lt;&gt;"TransfereGOV",
              ROUND(OFFSET($P201,0,AS$13),15-13*ORÇAMENTO!$AF$7)/$H201*OFFSET(ORÇAMENTO!$X$15,ROW(AS201)-ROW(AS$15),0),
              ROUND(ROUND(OFFSET($P201,0,AS$13),15-13*ORÇAMENTO!$AF$7)*OFFSET(ORÇAMENTO!$W$15,ROW(AS201)-ROW(AS$15),0),15-13*ORÇAMENTO!$AF$11)),
         0)</f>
        <v>0</v>
      </c>
      <c r="AT201" s="453">
        <f ca="1">IF(AND($D201="Serviço",AT$12&lt;&gt;0,$H201&gt;0,OR(AUTOEVENTO&lt;&gt;"manual",$M201&lt;&gt;$A$15)),
        IF(Import.TipoArredondamento&lt;&gt;"TransfereGOV",
              ROUND(OFFSET($P201,0,AT$13),15-13*ORÇAMENTO!$AF$7)/$H201*OFFSET(ORÇAMENTO!$X$15,ROW(AT201)-ROW(AT$15),0),
              ROUND(ROUND(OFFSET($P201,0,AT$13),15-13*ORÇAMENTO!$AF$7)*OFFSET(ORÇAMENTO!$W$15,ROW(AT201)-ROW(AT$15),0),15-13*ORÇAMENTO!$AF$11)),
         0)</f>
        <v>0</v>
      </c>
      <c r="AU201" s="453">
        <f ca="1">IF(AND($D201="Serviço",AU$12&lt;&gt;0,$H201&gt;0,OR(AUTOEVENTO&lt;&gt;"manual",$M201&lt;&gt;$A$15)),
        IF(Import.TipoArredondamento&lt;&gt;"TransfereGOV",
              ROUND(OFFSET($P201,0,AU$13),15-13*ORÇAMENTO!$AF$7)/$H201*OFFSET(ORÇAMENTO!$X$15,ROW(AU201)-ROW(AU$15),0),
              ROUND(ROUND(OFFSET($P201,0,AU$13),15-13*ORÇAMENTO!$AF$7)*OFFSET(ORÇAMENTO!$W$15,ROW(AU201)-ROW(AU$15),0),15-13*ORÇAMENTO!$AF$11)),
         0)</f>
        <v>0</v>
      </c>
      <c r="AV201" s="453">
        <f ca="1">IF(AND($D201="Serviço",AV$12&lt;&gt;0,$H201&gt;0,OR(AUTOEVENTO&lt;&gt;"manual",$M201&lt;&gt;$A$15)),
        IF(Import.TipoArredondamento&lt;&gt;"TransfereGOV",
              ROUND(OFFSET($P201,0,AV$13),15-13*ORÇAMENTO!$AF$7)/$H201*OFFSET(ORÇAMENTO!$X$15,ROW(AV201)-ROW(AV$15),0),
              ROUND(ROUND(OFFSET($P201,0,AV$13),15-13*ORÇAMENTO!$AF$7)*OFFSET(ORÇAMENTO!$W$15,ROW(AV201)-ROW(AV$15),0),15-13*ORÇAMENTO!$AF$11)),
         0)</f>
        <v>0</v>
      </c>
      <c r="AW201" s="453">
        <f ca="1">IF(AND($D201="Serviço",AW$12&lt;&gt;0,$H201&gt;0,OR(AUTOEVENTO&lt;&gt;"manual",$M201&lt;&gt;$A$15)),
        IF(Import.TipoArredondamento&lt;&gt;"TransfereGOV",
              ROUND(OFFSET($P201,0,AW$13),15-13*ORÇAMENTO!$AF$7)/$H201*OFFSET(ORÇAMENTO!$X$15,ROW(AW201)-ROW(AW$15),0),
              ROUND(ROUND(OFFSET($P201,0,AW$13),15-13*ORÇAMENTO!$AF$7)*OFFSET(ORÇAMENTO!$W$15,ROW(AW201)-ROW(AW$15),0),15-13*ORÇAMENTO!$AF$11)),
         0)</f>
        <v>0</v>
      </c>
      <c r="AX201" s="453">
        <f ca="1">IF(AND($D201="Serviço",AX$12&lt;&gt;0,$H201&gt;0,OR(AUTOEVENTO&lt;&gt;"manual",$M201&lt;&gt;$A$15)),
        IF(Import.TipoArredondamento&lt;&gt;"TransfereGOV",
              ROUND(OFFSET($P201,0,AX$13),15-13*ORÇAMENTO!$AF$7)/$H201*OFFSET(ORÇAMENTO!$X$15,ROW(AX201)-ROW(AX$15),0),
              ROUND(ROUND(OFFSET($P201,0,AX$13),15-13*ORÇAMENTO!$AF$7)*OFFSET(ORÇAMENTO!$W$15,ROW(AX201)-ROW(AX$15),0),15-13*ORÇAMENTO!$AF$11)),
         0)</f>
        <v>0</v>
      </c>
      <c r="AY201" s="453">
        <f ca="1">IF(AND($D201="Serviço",AY$12&lt;&gt;0,$H201&gt;0,OR(AUTOEVENTO&lt;&gt;"manual",$M201&lt;&gt;$A$15)),
        IF(Import.TipoArredondamento&lt;&gt;"TransfereGOV",
              ROUND(OFFSET($P201,0,AY$13),15-13*ORÇAMENTO!$AF$7)/$H201*OFFSET(ORÇAMENTO!$X$15,ROW(AY201)-ROW(AY$15),0),
              ROUND(ROUND(OFFSET($P201,0,AY$13),15-13*ORÇAMENTO!$AF$7)*OFFSET(ORÇAMENTO!$W$15,ROW(AY201)-ROW(AY$15),0),15-13*ORÇAMENTO!$AF$11)),
         0)</f>
        <v>0</v>
      </c>
      <c r="AZ201" s="453">
        <f ca="1">IF(AND($D201="Serviço",AZ$12&lt;&gt;0,$H201&gt;0,OR(AUTOEVENTO&lt;&gt;"manual",$M201&lt;&gt;$A$15)),
        IF(Import.TipoArredondamento&lt;&gt;"TransfereGOV",
              ROUND(OFFSET($P201,0,AZ$13),15-13*ORÇAMENTO!$AF$7)/$H201*OFFSET(ORÇAMENTO!$X$15,ROW(AZ201)-ROW(AZ$15),0),
              ROUND(ROUND(OFFSET($P201,0,AZ$13),15-13*ORÇAMENTO!$AF$7)*OFFSET(ORÇAMENTO!$W$15,ROW(AZ201)-ROW(AZ$15),0),15-13*ORÇAMENTO!$AF$11)),
         0)</f>
        <v>0</v>
      </c>
      <c r="BA201" s="453">
        <f ca="1">IF(AND($D201="Serviço",BA$12&lt;&gt;0,$H201&gt;0,OR(AUTOEVENTO&lt;&gt;"manual",$M201&lt;&gt;$A$15)),
        IF(Import.TipoArredondamento&lt;&gt;"TransfereGOV",
              ROUND(OFFSET($P201,0,BA$13),15-13*ORÇAMENTO!$AF$7)/$H201*OFFSET(ORÇAMENTO!$X$15,ROW(BA201)-ROW(BA$15),0),
              ROUND(ROUND(OFFSET($P201,0,BA$13),15-13*ORÇAMENTO!$AF$7)*OFFSET(ORÇAMENTO!$W$15,ROW(BA201)-ROW(BA$15),0),15-13*ORÇAMENTO!$AF$11)),
         0)</f>
        <v>0</v>
      </c>
      <c r="BC201" s="171">
        <f ca="1">IF(OR($D201&lt;&gt;"Serviço",AND(AUTOEVENTO="Manual",$M201=$A$15)),0,
         IF(OFFSET(CRONOPLE!$F$15,$M201-$A$15,BC$13)=0,10^12,OFFSET(CRONOPLE!$F$15,$M201-$A$15,BC$13)))</f>
        <v>0</v>
      </c>
      <c r="BD201" s="171">
        <f ca="1">IF(OR($D201&lt;&gt;"Serviço",AND(AUTOEVENTO="Manual",$M201=$A$15)),0,
         IF(OFFSET(CRONOPLE!$F$15,$M201-$A$15,BD$13)=0,10^12,OFFSET(CRONOPLE!$F$15,$M201-$A$15,BD$13)))</f>
        <v>0</v>
      </c>
      <c r="BE201" s="171">
        <f ca="1">IF(OR($D201&lt;&gt;"Serviço",AND(AUTOEVENTO="Manual",$M201=$A$15)),0,
         IF(OFFSET(CRONOPLE!$F$15,$M201-$A$15,BE$13)=0,10^12,OFFSET(CRONOPLE!$F$15,$M201-$A$15,BE$13)))</f>
        <v>0</v>
      </c>
      <c r="BF201" s="171">
        <f ca="1">IF(OR($D201&lt;&gt;"Serviço",AND(AUTOEVENTO="Manual",$M201=$A$15)),0,
         IF(OFFSET(CRONOPLE!$F$15,$M201-$A$15,BF$13)=0,10^12,OFFSET(CRONOPLE!$F$15,$M201-$A$15,BF$13)))</f>
        <v>0</v>
      </c>
      <c r="BG201" s="171">
        <f ca="1">IF(OR($D201&lt;&gt;"Serviço",AND(AUTOEVENTO="Manual",$M201=$A$15)),0,
         IF(OFFSET(CRONOPLE!$F$15,$M201-$A$15,BG$13)=0,10^12,OFFSET(CRONOPLE!$F$15,$M201-$A$15,BG$13)))</f>
        <v>0</v>
      </c>
      <c r="BH201" s="171">
        <f ca="1">IF(OR($D201&lt;&gt;"Serviço",AND(AUTOEVENTO="Manual",$M201=$A$15)),0,
         IF(OFFSET(CRONOPLE!$F$15,$M201-$A$15,BH$13)=0,10^12,OFFSET(CRONOPLE!$F$15,$M201-$A$15,BH$13)))</f>
        <v>0</v>
      </c>
      <c r="BI201" s="171">
        <f ca="1">IF(OR($D201&lt;&gt;"Serviço",AND(AUTOEVENTO="Manual",$M201=$A$15)),0,
         IF(OFFSET(CRONOPLE!$F$15,$M201-$A$15,BI$13)=0,10^12,OFFSET(CRONOPLE!$F$15,$M201-$A$15,BI$13)))</f>
        <v>0</v>
      </c>
      <c r="BJ201" s="171">
        <f ca="1">IF(OR($D201&lt;&gt;"Serviço",AND(AUTOEVENTO="Manual",$M201=$A$15)),0,
         IF(OFFSET(CRONOPLE!$F$15,$M201-$A$15,BJ$13)=0,10^12,OFFSET(CRONOPLE!$F$15,$M201-$A$15,BJ$13)))</f>
        <v>0</v>
      </c>
      <c r="BK201" s="171">
        <f ca="1">IF(OR($D201&lt;&gt;"Serviço",AND(AUTOEVENTO="Manual",$M201=$A$15)),0,
         IF(OFFSET(CRONOPLE!$F$15,$M201-$A$15,BK$13)=0,10^12,OFFSET(CRONOPLE!$F$15,$M201-$A$15,BK$13)))</f>
        <v>0</v>
      </c>
      <c r="BL201" s="171">
        <f ca="1">IF(OR($D201&lt;&gt;"Serviço",AND(AUTOEVENTO="Manual",$M201=$A$15)),0,
         IF(OFFSET(CRONOPLE!$F$15,$M201-$A$15,BL$13)=0,10^12,OFFSET(CRONOPLE!$F$15,$M201-$A$15,BL$13)))</f>
        <v>0</v>
      </c>
      <c r="BM201" s="171">
        <f ca="1">IF(OR($D201&lt;&gt;"Serviço",AND(AUTOEVENTO="Manual",$M201=$A$15)),0,
         IF(OFFSET(CRONOPLE!$F$15,$M201-$A$15,BM$13)=0,10^12,OFFSET(CRONOPLE!$F$15,$M201-$A$15,BM$13)))</f>
        <v>0</v>
      </c>
      <c r="BN201" s="171">
        <f ca="1">IF(OR($D201&lt;&gt;"Serviço",AND(AUTOEVENTO="Manual",$M201=$A$15)),0,
         IF(OFFSET(CRONOPLE!$F$15,$M201-$A$15,BN$13)=0,10^12,OFFSET(CRONOPLE!$F$15,$M201-$A$15,BN$13)))</f>
        <v>0</v>
      </c>
      <c r="BO201" s="171">
        <f ca="1">IF(OR($D201&lt;&gt;"Serviço",AND(AUTOEVENTO="Manual",$M201=$A$15)),0,
         IF(OFFSET(CRONOPLE!$F$15,$M201-$A$15,BO$13)=0,10^12,OFFSET(CRONOPLE!$F$15,$M201-$A$15,BO$13)))</f>
        <v>0</v>
      </c>
      <c r="BP201" s="171">
        <f ca="1">IF(OR($D201&lt;&gt;"Serviço",AND(AUTOEVENTO="Manual",$M201=$A$15)),0,
         IF(OFFSET(CRONOPLE!$F$15,$M201-$A$15,BP$13)=0,10^12,OFFSET(CRONOPLE!$F$15,$M201-$A$15,BP$13)))</f>
        <v>0</v>
      </c>
      <c r="BQ201" s="171">
        <f ca="1">IF(OR($D201&lt;&gt;"Serviço",AND(AUTOEVENTO="Manual",$M201=$A$15)),0,
         IF(OFFSET(CRONOPLE!$F$15,$M201-$A$15,BQ$13)=0,10^12,OFFSET(CRONOPLE!$F$15,$M201-$A$15,BQ$13)))</f>
        <v>0</v>
      </c>
      <c r="BR201" s="171">
        <f ca="1">IF(OR($D201&lt;&gt;"Serviço",AND(AUTOEVENTO="Manual",$M201=$A$15)),0,
         IF(OFFSET(CRONOPLE!$F$15,$M201-$A$15,BR$13)=0,10^12,OFFSET(CRONOPLE!$F$15,$M201-$A$15,BR$13)))</f>
        <v>0</v>
      </c>
      <c r="BS201" s="171">
        <f ca="1">IF(OR($D201&lt;&gt;"Serviço",AND(AUTOEVENTO="Manual",$M201=$A$15)),0,
         IF(OFFSET(CRONOPLE!$F$15,$M201-$A$15,BS$13)=0,10^12,OFFSET(CRONOPLE!$F$15,$M201-$A$15,BS$13)))</f>
        <v>0</v>
      </c>
      <c r="BT201" s="171">
        <f ca="1">IF(OR($D201&lt;&gt;"Serviço",AND(AUTOEVENTO="Manual",$M201=$A$15)),0,
         IF(OFFSET(CRONOPLE!$F$15,$M201-$A$15,BT$13)=0,10^12,OFFSET(CRONOPLE!$F$15,$M201-$A$15,BT$13)))</f>
        <v>0</v>
      </c>
      <c r="BV201" s="172">
        <f ca="1">IF(OR($D201&lt;&gt;"Serviço",AND(AUTOEVENTO="Manual",$M201=$A$15),$M201&gt;(ROW(PLE.lastrow)-ROW(PLE.firstrow))),0,
           IF(OFFSET(PLE!$G$15,$M201-$A$15,BV$13)="",10^12,OFFSET(PLE!$G$15,$M201-$A$15,BV$13)))</f>
        <v>0</v>
      </c>
      <c r="BW201" s="172">
        <f ca="1">IF(OR($D201&lt;&gt;"Serviço",AND(AUTOEVENTO="Manual",$M201=$A$15),$M201&gt;(ROW(PLE.lastrow)-ROW(PLE.firstrow))),0,
           IF(OFFSET(PLE!$G$15,$M201-$A$15,BW$13)="",10^12,OFFSET(PLE!$G$15,$M201-$A$15,BW$13)))</f>
        <v>0</v>
      </c>
      <c r="BX201" s="172">
        <f ca="1">IF(OR($D201&lt;&gt;"Serviço",AND(AUTOEVENTO="Manual",$M201=$A$15),$M201&gt;(ROW(PLE.lastrow)-ROW(PLE.firstrow))),0,
           IF(OFFSET(PLE!$G$15,$M201-$A$15,BX$13)="",10^12,OFFSET(PLE!$G$15,$M201-$A$15,BX$13)))</f>
        <v>0</v>
      </c>
      <c r="BY201" s="172">
        <f ca="1">IF(OR($D201&lt;&gt;"Serviço",AND(AUTOEVENTO="Manual",$M201=$A$15),$M201&gt;(ROW(PLE.lastrow)-ROW(PLE.firstrow))),0,
           IF(OFFSET(PLE!$G$15,$M201-$A$15,BY$13)="",10^12,OFFSET(PLE!$G$15,$M201-$A$15,BY$13)))</f>
        <v>0</v>
      </c>
      <c r="BZ201" s="172">
        <f ca="1">IF(OR($D201&lt;&gt;"Serviço",AND(AUTOEVENTO="Manual",$M201=$A$15),$M201&gt;(ROW(PLE.lastrow)-ROW(PLE.firstrow))),0,
           IF(OFFSET(PLE!$G$15,$M201-$A$15,BZ$13)="",10^12,OFFSET(PLE!$G$15,$M201-$A$15,BZ$13)))</f>
        <v>0</v>
      </c>
      <c r="CA201" s="172">
        <f ca="1">IF(OR($D201&lt;&gt;"Serviço",AND(AUTOEVENTO="Manual",$M201=$A$15),$M201&gt;(ROW(PLE.lastrow)-ROW(PLE.firstrow))),0,
           IF(OFFSET(PLE!$G$15,$M201-$A$15,CA$13)="",10^12,OFFSET(PLE!$G$15,$M201-$A$15,CA$13)))</f>
        <v>0</v>
      </c>
      <c r="CB201" s="172">
        <f ca="1">IF(OR($D201&lt;&gt;"Serviço",AND(AUTOEVENTO="Manual",$M201=$A$15),$M201&gt;(ROW(PLE.lastrow)-ROW(PLE.firstrow))),0,
           IF(OFFSET(PLE!$G$15,$M201-$A$15,CB$13)="",10^12,OFFSET(PLE!$G$15,$M201-$A$15,CB$13)))</f>
        <v>0</v>
      </c>
      <c r="CC201" s="172">
        <f ca="1">IF(OR($D201&lt;&gt;"Serviço",AND(AUTOEVENTO="Manual",$M201=$A$15),$M201&gt;(ROW(PLE.lastrow)-ROW(PLE.firstrow))),0,
           IF(OFFSET(PLE!$G$15,$M201-$A$15,CC$13)="",10^12,OFFSET(PLE!$G$15,$M201-$A$15,CC$13)))</f>
        <v>0</v>
      </c>
      <c r="CD201" s="172">
        <f ca="1">IF(OR($D201&lt;&gt;"Serviço",AND(AUTOEVENTO="Manual",$M201=$A$15),$M201&gt;(ROW(PLE.lastrow)-ROW(PLE.firstrow))),0,
           IF(OFFSET(PLE!$G$15,$M201-$A$15,CD$13)="",10^12,OFFSET(PLE!$G$15,$M201-$A$15,CD$13)))</f>
        <v>0</v>
      </c>
      <c r="CE201" s="172">
        <f ca="1">IF(OR($D201&lt;&gt;"Serviço",AND(AUTOEVENTO="Manual",$M201=$A$15),$M201&gt;(ROW(PLE.lastrow)-ROW(PLE.firstrow))),0,
           IF(OFFSET(PLE!$G$15,$M201-$A$15,CE$13)="",10^12,OFFSET(PLE!$G$15,$M201-$A$15,CE$13)))</f>
        <v>0</v>
      </c>
      <c r="CF201" s="172">
        <f ca="1">IF(OR($D201&lt;&gt;"Serviço",AND(AUTOEVENTO="Manual",$M201=$A$15),$M201&gt;(ROW(PLE.lastrow)-ROW(PLE.firstrow))),0,
           IF(OFFSET(PLE!$G$15,$M201-$A$15,CF$13)="",10^12,OFFSET(PLE!$G$15,$M201-$A$15,CF$13)))</f>
        <v>0</v>
      </c>
      <c r="CG201" s="172">
        <f ca="1">IF(OR($D201&lt;&gt;"Serviço",AND(AUTOEVENTO="Manual",$M201=$A$15),$M201&gt;(ROW(PLE.lastrow)-ROW(PLE.firstrow))),0,
           IF(OFFSET(PLE!$G$15,$M201-$A$15,CG$13)="",10^12,OFFSET(PLE!$G$15,$M201-$A$15,CG$13)))</f>
        <v>0</v>
      </c>
      <c r="CH201" s="172">
        <f ca="1">IF(OR($D201&lt;&gt;"Serviço",AND(AUTOEVENTO="Manual",$M201=$A$15),$M201&gt;(ROW(PLE.lastrow)-ROW(PLE.firstrow))),0,
           IF(OFFSET(PLE!$G$15,$M201-$A$15,CH$13)="",10^12,OFFSET(PLE!$G$15,$M201-$A$15,CH$13)))</f>
        <v>0</v>
      </c>
      <c r="CI201" s="172">
        <f ca="1">IF(OR($D201&lt;&gt;"Serviço",AND(AUTOEVENTO="Manual",$M201=$A$15),$M201&gt;(ROW(PLE.lastrow)-ROW(PLE.firstrow))),0,
           IF(OFFSET(PLE!$G$15,$M201-$A$15,CI$13)="",10^12,OFFSET(PLE!$G$15,$M201-$A$15,CI$13)))</f>
        <v>0</v>
      </c>
      <c r="CJ201" s="172">
        <f ca="1">IF(OR($D201&lt;&gt;"Serviço",AND(AUTOEVENTO="Manual",$M201=$A$15),$M201&gt;(ROW(PLE.lastrow)-ROW(PLE.firstrow))),0,
           IF(OFFSET(PLE!$G$15,$M201-$A$15,CJ$13)="",10^12,OFFSET(PLE!$G$15,$M201-$A$15,CJ$13)))</f>
        <v>0</v>
      </c>
      <c r="CK201" s="172">
        <f ca="1">IF(OR($D201&lt;&gt;"Serviço",AND(AUTOEVENTO="Manual",$M201=$A$15),$M201&gt;(ROW(PLE.lastrow)-ROW(PLE.firstrow))),0,
           IF(OFFSET(PLE!$G$15,$M201-$A$15,CK$13)="",10^12,OFFSET(PLE!$G$15,$M201-$A$15,CK$13)))</f>
        <v>0</v>
      </c>
      <c r="CL201" s="172">
        <f ca="1">IF(OR($D201&lt;&gt;"Serviço",AND(AUTOEVENTO="Manual",$M201=$A$15),$M201&gt;(ROW(PLE.lastrow)-ROW(PLE.firstrow))),0,
           IF(OFFSET(PLE!$G$15,$M201-$A$15,CL$13)="",10^12,OFFSET(PLE!$G$15,$M201-$A$15,CL$13)))</f>
        <v>0</v>
      </c>
      <c r="CM201" s="172">
        <f ca="1">IF(OR($D201&lt;&gt;"Serviço",AND(AUTOEVENTO="Manual",$M201=$A$15),$M201&gt;(ROW(PLE.lastrow)-ROW(PLE.firstrow))),0,
           IF(OFFSET(PLE!$G$15,$M201-$A$15,CM$13)="",10^12,OFFSET(PLE!$G$15,$M201-$A$15,CM$13)))</f>
        <v>0</v>
      </c>
    </row>
    <row r="202" spans="1:91" ht="51" x14ac:dyDescent="0.2">
      <c r="A202" s="7">
        <f t="shared" ca="1" si="12"/>
        <v>4</v>
      </c>
      <c r="B202" s="7" t="str">
        <f ca="1">OFFSET(ORÇAMENTO!C$15,ROW(B202)-ROW(B$15),0)</f>
        <v>S</v>
      </c>
      <c r="C202" s="7" t="str">
        <f ca="1">OFFSET(ORÇAMENTO!L$15,ROW(C202)-ROW(C$15),0)</f>
        <v>F</v>
      </c>
      <c r="D202" s="116" t="str">
        <f ca="1">OFFSET(ORÇAMENTO!N$15,ROW(D202)-ROW(D$15),0)</f>
        <v>Serviço</v>
      </c>
      <c r="E202" s="117" t="str">
        <f ca="1">OFFSET(ORÇAMENTO!O$15,ROW(E202)-ROW(E$15),0)</f>
        <v>1.5.5.6.1.</v>
      </c>
      <c r="F202" s="163" t="str">
        <f ca="1">OFFSET(ORÇAMENTO!R$15,ROW(F202)-ROW(F$15),0)</f>
        <v>CONCRETO FCK = 40MPA, TRAÇO 1:1,6:1,9 (EM MASSA SECA DE CIMENTO/ AREIA MÉDIA/ BRITA 1) - PREPARO MECÂNICO COM BETONEIRA 600 L. AF_05/2021</v>
      </c>
      <c r="G202" s="164" t="str">
        <f ca="1">IF($D202&lt;&gt;"Serviço","",OFFSET(ORÇAMENTO!S$15,ROW(G202)-ROW(G$15),0))</f>
        <v>M3</v>
      </c>
      <c r="H202" s="122" cm="1">
        <f t="array" aca="1" ref="H202" ca="1">IF($D202&lt;&gt;"Serviço",0,IF(ACOMPANHAMENTO="BM",ROUND(OFFSET(ORÇAMENTO!AJ$15,ROW(H202)-ROW(H$15),0),15-13*ORÇAMENTO!$AF$7),SUMPRODUCT(($Q$1:$AI$1=1)*ROUND($Q202:$AI202,15-13*ORÇAMENTO!$AF$7))))</f>
        <v>3</v>
      </c>
      <c r="I202" s="468" t="s">
        <v>1439</v>
      </c>
      <c r="J202" s="640" t="str" cm="1">
        <f t="array" aca="1" ref="J202" ca="1">IF(OR(B202&lt;&gt;"S",CÁLCULO.FrentesPreenchidas=0),"",IF(AND(ACOMPANHAMENTO="PLE",AUTOEVENTO="Manual",OR(H202&gt;0,ORÇAMENTO!AC202="QUANT."),OR(K202="",M202=0,N202="")),"►E",IF(AND(ACOMPANHAMENTO="PLE",ORÇAMENTO!AC202="QUANT."),"►Q",IF(AND(ACOMPANHAMENTO="PLE",H202&lt;&gt;SUMPRODUCT(($Q$1:$AI$1=1)*ROUND(Q202:AI202,15))),"►S",IF(AND(COUNTIF($P$11:$AI$11,"▼")=0,H202&gt;0,I202=""),"◄M","")))))</f>
        <v/>
      </c>
      <c r="K202" s="641" t="s">
        <v>1389</v>
      </c>
      <c r="L202" s="165" t="s">
        <v>764</v>
      </c>
      <c r="M202" s="166">
        <f ca="1">IF($D202&lt;&gt;"Serviço","",
          IF(AUTOEVENTO="manual",$A202,
                IF(ISERROR(MATCH($A202,$A$15:OFFSET($A202,-1,0),0)),MAX($M$15:OFFSET(M202,-1,0))+1,
                      INDEX($M$15:OFFSET(M202,-1,0),MATCH($A202,$A$15:OFFSET($A202,-1,0),0)))))</f>
        <v>4</v>
      </c>
      <c r="N202" s="167" t="str">
        <f ca="1">IF($D202&lt;&gt;"Serviço","",
         IF(AUTOEVENTO="Manual",
                IF($A202=0,"&lt;-- defina o número do agrupador",
                       OFFSET(EVENTOS!$D$15,$A202-$A$15,0)),
                OFFSET($F$15,$A202,0)))</f>
        <v>Estruturas de Concreto</v>
      </c>
      <c r="O202" s="168"/>
      <c r="Q202" s="168"/>
      <c r="R202" s="169"/>
      <c r="S202" s="169"/>
      <c r="T202" s="169"/>
      <c r="U202" s="169"/>
      <c r="V202" s="169">
        <v>3</v>
      </c>
      <c r="W202" s="169"/>
      <c r="X202" s="169"/>
      <c r="Y202" s="169"/>
      <c r="Z202" s="170"/>
      <c r="AA202" s="169"/>
      <c r="AB202" s="169"/>
      <c r="AC202" s="169"/>
      <c r="AD202" s="169"/>
      <c r="AE202" s="169"/>
      <c r="AF202" s="169"/>
      <c r="AG202" s="169"/>
      <c r="AH202" s="170"/>
      <c r="AJ202" s="453">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0</v>
      </c>
      <c r="AK202" s="453">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0</v>
      </c>
      <c r="AL202" s="453">
        <f ca="1">IF(AND($D202="Serviço",AL$12&lt;&gt;0,$H202&gt;0,OR(AUTOEVENTO&lt;&gt;"manual",$M202&lt;&gt;$A$15)),
        IF(Import.TipoArredondamento&lt;&gt;"TransfereGOV",
              ROUND(OFFSET($P202,0,AL$13),15-13*ORÇAMENTO!$AF$7)/$H202*OFFSET(ORÇAMENTO!$X$15,ROW(AL202)-ROW(AL$15),0),
              ROUND(ROUND(OFFSET($P202,0,AL$13),15-13*ORÇAMENTO!$AF$7)*OFFSET(ORÇAMENTO!$W$15,ROW(AL202)-ROW(AL$15),0),15-13*ORÇAMENTO!$AF$11)),
         0)</f>
        <v>0</v>
      </c>
      <c r="AM202" s="453">
        <f ca="1">IF(AND($D202="Serviço",AM$12&lt;&gt;0,$H202&gt;0,OR(AUTOEVENTO&lt;&gt;"manual",$M202&lt;&gt;$A$15)),
        IF(Import.TipoArredondamento&lt;&gt;"TransfereGOV",
              ROUND(OFFSET($P202,0,AM$13),15-13*ORÇAMENTO!$AF$7)/$H202*OFFSET(ORÇAMENTO!$X$15,ROW(AM202)-ROW(AM$15),0),
              ROUND(ROUND(OFFSET($P202,0,AM$13),15-13*ORÇAMENTO!$AF$7)*OFFSET(ORÇAMENTO!$W$15,ROW(AM202)-ROW(AM$15),0),15-13*ORÇAMENTO!$AF$11)),
         0)</f>
        <v>0</v>
      </c>
      <c r="AN202" s="453">
        <f ca="1">IF(AND($D202="Serviço",AN$12&lt;&gt;0,$H202&gt;0,OR(AUTOEVENTO&lt;&gt;"manual",$M202&lt;&gt;$A$15)),
        IF(Import.TipoArredondamento&lt;&gt;"TransfereGOV",
              ROUND(OFFSET($P202,0,AN$13),15-13*ORÇAMENTO!$AF$7)/$H202*OFFSET(ORÇAMENTO!$X$15,ROW(AN202)-ROW(AN$15),0),
              ROUND(ROUND(OFFSET($P202,0,AN$13),15-13*ORÇAMENTO!$AF$7)*OFFSET(ORÇAMENTO!$W$15,ROW(AN202)-ROW(AN$15),0),15-13*ORÇAMENTO!$AF$11)),
         0)</f>
        <v>0</v>
      </c>
      <c r="AO202" s="453">
        <f ca="1">IF(AND($D202="Serviço",AO$12&lt;&gt;0,$H202&gt;0,OR(AUTOEVENTO&lt;&gt;"manual",$M202&lt;&gt;$A$15)),
        IF(Import.TipoArredondamento&lt;&gt;"TransfereGOV",
              ROUND(OFFSET($P202,0,AO$13),15-13*ORÇAMENTO!$AF$7)/$H202*OFFSET(ORÇAMENTO!$X$15,ROW(AO202)-ROW(AO$15),0),
              ROUND(ROUND(OFFSET($P202,0,AO$13),15-13*ORÇAMENTO!$AF$7)*OFFSET(ORÇAMENTO!$W$15,ROW(AO202)-ROW(AO$15),0),15-13*ORÇAMENTO!$AF$11)),
         0)</f>
        <v>0</v>
      </c>
      <c r="AP202" s="453">
        <f ca="1">IF(AND($D202="Serviço",AP$12&lt;&gt;0,$H202&gt;0,OR(AUTOEVENTO&lt;&gt;"manual",$M202&lt;&gt;$A$15)),
        IF(Import.TipoArredondamento&lt;&gt;"TransfereGOV",
              ROUND(OFFSET($P202,0,AP$13),15-13*ORÇAMENTO!$AF$7)/$H202*OFFSET(ORÇAMENTO!$X$15,ROW(AP202)-ROW(AP$15),0),
              ROUND(ROUND(OFFSET($P202,0,AP$13),15-13*ORÇAMENTO!$AF$7)*OFFSET(ORÇAMENTO!$W$15,ROW(AP202)-ROW(AP$15),0),15-13*ORÇAMENTO!$AF$11)),
         0)</f>
        <v>0</v>
      </c>
      <c r="AQ202" s="453">
        <f ca="1">IF(AND($D202="Serviço",AQ$12&lt;&gt;0,$H202&gt;0,OR(AUTOEVENTO&lt;&gt;"manual",$M202&lt;&gt;$A$15)),
        IF(Import.TipoArredondamento&lt;&gt;"TransfereGOV",
              ROUND(OFFSET($P202,0,AQ$13),15-13*ORÇAMENTO!$AF$7)/$H202*OFFSET(ORÇAMENTO!$X$15,ROW(AQ202)-ROW(AQ$15),0),
              ROUND(ROUND(OFFSET($P202,0,AQ$13),15-13*ORÇAMENTO!$AF$7)*OFFSET(ORÇAMENTO!$W$15,ROW(AQ202)-ROW(AQ$15),0),15-13*ORÇAMENTO!$AF$11)),
         0)</f>
        <v>0</v>
      </c>
      <c r="AR202" s="453">
        <f ca="1">IF(AND($D202="Serviço",AR$12&lt;&gt;0,$H202&gt;0,OR(AUTOEVENTO&lt;&gt;"manual",$M202&lt;&gt;$A$15)),
        IF(Import.TipoArredondamento&lt;&gt;"TransfereGOV",
              ROUND(OFFSET($P202,0,AR$13),15-13*ORÇAMENTO!$AF$7)/$H202*OFFSET(ORÇAMENTO!$X$15,ROW(AR202)-ROW(AR$15),0),
              ROUND(ROUND(OFFSET($P202,0,AR$13),15-13*ORÇAMENTO!$AF$7)*OFFSET(ORÇAMENTO!$W$15,ROW(AR202)-ROW(AR$15),0),15-13*ORÇAMENTO!$AF$11)),
         0)</f>
        <v>0</v>
      </c>
      <c r="AS202" s="453">
        <f ca="1">IF(AND($D202="Serviço",AS$12&lt;&gt;0,$H202&gt;0,OR(AUTOEVENTO&lt;&gt;"manual",$M202&lt;&gt;$A$15)),
        IF(Import.TipoArredondamento&lt;&gt;"TransfereGOV",
              ROUND(OFFSET($P202,0,AS$13),15-13*ORÇAMENTO!$AF$7)/$H202*OFFSET(ORÇAMENTO!$X$15,ROW(AS202)-ROW(AS$15),0),
              ROUND(ROUND(OFFSET($P202,0,AS$13),15-13*ORÇAMENTO!$AF$7)*OFFSET(ORÇAMENTO!$W$15,ROW(AS202)-ROW(AS$15),0),15-13*ORÇAMENTO!$AF$11)),
         0)</f>
        <v>0</v>
      </c>
      <c r="AT202" s="453">
        <f ca="1">IF(AND($D202="Serviço",AT$12&lt;&gt;0,$H202&gt;0,OR(AUTOEVENTO&lt;&gt;"manual",$M202&lt;&gt;$A$15)),
        IF(Import.TipoArredondamento&lt;&gt;"TransfereGOV",
              ROUND(OFFSET($P202,0,AT$13),15-13*ORÇAMENTO!$AF$7)/$H202*OFFSET(ORÇAMENTO!$X$15,ROW(AT202)-ROW(AT$15),0),
              ROUND(ROUND(OFFSET($P202,0,AT$13),15-13*ORÇAMENTO!$AF$7)*OFFSET(ORÇAMENTO!$W$15,ROW(AT202)-ROW(AT$15),0),15-13*ORÇAMENTO!$AF$11)),
         0)</f>
        <v>0</v>
      </c>
      <c r="AU202" s="453">
        <f ca="1">IF(AND($D202="Serviço",AU$12&lt;&gt;0,$H202&gt;0,OR(AUTOEVENTO&lt;&gt;"manual",$M202&lt;&gt;$A$15)),
        IF(Import.TipoArredondamento&lt;&gt;"TransfereGOV",
              ROUND(OFFSET($P202,0,AU$13),15-13*ORÇAMENTO!$AF$7)/$H202*OFFSET(ORÇAMENTO!$X$15,ROW(AU202)-ROW(AU$15),0),
              ROUND(ROUND(OFFSET($P202,0,AU$13),15-13*ORÇAMENTO!$AF$7)*OFFSET(ORÇAMENTO!$W$15,ROW(AU202)-ROW(AU$15),0),15-13*ORÇAMENTO!$AF$11)),
         0)</f>
        <v>0</v>
      </c>
      <c r="AV202" s="453">
        <f ca="1">IF(AND($D202="Serviço",AV$12&lt;&gt;0,$H202&gt;0,OR(AUTOEVENTO&lt;&gt;"manual",$M202&lt;&gt;$A$15)),
        IF(Import.TipoArredondamento&lt;&gt;"TransfereGOV",
              ROUND(OFFSET($P202,0,AV$13),15-13*ORÇAMENTO!$AF$7)/$H202*OFFSET(ORÇAMENTO!$X$15,ROW(AV202)-ROW(AV$15),0),
              ROUND(ROUND(OFFSET($P202,0,AV$13),15-13*ORÇAMENTO!$AF$7)*OFFSET(ORÇAMENTO!$W$15,ROW(AV202)-ROW(AV$15),0),15-13*ORÇAMENTO!$AF$11)),
         0)</f>
        <v>0</v>
      </c>
      <c r="AW202" s="453">
        <f ca="1">IF(AND($D202="Serviço",AW$12&lt;&gt;0,$H202&gt;0,OR(AUTOEVENTO&lt;&gt;"manual",$M202&lt;&gt;$A$15)),
        IF(Import.TipoArredondamento&lt;&gt;"TransfereGOV",
              ROUND(OFFSET($P202,0,AW$13),15-13*ORÇAMENTO!$AF$7)/$H202*OFFSET(ORÇAMENTO!$X$15,ROW(AW202)-ROW(AW$15),0),
              ROUND(ROUND(OFFSET($P202,0,AW$13),15-13*ORÇAMENTO!$AF$7)*OFFSET(ORÇAMENTO!$W$15,ROW(AW202)-ROW(AW$15),0),15-13*ORÇAMENTO!$AF$11)),
         0)</f>
        <v>0</v>
      </c>
      <c r="AX202" s="453">
        <f ca="1">IF(AND($D202="Serviço",AX$12&lt;&gt;0,$H202&gt;0,OR(AUTOEVENTO&lt;&gt;"manual",$M202&lt;&gt;$A$15)),
        IF(Import.TipoArredondamento&lt;&gt;"TransfereGOV",
              ROUND(OFFSET($P202,0,AX$13),15-13*ORÇAMENTO!$AF$7)/$H202*OFFSET(ORÇAMENTO!$X$15,ROW(AX202)-ROW(AX$15),0),
              ROUND(ROUND(OFFSET($P202,0,AX$13),15-13*ORÇAMENTO!$AF$7)*OFFSET(ORÇAMENTO!$W$15,ROW(AX202)-ROW(AX$15),0),15-13*ORÇAMENTO!$AF$11)),
         0)</f>
        <v>0</v>
      </c>
      <c r="AY202" s="453">
        <f ca="1">IF(AND($D202="Serviço",AY$12&lt;&gt;0,$H202&gt;0,OR(AUTOEVENTO&lt;&gt;"manual",$M202&lt;&gt;$A$15)),
        IF(Import.TipoArredondamento&lt;&gt;"TransfereGOV",
              ROUND(OFFSET($P202,0,AY$13),15-13*ORÇAMENTO!$AF$7)/$H202*OFFSET(ORÇAMENTO!$X$15,ROW(AY202)-ROW(AY$15),0),
              ROUND(ROUND(OFFSET($P202,0,AY$13),15-13*ORÇAMENTO!$AF$7)*OFFSET(ORÇAMENTO!$W$15,ROW(AY202)-ROW(AY$15),0),15-13*ORÇAMENTO!$AF$11)),
         0)</f>
        <v>0</v>
      </c>
      <c r="AZ202" s="453">
        <f ca="1">IF(AND($D202="Serviço",AZ$12&lt;&gt;0,$H202&gt;0,OR(AUTOEVENTO&lt;&gt;"manual",$M202&lt;&gt;$A$15)),
        IF(Import.TipoArredondamento&lt;&gt;"TransfereGOV",
              ROUND(OFFSET($P202,0,AZ$13),15-13*ORÇAMENTO!$AF$7)/$H202*OFFSET(ORÇAMENTO!$X$15,ROW(AZ202)-ROW(AZ$15),0),
              ROUND(ROUND(OFFSET($P202,0,AZ$13),15-13*ORÇAMENTO!$AF$7)*OFFSET(ORÇAMENTO!$W$15,ROW(AZ202)-ROW(AZ$15),0),15-13*ORÇAMENTO!$AF$11)),
         0)</f>
        <v>0</v>
      </c>
      <c r="BA202" s="453">
        <f ca="1">IF(AND($D202="Serviço",BA$12&lt;&gt;0,$H202&gt;0,OR(AUTOEVENTO&lt;&gt;"manual",$M202&lt;&gt;$A$15)),
        IF(Import.TipoArredondamento&lt;&gt;"TransfereGOV",
              ROUND(OFFSET($P202,0,BA$13),15-13*ORÇAMENTO!$AF$7)/$H202*OFFSET(ORÇAMENTO!$X$15,ROW(BA202)-ROW(BA$15),0),
              ROUND(ROUND(OFFSET($P202,0,BA$13),15-13*ORÇAMENTO!$AF$7)*OFFSET(ORÇAMENTO!$W$15,ROW(BA202)-ROW(BA$15),0),15-13*ORÇAMENTO!$AF$11)),
         0)</f>
        <v>0</v>
      </c>
      <c r="BC202" s="171">
        <f ca="1">IF(OR($D202&lt;&gt;"Serviço",AND(AUTOEVENTO="Manual",$M202=$A$15)),0,
         IF(OFFSET(CRONOPLE!$F$15,$M202-$A$15,BC$13)=0,10^12,OFFSET(CRONOPLE!$F$15,$M202-$A$15,BC$13)))</f>
        <v>1</v>
      </c>
      <c r="BD202" s="171">
        <f ca="1">IF(OR($D202&lt;&gt;"Serviço",AND(AUTOEVENTO="Manual",$M202=$A$15)),0,
         IF(OFFSET(CRONOPLE!$F$15,$M202-$A$15,BD$13)=0,10^12,OFFSET(CRONOPLE!$F$15,$M202-$A$15,BD$13)))</f>
        <v>2</v>
      </c>
      <c r="BE202" s="171">
        <f ca="1">IF(OR($D202&lt;&gt;"Serviço",AND(AUTOEVENTO="Manual",$M202=$A$15)),0,
         IF(OFFSET(CRONOPLE!$F$15,$M202-$A$15,BE$13)=0,10^12,OFFSET(CRONOPLE!$F$15,$M202-$A$15,BE$13)))</f>
        <v>3</v>
      </c>
      <c r="BF202" s="171">
        <f ca="1">IF(OR($D202&lt;&gt;"Serviço",AND(AUTOEVENTO="Manual",$M202=$A$15)),0,
         IF(OFFSET(CRONOPLE!$F$15,$M202-$A$15,BF$13)=0,10^12,OFFSET(CRONOPLE!$F$15,$M202-$A$15,BF$13)))</f>
        <v>4</v>
      </c>
      <c r="BG202" s="171">
        <f ca="1">IF(OR($D202&lt;&gt;"Serviço",AND(AUTOEVENTO="Manual",$M202=$A$15)),0,
         IF(OFFSET(CRONOPLE!$F$15,$M202-$A$15,BG$13)=0,10^12,OFFSET(CRONOPLE!$F$15,$M202-$A$15,BG$13)))</f>
        <v>5</v>
      </c>
      <c r="BH202" s="171">
        <f ca="1">IF(OR($D202&lt;&gt;"Serviço",AND(AUTOEVENTO="Manual",$M202=$A$15)),0,
         IF(OFFSET(CRONOPLE!$F$15,$M202-$A$15,BH$13)=0,10^12,OFFSET(CRONOPLE!$F$15,$M202-$A$15,BH$13)))</f>
        <v>6</v>
      </c>
      <c r="BI202" s="171">
        <f ca="1">IF(OR($D202&lt;&gt;"Serviço",AND(AUTOEVENTO="Manual",$M202=$A$15)),0,
         IF(OFFSET(CRONOPLE!$F$15,$M202-$A$15,BI$13)=0,10^12,OFFSET(CRONOPLE!$F$15,$M202-$A$15,BI$13)))</f>
        <v>7</v>
      </c>
      <c r="BJ202" s="171">
        <f ca="1">IF(OR($D202&lt;&gt;"Serviço",AND(AUTOEVENTO="Manual",$M202=$A$15)),0,
         IF(OFFSET(CRONOPLE!$F$15,$M202-$A$15,BJ$13)=0,10^12,OFFSET(CRONOPLE!$F$15,$M202-$A$15,BJ$13)))</f>
        <v>8</v>
      </c>
      <c r="BK202" s="171">
        <f ca="1">IF(OR($D202&lt;&gt;"Serviço",AND(AUTOEVENTO="Manual",$M202=$A$15)),0,
         IF(OFFSET(CRONOPLE!$F$15,$M202-$A$15,BK$13)=0,10^12,OFFSET(CRONOPLE!$F$15,$M202-$A$15,BK$13)))</f>
        <v>9</v>
      </c>
      <c r="BL202" s="171">
        <f ca="1">IF(OR($D202&lt;&gt;"Serviço",AND(AUTOEVENTO="Manual",$M202=$A$15)),0,
         IF(OFFSET(CRONOPLE!$F$15,$M202-$A$15,BL$13)=0,10^12,OFFSET(CRONOPLE!$F$15,$M202-$A$15,BL$13)))</f>
        <v>10</v>
      </c>
      <c r="BM202" s="171">
        <f ca="1">IF(OR($D202&lt;&gt;"Serviço",AND(AUTOEVENTO="Manual",$M202=$A$15)),0,
         IF(OFFSET(CRONOPLE!$F$15,$M202-$A$15,BM$13)=0,10^12,OFFSET(CRONOPLE!$F$15,$M202-$A$15,BM$13)))</f>
        <v>1000000000000</v>
      </c>
      <c r="BN202" s="171">
        <f ca="1">IF(OR($D202&lt;&gt;"Serviço",AND(AUTOEVENTO="Manual",$M202=$A$15)),0,
         IF(OFFSET(CRONOPLE!$F$15,$M202-$A$15,BN$13)=0,10^12,OFFSET(CRONOPLE!$F$15,$M202-$A$15,BN$13)))</f>
        <v>1000000000000</v>
      </c>
      <c r="BO202" s="171">
        <f ca="1">IF(OR($D202&lt;&gt;"Serviço",AND(AUTOEVENTO="Manual",$M202=$A$15)),0,
         IF(OFFSET(CRONOPLE!$F$15,$M202-$A$15,BO$13)=0,10^12,OFFSET(CRONOPLE!$F$15,$M202-$A$15,BO$13)))</f>
        <v>1000000000000</v>
      </c>
      <c r="BP202" s="171">
        <f ca="1">IF(OR($D202&lt;&gt;"Serviço",AND(AUTOEVENTO="Manual",$M202=$A$15)),0,
         IF(OFFSET(CRONOPLE!$F$15,$M202-$A$15,BP$13)=0,10^12,OFFSET(CRONOPLE!$F$15,$M202-$A$15,BP$13)))</f>
        <v>1000000000000</v>
      </c>
      <c r="BQ202" s="171">
        <f ca="1">IF(OR($D202&lt;&gt;"Serviço",AND(AUTOEVENTO="Manual",$M202=$A$15)),0,
         IF(OFFSET(CRONOPLE!$F$15,$M202-$A$15,BQ$13)=0,10^12,OFFSET(CRONOPLE!$F$15,$M202-$A$15,BQ$13)))</f>
        <v>1000000000000</v>
      </c>
      <c r="BR202" s="171">
        <f ca="1">IF(OR($D202&lt;&gt;"Serviço",AND(AUTOEVENTO="Manual",$M202=$A$15)),0,
         IF(OFFSET(CRONOPLE!$F$15,$M202-$A$15,BR$13)=0,10^12,OFFSET(CRONOPLE!$F$15,$M202-$A$15,BR$13)))</f>
        <v>1000000000000</v>
      </c>
      <c r="BS202" s="171">
        <f ca="1">IF(OR($D202&lt;&gt;"Serviço",AND(AUTOEVENTO="Manual",$M202=$A$15)),0,
         IF(OFFSET(CRONOPLE!$F$15,$M202-$A$15,BS$13)=0,10^12,OFFSET(CRONOPLE!$F$15,$M202-$A$15,BS$13)))</f>
        <v>1000000000000</v>
      </c>
      <c r="BT202" s="171">
        <f ca="1">IF(OR($D202&lt;&gt;"Serviço",AND(AUTOEVENTO="Manual",$M202=$A$15)),0,
         IF(OFFSET(CRONOPLE!$F$15,$M202-$A$15,BT$13)=0,10^12,OFFSET(CRONOPLE!$F$15,$M202-$A$15,BT$13)))</f>
        <v>1000000000000</v>
      </c>
      <c r="BV202" s="172">
        <f ca="1">IF(OR($D202&lt;&gt;"Serviço",AND(AUTOEVENTO="Manual",$M202=$A$15),$M202&gt;(ROW(PLE.lastrow)-ROW(PLE.firstrow))),0,
           IF(OFFSET(PLE!$G$15,$M202-$A$15,BV$13)="",10^12,OFFSET(PLE!$G$15,$M202-$A$15,BV$13)))</f>
        <v>1000000000000</v>
      </c>
      <c r="BW202" s="172">
        <f ca="1">IF(OR($D202&lt;&gt;"Serviço",AND(AUTOEVENTO="Manual",$M202=$A$15),$M202&gt;(ROW(PLE.lastrow)-ROW(PLE.firstrow))),0,
           IF(OFFSET(PLE!$G$15,$M202-$A$15,BW$13)="",10^12,OFFSET(PLE!$G$15,$M202-$A$15,BW$13)))</f>
        <v>1000000000000</v>
      </c>
      <c r="BX202" s="172">
        <f ca="1">IF(OR($D202&lt;&gt;"Serviço",AND(AUTOEVENTO="Manual",$M202=$A$15),$M202&gt;(ROW(PLE.lastrow)-ROW(PLE.firstrow))),0,
           IF(OFFSET(PLE!$G$15,$M202-$A$15,BX$13)="",10^12,OFFSET(PLE!$G$15,$M202-$A$15,BX$13)))</f>
        <v>1000000000000</v>
      </c>
      <c r="BY202" s="172">
        <f ca="1">IF(OR($D202&lt;&gt;"Serviço",AND(AUTOEVENTO="Manual",$M202=$A$15),$M202&gt;(ROW(PLE.lastrow)-ROW(PLE.firstrow))),0,
           IF(OFFSET(PLE!$G$15,$M202-$A$15,BY$13)="",10^12,OFFSET(PLE!$G$15,$M202-$A$15,BY$13)))</f>
        <v>1000000000000</v>
      </c>
      <c r="BZ202" s="172">
        <f ca="1">IF(OR($D202&lt;&gt;"Serviço",AND(AUTOEVENTO="Manual",$M202=$A$15),$M202&gt;(ROW(PLE.lastrow)-ROW(PLE.firstrow))),0,
           IF(OFFSET(PLE!$G$15,$M202-$A$15,BZ$13)="",10^12,OFFSET(PLE!$G$15,$M202-$A$15,BZ$13)))</f>
        <v>1000000000000</v>
      </c>
      <c r="CA202" s="172">
        <f ca="1">IF(OR($D202&lt;&gt;"Serviço",AND(AUTOEVENTO="Manual",$M202=$A$15),$M202&gt;(ROW(PLE.lastrow)-ROW(PLE.firstrow))),0,
           IF(OFFSET(PLE!$G$15,$M202-$A$15,CA$13)="",10^12,OFFSET(PLE!$G$15,$M202-$A$15,CA$13)))</f>
        <v>1000000000000</v>
      </c>
      <c r="CB202" s="172">
        <f ca="1">IF(OR($D202&lt;&gt;"Serviço",AND(AUTOEVENTO="Manual",$M202=$A$15),$M202&gt;(ROW(PLE.lastrow)-ROW(PLE.firstrow))),0,
           IF(OFFSET(PLE!$G$15,$M202-$A$15,CB$13)="",10^12,OFFSET(PLE!$G$15,$M202-$A$15,CB$13)))</f>
        <v>1000000000000</v>
      </c>
      <c r="CC202" s="172">
        <f ca="1">IF(OR($D202&lt;&gt;"Serviço",AND(AUTOEVENTO="Manual",$M202=$A$15),$M202&gt;(ROW(PLE.lastrow)-ROW(PLE.firstrow))),0,
           IF(OFFSET(PLE!$G$15,$M202-$A$15,CC$13)="",10^12,OFFSET(PLE!$G$15,$M202-$A$15,CC$13)))</f>
        <v>1000000000000</v>
      </c>
      <c r="CD202" s="172">
        <f ca="1">IF(OR($D202&lt;&gt;"Serviço",AND(AUTOEVENTO="Manual",$M202=$A$15),$M202&gt;(ROW(PLE.lastrow)-ROW(PLE.firstrow))),0,
           IF(OFFSET(PLE!$G$15,$M202-$A$15,CD$13)="",10^12,OFFSET(PLE!$G$15,$M202-$A$15,CD$13)))</f>
        <v>1000000000000</v>
      </c>
      <c r="CE202" s="172">
        <f ca="1">IF(OR($D202&lt;&gt;"Serviço",AND(AUTOEVENTO="Manual",$M202=$A$15),$M202&gt;(ROW(PLE.lastrow)-ROW(PLE.firstrow))),0,
           IF(OFFSET(PLE!$G$15,$M202-$A$15,CE$13)="",10^12,OFFSET(PLE!$G$15,$M202-$A$15,CE$13)))</f>
        <v>1000000000000</v>
      </c>
      <c r="CF202" s="172">
        <f ca="1">IF(OR($D202&lt;&gt;"Serviço",AND(AUTOEVENTO="Manual",$M202=$A$15),$M202&gt;(ROW(PLE.lastrow)-ROW(PLE.firstrow))),0,
           IF(OFFSET(PLE!$G$15,$M202-$A$15,CF$13)="",10^12,OFFSET(PLE!$G$15,$M202-$A$15,CF$13)))</f>
        <v>1000000000000</v>
      </c>
      <c r="CG202" s="172">
        <f ca="1">IF(OR($D202&lt;&gt;"Serviço",AND(AUTOEVENTO="Manual",$M202=$A$15),$M202&gt;(ROW(PLE.lastrow)-ROW(PLE.firstrow))),0,
           IF(OFFSET(PLE!$G$15,$M202-$A$15,CG$13)="",10^12,OFFSET(PLE!$G$15,$M202-$A$15,CG$13)))</f>
        <v>1000000000000</v>
      </c>
      <c r="CH202" s="172">
        <f ca="1">IF(OR($D202&lt;&gt;"Serviço",AND(AUTOEVENTO="Manual",$M202=$A$15),$M202&gt;(ROW(PLE.lastrow)-ROW(PLE.firstrow))),0,
           IF(OFFSET(PLE!$G$15,$M202-$A$15,CH$13)="",10^12,OFFSET(PLE!$G$15,$M202-$A$15,CH$13)))</f>
        <v>1000000000000</v>
      </c>
      <c r="CI202" s="172">
        <f ca="1">IF(OR($D202&lt;&gt;"Serviço",AND(AUTOEVENTO="Manual",$M202=$A$15),$M202&gt;(ROW(PLE.lastrow)-ROW(PLE.firstrow))),0,
           IF(OFFSET(PLE!$G$15,$M202-$A$15,CI$13)="",10^12,OFFSET(PLE!$G$15,$M202-$A$15,CI$13)))</f>
        <v>1000000000000</v>
      </c>
      <c r="CJ202" s="172">
        <f ca="1">IF(OR($D202&lt;&gt;"Serviço",AND(AUTOEVENTO="Manual",$M202=$A$15),$M202&gt;(ROW(PLE.lastrow)-ROW(PLE.firstrow))),0,
           IF(OFFSET(PLE!$G$15,$M202-$A$15,CJ$13)="",10^12,OFFSET(PLE!$G$15,$M202-$A$15,CJ$13)))</f>
        <v>1000000000000</v>
      </c>
      <c r="CK202" s="172">
        <f ca="1">IF(OR($D202&lt;&gt;"Serviço",AND(AUTOEVENTO="Manual",$M202=$A$15),$M202&gt;(ROW(PLE.lastrow)-ROW(PLE.firstrow))),0,
           IF(OFFSET(PLE!$G$15,$M202-$A$15,CK$13)="",10^12,OFFSET(PLE!$G$15,$M202-$A$15,CK$13)))</f>
        <v>1000000000000</v>
      </c>
      <c r="CL202" s="172">
        <f ca="1">IF(OR($D202&lt;&gt;"Serviço",AND(AUTOEVENTO="Manual",$M202=$A$15),$M202&gt;(ROW(PLE.lastrow)-ROW(PLE.firstrow))),0,
           IF(OFFSET(PLE!$G$15,$M202-$A$15,CL$13)="",10^12,OFFSET(PLE!$G$15,$M202-$A$15,CL$13)))</f>
        <v>1000000000000</v>
      </c>
      <c r="CM202" s="172">
        <f ca="1">IF(OR($D202&lt;&gt;"Serviço",AND(AUTOEVENTO="Manual",$M202=$A$15),$M202&gt;(ROW(PLE.lastrow)-ROW(PLE.firstrow))),0,
           IF(OFFSET(PLE!$G$15,$M202-$A$15,CM$13)="",10^12,OFFSET(PLE!$G$15,$M202-$A$15,CM$13)))</f>
        <v>1000000000000</v>
      </c>
    </row>
    <row r="203" spans="1:91" ht="51" x14ac:dyDescent="0.2">
      <c r="A203" s="7">
        <f t="shared" ca="1" si="12"/>
        <v>4</v>
      </c>
      <c r="B203" s="7" t="str">
        <f ca="1">OFFSET(ORÇAMENTO!C$15,ROW(B203)-ROW(B$15),0)</f>
        <v>S</v>
      </c>
      <c r="C203" s="7" t="str">
        <f ca="1">OFFSET(ORÇAMENTO!L$15,ROW(C203)-ROW(C$15),0)</f>
        <v>F</v>
      </c>
      <c r="D203" s="116" t="str">
        <f ca="1">OFFSET(ORÇAMENTO!N$15,ROW(D203)-ROW(D$15),0)</f>
        <v>Serviço</v>
      </c>
      <c r="E203" s="117" t="str">
        <f ca="1">OFFSET(ORÇAMENTO!O$15,ROW(E203)-ROW(E$15),0)</f>
        <v>1.5.5.6.2.</v>
      </c>
      <c r="F203" s="163" t="str">
        <f ca="1">OFFSET(ORÇAMENTO!R$15,ROW(F203)-ROW(F$15),0)</f>
        <v>LANÇAMENTO COM USO DE BOMBA, ADENSAMENTO E ACABAMENTO DE CONCRETO EM ESTRUTURAS. AF_02/2022</v>
      </c>
      <c r="G203" s="164" t="str">
        <f ca="1">IF($D203&lt;&gt;"Serviço","",OFFSET(ORÇAMENTO!S$15,ROW(G203)-ROW(G$15),0))</f>
        <v>M3</v>
      </c>
      <c r="H203" s="122" cm="1">
        <f t="array" aca="1" ref="H203" ca="1">IF($D203&lt;&gt;"Serviço",0,IF(ACOMPANHAMENTO="BM",ROUND(OFFSET(ORÇAMENTO!AJ$15,ROW(H203)-ROW(H$15),0),15-13*ORÇAMENTO!$AF$7),SUMPRODUCT(($Q$1:$AI$1=1)*ROUND($Q203:$AI203,15-13*ORÇAMENTO!$AF$7))))</f>
        <v>3</v>
      </c>
      <c r="I203" s="468" t="s">
        <v>1439</v>
      </c>
      <c r="J203" s="640" t="str" cm="1">
        <f t="array" aca="1" ref="J203" ca="1">IF(OR(B203&lt;&gt;"S",CÁLCULO.FrentesPreenchidas=0),"",IF(AND(ACOMPANHAMENTO="PLE",AUTOEVENTO="Manual",OR(H203&gt;0,ORÇAMENTO!AC203="QUANT."),OR(K203="",M203=0,N203="")),"►E",IF(AND(ACOMPANHAMENTO="PLE",ORÇAMENTO!AC203="QUANT."),"►Q",IF(AND(ACOMPANHAMENTO="PLE",H203&lt;&gt;SUMPRODUCT(($Q$1:$AI$1=1)*ROUND(Q203:AI203,15))),"►S",IF(AND(COUNTIF($P$11:$AI$11,"▼")=0,H203&gt;0,I203=""),"◄M","")))))</f>
        <v/>
      </c>
      <c r="K203" s="641" t="s">
        <v>1389</v>
      </c>
      <c r="L203" s="165" t="s">
        <v>764</v>
      </c>
      <c r="M203" s="166">
        <f ca="1">IF($D203&lt;&gt;"Serviço","",
          IF(AUTOEVENTO="manual",$A203,
                IF(ISERROR(MATCH($A203,$A$15:OFFSET($A203,-1,0),0)),MAX($M$15:OFFSET(M203,-1,0))+1,
                      INDEX($M$15:OFFSET(M203,-1,0),MATCH($A203,$A$15:OFFSET($A203,-1,0),0)))))</f>
        <v>4</v>
      </c>
      <c r="N203" s="167" t="str">
        <f ca="1">IF($D203&lt;&gt;"Serviço","",
         IF(AUTOEVENTO="Manual",
                IF($A203=0,"&lt;-- defina o número do agrupador",
                       OFFSET(EVENTOS!$D$15,$A203-$A$15,0)),
                OFFSET($F$15,$A203,0)))</f>
        <v>Estruturas de Concreto</v>
      </c>
      <c r="O203" s="168"/>
      <c r="Q203" s="168"/>
      <c r="R203" s="169"/>
      <c r="S203" s="169"/>
      <c r="T203" s="169"/>
      <c r="U203" s="169"/>
      <c r="V203" s="169">
        <f>V202</f>
        <v>3</v>
      </c>
      <c r="W203" s="169"/>
      <c r="X203" s="169"/>
      <c r="Y203" s="169"/>
      <c r="Z203" s="170"/>
      <c r="AA203" s="169"/>
      <c r="AB203" s="169"/>
      <c r="AC203" s="169"/>
      <c r="AD203" s="169"/>
      <c r="AE203" s="169"/>
      <c r="AF203" s="169"/>
      <c r="AG203" s="169"/>
      <c r="AH203" s="170"/>
      <c r="AJ203" s="453">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0</v>
      </c>
      <c r="AK203" s="453">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0</v>
      </c>
      <c r="AL203" s="453">
        <f ca="1">IF(AND($D203="Serviço",AL$12&lt;&gt;0,$H203&gt;0,OR(AUTOEVENTO&lt;&gt;"manual",$M203&lt;&gt;$A$15)),
        IF(Import.TipoArredondamento&lt;&gt;"TransfereGOV",
              ROUND(OFFSET($P203,0,AL$13),15-13*ORÇAMENTO!$AF$7)/$H203*OFFSET(ORÇAMENTO!$X$15,ROW(AL203)-ROW(AL$15),0),
              ROUND(ROUND(OFFSET($P203,0,AL$13),15-13*ORÇAMENTO!$AF$7)*OFFSET(ORÇAMENTO!$W$15,ROW(AL203)-ROW(AL$15),0),15-13*ORÇAMENTO!$AF$11)),
         0)</f>
        <v>0</v>
      </c>
      <c r="AM203" s="453">
        <f ca="1">IF(AND($D203="Serviço",AM$12&lt;&gt;0,$H203&gt;0,OR(AUTOEVENTO&lt;&gt;"manual",$M203&lt;&gt;$A$15)),
        IF(Import.TipoArredondamento&lt;&gt;"TransfereGOV",
              ROUND(OFFSET($P203,0,AM$13),15-13*ORÇAMENTO!$AF$7)/$H203*OFFSET(ORÇAMENTO!$X$15,ROW(AM203)-ROW(AM$15),0),
              ROUND(ROUND(OFFSET($P203,0,AM$13),15-13*ORÇAMENTO!$AF$7)*OFFSET(ORÇAMENTO!$W$15,ROW(AM203)-ROW(AM$15),0),15-13*ORÇAMENTO!$AF$11)),
         0)</f>
        <v>0</v>
      </c>
      <c r="AN203" s="453">
        <f ca="1">IF(AND($D203="Serviço",AN$12&lt;&gt;0,$H203&gt;0,OR(AUTOEVENTO&lt;&gt;"manual",$M203&lt;&gt;$A$15)),
        IF(Import.TipoArredondamento&lt;&gt;"TransfereGOV",
              ROUND(OFFSET($P203,0,AN$13),15-13*ORÇAMENTO!$AF$7)/$H203*OFFSET(ORÇAMENTO!$X$15,ROW(AN203)-ROW(AN$15),0),
              ROUND(ROUND(OFFSET($P203,0,AN$13),15-13*ORÇAMENTO!$AF$7)*OFFSET(ORÇAMENTO!$W$15,ROW(AN203)-ROW(AN$15),0),15-13*ORÇAMENTO!$AF$11)),
         0)</f>
        <v>0</v>
      </c>
      <c r="AO203" s="453">
        <f ca="1">IF(AND($D203="Serviço",AO$12&lt;&gt;0,$H203&gt;0,OR(AUTOEVENTO&lt;&gt;"manual",$M203&lt;&gt;$A$15)),
        IF(Import.TipoArredondamento&lt;&gt;"TransfereGOV",
              ROUND(OFFSET($P203,0,AO$13),15-13*ORÇAMENTO!$AF$7)/$H203*OFFSET(ORÇAMENTO!$X$15,ROW(AO203)-ROW(AO$15),0),
              ROUND(ROUND(OFFSET($P203,0,AO$13),15-13*ORÇAMENTO!$AF$7)*OFFSET(ORÇAMENTO!$W$15,ROW(AO203)-ROW(AO$15),0),15-13*ORÇAMENTO!$AF$11)),
         0)</f>
        <v>0</v>
      </c>
      <c r="AP203" s="453">
        <f ca="1">IF(AND($D203="Serviço",AP$12&lt;&gt;0,$H203&gt;0,OR(AUTOEVENTO&lt;&gt;"manual",$M203&lt;&gt;$A$15)),
        IF(Import.TipoArredondamento&lt;&gt;"TransfereGOV",
              ROUND(OFFSET($P203,0,AP$13),15-13*ORÇAMENTO!$AF$7)/$H203*OFFSET(ORÇAMENTO!$X$15,ROW(AP203)-ROW(AP$15),0),
              ROUND(ROUND(OFFSET($P203,0,AP$13),15-13*ORÇAMENTO!$AF$7)*OFFSET(ORÇAMENTO!$W$15,ROW(AP203)-ROW(AP$15),0),15-13*ORÇAMENTO!$AF$11)),
         0)</f>
        <v>0</v>
      </c>
      <c r="AQ203" s="453">
        <f ca="1">IF(AND($D203="Serviço",AQ$12&lt;&gt;0,$H203&gt;0,OR(AUTOEVENTO&lt;&gt;"manual",$M203&lt;&gt;$A$15)),
        IF(Import.TipoArredondamento&lt;&gt;"TransfereGOV",
              ROUND(OFFSET($P203,0,AQ$13),15-13*ORÇAMENTO!$AF$7)/$H203*OFFSET(ORÇAMENTO!$X$15,ROW(AQ203)-ROW(AQ$15),0),
              ROUND(ROUND(OFFSET($P203,0,AQ$13),15-13*ORÇAMENTO!$AF$7)*OFFSET(ORÇAMENTO!$W$15,ROW(AQ203)-ROW(AQ$15),0),15-13*ORÇAMENTO!$AF$11)),
         0)</f>
        <v>0</v>
      </c>
      <c r="AR203" s="453">
        <f ca="1">IF(AND($D203="Serviço",AR$12&lt;&gt;0,$H203&gt;0,OR(AUTOEVENTO&lt;&gt;"manual",$M203&lt;&gt;$A$15)),
        IF(Import.TipoArredondamento&lt;&gt;"TransfereGOV",
              ROUND(OFFSET($P203,0,AR$13),15-13*ORÇAMENTO!$AF$7)/$H203*OFFSET(ORÇAMENTO!$X$15,ROW(AR203)-ROW(AR$15),0),
              ROUND(ROUND(OFFSET($P203,0,AR$13),15-13*ORÇAMENTO!$AF$7)*OFFSET(ORÇAMENTO!$W$15,ROW(AR203)-ROW(AR$15),0),15-13*ORÇAMENTO!$AF$11)),
         0)</f>
        <v>0</v>
      </c>
      <c r="AS203" s="453">
        <f ca="1">IF(AND($D203="Serviço",AS$12&lt;&gt;0,$H203&gt;0,OR(AUTOEVENTO&lt;&gt;"manual",$M203&lt;&gt;$A$15)),
        IF(Import.TipoArredondamento&lt;&gt;"TransfereGOV",
              ROUND(OFFSET($P203,0,AS$13),15-13*ORÇAMENTO!$AF$7)/$H203*OFFSET(ORÇAMENTO!$X$15,ROW(AS203)-ROW(AS$15),0),
              ROUND(ROUND(OFFSET($P203,0,AS$13),15-13*ORÇAMENTO!$AF$7)*OFFSET(ORÇAMENTO!$W$15,ROW(AS203)-ROW(AS$15),0),15-13*ORÇAMENTO!$AF$11)),
         0)</f>
        <v>0</v>
      </c>
      <c r="AT203" s="453">
        <f ca="1">IF(AND($D203="Serviço",AT$12&lt;&gt;0,$H203&gt;0,OR(AUTOEVENTO&lt;&gt;"manual",$M203&lt;&gt;$A$15)),
        IF(Import.TipoArredondamento&lt;&gt;"TransfereGOV",
              ROUND(OFFSET($P203,0,AT$13),15-13*ORÇAMENTO!$AF$7)/$H203*OFFSET(ORÇAMENTO!$X$15,ROW(AT203)-ROW(AT$15),0),
              ROUND(ROUND(OFFSET($P203,0,AT$13),15-13*ORÇAMENTO!$AF$7)*OFFSET(ORÇAMENTO!$W$15,ROW(AT203)-ROW(AT$15),0),15-13*ORÇAMENTO!$AF$11)),
         0)</f>
        <v>0</v>
      </c>
      <c r="AU203" s="453">
        <f ca="1">IF(AND($D203="Serviço",AU$12&lt;&gt;0,$H203&gt;0,OR(AUTOEVENTO&lt;&gt;"manual",$M203&lt;&gt;$A$15)),
        IF(Import.TipoArredondamento&lt;&gt;"TransfereGOV",
              ROUND(OFFSET($P203,0,AU$13),15-13*ORÇAMENTO!$AF$7)/$H203*OFFSET(ORÇAMENTO!$X$15,ROW(AU203)-ROW(AU$15),0),
              ROUND(ROUND(OFFSET($P203,0,AU$13),15-13*ORÇAMENTO!$AF$7)*OFFSET(ORÇAMENTO!$W$15,ROW(AU203)-ROW(AU$15),0),15-13*ORÇAMENTO!$AF$11)),
         0)</f>
        <v>0</v>
      </c>
      <c r="AV203" s="453">
        <f ca="1">IF(AND($D203="Serviço",AV$12&lt;&gt;0,$H203&gt;0,OR(AUTOEVENTO&lt;&gt;"manual",$M203&lt;&gt;$A$15)),
        IF(Import.TipoArredondamento&lt;&gt;"TransfereGOV",
              ROUND(OFFSET($P203,0,AV$13),15-13*ORÇAMENTO!$AF$7)/$H203*OFFSET(ORÇAMENTO!$X$15,ROW(AV203)-ROW(AV$15),0),
              ROUND(ROUND(OFFSET($P203,0,AV$13),15-13*ORÇAMENTO!$AF$7)*OFFSET(ORÇAMENTO!$W$15,ROW(AV203)-ROW(AV$15),0),15-13*ORÇAMENTO!$AF$11)),
         0)</f>
        <v>0</v>
      </c>
      <c r="AW203" s="453">
        <f ca="1">IF(AND($D203="Serviço",AW$12&lt;&gt;0,$H203&gt;0,OR(AUTOEVENTO&lt;&gt;"manual",$M203&lt;&gt;$A$15)),
        IF(Import.TipoArredondamento&lt;&gt;"TransfereGOV",
              ROUND(OFFSET($P203,0,AW$13),15-13*ORÇAMENTO!$AF$7)/$H203*OFFSET(ORÇAMENTO!$X$15,ROW(AW203)-ROW(AW$15),0),
              ROUND(ROUND(OFFSET($P203,0,AW$13),15-13*ORÇAMENTO!$AF$7)*OFFSET(ORÇAMENTO!$W$15,ROW(AW203)-ROW(AW$15),0),15-13*ORÇAMENTO!$AF$11)),
         0)</f>
        <v>0</v>
      </c>
      <c r="AX203" s="453">
        <f ca="1">IF(AND($D203="Serviço",AX$12&lt;&gt;0,$H203&gt;0,OR(AUTOEVENTO&lt;&gt;"manual",$M203&lt;&gt;$A$15)),
        IF(Import.TipoArredondamento&lt;&gt;"TransfereGOV",
              ROUND(OFFSET($P203,0,AX$13),15-13*ORÇAMENTO!$AF$7)/$H203*OFFSET(ORÇAMENTO!$X$15,ROW(AX203)-ROW(AX$15),0),
              ROUND(ROUND(OFFSET($P203,0,AX$13),15-13*ORÇAMENTO!$AF$7)*OFFSET(ORÇAMENTO!$W$15,ROW(AX203)-ROW(AX$15),0),15-13*ORÇAMENTO!$AF$11)),
         0)</f>
        <v>0</v>
      </c>
      <c r="AY203" s="453">
        <f ca="1">IF(AND($D203="Serviço",AY$12&lt;&gt;0,$H203&gt;0,OR(AUTOEVENTO&lt;&gt;"manual",$M203&lt;&gt;$A$15)),
        IF(Import.TipoArredondamento&lt;&gt;"TransfereGOV",
              ROUND(OFFSET($P203,0,AY$13),15-13*ORÇAMENTO!$AF$7)/$H203*OFFSET(ORÇAMENTO!$X$15,ROW(AY203)-ROW(AY$15),0),
              ROUND(ROUND(OFFSET($P203,0,AY$13),15-13*ORÇAMENTO!$AF$7)*OFFSET(ORÇAMENTO!$W$15,ROW(AY203)-ROW(AY$15),0),15-13*ORÇAMENTO!$AF$11)),
         0)</f>
        <v>0</v>
      </c>
      <c r="AZ203" s="453">
        <f ca="1">IF(AND($D203="Serviço",AZ$12&lt;&gt;0,$H203&gt;0,OR(AUTOEVENTO&lt;&gt;"manual",$M203&lt;&gt;$A$15)),
        IF(Import.TipoArredondamento&lt;&gt;"TransfereGOV",
              ROUND(OFFSET($P203,0,AZ$13),15-13*ORÇAMENTO!$AF$7)/$H203*OFFSET(ORÇAMENTO!$X$15,ROW(AZ203)-ROW(AZ$15),0),
              ROUND(ROUND(OFFSET($P203,0,AZ$13),15-13*ORÇAMENTO!$AF$7)*OFFSET(ORÇAMENTO!$W$15,ROW(AZ203)-ROW(AZ$15),0),15-13*ORÇAMENTO!$AF$11)),
         0)</f>
        <v>0</v>
      </c>
      <c r="BA203" s="453">
        <f ca="1">IF(AND($D203="Serviço",BA$12&lt;&gt;0,$H203&gt;0,OR(AUTOEVENTO&lt;&gt;"manual",$M203&lt;&gt;$A$15)),
        IF(Import.TipoArredondamento&lt;&gt;"TransfereGOV",
              ROUND(OFFSET($P203,0,BA$13),15-13*ORÇAMENTO!$AF$7)/$H203*OFFSET(ORÇAMENTO!$X$15,ROW(BA203)-ROW(BA$15),0),
              ROUND(ROUND(OFFSET($P203,0,BA$13),15-13*ORÇAMENTO!$AF$7)*OFFSET(ORÇAMENTO!$W$15,ROW(BA203)-ROW(BA$15),0),15-13*ORÇAMENTO!$AF$11)),
         0)</f>
        <v>0</v>
      </c>
      <c r="BC203" s="171">
        <f ca="1">IF(OR($D203&lt;&gt;"Serviço",AND(AUTOEVENTO="Manual",$M203=$A$15)),0,
         IF(OFFSET(CRONOPLE!$F$15,$M203-$A$15,BC$13)=0,10^12,OFFSET(CRONOPLE!$F$15,$M203-$A$15,BC$13)))</f>
        <v>1</v>
      </c>
      <c r="BD203" s="171">
        <f ca="1">IF(OR($D203&lt;&gt;"Serviço",AND(AUTOEVENTO="Manual",$M203=$A$15)),0,
         IF(OFFSET(CRONOPLE!$F$15,$M203-$A$15,BD$13)=0,10^12,OFFSET(CRONOPLE!$F$15,$M203-$A$15,BD$13)))</f>
        <v>2</v>
      </c>
      <c r="BE203" s="171">
        <f ca="1">IF(OR($D203&lt;&gt;"Serviço",AND(AUTOEVENTO="Manual",$M203=$A$15)),0,
         IF(OFFSET(CRONOPLE!$F$15,$M203-$A$15,BE$13)=0,10^12,OFFSET(CRONOPLE!$F$15,$M203-$A$15,BE$13)))</f>
        <v>3</v>
      </c>
      <c r="BF203" s="171">
        <f ca="1">IF(OR($D203&lt;&gt;"Serviço",AND(AUTOEVENTO="Manual",$M203=$A$15)),0,
         IF(OFFSET(CRONOPLE!$F$15,$M203-$A$15,BF$13)=0,10^12,OFFSET(CRONOPLE!$F$15,$M203-$A$15,BF$13)))</f>
        <v>4</v>
      </c>
      <c r="BG203" s="171">
        <f ca="1">IF(OR($D203&lt;&gt;"Serviço",AND(AUTOEVENTO="Manual",$M203=$A$15)),0,
         IF(OFFSET(CRONOPLE!$F$15,$M203-$A$15,BG$13)=0,10^12,OFFSET(CRONOPLE!$F$15,$M203-$A$15,BG$13)))</f>
        <v>5</v>
      </c>
      <c r="BH203" s="171">
        <f ca="1">IF(OR($D203&lt;&gt;"Serviço",AND(AUTOEVENTO="Manual",$M203=$A$15)),0,
         IF(OFFSET(CRONOPLE!$F$15,$M203-$A$15,BH$13)=0,10^12,OFFSET(CRONOPLE!$F$15,$M203-$A$15,BH$13)))</f>
        <v>6</v>
      </c>
      <c r="BI203" s="171">
        <f ca="1">IF(OR($D203&lt;&gt;"Serviço",AND(AUTOEVENTO="Manual",$M203=$A$15)),0,
         IF(OFFSET(CRONOPLE!$F$15,$M203-$A$15,BI$13)=0,10^12,OFFSET(CRONOPLE!$F$15,$M203-$A$15,BI$13)))</f>
        <v>7</v>
      </c>
      <c r="BJ203" s="171">
        <f ca="1">IF(OR($D203&lt;&gt;"Serviço",AND(AUTOEVENTO="Manual",$M203=$A$15)),0,
         IF(OFFSET(CRONOPLE!$F$15,$M203-$A$15,BJ$13)=0,10^12,OFFSET(CRONOPLE!$F$15,$M203-$A$15,BJ$13)))</f>
        <v>8</v>
      </c>
      <c r="BK203" s="171">
        <f ca="1">IF(OR($D203&lt;&gt;"Serviço",AND(AUTOEVENTO="Manual",$M203=$A$15)),0,
         IF(OFFSET(CRONOPLE!$F$15,$M203-$A$15,BK$13)=0,10^12,OFFSET(CRONOPLE!$F$15,$M203-$A$15,BK$13)))</f>
        <v>9</v>
      </c>
      <c r="BL203" s="171">
        <f ca="1">IF(OR($D203&lt;&gt;"Serviço",AND(AUTOEVENTO="Manual",$M203=$A$15)),0,
         IF(OFFSET(CRONOPLE!$F$15,$M203-$A$15,BL$13)=0,10^12,OFFSET(CRONOPLE!$F$15,$M203-$A$15,BL$13)))</f>
        <v>10</v>
      </c>
      <c r="BM203" s="171">
        <f ca="1">IF(OR($D203&lt;&gt;"Serviço",AND(AUTOEVENTO="Manual",$M203=$A$15)),0,
         IF(OFFSET(CRONOPLE!$F$15,$M203-$A$15,BM$13)=0,10^12,OFFSET(CRONOPLE!$F$15,$M203-$A$15,BM$13)))</f>
        <v>1000000000000</v>
      </c>
      <c r="BN203" s="171">
        <f ca="1">IF(OR($D203&lt;&gt;"Serviço",AND(AUTOEVENTO="Manual",$M203=$A$15)),0,
         IF(OFFSET(CRONOPLE!$F$15,$M203-$A$15,BN$13)=0,10^12,OFFSET(CRONOPLE!$F$15,$M203-$A$15,BN$13)))</f>
        <v>1000000000000</v>
      </c>
      <c r="BO203" s="171">
        <f ca="1">IF(OR($D203&lt;&gt;"Serviço",AND(AUTOEVENTO="Manual",$M203=$A$15)),0,
         IF(OFFSET(CRONOPLE!$F$15,$M203-$A$15,BO$13)=0,10^12,OFFSET(CRONOPLE!$F$15,$M203-$A$15,BO$13)))</f>
        <v>1000000000000</v>
      </c>
      <c r="BP203" s="171">
        <f ca="1">IF(OR($D203&lt;&gt;"Serviço",AND(AUTOEVENTO="Manual",$M203=$A$15)),0,
         IF(OFFSET(CRONOPLE!$F$15,$M203-$A$15,BP$13)=0,10^12,OFFSET(CRONOPLE!$F$15,$M203-$A$15,BP$13)))</f>
        <v>1000000000000</v>
      </c>
      <c r="BQ203" s="171">
        <f ca="1">IF(OR($D203&lt;&gt;"Serviço",AND(AUTOEVENTO="Manual",$M203=$A$15)),0,
         IF(OFFSET(CRONOPLE!$F$15,$M203-$A$15,BQ$13)=0,10^12,OFFSET(CRONOPLE!$F$15,$M203-$A$15,BQ$13)))</f>
        <v>1000000000000</v>
      </c>
      <c r="BR203" s="171">
        <f ca="1">IF(OR($D203&lt;&gt;"Serviço",AND(AUTOEVENTO="Manual",$M203=$A$15)),0,
         IF(OFFSET(CRONOPLE!$F$15,$M203-$A$15,BR$13)=0,10^12,OFFSET(CRONOPLE!$F$15,$M203-$A$15,BR$13)))</f>
        <v>1000000000000</v>
      </c>
      <c r="BS203" s="171">
        <f ca="1">IF(OR($D203&lt;&gt;"Serviço",AND(AUTOEVENTO="Manual",$M203=$A$15)),0,
         IF(OFFSET(CRONOPLE!$F$15,$M203-$A$15,BS$13)=0,10^12,OFFSET(CRONOPLE!$F$15,$M203-$A$15,BS$13)))</f>
        <v>1000000000000</v>
      </c>
      <c r="BT203" s="171">
        <f ca="1">IF(OR($D203&lt;&gt;"Serviço",AND(AUTOEVENTO="Manual",$M203=$A$15)),0,
         IF(OFFSET(CRONOPLE!$F$15,$M203-$A$15,BT$13)=0,10^12,OFFSET(CRONOPLE!$F$15,$M203-$A$15,BT$13)))</f>
        <v>1000000000000</v>
      </c>
      <c r="BV203" s="172">
        <f ca="1">IF(OR($D203&lt;&gt;"Serviço",AND(AUTOEVENTO="Manual",$M203=$A$15),$M203&gt;(ROW(PLE.lastrow)-ROW(PLE.firstrow))),0,
           IF(OFFSET(PLE!$G$15,$M203-$A$15,BV$13)="",10^12,OFFSET(PLE!$G$15,$M203-$A$15,BV$13)))</f>
        <v>1000000000000</v>
      </c>
      <c r="BW203" s="172">
        <f ca="1">IF(OR($D203&lt;&gt;"Serviço",AND(AUTOEVENTO="Manual",$M203=$A$15),$M203&gt;(ROW(PLE.lastrow)-ROW(PLE.firstrow))),0,
           IF(OFFSET(PLE!$G$15,$M203-$A$15,BW$13)="",10^12,OFFSET(PLE!$G$15,$M203-$A$15,BW$13)))</f>
        <v>1000000000000</v>
      </c>
      <c r="BX203" s="172">
        <f ca="1">IF(OR($D203&lt;&gt;"Serviço",AND(AUTOEVENTO="Manual",$M203=$A$15),$M203&gt;(ROW(PLE.lastrow)-ROW(PLE.firstrow))),0,
           IF(OFFSET(PLE!$G$15,$M203-$A$15,BX$13)="",10^12,OFFSET(PLE!$G$15,$M203-$A$15,BX$13)))</f>
        <v>1000000000000</v>
      </c>
      <c r="BY203" s="172">
        <f ca="1">IF(OR($D203&lt;&gt;"Serviço",AND(AUTOEVENTO="Manual",$M203=$A$15),$M203&gt;(ROW(PLE.lastrow)-ROW(PLE.firstrow))),0,
           IF(OFFSET(PLE!$G$15,$M203-$A$15,BY$13)="",10^12,OFFSET(PLE!$G$15,$M203-$A$15,BY$13)))</f>
        <v>1000000000000</v>
      </c>
      <c r="BZ203" s="172">
        <f ca="1">IF(OR($D203&lt;&gt;"Serviço",AND(AUTOEVENTO="Manual",$M203=$A$15),$M203&gt;(ROW(PLE.lastrow)-ROW(PLE.firstrow))),0,
           IF(OFFSET(PLE!$G$15,$M203-$A$15,BZ$13)="",10^12,OFFSET(PLE!$G$15,$M203-$A$15,BZ$13)))</f>
        <v>1000000000000</v>
      </c>
      <c r="CA203" s="172">
        <f ca="1">IF(OR($D203&lt;&gt;"Serviço",AND(AUTOEVENTO="Manual",$M203=$A$15),$M203&gt;(ROW(PLE.lastrow)-ROW(PLE.firstrow))),0,
           IF(OFFSET(PLE!$G$15,$M203-$A$15,CA$13)="",10^12,OFFSET(PLE!$G$15,$M203-$A$15,CA$13)))</f>
        <v>1000000000000</v>
      </c>
      <c r="CB203" s="172">
        <f ca="1">IF(OR($D203&lt;&gt;"Serviço",AND(AUTOEVENTO="Manual",$M203=$A$15),$M203&gt;(ROW(PLE.lastrow)-ROW(PLE.firstrow))),0,
           IF(OFFSET(PLE!$G$15,$M203-$A$15,CB$13)="",10^12,OFFSET(PLE!$G$15,$M203-$A$15,CB$13)))</f>
        <v>1000000000000</v>
      </c>
      <c r="CC203" s="172">
        <f ca="1">IF(OR($D203&lt;&gt;"Serviço",AND(AUTOEVENTO="Manual",$M203=$A$15),$M203&gt;(ROW(PLE.lastrow)-ROW(PLE.firstrow))),0,
           IF(OFFSET(PLE!$G$15,$M203-$A$15,CC$13)="",10^12,OFFSET(PLE!$G$15,$M203-$A$15,CC$13)))</f>
        <v>1000000000000</v>
      </c>
      <c r="CD203" s="172">
        <f ca="1">IF(OR($D203&lt;&gt;"Serviço",AND(AUTOEVENTO="Manual",$M203=$A$15),$M203&gt;(ROW(PLE.lastrow)-ROW(PLE.firstrow))),0,
           IF(OFFSET(PLE!$G$15,$M203-$A$15,CD$13)="",10^12,OFFSET(PLE!$G$15,$M203-$A$15,CD$13)))</f>
        <v>1000000000000</v>
      </c>
      <c r="CE203" s="172">
        <f ca="1">IF(OR($D203&lt;&gt;"Serviço",AND(AUTOEVENTO="Manual",$M203=$A$15),$M203&gt;(ROW(PLE.lastrow)-ROW(PLE.firstrow))),0,
           IF(OFFSET(PLE!$G$15,$M203-$A$15,CE$13)="",10^12,OFFSET(PLE!$G$15,$M203-$A$15,CE$13)))</f>
        <v>1000000000000</v>
      </c>
      <c r="CF203" s="172">
        <f ca="1">IF(OR($D203&lt;&gt;"Serviço",AND(AUTOEVENTO="Manual",$M203=$A$15),$M203&gt;(ROW(PLE.lastrow)-ROW(PLE.firstrow))),0,
           IF(OFFSET(PLE!$G$15,$M203-$A$15,CF$13)="",10^12,OFFSET(PLE!$G$15,$M203-$A$15,CF$13)))</f>
        <v>1000000000000</v>
      </c>
      <c r="CG203" s="172">
        <f ca="1">IF(OR($D203&lt;&gt;"Serviço",AND(AUTOEVENTO="Manual",$M203=$A$15),$M203&gt;(ROW(PLE.lastrow)-ROW(PLE.firstrow))),0,
           IF(OFFSET(PLE!$G$15,$M203-$A$15,CG$13)="",10^12,OFFSET(PLE!$G$15,$M203-$A$15,CG$13)))</f>
        <v>1000000000000</v>
      </c>
      <c r="CH203" s="172">
        <f ca="1">IF(OR($D203&lt;&gt;"Serviço",AND(AUTOEVENTO="Manual",$M203=$A$15),$M203&gt;(ROW(PLE.lastrow)-ROW(PLE.firstrow))),0,
           IF(OFFSET(PLE!$G$15,$M203-$A$15,CH$13)="",10^12,OFFSET(PLE!$G$15,$M203-$A$15,CH$13)))</f>
        <v>1000000000000</v>
      </c>
      <c r="CI203" s="172">
        <f ca="1">IF(OR($D203&lt;&gt;"Serviço",AND(AUTOEVENTO="Manual",$M203=$A$15),$M203&gt;(ROW(PLE.lastrow)-ROW(PLE.firstrow))),0,
           IF(OFFSET(PLE!$G$15,$M203-$A$15,CI$13)="",10^12,OFFSET(PLE!$G$15,$M203-$A$15,CI$13)))</f>
        <v>1000000000000</v>
      </c>
      <c r="CJ203" s="172">
        <f ca="1">IF(OR($D203&lt;&gt;"Serviço",AND(AUTOEVENTO="Manual",$M203=$A$15),$M203&gt;(ROW(PLE.lastrow)-ROW(PLE.firstrow))),0,
           IF(OFFSET(PLE!$G$15,$M203-$A$15,CJ$13)="",10^12,OFFSET(PLE!$G$15,$M203-$A$15,CJ$13)))</f>
        <v>1000000000000</v>
      </c>
      <c r="CK203" s="172">
        <f ca="1">IF(OR($D203&lt;&gt;"Serviço",AND(AUTOEVENTO="Manual",$M203=$A$15),$M203&gt;(ROW(PLE.lastrow)-ROW(PLE.firstrow))),0,
           IF(OFFSET(PLE!$G$15,$M203-$A$15,CK$13)="",10^12,OFFSET(PLE!$G$15,$M203-$A$15,CK$13)))</f>
        <v>1000000000000</v>
      </c>
      <c r="CL203" s="172">
        <f ca="1">IF(OR($D203&lt;&gt;"Serviço",AND(AUTOEVENTO="Manual",$M203=$A$15),$M203&gt;(ROW(PLE.lastrow)-ROW(PLE.firstrow))),0,
           IF(OFFSET(PLE!$G$15,$M203-$A$15,CL$13)="",10^12,OFFSET(PLE!$G$15,$M203-$A$15,CL$13)))</f>
        <v>1000000000000</v>
      </c>
      <c r="CM203" s="172">
        <f ca="1">IF(OR($D203&lt;&gt;"Serviço",AND(AUTOEVENTO="Manual",$M203=$A$15),$M203&gt;(ROW(PLE.lastrow)-ROW(PLE.firstrow))),0,
           IF(OFFSET(PLE!$G$15,$M203-$A$15,CM$13)="",10^12,OFFSET(PLE!$G$15,$M203-$A$15,CM$13)))</f>
        <v>1000000000000</v>
      </c>
    </row>
    <row r="204" spans="1:91" ht="51" x14ac:dyDescent="0.2">
      <c r="A204" s="7">
        <f t="shared" ca="1" si="12"/>
        <v>4</v>
      </c>
      <c r="B204" s="7" t="str">
        <f ca="1">OFFSET(ORÇAMENTO!C$15,ROW(B204)-ROW(B$15),0)</f>
        <v>S</v>
      </c>
      <c r="C204" s="7" t="str">
        <f ca="1">OFFSET(ORÇAMENTO!L$15,ROW(C204)-ROW(C$15),0)</f>
        <v>F</v>
      </c>
      <c r="D204" s="116" t="str">
        <f ca="1">OFFSET(ORÇAMENTO!N$15,ROW(D204)-ROW(D$15),0)</f>
        <v>Serviço</v>
      </c>
      <c r="E204" s="117" t="str">
        <f ca="1">OFFSET(ORÇAMENTO!O$15,ROW(E204)-ROW(E$15),0)</f>
        <v>1.5.5.6.3.</v>
      </c>
      <c r="F204" s="163" t="str">
        <f ca="1">OFFSET(ORÇAMENTO!R$15,ROW(F204)-ROW(F$15),0)</f>
        <v>FÔRMAS DE COMPENSADO RESINADO 10 MM - USO GERAL - UTILIZAÇÃO DE 3 VEZES - CONFECÇÃO, INSTALAÇÃO E RETIRADA</v>
      </c>
      <c r="G204" s="164" t="str">
        <f ca="1">IF($D204&lt;&gt;"Serviço","",OFFSET(ORÇAMENTO!S$15,ROW(G204)-ROW(G$15),0))</f>
        <v>M2</v>
      </c>
      <c r="H204" s="122" cm="1">
        <f t="array" aca="1" ref="H204" ca="1">IF($D204&lt;&gt;"Serviço",0,IF(ACOMPANHAMENTO="BM",ROUND(OFFSET(ORÇAMENTO!AJ$15,ROW(H204)-ROW(H$15),0),15-13*ORÇAMENTO!$AF$7),SUMPRODUCT(($Q$1:$AI$1=1)*ROUND($Q204:$AI204,15-13*ORÇAMENTO!$AF$7))))</f>
        <v>3.6</v>
      </c>
      <c r="I204" s="468" t="s">
        <v>1439</v>
      </c>
      <c r="J204" s="640" t="str" cm="1">
        <f t="array" aca="1" ref="J204" ca="1">IF(OR(B204&lt;&gt;"S",CÁLCULO.FrentesPreenchidas=0),"",IF(AND(ACOMPANHAMENTO="PLE",AUTOEVENTO="Manual",OR(H204&gt;0,ORÇAMENTO!AC204="QUANT."),OR(K204="",M204=0,N204="")),"►E",IF(AND(ACOMPANHAMENTO="PLE",ORÇAMENTO!AC204="QUANT."),"►Q",IF(AND(ACOMPANHAMENTO="PLE",H204&lt;&gt;SUMPRODUCT(($Q$1:$AI$1=1)*ROUND(Q204:AI204,15))),"►S",IF(AND(COUNTIF($P$11:$AI$11,"▼")=0,H204&gt;0,I204=""),"◄M","")))))</f>
        <v/>
      </c>
      <c r="K204" s="641" t="s">
        <v>1389</v>
      </c>
      <c r="L204" s="165" t="s">
        <v>764</v>
      </c>
      <c r="M204" s="166">
        <f ca="1">IF($D204&lt;&gt;"Serviço","",
          IF(AUTOEVENTO="manual",$A204,
                IF(ISERROR(MATCH($A204,$A$15:OFFSET($A204,-1,0),0)),MAX($M$15:OFFSET(M204,-1,0))+1,
                      INDEX($M$15:OFFSET(M204,-1,0),MATCH($A204,$A$15:OFFSET($A204,-1,0),0)))))</f>
        <v>4</v>
      </c>
      <c r="N204" s="167" t="str">
        <f ca="1">IF($D204&lt;&gt;"Serviço","",
         IF(AUTOEVENTO="Manual",
                IF($A204=0,"&lt;-- defina o número do agrupador",
                       OFFSET(EVENTOS!$D$15,$A204-$A$15,0)),
                OFFSET($F$15,$A204,0)))</f>
        <v>Estruturas de Concreto</v>
      </c>
      <c r="O204" s="168"/>
      <c r="Q204" s="168"/>
      <c r="R204" s="169"/>
      <c r="S204" s="169"/>
      <c r="T204" s="169"/>
      <c r="U204" s="169"/>
      <c r="V204" s="169">
        <v>3.6</v>
      </c>
      <c r="W204" s="169"/>
      <c r="X204" s="169"/>
      <c r="Y204" s="169"/>
      <c r="Z204" s="170"/>
      <c r="AA204" s="169"/>
      <c r="AB204" s="169"/>
      <c r="AC204" s="169"/>
      <c r="AD204" s="169"/>
      <c r="AE204" s="169"/>
      <c r="AF204" s="169"/>
      <c r="AG204" s="169"/>
      <c r="AH204" s="170"/>
      <c r="AJ204" s="453">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0</v>
      </c>
      <c r="AK204" s="453">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0</v>
      </c>
      <c r="AL204" s="453">
        <f ca="1">IF(AND($D204="Serviço",AL$12&lt;&gt;0,$H204&gt;0,OR(AUTOEVENTO&lt;&gt;"manual",$M204&lt;&gt;$A$15)),
        IF(Import.TipoArredondamento&lt;&gt;"TransfereGOV",
              ROUND(OFFSET($P204,0,AL$13),15-13*ORÇAMENTO!$AF$7)/$H204*OFFSET(ORÇAMENTO!$X$15,ROW(AL204)-ROW(AL$15),0),
              ROUND(ROUND(OFFSET($P204,0,AL$13),15-13*ORÇAMENTO!$AF$7)*OFFSET(ORÇAMENTO!$W$15,ROW(AL204)-ROW(AL$15),0),15-13*ORÇAMENTO!$AF$11)),
         0)</f>
        <v>0</v>
      </c>
      <c r="AM204" s="453">
        <f ca="1">IF(AND($D204="Serviço",AM$12&lt;&gt;0,$H204&gt;0,OR(AUTOEVENTO&lt;&gt;"manual",$M204&lt;&gt;$A$15)),
        IF(Import.TipoArredondamento&lt;&gt;"TransfereGOV",
              ROUND(OFFSET($P204,0,AM$13),15-13*ORÇAMENTO!$AF$7)/$H204*OFFSET(ORÇAMENTO!$X$15,ROW(AM204)-ROW(AM$15),0),
              ROUND(ROUND(OFFSET($P204,0,AM$13),15-13*ORÇAMENTO!$AF$7)*OFFSET(ORÇAMENTO!$W$15,ROW(AM204)-ROW(AM$15),0),15-13*ORÇAMENTO!$AF$11)),
         0)</f>
        <v>0</v>
      </c>
      <c r="AN204" s="453">
        <f ca="1">IF(AND($D204="Serviço",AN$12&lt;&gt;0,$H204&gt;0,OR(AUTOEVENTO&lt;&gt;"manual",$M204&lt;&gt;$A$15)),
        IF(Import.TipoArredondamento&lt;&gt;"TransfereGOV",
              ROUND(OFFSET($P204,0,AN$13),15-13*ORÇAMENTO!$AF$7)/$H204*OFFSET(ORÇAMENTO!$X$15,ROW(AN204)-ROW(AN$15),0),
              ROUND(ROUND(OFFSET($P204,0,AN$13),15-13*ORÇAMENTO!$AF$7)*OFFSET(ORÇAMENTO!$W$15,ROW(AN204)-ROW(AN$15),0),15-13*ORÇAMENTO!$AF$11)),
         0)</f>
        <v>0</v>
      </c>
      <c r="AO204" s="453">
        <f ca="1">IF(AND($D204="Serviço",AO$12&lt;&gt;0,$H204&gt;0,OR(AUTOEVENTO&lt;&gt;"manual",$M204&lt;&gt;$A$15)),
        IF(Import.TipoArredondamento&lt;&gt;"TransfereGOV",
              ROUND(OFFSET($P204,0,AO$13),15-13*ORÇAMENTO!$AF$7)/$H204*OFFSET(ORÇAMENTO!$X$15,ROW(AO204)-ROW(AO$15),0),
              ROUND(ROUND(OFFSET($P204,0,AO$13),15-13*ORÇAMENTO!$AF$7)*OFFSET(ORÇAMENTO!$W$15,ROW(AO204)-ROW(AO$15),0),15-13*ORÇAMENTO!$AF$11)),
         0)</f>
        <v>0</v>
      </c>
      <c r="AP204" s="453">
        <f ca="1">IF(AND($D204="Serviço",AP$12&lt;&gt;0,$H204&gt;0,OR(AUTOEVENTO&lt;&gt;"manual",$M204&lt;&gt;$A$15)),
        IF(Import.TipoArredondamento&lt;&gt;"TransfereGOV",
              ROUND(OFFSET($P204,0,AP$13),15-13*ORÇAMENTO!$AF$7)/$H204*OFFSET(ORÇAMENTO!$X$15,ROW(AP204)-ROW(AP$15),0),
              ROUND(ROUND(OFFSET($P204,0,AP$13),15-13*ORÇAMENTO!$AF$7)*OFFSET(ORÇAMENTO!$W$15,ROW(AP204)-ROW(AP$15),0),15-13*ORÇAMENTO!$AF$11)),
         0)</f>
        <v>0</v>
      </c>
      <c r="AQ204" s="453">
        <f ca="1">IF(AND($D204="Serviço",AQ$12&lt;&gt;0,$H204&gt;0,OR(AUTOEVENTO&lt;&gt;"manual",$M204&lt;&gt;$A$15)),
        IF(Import.TipoArredondamento&lt;&gt;"TransfereGOV",
              ROUND(OFFSET($P204,0,AQ$13),15-13*ORÇAMENTO!$AF$7)/$H204*OFFSET(ORÇAMENTO!$X$15,ROW(AQ204)-ROW(AQ$15),0),
              ROUND(ROUND(OFFSET($P204,0,AQ$13),15-13*ORÇAMENTO!$AF$7)*OFFSET(ORÇAMENTO!$W$15,ROW(AQ204)-ROW(AQ$15),0),15-13*ORÇAMENTO!$AF$11)),
         0)</f>
        <v>0</v>
      </c>
      <c r="AR204" s="453">
        <f ca="1">IF(AND($D204="Serviço",AR$12&lt;&gt;0,$H204&gt;0,OR(AUTOEVENTO&lt;&gt;"manual",$M204&lt;&gt;$A$15)),
        IF(Import.TipoArredondamento&lt;&gt;"TransfereGOV",
              ROUND(OFFSET($P204,0,AR$13),15-13*ORÇAMENTO!$AF$7)/$H204*OFFSET(ORÇAMENTO!$X$15,ROW(AR204)-ROW(AR$15),0),
              ROUND(ROUND(OFFSET($P204,0,AR$13),15-13*ORÇAMENTO!$AF$7)*OFFSET(ORÇAMENTO!$W$15,ROW(AR204)-ROW(AR$15),0),15-13*ORÇAMENTO!$AF$11)),
         0)</f>
        <v>0</v>
      </c>
      <c r="AS204" s="453">
        <f ca="1">IF(AND($D204="Serviço",AS$12&lt;&gt;0,$H204&gt;0,OR(AUTOEVENTO&lt;&gt;"manual",$M204&lt;&gt;$A$15)),
        IF(Import.TipoArredondamento&lt;&gt;"TransfereGOV",
              ROUND(OFFSET($P204,0,AS$13),15-13*ORÇAMENTO!$AF$7)/$H204*OFFSET(ORÇAMENTO!$X$15,ROW(AS204)-ROW(AS$15),0),
              ROUND(ROUND(OFFSET($P204,0,AS$13),15-13*ORÇAMENTO!$AF$7)*OFFSET(ORÇAMENTO!$W$15,ROW(AS204)-ROW(AS$15),0),15-13*ORÇAMENTO!$AF$11)),
         0)</f>
        <v>0</v>
      </c>
      <c r="AT204" s="453">
        <f ca="1">IF(AND($D204="Serviço",AT$12&lt;&gt;0,$H204&gt;0,OR(AUTOEVENTO&lt;&gt;"manual",$M204&lt;&gt;$A$15)),
        IF(Import.TipoArredondamento&lt;&gt;"TransfereGOV",
              ROUND(OFFSET($P204,0,AT$13),15-13*ORÇAMENTO!$AF$7)/$H204*OFFSET(ORÇAMENTO!$X$15,ROW(AT204)-ROW(AT$15),0),
              ROUND(ROUND(OFFSET($P204,0,AT$13),15-13*ORÇAMENTO!$AF$7)*OFFSET(ORÇAMENTO!$W$15,ROW(AT204)-ROW(AT$15),0),15-13*ORÇAMENTO!$AF$11)),
         0)</f>
        <v>0</v>
      </c>
      <c r="AU204" s="453">
        <f ca="1">IF(AND($D204="Serviço",AU$12&lt;&gt;0,$H204&gt;0,OR(AUTOEVENTO&lt;&gt;"manual",$M204&lt;&gt;$A$15)),
        IF(Import.TipoArredondamento&lt;&gt;"TransfereGOV",
              ROUND(OFFSET($P204,0,AU$13),15-13*ORÇAMENTO!$AF$7)/$H204*OFFSET(ORÇAMENTO!$X$15,ROW(AU204)-ROW(AU$15),0),
              ROUND(ROUND(OFFSET($P204,0,AU$13),15-13*ORÇAMENTO!$AF$7)*OFFSET(ORÇAMENTO!$W$15,ROW(AU204)-ROW(AU$15),0),15-13*ORÇAMENTO!$AF$11)),
         0)</f>
        <v>0</v>
      </c>
      <c r="AV204" s="453">
        <f ca="1">IF(AND($D204="Serviço",AV$12&lt;&gt;0,$H204&gt;0,OR(AUTOEVENTO&lt;&gt;"manual",$M204&lt;&gt;$A$15)),
        IF(Import.TipoArredondamento&lt;&gt;"TransfereGOV",
              ROUND(OFFSET($P204,0,AV$13),15-13*ORÇAMENTO!$AF$7)/$H204*OFFSET(ORÇAMENTO!$X$15,ROW(AV204)-ROW(AV$15),0),
              ROUND(ROUND(OFFSET($P204,0,AV$13),15-13*ORÇAMENTO!$AF$7)*OFFSET(ORÇAMENTO!$W$15,ROW(AV204)-ROW(AV$15),0),15-13*ORÇAMENTO!$AF$11)),
         0)</f>
        <v>0</v>
      </c>
      <c r="AW204" s="453">
        <f ca="1">IF(AND($D204="Serviço",AW$12&lt;&gt;0,$H204&gt;0,OR(AUTOEVENTO&lt;&gt;"manual",$M204&lt;&gt;$A$15)),
        IF(Import.TipoArredondamento&lt;&gt;"TransfereGOV",
              ROUND(OFFSET($P204,0,AW$13),15-13*ORÇAMENTO!$AF$7)/$H204*OFFSET(ORÇAMENTO!$X$15,ROW(AW204)-ROW(AW$15),0),
              ROUND(ROUND(OFFSET($P204,0,AW$13),15-13*ORÇAMENTO!$AF$7)*OFFSET(ORÇAMENTO!$W$15,ROW(AW204)-ROW(AW$15),0),15-13*ORÇAMENTO!$AF$11)),
         0)</f>
        <v>0</v>
      </c>
      <c r="AX204" s="453">
        <f ca="1">IF(AND($D204="Serviço",AX$12&lt;&gt;0,$H204&gt;0,OR(AUTOEVENTO&lt;&gt;"manual",$M204&lt;&gt;$A$15)),
        IF(Import.TipoArredondamento&lt;&gt;"TransfereGOV",
              ROUND(OFFSET($P204,0,AX$13),15-13*ORÇAMENTO!$AF$7)/$H204*OFFSET(ORÇAMENTO!$X$15,ROW(AX204)-ROW(AX$15),0),
              ROUND(ROUND(OFFSET($P204,0,AX$13),15-13*ORÇAMENTO!$AF$7)*OFFSET(ORÇAMENTO!$W$15,ROW(AX204)-ROW(AX$15),0),15-13*ORÇAMENTO!$AF$11)),
         0)</f>
        <v>0</v>
      </c>
      <c r="AY204" s="453">
        <f ca="1">IF(AND($D204="Serviço",AY$12&lt;&gt;0,$H204&gt;0,OR(AUTOEVENTO&lt;&gt;"manual",$M204&lt;&gt;$A$15)),
        IF(Import.TipoArredondamento&lt;&gt;"TransfereGOV",
              ROUND(OFFSET($P204,0,AY$13),15-13*ORÇAMENTO!$AF$7)/$H204*OFFSET(ORÇAMENTO!$X$15,ROW(AY204)-ROW(AY$15),0),
              ROUND(ROUND(OFFSET($P204,0,AY$13),15-13*ORÇAMENTO!$AF$7)*OFFSET(ORÇAMENTO!$W$15,ROW(AY204)-ROW(AY$15),0),15-13*ORÇAMENTO!$AF$11)),
         0)</f>
        <v>0</v>
      </c>
      <c r="AZ204" s="453">
        <f ca="1">IF(AND($D204="Serviço",AZ$12&lt;&gt;0,$H204&gt;0,OR(AUTOEVENTO&lt;&gt;"manual",$M204&lt;&gt;$A$15)),
        IF(Import.TipoArredondamento&lt;&gt;"TransfereGOV",
              ROUND(OFFSET($P204,0,AZ$13),15-13*ORÇAMENTO!$AF$7)/$H204*OFFSET(ORÇAMENTO!$X$15,ROW(AZ204)-ROW(AZ$15),0),
              ROUND(ROUND(OFFSET($P204,0,AZ$13),15-13*ORÇAMENTO!$AF$7)*OFFSET(ORÇAMENTO!$W$15,ROW(AZ204)-ROW(AZ$15),0),15-13*ORÇAMENTO!$AF$11)),
         0)</f>
        <v>0</v>
      </c>
      <c r="BA204" s="453">
        <f ca="1">IF(AND($D204="Serviço",BA$12&lt;&gt;0,$H204&gt;0,OR(AUTOEVENTO&lt;&gt;"manual",$M204&lt;&gt;$A$15)),
        IF(Import.TipoArredondamento&lt;&gt;"TransfereGOV",
              ROUND(OFFSET($P204,0,BA$13),15-13*ORÇAMENTO!$AF$7)/$H204*OFFSET(ORÇAMENTO!$X$15,ROW(BA204)-ROW(BA$15),0),
              ROUND(ROUND(OFFSET($P204,0,BA$13),15-13*ORÇAMENTO!$AF$7)*OFFSET(ORÇAMENTO!$W$15,ROW(BA204)-ROW(BA$15),0),15-13*ORÇAMENTO!$AF$11)),
         0)</f>
        <v>0</v>
      </c>
      <c r="BC204" s="171">
        <f ca="1">IF(OR($D204&lt;&gt;"Serviço",AND(AUTOEVENTO="Manual",$M204=$A$15)),0,
         IF(OFFSET(CRONOPLE!$F$15,$M204-$A$15,BC$13)=0,10^12,OFFSET(CRONOPLE!$F$15,$M204-$A$15,BC$13)))</f>
        <v>1</v>
      </c>
      <c r="BD204" s="171">
        <f ca="1">IF(OR($D204&lt;&gt;"Serviço",AND(AUTOEVENTO="Manual",$M204=$A$15)),0,
         IF(OFFSET(CRONOPLE!$F$15,$M204-$A$15,BD$13)=0,10^12,OFFSET(CRONOPLE!$F$15,$M204-$A$15,BD$13)))</f>
        <v>2</v>
      </c>
      <c r="BE204" s="171">
        <f ca="1">IF(OR($D204&lt;&gt;"Serviço",AND(AUTOEVENTO="Manual",$M204=$A$15)),0,
         IF(OFFSET(CRONOPLE!$F$15,$M204-$A$15,BE$13)=0,10^12,OFFSET(CRONOPLE!$F$15,$M204-$A$15,BE$13)))</f>
        <v>3</v>
      </c>
      <c r="BF204" s="171">
        <f ca="1">IF(OR($D204&lt;&gt;"Serviço",AND(AUTOEVENTO="Manual",$M204=$A$15)),0,
         IF(OFFSET(CRONOPLE!$F$15,$M204-$A$15,BF$13)=0,10^12,OFFSET(CRONOPLE!$F$15,$M204-$A$15,BF$13)))</f>
        <v>4</v>
      </c>
      <c r="BG204" s="171">
        <f ca="1">IF(OR($D204&lt;&gt;"Serviço",AND(AUTOEVENTO="Manual",$M204=$A$15)),0,
         IF(OFFSET(CRONOPLE!$F$15,$M204-$A$15,BG$13)=0,10^12,OFFSET(CRONOPLE!$F$15,$M204-$A$15,BG$13)))</f>
        <v>5</v>
      </c>
      <c r="BH204" s="171">
        <f ca="1">IF(OR($D204&lt;&gt;"Serviço",AND(AUTOEVENTO="Manual",$M204=$A$15)),0,
         IF(OFFSET(CRONOPLE!$F$15,$M204-$A$15,BH$13)=0,10^12,OFFSET(CRONOPLE!$F$15,$M204-$A$15,BH$13)))</f>
        <v>6</v>
      </c>
      <c r="BI204" s="171">
        <f ca="1">IF(OR($D204&lt;&gt;"Serviço",AND(AUTOEVENTO="Manual",$M204=$A$15)),0,
         IF(OFFSET(CRONOPLE!$F$15,$M204-$A$15,BI$13)=0,10^12,OFFSET(CRONOPLE!$F$15,$M204-$A$15,BI$13)))</f>
        <v>7</v>
      </c>
      <c r="BJ204" s="171">
        <f ca="1">IF(OR($D204&lt;&gt;"Serviço",AND(AUTOEVENTO="Manual",$M204=$A$15)),0,
         IF(OFFSET(CRONOPLE!$F$15,$M204-$A$15,BJ$13)=0,10^12,OFFSET(CRONOPLE!$F$15,$M204-$A$15,BJ$13)))</f>
        <v>8</v>
      </c>
      <c r="BK204" s="171">
        <f ca="1">IF(OR($D204&lt;&gt;"Serviço",AND(AUTOEVENTO="Manual",$M204=$A$15)),0,
         IF(OFFSET(CRONOPLE!$F$15,$M204-$A$15,BK$13)=0,10^12,OFFSET(CRONOPLE!$F$15,$M204-$A$15,BK$13)))</f>
        <v>9</v>
      </c>
      <c r="BL204" s="171">
        <f ca="1">IF(OR($D204&lt;&gt;"Serviço",AND(AUTOEVENTO="Manual",$M204=$A$15)),0,
         IF(OFFSET(CRONOPLE!$F$15,$M204-$A$15,BL$13)=0,10^12,OFFSET(CRONOPLE!$F$15,$M204-$A$15,BL$13)))</f>
        <v>10</v>
      </c>
      <c r="BM204" s="171">
        <f ca="1">IF(OR($D204&lt;&gt;"Serviço",AND(AUTOEVENTO="Manual",$M204=$A$15)),0,
         IF(OFFSET(CRONOPLE!$F$15,$M204-$A$15,BM$13)=0,10^12,OFFSET(CRONOPLE!$F$15,$M204-$A$15,BM$13)))</f>
        <v>1000000000000</v>
      </c>
      <c r="BN204" s="171">
        <f ca="1">IF(OR($D204&lt;&gt;"Serviço",AND(AUTOEVENTO="Manual",$M204=$A$15)),0,
         IF(OFFSET(CRONOPLE!$F$15,$M204-$A$15,BN$13)=0,10^12,OFFSET(CRONOPLE!$F$15,$M204-$A$15,BN$13)))</f>
        <v>1000000000000</v>
      </c>
      <c r="BO204" s="171">
        <f ca="1">IF(OR($D204&lt;&gt;"Serviço",AND(AUTOEVENTO="Manual",$M204=$A$15)),0,
         IF(OFFSET(CRONOPLE!$F$15,$M204-$A$15,BO$13)=0,10^12,OFFSET(CRONOPLE!$F$15,$M204-$A$15,BO$13)))</f>
        <v>1000000000000</v>
      </c>
      <c r="BP204" s="171">
        <f ca="1">IF(OR($D204&lt;&gt;"Serviço",AND(AUTOEVENTO="Manual",$M204=$A$15)),0,
         IF(OFFSET(CRONOPLE!$F$15,$M204-$A$15,BP$13)=0,10^12,OFFSET(CRONOPLE!$F$15,$M204-$A$15,BP$13)))</f>
        <v>1000000000000</v>
      </c>
      <c r="BQ204" s="171">
        <f ca="1">IF(OR($D204&lt;&gt;"Serviço",AND(AUTOEVENTO="Manual",$M204=$A$15)),0,
         IF(OFFSET(CRONOPLE!$F$15,$M204-$A$15,BQ$13)=0,10^12,OFFSET(CRONOPLE!$F$15,$M204-$A$15,BQ$13)))</f>
        <v>1000000000000</v>
      </c>
      <c r="BR204" s="171">
        <f ca="1">IF(OR($D204&lt;&gt;"Serviço",AND(AUTOEVENTO="Manual",$M204=$A$15)),0,
         IF(OFFSET(CRONOPLE!$F$15,$M204-$A$15,BR$13)=0,10^12,OFFSET(CRONOPLE!$F$15,$M204-$A$15,BR$13)))</f>
        <v>1000000000000</v>
      </c>
      <c r="BS204" s="171">
        <f ca="1">IF(OR($D204&lt;&gt;"Serviço",AND(AUTOEVENTO="Manual",$M204=$A$15)),0,
         IF(OFFSET(CRONOPLE!$F$15,$M204-$A$15,BS$13)=0,10^12,OFFSET(CRONOPLE!$F$15,$M204-$A$15,BS$13)))</f>
        <v>1000000000000</v>
      </c>
      <c r="BT204" s="171">
        <f ca="1">IF(OR($D204&lt;&gt;"Serviço",AND(AUTOEVENTO="Manual",$M204=$A$15)),0,
         IF(OFFSET(CRONOPLE!$F$15,$M204-$A$15,BT$13)=0,10^12,OFFSET(CRONOPLE!$F$15,$M204-$A$15,BT$13)))</f>
        <v>1000000000000</v>
      </c>
      <c r="BV204" s="172">
        <f ca="1">IF(OR($D204&lt;&gt;"Serviço",AND(AUTOEVENTO="Manual",$M204=$A$15),$M204&gt;(ROW(PLE.lastrow)-ROW(PLE.firstrow))),0,
           IF(OFFSET(PLE!$G$15,$M204-$A$15,BV$13)="",10^12,OFFSET(PLE!$G$15,$M204-$A$15,BV$13)))</f>
        <v>1000000000000</v>
      </c>
      <c r="BW204" s="172">
        <f ca="1">IF(OR($D204&lt;&gt;"Serviço",AND(AUTOEVENTO="Manual",$M204=$A$15),$M204&gt;(ROW(PLE.lastrow)-ROW(PLE.firstrow))),0,
           IF(OFFSET(PLE!$G$15,$M204-$A$15,BW$13)="",10^12,OFFSET(PLE!$G$15,$M204-$A$15,BW$13)))</f>
        <v>1000000000000</v>
      </c>
      <c r="BX204" s="172">
        <f ca="1">IF(OR($D204&lt;&gt;"Serviço",AND(AUTOEVENTO="Manual",$M204=$A$15),$M204&gt;(ROW(PLE.lastrow)-ROW(PLE.firstrow))),0,
           IF(OFFSET(PLE!$G$15,$M204-$A$15,BX$13)="",10^12,OFFSET(PLE!$G$15,$M204-$A$15,BX$13)))</f>
        <v>1000000000000</v>
      </c>
      <c r="BY204" s="172">
        <f ca="1">IF(OR($D204&lt;&gt;"Serviço",AND(AUTOEVENTO="Manual",$M204=$A$15),$M204&gt;(ROW(PLE.lastrow)-ROW(PLE.firstrow))),0,
           IF(OFFSET(PLE!$G$15,$M204-$A$15,BY$13)="",10^12,OFFSET(PLE!$G$15,$M204-$A$15,BY$13)))</f>
        <v>1000000000000</v>
      </c>
      <c r="BZ204" s="172">
        <f ca="1">IF(OR($D204&lt;&gt;"Serviço",AND(AUTOEVENTO="Manual",$M204=$A$15),$M204&gt;(ROW(PLE.lastrow)-ROW(PLE.firstrow))),0,
           IF(OFFSET(PLE!$G$15,$M204-$A$15,BZ$13)="",10^12,OFFSET(PLE!$G$15,$M204-$A$15,BZ$13)))</f>
        <v>1000000000000</v>
      </c>
      <c r="CA204" s="172">
        <f ca="1">IF(OR($D204&lt;&gt;"Serviço",AND(AUTOEVENTO="Manual",$M204=$A$15),$M204&gt;(ROW(PLE.lastrow)-ROW(PLE.firstrow))),0,
           IF(OFFSET(PLE!$G$15,$M204-$A$15,CA$13)="",10^12,OFFSET(PLE!$G$15,$M204-$A$15,CA$13)))</f>
        <v>1000000000000</v>
      </c>
      <c r="CB204" s="172">
        <f ca="1">IF(OR($D204&lt;&gt;"Serviço",AND(AUTOEVENTO="Manual",$M204=$A$15),$M204&gt;(ROW(PLE.lastrow)-ROW(PLE.firstrow))),0,
           IF(OFFSET(PLE!$G$15,$M204-$A$15,CB$13)="",10^12,OFFSET(PLE!$G$15,$M204-$A$15,CB$13)))</f>
        <v>1000000000000</v>
      </c>
      <c r="CC204" s="172">
        <f ca="1">IF(OR($D204&lt;&gt;"Serviço",AND(AUTOEVENTO="Manual",$M204=$A$15),$M204&gt;(ROW(PLE.lastrow)-ROW(PLE.firstrow))),0,
           IF(OFFSET(PLE!$G$15,$M204-$A$15,CC$13)="",10^12,OFFSET(PLE!$G$15,$M204-$A$15,CC$13)))</f>
        <v>1000000000000</v>
      </c>
      <c r="CD204" s="172">
        <f ca="1">IF(OR($D204&lt;&gt;"Serviço",AND(AUTOEVENTO="Manual",$M204=$A$15),$M204&gt;(ROW(PLE.lastrow)-ROW(PLE.firstrow))),0,
           IF(OFFSET(PLE!$G$15,$M204-$A$15,CD$13)="",10^12,OFFSET(PLE!$G$15,$M204-$A$15,CD$13)))</f>
        <v>1000000000000</v>
      </c>
      <c r="CE204" s="172">
        <f ca="1">IF(OR($D204&lt;&gt;"Serviço",AND(AUTOEVENTO="Manual",$M204=$A$15),$M204&gt;(ROW(PLE.lastrow)-ROW(PLE.firstrow))),0,
           IF(OFFSET(PLE!$G$15,$M204-$A$15,CE$13)="",10^12,OFFSET(PLE!$G$15,$M204-$A$15,CE$13)))</f>
        <v>1000000000000</v>
      </c>
      <c r="CF204" s="172">
        <f ca="1">IF(OR($D204&lt;&gt;"Serviço",AND(AUTOEVENTO="Manual",$M204=$A$15),$M204&gt;(ROW(PLE.lastrow)-ROW(PLE.firstrow))),0,
           IF(OFFSET(PLE!$G$15,$M204-$A$15,CF$13)="",10^12,OFFSET(PLE!$G$15,$M204-$A$15,CF$13)))</f>
        <v>1000000000000</v>
      </c>
      <c r="CG204" s="172">
        <f ca="1">IF(OR($D204&lt;&gt;"Serviço",AND(AUTOEVENTO="Manual",$M204=$A$15),$M204&gt;(ROW(PLE.lastrow)-ROW(PLE.firstrow))),0,
           IF(OFFSET(PLE!$G$15,$M204-$A$15,CG$13)="",10^12,OFFSET(PLE!$G$15,$M204-$A$15,CG$13)))</f>
        <v>1000000000000</v>
      </c>
      <c r="CH204" s="172">
        <f ca="1">IF(OR($D204&lt;&gt;"Serviço",AND(AUTOEVENTO="Manual",$M204=$A$15),$M204&gt;(ROW(PLE.lastrow)-ROW(PLE.firstrow))),0,
           IF(OFFSET(PLE!$G$15,$M204-$A$15,CH$13)="",10^12,OFFSET(PLE!$G$15,$M204-$A$15,CH$13)))</f>
        <v>1000000000000</v>
      </c>
      <c r="CI204" s="172">
        <f ca="1">IF(OR($D204&lt;&gt;"Serviço",AND(AUTOEVENTO="Manual",$M204=$A$15),$M204&gt;(ROW(PLE.lastrow)-ROW(PLE.firstrow))),0,
           IF(OFFSET(PLE!$G$15,$M204-$A$15,CI$13)="",10^12,OFFSET(PLE!$G$15,$M204-$A$15,CI$13)))</f>
        <v>1000000000000</v>
      </c>
      <c r="CJ204" s="172">
        <f ca="1">IF(OR($D204&lt;&gt;"Serviço",AND(AUTOEVENTO="Manual",$M204=$A$15),$M204&gt;(ROW(PLE.lastrow)-ROW(PLE.firstrow))),0,
           IF(OFFSET(PLE!$G$15,$M204-$A$15,CJ$13)="",10^12,OFFSET(PLE!$G$15,$M204-$A$15,CJ$13)))</f>
        <v>1000000000000</v>
      </c>
      <c r="CK204" s="172">
        <f ca="1">IF(OR($D204&lt;&gt;"Serviço",AND(AUTOEVENTO="Manual",$M204=$A$15),$M204&gt;(ROW(PLE.lastrow)-ROW(PLE.firstrow))),0,
           IF(OFFSET(PLE!$G$15,$M204-$A$15,CK$13)="",10^12,OFFSET(PLE!$G$15,$M204-$A$15,CK$13)))</f>
        <v>1000000000000</v>
      </c>
      <c r="CL204" s="172">
        <f ca="1">IF(OR($D204&lt;&gt;"Serviço",AND(AUTOEVENTO="Manual",$M204=$A$15),$M204&gt;(ROW(PLE.lastrow)-ROW(PLE.firstrow))),0,
           IF(OFFSET(PLE!$G$15,$M204-$A$15,CL$13)="",10^12,OFFSET(PLE!$G$15,$M204-$A$15,CL$13)))</f>
        <v>1000000000000</v>
      </c>
      <c r="CM204" s="172">
        <f ca="1">IF(OR($D204&lt;&gt;"Serviço",AND(AUTOEVENTO="Manual",$M204=$A$15),$M204&gt;(ROW(PLE.lastrow)-ROW(PLE.firstrow))),0,
           IF(OFFSET(PLE!$G$15,$M204-$A$15,CM$13)="",10^12,OFFSET(PLE!$G$15,$M204-$A$15,CM$13)))</f>
        <v>1000000000000</v>
      </c>
    </row>
    <row r="205" spans="1:91" ht="51" x14ac:dyDescent="0.2">
      <c r="A205" s="7">
        <f t="shared" ca="1" si="12"/>
        <v>4</v>
      </c>
      <c r="B205" s="7" t="str">
        <f ca="1">OFFSET(ORÇAMENTO!C$15,ROW(B205)-ROW(B$15),0)</f>
        <v>S</v>
      </c>
      <c r="C205" s="7" t="str">
        <f ca="1">OFFSET(ORÇAMENTO!L$15,ROW(C205)-ROW(C$15),0)</f>
        <v>F</v>
      </c>
      <c r="D205" s="116" t="str">
        <f ca="1">OFFSET(ORÇAMENTO!N$15,ROW(D205)-ROW(D$15),0)</f>
        <v>Serviço</v>
      </c>
      <c r="E205" s="117" t="str">
        <f ca="1">OFFSET(ORÇAMENTO!O$15,ROW(E205)-ROW(E$15),0)</f>
        <v>1.5.5.6.4.</v>
      </c>
      <c r="F205" s="163" t="str">
        <f ca="1">OFFSET(ORÇAMENTO!R$15,ROW(F205)-ROW(F$15),0)</f>
        <v>APLICAÇÃO DE LONA PLÁSTICA PARA EXECUÇÃO DE PAVIMENTOS DE CONCRETO. AF_04/2022</v>
      </c>
      <c r="G205" s="164" t="str">
        <f ca="1">IF($D205&lt;&gt;"Serviço","",OFFSET(ORÇAMENTO!S$15,ROW(G205)-ROW(G$15),0))</f>
        <v>M2</v>
      </c>
      <c r="H205" s="122" cm="1">
        <f t="array" aca="1" ref="H205" ca="1">IF($D205&lt;&gt;"Serviço",0,IF(ACOMPANHAMENTO="BM",ROUND(OFFSET(ORÇAMENTO!AJ$15,ROW(H205)-ROW(H$15),0),15-13*ORÇAMENTO!$AF$7),SUMPRODUCT(($Q$1:$AI$1=1)*ROUND($Q205:$AI205,15-13*ORÇAMENTO!$AF$7))))</f>
        <v>37.4</v>
      </c>
      <c r="I205" s="468" t="s">
        <v>1439</v>
      </c>
      <c r="J205" s="640" t="str" cm="1">
        <f t="array" aca="1" ref="J205" ca="1">IF(OR(B205&lt;&gt;"S",CÁLCULO.FrentesPreenchidas=0),"",IF(AND(ACOMPANHAMENTO="PLE",AUTOEVENTO="Manual",OR(H205&gt;0,ORÇAMENTO!AC205="QUANT."),OR(K205="",M205=0,N205="")),"►E",IF(AND(ACOMPANHAMENTO="PLE",ORÇAMENTO!AC205="QUANT."),"►Q",IF(AND(ACOMPANHAMENTO="PLE",H205&lt;&gt;SUMPRODUCT(($Q$1:$AI$1=1)*ROUND(Q205:AI205,15))),"►S",IF(AND(COUNTIF($P$11:$AI$11,"▼")=0,H205&gt;0,I205=""),"◄M","")))))</f>
        <v/>
      </c>
      <c r="K205" s="641" t="s">
        <v>1389</v>
      </c>
      <c r="L205" s="165" t="s">
        <v>764</v>
      </c>
      <c r="M205" s="166">
        <f ca="1">IF($D205&lt;&gt;"Serviço","",
          IF(AUTOEVENTO="manual",$A205,
                IF(ISERROR(MATCH($A205,$A$15:OFFSET($A205,-1,0),0)),MAX($M$15:OFFSET(M205,-1,0))+1,
                      INDEX($M$15:OFFSET(M205,-1,0),MATCH($A205,$A$15:OFFSET($A205,-1,0),0)))))</f>
        <v>4</v>
      </c>
      <c r="N205" s="167" t="str">
        <f ca="1">IF($D205&lt;&gt;"Serviço","",
         IF(AUTOEVENTO="Manual",
                IF($A205=0,"&lt;-- defina o número do agrupador",
                       OFFSET(EVENTOS!$D$15,$A205-$A$15,0)),
                OFFSET($F$15,$A205,0)))</f>
        <v>Estruturas de Concreto</v>
      </c>
      <c r="O205" s="168"/>
      <c r="Q205" s="168"/>
      <c r="R205" s="169"/>
      <c r="S205" s="169"/>
      <c r="T205" s="169"/>
      <c r="U205" s="169"/>
      <c r="V205" s="169">
        <v>37.4</v>
      </c>
      <c r="W205" s="169"/>
      <c r="X205" s="169"/>
      <c r="Y205" s="169"/>
      <c r="Z205" s="170"/>
      <c r="AA205" s="169"/>
      <c r="AB205" s="169"/>
      <c r="AC205" s="169"/>
      <c r="AD205" s="169"/>
      <c r="AE205" s="169"/>
      <c r="AF205" s="169"/>
      <c r="AG205" s="169"/>
      <c r="AH205" s="170"/>
      <c r="AJ205" s="453">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0</v>
      </c>
      <c r="AK205" s="453">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0</v>
      </c>
      <c r="AL205" s="453">
        <f ca="1">IF(AND($D205="Serviço",AL$12&lt;&gt;0,$H205&gt;0,OR(AUTOEVENTO&lt;&gt;"manual",$M205&lt;&gt;$A$15)),
        IF(Import.TipoArredondamento&lt;&gt;"TransfereGOV",
              ROUND(OFFSET($P205,0,AL$13),15-13*ORÇAMENTO!$AF$7)/$H205*OFFSET(ORÇAMENTO!$X$15,ROW(AL205)-ROW(AL$15),0),
              ROUND(ROUND(OFFSET($P205,0,AL$13),15-13*ORÇAMENTO!$AF$7)*OFFSET(ORÇAMENTO!$W$15,ROW(AL205)-ROW(AL$15),0),15-13*ORÇAMENTO!$AF$11)),
         0)</f>
        <v>0</v>
      </c>
      <c r="AM205" s="453">
        <f ca="1">IF(AND($D205="Serviço",AM$12&lt;&gt;0,$H205&gt;0,OR(AUTOEVENTO&lt;&gt;"manual",$M205&lt;&gt;$A$15)),
        IF(Import.TipoArredondamento&lt;&gt;"TransfereGOV",
              ROUND(OFFSET($P205,0,AM$13),15-13*ORÇAMENTO!$AF$7)/$H205*OFFSET(ORÇAMENTO!$X$15,ROW(AM205)-ROW(AM$15),0),
              ROUND(ROUND(OFFSET($P205,0,AM$13),15-13*ORÇAMENTO!$AF$7)*OFFSET(ORÇAMENTO!$W$15,ROW(AM205)-ROW(AM$15),0),15-13*ORÇAMENTO!$AF$11)),
         0)</f>
        <v>0</v>
      </c>
      <c r="AN205" s="453">
        <f ca="1">IF(AND($D205="Serviço",AN$12&lt;&gt;0,$H205&gt;0,OR(AUTOEVENTO&lt;&gt;"manual",$M205&lt;&gt;$A$15)),
        IF(Import.TipoArredondamento&lt;&gt;"TransfereGOV",
              ROUND(OFFSET($P205,0,AN$13),15-13*ORÇAMENTO!$AF$7)/$H205*OFFSET(ORÇAMENTO!$X$15,ROW(AN205)-ROW(AN$15),0),
              ROUND(ROUND(OFFSET($P205,0,AN$13),15-13*ORÇAMENTO!$AF$7)*OFFSET(ORÇAMENTO!$W$15,ROW(AN205)-ROW(AN$15),0),15-13*ORÇAMENTO!$AF$11)),
         0)</f>
        <v>0</v>
      </c>
      <c r="AO205" s="453">
        <f ca="1">IF(AND($D205="Serviço",AO$12&lt;&gt;0,$H205&gt;0,OR(AUTOEVENTO&lt;&gt;"manual",$M205&lt;&gt;$A$15)),
        IF(Import.TipoArredondamento&lt;&gt;"TransfereGOV",
              ROUND(OFFSET($P205,0,AO$13),15-13*ORÇAMENTO!$AF$7)/$H205*OFFSET(ORÇAMENTO!$X$15,ROW(AO205)-ROW(AO$15),0),
              ROUND(ROUND(OFFSET($P205,0,AO$13),15-13*ORÇAMENTO!$AF$7)*OFFSET(ORÇAMENTO!$W$15,ROW(AO205)-ROW(AO$15),0),15-13*ORÇAMENTO!$AF$11)),
         0)</f>
        <v>0</v>
      </c>
      <c r="AP205" s="453">
        <f ca="1">IF(AND($D205="Serviço",AP$12&lt;&gt;0,$H205&gt;0,OR(AUTOEVENTO&lt;&gt;"manual",$M205&lt;&gt;$A$15)),
        IF(Import.TipoArredondamento&lt;&gt;"TransfereGOV",
              ROUND(OFFSET($P205,0,AP$13),15-13*ORÇAMENTO!$AF$7)/$H205*OFFSET(ORÇAMENTO!$X$15,ROW(AP205)-ROW(AP$15),0),
              ROUND(ROUND(OFFSET($P205,0,AP$13),15-13*ORÇAMENTO!$AF$7)*OFFSET(ORÇAMENTO!$W$15,ROW(AP205)-ROW(AP$15),0),15-13*ORÇAMENTO!$AF$11)),
         0)</f>
        <v>0</v>
      </c>
      <c r="AQ205" s="453">
        <f ca="1">IF(AND($D205="Serviço",AQ$12&lt;&gt;0,$H205&gt;0,OR(AUTOEVENTO&lt;&gt;"manual",$M205&lt;&gt;$A$15)),
        IF(Import.TipoArredondamento&lt;&gt;"TransfereGOV",
              ROUND(OFFSET($P205,0,AQ$13),15-13*ORÇAMENTO!$AF$7)/$H205*OFFSET(ORÇAMENTO!$X$15,ROW(AQ205)-ROW(AQ$15),0),
              ROUND(ROUND(OFFSET($P205,0,AQ$13),15-13*ORÇAMENTO!$AF$7)*OFFSET(ORÇAMENTO!$W$15,ROW(AQ205)-ROW(AQ$15),0),15-13*ORÇAMENTO!$AF$11)),
         0)</f>
        <v>0</v>
      </c>
      <c r="AR205" s="453">
        <f ca="1">IF(AND($D205="Serviço",AR$12&lt;&gt;0,$H205&gt;0,OR(AUTOEVENTO&lt;&gt;"manual",$M205&lt;&gt;$A$15)),
        IF(Import.TipoArredondamento&lt;&gt;"TransfereGOV",
              ROUND(OFFSET($P205,0,AR$13),15-13*ORÇAMENTO!$AF$7)/$H205*OFFSET(ORÇAMENTO!$X$15,ROW(AR205)-ROW(AR$15),0),
              ROUND(ROUND(OFFSET($P205,0,AR$13),15-13*ORÇAMENTO!$AF$7)*OFFSET(ORÇAMENTO!$W$15,ROW(AR205)-ROW(AR$15),0),15-13*ORÇAMENTO!$AF$11)),
         0)</f>
        <v>0</v>
      </c>
      <c r="AS205" s="453">
        <f ca="1">IF(AND($D205="Serviço",AS$12&lt;&gt;0,$H205&gt;0,OR(AUTOEVENTO&lt;&gt;"manual",$M205&lt;&gt;$A$15)),
        IF(Import.TipoArredondamento&lt;&gt;"TransfereGOV",
              ROUND(OFFSET($P205,0,AS$13),15-13*ORÇAMENTO!$AF$7)/$H205*OFFSET(ORÇAMENTO!$X$15,ROW(AS205)-ROW(AS$15),0),
              ROUND(ROUND(OFFSET($P205,0,AS$13),15-13*ORÇAMENTO!$AF$7)*OFFSET(ORÇAMENTO!$W$15,ROW(AS205)-ROW(AS$15),0),15-13*ORÇAMENTO!$AF$11)),
         0)</f>
        <v>0</v>
      </c>
      <c r="AT205" s="453">
        <f ca="1">IF(AND($D205="Serviço",AT$12&lt;&gt;0,$H205&gt;0,OR(AUTOEVENTO&lt;&gt;"manual",$M205&lt;&gt;$A$15)),
        IF(Import.TipoArredondamento&lt;&gt;"TransfereGOV",
              ROUND(OFFSET($P205,0,AT$13),15-13*ORÇAMENTO!$AF$7)/$H205*OFFSET(ORÇAMENTO!$X$15,ROW(AT205)-ROW(AT$15),0),
              ROUND(ROUND(OFFSET($P205,0,AT$13),15-13*ORÇAMENTO!$AF$7)*OFFSET(ORÇAMENTO!$W$15,ROW(AT205)-ROW(AT$15),0),15-13*ORÇAMENTO!$AF$11)),
         0)</f>
        <v>0</v>
      </c>
      <c r="AU205" s="453">
        <f ca="1">IF(AND($D205="Serviço",AU$12&lt;&gt;0,$H205&gt;0,OR(AUTOEVENTO&lt;&gt;"manual",$M205&lt;&gt;$A$15)),
        IF(Import.TipoArredondamento&lt;&gt;"TransfereGOV",
              ROUND(OFFSET($P205,0,AU$13),15-13*ORÇAMENTO!$AF$7)/$H205*OFFSET(ORÇAMENTO!$X$15,ROW(AU205)-ROW(AU$15),0),
              ROUND(ROUND(OFFSET($P205,0,AU$13),15-13*ORÇAMENTO!$AF$7)*OFFSET(ORÇAMENTO!$W$15,ROW(AU205)-ROW(AU$15),0),15-13*ORÇAMENTO!$AF$11)),
         0)</f>
        <v>0</v>
      </c>
      <c r="AV205" s="453">
        <f ca="1">IF(AND($D205="Serviço",AV$12&lt;&gt;0,$H205&gt;0,OR(AUTOEVENTO&lt;&gt;"manual",$M205&lt;&gt;$A$15)),
        IF(Import.TipoArredondamento&lt;&gt;"TransfereGOV",
              ROUND(OFFSET($P205,0,AV$13),15-13*ORÇAMENTO!$AF$7)/$H205*OFFSET(ORÇAMENTO!$X$15,ROW(AV205)-ROW(AV$15),0),
              ROUND(ROUND(OFFSET($P205,0,AV$13),15-13*ORÇAMENTO!$AF$7)*OFFSET(ORÇAMENTO!$W$15,ROW(AV205)-ROW(AV$15),0),15-13*ORÇAMENTO!$AF$11)),
         0)</f>
        <v>0</v>
      </c>
      <c r="AW205" s="453">
        <f ca="1">IF(AND($D205="Serviço",AW$12&lt;&gt;0,$H205&gt;0,OR(AUTOEVENTO&lt;&gt;"manual",$M205&lt;&gt;$A$15)),
        IF(Import.TipoArredondamento&lt;&gt;"TransfereGOV",
              ROUND(OFFSET($P205,0,AW$13),15-13*ORÇAMENTO!$AF$7)/$H205*OFFSET(ORÇAMENTO!$X$15,ROW(AW205)-ROW(AW$15),0),
              ROUND(ROUND(OFFSET($P205,0,AW$13),15-13*ORÇAMENTO!$AF$7)*OFFSET(ORÇAMENTO!$W$15,ROW(AW205)-ROW(AW$15),0),15-13*ORÇAMENTO!$AF$11)),
         0)</f>
        <v>0</v>
      </c>
      <c r="AX205" s="453">
        <f ca="1">IF(AND($D205="Serviço",AX$12&lt;&gt;0,$H205&gt;0,OR(AUTOEVENTO&lt;&gt;"manual",$M205&lt;&gt;$A$15)),
        IF(Import.TipoArredondamento&lt;&gt;"TransfereGOV",
              ROUND(OFFSET($P205,0,AX$13),15-13*ORÇAMENTO!$AF$7)/$H205*OFFSET(ORÇAMENTO!$X$15,ROW(AX205)-ROW(AX$15),0),
              ROUND(ROUND(OFFSET($P205,0,AX$13),15-13*ORÇAMENTO!$AF$7)*OFFSET(ORÇAMENTO!$W$15,ROW(AX205)-ROW(AX$15),0),15-13*ORÇAMENTO!$AF$11)),
         0)</f>
        <v>0</v>
      </c>
      <c r="AY205" s="453">
        <f ca="1">IF(AND($D205="Serviço",AY$12&lt;&gt;0,$H205&gt;0,OR(AUTOEVENTO&lt;&gt;"manual",$M205&lt;&gt;$A$15)),
        IF(Import.TipoArredondamento&lt;&gt;"TransfereGOV",
              ROUND(OFFSET($P205,0,AY$13),15-13*ORÇAMENTO!$AF$7)/$H205*OFFSET(ORÇAMENTO!$X$15,ROW(AY205)-ROW(AY$15),0),
              ROUND(ROUND(OFFSET($P205,0,AY$13),15-13*ORÇAMENTO!$AF$7)*OFFSET(ORÇAMENTO!$W$15,ROW(AY205)-ROW(AY$15),0),15-13*ORÇAMENTO!$AF$11)),
         0)</f>
        <v>0</v>
      </c>
      <c r="AZ205" s="453">
        <f ca="1">IF(AND($D205="Serviço",AZ$12&lt;&gt;0,$H205&gt;0,OR(AUTOEVENTO&lt;&gt;"manual",$M205&lt;&gt;$A$15)),
        IF(Import.TipoArredondamento&lt;&gt;"TransfereGOV",
              ROUND(OFFSET($P205,0,AZ$13),15-13*ORÇAMENTO!$AF$7)/$H205*OFFSET(ORÇAMENTO!$X$15,ROW(AZ205)-ROW(AZ$15),0),
              ROUND(ROUND(OFFSET($P205,0,AZ$13),15-13*ORÇAMENTO!$AF$7)*OFFSET(ORÇAMENTO!$W$15,ROW(AZ205)-ROW(AZ$15),0),15-13*ORÇAMENTO!$AF$11)),
         0)</f>
        <v>0</v>
      </c>
      <c r="BA205" s="453">
        <f ca="1">IF(AND($D205="Serviço",BA$12&lt;&gt;0,$H205&gt;0,OR(AUTOEVENTO&lt;&gt;"manual",$M205&lt;&gt;$A$15)),
        IF(Import.TipoArredondamento&lt;&gt;"TransfereGOV",
              ROUND(OFFSET($P205,0,BA$13),15-13*ORÇAMENTO!$AF$7)/$H205*OFFSET(ORÇAMENTO!$X$15,ROW(BA205)-ROW(BA$15),0),
              ROUND(ROUND(OFFSET($P205,0,BA$13),15-13*ORÇAMENTO!$AF$7)*OFFSET(ORÇAMENTO!$W$15,ROW(BA205)-ROW(BA$15),0),15-13*ORÇAMENTO!$AF$11)),
         0)</f>
        <v>0</v>
      </c>
      <c r="BC205" s="171">
        <f ca="1">IF(OR($D205&lt;&gt;"Serviço",AND(AUTOEVENTO="Manual",$M205=$A$15)),0,
         IF(OFFSET(CRONOPLE!$F$15,$M205-$A$15,BC$13)=0,10^12,OFFSET(CRONOPLE!$F$15,$M205-$A$15,BC$13)))</f>
        <v>1</v>
      </c>
      <c r="BD205" s="171">
        <f ca="1">IF(OR($D205&lt;&gt;"Serviço",AND(AUTOEVENTO="Manual",$M205=$A$15)),0,
         IF(OFFSET(CRONOPLE!$F$15,$M205-$A$15,BD$13)=0,10^12,OFFSET(CRONOPLE!$F$15,$M205-$A$15,BD$13)))</f>
        <v>2</v>
      </c>
      <c r="BE205" s="171">
        <f ca="1">IF(OR($D205&lt;&gt;"Serviço",AND(AUTOEVENTO="Manual",$M205=$A$15)),0,
         IF(OFFSET(CRONOPLE!$F$15,$M205-$A$15,BE$13)=0,10^12,OFFSET(CRONOPLE!$F$15,$M205-$A$15,BE$13)))</f>
        <v>3</v>
      </c>
      <c r="BF205" s="171">
        <f ca="1">IF(OR($D205&lt;&gt;"Serviço",AND(AUTOEVENTO="Manual",$M205=$A$15)),0,
         IF(OFFSET(CRONOPLE!$F$15,$M205-$A$15,BF$13)=0,10^12,OFFSET(CRONOPLE!$F$15,$M205-$A$15,BF$13)))</f>
        <v>4</v>
      </c>
      <c r="BG205" s="171">
        <f ca="1">IF(OR($D205&lt;&gt;"Serviço",AND(AUTOEVENTO="Manual",$M205=$A$15)),0,
         IF(OFFSET(CRONOPLE!$F$15,$M205-$A$15,BG$13)=0,10^12,OFFSET(CRONOPLE!$F$15,$M205-$A$15,BG$13)))</f>
        <v>5</v>
      </c>
      <c r="BH205" s="171">
        <f ca="1">IF(OR($D205&lt;&gt;"Serviço",AND(AUTOEVENTO="Manual",$M205=$A$15)),0,
         IF(OFFSET(CRONOPLE!$F$15,$M205-$A$15,BH$13)=0,10^12,OFFSET(CRONOPLE!$F$15,$M205-$A$15,BH$13)))</f>
        <v>6</v>
      </c>
      <c r="BI205" s="171">
        <f ca="1">IF(OR($D205&lt;&gt;"Serviço",AND(AUTOEVENTO="Manual",$M205=$A$15)),0,
         IF(OFFSET(CRONOPLE!$F$15,$M205-$A$15,BI$13)=0,10^12,OFFSET(CRONOPLE!$F$15,$M205-$A$15,BI$13)))</f>
        <v>7</v>
      </c>
      <c r="BJ205" s="171">
        <f ca="1">IF(OR($D205&lt;&gt;"Serviço",AND(AUTOEVENTO="Manual",$M205=$A$15)),0,
         IF(OFFSET(CRONOPLE!$F$15,$M205-$A$15,BJ$13)=0,10^12,OFFSET(CRONOPLE!$F$15,$M205-$A$15,BJ$13)))</f>
        <v>8</v>
      </c>
      <c r="BK205" s="171">
        <f ca="1">IF(OR($D205&lt;&gt;"Serviço",AND(AUTOEVENTO="Manual",$M205=$A$15)),0,
         IF(OFFSET(CRONOPLE!$F$15,$M205-$A$15,BK$13)=0,10^12,OFFSET(CRONOPLE!$F$15,$M205-$A$15,BK$13)))</f>
        <v>9</v>
      </c>
      <c r="BL205" s="171">
        <f ca="1">IF(OR($D205&lt;&gt;"Serviço",AND(AUTOEVENTO="Manual",$M205=$A$15)),0,
         IF(OFFSET(CRONOPLE!$F$15,$M205-$A$15,BL$13)=0,10^12,OFFSET(CRONOPLE!$F$15,$M205-$A$15,BL$13)))</f>
        <v>10</v>
      </c>
      <c r="BM205" s="171">
        <f ca="1">IF(OR($D205&lt;&gt;"Serviço",AND(AUTOEVENTO="Manual",$M205=$A$15)),0,
         IF(OFFSET(CRONOPLE!$F$15,$M205-$A$15,BM$13)=0,10^12,OFFSET(CRONOPLE!$F$15,$M205-$A$15,BM$13)))</f>
        <v>1000000000000</v>
      </c>
      <c r="BN205" s="171">
        <f ca="1">IF(OR($D205&lt;&gt;"Serviço",AND(AUTOEVENTO="Manual",$M205=$A$15)),0,
         IF(OFFSET(CRONOPLE!$F$15,$M205-$A$15,BN$13)=0,10^12,OFFSET(CRONOPLE!$F$15,$M205-$A$15,BN$13)))</f>
        <v>1000000000000</v>
      </c>
      <c r="BO205" s="171">
        <f ca="1">IF(OR($D205&lt;&gt;"Serviço",AND(AUTOEVENTO="Manual",$M205=$A$15)),0,
         IF(OFFSET(CRONOPLE!$F$15,$M205-$A$15,BO$13)=0,10^12,OFFSET(CRONOPLE!$F$15,$M205-$A$15,BO$13)))</f>
        <v>1000000000000</v>
      </c>
      <c r="BP205" s="171">
        <f ca="1">IF(OR($D205&lt;&gt;"Serviço",AND(AUTOEVENTO="Manual",$M205=$A$15)),0,
         IF(OFFSET(CRONOPLE!$F$15,$M205-$A$15,BP$13)=0,10^12,OFFSET(CRONOPLE!$F$15,$M205-$A$15,BP$13)))</f>
        <v>1000000000000</v>
      </c>
      <c r="BQ205" s="171">
        <f ca="1">IF(OR($D205&lt;&gt;"Serviço",AND(AUTOEVENTO="Manual",$M205=$A$15)),0,
         IF(OFFSET(CRONOPLE!$F$15,$M205-$A$15,BQ$13)=0,10^12,OFFSET(CRONOPLE!$F$15,$M205-$A$15,BQ$13)))</f>
        <v>1000000000000</v>
      </c>
      <c r="BR205" s="171">
        <f ca="1">IF(OR($D205&lt;&gt;"Serviço",AND(AUTOEVENTO="Manual",$M205=$A$15)),0,
         IF(OFFSET(CRONOPLE!$F$15,$M205-$A$15,BR$13)=0,10^12,OFFSET(CRONOPLE!$F$15,$M205-$A$15,BR$13)))</f>
        <v>1000000000000</v>
      </c>
      <c r="BS205" s="171">
        <f ca="1">IF(OR($D205&lt;&gt;"Serviço",AND(AUTOEVENTO="Manual",$M205=$A$15)),0,
         IF(OFFSET(CRONOPLE!$F$15,$M205-$A$15,BS$13)=0,10^12,OFFSET(CRONOPLE!$F$15,$M205-$A$15,BS$13)))</f>
        <v>1000000000000</v>
      </c>
      <c r="BT205" s="171">
        <f ca="1">IF(OR($D205&lt;&gt;"Serviço",AND(AUTOEVENTO="Manual",$M205=$A$15)),0,
         IF(OFFSET(CRONOPLE!$F$15,$M205-$A$15,BT$13)=0,10^12,OFFSET(CRONOPLE!$F$15,$M205-$A$15,BT$13)))</f>
        <v>1000000000000</v>
      </c>
      <c r="BV205" s="172">
        <f ca="1">IF(OR($D205&lt;&gt;"Serviço",AND(AUTOEVENTO="Manual",$M205=$A$15),$M205&gt;(ROW(PLE.lastrow)-ROW(PLE.firstrow))),0,
           IF(OFFSET(PLE!$G$15,$M205-$A$15,BV$13)="",10^12,OFFSET(PLE!$G$15,$M205-$A$15,BV$13)))</f>
        <v>1000000000000</v>
      </c>
      <c r="BW205" s="172">
        <f ca="1">IF(OR($D205&lt;&gt;"Serviço",AND(AUTOEVENTO="Manual",$M205=$A$15),$M205&gt;(ROW(PLE.lastrow)-ROW(PLE.firstrow))),0,
           IF(OFFSET(PLE!$G$15,$M205-$A$15,BW$13)="",10^12,OFFSET(PLE!$G$15,$M205-$A$15,BW$13)))</f>
        <v>1000000000000</v>
      </c>
      <c r="BX205" s="172">
        <f ca="1">IF(OR($D205&lt;&gt;"Serviço",AND(AUTOEVENTO="Manual",$M205=$A$15),$M205&gt;(ROW(PLE.lastrow)-ROW(PLE.firstrow))),0,
           IF(OFFSET(PLE!$G$15,$M205-$A$15,BX$13)="",10^12,OFFSET(PLE!$G$15,$M205-$A$15,BX$13)))</f>
        <v>1000000000000</v>
      </c>
      <c r="BY205" s="172">
        <f ca="1">IF(OR($D205&lt;&gt;"Serviço",AND(AUTOEVENTO="Manual",$M205=$A$15),$M205&gt;(ROW(PLE.lastrow)-ROW(PLE.firstrow))),0,
           IF(OFFSET(PLE!$G$15,$M205-$A$15,BY$13)="",10^12,OFFSET(PLE!$G$15,$M205-$A$15,BY$13)))</f>
        <v>1000000000000</v>
      </c>
      <c r="BZ205" s="172">
        <f ca="1">IF(OR($D205&lt;&gt;"Serviço",AND(AUTOEVENTO="Manual",$M205=$A$15),$M205&gt;(ROW(PLE.lastrow)-ROW(PLE.firstrow))),0,
           IF(OFFSET(PLE!$G$15,$M205-$A$15,BZ$13)="",10^12,OFFSET(PLE!$G$15,$M205-$A$15,BZ$13)))</f>
        <v>1000000000000</v>
      </c>
      <c r="CA205" s="172">
        <f ca="1">IF(OR($D205&lt;&gt;"Serviço",AND(AUTOEVENTO="Manual",$M205=$A$15),$M205&gt;(ROW(PLE.lastrow)-ROW(PLE.firstrow))),0,
           IF(OFFSET(PLE!$G$15,$M205-$A$15,CA$13)="",10^12,OFFSET(PLE!$G$15,$M205-$A$15,CA$13)))</f>
        <v>1000000000000</v>
      </c>
      <c r="CB205" s="172">
        <f ca="1">IF(OR($D205&lt;&gt;"Serviço",AND(AUTOEVENTO="Manual",$M205=$A$15),$M205&gt;(ROW(PLE.lastrow)-ROW(PLE.firstrow))),0,
           IF(OFFSET(PLE!$G$15,$M205-$A$15,CB$13)="",10^12,OFFSET(PLE!$G$15,$M205-$A$15,CB$13)))</f>
        <v>1000000000000</v>
      </c>
      <c r="CC205" s="172">
        <f ca="1">IF(OR($D205&lt;&gt;"Serviço",AND(AUTOEVENTO="Manual",$M205=$A$15),$M205&gt;(ROW(PLE.lastrow)-ROW(PLE.firstrow))),0,
           IF(OFFSET(PLE!$G$15,$M205-$A$15,CC$13)="",10^12,OFFSET(PLE!$G$15,$M205-$A$15,CC$13)))</f>
        <v>1000000000000</v>
      </c>
      <c r="CD205" s="172">
        <f ca="1">IF(OR($D205&lt;&gt;"Serviço",AND(AUTOEVENTO="Manual",$M205=$A$15),$M205&gt;(ROW(PLE.lastrow)-ROW(PLE.firstrow))),0,
           IF(OFFSET(PLE!$G$15,$M205-$A$15,CD$13)="",10^12,OFFSET(PLE!$G$15,$M205-$A$15,CD$13)))</f>
        <v>1000000000000</v>
      </c>
      <c r="CE205" s="172">
        <f ca="1">IF(OR($D205&lt;&gt;"Serviço",AND(AUTOEVENTO="Manual",$M205=$A$15),$M205&gt;(ROW(PLE.lastrow)-ROW(PLE.firstrow))),0,
           IF(OFFSET(PLE!$G$15,$M205-$A$15,CE$13)="",10^12,OFFSET(PLE!$G$15,$M205-$A$15,CE$13)))</f>
        <v>1000000000000</v>
      </c>
      <c r="CF205" s="172">
        <f ca="1">IF(OR($D205&lt;&gt;"Serviço",AND(AUTOEVENTO="Manual",$M205=$A$15),$M205&gt;(ROW(PLE.lastrow)-ROW(PLE.firstrow))),0,
           IF(OFFSET(PLE!$G$15,$M205-$A$15,CF$13)="",10^12,OFFSET(PLE!$G$15,$M205-$A$15,CF$13)))</f>
        <v>1000000000000</v>
      </c>
      <c r="CG205" s="172">
        <f ca="1">IF(OR($D205&lt;&gt;"Serviço",AND(AUTOEVENTO="Manual",$M205=$A$15),$M205&gt;(ROW(PLE.lastrow)-ROW(PLE.firstrow))),0,
           IF(OFFSET(PLE!$G$15,$M205-$A$15,CG$13)="",10^12,OFFSET(PLE!$G$15,$M205-$A$15,CG$13)))</f>
        <v>1000000000000</v>
      </c>
      <c r="CH205" s="172">
        <f ca="1">IF(OR($D205&lt;&gt;"Serviço",AND(AUTOEVENTO="Manual",$M205=$A$15),$M205&gt;(ROW(PLE.lastrow)-ROW(PLE.firstrow))),0,
           IF(OFFSET(PLE!$G$15,$M205-$A$15,CH$13)="",10^12,OFFSET(PLE!$G$15,$M205-$A$15,CH$13)))</f>
        <v>1000000000000</v>
      </c>
      <c r="CI205" s="172">
        <f ca="1">IF(OR($D205&lt;&gt;"Serviço",AND(AUTOEVENTO="Manual",$M205=$A$15),$M205&gt;(ROW(PLE.lastrow)-ROW(PLE.firstrow))),0,
           IF(OFFSET(PLE!$G$15,$M205-$A$15,CI$13)="",10^12,OFFSET(PLE!$G$15,$M205-$A$15,CI$13)))</f>
        <v>1000000000000</v>
      </c>
      <c r="CJ205" s="172">
        <f ca="1">IF(OR($D205&lt;&gt;"Serviço",AND(AUTOEVENTO="Manual",$M205=$A$15),$M205&gt;(ROW(PLE.lastrow)-ROW(PLE.firstrow))),0,
           IF(OFFSET(PLE!$G$15,$M205-$A$15,CJ$13)="",10^12,OFFSET(PLE!$G$15,$M205-$A$15,CJ$13)))</f>
        <v>1000000000000</v>
      </c>
      <c r="CK205" s="172">
        <f ca="1">IF(OR($D205&lt;&gt;"Serviço",AND(AUTOEVENTO="Manual",$M205=$A$15),$M205&gt;(ROW(PLE.lastrow)-ROW(PLE.firstrow))),0,
           IF(OFFSET(PLE!$G$15,$M205-$A$15,CK$13)="",10^12,OFFSET(PLE!$G$15,$M205-$A$15,CK$13)))</f>
        <v>1000000000000</v>
      </c>
      <c r="CL205" s="172">
        <f ca="1">IF(OR($D205&lt;&gt;"Serviço",AND(AUTOEVENTO="Manual",$M205=$A$15),$M205&gt;(ROW(PLE.lastrow)-ROW(PLE.firstrow))),0,
           IF(OFFSET(PLE!$G$15,$M205-$A$15,CL$13)="",10^12,OFFSET(PLE!$G$15,$M205-$A$15,CL$13)))</f>
        <v>1000000000000</v>
      </c>
      <c r="CM205" s="172">
        <f ca="1">IF(OR($D205&lt;&gt;"Serviço",AND(AUTOEVENTO="Manual",$M205=$A$15),$M205&gt;(ROW(PLE.lastrow)-ROW(PLE.firstrow))),0,
           IF(OFFSET(PLE!$G$15,$M205-$A$15,CM$13)="",10^12,OFFSET(PLE!$G$15,$M205-$A$15,CM$13)))</f>
        <v>1000000000000</v>
      </c>
    </row>
    <row r="206" spans="1:91" ht="51" x14ac:dyDescent="0.2">
      <c r="A206" s="7">
        <f t="shared" ca="1" si="12"/>
        <v>4</v>
      </c>
      <c r="B206" s="7" t="str">
        <f ca="1">OFFSET(ORÇAMENTO!C$15,ROW(B206)-ROW(B$15),0)</f>
        <v>S</v>
      </c>
      <c r="C206" s="7" t="str">
        <f ca="1">OFFSET(ORÇAMENTO!L$15,ROW(C206)-ROW(C$15),0)</f>
        <v>F</v>
      </c>
      <c r="D206" s="116" t="str">
        <f ca="1">OFFSET(ORÇAMENTO!N$15,ROW(D206)-ROW(D$15),0)</f>
        <v>Serviço</v>
      </c>
      <c r="E206" s="117" t="str">
        <f ca="1">OFFSET(ORÇAMENTO!O$15,ROW(E206)-ROW(E$15),0)</f>
        <v>1.5.5.6.5.</v>
      </c>
      <c r="F206" s="163" t="str">
        <f ca="1">OFFSET(ORÇAMENTO!R$15,ROW(F206)-ROW(F$15),0)</f>
        <v>CONSTRUÇÃO DE BASE E SUB-BASE PARA PAVIMENTAÇÃO DE BRITA GRADUADA SIMPLES TRATADA COM CIMENTO, COM ESPESSURA DE 15 CM - EXCLUSIVE CARGA E TRANSPORTE. AF_09/2024</v>
      </c>
      <c r="G206" s="164" t="str">
        <f ca="1">IF($D206&lt;&gt;"Serviço","",OFFSET(ORÇAMENTO!S$15,ROW(G206)-ROW(G$15),0))</f>
        <v>M3</v>
      </c>
      <c r="H206" s="122" cm="1">
        <f t="array" aca="1" ref="H206" ca="1">IF($D206&lt;&gt;"Serviço",0,IF(ACOMPANHAMENTO="BM",ROUND(OFFSET(ORÇAMENTO!AJ$15,ROW(H206)-ROW(H$15),0),15-13*ORÇAMENTO!$AF$7),SUMPRODUCT(($Q$1:$AI$1=1)*ROUND($Q206:$AI206,15-13*ORÇAMENTO!$AF$7))))</f>
        <v>1.87</v>
      </c>
      <c r="I206" s="468" t="s">
        <v>1439</v>
      </c>
      <c r="J206" s="640" t="str" cm="1">
        <f t="array" aca="1" ref="J206" ca="1">IF(OR(B206&lt;&gt;"S",CÁLCULO.FrentesPreenchidas=0),"",IF(AND(ACOMPANHAMENTO="PLE",AUTOEVENTO="Manual",OR(H206&gt;0,ORÇAMENTO!AC206="QUANT."),OR(K206="",M206=0,N206="")),"►E",IF(AND(ACOMPANHAMENTO="PLE",ORÇAMENTO!AC206="QUANT."),"►Q",IF(AND(ACOMPANHAMENTO="PLE",H206&lt;&gt;SUMPRODUCT(($Q$1:$AI$1=1)*ROUND(Q206:AI206,15))),"►S",IF(AND(COUNTIF($P$11:$AI$11,"▼")=0,H206&gt;0,I206=""),"◄M","")))))</f>
        <v/>
      </c>
      <c r="K206" s="641" t="s">
        <v>1389</v>
      </c>
      <c r="L206" s="165" t="s">
        <v>764</v>
      </c>
      <c r="M206" s="166">
        <f ca="1">IF($D206&lt;&gt;"Serviço","",
          IF(AUTOEVENTO="manual",$A206,
                IF(ISERROR(MATCH($A206,$A$15:OFFSET($A206,-1,0),0)),MAX($M$15:OFFSET(M206,-1,0))+1,
                      INDEX($M$15:OFFSET(M206,-1,0),MATCH($A206,$A$15:OFFSET($A206,-1,0),0)))))</f>
        <v>4</v>
      </c>
      <c r="N206" s="167" t="str">
        <f ca="1">IF($D206&lt;&gt;"Serviço","",
         IF(AUTOEVENTO="Manual",
                IF($A206=0,"&lt;-- defina o número do agrupador",
                       OFFSET(EVENTOS!$D$15,$A206-$A$15,0)),
                OFFSET($F$15,$A206,0)))</f>
        <v>Estruturas de Concreto</v>
      </c>
      <c r="O206" s="168"/>
      <c r="Q206" s="168"/>
      <c r="R206" s="169"/>
      <c r="S206" s="169"/>
      <c r="T206" s="169"/>
      <c r="U206" s="169"/>
      <c r="V206" s="169">
        <f>V205*0.05</f>
        <v>1.87</v>
      </c>
      <c r="W206" s="169"/>
      <c r="X206" s="169"/>
      <c r="Y206" s="169"/>
      <c r="Z206" s="170"/>
      <c r="AA206" s="169"/>
      <c r="AB206" s="169"/>
      <c r="AC206" s="169"/>
      <c r="AD206" s="169"/>
      <c r="AE206" s="169"/>
      <c r="AF206" s="169"/>
      <c r="AG206" s="169"/>
      <c r="AH206" s="170"/>
      <c r="AJ206" s="453">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0</v>
      </c>
      <c r="AK206" s="453">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0</v>
      </c>
      <c r="AL206" s="453">
        <f ca="1">IF(AND($D206="Serviço",AL$12&lt;&gt;0,$H206&gt;0,OR(AUTOEVENTO&lt;&gt;"manual",$M206&lt;&gt;$A$15)),
        IF(Import.TipoArredondamento&lt;&gt;"TransfereGOV",
              ROUND(OFFSET($P206,0,AL$13),15-13*ORÇAMENTO!$AF$7)/$H206*OFFSET(ORÇAMENTO!$X$15,ROW(AL206)-ROW(AL$15),0),
              ROUND(ROUND(OFFSET($P206,0,AL$13),15-13*ORÇAMENTO!$AF$7)*OFFSET(ORÇAMENTO!$W$15,ROW(AL206)-ROW(AL$15),0),15-13*ORÇAMENTO!$AF$11)),
         0)</f>
        <v>0</v>
      </c>
      <c r="AM206" s="453">
        <f ca="1">IF(AND($D206="Serviço",AM$12&lt;&gt;0,$H206&gt;0,OR(AUTOEVENTO&lt;&gt;"manual",$M206&lt;&gt;$A$15)),
        IF(Import.TipoArredondamento&lt;&gt;"TransfereGOV",
              ROUND(OFFSET($P206,0,AM$13),15-13*ORÇAMENTO!$AF$7)/$H206*OFFSET(ORÇAMENTO!$X$15,ROW(AM206)-ROW(AM$15),0),
              ROUND(ROUND(OFFSET($P206,0,AM$13),15-13*ORÇAMENTO!$AF$7)*OFFSET(ORÇAMENTO!$W$15,ROW(AM206)-ROW(AM$15),0),15-13*ORÇAMENTO!$AF$11)),
         0)</f>
        <v>0</v>
      </c>
      <c r="AN206" s="453">
        <f ca="1">IF(AND($D206="Serviço",AN$12&lt;&gt;0,$H206&gt;0,OR(AUTOEVENTO&lt;&gt;"manual",$M206&lt;&gt;$A$15)),
        IF(Import.TipoArredondamento&lt;&gt;"TransfereGOV",
              ROUND(OFFSET($P206,0,AN$13),15-13*ORÇAMENTO!$AF$7)/$H206*OFFSET(ORÇAMENTO!$X$15,ROW(AN206)-ROW(AN$15),0),
              ROUND(ROUND(OFFSET($P206,0,AN$13),15-13*ORÇAMENTO!$AF$7)*OFFSET(ORÇAMENTO!$W$15,ROW(AN206)-ROW(AN$15),0),15-13*ORÇAMENTO!$AF$11)),
         0)</f>
        <v>0</v>
      </c>
      <c r="AO206" s="453">
        <f ca="1">IF(AND($D206="Serviço",AO$12&lt;&gt;0,$H206&gt;0,OR(AUTOEVENTO&lt;&gt;"manual",$M206&lt;&gt;$A$15)),
        IF(Import.TipoArredondamento&lt;&gt;"TransfereGOV",
              ROUND(OFFSET($P206,0,AO$13),15-13*ORÇAMENTO!$AF$7)/$H206*OFFSET(ORÇAMENTO!$X$15,ROW(AO206)-ROW(AO$15),0),
              ROUND(ROUND(OFFSET($P206,0,AO$13),15-13*ORÇAMENTO!$AF$7)*OFFSET(ORÇAMENTO!$W$15,ROW(AO206)-ROW(AO$15),0),15-13*ORÇAMENTO!$AF$11)),
         0)</f>
        <v>0</v>
      </c>
      <c r="AP206" s="453">
        <f ca="1">IF(AND($D206="Serviço",AP$12&lt;&gt;0,$H206&gt;0,OR(AUTOEVENTO&lt;&gt;"manual",$M206&lt;&gt;$A$15)),
        IF(Import.TipoArredondamento&lt;&gt;"TransfereGOV",
              ROUND(OFFSET($P206,0,AP$13),15-13*ORÇAMENTO!$AF$7)/$H206*OFFSET(ORÇAMENTO!$X$15,ROW(AP206)-ROW(AP$15),0),
              ROUND(ROUND(OFFSET($P206,0,AP$13),15-13*ORÇAMENTO!$AF$7)*OFFSET(ORÇAMENTO!$W$15,ROW(AP206)-ROW(AP$15),0),15-13*ORÇAMENTO!$AF$11)),
         0)</f>
        <v>0</v>
      </c>
      <c r="AQ206" s="453">
        <f ca="1">IF(AND($D206="Serviço",AQ$12&lt;&gt;0,$H206&gt;0,OR(AUTOEVENTO&lt;&gt;"manual",$M206&lt;&gt;$A$15)),
        IF(Import.TipoArredondamento&lt;&gt;"TransfereGOV",
              ROUND(OFFSET($P206,0,AQ$13),15-13*ORÇAMENTO!$AF$7)/$H206*OFFSET(ORÇAMENTO!$X$15,ROW(AQ206)-ROW(AQ$15),0),
              ROUND(ROUND(OFFSET($P206,0,AQ$13),15-13*ORÇAMENTO!$AF$7)*OFFSET(ORÇAMENTO!$W$15,ROW(AQ206)-ROW(AQ$15),0),15-13*ORÇAMENTO!$AF$11)),
         0)</f>
        <v>0</v>
      </c>
      <c r="AR206" s="453">
        <f ca="1">IF(AND($D206="Serviço",AR$12&lt;&gt;0,$H206&gt;0,OR(AUTOEVENTO&lt;&gt;"manual",$M206&lt;&gt;$A$15)),
        IF(Import.TipoArredondamento&lt;&gt;"TransfereGOV",
              ROUND(OFFSET($P206,0,AR$13),15-13*ORÇAMENTO!$AF$7)/$H206*OFFSET(ORÇAMENTO!$X$15,ROW(AR206)-ROW(AR$15),0),
              ROUND(ROUND(OFFSET($P206,0,AR$13),15-13*ORÇAMENTO!$AF$7)*OFFSET(ORÇAMENTO!$W$15,ROW(AR206)-ROW(AR$15),0),15-13*ORÇAMENTO!$AF$11)),
         0)</f>
        <v>0</v>
      </c>
      <c r="AS206" s="453">
        <f ca="1">IF(AND($D206="Serviço",AS$12&lt;&gt;0,$H206&gt;0,OR(AUTOEVENTO&lt;&gt;"manual",$M206&lt;&gt;$A$15)),
        IF(Import.TipoArredondamento&lt;&gt;"TransfereGOV",
              ROUND(OFFSET($P206,0,AS$13),15-13*ORÇAMENTO!$AF$7)/$H206*OFFSET(ORÇAMENTO!$X$15,ROW(AS206)-ROW(AS$15),0),
              ROUND(ROUND(OFFSET($P206,0,AS$13),15-13*ORÇAMENTO!$AF$7)*OFFSET(ORÇAMENTO!$W$15,ROW(AS206)-ROW(AS$15),0),15-13*ORÇAMENTO!$AF$11)),
         0)</f>
        <v>0</v>
      </c>
      <c r="AT206" s="453">
        <f ca="1">IF(AND($D206="Serviço",AT$12&lt;&gt;0,$H206&gt;0,OR(AUTOEVENTO&lt;&gt;"manual",$M206&lt;&gt;$A$15)),
        IF(Import.TipoArredondamento&lt;&gt;"TransfereGOV",
              ROUND(OFFSET($P206,0,AT$13),15-13*ORÇAMENTO!$AF$7)/$H206*OFFSET(ORÇAMENTO!$X$15,ROW(AT206)-ROW(AT$15),0),
              ROUND(ROUND(OFFSET($P206,0,AT$13),15-13*ORÇAMENTO!$AF$7)*OFFSET(ORÇAMENTO!$W$15,ROW(AT206)-ROW(AT$15),0),15-13*ORÇAMENTO!$AF$11)),
         0)</f>
        <v>0</v>
      </c>
      <c r="AU206" s="453">
        <f ca="1">IF(AND($D206="Serviço",AU$12&lt;&gt;0,$H206&gt;0,OR(AUTOEVENTO&lt;&gt;"manual",$M206&lt;&gt;$A$15)),
        IF(Import.TipoArredondamento&lt;&gt;"TransfereGOV",
              ROUND(OFFSET($P206,0,AU$13),15-13*ORÇAMENTO!$AF$7)/$H206*OFFSET(ORÇAMENTO!$X$15,ROW(AU206)-ROW(AU$15),0),
              ROUND(ROUND(OFFSET($P206,0,AU$13),15-13*ORÇAMENTO!$AF$7)*OFFSET(ORÇAMENTO!$W$15,ROW(AU206)-ROW(AU$15),0),15-13*ORÇAMENTO!$AF$11)),
         0)</f>
        <v>0</v>
      </c>
      <c r="AV206" s="453">
        <f ca="1">IF(AND($D206="Serviço",AV$12&lt;&gt;0,$H206&gt;0,OR(AUTOEVENTO&lt;&gt;"manual",$M206&lt;&gt;$A$15)),
        IF(Import.TipoArredondamento&lt;&gt;"TransfereGOV",
              ROUND(OFFSET($P206,0,AV$13),15-13*ORÇAMENTO!$AF$7)/$H206*OFFSET(ORÇAMENTO!$X$15,ROW(AV206)-ROW(AV$15),0),
              ROUND(ROUND(OFFSET($P206,0,AV$13),15-13*ORÇAMENTO!$AF$7)*OFFSET(ORÇAMENTO!$W$15,ROW(AV206)-ROW(AV$15),0),15-13*ORÇAMENTO!$AF$11)),
         0)</f>
        <v>0</v>
      </c>
      <c r="AW206" s="453">
        <f ca="1">IF(AND($D206="Serviço",AW$12&lt;&gt;0,$H206&gt;0,OR(AUTOEVENTO&lt;&gt;"manual",$M206&lt;&gt;$A$15)),
        IF(Import.TipoArredondamento&lt;&gt;"TransfereGOV",
              ROUND(OFFSET($P206,0,AW$13),15-13*ORÇAMENTO!$AF$7)/$H206*OFFSET(ORÇAMENTO!$X$15,ROW(AW206)-ROW(AW$15),0),
              ROUND(ROUND(OFFSET($P206,0,AW$13),15-13*ORÇAMENTO!$AF$7)*OFFSET(ORÇAMENTO!$W$15,ROW(AW206)-ROW(AW$15),0),15-13*ORÇAMENTO!$AF$11)),
         0)</f>
        <v>0</v>
      </c>
      <c r="AX206" s="453">
        <f ca="1">IF(AND($D206="Serviço",AX$12&lt;&gt;0,$H206&gt;0,OR(AUTOEVENTO&lt;&gt;"manual",$M206&lt;&gt;$A$15)),
        IF(Import.TipoArredondamento&lt;&gt;"TransfereGOV",
              ROUND(OFFSET($P206,0,AX$13),15-13*ORÇAMENTO!$AF$7)/$H206*OFFSET(ORÇAMENTO!$X$15,ROW(AX206)-ROW(AX$15),0),
              ROUND(ROUND(OFFSET($P206,0,AX$13),15-13*ORÇAMENTO!$AF$7)*OFFSET(ORÇAMENTO!$W$15,ROW(AX206)-ROW(AX$15),0),15-13*ORÇAMENTO!$AF$11)),
         0)</f>
        <v>0</v>
      </c>
      <c r="AY206" s="453">
        <f ca="1">IF(AND($D206="Serviço",AY$12&lt;&gt;0,$H206&gt;0,OR(AUTOEVENTO&lt;&gt;"manual",$M206&lt;&gt;$A$15)),
        IF(Import.TipoArredondamento&lt;&gt;"TransfereGOV",
              ROUND(OFFSET($P206,0,AY$13),15-13*ORÇAMENTO!$AF$7)/$H206*OFFSET(ORÇAMENTO!$X$15,ROW(AY206)-ROW(AY$15),0),
              ROUND(ROUND(OFFSET($P206,0,AY$13),15-13*ORÇAMENTO!$AF$7)*OFFSET(ORÇAMENTO!$W$15,ROW(AY206)-ROW(AY$15),0),15-13*ORÇAMENTO!$AF$11)),
         0)</f>
        <v>0</v>
      </c>
      <c r="AZ206" s="453">
        <f ca="1">IF(AND($D206="Serviço",AZ$12&lt;&gt;0,$H206&gt;0,OR(AUTOEVENTO&lt;&gt;"manual",$M206&lt;&gt;$A$15)),
        IF(Import.TipoArredondamento&lt;&gt;"TransfereGOV",
              ROUND(OFFSET($P206,0,AZ$13),15-13*ORÇAMENTO!$AF$7)/$H206*OFFSET(ORÇAMENTO!$X$15,ROW(AZ206)-ROW(AZ$15),0),
              ROUND(ROUND(OFFSET($P206,0,AZ$13),15-13*ORÇAMENTO!$AF$7)*OFFSET(ORÇAMENTO!$W$15,ROW(AZ206)-ROW(AZ$15),0),15-13*ORÇAMENTO!$AF$11)),
         0)</f>
        <v>0</v>
      </c>
      <c r="BA206" s="453">
        <f ca="1">IF(AND($D206="Serviço",BA$12&lt;&gt;0,$H206&gt;0,OR(AUTOEVENTO&lt;&gt;"manual",$M206&lt;&gt;$A$15)),
        IF(Import.TipoArredondamento&lt;&gt;"TransfereGOV",
              ROUND(OFFSET($P206,0,BA$13),15-13*ORÇAMENTO!$AF$7)/$H206*OFFSET(ORÇAMENTO!$X$15,ROW(BA206)-ROW(BA$15),0),
              ROUND(ROUND(OFFSET($P206,0,BA$13),15-13*ORÇAMENTO!$AF$7)*OFFSET(ORÇAMENTO!$W$15,ROW(BA206)-ROW(BA$15),0),15-13*ORÇAMENTO!$AF$11)),
         0)</f>
        <v>0</v>
      </c>
      <c r="BC206" s="171">
        <f ca="1">IF(OR($D206&lt;&gt;"Serviço",AND(AUTOEVENTO="Manual",$M206=$A$15)),0,
         IF(OFFSET(CRONOPLE!$F$15,$M206-$A$15,BC$13)=0,10^12,OFFSET(CRONOPLE!$F$15,$M206-$A$15,BC$13)))</f>
        <v>1</v>
      </c>
      <c r="BD206" s="171">
        <f ca="1">IF(OR($D206&lt;&gt;"Serviço",AND(AUTOEVENTO="Manual",$M206=$A$15)),0,
         IF(OFFSET(CRONOPLE!$F$15,$M206-$A$15,BD$13)=0,10^12,OFFSET(CRONOPLE!$F$15,$M206-$A$15,BD$13)))</f>
        <v>2</v>
      </c>
      <c r="BE206" s="171">
        <f ca="1">IF(OR($D206&lt;&gt;"Serviço",AND(AUTOEVENTO="Manual",$M206=$A$15)),0,
         IF(OFFSET(CRONOPLE!$F$15,$M206-$A$15,BE$13)=0,10^12,OFFSET(CRONOPLE!$F$15,$M206-$A$15,BE$13)))</f>
        <v>3</v>
      </c>
      <c r="BF206" s="171">
        <f ca="1">IF(OR($D206&lt;&gt;"Serviço",AND(AUTOEVENTO="Manual",$M206=$A$15)),0,
         IF(OFFSET(CRONOPLE!$F$15,$M206-$A$15,BF$13)=0,10^12,OFFSET(CRONOPLE!$F$15,$M206-$A$15,BF$13)))</f>
        <v>4</v>
      </c>
      <c r="BG206" s="171">
        <f ca="1">IF(OR($D206&lt;&gt;"Serviço",AND(AUTOEVENTO="Manual",$M206=$A$15)),0,
         IF(OFFSET(CRONOPLE!$F$15,$M206-$A$15,BG$13)=0,10^12,OFFSET(CRONOPLE!$F$15,$M206-$A$15,BG$13)))</f>
        <v>5</v>
      </c>
      <c r="BH206" s="171">
        <f ca="1">IF(OR($D206&lt;&gt;"Serviço",AND(AUTOEVENTO="Manual",$M206=$A$15)),0,
         IF(OFFSET(CRONOPLE!$F$15,$M206-$A$15,BH$13)=0,10^12,OFFSET(CRONOPLE!$F$15,$M206-$A$15,BH$13)))</f>
        <v>6</v>
      </c>
      <c r="BI206" s="171">
        <f ca="1">IF(OR($D206&lt;&gt;"Serviço",AND(AUTOEVENTO="Manual",$M206=$A$15)),0,
         IF(OFFSET(CRONOPLE!$F$15,$M206-$A$15,BI$13)=0,10^12,OFFSET(CRONOPLE!$F$15,$M206-$A$15,BI$13)))</f>
        <v>7</v>
      </c>
      <c r="BJ206" s="171">
        <f ca="1">IF(OR($D206&lt;&gt;"Serviço",AND(AUTOEVENTO="Manual",$M206=$A$15)),0,
         IF(OFFSET(CRONOPLE!$F$15,$M206-$A$15,BJ$13)=0,10^12,OFFSET(CRONOPLE!$F$15,$M206-$A$15,BJ$13)))</f>
        <v>8</v>
      </c>
      <c r="BK206" s="171">
        <f ca="1">IF(OR($D206&lt;&gt;"Serviço",AND(AUTOEVENTO="Manual",$M206=$A$15)),0,
         IF(OFFSET(CRONOPLE!$F$15,$M206-$A$15,BK$13)=0,10^12,OFFSET(CRONOPLE!$F$15,$M206-$A$15,BK$13)))</f>
        <v>9</v>
      </c>
      <c r="BL206" s="171">
        <f ca="1">IF(OR($D206&lt;&gt;"Serviço",AND(AUTOEVENTO="Manual",$M206=$A$15)),0,
         IF(OFFSET(CRONOPLE!$F$15,$M206-$A$15,BL$13)=0,10^12,OFFSET(CRONOPLE!$F$15,$M206-$A$15,BL$13)))</f>
        <v>10</v>
      </c>
      <c r="BM206" s="171">
        <f ca="1">IF(OR($D206&lt;&gt;"Serviço",AND(AUTOEVENTO="Manual",$M206=$A$15)),0,
         IF(OFFSET(CRONOPLE!$F$15,$M206-$A$15,BM$13)=0,10^12,OFFSET(CRONOPLE!$F$15,$M206-$A$15,BM$13)))</f>
        <v>1000000000000</v>
      </c>
      <c r="BN206" s="171">
        <f ca="1">IF(OR($D206&lt;&gt;"Serviço",AND(AUTOEVENTO="Manual",$M206=$A$15)),0,
         IF(OFFSET(CRONOPLE!$F$15,$M206-$A$15,BN$13)=0,10^12,OFFSET(CRONOPLE!$F$15,$M206-$A$15,BN$13)))</f>
        <v>1000000000000</v>
      </c>
      <c r="BO206" s="171">
        <f ca="1">IF(OR($D206&lt;&gt;"Serviço",AND(AUTOEVENTO="Manual",$M206=$A$15)),0,
         IF(OFFSET(CRONOPLE!$F$15,$M206-$A$15,BO$13)=0,10^12,OFFSET(CRONOPLE!$F$15,$M206-$A$15,BO$13)))</f>
        <v>1000000000000</v>
      </c>
      <c r="BP206" s="171">
        <f ca="1">IF(OR($D206&lt;&gt;"Serviço",AND(AUTOEVENTO="Manual",$M206=$A$15)),0,
         IF(OFFSET(CRONOPLE!$F$15,$M206-$A$15,BP$13)=0,10^12,OFFSET(CRONOPLE!$F$15,$M206-$A$15,BP$13)))</f>
        <v>1000000000000</v>
      </c>
      <c r="BQ206" s="171">
        <f ca="1">IF(OR($D206&lt;&gt;"Serviço",AND(AUTOEVENTO="Manual",$M206=$A$15)),0,
         IF(OFFSET(CRONOPLE!$F$15,$M206-$A$15,BQ$13)=0,10^12,OFFSET(CRONOPLE!$F$15,$M206-$A$15,BQ$13)))</f>
        <v>1000000000000</v>
      </c>
      <c r="BR206" s="171">
        <f ca="1">IF(OR($D206&lt;&gt;"Serviço",AND(AUTOEVENTO="Manual",$M206=$A$15)),0,
         IF(OFFSET(CRONOPLE!$F$15,$M206-$A$15,BR$13)=0,10^12,OFFSET(CRONOPLE!$F$15,$M206-$A$15,BR$13)))</f>
        <v>1000000000000</v>
      </c>
      <c r="BS206" s="171">
        <f ca="1">IF(OR($D206&lt;&gt;"Serviço",AND(AUTOEVENTO="Manual",$M206=$A$15)),0,
         IF(OFFSET(CRONOPLE!$F$15,$M206-$A$15,BS$13)=0,10^12,OFFSET(CRONOPLE!$F$15,$M206-$A$15,BS$13)))</f>
        <v>1000000000000</v>
      </c>
      <c r="BT206" s="171">
        <f ca="1">IF(OR($D206&lt;&gt;"Serviço",AND(AUTOEVENTO="Manual",$M206=$A$15)),0,
         IF(OFFSET(CRONOPLE!$F$15,$M206-$A$15,BT$13)=0,10^12,OFFSET(CRONOPLE!$F$15,$M206-$A$15,BT$13)))</f>
        <v>1000000000000</v>
      </c>
      <c r="BV206" s="172">
        <f ca="1">IF(OR($D206&lt;&gt;"Serviço",AND(AUTOEVENTO="Manual",$M206=$A$15),$M206&gt;(ROW(PLE.lastrow)-ROW(PLE.firstrow))),0,
           IF(OFFSET(PLE!$G$15,$M206-$A$15,BV$13)="",10^12,OFFSET(PLE!$G$15,$M206-$A$15,BV$13)))</f>
        <v>1000000000000</v>
      </c>
      <c r="BW206" s="172">
        <f ca="1">IF(OR($D206&lt;&gt;"Serviço",AND(AUTOEVENTO="Manual",$M206=$A$15),$M206&gt;(ROW(PLE.lastrow)-ROW(PLE.firstrow))),0,
           IF(OFFSET(PLE!$G$15,$M206-$A$15,BW$13)="",10^12,OFFSET(PLE!$G$15,$M206-$A$15,BW$13)))</f>
        <v>1000000000000</v>
      </c>
      <c r="BX206" s="172">
        <f ca="1">IF(OR($D206&lt;&gt;"Serviço",AND(AUTOEVENTO="Manual",$M206=$A$15),$M206&gt;(ROW(PLE.lastrow)-ROW(PLE.firstrow))),0,
           IF(OFFSET(PLE!$G$15,$M206-$A$15,BX$13)="",10^12,OFFSET(PLE!$G$15,$M206-$A$15,BX$13)))</f>
        <v>1000000000000</v>
      </c>
      <c r="BY206" s="172">
        <f ca="1">IF(OR($D206&lt;&gt;"Serviço",AND(AUTOEVENTO="Manual",$M206=$A$15),$M206&gt;(ROW(PLE.lastrow)-ROW(PLE.firstrow))),0,
           IF(OFFSET(PLE!$G$15,$M206-$A$15,BY$13)="",10^12,OFFSET(PLE!$G$15,$M206-$A$15,BY$13)))</f>
        <v>1000000000000</v>
      </c>
      <c r="BZ206" s="172">
        <f ca="1">IF(OR($D206&lt;&gt;"Serviço",AND(AUTOEVENTO="Manual",$M206=$A$15),$M206&gt;(ROW(PLE.lastrow)-ROW(PLE.firstrow))),0,
           IF(OFFSET(PLE!$G$15,$M206-$A$15,BZ$13)="",10^12,OFFSET(PLE!$G$15,$M206-$A$15,BZ$13)))</f>
        <v>1000000000000</v>
      </c>
      <c r="CA206" s="172">
        <f ca="1">IF(OR($D206&lt;&gt;"Serviço",AND(AUTOEVENTO="Manual",$M206=$A$15),$M206&gt;(ROW(PLE.lastrow)-ROW(PLE.firstrow))),0,
           IF(OFFSET(PLE!$G$15,$M206-$A$15,CA$13)="",10^12,OFFSET(PLE!$G$15,$M206-$A$15,CA$13)))</f>
        <v>1000000000000</v>
      </c>
      <c r="CB206" s="172">
        <f ca="1">IF(OR($D206&lt;&gt;"Serviço",AND(AUTOEVENTO="Manual",$M206=$A$15),$M206&gt;(ROW(PLE.lastrow)-ROW(PLE.firstrow))),0,
           IF(OFFSET(PLE!$G$15,$M206-$A$15,CB$13)="",10^12,OFFSET(PLE!$G$15,$M206-$A$15,CB$13)))</f>
        <v>1000000000000</v>
      </c>
      <c r="CC206" s="172">
        <f ca="1">IF(OR($D206&lt;&gt;"Serviço",AND(AUTOEVENTO="Manual",$M206=$A$15),$M206&gt;(ROW(PLE.lastrow)-ROW(PLE.firstrow))),0,
           IF(OFFSET(PLE!$G$15,$M206-$A$15,CC$13)="",10^12,OFFSET(PLE!$G$15,$M206-$A$15,CC$13)))</f>
        <v>1000000000000</v>
      </c>
      <c r="CD206" s="172">
        <f ca="1">IF(OR($D206&lt;&gt;"Serviço",AND(AUTOEVENTO="Manual",$M206=$A$15),$M206&gt;(ROW(PLE.lastrow)-ROW(PLE.firstrow))),0,
           IF(OFFSET(PLE!$G$15,$M206-$A$15,CD$13)="",10^12,OFFSET(PLE!$G$15,$M206-$A$15,CD$13)))</f>
        <v>1000000000000</v>
      </c>
      <c r="CE206" s="172">
        <f ca="1">IF(OR($D206&lt;&gt;"Serviço",AND(AUTOEVENTO="Manual",$M206=$A$15),$M206&gt;(ROW(PLE.lastrow)-ROW(PLE.firstrow))),0,
           IF(OFFSET(PLE!$G$15,$M206-$A$15,CE$13)="",10^12,OFFSET(PLE!$G$15,$M206-$A$15,CE$13)))</f>
        <v>1000000000000</v>
      </c>
      <c r="CF206" s="172">
        <f ca="1">IF(OR($D206&lt;&gt;"Serviço",AND(AUTOEVENTO="Manual",$M206=$A$15),$M206&gt;(ROW(PLE.lastrow)-ROW(PLE.firstrow))),0,
           IF(OFFSET(PLE!$G$15,$M206-$A$15,CF$13)="",10^12,OFFSET(PLE!$G$15,$M206-$A$15,CF$13)))</f>
        <v>1000000000000</v>
      </c>
      <c r="CG206" s="172">
        <f ca="1">IF(OR($D206&lt;&gt;"Serviço",AND(AUTOEVENTO="Manual",$M206=$A$15),$M206&gt;(ROW(PLE.lastrow)-ROW(PLE.firstrow))),0,
           IF(OFFSET(PLE!$G$15,$M206-$A$15,CG$13)="",10^12,OFFSET(PLE!$G$15,$M206-$A$15,CG$13)))</f>
        <v>1000000000000</v>
      </c>
      <c r="CH206" s="172">
        <f ca="1">IF(OR($D206&lt;&gt;"Serviço",AND(AUTOEVENTO="Manual",$M206=$A$15),$M206&gt;(ROW(PLE.lastrow)-ROW(PLE.firstrow))),0,
           IF(OFFSET(PLE!$G$15,$M206-$A$15,CH$13)="",10^12,OFFSET(PLE!$G$15,$M206-$A$15,CH$13)))</f>
        <v>1000000000000</v>
      </c>
      <c r="CI206" s="172">
        <f ca="1">IF(OR($D206&lt;&gt;"Serviço",AND(AUTOEVENTO="Manual",$M206=$A$15),$M206&gt;(ROW(PLE.lastrow)-ROW(PLE.firstrow))),0,
           IF(OFFSET(PLE!$G$15,$M206-$A$15,CI$13)="",10^12,OFFSET(PLE!$G$15,$M206-$A$15,CI$13)))</f>
        <v>1000000000000</v>
      </c>
      <c r="CJ206" s="172">
        <f ca="1">IF(OR($D206&lt;&gt;"Serviço",AND(AUTOEVENTO="Manual",$M206=$A$15),$M206&gt;(ROW(PLE.lastrow)-ROW(PLE.firstrow))),0,
           IF(OFFSET(PLE!$G$15,$M206-$A$15,CJ$13)="",10^12,OFFSET(PLE!$G$15,$M206-$A$15,CJ$13)))</f>
        <v>1000000000000</v>
      </c>
      <c r="CK206" s="172">
        <f ca="1">IF(OR($D206&lt;&gt;"Serviço",AND(AUTOEVENTO="Manual",$M206=$A$15),$M206&gt;(ROW(PLE.lastrow)-ROW(PLE.firstrow))),0,
           IF(OFFSET(PLE!$G$15,$M206-$A$15,CK$13)="",10^12,OFFSET(PLE!$G$15,$M206-$A$15,CK$13)))</f>
        <v>1000000000000</v>
      </c>
      <c r="CL206" s="172">
        <f ca="1">IF(OR($D206&lt;&gt;"Serviço",AND(AUTOEVENTO="Manual",$M206=$A$15),$M206&gt;(ROW(PLE.lastrow)-ROW(PLE.firstrow))),0,
           IF(OFFSET(PLE!$G$15,$M206-$A$15,CL$13)="",10^12,OFFSET(PLE!$G$15,$M206-$A$15,CL$13)))</f>
        <v>1000000000000</v>
      </c>
      <c r="CM206" s="172">
        <f ca="1">IF(OR($D206&lt;&gt;"Serviço",AND(AUTOEVENTO="Manual",$M206=$A$15),$M206&gt;(ROW(PLE.lastrow)-ROW(PLE.firstrow))),0,
           IF(OFFSET(PLE!$G$15,$M206-$A$15,CM$13)="",10^12,OFFSET(PLE!$G$15,$M206-$A$15,CM$13)))</f>
        <v>1000000000000</v>
      </c>
    </row>
    <row r="207" spans="1:91" ht="12.75" x14ac:dyDescent="0.2">
      <c r="A207" s="7">
        <f t="shared" ca="1" si="12"/>
        <v>0</v>
      </c>
      <c r="B207" s="7">
        <f ca="1">OFFSET(ORÇAMENTO!C$15,ROW(B207)-ROW(B$15),0)</f>
        <v>3</v>
      </c>
      <c r="C207" s="7" t="str">
        <f ca="1">OFFSET(ORÇAMENTO!L$15,ROW(C207)-ROW(C$15),0)</f>
        <v>F</v>
      </c>
      <c r="D207" s="116" t="str">
        <f ca="1">OFFSET(ORÇAMENTO!N$15,ROW(D207)-ROW(D$15),0)</f>
        <v>Nível 3</v>
      </c>
      <c r="E207" s="117" t="str">
        <f ca="1">OFFSET(ORÇAMENTO!O$15,ROW(E207)-ROW(E$15),0)</f>
        <v>1.5.6.</v>
      </c>
      <c r="F207" s="163" t="str">
        <f ca="1">OFFSET(ORÇAMENTO!R$15,ROW(F207)-ROW(F$15),0)</f>
        <v>COBERTURA 03</v>
      </c>
      <c r="G207" s="164" t="str">
        <f ca="1">IF($D207&lt;&gt;"Serviço","",OFFSET(ORÇAMENTO!S$15,ROW(G207)-ROW(G$15),0))</f>
        <v/>
      </c>
      <c r="H207" s="122" cm="1">
        <f t="array" aca="1" ref="H207" ca="1">IF($D207&lt;&gt;"Serviço",0,IF(ACOMPANHAMENTO="BM",ROUND(OFFSET(ORÇAMENTO!AJ$15,ROW(H207)-ROW(H$15),0),15-13*ORÇAMENTO!$AF$7),SUMPRODUCT(($Q$1:$AI$1=1)*ROUND($Q207:$AI207,15-13*ORÇAMENTO!$AF$7))))</f>
        <v>0</v>
      </c>
      <c r="I207" s="468"/>
      <c r="J207" s="640" t="str" cm="1">
        <f t="array" aca="1" ref="J207" ca="1">IF(OR(B207&lt;&gt;"S",CÁLCULO.FrentesPreenchidas=0),"",IF(AND(ACOMPANHAMENTO="PLE",AUTOEVENTO="Manual",OR(H207&gt;0,ORÇAMENTO!AC207="QUANT."),OR(K207="",M207=0,N207="")),"►E",IF(AND(ACOMPANHAMENTO="PLE",ORÇAMENTO!AC207="QUANT."),"►Q",IF(AND(ACOMPANHAMENTO="PLE",H207&lt;&gt;SUMPRODUCT(($Q$1:$AI$1=1)*ROUND(Q207:AI207,15))),"►S",IF(AND(COUNTIF($P$11:$AI$11,"▼")=0,H207&gt;0,I207=""),"◄M","")))))</f>
        <v/>
      </c>
      <c r="K207" s="641"/>
      <c r="L207" s="165" t="s">
        <v>764</v>
      </c>
      <c r="M207" s="166" t="str">
        <f ca="1">IF($D207&lt;&gt;"Serviço","",
          IF(AUTOEVENTO="manual",$A207,
                IF(ISERROR(MATCH($A207,$A$15:OFFSET($A207,-1,0),0)),MAX($M$15:OFFSET(M207,-1,0))+1,
                      INDEX($M$15:OFFSET(M207,-1,0),MATCH($A207,$A$15:OFFSET($A207,-1,0),0)))))</f>
        <v/>
      </c>
      <c r="N207" s="167" t="str">
        <f ca="1">IF($D207&lt;&gt;"Serviço","",
         IF(AUTOEVENTO="Manual",
                IF($A207=0,"&lt;-- defina o número do agrupador",
                       OFFSET(EVENTOS!$D$15,$A207-$A$15,0)),
                OFFSET($F$15,$A207,0)))</f>
        <v/>
      </c>
      <c r="O207" s="168"/>
      <c r="Q207" s="168"/>
      <c r="R207" s="169"/>
      <c r="S207" s="169"/>
      <c r="T207" s="169"/>
      <c r="U207" s="169"/>
      <c r="V207" s="169"/>
      <c r="W207" s="169"/>
      <c r="X207" s="169"/>
      <c r="Y207" s="169"/>
      <c r="Z207" s="170"/>
      <c r="AA207" s="169"/>
      <c r="AB207" s="169"/>
      <c r="AC207" s="169"/>
      <c r="AD207" s="169"/>
      <c r="AE207" s="169"/>
      <c r="AF207" s="169"/>
      <c r="AG207" s="169"/>
      <c r="AH207" s="170"/>
      <c r="AJ207" s="453">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0</v>
      </c>
      <c r="AK207" s="453">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0</v>
      </c>
      <c r="AL207" s="453">
        <f ca="1">IF(AND($D207="Serviço",AL$12&lt;&gt;0,$H207&gt;0,OR(AUTOEVENTO&lt;&gt;"manual",$M207&lt;&gt;$A$15)),
        IF(Import.TipoArredondamento&lt;&gt;"TransfereGOV",
              ROUND(OFFSET($P207,0,AL$13),15-13*ORÇAMENTO!$AF$7)/$H207*OFFSET(ORÇAMENTO!$X$15,ROW(AL207)-ROW(AL$15),0),
              ROUND(ROUND(OFFSET($P207,0,AL$13),15-13*ORÇAMENTO!$AF$7)*OFFSET(ORÇAMENTO!$W$15,ROW(AL207)-ROW(AL$15),0),15-13*ORÇAMENTO!$AF$11)),
         0)</f>
        <v>0</v>
      </c>
      <c r="AM207" s="453">
        <f ca="1">IF(AND($D207="Serviço",AM$12&lt;&gt;0,$H207&gt;0,OR(AUTOEVENTO&lt;&gt;"manual",$M207&lt;&gt;$A$15)),
        IF(Import.TipoArredondamento&lt;&gt;"TransfereGOV",
              ROUND(OFFSET($P207,0,AM$13),15-13*ORÇAMENTO!$AF$7)/$H207*OFFSET(ORÇAMENTO!$X$15,ROW(AM207)-ROW(AM$15),0),
              ROUND(ROUND(OFFSET($P207,0,AM$13),15-13*ORÇAMENTO!$AF$7)*OFFSET(ORÇAMENTO!$W$15,ROW(AM207)-ROW(AM$15),0),15-13*ORÇAMENTO!$AF$11)),
         0)</f>
        <v>0</v>
      </c>
      <c r="AN207" s="453">
        <f ca="1">IF(AND($D207="Serviço",AN$12&lt;&gt;0,$H207&gt;0,OR(AUTOEVENTO&lt;&gt;"manual",$M207&lt;&gt;$A$15)),
        IF(Import.TipoArredondamento&lt;&gt;"TransfereGOV",
              ROUND(OFFSET($P207,0,AN$13),15-13*ORÇAMENTO!$AF$7)/$H207*OFFSET(ORÇAMENTO!$X$15,ROW(AN207)-ROW(AN$15),0),
              ROUND(ROUND(OFFSET($P207,0,AN$13),15-13*ORÇAMENTO!$AF$7)*OFFSET(ORÇAMENTO!$W$15,ROW(AN207)-ROW(AN$15),0),15-13*ORÇAMENTO!$AF$11)),
         0)</f>
        <v>0</v>
      </c>
      <c r="AO207" s="453">
        <f ca="1">IF(AND($D207="Serviço",AO$12&lt;&gt;0,$H207&gt;0,OR(AUTOEVENTO&lt;&gt;"manual",$M207&lt;&gt;$A$15)),
        IF(Import.TipoArredondamento&lt;&gt;"TransfereGOV",
              ROUND(OFFSET($P207,0,AO$13),15-13*ORÇAMENTO!$AF$7)/$H207*OFFSET(ORÇAMENTO!$X$15,ROW(AO207)-ROW(AO$15),0),
              ROUND(ROUND(OFFSET($P207,0,AO$13),15-13*ORÇAMENTO!$AF$7)*OFFSET(ORÇAMENTO!$W$15,ROW(AO207)-ROW(AO$15),0),15-13*ORÇAMENTO!$AF$11)),
         0)</f>
        <v>0</v>
      </c>
      <c r="AP207" s="453">
        <f ca="1">IF(AND($D207="Serviço",AP$12&lt;&gt;0,$H207&gt;0,OR(AUTOEVENTO&lt;&gt;"manual",$M207&lt;&gt;$A$15)),
        IF(Import.TipoArredondamento&lt;&gt;"TransfereGOV",
              ROUND(OFFSET($P207,0,AP$13),15-13*ORÇAMENTO!$AF$7)/$H207*OFFSET(ORÇAMENTO!$X$15,ROW(AP207)-ROW(AP$15),0),
              ROUND(ROUND(OFFSET($P207,0,AP$13),15-13*ORÇAMENTO!$AF$7)*OFFSET(ORÇAMENTO!$W$15,ROW(AP207)-ROW(AP$15),0),15-13*ORÇAMENTO!$AF$11)),
         0)</f>
        <v>0</v>
      </c>
      <c r="AQ207" s="453">
        <f ca="1">IF(AND($D207="Serviço",AQ$12&lt;&gt;0,$H207&gt;0,OR(AUTOEVENTO&lt;&gt;"manual",$M207&lt;&gt;$A$15)),
        IF(Import.TipoArredondamento&lt;&gt;"TransfereGOV",
              ROUND(OFFSET($P207,0,AQ$13),15-13*ORÇAMENTO!$AF$7)/$H207*OFFSET(ORÇAMENTO!$X$15,ROW(AQ207)-ROW(AQ$15),0),
              ROUND(ROUND(OFFSET($P207,0,AQ$13),15-13*ORÇAMENTO!$AF$7)*OFFSET(ORÇAMENTO!$W$15,ROW(AQ207)-ROW(AQ$15),0),15-13*ORÇAMENTO!$AF$11)),
         0)</f>
        <v>0</v>
      </c>
      <c r="AR207" s="453">
        <f ca="1">IF(AND($D207="Serviço",AR$12&lt;&gt;0,$H207&gt;0,OR(AUTOEVENTO&lt;&gt;"manual",$M207&lt;&gt;$A$15)),
        IF(Import.TipoArredondamento&lt;&gt;"TransfereGOV",
              ROUND(OFFSET($P207,0,AR$13),15-13*ORÇAMENTO!$AF$7)/$H207*OFFSET(ORÇAMENTO!$X$15,ROW(AR207)-ROW(AR$15),0),
              ROUND(ROUND(OFFSET($P207,0,AR$13),15-13*ORÇAMENTO!$AF$7)*OFFSET(ORÇAMENTO!$W$15,ROW(AR207)-ROW(AR$15),0),15-13*ORÇAMENTO!$AF$11)),
         0)</f>
        <v>0</v>
      </c>
      <c r="AS207" s="453">
        <f ca="1">IF(AND($D207="Serviço",AS$12&lt;&gt;0,$H207&gt;0,OR(AUTOEVENTO&lt;&gt;"manual",$M207&lt;&gt;$A$15)),
        IF(Import.TipoArredondamento&lt;&gt;"TransfereGOV",
              ROUND(OFFSET($P207,0,AS$13),15-13*ORÇAMENTO!$AF$7)/$H207*OFFSET(ORÇAMENTO!$X$15,ROW(AS207)-ROW(AS$15),0),
              ROUND(ROUND(OFFSET($P207,0,AS$13),15-13*ORÇAMENTO!$AF$7)*OFFSET(ORÇAMENTO!$W$15,ROW(AS207)-ROW(AS$15),0),15-13*ORÇAMENTO!$AF$11)),
         0)</f>
        <v>0</v>
      </c>
      <c r="AT207" s="453">
        <f ca="1">IF(AND($D207="Serviço",AT$12&lt;&gt;0,$H207&gt;0,OR(AUTOEVENTO&lt;&gt;"manual",$M207&lt;&gt;$A$15)),
        IF(Import.TipoArredondamento&lt;&gt;"TransfereGOV",
              ROUND(OFFSET($P207,0,AT$13),15-13*ORÇAMENTO!$AF$7)/$H207*OFFSET(ORÇAMENTO!$X$15,ROW(AT207)-ROW(AT$15),0),
              ROUND(ROUND(OFFSET($P207,0,AT$13),15-13*ORÇAMENTO!$AF$7)*OFFSET(ORÇAMENTO!$W$15,ROW(AT207)-ROW(AT$15),0),15-13*ORÇAMENTO!$AF$11)),
         0)</f>
        <v>0</v>
      </c>
      <c r="AU207" s="453">
        <f ca="1">IF(AND($D207="Serviço",AU$12&lt;&gt;0,$H207&gt;0,OR(AUTOEVENTO&lt;&gt;"manual",$M207&lt;&gt;$A$15)),
        IF(Import.TipoArredondamento&lt;&gt;"TransfereGOV",
              ROUND(OFFSET($P207,0,AU$13),15-13*ORÇAMENTO!$AF$7)/$H207*OFFSET(ORÇAMENTO!$X$15,ROW(AU207)-ROW(AU$15),0),
              ROUND(ROUND(OFFSET($P207,0,AU$13),15-13*ORÇAMENTO!$AF$7)*OFFSET(ORÇAMENTO!$W$15,ROW(AU207)-ROW(AU$15),0),15-13*ORÇAMENTO!$AF$11)),
         0)</f>
        <v>0</v>
      </c>
      <c r="AV207" s="453">
        <f ca="1">IF(AND($D207="Serviço",AV$12&lt;&gt;0,$H207&gt;0,OR(AUTOEVENTO&lt;&gt;"manual",$M207&lt;&gt;$A$15)),
        IF(Import.TipoArredondamento&lt;&gt;"TransfereGOV",
              ROUND(OFFSET($P207,0,AV$13),15-13*ORÇAMENTO!$AF$7)/$H207*OFFSET(ORÇAMENTO!$X$15,ROW(AV207)-ROW(AV$15),0),
              ROUND(ROUND(OFFSET($P207,0,AV$13),15-13*ORÇAMENTO!$AF$7)*OFFSET(ORÇAMENTO!$W$15,ROW(AV207)-ROW(AV$15),0),15-13*ORÇAMENTO!$AF$11)),
         0)</f>
        <v>0</v>
      </c>
      <c r="AW207" s="453">
        <f ca="1">IF(AND($D207="Serviço",AW$12&lt;&gt;0,$H207&gt;0,OR(AUTOEVENTO&lt;&gt;"manual",$M207&lt;&gt;$A$15)),
        IF(Import.TipoArredondamento&lt;&gt;"TransfereGOV",
              ROUND(OFFSET($P207,0,AW$13),15-13*ORÇAMENTO!$AF$7)/$H207*OFFSET(ORÇAMENTO!$X$15,ROW(AW207)-ROW(AW$15),0),
              ROUND(ROUND(OFFSET($P207,0,AW$13),15-13*ORÇAMENTO!$AF$7)*OFFSET(ORÇAMENTO!$W$15,ROW(AW207)-ROW(AW$15),0),15-13*ORÇAMENTO!$AF$11)),
         0)</f>
        <v>0</v>
      </c>
      <c r="AX207" s="453">
        <f ca="1">IF(AND($D207="Serviço",AX$12&lt;&gt;0,$H207&gt;0,OR(AUTOEVENTO&lt;&gt;"manual",$M207&lt;&gt;$A$15)),
        IF(Import.TipoArredondamento&lt;&gt;"TransfereGOV",
              ROUND(OFFSET($P207,0,AX$13),15-13*ORÇAMENTO!$AF$7)/$H207*OFFSET(ORÇAMENTO!$X$15,ROW(AX207)-ROW(AX$15),0),
              ROUND(ROUND(OFFSET($P207,0,AX$13),15-13*ORÇAMENTO!$AF$7)*OFFSET(ORÇAMENTO!$W$15,ROW(AX207)-ROW(AX$15),0),15-13*ORÇAMENTO!$AF$11)),
         0)</f>
        <v>0</v>
      </c>
      <c r="AY207" s="453">
        <f ca="1">IF(AND($D207="Serviço",AY$12&lt;&gt;0,$H207&gt;0,OR(AUTOEVENTO&lt;&gt;"manual",$M207&lt;&gt;$A$15)),
        IF(Import.TipoArredondamento&lt;&gt;"TransfereGOV",
              ROUND(OFFSET($P207,0,AY$13),15-13*ORÇAMENTO!$AF$7)/$H207*OFFSET(ORÇAMENTO!$X$15,ROW(AY207)-ROW(AY$15),0),
              ROUND(ROUND(OFFSET($P207,0,AY$13),15-13*ORÇAMENTO!$AF$7)*OFFSET(ORÇAMENTO!$W$15,ROW(AY207)-ROW(AY$15),0),15-13*ORÇAMENTO!$AF$11)),
         0)</f>
        <v>0</v>
      </c>
      <c r="AZ207" s="453">
        <f ca="1">IF(AND($D207="Serviço",AZ$12&lt;&gt;0,$H207&gt;0,OR(AUTOEVENTO&lt;&gt;"manual",$M207&lt;&gt;$A$15)),
        IF(Import.TipoArredondamento&lt;&gt;"TransfereGOV",
              ROUND(OFFSET($P207,0,AZ$13),15-13*ORÇAMENTO!$AF$7)/$H207*OFFSET(ORÇAMENTO!$X$15,ROW(AZ207)-ROW(AZ$15),0),
              ROUND(ROUND(OFFSET($P207,0,AZ$13),15-13*ORÇAMENTO!$AF$7)*OFFSET(ORÇAMENTO!$W$15,ROW(AZ207)-ROW(AZ$15),0),15-13*ORÇAMENTO!$AF$11)),
         0)</f>
        <v>0</v>
      </c>
      <c r="BA207" s="453">
        <f ca="1">IF(AND($D207="Serviço",BA$12&lt;&gt;0,$H207&gt;0,OR(AUTOEVENTO&lt;&gt;"manual",$M207&lt;&gt;$A$15)),
        IF(Import.TipoArredondamento&lt;&gt;"TransfereGOV",
              ROUND(OFFSET($P207,0,BA$13),15-13*ORÇAMENTO!$AF$7)/$H207*OFFSET(ORÇAMENTO!$X$15,ROW(BA207)-ROW(BA$15),0),
              ROUND(ROUND(OFFSET($P207,0,BA$13),15-13*ORÇAMENTO!$AF$7)*OFFSET(ORÇAMENTO!$W$15,ROW(BA207)-ROW(BA$15),0),15-13*ORÇAMENTO!$AF$11)),
         0)</f>
        <v>0</v>
      </c>
      <c r="BC207" s="171">
        <f ca="1">IF(OR($D207&lt;&gt;"Serviço",AND(AUTOEVENTO="Manual",$M207=$A$15)),0,
         IF(OFFSET(CRONOPLE!$F$15,$M207-$A$15,BC$13)=0,10^12,OFFSET(CRONOPLE!$F$15,$M207-$A$15,BC$13)))</f>
        <v>0</v>
      </c>
      <c r="BD207" s="171">
        <f ca="1">IF(OR($D207&lt;&gt;"Serviço",AND(AUTOEVENTO="Manual",$M207=$A$15)),0,
         IF(OFFSET(CRONOPLE!$F$15,$M207-$A$15,BD$13)=0,10^12,OFFSET(CRONOPLE!$F$15,$M207-$A$15,BD$13)))</f>
        <v>0</v>
      </c>
      <c r="BE207" s="171">
        <f ca="1">IF(OR($D207&lt;&gt;"Serviço",AND(AUTOEVENTO="Manual",$M207=$A$15)),0,
         IF(OFFSET(CRONOPLE!$F$15,$M207-$A$15,BE$13)=0,10^12,OFFSET(CRONOPLE!$F$15,$M207-$A$15,BE$13)))</f>
        <v>0</v>
      </c>
      <c r="BF207" s="171">
        <f ca="1">IF(OR($D207&lt;&gt;"Serviço",AND(AUTOEVENTO="Manual",$M207=$A$15)),0,
         IF(OFFSET(CRONOPLE!$F$15,$M207-$A$15,BF$13)=0,10^12,OFFSET(CRONOPLE!$F$15,$M207-$A$15,BF$13)))</f>
        <v>0</v>
      </c>
      <c r="BG207" s="171">
        <f ca="1">IF(OR($D207&lt;&gt;"Serviço",AND(AUTOEVENTO="Manual",$M207=$A$15)),0,
         IF(OFFSET(CRONOPLE!$F$15,$M207-$A$15,BG$13)=0,10^12,OFFSET(CRONOPLE!$F$15,$M207-$A$15,BG$13)))</f>
        <v>0</v>
      </c>
      <c r="BH207" s="171">
        <f ca="1">IF(OR($D207&lt;&gt;"Serviço",AND(AUTOEVENTO="Manual",$M207=$A$15)),0,
         IF(OFFSET(CRONOPLE!$F$15,$M207-$A$15,BH$13)=0,10^12,OFFSET(CRONOPLE!$F$15,$M207-$A$15,BH$13)))</f>
        <v>0</v>
      </c>
      <c r="BI207" s="171">
        <f ca="1">IF(OR($D207&lt;&gt;"Serviço",AND(AUTOEVENTO="Manual",$M207=$A$15)),0,
         IF(OFFSET(CRONOPLE!$F$15,$M207-$A$15,BI$13)=0,10^12,OFFSET(CRONOPLE!$F$15,$M207-$A$15,BI$13)))</f>
        <v>0</v>
      </c>
      <c r="BJ207" s="171">
        <f ca="1">IF(OR($D207&lt;&gt;"Serviço",AND(AUTOEVENTO="Manual",$M207=$A$15)),0,
         IF(OFFSET(CRONOPLE!$F$15,$M207-$A$15,BJ$13)=0,10^12,OFFSET(CRONOPLE!$F$15,$M207-$A$15,BJ$13)))</f>
        <v>0</v>
      </c>
      <c r="BK207" s="171">
        <f ca="1">IF(OR($D207&lt;&gt;"Serviço",AND(AUTOEVENTO="Manual",$M207=$A$15)),0,
         IF(OFFSET(CRONOPLE!$F$15,$M207-$A$15,BK$13)=0,10^12,OFFSET(CRONOPLE!$F$15,$M207-$A$15,BK$13)))</f>
        <v>0</v>
      </c>
      <c r="BL207" s="171">
        <f ca="1">IF(OR($D207&lt;&gt;"Serviço",AND(AUTOEVENTO="Manual",$M207=$A$15)),0,
         IF(OFFSET(CRONOPLE!$F$15,$M207-$A$15,BL$13)=0,10^12,OFFSET(CRONOPLE!$F$15,$M207-$A$15,BL$13)))</f>
        <v>0</v>
      </c>
      <c r="BM207" s="171">
        <f ca="1">IF(OR($D207&lt;&gt;"Serviço",AND(AUTOEVENTO="Manual",$M207=$A$15)),0,
         IF(OFFSET(CRONOPLE!$F$15,$M207-$A$15,BM$13)=0,10^12,OFFSET(CRONOPLE!$F$15,$M207-$A$15,BM$13)))</f>
        <v>0</v>
      </c>
      <c r="BN207" s="171">
        <f ca="1">IF(OR($D207&lt;&gt;"Serviço",AND(AUTOEVENTO="Manual",$M207=$A$15)),0,
         IF(OFFSET(CRONOPLE!$F$15,$M207-$A$15,BN$13)=0,10^12,OFFSET(CRONOPLE!$F$15,$M207-$A$15,BN$13)))</f>
        <v>0</v>
      </c>
      <c r="BO207" s="171">
        <f ca="1">IF(OR($D207&lt;&gt;"Serviço",AND(AUTOEVENTO="Manual",$M207=$A$15)),0,
         IF(OFFSET(CRONOPLE!$F$15,$M207-$A$15,BO$13)=0,10^12,OFFSET(CRONOPLE!$F$15,$M207-$A$15,BO$13)))</f>
        <v>0</v>
      </c>
      <c r="BP207" s="171">
        <f ca="1">IF(OR($D207&lt;&gt;"Serviço",AND(AUTOEVENTO="Manual",$M207=$A$15)),0,
         IF(OFFSET(CRONOPLE!$F$15,$M207-$A$15,BP$13)=0,10^12,OFFSET(CRONOPLE!$F$15,$M207-$A$15,BP$13)))</f>
        <v>0</v>
      </c>
      <c r="BQ207" s="171">
        <f ca="1">IF(OR($D207&lt;&gt;"Serviço",AND(AUTOEVENTO="Manual",$M207=$A$15)),0,
         IF(OFFSET(CRONOPLE!$F$15,$M207-$A$15,BQ$13)=0,10^12,OFFSET(CRONOPLE!$F$15,$M207-$A$15,BQ$13)))</f>
        <v>0</v>
      </c>
      <c r="BR207" s="171">
        <f ca="1">IF(OR($D207&lt;&gt;"Serviço",AND(AUTOEVENTO="Manual",$M207=$A$15)),0,
         IF(OFFSET(CRONOPLE!$F$15,$M207-$A$15,BR$13)=0,10^12,OFFSET(CRONOPLE!$F$15,$M207-$A$15,BR$13)))</f>
        <v>0</v>
      </c>
      <c r="BS207" s="171">
        <f ca="1">IF(OR($D207&lt;&gt;"Serviço",AND(AUTOEVENTO="Manual",$M207=$A$15)),0,
         IF(OFFSET(CRONOPLE!$F$15,$M207-$A$15,BS$13)=0,10^12,OFFSET(CRONOPLE!$F$15,$M207-$A$15,BS$13)))</f>
        <v>0</v>
      </c>
      <c r="BT207" s="171">
        <f ca="1">IF(OR($D207&lt;&gt;"Serviço",AND(AUTOEVENTO="Manual",$M207=$A$15)),0,
         IF(OFFSET(CRONOPLE!$F$15,$M207-$A$15,BT$13)=0,10^12,OFFSET(CRONOPLE!$F$15,$M207-$A$15,BT$13)))</f>
        <v>0</v>
      </c>
      <c r="BV207" s="172">
        <f ca="1">IF(OR($D207&lt;&gt;"Serviço",AND(AUTOEVENTO="Manual",$M207=$A$15),$M207&gt;(ROW(PLE.lastrow)-ROW(PLE.firstrow))),0,
           IF(OFFSET(PLE!$G$15,$M207-$A$15,BV$13)="",10^12,OFFSET(PLE!$G$15,$M207-$A$15,BV$13)))</f>
        <v>0</v>
      </c>
      <c r="BW207" s="172">
        <f ca="1">IF(OR($D207&lt;&gt;"Serviço",AND(AUTOEVENTO="Manual",$M207=$A$15),$M207&gt;(ROW(PLE.lastrow)-ROW(PLE.firstrow))),0,
           IF(OFFSET(PLE!$G$15,$M207-$A$15,BW$13)="",10^12,OFFSET(PLE!$G$15,$M207-$A$15,BW$13)))</f>
        <v>0</v>
      </c>
      <c r="BX207" s="172">
        <f ca="1">IF(OR($D207&lt;&gt;"Serviço",AND(AUTOEVENTO="Manual",$M207=$A$15),$M207&gt;(ROW(PLE.lastrow)-ROW(PLE.firstrow))),0,
           IF(OFFSET(PLE!$G$15,$M207-$A$15,BX$13)="",10^12,OFFSET(PLE!$G$15,$M207-$A$15,BX$13)))</f>
        <v>0</v>
      </c>
      <c r="BY207" s="172">
        <f ca="1">IF(OR($D207&lt;&gt;"Serviço",AND(AUTOEVENTO="Manual",$M207=$A$15),$M207&gt;(ROW(PLE.lastrow)-ROW(PLE.firstrow))),0,
           IF(OFFSET(PLE!$G$15,$M207-$A$15,BY$13)="",10^12,OFFSET(PLE!$G$15,$M207-$A$15,BY$13)))</f>
        <v>0</v>
      </c>
      <c r="BZ207" s="172">
        <f ca="1">IF(OR($D207&lt;&gt;"Serviço",AND(AUTOEVENTO="Manual",$M207=$A$15),$M207&gt;(ROW(PLE.lastrow)-ROW(PLE.firstrow))),0,
           IF(OFFSET(PLE!$G$15,$M207-$A$15,BZ$13)="",10^12,OFFSET(PLE!$G$15,$M207-$A$15,BZ$13)))</f>
        <v>0</v>
      </c>
      <c r="CA207" s="172">
        <f ca="1">IF(OR($D207&lt;&gt;"Serviço",AND(AUTOEVENTO="Manual",$M207=$A$15),$M207&gt;(ROW(PLE.lastrow)-ROW(PLE.firstrow))),0,
           IF(OFFSET(PLE!$G$15,$M207-$A$15,CA$13)="",10^12,OFFSET(PLE!$G$15,$M207-$A$15,CA$13)))</f>
        <v>0</v>
      </c>
      <c r="CB207" s="172">
        <f ca="1">IF(OR($D207&lt;&gt;"Serviço",AND(AUTOEVENTO="Manual",$M207=$A$15),$M207&gt;(ROW(PLE.lastrow)-ROW(PLE.firstrow))),0,
           IF(OFFSET(PLE!$G$15,$M207-$A$15,CB$13)="",10^12,OFFSET(PLE!$G$15,$M207-$A$15,CB$13)))</f>
        <v>0</v>
      </c>
      <c r="CC207" s="172">
        <f ca="1">IF(OR($D207&lt;&gt;"Serviço",AND(AUTOEVENTO="Manual",$M207=$A$15),$M207&gt;(ROW(PLE.lastrow)-ROW(PLE.firstrow))),0,
           IF(OFFSET(PLE!$G$15,$M207-$A$15,CC$13)="",10^12,OFFSET(PLE!$G$15,$M207-$A$15,CC$13)))</f>
        <v>0</v>
      </c>
      <c r="CD207" s="172">
        <f ca="1">IF(OR($D207&lt;&gt;"Serviço",AND(AUTOEVENTO="Manual",$M207=$A$15),$M207&gt;(ROW(PLE.lastrow)-ROW(PLE.firstrow))),0,
           IF(OFFSET(PLE!$G$15,$M207-$A$15,CD$13)="",10^12,OFFSET(PLE!$G$15,$M207-$A$15,CD$13)))</f>
        <v>0</v>
      </c>
      <c r="CE207" s="172">
        <f ca="1">IF(OR($D207&lt;&gt;"Serviço",AND(AUTOEVENTO="Manual",$M207=$A$15),$M207&gt;(ROW(PLE.lastrow)-ROW(PLE.firstrow))),0,
           IF(OFFSET(PLE!$G$15,$M207-$A$15,CE$13)="",10^12,OFFSET(PLE!$G$15,$M207-$A$15,CE$13)))</f>
        <v>0</v>
      </c>
      <c r="CF207" s="172">
        <f ca="1">IF(OR($D207&lt;&gt;"Serviço",AND(AUTOEVENTO="Manual",$M207=$A$15),$M207&gt;(ROW(PLE.lastrow)-ROW(PLE.firstrow))),0,
           IF(OFFSET(PLE!$G$15,$M207-$A$15,CF$13)="",10^12,OFFSET(PLE!$G$15,$M207-$A$15,CF$13)))</f>
        <v>0</v>
      </c>
      <c r="CG207" s="172">
        <f ca="1">IF(OR($D207&lt;&gt;"Serviço",AND(AUTOEVENTO="Manual",$M207=$A$15),$M207&gt;(ROW(PLE.lastrow)-ROW(PLE.firstrow))),0,
           IF(OFFSET(PLE!$G$15,$M207-$A$15,CG$13)="",10^12,OFFSET(PLE!$G$15,$M207-$A$15,CG$13)))</f>
        <v>0</v>
      </c>
      <c r="CH207" s="172">
        <f ca="1">IF(OR($D207&lt;&gt;"Serviço",AND(AUTOEVENTO="Manual",$M207=$A$15),$M207&gt;(ROW(PLE.lastrow)-ROW(PLE.firstrow))),0,
           IF(OFFSET(PLE!$G$15,$M207-$A$15,CH$13)="",10^12,OFFSET(PLE!$G$15,$M207-$A$15,CH$13)))</f>
        <v>0</v>
      </c>
      <c r="CI207" s="172">
        <f ca="1">IF(OR($D207&lt;&gt;"Serviço",AND(AUTOEVENTO="Manual",$M207=$A$15),$M207&gt;(ROW(PLE.lastrow)-ROW(PLE.firstrow))),0,
           IF(OFFSET(PLE!$G$15,$M207-$A$15,CI$13)="",10^12,OFFSET(PLE!$G$15,$M207-$A$15,CI$13)))</f>
        <v>0</v>
      </c>
      <c r="CJ207" s="172">
        <f ca="1">IF(OR($D207&lt;&gt;"Serviço",AND(AUTOEVENTO="Manual",$M207=$A$15),$M207&gt;(ROW(PLE.lastrow)-ROW(PLE.firstrow))),0,
           IF(OFFSET(PLE!$G$15,$M207-$A$15,CJ$13)="",10^12,OFFSET(PLE!$G$15,$M207-$A$15,CJ$13)))</f>
        <v>0</v>
      </c>
      <c r="CK207" s="172">
        <f ca="1">IF(OR($D207&lt;&gt;"Serviço",AND(AUTOEVENTO="Manual",$M207=$A$15),$M207&gt;(ROW(PLE.lastrow)-ROW(PLE.firstrow))),0,
           IF(OFFSET(PLE!$G$15,$M207-$A$15,CK$13)="",10^12,OFFSET(PLE!$G$15,$M207-$A$15,CK$13)))</f>
        <v>0</v>
      </c>
      <c r="CL207" s="172">
        <f ca="1">IF(OR($D207&lt;&gt;"Serviço",AND(AUTOEVENTO="Manual",$M207=$A$15),$M207&gt;(ROW(PLE.lastrow)-ROW(PLE.firstrow))),0,
           IF(OFFSET(PLE!$G$15,$M207-$A$15,CL$13)="",10^12,OFFSET(PLE!$G$15,$M207-$A$15,CL$13)))</f>
        <v>0</v>
      </c>
      <c r="CM207" s="172">
        <f ca="1">IF(OR($D207&lt;&gt;"Serviço",AND(AUTOEVENTO="Manual",$M207=$A$15),$M207&gt;(ROW(PLE.lastrow)-ROW(PLE.firstrow))),0,
           IF(OFFSET(PLE!$G$15,$M207-$A$15,CM$13)="",10^12,OFFSET(PLE!$G$15,$M207-$A$15,CM$13)))</f>
        <v>0</v>
      </c>
    </row>
    <row r="208" spans="1:91" ht="12.75" x14ac:dyDescent="0.2">
      <c r="A208" s="7">
        <f t="shared" ca="1" si="12"/>
        <v>0</v>
      </c>
      <c r="B208" s="7">
        <f ca="1">OFFSET(ORÇAMENTO!C$15,ROW(B208)-ROW(B$15),0)</f>
        <v>4</v>
      </c>
      <c r="C208" s="7" t="str">
        <f ca="1">OFFSET(ORÇAMENTO!L$15,ROW(C208)-ROW(C$15),0)</f>
        <v>F</v>
      </c>
      <c r="D208" s="116" t="str">
        <f ca="1">OFFSET(ORÇAMENTO!N$15,ROW(D208)-ROW(D$15),0)</f>
        <v>Nível 4</v>
      </c>
      <c r="E208" s="117" t="str">
        <f ca="1">OFFSET(ORÇAMENTO!O$15,ROW(E208)-ROW(E$15),0)</f>
        <v>1.5.6.1.</v>
      </c>
      <c r="F208" s="163" t="str">
        <f ca="1">OFFSET(ORÇAMENTO!R$15,ROW(F208)-ROW(F$15),0)</f>
        <v>PISO ARMADO</v>
      </c>
      <c r="G208" s="164" t="str">
        <f ca="1">IF($D208&lt;&gt;"Serviço","",OFFSET(ORÇAMENTO!S$15,ROW(G208)-ROW(G$15),0))</f>
        <v/>
      </c>
      <c r="H208" s="122" cm="1">
        <f t="array" aca="1" ref="H208" ca="1">IF($D208&lt;&gt;"Serviço",0,IF(ACOMPANHAMENTO="BM",ROUND(OFFSET(ORÇAMENTO!AJ$15,ROW(H208)-ROW(H$15),0),15-13*ORÇAMENTO!$AF$7),SUMPRODUCT(($Q$1:$AI$1=1)*ROUND($Q208:$AI208,15-13*ORÇAMENTO!$AF$7))))</f>
        <v>0</v>
      </c>
      <c r="I208" s="468"/>
      <c r="J208" s="640" t="str" cm="1">
        <f t="array" aca="1" ref="J208" ca="1">IF(OR(B208&lt;&gt;"S",CÁLCULO.FrentesPreenchidas=0),"",IF(AND(ACOMPANHAMENTO="PLE",AUTOEVENTO="Manual",OR(H208&gt;0,ORÇAMENTO!AC208="QUANT."),OR(K208="",M208=0,N208="")),"►E",IF(AND(ACOMPANHAMENTO="PLE",ORÇAMENTO!AC208="QUANT."),"►Q",IF(AND(ACOMPANHAMENTO="PLE",H208&lt;&gt;SUMPRODUCT(($Q$1:$AI$1=1)*ROUND(Q208:AI208,15))),"►S",IF(AND(COUNTIF($P$11:$AI$11,"▼")=0,H208&gt;0,I208=""),"◄M","")))))</f>
        <v/>
      </c>
      <c r="K208" s="641"/>
      <c r="L208" s="165" t="s">
        <v>764</v>
      </c>
      <c r="M208" s="166" t="str">
        <f ca="1">IF($D208&lt;&gt;"Serviço","",
          IF(AUTOEVENTO="manual",$A208,
                IF(ISERROR(MATCH($A208,$A$15:OFFSET($A208,-1,0),0)),MAX($M$15:OFFSET(M208,-1,0))+1,
                      INDEX($M$15:OFFSET(M208,-1,0),MATCH($A208,$A$15:OFFSET($A208,-1,0),0)))))</f>
        <v/>
      </c>
      <c r="N208" s="167" t="str">
        <f ca="1">IF($D208&lt;&gt;"Serviço","",
         IF(AUTOEVENTO="Manual",
                IF($A208=0,"&lt;-- defina o número do agrupador",
                       OFFSET(EVENTOS!$D$15,$A208-$A$15,0)),
                OFFSET($F$15,$A208,0)))</f>
        <v/>
      </c>
      <c r="O208" s="168"/>
      <c r="Q208" s="168"/>
      <c r="R208" s="169"/>
      <c r="S208" s="169"/>
      <c r="T208" s="169"/>
      <c r="U208" s="169"/>
      <c r="V208" s="169"/>
      <c r="W208" s="169"/>
      <c r="X208" s="169"/>
      <c r="Y208" s="169"/>
      <c r="Z208" s="170"/>
      <c r="AA208" s="169"/>
      <c r="AB208" s="169"/>
      <c r="AC208" s="169"/>
      <c r="AD208" s="169"/>
      <c r="AE208" s="169"/>
      <c r="AF208" s="169"/>
      <c r="AG208" s="169"/>
      <c r="AH208" s="170"/>
      <c r="AJ208" s="453">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0</v>
      </c>
      <c r="AK208" s="453">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0</v>
      </c>
      <c r="AL208" s="453">
        <f ca="1">IF(AND($D208="Serviço",AL$12&lt;&gt;0,$H208&gt;0,OR(AUTOEVENTO&lt;&gt;"manual",$M208&lt;&gt;$A$15)),
        IF(Import.TipoArredondamento&lt;&gt;"TransfereGOV",
              ROUND(OFFSET($P208,0,AL$13),15-13*ORÇAMENTO!$AF$7)/$H208*OFFSET(ORÇAMENTO!$X$15,ROW(AL208)-ROW(AL$15),0),
              ROUND(ROUND(OFFSET($P208,0,AL$13),15-13*ORÇAMENTO!$AF$7)*OFFSET(ORÇAMENTO!$W$15,ROW(AL208)-ROW(AL$15),0),15-13*ORÇAMENTO!$AF$11)),
         0)</f>
        <v>0</v>
      </c>
      <c r="AM208" s="453">
        <f ca="1">IF(AND($D208="Serviço",AM$12&lt;&gt;0,$H208&gt;0,OR(AUTOEVENTO&lt;&gt;"manual",$M208&lt;&gt;$A$15)),
        IF(Import.TipoArredondamento&lt;&gt;"TransfereGOV",
              ROUND(OFFSET($P208,0,AM$13),15-13*ORÇAMENTO!$AF$7)/$H208*OFFSET(ORÇAMENTO!$X$15,ROW(AM208)-ROW(AM$15),0),
              ROUND(ROUND(OFFSET($P208,0,AM$13),15-13*ORÇAMENTO!$AF$7)*OFFSET(ORÇAMENTO!$W$15,ROW(AM208)-ROW(AM$15),0),15-13*ORÇAMENTO!$AF$11)),
         0)</f>
        <v>0</v>
      </c>
      <c r="AN208" s="453">
        <f ca="1">IF(AND($D208="Serviço",AN$12&lt;&gt;0,$H208&gt;0,OR(AUTOEVENTO&lt;&gt;"manual",$M208&lt;&gt;$A$15)),
        IF(Import.TipoArredondamento&lt;&gt;"TransfereGOV",
              ROUND(OFFSET($P208,0,AN$13),15-13*ORÇAMENTO!$AF$7)/$H208*OFFSET(ORÇAMENTO!$X$15,ROW(AN208)-ROW(AN$15),0),
              ROUND(ROUND(OFFSET($P208,0,AN$13),15-13*ORÇAMENTO!$AF$7)*OFFSET(ORÇAMENTO!$W$15,ROW(AN208)-ROW(AN$15),0),15-13*ORÇAMENTO!$AF$11)),
         0)</f>
        <v>0</v>
      </c>
      <c r="AO208" s="453">
        <f ca="1">IF(AND($D208="Serviço",AO$12&lt;&gt;0,$H208&gt;0,OR(AUTOEVENTO&lt;&gt;"manual",$M208&lt;&gt;$A$15)),
        IF(Import.TipoArredondamento&lt;&gt;"TransfereGOV",
              ROUND(OFFSET($P208,0,AO$13),15-13*ORÇAMENTO!$AF$7)/$H208*OFFSET(ORÇAMENTO!$X$15,ROW(AO208)-ROW(AO$15),0),
              ROUND(ROUND(OFFSET($P208,0,AO$13),15-13*ORÇAMENTO!$AF$7)*OFFSET(ORÇAMENTO!$W$15,ROW(AO208)-ROW(AO$15),0),15-13*ORÇAMENTO!$AF$11)),
         0)</f>
        <v>0</v>
      </c>
      <c r="AP208" s="453">
        <f ca="1">IF(AND($D208="Serviço",AP$12&lt;&gt;0,$H208&gt;0,OR(AUTOEVENTO&lt;&gt;"manual",$M208&lt;&gt;$A$15)),
        IF(Import.TipoArredondamento&lt;&gt;"TransfereGOV",
              ROUND(OFFSET($P208,0,AP$13),15-13*ORÇAMENTO!$AF$7)/$H208*OFFSET(ORÇAMENTO!$X$15,ROW(AP208)-ROW(AP$15),0),
              ROUND(ROUND(OFFSET($P208,0,AP$13),15-13*ORÇAMENTO!$AF$7)*OFFSET(ORÇAMENTO!$W$15,ROW(AP208)-ROW(AP$15),0),15-13*ORÇAMENTO!$AF$11)),
         0)</f>
        <v>0</v>
      </c>
      <c r="AQ208" s="453">
        <f ca="1">IF(AND($D208="Serviço",AQ$12&lt;&gt;0,$H208&gt;0,OR(AUTOEVENTO&lt;&gt;"manual",$M208&lt;&gt;$A$15)),
        IF(Import.TipoArredondamento&lt;&gt;"TransfereGOV",
              ROUND(OFFSET($P208,0,AQ$13),15-13*ORÇAMENTO!$AF$7)/$H208*OFFSET(ORÇAMENTO!$X$15,ROW(AQ208)-ROW(AQ$15),0),
              ROUND(ROUND(OFFSET($P208,0,AQ$13),15-13*ORÇAMENTO!$AF$7)*OFFSET(ORÇAMENTO!$W$15,ROW(AQ208)-ROW(AQ$15),0),15-13*ORÇAMENTO!$AF$11)),
         0)</f>
        <v>0</v>
      </c>
      <c r="AR208" s="453">
        <f ca="1">IF(AND($D208="Serviço",AR$12&lt;&gt;0,$H208&gt;0,OR(AUTOEVENTO&lt;&gt;"manual",$M208&lt;&gt;$A$15)),
        IF(Import.TipoArredondamento&lt;&gt;"TransfereGOV",
              ROUND(OFFSET($P208,0,AR$13),15-13*ORÇAMENTO!$AF$7)/$H208*OFFSET(ORÇAMENTO!$X$15,ROW(AR208)-ROW(AR$15),0),
              ROUND(ROUND(OFFSET($P208,0,AR$13),15-13*ORÇAMENTO!$AF$7)*OFFSET(ORÇAMENTO!$W$15,ROW(AR208)-ROW(AR$15),0),15-13*ORÇAMENTO!$AF$11)),
         0)</f>
        <v>0</v>
      </c>
      <c r="AS208" s="453">
        <f ca="1">IF(AND($D208="Serviço",AS$12&lt;&gt;0,$H208&gt;0,OR(AUTOEVENTO&lt;&gt;"manual",$M208&lt;&gt;$A$15)),
        IF(Import.TipoArredondamento&lt;&gt;"TransfereGOV",
              ROUND(OFFSET($P208,0,AS$13),15-13*ORÇAMENTO!$AF$7)/$H208*OFFSET(ORÇAMENTO!$X$15,ROW(AS208)-ROW(AS$15),0),
              ROUND(ROUND(OFFSET($P208,0,AS$13),15-13*ORÇAMENTO!$AF$7)*OFFSET(ORÇAMENTO!$W$15,ROW(AS208)-ROW(AS$15),0),15-13*ORÇAMENTO!$AF$11)),
         0)</f>
        <v>0</v>
      </c>
      <c r="AT208" s="453">
        <f ca="1">IF(AND($D208="Serviço",AT$12&lt;&gt;0,$H208&gt;0,OR(AUTOEVENTO&lt;&gt;"manual",$M208&lt;&gt;$A$15)),
        IF(Import.TipoArredondamento&lt;&gt;"TransfereGOV",
              ROUND(OFFSET($P208,0,AT$13),15-13*ORÇAMENTO!$AF$7)/$H208*OFFSET(ORÇAMENTO!$X$15,ROW(AT208)-ROW(AT$15),0),
              ROUND(ROUND(OFFSET($P208,0,AT$13),15-13*ORÇAMENTO!$AF$7)*OFFSET(ORÇAMENTO!$W$15,ROW(AT208)-ROW(AT$15),0),15-13*ORÇAMENTO!$AF$11)),
         0)</f>
        <v>0</v>
      </c>
      <c r="AU208" s="453">
        <f ca="1">IF(AND($D208="Serviço",AU$12&lt;&gt;0,$H208&gt;0,OR(AUTOEVENTO&lt;&gt;"manual",$M208&lt;&gt;$A$15)),
        IF(Import.TipoArredondamento&lt;&gt;"TransfereGOV",
              ROUND(OFFSET($P208,0,AU$13),15-13*ORÇAMENTO!$AF$7)/$H208*OFFSET(ORÇAMENTO!$X$15,ROW(AU208)-ROW(AU$15),0),
              ROUND(ROUND(OFFSET($P208,0,AU$13),15-13*ORÇAMENTO!$AF$7)*OFFSET(ORÇAMENTO!$W$15,ROW(AU208)-ROW(AU$15),0),15-13*ORÇAMENTO!$AF$11)),
         0)</f>
        <v>0</v>
      </c>
      <c r="AV208" s="453">
        <f ca="1">IF(AND($D208="Serviço",AV$12&lt;&gt;0,$H208&gt;0,OR(AUTOEVENTO&lt;&gt;"manual",$M208&lt;&gt;$A$15)),
        IF(Import.TipoArredondamento&lt;&gt;"TransfereGOV",
              ROUND(OFFSET($P208,0,AV$13),15-13*ORÇAMENTO!$AF$7)/$H208*OFFSET(ORÇAMENTO!$X$15,ROW(AV208)-ROW(AV$15),0),
              ROUND(ROUND(OFFSET($P208,0,AV$13),15-13*ORÇAMENTO!$AF$7)*OFFSET(ORÇAMENTO!$W$15,ROW(AV208)-ROW(AV$15),0),15-13*ORÇAMENTO!$AF$11)),
         0)</f>
        <v>0</v>
      </c>
      <c r="AW208" s="453">
        <f ca="1">IF(AND($D208="Serviço",AW$12&lt;&gt;0,$H208&gt;0,OR(AUTOEVENTO&lt;&gt;"manual",$M208&lt;&gt;$A$15)),
        IF(Import.TipoArredondamento&lt;&gt;"TransfereGOV",
              ROUND(OFFSET($P208,0,AW$13),15-13*ORÇAMENTO!$AF$7)/$H208*OFFSET(ORÇAMENTO!$X$15,ROW(AW208)-ROW(AW$15),0),
              ROUND(ROUND(OFFSET($P208,0,AW$13),15-13*ORÇAMENTO!$AF$7)*OFFSET(ORÇAMENTO!$W$15,ROW(AW208)-ROW(AW$15),0),15-13*ORÇAMENTO!$AF$11)),
         0)</f>
        <v>0</v>
      </c>
      <c r="AX208" s="453">
        <f ca="1">IF(AND($D208="Serviço",AX$12&lt;&gt;0,$H208&gt;0,OR(AUTOEVENTO&lt;&gt;"manual",$M208&lt;&gt;$A$15)),
        IF(Import.TipoArredondamento&lt;&gt;"TransfereGOV",
              ROUND(OFFSET($P208,0,AX$13),15-13*ORÇAMENTO!$AF$7)/$H208*OFFSET(ORÇAMENTO!$X$15,ROW(AX208)-ROW(AX$15),0),
              ROUND(ROUND(OFFSET($P208,0,AX$13),15-13*ORÇAMENTO!$AF$7)*OFFSET(ORÇAMENTO!$W$15,ROW(AX208)-ROW(AX$15),0),15-13*ORÇAMENTO!$AF$11)),
         0)</f>
        <v>0</v>
      </c>
      <c r="AY208" s="453">
        <f ca="1">IF(AND($D208="Serviço",AY$12&lt;&gt;0,$H208&gt;0,OR(AUTOEVENTO&lt;&gt;"manual",$M208&lt;&gt;$A$15)),
        IF(Import.TipoArredondamento&lt;&gt;"TransfereGOV",
              ROUND(OFFSET($P208,0,AY$13),15-13*ORÇAMENTO!$AF$7)/$H208*OFFSET(ORÇAMENTO!$X$15,ROW(AY208)-ROW(AY$15),0),
              ROUND(ROUND(OFFSET($P208,0,AY$13),15-13*ORÇAMENTO!$AF$7)*OFFSET(ORÇAMENTO!$W$15,ROW(AY208)-ROW(AY$15),0),15-13*ORÇAMENTO!$AF$11)),
         0)</f>
        <v>0</v>
      </c>
      <c r="AZ208" s="453">
        <f ca="1">IF(AND($D208="Serviço",AZ$12&lt;&gt;0,$H208&gt;0,OR(AUTOEVENTO&lt;&gt;"manual",$M208&lt;&gt;$A$15)),
        IF(Import.TipoArredondamento&lt;&gt;"TransfereGOV",
              ROUND(OFFSET($P208,0,AZ$13),15-13*ORÇAMENTO!$AF$7)/$H208*OFFSET(ORÇAMENTO!$X$15,ROW(AZ208)-ROW(AZ$15),0),
              ROUND(ROUND(OFFSET($P208,0,AZ$13),15-13*ORÇAMENTO!$AF$7)*OFFSET(ORÇAMENTO!$W$15,ROW(AZ208)-ROW(AZ$15),0),15-13*ORÇAMENTO!$AF$11)),
         0)</f>
        <v>0</v>
      </c>
      <c r="BA208" s="453">
        <f ca="1">IF(AND($D208="Serviço",BA$12&lt;&gt;0,$H208&gt;0,OR(AUTOEVENTO&lt;&gt;"manual",$M208&lt;&gt;$A$15)),
        IF(Import.TipoArredondamento&lt;&gt;"TransfereGOV",
              ROUND(OFFSET($P208,0,BA$13),15-13*ORÇAMENTO!$AF$7)/$H208*OFFSET(ORÇAMENTO!$X$15,ROW(BA208)-ROW(BA$15),0),
              ROUND(ROUND(OFFSET($P208,0,BA$13),15-13*ORÇAMENTO!$AF$7)*OFFSET(ORÇAMENTO!$W$15,ROW(BA208)-ROW(BA$15),0),15-13*ORÇAMENTO!$AF$11)),
         0)</f>
        <v>0</v>
      </c>
      <c r="BC208" s="171">
        <f ca="1">IF(OR($D208&lt;&gt;"Serviço",AND(AUTOEVENTO="Manual",$M208=$A$15)),0,
         IF(OFFSET(CRONOPLE!$F$15,$M208-$A$15,BC$13)=0,10^12,OFFSET(CRONOPLE!$F$15,$M208-$A$15,BC$13)))</f>
        <v>0</v>
      </c>
      <c r="BD208" s="171">
        <f ca="1">IF(OR($D208&lt;&gt;"Serviço",AND(AUTOEVENTO="Manual",$M208=$A$15)),0,
         IF(OFFSET(CRONOPLE!$F$15,$M208-$A$15,BD$13)=0,10^12,OFFSET(CRONOPLE!$F$15,$M208-$A$15,BD$13)))</f>
        <v>0</v>
      </c>
      <c r="BE208" s="171">
        <f ca="1">IF(OR($D208&lt;&gt;"Serviço",AND(AUTOEVENTO="Manual",$M208=$A$15)),0,
         IF(OFFSET(CRONOPLE!$F$15,$M208-$A$15,BE$13)=0,10^12,OFFSET(CRONOPLE!$F$15,$M208-$A$15,BE$13)))</f>
        <v>0</v>
      </c>
      <c r="BF208" s="171">
        <f ca="1">IF(OR($D208&lt;&gt;"Serviço",AND(AUTOEVENTO="Manual",$M208=$A$15)),0,
         IF(OFFSET(CRONOPLE!$F$15,$M208-$A$15,BF$13)=0,10^12,OFFSET(CRONOPLE!$F$15,$M208-$A$15,BF$13)))</f>
        <v>0</v>
      </c>
      <c r="BG208" s="171">
        <f ca="1">IF(OR($D208&lt;&gt;"Serviço",AND(AUTOEVENTO="Manual",$M208=$A$15)),0,
         IF(OFFSET(CRONOPLE!$F$15,$M208-$A$15,BG$13)=0,10^12,OFFSET(CRONOPLE!$F$15,$M208-$A$15,BG$13)))</f>
        <v>0</v>
      </c>
      <c r="BH208" s="171">
        <f ca="1">IF(OR($D208&lt;&gt;"Serviço",AND(AUTOEVENTO="Manual",$M208=$A$15)),0,
         IF(OFFSET(CRONOPLE!$F$15,$M208-$A$15,BH$13)=0,10^12,OFFSET(CRONOPLE!$F$15,$M208-$A$15,BH$13)))</f>
        <v>0</v>
      </c>
      <c r="BI208" s="171">
        <f ca="1">IF(OR($D208&lt;&gt;"Serviço",AND(AUTOEVENTO="Manual",$M208=$A$15)),0,
         IF(OFFSET(CRONOPLE!$F$15,$M208-$A$15,BI$13)=0,10^12,OFFSET(CRONOPLE!$F$15,$M208-$A$15,BI$13)))</f>
        <v>0</v>
      </c>
      <c r="BJ208" s="171">
        <f ca="1">IF(OR($D208&lt;&gt;"Serviço",AND(AUTOEVENTO="Manual",$M208=$A$15)),0,
         IF(OFFSET(CRONOPLE!$F$15,$M208-$A$15,BJ$13)=0,10^12,OFFSET(CRONOPLE!$F$15,$M208-$A$15,BJ$13)))</f>
        <v>0</v>
      </c>
      <c r="BK208" s="171">
        <f ca="1">IF(OR($D208&lt;&gt;"Serviço",AND(AUTOEVENTO="Manual",$M208=$A$15)),0,
         IF(OFFSET(CRONOPLE!$F$15,$M208-$A$15,BK$13)=0,10^12,OFFSET(CRONOPLE!$F$15,$M208-$A$15,BK$13)))</f>
        <v>0</v>
      </c>
      <c r="BL208" s="171">
        <f ca="1">IF(OR($D208&lt;&gt;"Serviço",AND(AUTOEVENTO="Manual",$M208=$A$15)),0,
         IF(OFFSET(CRONOPLE!$F$15,$M208-$A$15,BL$13)=0,10^12,OFFSET(CRONOPLE!$F$15,$M208-$A$15,BL$13)))</f>
        <v>0</v>
      </c>
      <c r="BM208" s="171">
        <f ca="1">IF(OR($D208&lt;&gt;"Serviço",AND(AUTOEVENTO="Manual",$M208=$A$15)),0,
         IF(OFFSET(CRONOPLE!$F$15,$M208-$A$15,BM$13)=0,10^12,OFFSET(CRONOPLE!$F$15,$M208-$A$15,BM$13)))</f>
        <v>0</v>
      </c>
      <c r="BN208" s="171">
        <f ca="1">IF(OR($D208&lt;&gt;"Serviço",AND(AUTOEVENTO="Manual",$M208=$A$15)),0,
         IF(OFFSET(CRONOPLE!$F$15,$M208-$A$15,BN$13)=0,10^12,OFFSET(CRONOPLE!$F$15,$M208-$A$15,BN$13)))</f>
        <v>0</v>
      </c>
      <c r="BO208" s="171">
        <f ca="1">IF(OR($D208&lt;&gt;"Serviço",AND(AUTOEVENTO="Manual",$M208=$A$15)),0,
         IF(OFFSET(CRONOPLE!$F$15,$M208-$A$15,BO$13)=0,10^12,OFFSET(CRONOPLE!$F$15,$M208-$A$15,BO$13)))</f>
        <v>0</v>
      </c>
      <c r="BP208" s="171">
        <f ca="1">IF(OR($D208&lt;&gt;"Serviço",AND(AUTOEVENTO="Manual",$M208=$A$15)),0,
         IF(OFFSET(CRONOPLE!$F$15,$M208-$A$15,BP$13)=0,10^12,OFFSET(CRONOPLE!$F$15,$M208-$A$15,BP$13)))</f>
        <v>0</v>
      </c>
      <c r="BQ208" s="171">
        <f ca="1">IF(OR($D208&lt;&gt;"Serviço",AND(AUTOEVENTO="Manual",$M208=$A$15)),0,
         IF(OFFSET(CRONOPLE!$F$15,$M208-$A$15,BQ$13)=0,10^12,OFFSET(CRONOPLE!$F$15,$M208-$A$15,BQ$13)))</f>
        <v>0</v>
      </c>
      <c r="BR208" s="171">
        <f ca="1">IF(OR($D208&lt;&gt;"Serviço",AND(AUTOEVENTO="Manual",$M208=$A$15)),0,
         IF(OFFSET(CRONOPLE!$F$15,$M208-$A$15,BR$13)=0,10^12,OFFSET(CRONOPLE!$F$15,$M208-$A$15,BR$13)))</f>
        <v>0</v>
      </c>
      <c r="BS208" s="171">
        <f ca="1">IF(OR($D208&lt;&gt;"Serviço",AND(AUTOEVENTO="Manual",$M208=$A$15)),0,
         IF(OFFSET(CRONOPLE!$F$15,$M208-$A$15,BS$13)=0,10^12,OFFSET(CRONOPLE!$F$15,$M208-$A$15,BS$13)))</f>
        <v>0</v>
      </c>
      <c r="BT208" s="171">
        <f ca="1">IF(OR($D208&lt;&gt;"Serviço",AND(AUTOEVENTO="Manual",$M208=$A$15)),0,
         IF(OFFSET(CRONOPLE!$F$15,$M208-$A$15,BT$13)=0,10^12,OFFSET(CRONOPLE!$F$15,$M208-$A$15,BT$13)))</f>
        <v>0</v>
      </c>
      <c r="BV208" s="172">
        <f ca="1">IF(OR($D208&lt;&gt;"Serviço",AND(AUTOEVENTO="Manual",$M208=$A$15),$M208&gt;(ROW(PLE.lastrow)-ROW(PLE.firstrow))),0,
           IF(OFFSET(PLE!$G$15,$M208-$A$15,BV$13)="",10^12,OFFSET(PLE!$G$15,$M208-$A$15,BV$13)))</f>
        <v>0</v>
      </c>
      <c r="BW208" s="172">
        <f ca="1">IF(OR($D208&lt;&gt;"Serviço",AND(AUTOEVENTO="Manual",$M208=$A$15),$M208&gt;(ROW(PLE.lastrow)-ROW(PLE.firstrow))),0,
           IF(OFFSET(PLE!$G$15,$M208-$A$15,BW$13)="",10^12,OFFSET(PLE!$G$15,$M208-$A$15,BW$13)))</f>
        <v>0</v>
      </c>
      <c r="BX208" s="172">
        <f ca="1">IF(OR($D208&lt;&gt;"Serviço",AND(AUTOEVENTO="Manual",$M208=$A$15),$M208&gt;(ROW(PLE.lastrow)-ROW(PLE.firstrow))),0,
           IF(OFFSET(PLE!$G$15,$M208-$A$15,BX$13)="",10^12,OFFSET(PLE!$G$15,$M208-$A$15,BX$13)))</f>
        <v>0</v>
      </c>
      <c r="BY208" s="172">
        <f ca="1">IF(OR($D208&lt;&gt;"Serviço",AND(AUTOEVENTO="Manual",$M208=$A$15),$M208&gt;(ROW(PLE.lastrow)-ROW(PLE.firstrow))),0,
           IF(OFFSET(PLE!$G$15,$M208-$A$15,BY$13)="",10^12,OFFSET(PLE!$G$15,$M208-$A$15,BY$13)))</f>
        <v>0</v>
      </c>
      <c r="BZ208" s="172">
        <f ca="1">IF(OR($D208&lt;&gt;"Serviço",AND(AUTOEVENTO="Manual",$M208=$A$15),$M208&gt;(ROW(PLE.lastrow)-ROW(PLE.firstrow))),0,
           IF(OFFSET(PLE!$G$15,$M208-$A$15,BZ$13)="",10^12,OFFSET(PLE!$G$15,$M208-$A$15,BZ$13)))</f>
        <v>0</v>
      </c>
      <c r="CA208" s="172">
        <f ca="1">IF(OR($D208&lt;&gt;"Serviço",AND(AUTOEVENTO="Manual",$M208=$A$15),$M208&gt;(ROW(PLE.lastrow)-ROW(PLE.firstrow))),0,
           IF(OFFSET(PLE!$G$15,$M208-$A$15,CA$13)="",10^12,OFFSET(PLE!$G$15,$M208-$A$15,CA$13)))</f>
        <v>0</v>
      </c>
      <c r="CB208" s="172">
        <f ca="1">IF(OR($D208&lt;&gt;"Serviço",AND(AUTOEVENTO="Manual",$M208=$A$15),$M208&gt;(ROW(PLE.lastrow)-ROW(PLE.firstrow))),0,
           IF(OFFSET(PLE!$G$15,$M208-$A$15,CB$13)="",10^12,OFFSET(PLE!$G$15,$M208-$A$15,CB$13)))</f>
        <v>0</v>
      </c>
      <c r="CC208" s="172">
        <f ca="1">IF(OR($D208&lt;&gt;"Serviço",AND(AUTOEVENTO="Manual",$M208=$A$15),$M208&gt;(ROW(PLE.lastrow)-ROW(PLE.firstrow))),0,
           IF(OFFSET(PLE!$G$15,$M208-$A$15,CC$13)="",10^12,OFFSET(PLE!$G$15,$M208-$A$15,CC$13)))</f>
        <v>0</v>
      </c>
      <c r="CD208" s="172">
        <f ca="1">IF(OR($D208&lt;&gt;"Serviço",AND(AUTOEVENTO="Manual",$M208=$A$15),$M208&gt;(ROW(PLE.lastrow)-ROW(PLE.firstrow))),0,
           IF(OFFSET(PLE!$G$15,$M208-$A$15,CD$13)="",10^12,OFFSET(PLE!$G$15,$M208-$A$15,CD$13)))</f>
        <v>0</v>
      </c>
      <c r="CE208" s="172">
        <f ca="1">IF(OR($D208&lt;&gt;"Serviço",AND(AUTOEVENTO="Manual",$M208=$A$15),$M208&gt;(ROW(PLE.lastrow)-ROW(PLE.firstrow))),0,
           IF(OFFSET(PLE!$G$15,$M208-$A$15,CE$13)="",10^12,OFFSET(PLE!$G$15,$M208-$A$15,CE$13)))</f>
        <v>0</v>
      </c>
      <c r="CF208" s="172">
        <f ca="1">IF(OR($D208&lt;&gt;"Serviço",AND(AUTOEVENTO="Manual",$M208=$A$15),$M208&gt;(ROW(PLE.lastrow)-ROW(PLE.firstrow))),0,
           IF(OFFSET(PLE!$G$15,$M208-$A$15,CF$13)="",10^12,OFFSET(PLE!$G$15,$M208-$A$15,CF$13)))</f>
        <v>0</v>
      </c>
      <c r="CG208" s="172">
        <f ca="1">IF(OR($D208&lt;&gt;"Serviço",AND(AUTOEVENTO="Manual",$M208=$A$15),$M208&gt;(ROW(PLE.lastrow)-ROW(PLE.firstrow))),0,
           IF(OFFSET(PLE!$G$15,$M208-$A$15,CG$13)="",10^12,OFFSET(PLE!$G$15,$M208-$A$15,CG$13)))</f>
        <v>0</v>
      </c>
      <c r="CH208" s="172">
        <f ca="1">IF(OR($D208&lt;&gt;"Serviço",AND(AUTOEVENTO="Manual",$M208=$A$15),$M208&gt;(ROW(PLE.lastrow)-ROW(PLE.firstrow))),0,
           IF(OFFSET(PLE!$G$15,$M208-$A$15,CH$13)="",10^12,OFFSET(PLE!$G$15,$M208-$A$15,CH$13)))</f>
        <v>0</v>
      </c>
      <c r="CI208" s="172">
        <f ca="1">IF(OR($D208&lt;&gt;"Serviço",AND(AUTOEVENTO="Manual",$M208=$A$15),$M208&gt;(ROW(PLE.lastrow)-ROW(PLE.firstrow))),0,
           IF(OFFSET(PLE!$G$15,$M208-$A$15,CI$13)="",10^12,OFFSET(PLE!$G$15,$M208-$A$15,CI$13)))</f>
        <v>0</v>
      </c>
      <c r="CJ208" s="172">
        <f ca="1">IF(OR($D208&lt;&gt;"Serviço",AND(AUTOEVENTO="Manual",$M208=$A$15),$M208&gt;(ROW(PLE.lastrow)-ROW(PLE.firstrow))),0,
           IF(OFFSET(PLE!$G$15,$M208-$A$15,CJ$13)="",10^12,OFFSET(PLE!$G$15,$M208-$A$15,CJ$13)))</f>
        <v>0</v>
      </c>
      <c r="CK208" s="172">
        <f ca="1">IF(OR($D208&lt;&gt;"Serviço",AND(AUTOEVENTO="Manual",$M208=$A$15),$M208&gt;(ROW(PLE.lastrow)-ROW(PLE.firstrow))),0,
           IF(OFFSET(PLE!$G$15,$M208-$A$15,CK$13)="",10^12,OFFSET(PLE!$G$15,$M208-$A$15,CK$13)))</f>
        <v>0</v>
      </c>
      <c r="CL208" s="172">
        <f ca="1">IF(OR($D208&lt;&gt;"Serviço",AND(AUTOEVENTO="Manual",$M208=$A$15),$M208&gt;(ROW(PLE.lastrow)-ROW(PLE.firstrow))),0,
           IF(OFFSET(PLE!$G$15,$M208-$A$15,CL$13)="",10^12,OFFSET(PLE!$G$15,$M208-$A$15,CL$13)))</f>
        <v>0</v>
      </c>
      <c r="CM208" s="172">
        <f ca="1">IF(OR($D208&lt;&gt;"Serviço",AND(AUTOEVENTO="Manual",$M208=$A$15),$M208&gt;(ROW(PLE.lastrow)-ROW(PLE.firstrow))),0,
           IF(OFFSET(PLE!$G$15,$M208-$A$15,CM$13)="",10^12,OFFSET(PLE!$G$15,$M208-$A$15,CM$13)))</f>
        <v>0</v>
      </c>
    </row>
    <row r="209" spans="1:91" ht="51" x14ac:dyDescent="0.2">
      <c r="A209" s="7">
        <f t="shared" ca="1" si="12"/>
        <v>4</v>
      </c>
      <c r="B209" s="7" t="str">
        <f ca="1">OFFSET(ORÇAMENTO!C$15,ROW(B209)-ROW(B$15),0)</f>
        <v>S</v>
      </c>
      <c r="C209" s="7" t="str">
        <f ca="1">OFFSET(ORÇAMENTO!L$15,ROW(C209)-ROW(C$15),0)</f>
        <v>F</v>
      </c>
      <c r="D209" s="116" t="str">
        <f ca="1">OFFSET(ORÇAMENTO!N$15,ROW(D209)-ROW(D$15),0)</f>
        <v>Serviço</v>
      </c>
      <c r="E209" s="117" t="str">
        <f ca="1">OFFSET(ORÇAMENTO!O$15,ROW(E209)-ROW(E$15),0)</f>
        <v>1.5.6.1.1.</v>
      </c>
      <c r="F209" s="163" t="str">
        <f ca="1">OFFSET(ORÇAMENTO!R$15,ROW(F209)-ROW(F$15),0)</f>
        <v>CONCRETO FCK = 40MPA, TRAÇO 1:1,6:1,9 (EM MASSA SECA DE CIMENTO/ AREIA MÉDIA/ BRITA 1) - PREPARO MECÂNICO COM BETONEIRA 600 L. AF_05/2021</v>
      </c>
      <c r="G209" s="164" t="str">
        <f ca="1">IF($D209&lt;&gt;"Serviço","",OFFSET(ORÇAMENTO!S$15,ROW(G209)-ROW(G$15),0))</f>
        <v>M3</v>
      </c>
      <c r="H209" s="122" cm="1">
        <f t="array" aca="1" ref="H209" ca="1">IF($D209&lt;&gt;"Serviço",0,IF(ACOMPANHAMENTO="BM",ROUND(OFFSET(ORÇAMENTO!AJ$15,ROW(H209)-ROW(H$15),0),15-13*ORÇAMENTO!$AF$7),SUMPRODUCT(($Q$1:$AI$1=1)*ROUND($Q209:$AI209,15-13*ORÇAMENTO!$AF$7))))</f>
        <v>4.7300000000000004</v>
      </c>
      <c r="I209" s="468" t="s">
        <v>1342</v>
      </c>
      <c r="J209" s="640" t="str" cm="1">
        <f t="array" aca="1" ref="J209" ca="1">IF(OR(B209&lt;&gt;"S",CÁLCULO.FrentesPreenchidas=0),"",IF(AND(ACOMPANHAMENTO="PLE",AUTOEVENTO="Manual",OR(H209&gt;0,ORÇAMENTO!AC209="QUANT."),OR(K209="",M209=0,N209="")),"►E",IF(AND(ACOMPANHAMENTO="PLE",ORÇAMENTO!AC209="QUANT."),"►Q",IF(AND(ACOMPANHAMENTO="PLE",H209&lt;&gt;SUMPRODUCT(($Q$1:$AI$1=1)*ROUND(Q209:AI209,15))),"►S",IF(AND(COUNTIF($P$11:$AI$11,"▼")=0,H209&gt;0,I209=""),"◄M","")))))</f>
        <v/>
      </c>
      <c r="K209" s="641" t="s">
        <v>1389</v>
      </c>
      <c r="L209" s="165" t="s">
        <v>764</v>
      </c>
      <c r="M209" s="166">
        <f ca="1">IF($D209&lt;&gt;"Serviço","",
          IF(AUTOEVENTO="manual",$A209,
                IF(ISERROR(MATCH($A209,$A$15:OFFSET($A209,-1,0),0)),MAX($M$15:OFFSET(M209,-1,0))+1,
                      INDEX($M$15:OFFSET(M209,-1,0),MATCH($A209,$A$15:OFFSET($A209,-1,0),0)))))</f>
        <v>4</v>
      </c>
      <c r="N209" s="167" t="str">
        <f ca="1">IF($D209&lt;&gt;"Serviço","",
         IF(AUTOEVENTO="Manual",
                IF($A209=0,"&lt;-- defina o número do agrupador",
                       OFFSET(EVENTOS!$D$15,$A209-$A$15,0)),
                OFFSET($F$15,$A209,0)))</f>
        <v>Estruturas de Concreto</v>
      </c>
      <c r="O209" s="168"/>
      <c r="Q209" s="168"/>
      <c r="R209" s="169"/>
      <c r="S209" s="169"/>
      <c r="T209" s="169"/>
      <c r="U209" s="169"/>
      <c r="V209" s="169"/>
      <c r="W209" s="169"/>
      <c r="X209" s="169"/>
      <c r="Y209" s="169"/>
      <c r="Z209" s="170">
        <v>4.7300000000000004</v>
      </c>
      <c r="AA209" s="169">
        <v>2.2400000000000002</v>
      </c>
      <c r="AB209" s="169"/>
      <c r="AC209" s="169"/>
      <c r="AD209" s="169"/>
      <c r="AE209" s="169"/>
      <c r="AF209" s="169"/>
      <c r="AG209" s="169"/>
      <c r="AH209" s="170"/>
      <c r="AJ209" s="453">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3">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L209" s="453">
        <f ca="1">IF(AND($D209="Serviço",AL$12&lt;&gt;0,$H209&gt;0,OR(AUTOEVENTO&lt;&gt;"manual",$M209&lt;&gt;$A$15)),
        IF(Import.TipoArredondamento&lt;&gt;"TransfereGOV",
              ROUND(OFFSET($P209,0,AL$13),15-13*ORÇAMENTO!$AF$7)/$H209*OFFSET(ORÇAMENTO!$X$15,ROW(AL209)-ROW(AL$15),0),
              ROUND(ROUND(OFFSET($P209,0,AL$13),15-13*ORÇAMENTO!$AF$7)*OFFSET(ORÇAMENTO!$W$15,ROW(AL209)-ROW(AL$15),0),15-13*ORÇAMENTO!$AF$11)),
         0)</f>
        <v>0</v>
      </c>
      <c r="AM209" s="453">
        <f ca="1">IF(AND($D209="Serviço",AM$12&lt;&gt;0,$H209&gt;0,OR(AUTOEVENTO&lt;&gt;"manual",$M209&lt;&gt;$A$15)),
        IF(Import.TipoArredondamento&lt;&gt;"TransfereGOV",
              ROUND(OFFSET($P209,0,AM$13),15-13*ORÇAMENTO!$AF$7)/$H209*OFFSET(ORÇAMENTO!$X$15,ROW(AM209)-ROW(AM$15),0),
              ROUND(ROUND(OFFSET($P209,0,AM$13),15-13*ORÇAMENTO!$AF$7)*OFFSET(ORÇAMENTO!$W$15,ROW(AM209)-ROW(AM$15),0),15-13*ORÇAMENTO!$AF$11)),
         0)</f>
        <v>0</v>
      </c>
      <c r="AN209" s="453">
        <f ca="1">IF(AND($D209="Serviço",AN$12&lt;&gt;0,$H209&gt;0,OR(AUTOEVENTO&lt;&gt;"manual",$M209&lt;&gt;$A$15)),
        IF(Import.TipoArredondamento&lt;&gt;"TransfereGOV",
              ROUND(OFFSET($P209,0,AN$13),15-13*ORÇAMENTO!$AF$7)/$H209*OFFSET(ORÇAMENTO!$X$15,ROW(AN209)-ROW(AN$15),0),
              ROUND(ROUND(OFFSET($P209,0,AN$13),15-13*ORÇAMENTO!$AF$7)*OFFSET(ORÇAMENTO!$W$15,ROW(AN209)-ROW(AN$15),0),15-13*ORÇAMENTO!$AF$11)),
         0)</f>
        <v>0</v>
      </c>
      <c r="AO209" s="453">
        <f ca="1">IF(AND($D209="Serviço",AO$12&lt;&gt;0,$H209&gt;0,OR(AUTOEVENTO&lt;&gt;"manual",$M209&lt;&gt;$A$15)),
        IF(Import.TipoArredondamento&lt;&gt;"TransfereGOV",
              ROUND(OFFSET($P209,0,AO$13),15-13*ORÇAMENTO!$AF$7)/$H209*OFFSET(ORÇAMENTO!$X$15,ROW(AO209)-ROW(AO$15),0),
              ROUND(ROUND(OFFSET($P209,0,AO$13),15-13*ORÇAMENTO!$AF$7)*OFFSET(ORÇAMENTO!$W$15,ROW(AO209)-ROW(AO$15),0),15-13*ORÇAMENTO!$AF$11)),
         0)</f>
        <v>0</v>
      </c>
      <c r="AP209" s="453">
        <f ca="1">IF(AND($D209="Serviço",AP$12&lt;&gt;0,$H209&gt;0,OR(AUTOEVENTO&lt;&gt;"manual",$M209&lt;&gt;$A$15)),
        IF(Import.TipoArredondamento&lt;&gt;"TransfereGOV",
              ROUND(OFFSET($P209,0,AP$13),15-13*ORÇAMENTO!$AF$7)/$H209*OFFSET(ORÇAMENTO!$X$15,ROW(AP209)-ROW(AP$15),0),
              ROUND(ROUND(OFFSET($P209,0,AP$13),15-13*ORÇAMENTO!$AF$7)*OFFSET(ORÇAMENTO!$W$15,ROW(AP209)-ROW(AP$15),0),15-13*ORÇAMENTO!$AF$11)),
         0)</f>
        <v>0</v>
      </c>
      <c r="AQ209" s="453">
        <f ca="1">IF(AND($D209="Serviço",AQ$12&lt;&gt;0,$H209&gt;0,OR(AUTOEVENTO&lt;&gt;"manual",$M209&lt;&gt;$A$15)),
        IF(Import.TipoArredondamento&lt;&gt;"TransfereGOV",
              ROUND(OFFSET($P209,0,AQ$13),15-13*ORÇAMENTO!$AF$7)/$H209*OFFSET(ORÇAMENTO!$X$15,ROW(AQ209)-ROW(AQ$15),0),
              ROUND(ROUND(OFFSET($P209,0,AQ$13),15-13*ORÇAMENTO!$AF$7)*OFFSET(ORÇAMENTO!$W$15,ROW(AQ209)-ROW(AQ$15),0),15-13*ORÇAMENTO!$AF$11)),
         0)</f>
        <v>0</v>
      </c>
      <c r="AR209" s="453">
        <f ca="1">IF(AND($D209="Serviço",AR$12&lt;&gt;0,$H209&gt;0,OR(AUTOEVENTO&lt;&gt;"manual",$M209&lt;&gt;$A$15)),
        IF(Import.TipoArredondamento&lt;&gt;"TransfereGOV",
              ROUND(OFFSET($P209,0,AR$13),15-13*ORÇAMENTO!$AF$7)/$H209*OFFSET(ORÇAMENTO!$X$15,ROW(AR209)-ROW(AR$15),0),
              ROUND(ROUND(OFFSET($P209,0,AR$13),15-13*ORÇAMENTO!$AF$7)*OFFSET(ORÇAMENTO!$W$15,ROW(AR209)-ROW(AR$15),0),15-13*ORÇAMENTO!$AF$11)),
         0)</f>
        <v>0</v>
      </c>
      <c r="AS209" s="453">
        <f ca="1">IF(AND($D209="Serviço",AS$12&lt;&gt;0,$H209&gt;0,OR(AUTOEVENTO&lt;&gt;"manual",$M209&lt;&gt;$A$15)),
        IF(Import.TipoArredondamento&lt;&gt;"TransfereGOV",
              ROUND(OFFSET($P209,0,AS$13),15-13*ORÇAMENTO!$AF$7)/$H209*OFFSET(ORÇAMENTO!$X$15,ROW(AS209)-ROW(AS$15),0),
              ROUND(ROUND(OFFSET($P209,0,AS$13),15-13*ORÇAMENTO!$AF$7)*OFFSET(ORÇAMENTO!$W$15,ROW(AS209)-ROW(AS$15),0),15-13*ORÇAMENTO!$AF$11)),
         0)</f>
        <v>0</v>
      </c>
      <c r="AT209" s="453">
        <f ca="1">IF(AND($D209="Serviço",AT$12&lt;&gt;0,$H209&gt;0,OR(AUTOEVENTO&lt;&gt;"manual",$M209&lt;&gt;$A$15)),
        IF(Import.TipoArredondamento&lt;&gt;"TransfereGOV",
              ROUND(OFFSET($P209,0,AT$13),15-13*ORÇAMENTO!$AF$7)/$H209*OFFSET(ORÇAMENTO!$X$15,ROW(AT209)-ROW(AT$15),0),
              ROUND(ROUND(OFFSET($P209,0,AT$13),15-13*ORÇAMENTO!$AF$7)*OFFSET(ORÇAMENTO!$W$15,ROW(AT209)-ROW(AT$15),0),15-13*ORÇAMENTO!$AF$11)),
         0)</f>
        <v>0</v>
      </c>
      <c r="AU209" s="453">
        <f ca="1">IF(AND($D209="Serviço",AU$12&lt;&gt;0,$H209&gt;0,OR(AUTOEVENTO&lt;&gt;"manual",$M209&lt;&gt;$A$15)),
        IF(Import.TipoArredondamento&lt;&gt;"TransfereGOV",
              ROUND(OFFSET($P209,0,AU$13),15-13*ORÇAMENTO!$AF$7)/$H209*OFFSET(ORÇAMENTO!$X$15,ROW(AU209)-ROW(AU$15),0),
              ROUND(ROUND(OFFSET($P209,0,AU$13),15-13*ORÇAMENTO!$AF$7)*OFFSET(ORÇAMENTO!$W$15,ROW(AU209)-ROW(AU$15),0),15-13*ORÇAMENTO!$AF$11)),
         0)</f>
        <v>0</v>
      </c>
      <c r="AV209" s="453">
        <f ca="1">IF(AND($D209="Serviço",AV$12&lt;&gt;0,$H209&gt;0,OR(AUTOEVENTO&lt;&gt;"manual",$M209&lt;&gt;$A$15)),
        IF(Import.TipoArredondamento&lt;&gt;"TransfereGOV",
              ROUND(OFFSET($P209,0,AV$13),15-13*ORÇAMENTO!$AF$7)/$H209*OFFSET(ORÇAMENTO!$X$15,ROW(AV209)-ROW(AV$15),0),
              ROUND(ROUND(OFFSET($P209,0,AV$13),15-13*ORÇAMENTO!$AF$7)*OFFSET(ORÇAMENTO!$W$15,ROW(AV209)-ROW(AV$15),0),15-13*ORÇAMENTO!$AF$11)),
         0)</f>
        <v>0</v>
      </c>
      <c r="AW209" s="453">
        <f ca="1">IF(AND($D209="Serviço",AW$12&lt;&gt;0,$H209&gt;0,OR(AUTOEVENTO&lt;&gt;"manual",$M209&lt;&gt;$A$15)),
        IF(Import.TipoArredondamento&lt;&gt;"TransfereGOV",
              ROUND(OFFSET($P209,0,AW$13),15-13*ORÇAMENTO!$AF$7)/$H209*OFFSET(ORÇAMENTO!$X$15,ROW(AW209)-ROW(AW$15),0),
              ROUND(ROUND(OFFSET($P209,0,AW$13),15-13*ORÇAMENTO!$AF$7)*OFFSET(ORÇAMENTO!$W$15,ROW(AW209)-ROW(AW$15),0),15-13*ORÇAMENTO!$AF$11)),
         0)</f>
        <v>0</v>
      </c>
      <c r="AX209" s="453">
        <f ca="1">IF(AND($D209="Serviço",AX$12&lt;&gt;0,$H209&gt;0,OR(AUTOEVENTO&lt;&gt;"manual",$M209&lt;&gt;$A$15)),
        IF(Import.TipoArredondamento&lt;&gt;"TransfereGOV",
              ROUND(OFFSET($P209,0,AX$13),15-13*ORÇAMENTO!$AF$7)/$H209*OFFSET(ORÇAMENTO!$X$15,ROW(AX209)-ROW(AX$15),0),
              ROUND(ROUND(OFFSET($P209,0,AX$13),15-13*ORÇAMENTO!$AF$7)*OFFSET(ORÇAMENTO!$W$15,ROW(AX209)-ROW(AX$15),0),15-13*ORÇAMENTO!$AF$11)),
         0)</f>
        <v>0</v>
      </c>
      <c r="AY209" s="453">
        <f ca="1">IF(AND($D209="Serviço",AY$12&lt;&gt;0,$H209&gt;0,OR(AUTOEVENTO&lt;&gt;"manual",$M209&lt;&gt;$A$15)),
        IF(Import.TipoArredondamento&lt;&gt;"TransfereGOV",
              ROUND(OFFSET($P209,0,AY$13),15-13*ORÇAMENTO!$AF$7)/$H209*OFFSET(ORÇAMENTO!$X$15,ROW(AY209)-ROW(AY$15),0),
              ROUND(ROUND(OFFSET($P209,0,AY$13),15-13*ORÇAMENTO!$AF$7)*OFFSET(ORÇAMENTO!$W$15,ROW(AY209)-ROW(AY$15),0),15-13*ORÇAMENTO!$AF$11)),
         0)</f>
        <v>0</v>
      </c>
      <c r="AZ209" s="453">
        <f ca="1">IF(AND($D209="Serviço",AZ$12&lt;&gt;0,$H209&gt;0,OR(AUTOEVENTO&lt;&gt;"manual",$M209&lt;&gt;$A$15)),
        IF(Import.TipoArredondamento&lt;&gt;"TransfereGOV",
              ROUND(OFFSET($P209,0,AZ$13),15-13*ORÇAMENTO!$AF$7)/$H209*OFFSET(ORÇAMENTO!$X$15,ROW(AZ209)-ROW(AZ$15),0),
              ROUND(ROUND(OFFSET($P209,0,AZ$13),15-13*ORÇAMENTO!$AF$7)*OFFSET(ORÇAMENTO!$W$15,ROW(AZ209)-ROW(AZ$15),0),15-13*ORÇAMENTO!$AF$11)),
         0)</f>
        <v>0</v>
      </c>
      <c r="BA209" s="453">
        <f ca="1">IF(AND($D209="Serviço",BA$12&lt;&gt;0,$H209&gt;0,OR(AUTOEVENTO&lt;&gt;"manual",$M209&lt;&gt;$A$15)),
        IF(Import.TipoArredondamento&lt;&gt;"TransfereGOV",
              ROUND(OFFSET($P209,0,BA$13),15-13*ORÇAMENTO!$AF$7)/$H209*OFFSET(ORÇAMENTO!$X$15,ROW(BA209)-ROW(BA$15),0),
              ROUND(ROUND(OFFSET($P209,0,BA$13),15-13*ORÇAMENTO!$AF$7)*OFFSET(ORÇAMENTO!$W$15,ROW(BA209)-ROW(BA$15),0),15-13*ORÇAMENTO!$AF$11)),
         0)</f>
        <v>0</v>
      </c>
      <c r="BC209" s="171">
        <f ca="1">IF(OR($D209&lt;&gt;"Serviço",AND(AUTOEVENTO="Manual",$M209=$A$15)),0,
         IF(OFFSET(CRONOPLE!$F$15,$M209-$A$15,BC$13)=0,10^12,OFFSET(CRONOPLE!$F$15,$M209-$A$15,BC$13)))</f>
        <v>1</v>
      </c>
      <c r="BD209" s="171">
        <f ca="1">IF(OR($D209&lt;&gt;"Serviço",AND(AUTOEVENTO="Manual",$M209=$A$15)),0,
         IF(OFFSET(CRONOPLE!$F$15,$M209-$A$15,BD$13)=0,10^12,OFFSET(CRONOPLE!$F$15,$M209-$A$15,BD$13)))</f>
        <v>2</v>
      </c>
      <c r="BE209" s="171">
        <f ca="1">IF(OR($D209&lt;&gt;"Serviço",AND(AUTOEVENTO="Manual",$M209=$A$15)),0,
         IF(OFFSET(CRONOPLE!$F$15,$M209-$A$15,BE$13)=0,10^12,OFFSET(CRONOPLE!$F$15,$M209-$A$15,BE$13)))</f>
        <v>3</v>
      </c>
      <c r="BF209" s="171">
        <f ca="1">IF(OR($D209&lt;&gt;"Serviço",AND(AUTOEVENTO="Manual",$M209=$A$15)),0,
         IF(OFFSET(CRONOPLE!$F$15,$M209-$A$15,BF$13)=0,10^12,OFFSET(CRONOPLE!$F$15,$M209-$A$15,BF$13)))</f>
        <v>4</v>
      </c>
      <c r="BG209" s="171">
        <f ca="1">IF(OR($D209&lt;&gt;"Serviço",AND(AUTOEVENTO="Manual",$M209=$A$15)),0,
         IF(OFFSET(CRONOPLE!$F$15,$M209-$A$15,BG$13)=0,10^12,OFFSET(CRONOPLE!$F$15,$M209-$A$15,BG$13)))</f>
        <v>5</v>
      </c>
      <c r="BH209" s="171">
        <f ca="1">IF(OR($D209&lt;&gt;"Serviço",AND(AUTOEVENTO="Manual",$M209=$A$15)),0,
         IF(OFFSET(CRONOPLE!$F$15,$M209-$A$15,BH$13)=0,10^12,OFFSET(CRONOPLE!$F$15,$M209-$A$15,BH$13)))</f>
        <v>6</v>
      </c>
      <c r="BI209" s="171">
        <f ca="1">IF(OR($D209&lt;&gt;"Serviço",AND(AUTOEVENTO="Manual",$M209=$A$15)),0,
         IF(OFFSET(CRONOPLE!$F$15,$M209-$A$15,BI$13)=0,10^12,OFFSET(CRONOPLE!$F$15,$M209-$A$15,BI$13)))</f>
        <v>7</v>
      </c>
      <c r="BJ209" s="171">
        <f ca="1">IF(OR($D209&lt;&gt;"Serviço",AND(AUTOEVENTO="Manual",$M209=$A$15)),0,
         IF(OFFSET(CRONOPLE!$F$15,$M209-$A$15,BJ$13)=0,10^12,OFFSET(CRONOPLE!$F$15,$M209-$A$15,BJ$13)))</f>
        <v>8</v>
      </c>
      <c r="BK209" s="171">
        <f ca="1">IF(OR($D209&lt;&gt;"Serviço",AND(AUTOEVENTO="Manual",$M209=$A$15)),0,
         IF(OFFSET(CRONOPLE!$F$15,$M209-$A$15,BK$13)=0,10^12,OFFSET(CRONOPLE!$F$15,$M209-$A$15,BK$13)))</f>
        <v>9</v>
      </c>
      <c r="BL209" s="171">
        <f ca="1">IF(OR($D209&lt;&gt;"Serviço",AND(AUTOEVENTO="Manual",$M209=$A$15)),0,
         IF(OFFSET(CRONOPLE!$F$15,$M209-$A$15,BL$13)=0,10^12,OFFSET(CRONOPLE!$F$15,$M209-$A$15,BL$13)))</f>
        <v>10</v>
      </c>
      <c r="BM209" s="171">
        <f ca="1">IF(OR($D209&lt;&gt;"Serviço",AND(AUTOEVENTO="Manual",$M209=$A$15)),0,
         IF(OFFSET(CRONOPLE!$F$15,$M209-$A$15,BM$13)=0,10^12,OFFSET(CRONOPLE!$F$15,$M209-$A$15,BM$13)))</f>
        <v>1000000000000</v>
      </c>
      <c r="BN209" s="171">
        <f ca="1">IF(OR($D209&lt;&gt;"Serviço",AND(AUTOEVENTO="Manual",$M209=$A$15)),0,
         IF(OFFSET(CRONOPLE!$F$15,$M209-$A$15,BN$13)=0,10^12,OFFSET(CRONOPLE!$F$15,$M209-$A$15,BN$13)))</f>
        <v>1000000000000</v>
      </c>
      <c r="BO209" s="171">
        <f ca="1">IF(OR($D209&lt;&gt;"Serviço",AND(AUTOEVENTO="Manual",$M209=$A$15)),0,
         IF(OFFSET(CRONOPLE!$F$15,$M209-$A$15,BO$13)=0,10^12,OFFSET(CRONOPLE!$F$15,$M209-$A$15,BO$13)))</f>
        <v>1000000000000</v>
      </c>
      <c r="BP209" s="171">
        <f ca="1">IF(OR($D209&lt;&gt;"Serviço",AND(AUTOEVENTO="Manual",$M209=$A$15)),0,
         IF(OFFSET(CRONOPLE!$F$15,$M209-$A$15,BP$13)=0,10^12,OFFSET(CRONOPLE!$F$15,$M209-$A$15,BP$13)))</f>
        <v>1000000000000</v>
      </c>
      <c r="BQ209" s="171">
        <f ca="1">IF(OR($D209&lt;&gt;"Serviço",AND(AUTOEVENTO="Manual",$M209=$A$15)),0,
         IF(OFFSET(CRONOPLE!$F$15,$M209-$A$15,BQ$13)=0,10^12,OFFSET(CRONOPLE!$F$15,$M209-$A$15,BQ$13)))</f>
        <v>1000000000000</v>
      </c>
      <c r="BR209" s="171">
        <f ca="1">IF(OR($D209&lt;&gt;"Serviço",AND(AUTOEVENTO="Manual",$M209=$A$15)),0,
         IF(OFFSET(CRONOPLE!$F$15,$M209-$A$15,BR$13)=0,10^12,OFFSET(CRONOPLE!$F$15,$M209-$A$15,BR$13)))</f>
        <v>1000000000000</v>
      </c>
      <c r="BS209" s="171">
        <f ca="1">IF(OR($D209&lt;&gt;"Serviço",AND(AUTOEVENTO="Manual",$M209=$A$15)),0,
         IF(OFFSET(CRONOPLE!$F$15,$M209-$A$15,BS$13)=0,10^12,OFFSET(CRONOPLE!$F$15,$M209-$A$15,BS$13)))</f>
        <v>1000000000000</v>
      </c>
      <c r="BT209" s="171">
        <f ca="1">IF(OR($D209&lt;&gt;"Serviço",AND(AUTOEVENTO="Manual",$M209=$A$15)),0,
         IF(OFFSET(CRONOPLE!$F$15,$M209-$A$15,BT$13)=0,10^12,OFFSET(CRONOPLE!$F$15,$M209-$A$15,BT$13)))</f>
        <v>1000000000000</v>
      </c>
      <c r="BV209" s="172">
        <f ca="1">IF(OR($D209&lt;&gt;"Serviço",AND(AUTOEVENTO="Manual",$M209=$A$15),$M209&gt;(ROW(PLE.lastrow)-ROW(PLE.firstrow))),0,
           IF(OFFSET(PLE!$G$15,$M209-$A$15,BV$13)="",10^12,OFFSET(PLE!$G$15,$M209-$A$15,BV$13)))</f>
        <v>1000000000000</v>
      </c>
      <c r="BW209" s="172">
        <f ca="1">IF(OR($D209&lt;&gt;"Serviço",AND(AUTOEVENTO="Manual",$M209=$A$15),$M209&gt;(ROW(PLE.lastrow)-ROW(PLE.firstrow))),0,
           IF(OFFSET(PLE!$G$15,$M209-$A$15,BW$13)="",10^12,OFFSET(PLE!$G$15,$M209-$A$15,BW$13)))</f>
        <v>1000000000000</v>
      </c>
      <c r="BX209" s="172">
        <f ca="1">IF(OR($D209&lt;&gt;"Serviço",AND(AUTOEVENTO="Manual",$M209=$A$15),$M209&gt;(ROW(PLE.lastrow)-ROW(PLE.firstrow))),0,
           IF(OFFSET(PLE!$G$15,$M209-$A$15,BX$13)="",10^12,OFFSET(PLE!$G$15,$M209-$A$15,BX$13)))</f>
        <v>1000000000000</v>
      </c>
      <c r="BY209" s="172">
        <f ca="1">IF(OR($D209&lt;&gt;"Serviço",AND(AUTOEVENTO="Manual",$M209=$A$15),$M209&gt;(ROW(PLE.lastrow)-ROW(PLE.firstrow))),0,
           IF(OFFSET(PLE!$G$15,$M209-$A$15,BY$13)="",10^12,OFFSET(PLE!$G$15,$M209-$A$15,BY$13)))</f>
        <v>1000000000000</v>
      </c>
      <c r="BZ209" s="172">
        <f ca="1">IF(OR($D209&lt;&gt;"Serviço",AND(AUTOEVENTO="Manual",$M209=$A$15),$M209&gt;(ROW(PLE.lastrow)-ROW(PLE.firstrow))),0,
           IF(OFFSET(PLE!$G$15,$M209-$A$15,BZ$13)="",10^12,OFFSET(PLE!$G$15,$M209-$A$15,BZ$13)))</f>
        <v>1000000000000</v>
      </c>
      <c r="CA209" s="172">
        <f ca="1">IF(OR($D209&lt;&gt;"Serviço",AND(AUTOEVENTO="Manual",$M209=$A$15),$M209&gt;(ROW(PLE.lastrow)-ROW(PLE.firstrow))),0,
           IF(OFFSET(PLE!$G$15,$M209-$A$15,CA$13)="",10^12,OFFSET(PLE!$G$15,$M209-$A$15,CA$13)))</f>
        <v>1000000000000</v>
      </c>
      <c r="CB209" s="172">
        <f ca="1">IF(OR($D209&lt;&gt;"Serviço",AND(AUTOEVENTO="Manual",$M209=$A$15),$M209&gt;(ROW(PLE.lastrow)-ROW(PLE.firstrow))),0,
           IF(OFFSET(PLE!$G$15,$M209-$A$15,CB$13)="",10^12,OFFSET(PLE!$G$15,$M209-$A$15,CB$13)))</f>
        <v>1000000000000</v>
      </c>
      <c r="CC209" s="172">
        <f ca="1">IF(OR($D209&lt;&gt;"Serviço",AND(AUTOEVENTO="Manual",$M209=$A$15),$M209&gt;(ROW(PLE.lastrow)-ROW(PLE.firstrow))),0,
           IF(OFFSET(PLE!$G$15,$M209-$A$15,CC$13)="",10^12,OFFSET(PLE!$G$15,$M209-$A$15,CC$13)))</f>
        <v>1000000000000</v>
      </c>
      <c r="CD209" s="172">
        <f ca="1">IF(OR($D209&lt;&gt;"Serviço",AND(AUTOEVENTO="Manual",$M209=$A$15),$M209&gt;(ROW(PLE.lastrow)-ROW(PLE.firstrow))),0,
           IF(OFFSET(PLE!$G$15,$M209-$A$15,CD$13)="",10^12,OFFSET(PLE!$G$15,$M209-$A$15,CD$13)))</f>
        <v>1000000000000</v>
      </c>
      <c r="CE209" s="172">
        <f ca="1">IF(OR($D209&lt;&gt;"Serviço",AND(AUTOEVENTO="Manual",$M209=$A$15),$M209&gt;(ROW(PLE.lastrow)-ROW(PLE.firstrow))),0,
           IF(OFFSET(PLE!$G$15,$M209-$A$15,CE$13)="",10^12,OFFSET(PLE!$G$15,$M209-$A$15,CE$13)))</f>
        <v>1000000000000</v>
      </c>
      <c r="CF209" s="172">
        <f ca="1">IF(OR($D209&lt;&gt;"Serviço",AND(AUTOEVENTO="Manual",$M209=$A$15),$M209&gt;(ROW(PLE.lastrow)-ROW(PLE.firstrow))),0,
           IF(OFFSET(PLE!$G$15,$M209-$A$15,CF$13)="",10^12,OFFSET(PLE!$G$15,$M209-$A$15,CF$13)))</f>
        <v>1000000000000</v>
      </c>
      <c r="CG209" s="172">
        <f ca="1">IF(OR($D209&lt;&gt;"Serviço",AND(AUTOEVENTO="Manual",$M209=$A$15),$M209&gt;(ROW(PLE.lastrow)-ROW(PLE.firstrow))),0,
           IF(OFFSET(PLE!$G$15,$M209-$A$15,CG$13)="",10^12,OFFSET(PLE!$G$15,$M209-$A$15,CG$13)))</f>
        <v>1000000000000</v>
      </c>
      <c r="CH209" s="172">
        <f ca="1">IF(OR($D209&lt;&gt;"Serviço",AND(AUTOEVENTO="Manual",$M209=$A$15),$M209&gt;(ROW(PLE.lastrow)-ROW(PLE.firstrow))),0,
           IF(OFFSET(PLE!$G$15,$M209-$A$15,CH$13)="",10^12,OFFSET(PLE!$G$15,$M209-$A$15,CH$13)))</f>
        <v>1000000000000</v>
      </c>
      <c r="CI209" s="172">
        <f ca="1">IF(OR($D209&lt;&gt;"Serviço",AND(AUTOEVENTO="Manual",$M209=$A$15),$M209&gt;(ROW(PLE.lastrow)-ROW(PLE.firstrow))),0,
           IF(OFFSET(PLE!$G$15,$M209-$A$15,CI$13)="",10^12,OFFSET(PLE!$G$15,$M209-$A$15,CI$13)))</f>
        <v>1000000000000</v>
      </c>
      <c r="CJ209" s="172">
        <f ca="1">IF(OR($D209&lt;&gt;"Serviço",AND(AUTOEVENTO="Manual",$M209=$A$15),$M209&gt;(ROW(PLE.lastrow)-ROW(PLE.firstrow))),0,
           IF(OFFSET(PLE!$G$15,$M209-$A$15,CJ$13)="",10^12,OFFSET(PLE!$G$15,$M209-$A$15,CJ$13)))</f>
        <v>1000000000000</v>
      </c>
      <c r="CK209" s="172">
        <f ca="1">IF(OR($D209&lt;&gt;"Serviço",AND(AUTOEVENTO="Manual",$M209=$A$15),$M209&gt;(ROW(PLE.lastrow)-ROW(PLE.firstrow))),0,
           IF(OFFSET(PLE!$G$15,$M209-$A$15,CK$13)="",10^12,OFFSET(PLE!$G$15,$M209-$A$15,CK$13)))</f>
        <v>1000000000000</v>
      </c>
      <c r="CL209" s="172">
        <f ca="1">IF(OR($D209&lt;&gt;"Serviço",AND(AUTOEVENTO="Manual",$M209=$A$15),$M209&gt;(ROW(PLE.lastrow)-ROW(PLE.firstrow))),0,
           IF(OFFSET(PLE!$G$15,$M209-$A$15,CL$13)="",10^12,OFFSET(PLE!$G$15,$M209-$A$15,CL$13)))</f>
        <v>1000000000000</v>
      </c>
      <c r="CM209" s="172">
        <f ca="1">IF(OR($D209&lt;&gt;"Serviço",AND(AUTOEVENTO="Manual",$M209=$A$15),$M209&gt;(ROW(PLE.lastrow)-ROW(PLE.firstrow))),0,
           IF(OFFSET(PLE!$G$15,$M209-$A$15,CM$13)="",10^12,OFFSET(PLE!$G$15,$M209-$A$15,CM$13)))</f>
        <v>1000000000000</v>
      </c>
    </row>
    <row r="210" spans="1:91" ht="51" x14ac:dyDescent="0.2">
      <c r="A210" s="7">
        <f t="shared" ca="1" si="12"/>
        <v>4</v>
      </c>
      <c r="B210" s="7" t="str">
        <f ca="1">OFFSET(ORÇAMENTO!C$15,ROW(B210)-ROW(B$15),0)</f>
        <v>S</v>
      </c>
      <c r="C210" s="7" t="str">
        <f ca="1">OFFSET(ORÇAMENTO!L$15,ROW(C210)-ROW(C$15),0)</f>
        <v>F</v>
      </c>
      <c r="D210" s="116" t="str">
        <f ca="1">OFFSET(ORÇAMENTO!N$15,ROW(D210)-ROW(D$15),0)</f>
        <v>Serviço</v>
      </c>
      <c r="E210" s="117" t="str">
        <f ca="1">OFFSET(ORÇAMENTO!O$15,ROW(E210)-ROW(E$15),0)</f>
        <v>1.5.6.1.2.</v>
      </c>
      <c r="F210" s="163" t="str">
        <f ca="1">OFFSET(ORÇAMENTO!R$15,ROW(F210)-ROW(F$15),0)</f>
        <v>LANÇAMENTO COM USO DE BOMBA, ADENSAMENTO E ACABAMENTO DE CONCRETO EM ESTRUTURAS. AF_02/2022</v>
      </c>
      <c r="G210" s="164" t="str">
        <f ca="1">IF($D210&lt;&gt;"Serviço","",OFFSET(ORÇAMENTO!S$15,ROW(G210)-ROW(G$15),0))</f>
        <v>M3</v>
      </c>
      <c r="H210" s="122" cm="1">
        <f t="array" aca="1" ref="H210" ca="1">IF($D210&lt;&gt;"Serviço",0,IF(ACOMPANHAMENTO="BM",ROUND(OFFSET(ORÇAMENTO!AJ$15,ROW(H210)-ROW(H$15),0),15-13*ORÇAMENTO!$AF$7),SUMPRODUCT(($Q$1:$AI$1=1)*ROUND($Q210:$AI210,15-13*ORÇAMENTO!$AF$7))))</f>
        <v>4.7300000000000004</v>
      </c>
      <c r="I210" s="468" t="s">
        <v>1342</v>
      </c>
      <c r="J210" s="640" t="str" cm="1">
        <f t="array" aca="1" ref="J210" ca="1">IF(OR(B210&lt;&gt;"S",CÁLCULO.FrentesPreenchidas=0),"",IF(AND(ACOMPANHAMENTO="PLE",AUTOEVENTO="Manual",OR(H210&gt;0,ORÇAMENTO!AC210="QUANT."),OR(K210="",M210=0,N210="")),"►E",IF(AND(ACOMPANHAMENTO="PLE",ORÇAMENTO!AC210="QUANT."),"►Q",IF(AND(ACOMPANHAMENTO="PLE",H210&lt;&gt;SUMPRODUCT(($Q$1:$AI$1=1)*ROUND(Q210:AI210,15))),"►S",IF(AND(COUNTIF($P$11:$AI$11,"▼")=0,H210&gt;0,I210=""),"◄M","")))))</f>
        <v/>
      </c>
      <c r="K210" s="641" t="s">
        <v>1389</v>
      </c>
      <c r="L210" s="165" t="s">
        <v>764</v>
      </c>
      <c r="M210" s="166">
        <f ca="1">IF($D210&lt;&gt;"Serviço","",
          IF(AUTOEVENTO="manual",$A210,
                IF(ISERROR(MATCH($A210,$A$15:OFFSET($A210,-1,0),0)),MAX($M$15:OFFSET(M210,-1,0))+1,
                      INDEX($M$15:OFFSET(M210,-1,0),MATCH($A210,$A$15:OFFSET($A210,-1,0),0)))))</f>
        <v>4</v>
      </c>
      <c r="N210" s="167" t="str">
        <f ca="1">IF($D210&lt;&gt;"Serviço","",
         IF(AUTOEVENTO="Manual",
                IF($A210=0,"&lt;-- defina o número do agrupador",
                       OFFSET(EVENTOS!$D$15,$A210-$A$15,0)),
                OFFSET($F$15,$A210,0)))</f>
        <v>Estruturas de Concreto</v>
      </c>
      <c r="O210" s="168"/>
      <c r="Q210" s="168"/>
      <c r="R210" s="169"/>
      <c r="S210" s="169"/>
      <c r="T210" s="169"/>
      <c r="U210" s="169"/>
      <c r="V210" s="169"/>
      <c r="W210" s="169"/>
      <c r="X210" s="169"/>
      <c r="Y210" s="169"/>
      <c r="Z210" s="170">
        <f>Z209</f>
        <v>4.7300000000000004</v>
      </c>
      <c r="AA210" s="169">
        <f>AA209</f>
        <v>2.2400000000000002</v>
      </c>
      <c r="AB210" s="169"/>
      <c r="AC210" s="169"/>
      <c r="AD210" s="169"/>
      <c r="AE210" s="169"/>
      <c r="AF210" s="169"/>
      <c r="AG210" s="169"/>
      <c r="AH210" s="170"/>
      <c r="AJ210" s="453">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0</v>
      </c>
      <c r="AK210" s="453">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0</v>
      </c>
      <c r="AL210" s="453">
        <f ca="1">IF(AND($D210="Serviço",AL$12&lt;&gt;0,$H210&gt;0,OR(AUTOEVENTO&lt;&gt;"manual",$M210&lt;&gt;$A$15)),
        IF(Import.TipoArredondamento&lt;&gt;"TransfereGOV",
              ROUND(OFFSET($P210,0,AL$13),15-13*ORÇAMENTO!$AF$7)/$H210*OFFSET(ORÇAMENTO!$X$15,ROW(AL210)-ROW(AL$15),0),
              ROUND(ROUND(OFFSET($P210,0,AL$13),15-13*ORÇAMENTO!$AF$7)*OFFSET(ORÇAMENTO!$W$15,ROW(AL210)-ROW(AL$15),0),15-13*ORÇAMENTO!$AF$11)),
         0)</f>
        <v>0</v>
      </c>
      <c r="AM210" s="453">
        <f ca="1">IF(AND($D210="Serviço",AM$12&lt;&gt;0,$H210&gt;0,OR(AUTOEVENTO&lt;&gt;"manual",$M210&lt;&gt;$A$15)),
        IF(Import.TipoArredondamento&lt;&gt;"TransfereGOV",
              ROUND(OFFSET($P210,0,AM$13),15-13*ORÇAMENTO!$AF$7)/$H210*OFFSET(ORÇAMENTO!$X$15,ROW(AM210)-ROW(AM$15),0),
              ROUND(ROUND(OFFSET($P210,0,AM$13),15-13*ORÇAMENTO!$AF$7)*OFFSET(ORÇAMENTO!$W$15,ROW(AM210)-ROW(AM$15),0),15-13*ORÇAMENTO!$AF$11)),
         0)</f>
        <v>0</v>
      </c>
      <c r="AN210" s="453">
        <f ca="1">IF(AND($D210="Serviço",AN$12&lt;&gt;0,$H210&gt;0,OR(AUTOEVENTO&lt;&gt;"manual",$M210&lt;&gt;$A$15)),
        IF(Import.TipoArredondamento&lt;&gt;"TransfereGOV",
              ROUND(OFFSET($P210,0,AN$13),15-13*ORÇAMENTO!$AF$7)/$H210*OFFSET(ORÇAMENTO!$X$15,ROW(AN210)-ROW(AN$15),0),
              ROUND(ROUND(OFFSET($P210,0,AN$13),15-13*ORÇAMENTO!$AF$7)*OFFSET(ORÇAMENTO!$W$15,ROW(AN210)-ROW(AN$15),0),15-13*ORÇAMENTO!$AF$11)),
         0)</f>
        <v>0</v>
      </c>
      <c r="AO210" s="453">
        <f ca="1">IF(AND($D210="Serviço",AO$12&lt;&gt;0,$H210&gt;0,OR(AUTOEVENTO&lt;&gt;"manual",$M210&lt;&gt;$A$15)),
        IF(Import.TipoArredondamento&lt;&gt;"TransfereGOV",
              ROUND(OFFSET($P210,0,AO$13),15-13*ORÇAMENTO!$AF$7)/$H210*OFFSET(ORÇAMENTO!$X$15,ROW(AO210)-ROW(AO$15),0),
              ROUND(ROUND(OFFSET($P210,0,AO$13),15-13*ORÇAMENTO!$AF$7)*OFFSET(ORÇAMENTO!$W$15,ROW(AO210)-ROW(AO$15),0),15-13*ORÇAMENTO!$AF$11)),
         0)</f>
        <v>0</v>
      </c>
      <c r="AP210" s="453">
        <f ca="1">IF(AND($D210="Serviço",AP$12&lt;&gt;0,$H210&gt;0,OR(AUTOEVENTO&lt;&gt;"manual",$M210&lt;&gt;$A$15)),
        IF(Import.TipoArredondamento&lt;&gt;"TransfereGOV",
              ROUND(OFFSET($P210,0,AP$13),15-13*ORÇAMENTO!$AF$7)/$H210*OFFSET(ORÇAMENTO!$X$15,ROW(AP210)-ROW(AP$15),0),
              ROUND(ROUND(OFFSET($P210,0,AP$13),15-13*ORÇAMENTO!$AF$7)*OFFSET(ORÇAMENTO!$W$15,ROW(AP210)-ROW(AP$15),0),15-13*ORÇAMENTO!$AF$11)),
         0)</f>
        <v>0</v>
      </c>
      <c r="AQ210" s="453">
        <f ca="1">IF(AND($D210="Serviço",AQ$12&lt;&gt;0,$H210&gt;0,OR(AUTOEVENTO&lt;&gt;"manual",$M210&lt;&gt;$A$15)),
        IF(Import.TipoArredondamento&lt;&gt;"TransfereGOV",
              ROUND(OFFSET($P210,0,AQ$13),15-13*ORÇAMENTO!$AF$7)/$H210*OFFSET(ORÇAMENTO!$X$15,ROW(AQ210)-ROW(AQ$15),0),
              ROUND(ROUND(OFFSET($P210,0,AQ$13),15-13*ORÇAMENTO!$AF$7)*OFFSET(ORÇAMENTO!$W$15,ROW(AQ210)-ROW(AQ$15),0),15-13*ORÇAMENTO!$AF$11)),
         0)</f>
        <v>0</v>
      </c>
      <c r="AR210" s="453">
        <f ca="1">IF(AND($D210="Serviço",AR$12&lt;&gt;0,$H210&gt;0,OR(AUTOEVENTO&lt;&gt;"manual",$M210&lt;&gt;$A$15)),
        IF(Import.TipoArredondamento&lt;&gt;"TransfereGOV",
              ROUND(OFFSET($P210,0,AR$13),15-13*ORÇAMENTO!$AF$7)/$H210*OFFSET(ORÇAMENTO!$X$15,ROW(AR210)-ROW(AR$15),0),
              ROUND(ROUND(OFFSET($P210,0,AR$13),15-13*ORÇAMENTO!$AF$7)*OFFSET(ORÇAMENTO!$W$15,ROW(AR210)-ROW(AR$15),0),15-13*ORÇAMENTO!$AF$11)),
         0)</f>
        <v>0</v>
      </c>
      <c r="AS210" s="453">
        <f ca="1">IF(AND($D210="Serviço",AS$12&lt;&gt;0,$H210&gt;0,OR(AUTOEVENTO&lt;&gt;"manual",$M210&lt;&gt;$A$15)),
        IF(Import.TipoArredondamento&lt;&gt;"TransfereGOV",
              ROUND(OFFSET($P210,0,AS$13),15-13*ORÇAMENTO!$AF$7)/$H210*OFFSET(ORÇAMENTO!$X$15,ROW(AS210)-ROW(AS$15),0),
              ROUND(ROUND(OFFSET($P210,0,AS$13),15-13*ORÇAMENTO!$AF$7)*OFFSET(ORÇAMENTO!$W$15,ROW(AS210)-ROW(AS$15),0),15-13*ORÇAMENTO!$AF$11)),
         0)</f>
        <v>0</v>
      </c>
      <c r="AT210" s="453">
        <f ca="1">IF(AND($D210="Serviço",AT$12&lt;&gt;0,$H210&gt;0,OR(AUTOEVENTO&lt;&gt;"manual",$M210&lt;&gt;$A$15)),
        IF(Import.TipoArredondamento&lt;&gt;"TransfereGOV",
              ROUND(OFFSET($P210,0,AT$13),15-13*ORÇAMENTO!$AF$7)/$H210*OFFSET(ORÇAMENTO!$X$15,ROW(AT210)-ROW(AT$15),0),
              ROUND(ROUND(OFFSET($P210,0,AT$13),15-13*ORÇAMENTO!$AF$7)*OFFSET(ORÇAMENTO!$W$15,ROW(AT210)-ROW(AT$15),0),15-13*ORÇAMENTO!$AF$11)),
         0)</f>
        <v>0</v>
      </c>
      <c r="AU210" s="453">
        <f ca="1">IF(AND($D210="Serviço",AU$12&lt;&gt;0,$H210&gt;0,OR(AUTOEVENTO&lt;&gt;"manual",$M210&lt;&gt;$A$15)),
        IF(Import.TipoArredondamento&lt;&gt;"TransfereGOV",
              ROUND(OFFSET($P210,0,AU$13),15-13*ORÇAMENTO!$AF$7)/$H210*OFFSET(ORÇAMENTO!$X$15,ROW(AU210)-ROW(AU$15),0),
              ROUND(ROUND(OFFSET($P210,0,AU$13),15-13*ORÇAMENTO!$AF$7)*OFFSET(ORÇAMENTO!$W$15,ROW(AU210)-ROW(AU$15),0),15-13*ORÇAMENTO!$AF$11)),
         0)</f>
        <v>0</v>
      </c>
      <c r="AV210" s="453">
        <f ca="1">IF(AND($D210="Serviço",AV$12&lt;&gt;0,$H210&gt;0,OR(AUTOEVENTO&lt;&gt;"manual",$M210&lt;&gt;$A$15)),
        IF(Import.TipoArredondamento&lt;&gt;"TransfereGOV",
              ROUND(OFFSET($P210,0,AV$13),15-13*ORÇAMENTO!$AF$7)/$H210*OFFSET(ORÇAMENTO!$X$15,ROW(AV210)-ROW(AV$15),0),
              ROUND(ROUND(OFFSET($P210,0,AV$13),15-13*ORÇAMENTO!$AF$7)*OFFSET(ORÇAMENTO!$W$15,ROW(AV210)-ROW(AV$15),0),15-13*ORÇAMENTO!$AF$11)),
         0)</f>
        <v>0</v>
      </c>
      <c r="AW210" s="453">
        <f ca="1">IF(AND($D210="Serviço",AW$12&lt;&gt;0,$H210&gt;0,OR(AUTOEVENTO&lt;&gt;"manual",$M210&lt;&gt;$A$15)),
        IF(Import.TipoArredondamento&lt;&gt;"TransfereGOV",
              ROUND(OFFSET($P210,0,AW$13),15-13*ORÇAMENTO!$AF$7)/$H210*OFFSET(ORÇAMENTO!$X$15,ROW(AW210)-ROW(AW$15),0),
              ROUND(ROUND(OFFSET($P210,0,AW$13),15-13*ORÇAMENTO!$AF$7)*OFFSET(ORÇAMENTO!$W$15,ROW(AW210)-ROW(AW$15),0),15-13*ORÇAMENTO!$AF$11)),
         0)</f>
        <v>0</v>
      </c>
      <c r="AX210" s="453">
        <f ca="1">IF(AND($D210="Serviço",AX$12&lt;&gt;0,$H210&gt;0,OR(AUTOEVENTO&lt;&gt;"manual",$M210&lt;&gt;$A$15)),
        IF(Import.TipoArredondamento&lt;&gt;"TransfereGOV",
              ROUND(OFFSET($P210,0,AX$13),15-13*ORÇAMENTO!$AF$7)/$H210*OFFSET(ORÇAMENTO!$X$15,ROW(AX210)-ROW(AX$15),0),
              ROUND(ROUND(OFFSET($P210,0,AX$13),15-13*ORÇAMENTO!$AF$7)*OFFSET(ORÇAMENTO!$W$15,ROW(AX210)-ROW(AX$15),0),15-13*ORÇAMENTO!$AF$11)),
         0)</f>
        <v>0</v>
      </c>
      <c r="AY210" s="453">
        <f ca="1">IF(AND($D210="Serviço",AY$12&lt;&gt;0,$H210&gt;0,OR(AUTOEVENTO&lt;&gt;"manual",$M210&lt;&gt;$A$15)),
        IF(Import.TipoArredondamento&lt;&gt;"TransfereGOV",
              ROUND(OFFSET($P210,0,AY$13),15-13*ORÇAMENTO!$AF$7)/$H210*OFFSET(ORÇAMENTO!$X$15,ROW(AY210)-ROW(AY$15),0),
              ROUND(ROUND(OFFSET($P210,0,AY$13),15-13*ORÇAMENTO!$AF$7)*OFFSET(ORÇAMENTO!$W$15,ROW(AY210)-ROW(AY$15),0),15-13*ORÇAMENTO!$AF$11)),
         0)</f>
        <v>0</v>
      </c>
      <c r="AZ210" s="453">
        <f ca="1">IF(AND($D210="Serviço",AZ$12&lt;&gt;0,$H210&gt;0,OR(AUTOEVENTO&lt;&gt;"manual",$M210&lt;&gt;$A$15)),
        IF(Import.TipoArredondamento&lt;&gt;"TransfereGOV",
              ROUND(OFFSET($P210,0,AZ$13),15-13*ORÇAMENTO!$AF$7)/$H210*OFFSET(ORÇAMENTO!$X$15,ROW(AZ210)-ROW(AZ$15),0),
              ROUND(ROUND(OFFSET($P210,0,AZ$13),15-13*ORÇAMENTO!$AF$7)*OFFSET(ORÇAMENTO!$W$15,ROW(AZ210)-ROW(AZ$15),0),15-13*ORÇAMENTO!$AF$11)),
         0)</f>
        <v>0</v>
      </c>
      <c r="BA210" s="453">
        <f ca="1">IF(AND($D210="Serviço",BA$12&lt;&gt;0,$H210&gt;0,OR(AUTOEVENTO&lt;&gt;"manual",$M210&lt;&gt;$A$15)),
        IF(Import.TipoArredondamento&lt;&gt;"TransfereGOV",
              ROUND(OFFSET($P210,0,BA$13),15-13*ORÇAMENTO!$AF$7)/$H210*OFFSET(ORÇAMENTO!$X$15,ROW(BA210)-ROW(BA$15),0),
              ROUND(ROUND(OFFSET($P210,0,BA$13),15-13*ORÇAMENTO!$AF$7)*OFFSET(ORÇAMENTO!$W$15,ROW(BA210)-ROW(BA$15),0),15-13*ORÇAMENTO!$AF$11)),
         0)</f>
        <v>0</v>
      </c>
      <c r="BC210" s="171">
        <f ca="1">IF(OR($D210&lt;&gt;"Serviço",AND(AUTOEVENTO="Manual",$M210=$A$15)),0,
         IF(OFFSET(CRONOPLE!$F$15,$M210-$A$15,BC$13)=0,10^12,OFFSET(CRONOPLE!$F$15,$M210-$A$15,BC$13)))</f>
        <v>1</v>
      </c>
      <c r="BD210" s="171">
        <f ca="1">IF(OR($D210&lt;&gt;"Serviço",AND(AUTOEVENTO="Manual",$M210=$A$15)),0,
         IF(OFFSET(CRONOPLE!$F$15,$M210-$A$15,BD$13)=0,10^12,OFFSET(CRONOPLE!$F$15,$M210-$A$15,BD$13)))</f>
        <v>2</v>
      </c>
      <c r="BE210" s="171">
        <f ca="1">IF(OR($D210&lt;&gt;"Serviço",AND(AUTOEVENTO="Manual",$M210=$A$15)),0,
         IF(OFFSET(CRONOPLE!$F$15,$M210-$A$15,BE$13)=0,10^12,OFFSET(CRONOPLE!$F$15,$M210-$A$15,BE$13)))</f>
        <v>3</v>
      </c>
      <c r="BF210" s="171">
        <f ca="1">IF(OR($D210&lt;&gt;"Serviço",AND(AUTOEVENTO="Manual",$M210=$A$15)),0,
         IF(OFFSET(CRONOPLE!$F$15,$M210-$A$15,BF$13)=0,10^12,OFFSET(CRONOPLE!$F$15,$M210-$A$15,BF$13)))</f>
        <v>4</v>
      </c>
      <c r="BG210" s="171">
        <f ca="1">IF(OR($D210&lt;&gt;"Serviço",AND(AUTOEVENTO="Manual",$M210=$A$15)),0,
         IF(OFFSET(CRONOPLE!$F$15,$M210-$A$15,BG$13)=0,10^12,OFFSET(CRONOPLE!$F$15,$M210-$A$15,BG$13)))</f>
        <v>5</v>
      </c>
      <c r="BH210" s="171">
        <f ca="1">IF(OR($D210&lt;&gt;"Serviço",AND(AUTOEVENTO="Manual",$M210=$A$15)),0,
         IF(OFFSET(CRONOPLE!$F$15,$M210-$A$15,BH$13)=0,10^12,OFFSET(CRONOPLE!$F$15,$M210-$A$15,BH$13)))</f>
        <v>6</v>
      </c>
      <c r="BI210" s="171">
        <f ca="1">IF(OR($D210&lt;&gt;"Serviço",AND(AUTOEVENTO="Manual",$M210=$A$15)),0,
         IF(OFFSET(CRONOPLE!$F$15,$M210-$A$15,BI$13)=0,10^12,OFFSET(CRONOPLE!$F$15,$M210-$A$15,BI$13)))</f>
        <v>7</v>
      </c>
      <c r="BJ210" s="171">
        <f ca="1">IF(OR($D210&lt;&gt;"Serviço",AND(AUTOEVENTO="Manual",$M210=$A$15)),0,
         IF(OFFSET(CRONOPLE!$F$15,$M210-$A$15,BJ$13)=0,10^12,OFFSET(CRONOPLE!$F$15,$M210-$A$15,BJ$13)))</f>
        <v>8</v>
      </c>
      <c r="BK210" s="171">
        <f ca="1">IF(OR($D210&lt;&gt;"Serviço",AND(AUTOEVENTO="Manual",$M210=$A$15)),0,
         IF(OFFSET(CRONOPLE!$F$15,$M210-$A$15,BK$13)=0,10^12,OFFSET(CRONOPLE!$F$15,$M210-$A$15,BK$13)))</f>
        <v>9</v>
      </c>
      <c r="BL210" s="171">
        <f ca="1">IF(OR($D210&lt;&gt;"Serviço",AND(AUTOEVENTO="Manual",$M210=$A$15)),0,
         IF(OFFSET(CRONOPLE!$F$15,$M210-$A$15,BL$13)=0,10^12,OFFSET(CRONOPLE!$F$15,$M210-$A$15,BL$13)))</f>
        <v>10</v>
      </c>
      <c r="BM210" s="171">
        <f ca="1">IF(OR($D210&lt;&gt;"Serviço",AND(AUTOEVENTO="Manual",$M210=$A$15)),0,
         IF(OFFSET(CRONOPLE!$F$15,$M210-$A$15,BM$13)=0,10^12,OFFSET(CRONOPLE!$F$15,$M210-$A$15,BM$13)))</f>
        <v>1000000000000</v>
      </c>
      <c r="BN210" s="171">
        <f ca="1">IF(OR($D210&lt;&gt;"Serviço",AND(AUTOEVENTO="Manual",$M210=$A$15)),0,
         IF(OFFSET(CRONOPLE!$F$15,$M210-$A$15,BN$13)=0,10^12,OFFSET(CRONOPLE!$F$15,$M210-$A$15,BN$13)))</f>
        <v>1000000000000</v>
      </c>
      <c r="BO210" s="171">
        <f ca="1">IF(OR($D210&lt;&gt;"Serviço",AND(AUTOEVENTO="Manual",$M210=$A$15)),0,
         IF(OFFSET(CRONOPLE!$F$15,$M210-$A$15,BO$13)=0,10^12,OFFSET(CRONOPLE!$F$15,$M210-$A$15,BO$13)))</f>
        <v>1000000000000</v>
      </c>
      <c r="BP210" s="171">
        <f ca="1">IF(OR($D210&lt;&gt;"Serviço",AND(AUTOEVENTO="Manual",$M210=$A$15)),0,
         IF(OFFSET(CRONOPLE!$F$15,$M210-$A$15,BP$13)=0,10^12,OFFSET(CRONOPLE!$F$15,$M210-$A$15,BP$13)))</f>
        <v>1000000000000</v>
      </c>
      <c r="BQ210" s="171">
        <f ca="1">IF(OR($D210&lt;&gt;"Serviço",AND(AUTOEVENTO="Manual",$M210=$A$15)),0,
         IF(OFFSET(CRONOPLE!$F$15,$M210-$A$15,BQ$13)=0,10^12,OFFSET(CRONOPLE!$F$15,$M210-$A$15,BQ$13)))</f>
        <v>1000000000000</v>
      </c>
      <c r="BR210" s="171">
        <f ca="1">IF(OR($D210&lt;&gt;"Serviço",AND(AUTOEVENTO="Manual",$M210=$A$15)),0,
         IF(OFFSET(CRONOPLE!$F$15,$M210-$A$15,BR$13)=0,10^12,OFFSET(CRONOPLE!$F$15,$M210-$A$15,BR$13)))</f>
        <v>1000000000000</v>
      </c>
      <c r="BS210" s="171">
        <f ca="1">IF(OR($D210&lt;&gt;"Serviço",AND(AUTOEVENTO="Manual",$M210=$A$15)),0,
         IF(OFFSET(CRONOPLE!$F$15,$M210-$A$15,BS$13)=0,10^12,OFFSET(CRONOPLE!$F$15,$M210-$A$15,BS$13)))</f>
        <v>1000000000000</v>
      </c>
      <c r="BT210" s="171">
        <f ca="1">IF(OR($D210&lt;&gt;"Serviço",AND(AUTOEVENTO="Manual",$M210=$A$15)),0,
         IF(OFFSET(CRONOPLE!$F$15,$M210-$A$15,BT$13)=0,10^12,OFFSET(CRONOPLE!$F$15,$M210-$A$15,BT$13)))</f>
        <v>1000000000000</v>
      </c>
      <c r="BV210" s="172">
        <f ca="1">IF(OR($D210&lt;&gt;"Serviço",AND(AUTOEVENTO="Manual",$M210=$A$15),$M210&gt;(ROW(PLE.lastrow)-ROW(PLE.firstrow))),0,
           IF(OFFSET(PLE!$G$15,$M210-$A$15,BV$13)="",10^12,OFFSET(PLE!$G$15,$M210-$A$15,BV$13)))</f>
        <v>1000000000000</v>
      </c>
      <c r="BW210" s="172">
        <f ca="1">IF(OR($D210&lt;&gt;"Serviço",AND(AUTOEVENTO="Manual",$M210=$A$15),$M210&gt;(ROW(PLE.lastrow)-ROW(PLE.firstrow))),0,
           IF(OFFSET(PLE!$G$15,$M210-$A$15,BW$13)="",10^12,OFFSET(PLE!$G$15,$M210-$A$15,BW$13)))</f>
        <v>1000000000000</v>
      </c>
      <c r="BX210" s="172">
        <f ca="1">IF(OR($D210&lt;&gt;"Serviço",AND(AUTOEVENTO="Manual",$M210=$A$15),$M210&gt;(ROW(PLE.lastrow)-ROW(PLE.firstrow))),0,
           IF(OFFSET(PLE!$G$15,$M210-$A$15,BX$13)="",10^12,OFFSET(PLE!$G$15,$M210-$A$15,BX$13)))</f>
        <v>1000000000000</v>
      </c>
      <c r="BY210" s="172">
        <f ca="1">IF(OR($D210&lt;&gt;"Serviço",AND(AUTOEVENTO="Manual",$M210=$A$15),$M210&gt;(ROW(PLE.lastrow)-ROW(PLE.firstrow))),0,
           IF(OFFSET(PLE!$G$15,$M210-$A$15,BY$13)="",10^12,OFFSET(PLE!$G$15,$M210-$A$15,BY$13)))</f>
        <v>1000000000000</v>
      </c>
      <c r="BZ210" s="172">
        <f ca="1">IF(OR($D210&lt;&gt;"Serviço",AND(AUTOEVENTO="Manual",$M210=$A$15),$M210&gt;(ROW(PLE.lastrow)-ROW(PLE.firstrow))),0,
           IF(OFFSET(PLE!$G$15,$M210-$A$15,BZ$13)="",10^12,OFFSET(PLE!$G$15,$M210-$A$15,BZ$13)))</f>
        <v>1000000000000</v>
      </c>
      <c r="CA210" s="172">
        <f ca="1">IF(OR($D210&lt;&gt;"Serviço",AND(AUTOEVENTO="Manual",$M210=$A$15),$M210&gt;(ROW(PLE.lastrow)-ROW(PLE.firstrow))),0,
           IF(OFFSET(PLE!$G$15,$M210-$A$15,CA$13)="",10^12,OFFSET(PLE!$G$15,$M210-$A$15,CA$13)))</f>
        <v>1000000000000</v>
      </c>
      <c r="CB210" s="172">
        <f ca="1">IF(OR($D210&lt;&gt;"Serviço",AND(AUTOEVENTO="Manual",$M210=$A$15),$M210&gt;(ROW(PLE.lastrow)-ROW(PLE.firstrow))),0,
           IF(OFFSET(PLE!$G$15,$M210-$A$15,CB$13)="",10^12,OFFSET(PLE!$G$15,$M210-$A$15,CB$13)))</f>
        <v>1000000000000</v>
      </c>
      <c r="CC210" s="172">
        <f ca="1">IF(OR($D210&lt;&gt;"Serviço",AND(AUTOEVENTO="Manual",$M210=$A$15),$M210&gt;(ROW(PLE.lastrow)-ROW(PLE.firstrow))),0,
           IF(OFFSET(PLE!$G$15,$M210-$A$15,CC$13)="",10^12,OFFSET(PLE!$G$15,$M210-$A$15,CC$13)))</f>
        <v>1000000000000</v>
      </c>
      <c r="CD210" s="172">
        <f ca="1">IF(OR($D210&lt;&gt;"Serviço",AND(AUTOEVENTO="Manual",$M210=$A$15),$M210&gt;(ROW(PLE.lastrow)-ROW(PLE.firstrow))),0,
           IF(OFFSET(PLE!$G$15,$M210-$A$15,CD$13)="",10^12,OFFSET(PLE!$G$15,$M210-$A$15,CD$13)))</f>
        <v>1000000000000</v>
      </c>
      <c r="CE210" s="172">
        <f ca="1">IF(OR($D210&lt;&gt;"Serviço",AND(AUTOEVENTO="Manual",$M210=$A$15),$M210&gt;(ROW(PLE.lastrow)-ROW(PLE.firstrow))),0,
           IF(OFFSET(PLE!$G$15,$M210-$A$15,CE$13)="",10^12,OFFSET(PLE!$G$15,$M210-$A$15,CE$13)))</f>
        <v>1000000000000</v>
      </c>
      <c r="CF210" s="172">
        <f ca="1">IF(OR($D210&lt;&gt;"Serviço",AND(AUTOEVENTO="Manual",$M210=$A$15),$M210&gt;(ROW(PLE.lastrow)-ROW(PLE.firstrow))),0,
           IF(OFFSET(PLE!$G$15,$M210-$A$15,CF$13)="",10^12,OFFSET(PLE!$G$15,$M210-$A$15,CF$13)))</f>
        <v>1000000000000</v>
      </c>
      <c r="CG210" s="172">
        <f ca="1">IF(OR($D210&lt;&gt;"Serviço",AND(AUTOEVENTO="Manual",$M210=$A$15),$M210&gt;(ROW(PLE.lastrow)-ROW(PLE.firstrow))),0,
           IF(OFFSET(PLE!$G$15,$M210-$A$15,CG$13)="",10^12,OFFSET(PLE!$G$15,$M210-$A$15,CG$13)))</f>
        <v>1000000000000</v>
      </c>
      <c r="CH210" s="172">
        <f ca="1">IF(OR($D210&lt;&gt;"Serviço",AND(AUTOEVENTO="Manual",$M210=$A$15),$M210&gt;(ROW(PLE.lastrow)-ROW(PLE.firstrow))),0,
           IF(OFFSET(PLE!$G$15,$M210-$A$15,CH$13)="",10^12,OFFSET(PLE!$G$15,$M210-$A$15,CH$13)))</f>
        <v>1000000000000</v>
      </c>
      <c r="CI210" s="172">
        <f ca="1">IF(OR($D210&lt;&gt;"Serviço",AND(AUTOEVENTO="Manual",$M210=$A$15),$M210&gt;(ROW(PLE.lastrow)-ROW(PLE.firstrow))),0,
           IF(OFFSET(PLE!$G$15,$M210-$A$15,CI$13)="",10^12,OFFSET(PLE!$G$15,$M210-$A$15,CI$13)))</f>
        <v>1000000000000</v>
      </c>
      <c r="CJ210" s="172">
        <f ca="1">IF(OR($D210&lt;&gt;"Serviço",AND(AUTOEVENTO="Manual",$M210=$A$15),$M210&gt;(ROW(PLE.lastrow)-ROW(PLE.firstrow))),0,
           IF(OFFSET(PLE!$G$15,$M210-$A$15,CJ$13)="",10^12,OFFSET(PLE!$G$15,$M210-$A$15,CJ$13)))</f>
        <v>1000000000000</v>
      </c>
      <c r="CK210" s="172">
        <f ca="1">IF(OR($D210&lt;&gt;"Serviço",AND(AUTOEVENTO="Manual",$M210=$A$15),$M210&gt;(ROW(PLE.lastrow)-ROW(PLE.firstrow))),0,
           IF(OFFSET(PLE!$G$15,$M210-$A$15,CK$13)="",10^12,OFFSET(PLE!$G$15,$M210-$A$15,CK$13)))</f>
        <v>1000000000000</v>
      </c>
      <c r="CL210" s="172">
        <f ca="1">IF(OR($D210&lt;&gt;"Serviço",AND(AUTOEVENTO="Manual",$M210=$A$15),$M210&gt;(ROW(PLE.lastrow)-ROW(PLE.firstrow))),0,
           IF(OFFSET(PLE!$G$15,$M210-$A$15,CL$13)="",10^12,OFFSET(PLE!$G$15,$M210-$A$15,CL$13)))</f>
        <v>1000000000000</v>
      </c>
      <c r="CM210" s="172">
        <f ca="1">IF(OR($D210&lt;&gt;"Serviço",AND(AUTOEVENTO="Manual",$M210=$A$15),$M210&gt;(ROW(PLE.lastrow)-ROW(PLE.firstrow))),0,
           IF(OFFSET(PLE!$G$15,$M210-$A$15,CM$13)="",10^12,OFFSET(PLE!$G$15,$M210-$A$15,CM$13)))</f>
        <v>1000000000000</v>
      </c>
    </row>
    <row r="211" spans="1:91" ht="51" x14ac:dyDescent="0.2">
      <c r="A211" s="7">
        <f t="shared" ca="1" si="12"/>
        <v>4</v>
      </c>
      <c r="B211" s="7" t="str">
        <f ca="1">OFFSET(ORÇAMENTO!C$15,ROW(B211)-ROW(B$15),0)</f>
        <v>S</v>
      </c>
      <c r="C211" s="7" t="str">
        <f ca="1">OFFSET(ORÇAMENTO!L$15,ROW(C211)-ROW(C$15),0)</f>
        <v>F</v>
      </c>
      <c r="D211" s="116" t="str">
        <f ca="1">OFFSET(ORÇAMENTO!N$15,ROW(D211)-ROW(D$15),0)</f>
        <v>Serviço</v>
      </c>
      <c r="E211" s="117" t="str">
        <f ca="1">OFFSET(ORÇAMENTO!O$15,ROW(E211)-ROW(E$15),0)</f>
        <v>1.5.6.1.3.</v>
      </c>
      <c r="F211" s="163" t="str">
        <f ca="1">OFFSET(ORÇAMENTO!R$15,ROW(F211)-ROW(F$15),0)</f>
        <v>ARMAÇÃO PARA EXECUÇÃO DE RADIER, PISO DE CONCRETO OU LAJE SOBRE SOLO, COM USO DE TELA Q-92. AF_09/2021</v>
      </c>
      <c r="G211" s="164" t="str">
        <f ca="1">IF($D211&lt;&gt;"Serviço","",OFFSET(ORÇAMENTO!S$15,ROW(G211)-ROW(G$15),0))</f>
        <v>KG</v>
      </c>
      <c r="H211" s="122" cm="1">
        <f t="array" aca="1" ref="H211" ca="1">IF($D211&lt;&gt;"Serviço",0,IF(ACOMPANHAMENTO="BM",ROUND(OFFSET(ORÇAMENTO!AJ$15,ROW(H211)-ROW(H$15),0),15-13*ORÇAMENTO!$AF$7),SUMPRODUCT(($Q$1:$AI$1=1)*ROUND($Q211:$AI211,15-13*ORÇAMENTO!$AF$7))))</f>
        <v>94.69</v>
      </c>
      <c r="I211" s="468" t="s">
        <v>1342</v>
      </c>
      <c r="J211" s="640" t="str" cm="1">
        <f t="array" aca="1" ref="J211" ca="1">IF(OR(B211&lt;&gt;"S",CÁLCULO.FrentesPreenchidas=0),"",IF(AND(ACOMPANHAMENTO="PLE",AUTOEVENTO="Manual",OR(H211&gt;0,ORÇAMENTO!AC211="QUANT."),OR(K211="",M211=0,N211="")),"►E",IF(AND(ACOMPANHAMENTO="PLE",ORÇAMENTO!AC211="QUANT."),"►Q",IF(AND(ACOMPANHAMENTO="PLE",H211&lt;&gt;SUMPRODUCT(($Q$1:$AI$1=1)*ROUND(Q211:AI211,15))),"►S",IF(AND(COUNTIF($P$11:$AI$11,"▼")=0,H211&gt;0,I211=""),"◄M","")))))</f>
        <v/>
      </c>
      <c r="K211" s="641" t="s">
        <v>1389</v>
      </c>
      <c r="L211" s="165" t="s">
        <v>764</v>
      </c>
      <c r="M211" s="166">
        <f ca="1">IF($D211&lt;&gt;"Serviço","",
          IF(AUTOEVENTO="manual",$A211,
                IF(ISERROR(MATCH($A211,$A$15:OFFSET($A211,-1,0),0)),MAX($M$15:OFFSET(M211,-1,0))+1,
                      INDEX($M$15:OFFSET(M211,-1,0),MATCH($A211,$A$15:OFFSET($A211,-1,0),0)))))</f>
        <v>4</v>
      </c>
      <c r="N211" s="167" t="str">
        <f ca="1">IF($D211&lt;&gt;"Serviço","",
         IF(AUTOEVENTO="Manual",
                IF($A211=0,"&lt;-- defina o número do agrupador",
                       OFFSET(EVENTOS!$D$15,$A211-$A$15,0)),
                OFFSET($F$15,$A211,0)))</f>
        <v>Estruturas de Concreto</v>
      </c>
      <c r="O211" s="168"/>
      <c r="Q211" s="168"/>
      <c r="R211" s="169"/>
      <c r="S211" s="169"/>
      <c r="T211" s="169"/>
      <c r="U211" s="169"/>
      <c r="V211" s="169"/>
      <c r="W211" s="169"/>
      <c r="X211" s="169"/>
      <c r="Y211" s="169"/>
      <c r="Z211" s="170">
        <v>94.69</v>
      </c>
      <c r="AA211" s="169">
        <v>41.74</v>
      </c>
      <c r="AB211" s="169"/>
      <c r="AC211" s="169"/>
      <c r="AD211" s="169"/>
      <c r="AE211" s="169"/>
      <c r="AF211" s="169"/>
      <c r="AG211" s="169"/>
      <c r="AH211" s="170"/>
      <c r="AJ211" s="453">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0</v>
      </c>
      <c r="AK211" s="453">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0</v>
      </c>
      <c r="AL211" s="453">
        <f ca="1">IF(AND($D211="Serviço",AL$12&lt;&gt;0,$H211&gt;0,OR(AUTOEVENTO&lt;&gt;"manual",$M211&lt;&gt;$A$15)),
        IF(Import.TipoArredondamento&lt;&gt;"TransfereGOV",
              ROUND(OFFSET($P211,0,AL$13),15-13*ORÇAMENTO!$AF$7)/$H211*OFFSET(ORÇAMENTO!$X$15,ROW(AL211)-ROW(AL$15),0),
              ROUND(ROUND(OFFSET($P211,0,AL$13),15-13*ORÇAMENTO!$AF$7)*OFFSET(ORÇAMENTO!$W$15,ROW(AL211)-ROW(AL$15),0),15-13*ORÇAMENTO!$AF$11)),
         0)</f>
        <v>0</v>
      </c>
      <c r="AM211" s="453">
        <f ca="1">IF(AND($D211="Serviço",AM$12&lt;&gt;0,$H211&gt;0,OR(AUTOEVENTO&lt;&gt;"manual",$M211&lt;&gt;$A$15)),
        IF(Import.TipoArredondamento&lt;&gt;"TransfereGOV",
              ROUND(OFFSET($P211,0,AM$13),15-13*ORÇAMENTO!$AF$7)/$H211*OFFSET(ORÇAMENTO!$X$15,ROW(AM211)-ROW(AM$15),0),
              ROUND(ROUND(OFFSET($P211,0,AM$13),15-13*ORÇAMENTO!$AF$7)*OFFSET(ORÇAMENTO!$W$15,ROW(AM211)-ROW(AM$15),0),15-13*ORÇAMENTO!$AF$11)),
         0)</f>
        <v>0</v>
      </c>
      <c r="AN211" s="453">
        <f ca="1">IF(AND($D211="Serviço",AN$12&lt;&gt;0,$H211&gt;0,OR(AUTOEVENTO&lt;&gt;"manual",$M211&lt;&gt;$A$15)),
        IF(Import.TipoArredondamento&lt;&gt;"TransfereGOV",
              ROUND(OFFSET($P211,0,AN$13),15-13*ORÇAMENTO!$AF$7)/$H211*OFFSET(ORÇAMENTO!$X$15,ROW(AN211)-ROW(AN$15),0),
              ROUND(ROUND(OFFSET($P211,0,AN$13),15-13*ORÇAMENTO!$AF$7)*OFFSET(ORÇAMENTO!$W$15,ROW(AN211)-ROW(AN$15),0),15-13*ORÇAMENTO!$AF$11)),
         0)</f>
        <v>0</v>
      </c>
      <c r="AO211" s="453">
        <f ca="1">IF(AND($D211="Serviço",AO$12&lt;&gt;0,$H211&gt;0,OR(AUTOEVENTO&lt;&gt;"manual",$M211&lt;&gt;$A$15)),
        IF(Import.TipoArredondamento&lt;&gt;"TransfereGOV",
              ROUND(OFFSET($P211,0,AO$13),15-13*ORÇAMENTO!$AF$7)/$H211*OFFSET(ORÇAMENTO!$X$15,ROW(AO211)-ROW(AO$15),0),
              ROUND(ROUND(OFFSET($P211,0,AO$13),15-13*ORÇAMENTO!$AF$7)*OFFSET(ORÇAMENTO!$W$15,ROW(AO211)-ROW(AO$15),0),15-13*ORÇAMENTO!$AF$11)),
         0)</f>
        <v>0</v>
      </c>
      <c r="AP211" s="453">
        <f ca="1">IF(AND($D211="Serviço",AP$12&lt;&gt;0,$H211&gt;0,OR(AUTOEVENTO&lt;&gt;"manual",$M211&lt;&gt;$A$15)),
        IF(Import.TipoArredondamento&lt;&gt;"TransfereGOV",
              ROUND(OFFSET($P211,0,AP$13),15-13*ORÇAMENTO!$AF$7)/$H211*OFFSET(ORÇAMENTO!$X$15,ROW(AP211)-ROW(AP$15),0),
              ROUND(ROUND(OFFSET($P211,0,AP$13),15-13*ORÇAMENTO!$AF$7)*OFFSET(ORÇAMENTO!$W$15,ROW(AP211)-ROW(AP$15),0),15-13*ORÇAMENTO!$AF$11)),
         0)</f>
        <v>0</v>
      </c>
      <c r="AQ211" s="453">
        <f ca="1">IF(AND($D211="Serviço",AQ$12&lt;&gt;0,$H211&gt;0,OR(AUTOEVENTO&lt;&gt;"manual",$M211&lt;&gt;$A$15)),
        IF(Import.TipoArredondamento&lt;&gt;"TransfereGOV",
              ROUND(OFFSET($P211,0,AQ$13),15-13*ORÇAMENTO!$AF$7)/$H211*OFFSET(ORÇAMENTO!$X$15,ROW(AQ211)-ROW(AQ$15),0),
              ROUND(ROUND(OFFSET($P211,0,AQ$13),15-13*ORÇAMENTO!$AF$7)*OFFSET(ORÇAMENTO!$W$15,ROW(AQ211)-ROW(AQ$15),0),15-13*ORÇAMENTO!$AF$11)),
         0)</f>
        <v>0</v>
      </c>
      <c r="AR211" s="453">
        <f ca="1">IF(AND($D211="Serviço",AR$12&lt;&gt;0,$H211&gt;0,OR(AUTOEVENTO&lt;&gt;"manual",$M211&lt;&gt;$A$15)),
        IF(Import.TipoArredondamento&lt;&gt;"TransfereGOV",
              ROUND(OFFSET($P211,0,AR$13),15-13*ORÇAMENTO!$AF$7)/$H211*OFFSET(ORÇAMENTO!$X$15,ROW(AR211)-ROW(AR$15),0),
              ROUND(ROUND(OFFSET($P211,0,AR$13),15-13*ORÇAMENTO!$AF$7)*OFFSET(ORÇAMENTO!$W$15,ROW(AR211)-ROW(AR$15),0),15-13*ORÇAMENTO!$AF$11)),
         0)</f>
        <v>0</v>
      </c>
      <c r="AS211" s="453">
        <f ca="1">IF(AND($D211="Serviço",AS$12&lt;&gt;0,$H211&gt;0,OR(AUTOEVENTO&lt;&gt;"manual",$M211&lt;&gt;$A$15)),
        IF(Import.TipoArredondamento&lt;&gt;"TransfereGOV",
              ROUND(OFFSET($P211,0,AS$13),15-13*ORÇAMENTO!$AF$7)/$H211*OFFSET(ORÇAMENTO!$X$15,ROW(AS211)-ROW(AS$15),0),
              ROUND(ROUND(OFFSET($P211,0,AS$13),15-13*ORÇAMENTO!$AF$7)*OFFSET(ORÇAMENTO!$W$15,ROW(AS211)-ROW(AS$15),0),15-13*ORÇAMENTO!$AF$11)),
         0)</f>
        <v>0</v>
      </c>
      <c r="AT211" s="453">
        <f ca="1">IF(AND($D211="Serviço",AT$12&lt;&gt;0,$H211&gt;0,OR(AUTOEVENTO&lt;&gt;"manual",$M211&lt;&gt;$A$15)),
        IF(Import.TipoArredondamento&lt;&gt;"TransfereGOV",
              ROUND(OFFSET($P211,0,AT$13),15-13*ORÇAMENTO!$AF$7)/$H211*OFFSET(ORÇAMENTO!$X$15,ROW(AT211)-ROW(AT$15),0),
              ROUND(ROUND(OFFSET($P211,0,AT$13),15-13*ORÇAMENTO!$AF$7)*OFFSET(ORÇAMENTO!$W$15,ROW(AT211)-ROW(AT$15),0),15-13*ORÇAMENTO!$AF$11)),
         0)</f>
        <v>0</v>
      </c>
      <c r="AU211" s="453">
        <f ca="1">IF(AND($D211="Serviço",AU$12&lt;&gt;0,$H211&gt;0,OR(AUTOEVENTO&lt;&gt;"manual",$M211&lt;&gt;$A$15)),
        IF(Import.TipoArredondamento&lt;&gt;"TransfereGOV",
              ROUND(OFFSET($P211,0,AU$13),15-13*ORÇAMENTO!$AF$7)/$H211*OFFSET(ORÇAMENTO!$X$15,ROW(AU211)-ROW(AU$15),0),
              ROUND(ROUND(OFFSET($P211,0,AU$13),15-13*ORÇAMENTO!$AF$7)*OFFSET(ORÇAMENTO!$W$15,ROW(AU211)-ROW(AU$15),0),15-13*ORÇAMENTO!$AF$11)),
         0)</f>
        <v>0</v>
      </c>
      <c r="AV211" s="453">
        <f ca="1">IF(AND($D211="Serviço",AV$12&lt;&gt;0,$H211&gt;0,OR(AUTOEVENTO&lt;&gt;"manual",$M211&lt;&gt;$A$15)),
        IF(Import.TipoArredondamento&lt;&gt;"TransfereGOV",
              ROUND(OFFSET($P211,0,AV$13),15-13*ORÇAMENTO!$AF$7)/$H211*OFFSET(ORÇAMENTO!$X$15,ROW(AV211)-ROW(AV$15),0),
              ROUND(ROUND(OFFSET($P211,0,AV$13),15-13*ORÇAMENTO!$AF$7)*OFFSET(ORÇAMENTO!$W$15,ROW(AV211)-ROW(AV$15),0),15-13*ORÇAMENTO!$AF$11)),
         0)</f>
        <v>0</v>
      </c>
      <c r="AW211" s="453">
        <f ca="1">IF(AND($D211="Serviço",AW$12&lt;&gt;0,$H211&gt;0,OR(AUTOEVENTO&lt;&gt;"manual",$M211&lt;&gt;$A$15)),
        IF(Import.TipoArredondamento&lt;&gt;"TransfereGOV",
              ROUND(OFFSET($P211,0,AW$13),15-13*ORÇAMENTO!$AF$7)/$H211*OFFSET(ORÇAMENTO!$X$15,ROW(AW211)-ROW(AW$15),0),
              ROUND(ROUND(OFFSET($P211,0,AW$13),15-13*ORÇAMENTO!$AF$7)*OFFSET(ORÇAMENTO!$W$15,ROW(AW211)-ROW(AW$15),0),15-13*ORÇAMENTO!$AF$11)),
         0)</f>
        <v>0</v>
      </c>
      <c r="AX211" s="453">
        <f ca="1">IF(AND($D211="Serviço",AX$12&lt;&gt;0,$H211&gt;0,OR(AUTOEVENTO&lt;&gt;"manual",$M211&lt;&gt;$A$15)),
        IF(Import.TipoArredondamento&lt;&gt;"TransfereGOV",
              ROUND(OFFSET($P211,0,AX$13),15-13*ORÇAMENTO!$AF$7)/$H211*OFFSET(ORÇAMENTO!$X$15,ROW(AX211)-ROW(AX$15),0),
              ROUND(ROUND(OFFSET($P211,0,AX$13),15-13*ORÇAMENTO!$AF$7)*OFFSET(ORÇAMENTO!$W$15,ROW(AX211)-ROW(AX$15),0),15-13*ORÇAMENTO!$AF$11)),
         0)</f>
        <v>0</v>
      </c>
      <c r="AY211" s="453">
        <f ca="1">IF(AND($D211="Serviço",AY$12&lt;&gt;0,$H211&gt;0,OR(AUTOEVENTO&lt;&gt;"manual",$M211&lt;&gt;$A$15)),
        IF(Import.TipoArredondamento&lt;&gt;"TransfereGOV",
              ROUND(OFFSET($P211,0,AY$13),15-13*ORÇAMENTO!$AF$7)/$H211*OFFSET(ORÇAMENTO!$X$15,ROW(AY211)-ROW(AY$15),0),
              ROUND(ROUND(OFFSET($P211,0,AY$13),15-13*ORÇAMENTO!$AF$7)*OFFSET(ORÇAMENTO!$W$15,ROW(AY211)-ROW(AY$15),0),15-13*ORÇAMENTO!$AF$11)),
         0)</f>
        <v>0</v>
      </c>
      <c r="AZ211" s="453">
        <f ca="1">IF(AND($D211="Serviço",AZ$12&lt;&gt;0,$H211&gt;0,OR(AUTOEVENTO&lt;&gt;"manual",$M211&lt;&gt;$A$15)),
        IF(Import.TipoArredondamento&lt;&gt;"TransfereGOV",
              ROUND(OFFSET($P211,0,AZ$13),15-13*ORÇAMENTO!$AF$7)/$H211*OFFSET(ORÇAMENTO!$X$15,ROW(AZ211)-ROW(AZ$15),0),
              ROUND(ROUND(OFFSET($P211,0,AZ$13),15-13*ORÇAMENTO!$AF$7)*OFFSET(ORÇAMENTO!$W$15,ROW(AZ211)-ROW(AZ$15),0),15-13*ORÇAMENTO!$AF$11)),
         0)</f>
        <v>0</v>
      </c>
      <c r="BA211" s="453">
        <f ca="1">IF(AND($D211="Serviço",BA$12&lt;&gt;0,$H211&gt;0,OR(AUTOEVENTO&lt;&gt;"manual",$M211&lt;&gt;$A$15)),
        IF(Import.TipoArredondamento&lt;&gt;"TransfereGOV",
              ROUND(OFFSET($P211,0,BA$13),15-13*ORÇAMENTO!$AF$7)/$H211*OFFSET(ORÇAMENTO!$X$15,ROW(BA211)-ROW(BA$15),0),
              ROUND(ROUND(OFFSET($P211,0,BA$13),15-13*ORÇAMENTO!$AF$7)*OFFSET(ORÇAMENTO!$W$15,ROW(BA211)-ROW(BA$15),0),15-13*ORÇAMENTO!$AF$11)),
         0)</f>
        <v>0</v>
      </c>
      <c r="BC211" s="171">
        <f ca="1">IF(OR($D211&lt;&gt;"Serviço",AND(AUTOEVENTO="Manual",$M211=$A$15)),0,
         IF(OFFSET(CRONOPLE!$F$15,$M211-$A$15,BC$13)=0,10^12,OFFSET(CRONOPLE!$F$15,$M211-$A$15,BC$13)))</f>
        <v>1</v>
      </c>
      <c r="BD211" s="171">
        <f ca="1">IF(OR($D211&lt;&gt;"Serviço",AND(AUTOEVENTO="Manual",$M211=$A$15)),0,
         IF(OFFSET(CRONOPLE!$F$15,$M211-$A$15,BD$13)=0,10^12,OFFSET(CRONOPLE!$F$15,$M211-$A$15,BD$13)))</f>
        <v>2</v>
      </c>
      <c r="BE211" s="171">
        <f ca="1">IF(OR($D211&lt;&gt;"Serviço",AND(AUTOEVENTO="Manual",$M211=$A$15)),0,
         IF(OFFSET(CRONOPLE!$F$15,$M211-$A$15,BE$13)=0,10^12,OFFSET(CRONOPLE!$F$15,$M211-$A$15,BE$13)))</f>
        <v>3</v>
      </c>
      <c r="BF211" s="171">
        <f ca="1">IF(OR($D211&lt;&gt;"Serviço",AND(AUTOEVENTO="Manual",$M211=$A$15)),0,
         IF(OFFSET(CRONOPLE!$F$15,$M211-$A$15,BF$13)=0,10^12,OFFSET(CRONOPLE!$F$15,$M211-$A$15,BF$13)))</f>
        <v>4</v>
      </c>
      <c r="BG211" s="171">
        <f ca="1">IF(OR($D211&lt;&gt;"Serviço",AND(AUTOEVENTO="Manual",$M211=$A$15)),0,
         IF(OFFSET(CRONOPLE!$F$15,$M211-$A$15,BG$13)=0,10^12,OFFSET(CRONOPLE!$F$15,$M211-$A$15,BG$13)))</f>
        <v>5</v>
      </c>
      <c r="BH211" s="171">
        <f ca="1">IF(OR($D211&lt;&gt;"Serviço",AND(AUTOEVENTO="Manual",$M211=$A$15)),0,
         IF(OFFSET(CRONOPLE!$F$15,$M211-$A$15,BH$13)=0,10^12,OFFSET(CRONOPLE!$F$15,$M211-$A$15,BH$13)))</f>
        <v>6</v>
      </c>
      <c r="BI211" s="171">
        <f ca="1">IF(OR($D211&lt;&gt;"Serviço",AND(AUTOEVENTO="Manual",$M211=$A$15)),0,
         IF(OFFSET(CRONOPLE!$F$15,$M211-$A$15,BI$13)=0,10^12,OFFSET(CRONOPLE!$F$15,$M211-$A$15,BI$13)))</f>
        <v>7</v>
      </c>
      <c r="BJ211" s="171">
        <f ca="1">IF(OR($D211&lt;&gt;"Serviço",AND(AUTOEVENTO="Manual",$M211=$A$15)),0,
         IF(OFFSET(CRONOPLE!$F$15,$M211-$A$15,BJ$13)=0,10^12,OFFSET(CRONOPLE!$F$15,$M211-$A$15,BJ$13)))</f>
        <v>8</v>
      </c>
      <c r="BK211" s="171">
        <f ca="1">IF(OR($D211&lt;&gt;"Serviço",AND(AUTOEVENTO="Manual",$M211=$A$15)),0,
         IF(OFFSET(CRONOPLE!$F$15,$M211-$A$15,BK$13)=0,10^12,OFFSET(CRONOPLE!$F$15,$M211-$A$15,BK$13)))</f>
        <v>9</v>
      </c>
      <c r="BL211" s="171">
        <f ca="1">IF(OR($D211&lt;&gt;"Serviço",AND(AUTOEVENTO="Manual",$M211=$A$15)),0,
         IF(OFFSET(CRONOPLE!$F$15,$M211-$A$15,BL$13)=0,10^12,OFFSET(CRONOPLE!$F$15,$M211-$A$15,BL$13)))</f>
        <v>10</v>
      </c>
      <c r="BM211" s="171">
        <f ca="1">IF(OR($D211&lt;&gt;"Serviço",AND(AUTOEVENTO="Manual",$M211=$A$15)),0,
         IF(OFFSET(CRONOPLE!$F$15,$M211-$A$15,BM$13)=0,10^12,OFFSET(CRONOPLE!$F$15,$M211-$A$15,BM$13)))</f>
        <v>1000000000000</v>
      </c>
      <c r="BN211" s="171">
        <f ca="1">IF(OR($D211&lt;&gt;"Serviço",AND(AUTOEVENTO="Manual",$M211=$A$15)),0,
         IF(OFFSET(CRONOPLE!$F$15,$M211-$A$15,BN$13)=0,10^12,OFFSET(CRONOPLE!$F$15,$M211-$A$15,BN$13)))</f>
        <v>1000000000000</v>
      </c>
      <c r="BO211" s="171">
        <f ca="1">IF(OR($D211&lt;&gt;"Serviço",AND(AUTOEVENTO="Manual",$M211=$A$15)),0,
         IF(OFFSET(CRONOPLE!$F$15,$M211-$A$15,BO$13)=0,10^12,OFFSET(CRONOPLE!$F$15,$M211-$A$15,BO$13)))</f>
        <v>1000000000000</v>
      </c>
      <c r="BP211" s="171">
        <f ca="1">IF(OR($D211&lt;&gt;"Serviço",AND(AUTOEVENTO="Manual",$M211=$A$15)),0,
         IF(OFFSET(CRONOPLE!$F$15,$M211-$A$15,BP$13)=0,10^12,OFFSET(CRONOPLE!$F$15,$M211-$A$15,BP$13)))</f>
        <v>1000000000000</v>
      </c>
      <c r="BQ211" s="171">
        <f ca="1">IF(OR($D211&lt;&gt;"Serviço",AND(AUTOEVENTO="Manual",$M211=$A$15)),0,
         IF(OFFSET(CRONOPLE!$F$15,$M211-$A$15,BQ$13)=0,10^12,OFFSET(CRONOPLE!$F$15,$M211-$A$15,BQ$13)))</f>
        <v>1000000000000</v>
      </c>
      <c r="BR211" s="171">
        <f ca="1">IF(OR($D211&lt;&gt;"Serviço",AND(AUTOEVENTO="Manual",$M211=$A$15)),0,
         IF(OFFSET(CRONOPLE!$F$15,$M211-$A$15,BR$13)=0,10^12,OFFSET(CRONOPLE!$F$15,$M211-$A$15,BR$13)))</f>
        <v>1000000000000</v>
      </c>
      <c r="BS211" s="171">
        <f ca="1">IF(OR($D211&lt;&gt;"Serviço",AND(AUTOEVENTO="Manual",$M211=$A$15)),0,
         IF(OFFSET(CRONOPLE!$F$15,$M211-$A$15,BS$13)=0,10^12,OFFSET(CRONOPLE!$F$15,$M211-$A$15,BS$13)))</f>
        <v>1000000000000</v>
      </c>
      <c r="BT211" s="171">
        <f ca="1">IF(OR($D211&lt;&gt;"Serviço",AND(AUTOEVENTO="Manual",$M211=$A$15)),0,
         IF(OFFSET(CRONOPLE!$F$15,$M211-$A$15,BT$13)=0,10^12,OFFSET(CRONOPLE!$F$15,$M211-$A$15,BT$13)))</f>
        <v>1000000000000</v>
      </c>
      <c r="BV211" s="172">
        <f ca="1">IF(OR($D211&lt;&gt;"Serviço",AND(AUTOEVENTO="Manual",$M211=$A$15),$M211&gt;(ROW(PLE.lastrow)-ROW(PLE.firstrow))),0,
           IF(OFFSET(PLE!$G$15,$M211-$A$15,BV$13)="",10^12,OFFSET(PLE!$G$15,$M211-$A$15,BV$13)))</f>
        <v>1000000000000</v>
      </c>
      <c r="BW211" s="172">
        <f ca="1">IF(OR($D211&lt;&gt;"Serviço",AND(AUTOEVENTO="Manual",$M211=$A$15),$M211&gt;(ROW(PLE.lastrow)-ROW(PLE.firstrow))),0,
           IF(OFFSET(PLE!$G$15,$M211-$A$15,BW$13)="",10^12,OFFSET(PLE!$G$15,$M211-$A$15,BW$13)))</f>
        <v>1000000000000</v>
      </c>
      <c r="BX211" s="172">
        <f ca="1">IF(OR($D211&lt;&gt;"Serviço",AND(AUTOEVENTO="Manual",$M211=$A$15),$M211&gt;(ROW(PLE.lastrow)-ROW(PLE.firstrow))),0,
           IF(OFFSET(PLE!$G$15,$M211-$A$15,BX$13)="",10^12,OFFSET(PLE!$G$15,$M211-$A$15,BX$13)))</f>
        <v>1000000000000</v>
      </c>
      <c r="BY211" s="172">
        <f ca="1">IF(OR($D211&lt;&gt;"Serviço",AND(AUTOEVENTO="Manual",$M211=$A$15),$M211&gt;(ROW(PLE.lastrow)-ROW(PLE.firstrow))),0,
           IF(OFFSET(PLE!$G$15,$M211-$A$15,BY$13)="",10^12,OFFSET(PLE!$G$15,$M211-$A$15,BY$13)))</f>
        <v>1000000000000</v>
      </c>
      <c r="BZ211" s="172">
        <f ca="1">IF(OR($D211&lt;&gt;"Serviço",AND(AUTOEVENTO="Manual",$M211=$A$15),$M211&gt;(ROW(PLE.lastrow)-ROW(PLE.firstrow))),0,
           IF(OFFSET(PLE!$G$15,$M211-$A$15,BZ$13)="",10^12,OFFSET(PLE!$G$15,$M211-$A$15,BZ$13)))</f>
        <v>1000000000000</v>
      </c>
      <c r="CA211" s="172">
        <f ca="1">IF(OR($D211&lt;&gt;"Serviço",AND(AUTOEVENTO="Manual",$M211=$A$15),$M211&gt;(ROW(PLE.lastrow)-ROW(PLE.firstrow))),0,
           IF(OFFSET(PLE!$G$15,$M211-$A$15,CA$13)="",10^12,OFFSET(PLE!$G$15,$M211-$A$15,CA$13)))</f>
        <v>1000000000000</v>
      </c>
      <c r="CB211" s="172">
        <f ca="1">IF(OR($D211&lt;&gt;"Serviço",AND(AUTOEVENTO="Manual",$M211=$A$15),$M211&gt;(ROW(PLE.lastrow)-ROW(PLE.firstrow))),0,
           IF(OFFSET(PLE!$G$15,$M211-$A$15,CB$13)="",10^12,OFFSET(PLE!$G$15,$M211-$A$15,CB$13)))</f>
        <v>1000000000000</v>
      </c>
      <c r="CC211" s="172">
        <f ca="1">IF(OR($D211&lt;&gt;"Serviço",AND(AUTOEVENTO="Manual",$M211=$A$15),$M211&gt;(ROW(PLE.lastrow)-ROW(PLE.firstrow))),0,
           IF(OFFSET(PLE!$G$15,$M211-$A$15,CC$13)="",10^12,OFFSET(PLE!$G$15,$M211-$A$15,CC$13)))</f>
        <v>1000000000000</v>
      </c>
      <c r="CD211" s="172">
        <f ca="1">IF(OR($D211&lt;&gt;"Serviço",AND(AUTOEVENTO="Manual",$M211=$A$15),$M211&gt;(ROW(PLE.lastrow)-ROW(PLE.firstrow))),0,
           IF(OFFSET(PLE!$G$15,$M211-$A$15,CD$13)="",10^12,OFFSET(PLE!$G$15,$M211-$A$15,CD$13)))</f>
        <v>1000000000000</v>
      </c>
      <c r="CE211" s="172">
        <f ca="1">IF(OR($D211&lt;&gt;"Serviço",AND(AUTOEVENTO="Manual",$M211=$A$15),$M211&gt;(ROW(PLE.lastrow)-ROW(PLE.firstrow))),0,
           IF(OFFSET(PLE!$G$15,$M211-$A$15,CE$13)="",10^12,OFFSET(PLE!$G$15,$M211-$A$15,CE$13)))</f>
        <v>1000000000000</v>
      </c>
      <c r="CF211" s="172">
        <f ca="1">IF(OR($D211&lt;&gt;"Serviço",AND(AUTOEVENTO="Manual",$M211=$A$15),$M211&gt;(ROW(PLE.lastrow)-ROW(PLE.firstrow))),0,
           IF(OFFSET(PLE!$G$15,$M211-$A$15,CF$13)="",10^12,OFFSET(PLE!$G$15,$M211-$A$15,CF$13)))</f>
        <v>1000000000000</v>
      </c>
      <c r="CG211" s="172">
        <f ca="1">IF(OR($D211&lt;&gt;"Serviço",AND(AUTOEVENTO="Manual",$M211=$A$15),$M211&gt;(ROW(PLE.lastrow)-ROW(PLE.firstrow))),0,
           IF(OFFSET(PLE!$G$15,$M211-$A$15,CG$13)="",10^12,OFFSET(PLE!$G$15,$M211-$A$15,CG$13)))</f>
        <v>1000000000000</v>
      </c>
      <c r="CH211" s="172">
        <f ca="1">IF(OR($D211&lt;&gt;"Serviço",AND(AUTOEVENTO="Manual",$M211=$A$15),$M211&gt;(ROW(PLE.lastrow)-ROW(PLE.firstrow))),0,
           IF(OFFSET(PLE!$G$15,$M211-$A$15,CH$13)="",10^12,OFFSET(PLE!$G$15,$M211-$A$15,CH$13)))</f>
        <v>1000000000000</v>
      </c>
      <c r="CI211" s="172">
        <f ca="1">IF(OR($D211&lt;&gt;"Serviço",AND(AUTOEVENTO="Manual",$M211=$A$15),$M211&gt;(ROW(PLE.lastrow)-ROW(PLE.firstrow))),0,
           IF(OFFSET(PLE!$G$15,$M211-$A$15,CI$13)="",10^12,OFFSET(PLE!$G$15,$M211-$A$15,CI$13)))</f>
        <v>1000000000000</v>
      </c>
      <c r="CJ211" s="172">
        <f ca="1">IF(OR($D211&lt;&gt;"Serviço",AND(AUTOEVENTO="Manual",$M211=$A$15),$M211&gt;(ROW(PLE.lastrow)-ROW(PLE.firstrow))),0,
           IF(OFFSET(PLE!$G$15,$M211-$A$15,CJ$13)="",10^12,OFFSET(PLE!$G$15,$M211-$A$15,CJ$13)))</f>
        <v>1000000000000</v>
      </c>
      <c r="CK211" s="172">
        <f ca="1">IF(OR($D211&lt;&gt;"Serviço",AND(AUTOEVENTO="Manual",$M211=$A$15),$M211&gt;(ROW(PLE.lastrow)-ROW(PLE.firstrow))),0,
           IF(OFFSET(PLE!$G$15,$M211-$A$15,CK$13)="",10^12,OFFSET(PLE!$G$15,$M211-$A$15,CK$13)))</f>
        <v>1000000000000</v>
      </c>
      <c r="CL211" s="172">
        <f ca="1">IF(OR($D211&lt;&gt;"Serviço",AND(AUTOEVENTO="Manual",$M211=$A$15),$M211&gt;(ROW(PLE.lastrow)-ROW(PLE.firstrow))),0,
           IF(OFFSET(PLE!$G$15,$M211-$A$15,CL$13)="",10^12,OFFSET(PLE!$G$15,$M211-$A$15,CL$13)))</f>
        <v>1000000000000</v>
      </c>
      <c r="CM211" s="172">
        <f ca="1">IF(OR($D211&lt;&gt;"Serviço",AND(AUTOEVENTO="Manual",$M211=$A$15),$M211&gt;(ROW(PLE.lastrow)-ROW(PLE.firstrow))),0,
           IF(OFFSET(PLE!$G$15,$M211-$A$15,CM$13)="",10^12,OFFSET(PLE!$G$15,$M211-$A$15,CM$13)))</f>
        <v>1000000000000</v>
      </c>
    </row>
    <row r="212" spans="1:91" ht="51" x14ac:dyDescent="0.2">
      <c r="A212" s="7">
        <f t="shared" ca="1" si="12"/>
        <v>4</v>
      </c>
      <c r="B212" s="7" t="str">
        <f ca="1">OFFSET(ORÇAMENTO!C$15,ROW(B212)-ROW(B$15),0)</f>
        <v>S</v>
      </c>
      <c r="C212" s="7" t="str">
        <f ca="1">OFFSET(ORÇAMENTO!L$15,ROW(C212)-ROW(C$15),0)</f>
        <v>F</v>
      </c>
      <c r="D212" s="116" t="str">
        <f ca="1">OFFSET(ORÇAMENTO!N$15,ROW(D212)-ROW(D$15),0)</f>
        <v>Serviço</v>
      </c>
      <c r="E212" s="117" t="str">
        <f ca="1">OFFSET(ORÇAMENTO!O$15,ROW(E212)-ROW(E$15),0)</f>
        <v>1.5.6.1.4.</v>
      </c>
      <c r="F212" s="163" t="str">
        <f ca="1">OFFSET(ORÇAMENTO!R$15,ROW(F212)-ROW(F$15),0)</f>
        <v>FÔRMAS DE COMPENSADO RESINADO 10 MM - USO GERAL - UTILIZAÇÃO DE 3 VEZES - CONFECÇÃO, INSTALAÇÃO E RETIRADA</v>
      </c>
      <c r="G212" s="164" t="str">
        <f ca="1">IF($D212&lt;&gt;"Serviço","",OFFSET(ORÇAMENTO!S$15,ROW(G212)-ROW(G$15),0))</f>
        <v>M2</v>
      </c>
      <c r="H212" s="122" cm="1">
        <f t="array" aca="1" ref="H212" ca="1">IF($D212&lt;&gt;"Serviço",0,IF(ACOMPANHAMENTO="BM",ROUND(OFFSET(ORÇAMENTO!AJ$15,ROW(H212)-ROW(H$15),0),15-13*ORÇAMENTO!$AF$7),SUMPRODUCT(($Q$1:$AI$1=1)*ROUND($Q212:$AI212,15-13*ORÇAMENTO!$AF$7))))</f>
        <v>3.75</v>
      </c>
      <c r="I212" s="468" t="s">
        <v>1342</v>
      </c>
      <c r="J212" s="640" t="str" cm="1">
        <f t="array" aca="1" ref="J212" ca="1">IF(OR(B212&lt;&gt;"S",CÁLCULO.FrentesPreenchidas=0),"",IF(AND(ACOMPANHAMENTO="PLE",AUTOEVENTO="Manual",OR(H212&gt;0,ORÇAMENTO!AC212="QUANT."),OR(K212="",M212=0,N212="")),"►E",IF(AND(ACOMPANHAMENTO="PLE",ORÇAMENTO!AC212="QUANT."),"►Q",IF(AND(ACOMPANHAMENTO="PLE",H212&lt;&gt;SUMPRODUCT(($Q$1:$AI$1=1)*ROUND(Q212:AI212,15))),"►S",IF(AND(COUNTIF($P$11:$AI$11,"▼")=0,H212&gt;0,I212=""),"◄M","")))))</f>
        <v/>
      </c>
      <c r="K212" s="641" t="s">
        <v>1389</v>
      </c>
      <c r="L212" s="165" t="s">
        <v>764</v>
      </c>
      <c r="M212" s="166">
        <f ca="1">IF($D212&lt;&gt;"Serviço","",
          IF(AUTOEVENTO="manual",$A212,
                IF(ISERROR(MATCH($A212,$A$15:OFFSET($A212,-1,0),0)),MAX($M$15:OFFSET(M212,-1,0))+1,
                      INDEX($M$15:OFFSET(M212,-1,0),MATCH($A212,$A$15:OFFSET($A212,-1,0),0)))))</f>
        <v>4</v>
      </c>
      <c r="N212" s="167" t="str">
        <f ca="1">IF($D212&lt;&gt;"Serviço","",
         IF(AUTOEVENTO="Manual",
                IF($A212=0,"&lt;-- defina o número do agrupador",
                       OFFSET(EVENTOS!$D$15,$A212-$A$15,0)),
                OFFSET($F$15,$A212,0)))</f>
        <v>Estruturas de Concreto</v>
      </c>
      <c r="O212" s="168"/>
      <c r="Q212" s="168"/>
      <c r="R212" s="169"/>
      <c r="S212" s="169"/>
      <c r="T212" s="169"/>
      <c r="U212" s="169"/>
      <c r="V212" s="169"/>
      <c r="W212" s="169"/>
      <c r="X212" s="169"/>
      <c r="Y212" s="169"/>
      <c r="Z212" s="170">
        <v>3.75</v>
      </c>
      <c r="AA212" s="169">
        <v>1.84</v>
      </c>
      <c r="AB212" s="169"/>
      <c r="AC212" s="169"/>
      <c r="AD212" s="169"/>
      <c r="AE212" s="169"/>
      <c r="AF212" s="169"/>
      <c r="AG212" s="169"/>
      <c r="AH212" s="170"/>
      <c r="AJ212" s="453">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0</v>
      </c>
      <c r="AK212" s="453">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0</v>
      </c>
      <c r="AL212" s="453">
        <f ca="1">IF(AND($D212="Serviço",AL$12&lt;&gt;0,$H212&gt;0,OR(AUTOEVENTO&lt;&gt;"manual",$M212&lt;&gt;$A$15)),
        IF(Import.TipoArredondamento&lt;&gt;"TransfereGOV",
              ROUND(OFFSET($P212,0,AL$13),15-13*ORÇAMENTO!$AF$7)/$H212*OFFSET(ORÇAMENTO!$X$15,ROW(AL212)-ROW(AL$15),0),
              ROUND(ROUND(OFFSET($P212,0,AL$13),15-13*ORÇAMENTO!$AF$7)*OFFSET(ORÇAMENTO!$W$15,ROW(AL212)-ROW(AL$15),0),15-13*ORÇAMENTO!$AF$11)),
         0)</f>
        <v>0</v>
      </c>
      <c r="AM212" s="453">
        <f ca="1">IF(AND($D212="Serviço",AM$12&lt;&gt;0,$H212&gt;0,OR(AUTOEVENTO&lt;&gt;"manual",$M212&lt;&gt;$A$15)),
        IF(Import.TipoArredondamento&lt;&gt;"TransfereGOV",
              ROUND(OFFSET($P212,0,AM$13),15-13*ORÇAMENTO!$AF$7)/$H212*OFFSET(ORÇAMENTO!$X$15,ROW(AM212)-ROW(AM$15),0),
              ROUND(ROUND(OFFSET($P212,0,AM$13),15-13*ORÇAMENTO!$AF$7)*OFFSET(ORÇAMENTO!$W$15,ROW(AM212)-ROW(AM$15),0),15-13*ORÇAMENTO!$AF$11)),
         0)</f>
        <v>0</v>
      </c>
      <c r="AN212" s="453">
        <f ca="1">IF(AND($D212="Serviço",AN$12&lt;&gt;0,$H212&gt;0,OR(AUTOEVENTO&lt;&gt;"manual",$M212&lt;&gt;$A$15)),
        IF(Import.TipoArredondamento&lt;&gt;"TransfereGOV",
              ROUND(OFFSET($P212,0,AN$13),15-13*ORÇAMENTO!$AF$7)/$H212*OFFSET(ORÇAMENTO!$X$15,ROW(AN212)-ROW(AN$15),0),
              ROUND(ROUND(OFFSET($P212,0,AN$13),15-13*ORÇAMENTO!$AF$7)*OFFSET(ORÇAMENTO!$W$15,ROW(AN212)-ROW(AN$15),0),15-13*ORÇAMENTO!$AF$11)),
         0)</f>
        <v>0</v>
      </c>
      <c r="AO212" s="453">
        <f ca="1">IF(AND($D212="Serviço",AO$12&lt;&gt;0,$H212&gt;0,OR(AUTOEVENTO&lt;&gt;"manual",$M212&lt;&gt;$A$15)),
        IF(Import.TipoArredondamento&lt;&gt;"TransfereGOV",
              ROUND(OFFSET($P212,0,AO$13),15-13*ORÇAMENTO!$AF$7)/$H212*OFFSET(ORÇAMENTO!$X$15,ROW(AO212)-ROW(AO$15),0),
              ROUND(ROUND(OFFSET($P212,0,AO$13),15-13*ORÇAMENTO!$AF$7)*OFFSET(ORÇAMENTO!$W$15,ROW(AO212)-ROW(AO$15),0),15-13*ORÇAMENTO!$AF$11)),
         0)</f>
        <v>0</v>
      </c>
      <c r="AP212" s="453">
        <f ca="1">IF(AND($D212="Serviço",AP$12&lt;&gt;0,$H212&gt;0,OR(AUTOEVENTO&lt;&gt;"manual",$M212&lt;&gt;$A$15)),
        IF(Import.TipoArredondamento&lt;&gt;"TransfereGOV",
              ROUND(OFFSET($P212,0,AP$13),15-13*ORÇAMENTO!$AF$7)/$H212*OFFSET(ORÇAMENTO!$X$15,ROW(AP212)-ROW(AP$15),0),
              ROUND(ROUND(OFFSET($P212,0,AP$13),15-13*ORÇAMENTO!$AF$7)*OFFSET(ORÇAMENTO!$W$15,ROW(AP212)-ROW(AP$15),0),15-13*ORÇAMENTO!$AF$11)),
         0)</f>
        <v>0</v>
      </c>
      <c r="AQ212" s="453">
        <f ca="1">IF(AND($D212="Serviço",AQ$12&lt;&gt;0,$H212&gt;0,OR(AUTOEVENTO&lt;&gt;"manual",$M212&lt;&gt;$A$15)),
        IF(Import.TipoArredondamento&lt;&gt;"TransfereGOV",
              ROUND(OFFSET($P212,0,AQ$13),15-13*ORÇAMENTO!$AF$7)/$H212*OFFSET(ORÇAMENTO!$X$15,ROW(AQ212)-ROW(AQ$15),0),
              ROUND(ROUND(OFFSET($P212,0,AQ$13),15-13*ORÇAMENTO!$AF$7)*OFFSET(ORÇAMENTO!$W$15,ROW(AQ212)-ROW(AQ$15),0),15-13*ORÇAMENTO!$AF$11)),
         0)</f>
        <v>0</v>
      </c>
      <c r="AR212" s="453">
        <f ca="1">IF(AND($D212="Serviço",AR$12&lt;&gt;0,$H212&gt;0,OR(AUTOEVENTO&lt;&gt;"manual",$M212&lt;&gt;$A$15)),
        IF(Import.TipoArredondamento&lt;&gt;"TransfereGOV",
              ROUND(OFFSET($P212,0,AR$13),15-13*ORÇAMENTO!$AF$7)/$H212*OFFSET(ORÇAMENTO!$X$15,ROW(AR212)-ROW(AR$15),0),
              ROUND(ROUND(OFFSET($P212,0,AR$13),15-13*ORÇAMENTO!$AF$7)*OFFSET(ORÇAMENTO!$W$15,ROW(AR212)-ROW(AR$15),0),15-13*ORÇAMENTO!$AF$11)),
         0)</f>
        <v>0</v>
      </c>
      <c r="AS212" s="453">
        <f ca="1">IF(AND($D212="Serviço",AS$12&lt;&gt;0,$H212&gt;0,OR(AUTOEVENTO&lt;&gt;"manual",$M212&lt;&gt;$A$15)),
        IF(Import.TipoArredondamento&lt;&gt;"TransfereGOV",
              ROUND(OFFSET($P212,0,AS$13),15-13*ORÇAMENTO!$AF$7)/$H212*OFFSET(ORÇAMENTO!$X$15,ROW(AS212)-ROW(AS$15),0),
              ROUND(ROUND(OFFSET($P212,0,AS$13),15-13*ORÇAMENTO!$AF$7)*OFFSET(ORÇAMENTO!$W$15,ROW(AS212)-ROW(AS$15),0),15-13*ORÇAMENTO!$AF$11)),
         0)</f>
        <v>0</v>
      </c>
      <c r="AT212" s="453">
        <f ca="1">IF(AND($D212="Serviço",AT$12&lt;&gt;0,$H212&gt;0,OR(AUTOEVENTO&lt;&gt;"manual",$M212&lt;&gt;$A$15)),
        IF(Import.TipoArredondamento&lt;&gt;"TransfereGOV",
              ROUND(OFFSET($P212,0,AT$13),15-13*ORÇAMENTO!$AF$7)/$H212*OFFSET(ORÇAMENTO!$X$15,ROW(AT212)-ROW(AT$15),0),
              ROUND(ROUND(OFFSET($P212,0,AT$13),15-13*ORÇAMENTO!$AF$7)*OFFSET(ORÇAMENTO!$W$15,ROW(AT212)-ROW(AT$15),0),15-13*ORÇAMENTO!$AF$11)),
         0)</f>
        <v>0</v>
      </c>
      <c r="AU212" s="453">
        <f ca="1">IF(AND($D212="Serviço",AU$12&lt;&gt;0,$H212&gt;0,OR(AUTOEVENTO&lt;&gt;"manual",$M212&lt;&gt;$A$15)),
        IF(Import.TipoArredondamento&lt;&gt;"TransfereGOV",
              ROUND(OFFSET($P212,0,AU$13),15-13*ORÇAMENTO!$AF$7)/$H212*OFFSET(ORÇAMENTO!$X$15,ROW(AU212)-ROW(AU$15),0),
              ROUND(ROUND(OFFSET($P212,0,AU$13),15-13*ORÇAMENTO!$AF$7)*OFFSET(ORÇAMENTO!$W$15,ROW(AU212)-ROW(AU$15),0),15-13*ORÇAMENTO!$AF$11)),
         0)</f>
        <v>0</v>
      </c>
      <c r="AV212" s="453">
        <f ca="1">IF(AND($D212="Serviço",AV$12&lt;&gt;0,$H212&gt;0,OR(AUTOEVENTO&lt;&gt;"manual",$M212&lt;&gt;$A$15)),
        IF(Import.TipoArredondamento&lt;&gt;"TransfereGOV",
              ROUND(OFFSET($P212,0,AV$13),15-13*ORÇAMENTO!$AF$7)/$H212*OFFSET(ORÇAMENTO!$X$15,ROW(AV212)-ROW(AV$15),0),
              ROUND(ROUND(OFFSET($P212,0,AV$13),15-13*ORÇAMENTO!$AF$7)*OFFSET(ORÇAMENTO!$W$15,ROW(AV212)-ROW(AV$15),0),15-13*ORÇAMENTO!$AF$11)),
         0)</f>
        <v>0</v>
      </c>
      <c r="AW212" s="453">
        <f ca="1">IF(AND($D212="Serviço",AW$12&lt;&gt;0,$H212&gt;0,OR(AUTOEVENTO&lt;&gt;"manual",$M212&lt;&gt;$A$15)),
        IF(Import.TipoArredondamento&lt;&gt;"TransfereGOV",
              ROUND(OFFSET($P212,0,AW$13),15-13*ORÇAMENTO!$AF$7)/$H212*OFFSET(ORÇAMENTO!$X$15,ROW(AW212)-ROW(AW$15),0),
              ROUND(ROUND(OFFSET($P212,0,AW$13),15-13*ORÇAMENTO!$AF$7)*OFFSET(ORÇAMENTO!$W$15,ROW(AW212)-ROW(AW$15),0),15-13*ORÇAMENTO!$AF$11)),
         0)</f>
        <v>0</v>
      </c>
      <c r="AX212" s="453">
        <f ca="1">IF(AND($D212="Serviço",AX$12&lt;&gt;0,$H212&gt;0,OR(AUTOEVENTO&lt;&gt;"manual",$M212&lt;&gt;$A$15)),
        IF(Import.TipoArredondamento&lt;&gt;"TransfereGOV",
              ROUND(OFFSET($P212,0,AX$13),15-13*ORÇAMENTO!$AF$7)/$H212*OFFSET(ORÇAMENTO!$X$15,ROW(AX212)-ROW(AX$15),0),
              ROUND(ROUND(OFFSET($P212,0,AX$13),15-13*ORÇAMENTO!$AF$7)*OFFSET(ORÇAMENTO!$W$15,ROW(AX212)-ROW(AX$15),0),15-13*ORÇAMENTO!$AF$11)),
         0)</f>
        <v>0</v>
      </c>
      <c r="AY212" s="453">
        <f ca="1">IF(AND($D212="Serviço",AY$12&lt;&gt;0,$H212&gt;0,OR(AUTOEVENTO&lt;&gt;"manual",$M212&lt;&gt;$A$15)),
        IF(Import.TipoArredondamento&lt;&gt;"TransfereGOV",
              ROUND(OFFSET($P212,0,AY$13),15-13*ORÇAMENTO!$AF$7)/$H212*OFFSET(ORÇAMENTO!$X$15,ROW(AY212)-ROW(AY$15),0),
              ROUND(ROUND(OFFSET($P212,0,AY$13),15-13*ORÇAMENTO!$AF$7)*OFFSET(ORÇAMENTO!$W$15,ROW(AY212)-ROW(AY$15),0),15-13*ORÇAMENTO!$AF$11)),
         0)</f>
        <v>0</v>
      </c>
      <c r="AZ212" s="453">
        <f ca="1">IF(AND($D212="Serviço",AZ$12&lt;&gt;0,$H212&gt;0,OR(AUTOEVENTO&lt;&gt;"manual",$M212&lt;&gt;$A$15)),
        IF(Import.TipoArredondamento&lt;&gt;"TransfereGOV",
              ROUND(OFFSET($P212,0,AZ$13),15-13*ORÇAMENTO!$AF$7)/$H212*OFFSET(ORÇAMENTO!$X$15,ROW(AZ212)-ROW(AZ$15),0),
              ROUND(ROUND(OFFSET($P212,0,AZ$13),15-13*ORÇAMENTO!$AF$7)*OFFSET(ORÇAMENTO!$W$15,ROW(AZ212)-ROW(AZ$15),0),15-13*ORÇAMENTO!$AF$11)),
         0)</f>
        <v>0</v>
      </c>
      <c r="BA212" s="453">
        <f ca="1">IF(AND($D212="Serviço",BA$12&lt;&gt;0,$H212&gt;0,OR(AUTOEVENTO&lt;&gt;"manual",$M212&lt;&gt;$A$15)),
        IF(Import.TipoArredondamento&lt;&gt;"TransfereGOV",
              ROUND(OFFSET($P212,0,BA$13),15-13*ORÇAMENTO!$AF$7)/$H212*OFFSET(ORÇAMENTO!$X$15,ROW(BA212)-ROW(BA$15),0),
              ROUND(ROUND(OFFSET($P212,0,BA$13),15-13*ORÇAMENTO!$AF$7)*OFFSET(ORÇAMENTO!$W$15,ROW(BA212)-ROW(BA$15),0),15-13*ORÇAMENTO!$AF$11)),
         0)</f>
        <v>0</v>
      </c>
      <c r="BC212" s="171">
        <f ca="1">IF(OR($D212&lt;&gt;"Serviço",AND(AUTOEVENTO="Manual",$M212=$A$15)),0,
         IF(OFFSET(CRONOPLE!$F$15,$M212-$A$15,BC$13)=0,10^12,OFFSET(CRONOPLE!$F$15,$M212-$A$15,BC$13)))</f>
        <v>1</v>
      </c>
      <c r="BD212" s="171">
        <f ca="1">IF(OR($D212&lt;&gt;"Serviço",AND(AUTOEVENTO="Manual",$M212=$A$15)),0,
         IF(OFFSET(CRONOPLE!$F$15,$M212-$A$15,BD$13)=0,10^12,OFFSET(CRONOPLE!$F$15,$M212-$A$15,BD$13)))</f>
        <v>2</v>
      </c>
      <c r="BE212" s="171">
        <f ca="1">IF(OR($D212&lt;&gt;"Serviço",AND(AUTOEVENTO="Manual",$M212=$A$15)),0,
         IF(OFFSET(CRONOPLE!$F$15,$M212-$A$15,BE$13)=0,10^12,OFFSET(CRONOPLE!$F$15,$M212-$A$15,BE$13)))</f>
        <v>3</v>
      </c>
      <c r="BF212" s="171">
        <f ca="1">IF(OR($D212&lt;&gt;"Serviço",AND(AUTOEVENTO="Manual",$M212=$A$15)),0,
         IF(OFFSET(CRONOPLE!$F$15,$M212-$A$15,BF$13)=0,10^12,OFFSET(CRONOPLE!$F$15,$M212-$A$15,BF$13)))</f>
        <v>4</v>
      </c>
      <c r="BG212" s="171">
        <f ca="1">IF(OR($D212&lt;&gt;"Serviço",AND(AUTOEVENTO="Manual",$M212=$A$15)),0,
         IF(OFFSET(CRONOPLE!$F$15,$M212-$A$15,BG$13)=0,10^12,OFFSET(CRONOPLE!$F$15,$M212-$A$15,BG$13)))</f>
        <v>5</v>
      </c>
      <c r="BH212" s="171">
        <f ca="1">IF(OR($D212&lt;&gt;"Serviço",AND(AUTOEVENTO="Manual",$M212=$A$15)),0,
         IF(OFFSET(CRONOPLE!$F$15,$M212-$A$15,BH$13)=0,10^12,OFFSET(CRONOPLE!$F$15,$M212-$A$15,BH$13)))</f>
        <v>6</v>
      </c>
      <c r="BI212" s="171">
        <f ca="1">IF(OR($D212&lt;&gt;"Serviço",AND(AUTOEVENTO="Manual",$M212=$A$15)),0,
         IF(OFFSET(CRONOPLE!$F$15,$M212-$A$15,BI$13)=0,10^12,OFFSET(CRONOPLE!$F$15,$M212-$A$15,BI$13)))</f>
        <v>7</v>
      </c>
      <c r="BJ212" s="171">
        <f ca="1">IF(OR($D212&lt;&gt;"Serviço",AND(AUTOEVENTO="Manual",$M212=$A$15)),0,
         IF(OFFSET(CRONOPLE!$F$15,$M212-$A$15,BJ$13)=0,10^12,OFFSET(CRONOPLE!$F$15,$M212-$A$15,BJ$13)))</f>
        <v>8</v>
      </c>
      <c r="BK212" s="171">
        <f ca="1">IF(OR($D212&lt;&gt;"Serviço",AND(AUTOEVENTO="Manual",$M212=$A$15)),0,
         IF(OFFSET(CRONOPLE!$F$15,$M212-$A$15,BK$13)=0,10^12,OFFSET(CRONOPLE!$F$15,$M212-$A$15,BK$13)))</f>
        <v>9</v>
      </c>
      <c r="BL212" s="171">
        <f ca="1">IF(OR($D212&lt;&gt;"Serviço",AND(AUTOEVENTO="Manual",$M212=$A$15)),0,
         IF(OFFSET(CRONOPLE!$F$15,$M212-$A$15,BL$13)=0,10^12,OFFSET(CRONOPLE!$F$15,$M212-$A$15,BL$13)))</f>
        <v>10</v>
      </c>
      <c r="BM212" s="171">
        <f ca="1">IF(OR($D212&lt;&gt;"Serviço",AND(AUTOEVENTO="Manual",$M212=$A$15)),0,
         IF(OFFSET(CRONOPLE!$F$15,$M212-$A$15,BM$13)=0,10^12,OFFSET(CRONOPLE!$F$15,$M212-$A$15,BM$13)))</f>
        <v>1000000000000</v>
      </c>
      <c r="BN212" s="171">
        <f ca="1">IF(OR($D212&lt;&gt;"Serviço",AND(AUTOEVENTO="Manual",$M212=$A$15)),0,
         IF(OFFSET(CRONOPLE!$F$15,$M212-$A$15,BN$13)=0,10^12,OFFSET(CRONOPLE!$F$15,$M212-$A$15,BN$13)))</f>
        <v>1000000000000</v>
      </c>
      <c r="BO212" s="171">
        <f ca="1">IF(OR($D212&lt;&gt;"Serviço",AND(AUTOEVENTO="Manual",$M212=$A$15)),0,
         IF(OFFSET(CRONOPLE!$F$15,$M212-$A$15,BO$13)=0,10^12,OFFSET(CRONOPLE!$F$15,$M212-$A$15,BO$13)))</f>
        <v>1000000000000</v>
      </c>
      <c r="BP212" s="171">
        <f ca="1">IF(OR($D212&lt;&gt;"Serviço",AND(AUTOEVENTO="Manual",$M212=$A$15)),0,
         IF(OFFSET(CRONOPLE!$F$15,$M212-$A$15,BP$13)=0,10^12,OFFSET(CRONOPLE!$F$15,$M212-$A$15,BP$13)))</f>
        <v>1000000000000</v>
      </c>
      <c r="BQ212" s="171">
        <f ca="1">IF(OR($D212&lt;&gt;"Serviço",AND(AUTOEVENTO="Manual",$M212=$A$15)),0,
         IF(OFFSET(CRONOPLE!$F$15,$M212-$A$15,BQ$13)=0,10^12,OFFSET(CRONOPLE!$F$15,$M212-$A$15,BQ$13)))</f>
        <v>1000000000000</v>
      </c>
      <c r="BR212" s="171">
        <f ca="1">IF(OR($D212&lt;&gt;"Serviço",AND(AUTOEVENTO="Manual",$M212=$A$15)),0,
         IF(OFFSET(CRONOPLE!$F$15,$M212-$A$15,BR$13)=0,10^12,OFFSET(CRONOPLE!$F$15,$M212-$A$15,BR$13)))</f>
        <v>1000000000000</v>
      </c>
      <c r="BS212" s="171">
        <f ca="1">IF(OR($D212&lt;&gt;"Serviço",AND(AUTOEVENTO="Manual",$M212=$A$15)),0,
         IF(OFFSET(CRONOPLE!$F$15,$M212-$A$15,BS$13)=0,10^12,OFFSET(CRONOPLE!$F$15,$M212-$A$15,BS$13)))</f>
        <v>1000000000000</v>
      </c>
      <c r="BT212" s="171">
        <f ca="1">IF(OR($D212&lt;&gt;"Serviço",AND(AUTOEVENTO="Manual",$M212=$A$15)),0,
         IF(OFFSET(CRONOPLE!$F$15,$M212-$A$15,BT$13)=0,10^12,OFFSET(CRONOPLE!$F$15,$M212-$A$15,BT$13)))</f>
        <v>1000000000000</v>
      </c>
      <c r="BV212" s="172">
        <f ca="1">IF(OR($D212&lt;&gt;"Serviço",AND(AUTOEVENTO="Manual",$M212=$A$15),$M212&gt;(ROW(PLE.lastrow)-ROW(PLE.firstrow))),0,
           IF(OFFSET(PLE!$G$15,$M212-$A$15,BV$13)="",10^12,OFFSET(PLE!$G$15,$M212-$A$15,BV$13)))</f>
        <v>1000000000000</v>
      </c>
      <c r="BW212" s="172">
        <f ca="1">IF(OR($D212&lt;&gt;"Serviço",AND(AUTOEVENTO="Manual",$M212=$A$15),$M212&gt;(ROW(PLE.lastrow)-ROW(PLE.firstrow))),0,
           IF(OFFSET(PLE!$G$15,$M212-$A$15,BW$13)="",10^12,OFFSET(PLE!$G$15,$M212-$A$15,BW$13)))</f>
        <v>1000000000000</v>
      </c>
      <c r="BX212" s="172">
        <f ca="1">IF(OR($D212&lt;&gt;"Serviço",AND(AUTOEVENTO="Manual",$M212=$A$15),$M212&gt;(ROW(PLE.lastrow)-ROW(PLE.firstrow))),0,
           IF(OFFSET(PLE!$G$15,$M212-$A$15,BX$13)="",10^12,OFFSET(PLE!$G$15,$M212-$A$15,BX$13)))</f>
        <v>1000000000000</v>
      </c>
      <c r="BY212" s="172">
        <f ca="1">IF(OR($D212&lt;&gt;"Serviço",AND(AUTOEVENTO="Manual",$M212=$A$15),$M212&gt;(ROW(PLE.lastrow)-ROW(PLE.firstrow))),0,
           IF(OFFSET(PLE!$G$15,$M212-$A$15,BY$13)="",10^12,OFFSET(PLE!$G$15,$M212-$A$15,BY$13)))</f>
        <v>1000000000000</v>
      </c>
      <c r="BZ212" s="172">
        <f ca="1">IF(OR($D212&lt;&gt;"Serviço",AND(AUTOEVENTO="Manual",$M212=$A$15),$M212&gt;(ROW(PLE.lastrow)-ROW(PLE.firstrow))),0,
           IF(OFFSET(PLE!$G$15,$M212-$A$15,BZ$13)="",10^12,OFFSET(PLE!$G$15,$M212-$A$15,BZ$13)))</f>
        <v>1000000000000</v>
      </c>
      <c r="CA212" s="172">
        <f ca="1">IF(OR($D212&lt;&gt;"Serviço",AND(AUTOEVENTO="Manual",$M212=$A$15),$M212&gt;(ROW(PLE.lastrow)-ROW(PLE.firstrow))),0,
           IF(OFFSET(PLE!$G$15,$M212-$A$15,CA$13)="",10^12,OFFSET(PLE!$G$15,$M212-$A$15,CA$13)))</f>
        <v>1000000000000</v>
      </c>
      <c r="CB212" s="172">
        <f ca="1">IF(OR($D212&lt;&gt;"Serviço",AND(AUTOEVENTO="Manual",$M212=$A$15),$M212&gt;(ROW(PLE.lastrow)-ROW(PLE.firstrow))),0,
           IF(OFFSET(PLE!$G$15,$M212-$A$15,CB$13)="",10^12,OFFSET(PLE!$G$15,$M212-$A$15,CB$13)))</f>
        <v>1000000000000</v>
      </c>
      <c r="CC212" s="172">
        <f ca="1">IF(OR($D212&lt;&gt;"Serviço",AND(AUTOEVENTO="Manual",$M212=$A$15),$M212&gt;(ROW(PLE.lastrow)-ROW(PLE.firstrow))),0,
           IF(OFFSET(PLE!$G$15,$M212-$A$15,CC$13)="",10^12,OFFSET(PLE!$G$15,$M212-$A$15,CC$13)))</f>
        <v>1000000000000</v>
      </c>
      <c r="CD212" s="172">
        <f ca="1">IF(OR($D212&lt;&gt;"Serviço",AND(AUTOEVENTO="Manual",$M212=$A$15),$M212&gt;(ROW(PLE.lastrow)-ROW(PLE.firstrow))),0,
           IF(OFFSET(PLE!$G$15,$M212-$A$15,CD$13)="",10^12,OFFSET(PLE!$G$15,$M212-$A$15,CD$13)))</f>
        <v>1000000000000</v>
      </c>
      <c r="CE212" s="172">
        <f ca="1">IF(OR($D212&lt;&gt;"Serviço",AND(AUTOEVENTO="Manual",$M212=$A$15),$M212&gt;(ROW(PLE.lastrow)-ROW(PLE.firstrow))),0,
           IF(OFFSET(PLE!$G$15,$M212-$A$15,CE$13)="",10^12,OFFSET(PLE!$G$15,$M212-$A$15,CE$13)))</f>
        <v>1000000000000</v>
      </c>
      <c r="CF212" s="172">
        <f ca="1">IF(OR($D212&lt;&gt;"Serviço",AND(AUTOEVENTO="Manual",$M212=$A$15),$M212&gt;(ROW(PLE.lastrow)-ROW(PLE.firstrow))),0,
           IF(OFFSET(PLE!$G$15,$M212-$A$15,CF$13)="",10^12,OFFSET(PLE!$G$15,$M212-$A$15,CF$13)))</f>
        <v>1000000000000</v>
      </c>
      <c r="CG212" s="172">
        <f ca="1">IF(OR($D212&lt;&gt;"Serviço",AND(AUTOEVENTO="Manual",$M212=$A$15),$M212&gt;(ROW(PLE.lastrow)-ROW(PLE.firstrow))),0,
           IF(OFFSET(PLE!$G$15,$M212-$A$15,CG$13)="",10^12,OFFSET(PLE!$G$15,$M212-$A$15,CG$13)))</f>
        <v>1000000000000</v>
      </c>
      <c r="CH212" s="172">
        <f ca="1">IF(OR($D212&lt;&gt;"Serviço",AND(AUTOEVENTO="Manual",$M212=$A$15),$M212&gt;(ROW(PLE.lastrow)-ROW(PLE.firstrow))),0,
           IF(OFFSET(PLE!$G$15,$M212-$A$15,CH$13)="",10^12,OFFSET(PLE!$G$15,$M212-$A$15,CH$13)))</f>
        <v>1000000000000</v>
      </c>
      <c r="CI212" s="172">
        <f ca="1">IF(OR($D212&lt;&gt;"Serviço",AND(AUTOEVENTO="Manual",$M212=$A$15),$M212&gt;(ROW(PLE.lastrow)-ROW(PLE.firstrow))),0,
           IF(OFFSET(PLE!$G$15,$M212-$A$15,CI$13)="",10^12,OFFSET(PLE!$G$15,$M212-$A$15,CI$13)))</f>
        <v>1000000000000</v>
      </c>
      <c r="CJ212" s="172">
        <f ca="1">IF(OR($D212&lt;&gt;"Serviço",AND(AUTOEVENTO="Manual",$M212=$A$15),$M212&gt;(ROW(PLE.lastrow)-ROW(PLE.firstrow))),0,
           IF(OFFSET(PLE!$G$15,$M212-$A$15,CJ$13)="",10^12,OFFSET(PLE!$G$15,$M212-$A$15,CJ$13)))</f>
        <v>1000000000000</v>
      </c>
      <c r="CK212" s="172">
        <f ca="1">IF(OR($D212&lt;&gt;"Serviço",AND(AUTOEVENTO="Manual",$M212=$A$15),$M212&gt;(ROW(PLE.lastrow)-ROW(PLE.firstrow))),0,
           IF(OFFSET(PLE!$G$15,$M212-$A$15,CK$13)="",10^12,OFFSET(PLE!$G$15,$M212-$A$15,CK$13)))</f>
        <v>1000000000000</v>
      </c>
      <c r="CL212" s="172">
        <f ca="1">IF(OR($D212&lt;&gt;"Serviço",AND(AUTOEVENTO="Manual",$M212=$A$15),$M212&gt;(ROW(PLE.lastrow)-ROW(PLE.firstrow))),0,
           IF(OFFSET(PLE!$G$15,$M212-$A$15,CL$13)="",10^12,OFFSET(PLE!$G$15,$M212-$A$15,CL$13)))</f>
        <v>1000000000000</v>
      </c>
      <c r="CM212" s="172">
        <f ca="1">IF(OR($D212&lt;&gt;"Serviço",AND(AUTOEVENTO="Manual",$M212=$A$15),$M212&gt;(ROW(PLE.lastrow)-ROW(PLE.firstrow))),0,
           IF(OFFSET(PLE!$G$15,$M212-$A$15,CM$13)="",10^12,OFFSET(PLE!$G$15,$M212-$A$15,CM$13)))</f>
        <v>1000000000000</v>
      </c>
    </row>
    <row r="213" spans="1:91" ht="51" x14ac:dyDescent="0.2">
      <c r="A213" s="7">
        <f t="shared" ref="A213:A276" ca="1" si="13">IFERROR(IF(AUTOEVENTO="Manual",IF(K213&lt;&gt;"",MIN(VALUE(LEFT(K213,FIND(".",K213)-1)),COUNTA(EVENTOS.Lista)),0),IF(OR($B213&gt;AUTOEVENTO,$B213="S",$B213=0),SUBSTITUTE(OFFSET($A213,-1,0),IF($D213="Serviço",".",""),""),ROW(A213)-ROW($A$15)&amp;".")),0)</f>
        <v>4</v>
      </c>
      <c r="B213" s="7" t="str">
        <f ca="1">OFFSET(ORÇAMENTO!C$15,ROW(B213)-ROW(B$15),0)</f>
        <v>S</v>
      </c>
      <c r="C213" s="7" t="str">
        <f ca="1">OFFSET(ORÇAMENTO!L$15,ROW(C213)-ROW(C$15),0)</f>
        <v>F</v>
      </c>
      <c r="D213" s="116" t="str">
        <f ca="1">OFFSET(ORÇAMENTO!N$15,ROW(D213)-ROW(D$15),0)</f>
        <v>Serviço</v>
      </c>
      <c r="E213" s="117" t="str">
        <f ca="1">OFFSET(ORÇAMENTO!O$15,ROW(E213)-ROW(E$15),0)</f>
        <v>1.5.6.1.5.</v>
      </c>
      <c r="F213" s="163" t="str">
        <f ca="1">OFFSET(ORÇAMENTO!R$15,ROW(F213)-ROW(F$15),0)</f>
        <v>APLICAÇÃO DE LONA PLÁSTICA PARA EXECUÇÃO DE PAVIMENTOS DE CONCRETO. AF_04/2022</v>
      </c>
      <c r="G213" s="164" t="str">
        <f ca="1">IF($D213&lt;&gt;"Serviço","",OFFSET(ORÇAMENTO!S$15,ROW(G213)-ROW(G$15),0))</f>
        <v>M2</v>
      </c>
      <c r="H213" s="122" cm="1">
        <f t="array" aca="1" ref="H213" ca="1">IF($D213&lt;&gt;"Serviço",0,IF(ACOMPANHAMENTO="BM",ROUND(OFFSET(ORÇAMENTO!AJ$15,ROW(H213)-ROW(H$15),0),15-13*ORÇAMENTO!$AF$7),SUMPRODUCT(($Q$1:$AI$1=1)*ROUND($Q213:$AI213,15-13*ORÇAMENTO!$AF$7))))</f>
        <v>31.5</v>
      </c>
      <c r="I213" s="468" t="s">
        <v>1342</v>
      </c>
      <c r="J213" s="640" t="str" cm="1">
        <f t="array" aca="1" ref="J213" ca="1">IF(OR(B213&lt;&gt;"S",CÁLCULO.FrentesPreenchidas=0),"",IF(AND(ACOMPANHAMENTO="PLE",AUTOEVENTO="Manual",OR(H213&gt;0,ORÇAMENTO!AC213="QUANT."),OR(K213="",M213=0,N213="")),"►E",IF(AND(ACOMPANHAMENTO="PLE",ORÇAMENTO!AC213="QUANT."),"►Q",IF(AND(ACOMPANHAMENTO="PLE",H213&lt;&gt;SUMPRODUCT(($Q$1:$AI$1=1)*ROUND(Q213:AI213,15))),"►S",IF(AND(COUNTIF($P$11:$AI$11,"▼")=0,H213&gt;0,I213=""),"◄M","")))))</f>
        <v/>
      </c>
      <c r="K213" s="641" t="s">
        <v>1389</v>
      </c>
      <c r="L213" s="165" t="s">
        <v>764</v>
      </c>
      <c r="M213" s="166">
        <f ca="1">IF($D213&lt;&gt;"Serviço","",
          IF(AUTOEVENTO="manual",$A213,
                IF(ISERROR(MATCH($A213,$A$15:OFFSET($A213,-1,0),0)),MAX($M$15:OFFSET(M213,-1,0))+1,
                      INDEX($M$15:OFFSET(M213,-1,0),MATCH($A213,$A$15:OFFSET($A213,-1,0),0)))))</f>
        <v>4</v>
      </c>
      <c r="N213" s="167" t="str">
        <f ca="1">IF($D213&lt;&gt;"Serviço","",
         IF(AUTOEVENTO="Manual",
                IF($A213=0,"&lt;-- defina o número do agrupador",
                       OFFSET(EVENTOS!$D$15,$A213-$A$15,0)),
                OFFSET($F$15,$A213,0)))</f>
        <v>Estruturas de Concreto</v>
      </c>
      <c r="O213" s="168"/>
      <c r="Q213" s="168"/>
      <c r="R213" s="169"/>
      <c r="S213" s="169"/>
      <c r="T213" s="169"/>
      <c r="U213" s="169"/>
      <c r="V213" s="169"/>
      <c r="W213" s="169"/>
      <c r="X213" s="169"/>
      <c r="Y213" s="169"/>
      <c r="Z213" s="170">
        <v>31.5</v>
      </c>
      <c r="AA213" s="169">
        <v>28</v>
      </c>
      <c r="AB213" s="169"/>
      <c r="AC213" s="169"/>
      <c r="AD213" s="169"/>
      <c r="AE213" s="169"/>
      <c r="AF213" s="169"/>
      <c r="AG213" s="169"/>
      <c r="AH213" s="170"/>
      <c r="AJ213" s="453">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0</v>
      </c>
      <c r="AK213" s="453">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0</v>
      </c>
      <c r="AL213" s="453">
        <f ca="1">IF(AND($D213="Serviço",AL$12&lt;&gt;0,$H213&gt;0,OR(AUTOEVENTO&lt;&gt;"manual",$M213&lt;&gt;$A$15)),
        IF(Import.TipoArredondamento&lt;&gt;"TransfereGOV",
              ROUND(OFFSET($P213,0,AL$13),15-13*ORÇAMENTO!$AF$7)/$H213*OFFSET(ORÇAMENTO!$X$15,ROW(AL213)-ROW(AL$15),0),
              ROUND(ROUND(OFFSET($P213,0,AL$13),15-13*ORÇAMENTO!$AF$7)*OFFSET(ORÇAMENTO!$W$15,ROW(AL213)-ROW(AL$15),0),15-13*ORÇAMENTO!$AF$11)),
         0)</f>
        <v>0</v>
      </c>
      <c r="AM213" s="453">
        <f ca="1">IF(AND($D213="Serviço",AM$12&lt;&gt;0,$H213&gt;0,OR(AUTOEVENTO&lt;&gt;"manual",$M213&lt;&gt;$A$15)),
        IF(Import.TipoArredondamento&lt;&gt;"TransfereGOV",
              ROUND(OFFSET($P213,0,AM$13),15-13*ORÇAMENTO!$AF$7)/$H213*OFFSET(ORÇAMENTO!$X$15,ROW(AM213)-ROW(AM$15),0),
              ROUND(ROUND(OFFSET($P213,0,AM$13),15-13*ORÇAMENTO!$AF$7)*OFFSET(ORÇAMENTO!$W$15,ROW(AM213)-ROW(AM$15),0),15-13*ORÇAMENTO!$AF$11)),
         0)</f>
        <v>0</v>
      </c>
      <c r="AN213" s="453">
        <f ca="1">IF(AND($D213="Serviço",AN$12&lt;&gt;0,$H213&gt;0,OR(AUTOEVENTO&lt;&gt;"manual",$M213&lt;&gt;$A$15)),
        IF(Import.TipoArredondamento&lt;&gt;"TransfereGOV",
              ROUND(OFFSET($P213,0,AN$13),15-13*ORÇAMENTO!$AF$7)/$H213*OFFSET(ORÇAMENTO!$X$15,ROW(AN213)-ROW(AN$15),0),
              ROUND(ROUND(OFFSET($P213,0,AN$13),15-13*ORÇAMENTO!$AF$7)*OFFSET(ORÇAMENTO!$W$15,ROW(AN213)-ROW(AN$15),0),15-13*ORÇAMENTO!$AF$11)),
         0)</f>
        <v>0</v>
      </c>
      <c r="AO213" s="453">
        <f ca="1">IF(AND($D213="Serviço",AO$12&lt;&gt;0,$H213&gt;0,OR(AUTOEVENTO&lt;&gt;"manual",$M213&lt;&gt;$A$15)),
        IF(Import.TipoArredondamento&lt;&gt;"TransfereGOV",
              ROUND(OFFSET($P213,0,AO$13),15-13*ORÇAMENTO!$AF$7)/$H213*OFFSET(ORÇAMENTO!$X$15,ROW(AO213)-ROW(AO$15),0),
              ROUND(ROUND(OFFSET($P213,0,AO$13),15-13*ORÇAMENTO!$AF$7)*OFFSET(ORÇAMENTO!$W$15,ROW(AO213)-ROW(AO$15),0),15-13*ORÇAMENTO!$AF$11)),
         0)</f>
        <v>0</v>
      </c>
      <c r="AP213" s="453">
        <f ca="1">IF(AND($D213="Serviço",AP$12&lt;&gt;0,$H213&gt;0,OR(AUTOEVENTO&lt;&gt;"manual",$M213&lt;&gt;$A$15)),
        IF(Import.TipoArredondamento&lt;&gt;"TransfereGOV",
              ROUND(OFFSET($P213,0,AP$13),15-13*ORÇAMENTO!$AF$7)/$H213*OFFSET(ORÇAMENTO!$X$15,ROW(AP213)-ROW(AP$15),0),
              ROUND(ROUND(OFFSET($P213,0,AP$13),15-13*ORÇAMENTO!$AF$7)*OFFSET(ORÇAMENTO!$W$15,ROW(AP213)-ROW(AP$15),0),15-13*ORÇAMENTO!$AF$11)),
         0)</f>
        <v>0</v>
      </c>
      <c r="AQ213" s="453">
        <f ca="1">IF(AND($D213="Serviço",AQ$12&lt;&gt;0,$H213&gt;0,OR(AUTOEVENTO&lt;&gt;"manual",$M213&lt;&gt;$A$15)),
        IF(Import.TipoArredondamento&lt;&gt;"TransfereGOV",
              ROUND(OFFSET($P213,0,AQ$13),15-13*ORÇAMENTO!$AF$7)/$H213*OFFSET(ORÇAMENTO!$X$15,ROW(AQ213)-ROW(AQ$15),0),
              ROUND(ROUND(OFFSET($P213,0,AQ$13),15-13*ORÇAMENTO!$AF$7)*OFFSET(ORÇAMENTO!$W$15,ROW(AQ213)-ROW(AQ$15),0),15-13*ORÇAMENTO!$AF$11)),
         0)</f>
        <v>0</v>
      </c>
      <c r="AR213" s="453">
        <f ca="1">IF(AND($D213="Serviço",AR$12&lt;&gt;0,$H213&gt;0,OR(AUTOEVENTO&lt;&gt;"manual",$M213&lt;&gt;$A$15)),
        IF(Import.TipoArredondamento&lt;&gt;"TransfereGOV",
              ROUND(OFFSET($P213,0,AR$13),15-13*ORÇAMENTO!$AF$7)/$H213*OFFSET(ORÇAMENTO!$X$15,ROW(AR213)-ROW(AR$15),0),
              ROUND(ROUND(OFFSET($P213,0,AR$13),15-13*ORÇAMENTO!$AF$7)*OFFSET(ORÇAMENTO!$W$15,ROW(AR213)-ROW(AR$15),0),15-13*ORÇAMENTO!$AF$11)),
         0)</f>
        <v>0</v>
      </c>
      <c r="AS213" s="453">
        <f ca="1">IF(AND($D213="Serviço",AS$12&lt;&gt;0,$H213&gt;0,OR(AUTOEVENTO&lt;&gt;"manual",$M213&lt;&gt;$A$15)),
        IF(Import.TipoArredondamento&lt;&gt;"TransfereGOV",
              ROUND(OFFSET($P213,0,AS$13),15-13*ORÇAMENTO!$AF$7)/$H213*OFFSET(ORÇAMENTO!$X$15,ROW(AS213)-ROW(AS$15),0),
              ROUND(ROUND(OFFSET($P213,0,AS$13),15-13*ORÇAMENTO!$AF$7)*OFFSET(ORÇAMENTO!$W$15,ROW(AS213)-ROW(AS$15),0),15-13*ORÇAMENTO!$AF$11)),
         0)</f>
        <v>0</v>
      </c>
      <c r="AT213" s="453">
        <f ca="1">IF(AND($D213="Serviço",AT$12&lt;&gt;0,$H213&gt;0,OR(AUTOEVENTO&lt;&gt;"manual",$M213&lt;&gt;$A$15)),
        IF(Import.TipoArredondamento&lt;&gt;"TransfereGOV",
              ROUND(OFFSET($P213,0,AT$13),15-13*ORÇAMENTO!$AF$7)/$H213*OFFSET(ORÇAMENTO!$X$15,ROW(AT213)-ROW(AT$15),0),
              ROUND(ROUND(OFFSET($P213,0,AT$13),15-13*ORÇAMENTO!$AF$7)*OFFSET(ORÇAMENTO!$W$15,ROW(AT213)-ROW(AT$15),0),15-13*ORÇAMENTO!$AF$11)),
         0)</f>
        <v>0</v>
      </c>
      <c r="AU213" s="453">
        <f ca="1">IF(AND($D213="Serviço",AU$12&lt;&gt;0,$H213&gt;0,OR(AUTOEVENTO&lt;&gt;"manual",$M213&lt;&gt;$A$15)),
        IF(Import.TipoArredondamento&lt;&gt;"TransfereGOV",
              ROUND(OFFSET($P213,0,AU$13),15-13*ORÇAMENTO!$AF$7)/$H213*OFFSET(ORÇAMENTO!$X$15,ROW(AU213)-ROW(AU$15),0),
              ROUND(ROUND(OFFSET($P213,0,AU$13),15-13*ORÇAMENTO!$AF$7)*OFFSET(ORÇAMENTO!$W$15,ROW(AU213)-ROW(AU$15),0),15-13*ORÇAMENTO!$AF$11)),
         0)</f>
        <v>0</v>
      </c>
      <c r="AV213" s="453">
        <f ca="1">IF(AND($D213="Serviço",AV$12&lt;&gt;0,$H213&gt;0,OR(AUTOEVENTO&lt;&gt;"manual",$M213&lt;&gt;$A$15)),
        IF(Import.TipoArredondamento&lt;&gt;"TransfereGOV",
              ROUND(OFFSET($P213,0,AV$13),15-13*ORÇAMENTO!$AF$7)/$H213*OFFSET(ORÇAMENTO!$X$15,ROW(AV213)-ROW(AV$15),0),
              ROUND(ROUND(OFFSET($P213,0,AV$13),15-13*ORÇAMENTO!$AF$7)*OFFSET(ORÇAMENTO!$W$15,ROW(AV213)-ROW(AV$15),0),15-13*ORÇAMENTO!$AF$11)),
         0)</f>
        <v>0</v>
      </c>
      <c r="AW213" s="453">
        <f ca="1">IF(AND($D213="Serviço",AW$12&lt;&gt;0,$H213&gt;0,OR(AUTOEVENTO&lt;&gt;"manual",$M213&lt;&gt;$A$15)),
        IF(Import.TipoArredondamento&lt;&gt;"TransfereGOV",
              ROUND(OFFSET($P213,0,AW$13),15-13*ORÇAMENTO!$AF$7)/$H213*OFFSET(ORÇAMENTO!$X$15,ROW(AW213)-ROW(AW$15),0),
              ROUND(ROUND(OFFSET($P213,0,AW$13),15-13*ORÇAMENTO!$AF$7)*OFFSET(ORÇAMENTO!$W$15,ROW(AW213)-ROW(AW$15),0),15-13*ORÇAMENTO!$AF$11)),
         0)</f>
        <v>0</v>
      </c>
      <c r="AX213" s="453">
        <f ca="1">IF(AND($D213="Serviço",AX$12&lt;&gt;0,$H213&gt;0,OR(AUTOEVENTO&lt;&gt;"manual",$M213&lt;&gt;$A$15)),
        IF(Import.TipoArredondamento&lt;&gt;"TransfereGOV",
              ROUND(OFFSET($P213,0,AX$13),15-13*ORÇAMENTO!$AF$7)/$H213*OFFSET(ORÇAMENTO!$X$15,ROW(AX213)-ROW(AX$15),0),
              ROUND(ROUND(OFFSET($P213,0,AX$13),15-13*ORÇAMENTO!$AF$7)*OFFSET(ORÇAMENTO!$W$15,ROW(AX213)-ROW(AX$15),0),15-13*ORÇAMENTO!$AF$11)),
         0)</f>
        <v>0</v>
      </c>
      <c r="AY213" s="453">
        <f ca="1">IF(AND($D213="Serviço",AY$12&lt;&gt;0,$H213&gt;0,OR(AUTOEVENTO&lt;&gt;"manual",$M213&lt;&gt;$A$15)),
        IF(Import.TipoArredondamento&lt;&gt;"TransfereGOV",
              ROUND(OFFSET($P213,0,AY$13),15-13*ORÇAMENTO!$AF$7)/$H213*OFFSET(ORÇAMENTO!$X$15,ROW(AY213)-ROW(AY$15),0),
              ROUND(ROUND(OFFSET($P213,0,AY$13),15-13*ORÇAMENTO!$AF$7)*OFFSET(ORÇAMENTO!$W$15,ROW(AY213)-ROW(AY$15),0),15-13*ORÇAMENTO!$AF$11)),
         0)</f>
        <v>0</v>
      </c>
      <c r="AZ213" s="453">
        <f ca="1">IF(AND($D213="Serviço",AZ$12&lt;&gt;0,$H213&gt;0,OR(AUTOEVENTO&lt;&gt;"manual",$M213&lt;&gt;$A$15)),
        IF(Import.TipoArredondamento&lt;&gt;"TransfereGOV",
              ROUND(OFFSET($P213,0,AZ$13),15-13*ORÇAMENTO!$AF$7)/$H213*OFFSET(ORÇAMENTO!$X$15,ROW(AZ213)-ROW(AZ$15),0),
              ROUND(ROUND(OFFSET($P213,0,AZ$13),15-13*ORÇAMENTO!$AF$7)*OFFSET(ORÇAMENTO!$W$15,ROW(AZ213)-ROW(AZ$15),0),15-13*ORÇAMENTO!$AF$11)),
         0)</f>
        <v>0</v>
      </c>
      <c r="BA213" s="453">
        <f ca="1">IF(AND($D213="Serviço",BA$12&lt;&gt;0,$H213&gt;0,OR(AUTOEVENTO&lt;&gt;"manual",$M213&lt;&gt;$A$15)),
        IF(Import.TipoArredondamento&lt;&gt;"TransfereGOV",
              ROUND(OFFSET($P213,0,BA$13),15-13*ORÇAMENTO!$AF$7)/$H213*OFFSET(ORÇAMENTO!$X$15,ROW(BA213)-ROW(BA$15),0),
              ROUND(ROUND(OFFSET($P213,0,BA$13),15-13*ORÇAMENTO!$AF$7)*OFFSET(ORÇAMENTO!$W$15,ROW(BA213)-ROW(BA$15),0),15-13*ORÇAMENTO!$AF$11)),
         0)</f>
        <v>0</v>
      </c>
      <c r="BC213" s="171">
        <f ca="1">IF(OR($D213&lt;&gt;"Serviço",AND(AUTOEVENTO="Manual",$M213=$A$15)),0,
         IF(OFFSET(CRONOPLE!$F$15,$M213-$A$15,BC$13)=0,10^12,OFFSET(CRONOPLE!$F$15,$M213-$A$15,BC$13)))</f>
        <v>1</v>
      </c>
      <c r="BD213" s="171">
        <f ca="1">IF(OR($D213&lt;&gt;"Serviço",AND(AUTOEVENTO="Manual",$M213=$A$15)),0,
         IF(OFFSET(CRONOPLE!$F$15,$M213-$A$15,BD$13)=0,10^12,OFFSET(CRONOPLE!$F$15,$M213-$A$15,BD$13)))</f>
        <v>2</v>
      </c>
      <c r="BE213" s="171">
        <f ca="1">IF(OR($D213&lt;&gt;"Serviço",AND(AUTOEVENTO="Manual",$M213=$A$15)),0,
         IF(OFFSET(CRONOPLE!$F$15,$M213-$A$15,BE$13)=0,10^12,OFFSET(CRONOPLE!$F$15,$M213-$A$15,BE$13)))</f>
        <v>3</v>
      </c>
      <c r="BF213" s="171">
        <f ca="1">IF(OR($D213&lt;&gt;"Serviço",AND(AUTOEVENTO="Manual",$M213=$A$15)),0,
         IF(OFFSET(CRONOPLE!$F$15,$M213-$A$15,BF$13)=0,10^12,OFFSET(CRONOPLE!$F$15,$M213-$A$15,BF$13)))</f>
        <v>4</v>
      </c>
      <c r="BG213" s="171">
        <f ca="1">IF(OR($D213&lt;&gt;"Serviço",AND(AUTOEVENTO="Manual",$M213=$A$15)),0,
         IF(OFFSET(CRONOPLE!$F$15,$M213-$A$15,BG$13)=0,10^12,OFFSET(CRONOPLE!$F$15,$M213-$A$15,BG$13)))</f>
        <v>5</v>
      </c>
      <c r="BH213" s="171">
        <f ca="1">IF(OR($D213&lt;&gt;"Serviço",AND(AUTOEVENTO="Manual",$M213=$A$15)),0,
         IF(OFFSET(CRONOPLE!$F$15,$M213-$A$15,BH$13)=0,10^12,OFFSET(CRONOPLE!$F$15,$M213-$A$15,BH$13)))</f>
        <v>6</v>
      </c>
      <c r="BI213" s="171">
        <f ca="1">IF(OR($D213&lt;&gt;"Serviço",AND(AUTOEVENTO="Manual",$M213=$A$15)),0,
         IF(OFFSET(CRONOPLE!$F$15,$M213-$A$15,BI$13)=0,10^12,OFFSET(CRONOPLE!$F$15,$M213-$A$15,BI$13)))</f>
        <v>7</v>
      </c>
      <c r="BJ213" s="171">
        <f ca="1">IF(OR($D213&lt;&gt;"Serviço",AND(AUTOEVENTO="Manual",$M213=$A$15)),0,
         IF(OFFSET(CRONOPLE!$F$15,$M213-$A$15,BJ$13)=0,10^12,OFFSET(CRONOPLE!$F$15,$M213-$A$15,BJ$13)))</f>
        <v>8</v>
      </c>
      <c r="BK213" s="171">
        <f ca="1">IF(OR($D213&lt;&gt;"Serviço",AND(AUTOEVENTO="Manual",$M213=$A$15)),0,
         IF(OFFSET(CRONOPLE!$F$15,$M213-$A$15,BK$13)=0,10^12,OFFSET(CRONOPLE!$F$15,$M213-$A$15,BK$13)))</f>
        <v>9</v>
      </c>
      <c r="BL213" s="171">
        <f ca="1">IF(OR($D213&lt;&gt;"Serviço",AND(AUTOEVENTO="Manual",$M213=$A$15)),0,
         IF(OFFSET(CRONOPLE!$F$15,$M213-$A$15,BL$13)=0,10^12,OFFSET(CRONOPLE!$F$15,$M213-$A$15,BL$13)))</f>
        <v>10</v>
      </c>
      <c r="BM213" s="171">
        <f ca="1">IF(OR($D213&lt;&gt;"Serviço",AND(AUTOEVENTO="Manual",$M213=$A$15)),0,
         IF(OFFSET(CRONOPLE!$F$15,$M213-$A$15,BM$13)=0,10^12,OFFSET(CRONOPLE!$F$15,$M213-$A$15,BM$13)))</f>
        <v>1000000000000</v>
      </c>
      <c r="BN213" s="171">
        <f ca="1">IF(OR($D213&lt;&gt;"Serviço",AND(AUTOEVENTO="Manual",$M213=$A$15)),0,
         IF(OFFSET(CRONOPLE!$F$15,$M213-$A$15,BN$13)=0,10^12,OFFSET(CRONOPLE!$F$15,$M213-$A$15,BN$13)))</f>
        <v>1000000000000</v>
      </c>
      <c r="BO213" s="171">
        <f ca="1">IF(OR($D213&lt;&gt;"Serviço",AND(AUTOEVENTO="Manual",$M213=$A$15)),0,
         IF(OFFSET(CRONOPLE!$F$15,$M213-$A$15,BO$13)=0,10^12,OFFSET(CRONOPLE!$F$15,$M213-$A$15,BO$13)))</f>
        <v>1000000000000</v>
      </c>
      <c r="BP213" s="171">
        <f ca="1">IF(OR($D213&lt;&gt;"Serviço",AND(AUTOEVENTO="Manual",$M213=$A$15)),0,
         IF(OFFSET(CRONOPLE!$F$15,$M213-$A$15,BP$13)=0,10^12,OFFSET(CRONOPLE!$F$15,$M213-$A$15,BP$13)))</f>
        <v>1000000000000</v>
      </c>
      <c r="BQ213" s="171">
        <f ca="1">IF(OR($D213&lt;&gt;"Serviço",AND(AUTOEVENTO="Manual",$M213=$A$15)),0,
         IF(OFFSET(CRONOPLE!$F$15,$M213-$A$15,BQ$13)=0,10^12,OFFSET(CRONOPLE!$F$15,$M213-$A$15,BQ$13)))</f>
        <v>1000000000000</v>
      </c>
      <c r="BR213" s="171">
        <f ca="1">IF(OR($D213&lt;&gt;"Serviço",AND(AUTOEVENTO="Manual",$M213=$A$15)),0,
         IF(OFFSET(CRONOPLE!$F$15,$M213-$A$15,BR$13)=0,10^12,OFFSET(CRONOPLE!$F$15,$M213-$A$15,BR$13)))</f>
        <v>1000000000000</v>
      </c>
      <c r="BS213" s="171">
        <f ca="1">IF(OR($D213&lt;&gt;"Serviço",AND(AUTOEVENTO="Manual",$M213=$A$15)),0,
         IF(OFFSET(CRONOPLE!$F$15,$M213-$A$15,BS$13)=0,10^12,OFFSET(CRONOPLE!$F$15,$M213-$A$15,BS$13)))</f>
        <v>1000000000000</v>
      </c>
      <c r="BT213" s="171">
        <f ca="1">IF(OR($D213&lt;&gt;"Serviço",AND(AUTOEVENTO="Manual",$M213=$A$15)),0,
         IF(OFFSET(CRONOPLE!$F$15,$M213-$A$15,BT$13)=0,10^12,OFFSET(CRONOPLE!$F$15,$M213-$A$15,BT$13)))</f>
        <v>1000000000000</v>
      </c>
      <c r="BV213" s="172">
        <f ca="1">IF(OR($D213&lt;&gt;"Serviço",AND(AUTOEVENTO="Manual",$M213=$A$15),$M213&gt;(ROW(PLE.lastrow)-ROW(PLE.firstrow))),0,
           IF(OFFSET(PLE!$G$15,$M213-$A$15,BV$13)="",10^12,OFFSET(PLE!$G$15,$M213-$A$15,BV$13)))</f>
        <v>1000000000000</v>
      </c>
      <c r="BW213" s="172">
        <f ca="1">IF(OR($D213&lt;&gt;"Serviço",AND(AUTOEVENTO="Manual",$M213=$A$15),$M213&gt;(ROW(PLE.lastrow)-ROW(PLE.firstrow))),0,
           IF(OFFSET(PLE!$G$15,$M213-$A$15,BW$13)="",10^12,OFFSET(PLE!$G$15,$M213-$A$15,BW$13)))</f>
        <v>1000000000000</v>
      </c>
      <c r="BX213" s="172">
        <f ca="1">IF(OR($D213&lt;&gt;"Serviço",AND(AUTOEVENTO="Manual",$M213=$A$15),$M213&gt;(ROW(PLE.lastrow)-ROW(PLE.firstrow))),0,
           IF(OFFSET(PLE!$G$15,$M213-$A$15,BX$13)="",10^12,OFFSET(PLE!$G$15,$M213-$A$15,BX$13)))</f>
        <v>1000000000000</v>
      </c>
      <c r="BY213" s="172">
        <f ca="1">IF(OR($D213&lt;&gt;"Serviço",AND(AUTOEVENTO="Manual",$M213=$A$15),$M213&gt;(ROW(PLE.lastrow)-ROW(PLE.firstrow))),0,
           IF(OFFSET(PLE!$G$15,$M213-$A$15,BY$13)="",10^12,OFFSET(PLE!$G$15,$M213-$A$15,BY$13)))</f>
        <v>1000000000000</v>
      </c>
      <c r="BZ213" s="172">
        <f ca="1">IF(OR($D213&lt;&gt;"Serviço",AND(AUTOEVENTO="Manual",$M213=$A$15),$M213&gt;(ROW(PLE.lastrow)-ROW(PLE.firstrow))),0,
           IF(OFFSET(PLE!$G$15,$M213-$A$15,BZ$13)="",10^12,OFFSET(PLE!$G$15,$M213-$A$15,BZ$13)))</f>
        <v>1000000000000</v>
      </c>
      <c r="CA213" s="172">
        <f ca="1">IF(OR($D213&lt;&gt;"Serviço",AND(AUTOEVENTO="Manual",$M213=$A$15),$M213&gt;(ROW(PLE.lastrow)-ROW(PLE.firstrow))),0,
           IF(OFFSET(PLE!$G$15,$M213-$A$15,CA$13)="",10^12,OFFSET(PLE!$G$15,$M213-$A$15,CA$13)))</f>
        <v>1000000000000</v>
      </c>
      <c r="CB213" s="172">
        <f ca="1">IF(OR($D213&lt;&gt;"Serviço",AND(AUTOEVENTO="Manual",$M213=$A$15),$M213&gt;(ROW(PLE.lastrow)-ROW(PLE.firstrow))),0,
           IF(OFFSET(PLE!$G$15,$M213-$A$15,CB$13)="",10^12,OFFSET(PLE!$G$15,$M213-$A$15,CB$13)))</f>
        <v>1000000000000</v>
      </c>
      <c r="CC213" s="172">
        <f ca="1">IF(OR($D213&lt;&gt;"Serviço",AND(AUTOEVENTO="Manual",$M213=$A$15),$M213&gt;(ROW(PLE.lastrow)-ROW(PLE.firstrow))),0,
           IF(OFFSET(PLE!$G$15,$M213-$A$15,CC$13)="",10^12,OFFSET(PLE!$G$15,$M213-$A$15,CC$13)))</f>
        <v>1000000000000</v>
      </c>
      <c r="CD213" s="172">
        <f ca="1">IF(OR($D213&lt;&gt;"Serviço",AND(AUTOEVENTO="Manual",$M213=$A$15),$M213&gt;(ROW(PLE.lastrow)-ROW(PLE.firstrow))),0,
           IF(OFFSET(PLE!$G$15,$M213-$A$15,CD$13)="",10^12,OFFSET(PLE!$G$15,$M213-$A$15,CD$13)))</f>
        <v>1000000000000</v>
      </c>
      <c r="CE213" s="172">
        <f ca="1">IF(OR($D213&lt;&gt;"Serviço",AND(AUTOEVENTO="Manual",$M213=$A$15),$M213&gt;(ROW(PLE.lastrow)-ROW(PLE.firstrow))),0,
           IF(OFFSET(PLE!$G$15,$M213-$A$15,CE$13)="",10^12,OFFSET(PLE!$G$15,$M213-$A$15,CE$13)))</f>
        <v>1000000000000</v>
      </c>
      <c r="CF213" s="172">
        <f ca="1">IF(OR($D213&lt;&gt;"Serviço",AND(AUTOEVENTO="Manual",$M213=$A$15),$M213&gt;(ROW(PLE.lastrow)-ROW(PLE.firstrow))),0,
           IF(OFFSET(PLE!$G$15,$M213-$A$15,CF$13)="",10^12,OFFSET(PLE!$G$15,$M213-$A$15,CF$13)))</f>
        <v>1000000000000</v>
      </c>
      <c r="CG213" s="172">
        <f ca="1">IF(OR($D213&lt;&gt;"Serviço",AND(AUTOEVENTO="Manual",$M213=$A$15),$M213&gt;(ROW(PLE.lastrow)-ROW(PLE.firstrow))),0,
           IF(OFFSET(PLE!$G$15,$M213-$A$15,CG$13)="",10^12,OFFSET(PLE!$G$15,$M213-$A$15,CG$13)))</f>
        <v>1000000000000</v>
      </c>
      <c r="CH213" s="172">
        <f ca="1">IF(OR($D213&lt;&gt;"Serviço",AND(AUTOEVENTO="Manual",$M213=$A$15),$M213&gt;(ROW(PLE.lastrow)-ROW(PLE.firstrow))),0,
           IF(OFFSET(PLE!$G$15,$M213-$A$15,CH$13)="",10^12,OFFSET(PLE!$G$15,$M213-$A$15,CH$13)))</f>
        <v>1000000000000</v>
      </c>
      <c r="CI213" s="172">
        <f ca="1">IF(OR($D213&lt;&gt;"Serviço",AND(AUTOEVENTO="Manual",$M213=$A$15),$M213&gt;(ROW(PLE.lastrow)-ROW(PLE.firstrow))),0,
           IF(OFFSET(PLE!$G$15,$M213-$A$15,CI$13)="",10^12,OFFSET(PLE!$G$15,$M213-$A$15,CI$13)))</f>
        <v>1000000000000</v>
      </c>
      <c r="CJ213" s="172">
        <f ca="1">IF(OR($D213&lt;&gt;"Serviço",AND(AUTOEVENTO="Manual",$M213=$A$15),$M213&gt;(ROW(PLE.lastrow)-ROW(PLE.firstrow))),0,
           IF(OFFSET(PLE!$G$15,$M213-$A$15,CJ$13)="",10^12,OFFSET(PLE!$G$15,$M213-$A$15,CJ$13)))</f>
        <v>1000000000000</v>
      </c>
      <c r="CK213" s="172">
        <f ca="1">IF(OR($D213&lt;&gt;"Serviço",AND(AUTOEVENTO="Manual",$M213=$A$15),$M213&gt;(ROW(PLE.lastrow)-ROW(PLE.firstrow))),0,
           IF(OFFSET(PLE!$G$15,$M213-$A$15,CK$13)="",10^12,OFFSET(PLE!$G$15,$M213-$A$15,CK$13)))</f>
        <v>1000000000000</v>
      </c>
      <c r="CL213" s="172">
        <f ca="1">IF(OR($D213&lt;&gt;"Serviço",AND(AUTOEVENTO="Manual",$M213=$A$15),$M213&gt;(ROW(PLE.lastrow)-ROW(PLE.firstrow))),0,
           IF(OFFSET(PLE!$G$15,$M213-$A$15,CL$13)="",10^12,OFFSET(PLE!$G$15,$M213-$A$15,CL$13)))</f>
        <v>1000000000000</v>
      </c>
      <c r="CM213" s="172">
        <f ca="1">IF(OR($D213&lt;&gt;"Serviço",AND(AUTOEVENTO="Manual",$M213=$A$15),$M213&gt;(ROW(PLE.lastrow)-ROW(PLE.firstrow))),0,
           IF(OFFSET(PLE!$G$15,$M213-$A$15,CM$13)="",10^12,OFFSET(PLE!$G$15,$M213-$A$15,CM$13)))</f>
        <v>1000000000000</v>
      </c>
    </row>
    <row r="214" spans="1:91" ht="51" x14ac:dyDescent="0.2">
      <c r="A214" s="7">
        <f t="shared" ca="1" si="13"/>
        <v>4</v>
      </c>
      <c r="B214" s="7" t="str">
        <f ca="1">OFFSET(ORÇAMENTO!C$15,ROW(B214)-ROW(B$15),0)</f>
        <v>S</v>
      </c>
      <c r="C214" s="7" t="str">
        <f ca="1">OFFSET(ORÇAMENTO!L$15,ROW(C214)-ROW(C$15),0)</f>
        <v>F</v>
      </c>
      <c r="D214" s="116" t="str">
        <f ca="1">OFFSET(ORÇAMENTO!N$15,ROW(D214)-ROW(D$15),0)</f>
        <v>Serviço</v>
      </c>
      <c r="E214" s="117" t="str">
        <f ca="1">OFFSET(ORÇAMENTO!O$15,ROW(E214)-ROW(E$15),0)</f>
        <v>1.5.6.1.6.</v>
      </c>
      <c r="F214" s="163" t="str">
        <f ca="1">OFFSET(ORÇAMENTO!R$15,ROW(F214)-ROW(F$15),0)</f>
        <v>CONSTRUÇÃO DE BASE E SUB-BASE PARA PAVIMENTAÇÃO DE BRITA GRADUADA SIMPLES TRATADA COM CIMENTO, COM ESPESSURA DE 15 CM - EXCLUSIVE CARGA E TRANSPORTE. AF_09/2024</v>
      </c>
      <c r="G214" s="164" t="str">
        <f ca="1">IF($D214&lt;&gt;"Serviço","",OFFSET(ORÇAMENTO!S$15,ROW(G214)-ROW(G$15),0))</f>
        <v>M3</v>
      </c>
      <c r="H214" s="122" cm="1">
        <f t="array" aca="1" ref="H214" ca="1">IF($D214&lt;&gt;"Serviço",0,IF(ACOMPANHAMENTO="BM",ROUND(OFFSET(ORÇAMENTO!AJ$15,ROW(H214)-ROW(H$15),0),15-13*ORÇAMENTO!$AF$7),SUMPRODUCT(($Q$1:$AI$1=1)*ROUND($Q214:$AI214,15-13*ORÇAMENTO!$AF$7))))</f>
        <v>1.58</v>
      </c>
      <c r="I214" s="468" t="s">
        <v>1342</v>
      </c>
      <c r="J214" s="640" t="str" cm="1">
        <f t="array" aca="1" ref="J214" ca="1">IF(OR(B214&lt;&gt;"S",CÁLCULO.FrentesPreenchidas=0),"",IF(AND(ACOMPANHAMENTO="PLE",AUTOEVENTO="Manual",OR(H214&gt;0,ORÇAMENTO!AC214="QUANT."),OR(K214="",M214=0,N214="")),"►E",IF(AND(ACOMPANHAMENTO="PLE",ORÇAMENTO!AC214="QUANT."),"►Q",IF(AND(ACOMPANHAMENTO="PLE",H214&lt;&gt;SUMPRODUCT(($Q$1:$AI$1=1)*ROUND(Q214:AI214,15))),"►S",IF(AND(COUNTIF($P$11:$AI$11,"▼")=0,H214&gt;0,I214=""),"◄M","")))))</f>
        <v/>
      </c>
      <c r="K214" s="641" t="s">
        <v>1389</v>
      </c>
      <c r="L214" s="165" t="s">
        <v>764</v>
      </c>
      <c r="M214" s="166">
        <f ca="1">IF($D214&lt;&gt;"Serviço","",
          IF(AUTOEVENTO="manual",$A214,
                IF(ISERROR(MATCH($A214,$A$15:OFFSET($A214,-1,0),0)),MAX($M$15:OFFSET(M214,-1,0))+1,
                      INDEX($M$15:OFFSET(M214,-1,0),MATCH($A214,$A$15:OFFSET($A214,-1,0),0)))))</f>
        <v>4</v>
      </c>
      <c r="N214" s="167" t="str">
        <f ca="1">IF($D214&lt;&gt;"Serviço","",
         IF(AUTOEVENTO="Manual",
                IF($A214=0,"&lt;-- defina o número do agrupador",
                       OFFSET(EVENTOS!$D$15,$A214-$A$15,0)),
                OFFSET($F$15,$A214,0)))</f>
        <v>Estruturas de Concreto</v>
      </c>
      <c r="O214" s="168"/>
      <c r="Q214" s="168"/>
      <c r="R214" s="169"/>
      <c r="S214" s="169"/>
      <c r="T214" s="169"/>
      <c r="U214" s="169"/>
      <c r="V214" s="169"/>
      <c r="W214" s="169"/>
      <c r="X214" s="169"/>
      <c r="Y214" s="169"/>
      <c r="Z214" s="170">
        <v>1.58</v>
      </c>
      <c r="AA214" s="169">
        <v>1.4</v>
      </c>
      <c r="AB214" s="169"/>
      <c r="AC214" s="169"/>
      <c r="AD214" s="169"/>
      <c r="AE214" s="169"/>
      <c r="AF214" s="169"/>
      <c r="AG214" s="169"/>
      <c r="AH214" s="170"/>
      <c r="AJ214" s="453">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0</v>
      </c>
      <c r="AK214" s="453">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0</v>
      </c>
      <c r="AL214" s="453">
        <f ca="1">IF(AND($D214="Serviço",AL$12&lt;&gt;0,$H214&gt;0,OR(AUTOEVENTO&lt;&gt;"manual",$M214&lt;&gt;$A$15)),
        IF(Import.TipoArredondamento&lt;&gt;"TransfereGOV",
              ROUND(OFFSET($P214,0,AL$13),15-13*ORÇAMENTO!$AF$7)/$H214*OFFSET(ORÇAMENTO!$X$15,ROW(AL214)-ROW(AL$15),0),
              ROUND(ROUND(OFFSET($P214,0,AL$13),15-13*ORÇAMENTO!$AF$7)*OFFSET(ORÇAMENTO!$W$15,ROW(AL214)-ROW(AL$15),0),15-13*ORÇAMENTO!$AF$11)),
         0)</f>
        <v>0</v>
      </c>
      <c r="AM214" s="453">
        <f ca="1">IF(AND($D214="Serviço",AM$12&lt;&gt;0,$H214&gt;0,OR(AUTOEVENTO&lt;&gt;"manual",$M214&lt;&gt;$A$15)),
        IF(Import.TipoArredondamento&lt;&gt;"TransfereGOV",
              ROUND(OFFSET($P214,0,AM$13),15-13*ORÇAMENTO!$AF$7)/$H214*OFFSET(ORÇAMENTO!$X$15,ROW(AM214)-ROW(AM$15),0),
              ROUND(ROUND(OFFSET($P214,0,AM$13),15-13*ORÇAMENTO!$AF$7)*OFFSET(ORÇAMENTO!$W$15,ROW(AM214)-ROW(AM$15),0),15-13*ORÇAMENTO!$AF$11)),
         0)</f>
        <v>0</v>
      </c>
      <c r="AN214" s="453">
        <f ca="1">IF(AND($D214="Serviço",AN$12&lt;&gt;0,$H214&gt;0,OR(AUTOEVENTO&lt;&gt;"manual",$M214&lt;&gt;$A$15)),
        IF(Import.TipoArredondamento&lt;&gt;"TransfereGOV",
              ROUND(OFFSET($P214,0,AN$13),15-13*ORÇAMENTO!$AF$7)/$H214*OFFSET(ORÇAMENTO!$X$15,ROW(AN214)-ROW(AN$15),0),
              ROUND(ROUND(OFFSET($P214,0,AN$13),15-13*ORÇAMENTO!$AF$7)*OFFSET(ORÇAMENTO!$W$15,ROW(AN214)-ROW(AN$15),0),15-13*ORÇAMENTO!$AF$11)),
         0)</f>
        <v>0</v>
      </c>
      <c r="AO214" s="453">
        <f ca="1">IF(AND($D214="Serviço",AO$12&lt;&gt;0,$H214&gt;0,OR(AUTOEVENTO&lt;&gt;"manual",$M214&lt;&gt;$A$15)),
        IF(Import.TipoArredondamento&lt;&gt;"TransfereGOV",
              ROUND(OFFSET($P214,0,AO$13),15-13*ORÇAMENTO!$AF$7)/$H214*OFFSET(ORÇAMENTO!$X$15,ROW(AO214)-ROW(AO$15),0),
              ROUND(ROUND(OFFSET($P214,0,AO$13),15-13*ORÇAMENTO!$AF$7)*OFFSET(ORÇAMENTO!$W$15,ROW(AO214)-ROW(AO$15),0),15-13*ORÇAMENTO!$AF$11)),
         0)</f>
        <v>0</v>
      </c>
      <c r="AP214" s="453">
        <f ca="1">IF(AND($D214="Serviço",AP$12&lt;&gt;0,$H214&gt;0,OR(AUTOEVENTO&lt;&gt;"manual",$M214&lt;&gt;$A$15)),
        IF(Import.TipoArredondamento&lt;&gt;"TransfereGOV",
              ROUND(OFFSET($P214,0,AP$13),15-13*ORÇAMENTO!$AF$7)/$H214*OFFSET(ORÇAMENTO!$X$15,ROW(AP214)-ROW(AP$15),0),
              ROUND(ROUND(OFFSET($P214,0,AP$13),15-13*ORÇAMENTO!$AF$7)*OFFSET(ORÇAMENTO!$W$15,ROW(AP214)-ROW(AP$15),0),15-13*ORÇAMENTO!$AF$11)),
         0)</f>
        <v>0</v>
      </c>
      <c r="AQ214" s="453">
        <f ca="1">IF(AND($D214="Serviço",AQ$12&lt;&gt;0,$H214&gt;0,OR(AUTOEVENTO&lt;&gt;"manual",$M214&lt;&gt;$A$15)),
        IF(Import.TipoArredondamento&lt;&gt;"TransfereGOV",
              ROUND(OFFSET($P214,0,AQ$13),15-13*ORÇAMENTO!$AF$7)/$H214*OFFSET(ORÇAMENTO!$X$15,ROW(AQ214)-ROW(AQ$15),0),
              ROUND(ROUND(OFFSET($P214,0,AQ$13),15-13*ORÇAMENTO!$AF$7)*OFFSET(ORÇAMENTO!$W$15,ROW(AQ214)-ROW(AQ$15),0),15-13*ORÇAMENTO!$AF$11)),
         0)</f>
        <v>0</v>
      </c>
      <c r="AR214" s="453">
        <f ca="1">IF(AND($D214="Serviço",AR$12&lt;&gt;0,$H214&gt;0,OR(AUTOEVENTO&lt;&gt;"manual",$M214&lt;&gt;$A$15)),
        IF(Import.TipoArredondamento&lt;&gt;"TransfereGOV",
              ROUND(OFFSET($P214,0,AR$13),15-13*ORÇAMENTO!$AF$7)/$H214*OFFSET(ORÇAMENTO!$X$15,ROW(AR214)-ROW(AR$15),0),
              ROUND(ROUND(OFFSET($P214,0,AR$13),15-13*ORÇAMENTO!$AF$7)*OFFSET(ORÇAMENTO!$W$15,ROW(AR214)-ROW(AR$15),0),15-13*ORÇAMENTO!$AF$11)),
         0)</f>
        <v>0</v>
      </c>
      <c r="AS214" s="453">
        <f ca="1">IF(AND($D214="Serviço",AS$12&lt;&gt;0,$H214&gt;0,OR(AUTOEVENTO&lt;&gt;"manual",$M214&lt;&gt;$A$15)),
        IF(Import.TipoArredondamento&lt;&gt;"TransfereGOV",
              ROUND(OFFSET($P214,0,AS$13),15-13*ORÇAMENTO!$AF$7)/$H214*OFFSET(ORÇAMENTO!$X$15,ROW(AS214)-ROW(AS$15),0),
              ROUND(ROUND(OFFSET($P214,0,AS$13),15-13*ORÇAMENTO!$AF$7)*OFFSET(ORÇAMENTO!$W$15,ROW(AS214)-ROW(AS$15),0),15-13*ORÇAMENTO!$AF$11)),
         0)</f>
        <v>0</v>
      </c>
      <c r="AT214" s="453">
        <f ca="1">IF(AND($D214="Serviço",AT$12&lt;&gt;0,$H214&gt;0,OR(AUTOEVENTO&lt;&gt;"manual",$M214&lt;&gt;$A$15)),
        IF(Import.TipoArredondamento&lt;&gt;"TransfereGOV",
              ROUND(OFFSET($P214,0,AT$13),15-13*ORÇAMENTO!$AF$7)/$H214*OFFSET(ORÇAMENTO!$X$15,ROW(AT214)-ROW(AT$15),0),
              ROUND(ROUND(OFFSET($P214,0,AT$13),15-13*ORÇAMENTO!$AF$7)*OFFSET(ORÇAMENTO!$W$15,ROW(AT214)-ROW(AT$15),0),15-13*ORÇAMENTO!$AF$11)),
         0)</f>
        <v>0</v>
      </c>
      <c r="AU214" s="453">
        <f ca="1">IF(AND($D214="Serviço",AU$12&lt;&gt;0,$H214&gt;0,OR(AUTOEVENTO&lt;&gt;"manual",$M214&lt;&gt;$A$15)),
        IF(Import.TipoArredondamento&lt;&gt;"TransfereGOV",
              ROUND(OFFSET($P214,0,AU$13),15-13*ORÇAMENTO!$AF$7)/$H214*OFFSET(ORÇAMENTO!$X$15,ROW(AU214)-ROW(AU$15),0),
              ROUND(ROUND(OFFSET($P214,0,AU$13),15-13*ORÇAMENTO!$AF$7)*OFFSET(ORÇAMENTO!$W$15,ROW(AU214)-ROW(AU$15),0),15-13*ORÇAMENTO!$AF$11)),
         0)</f>
        <v>0</v>
      </c>
      <c r="AV214" s="453">
        <f ca="1">IF(AND($D214="Serviço",AV$12&lt;&gt;0,$H214&gt;0,OR(AUTOEVENTO&lt;&gt;"manual",$M214&lt;&gt;$A$15)),
        IF(Import.TipoArredondamento&lt;&gt;"TransfereGOV",
              ROUND(OFFSET($P214,0,AV$13),15-13*ORÇAMENTO!$AF$7)/$H214*OFFSET(ORÇAMENTO!$X$15,ROW(AV214)-ROW(AV$15),0),
              ROUND(ROUND(OFFSET($P214,0,AV$13),15-13*ORÇAMENTO!$AF$7)*OFFSET(ORÇAMENTO!$W$15,ROW(AV214)-ROW(AV$15),0),15-13*ORÇAMENTO!$AF$11)),
         0)</f>
        <v>0</v>
      </c>
      <c r="AW214" s="453">
        <f ca="1">IF(AND($D214="Serviço",AW$12&lt;&gt;0,$H214&gt;0,OR(AUTOEVENTO&lt;&gt;"manual",$M214&lt;&gt;$A$15)),
        IF(Import.TipoArredondamento&lt;&gt;"TransfereGOV",
              ROUND(OFFSET($P214,0,AW$13),15-13*ORÇAMENTO!$AF$7)/$H214*OFFSET(ORÇAMENTO!$X$15,ROW(AW214)-ROW(AW$15),0),
              ROUND(ROUND(OFFSET($P214,0,AW$13),15-13*ORÇAMENTO!$AF$7)*OFFSET(ORÇAMENTO!$W$15,ROW(AW214)-ROW(AW$15),0),15-13*ORÇAMENTO!$AF$11)),
         0)</f>
        <v>0</v>
      </c>
      <c r="AX214" s="453">
        <f ca="1">IF(AND($D214="Serviço",AX$12&lt;&gt;0,$H214&gt;0,OR(AUTOEVENTO&lt;&gt;"manual",$M214&lt;&gt;$A$15)),
        IF(Import.TipoArredondamento&lt;&gt;"TransfereGOV",
              ROUND(OFFSET($P214,0,AX$13),15-13*ORÇAMENTO!$AF$7)/$H214*OFFSET(ORÇAMENTO!$X$15,ROW(AX214)-ROW(AX$15),0),
              ROUND(ROUND(OFFSET($P214,0,AX$13),15-13*ORÇAMENTO!$AF$7)*OFFSET(ORÇAMENTO!$W$15,ROW(AX214)-ROW(AX$15),0),15-13*ORÇAMENTO!$AF$11)),
         0)</f>
        <v>0</v>
      </c>
      <c r="AY214" s="453">
        <f ca="1">IF(AND($D214="Serviço",AY$12&lt;&gt;0,$H214&gt;0,OR(AUTOEVENTO&lt;&gt;"manual",$M214&lt;&gt;$A$15)),
        IF(Import.TipoArredondamento&lt;&gt;"TransfereGOV",
              ROUND(OFFSET($P214,0,AY$13),15-13*ORÇAMENTO!$AF$7)/$H214*OFFSET(ORÇAMENTO!$X$15,ROW(AY214)-ROW(AY$15),0),
              ROUND(ROUND(OFFSET($P214,0,AY$13),15-13*ORÇAMENTO!$AF$7)*OFFSET(ORÇAMENTO!$W$15,ROW(AY214)-ROW(AY$15),0),15-13*ORÇAMENTO!$AF$11)),
         0)</f>
        <v>0</v>
      </c>
      <c r="AZ214" s="453">
        <f ca="1">IF(AND($D214="Serviço",AZ$12&lt;&gt;0,$H214&gt;0,OR(AUTOEVENTO&lt;&gt;"manual",$M214&lt;&gt;$A$15)),
        IF(Import.TipoArredondamento&lt;&gt;"TransfereGOV",
              ROUND(OFFSET($P214,0,AZ$13),15-13*ORÇAMENTO!$AF$7)/$H214*OFFSET(ORÇAMENTO!$X$15,ROW(AZ214)-ROW(AZ$15),0),
              ROUND(ROUND(OFFSET($P214,0,AZ$13),15-13*ORÇAMENTO!$AF$7)*OFFSET(ORÇAMENTO!$W$15,ROW(AZ214)-ROW(AZ$15),0),15-13*ORÇAMENTO!$AF$11)),
         0)</f>
        <v>0</v>
      </c>
      <c r="BA214" s="453">
        <f ca="1">IF(AND($D214="Serviço",BA$12&lt;&gt;0,$H214&gt;0,OR(AUTOEVENTO&lt;&gt;"manual",$M214&lt;&gt;$A$15)),
        IF(Import.TipoArredondamento&lt;&gt;"TransfereGOV",
              ROUND(OFFSET($P214,0,BA$13),15-13*ORÇAMENTO!$AF$7)/$H214*OFFSET(ORÇAMENTO!$X$15,ROW(BA214)-ROW(BA$15),0),
              ROUND(ROUND(OFFSET($P214,0,BA$13),15-13*ORÇAMENTO!$AF$7)*OFFSET(ORÇAMENTO!$W$15,ROW(BA214)-ROW(BA$15),0),15-13*ORÇAMENTO!$AF$11)),
         0)</f>
        <v>0</v>
      </c>
      <c r="BC214" s="171">
        <f ca="1">IF(OR($D214&lt;&gt;"Serviço",AND(AUTOEVENTO="Manual",$M214=$A$15)),0,
         IF(OFFSET(CRONOPLE!$F$15,$M214-$A$15,BC$13)=0,10^12,OFFSET(CRONOPLE!$F$15,$M214-$A$15,BC$13)))</f>
        <v>1</v>
      </c>
      <c r="BD214" s="171">
        <f ca="1">IF(OR($D214&lt;&gt;"Serviço",AND(AUTOEVENTO="Manual",$M214=$A$15)),0,
         IF(OFFSET(CRONOPLE!$F$15,$M214-$A$15,BD$13)=0,10^12,OFFSET(CRONOPLE!$F$15,$M214-$A$15,BD$13)))</f>
        <v>2</v>
      </c>
      <c r="BE214" s="171">
        <f ca="1">IF(OR($D214&lt;&gt;"Serviço",AND(AUTOEVENTO="Manual",$M214=$A$15)),0,
         IF(OFFSET(CRONOPLE!$F$15,$M214-$A$15,BE$13)=0,10^12,OFFSET(CRONOPLE!$F$15,$M214-$A$15,BE$13)))</f>
        <v>3</v>
      </c>
      <c r="BF214" s="171">
        <f ca="1">IF(OR($D214&lt;&gt;"Serviço",AND(AUTOEVENTO="Manual",$M214=$A$15)),0,
         IF(OFFSET(CRONOPLE!$F$15,$M214-$A$15,BF$13)=0,10^12,OFFSET(CRONOPLE!$F$15,$M214-$A$15,BF$13)))</f>
        <v>4</v>
      </c>
      <c r="BG214" s="171">
        <f ca="1">IF(OR($D214&lt;&gt;"Serviço",AND(AUTOEVENTO="Manual",$M214=$A$15)),0,
         IF(OFFSET(CRONOPLE!$F$15,$M214-$A$15,BG$13)=0,10^12,OFFSET(CRONOPLE!$F$15,$M214-$A$15,BG$13)))</f>
        <v>5</v>
      </c>
      <c r="BH214" s="171">
        <f ca="1">IF(OR($D214&lt;&gt;"Serviço",AND(AUTOEVENTO="Manual",$M214=$A$15)),0,
         IF(OFFSET(CRONOPLE!$F$15,$M214-$A$15,BH$13)=0,10^12,OFFSET(CRONOPLE!$F$15,$M214-$A$15,BH$13)))</f>
        <v>6</v>
      </c>
      <c r="BI214" s="171">
        <f ca="1">IF(OR($D214&lt;&gt;"Serviço",AND(AUTOEVENTO="Manual",$M214=$A$15)),0,
         IF(OFFSET(CRONOPLE!$F$15,$M214-$A$15,BI$13)=0,10^12,OFFSET(CRONOPLE!$F$15,$M214-$A$15,BI$13)))</f>
        <v>7</v>
      </c>
      <c r="BJ214" s="171">
        <f ca="1">IF(OR($D214&lt;&gt;"Serviço",AND(AUTOEVENTO="Manual",$M214=$A$15)),0,
         IF(OFFSET(CRONOPLE!$F$15,$M214-$A$15,BJ$13)=0,10^12,OFFSET(CRONOPLE!$F$15,$M214-$A$15,BJ$13)))</f>
        <v>8</v>
      </c>
      <c r="BK214" s="171">
        <f ca="1">IF(OR($D214&lt;&gt;"Serviço",AND(AUTOEVENTO="Manual",$M214=$A$15)),0,
         IF(OFFSET(CRONOPLE!$F$15,$M214-$A$15,BK$13)=0,10^12,OFFSET(CRONOPLE!$F$15,$M214-$A$15,BK$13)))</f>
        <v>9</v>
      </c>
      <c r="BL214" s="171">
        <f ca="1">IF(OR($D214&lt;&gt;"Serviço",AND(AUTOEVENTO="Manual",$M214=$A$15)),0,
         IF(OFFSET(CRONOPLE!$F$15,$M214-$A$15,BL$13)=0,10^12,OFFSET(CRONOPLE!$F$15,$M214-$A$15,BL$13)))</f>
        <v>10</v>
      </c>
      <c r="BM214" s="171">
        <f ca="1">IF(OR($D214&lt;&gt;"Serviço",AND(AUTOEVENTO="Manual",$M214=$A$15)),0,
         IF(OFFSET(CRONOPLE!$F$15,$M214-$A$15,BM$13)=0,10^12,OFFSET(CRONOPLE!$F$15,$M214-$A$15,BM$13)))</f>
        <v>1000000000000</v>
      </c>
      <c r="BN214" s="171">
        <f ca="1">IF(OR($D214&lt;&gt;"Serviço",AND(AUTOEVENTO="Manual",$M214=$A$15)),0,
         IF(OFFSET(CRONOPLE!$F$15,$M214-$A$15,BN$13)=0,10^12,OFFSET(CRONOPLE!$F$15,$M214-$A$15,BN$13)))</f>
        <v>1000000000000</v>
      </c>
      <c r="BO214" s="171">
        <f ca="1">IF(OR($D214&lt;&gt;"Serviço",AND(AUTOEVENTO="Manual",$M214=$A$15)),0,
         IF(OFFSET(CRONOPLE!$F$15,$M214-$A$15,BO$13)=0,10^12,OFFSET(CRONOPLE!$F$15,$M214-$A$15,BO$13)))</f>
        <v>1000000000000</v>
      </c>
      <c r="BP214" s="171">
        <f ca="1">IF(OR($D214&lt;&gt;"Serviço",AND(AUTOEVENTO="Manual",$M214=$A$15)),0,
         IF(OFFSET(CRONOPLE!$F$15,$M214-$A$15,BP$13)=0,10^12,OFFSET(CRONOPLE!$F$15,$M214-$A$15,BP$13)))</f>
        <v>1000000000000</v>
      </c>
      <c r="BQ214" s="171">
        <f ca="1">IF(OR($D214&lt;&gt;"Serviço",AND(AUTOEVENTO="Manual",$M214=$A$15)),0,
         IF(OFFSET(CRONOPLE!$F$15,$M214-$A$15,BQ$13)=0,10^12,OFFSET(CRONOPLE!$F$15,$M214-$A$15,BQ$13)))</f>
        <v>1000000000000</v>
      </c>
      <c r="BR214" s="171">
        <f ca="1">IF(OR($D214&lt;&gt;"Serviço",AND(AUTOEVENTO="Manual",$M214=$A$15)),0,
         IF(OFFSET(CRONOPLE!$F$15,$M214-$A$15,BR$13)=0,10^12,OFFSET(CRONOPLE!$F$15,$M214-$A$15,BR$13)))</f>
        <v>1000000000000</v>
      </c>
      <c r="BS214" s="171">
        <f ca="1">IF(OR($D214&lt;&gt;"Serviço",AND(AUTOEVENTO="Manual",$M214=$A$15)),0,
         IF(OFFSET(CRONOPLE!$F$15,$M214-$A$15,BS$13)=0,10^12,OFFSET(CRONOPLE!$F$15,$M214-$A$15,BS$13)))</f>
        <v>1000000000000</v>
      </c>
      <c r="BT214" s="171">
        <f ca="1">IF(OR($D214&lt;&gt;"Serviço",AND(AUTOEVENTO="Manual",$M214=$A$15)),0,
         IF(OFFSET(CRONOPLE!$F$15,$M214-$A$15,BT$13)=0,10^12,OFFSET(CRONOPLE!$F$15,$M214-$A$15,BT$13)))</f>
        <v>1000000000000</v>
      </c>
      <c r="BV214" s="172">
        <f ca="1">IF(OR($D214&lt;&gt;"Serviço",AND(AUTOEVENTO="Manual",$M214=$A$15),$M214&gt;(ROW(PLE.lastrow)-ROW(PLE.firstrow))),0,
           IF(OFFSET(PLE!$G$15,$M214-$A$15,BV$13)="",10^12,OFFSET(PLE!$G$15,$M214-$A$15,BV$13)))</f>
        <v>1000000000000</v>
      </c>
      <c r="BW214" s="172">
        <f ca="1">IF(OR($D214&lt;&gt;"Serviço",AND(AUTOEVENTO="Manual",$M214=$A$15),$M214&gt;(ROW(PLE.lastrow)-ROW(PLE.firstrow))),0,
           IF(OFFSET(PLE!$G$15,$M214-$A$15,BW$13)="",10^12,OFFSET(PLE!$G$15,$M214-$A$15,BW$13)))</f>
        <v>1000000000000</v>
      </c>
      <c r="BX214" s="172">
        <f ca="1">IF(OR($D214&lt;&gt;"Serviço",AND(AUTOEVENTO="Manual",$M214=$A$15),$M214&gt;(ROW(PLE.lastrow)-ROW(PLE.firstrow))),0,
           IF(OFFSET(PLE!$G$15,$M214-$A$15,BX$13)="",10^12,OFFSET(PLE!$G$15,$M214-$A$15,BX$13)))</f>
        <v>1000000000000</v>
      </c>
      <c r="BY214" s="172">
        <f ca="1">IF(OR($D214&lt;&gt;"Serviço",AND(AUTOEVENTO="Manual",$M214=$A$15),$M214&gt;(ROW(PLE.lastrow)-ROW(PLE.firstrow))),0,
           IF(OFFSET(PLE!$G$15,$M214-$A$15,BY$13)="",10^12,OFFSET(PLE!$G$15,$M214-$A$15,BY$13)))</f>
        <v>1000000000000</v>
      </c>
      <c r="BZ214" s="172">
        <f ca="1">IF(OR($D214&lt;&gt;"Serviço",AND(AUTOEVENTO="Manual",$M214=$A$15),$M214&gt;(ROW(PLE.lastrow)-ROW(PLE.firstrow))),0,
           IF(OFFSET(PLE!$G$15,$M214-$A$15,BZ$13)="",10^12,OFFSET(PLE!$G$15,$M214-$A$15,BZ$13)))</f>
        <v>1000000000000</v>
      </c>
      <c r="CA214" s="172">
        <f ca="1">IF(OR($D214&lt;&gt;"Serviço",AND(AUTOEVENTO="Manual",$M214=$A$15),$M214&gt;(ROW(PLE.lastrow)-ROW(PLE.firstrow))),0,
           IF(OFFSET(PLE!$G$15,$M214-$A$15,CA$13)="",10^12,OFFSET(PLE!$G$15,$M214-$A$15,CA$13)))</f>
        <v>1000000000000</v>
      </c>
      <c r="CB214" s="172">
        <f ca="1">IF(OR($D214&lt;&gt;"Serviço",AND(AUTOEVENTO="Manual",$M214=$A$15),$M214&gt;(ROW(PLE.lastrow)-ROW(PLE.firstrow))),0,
           IF(OFFSET(PLE!$G$15,$M214-$A$15,CB$13)="",10^12,OFFSET(PLE!$G$15,$M214-$A$15,CB$13)))</f>
        <v>1000000000000</v>
      </c>
      <c r="CC214" s="172">
        <f ca="1">IF(OR($D214&lt;&gt;"Serviço",AND(AUTOEVENTO="Manual",$M214=$A$15),$M214&gt;(ROW(PLE.lastrow)-ROW(PLE.firstrow))),0,
           IF(OFFSET(PLE!$G$15,$M214-$A$15,CC$13)="",10^12,OFFSET(PLE!$G$15,$M214-$A$15,CC$13)))</f>
        <v>1000000000000</v>
      </c>
      <c r="CD214" s="172">
        <f ca="1">IF(OR($D214&lt;&gt;"Serviço",AND(AUTOEVENTO="Manual",$M214=$A$15),$M214&gt;(ROW(PLE.lastrow)-ROW(PLE.firstrow))),0,
           IF(OFFSET(PLE!$G$15,$M214-$A$15,CD$13)="",10^12,OFFSET(PLE!$G$15,$M214-$A$15,CD$13)))</f>
        <v>1000000000000</v>
      </c>
      <c r="CE214" s="172">
        <f ca="1">IF(OR($D214&lt;&gt;"Serviço",AND(AUTOEVENTO="Manual",$M214=$A$15),$M214&gt;(ROW(PLE.lastrow)-ROW(PLE.firstrow))),0,
           IF(OFFSET(PLE!$G$15,$M214-$A$15,CE$13)="",10^12,OFFSET(PLE!$G$15,$M214-$A$15,CE$13)))</f>
        <v>1000000000000</v>
      </c>
      <c r="CF214" s="172">
        <f ca="1">IF(OR($D214&lt;&gt;"Serviço",AND(AUTOEVENTO="Manual",$M214=$A$15),$M214&gt;(ROW(PLE.lastrow)-ROW(PLE.firstrow))),0,
           IF(OFFSET(PLE!$G$15,$M214-$A$15,CF$13)="",10^12,OFFSET(PLE!$G$15,$M214-$A$15,CF$13)))</f>
        <v>1000000000000</v>
      </c>
      <c r="CG214" s="172">
        <f ca="1">IF(OR($D214&lt;&gt;"Serviço",AND(AUTOEVENTO="Manual",$M214=$A$15),$M214&gt;(ROW(PLE.lastrow)-ROW(PLE.firstrow))),0,
           IF(OFFSET(PLE!$G$15,$M214-$A$15,CG$13)="",10^12,OFFSET(PLE!$G$15,$M214-$A$15,CG$13)))</f>
        <v>1000000000000</v>
      </c>
      <c r="CH214" s="172">
        <f ca="1">IF(OR($D214&lt;&gt;"Serviço",AND(AUTOEVENTO="Manual",$M214=$A$15),$M214&gt;(ROW(PLE.lastrow)-ROW(PLE.firstrow))),0,
           IF(OFFSET(PLE!$G$15,$M214-$A$15,CH$13)="",10^12,OFFSET(PLE!$G$15,$M214-$A$15,CH$13)))</f>
        <v>1000000000000</v>
      </c>
      <c r="CI214" s="172">
        <f ca="1">IF(OR($D214&lt;&gt;"Serviço",AND(AUTOEVENTO="Manual",$M214=$A$15),$M214&gt;(ROW(PLE.lastrow)-ROW(PLE.firstrow))),0,
           IF(OFFSET(PLE!$G$15,$M214-$A$15,CI$13)="",10^12,OFFSET(PLE!$G$15,$M214-$A$15,CI$13)))</f>
        <v>1000000000000</v>
      </c>
      <c r="CJ214" s="172">
        <f ca="1">IF(OR($D214&lt;&gt;"Serviço",AND(AUTOEVENTO="Manual",$M214=$A$15),$M214&gt;(ROW(PLE.lastrow)-ROW(PLE.firstrow))),0,
           IF(OFFSET(PLE!$G$15,$M214-$A$15,CJ$13)="",10^12,OFFSET(PLE!$G$15,$M214-$A$15,CJ$13)))</f>
        <v>1000000000000</v>
      </c>
      <c r="CK214" s="172">
        <f ca="1">IF(OR($D214&lt;&gt;"Serviço",AND(AUTOEVENTO="Manual",$M214=$A$15),$M214&gt;(ROW(PLE.lastrow)-ROW(PLE.firstrow))),0,
           IF(OFFSET(PLE!$G$15,$M214-$A$15,CK$13)="",10^12,OFFSET(PLE!$G$15,$M214-$A$15,CK$13)))</f>
        <v>1000000000000</v>
      </c>
      <c r="CL214" s="172">
        <f ca="1">IF(OR($D214&lt;&gt;"Serviço",AND(AUTOEVENTO="Manual",$M214=$A$15),$M214&gt;(ROW(PLE.lastrow)-ROW(PLE.firstrow))),0,
           IF(OFFSET(PLE!$G$15,$M214-$A$15,CL$13)="",10^12,OFFSET(PLE!$G$15,$M214-$A$15,CL$13)))</f>
        <v>1000000000000</v>
      </c>
      <c r="CM214" s="172">
        <f ca="1">IF(OR($D214&lt;&gt;"Serviço",AND(AUTOEVENTO="Manual",$M214=$A$15),$M214&gt;(ROW(PLE.lastrow)-ROW(PLE.firstrow))),0,
           IF(OFFSET(PLE!$G$15,$M214-$A$15,CM$13)="",10^12,OFFSET(PLE!$G$15,$M214-$A$15,CM$13)))</f>
        <v>1000000000000</v>
      </c>
    </row>
    <row r="215" spans="1:91" ht="12.75" x14ac:dyDescent="0.2">
      <c r="A215" s="7">
        <f t="shared" ca="1" si="13"/>
        <v>0</v>
      </c>
      <c r="B215" s="7">
        <f ca="1">OFFSET(ORÇAMENTO!C$15,ROW(B215)-ROW(B$15),0)</f>
        <v>2</v>
      </c>
      <c r="C215" s="7" t="str">
        <f ca="1">OFFSET(ORÇAMENTO!L$15,ROW(C215)-ROW(C$15),0)</f>
        <v>F</v>
      </c>
      <c r="D215" s="116" t="str">
        <f ca="1">OFFSET(ORÇAMENTO!N$15,ROW(D215)-ROW(D$15),0)</f>
        <v>Nível 2</v>
      </c>
      <c r="E215" s="117" t="str">
        <f ca="1">OFFSET(ORÇAMENTO!O$15,ROW(E215)-ROW(E$15),0)</f>
        <v>1.6.</v>
      </c>
      <c r="F215" s="163" t="str">
        <f ca="1">OFFSET(ORÇAMENTO!R$15,ROW(F215)-ROW(F$15),0)</f>
        <v>ESTRUTURA METÁLICA</v>
      </c>
      <c r="G215" s="164" t="str">
        <f ca="1">IF($D215&lt;&gt;"Serviço","",OFFSET(ORÇAMENTO!S$15,ROW(G215)-ROW(G$15),0))</f>
        <v/>
      </c>
      <c r="H215" s="122" cm="1">
        <f t="array" aca="1" ref="H215" ca="1">IF($D215&lt;&gt;"Serviço",0,IF(ACOMPANHAMENTO="BM",ROUND(OFFSET(ORÇAMENTO!AJ$15,ROW(H215)-ROW(H$15),0),15-13*ORÇAMENTO!$AF$7),SUMPRODUCT(($Q$1:$AI$1=1)*ROUND($Q215:$AI215,15-13*ORÇAMENTO!$AF$7))))</f>
        <v>0</v>
      </c>
      <c r="I215" s="468"/>
      <c r="J215" s="640" t="str" cm="1">
        <f t="array" aca="1" ref="J215" ca="1">IF(OR(B215&lt;&gt;"S",CÁLCULO.FrentesPreenchidas=0),"",IF(AND(ACOMPANHAMENTO="PLE",AUTOEVENTO="Manual",OR(H215&gt;0,ORÇAMENTO!AC215="QUANT."),OR(K215="",M215=0,N215="")),"►E",IF(AND(ACOMPANHAMENTO="PLE",ORÇAMENTO!AC215="QUANT."),"►Q",IF(AND(ACOMPANHAMENTO="PLE",H215&lt;&gt;SUMPRODUCT(($Q$1:$AI$1=1)*ROUND(Q215:AI215,15))),"►S",IF(AND(COUNTIF($P$11:$AI$11,"▼")=0,H215&gt;0,I215=""),"◄M","")))))</f>
        <v/>
      </c>
      <c r="K215" s="641"/>
      <c r="L215" s="165" t="s">
        <v>764</v>
      </c>
      <c r="M215" s="166" t="str">
        <f ca="1">IF($D215&lt;&gt;"Serviço","",
          IF(AUTOEVENTO="manual",$A215,
                IF(ISERROR(MATCH($A215,$A$15:OFFSET($A215,-1,0),0)),MAX($M$15:OFFSET(M215,-1,0))+1,
                      INDEX($M$15:OFFSET(M215,-1,0),MATCH($A215,$A$15:OFFSET($A215,-1,0),0)))))</f>
        <v/>
      </c>
      <c r="N215" s="167" t="str">
        <f ca="1">IF($D215&lt;&gt;"Serviço","",
         IF(AUTOEVENTO="Manual",
                IF($A215=0,"&lt;-- defina o número do agrupador",
                       OFFSET(EVENTOS!$D$15,$A215-$A$15,0)),
                OFFSET($F$15,$A215,0)))</f>
        <v/>
      </c>
      <c r="O215" s="168"/>
      <c r="Q215" s="168"/>
      <c r="R215" s="169"/>
      <c r="S215" s="169"/>
      <c r="T215" s="169"/>
      <c r="U215" s="169"/>
      <c r="V215" s="169"/>
      <c r="W215" s="169"/>
      <c r="X215" s="169"/>
      <c r="Y215" s="169"/>
      <c r="Z215" s="170"/>
      <c r="AA215" s="169"/>
      <c r="AB215" s="169"/>
      <c r="AC215" s="169"/>
      <c r="AD215" s="169"/>
      <c r="AE215" s="169"/>
      <c r="AF215" s="169"/>
      <c r="AG215" s="169"/>
      <c r="AH215" s="170"/>
      <c r="AJ215" s="453">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3">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L215" s="453">
        <f ca="1">IF(AND($D215="Serviço",AL$12&lt;&gt;0,$H215&gt;0,OR(AUTOEVENTO&lt;&gt;"manual",$M215&lt;&gt;$A$15)),
        IF(Import.TipoArredondamento&lt;&gt;"TransfereGOV",
              ROUND(OFFSET($P215,0,AL$13),15-13*ORÇAMENTO!$AF$7)/$H215*OFFSET(ORÇAMENTO!$X$15,ROW(AL215)-ROW(AL$15),0),
              ROUND(ROUND(OFFSET($P215,0,AL$13),15-13*ORÇAMENTO!$AF$7)*OFFSET(ORÇAMENTO!$W$15,ROW(AL215)-ROW(AL$15),0),15-13*ORÇAMENTO!$AF$11)),
         0)</f>
        <v>0</v>
      </c>
      <c r="AM215" s="453">
        <f ca="1">IF(AND($D215="Serviço",AM$12&lt;&gt;0,$H215&gt;0,OR(AUTOEVENTO&lt;&gt;"manual",$M215&lt;&gt;$A$15)),
        IF(Import.TipoArredondamento&lt;&gt;"TransfereGOV",
              ROUND(OFFSET($P215,0,AM$13),15-13*ORÇAMENTO!$AF$7)/$H215*OFFSET(ORÇAMENTO!$X$15,ROW(AM215)-ROW(AM$15),0),
              ROUND(ROUND(OFFSET($P215,0,AM$13),15-13*ORÇAMENTO!$AF$7)*OFFSET(ORÇAMENTO!$W$15,ROW(AM215)-ROW(AM$15),0),15-13*ORÇAMENTO!$AF$11)),
         0)</f>
        <v>0</v>
      </c>
      <c r="AN215" s="453">
        <f ca="1">IF(AND($D215="Serviço",AN$12&lt;&gt;0,$H215&gt;0,OR(AUTOEVENTO&lt;&gt;"manual",$M215&lt;&gt;$A$15)),
        IF(Import.TipoArredondamento&lt;&gt;"TransfereGOV",
              ROUND(OFFSET($P215,0,AN$13),15-13*ORÇAMENTO!$AF$7)/$H215*OFFSET(ORÇAMENTO!$X$15,ROW(AN215)-ROW(AN$15),0),
              ROUND(ROUND(OFFSET($P215,0,AN$13),15-13*ORÇAMENTO!$AF$7)*OFFSET(ORÇAMENTO!$W$15,ROW(AN215)-ROW(AN$15),0),15-13*ORÇAMENTO!$AF$11)),
         0)</f>
        <v>0</v>
      </c>
      <c r="AO215" s="453">
        <f ca="1">IF(AND($D215="Serviço",AO$12&lt;&gt;0,$H215&gt;0,OR(AUTOEVENTO&lt;&gt;"manual",$M215&lt;&gt;$A$15)),
        IF(Import.TipoArredondamento&lt;&gt;"TransfereGOV",
              ROUND(OFFSET($P215,0,AO$13),15-13*ORÇAMENTO!$AF$7)/$H215*OFFSET(ORÇAMENTO!$X$15,ROW(AO215)-ROW(AO$15),0),
              ROUND(ROUND(OFFSET($P215,0,AO$13),15-13*ORÇAMENTO!$AF$7)*OFFSET(ORÇAMENTO!$W$15,ROW(AO215)-ROW(AO$15),0),15-13*ORÇAMENTO!$AF$11)),
         0)</f>
        <v>0</v>
      </c>
      <c r="AP215" s="453">
        <f ca="1">IF(AND($D215="Serviço",AP$12&lt;&gt;0,$H215&gt;0,OR(AUTOEVENTO&lt;&gt;"manual",$M215&lt;&gt;$A$15)),
        IF(Import.TipoArredondamento&lt;&gt;"TransfereGOV",
              ROUND(OFFSET($P215,0,AP$13),15-13*ORÇAMENTO!$AF$7)/$H215*OFFSET(ORÇAMENTO!$X$15,ROW(AP215)-ROW(AP$15),0),
              ROUND(ROUND(OFFSET($P215,0,AP$13),15-13*ORÇAMENTO!$AF$7)*OFFSET(ORÇAMENTO!$W$15,ROW(AP215)-ROW(AP$15),0),15-13*ORÇAMENTO!$AF$11)),
         0)</f>
        <v>0</v>
      </c>
      <c r="AQ215" s="453">
        <f ca="1">IF(AND($D215="Serviço",AQ$12&lt;&gt;0,$H215&gt;0,OR(AUTOEVENTO&lt;&gt;"manual",$M215&lt;&gt;$A$15)),
        IF(Import.TipoArredondamento&lt;&gt;"TransfereGOV",
              ROUND(OFFSET($P215,0,AQ$13),15-13*ORÇAMENTO!$AF$7)/$H215*OFFSET(ORÇAMENTO!$X$15,ROW(AQ215)-ROW(AQ$15),0),
              ROUND(ROUND(OFFSET($P215,0,AQ$13),15-13*ORÇAMENTO!$AF$7)*OFFSET(ORÇAMENTO!$W$15,ROW(AQ215)-ROW(AQ$15),0),15-13*ORÇAMENTO!$AF$11)),
         0)</f>
        <v>0</v>
      </c>
      <c r="AR215" s="453">
        <f ca="1">IF(AND($D215="Serviço",AR$12&lt;&gt;0,$H215&gt;0,OR(AUTOEVENTO&lt;&gt;"manual",$M215&lt;&gt;$A$15)),
        IF(Import.TipoArredondamento&lt;&gt;"TransfereGOV",
              ROUND(OFFSET($P215,0,AR$13),15-13*ORÇAMENTO!$AF$7)/$H215*OFFSET(ORÇAMENTO!$X$15,ROW(AR215)-ROW(AR$15),0),
              ROUND(ROUND(OFFSET($P215,0,AR$13),15-13*ORÇAMENTO!$AF$7)*OFFSET(ORÇAMENTO!$W$15,ROW(AR215)-ROW(AR$15),0),15-13*ORÇAMENTO!$AF$11)),
         0)</f>
        <v>0</v>
      </c>
      <c r="AS215" s="453">
        <f ca="1">IF(AND($D215="Serviço",AS$12&lt;&gt;0,$H215&gt;0,OR(AUTOEVENTO&lt;&gt;"manual",$M215&lt;&gt;$A$15)),
        IF(Import.TipoArredondamento&lt;&gt;"TransfereGOV",
              ROUND(OFFSET($P215,0,AS$13),15-13*ORÇAMENTO!$AF$7)/$H215*OFFSET(ORÇAMENTO!$X$15,ROW(AS215)-ROW(AS$15),0),
              ROUND(ROUND(OFFSET($P215,0,AS$13),15-13*ORÇAMENTO!$AF$7)*OFFSET(ORÇAMENTO!$W$15,ROW(AS215)-ROW(AS$15),0),15-13*ORÇAMENTO!$AF$11)),
         0)</f>
        <v>0</v>
      </c>
      <c r="AT215" s="453">
        <f ca="1">IF(AND($D215="Serviço",AT$12&lt;&gt;0,$H215&gt;0,OR(AUTOEVENTO&lt;&gt;"manual",$M215&lt;&gt;$A$15)),
        IF(Import.TipoArredondamento&lt;&gt;"TransfereGOV",
              ROUND(OFFSET($P215,0,AT$13),15-13*ORÇAMENTO!$AF$7)/$H215*OFFSET(ORÇAMENTO!$X$15,ROW(AT215)-ROW(AT$15),0),
              ROUND(ROUND(OFFSET($P215,0,AT$13),15-13*ORÇAMENTO!$AF$7)*OFFSET(ORÇAMENTO!$W$15,ROW(AT215)-ROW(AT$15),0),15-13*ORÇAMENTO!$AF$11)),
         0)</f>
        <v>0</v>
      </c>
      <c r="AU215" s="453">
        <f ca="1">IF(AND($D215="Serviço",AU$12&lt;&gt;0,$H215&gt;0,OR(AUTOEVENTO&lt;&gt;"manual",$M215&lt;&gt;$A$15)),
        IF(Import.TipoArredondamento&lt;&gt;"TransfereGOV",
              ROUND(OFFSET($P215,0,AU$13),15-13*ORÇAMENTO!$AF$7)/$H215*OFFSET(ORÇAMENTO!$X$15,ROW(AU215)-ROW(AU$15),0),
              ROUND(ROUND(OFFSET($P215,0,AU$13),15-13*ORÇAMENTO!$AF$7)*OFFSET(ORÇAMENTO!$W$15,ROW(AU215)-ROW(AU$15),0),15-13*ORÇAMENTO!$AF$11)),
         0)</f>
        <v>0</v>
      </c>
      <c r="AV215" s="453">
        <f ca="1">IF(AND($D215="Serviço",AV$12&lt;&gt;0,$H215&gt;0,OR(AUTOEVENTO&lt;&gt;"manual",$M215&lt;&gt;$A$15)),
        IF(Import.TipoArredondamento&lt;&gt;"TransfereGOV",
              ROUND(OFFSET($P215,0,AV$13),15-13*ORÇAMENTO!$AF$7)/$H215*OFFSET(ORÇAMENTO!$X$15,ROW(AV215)-ROW(AV$15),0),
              ROUND(ROUND(OFFSET($P215,0,AV$13),15-13*ORÇAMENTO!$AF$7)*OFFSET(ORÇAMENTO!$W$15,ROW(AV215)-ROW(AV$15),0),15-13*ORÇAMENTO!$AF$11)),
         0)</f>
        <v>0</v>
      </c>
      <c r="AW215" s="453">
        <f ca="1">IF(AND($D215="Serviço",AW$12&lt;&gt;0,$H215&gt;0,OR(AUTOEVENTO&lt;&gt;"manual",$M215&lt;&gt;$A$15)),
        IF(Import.TipoArredondamento&lt;&gt;"TransfereGOV",
              ROUND(OFFSET($P215,0,AW$13),15-13*ORÇAMENTO!$AF$7)/$H215*OFFSET(ORÇAMENTO!$X$15,ROW(AW215)-ROW(AW$15),0),
              ROUND(ROUND(OFFSET($P215,0,AW$13),15-13*ORÇAMENTO!$AF$7)*OFFSET(ORÇAMENTO!$W$15,ROW(AW215)-ROW(AW$15),0),15-13*ORÇAMENTO!$AF$11)),
         0)</f>
        <v>0</v>
      </c>
      <c r="AX215" s="453">
        <f ca="1">IF(AND($D215="Serviço",AX$12&lt;&gt;0,$H215&gt;0,OR(AUTOEVENTO&lt;&gt;"manual",$M215&lt;&gt;$A$15)),
        IF(Import.TipoArredondamento&lt;&gt;"TransfereGOV",
              ROUND(OFFSET($P215,0,AX$13),15-13*ORÇAMENTO!$AF$7)/$H215*OFFSET(ORÇAMENTO!$X$15,ROW(AX215)-ROW(AX$15),0),
              ROUND(ROUND(OFFSET($P215,0,AX$13),15-13*ORÇAMENTO!$AF$7)*OFFSET(ORÇAMENTO!$W$15,ROW(AX215)-ROW(AX$15),0),15-13*ORÇAMENTO!$AF$11)),
         0)</f>
        <v>0</v>
      </c>
      <c r="AY215" s="453">
        <f ca="1">IF(AND($D215="Serviço",AY$12&lt;&gt;0,$H215&gt;0,OR(AUTOEVENTO&lt;&gt;"manual",$M215&lt;&gt;$A$15)),
        IF(Import.TipoArredondamento&lt;&gt;"TransfereGOV",
              ROUND(OFFSET($P215,0,AY$13),15-13*ORÇAMENTO!$AF$7)/$H215*OFFSET(ORÇAMENTO!$X$15,ROW(AY215)-ROW(AY$15),0),
              ROUND(ROUND(OFFSET($P215,0,AY$13),15-13*ORÇAMENTO!$AF$7)*OFFSET(ORÇAMENTO!$W$15,ROW(AY215)-ROW(AY$15),0),15-13*ORÇAMENTO!$AF$11)),
         0)</f>
        <v>0</v>
      </c>
      <c r="AZ215" s="453">
        <f ca="1">IF(AND($D215="Serviço",AZ$12&lt;&gt;0,$H215&gt;0,OR(AUTOEVENTO&lt;&gt;"manual",$M215&lt;&gt;$A$15)),
        IF(Import.TipoArredondamento&lt;&gt;"TransfereGOV",
              ROUND(OFFSET($P215,0,AZ$13),15-13*ORÇAMENTO!$AF$7)/$H215*OFFSET(ORÇAMENTO!$X$15,ROW(AZ215)-ROW(AZ$15),0),
              ROUND(ROUND(OFFSET($P215,0,AZ$13),15-13*ORÇAMENTO!$AF$7)*OFFSET(ORÇAMENTO!$W$15,ROW(AZ215)-ROW(AZ$15),0),15-13*ORÇAMENTO!$AF$11)),
         0)</f>
        <v>0</v>
      </c>
      <c r="BA215" s="453">
        <f ca="1">IF(AND($D215="Serviço",BA$12&lt;&gt;0,$H215&gt;0,OR(AUTOEVENTO&lt;&gt;"manual",$M215&lt;&gt;$A$15)),
        IF(Import.TipoArredondamento&lt;&gt;"TransfereGOV",
              ROUND(OFFSET($P215,0,BA$13),15-13*ORÇAMENTO!$AF$7)/$H215*OFFSET(ORÇAMENTO!$X$15,ROW(BA215)-ROW(BA$15),0),
              ROUND(ROUND(OFFSET($P215,0,BA$13),15-13*ORÇAMENTO!$AF$7)*OFFSET(ORÇAMENTO!$W$15,ROW(BA215)-ROW(BA$15),0),15-13*ORÇAMENTO!$AF$11)),
         0)</f>
        <v>0</v>
      </c>
      <c r="BC215" s="171">
        <f ca="1">IF(OR($D215&lt;&gt;"Serviço",AND(AUTOEVENTO="Manual",$M215=$A$15)),0,
         IF(OFFSET(CRONOPLE!$F$15,$M215-$A$15,BC$13)=0,10^12,OFFSET(CRONOPLE!$F$15,$M215-$A$15,BC$13)))</f>
        <v>0</v>
      </c>
      <c r="BD215" s="171">
        <f ca="1">IF(OR($D215&lt;&gt;"Serviço",AND(AUTOEVENTO="Manual",$M215=$A$15)),0,
         IF(OFFSET(CRONOPLE!$F$15,$M215-$A$15,BD$13)=0,10^12,OFFSET(CRONOPLE!$F$15,$M215-$A$15,BD$13)))</f>
        <v>0</v>
      </c>
      <c r="BE215" s="171">
        <f ca="1">IF(OR($D215&lt;&gt;"Serviço",AND(AUTOEVENTO="Manual",$M215=$A$15)),0,
         IF(OFFSET(CRONOPLE!$F$15,$M215-$A$15,BE$13)=0,10^12,OFFSET(CRONOPLE!$F$15,$M215-$A$15,BE$13)))</f>
        <v>0</v>
      </c>
      <c r="BF215" s="171">
        <f ca="1">IF(OR($D215&lt;&gt;"Serviço",AND(AUTOEVENTO="Manual",$M215=$A$15)),0,
         IF(OFFSET(CRONOPLE!$F$15,$M215-$A$15,BF$13)=0,10^12,OFFSET(CRONOPLE!$F$15,$M215-$A$15,BF$13)))</f>
        <v>0</v>
      </c>
      <c r="BG215" s="171">
        <f ca="1">IF(OR($D215&lt;&gt;"Serviço",AND(AUTOEVENTO="Manual",$M215=$A$15)),0,
         IF(OFFSET(CRONOPLE!$F$15,$M215-$A$15,BG$13)=0,10^12,OFFSET(CRONOPLE!$F$15,$M215-$A$15,BG$13)))</f>
        <v>0</v>
      </c>
      <c r="BH215" s="171">
        <f ca="1">IF(OR($D215&lt;&gt;"Serviço",AND(AUTOEVENTO="Manual",$M215=$A$15)),0,
         IF(OFFSET(CRONOPLE!$F$15,$M215-$A$15,BH$13)=0,10^12,OFFSET(CRONOPLE!$F$15,$M215-$A$15,BH$13)))</f>
        <v>0</v>
      </c>
      <c r="BI215" s="171">
        <f ca="1">IF(OR($D215&lt;&gt;"Serviço",AND(AUTOEVENTO="Manual",$M215=$A$15)),0,
         IF(OFFSET(CRONOPLE!$F$15,$M215-$A$15,BI$13)=0,10^12,OFFSET(CRONOPLE!$F$15,$M215-$A$15,BI$13)))</f>
        <v>0</v>
      </c>
      <c r="BJ215" s="171">
        <f ca="1">IF(OR($D215&lt;&gt;"Serviço",AND(AUTOEVENTO="Manual",$M215=$A$15)),0,
         IF(OFFSET(CRONOPLE!$F$15,$M215-$A$15,BJ$13)=0,10^12,OFFSET(CRONOPLE!$F$15,$M215-$A$15,BJ$13)))</f>
        <v>0</v>
      </c>
      <c r="BK215" s="171">
        <f ca="1">IF(OR($D215&lt;&gt;"Serviço",AND(AUTOEVENTO="Manual",$M215=$A$15)),0,
         IF(OFFSET(CRONOPLE!$F$15,$M215-$A$15,BK$13)=0,10^12,OFFSET(CRONOPLE!$F$15,$M215-$A$15,BK$13)))</f>
        <v>0</v>
      </c>
      <c r="BL215" s="171">
        <f ca="1">IF(OR($D215&lt;&gt;"Serviço",AND(AUTOEVENTO="Manual",$M215=$A$15)),0,
         IF(OFFSET(CRONOPLE!$F$15,$M215-$A$15,BL$13)=0,10^12,OFFSET(CRONOPLE!$F$15,$M215-$A$15,BL$13)))</f>
        <v>0</v>
      </c>
      <c r="BM215" s="171">
        <f ca="1">IF(OR($D215&lt;&gt;"Serviço",AND(AUTOEVENTO="Manual",$M215=$A$15)),0,
         IF(OFFSET(CRONOPLE!$F$15,$M215-$A$15,BM$13)=0,10^12,OFFSET(CRONOPLE!$F$15,$M215-$A$15,BM$13)))</f>
        <v>0</v>
      </c>
      <c r="BN215" s="171">
        <f ca="1">IF(OR($D215&lt;&gt;"Serviço",AND(AUTOEVENTO="Manual",$M215=$A$15)),0,
         IF(OFFSET(CRONOPLE!$F$15,$M215-$A$15,BN$13)=0,10^12,OFFSET(CRONOPLE!$F$15,$M215-$A$15,BN$13)))</f>
        <v>0</v>
      </c>
      <c r="BO215" s="171">
        <f ca="1">IF(OR($D215&lt;&gt;"Serviço",AND(AUTOEVENTO="Manual",$M215=$A$15)),0,
         IF(OFFSET(CRONOPLE!$F$15,$M215-$A$15,BO$13)=0,10^12,OFFSET(CRONOPLE!$F$15,$M215-$A$15,BO$13)))</f>
        <v>0</v>
      </c>
      <c r="BP215" s="171">
        <f ca="1">IF(OR($D215&lt;&gt;"Serviço",AND(AUTOEVENTO="Manual",$M215=$A$15)),0,
         IF(OFFSET(CRONOPLE!$F$15,$M215-$A$15,BP$13)=0,10^12,OFFSET(CRONOPLE!$F$15,$M215-$A$15,BP$13)))</f>
        <v>0</v>
      </c>
      <c r="BQ215" s="171">
        <f ca="1">IF(OR($D215&lt;&gt;"Serviço",AND(AUTOEVENTO="Manual",$M215=$A$15)),0,
         IF(OFFSET(CRONOPLE!$F$15,$M215-$A$15,BQ$13)=0,10^12,OFFSET(CRONOPLE!$F$15,$M215-$A$15,BQ$13)))</f>
        <v>0</v>
      </c>
      <c r="BR215" s="171">
        <f ca="1">IF(OR($D215&lt;&gt;"Serviço",AND(AUTOEVENTO="Manual",$M215=$A$15)),0,
         IF(OFFSET(CRONOPLE!$F$15,$M215-$A$15,BR$13)=0,10^12,OFFSET(CRONOPLE!$F$15,$M215-$A$15,BR$13)))</f>
        <v>0</v>
      </c>
      <c r="BS215" s="171">
        <f ca="1">IF(OR($D215&lt;&gt;"Serviço",AND(AUTOEVENTO="Manual",$M215=$A$15)),0,
         IF(OFFSET(CRONOPLE!$F$15,$M215-$A$15,BS$13)=0,10^12,OFFSET(CRONOPLE!$F$15,$M215-$A$15,BS$13)))</f>
        <v>0</v>
      </c>
      <c r="BT215" s="171">
        <f ca="1">IF(OR($D215&lt;&gt;"Serviço",AND(AUTOEVENTO="Manual",$M215=$A$15)),0,
         IF(OFFSET(CRONOPLE!$F$15,$M215-$A$15,BT$13)=0,10^12,OFFSET(CRONOPLE!$F$15,$M215-$A$15,BT$13)))</f>
        <v>0</v>
      </c>
      <c r="BV215" s="172">
        <f ca="1">IF(OR($D215&lt;&gt;"Serviço",AND(AUTOEVENTO="Manual",$M215=$A$15),$M215&gt;(ROW(PLE.lastrow)-ROW(PLE.firstrow))),0,
           IF(OFFSET(PLE!$G$15,$M215-$A$15,BV$13)="",10^12,OFFSET(PLE!$G$15,$M215-$A$15,BV$13)))</f>
        <v>0</v>
      </c>
      <c r="BW215" s="172">
        <f ca="1">IF(OR($D215&lt;&gt;"Serviço",AND(AUTOEVENTO="Manual",$M215=$A$15),$M215&gt;(ROW(PLE.lastrow)-ROW(PLE.firstrow))),0,
           IF(OFFSET(PLE!$G$15,$M215-$A$15,BW$13)="",10^12,OFFSET(PLE!$G$15,$M215-$A$15,BW$13)))</f>
        <v>0</v>
      </c>
      <c r="BX215" s="172">
        <f ca="1">IF(OR($D215&lt;&gt;"Serviço",AND(AUTOEVENTO="Manual",$M215=$A$15),$M215&gt;(ROW(PLE.lastrow)-ROW(PLE.firstrow))),0,
           IF(OFFSET(PLE!$G$15,$M215-$A$15,BX$13)="",10^12,OFFSET(PLE!$G$15,$M215-$A$15,BX$13)))</f>
        <v>0</v>
      </c>
      <c r="BY215" s="172">
        <f ca="1">IF(OR($D215&lt;&gt;"Serviço",AND(AUTOEVENTO="Manual",$M215=$A$15),$M215&gt;(ROW(PLE.lastrow)-ROW(PLE.firstrow))),0,
           IF(OFFSET(PLE!$G$15,$M215-$A$15,BY$13)="",10^12,OFFSET(PLE!$G$15,$M215-$A$15,BY$13)))</f>
        <v>0</v>
      </c>
      <c r="BZ215" s="172">
        <f ca="1">IF(OR($D215&lt;&gt;"Serviço",AND(AUTOEVENTO="Manual",$M215=$A$15),$M215&gt;(ROW(PLE.lastrow)-ROW(PLE.firstrow))),0,
           IF(OFFSET(PLE!$G$15,$M215-$A$15,BZ$13)="",10^12,OFFSET(PLE!$G$15,$M215-$A$15,BZ$13)))</f>
        <v>0</v>
      </c>
      <c r="CA215" s="172">
        <f ca="1">IF(OR($D215&lt;&gt;"Serviço",AND(AUTOEVENTO="Manual",$M215=$A$15),$M215&gt;(ROW(PLE.lastrow)-ROW(PLE.firstrow))),0,
           IF(OFFSET(PLE!$G$15,$M215-$A$15,CA$13)="",10^12,OFFSET(PLE!$G$15,$M215-$A$15,CA$13)))</f>
        <v>0</v>
      </c>
      <c r="CB215" s="172">
        <f ca="1">IF(OR($D215&lt;&gt;"Serviço",AND(AUTOEVENTO="Manual",$M215=$A$15),$M215&gt;(ROW(PLE.lastrow)-ROW(PLE.firstrow))),0,
           IF(OFFSET(PLE!$G$15,$M215-$A$15,CB$13)="",10^12,OFFSET(PLE!$G$15,$M215-$A$15,CB$13)))</f>
        <v>0</v>
      </c>
      <c r="CC215" s="172">
        <f ca="1">IF(OR($D215&lt;&gt;"Serviço",AND(AUTOEVENTO="Manual",$M215=$A$15),$M215&gt;(ROW(PLE.lastrow)-ROW(PLE.firstrow))),0,
           IF(OFFSET(PLE!$G$15,$M215-$A$15,CC$13)="",10^12,OFFSET(PLE!$G$15,$M215-$A$15,CC$13)))</f>
        <v>0</v>
      </c>
      <c r="CD215" s="172">
        <f ca="1">IF(OR($D215&lt;&gt;"Serviço",AND(AUTOEVENTO="Manual",$M215=$A$15),$M215&gt;(ROW(PLE.lastrow)-ROW(PLE.firstrow))),0,
           IF(OFFSET(PLE!$G$15,$M215-$A$15,CD$13)="",10^12,OFFSET(PLE!$G$15,$M215-$A$15,CD$13)))</f>
        <v>0</v>
      </c>
      <c r="CE215" s="172">
        <f ca="1">IF(OR($D215&lt;&gt;"Serviço",AND(AUTOEVENTO="Manual",$M215=$A$15),$M215&gt;(ROW(PLE.lastrow)-ROW(PLE.firstrow))),0,
           IF(OFFSET(PLE!$G$15,$M215-$A$15,CE$13)="",10^12,OFFSET(PLE!$G$15,$M215-$A$15,CE$13)))</f>
        <v>0</v>
      </c>
      <c r="CF215" s="172">
        <f ca="1">IF(OR($D215&lt;&gt;"Serviço",AND(AUTOEVENTO="Manual",$M215=$A$15),$M215&gt;(ROW(PLE.lastrow)-ROW(PLE.firstrow))),0,
           IF(OFFSET(PLE!$G$15,$M215-$A$15,CF$13)="",10^12,OFFSET(PLE!$G$15,$M215-$A$15,CF$13)))</f>
        <v>0</v>
      </c>
      <c r="CG215" s="172">
        <f ca="1">IF(OR($D215&lt;&gt;"Serviço",AND(AUTOEVENTO="Manual",$M215=$A$15),$M215&gt;(ROW(PLE.lastrow)-ROW(PLE.firstrow))),0,
           IF(OFFSET(PLE!$G$15,$M215-$A$15,CG$13)="",10^12,OFFSET(PLE!$G$15,$M215-$A$15,CG$13)))</f>
        <v>0</v>
      </c>
      <c r="CH215" s="172">
        <f ca="1">IF(OR($D215&lt;&gt;"Serviço",AND(AUTOEVENTO="Manual",$M215=$A$15),$M215&gt;(ROW(PLE.lastrow)-ROW(PLE.firstrow))),0,
           IF(OFFSET(PLE!$G$15,$M215-$A$15,CH$13)="",10^12,OFFSET(PLE!$G$15,$M215-$A$15,CH$13)))</f>
        <v>0</v>
      </c>
      <c r="CI215" s="172">
        <f ca="1">IF(OR($D215&lt;&gt;"Serviço",AND(AUTOEVENTO="Manual",$M215=$A$15),$M215&gt;(ROW(PLE.lastrow)-ROW(PLE.firstrow))),0,
           IF(OFFSET(PLE!$G$15,$M215-$A$15,CI$13)="",10^12,OFFSET(PLE!$G$15,$M215-$A$15,CI$13)))</f>
        <v>0</v>
      </c>
      <c r="CJ215" s="172">
        <f ca="1">IF(OR($D215&lt;&gt;"Serviço",AND(AUTOEVENTO="Manual",$M215=$A$15),$M215&gt;(ROW(PLE.lastrow)-ROW(PLE.firstrow))),0,
           IF(OFFSET(PLE!$G$15,$M215-$A$15,CJ$13)="",10^12,OFFSET(PLE!$G$15,$M215-$A$15,CJ$13)))</f>
        <v>0</v>
      </c>
      <c r="CK215" s="172">
        <f ca="1">IF(OR($D215&lt;&gt;"Serviço",AND(AUTOEVENTO="Manual",$M215=$A$15),$M215&gt;(ROW(PLE.lastrow)-ROW(PLE.firstrow))),0,
           IF(OFFSET(PLE!$G$15,$M215-$A$15,CK$13)="",10^12,OFFSET(PLE!$G$15,$M215-$A$15,CK$13)))</f>
        <v>0</v>
      </c>
      <c r="CL215" s="172">
        <f ca="1">IF(OR($D215&lt;&gt;"Serviço",AND(AUTOEVENTO="Manual",$M215=$A$15),$M215&gt;(ROW(PLE.lastrow)-ROW(PLE.firstrow))),0,
           IF(OFFSET(PLE!$G$15,$M215-$A$15,CL$13)="",10^12,OFFSET(PLE!$G$15,$M215-$A$15,CL$13)))</f>
        <v>0</v>
      </c>
      <c r="CM215" s="172">
        <f ca="1">IF(OR($D215&lt;&gt;"Serviço",AND(AUTOEVENTO="Manual",$M215=$A$15),$M215&gt;(ROW(PLE.lastrow)-ROW(PLE.firstrow))),0,
           IF(OFFSET(PLE!$G$15,$M215-$A$15,CM$13)="",10^12,OFFSET(PLE!$G$15,$M215-$A$15,CM$13)))</f>
        <v>0</v>
      </c>
    </row>
    <row r="216" spans="1:91" ht="12.75" x14ac:dyDescent="0.2">
      <c r="A216" s="7">
        <f t="shared" ca="1" si="13"/>
        <v>0</v>
      </c>
      <c r="B216" s="7">
        <f ca="1">OFFSET(ORÇAMENTO!C$15,ROW(B216)-ROW(B$15),0)</f>
        <v>3</v>
      </c>
      <c r="C216" s="7" t="str">
        <f ca="1">OFFSET(ORÇAMENTO!L$15,ROW(C216)-ROW(C$15),0)</f>
        <v>F</v>
      </c>
      <c r="D216" s="116" t="str">
        <f ca="1">OFFSET(ORÇAMENTO!N$15,ROW(D216)-ROW(D$15),0)</f>
        <v>Nível 3</v>
      </c>
      <c r="E216" s="117" t="str">
        <f ca="1">OFFSET(ORÇAMENTO!O$15,ROW(E216)-ROW(E$15),0)</f>
        <v>1.6.1.</v>
      </c>
      <c r="F216" s="163" t="str">
        <f ca="1">OFFSET(ORÇAMENTO!R$15,ROW(F216)-ROW(F$15),0)</f>
        <v>COBERTURA</v>
      </c>
      <c r="G216" s="164" t="str">
        <f ca="1">IF($D216&lt;&gt;"Serviço","",OFFSET(ORÇAMENTO!S$15,ROW(G216)-ROW(G$15),0))</f>
        <v/>
      </c>
      <c r="H216" s="122" cm="1">
        <f t="array" aca="1" ref="H216" ca="1">IF($D216&lt;&gt;"Serviço",0,IF(ACOMPANHAMENTO="BM",ROUND(OFFSET(ORÇAMENTO!AJ$15,ROW(H216)-ROW(H$15),0),15-13*ORÇAMENTO!$AF$7),SUMPRODUCT(($Q$1:$AI$1=1)*ROUND($Q216:$AI216,15-13*ORÇAMENTO!$AF$7))))</f>
        <v>0</v>
      </c>
      <c r="I216" s="468"/>
      <c r="J216" s="640" t="str" cm="1">
        <f t="array" aca="1" ref="J216" ca="1">IF(OR(B216&lt;&gt;"S",CÁLCULO.FrentesPreenchidas=0),"",IF(AND(ACOMPANHAMENTO="PLE",AUTOEVENTO="Manual",OR(H216&gt;0,ORÇAMENTO!AC216="QUANT."),OR(K216="",M216=0,N216="")),"►E",IF(AND(ACOMPANHAMENTO="PLE",ORÇAMENTO!AC216="QUANT."),"►Q",IF(AND(ACOMPANHAMENTO="PLE",H216&lt;&gt;SUMPRODUCT(($Q$1:$AI$1=1)*ROUND(Q216:AI216,15))),"►S",IF(AND(COUNTIF($P$11:$AI$11,"▼")=0,H216&gt;0,I216=""),"◄M","")))))</f>
        <v/>
      </c>
      <c r="K216" s="641"/>
      <c r="L216" s="165" t="s">
        <v>764</v>
      </c>
      <c r="M216" s="166" t="str">
        <f ca="1">IF($D216&lt;&gt;"Serviço","",
          IF(AUTOEVENTO="manual",$A216,
                IF(ISERROR(MATCH($A216,$A$15:OFFSET($A216,-1,0),0)),MAX($M$15:OFFSET(M216,-1,0))+1,
                      INDEX($M$15:OFFSET(M216,-1,0),MATCH($A216,$A$15:OFFSET($A216,-1,0),0)))))</f>
        <v/>
      </c>
      <c r="N216" s="167" t="str">
        <f ca="1">IF($D216&lt;&gt;"Serviço","",
         IF(AUTOEVENTO="Manual",
                IF($A216=0,"&lt;-- defina o número do agrupador",
                       OFFSET(EVENTOS!$D$15,$A216-$A$15,0)),
                OFFSET($F$15,$A216,0)))</f>
        <v/>
      </c>
      <c r="O216" s="168"/>
      <c r="Q216" s="168"/>
      <c r="R216" s="169"/>
      <c r="S216" s="169"/>
      <c r="T216" s="169"/>
      <c r="U216" s="169"/>
      <c r="V216" s="169"/>
      <c r="W216" s="169"/>
      <c r="X216" s="169"/>
      <c r="Y216" s="169"/>
      <c r="Z216" s="170"/>
      <c r="AA216" s="169"/>
      <c r="AB216" s="169"/>
      <c r="AC216" s="169"/>
      <c r="AD216" s="169"/>
      <c r="AE216" s="169"/>
      <c r="AF216" s="169"/>
      <c r="AG216" s="169"/>
      <c r="AH216" s="170"/>
      <c r="AJ216" s="453">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0</v>
      </c>
      <c r="AK216" s="453">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0</v>
      </c>
      <c r="AL216" s="453">
        <f ca="1">IF(AND($D216="Serviço",AL$12&lt;&gt;0,$H216&gt;0,OR(AUTOEVENTO&lt;&gt;"manual",$M216&lt;&gt;$A$15)),
        IF(Import.TipoArredondamento&lt;&gt;"TransfereGOV",
              ROUND(OFFSET($P216,0,AL$13),15-13*ORÇAMENTO!$AF$7)/$H216*OFFSET(ORÇAMENTO!$X$15,ROW(AL216)-ROW(AL$15),0),
              ROUND(ROUND(OFFSET($P216,0,AL$13),15-13*ORÇAMENTO!$AF$7)*OFFSET(ORÇAMENTO!$W$15,ROW(AL216)-ROW(AL$15),0),15-13*ORÇAMENTO!$AF$11)),
         0)</f>
        <v>0</v>
      </c>
      <c r="AM216" s="453">
        <f ca="1">IF(AND($D216="Serviço",AM$12&lt;&gt;0,$H216&gt;0,OR(AUTOEVENTO&lt;&gt;"manual",$M216&lt;&gt;$A$15)),
        IF(Import.TipoArredondamento&lt;&gt;"TransfereGOV",
              ROUND(OFFSET($P216,0,AM$13),15-13*ORÇAMENTO!$AF$7)/$H216*OFFSET(ORÇAMENTO!$X$15,ROW(AM216)-ROW(AM$15),0),
              ROUND(ROUND(OFFSET($P216,0,AM$13),15-13*ORÇAMENTO!$AF$7)*OFFSET(ORÇAMENTO!$W$15,ROW(AM216)-ROW(AM$15),0),15-13*ORÇAMENTO!$AF$11)),
         0)</f>
        <v>0</v>
      </c>
      <c r="AN216" s="453">
        <f ca="1">IF(AND($D216="Serviço",AN$12&lt;&gt;0,$H216&gt;0,OR(AUTOEVENTO&lt;&gt;"manual",$M216&lt;&gt;$A$15)),
        IF(Import.TipoArredondamento&lt;&gt;"TransfereGOV",
              ROUND(OFFSET($P216,0,AN$13),15-13*ORÇAMENTO!$AF$7)/$H216*OFFSET(ORÇAMENTO!$X$15,ROW(AN216)-ROW(AN$15),0),
              ROUND(ROUND(OFFSET($P216,0,AN$13),15-13*ORÇAMENTO!$AF$7)*OFFSET(ORÇAMENTO!$W$15,ROW(AN216)-ROW(AN$15),0),15-13*ORÇAMENTO!$AF$11)),
         0)</f>
        <v>0</v>
      </c>
      <c r="AO216" s="453">
        <f ca="1">IF(AND($D216="Serviço",AO$12&lt;&gt;0,$H216&gt;0,OR(AUTOEVENTO&lt;&gt;"manual",$M216&lt;&gt;$A$15)),
        IF(Import.TipoArredondamento&lt;&gt;"TransfereGOV",
              ROUND(OFFSET($P216,0,AO$13),15-13*ORÇAMENTO!$AF$7)/$H216*OFFSET(ORÇAMENTO!$X$15,ROW(AO216)-ROW(AO$15),0),
              ROUND(ROUND(OFFSET($P216,0,AO$13),15-13*ORÇAMENTO!$AF$7)*OFFSET(ORÇAMENTO!$W$15,ROW(AO216)-ROW(AO$15),0),15-13*ORÇAMENTO!$AF$11)),
         0)</f>
        <v>0</v>
      </c>
      <c r="AP216" s="453">
        <f ca="1">IF(AND($D216="Serviço",AP$12&lt;&gt;0,$H216&gt;0,OR(AUTOEVENTO&lt;&gt;"manual",$M216&lt;&gt;$A$15)),
        IF(Import.TipoArredondamento&lt;&gt;"TransfereGOV",
              ROUND(OFFSET($P216,0,AP$13),15-13*ORÇAMENTO!$AF$7)/$H216*OFFSET(ORÇAMENTO!$X$15,ROW(AP216)-ROW(AP$15),0),
              ROUND(ROUND(OFFSET($P216,0,AP$13),15-13*ORÇAMENTO!$AF$7)*OFFSET(ORÇAMENTO!$W$15,ROW(AP216)-ROW(AP$15),0),15-13*ORÇAMENTO!$AF$11)),
         0)</f>
        <v>0</v>
      </c>
      <c r="AQ216" s="453">
        <f ca="1">IF(AND($D216="Serviço",AQ$12&lt;&gt;0,$H216&gt;0,OR(AUTOEVENTO&lt;&gt;"manual",$M216&lt;&gt;$A$15)),
        IF(Import.TipoArredondamento&lt;&gt;"TransfereGOV",
              ROUND(OFFSET($P216,0,AQ$13),15-13*ORÇAMENTO!$AF$7)/$H216*OFFSET(ORÇAMENTO!$X$15,ROW(AQ216)-ROW(AQ$15),0),
              ROUND(ROUND(OFFSET($P216,0,AQ$13),15-13*ORÇAMENTO!$AF$7)*OFFSET(ORÇAMENTO!$W$15,ROW(AQ216)-ROW(AQ$15),0),15-13*ORÇAMENTO!$AF$11)),
         0)</f>
        <v>0</v>
      </c>
      <c r="AR216" s="453">
        <f ca="1">IF(AND($D216="Serviço",AR$12&lt;&gt;0,$H216&gt;0,OR(AUTOEVENTO&lt;&gt;"manual",$M216&lt;&gt;$A$15)),
        IF(Import.TipoArredondamento&lt;&gt;"TransfereGOV",
              ROUND(OFFSET($P216,0,AR$13),15-13*ORÇAMENTO!$AF$7)/$H216*OFFSET(ORÇAMENTO!$X$15,ROW(AR216)-ROW(AR$15),0),
              ROUND(ROUND(OFFSET($P216,0,AR$13),15-13*ORÇAMENTO!$AF$7)*OFFSET(ORÇAMENTO!$W$15,ROW(AR216)-ROW(AR$15),0),15-13*ORÇAMENTO!$AF$11)),
         0)</f>
        <v>0</v>
      </c>
      <c r="AS216" s="453">
        <f ca="1">IF(AND($D216="Serviço",AS$12&lt;&gt;0,$H216&gt;0,OR(AUTOEVENTO&lt;&gt;"manual",$M216&lt;&gt;$A$15)),
        IF(Import.TipoArredondamento&lt;&gt;"TransfereGOV",
              ROUND(OFFSET($P216,0,AS$13),15-13*ORÇAMENTO!$AF$7)/$H216*OFFSET(ORÇAMENTO!$X$15,ROW(AS216)-ROW(AS$15),0),
              ROUND(ROUND(OFFSET($P216,0,AS$13),15-13*ORÇAMENTO!$AF$7)*OFFSET(ORÇAMENTO!$W$15,ROW(AS216)-ROW(AS$15),0),15-13*ORÇAMENTO!$AF$11)),
         0)</f>
        <v>0</v>
      </c>
      <c r="AT216" s="453">
        <f ca="1">IF(AND($D216="Serviço",AT$12&lt;&gt;0,$H216&gt;0,OR(AUTOEVENTO&lt;&gt;"manual",$M216&lt;&gt;$A$15)),
        IF(Import.TipoArredondamento&lt;&gt;"TransfereGOV",
              ROUND(OFFSET($P216,0,AT$13),15-13*ORÇAMENTO!$AF$7)/$H216*OFFSET(ORÇAMENTO!$X$15,ROW(AT216)-ROW(AT$15),0),
              ROUND(ROUND(OFFSET($P216,0,AT$13),15-13*ORÇAMENTO!$AF$7)*OFFSET(ORÇAMENTO!$W$15,ROW(AT216)-ROW(AT$15),0),15-13*ORÇAMENTO!$AF$11)),
         0)</f>
        <v>0</v>
      </c>
      <c r="AU216" s="453">
        <f ca="1">IF(AND($D216="Serviço",AU$12&lt;&gt;0,$H216&gt;0,OR(AUTOEVENTO&lt;&gt;"manual",$M216&lt;&gt;$A$15)),
        IF(Import.TipoArredondamento&lt;&gt;"TransfereGOV",
              ROUND(OFFSET($P216,0,AU$13),15-13*ORÇAMENTO!$AF$7)/$H216*OFFSET(ORÇAMENTO!$X$15,ROW(AU216)-ROW(AU$15),0),
              ROUND(ROUND(OFFSET($P216,0,AU$13),15-13*ORÇAMENTO!$AF$7)*OFFSET(ORÇAMENTO!$W$15,ROW(AU216)-ROW(AU$15),0),15-13*ORÇAMENTO!$AF$11)),
         0)</f>
        <v>0</v>
      </c>
      <c r="AV216" s="453">
        <f ca="1">IF(AND($D216="Serviço",AV$12&lt;&gt;0,$H216&gt;0,OR(AUTOEVENTO&lt;&gt;"manual",$M216&lt;&gt;$A$15)),
        IF(Import.TipoArredondamento&lt;&gt;"TransfereGOV",
              ROUND(OFFSET($P216,0,AV$13),15-13*ORÇAMENTO!$AF$7)/$H216*OFFSET(ORÇAMENTO!$X$15,ROW(AV216)-ROW(AV$15),0),
              ROUND(ROUND(OFFSET($P216,0,AV$13),15-13*ORÇAMENTO!$AF$7)*OFFSET(ORÇAMENTO!$W$15,ROW(AV216)-ROW(AV$15),0),15-13*ORÇAMENTO!$AF$11)),
         0)</f>
        <v>0</v>
      </c>
      <c r="AW216" s="453">
        <f ca="1">IF(AND($D216="Serviço",AW$12&lt;&gt;0,$H216&gt;0,OR(AUTOEVENTO&lt;&gt;"manual",$M216&lt;&gt;$A$15)),
        IF(Import.TipoArredondamento&lt;&gt;"TransfereGOV",
              ROUND(OFFSET($P216,0,AW$13),15-13*ORÇAMENTO!$AF$7)/$H216*OFFSET(ORÇAMENTO!$X$15,ROW(AW216)-ROW(AW$15),0),
              ROUND(ROUND(OFFSET($P216,0,AW$13),15-13*ORÇAMENTO!$AF$7)*OFFSET(ORÇAMENTO!$W$15,ROW(AW216)-ROW(AW$15),0),15-13*ORÇAMENTO!$AF$11)),
         0)</f>
        <v>0</v>
      </c>
      <c r="AX216" s="453">
        <f ca="1">IF(AND($D216="Serviço",AX$12&lt;&gt;0,$H216&gt;0,OR(AUTOEVENTO&lt;&gt;"manual",$M216&lt;&gt;$A$15)),
        IF(Import.TipoArredondamento&lt;&gt;"TransfereGOV",
              ROUND(OFFSET($P216,0,AX$13),15-13*ORÇAMENTO!$AF$7)/$H216*OFFSET(ORÇAMENTO!$X$15,ROW(AX216)-ROW(AX$15),0),
              ROUND(ROUND(OFFSET($P216,0,AX$13),15-13*ORÇAMENTO!$AF$7)*OFFSET(ORÇAMENTO!$W$15,ROW(AX216)-ROW(AX$15),0),15-13*ORÇAMENTO!$AF$11)),
         0)</f>
        <v>0</v>
      </c>
      <c r="AY216" s="453">
        <f ca="1">IF(AND($D216="Serviço",AY$12&lt;&gt;0,$H216&gt;0,OR(AUTOEVENTO&lt;&gt;"manual",$M216&lt;&gt;$A$15)),
        IF(Import.TipoArredondamento&lt;&gt;"TransfereGOV",
              ROUND(OFFSET($P216,0,AY$13),15-13*ORÇAMENTO!$AF$7)/$H216*OFFSET(ORÇAMENTO!$X$15,ROW(AY216)-ROW(AY$15),0),
              ROUND(ROUND(OFFSET($P216,0,AY$13),15-13*ORÇAMENTO!$AF$7)*OFFSET(ORÇAMENTO!$W$15,ROW(AY216)-ROW(AY$15),0),15-13*ORÇAMENTO!$AF$11)),
         0)</f>
        <v>0</v>
      </c>
      <c r="AZ216" s="453">
        <f ca="1">IF(AND($D216="Serviço",AZ$12&lt;&gt;0,$H216&gt;0,OR(AUTOEVENTO&lt;&gt;"manual",$M216&lt;&gt;$A$15)),
        IF(Import.TipoArredondamento&lt;&gt;"TransfereGOV",
              ROUND(OFFSET($P216,0,AZ$13),15-13*ORÇAMENTO!$AF$7)/$H216*OFFSET(ORÇAMENTO!$X$15,ROW(AZ216)-ROW(AZ$15),0),
              ROUND(ROUND(OFFSET($P216,0,AZ$13),15-13*ORÇAMENTO!$AF$7)*OFFSET(ORÇAMENTO!$W$15,ROW(AZ216)-ROW(AZ$15),0),15-13*ORÇAMENTO!$AF$11)),
         0)</f>
        <v>0</v>
      </c>
      <c r="BA216" s="453">
        <f ca="1">IF(AND($D216="Serviço",BA$12&lt;&gt;0,$H216&gt;0,OR(AUTOEVENTO&lt;&gt;"manual",$M216&lt;&gt;$A$15)),
        IF(Import.TipoArredondamento&lt;&gt;"TransfereGOV",
              ROUND(OFFSET($P216,0,BA$13),15-13*ORÇAMENTO!$AF$7)/$H216*OFFSET(ORÇAMENTO!$X$15,ROW(BA216)-ROW(BA$15),0),
              ROUND(ROUND(OFFSET($P216,0,BA$13),15-13*ORÇAMENTO!$AF$7)*OFFSET(ORÇAMENTO!$W$15,ROW(BA216)-ROW(BA$15),0),15-13*ORÇAMENTO!$AF$11)),
         0)</f>
        <v>0</v>
      </c>
      <c r="BC216" s="171">
        <f ca="1">IF(OR($D216&lt;&gt;"Serviço",AND(AUTOEVENTO="Manual",$M216=$A$15)),0,
         IF(OFFSET(CRONOPLE!$F$15,$M216-$A$15,BC$13)=0,10^12,OFFSET(CRONOPLE!$F$15,$M216-$A$15,BC$13)))</f>
        <v>0</v>
      </c>
      <c r="BD216" s="171">
        <f ca="1">IF(OR($D216&lt;&gt;"Serviço",AND(AUTOEVENTO="Manual",$M216=$A$15)),0,
         IF(OFFSET(CRONOPLE!$F$15,$M216-$A$15,BD$13)=0,10^12,OFFSET(CRONOPLE!$F$15,$M216-$A$15,BD$13)))</f>
        <v>0</v>
      </c>
      <c r="BE216" s="171">
        <f ca="1">IF(OR($D216&lt;&gt;"Serviço",AND(AUTOEVENTO="Manual",$M216=$A$15)),0,
         IF(OFFSET(CRONOPLE!$F$15,$M216-$A$15,BE$13)=0,10^12,OFFSET(CRONOPLE!$F$15,$M216-$A$15,BE$13)))</f>
        <v>0</v>
      </c>
      <c r="BF216" s="171">
        <f ca="1">IF(OR($D216&lt;&gt;"Serviço",AND(AUTOEVENTO="Manual",$M216=$A$15)),0,
         IF(OFFSET(CRONOPLE!$F$15,$M216-$A$15,BF$13)=0,10^12,OFFSET(CRONOPLE!$F$15,$M216-$A$15,BF$13)))</f>
        <v>0</v>
      </c>
      <c r="BG216" s="171">
        <f ca="1">IF(OR($D216&lt;&gt;"Serviço",AND(AUTOEVENTO="Manual",$M216=$A$15)),0,
         IF(OFFSET(CRONOPLE!$F$15,$M216-$A$15,BG$13)=0,10^12,OFFSET(CRONOPLE!$F$15,$M216-$A$15,BG$13)))</f>
        <v>0</v>
      </c>
      <c r="BH216" s="171">
        <f ca="1">IF(OR($D216&lt;&gt;"Serviço",AND(AUTOEVENTO="Manual",$M216=$A$15)),0,
         IF(OFFSET(CRONOPLE!$F$15,$M216-$A$15,BH$13)=0,10^12,OFFSET(CRONOPLE!$F$15,$M216-$A$15,BH$13)))</f>
        <v>0</v>
      </c>
      <c r="BI216" s="171">
        <f ca="1">IF(OR($D216&lt;&gt;"Serviço",AND(AUTOEVENTO="Manual",$M216=$A$15)),0,
         IF(OFFSET(CRONOPLE!$F$15,$M216-$A$15,BI$13)=0,10^12,OFFSET(CRONOPLE!$F$15,$M216-$A$15,BI$13)))</f>
        <v>0</v>
      </c>
      <c r="BJ216" s="171">
        <f ca="1">IF(OR($D216&lt;&gt;"Serviço",AND(AUTOEVENTO="Manual",$M216=$A$15)),0,
         IF(OFFSET(CRONOPLE!$F$15,$M216-$A$15,BJ$13)=0,10^12,OFFSET(CRONOPLE!$F$15,$M216-$A$15,BJ$13)))</f>
        <v>0</v>
      </c>
      <c r="BK216" s="171">
        <f ca="1">IF(OR($D216&lt;&gt;"Serviço",AND(AUTOEVENTO="Manual",$M216=$A$15)),0,
         IF(OFFSET(CRONOPLE!$F$15,$M216-$A$15,BK$13)=0,10^12,OFFSET(CRONOPLE!$F$15,$M216-$A$15,BK$13)))</f>
        <v>0</v>
      </c>
      <c r="BL216" s="171">
        <f ca="1">IF(OR($D216&lt;&gt;"Serviço",AND(AUTOEVENTO="Manual",$M216=$A$15)),0,
         IF(OFFSET(CRONOPLE!$F$15,$M216-$A$15,BL$13)=0,10^12,OFFSET(CRONOPLE!$F$15,$M216-$A$15,BL$13)))</f>
        <v>0</v>
      </c>
      <c r="BM216" s="171">
        <f ca="1">IF(OR($D216&lt;&gt;"Serviço",AND(AUTOEVENTO="Manual",$M216=$A$15)),0,
         IF(OFFSET(CRONOPLE!$F$15,$M216-$A$15,BM$13)=0,10^12,OFFSET(CRONOPLE!$F$15,$M216-$A$15,BM$13)))</f>
        <v>0</v>
      </c>
      <c r="BN216" s="171">
        <f ca="1">IF(OR($D216&lt;&gt;"Serviço",AND(AUTOEVENTO="Manual",$M216=$A$15)),0,
         IF(OFFSET(CRONOPLE!$F$15,$M216-$A$15,BN$13)=0,10^12,OFFSET(CRONOPLE!$F$15,$M216-$A$15,BN$13)))</f>
        <v>0</v>
      </c>
      <c r="BO216" s="171">
        <f ca="1">IF(OR($D216&lt;&gt;"Serviço",AND(AUTOEVENTO="Manual",$M216=$A$15)),0,
         IF(OFFSET(CRONOPLE!$F$15,$M216-$A$15,BO$13)=0,10^12,OFFSET(CRONOPLE!$F$15,$M216-$A$15,BO$13)))</f>
        <v>0</v>
      </c>
      <c r="BP216" s="171">
        <f ca="1">IF(OR($D216&lt;&gt;"Serviço",AND(AUTOEVENTO="Manual",$M216=$A$15)),0,
         IF(OFFSET(CRONOPLE!$F$15,$M216-$A$15,BP$13)=0,10^12,OFFSET(CRONOPLE!$F$15,$M216-$A$15,BP$13)))</f>
        <v>0</v>
      </c>
      <c r="BQ216" s="171">
        <f ca="1">IF(OR($D216&lt;&gt;"Serviço",AND(AUTOEVENTO="Manual",$M216=$A$15)),0,
         IF(OFFSET(CRONOPLE!$F$15,$M216-$A$15,BQ$13)=0,10^12,OFFSET(CRONOPLE!$F$15,$M216-$A$15,BQ$13)))</f>
        <v>0</v>
      </c>
      <c r="BR216" s="171">
        <f ca="1">IF(OR($D216&lt;&gt;"Serviço",AND(AUTOEVENTO="Manual",$M216=$A$15)),0,
         IF(OFFSET(CRONOPLE!$F$15,$M216-$A$15,BR$13)=0,10^12,OFFSET(CRONOPLE!$F$15,$M216-$A$15,BR$13)))</f>
        <v>0</v>
      </c>
      <c r="BS216" s="171">
        <f ca="1">IF(OR($D216&lt;&gt;"Serviço",AND(AUTOEVENTO="Manual",$M216=$A$15)),0,
         IF(OFFSET(CRONOPLE!$F$15,$M216-$A$15,BS$13)=0,10^12,OFFSET(CRONOPLE!$F$15,$M216-$A$15,BS$13)))</f>
        <v>0</v>
      </c>
      <c r="BT216" s="171">
        <f ca="1">IF(OR($D216&lt;&gt;"Serviço",AND(AUTOEVENTO="Manual",$M216=$A$15)),0,
         IF(OFFSET(CRONOPLE!$F$15,$M216-$A$15,BT$13)=0,10^12,OFFSET(CRONOPLE!$F$15,$M216-$A$15,BT$13)))</f>
        <v>0</v>
      </c>
      <c r="BV216" s="172">
        <f ca="1">IF(OR($D216&lt;&gt;"Serviço",AND(AUTOEVENTO="Manual",$M216=$A$15),$M216&gt;(ROW(PLE.lastrow)-ROW(PLE.firstrow))),0,
           IF(OFFSET(PLE!$G$15,$M216-$A$15,BV$13)="",10^12,OFFSET(PLE!$G$15,$M216-$A$15,BV$13)))</f>
        <v>0</v>
      </c>
      <c r="BW216" s="172">
        <f ca="1">IF(OR($D216&lt;&gt;"Serviço",AND(AUTOEVENTO="Manual",$M216=$A$15),$M216&gt;(ROW(PLE.lastrow)-ROW(PLE.firstrow))),0,
           IF(OFFSET(PLE!$G$15,$M216-$A$15,BW$13)="",10^12,OFFSET(PLE!$G$15,$M216-$A$15,BW$13)))</f>
        <v>0</v>
      </c>
      <c r="BX216" s="172">
        <f ca="1">IF(OR($D216&lt;&gt;"Serviço",AND(AUTOEVENTO="Manual",$M216=$A$15),$M216&gt;(ROW(PLE.lastrow)-ROW(PLE.firstrow))),0,
           IF(OFFSET(PLE!$G$15,$M216-$A$15,BX$13)="",10^12,OFFSET(PLE!$G$15,$M216-$A$15,BX$13)))</f>
        <v>0</v>
      </c>
      <c r="BY216" s="172">
        <f ca="1">IF(OR($D216&lt;&gt;"Serviço",AND(AUTOEVENTO="Manual",$M216=$A$15),$M216&gt;(ROW(PLE.lastrow)-ROW(PLE.firstrow))),0,
           IF(OFFSET(PLE!$G$15,$M216-$A$15,BY$13)="",10^12,OFFSET(PLE!$G$15,$M216-$A$15,BY$13)))</f>
        <v>0</v>
      </c>
      <c r="BZ216" s="172">
        <f ca="1">IF(OR($D216&lt;&gt;"Serviço",AND(AUTOEVENTO="Manual",$M216=$A$15),$M216&gt;(ROW(PLE.lastrow)-ROW(PLE.firstrow))),0,
           IF(OFFSET(PLE!$G$15,$M216-$A$15,BZ$13)="",10^12,OFFSET(PLE!$G$15,$M216-$A$15,BZ$13)))</f>
        <v>0</v>
      </c>
      <c r="CA216" s="172">
        <f ca="1">IF(OR($D216&lt;&gt;"Serviço",AND(AUTOEVENTO="Manual",$M216=$A$15),$M216&gt;(ROW(PLE.lastrow)-ROW(PLE.firstrow))),0,
           IF(OFFSET(PLE!$G$15,$M216-$A$15,CA$13)="",10^12,OFFSET(PLE!$G$15,$M216-$A$15,CA$13)))</f>
        <v>0</v>
      </c>
      <c r="CB216" s="172">
        <f ca="1">IF(OR($D216&lt;&gt;"Serviço",AND(AUTOEVENTO="Manual",$M216=$A$15),$M216&gt;(ROW(PLE.lastrow)-ROW(PLE.firstrow))),0,
           IF(OFFSET(PLE!$G$15,$M216-$A$15,CB$13)="",10^12,OFFSET(PLE!$G$15,$M216-$A$15,CB$13)))</f>
        <v>0</v>
      </c>
      <c r="CC216" s="172">
        <f ca="1">IF(OR($D216&lt;&gt;"Serviço",AND(AUTOEVENTO="Manual",$M216=$A$15),$M216&gt;(ROW(PLE.lastrow)-ROW(PLE.firstrow))),0,
           IF(OFFSET(PLE!$G$15,$M216-$A$15,CC$13)="",10^12,OFFSET(PLE!$G$15,$M216-$A$15,CC$13)))</f>
        <v>0</v>
      </c>
      <c r="CD216" s="172">
        <f ca="1">IF(OR($D216&lt;&gt;"Serviço",AND(AUTOEVENTO="Manual",$M216=$A$15),$M216&gt;(ROW(PLE.lastrow)-ROW(PLE.firstrow))),0,
           IF(OFFSET(PLE!$G$15,$M216-$A$15,CD$13)="",10^12,OFFSET(PLE!$G$15,$M216-$A$15,CD$13)))</f>
        <v>0</v>
      </c>
      <c r="CE216" s="172">
        <f ca="1">IF(OR($D216&lt;&gt;"Serviço",AND(AUTOEVENTO="Manual",$M216=$A$15),$M216&gt;(ROW(PLE.lastrow)-ROW(PLE.firstrow))),0,
           IF(OFFSET(PLE!$G$15,$M216-$A$15,CE$13)="",10^12,OFFSET(PLE!$G$15,$M216-$A$15,CE$13)))</f>
        <v>0</v>
      </c>
      <c r="CF216" s="172">
        <f ca="1">IF(OR($D216&lt;&gt;"Serviço",AND(AUTOEVENTO="Manual",$M216=$A$15),$M216&gt;(ROW(PLE.lastrow)-ROW(PLE.firstrow))),0,
           IF(OFFSET(PLE!$G$15,$M216-$A$15,CF$13)="",10^12,OFFSET(PLE!$G$15,$M216-$A$15,CF$13)))</f>
        <v>0</v>
      </c>
      <c r="CG216" s="172">
        <f ca="1">IF(OR($D216&lt;&gt;"Serviço",AND(AUTOEVENTO="Manual",$M216=$A$15),$M216&gt;(ROW(PLE.lastrow)-ROW(PLE.firstrow))),0,
           IF(OFFSET(PLE!$G$15,$M216-$A$15,CG$13)="",10^12,OFFSET(PLE!$G$15,$M216-$A$15,CG$13)))</f>
        <v>0</v>
      </c>
      <c r="CH216" s="172">
        <f ca="1">IF(OR($D216&lt;&gt;"Serviço",AND(AUTOEVENTO="Manual",$M216=$A$15),$M216&gt;(ROW(PLE.lastrow)-ROW(PLE.firstrow))),0,
           IF(OFFSET(PLE!$G$15,$M216-$A$15,CH$13)="",10^12,OFFSET(PLE!$G$15,$M216-$A$15,CH$13)))</f>
        <v>0</v>
      </c>
      <c r="CI216" s="172">
        <f ca="1">IF(OR($D216&lt;&gt;"Serviço",AND(AUTOEVENTO="Manual",$M216=$A$15),$M216&gt;(ROW(PLE.lastrow)-ROW(PLE.firstrow))),0,
           IF(OFFSET(PLE!$G$15,$M216-$A$15,CI$13)="",10^12,OFFSET(PLE!$G$15,$M216-$A$15,CI$13)))</f>
        <v>0</v>
      </c>
      <c r="CJ216" s="172">
        <f ca="1">IF(OR($D216&lt;&gt;"Serviço",AND(AUTOEVENTO="Manual",$M216=$A$15),$M216&gt;(ROW(PLE.lastrow)-ROW(PLE.firstrow))),0,
           IF(OFFSET(PLE!$G$15,$M216-$A$15,CJ$13)="",10^12,OFFSET(PLE!$G$15,$M216-$A$15,CJ$13)))</f>
        <v>0</v>
      </c>
      <c r="CK216" s="172">
        <f ca="1">IF(OR($D216&lt;&gt;"Serviço",AND(AUTOEVENTO="Manual",$M216=$A$15),$M216&gt;(ROW(PLE.lastrow)-ROW(PLE.firstrow))),0,
           IF(OFFSET(PLE!$G$15,$M216-$A$15,CK$13)="",10^12,OFFSET(PLE!$G$15,$M216-$A$15,CK$13)))</f>
        <v>0</v>
      </c>
      <c r="CL216" s="172">
        <f ca="1">IF(OR($D216&lt;&gt;"Serviço",AND(AUTOEVENTO="Manual",$M216=$A$15),$M216&gt;(ROW(PLE.lastrow)-ROW(PLE.firstrow))),0,
           IF(OFFSET(PLE!$G$15,$M216-$A$15,CL$13)="",10^12,OFFSET(PLE!$G$15,$M216-$A$15,CL$13)))</f>
        <v>0</v>
      </c>
      <c r="CM216" s="172">
        <f ca="1">IF(OR($D216&lt;&gt;"Serviço",AND(AUTOEVENTO="Manual",$M216=$A$15),$M216&gt;(ROW(PLE.lastrow)-ROW(PLE.firstrow))),0,
           IF(OFFSET(PLE!$G$15,$M216-$A$15,CM$13)="",10^12,OFFSET(PLE!$G$15,$M216-$A$15,CM$13)))</f>
        <v>0</v>
      </c>
    </row>
    <row r="217" spans="1:91" ht="63.75" x14ac:dyDescent="0.2">
      <c r="A217" s="7">
        <f t="shared" ca="1" si="13"/>
        <v>5</v>
      </c>
      <c r="B217" s="7" t="str">
        <f ca="1">OFFSET(ORÇAMENTO!C$15,ROW(B217)-ROW(B$15),0)</f>
        <v>S</v>
      </c>
      <c r="C217" s="7" t="str">
        <f ca="1">OFFSET(ORÇAMENTO!L$15,ROW(C217)-ROW(C$15),0)</f>
        <v>F</v>
      </c>
      <c r="D217" s="116" t="str">
        <f ca="1">OFFSET(ORÇAMENTO!N$15,ROW(D217)-ROW(D$15),0)</f>
        <v>Serviço</v>
      </c>
      <c r="E217" s="117" t="str">
        <f ca="1">OFFSET(ORÇAMENTO!O$15,ROW(E217)-ROW(E$15),0)</f>
        <v>1.6.1.0.1.</v>
      </c>
      <c r="F217" s="163" t="str">
        <f ca="1">OFFSET(ORÇAMENTO!R$15,ROW(F217)-ROW(F$15),0)</f>
        <v>FORNECIMENTO DE ESTRUTURA METÁLICA EM PERFIL LAMINADO, INCLUSIVE FABRICAÇÃO, TRANSPORTE, MONTAGEM E APLICAÇÃO DE FUNDO PREPARADOR ANTICORROSIVO EM SUPERFÍCIE METÁLICA, UMA (1) DEMÃO</v>
      </c>
      <c r="G217" s="164" t="str">
        <f ca="1">IF($D217&lt;&gt;"Serviço","",OFFSET(ORÇAMENTO!S$15,ROW(G217)-ROW(G$15),0))</f>
        <v>KG</v>
      </c>
      <c r="H217" s="122" cm="1">
        <f t="array" aca="1" ref="H217" ca="1">IF($D217&lt;&gt;"Serviço",0,IF(ACOMPANHAMENTO="BM",ROUND(OFFSET(ORÇAMENTO!AJ$15,ROW(H217)-ROW(H$15),0),15-13*ORÇAMENTO!$AF$7),SUMPRODUCT(($Q$1:$AI$1=1)*ROUND($Q217:$AI217,15-13*ORÇAMENTO!$AF$7))))</f>
        <v>249.2</v>
      </c>
      <c r="I217" s="468" t="s">
        <v>1343</v>
      </c>
      <c r="J217" s="640" t="str" cm="1">
        <f t="array" aca="1" ref="J217" ca="1">IF(OR(B217&lt;&gt;"S",CÁLCULO.FrentesPreenchidas=0),"",IF(AND(ACOMPANHAMENTO="PLE",AUTOEVENTO="Manual",OR(H217&gt;0,ORÇAMENTO!AC217="QUANT."),OR(K217="",M217=0,N217="")),"►E",IF(AND(ACOMPANHAMENTO="PLE",ORÇAMENTO!AC217="QUANT."),"►Q",IF(AND(ACOMPANHAMENTO="PLE",H217&lt;&gt;SUMPRODUCT(($Q$1:$AI$1=1)*ROUND(Q217:AI217,15))),"►S",IF(AND(COUNTIF($P$11:$AI$11,"▼")=0,H217&gt;0,I217=""),"◄M","")))))</f>
        <v/>
      </c>
      <c r="K217" s="641" t="s">
        <v>1390</v>
      </c>
      <c r="L217" s="165" t="s">
        <v>764</v>
      </c>
      <c r="M217" s="166">
        <f ca="1">IF($D217&lt;&gt;"Serviço","",
          IF(AUTOEVENTO="manual",$A217,
                IF(ISERROR(MATCH($A217,$A$15:OFFSET($A217,-1,0),0)),MAX($M$15:OFFSET(M217,-1,0))+1,
                      INDEX($M$15:OFFSET(M217,-1,0),MATCH($A217,$A$15:OFFSET($A217,-1,0),0)))))</f>
        <v>5</v>
      </c>
      <c r="N217" s="167" t="str">
        <f ca="1">IF($D217&lt;&gt;"Serviço","",
         IF(AUTOEVENTO="Manual",
                IF($A217=0,"&lt;-- defina o número do agrupador",
                       OFFSET(EVENTOS!$D$15,$A217-$A$15,0)),
                OFFSET($F$15,$A217,0)))</f>
        <v>Estrutura Metálica</v>
      </c>
      <c r="O217" s="168"/>
      <c r="Q217" s="168"/>
      <c r="R217" s="169"/>
      <c r="S217" s="169"/>
      <c r="T217" s="169"/>
      <c r="U217" s="169"/>
      <c r="V217" s="169"/>
      <c r="W217" s="169">
        <v>249.2</v>
      </c>
      <c r="X217" s="169"/>
      <c r="Y217" s="169"/>
      <c r="Z217" s="170"/>
      <c r="AA217" s="169"/>
      <c r="AB217" s="169"/>
      <c r="AC217" s="169"/>
      <c r="AD217" s="169"/>
      <c r="AE217" s="169"/>
      <c r="AF217" s="169"/>
      <c r="AG217" s="169"/>
      <c r="AH217" s="170"/>
      <c r="AJ217" s="453">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0</v>
      </c>
      <c r="AK217" s="453">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0</v>
      </c>
      <c r="AL217" s="453">
        <f ca="1">IF(AND($D217="Serviço",AL$12&lt;&gt;0,$H217&gt;0,OR(AUTOEVENTO&lt;&gt;"manual",$M217&lt;&gt;$A$15)),
        IF(Import.TipoArredondamento&lt;&gt;"TransfereGOV",
              ROUND(OFFSET($P217,0,AL$13),15-13*ORÇAMENTO!$AF$7)/$H217*OFFSET(ORÇAMENTO!$X$15,ROW(AL217)-ROW(AL$15),0),
              ROUND(ROUND(OFFSET($P217,0,AL$13),15-13*ORÇAMENTO!$AF$7)*OFFSET(ORÇAMENTO!$W$15,ROW(AL217)-ROW(AL$15),0),15-13*ORÇAMENTO!$AF$11)),
         0)</f>
        <v>0</v>
      </c>
      <c r="AM217" s="453">
        <f ca="1">IF(AND($D217="Serviço",AM$12&lt;&gt;0,$H217&gt;0,OR(AUTOEVENTO&lt;&gt;"manual",$M217&lt;&gt;$A$15)),
        IF(Import.TipoArredondamento&lt;&gt;"TransfereGOV",
              ROUND(OFFSET($P217,0,AM$13),15-13*ORÇAMENTO!$AF$7)/$H217*OFFSET(ORÇAMENTO!$X$15,ROW(AM217)-ROW(AM$15),0),
              ROUND(ROUND(OFFSET($P217,0,AM$13),15-13*ORÇAMENTO!$AF$7)*OFFSET(ORÇAMENTO!$W$15,ROW(AM217)-ROW(AM$15),0),15-13*ORÇAMENTO!$AF$11)),
         0)</f>
        <v>0</v>
      </c>
      <c r="AN217" s="453">
        <f ca="1">IF(AND($D217="Serviço",AN$12&lt;&gt;0,$H217&gt;0,OR(AUTOEVENTO&lt;&gt;"manual",$M217&lt;&gt;$A$15)),
        IF(Import.TipoArredondamento&lt;&gt;"TransfereGOV",
              ROUND(OFFSET($P217,0,AN$13),15-13*ORÇAMENTO!$AF$7)/$H217*OFFSET(ORÇAMENTO!$X$15,ROW(AN217)-ROW(AN$15),0),
              ROUND(ROUND(OFFSET($P217,0,AN$13),15-13*ORÇAMENTO!$AF$7)*OFFSET(ORÇAMENTO!$W$15,ROW(AN217)-ROW(AN$15),0),15-13*ORÇAMENTO!$AF$11)),
         0)</f>
        <v>0</v>
      </c>
      <c r="AO217" s="453">
        <f ca="1">IF(AND($D217="Serviço",AO$12&lt;&gt;0,$H217&gt;0,OR(AUTOEVENTO&lt;&gt;"manual",$M217&lt;&gt;$A$15)),
        IF(Import.TipoArredondamento&lt;&gt;"TransfereGOV",
              ROUND(OFFSET($P217,0,AO$13),15-13*ORÇAMENTO!$AF$7)/$H217*OFFSET(ORÇAMENTO!$X$15,ROW(AO217)-ROW(AO$15),0),
              ROUND(ROUND(OFFSET($P217,0,AO$13),15-13*ORÇAMENTO!$AF$7)*OFFSET(ORÇAMENTO!$W$15,ROW(AO217)-ROW(AO$15),0),15-13*ORÇAMENTO!$AF$11)),
         0)</f>
        <v>0</v>
      </c>
      <c r="AP217" s="453">
        <f ca="1">IF(AND($D217="Serviço",AP$12&lt;&gt;0,$H217&gt;0,OR(AUTOEVENTO&lt;&gt;"manual",$M217&lt;&gt;$A$15)),
        IF(Import.TipoArredondamento&lt;&gt;"TransfereGOV",
              ROUND(OFFSET($P217,0,AP$13),15-13*ORÇAMENTO!$AF$7)/$H217*OFFSET(ORÇAMENTO!$X$15,ROW(AP217)-ROW(AP$15),0),
              ROUND(ROUND(OFFSET($P217,0,AP$13),15-13*ORÇAMENTO!$AF$7)*OFFSET(ORÇAMENTO!$W$15,ROW(AP217)-ROW(AP$15),0),15-13*ORÇAMENTO!$AF$11)),
         0)</f>
        <v>0</v>
      </c>
      <c r="AQ217" s="453">
        <f ca="1">IF(AND($D217="Serviço",AQ$12&lt;&gt;0,$H217&gt;0,OR(AUTOEVENTO&lt;&gt;"manual",$M217&lt;&gt;$A$15)),
        IF(Import.TipoArredondamento&lt;&gt;"TransfereGOV",
              ROUND(OFFSET($P217,0,AQ$13),15-13*ORÇAMENTO!$AF$7)/$H217*OFFSET(ORÇAMENTO!$X$15,ROW(AQ217)-ROW(AQ$15),0),
              ROUND(ROUND(OFFSET($P217,0,AQ$13),15-13*ORÇAMENTO!$AF$7)*OFFSET(ORÇAMENTO!$W$15,ROW(AQ217)-ROW(AQ$15),0),15-13*ORÇAMENTO!$AF$11)),
         0)</f>
        <v>0</v>
      </c>
      <c r="AR217" s="453">
        <f ca="1">IF(AND($D217="Serviço",AR$12&lt;&gt;0,$H217&gt;0,OR(AUTOEVENTO&lt;&gt;"manual",$M217&lt;&gt;$A$15)),
        IF(Import.TipoArredondamento&lt;&gt;"TransfereGOV",
              ROUND(OFFSET($P217,0,AR$13),15-13*ORÇAMENTO!$AF$7)/$H217*OFFSET(ORÇAMENTO!$X$15,ROW(AR217)-ROW(AR$15),0),
              ROUND(ROUND(OFFSET($P217,0,AR$13),15-13*ORÇAMENTO!$AF$7)*OFFSET(ORÇAMENTO!$W$15,ROW(AR217)-ROW(AR$15),0),15-13*ORÇAMENTO!$AF$11)),
         0)</f>
        <v>0</v>
      </c>
      <c r="AS217" s="453">
        <f ca="1">IF(AND($D217="Serviço",AS$12&lt;&gt;0,$H217&gt;0,OR(AUTOEVENTO&lt;&gt;"manual",$M217&lt;&gt;$A$15)),
        IF(Import.TipoArredondamento&lt;&gt;"TransfereGOV",
              ROUND(OFFSET($P217,0,AS$13),15-13*ORÇAMENTO!$AF$7)/$H217*OFFSET(ORÇAMENTO!$X$15,ROW(AS217)-ROW(AS$15),0),
              ROUND(ROUND(OFFSET($P217,0,AS$13),15-13*ORÇAMENTO!$AF$7)*OFFSET(ORÇAMENTO!$W$15,ROW(AS217)-ROW(AS$15),0),15-13*ORÇAMENTO!$AF$11)),
         0)</f>
        <v>0</v>
      </c>
      <c r="AT217" s="453">
        <f ca="1">IF(AND($D217="Serviço",AT$12&lt;&gt;0,$H217&gt;0,OR(AUTOEVENTO&lt;&gt;"manual",$M217&lt;&gt;$A$15)),
        IF(Import.TipoArredondamento&lt;&gt;"TransfereGOV",
              ROUND(OFFSET($P217,0,AT$13),15-13*ORÇAMENTO!$AF$7)/$H217*OFFSET(ORÇAMENTO!$X$15,ROW(AT217)-ROW(AT$15),0),
              ROUND(ROUND(OFFSET($P217,0,AT$13),15-13*ORÇAMENTO!$AF$7)*OFFSET(ORÇAMENTO!$W$15,ROW(AT217)-ROW(AT$15),0),15-13*ORÇAMENTO!$AF$11)),
         0)</f>
        <v>0</v>
      </c>
      <c r="AU217" s="453">
        <f ca="1">IF(AND($D217="Serviço",AU$12&lt;&gt;0,$H217&gt;0,OR(AUTOEVENTO&lt;&gt;"manual",$M217&lt;&gt;$A$15)),
        IF(Import.TipoArredondamento&lt;&gt;"TransfereGOV",
              ROUND(OFFSET($P217,0,AU$13),15-13*ORÇAMENTO!$AF$7)/$H217*OFFSET(ORÇAMENTO!$X$15,ROW(AU217)-ROW(AU$15),0),
              ROUND(ROUND(OFFSET($P217,0,AU$13),15-13*ORÇAMENTO!$AF$7)*OFFSET(ORÇAMENTO!$W$15,ROW(AU217)-ROW(AU$15),0),15-13*ORÇAMENTO!$AF$11)),
         0)</f>
        <v>0</v>
      </c>
      <c r="AV217" s="453">
        <f ca="1">IF(AND($D217="Serviço",AV$12&lt;&gt;0,$H217&gt;0,OR(AUTOEVENTO&lt;&gt;"manual",$M217&lt;&gt;$A$15)),
        IF(Import.TipoArredondamento&lt;&gt;"TransfereGOV",
              ROUND(OFFSET($P217,0,AV$13),15-13*ORÇAMENTO!$AF$7)/$H217*OFFSET(ORÇAMENTO!$X$15,ROW(AV217)-ROW(AV$15),0),
              ROUND(ROUND(OFFSET($P217,0,AV$13),15-13*ORÇAMENTO!$AF$7)*OFFSET(ORÇAMENTO!$W$15,ROW(AV217)-ROW(AV$15),0),15-13*ORÇAMENTO!$AF$11)),
         0)</f>
        <v>0</v>
      </c>
      <c r="AW217" s="453">
        <f ca="1">IF(AND($D217="Serviço",AW$12&lt;&gt;0,$H217&gt;0,OR(AUTOEVENTO&lt;&gt;"manual",$M217&lt;&gt;$A$15)),
        IF(Import.TipoArredondamento&lt;&gt;"TransfereGOV",
              ROUND(OFFSET($P217,0,AW$13),15-13*ORÇAMENTO!$AF$7)/$H217*OFFSET(ORÇAMENTO!$X$15,ROW(AW217)-ROW(AW$15),0),
              ROUND(ROUND(OFFSET($P217,0,AW$13),15-13*ORÇAMENTO!$AF$7)*OFFSET(ORÇAMENTO!$W$15,ROW(AW217)-ROW(AW$15),0),15-13*ORÇAMENTO!$AF$11)),
         0)</f>
        <v>0</v>
      </c>
      <c r="AX217" s="453">
        <f ca="1">IF(AND($D217="Serviço",AX$12&lt;&gt;0,$H217&gt;0,OR(AUTOEVENTO&lt;&gt;"manual",$M217&lt;&gt;$A$15)),
        IF(Import.TipoArredondamento&lt;&gt;"TransfereGOV",
              ROUND(OFFSET($P217,0,AX$13),15-13*ORÇAMENTO!$AF$7)/$H217*OFFSET(ORÇAMENTO!$X$15,ROW(AX217)-ROW(AX$15),0),
              ROUND(ROUND(OFFSET($P217,0,AX$13),15-13*ORÇAMENTO!$AF$7)*OFFSET(ORÇAMENTO!$W$15,ROW(AX217)-ROW(AX$15),0),15-13*ORÇAMENTO!$AF$11)),
         0)</f>
        <v>0</v>
      </c>
      <c r="AY217" s="453">
        <f ca="1">IF(AND($D217="Serviço",AY$12&lt;&gt;0,$H217&gt;0,OR(AUTOEVENTO&lt;&gt;"manual",$M217&lt;&gt;$A$15)),
        IF(Import.TipoArredondamento&lt;&gt;"TransfereGOV",
              ROUND(OFFSET($P217,0,AY$13),15-13*ORÇAMENTO!$AF$7)/$H217*OFFSET(ORÇAMENTO!$X$15,ROW(AY217)-ROW(AY$15),0),
              ROUND(ROUND(OFFSET($P217,0,AY$13),15-13*ORÇAMENTO!$AF$7)*OFFSET(ORÇAMENTO!$W$15,ROW(AY217)-ROW(AY$15),0),15-13*ORÇAMENTO!$AF$11)),
         0)</f>
        <v>0</v>
      </c>
      <c r="AZ217" s="453">
        <f ca="1">IF(AND($D217="Serviço",AZ$12&lt;&gt;0,$H217&gt;0,OR(AUTOEVENTO&lt;&gt;"manual",$M217&lt;&gt;$A$15)),
        IF(Import.TipoArredondamento&lt;&gt;"TransfereGOV",
              ROUND(OFFSET($P217,0,AZ$13),15-13*ORÇAMENTO!$AF$7)/$H217*OFFSET(ORÇAMENTO!$X$15,ROW(AZ217)-ROW(AZ$15),0),
              ROUND(ROUND(OFFSET($P217,0,AZ$13),15-13*ORÇAMENTO!$AF$7)*OFFSET(ORÇAMENTO!$W$15,ROW(AZ217)-ROW(AZ$15),0),15-13*ORÇAMENTO!$AF$11)),
         0)</f>
        <v>0</v>
      </c>
      <c r="BA217" s="453">
        <f ca="1">IF(AND($D217="Serviço",BA$12&lt;&gt;0,$H217&gt;0,OR(AUTOEVENTO&lt;&gt;"manual",$M217&lt;&gt;$A$15)),
        IF(Import.TipoArredondamento&lt;&gt;"TransfereGOV",
              ROUND(OFFSET($P217,0,BA$13),15-13*ORÇAMENTO!$AF$7)/$H217*OFFSET(ORÇAMENTO!$X$15,ROW(BA217)-ROW(BA$15),0),
              ROUND(ROUND(OFFSET($P217,0,BA$13),15-13*ORÇAMENTO!$AF$7)*OFFSET(ORÇAMENTO!$W$15,ROW(BA217)-ROW(BA$15),0),15-13*ORÇAMENTO!$AF$11)),
         0)</f>
        <v>0</v>
      </c>
      <c r="BC217" s="171">
        <f ca="1">IF(OR($D217&lt;&gt;"Serviço",AND(AUTOEVENTO="Manual",$M217=$A$15)),0,
         IF(OFFSET(CRONOPLE!$F$15,$M217-$A$15,BC$13)=0,10^12,OFFSET(CRONOPLE!$F$15,$M217-$A$15,BC$13)))</f>
        <v>1</v>
      </c>
      <c r="BD217" s="171">
        <f ca="1">IF(OR($D217&lt;&gt;"Serviço",AND(AUTOEVENTO="Manual",$M217=$A$15)),0,
         IF(OFFSET(CRONOPLE!$F$15,$M217-$A$15,BD$13)=0,10^12,OFFSET(CRONOPLE!$F$15,$M217-$A$15,BD$13)))</f>
        <v>2</v>
      </c>
      <c r="BE217" s="171">
        <f ca="1">IF(OR($D217&lt;&gt;"Serviço",AND(AUTOEVENTO="Manual",$M217=$A$15)),0,
         IF(OFFSET(CRONOPLE!$F$15,$M217-$A$15,BE$13)=0,10^12,OFFSET(CRONOPLE!$F$15,$M217-$A$15,BE$13)))</f>
        <v>3</v>
      </c>
      <c r="BF217" s="171">
        <f ca="1">IF(OR($D217&lt;&gt;"Serviço",AND(AUTOEVENTO="Manual",$M217=$A$15)),0,
         IF(OFFSET(CRONOPLE!$F$15,$M217-$A$15,BF$13)=0,10^12,OFFSET(CRONOPLE!$F$15,$M217-$A$15,BF$13)))</f>
        <v>4</v>
      </c>
      <c r="BG217" s="171">
        <f ca="1">IF(OR($D217&lt;&gt;"Serviço",AND(AUTOEVENTO="Manual",$M217=$A$15)),0,
         IF(OFFSET(CRONOPLE!$F$15,$M217-$A$15,BG$13)=0,10^12,OFFSET(CRONOPLE!$F$15,$M217-$A$15,BG$13)))</f>
        <v>5</v>
      </c>
      <c r="BH217" s="171">
        <f ca="1">IF(OR($D217&lt;&gt;"Serviço",AND(AUTOEVENTO="Manual",$M217=$A$15)),0,
         IF(OFFSET(CRONOPLE!$F$15,$M217-$A$15,BH$13)=0,10^12,OFFSET(CRONOPLE!$F$15,$M217-$A$15,BH$13)))</f>
        <v>6</v>
      </c>
      <c r="BI217" s="171">
        <f ca="1">IF(OR($D217&lt;&gt;"Serviço",AND(AUTOEVENTO="Manual",$M217=$A$15)),0,
         IF(OFFSET(CRONOPLE!$F$15,$M217-$A$15,BI$13)=0,10^12,OFFSET(CRONOPLE!$F$15,$M217-$A$15,BI$13)))</f>
        <v>7</v>
      </c>
      <c r="BJ217" s="171">
        <f ca="1">IF(OR($D217&lt;&gt;"Serviço",AND(AUTOEVENTO="Manual",$M217=$A$15)),0,
         IF(OFFSET(CRONOPLE!$F$15,$M217-$A$15,BJ$13)=0,10^12,OFFSET(CRONOPLE!$F$15,$M217-$A$15,BJ$13)))</f>
        <v>8</v>
      </c>
      <c r="BK217" s="171">
        <f ca="1">IF(OR($D217&lt;&gt;"Serviço",AND(AUTOEVENTO="Manual",$M217=$A$15)),0,
         IF(OFFSET(CRONOPLE!$F$15,$M217-$A$15,BK$13)=0,10^12,OFFSET(CRONOPLE!$F$15,$M217-$A$15,BK$13)))</f>
        <v>9</v>
      </c>
      <c r="BL217" s="171">
        <f ca="1">IF(OR($D217&lt;&gt;"Serviço",AND(AUTOEVENTO="Manual",$M217=$A$15)),0,
         IF(OFFSET(CRONOPLE!$F$15,$M217-$A$15,BL$13)=0,10^12,OFFSET(CRONOPLE!$F$15,$M217-$A$15,BL$13)))</f>
        <v>10</v>
      </c>
      <c r="BM217" s="171">
        <f ca="1">IF(OR($D217&lt;&gt;"Serviço",AND(AUTOEVENTO="Manual",$M217=$A$15)),0,
         IF(OFFSET(CRONOPLE!$F$15,$M217-$A$15,BM$13)=0,10^12,OFFSET(CRONOPLE!$F$15,$M217-$A$15,BM$13)))</f>
        <v>1000000000000</v>
      </c>
      <c r="BN217" s="171">
        <f ca="1">IF(OR($D217&lt;&gt;"Serviço",AND(AUTOEVENTO="Manual",$M217=$A$15)),0,
         IF(OFFSET(CRONOPLE!$F$15,$M217-$A$15,BN$13)=0,10^12,OFFSET(CRONOPLE!$F$15,$M217-$A$15,BN$13)))</f>
        <v>1000000000000</v>
      </c>
      <c r="BO217" s="171">
        <f ca="1">IF(OR($D217&lt;&gt;"Serviço",AND(AUTOEVENTO="Manual",$M217=$A$15)),0,
         IF(OFFSET(CRONOPLE!$F$15,$M217-$A$15,BO$13)=0,10^12,OFFSET(CRONOPLE!$F$15,$M217-$A$15,BO$13)))</f>
        <v>1000000000000</v>
      </c>
      <c r="BP217" s="171">
        <f ca="1">IF(OR($D217&lt;&gt;"Serviço",AND(AUTOEVENTO="Manual",$M217=$A$15)),0,
         IF(OFFSET(CRONOPLE!$F$15,$M217-$A$15,BP$13)=0,10^12,OFFSET(CRONOPLE!$F$15,$M217-$A$15,BP$13)))</f>
        <v>1000000000000</v>
      </c>
      <c r="BQ217" s="171">
        <f ca="1">IF(OR($D217&lt;&gt;"Serviço",AND(AUTOEVENTO="Manual",$M217=$A$15)),0,
         IF(OFFSET(CRONOPLE!$F$15,$M217-$A$15,BQ$13)=0,10^12,OFFSET(CRONOPLE!$F$15,$M217-$A$15,BQ$13)))</f>
        <v>1000000000000</v>
      </c>
      <c r="BR217" s="171">
        <f ca="1">IF(OR($D217&lt;&gt;"Serviço",AND(AUTOEVENTO="Manual",$M217=$A$15)),0,
         IF(OFFSET(CRONOPLE!$F$15,$M217-$A$15,BR$13)=0,10^12,OFFSET(CRONOPLE!$F$15,$M217-$A$15,BR$13)))</f>
        <v>1000000000000</v>
      </c>
      <c r="BS217" s="171">
        <f ca="1">IF(OR($D217&lt;&gt;"Serviço",AND(AUTOEVENTO="Manual",$M217=$A$15)),0,
         IF(OFFSET(CRONOPLE!$F$15,$M217-$A$15,BS$13)=0,10^12,OFFSET(CRONOPLE!$F$15,$M217-$A$15,BS$13)))</f>
        <v>1000000000000</v>
      </c>
      <c r="BT217" s="171">
        <f ca="1">IF(OR($D217&lt;&gt;"Serviço",AND(AUTOEVENTO="Manual",$M217=$A$15)),0,
         IF(OFFSET(CRONOPLE!$F$15,$M217-$A$15,BT$13)=0,10^12,OFFSET(CRONOPLE!$F$15,$M217-$A$15,BT$13)))</f>
        <v>1000000000000</v>
      </c>
      <c r="BV217" s="172">
        <f ca="1">IF(OR($D217&lt;&gt;"Serviço",AND(AUTOEVENTO="Manual",$M217=$A$15),$M217&gt;(ROW(PLE.lastrow)-ROW(PLE.firstrow))),0,
           IF(OFFSET(PLE!$G$15,$M217-$A$15,BV$13)="",10^12,OFFSET(PLE!$G$15,$M217-$A$15,BV$13)))</f>
        <v>1000000000000</v>
      </c>
      <c r="BW217" s="172">
        <f ca="1">IF(OR($D217&lt;&gt;"Serviço",AND(AUTOEVENTO="Manual",$M217=$A$15),$M217&gt;(ROW(PLE.lastrow)-ROW(PLE.firstrow))),0,
           IF(OFFSET(PLE!$G$15,$M217-$A$15,BW$13)="",10^12,OFFSET(PLE!$G$15,$M217-$A$15,BW$13)))</f>
        <v>1000000000000</v>
      </c>
      <c r="BX217" s="172">
        <f ca="1">IF(OR($D217&lt;&gt;"Serviço",AND(AUTOEVENTO="Manual",$M217=$A$15),$M217&gt;(ROW(PLE.lastrow)-ROW(PLE.firstrow))),0,
           IF(OFFSET(PLE!$G$15,$M217-$A$15,BX$13)="",10^12,OFFSET(PLE!$G$15,$M217-$A$15,BX$13)))</f>
        <v>1000000000000</v>
      </c>
      <c r="BY217" s="172">
        <f ca="1">IF(OR($D217&lt;&gt;"Serviço",AND(AUTOEVENTO="Manual",$M217=$A$15),$M217&gt;(ROW(PLE.lastrow)-ROW(PLE.firstrow))),0,
           IF(OFFSET(PLE!$G$15,$M217-$A$15,BY$13)="",10^12,OFFSET(PLE!$G$15,$M217-$A$15,BY$13)))</f>
        <v>1000000000000</v>
      </c>
      <c r="BZ217" s="172">
        <f ca="1">IF(OR($D217&lt;&gt;"Serviço",AND(AUTOEVENTO="Manual",$M217=$A$15),$M217&gt;(ROW(PLE.lastrow)-ROW(PLE.firstrow))),0,
           IF(OFFSET(PLE!$G$15,$M217-$A$15,BZ$13)="",10^12,OFFSET(PLE!$G$15,$M217-$A$15,BZ$13)))</f>
        <v>1000000000000</v>
      </c>
      <c r="CA217" s="172">
        <f ca="1">IF(OR($D217&lt;&gt;"Serviço",AND(AUTOEVENTO="Manual",$M217=$A$15),$M217&gt;(ROW(PLE.lastrow)-ROW(PLE.firstrow))),0,
           IF(OFFSET(PLE!$G$15,$M217-$A$15,CA$13)="",10^12,OFFSET(PLE!$G$15,$M217-$A$15,CA$13)))</f>
        <v>1000000000000</v>
      </c>
      <c r="CB217" s="172">
        <f ca="1">IF(OR($D217&lt;&gt;"Serviço",AND(AUTOEVENTO="Manual",$M217=$A$15),$M217&gt;(ROW(PLE.lastrow)-ROW(PLE.firstrow))),0,
           IF(OFFSET(PLE!$G$15,$M217-$A$15,CB$13)="",10^12,OFFSET(PLE!$G$15,$M217-$A$15,CB$13)))</f>
        <v>1000000000000</v>
      </c>
      <c r="CC217" s="172">
        <f ca="1">IF(OR($D217&lt;&gt;"Serviço",AND(AUTOEVENTO="Manual",$M217=$A$15),$M217&gt;(ROW(PLE.lastrow)-ROW(PLE.firstrow))),0,
           IF(OFFSET(PLE!$G$15,$M217-$A$15,CC$13)="",10^12,OFFSET(PLE!$G$15,$M217-$A$15,CC$13)))</f>
        <v>1000000000000</v>
      </c>
      <c r="CD217" s="172">
        <f ca="1">IF(OR($D217&lt;&gt;"Serviço",AND(AUTOEVENTO="Manual",$M217=$A$15),$M217&gt;(ROW(PLE.lastrow)-ROW(PLE.firstrow))),0,
           IF(OFFSET(PLE!$G$15,$M217-$A$15,CD$13)="",10^12,OFFSET(PLE!$G$15,$M217-$A$15,CD$13)))</f>
        <v>1000000000000</v>
      </c>
      <c r="CE217" s="172">
        <f ca="1">IF(OR($D217&lt;&gt;"Serviço",AND(AUTOEVENTO="Manual",$M217=$A$15),$M217&gt;(ROW(PLE.lastrow)-ROW(PLE.firstrow))),0,
           IF(OFFSET(PLE!$G$15,$M217-$A$15,CE$13)="",10^12,OFFSET(PLE!$G$15,$M217-$A$15,CE$13)))</f>
        <v>1000000000000</v>
      </c>
      <c r="CF217" s="172">
        <f ca="1">IF(OR($D217&lt;&gt;"Serviço",AND(AUTOEVENTO="Manual",$M217=$A$15),$M217&gt;(ROW(PLE.lastrow)-ROW(PLE.firstrow))),0,
           IF(OFFSET(PLE!$G$15,$M217-$A$15,CF$13)="",10^12,OFFSET(PLE!$G$15,$M217-$A$15,CF$13)))</f>
        <v>1000000000000</v>
      </c>
      <c r="CG217" s="172">
        <f ca="1">IF(OR($D217&lt;&gt;"Serviço",AND(AUTOEVENTO="Manual",$M217=$A$15),$M217&gt;(ROW(PLE.lastrow)-ROW(PLE.firstrow))),0,
           IF(OFFSET(PLE!$G$15,$M217-$A$15,CG$13)="",10^12,OFFSET(PLE!$G$15,$M217-$A$15,CG$13)))</f>
        <v>1000000000000</v>
      </c>
      <c r="CH217" s="172">
        <f ca="1">IF(OR($D217&lt;&gt;"Serviço",AND(AUTOEVENTO="Manual",$M217=$A$15),$M217&gt;(ROW(PLE.lastrow)-ROW(PLE.firstrow))),0,
           IF(OFFSET(PLE!$G$15,$M217-$A$15,CH$13)="",10^12,OFFSET(PLE!$G$15,$M217-$A$15,CH$13)))</f>
        <v>1000000000000</v>
      </c>
      <c r="CI217" s="172">
        <f ca="1">IF(OR($D217&lt;&gt;"Serviço",AND(AUTOEVENTO="Manual",$M217=$A$15),$M217&gt;(ROW(PLE.lastrow)-ROW(PLE.firstrow))),0,
           IF(OFFSET(PLE!$G$15,$M217-$A$15,CI$13)="",10^12,OFFSET(PLE!$G$15,$M217-$A$15,CI$13)))</f>
        <v>1000000000000</v>
      </c>
      <c r="CJ217" s="172">
        <f ca="1">IF(OR($D217&lt;&gt;"Serviço",AND(AUTOEVENTO="Manual",$M217=$A$15),$M217&gt;(ROW(PLE.lastrow)-ROW(PLE.firstrow))),0,
           IF(OFFSET(PLE!$G$15,$M217-$A$15,CJ$13)="",10^12,OFFSET(PLE!$G$15,$M217-$A$15,CJ$13)))</f>
        <v>1000000000000</v>
      </c>
      <c r="CK217" s="172">
        <f ca="1">IF(OR($D217&lt;&gt;"Serviço",AND(AUTOEVENTO="Manual",$M217=$A$15),$M217&gt;(ROW(PLE.lastrow)-ROW(PLE.firstrow))),0,
           IF(OFFSET(PLE!$G$15,$M217-$A$15,CK$13)="",10^12,OFFSET(PLE!$G$15,$M217-$A$15,CK$13)))</f>
        <v>1000000000000</v>
      </c>
      <c r="CL217" s="172">
        <f ca="1">IF(OR($D217&lt;&gt;"Serviço",AND(AUTOEVENTO="Manual",$M217=$A$15),$M217&gt;(ROW(PLE.lastrow)-ROW(PLE.firstrow))),0,
           IF(OFFSET(PLE!$G$15,$M217-$A$15,CL$13)="",10^12,OFFSET(PLE!$G$15,$M217-$A$15,CL$13)))</f>
        <v>1000000000000</v>
      </c>
      <c r="CM217" s="172">
        <f ca="1">IF(OR($D217&lt;&gt;"Serviço",AND(AUTOEVENTO="Manual",$M217=$A$15),$M217&gt;(ROW(PLE.lastrow)-ROW(PLE.firstrow))),0,
           IF(OFFSET(PLE!$G$15,$M217-$A$15,CM$13)="",10^12,OFFSET(PLE!$G$15,$M217-$A$15,CM$13)))</f>
        <v>1000000000000</v>
      </c>
    </row>
    <row r="218" spans="1:91" ht="63.75" x14ac:dyDescent="0.2">
      <c r="A218" s="7">
        <f t="shared" ca="1" si="13"/>
        <v>5</v>
      </c>
      <c r="B218" s="7" t="str">
        <f ca="1">OFFSET(ORÇAMENTO!C$15,ROW(B218)-ROW(B$15),0)</f>
        <v>S</v>
      </c>
      <c r="C218" s="7" t="str">
        <f ca="1">OFFSET(ORÇAMENTO!L$15,ROW(C218)-ROW(C$15),0)</f>
        <v>F</v>
      </c>
      <c r="D218" s="116" t="str">
        <f ca="1">OFFSET(ORÇAMENTO!N$15,ROW(D218)-ROW(D$15),0)</f>
        <v>Serviço</v>
      </c>
      <c r="E218" s="117" t="str">
        <f ca="1">OFFSET(ORÇAMENTO!O$15,ROW(E218)-ROW(E$15),0)</f>
        <v>1.6.1.0.2.</v>
      </c>
      <c r="F218" s="163" t="str">
        <f ca="1">OFFSET(ORÇAMENTO!R$15,ROW(F218)-ROW(F$15),0)</f>
        <v>PARAFUSO AUTO-BROCANTE 12-14X3.1/2, FORNECIMENTO E INSTALAÇÃO - BASEADO EM ORSE (11035)</v>
      </c>
      <c r="G218" s="164" t="str">
        <f ca="1">IF($D218&lt;&gt;"Serviço","",OFFSET(ORÇAMENTO!S$15,ROW(G218)-ROW(G$15),0))</f>
        <v>UN</v>
      </c>
      <c r="H218" s="122" cm="1">
        <f t="array" aca="1" ref="H218" ca="1">IF($D218&lt;&gt;"Serviço",0,IF(ACOMPANHAMENTO="BM",ROUND(OFFSET(ORÇAMENTO!AJ$15,ROW(H218)-ROW(H$15),0),15-13*ORÇAMENTO!$AF$7),SUMPRODUCT(($Q$1:$AI$1=1)*ROUND($Q218:$AI218,15-13*ORÇAMENTO!$AF$7))))</f>
        <v>40</v>
      </c>
      <c r="I218" s="468" t="s">
        <v>1343</v>
      </c>
      <c r="J218" s="640" t="str" cm="1">
        <f t="array" aca="1" ref="J218" ca="1">IF(OR(B218&lt;&gt;"S",CÁLCULO.FrentesPreenchidas=0),"",IF(AND(ACOMPANHAMENTO="PLE",AUTOEVENTO="Manual",OR(H218&gt;0,ORÇAMENTO!AC218="QUANT."),OR(K218="",M218=0,N218="")),"►E",IF(AND(ACOMPANHAMENTO="PLE",ORÇAMENTO!AC218="QUANT."),"►Q",IF(AND(ACOMPANHAMENTO="PLE",H218&lt;&gt;SUMPRODUCT(($Q$1:$AI$1=1)*ROUND(Q218:AI218,15))),"►S",IF(AND(COUNTIF($P$11:$AI$11,"▼")=0,H218&gt;0,I218=""),"◄M","")))))</f>
        <v/>
      </c>
      <c r="K218" s="641" t="s">
        <v>1390</v>
      </c>
      <c r="L218" s="165" t="s">
        <v>764</v>
      </c>
      <c r="M218" s="166">
        <f ca="1">IF($D218&lt;&gt;"Serviço","",
          IF(AUTOEVENTO="manual",$A218,
                IF(ISERROR(MATCH($A218,$A$15:OFFSET($A218,-1,0),0)),MAX($M$15:OFFSET(M218,-1,0))+1,
                      INDEX($M$15:OFFSET(M218,-1,0),MATCH($A218,$A$15:OFFSET($A218,-1,0),0)))))</f>
        <v>5</v>
      </c>
      <c r="N218" s="167" t="str">
        <f ca="1">IF($D218&lt;&gt;"Serviço","",
         IF(AUTOEVENTO="Manual",
                IF($A218=0,"&lt;-- defina o número do agrupador",
                       OFFSET(EVENTOS!$D$15,$A218-$A$15,0)),
                OFFSET($F$15,$A218,0)))</f>
        <v>Estrutura Metálica</v>
      </c>
      <c r="O218" s="168"/>
      <c r="Q218" s="168"/>
      <c r="R218" s="169"/>
      <c r="S218" s="169"/>
      <c r="T218" s="169"/>
      <c r="U218" s="169"/>
      <c r="V218" s="169"/>
      <c r="W218" s="169">
        <v>40</v>
      </c>
      <c r="X218" s="169"/>
      <c r="Y218" s="169"/>
      <c r="Z218" s="170"/>
      <c r="AA218" s="169"/>
      <c r="AB218" s="169"/>
      <c r="AC218" s="169"/>
      <c r="AD218" s="169"/>
      <c r="AE218" s="169"/>
      <c r="AF218" s="169"/>
      <c r="AG218" s="169"/>
      <c r="AH218" s="170"/>
      <c r="AJ218" s="453">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3">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L218" s="453">
        <f ca="1">IF(AND($D218="Serviço",AL$12&lt;&gt;0,$H218&gt;0,OR(AUTOEVENTO&lt;&gt;"manual",$M218&lt;&gt;$A$15)),
        IF(Import.TipoArredondamento&lt;&gt;"TransfereGOV",
              ROUND(OFFSET($P218,0,AL$13),15-13*ORÇAMENTO!$AF$7)/$H218*OFFSET(ORÇAMENTO!$X$15,ROW(AL218)-ROW(AL$15),0),
              ROUND(ROUND(OFFSET($P218,0,AL$13),15-13*ORÇAMENTO!$AF$7)*OFFSET(ORÇAMENTO!$W$15,ROW(AL218)-ROW(AL$15),0),15-13*ORÇAMENTO!$AF$11)),
         0)</f>
        <v>0</v>
      </c>
      <c r="AM218" s="453">
        <f ca="1">IF(AND($D218="Serviço",AM$12&lt;&gt;0,$H218&gt;0,OR(AUTOEVENTO&lt;&gt;"manual",$M218&lt;&gt;$A$15)),
        IF(Import.TipoArredondamento&lt;&gt;"TransfereGOV",
              ROUND(OFFSET($P218,0,AM$13),15-13*ORÇAMENTO!$AF$7)/$H218*OFFSET(ORÇAMENTO!$X$15,ROW(AM218)-ROW(AM$15),0),
              ROUND(ROUND(OFFSET($P218,0,AM$13),15-13*ORÇAMENTO!$AF$7)*OFFSET(ORÇAMENTO!$W$15,ROW(AM218)-ROW(AM$15),0),15-13*ORÇAMENTO!$AF$11)),
         0)</f>
        <v>0</v>
      </c>
      <c r="AN218" s="453">
        <f ca="1">IF(AND($D218="Serviço",AN$12&lt;&gt;0,$H218&gt;0,OR(AUTOEVENTO&lt;&gt;"manual",$M218&lt;&gt;$A$15)),
        IF(Import.TipoArredondamento&lt;&gt;"TransfereGOV",
              ROUND(OFFSET($P218,0,AN$13),15-13*ORÇAMENTO!$AF$7)/$H218*OFFSET(ORÇAMENTO!$X$15,ROW(AN218)-ROW(AN$15),0),
              ROUND(ROUND(OFFSET($P218,0,AN$13),15-13*ORÇAMENTO!$AF$7)*OFFSET(ORÇAMENTO!$W$15,ROW(AN218)-ROW(AN$15),0),15-13*ORÇAMENTO!$AF$11)),
         0)</f>
        <v>0</v>
      </c>
      <c r="AO218" s="453">
        <f ca="1">IF(AND($D218="Serviço",AO$12&lt;&gt;0,$H218&gt;0,OR(AUTOEVENTO&lt;&gt;"manual",$M218&lt;&gt;$A$15)),
        IF(Import.TipoArredondamento&lt;&gt;"TransfereGOV",
              ROUND(OFFSET($P218,0,AO$13),15-13*ORÇAMENTO!$AF$7)/$H218*OFFSET(ORÇAMENTO!$X$15,ROW(AO218)-ROW(AO$15),0),
              ROUND(ROUND(OFFSET($P218,0,AO$13),15-13*ORÇAMENTO!$AF$7)*OFFSET(ORÇAMENTO!$W$15,ROW(AO218)-ROW(AO$15),0),15-13*ORÇAMENTO!$AF$11)),
         0)</f>
        <v>0</v>
      </c>
      <c r="AP218" s="453">
        <f ca="1">IF(AND($D218="Serviço",AP$12&lt;&gt;0,$H218&gt;0,OR(AUTOEVENTO&lt;&gt;"manual",$M218&lt;&gt;$A$15)),
        IF(Import.TipoArredondamento&lt;&gt;"TransfereGOV",
              ROUND(OFFSET($P218,0,AP$13),15-13*ORÇAMENTO!$AF$7)/$H218*OFFSET(ORÇAMENTO!$X$15,ROW(AP218)-ROW(AP$15),0),
              ROUND(ROUND(OFFSET($P218,0,AP$13),15-13*ORÇAMENTO!$AF$7)*OFFSET(ORÇAMENTO!$W$15,ROW(AP218)-ROW(AP$15),0),15-13*ORÇAMENTO!$AF$11)),
         0)</f>
        <v>0</v>
      </c>
      <c r="AQ218" s="453">
        <f ca="1">IF(AND($D218="Serviço",AQ$12&lt;&gt;0,$H218&gt;0,OR(AUTOEVENTO&lt;&gt;"manual",$M218&lt;&gt;$A$15)),
        IF(Import.TipoArredondamento&lt;&gt;"TransfereGOV",
              ROUND(OFFSET($P218,0,AQ$13),15-13*ORÇAMENTO!$AF$7)/$H218*OFFSET(ORÇAMENTO!$X$15,ROW(AQ218)-ROW(AQ$15),0),
              ROUND(ROUND(OFFSET($P218,0,AQ$13),15-13*ORÇAMENTO!$AF$7)*OFFSET(ORÇAMENTO!$W$15,ROW(AQ218)-ROW(AQ$15),0),15-13*ORÇAMENTO!$AF$11)),
         0)</f>
        <v>0</v>
      </c>
      <c r="AR218" s="453">
        <f ca="1">IF(AND($D218="Serviço",AR$12&lt;&gt;0,$H218&gt;0,OR(AUTOEVENTO&lt;&gt;"manual",$M218&lt;&gt;$A$15)),
        IF(Import.TipoArredondamento&lt;&gt;"TransfereGOV",
              ROUND(OFFSET($P218,0,AR$13),15-13*ORÇAMENTO!$AF$7)/$H218*OFFSET(ORÇAMENTO!$X$15,ROW(AR218)-ROW(AR$15),0),
              ROUND(ROUND(OFFSET($P218,0,AR$13),15-13*ORÇAMENTO!$AF$7)*OFFSET(ORÇAMENTO!$W$15,ROW(AR218)-ROW(AR$15),0),15-13*ORÇAMENTO!$AF$11)),
         0)</f>
        <v>0</v>
      </c>
      <c r="AS218" s="453">
        <f ca="1">IF(AND($D218="Serviço",AS$12&lt;&gt;0,$H218&gt;0,OR(AUTOEVENTO&lt;&gt;"manual",$M218&lt;&gt;$A$15)),
        IF(Import.TipoArredondamento&lt;&gt;"TransfereGOV",
              ROUND(OFFSET($P218,0,AS$13),15-13*ORÇAMENTO!$AF$7)/$H218*OFFSET(ORÇAMENTO!$X$15,ROW(AS218)-ROW(AS$15),0),
              ROUND(ROUND(OFFSET($P218,0,AS$13),15-13*ORÇAMENTO!$AF$7)*OFFSET(ORÇAMENTO!$W$15,ROW(AS218)-ROW(AS$15),0),15-13*ORÇAMENTO!$AF$11)),
         0)</f>
        <v>0</v>
      </c>
      <c r="AT218" s="453">
        <f ca="1">IF(AND($D218="Serviço",AT$12&lt;&gt;0,$H218&gt;0,OR(AUTOEVENTO&lt;&gt;"manual",$M218&lt;&gt;$A$15)),
        IF(Import.TipoArredondamento&lt;&gt;"TransfereGOV",
              ROUND(OFFSET($P218,0,AT$13),15-13*ORÇAMENTO!$AF$7)/$H218*OFFSET(ORÇAMENTO!$X$15,ROW(AT218)-ROW(AT$15),0),
              ROUND(ROUND(OFFSET($P218,0,AT$13),15-13*ORÇAMENTO!$AF$7)*OFFSET(ORÇAMENTO!$W$15,ROW(AT218)-ROW(AT$15),0),15-13*ORÇAMENTO!$AF$11)),
         0)</f>
        <v>0</v>
      </c>
      <c r="AU218" s="453">
        <f ca="1">IF(AND($D218="Serviço",AU$12&lt;&gt;0,$H218&gt;0,OR(AUTOEVENTO&lt;&gt;"manual",$M218&lt;&gt;$A$15)),
        IF(Import.TipoArredondamento&lt;&gt;"TransfereGOV",
              ROUND(OFFSET($P218,0,AU$13),15-13*ORÇAMENTO!$AF$7)/$H218*OFFSET(ORÇAMENTO!$X$15,ROW(AU218)-ROW(AU$15),0),
              ROUND(ROUND(OFFSET($P218,0,AU$13),15-13*ORÇAMENTO!$AF$7)*OFFSET(ORÇAMENTO!$W$15,ROW(AU218)-ROW(AU$15),0),15-13*ORÇAMENTO!$AF$11)),
         0)</f>
        <v>0</v>
      </c>
      <c r="AV218" s="453">
        <f ca="1">IF(AND($D218="Serviço",AV$12&lt;&gt;0,$H218&gt;0,OR(AUTOEVENTO&lt;&gt;"manual",$M218&lt;&gt;$A$15)),
        IF(Import.TipoArredondamento&lt;&gt;"TransfereGOV",
              ROUND(OFFSET($P218,0,AV$13),15-13*ORÇAMENTO!$AF$7)/$H218*OFFSET(ORÇAMENTO!$X$15,ROW(AV218)-ROW(AV$15),0),
              ROUND(ROUND(OFFSET($P218,0,AV$13),15-13*ORÇAMENTO!$AF$7)*OFFSET(ORÇAMENTO!$W$15,ROW(AV218)-ROW(AV$15),0),15-13*ORÇAMENTO!$AF$11)),
         0)</f>
        <v>0</v>
      </c>
      <c r="AW218" s="453">
        <f ca="1">IF(AND($D218="Serviço",AW$12&lt;&gt;0,$H218&gt;0,OR(AUTOEVENTO&lt;&gt;"manual",$M218&lt;&gt;$A$15)),
        IF(Import.TipoArredondamento&lt;&gt;"TransfereGOV",
              ROUND(OFFSET($P218,0,AW$13),15-13*ORÇAMENTO!$AF$7)/$H218*OFFSET(ORÇAMENTO!$X$15,ROW(AW218)-ROW(AW$15),0),
              ROUND(ROUND(OFFSET($P218,0,AW$13),15-13*ORÇAMENTO!$AF$7)*OFFSET(ORÇAMENTO!$W$15,ROW(AW218)-ROW(AW$15),0),15-13*ORÇAMENTO!$AF$11)),
         0)</f>
        <v>0</v>
      </c>
      <c r="AX218" s="453">
        <f ca="1">IF(AND($D218="Serviço",AX$12&lt;&gt;0,$H218&gt;0,OR(AUTOEVENTO&lt;&gt;"manual",$M218&lt;&gt;$A$15)),
        IF(Import.TipoArredondamento&lt;&gt;"TransfereGOV",
              ROUND(OFFSET($P218,0,AX$13),15-13*ORÇAMENTO!$AF$7)/$H218*OFFSET(ORÇAMENTO!$X$15,ROW(AX218)-ROW(AX$15),0),
              ROUND(ROUND(OFFSET($P218,0,AX$13),15-13*ORÇAMENTO!$AF$7)*OFFSET(ORÇAMENTO!$W$15,ROW(AX218)-ROW(AX$15),0),15-13*ORÇAMENTO!$AF$11)),
         0)</f>
        <v>0</v>
      </c>
      <c r="AY218" s="453">
        <f ca="1">IF(AND($D218="Serviço",AY$12&lt;&gt;0,$H218&gt;0,OR(AUTOEVENTO&lt;&gt;"manual",$M218&lt;&gt;$A$15)),
        IF(Import.TipoArredondamento&lt;&gt;"TransfereGOV",
              ROUND(OFFSET($P218,0,AY$13),15-13*ORÇAMENTO!$AF$7)/$H218*OFFSET(ORÇAMENTO!$X$15,ROW(AY218)-ROW(AY$15),0),
              ROUND(ROUND(OFFSET($P218,0,AY$13),15-13*ORÇAMENTO!$AF$7)*OFFSET(ORÇAMENTO!$W$15,ROW(AY218)-ROW(AY$15),0),15-13*ORÇAMENTO!$AF$11)),
         0)</f>
        <v>0</v>
      </c>
      <c r="AZ218" s="453">
        <f ca="1">IF(AND($D218="Serviço",AZ$12&lt;&gt;0,$H218&gt;0,OR(AUTOEVENTO&lt;&gt;"manual",$M218&lt;&gt;$A$15)),
        IF(Import.TipoArredondamento&lt;&gt;"TransfereGOV",
              ROUND(OFFSET($P218,0,AZ$13),15-13*ORÇAMENTO!$AF$7)/$H218*OFFSET(ORÇAMENTO!$X$15,ROW(AZ218)-ROW(AZ$15),0),
              ROUND(ROUND(OFFSET($P218,0,AZ$13),15-13*ORÇAMENTO!$AF$7)*OFFSET(ORÇAMENTO!$W$15,ROW(AZ218)-ROW(AZ$15),0),15-13*ORÇAMENTO!$AF$11)),
         0)</f>
        <v>0</v>
      </c>
      <c r="BA218" s="453">
        <f ca="1">IF(AND($D218="Serviço",BA$12&lt;&gt;0,$H218&gt;0,OR(AUTOEVENTO&lt;&gt;"manual",$M218&lt;&gt;$A$15)),
        IF(Import.TipoArredondamento&lt;&gt;"TransfereGOV",
              ROUND(OFFSET($P218,0,BA$13),15-13*ORÇAMENTO!$AF$7)/$H218*OFFSET(ORÇAMENTO!$X$15,ROW(BA218)-ROW(BA$15),0),
              ROUND(ROUND(OFFSET($P218,0,BA$13),15-13*ORÇAMENTO!$AF$7)*OFFSET(ORÇAMENTO!$W$15,ROW(BA218)-ROW(BA$15),0),15-13*ORÇAMENTO!$AF$11)),
         0)</f>
        <v>0</v>
      </c>
      <c r="BC218" s="171">
        <f ca="1">IF(OR($D218&lt;&gt;"Serviço",AND(AUTOEVENTO="Manual",$M218=$A$15)),0,
         IF(OFFSET(CRONOPLE!$F$15,$M218-$A$15,BC$13)=0,10^12,OFFSET(CRONOPLE!$F$15,$M218-$A$15,BC$13)))</f>
        <v>1</v>
      </c>
      <c r="BD218" s="171">
        <f ca="1">IF(OR($D218&lt;&gt;"Serviço",AND(AUTOEVENTO="Manual",$M218=$A$15)),0,
         IF(OFFSET(CRONOPLE!$F$15,$M218-$A$15,BD$13)=0,10^12,OFFSET(CRONOPLE!$F$15,$M218-$A$15,BD$13)))</f>
        <v>2</v>
      </c>
      <c r="BE218" s="171">
        <f ca="1">IF(OR($D218&lt;&gt;"Serviço",AND(AUTOEVENTO="Manual",$M218=$A$15)),0,
         IF(OFFSET(CRONOPLE!$F$15,$M218-$A$15,BE$13)=0,10^12,OFFSET(CRONOPLE!$F$15,$M218-$A$15,BE$13)))</f>
        <v>3</v>
      </c>
      <c r="BF218" s="171">
        <f ca="1">IF(OR($D218&lt;&gt;"Serviço",AND(AUTOEVENTO="Manual",$M218=$A$15)),0,
         IF(OFFSET(CRONOPLE!$F$15,$M218-$A$15,BF$13)=0,10^12,OFFSET(CRONOPLE!$F$15,$M218-$A$15,BF$13)))</f>
        <v>4</v>
      </c>
      <c r="BG218" s="171">
        <f ca="1">IF(OR($D218&lt;&gt;"Serviço",AND(AUTOEVENTO="Manual",$M218=$A$15)),0,
         IF(OFFSET(CRONOPLE!$F$15,$M218-$A$15,BG$13)=0,10^12,OFFSET(CRONOPLE!$F$15,$M218-$A$15,BG$13)))</f>
        <v>5</v>
      </c>
      <c r="BH218" s="171">
        <f ca="1">IF(OR($D218&lt;&gt;"Serviço",AND(AUTOEVENTO="Manual",$M218=$A$15)),0,
         IF(OFFSET(CRONOPLE!$F$15,$M218-$A$15,BH$13)=0,10^12,OFFSET(CRONOPLE!$F$15,$M218-$A$15,BH$13)))</f>
        <v>6</v>
      </c>
      <c r="BI218" s="171">
        <f ca="1">IF(OR($D218&lt;&gt;"Serviço",AND(AUTOEVENTO="Manual",$M218=$A$15)),0,
         IF(OFFSET(CRONOPLE!$F$15,$M218-$A$15,BI$13)=0,10^12,OFFSET(CRONOPLE!$F$15,$M218-$A$15,BI$13)))</f>
        <v>7</v>
      </c>
      <c r="BJ218" s="171">
        <f ca="1">IF(OR($D218&lt;&gt;"Serviço",AND(AUTOEVENTO="Manual",$M218=$A$15)),0,
         IF(OFFSET(CRONOPLE!$F$15,$M218-$A$15,BJ$13)=0,10^12,OFFSET(CRONOPLE!$F$15,$M218-$A$15,BJ$13)))</f>
        <v>8</v>
      </c>
      <c r="BK218" s="171">
        <f ca="1">IF(OR($D218&lt;&gt;"Serviço",AND(AUTOEVENTO="Manual",$M218=$A$15)),0,
         IF(OFFSET(CRONOPLE!$F$15,$M218-$A$15,BK$13)=0,10^12,OFFSET(CRONOPLE!$F$15,$M218-$A$15,BK$13)))</f>
        <v>9</v>
      </c>
      <c r="BL218" s="171">
        <f ca="1">IF(OR($D218&lt;&gt;"Serviço",AND(AUTOEVENTO="Manual",$M218=$A$15)),0,
         IF(OFFSET(CRONOPLE!$F$15,$M218-$A$15,BL$13)=0,10^12,OFFSET(CRONOPLE!$F$15,$M218-$A$15,BL$13)))</f>
        <v>10</v>
      </c>
      <c r="BM218" s="171">
        <f ca="1">IF(OR($D218&lt;&gt;"Serviço",AND(AUTOEVENTO="Manual",$M218=$A$15)),0,
         IF(OFFSET(CRONOPLE!$F$15,$M218-$A$15,BM$13)=0,10^12,OFFSET(CRONOPLE!$F$15,$M218-$A$15,BM$13)))</f>
        <v>1000000000000</v>
      </c>
      <c r="BN218" s="171">
        <f ca="1">IF(OR($D218&lt;&gt;"Serviço",AND(AUTOEVENTO="Manual",$M218=$A$15)),0,
         IF(OFFSET(CRONOPLE!$F$15,$M218-$A$15,BN$13)=0,10^12,OFFSET(CRONOPLE!$F$15,$M218-$A$15,BN$13)))</f>
        <v>1000000000000</v>
      </c>
      <c r="BO218" s="171">
        <f ca="1">IF(OR($D218&lt;&gt;"Serviço",AND(AUTOEVENTO="Manual",$M218=$A$15)),0,
         IF(OFFSET(CRONOPLE!$F$15,$M218-$A$15,BO$13)=0,10^12,OFFSET(CRONOPLE!$F$15,$M218-$A$15,BO$13)))</f>
        <v>1000000000000</v>
      </c>
      <c r="BP218" s="171">
        <f ca="1">IF(OR($D218&lt;&gt;"Serviço",AND(AUTOEVENTO="Manual",$M218=$A$15)),0,
         IF(OFFSET(CRONOPLE!$F$15,$M218-$A$15,BP$13)=0,10^12,OFFSET(CRONOPLE!$F$15,$M218-$A$15,BP$13)))</f>
        <v>1000000000000</v>
      </c>
      <c r="BQ218" s="171">
        <f ca="1">IF(OR($D218&lt;&gt;"Serviço",AND(AUTOEVENTO="Manual",$M218=$A$15)),0,
         IF(OFFSET(CRONOPLE!$F$15,$M218-$A$15,BQ$13)=0,10^12,OFFSET(CRONOPLE!$F$15,$M218-$A$15,BQ$13)))</f>
        <v>1000000000000</v>
      </c>
      <c r="BR218" s="171">
        <f ca="1">IF(OR($D218&lt;&gt;"Serviço",AND(AUTOEVENTO="Manual",$M218=$A$15)),0,
         IF(OFFSET(CRONOPLE!$F$15,$M218-$A$15,BR$13)=0,10^12,OFFSET(CRONOPLE!$F$15,$M218-$A$15,BR$13)))</f>
        <v>1000000000000</v>
      </c>
      <c r="BS218" s="171">
        <f ca="1">IF(OR($D218&lt;&gt;"Serviço",AND(AUTOEVENTO="Manual",$M218=$A$15)),0,
         IF(OFFSET(CRONOPLE!$F$15,$M218-$A$15,BS$13)=0,10^12,OFFSET(CRONOPLE!$F$15,$M218-$A$15,BS$13)))</f>
        <v>1000000000000</v>
      </c>
      <c r="BT218" s="171">
        <f ca="1">IF(OR($D218&lt;&gt;"Serviço",AND(AUTOEVENTO="Manual",$M218=$A$15)),0,
         IF(OFFSET(CRONOPLE!$F$15,$M218-$A$15,BT$13)=0,10^12,OFFSET(CRONOPLE!$F$15,$M218-$A$15,BT$13)))</f>
        <v>1000000000000</v>
      </c>
      <c r="BV218" s="172">
        <f ca="1">IF(OR($D218&lt;&gt;"Serviço",AND(AUTOEVENTO="Manual",$M218=$A$15),$M218&gt;(ROW(PLE.lastrow)-ROW(PLE.firstrow))),0,
           IF(OFFSET(PLE!$G$15,$M218-$A$15,BV$13)="",10^12,OFFSET(PLE!$G$15,$M218-$A$15,BV$13)))</f>
        <v>1000000000000</v>
      </c>
      <c r="BW218" s="172">
        <f ca="1">IF(OR($D218&lt;&gt;"Serviço",AND(AUTOEVENTO="Manual",$M218=$A$15),$M218&gt;(ROW(PLE.lastrow)-ROW(PLE.firstrow))),0,
           IF(OFFSET(PLE!$G$15,$M218-$A$15,BW$13)="",10^12,OFFSET(PLE!$G$15,$M218-$A$15,BW$13)))</f>
        <v>1000000000000</v>
      </c>
      <c r="BX218" s="172">
        <f ca="1">IF(OR($D218&lt;&gt;"Serviço",AND(AUTOEVENTO="Manual",$M218=$A$15),$M218&gt;(ROW(PLE.lastrow)-ROW(PLE.firstrow))),0,
           IF(OFFSET(PLE!$G$15,$M218-$A$15,BX$13)="",10^12,OFFSET(PLE!$G$15,$M218-$A$15,BX$13)))</f>
        <v>1000000000000</v>
      </c>
      <c r="BY218" s="172">
        <f ca="1">IF(OR($D218&lt;&gt;"Serviço",AND(AUTOEVENTO="Manual",$M218=$A$15),$M218&gt;(ROW(PLE.lastrow)-ROW(PLE.firstrow))),0,
           IF(OFFSET(PLE!$G$15,$M218-$A$15,BY$13)="",10^12,OFFSET(PLE!$G$15,$M218-$A$15,BY$13)))</f>
        <v>1000000000000</v>
      </c>
      <c r="BZ218" s="172">
        <f ca="1">IF(OR($D218&lt;&gt;"Serviço",AND(AUTOEVENTO="Manual",$M218=$A$15),$M218&gt;(ROW(PLE.lastrow)-ROW(PLE.firstrow))),0,
           IF(OFFSET(PLE!$G$15,$M218-$A$15,BZ$13)="",10^12,OFFSET(PLE!$G$15,$M218-$A$15,BZ$13)))</f>
        <v>1000000000000</v>
      </c>
      <c r="CA218" s="172">
        <f ca="1">IF(OR($D218&lt;&gt;"Serviço",AND(AUTOEVENTO="Manual",$M218=$A$15),$M218&gt;(ROW(PLE.lastrow)-ROW(PLE.firstrow))),0,
           IF(OFFSET(PLE!$G$15,$M218-$A$15,CA$13)="",10^12,OFFSET(PLE!$G$15,$M218-$A$15,CA$13)))</f>
        <v>1000000000000</v>
      </c>
      <c r="CB218" s="172">
        <f ca="1">IF(OR($D218&lt;&gt;"Serviço",AND(AUTOEVENTO="Manual",$M218=$A$15),$M218&gt;(ROW(PLE.lastrow)-ROW(PLE.firstrow))),0,
           IF(OFFSET(PLE!$G$15,$M218-$A$15,CB$13)="",10^12,OFFSET(PLE!$G$15,$M218-$A$15,CB$13)))</f>
        <v>1000000000000</v>
      </c>
      <c r="CC218" s="172">
        <f ca="1">IF(OR($D218&lt;&gt;"Serviço",AND(AUTOEVENTO="Manual",$M218=$A$15),$M218&gt;(ROW(PLE.lastrow)-ROW(PLE.firstrow))),0,
           IF(OFFSET(PLE!$G$15,$M218-$A$15,CC$13)="",10^12,OFFSET(PLE!$G$15,$M218-$A$15,CC$13)))</f>
        <v>1000000000000</v>
      </c>
      <c r="CD218" s="172">
        <f ca="1">IF(OR($D218&lt;&gt;"Serviço",AND(AUTOEVENTO="Manual",$M218=$A$15),$M218&gt;(ROW(PLE.lastrow)-ROW(PLE.firstrow))),0,
           IF(OFFSET(PLE!$G$15,$M218-$A$15,CD$13)="",10^12,OFFSET(PLE!$G$15,$M218-$A$15,CD$13)))</f>
        <v>1000000000000</v>
      </c>
      <c r="CE218" s="172">
        <f ca="1">IF(OR($D218&lt;&gt;"Serviço",AND(AUTOEVENTO="Manual",$M218=$A$15),$M218&gt;(ROW(PLE.lastrow)-ROW(PLE.firstrow))),0,
           IF(OFFSET(PLE!$G$15,$M218-$A$15,CE$13)="",10^12,OFFSET(PLE!$G$15,$M218-$A$15,CE$13)))</f>
        <v>1000000000000</v>
      </c>
      <c r="CF218" s="172">
        <f ca="1">IF(OR($D218&lt;&gt;"Serviço",AND(AUTOEVENTO="Manual",$M218=$A$15),$M218&gt;(ROW(PLE.lastrow)-ROW(PLE.firstrow))),0,
           IF(OFFSET(PLE!$G$15,$M218-$A$15,CF$13)="",10^12,OFFSET(PLE!$G$15,$M218-$A$15,CF$13)))</f>
        <v>1000000000000</v>
      </c>
      <c r="CG218" s="172">
        <f ca="1">IF(OR($D218&lt;&gt;"Serviço",AND(AUTOEVENTO="Manual",$M218=$A$15),$M218&gt;(ROW(PLE.lastrow)-ROW(PLE.firstrow))),0,
           IF(OFFSET(PLE!$G$15,$M218-$A$15,CG$13)="",10^12,OFFSET(PLE!$G$15,$M218-$A$15,CG$13)))</f>
        <v>1000000000000</v>
      </c>
      <c r="CH218" s="172">
        <f ca="1">IF(OR($D218&lt;&gt;"Serviço",AND(AUTOEVENTO="Manual",$M218=$A$15),$M218&gt;(ROW(PLE.lastrow)-ROW(PLE.firstrow))),0,
           IF(OFFSET(PLE!$G$15,$M218-$A$15,CH$13)="",10^12,OFFSET(PLE!$G$15,$M218-$A$15,CH$13)))</f>
        <v>1000000000000</v>
      </c>
      <c r="CI218" s="172">
        <f ca="1">IF(OR($D218&lt;&gt;"Serviço",AND(AUTOEVENTO="Manual",$M218=$A$15),$M218&gt;(ROW(PLE.lastrow)-ROW(PLE.firstrow))),0,
           IF(OFFSET(PLE!$G$15,$M218-$A$15,CI$13)="",10^12,OFFSET(PLE!$G$15,$M218-$A$15,CI$13)))</f>
        <v>1000000000000</v>
      </c>
      <c r="CJ218" s="172">
        <f ca="1">IF(OR($D218&lt;&gt;"Serviço",AND(AUTOEVENTO="Manual",$M218=$A$15),$M218&gt;(ROW(PLE.lastrow)-ROW(PLE.firstrow))),0,
           IF(OFFSET(PLE!$G$15,$M218-$A$15,CJ$13)="",10^12,OFFSET(PLE!$G$15,$M218-$A$15,CJ$13)))</f>
        <v>1000000000000</v>
      </c>
      <c r="CK218" s="172">
        <f ca="1">IF(OR($D218&lt;&gt;"Serviço",AND(AUTOEVENTO="Manual",$M218=$A$15),$M218&gt;(ROW(PLE.lastrow)-ROW(PLE.firstrow))),0,
           IF(OFFSET(PLE!$G$15,$M218-$A$15,CK$13)="",10^12,OFFSET(PLE!$G$15,$M218-$A$15,CK$13)))</f>
        <v>1000000000000</v>
      </c>
      <c r="CL218" s="172">
        <f ca="1">IF(OR($D218&lt;&gt;"Serviço",AND(AUTOEVENTO="Manual",$M218=$A$15),$M218&gt;(ROW(PLE.lastrow)-ROW(PLE.firstrow))),0,
           IF(OFFSET(PLE!$G$15,$M218-$A$15,CL$13)="",10^12,OFFSET(PLE!$G$15,$M218-$A$15,CL$13)))</f>
        <v>1000000000000</v>
      </c>
      <c r="CM218" s="172">
        <f ca="1">IF(OR($D218&lt;&gt;"Serviço",AND(AUTOEVENTO="Manual",$M218=$A$15),$M218&gt;(ROW(PLE.lastrow)-ROW(PLE.firstrow))),0,
           IF(OFFSET(PLE!$G$15,$M218-$A$15,CM$13)="",10^12,OFFSET(PLE!$G$15,$M218-$A$15,CM$13)))</f>
        <v>1000000000000</v>
      </c>
    </row>
    <row r="219" spans="1:91" ht="63.75" x14ac:dyDescent="0.2">
      <c r="A219" s="7">
        <f t="shared" ca="1" si="13"/>
        <v>5</v>
      </c>
      <c r="B219" s="7" t="str">
        <f ca="1">OFFSET(ORÇAMENTO!C$15,ROW(B219)-ROW(B$15),0)</f>
        <v>S</v>
      </c>
      <c r="C219" s="7" t="str">
        <f ca="1">OFFSET(ORÇAMENTO!L$15,ROW(C219)-ROW(C$15),0)</f>
        <v>F</v>
      </c>
      <c r="D219" s="116" t="str">
        <f ca="1">OFFSET(ORÇAMENTO!N$15,ROW(D219)-ROW(D$15),0)</f>
        <v>Serviço</v>
      </c>
      <c r="E219" s="117" t="str">
        <f ca="1">OFFSET(ORÇAMENTO!O$15,ROW(E219)-ROW(E$15),0)</f>
        <v>1.6.1.0.3.</v>
      </c>
      <c r="F219" s="163" t="str">
        <f ca="1">OFFSET(ORÇAMENTO!R$15,ROW(F219)-ROW(F$15),0)</f>
        <v>PARAFUSO AUTO-BROCANTE 12-14X3/4, FORNECIMENTO E INSTALAÇÃO - BASEADO EM ORSE (11035)</v>
      </c>
      <c r="G219" s="164" t="str">
        <f ca="1">IF($D219&lt;&gt;"Serviço","",OFFSET(ORÇAMENTO!S$15,ROW(G219)-ROW(G$15),0))</f>
        <v>UN</v>
      </c>
      <c r="H219" s="122" cm="1">
        <f t="array" aca="1" ref="H219" ca="1">IF($D219&lt;&gt;"Serviço",0,IF(ACOMPANHAMENTO="BM",ROUND(OFFSET(ORÇAMENTO!AJ$15,ROW(H219)-ROW(H$15),0),15-13*ORÇAMENTO!$AF$7),SUMPRODUCT(($Q$1:$AI$1=1)*ROUND($Q219:$AI219,15-13*ORÇAMENTO!$AF$7))))</f>
        <v>25</v>
      </c>
      <c r="I219" s="468" t="s">
        <v>1343</v>
      </c>
      <c r="J219" s="640" t="str" cm="1">
        <f t="array" aca="1" ref="J219" ca="1">IF(OR(B219&lt;&gt;"S",CÁLCULO.FrentesPreenchidas=0),"",IF(AND(ACOMPANHAMENTO="PLE",AUTOEVENTO="Manual",OR(H219&gt;0,ORÇAMENTO!AC219="QUANT."),OR(K219="",M219=0,N219="")),"►E",IF(AND(ACOMPANHAMENTO="PLE",ORÇAMENTO!AC219="QUANT."),"►Q",IF(AND(ACOMPANHAMENTO="PLE",H219&lt;&gt;SUMPRODUCT(($Q$1:$AI$1=1)*ROUND(Q219:AI219,15))),"►S",IF(AND(COUNTIF($P$11:$AI$11,"▼")=0,H219&gt;0,I219=""),"◄M","")))))</f>
        <v/>
      </c>
      <c r="K219" s="641" t="s">
        <v>1390</v>
      </c>
      <c r="L219" s="165" t="s">
        <v>764</v>
      </c>
      <c r="M219" s="166">
        <f ca="1">IF($D219&lt;&gt;"Serviço","",
          IF(AUTOEVENTO="manual",$A219,
                IF(ISERROR(MATCH($A219,$A$15:OFFSET($A219,-1,0),0)),MAX($M$15:OFFSET(M219,-1,0))+1,
                      INDEX($M$15:OFFSET(M219,-1,0),MATCH($A219,$A$15:OFFSET($A219,-1,0),0)))))</f>
        <v>5</v>
      </c>
      <c r="N219" s="167" t="str">
        <f ca="1">IF($D219&lt;&gt;"Serviço","",
         IF(AUTOEVENTO="Manual",
                IF($A219=0,"&lt;-- defina o número do agrupador",
                       OFFSET(EVENTOS!$D$15,$A219-$A$15,0)),
                OFFSET($F$15,$A219,0)))</f>
        <v>Estrutura Metálica</v>
      </c>
      <c r="O219" s="168"/>
      <c r="Q219" s="168"/>
      <c r="R219" s="169"/>
      <c r="S219" s="169"/>
      <c r="T219" s="169"/>
      <c r="U219" s="169"/>
      <c r="V219" s="169"/>
      <c r="W219" s="169">
        <v>25</v>
      </c>
      <c r="X219" s="169"/>
      <c r="Y219" s="169"/>
      <c r="Z219" s="170"/>
      <c r="AA219" s="169"/>
      <c r="AB219" s="169"/>
      <c r="AC219" s="169"/>
      <c r="AD219" s="169"/>
      <c r="AE219" s="169"/>
      <c r="AF219" s="169"/>
      <c r="AG219" s="169"/>
      <c r="AH219" s="170"/>
      <c r="AJ219" s="453">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0</v>
      </c>
      <c r="AK219" s="453">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0</v>
      </c>
      <c r="AL219" s="453">
        <f ca="1">IF(AND($D219="Serviço",AL$12&lt;&gt;0,$H219&gt;0,OR(AUTOEVENTO&lt;&gt;"manual",$M219&lt;&gt;$A$15)),
        IF(Import.TipoArredondamento&lt;&gt;"TransfereGOV",
              ROUND(OFFSET($P219,0,AL$13),15-13*ORÇAMENTO!$AF$7)/$H219*OFFSET(ORÇAMENTO!$X$15,ROW(AL219)-ROW(AL$15),0),
              ROUND(ROUND(OFFSET($P219,0,AL$13),15-13*ORÇAMENTO!$AF$7)*OFFSET(ORÇAMENTO!$W$15,ROW(AL219)-ROW(AL$15),0),15-13*ORÇAMENTO!$AF$11)),
         0)</f>
        <v>0</v>
      </c>
      <c r="AM219" s="453">
        <f ca="1">IF(AND($D219="Serviço",AM$12&lt;&gt;0,$H219&gt;0,OR(AUTOEVENTO&lt;&gt;"manual",$M219&lt;&gt;$A$15)),
        IF(Import.TipoArredondamento&lt;&gt;"TransfereGOV",
              ROUND(OFFSET($P219,0,AM$13),15-13*ORÇAMENTO!$AF$7)/$H219*OFFSET(ORÇAMENTO!$X$15,ROW(AM219)-ROW(AM$15),0),
              ROUND(ROUND(OFFSET($P219,0,AM$13),15-13*ORÇAMENTO!$AF$7)*OFFSET(ORÇAMENTO!$W$15,ROW(AM219)-ROW(AM$15),0),15-13*ORÇAMENTO!$AF$11)),
         0)</f>
        <v>0</v>
      </c>
      <c r="AN219" s="453">
        <f ca="1">IF(AND($D219="Serviço",AN$12&lt;&gt;0,$H219&gt;0,OR(AUTOEVENTO&lt;&gt;"manual",$M219&lt;&gt;$A$15)),
        IF(Import.TipoArredondamento&lt;&gt;"TransfereGOV",
              ROUND(OFFSET($P219,0,AN$13),15-13*ORÇAMENTO!$AF$7)/$H219*OFFSET(ORÇAMENTO!$X$15,ROW(AN219)-ROW(AN$15),0),
              ROUND(ROUND(OFFSET($P219,0,AN$13),15-13*ORÇAMENTO!$AF$7)*OFFSET(ORÇAMENTO!$W$15,ROW(AN219)-ROW(AN$15),0),15-13*ORÇAMENTO!$AF$11)),
         0)</f>
        <v>0</v>
      </c>
      <c r="AO219" s="453">
        <f ca="1">IF(AND($D219="Serviço",AO$12&lt;&gt;0,$H219&gt;0,OR(AUTOEVENTO&lt;&gt;"manual",$M219&lt;&gt;$A$15)),
        IF(Import.TipoArredondamento&lt;&gt;"TransfereGOV",
              ROUND(OFFSET($P219,0,AO$13),15-13*ORÇAMENTO!$AF$7)/$H219*OFFSET(ORÇAMENTO!$X$15,ROW(AO219)-ROW(AO$15),0),
              ROUND(ROUND(OFFSET($P219,0,AO$13),15-13*ORÇAMENTO!$AF$7)*OFFSET(ORÇAMENTO!$W$15,ROW(AO219)-ROW(AO$15),0),15-13*ORÇAMENTO!$AF$11)),
         0)</f>
        <v>0</v>
      </c>
      <c r="AP219" s="453">
        <f ca="1">IF(AND($D219="Serviço",AP$12&lt;&gt;0,$H219&gt;0,OR(AUTOEVENTO&lt;&gt;"manual",$M219&lt;&gt;$A$15)),
        IF(Import.TipoArredondamento&lt;&gt;"TransfereGOV",
              ROUND(OFFSET($P219,0,AP$13),15-13*ORÇAMENTO!$AF$7)/$H219*OFFSET(ORÇAMENTO!$X$15,ROW(AP219)-ROW(AP$15),0),
              ROUND(ROUND(OFFSET($P219,0,AP$13),15-13*ORÇAMENTO!$AF$7)*OFFSET(ORÇAMENTO!$W$15,ROW(AP219)-ROW(AP$15),0),15-13*ORÇAMENTO!$AF$11)),
         0)</f>
        <v>0</v>
      </c>
      <c r="AQ219" s="453">
        <f ca="1">IF(AND($D219="Serviço",AQ$12&lt;&gt;0,$H219&gt;0,OR(AUTOEVENTO&lt;&gt;"manual",$M219&lt;&gt;$A$15)),
        IF(Import.TipoArredondamento&lt;&gt;"TransfereGOV",
              ROUND(OFFSET($P219,0,AQ$13),15-13*ORÇAMENTO!$AF$7)/$H219*OFFSET(ORÇAMENTO!$X$15,ROW(AQ219)-ROW(AQ$15),0),
              ROUND(ROUND(OFFSET($P219,0,AQ$13),15-13*ORÇAMENTO!$AF$7)*OFFSET(ORÇAMENTO!$W$15,ROW(AQ219)-ROW(AQ$15),0),15-13*ORÇAMENTO!$AF$11)),
         0)</f>
        <v>0</v>
      </c>
      <c r="AR219" s="453">
        <f ca="1">IF(AND($D219="Serviço",AR$12&lt;&gt;0,$H219&gt;0,OR(AUTOEVENTO&lt;&gt;"manual",$M219&lt;&gt;$A$15)),
        IF(Import.TipoArredondamento&lt;&gt;"TransfereGOV",
              ROUND(OFFSET($P219,0,AR$13),15-13*ORÇAMENTO!$AF$7)/$H219*OFFSET(ORÇAMENTO!$X$15,ROW(AR219)-ROW(AR$15),0),
              ROUND(ROUND(OFFSET($P219,0,AR$13),15-13*ORÇAMENTO!$AF$7)*OFFSET(ORÇAMENTO!$W$15,ROW(AR219)-ROW(AR$15),0),15-13*ORÇAMENTO!$AF$11)),
         0)</f>
        <v>0</v>
      </c>
      <c r="AS219" s="453">
        <f ca="1">IF(AND($D219="Serviço",AS$12&lt;&gt;0,$H219&gt;0,OR(AUTOEVENTO&lt;&gt;"manual",$M219&lt;&gt;$A$15)),
        IF(Import.TipoArredondamento&lt;&gt;"TransfereGOV",
              ROUND(OFFSET($P219,0,AS$13),15-13*ORÇAMENTO!$AF$7)/$H219*OFFSET(ORÇAMENTO!$X$15,ROW(AS219)-ROW(AS$15),0),
              ROUND(ROUND(OFFSET($P219,0,AS$13),15-13*ORÇAMENTO!$AF$7)*OFFSET(ORÇAMENTO!$W$15,ROW(AS219)-ROW(AS$15),0),15-13*ORÇAMENTO!$AF$11)),
         0)</f>
        <v>0</v>
      </c>
      <c r="AT219" s="453">
        <f ca="1">IF(AND($D219="Serviço",AT$12&lt;&gt;0,$H219&gt;0,OR(AUTOEVENTO&lt;&gt;"manual",$M219&lt;&gt;$A$15)),
        IF(Import.TipoArredondamento&lt;&gt;"TransfereGOV",
              ROUND(OFFSET($P219,0,AT$13),15-13*ORÇAMENTO!$AF$7)/$H219*OFFSET(ORÇAMENTO!$X$15,ROW(AT219)-ROW(AT$15),0),
              ROUND(ROUND(OFFSET($P219,0,AT$13),15-13*ORÇAMENTO!$AF$7)*OFFSET(ORÇAMENTO!$W$15,ROW(AT219)-ROW(AT$15),0),15-13*ORÇAMENTO!$AF$11)),
         0)</f>
        <v>0</v>
      </c>
      <c r="AU219" s="453">
        <f ca="1">IF(AND($D219="Serviço",AU$12&lt;&gt;0,$H219&gt;0,OR(AUTOEVENTO&lt;&gt;"manual",$M219&lt;&gt;$A$15)),
        IF(Import.TipoArredondamento&lt;&gt;"TransfereGOV",
              ROUND(OFFSET($P219,0,AU$13),15-13*ORÇAMENTO!$AF$7)/$H219*OFFSET(ORÇAMENTO!$X$15,ROW(AU219)-ROW(AU$15),0),
              ROUND(ROUND(OFFSET($P219,0,AU$13),15-13*ORÇAMENTO!$AF$7)*OFFSET(ORÇAMENTO!$W$15,ROW(AU219)-ROW(AU$15),0),15-13*ORÇAMENTO!$AF$11)),
         0)</f>
        <v>0</v>
      </c>
      <c r="AV219" s="453">
        <f ca="1">IF(AND($D219="Serviço",AV$12&lt;&gt;0,$H219&gt;0,OR(AUTOEVENTO&lt;&gt;"manual",$M219&lt;&gt;$A$15)),
        IF(Import.TipoArredondamento&lt;&gt;"TransfereGOV",
              ROUND(OFFSET($P219,0,AV$13),15-13*ORÇAMENTO!$AF$7)/$H219*OFFSET(ORÇAMENTO!$X$15,ROW(AV219)-ROW(AV$15),0),
              ROUND(ROUND(OFFSET($P219,0,AV$13),15-13*ORÇAMENTO!$AF$7)*OFFSET(ORÇAMENTO!$W$15,ROW(AV219)-ROW(AV$15),0),15-13*ORÇAMENTO!$AF$11)),
         0)</f>
        <v>0</v>
      </c>
      <c r="AW219" s="453">
        <f ca="1">IF(AND($D219="Serviço",AW$12&lt;&gt;0,$H219&gt;0,OR(AUTOEVENTO&lt;&gt;"manual",$M219&lt;&gt;$A$15)),
        IF(Import.TipoArredondamento&lt;&gt;"TransfereGOV",
              ROUND(OFFSET($P219,0,AW$13),15-13*ORÇAMENTO!$AF$7)/$H219*OFFSET(ORÇAMENTO!$X$15,ROW(AW219)-ROW(AW$15),0),
              ROUND(ROUND(OFFSET($P219,0,AW$13),15-13*ORÇAMENTO!$AF$7)*OFFSET(ORÇAMENTO!$W$15,ROW(AW219)-ROW(AW$15),0),15-13*ORÇAMENTO!$AF$11)),
         0)</f>
        <v>0</v>
      </c>
      <c r="AX219" s="453">
        <f ca="1">IF(AND($D219="Serviço",AX$12&lt;&gt;0,$H219&gt;0,OR(AUTOEVENTO&lt;&gt;"manual",$M219&lt;&gt;$A$15)),
        IF(Import.TipoArredondamento&lt;&gt;"TransfereGOV",
              ROUND(OFFSET($P219,0,AX$13),15-13*ORÇAMENTO!$AF$7)/$H219*OFFSET(ORÇAMENTO!$X$15,ROW(AX219)-ROW(AX$15),0),
              ROUND(ROUND(OFFSET($P219,0,AX$13),15-13*ORÇAMENTO!$AF$7)*OFFSET(ORÇAMENTO!$W$15,ROW(AX219)-ROW(AX$15),0),15-13*ORÇAMENTO!$AF$11)),
         0)</f>
        <v>0</v>
      </c>
      <c r="AY219" s="453">
        <f ca="1">IF(AND($D219="Serviço",AY$12&lt;&gt;0,$H219&gt;0,OR(AUTOEVENTO&lt;&gt;"manual",$M219&lt;&gt;$A$15)),
        IF(Import.TipoArredondamento&lt;&gt;"TransfereGOV",
              ROUND(OFFSET($P219,0,AY$13),15-13*ORÇAMENTO!$AF$7)/$H219*OFFSET(ORÇAMENTO!$X$15,ROW(AY219)-ROW(AY$15),0),
              ROUND(ROUND(OFFSET($P219,0,AY$13),15-13*ORÇAMENTO!$AF$7)*OFFSET(ORÇAMENTO!$W$15,ROW(AY219)-ROW(AY$15),0),15-13*ORÇAMENTO!$AF$11)),
         0)</f>
        <v>0</v>
      </c>
      <c r="AZ219" s="453">
        <f ca="1">IF(AND($D219="Serviço",AZ$12&lt;&gt;0,$H219&gt;0,OR(AUTOEVENTO&lt;&gt;"manual",$M219&lt;&gt;$A$15)),
        IF(Import.TipoArredondamento&lt;&gt;"TransfereGOV",
              ROUND(OFFSET($P219,0,AZ$13),15-13*ORÇAMENTO!$AF$7)/$H219*OFFSET(ORÇAMENTO!$X$15,ROW(AZ219)-ROW(AZ$15),0),
              ROUND(ROUND(OFFSET($P219,0,AZ$13),15-13*ORÇAMENTO!$AF$7)*OFFSET(ORÇAMENTO!$W$15,ROW(AZ219)-ROW(AZ$15),0),15-13*ORÇAMENTO!$AF$11)),
         0)</f>
        <v>0</v>
      </c>
      <c r="BA219" s="453">
        <f ca="1">IF(AND($D219="Serviço",BA$12&lt;&gt;0,$H219&gt;0,OR(AUTOEVENTO&lt;&gt;"manual",$M219&lt;&gt;$A$15)),
        IF(Import.TipoArredondamento&lt;&gt;"TransfereGOV",
              ROUND(OFFSET($P219,0,BA$13),15-13*ORÇAMENTO!$AF$7)/$H219*OFFSET(ORÇAMENTO!$X$15,ROW(BA219)-ROW(BA$15),0),
              ROUND(ROUND(OFFSET($P219,0,BA$13),15-13*ORÇAMENTO!$AF$7)*OFFSET(ORÇAMENTO!$W$15,ROW(BA219)-ROW(BA$15),0),15-13*ORÇAMENTO!$AF$11)),
         0)</f>
        <v>0</v>
      </c>
      <c r="BC219" s="171">
        <f ca="1">IF(OR($D219&lt;&gt;"Serviço",AND(AUTOEVENTO="Manual",$M219=$A$15)),0,
         IF(OFFSET(CRONOPLE!$F$15,$M219-$A$15,BC$13)=0,10^12,OFFSET(CRONOPLE!$F$15,$M219-$A$15,BC$13)))</f>
        <v>1</v>
      </c>
      <c r="BD219" s="171">
        <f ca="1">IF(OR($D219&lt;&gt;"Serviço",AND(AUTOEVENTO="Manual",$M219=$A$15)),0,
         IF(OFFSET(CRONOPLE!$F$15,$M219-$A$15,BD$13)=0,10^12,OFFSET(CRONOPLE!$F$15,$M219-$A$15,BD$13)))</f>
        <v>2</v>
      </c>
      <c r="BE219" s="171">
        <f ca="1">IF(OR($D219&lt;&gt;"Serviço",AND(AUTOEVENTO="Manual",$M219=$A$15)),0,
         IF(OFFSET(CRONOPLE!$F$15,$M219-$A$15,BE$13)=0,10^12,OFFSET(CRONOPLE!$F$15,$M219-$A$15,BE$13)))</f>
        <v>3</v>
      </c>
      <c r="BF219" s="171">
        <f ca="1">IF(OR($D219&lt;&gt;"Serviço",AND(AUTOEVENTO="Manual",$M219=$A$15)),0,
         IF(OFFSET(CRONOPLE!$F$15,$M219-$A$15,BF$13)=0,10^12,OFFSET(CRONOPLE!$F$15,$M219-$A$15,BF$13)))</f>
        <v>4</v>
      </c>
      <c r="BG219" s="171">
        <f ca="1">IF(OR($D219&lt;&gt;"Serviço",AND(AUTOEVENTO="Manual",$M219=$A$15)),0,
         IF(OFFSET(CRONOPLE!$F$15,$M219-$A$15,BG$13)=0,10^12,OFFSET(CRONOPLE!$F$15,$M219-$A$15,BG$13)))</f>
        <v>5</v>
      </c>
      <c r="BH219" s="171">
        <f ca="1">IF(OR($D219&lt;&gt;"Serviço",AND(AUTOEVENTO="Manual",$M219=$A$15)),0,
         IF(OFFSET(CRONOPLE!$F$15,$M219-$A$15,BH$13)=0,10^12,OFFSET(CRONOPLE!$F$15,$M219-$A$15,BH$13)))</f>
        <v>6</v>
      </c>
      <c r="BI219" s="171">
        <f ca="1">IF(OR($D219&lt;&gt;"Serviço",AND(AUTOEVENTO="Manual",$M219=$A$15)),0,
         IF(OFFSET(CRONOPLE!$F$15,$M219-$A$15,BI$13)=0,10^12,OFFSET(CRONOPLE!$F$15,$M219-$A$15,BI$13)))</f>
        <v>7</v>
      </c>
      <c r="BJ219" s="171">
        <f ca="1">IF(OR($D219&lt;&gt;"Serviço",AND(AUTOEVENTO="Manual",$M219=$A$15)),0,
         IF(OFFSET(CRONOPLE!$F$15,$M219-$A$15,BJ$13)=0,10^12,OFFSET(CRONOPLE!$F$15,$M219-$A$15,BJ$13)))</f>
        <v>8</v>
      </c>
      <c r="BK219" s="171">
        <f ca="1">IF(OR($D219&lt;&gt;"Serviço",AND(AUTOEVENTO="Manual",$M219=$A$15)),0,
         IF(OFFSET(CRONOPLE!$F$15,$M219-$A$15,BK$13)=0,10^12,OFFSET(CRONOPLE!$F$15,$M219-$A$15,BK$13)))</f>
        <v>9</v>
      </c>
      <c r="BL219" s="171">
        <f ca="1">IF(OR($D219&lt;&gt;"Serviço",AND(AUTOEVENTO="Manual",$M219=$A$15)),0,
         IF(OFFSET(CRONOPLE!$F$15,$M219-$A$15,BL$13)=0,10^12,OFFSET(CRONOPLE!$F$15,$M219-$A$15,BL$13)))</f>
        <v>10</v>
      </c>
      <c r="BM219" s="171">
        <f ca="1">IF(OR($D219&lt;&gt;"Serviço",AND(AUTOEVENTO="Manual",$M219=$A$15)),0,
         IF(OFFSET(CRONOPLE!$F$15,$M219-$A$15,BM$13)=0,10^12,OFFSET(CRONOPLE!$F$15,$M219-$A$15,BM$13)))</f>
        <v>1000000000000</v>
      </c>
      <c r="BN219" s="171">
        <f ca="1">IF(OR($D219&lt;&gt;"Serviço",AND(AUTOEVENTO="Manual",$M219=$A$15)),0,
         IF(OFFSET(CRONOPLE!$F$15,$M219-$A$15,BN$13)=0,10^12,OFFSET(CRONOPLE!$F$15,$M219-$A$15,BN$13)))</f>
        <v>1000000000000</v>
      </c>
      <c r="BO219" s="171">
        <f ca="1">IF(OR($D219&lt;&gt;"Serviço",AND(AUTOEVENTO="Manual",$M219=$A$15)),0,
         IF(OFFSET(CRONOPLE!$F$15,$M219-$A$15,BO$13)=0,10^12,OFFSET(CRONOPLE!$F$15,$M219-$A$15,BO$13)))</f>
        <v>1000000000000</v>
      </c>
      <c r="BP219" s="171">
        <f ca="1">IF(OR($D219&lt;&gt;"Serviço",AND(AUTOEVENTO="Manual",$M219=$A$15)),0,
         IF(OFFSET(CRONOPLE!$F$15,$M219-$A$15,BP$13)=0,10^12,OFFSET(CRONOPLE!$F$15,$M219-$A$15,BP$13)))</f>
        <v>1000000000000</v>
      </c>
      <c r="BQ219" s="171">
        <f ca="1">IF(OR($D219&lt;&gt;"Serviço",AND(AUTOEVENTO="Manual",$M219=$A$15)),0,
         IF(OFFSET(CRONOPLE!$F$15,$M219-$A$15,BQ$13)=0,10^12,OFFSET(CRONOPLE!$F$15,$M219-$A$15,BQ$13)))</f>
        <v>1000000000000</v>
      </c>
      <c r="BR219" s="171">
        <f ca="1">IF(OR($D219&lt;&gt;"Serviço",AND(AUTOEVENTO="Manual",$M219=$A$15)),0,
         IF(OFFSET(CRONOPLE!$F$15,$M219-$A$15,BR$13)=0,10^12,OFFSET(CRONOPLE!$F$15,$M219-$A$15,BR$13)))</f>
        <v>1000000000000</v>
      </c>
      <c r="BS219" s="171">
        <f ca="1">IF(OR($D219&lt;&gt;"Serviço",AND(AUTOEVENTO="Manual",$M219=$A$15)),0,
         IF(OFFSET(CRONOPLE!$F$15,$M219-$A$15,BS$13)=0,10^12,OFFSET(CRONOPLE!$F$15,$M219-$A$15,BS$13)))</f>
        <v>1000000000000</v>
      </c>
      <c r="BT219" s="171">
        <f ca="1">IF(OR($D219&lt;&gt;"Serviço",AND(AUTOEVENTO="Manual",$M219=$A$15)),0,
         IF(OFFSET(CRONOPLE!$F$15,$M219-$A$15,BT$13)=0,10^12,OFFSET(CRONOPLE!$F$15,$M219-$A$15,BT$13)))</f>
        <v>1000000000000</v>
      </c>
      <c r="BV219" s="172">
        <f ca="1">IF(OR($D219&lt;&gt;"Serviço",AND(AUTOEVENTO="Manual",$M219=$A$15),$M219&gt;(ROW(PLE.lastrow)-ROW(PLE.firstrow))),0,
           IF(OFFSET(PLE!$G$15,$M219-$A$15,BV$13)="",10^12,OFFSET(PLE!$G$15,$M219-$A$15,BV$13)))</f>
        <v>1000000000000</v>
      </c>
      <c r="BW219" s="172">
        <f ca="1">IF(OR($D219&lt;&gt;"Serviço",AND(AUTOEVENTO="Manual",$M219=$A$15),$M219&gt;(ROW(PLE.lastrow)-ROW(PLE.firstrow))),0,
           IF(OFFSET(PLE!$G$15,$M219-$A$15,BW$13)="",10^12,OFFSET(PLE!$G$15,$M219-$A$15,BW$13)))</f>
        <v>1000000000000</v>
      </c>
      <c r="BX219" s="172">
        <f ca="1">IF(OR($D219&lt;&gt;"Serviço",AND(AUTOEVENTO="Manual",$M219=$A$15),$M219&gt;(ROW(PLE.lastrow)-ROW(PLE.firstrow))),0,
           IF(OFFSET(PLE!$G$15,$M219-$A$15,BX$13)="",10^12,OFFSET(PLE!$G$15,$M219-$A$15,BX$13)))</f>
        <v>1000000000000</v>
      </c>
      <c r="BY219" s="172">
        <f ca="1">IF(OR($D219&lt;&gt;"Serviço",AND(AUTOEVENTO="Manual",$M219=$A$15),$M219&gt;(ROW(PLE.lastrow)-ROW(PLE.firstrow))),0,
           IF(OFFSET(PLE!$G$15,$M219-$A$15,BY$13)="",10^12,OFFSET(PLE!$G$15,$M219-$A$15,BY$13)))</f>
        <v>1000000000000</v>
      </c>
      <c r="BZ219" s="172">
        <f ca="1">IF(OR($D219&lt;&gt;"Serviço",AND(AUTOEVENTO="Manual",$M219=$A$15),$M219&gt;(ROW(PLE.lastrow)-ROW(PLE.firstrow))),0,
           IF(OFFSET(PLE!$G$15,$M219-$A$15,BZ$13)="",10^12,OFFSET(PLE!$G$15,$M219-$A$15,BZ$13)))</f>
        <v>1000000000000</v>
      </c>
      <c r="CA219" s="172">
        <f ca="1">IF(OR($D219&lt;&gt;"Serviço",AND(AUTOEVENTO="Manual",$M219=$A$15),$M219&gt;(ROW(PLE.lastrow)-ROW(PLE.firstrow))),0,
           IF(OFFSET(PLE!$G$15,$M219-$A$15,CA$13)="",10^12,OFFSET(PLE!$G$15,$M219-$A$15,CA$13)))</f>
        <v>1000000000000</v>
      </c>
      <c r="CB219" s="172">
        <f ca="1">IF(OR($D219&lt;&gt;"Serviço",AND(AUTOEVENTO="Manual",$M219=$A$15),$M219&gt;(ROW(PLE.lastrow)-ROW(PLE.firstrow))),0,
           IF(OFFSET(PLE!$G$15,$M219-$A$15,CB$13)="",10^12,OFFSET(PLE!$G$15,$M219-$A$15,CB$13)))</f>
        <v>1000000000000</v>
      </c>
      <c r="CC219" s="172">
        <f ca="1">IF(OR($D219&lt;&gt;"Serviço",AND(AUTOEVENTO="Manual",$M219=$A$15),$M219&gt;(ROW(PLE.lastrow)-ROW(PLE.firstrow))),0,
           IF(OFFSET(PLE!$G$15,$M219-$A$15,CC$13)="",10^12,OFFSET(PLE!$G$15,$M219-$A$15,CC$13)))</f>
        <v>1000000000000</v>
      </c>
      <c r="CD219" s="172">
        <f ca="1">IF(OR($D219&lt;&gt;"Serviço",AND(AUTOEVENTO="Manual",$M219=$A$15),$M219&gt;(ROW(PLE.lastrow)-ROW(PLE.firstrow))),0,
           IF(OFFSET(PLE!$G$15,$M219-$A$15,CD$13)="",10^12,OFFSET(PLE!$G$15,$M219-$A$15,CD$13)))</f>
        <v>1000000000000</v>
      </c>
      <c r="CE219" s="172">
        <f ca="1">IF(OR($D219&lt;&gt;"Serviço",AND(AUTOEVENTO="Manual",$M219=$A$15),$M219&gt;(ROW(PLE.lastrow)-ROW(PLE.firstrow))),0,
           IF(OFFSET(PLE!$G$15,$M219-$A$15,CE$13)="",10^12,OFFSET(PLE!$G$15,$M219-$A$15,CE$13)))</f>
        <v>1000000000000</v>
      </c>
      <c r="CF219" s="172">
        <f ca="1">IF(OR($D219&lt;&gt;"Serviço",AND(AUTOEVENTO="Manual",$M219=$A$15),$M219&gt;(ROW(PLE.lastrow)-ROW(PLE.firstrow))),0,
           IF(OFFSET(PLE!$G$15,$M219-$A$15,CF$13)="",10^12,OFFSET(PLE!$G$15,$M219-$A$15,CF$13)))</f>
        <v>1000000000000</v>
      </c>
      <c r="CG219" s="172">
        <f ca="1">IF(OR($D219&lt;&gt;"Serviço",AND(AUTOEVENTO="Manual",$M219=$A$15),$M219&gt;(ROW(PLE.lastrow)-ROW(PLE.firstrow))),0,
           IF(OFFSET(PLE!$G$15,$M219-$A$15,CG$13)="",10^12,OFFSET(PLE!$G$15,$M219-$A$15,CG$13)))</f>
        <v>1000000000000</v>
      </c>
      <c r="CH219" s="172">
        <f ca="1">IF(OR($D219&lt;&gt;"Serviço",AND(AUTOEVENTO="Manual",$M219=$A$15),$M219&gt;(ROW(PLE.lastrow)-ROW(PLE.firstrow))),0,
           IF(OFFSET(PLE!$G$15,$M219-$A$15,CH$13)="",10^12,OFFSET(PLE!$G$15,$M219-$A$15,CH$13)))</f>
        <v>1000000000000</v>
      </c>
      <c r="CI219" s="172">
        <f ca="1">IF(OR($D219&lt;&gt;"Serviço",AND(AUTOEVENTO="Manual",$M219=$A$15),$M219&gt;(ROW(PLE.lastrow)-ROW(PLE.firstrow))),0,
           IF(OFFSET(PLE!$G$15,$M219-$A$15,CI$13)="",10^12,OFFSET(PLE!$G$15,$M219-$A$15,CI$13)))</f>
        <v>1000000000000</v>
      </c>
      <c r="CJ219" s="172">
        <f ca="1">IF(OR($D219&lt;&gt;"Serviço",AND(AUTOEVENTO="Manual",$M219=$A$15),$M219&gt;(ROW(PLE.lastrow)-ROW(PLE.firstrow))),0,
           IF(OFFSET(PLE!$G$15,$M219-$A$15,CJ$13)="",10^12,OFFSET(PLE!$G$15,$M219-$A$15,CJ$13)))</f>
        <v>1000000000000</v>
      </c>
      <c r="CK219" s="172">
        <f ca="1">IF(OR($D219&lt;&gt;"Serviço",AND(AUTOEVENTO="Manual",$M219=$A$15),$M219&gt;(ROW(PLE.lastrow)-ROW(PLE.firstrow))),0,
           IF(OFFSET(PLE!$G$15,$M219-$A$15,CK$13)="",10^12,OFFSET(PLE!$G$15,$M219-$A$15,CK$13)))</f>
        <v>1000000000000</v>
      </c>
      <c r="CL219" s="172">
        <f ca="1">IF(OR($D219&lt;&gt;"Serviço",AND(AUTOEVENTO="Manual",$M219=$A$15),$M219&gt;(ROW(PLE.lastrow)-ROW(PLE.firstrow))),0,
           IF(OFFSET(PLE!$G$15,$M219-$A$15,CL$13)="",10^12,OFFSET(PLE!$G$15,$M219-$A$15,CL$13)))</f>
        <v>1000000000000</v>
      </c>
      <c r="CM219" s="172">
        <f ca="1">IF(OR($D219&lt;&gt;"Serviço",AND(AUTOEVENTO="Manual",$M219=$A$15),$M219&gt;(ROW(PLE.lastrow)-ROW(PLE.firstrow))),0,
           IF(OFFSET(PLE!$G$15,$M219-$A$15,CM$13)="",10^12,OFFSET(PLE!$G$15,$M219-$A$15,CM$13)))</f>
        <v>1000000000000</v>
      </c>
    </row>
    <row r="220" spans="1:91" ht="63.75" x14ac:dyDescent="0.2">
      <c r="A220" s="7">
        <f t="shared" ca="1" si="13"/>
        <v>5</v>
      </c>
      <c r="B220" s="7" t="str">
        <f ca="1">OFFSET(ORÇAMENTO!C$15,ROW(B220)-ROW(B$15),0)</f>
        <v>S</v>
      </c>
      <c r="C220" s="7" t="str">
        <f ca="1">OFFSET(ORÇAMENTO!L$15,ROW(C220)-ROW(C$15),0)</f>
        <v>F</v>
      </c>
      <c r="D220" s="116" t="str">
        <f ca="1">OFFSET(ORÇAMENTO!N$15,ROW(D220)-ROW(D$15),0)</f>
        <v>Serviço</v>
      </c>
      <c r="E220" s="117" t="str">
        <f ca="1">OFFSET(ORÇAMENTO!O$15,ROW(E220)-ROW(E$15),0)</f>
        <v>1.6.1.0.4.</v>
      </c>
      <c r="F220" s="163" t="str">
        <f ca="1">OFFSET(ORÇAMENTO!R$15,ROW(F220)-ROW(F$15),0)</f>
        <v>CONJUNTO PARAFUSO, PORCA E ARRUELA 3/4 - C = 1.3/4" - BASEADO EM AGESUL (1201008354)</v>
      </c>
      <c r="G220" s="164" t="str">
        <f ca="1">IF($D220&lt;&gt;"Serviço","",OFFSET(ORÇAMENTO!S$15,ROW(G220)-ROW(G$15),0))</f>
        <v>CJ</v>
      </c>
      <c r="H220" s="122" cm="1">
        <f t="array" aca="1" ref="H220" ca="1">IF($D220&lt;&gt;"Serviço",0,IF(ACOMPANHAMENTO="BM",ROUND(OFFSET(ORÇAMENTO!AJ$15,ROW(H220)-ROW(H$15),0),15-13*ORÇAMENTO!$AF$7),SUMPRODUCT(($Q$1:$AI$1=1)*ROUND($Q220:$AI220,15-13*ORÇAMENTO!$AF$7))))</f>
        <v>40</v>
      </c>
      <c r="I220" s="468" t="s">
        <v>1343</v>
      </c>
      <c r="J220" s="640" t="str" cm="1">
        <f t="array" aca="1" ref="J220" ca="1">IF(OR(B220&lt;&gt;"S",CÁLCULO.FrentesPreenchidas=0),"",IF(AND(ACOMPANHAMENTO="PLE",AUTOEVENTO="Manual",OR(H220&gt;0,ORÇAMENTO!AC220="QUANT."),OR(K220="",M220=0,N220="")),"►E",IF(AND(ACOMPANHAMENTO="PLE",ORÇAMENTO!AC220="QUANT."),"►Q",IF(AND(ACOMPANHAMENTO="PLE",H220&lt;&gt;SUMPRODUCT(($Q$1:$AI$1=1)*ROUND(Q220:AI220,15))),"►S",IF(AND(COUNTIF($P$11:$AI$11,"▼")=0,H220&gt;0,I220=""),"◄M","")))))</f>
        <v/>
      </c>
      <c r="K220" s="641" t="s">
        <v>1390</v>
      </c>
      <c r="L220" s="165" t="s">
        <v>764</v>
      </c>
      <c r="M220" s="166">
        <f ca="1">IF($D220&lt;&gt;"Serviço","",
          IF(AUTOEVENTO="manual",$A220,
                IF(ISERROR(MATCH($A220,$A$15:OFFSET($A220,-1,0),0)),MAX($M$15:OFFSET(M220,-1,0))+1,
                      INDEX($M$15:OFFSET(M220,-1,0),MATCH($A220,$A$15:OFFSET($A220,-1,0),0)))))</f>
        <v>5</v>
      </c>
      <c r="N220" s="167" t="str">
        <f ca="1">IF($D220&lt;&gt;"Serviço","",
         IF(AUTOEVENTO="Manual",
                IF($A220=0,"&lt;-- defina o número do agrupador",
                       OFFSET(EVENTOS!$D$15,$A220-$A$15,0)),
                OFFSET($F$15,$A220,0)))</f>
        <v>Estrutura Metálica</v>
      </c>
      <c r="O220" s="168"/>
      <c r="Q220" s="168"/>
      <c r="R220" s="169"/>
      <c r="S220" s="169"/>
      <c r="T220" s="169"/>
      <c r="U220" s="169"/>
      <c r="V220" s="169"/>
      <c r="W220" s="169">
        <v>40</v>
      </c>
      <c r="X220" s="169"/>
      <c r="Y220" s="169"/>
      <c r="Z220" s="170"/>
      <c r="AA220" s="169"/>
      <c r="AB220" s="169"/>
      <c r="AC220" s="169"/>
      <c r="AD220" s="169"/>
      <c r="AE220" s="169"/>
      <c r="AF220" s="169"/>
      <c r="AG220" s="169"/>
      <c r="AH220" s="170"/>
      <c r="AJ220" s="453">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0</v>
      </c>
      <c r="AK220" s="453">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0</v>
      </c>
      <c r="AL220" s="453">
        <f ca="1">IF(AND($D220="Serviço",AL$12&lt;&gt;0,$H220&gt;0,OR(AUTOEVENTO&lt;&gt;"manual",$M220&lt;&gt;$A$15)),
        IF(Import.TipoArredondamento&lt;&gt;"TransfereGOV",
              ROUND(OFFSET($P220,0,AL$13),15-13*ORÇAMENTO!$AF$7)/$H220*OFFSET(ORÇAMENTO!$X$15,ROW(AL220)-ROW(AL$15),0),
              ROUND(ROUND(OFFSET($P220,0,AL$13),15-13*ORÇAMENTO!$AF$7)*OFFSET(ORÇAMENTO!$W$15,ROW(AL220)-ROW(AL$15),0),15-13*ORÇAMENTO!$AF$11)),
         0)</f>
        <v>0</v>
      </c>
      <c r="AM220" s="453">
        <f ca="1">IF(AND($D220="Serviço",AM$12&lt;&gt;0,$H220&gt;0,OR(AUTOEVENTO&lt;&gt;"manual",$M220&lt;&gt;$A$15)),
        IF(Import.TipoArredondamento&lt;&gt;"TransfereGOV",
              ROUND(OFFSET($P220,0,AM$13),15-13*ORÇAMENTO!$AF$7)/$H220*OFFSET(ORÇAMENTO!$X$15,ROW(AM220)-ROW(AM$15),0),
              ROUND(ROUND(OFFSET($P220,0,AM$13),15-13*ORÇAMENTO!$AF$7)*OFFSET(ORÇAMENTO!$W$15,ROW(AM220)-ROW(AM$15),0),15-13*ORÇAMENTO!$AF$11)),
         0)</f>
        <v>0</v>
      </c>
      <c r="AN220" s="453">
        <f ca="1">IF(AND($D220="Serviço",AN$12&lt;&gt;0,$H220&gt;0,OR(AUTOEVENTO&lt;&gt;"manual",$M220&lt;&gt;$A$15)),
        IF(Import.TipoArredondamento&lt;&gt;"TransfereGOV",
              ROUND(OFFSET($P220,0,AN$13),15-13*ORÇAMENTO!$AF$7)/$H220*OFFSET(ORÇAMENTO!$X$15,ROW(AN220)-ROW(AN$15),0),
              ROUND(ROUND(OFFSET($P220,0,AN$13),15-13*ORÇAMENTO!$AF$7)*OFFSET(ORÇAMENTO!$W$15,ROW(AN220)-ROW(AN$15),0),15-13*ORÇAMENTO!$AF$11)),
         0)</f>
        <v>0</v>
      </c>
      <c r="AO220" s="453">
        <f ca="1">IF(AND($D220="Serviço",AO$12&lt;&gt;0,$H220&gt;0,OR(AUTOEVENTO&lt;&gt;"manual",$M220&lt;&gt;$A$15)),
        IF(Import.TipoArredondamento&lt;&gt;"TransfereGOV",
              ROUND(OFFSET($P220,0,AO$13),15-13*ORÇAMENTO!$AF$7)/$H220*OFFSET(ORÇAMENTO!$X$15,ROW(AO220)-ROW(AO$15),0),
              ROUND(ROUND(OFFSET($P220,0,AO$13),15-13*ORÇAMENTO!$AF$7)*OFFSET(ORÇAMENTO!$W$15,ROW(AO220)-ROW(AO$15),0),15-13*ORÇAMENTO!$AF$11)),
         0)</f>
        <v>0</v>
      </c>
      <c r="AP220" s="453">
        <f ca="1">IF(AND($D220="Serviço",AP$12&lt;&gt;0,$H220&gt;0,OR(AUTOEVENTO&lt;&gt;"manual",$M220&lt;&gt;$A$15)),
        IF(Import.TipoArredondamento&lt;&gt;"TransfereGOV",
              ROUND(OFFSET($P220,0,AP$13),15-13*ORÇAMENTO!$AF$7)/$H220*OFFSET(ORÇAMENTO!$X$15,ROW(AP220)-ROW(AP$15),0),
              ROUND(ROUND(OFFSET($P220,0,AP$13),15-13*ORÇAMENTO!$AF$7)*OFFSET(ORÇAMENTO!$W$15,ROW(AP220)-ROW(AP$15),0),15-13*ORÇAMENTO!$AF$11)),
         0)</f>
        <v>0</v>
      </c>
      <c r="AQ220" s="453">
        <f ca="1">IF(AND($D220="Serviço",AQ$12&lt;&gt;0,$H220&gt;0,OR(AUTOEVENTO&lt;&gt;"manual",$M220&lt;&gt;$A$15)),
        IF(Import.TipoArredondamento&lt;&gt;"TransfereGOV",
              ROUND(OFFSET($P220,0,AQ$13),15-13*ORÇAMENTO!$AF$7)/$H220*OFFSET(ORÇAMENTO!$X$15,ROW(AQ220)-ROW(AQ$15),0),
              ROUND(ROUND(OFFSET($P220,0,AQ$13),15-13*ORÇAMENTO!$AF$7)*OFFSET(ORÇAMENTO!$W$15,ROW(AQ220)-ROW(AQ$15),0),15-13*ORÇAMENTO!$AF$11)),
         0)</f>
        <v>0</v>
      </c>
      <c r="AR220" s="453">
        <f ca="1">IF(AND($D220="Serviço",AR$12&lt;&gt;0,$H220&gt;0,OR(AUTOEVENTO&lt;&gt;"manual",$M220&lt;&gt;$A$15)),
        IF(Import.TipoArredondamento&lt;&gt;"TransfereGOV",
              ROUND(OFFSET($P220,0,AR$13),15-13*ORÇAMENTO!$AF$7)/$H220*OFFSET(ORÇAMENTO!$X$15,ROW(AR220)-ROW(AR$15),0),
              ROUND(ROUND(OFFSET($P220,0,AR$13),15-13*ORÇAMENTO!$AF$7)*OFFSET(ORÇAMENTO!$W$15,ROW(AR220)-ROW(AR$15),0),15-13*ORÇAMENTO!$AF$11)),
         0)</f>
        <v>0</v>
      </c>
      <c r="AS220" s="453">
        <f ca="1">IF(AND($D220="Serviço",AS$12&lt;&gt;0,$H220&gt;0,OR(AUTOEVENTO&lt;&gt;"manual",$M220&lt;&gt;$A$15)),
        IF(Import.TipoArredondamento&lt;&gt;"TransfereGOV",
              ROUND(OFFSET($P220,0,AS$13),15-13*ORÇAMENTO!$AF$7)/$H220*OFFSET(ORÇAMENTO!$X$15,ROW(AS220)-ROW(AS$15),0),
              ROUND(ROUND(OFFSET($P220,0,AS$13),15-13*ORÇAMENTO!$AF$7)*OFFSET(ORÇAMENTO!$W$15,ROW(AS220)-ROW(AS$15),0),15-13*ORÇAMENTO!$AF$11)),
         0)</f>
        <v>0</v>
      </c>
      <c r="AT220" s="453">
        <f ca="1">IF(AND($D220="Serviço",AT$12&lt;&gt;0,$H220&gt;0,OR(AUTOEVENTO&lt;&gt;"manual",$M220&lt;&gt;$A$15)),
        IF(Import.TipoArredondamento&lt;&gt;"TransfereGOV",
              ROUND(OFFSET($P220,0,AT$13),15-13*ORÇAMENTO!$AF$7)/$H220*OFFSET(ORÇAMENTO!$X$15,ROW(AT220)-ROW(AT$15),0),
              ROUND(ROUND(OFFSET($P220,0,AT$13),15-13*ORÇAMENTO!$AF$7)*OFFSET(ORÇAMENTO!$W$15,ROW(AT220)-ROW(AT$15),0),15-13*ORÇAMENTO!$AF$11)),
         0)</f>
        <v>0</v>
      </c>
      <c r="AU220" s="453">
        <f ca="1">IF(AND($D220="Serviço",AU$12&lt;&gt;0,$H220&gt;0,OR(AUTOEVENTO&lt;&gt;"manual",$M220&lt;&gt;$A$15)),
        IF(Import.TipoArredondamento&lt;&gt;"TransfereGOV",
              ROUND(OFFSET($P220,0,AU$13),15-13*ORÇAMENTO!$AF$7)/$H220*OFFSET(ORÇAMENTO!$X$15,ROW(AU220)-ROW(AU$15),0),
              ROUND(ROUND(OFFSET($P220,0,AU$13),15-13*ORÇAMENTO!$AF$7)*OFFSET(ORÇAMENTO!$W$15,ROW(AU220)-ROW(AU$15),0),15-13*ORÇAMENTO!$AF$11)),
         0)</f>
        <v>0</v>
      </c>
      <c r="AV220" s="453">
        <f ca="1">IF(AND($D220="Serviço",AV$12&lt;&gt;0,$H220&gt;0,OR(AUTOEVENTO&lt;&gt;"manual",$M220&lt;&gt;$A$15)),
        IF(Import.TipoArredondamento&lt;&gt;"TransfereGOV",
              ROUND(OFFSET($P220,0,AV$13),15-13*ORÇAMENTO!$AF$7)/$H220*OFFSET(ORÇAMENTO!$X$15,ROW(AV220)-ROW(AV$15),0),
              ROUND(ROUND(OFFSET($P220,0,AV$13),15-13*ORÇAMENTO!$AF$7)*OFFSET(ORÇAMENTO!$W$15,ROW(AV220)-ROW(AV$15),0),15-13*ORÇAMENTO!$AF$11)),
         0)</f>
        <v>0</v>
      </c>
      <c r="AW220" s="453">
        <f ca="1">IF(AND($D220="Serviço",AW$12&lt;&gt;0,$H220&gt;0,OR(AUTOEVENTO&lt;&gt;"manual",$M220&lt;&gt;$A$15)),
        IF(Import.TipoArredondamento&lt;&gt;"TransfereGOV",
              ROUND(OFFSET($P220,0,AW$13),15-13*ORÇAMENTO!$AF$7)/$H220*OFFSET(ORÇAMENTO!$X$15,ROW(AW220)-ROW(AW$15),0),
              ROUND(ROUND(OFFSET($P220,0,AW$13),15-13*ORÇAMENTO!$AF$7)*OFFSET(ORÇAMENTO!$W$15,ROW(AW220)-ROW(AW$15),0),15-13*ORÇAMENTO!$AF$11)),
         0)</f>
        <v>0</v>
      </c>
      <c r="AX220" s="453">
        <f ca="1">IF(AND($D220="Serviço",AX$12&lt;&gt;0,$H220&gt;0,OR(AUTOEVENTO&lt;&gt;"manual",$M220&lt;&gt;$A$15)),
        IF(Import.TipoArredondamento&lt;&gt;"TransfereGOV",
              ROUND(OFFSET($P220,0,AX$13),15-13*ORÇAMENTO!$AF$7)/$H220*OFFSET(ORÇAMENTO!$X$15,ROW(AX220)-ROW(AX$15),0),
              ROUND(ROUND(OFFSET($P220,0,AX$13),15-13*ORÇAMENTO!$AF$7)*OFFSET(ORÇAMENTO!$W$15,ROW(AX220)-ROW(AX$15),0),15-13*ORÇAMENTO!$AF$11)),
         0)</f>
        <v>0</v>
      </c>
      <c r="AY220" s="453">
        <f ca="1">IF(AND($D220="Serviço",AY$12&lt;&gt;0,$H220&gt;0,OR(AUTOEVENTO&lt;&gt;"manual",$M220&lt;&gt;$A$15)),
        IF(Import.TipoArredondamento&lt;&gt;"TransfereGOV",
              ROUND(OFFSET($P220,0,AY$13),15-13*ORÇAMENTO!$AF$7)/$H220*OFFSET(ORÇAMENTO!$X$15,ROW(AY220)-ROW(AY$15),0),
              ROUND(ROUND(OFFSET($P220,0,AY$13),15-13*ORÇAMENTO!$AF$7)*OFFSET(ORÇAMENTO!$W$15,ROW(AY220)-ROW(AY$15),0),15-13*ORÇAMENTO!$AF$11)),
         0)</f>
        <v>0</v>
      </c>
      <c r="AZ220" s="453">
        <f ca="1">IF(AND($D220="Serviço",AZ$12&lt;&gt;0,$H220&gt;0,OR(AUTOEVENTO&lt;&gt;"manual",$M220&lt;&gt;$A$15)),
        IF(Import.TipoArredondamento&lt;&gt;"TransfereGOV",
              ROUND(OFFSET($P220,0,AZ$13),15-13*ORÇAMENTO!$AF$7)/$H220*OFFSET(ORÇAMENTO!$X$15,ROW(AZ220)-ROW(AZ$15),0),
              ROUND(ROUND(OFFSET($P220,0,AZ$13),15-13*ORÇAMENTO!$AF$7)*OFFSET(ORÇAMENTO!$W$15,ROW(AZ220)-ROW(AZ$15),0),15-13*ORÇAMENTO!$AF$11)),
         0)</f>
        <v>0</v>
      </c>
      <c r="BA220" s="453">
        <f ca="1">IF(AND($D220="Serviço",BA$12&lt;&gt;0,$H220&gt;0,OR(AUTOEVENTO&lt;&gt;"manual",$M220&lt;&gt;$A$15)),
        IF(Import.TipoArredondamento&lt;&gt;"TransfereGOV",
              ROUND(OFFSET($P220,0,BA$13),15-13*ORÇAMENTO!$AF$7)/$H220*OFFSET(ORÇAMENTO!$X$15,ROW(BA220)-ROW(BA$15),0),
              ROUND(ROUND(OFFSET($P220,0,BA$13),15-13*ORÇAMENTO!$AF$7)*OFFSET(ORÇAMENTO!$W$15,ROW(BA220)-ROW(BA$15),0),15-13*ORÇAMENTO!$AF$11)),
         0)</f>
        <v>0</v>
      </c>
      <c r="BC220" s="171">
        <f ca="1">IF(OR($D220&lt;&gt;"Serviço",AND(AUTOEVENTO="Manual",$M220=$A$15)),0,
         IF(OFFSET(CRONOPLE!$F$15,$M220-$A$15,BC$13)=0,10^12,OFFSET(CRONOPLE!$F$15,$M220-$A$15,BC$13)))</f>
        <v>1</v>
      </c>
      <c r="BD220" s="171">
        <f ca="1">IF(OR($D220&lt;&gt;"Serviço",AND(AUTOEVENTO="Manual",$M220=$A$15)),0,
         IF(OFFSET(CRONOPLE!$F$15,$M220-$A$15,BD$13)=0,10^12,OFFSET(CRONOPLE!$F$15,$M220-$A$15,BD$13)))</f>
        <v>2</v>
      </c>
      <c r="BE220" s="171">
        <f ca="1">IF(OR($D220&lt;&gt;"Serviço",AND(AUTOEVENTO="Manual",$M220=$A$15)),0,
         IF(OFFSET(CRONOPLE!$F$15,$M220-$A$15,BE$13)=0,10^12,OFFSET(CRONOPLE!$F$15,$M220-$A$15,BE$13)))</f>
        <v>3</v>
      </c>
      <c r="BF220" s="171">
        <f ca="1">IF(OR($D220&lt;&gt;"Serviço",AND(AUTOEVENTO="Manual",$M220=$A$15)),0,
         IF(OFFSET(CRONOPLE!$F$15,$M220-$A$15,BF$13)=0,10^12,OFFSET(CRONOPLE!$F$15,$M220-$A$15,BF$13)))</f>
        <v>4</v>
      </c>
      <c r="BG220" s="171">
        <f ca="1">IF(OR($D220&lt;&gt;"Serviço",AND(AUTOEVENTO="Manual",$M220=$A$15)),0,
         IF(OFFSET(CRONOPLE!$F$15,$M220-$A$15,BG$13)=0,10^12,OFFSET(CRONOPLE!$F$15,$M220-$A$15,BG$13)))</f>
        <v>5</v>
      </c>
      <c r="BH220" s="171">
        <f ca="1">IF(OR($D220&lt;&gt;"Serviço",AND(AUTOEVENTO="Manual",$M220=$A$15)),0,
         IF(OFFSET(CRONOPLE!$F$15,$M220-$A$15,BH$13)=0,10^12,OFFSET(CRONOPLE!$F$15,$M220-$A$15,BH$13)))</f>
        <v>6</v>
      </c>
      <c r="BI220" s="171">
        <f ca="1">IF(OR($D220&lt;&gt;"Serviço",AND(AUTOEVENTO="Manual",$M220=$A$15)),0,
         IF(OFFSET(CRONOPLE!$F$15,$M220-$A$15,BI$13)=0,10^12,OFFSET(CRONOPLE!$F$15,$M220-$A$15,BI$13)))</f>
        <v>7</v>
      </c>
      <c r="BJ220" s="171">
        <f ca="1">IF(OR($D220&lt;&gt;"Serviço",AND(AUTOEVENTO="Manual",$M220=$A$15)),0,
         IF(OFFSET(CRONOPLE!$F$15,$M220-$A$15,BJ$13)=0,10^12,OFFSET(CRONOPLE!$F$15,$M220-$A$15,BJ$13)))</f>
        <v>8</v>
      </c>
      <c r="BK220" s="171">
        <f ca="1">IF(OR($D220&lt;&gt;"Serviço",AND(AUTOEVENTO="Manual",$M220=$A$15)),0,
         IF(OFFSET(CRONOPLE!$F$15,$M220-$A$15,BK$13)=0,10^12,OFFSET(CRONOPLE!$F$15,$M220-$A$15,BK$13)))</f>
        <v>9</v>
      </c>
      <c r="BL220" s="171">
        <f ca="1">IF(OR($D220&lt;&gt;"Serviço",AND(AUTOEVENTO="Manual",$M220=$A$15)),0,
         IF(OFFSET(CRONOPLE!$F$15,$M220-$A$15,BL$13)=0,10^12,OFFSET(CRONOPLE!$F$15,$M220-$A$15,BL$13)))</f>
        <v>10</v>
      </c>
      <c r="BM220" s="171">
        <f ca="1">IF(OR($D220&lt;&gt;"Serviço",AND(AUTOEVENTO="Manual",$M220=$A$15)),0,
         IF(OFFSET(CRONOPLE!$F$15,$M220-$A$15,BM$13)=0,10^12,OFFSET(CRONOPLE!$F$15,$M220-$A$15,BM$13)))</f>
        <v>1000000000000</v>
      </c>
      <c r="BN220" s="171">
        <f ca="1">IF(OR($D220&lt;&gt;"Serviço",AND(AUTOEVENTO="Manual",$M220=$A$15)),0,
         IF(OFFSET(CRONOPLE!$F$15,$M220-$A$15,BN$13)=0,10^12,OFFSET(CRONOPLE!$F$15,$M220-$A$15,BN$13)))</f>
        <v>1000000000000</v>
      </c>
      <c r="BO220" s="171">
        <f ca="1">IF(OR($D220&lt;&gt;"Serviço",AND(AUTOEVENTO="Manual",$M220=$A$15)),0,
         IF(OFFSET(CRONOPLE!$F$15,$M220-$A$15,BO$13)=0,10^12,OFFSET(CRONOPLE!$F$15,$M220-$A$15,BO$13)))</f>
        <v>1000000000000</v>
      </c>
      <c r="BP220" s="171">
        <f ca="1">IF(OR($D220&lt;&gt;"Serviço",AND(AUTOEVENTO="Manual",$M220=$A$15)),0,
         IF(OFFSET(CRONOPLE!$F$15,$M220-$A$15,BP$13)=0,10^12,OFFSET(CRONOPLE!$F$15,$M220-$A$15,BP$13)))</f>
        <v>1000000000000</v>
      </c>
      <c r="BQ220" s="171">
        <f ca="1">IF(OR($D220&lt;&gt;"Serviço",AND(AUTOEVENTO="Manual",$M220=$A$15)),0,
         IF(OFFSET(CRONOPLE!$F$15,$M220-$A$15,BQ$13)=0,10^12,OFFSET(CRONOPLE!$F$15,$M220-$A$15,BQ$13)))</f>
        <v>1000000000000</v>
      </c>
      <c r="BR220" s="171">
        <f ca="1">IF(OR($D220&lt;&gt;"Serviço",AND(AUTOEVENTO="Manual",$M220=$A$15)),0,
         IF(OFFSET(CRONOPLE!$F$15,$M220-$A$15,BR$13)=0,10^12,OFFSET(CRONOPLE!$F$15,$M220-$A$15,BR$13)))</f>
        <v>1000000000000</v>
      </c>
      <c r="BS220" s="171">
        <f ca="1">IF(OR($D220&lt;&gt;"Serviço",AND(AUTOEVENTO="Manual",$M220=$A$15)),0,
         IF(OFFSET(CRONOPLE!$F$15,$M220-$A$15,BS$13)=0,10^12,OFFSET(CRONOPLE!$F$15,$M220-$A$15,BS$13)))</f>
        <v>1000000000000</v>
      </c>
      <c r="BT220" s="171">
        <f ca="1">IF(OR($D220&lt;&gt;"Serviço",AND(AUTOEVENTO="Manual",$M220=$A$15)),0,
         IF(OFFSET(CRONOPLE!$F$15,$M220-$A$15,BT$13)=0,10^12,OFFSET(CRONOPLE!$F$15,$M220-$A$15,BT$13)))</f>
        <v>1000000000000</v>
      </c>
      <c r="BV220" s="172">
        <f ca="1">IF(OR($D220&lt;&gt;"Serviço",AND(AUTOEVENTO="Manual",$M220=$A$15),$M220&gt;(ROW(PLE.lastrow)-ROW(PLE.firstrow))),0,
           IF(OFFSET(PLE!$G$15,$M220-$A$15,BV$13)="",10^12,OFFSET(PLE!$G$15,$M220-$A$15,BV$13)))</f>
        <v>1000000000000</v>
      </c>
      <c r="BW220" s="172">
        <f ca="1">IF(OR($D220&lt;&gt;"Serviço",AND(AUTOEVENTO="Manual",$M220=$A$15),$M220&gt;(ROW(PLE.lastrow)-ROW(PLE.firstrow))),0,
           IF(OFFSET(PLE!$G$15,$M220-$A$15,BW$13)="",10^12,OFFSET(PLE!$G$15,$M220-$A$15,BW$13)))</f>
        <v>1000000000000</v>
      </c>
      <c r="BX220" s="172">
        <f ca="1">IF(OR($D220&lt;&gt;"Serviço",AND(AUTOEVENTO="Manual",$M220=$A$15),$M220&gt;(ROW(PLE.lastrow)-ROW(PLE.firstrow))),0,
           IF(OFFSET(PLE!$G$15,$M220-$A$15,BX$13)="",10^12,OFFSET(PLE!$G$15,$M220-$A$15,BX$13)))</f>
        <v>1000000000000</v>
      </c>
      <c r="BY220" s="172">
        <f ca="1">IF(OR($D220&lt;&gt;"Serviço",AND(AUTOEVENTO="Manual",$M220=$A$15),$M220&gt;(ROW(PLE.lastrow)-ROW(PLE.firstrow))),0,
           IF(OFFSET(PLE!$G$15,$M220-$A$15,BY$13)="",10^12,OFFSET(PLE!$G$15,$M220-$A$15,BY$13)))</f>
        <v>1000000000000</v>
      </c>
      <c r="BZ220" s="172">
        <f ca="1">IF(OR($D220&lt;&gt;"Serviço",AND(AUTOEVENTO="Manual",$M220=$A$15),$M220&gt;(ROW(PLE.lastrow)-ROW(PLE.firstrow))),0,
           IF(OFFSET(PLE!$G$15,$M220-$A$15,BZ$13)="",10^12,OFFSET(PLE!$G$15,$M220-$A$15,BZ$13)))</f>
        <v>1000000000000</v>
      </c>
      <c r="CA220" s="172">
        <f ca="1">IF(OR($D220&lt;&gt;"Serviço",AND(AUTOEVENTO="Manual",$M220=$A$15),$M220&gt;(ROW(PLE.lastrow)-ROW(PLE.firstrow))),0,
           IF(OFFSET(PLE!$G$15,$M220-$A$15,CA$13)="",10^12,OFFSET(PLE!$G$15,$M220-$A$15,CA$13)))</f>
        <v>1000000000000</v>
      </c>
      <c r="CB220" s="172">
        <f ca="1">IF(OR($D220&lt;&gt;"Serviço",AND(AUTOEVENTO="Manual",$M220=$A$15),$M220&gt;(ROW(PLE.lastrow)-ROW(PLE.firstrow))),0,
           IF(OFFSET(PLE!$G$15,$M220-$A$15,CB$13)="",10^12,OFFSET(PLE!$G$15,$M220-$A$15,CB$13)))</f>
        <v>1000000000000</v>
      </c>
      <c r="CC220" s="172">
        <f ca="1">IF(OR($D220&lt;&gt;"Serviço",AND(AUTOEVENTO="Manual",$M220=$A$15),$M220&gt;(ROW(PLE.lastrow)-ROW(PLE.firstrow))),0,
           IF(OFFSET(PLE!$G$15,$M220-$A$15,CC$13)="",10^12,OFFSET(PLE!$G$15,$M220-$A$15,CC$13)))</f>
        <v>1000000000000</v>
      </c>
      <c r="CD220" s="172">
        <f ca="1">IF(OR($D220&lt;&gt;"Serviço",AND(AUTOEVENTO="Manual",$M220=$A$15),$M220&gt;(ROW(PLE.lastrow)-ROW(PLE.firstrow))),0,
           IF(OFFSET(PLE!$G$15,$M220-$A$15,CD$13)="",10^12,OFFSET(PLE!$G$15,$M220-$A$15,CD$13)))</f>
        <v>1000000000000</v>
      </c>
      <c r="CE220" s="172">
        <f ca="1">IF(OR($D220&lt;&gt;"Serviço",AND(AUTOEVENTO="Manual",$M220=$A$15),$M220&gt;(ROW(PLE.lastrow)-ROW(PLE.firstrow))),0,
           IF(OFFSET(PLE!$G$15,$M220-$A$15,CE$13)="",10^12,OFFSET(PLE!$G$15,$M220-$A$15,CE$13)))</f>
        <v>1000000000000</v>
      </c>
      <c r="CF220" s="172">
        <f ca="1">IF(OR($D220&lt;&gt;"Serviço",AND(AUTOEVENTO="Manual",$M220=$A$15),$M220&gt;(ROW(PLE.lastrow)-ROW(PLE.firstrow))),0,
           IF(OFFSET(PLE!$G$15,$M220-$A$15,CF$13)="",10^12,OFFSET(PLE!$G$15,$M220-$A$15,CF$13)))</f>
        <v>1000000000000</v>
      </c>
      <c r="CG220" s="172">
        <f ca="1">IF(OR($D220&lt;&gt;"Serviço",AND(AUTOEVENTO="Manual",$M220=$A$15),$M220&gt;(ROW(PLE.lastrow)-ROW(PLE.firstrow))),0,
           IF(OFFSET(PLE!$G$15,$M220-$A$15,CG$13)="",10^12,OFFSET(PLE!$G$15,$M220-$A$15,CG$13)))</f>
        <v>1000000000000</v>
      </c>
      <c r="CH220" s="172">
        <f ca="1">IF(OR($D220&lt;&gt;"Serviço",AND(AUTOEVENTO="Manual",$M220=$A$15),$M220&gt;(ROW(PLE.lastrow)-ROW(PLE.firstrow))),0,
           IF(OFFSET(PLE!$G$15,$M220-$A$15,CH$13)="",10^12,OFFSET(PLE!$G$15,$M220-$A$15,CH$13)))</f>
        <v>1000000000000</v>
      </c>
      <c r="CI220" s="172">
        <f ca="1">IF(OR($D220&lt;&gt;"Serviço",AND(AUTOEVENTO="Manual",$M220=$A$15),$M220&gt;(ROW(PLE.lastrow)-ROW(PLE.firstrow))),0,
           IF(OFFSET(PLE!$G$15,$M220-$A$15,CI$13)="",10^12,OFFSET(PLE!$G$15,$M220-$A$15,CI$13)))</f>
        <v>1000000000000</v>
      </c>
      <c r="CJ220" s="172">
        <f ca="1">IF(OR($D220&lt;&gt;"Serviço",AND(AUTOEVENTO="Manual",$M220=$A$15),$M220&gt;(ROW(PLE.lastrow)-ROW(PLE.firstrow))),0,
           IF(OFFSET(PLE!$G$15,$M220-$A$15,CJ$13)="",10^12,OFFSET(PLE!$G$15,$M220-$A$15,CJ$13)))</f>
        <v>1000000000000</v>
      </c>
      <c r="CK220" s="172">
        <f ca="1">IF(OR($D220&lt;&gt;"Serviço",AND(AUTOEVENTO="Manual",$M220=$A$15),$M220&gt;(ROW(PLE.lastrow)-ROW(PLE.firstrow))),0,
           IF(OFFSET(PLE!$G$15,$M220-$A$15,CK$13)="",10^12,OFFSET(PLE!$G$15,$M220-$A$15,CK$13)))</f>
        <v>1000000000000</v>
      </c>
      <c r="CL220" s="172">
        <f ca="1">IF(OR($D220&lt;&gt;"Serviço",AND(AUTOEVENTO="Manual",$M220=$A$15),$M220&gt;(ROW(PLE.lastrow)-ROW(PLE.firstrow))),0,
           IF(OFFSET(PLE!$G$15,$M220-$A$15,CL$13)="",10^12,OFFSET(PLE!$G$15,$M220-$A$15,CL$13)))</f>
        <v>1000000000000</v>
      </c>
      <c r="CM220" s="172">
        <f ca="1">IF(OR($D220&lt;&gt;"Serviço",AND(AUTOEVENTO="Manual",$M220=$A$15),$M220&gt;(ROW(PLE.lastrow)-ROW(PLE.firstrow))),0,
           IF(OFFSET(PLE!$G$15,$M220-$A$15,CM$13)="",10^12,OFFSET(PLE!$G$15,$M220-$A$15,CM$13)))</f>
        <v>1000000000000</v>
      </c>
    </row>
    <row r="221" spans="1:91" ht="63.75" x14ac:dyDescent="0.2">
      <c r="A221" s="7">
        <f t="shared" ca="1" si="13"/>
        <v>5</v>
      </c>
      <c r="B221" s="7" t="str">
        <f ca="1">OFFSET(ORÇAMENTO!C$15,ROW(B221)-ROW(B$15),0)</f>
        <v>S</v>
      </c>
      <c r="C221" s="7" t="str">
        <f ca="1">OFFSET(ORÇAMENTO!L$15,ROW(C221)-ROW(C$15),0)</f>
        <v>F</v>
      </c>
      <c r="D221" s="116" t="str">
        <f ca="1">OFFSET(ORÇAMENTO!N$15,ROW(D221)-ROW(D$15),0)</f>
        <v>Serviço</v>
      </c>
      <c r="E221" s="117" t="str">
        <f ca="1">OFFSET(ORÇAMENTO!O$15,ROW(E221)-ROW(E$15),0)</f>
        <v>1.6.1.0.5.</v>
      </c>
      <c r="F221" s="163" t="str">
        <f ca="1">OFFSET(ORÇAMENTO!R$15,ROW(F221)-ROW(F$15),0)</f>
        <v>CHUMBADOR MECÂNICO CB 14200 1/4" X 50MM, COM PORCA E ARRUELA ZINCADOS, FORNECIMENTO E INSTALAÇÃO - BASEADO EM ORSE (9819)</v>
      </c>
      <c r="G221" s="164" t="str">
        <f ca="1">IF($D221&lt;&gt;"Serviço","",OFFSET(ORÇAMENTO!S$15,ROW(G221)-ROW(G$15),0))</f>
        <v>UN</v>
      </c>
      <c r="H221" s="122" cm="1">
        <f t="array" aca="1" ref="H221" ca="1">IF($D221&lt;&gt;"Serviço",0,IF(ACOMPANHAMENTO="BM",ROUND(OFFSET(ORÇAMENTO!AJ$15,ROW(H221)-ROW(H$15),0),15-13*ORÇAMENTO!$AF$7),SUMPRODUCT(($Q$1:$AI$1=1)*ROUND($Q221:$AI221,15-13*ORÇAMENTO!$AF$7))))</f>
        <v>24</v>
      </c>
      <c r="I221" s="468" t="s">
        <v>1343</v>
      </c>
      <c r="J221" s="640" t="str" cm="1">
        <f t="array" aca="1" ref="J221" ca="1">IF(OR(B221&lt;&gt;"S",CÁLCULO.FrentesPreenchidas=0),"",IF(AND(ACOMPANHAMENTO="PLE",AUTOEVENTO="Manual",OR(H221&gt;0,ORÇAMENTO!AC221="QUANT."),OR(K221="",M221=0,N221="")),"►E",IF(AND(ACOMPANHAMENTO="PLE",ORÇAMENTO!AC221="QUANT."),"►Q",IF(AND(ACOMPANHAMENTO="PLE",H221&lt;&gt;SUMPRODUCT(($Q$1:$AI$1=1)*ROUND(Q221:AI221,15))),"►S",IF(AND(COUNTIF($P$11:$AI$11,"▼")=0,H221&gt;0,I221=""),"◄M","")))))</f>
        <v/>
      </c>
      <c r="K221" s="641" t="s">
        <v>1390</v>
      </c>
      <c r="L221" s="165" t="s">
        <v>764</v>
      </c>
      <c r="M221" s="166">
        <f ca="1">IF($D221&lt;&gt;"Serviço","",
          IF(AUTOEVENTO="manual",$A221,
                IF(ISERROR(MATCH($A221,$A$15:OFFSET($A221,-1,0),0)),MAX($M$15:OFFSET(M221,-1,0))+1,
                      INDEX($M$15:OFFSET(M221,-1,0),MATCH($A221,$A$15:OFFSET($A221,-1,0),0)))))</f>
        <v>5</v>
      </c>
      <c r="N221" s="167" t="str">
        <f ca="1">IF($D221&lt;&gt;"Serviço","",
         IF(AUTOEVENTO="Manual",
                IF($A221=0,"&lt;-- defina o número do agrupador",
                       OFFSET(EVENTOS!$D$15,$A221-$A$15,0)),
                OFFSET($F$15,$A221,0)))</f>
        <v>Estrutura Metálica</v>
      </c>
      <c r="O221" s="168"/>
      <c r="Q221" s="168"/>
      <c r="R221" s="169"/>
      <c r="S221" s="169"/>
      <c r="T221" s="169"/>
      <c r="U221" s="169"/>
      <c r="V221" s="169"/>
      <c r="W221" s="169">
        <v>24</v>
      </c>
      <c r="X221" s="169"/>
      <c r="Y221" s="169"/>
      <c r="Z221" s="170"/>
      <c r="AA221" s="169"/>
      <c r="AB221" s="169"/>
      <c r="AC221" s="169"/>
      <c r="AD221" s="169"/>
      <c r="AE221" s="169"/>
      <c r="AF221" s="169"/>
      <c r="AG221" s="169"/>
      <c r="AH221" s="170"/>
      <c r="AJ221" s="453">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0</v>
      </c>
      <c r="AK221" s="453">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0</v>
      </c>
      <c r="AL221" s="453">
        <f ca="1">IF(AND($D221="Serviço",AL$12&lt;&gt;0,$H221&gt;0,OR(AUTOEVENTO&lt;&gt;"manual",$M221&lt;&gt;$A$15)),
        IF(Import.TipoArredondamento&lt;&gt;"TransfereGOV",
              ROUND(OFFSET($P221,0,AL$13),15-13*ORÇAMENTO!$AF$7)/$H221*OFFSET(ORÇAMENTO!$X$15,ROW(AL221)-ROW(AL$15),0),
              ROUND(ROUND(OFFSET($P221,0,AL$13),15-13*ORÇAMENTO!$AF$7)*OFFSET(ORÇAMENTO!$W$15,ROW(AL221)-ROW(AL$15),0),15-13*ORÇAMENTO!$AF$11)),
         0)</f>
        <v>0</v>
      </c>
      <c r="AM221" s="453">
        <f ca="1">IF(AND($D221="Serviço",AM$12&lt;&gt;0,$H221&gt;0,OR(AUTOEVENTO&lt;&gt;"manual",$M221&lt;&gt;$A$15)),
        IF(Import.TipoArredondamento&lt;&gt;"TransfereGOV",
              ROUND(OFFSET($P221,0,AM$13),15-13*ORÇAMENTO!$AF$7)/$H221*OFFSET(ORÇAMENTO!$X$15,ROW(AM221)-ROW(AM$15),0),
              ROUND(ROUND(OFFSET($P221,0,AM$13),15-13*ORÇAMENTO!$AF$7)*OFFSET(ORÇAMENTO!$W$15,ROW(AM221)-ROW(AM$15),0),15-13*ORÇAMENTO!$AF$11)),
         0)</f>
        <v>0</v>
      </c>
      <c r="AN221" s="453">
        <f ca="1">IF(AND($D221="Serviço",AN$12&lt;&gt;0,$H221&gt;0,OR(AUTOEVENTO&lt;&gt;"manual",$M221&lt;&gt;$A$15)),
        IF(Import.TipoArredondamento&lt;&gt;"TransfereGOV",
              ROUND(OFFSET($P221,0,AN$13),15-13*ORÇAMENTO!$AF$7)/$H221*OFFSET(ORÇAMENTO!$X$15,ROW(AN221)-ROW(AN$15),0),
              ROUND(ROUND(OFFSET($P221,0,AN$13),15-13*ORÇAMENTO!$AF$7)*OFFSET(ORÇAMENTO!$W$15,ROW(AN221)-ROW(AN$15),0),15-13*ORÇAMENTO!$AF$11)),
         0)</f>
        <v>0</v>
      </c>
      <c r="AO221" s="453">
        <f ca="1">IF(AND($D221="Serviço",AO$12&lt;&gt;0,$H221&gt;0,OR(AUTOEVENTO&lt;&gt;"manual",$M221&lt;&gt;$A$15)),
        IF(Import.TipoArredondamento&lt;&gt;"TransfereGOV",
              ROUND(OFFSET($P221,0,AO$13),15-13*ORÇAMENTO!$AF$7)/$H221*OFFSET(ORÇAMENTO!$X$15,ROW(AO221)-ROW(AO$15),0),
              ROUND(ROUND(OFFSET($P221,0,AO$13),15-13*ORÇAMENTO!$AF$7)*OFFSET(ORÇAMENTO!$W$15,ROW(AO221)-ROW(AO$15),0),15-13*ORÇAMENTO!$AF$11)),
         0)</f>
        <v>0</v>
      </c>
      <c r="AP221" s="453">
        <f ca="1">IF(AND($D221="Serviço",AP$12&lt;&gt;0,$H221&gt;0,OR(AUTOEVENTO&lt;&gt;"manual",$M221&lt;&gt;$A$15)),
        IF(Import.TipoArredondamento&lt;&gt;"TransfereGOV",
              ROUND(OFFSET($P221,0,AP$13),15-13*ORÇAMENTO!$AF$7)/$H221*OFFSET(ORÇAMENTO!$X$15,ROW(AP221)-ROW(AP$15),0),
              ROUND(ROUND(OFFSET($P221,0,AP$13),15-13*ORÇAMENTO!$AF$7)*OFFSET(ORÇAMENTO!$W$15,ROW(AP221)-ROW(AP$15),0),15-13*ORÇAMENTO!$AF$11)),
         0)</f>
        <v>0</v>
      </c>
      <c r="AQ221" s="453">
        <f ca="1">IF(AND($D221="Serviço",AQ$12&lt;&gt;0,$H221&gt;0,OR(AUTOEVENTO&lt;&gt;"manual",$M221&lt;&gt;$A$15)),
        IF(Import.TipoArredondamento&lt;&gt;"TransfereGOV",
              ROUND(OFFSET($P221,0,AQ$13),15-13*ORÇAMENTO!$AF$7)/$H221*OFFSET(ORÇAMENTO!$X$15,ROW(AQ221)-ROW(AQ$15),0),
              ROUND(ROUND(OFFSET($P221,0,AQ$13),15-13*ORÇAMENTO!$AF$7)*OFFSET(ORÇAMENTO!$W$15,ROW(AQ221)-ROW(AQ$15),0),15-13*ORÇAMENTO!$AF$11)),
         0)</f>
        <v>0</v>
      </c>
      <c r="AR221" s="453">
        <f ca="1">IF(AND($D221="Serviço",AR$12&lt;&gt;0,$H221&gt;0,OR(AUTOEVENTO&lt;&gt;"manual",$M221&lt;&gt;$A$15)),
        IF(Import.TipoArredondamento&lt;&gt;"TransfereGOV",
              ROUND(OFFSET($P221,0,AR$13),15-13*ORÇAMENTO!$AF$7)/$H221*OFFSET(ORÇAMENTO!$X$15,ROW(AR221)-ROW(AR$15),0),
              ROUND(ROUND(OFFSET($P221,0,AR$13),15-13*ORÇAMENTO!$AF$7)*OFFSET(ORÇAMENTO!$W$15,ROW(AR221)-ROW(AR$15),0),15-13*ORÇAMENTO!$AF$11)),
         0)</f>
        <v>0</v>
      </c>
      <c r="AS221" s="453">
        <f ca="1">IF(AND($D221="Serviço",AS$12&lt;&gt;0,$H221&gt;0,OR(AUTOEVENTO&lt;&gt;"manual",$M221&lt;&gt;$A$15)),
        IF(Import.TipoArredondamento&lt;&gt;"TransfereGOV",
              ROUND(OFFSET($P221,0,AS$13),15-13*ORÇAMENTO!$AF$7)/$H221*OFFSET(ORÇAMENTO!$X$15,ROW(AS221)-ROW(AS$15),0),
              ROUND(ROUND(OFFSET($P221,0,AS$13),15-13*ORÇAMENTO!$AF$7)*OFFSET(ORÇAMENTO!$W$15,ROW(AS221)-ROW(AS$15),0),15-13*ORÇAMENTO!$AF$11)),
         0)</f>
        <v>0</v>
      </c>
      <c r="AT221" s="453">
        <f ca="1">IF(AND($D221="Serviço",AT$12&lt;&gt;0,$H221&gt;0,OR(AUTOEVENTO&lt;&gt;"manual",$M221&lt;&gt;$A$15)),
        IF(Import.TipoArredondamento&lt;&gt;"TransfereGOV",
              ROUND(OFFSET($P221,0,AT$13),15-13*ORÇAMENTO!$AF$7)/$H221*OFFSET(ORÇAMENTO!$X$15,ROW(AT221)-ROW(AT$15),0),
              ROUND(ROUND(OFFSET($P221,0,AT$13),15-13*ORÇAMENTO!$AF$7)*OFFSET(ORÇAMENTO!$W$15,ROW(AT221)-ROW(AT$15),0),15-13*ORÇAMENTO!$AF$11)),
         0)</f>
        <v>0</v>
      </c>
      <c r="AU221" s="453">
        <f ca="1">IF(AND($D221="Serviço",AU$12&lt;&gt;0,$H221&gt;0,OR(AUTOEVENTO&lt;&gt;"manual",$M221&lt;&gt;$A$15)),
        IF(Import.TipoArredondamento&lt;&gt;"TransfereGOV",
              ROUND(OFFSET($P221,0,AU$13),15-13*ORÇAMENTO!$AF$7)/$H221*OFFSET(ORÇAMENTO!$X$15,ROW(AU221)-ROW(AU$15),0),
              ROUND(ROUND(OFFSET($P221,0,AU$13),15-13*ORÇAMENTO!$AF$7)*OFFSET(ORÇAMENTO!$W$15,ROW(AU221)-ROW(AU$15),0),15-13*ORÇAMENTO!$AF$11)),
         0)</f>
        <v>0</v>
      </c>
      <c r="AV221" s="453">
        <f ca="1">IF(AND($D221="Serviço",AV$12&lt;&gt;0,$H221&gt;0,OR(AUTOEVENTO&lt;&gt;"manual",$M221&lt;&gt;$A$15)),
        IF(Import.TipoArredondamento&lt;&gt;"TransfereGOV",
              ROUND(OFFSET($P221,0,AV$13),15-13*ORÇAMENTO!$AF$7)/$H221*OFFSET(ORÇAMENTO!$X$15,ROW(AV221)-ROW(AV$15),0),
              ROUND(ROUND(OFFSET($P221,0,AV$13),15-13*ORÇAMENTO!$AF$7)*OFFSET(ORÇAMENTO!$W$15,ROW(AV221)-ROW(AV$15),0),15-13*ORÇAMENTO!$AF$11)),
         0)</f>
        <v>0</v>
      </c>
      <c r="AW221" s="453">
        <f ca="1">IF(AND($D221="Serviço",AW$12&lt;&gt;0,$H221&gt;0,OR(AUTOEVENTO&lt;&gt;"manual",$M221&lt;&gt;$A$15)),
        IF(Import.TipoArredondamento&lt;&gt;"TransfereGOV",
              ROUND(OFFSET($P221,0,AW$13),15-13*ORÇAMENTO!$AF$7)/$H221*OFFSET(ORÇAMENTO!$X$15,ROW(AW221)-ROW(AW$15),0),
              ROUND(ROUND(OFFSET($P221,0,AW$13),15-13*ORÇAMENTO!$AF$7)*OFFSET(ORÇAMENTO!$W$15,ROW(AW221)-ROW(AW$15),0),15-13*ORÇAMENTO!$AF$11)),
         0)</f>
        <v>0</v>
      </c>
      <c r="AX221" s="453">
        <f ca="1">IF(AND($D221="Serviço",AX$12&lt;&gt;0,$H221&gt;0,OR(AUTOEVENTO&lt;&gt;"manual",$M221&lt;&gt;$A$15)),
        IF(Import.TipoArredondamento&lt;&gt;"TransfereGOV",
              ROUND(OFFSET($P221,0,AX$13),15-13*ORÇAMENTO!$AF$7)/$H221*OFFSET(ORÇAMENTO!$X$15,ROW(AX221)-ROW(AX$15),0),
              ROUND(ROUND(OFFSET($P221,0,AX$13),15-13*ORÇAMENTO!$AF$7)*OFFSET(ORÇAMENTO!$W$15,ROW(AX221)-ROW(AX$15),0),15-13*ORÇAMENTO!$AF$11)),
         0)</f>
        <v>0</v>
      </c>
      <c r="AY221" s="453">
        <f ca="1">IF(AND($D221="Serviço",AY$12&lt;&gt;0,$H221&gt;0,OR(AUTOEVENTO&lt;&gt;"manual",$M221&lt;&gt;$A$15)),
        IF(Import.TipoArredondamento&lt;&gt;"TransfereGOV",
              ROUND(OFFSET($P221,0,AY$13),15-13*ORÇAMENTO!$AF$7)/$H221*OFFSET(ORÇAMENTO!$X$15,ROW(AY221)-ROW(AY$15),0),
              ROUND(ROUND(OFFSET($P221,0,AY$13),15-13*ORÇAMENTO!$AF$7)*OFFSET(ORÇAMENTO!$W$15,ROW(AY221)-ROW(AY$15),0),15-13*ORÇAMENTO!$AF$11)),
         0)</f>
        <v>0</v>
      </c>
      <c r="AZ221" s="453">
        <f ca="1">IF(AND($D221="Serviço",AZ$12&lt;&gt;0,$H221&gt;0,OR(AUTOEVENTO&lt;&gt;"manual",$M221&lt;&gt;$A$15)),
        IF(Import.TipoArredondamento&lt;&gt;"TransfereGOV",
              ROUND(OFFSET($P221,0,AZ$13),15-13*ORÇAMENTO!$AF$7)/$H221*OFFSET(ORÇAMENTO!$X$15,ROW(AZ221)-ROW(AZ$15),0),
              ROUND(ROUND(OFFSET($P221,0,AZ$13),15-13*ORÇAMENTO!$AF$7)*OFFSET(ORÇAMENTO!$W$15,ROW(AZ221)-ROW(AZ$15),0),15-13*ORÇAMENTO!$AF$11)),
         0)</f>
        <v>0</v>
      </c>
      <c r="BA221" s="453">
        <f ca="1">IF(AND($D221="Serviço",BA$12&lt;&gt;0,$H221&gt;0,OR(AUTOEVENTO&lt;&gt;"manual",$M221&lt;&gt;$A$15)),
        IF(Import.TipoArredondamento&lt;&gt;"TransfereGOV",
              ROUND(OFFSET($P221,0,BA$13),15-13*ORÇAMENTO!$AF$7)/$H221*OFFSET(ORÇAMENTO!$X$15,ROW(BA221)-ROW(BA$15),0),
              ROUND(ROUND(OFFSET($P221,0,BA$13),15-13*ORÇAMENTO!$AF$7)*OFFSET(ORÇAMENTO!$W$15,ROW(BA221)-ROW(BA$15),0),15-13*ORÇAMENTO!$AF$11)),
         0)</f>
        <v>0</v>
      </c>
      <c r="BC221" s="171">
        <f ca="1">IF(OR($D221&lt;&gt;"Serviço",AND(AUTOEVENTO="Manual",$M221=$A$15)),0,
         IF(OFFSET(CRONOPLE!$F$15,$M221-$A$15,BC$13)=0,10^12,OFFSET(CRONOPLE!$F$15,$M221-$A$15,BC$13)))</f>
        <v>1</v>
      </c>
      <c r="BD221" s="171">
        <f ca="1">IF(OR($D221&lt;&gt;"Serviço",AND(AUTOEVENTO="Manual",$M221=$A$15)),0,
         IF(OFFSET(CRONOPLE!$F$15,$M221-$A$15,BD$13)=0,10^12,OFFSET(CRONOPLE!$F$15,$M221-$A$15,BD$13)))</f>
        <v>2</v>
      </c>
      <c r="BE221" s="171">
        <f ca="1">IF(OR($D221&lt;&gt;"Serviço",AND(AUTOEVENTO="Manual",$M221=$A$15)),0,
         IF(OFFSET(CRONOPLE!$F$15,$M221-$A$15,BE$13)=0,10^12,OFFSET(CRONOPLE!$F$15,$M221-$A$15,BE$13)))</f>
        <v>3</v>
      </c>
      <c r="BF221" s="171">
        <f ca="1">IF(OR($D221&lt;&gt;"Serviço",AND(AUTOEVENTO="Manual",$M221=$A$15)),0,
         IF(OFFSET(CRONOPLE!$F$15,$M221-$A$15,BF$13)=0,10^12,OFFSET(CRONOPLE!$F$15,$M221-$A$15,BF$13)))</f>
        <v>4</v>
      </c>
      <c r="BG221" s="171">
        <f ca="1">IF(OR($D221&lt;&gt;"Serviço",AND(AUTOEVENTO="Manual",$M221=$A$15)),0,
         IF(OFFSET(CRONOPLE!$F$15,$M221-$A$15,BG$13)=0,10^12,OFFSET(CRONOPLE!$F$15,$M221-$A$15,BG$13)))</f>
        <v>5</v>
      </c>
      <c r="BH221" s="171">
        <f ca="1">IF(OR($D221&lt;&gt;"Serviço",AND(AUTOEVENTO="Manual",$M221=$A$15)),0,
         IF(OFFSET(CRONOPLE!$F$15,$M221-$A$15,BH$13)=0,10^12,OFFSET(CRONOPLE!$F$15,$M221-$A$15,BH$13)))</f>
        <v>6</v>
      </c>
      <c r="BI221" s="171">
        <f ca="1">IF(OR($D221&lt;&gt;"Serviço",AND(AUTOEVENTO="Manual",$M221=$A$15)),0,
         IF(OFFSET(CRONOPLE!$F$15,$M221-$A$15,BI$13)=0,10^12,OFFSET(CRONOPLE!$F$15,$M221-$A$15,BI$13)))</f>
        <v>7</v>
      </c>
      <c r="BJ221" s="171">
        <f ca="1">IF(OR($D221&lt;&gt;"Serviço",AND(AUTOEVENTO="Manual",$M221=$A$15)),0,
         IF(OFFSET(CRONOPLE!$F$15,$M221-$A$15,BJ$13)=0,10^12,OFFSET(CRONOPLE!$F$15,$M221-$A$15,BJ$13)))</f>
        <v>8</v>
      </c>
      <c r="BK221" s="171">
        <f ca="1">IF(OR($D221&lt;&gt;"Serviço",AND(AUTOEVENTO="Manual",$M221=$A$15)),0,
         IF(OFFSET(CRONOPLE!$F$15,$M221-$A$15,BK$13)=0,10^12,OFFSET(CRONOPLE!$F$15,$M221-$A$15,BK$13)))</f>
        <v>9</v>
      </c>
      <c r="BL221" s="171">
        <f ca="1">IF(OR($D221&lt;&gt;"Serviço",AND(AUTOEVENTO="Manual",$M221=$A$15)),0,
         IF(OFFSET(CRONOPLE!$F$15,$M221-$A$15,BL$13)=0,10^12,OFFSET(CRONOPLE!$F$15,$M221-$A$15,BL$13)))</f>
        <v>10</v>
      </c>
      <c r="BM221" s="171">
        <f ca="1">IF(OR($D221&lt;&gt;"Serviço",AND(AUTOEVENTO="Manual",$M221=$A$15)),0,
         IF(OFFSET(CRONOPLE!$F$15,$M221-$A$15,BM$13)=0,10^12,OFFSET(CRONOPLE!$F$15,$M221-$A$15,BM$13)))</f>
        <v>1000000000000</v>
      </c>
      <c r="BN221" s="171">
        <f ca="1">IF(OR($D221&lt;&gt;"Serviço",AND(AUTOEVENTO="Manual",$M221=$A$15)),0,
         IF(OFFSET(CRONOPLE!$F$15,$M221-$A$15,BN$13)=0,10^12,OFFSET(CRONOPLE!$F$15,$M221-$A$15,BN$13)))</f>
        <v>1000000000000</v>
      </c>
      <c r="BO221" s="171">
        <f ca="1">IF(OR($D221&lt;&gt;"Serviço",AND(AUTOEVENTO="Manual",$M221=$A$15)),0,
         IF(OFFSET(CRONOPLE!$F$15,$M221-$A$15,BO$13)=0,10^12,OFFSET(CRONOPLE!$F$15,$M221-$A$15,BO$13)))</f>
        <v>1000000000000</v>
      </c>
      <c r="BP221" s="171">
        <f ca="1">IF(OR($D221&lt;&gt;"Serviço",AND(AUTOEVENTO="Manual",$M221=$A$15)),0,
         IF(OFFSET(CRONOPLE!$F$15,$M221-$A$15,BP$13)=0,10^12,OFFSET(CRONOPLE!$F$15,$M221-$A$15,BP$13)))</f>
        <v>1000000000000</v>
      </c>
      <c r="BQ221" s="171">
        <f ca="1">IF(OR($D221&lt;&gt;"Serviço",AND(AUTOEVENTO="Manual",$M221=$A$15)),0,
         IF(OFFSET(CRONOPLE!$F$15,$M221-$A$15,BQ$13)=0,10^12,OFFSET(CRONOPLE!$F$15,$M221-$A$15,BQ$13)))</f>
        <v>1000000000000</v>
      </c>
      <c r="BR221" s="171">
        <f ca="1">IF(OR($D221&lt;&gt;"Serviço",AND(AUTOEVENTO="Manual",$M221=$A$15)),0,
         IF(OFFSET(CRONOPLE!$F$15,$M221-$A$15,BR$13)=0,10^12,OFFSET(CRONOPLE!$F$15,$M221-$A$15,BR$13)))</f>
        <v>1000000000000</v>
      </c>
      <c r="BS221" s="171">
        <f ca="1">IF(OR($D221&lt;&gt;"Serviço",AND(AUTOEVENTO="Manual",$M221=$A$15)),0,
         IF(OFFSET(CRONOPLE!$F$15,$M221-$A$15,BS$13)=0,10^12,OFFSET(CRONOPLE!$F$15,$M221-$A$15,BS$13)))</f>
        <v>1000000000000</v>
      </c>
      <c r="BT221" s="171">
        <f ca="1">IF(OR($D221&lt;&gt;"Serviço",AND(AUTOEVENTO="Manual",$M221=$A$15)),0,
         IF(OFFSET(CRONOPLE!$F$15,$M221-$A$15,BT$13)=0,10^12,OFFSET(CRONOPLE!$F$15,$M221-$A$15,BT$13)))</f>
        <v>1000000000000</v>
      </c>
      <c r="BV221" s="172">
        <f ca="1">IF(OR($D221&lt;&gt;"Serviço",AND(AUTOEVENTO="Manual",$M221=$A$15),$M221&gt;(ROW(PLE.lastrow)-ROW(PLE.firstrow))),0,
           IF(OFFSET(PLE!$G$15,$M221-$A$15,BV$13)="",10^12,OFFSET(PLE!$G$15,$M221-$A$15,BV$13)))</f>
        <v>1000000000000</v>
      </c>
      <c r="BW221" s="172">
        <f ca="1">IF(OR($D221&lt;&gt;"Serviço",AND(AUTOEVENTO="Manual",$M221=$A$15),$M221&gt;(ROW(PLE.lastrow)-ROW(PLE.firstrow))),0,
           IF(OFFSET(PLE!$G$15,$M221-$A$15,BW$13)="",10^12,OFFSET(PLE!$G$15,$M221-$A$15,BW$13)))</f>
        <v>1000000000000</v>
      </c>
      <c r="BX221" s="172">
        <f ca="1">IF(OR($D221&lt;&gt;"Serviço",AND(AUTOEVENTO="Manual",$M221=$A$15),$M221&gt;(ROW(PLE.lastrow)-ROW(PLE.firstrow))),0,
           IF(OFFSET(PLE!$G$15,$M221-$A$15,BX$13)="",10^12,OFFSET(PLE!$G$15,$M221-$A$15,BX$13)))</f>
        <v>1000000000000</v>
      </c>
      <c r="BY221" s="172">
        <f ca="1">IF(OR($D221&lt;&gt;"Serviço",AND(AUTOEVENTO="Manual",$M221=$A$15),$M221&gt;(ROW(PLE.lastrow)-ROW(PLE.firstrow))),0,
           IF(OFFSET(PLE!$G$15,$M221-$A$15,BY$13)="",10^12,OFFSET(PLE!$G$15,$M221-$A$15,BY$13)))</f>
        <v>1000000000000</v>
      </c>
      <c r="BZ221" s="172">
        <f ca="1">IF(OR($D221&lt;&gt;"Serviço",AND(AUTOEVENTO="Manual",$M221=$A$15),$M221&gt;(ROW(PLE.lastrow)-ROW(PLE.firstrow))),0,
           IF(OFFSET(PLE!$G$15,$M221-$A$15,BZ$13)="",10^12,OFFSET(PLE!$G$15,$M221-$A$15,BZ$13)))</f>
        <v>1000000000000</v>
      </c>
      <c r="CA221" s="172">
        <f ca="1">IF(OR($D221&lt;&gt;"Serviço",AND(AUTOEVENTO="Manual",$M221=$A$15),$M221&gt;(ROW(PLE.lastrow)-ROW(PLE.firstrow))),0,
           IF(OFFSET(PLE!$G$15,$M221-$A$15,CA$13)="",10^12,OFFSET(PLE!$G$15,$M221-$A$15,CA$13)))</f>
        <v>1000000000000</v>
      </c>
      <c r="CB221" s="172">
        <f ca="1">IF(OR($D221&lt;&gt;"Serviço",AND(AUTOEVENTO="Manual",$M221=$A$15),$M221&gt;(ROW(PLE.lastrow)-ROW(PLE.firstrow))),0,
           IF(OFFSET(PLE!$G$15,$M221-$A$15,CB$13)="",10^12,OFFSET(PLE!$G$15,$M221-$A$15,CB$13)))</f>
        <v>1000000000000</v>
      </c>
      <c r="CC221" s="172">
        <f ca="1">IF(OR($D221&lt;&gt;"Serviço",AND(AUTOEVENTO="Manual",$M221=$A$15),$M221&gt;(ROW(PLE.lastrow)-ROW(PLE.firstrow))),0,
           IF(OFFSET(PLE!$G$15,$M221-$A$15,CC$13)="",10^12,OFFSET(PLE!$G$15,$M221-$A$15,CC$13)))</f>
        <v>1000000000000</v>
      </c>
      <c r="CD221" s="172">
        <f ca="1">IF(OR($D221&lt;&gt;"Serviço",AND(AUTOEVENTO="Manual",$M221=$A$15),$M221&gt;(ROW(PLE.lastrow)-ROW(PLE.firstrow))),0,
           IF(OFFSET(PLE!$G$15,$M221-$A$15,CD$13)="",10^12,OFFSET(PLE!$G$15,$M221-$A$15,CD$13)))</f>
        <v>1000000000000</v>
      </c>
      <c r="CE221" s="172">
        <f ca="1">IF(OR($D221&lt;&gt;"Serviço",AND(AUTOEVENTO="Manual",$M221=$A$15),$M221&gt;(ROW(PLE.lastrow)-ROW(PLE.firstrow))),0,
           IF(OFFSET(PLE!$G$15,$M221-$A$15,CE$13)="",10^12,OFFSET(PLE!$G$15,$M221-$A$15,CE$13)))</f>
        <v>1000000000000</v>
      </c>
      <c r="CF221" s="172">
        <f ca="1">IF(OR($D221&lt;&gt;"Serviço",AND(AUTOEVENTO="Manual",$M221=$A$15),$M221&gt;(ROW(PLE.lastrow)-ROW(PLE.firstrow))),0,
           IF(OFFSET(PLE!$G$15,$M221-$A$15,CF$13)="",10^12,OFFSET(PLE!$G$15,$M221-$A$15,CF$13)))</f>
        <v>1000000000000</v>
      </c>
      <c r="CG221" s="172">
        <f ca="1">IF(OR($D221&lt;&gt;"Serviço",AND(AUTOEVENTO="Manual",$M221=$A$15),$M221&gt;(ROW(PLE.lastrow)-ROW(PLE.firstrow))),0,
           IF(OFFSET(PLE!$G$15,$M221-$A$15,CG$13)="",10^12,OFFSET(PLE!$G$15,$M221-$A$15,CG$13)))</f>
        <v>1000000000000</v>
      </c>
      <c r="CH221" s="172">
        <f ca="1">IF(OR($D221&lt;&gt;"Serviço",AND(AUTOEVENTO="Manual",$M221=$A$15),$M221&gt;(ROW(PLE.lastrow)-ROW(PLE.firstrow))),0,
           IF(OFFSET(PLE!$G$15,$M221-$A$15,CH$13)="",10^12,OFFSET(PLE!$G$15,$M221-$A$15,CH$13)))</f>
        <v>1000000000000</v>
      </c>
      <c r="CI221" s="172">
        <f ca="1">IF(OR($D221&lt;&gt;"Serviço",AND(AUTOEVENTO="Manual",$M221=$A$15),$M221&gt;(ROW(PLE.lastrow)-ROW(PLE.firstrow))),0,
           IF(OFFSET(PLE!$G$15,$M221-$A$15,CI$13)="",10^12,OFFSET(PLE!$G$15,$M221-$A$15,CI$13)))</f>
        <v>1000000000000</v>
      </c>
      <c r="CJ221" s="172">
        <f ca="1">IF(OR($D221&lt;&gt;"Serviço",AND(AUTOEVENTO="Manual",$M221=$A$15),$M221&gt;(ROW(PLE.lastrow)-ROW(PLE.firstrow))),0,
           IF(OFFSET(PLE!$G$15,$M221-$A$15,CJ$13)="",10^12,OFFSET(PLE!$G$15,$M221-$A$15,CJ$13)))</f>
        <v>1000000000000</v>
      </c>
      <c r="CK221" s="172">
        <f ca="1">IF(OR($D221&lt;&gt;"Serviço",AND(AUTOEVENTO="Manual",$M221=$A$15),$M221&gt;(ROW(PLE.lastrow)-ROW(PLE.firstrow))),0,
           IF(OFFSET(PLE!$G$15,$M221-$A$15,CK$13)="",10^12,OFFSET(PLE!$G$15,$M221-$A$15,CK$13)))</f>
        <v>1000000000000</v>
      </c>
      <c r="CL221" s="172">
        <f ca="1">IF(OR($D221&lt;&gt;"Serviço",AND(AUTOEVENTO="Manual",$M221=$A$15),$M221&gt;(ROW(PLE.lastrow)-ROW(PLE.firstrow))),0,
           IF(OFFSET(PLE!$G$15,$M221-$A$15,CL$13)="",10^12,OFFSET(PLE!$G$15,$M221-$A$15,CL$13)))</f>
        <v>1000000000000</v>
      </c>
      <c r="CM221" s="172">
        <f ca="1">IF(OR($D221&lt;&gt;"Serviço",AND(AUTOEVENTO="Manual",$M221=$A$15),$M221&gt;(ROW(PLE.lastrow)-ROW(PLE.firstrow))),0,
           IF(OFFSET(PLE!$G$15,$M221-$A$15,CM$13)="",10^12,OFFSET(PLE!$G$15,$M221-$A$15,CM$13)))</f>
        <v>1000000000000</v>
      </c>
    </row>
    <row r="222" spans="1:91" ht="63.75" x14ac:dyDescent="0.2">
      <c r="A222" s="7">
        <f t="shared" ca="1" si="13"/>
        <v>5</v>
      </c>
      <c r="B222" s="7" t="str">
        <f ca="1">OFFSET(ORÇAMENTO!C$15,ROW(B222)-ROW(B$15),0)</f>
        <v>S</v>
      </c>
      <c r="C222" s="7" t="str">
        <f ca="1">OFFSET(ORÇAMENTO!L$15,ROW(C222)-ROW(C$15),0)</f>
        <v>F</v>
      </c>
      <c r="D222" s="116" t="str">
        <f ca="1">OFFSET(ORÇAMENTO!N$15,ROW(D222)-ROW(D$15),0)</f>
        <v>Serviço</v>
      </c>
      <c r="E222" s="117" t="str">
        <f ca="1">OFFSET(ORÇAMENTO!O$15,ROW(E222)-ROW(E$15),0)</f>
        <v>1.6.1.0.6.</v>
      </c>
      <c r="F222" s="163" t="str">
        <f ca="1">OFFSET(ORÇAMENTO!R$15,ROW(F222)-ROW(F$15),0)</f>
        <v>PINTURA ESMALTE BASE SOLVENTE EM ESTRUTURA METÁLICA, DUAS (2) DEMÃOS, COM APLICAÇÃO MANUAL, INCLUSIVE UMA (1) DEMÃO FUNDO GALVANIZADO</v>
      </c>
      <c r="G222" s="164" t="str">
        <f ca="1">IF($D222&lt;&gt;"Serviço","",OFFSET(ORÇAMENTO!S$15,ROW(G222)-ROW(G$15),0))</f>
        <v>M2</v>
      </c>
      <c r="H222" s="122" cm="1">
        <f t="array" aca="1" ref="H222" ca="1">IF($D222&lt;&gt;"Serviço",0,IF(ACOMPANHAMENTO="BM",ROUND(OFFSET(ORÇAMENTO!AJ$15,ROW(H222)-ROW(H$15),0),15-13*ORÇAMENTO!$AF$7),SUMPRODUCT(($Q$1:$AI$1=1)*ROUND($Q222:$AI222,15-13*ORÇAMENTO!$AF$7))))</f>
        <v>12.05</v>
      </c>
      <c r="I222" s="468" t="s">
        <v>1343</v>
      </c>
      <c r="J222" s="640" t="str" cm="1">
        <f t="array" aca="1" ref="J222" ca="1">IF(OR(B222&lt;&gt;"S",CÁLCULO.FrentesPreenchidas=0),"",IF(AND(ACOMPANHAMENTO="PLE",AUTOEVENTO="Manual",OR(H222&gt;0,ORÇAMENTO!AC222="QUANT."),OR(K222="",M222=0,N222="")),"►E",IF(AND(ACOMPANHAMENTO="PLE",ORÇAMENTO!AC222="QUANT."),"►Q",IF(AND(ACOMPANHAMENTO="PLE",H222&lt;&gt;SUMPRODUCT(($Q$1:$AI$1=1)*ROUND(Q222:AI222,15))),"►S",IF(AND(COUNTIF($P$11:$AI$11,"▼")=0,H222&gt;0,I222=""),"◄M","")))))</f>
        <v/>
      </c>
      <c r="K222" s="641" t="s">
        <v>1390</v>
      </c>
      <c r="L222" s="165" t="s">
        <v>764</v>
      </c>
      <c r="M222" s="166">
        <f ca="1">IF($D222&lt;&gt;"Serviço","",
          IF(AUTOEVENTO="manual",$A222,
                IF(ISERROR(MATCH($A222,$A$15:OFFSET($A222,-1,0),0)),MAX($M$15:OFFSET(M222,-1,0))+1,
                      INDEX($M$15:OFFSET(M222,-1,0),MATCH($A222,$A$15:OFFSET($A222,-1,0),0)))))</f>
        <v>5</v>
      </c>
      <c r="N222" s="167" t="str">
        <f ca="1">IF($D222&lt;&gt;"Serviço","",
         IF(AUTOEVENTO="Manual",
                IF($A222=0,"&lt;-- defina o número do agrupador",
                       OFFSET(EVENTOS!$D$15,$A222-$A$15,0)),
                OFFSET($F$15,$A222,0)))</f>
        <v>Estrutura Metálica</v>
      </c>
      <c r="O222" s="168"/>
      <c r="Q222" s="168"/>
      <c r="R222" s="169"/>
      <c r="S222" s="169"/>
      <c r="T222" s="169"/>
      <c r="U222" s="169"/>
      <c r="V222" s="169"/>
      <c r="W222" s="169">
        <v>12.05</v>
      </c>
      <c r="X222" s="169"/>
      <c r="Y222" s="169"/>
      <c r="Z222" s="170"/>
      <c r="AA222" s="169"/>
      <c r="AB222" s="169"/>
      <c r="AC222" s="169"/>
      <c r="AD222" s="169"/>
      <c r="AE222" s="169"/>
      <c r="AF222" s="169"/>
      <c r="AG222" s="169"/>
      <c r="AH222" s="170"/>
      <c r="AJ222" s="453">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3">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L222" s="453">
        <f ca="1">IF(AND($D222="Serviço",AL$12&lt;&gt;0,$H222&gt;0,OR(AUTOEVENTO&lt;&gt;"manual",$M222&lt;&gt;$A$15)),
        IF(Import.TipoArredondamento&lt;&gt;"TransfereGOV",
              ROUND(OFFSET($P222,0,AL$13),15-13*ORÇAMENTO!$AF$7)/$H222*OFFSET(ORÇAMENTO!$X$15,ROW(AL222)-ROW(AL$15),0),
              ROUND(ROUND(OFFSET($P222,0,AL$13),15-13*ORÇAMENTO!$AF$7)*OFFSET(ORÇAMENTO!$W$15,ROW(AL222)-ROW(AL$15),0),15-13*ORÇAMENTO!$AF$11)),
         0)</f>
        <v>0</v>
      </c>
      <c r="AM222" s="453">
        <f ca="1">IF(AND($D222="Serviço",AM$12&lt;&gt;0,$H222&gt;0,OR(AUTOEVENTO&lt;&gt;"manual",$M222&lt;&gt;$A$15)),
        IF(Import.TipoArredondamento&lt;&gt;"TransfereGOV",
              ROUND(OFFSET($P222,0,AM$13),15-13*ORÇAMENTO!$AF$7)/$H222*OFFSET(ORÇAMENTO!$X$15,ROW(AM222)-ROW(AM$15),0),
              ROUND(ROUND(OFFSET($P222,0,AM$13),15-13*ORÇAMENTO!$AF$7)*OFFSET(ORÇAMENTO!$W$15,ROW(AM222)-ROW(AM$15),0),15-13*ORÇAMENTO!$AF$11)),
         0)</f>
        <v>0</v>
      </c>
      <c r="AN222" s="453">
        <f ca="1">IF(AND($D222="Serviço",AN$12&lt;&gt;0,$H222&gt;0,OR(AUTOEVENTO&lt;&gt;"manual",$M222&lt;&gt;$A$15)),
        IF(Import.TipoArredondamento&lt;&gt;"TransfereGOV",
              ROUND(OFFSET($P222,0,AN$13),15-13*ORÇAMENTO!$AF$7)/$H222*OFFSET(ORÇAMENTO!$X$15,ROW(AN222)-ROW(AN$15),0),
              ROUND(ROUND(OFFSET($P222,0,AN$13),15-13*ORÇAMENTO!$AF$7)*OFFSET(ORÇAMENTO!$W$15,ROW(AN222)-ROW(AN$15),0),15-13*ORÇAMENTO!$AF$11)),
         0)</f>
        <v>0</v>
      </c>
      <c r="AO222" s="453">
        <f ca="1">IF(AND($D222="Serviço",AO$12&lt;&gt;0,$H222&gt;0,OR(AUTOEVENTO&lt;&gt;"manual",$M222&lt;&gt;$A$15)),
        IF(Import.TipoArredondamento&lt;&gt;"TransfereGOV",
              ROUND(OFFSET($P222,0,AO$13),15-13*ORÇAMENTO!$AF$7)/$H222*OFFSET(ORÇAMENTO!$X$15,ROW(AO222)-ROW(AO$15),0),
              ROUND(ROUND(OFFSET($P222,0,AO$13),15-13*ORÇAMENTO!$AF$7)*OFFSET(ORÇAMENTO!$W$15,ROW(AO222)-ROW(AO$15),0),15-13*ORÇAMENTO!$AF$11)),
         0)</f>
        <v>0</v>
      </c>
      <c r="AP222" s="453">
        <f ca="1">IF(AND($D222="Serviço",AP$12&lt;&gt;0,$H222&gt;0,OR(AUTOEVENTO&lt;&gt;"manual",$M222&lt;&gt;$A$15)),
        IF(Import.TipoArredondamento&lt;&gt;"TransfereGOV",
              ROUND(OFFSET($P222,0,AP$13),15-13*ORÇAMENTO!$AF$7)/$H222*OFFSET(ORÇAMENTO!$X$15,ROW(AP222)-ROW(AP$15),0),
              ROUND(ROUND(OFFSET($P222,0,AP$13),15-13*ORÇAMENTO!$AF$7)*OFFSET(ORÇAMENTO!$W$15,ROW(AP222)-ROW(AP$15),0),15-13*ORÇAMENTO!$AF$11)),
         0)</f>
        <v>0</v>
      </c>
      <c r="AQ222" s="453">
        <f ca="1">IF(AND($D222="Serviço",AQ$12&lt;&gt;0,$H222&gt;0,OR(AUTOEVENTO&lt;&gt;"manual",$M222&lt;&gt;$A$15)),
        IF(Import.TipoArredondamento&lt;&gt;"TransfereGOV",
              ROUND(OFFSET($P222,0,AQ$13),15-13*ORÇAMENTO!$AF$7)/$H222*OFFSET(ORÇAMENTO!$X$15,ROW(AQ222)-ROW(AQ$15),0),
              ROUND(ROUND(OFFSET($P222,0,AQ$13),15-13*ORÇAMENTO!$AF$7)*OFFSET(ORÇAMENTO!$W$15,ROW(AQ222)-ROW(AQ$15),0),15-13*ORÇAMENTO!$AF$11)),
         0)</f>
        <v>0</v>
      </c>
      <c r="AR222" s="453">
        <f ca="1">IF(AND($D222="Serviço",AR$12&lt;&gt;0,$H222&gt;0,OR(AUTOEVENTO&lt;&gt;"manual",$M222&lt;&gt;$A$15)),
        IF(Import.TipoArredondamento&lt;&gt;"TransfereGOV",
              ROUND(OFFSET($P222,0,AR$13),15-13*ORÇAMENTO!$AF$7)/$H222*OFFSET(ORÇAMENTO!$X$15,ROW(AR222)-ROW(AR$15),0),
              ROUND(ROUND(OFFSET($P222,0,AR$13),15-13*ORÇAMENTO!$AF$7)*OFFSET(ORÇAMENTO!$W$15,ROW(AR222)-ROW(AR$15),0),15-13*ORÇAMENTO!$AF$11)),
         0)</f>
        <v>0</v>
      </c>
      <c r="AS222" s="453">
        <f ca="1">IF(AND($D222="Serviço",AS$12&lt;&gt;0,$H222&gt;0,OR(AUTOEVENTO&lt;&gt;"manual",$M222&lt;&gt;$A$15)),
        IF(Import.TipoArredondamento&lt;&gt;"TransfereGOV",
              ROUND(OFFSET($P222,0,AS$13),15-13*ORÇAMENTO!$AF$7)/$H222*OFFSET(ORÇAMENTO!$X$15,ROW(AS222)-ROW(AS$15),0),
              ROUND(ROUND(OFFSET($P222,0,AS$13),15-13*ORÇAMENTO!$AF$7)*OFFSET(ORÇAMENTO!$W$15,ROW(AS222)-ROW(AS$15),0),15-13*ORÇAMENTO!$AF$11)),
         0)</f>
        <v>0</v>
      </c>
      <c r="AT222" s="453">
        <f ca="1">IF(AND($D222="Serviço",AT$12&lt;&gt;0,$H222&gt;0,OR(AUTOEVENTO&lt;&gt;"manual",$M222&lt;&gt;$A$15)),
        IF(Import.TipoArredondamento&lt;&gt;"TransfereGOV",
              ROUND(OFFSET($P222,0,AT$13),15-13*ORÇAMENTO!$AF$7)/$H222*OFFSET(ORÇAMENTO!$X$15,ROW(AT222)-ROW(AT$15),0),
              ROUND(ROUND(OFFSET($P222,0,AT$13),15-13*ORÇAMENTO!$AF$7)*OFFSET(ORÇAMENTO!$W$15,ROW(AT222)-ROW(AT$15),0),15-13*ORÇAMENTO!$AF$11)),
         0)</f>
        <v>0</v>
      </c>
      <c r="AU222" s="453">
        <f ca="1">IF(AND($D222="Serviço",AU$12&lt;&gt;0,$H222&gt;0,OR(AUTOEVENTO&lt;&gt;"manual",$M222&lt;&gt;$A$15)),
        IF(Import.TipoArredondamento&lt;&gt;"TransfereGOV",
              ROUND(OFFSET($P222,0,AU$13),15-13*ORÇAMENTO!$AF$7)/$H222*OFFSET(ORÇAMENTO!$X$15,ROW(AU222)-ROW(AU$15),0),
              ROUND(ROUND(OFFSET($P222,0,AU$13),15-13*ORÇAMENTO!$AF$7)*OFFSET(ORÇAMENTO!$W$15,ROW(AU222)-ROW(AU$15),0),15-13*ORÇAMENTO!$AF$11)),
         0)</f>
        <v>0</v>
      </c>
      <c r="AV222" s="453">
        <f ca="1">IF(AND($D222="Serviço",AV$12&lt;&gt;0,$H222&gt;0,OR(AUTOEVENTO&lt;&gt;"manual",$M222&lt;&gt;$A$15)),
        IF(Import.TipoArredondamento&lt;&gt;"TransfereGOV",
              ROUND(OFFSET($P222,0,AV$13),15-13*ORÇAMENTO!$AF$7)/$H222*OFFSET(ORÇAMENTO!$X$15,ROW(AV222)-ROW(AV$15),0),
              ROUND(ROUND(OFFSET($P222,0,AV$13),15-13*ORÇAMENTO!$AF$7)*OFFSET(ORÇAMENTO!$W$15,ROW(AV222)-ROW(AV$15),0),15-13*ORÇAMENTO!$AF$11)),
         0)</f>
        <v>0</v>
      </c>
      <c r="AW222" s="453">
        <f ca="1">IF(AND($D222="Serviço",AW$12&lt;&gt;0,$H222&gt;0,OR(AUTOEVENTO&lt;&gt;"manual",$M222&lt;&gt;$A$15)),
        IF(Import.TipoArredondamento&lt;&gt;"TransfereGOV",
              ROUND(OFFSET($P222,0,AW$13),15-13*ORÇAMENTO!$AF$7)/$H222*OFFSET(ORÇAMENTO!$X$15,ROW(AW222)-ROW(AW$15),0),
              ROUND(ROUND(OFFSET($P222,0,AW$13),15-13*ORÇAMENTO!$AF$7)*OFFSET(ORÇAMENTO!$W$15,ROW(AW222)-ROW(AW$15),0),15-13*ORÇAMENTO!$AF$11)),
         0)</f>
        <v>0</v>
      </c>
      <c r="AX222" s="453">
        <f ca="1">IF(AND($D222="Serviço",AX$12&lt;&gt;0,$H222&gt;0,OR(AUTOEVENTO&lt;&gt;"manual",$M222&lt;&gt;$A$15)),
        IF(Import.TipoArredondamento&lt;&gt;"TransfereGOV",
              ROUND(OFFSET($P222,0,AX$13),15-13*ORÇAMENTO!$AF$7)/$H222*OFFSET(ORÇAMENTO!$X$15,ROW(AX222)-ROW(AX$15),0),
              ROUND(ROUND(OFFSET($P222,0,AX$13),15-13*ORÇAMENTO!$AF$7)*OFFSET(ORÇAMENTO!$W$15,ROW(AX222)-ROW(AX$15),0),15-13*ORÇAMENTO!$AF$11)),
         0)</f>
        <v>0</v>
      </c>
      <c r="AY222" s="453">
        <f ca="1">IF(AND($D222="Serviço",AY$12&lt;&gt;0,$H222&gt;0,OR(AUTOEVENTO&lt;&gt;"manual",$M222&lt;&gt;$A$15)),
        IF(Import.TipoArredondamento&lt;&gt;"TransfereGOV",
              ROUND(OFFSET($P222,0,AY$13),15-13*ORÇAMENTO!$AF$7)/$H222*OFFSET(ORÇAMENTO!$X$15,ROW(AY222)-ROW(AY$15),0),
              ROUND(ROUND(OFFSET($P222,0,AY$13),15-13*ORÇAMENTO!$AF$7)*OFFSET(ORÇAMENTO!$W$15,ROW(AY222)-ROW(AY$15),0),15-13*ORÇAMENTO!$AF$11)),
         0)</f>
        <v>0</v>
      </c>
      <c r="AZ222" s="453">
        <f ca="1">IF(AND($D222="Serviço",AZ$12&lt;&gt;0,$H222&gt;0,OR(AUTOEVENTO&lt;&gt;"manual",$M222&lt;&gt;$A$15)),
        IF(Import.TipoArredondamento&lt;&gt;"TransfereGOV",
              ROUND(OFFSET($P222,0,AZ$13),15-13*ORÇAMENTO!$AF$7)/$H222*OFFSET(ORÇAMENTO!$X$15,ROW(AZ222)-ROW(AZ$15),0),
              ROUND(ROUND(OFFSET($P222,0,AZ$13),15-13*ORÇAMENTO!$AF$7)*OFFSET(ORÇAMENTO!$W$15,ROW(AZ222)-ROW(AZ$15),0),15-13*ORÇAMENTO!$AF$11)),
         0)</f>
        <v>0</v>
      </c>
      <c r="BA222" s="453">
        <f ca="1">IF(AND($D222="Serviço",BA$12&lt;&gt;0,$H222&gt;0,OR(AUTOEVENTO&lt;&gt;"manual",$M222&lt;&gt;$A$15)),
        IF(Import.TipoArredondamento&lt;&gt;"TransfereGOV",
              ROUND(OFFSET($P222,0,BA$13),15-13*ORÇAMENTO!$AF$7)/$H222*OFFSET(ORÇAMENTO!$X$15,ROW(BA222)-ROW(BA$15),0),
              ROUND(ROUND(OFFSET($P222,0,BA$13),15-13*ORÇAMENTO!$AF$7)*OFFSET(ORÇAMENTO!$W$15,ROW(BA222)-ROW(BA$15),0),15-13*ORÇAMENTO!$AF$11)),
         0)</f>
        <v>0</v>
      </c>
      <c r="BC222" s="171">
        <f ca="1">IF(OR($D222&lt;&gt;"Serviço",AND(AUTOEVENTO="Manual",$M222=$A$15)),0,
         IF(OFFSET(CRONOPLE!$F$15,$M222-$A$15,BC$13)=0,10^12,OFFSET(CRONOPLE!$F$15,$M222-$A$15,BC$13)))</f>
        <v>1</v>
      </c>
      <c r="BD222" s="171">
        <f ca="1">IF(OR($D222&lt;&gt;"Serviço",AND(AUTOEVENTO="Manual",$M222=$A$15)),0,
         IF(OFFSET(CRONOPLE!$F$15,$M222-$A$15,BD$13)=0,10^12,OFFSET(CRONOPLE!$F$15,$M222-$A$15,BD$13)))</f>
        <v>2</v>
      </c>
      <c r="BE222" s="171">
        <f ca="1">IF(OR($D222&lt;&gt;"Serviço",AND(AUTOEVENTO="Manual",$M222=$A$15)),0,
         IF(OFFSET(CRONOPLE!$F$15,$M222-$A$15,BE$13)=0,10^12,OFFSET(CRONOPLE!$F$15,$M222-$A$15,BE$13)))</f>
        <v>3</v>
      </c>
      <c r="BF222" s="171">
        <f ca="1">IF(OR($D222&lt;&gt;"Serviço",AND(AUTOEVENTO="Manual",$M222=$A$15)),0,
         IF(OFFSET(CRONOPLE!$F$15,$M222-$A$15,BF$13)=0,10^12,OFFSET(CRONOPLE!$F$15,$M222-$A$15,BF$13)))</f>
        <v>4</v>
      </c>
      <c r="BG222" s="171">
        <f ca="1">IF(OR($D222&lt;&gt;"Serviço",AND(AUTOEVENTO="Manual",$M222=$A$15)),0,
         IF(OFFSET(CRONOPLE!$F$15,$M222-$A$15,BG$13)=0,10^12,OFFSET(CRONOPLE!$F$15,$M222-$A$15,BG$13)))</f>
        <v>5</v>
      </c>
      <c r="BH222" s="171">
        <f ca="1">IF(OR($D222&lt;&gt;"Serviço",AND(AUTOEVENTO="Manual",$M222=$A$15)),0,
         IF(OFFSET(CRONOPLE!$F$15,$M222-$A$15,BH$13)=0,10^12,OFFSET(CRONOPLE!$F$15,$M222-$A$15,BH$13)))</f>
        <v>6</v>
      </c>
      <c r="BI222" s="171">
        <f ca="1">IF(OR($D222&lt;&gt;"Serviço",AND(AUTOEVENTO="Manual",$M222=$A$15)),0,
         IF(OFFSET(CRONOPLE!$F$15,$M222-$A$15,BI$13)=0,10^12,OFFSET(CRONOPLE!$F$15,$M222-$A$15,BI$13)))</f>
        <v>7</v>
      </c>
      <c r="BJ222" s="171">
        <f ca="1">IF(OR($D222&lt;&gt;"Serviço",AND(AUTOEVENTO="Manual",$M222=$A$15)),0,
         IF(OFFSET(CRONOPLE!$F$15,$M222-$A$15,BJ$13)=0,10^12,OFFSET(CRONOPLE!$F$15,$M222-$A$15,BJ$13)))</f>
        <v>8</v>
      </c>
      <c r="BK222" s="171">
        <f ca="1">IF(OR($D222&lt;&gt;"Serviço",AND(AUTOEVENTO="Manual",$M222=$A$15)),0,
         IF(OFFSET(CRONOPLE!$F$15,$M222-$A$15,BK$13)=0,10^12,OFFSET(CRONOPLE!$F$15,$M222-$A$15,BK$13)))</f>
        <v>9</v>
      </c>
      <c r="BL222" s="171">
        <f ca="1">IF(OR($D222&lt;&gt;"Serviço",AND(AUTOEVENTO="Manual",$M222=$A$15)),0,
         IF(OFFSET(CRONOPLE!$F$15,$M222-$A$15,BL$13)=0,10^12,OFFSET(CRONOPLE!$F$15,$M222-$A$15,BL$13)))</f>
        <v>10</v>
      </c>
      <c r="BM222" s="171">
        <f ca="1">IF(OR($D222&lt;&gt;"Serviço",AND(AUTOEVENTO="Manual",$M222=$A$15)),0,
         IF(OFFSET(CRONOPLE!$F$15,$M222-$A$15,BM$13)=0,10^12,OFFSET(CRONOPLE!$F$15,$M222-$A$15,BM$13)))</f>
        <v>1000000000000</v>
      </c>
      <c r="BN222" s="171">
        <f ca="1">IF(OR($D222&lt;&gt;"Serviço",AND(AUTOEVENTO="Manual",$M222=$A$15)),0,
         IF(OFFSET(CRONOPLE!$F$15,$M222-$A$15,BN$13)=0,10^12,OFFSET(CRONOPLE!$F$15,$M222-$A$15,BN$13)))</f>
        <v>1000000000000</v>
      </c>
      <c r="BO222" s="171">
        <f ca="1">IF(OR($D222&lt;&gt;"Serviço",AND(AUTOEVENTO="Manual",$M222=$A$15)),0,
         IF(OFFSET(CRONOPLE!$F$15,$M222-$A$15,BO$13)=0,10^12,OFFSET(CRONOPLE!$F$15,$M222-$A$15,BO$13)))</f>
        <v>1000000000000</v>
      </c>
      <c r="BP222" s="171">
        <f ca="1">IF(OR($D222&lt;&gt;"Serviço",AND(AUTOEVENTO="Manual",$M222=$A$15)),0,
         IF(OFFSET(CRONOPLE!$F$15,$M222-$A$15,BP$13)=0,10^12,OFFSET(CRONOPLE!$F$15,$M222-$A$15,BP$13)))</f>
        <v>1000000000000</v>
      </c>
      <c r="BQ222" s="171">
        <f ca="1">IF(OR($D222&lt;&gt;"Serviço",AND(AUTOEVENTO="Manual",$M222=$A$15)),0,
         IF(OFFSET(CRONOPLE!$F$15,$M222-$A$15,BQ$13)=0,10^12,OFFSET(CRONOPLE!$F$15,$M222-$A$15,BQ$13)))</f>
        <v>1000000000000</v>
      </c>
      <c r="BR222" s="171">
        <f ca="1">IF(OR($D222&lt;&gt;"Serviço",AND(AUTOEVENTO="Manual",$M222=$A$15)),0,
         IF(OFFSET(CRONOPLE!$F$15,$M222-$A$15,BR$13)=0,10^12,OFFSET(CRONOPLE!$F$15,$M222-$A$15,BR$13)))</f>
        <v>1000000000000</v>
      </c>
      <c r="BS222" s="171">
        <f ca="1">IF(OR($D222&lt;&gt;"Serviço",AND(AUTOEVENTO="Manual",$M222=$A$15)),0,
         IF(OFFSET(CRONOPLE!$F$15,$M222-$A$15,BS$13)=0,10^12,OFFSET(CRONOPLE!$F$15,$M222-$A$15,BS$13)))</f>
        <v>1000000000000</v>
      </c>
      <c r="BT222" s="171">
        <f ca="1">IF(OR($D222&lt;&gt;"Serviço",AND(AUTOEVENTO="Manual",$M222=$A$15)),0,
         IF(OFFSET(CRONOPLE!$F$15,$M222-$A$15,BT$13)=0,10^12,OFFSET(CRONOPLE!$F$15,$M222-$A$15,BT$13)))</f>
        <v>1000000000000</v>
      </c>
      <c r="BV222" s="172">
        <f ca="1">IF(OR($D222&lt;&gt;"Serviço",AND(AUTOEVENTO="Manual",$M222=$A$15),$M222&gt;(ROW(PLE.lastrow)-ROW(PLE.firstrow))),0,
           IF(OFFSET(PLE!$G$15,$M222-$A$15,BV$13)="",10^12,OFFSET(PLE!$G$15,$M222-$A$15,BV$13)))</f>
        <v>1000000000000</v>
      </c>
      <c r="BW222" s="172">
        <f ca="1">IF(OR($D222&lt;&gt;"Serviço",AND(AUTOEVENTO="Manual",$M222=$A$15),$M222&gt;(ROW(PLE.lastrow)-ROW(PLE.firstrow))),0,
           IF(OFFSET(PLE!$G$15,$M222-$A$15,BW$13)="",10^12,OFFSET(PLE!$G$15,$M222-$A$15,BW$13)))</f>
        <v>1000000000000</v>
      </c>
      <c r="BX222" s="172">
        <f ca="1">IF(OR($D222&lt;&gt;"Serviço",AND(AUTOEVENTO="Manual",$M222=$A$15),$M222&gt;(ROW(PLE.lastrow)-ROW(PLE.firstrow))),0,
           IF(OFFSET(PLE!$G$15,$M222-$A$15,BX$13)="",10^12,OFFSET(PLE!$G$15,$M222-$A$15,BX$13)))</f>
        <v>1000000000000</v>
      </c>
      <c r="BY222" s="172">
        <f ca="1">IF(OR($D222&lt;&gt;"Serviço",AND(AUTOEVENTO="Manual",$M222=$A$15),$M222&gt;(ROW(PLE.lastrow)-ROW(PLE.firstrow))),0,
           IF(OFFSET(PLE!$G$15,$M222-$A$15,BY$13)="",10^12,OFFSET(PLE!$G$15,$M222-$A$15,BY$13)))</f>
        <v>1000000000000</v>
      </c>
      <c r="BZ222" s="172">
        <f ca="1">IF(OR($D222&lt;&gt;"Serviço",AND(AUTOEVENTO="Manual",$M222=$A$15),$M222&gt;(ROW(PLE.lastrow)-ROW(PLE.firstrow))),0,
           IF(OFFSET(PLE!$G$15,$M222-$A$15,BZ$13)="",10^12,OFFSET(PLE!$G$15,$M222-$A$15,BZ$13)))</f>
        <v>1000000000000</v>
      </c>
      <c r="CA222" s="172">
        <f ca="1">IF(OR($D222&lt;&gt;"Serviço",AND(AUTOEVENTO="Manual",$M222=$A$15),$M222&gt;(ROW(PLE.lastrow)-ROW(PLE.firstrow))),0,
           IF(OFFSET(PLE!$G$15,$M222-$A$15,CA$13)="",10^12,OFFSET(PLE!$G$15,$M222-$A$15,CA$13)))</f>
        <v>1000000000000</v>
      </c>
      <c r="CB222" s="172">
        <f ca="1">IF(OR($D222&lt;&gt;"Serviço",AND(AUTOEVENTO="Manual",$M222=$A$15),$M222&gt;(ROW(PLE.lastrow)-ROW(PLE.firstrow))),0,
           IF(OFFSET(PLE!$G$15,$M222-$A$15,CB$13)="",10^12,OFFSET(PLE!$G$15,$M222-$A$15,CB$13)))</f>
        <v>1000000000000</v>
      </c>
      <c r="CC222" s="172">
        <f ca="1">IF(OR($D222&lt;&gt;"Serviço",AND(AUTOEVENTO="Manual",$M222=$A$15),$M222&gt;(ROW(PLE.lastrow)-ROW(PLE.firstrow))),0,
           IF(OFFSET(PLE!$G$15,$M222-$A$15,CC$13)="",10^12,OFFSET(PLE!$G$15,$M222-$A$15,CC$13)))</f>
        <v>1000000000000</v>
      </c>
      <c r="CD222" s="172">
        <f ca="1">IF(OR($D222&lt;&gt;"Serviço",AND(AUTOEVENTO="Manual",$M222=$A$15),$M222&gt;(ROW(PLE.lastrow)-ROW(PLE.firstrow))),0,
           IF(OFFSET(PLE!$G$15,$M222-$A$15,CD$13)="",10^12,OFFSET(PLE!$G$15,$M222-$A$15,CD$13)))</f>
        <v>1000000000000</v>
      </c>
      <c r="CE222" s="172">
        <f ca="1">IF(OR($D222&lt;&gt;"Serviço",AND(AUTOEVENTO="Manual",$M222=$A$15),$M222&gt;(ROW(PLE.lastrow)-ROW(PLE.firstrow))),0,
           IF(OFFSET(PLE!$G$15,$M222-$A$15,CE$13)="",10^12,OFFSET(PLE!$G$15,$M222-$A$15,CE$13)))</f>
        <v>1000000000000</v>
      </c>
      <c r="CF222" s="172">
        <f ca="1">IF(OR($D222&lt;&gt;"Serviço",AND(AUTOEVENTO="Manual",$M222=$A$15),$M222&gt;(ROW(PLE.lastrow)-ROW(PLE.firstrow))),0,
           IF(OFFSET(PLE!$G$15,$M222-$A$15,CF$13)="",10^12,OFFSET(PLE!$G$15,$M222-$A$15,CF$13)))</f>
        <v>1000000000000</v>
      </c>
      <c r="CG222" s="172">
        <f ca="1">IF(OR($D222&lt;&gt;"Serviço",AND(AUTOEVENTO="Manual",$M222=$A$15),$M222&gt;(ROW(PLE.lastrow)-ROW(PLE.firstrow))),0,
           IF(OFFSET(PLE!$G$15,$M222-$A$15,CG$13)="",10^12,OFFSET(PLE!$G$15,$M222-$A$15,CG$13)))</f>
        <v>1000000000000</v>
      </c>
      <c r="CH222" s="172">
        <f ca="1">IF(OR($D222&lt;&gt;"Serviço",AND(AUTOEVENTO="Manual",$M222=$A$15),$M222&gt;(ROW(PLE.lastrow)-ROW(PLE.firstrow))),0,
           IF(OFFSET(PLE!$G$15,$M222-$A$15,CH$13)="",10^12,OFFSET(PLE!$G$15,$M222-$A$15,CH$13)))</f>
        <v>1000000000000</v>
      </c>
      <c r="CI222" s="172">
        <f ca="1">IF(OR($D222&lt;&gt;"Serviço",AND(AUTOEVENTO="Manual",$M222=$A$15),$M222&gt;(ROW(PLE.lastrow)-ROW(PLE.firstrow))),0,
           IF(OFFSET(PLE!$G$15,$M222-$A$15,CI$13)="",10^12,OFFSET(PLE!$G$15,$M222-$A$15,CI$13)))</f>
        <v>1000000000000</v>
      </c>
      <c r="CJ222" s="172">
        <f ca="1">IF(OR($D222&lt;&gt;"Serviço",AND(AUTOEVENTO="Manual",$M222=$A$15),$M222&gt;(ROW(PLE.lastrow)-ROW(PLE.firstrow))),0,
           IF(OFFSET(PLE!$G$15,$M222-$A$15,CJ$13)="",10^12,OFFSET(PLE!$G$15,$M222-$A$15,CJ$13)))</f>
        <v>1000000000000</v>
      </c>
      <c r="CK222" s="172">
        <f ca="1">IF(OR($D222&lt;&gt;"Serviço",AND(AUTOEVENTO="Manual",$M222=$A$15),$M222&gt;(ROW(PLE.lastrow)-ROW(PLE.firstrow))),0,
           IF(OFFSET(PLE!$G$15,$M222-$A$15,CK$13)="",10^12,OFFSET(PLE!$G$15,$M222-$A$15,CK$13)))</f>
        <v>1000000000000</v>
      </c>
      <c r="CL222" s="172">
        <f ca="1">IF(OR($D222&lt;&gt;"Serviço",AND(AUTOEVENTO="Manual",$M222=$A$15),$M222&gt;(ROW(PLE.lastrow)-ROW(PLE.firstrow))),0,
           IF(OFFSET(PLE!$G$15,$M222-$A$15,CL$13)="",10^12,OFFSET(PLE!$G$15,$M222-$A$15,CL$13)))</f>
        <v>1000000000000</v>
      </c>
      <c r="CM222" s="172">
        <f ca="1">IF(OR($D222&lt;&gt;"Serviço",AND(AUTOEVENTO="Manual",$M222=$A$15),$M222&gt;(ROW(PLE.lastrow)-ROW(PLE.firstrow))),0,
           IF(OFFSET(PLE!$G$15,$M222-$A$15,CM$13)="",10^12,OFFSET(PLE!$G$15,$M222-$A$15,CM$13)))</f>
        <v>1000000000000</v>
      </c>
    </row>
    <row r="223" spans="1:91" ht="63.75" x14ac:dyDescent="0.2">
      <c r="A223" s="7">
        <f t="shared" ca="1" si="13"/>
        <v>5</v>
      </c>
      <c r="B223" s="7" t="str">
        <f ca="1">OFFSET(ORÇAMENTO!C$15,ROW(B223)-ROW(B$15),0)</f>
        <v>S</v>
      </c>
      <c r="C223" s="7" t="str">
        <f ca="1">OFFSET(ORÇAMENTO!L$15,ROW(C223)-ROW(C$15),0)</f>
        <v>F</v>
      </c>
      <c r="D223" s="116" t="str">
        <f ca="1">OFFSET(ORÇAMENTO!N$15,ROW(D223)-ROW(D$15),0)</f>
        <v>Serviço</v>
      </c>
      <c r="E223" s="117" t="str">
        <f ca="1">OFFSET(ORÇAMENTO!O$15,ROW(E223)-ROW(E$15),0)</f>
        <v>1.6.1.0.7.</v>
      </c>
      <c r="F223" s="163" t="str">
        <f ca="1">OFFSET(ORÇAMENTO!R$15,ROW(F223)-ROW(F$15),0)</f>
        <v>TELHAMENTO COM TELHA METÁLICA TERMOACÚSTICA E = 30 MM, COM ATÉ 2 ÁGUAS, INCLUSO IÇAMENTO. AF_07/2019</v>
      </c>
      <c r="G223" s="164" t="str">
        <f ca="1">IF($D223&lt;&gt;"Serviço","",OFFSET(ORÇAMENTO!S$15,ROW(G223)-ROW(G$15),0))</f>
        <v>M2</v>
      </c>
      <c r="H223" s="122" cm="1">
        <f t="array" aca="1" ref="H223" ca="1">IF($D223&lt;&gt;"Serviço",0,IF(ACOMPANHAMENTO="BM",ROUND(OFFSET(ORÇAMENTO!AJ$15,ROW(H223)-ROW(H$15),0),15-13*ORÇAMENTO!$AF$7),SUMPRODUCT(($Q$1:$AI$1=1)*ROUND($Q223:$AI223,15-13*ORÇAMENTO!$AF$7))))</f>
        <v>13.75</v>
      </c>
      <c r="I223" s="468" t="s">
        <v>1343</v>
      </c>
      <c r="J223" s="640" t="str" cm="1">
        <f t="array" aca="1" ref="J223" ca="1">IF(OR(B223&lt;&gt;"S",CÁLCULO.FrentesPreenchidas=0),"",IF(AND(ACOMPANHAMENTO="PLE",AUTOEVENTO="Manual",OR(H223&gt;0,ORÇAMENTO!AC223="QUANT."),OR(K223="",M223=0,N223="")),"►E",IF(AND(ACOMPANHAMENTO="PLE",ORÇAMENTO!AC223="QUANT."),"►Q",IF(AND(ACOMPANHAMENTO="PLE",H223&lt;&gt;SUMPRODUCT(($Q$1:$AI$1=1)*ROUND(Q223:AI223,15))),"►S",IF(AND(COUNTIF($P$11:$AI$11,"▼")=0,H223&gt;0,I223=""),"◄M","")))))</f>
        <v/>
      </c>
      <c r="K223" s="641" t="s">
        <v>1390</v>
      </c>
      <c r="L223" s="165" t="s">
        <v>764</v>
      </c>
      <c r="M223" s="166">
        <f ca="1">IF($D223&lt;&gt;"Serviço","",
          IF(AUTOEVENTO="manual",$A223,
                IF(ISERROR(MATCH($A223,$A$15:OFFSET($A223,-1,0),0)),MAX($M$15:OFFSET(M223,-1,0))+1,
                      INDEX($M$15:OFFSET(M223,-1,0),MATCH($A223,$A$15:OFFSET($A223,-1,0),0)))))</f>
        <v>5</v>
      </c>
      <c r="N223" s="167" t="str">
        <f ca="1">IF($D223&lt;&gt;"Serviço","",
         IF(AUTOEVENTO="Manual",
                IF($A223=0,"&lt;-- defina o número do agrupador",
                       OFFSET(EVENTOS!$D$15,$A223-$A$15,0)),
                OFFSET($F$15,$A223,0)))</f>
        <v>Estrutura Metálica</v>
      </c>
      <c r="O223" s="168"/>
      <c r="Q223" s="168"/>
      <c r="R223" s="169"/>
      <c r="S223" s="169"/>
      <c r="T223" s="169"/>
      <c r="U223" s="169"/>
      <c r="V223" s="169"/>
      <c r="W223" s="169">
        <v>13.75</v>
      </c>
      <c r="X223" s="169"/>
      <c r="Y223" s="169"/>
      <c r="Z223" s="170"/>
      <c r="AA223" s="169"/>
      <c r="AB223" s="169"/>
      <c r="AC223" s="169"/>
      <c r="AD223" s="169"/>
      <c r="AE223" s="169"/>
      <c r="AF223" s="169"/>
      <c r="AG223" s="169"/>
      <c r="AH223" s="170"/>
      <c r="AJ223" s="453">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3">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L223" s="453">
        <f ca="1">IF(AND($D223="Serviço",AL$12&lt;&gt;0,$H223&gt;0,OR(AUTOEVENTO&lt;&gt;"manual",$M223&lt;&gt;$A$15)),
        IF(Import.TipoArredondamento&lt;&gt;"TransfereGOV",
              ROUND(OFFSET($P223,0,AL$13),15-13*ORÇAMENTO!$AF$7)/$H223*OFFSET(ORÇAMENTO!$X$15,ROW(AL223)-ROW(AL$15),0),
              ROUND(ROUND(OFFSET($P223,0,AL$13),15-13*ORÇAMENTO!$AF$7)*OFFSET(ORÇAMENTO!$W$15,ROW(AL223)-ROW(AL$15),0),15-13*ORÇAMENTO!$AF$11)),
         0)</f>
        <v>0</v>
      </c>
      <c r="AM223" s="453">
        <f ca="1">IF(AND($D223="Serviço",AM$12&lt;&gt;0,$H223&gt;0,OR(AUTOEVENTO&lt;&gt;"manual",$M223&lt;&gt;$A$15)),
        IF(Import.TipoArredondamento&lt;&gt;"TransfereGOV",
              ROUND(OFFSET($P223,0,AM$13),15-13*ORÇAMENTO!$AF$7)/$H223*OFFSET(ORÇAMENTO!$X$15,ROW(AM223)-ROW(AM$15),0),
              ROUND(ROUND(OFFSET($P223,0,AM$13),15-13*ORÇAMENTO!$AF$7)*OFFSET(ORÇAMENTO!$W$15,ROW(AM223)-ROW(AM$15),0),15-13*ORÇAMENTO!$AF$11)),
         0)</f>
        <v>0</v>
      </c>
      <c r="AN223" s="453">
        <f ca="1">IF(AND($D223="Serviço",AN$12&lt;&gt;0,$H223&gt;0,OR(AUTOEVENTO&lt;&gt;"manual",$M223&lt;&gt;$A$15)),
        IF(Import.TipoArredondamento&lt;&gt;"TransfereGOV",
              ROUND(OFFSET($P223,0,AN$13),15-13*ORÇAMENTO!$AF$7)/$H223*OFFSET(ORÇAMENTO!$X$15,ROW(AN223)-ROW(AN$15),0),
              ROUND(ROUND(OFFSET($P223,0,AN$13),15-13*ORÇAMENTO!$AF$7)*OFFSET(ORÇAMENTO!$W$15,ROW(AN223)-ROW(AN$15),0),15-13*ORÇAMENTO!$AF$11)),
         0)</f>
        <v>0</v>
      </c>
      <c r="AO223" s="453">
        <f ca="1">IF(AND($D223="Serviço",AO$12&lt;&gt;0,$H223&gt;0,OR(AUTOEVENTO&lt;&gt;"manual",$M223&lt;&gt;$A$15)),
        IF(Import.TipoArredondamento&lt;&gt;"TransfereGOV",
              ROUND(OFFSET($P223,0,AO$13),15-13*ORÇAMENTO!$AF$7)/$H223*OFFSET(ORÇAMENTO!$X$15,ROW(AO223)-ROW(AO$15),0),
              ROUND(ROUND(OFFSET($P223,0,AO$13),15-13*ORÇAMENTO!$AF$7)*OFFSET(ORÇAMENTO!$W$15,ROW(AO223)-ROW(AO$15),0),15-13*ORÇAMENTO!$AF$11)),
         0)</f>
        <v>0</v>
      </c>
      <c r="AP223" s="453">
        <f ca="1">IF(AND($D223="Serviço",AP$12&lt;&gt;0,$H223&gt;0,OR(AUTOEVENTO&lt;&gt;"manual",$M223&lt;&gt;$A$15)),
        IF(Import.TipoArredondamento&lt;&gt;"TransfereGOV",
              ROUND(OFFSET($P223,0,AP$13),15-13*ORÇAMENTO!$AF$7)/$H223*OFFSET(ORÇAMENTO!$X$15,ROW(AP223)-ROW(AP$15),0),
              ROUND(ROUND(OFFSET($P223,0,AP$13),15-13*ORÇAMENTO!$AF$7)*OFFSET(ORÇAMENTO!$W$15,ROW(AP223)-ROW(AP$15),0),15-13*ORÇAMENTO!$AF$11)),
         0)</f>
        <v>0</v>
      </c>
      <c r="AQ223" s="453">
        <f ca="1">IF(AND($D223="Serviço",AQ$12&lt;&gt;0,$H223&gt;0,OR(AUTOEVENTO&lt;&gt;"manual",$M223&lt;&gt;$A$15)),
        IF(Import.TipoArredondamento&lt;&gt;"TransfereGOV",
              ROUND(OFFSET($P223,0,AQ$13),15-13*ORÇAMENTO!$AF$7)/$H223*OFFSET(ORÇAMENTO!$X$15,ROW(AQ223)-ROW(AQ$15),0),
              ROUND(ROUND(OFFSET($P223,0,AQ$13),15-13*ORÇAMENTO!$AF$7)*OFFSET(ORÇAMENTO!$W$15,ROW(AQ223)-ROW(AQ$15),0),15-13*ORÇAMENTO!$AF$11)),
         0)</f>
        <v>0</v>
      </c>
      <c r="AR223" s="453">
        <f ca="1">IF(AND($D223="Serviço",AR$12&lt;&gt;0,$H223&gt;0,OR(AUTOEVENTO&lt;&gt;"manual",$M223&lt;&gt;$A$15)),
        IF(Import.TipoArredondamento&lt;&gt;"TransfereGOV",
              ROUND(OFFSET($P223,0,AR$13),15-13*ORÇAMENTO!$AF$7)/$H223*OFFSET(ORÇAMENTO!$X$15,ROW(AR223)-ROW(AR$15),0),
              ROUND(ROUND(OFFSET($P223,0,AR$13),15-13*ORÇAMENTO!$AF$7)*OFFSET(ORÇAMENTO!$W$15,ROW(AR223)-ROW(AR$15),0),15-13*ORÇAMENTO!$AF$11)),
         0)</f>
        <v>0</v>
      </c>
      <c r="AS223" s="453">
        <f ca="1">IF(AND($D223="Serviço",AS$12&lt;&gt;0,$H223&gt;0,OR(AUTOEVENTO&lt;&gt;"manual",$M223&lt;&gt;$A$15)),
        IF(Import.TipoArredondamento&lt;&gt;"TransfereGOV",
              ROUND(OFFSET($P223,0,AS$13),15-13*ORÇAMENTO!$AF$7)/$H223*OFFSET(ORÇAMENTO!$X$15,ROW(AS223)-ROW(AS$15),0),
              ROUND(ROUND(OFFSET($P223,0,AS$13),15-13*ORÇAMENTO!$AF$7)*OFFSET(ORÇAMENTO!$W$15,ROW(AS223)-ROW(AS$15),0),15-13*ORÇAMENTO!$AF$11)),
         0)</f>
        <v>0</v>
      </c>
      <c r="AT223" s="453">
        <f ca="1">IF(AND($D223="Serviço",AT$12&lt;&gt;0,$H223&gt;0,OR(AUTOEVENTO&lt;&gt;"manual",$M223&lt;&gt;$A$15)),
        IF(Import.TipoArredondamento&lt;&gt;"TransfereGOV",
              ROUND(OFFSET($P223,0,AT$13),15-13*ORÇAMENTO!$AF$7)/$H223*OFFSET(ORÇAMENTO!$X$15,ROW(AT223)-ROW(AT$15),0),
              ROUND(ROUND(OFFSET($P223,0,AT$13),15-13*ORÇAMENTO!$AF$7)*OFFSET(ORÇAMENTO!$W$15,ROW(AT223)-ROW(AT$15),0),15-13*ORÇAMENTO!$AF$11)),
         0)</f>
        <v>0</v>
      </c>
      <c r="AU223" s="453">
        <f ca="1">IF(AND($D223="Serviço",AU$12&lt;&gt;0,$H223&gt;0,OR(AUTOEVENTO&lt;&gt;"manual",$M223&lt;&gt;$A$15)),
        IF(Import.TipoArredondamento&lt;&gt;"TransfereGOV",
              ROUND(OFFSET($P223,0,AU$13),15-13*ORÇAMENTO!$AF$7)/$H223*OFFSET(ORÇAMENTO!$X$15,ROW(AU223)-ROW(AU$15),0),
              ROUND(ROUND(OFFSET($P223,0,AU$13),15-13*ORÇAMENTO!$AF$7)*OFFSET(ORÇAMENTO!$W$15,ROW(AU223)-ROW(AU$15),0),15-13*ORÇAMENTO!$AF$11)),
         0)</f>
        <v>0</v>
      </c>
      <c r="AV223" s="453">
        <f ca="1">IF(AND($D223="Serviço",AV$12&lt;&gt;0,$H223&gt;0,OR(AUTOEVENTO&lt;&gt;"manual",$M223&lt;&gt;$A$15)),
        IF(Import.TipoArredondamento&lt;&gt;"TransfereGOV",
              ROUND(OFFSET($P223,0,AV$13),15-13*ORÇAMENTO!$AF$7)/$H223*OFFSET(ORÇAMENTO!$X$15,ROW(AV223)-ROW(AV$15),0),
              ROUND(ROUND(OFFSET($P223,0,AV$13),15-13*ORÇAMENTO!$AF$7)*OFFSET(ORÇAMENTO!$W$15,ROW(AV223)-ROW(AV$15),0),15-13*ORÇAMENTO!$AF$11)),
         0)</f>
        <v>0</v>
      </c>
      <c r="AW223" s="453">
        <f ca="1">IF(AND($D223="Serviço",AW$12&lt;&gt;0,$H223&gt;0,OR(AUTOEVENTO&lt;&gt;"manual",$M223&lt;&gt;$A$15)),
        IF(Import.TipoArredondamento&lt;&gt;"TransfereGOV",
              ROUND(OFFSET($P223,0,AW$13),15-13*ORÇAMENTO!$AF$7)/$H223*OFFSET(ORÇAMENTO!$X$15,ROW(AW223)-ROW(AW$15),0),
              ROUND(ROUND(OFFSET($P223,0,AW$13),15-13*ORÇAMENTO!$AF$7)*OFFSET(ORÇAMENTO!$W$15,ROW(AW223)-ROW(AW$15),0),15-13*ORÇAMENTO!$AF$11)),
         0)</f>
        <v>0</v>
      </c>
      <c r="AX223" s="453">
        <f ca="1">IF(AND($D223="Serviço",AX$12&lt;&gt;0,$H223&gt;0,OR(AUTOEVENTO&lt;&gt;"manual",$M223&lt;&gt;$A$15)),
        IF(Import.TipoArredondamento&lt;&gt;"TransfereGOV",
              ROUND(OFFSET($P223,0,AX$13),15-13*ORÇAMENTO!$AF$7)/$H223*OFFSET(ORÇAMENTO!$X$15,ROW(AX223)-ROW(AX$15),0),
              ROUND(ROUND(OFFSET($P223,0,AX$13),15-13*ORÇAMENTO!$AF$7)*OFFSET(ORÇAMENTO!$W$15,ROW(AX223)-ROW(AX$15),0),15-13*ORÇAMENTO!$AF$11)),
         0)</f>
        <v>0</v>
      </c>
      <c r="AY223" s="453">
        <f ca="1">IF(AND($D223="Serviço",AY$12&lt;&gt;0,$H223&gt;0,OR(AUTOEVENTO&lt;&gt;"manual",$M223&lt;&gt;$A$15)),
        IF(Import.TipoArredondamento&lt;&gt;"TransfereGOV",
              ROUND(OFFSET($P223,0,AY$13),15-13*ORÇAMENTO!$AF$7)/$H223*OFFSET(ORÇAMENTO!$X$15,ROW(AY223)-ROW(AY$15),0),
              ROUND(ROUND(OFFSET($P223,0,AY$13),15-13*ORÇAMENTO!$AF$7)*OFFSET(ORÇAMENTO!$W$15,ROW(AY223)-ROW(AY$15),0),15-13*ORÇAMENTO!$AF$11)),
         0)</f>
        <v>0</v>
      </c>
      <c r="AZ223" s="453">
        <f ca="1">IF(AND($D223="Serviço",AZ$12&lt;&gt;0,$H223&gt;0,OR(AUTOEVENTO&lt;&gt;"manual",$M223&lt;&gt;$A$15)),
        IF(Import.TipoArredondamento&lt;&gt;"TransfereGOV",
              ROUND(OFFSET($P223,0,AZ$13),15-13*ORÇAMENTO!$AF$7)/$H223*OFFSET(ORÇAMENTO!$X$15,ROW(AZ223)-ROW(AZ$15),0),
              ROUND(ROUND(OFFSET($P223,0,AZ$13),15-13*ORÇAMENTO!$AF$7)*OFFSET(ORÇAMENTO!$W$15,ROW(AZ223)-ROW(AZ$15),0),15-13*ORÇAMENTO!$AF$11)),
         0)</f>
        <v>0</v>
      </c>
      <c r="BA223" s="453">
        <f ca="1">IF(AND($D223="Serviço",BA$12&lt;&gt;0,$H223&gt;0,OR(AUTOEVENTO&lt;&gt;"manual",$M223&lt;&gt;$A$15)),
        IF(Import.TipoArredondamento&lt;&gt;"TransfereGOV",
              ROUND(OFFSET($P223,0,BA$13),15-13*ORÇAMENTO!$AF$7)/$H223*OFFSET(ORÇAMENTO!$X$15,ROW(BA223)-ROW(BA$15),0),
              ROUND(ROUND(OFFSET($P223,0,BA$13),15-13*ORÇAMENTO!$AF$7)*OFFSET(ORÇAMENTO!$W$15,ROW(BA223)-ROW(BA$15),0),15-13*ORÇAMENTO!$AF$11)),
         0)</f>
        <v>0</v>
      </c>
      <c r="BC223" s="171">
        <f ca="1">IF(OR($D223&lt;&gt;"Serviço",AND(AUTOEVENTO="Manual",$M223=$A$15)),0,
         IF(OFFSET(CRONOPLE!$F$15,$M223-$A$15,BC$13)=0,10^12,OFFSET(CRONOPLE!$F$15,$M223-$A$15,BC$13)))</f>
        <v>1</v>
      </c>
      <c r="BD223" s="171">
        <f ca="1">IF(OR($D223&lt;&gt;"Serviço",AND(AUTOEVENTO="Manual",$M223=$A$15)),0,
         IF(OFFSET(CRONOPLE!$F$15,$M223-$A$15,BD$13)=0,10^12,OFFSET(CRONOPLE!$F$15,$M223-$A$15,BD$13)))</f>
        <v>2</v>
      </c>
      <c r="BE223" s="171">
        <f ca="1">IF(OR($D223&lt;&gt;"Serviço",AND(AUTOEVENTO="Manual",$M223=$A$15)),0,
         IF(OFFSET(CRONOPLE!$F$15,$M223-$A$15,BE$13)=0,10^12,OFFSET(CRONOPLE!$F$15,$M223-$A$15,BE$13)))</f>
        <v>3</v>
      </c>
      <c r="BF223" s="171">
        <f ca="1">IF(OR($D223&lt;&gt;"Serviço",AND(AUTOEVENTO="Manual",$M223=$A$15)),0,
         IF(OFFSET(CRONOPLE!$F$15,$M223-$A$15,BF$13)=0,10^12,OFFSET(CRONOPLE!$F$15,$M223-$A$15,BF$13)))</f>
        <v>4</v>
      </c>
      <c r="BG223" s="171">
        <f ca="1">IF(OR($D223&lt;&gt;"Serviço",AND(AUTOEVENTO="Manual",$M223=$A$15)),0,
         IF(OFFSET(CRONOPLE!$F$15,$M223-$A$15,BG$13)=0,10^12,OFFSET(CRONOPLE!$F$15,$M223-$A$15,BG$13)))</f>
        <v>5</v>
      </c>
      <c r="BH223" s="171">
        <f ca="1">IF(OR($D223&lt;&gt;"Serviço",AND(AUTOEVENTO="Manual",$M223=$A$15)),0,
         IF(OFFSET(CRONOPLE!$F$15,$M223-$A$15,BH$13)=0,10^12,OFFSET(CRONOPLE!$F$15,$M223-$A$15,BH$13)))</f>
        <v>6</v>
      </c>
      <c r="BI223" s="171">
        <f ca="1">IF(OR($D223&lt;&gt;"Serviço",AND(AUTOEVENTO="Manual",$M223=$A$15)),0,
         IF(OFFSET(CRONOPLE!$F$15,$M223-$A$15,BI$13)=0,10^12,OFFSET(CRONOPLE!$F$15,$M223-$A$15,BI$13)))</f>
        <v>7</v>
      </c>
      <c r="BJ223" s="171">
        <f ca="1">IF(OR($D223&lt;&gt;"Serviço",AND(AUTOEVENTO="Manual",$M223=$A$15)),0,
         IF(OFFSET(CRONOPLE!$F$15,$M223-$A$15,BJ$13)=0,10^12,OFFSET(CRONOPLE!$F$15,$M223-$A$15,BJ$13)))</f>
        <v>8</v>
      </c>
      <c r="BK223" s="171">
        <f ca="1">IF(OR($D223&lt;&gt;"Serviço",AND(AUTOEVENTO="Manual",$M223=$A$15)),0,
         IF(OFFSET(CRONOPLE!$F$15,$M223-$A$15,BK$13)=0,10^12,OFFSET(CRONOPLE!$F$15,$M223-$A$15,BK$13)))</f>
        <v>9</v>
      </c>
      <c r="BL223" s="171">
        <f ca="1">IF(OR($D223&lt;&gt;"Serviço",AND(AUTOEVENTO="Manual",$M223=$A$15)),0,
         IF(OFFSET(CRONOPLE!$F$15,$M223-$A$15,BL$13)=0,10^12,OFFSET(CRONOPLE!$F$15,$M223-$A$15,BL$13)))</f>
        <v>10</v>
      </c>
      <c r="BM223" s="171">
        <f ca="1">IF(OR($D223&lt;&gt;"Serviço",AND(AUTOEVENTO="Manual",$M223=$A$15)),0,
         IF(OFFSET(CRONOPLE!$F$15,$M223-$A$15,BM$13)=0,10^12,OFFSET(CRONOPLE!$F$15,$M223-$A$15,BM$13)))</f>
        <v>1000000000000</v>
      </c>
      <c r="BN223" s="171">
        <f ca="1">IF(OR($D223&lt;&gt;"Serviço",AND(AUTOEVENTO="Manual",$M223=$A$15)),0,
         IF(OFFSET(CRONOPLE!$F$15,$M223-$A$15,BN$13)=0,10^12,OFFSET(CRONOPLE!$F$15,$M223-$A$15,BN$13)))</f>
        <v>1000000000000</v>
      </c>
      <c r="BO223" s="171">
        <f ca="1">IF(OR($D223&lt;&gt;"Serviço",AND(AUTOEVENTO="Manual",$M223=$A$15)),0,
         IF(OFFSET(CRONOPLE!$F$15,$M223-$A$15,BO$13)=0,10^12,OFFSET(CRONOPLE!$F$15,$M223-$A$15,BO$13)))</f>
        <v>1000000000000</v>
      </c>
      <c r="BP223" s="171">
        <f ca="1">IF(OR($D223&lt;&gt;"Serviço",AND(AUTOEVENTO="Manual",$M223=$A$15)),0,
         IF(OFFSET(CRONOPLE!$F$15,$M223-$A$15,BP$13)=0,10^12,OFFSET(CRONOPLE!$F$15,$M223-$A$15,BP$13)))</f>
        <v>1000000000000</v>
      </c>
      <c r="BQ223" s="171">
        <f ca="1">IF(OR($D223&lt;&gt;"Serviço",AND(AUTOEVENTO="Manual",$M223=$A$15)),0,
         IF(OFFSET(CRONOPLE!$F$15,$M223-$A$15,BQ$13)=0,10^12,OFFSET(CRONOPLE!$F$15,$M223-$A$15,BQ$13)))</f>
        <v>1000000000000</v>
      </c>
      <c r="BR223" s="171">
        <f ca="1">IF(OR($D223&lt;&gt;"Serviço",AND(AUTOEVENTO="Manual",$M223=$A$15)),0,
         IF(OFFSET(CRONOPLE!$F$15,$M223-$A$15,BR$13)=0,10^12,OFFSET(CRONOPLE!$F$15,$M223-$A$15,BR$13)))</f>
        <v>1000000000000</v>
      </c>
      <c r="BS223" s="171">
        <f ca="1">IF(OR($D223&lt;&gt;"Serviço",AND(AUTOEVENTO="Manual",$M223=$A$15)),0,
         IF(OFFSET(CRONOPLE!$F$15,$M223-$A$15,BS$13)=0,10^12,OFFSET(CRONOPLE!$F$15,$M223-$A$15,BS$13)))</f>
        <v>1000000000000</v>
      </c>
      <c r="BT223" s="171">
        <f ca="1">IF(OR($D223&lt;&gt;"Serviço",AND(AUTOEVENTO="Manual",$M223=$A$15)),0,
         IF(OFFSET(CRONOPLE!$F$15,$M223-$A$15,BT$13)=0,10^12,OFFSET(CRONOPLE!$F$15,$M223-$A$15,BT$13)))</f>
        <v>1000000000000</v>
      </c>
      <c r="BV223" s="172">
        <f ca="1">IF(OR($D223&lt;&gt;"Serviço",AND(AUTOEVENTO="Manual",$M223=$A$15),$M223&gt;(ROW(PLE.lastrow)-ROW(PLE.firstrow))),0,
           IF(OFFSET(PLE!$G$15,$M223-$A$15,BV$13)="",10^12,OFFSET(PLE!$G$15,$M223-$A$15,BV$13)))</f>
        <v>1000000000000</v>
      </c>
      <c r="BW223" s="172">
        <f ca="1">IF(OR($D223&lt;&gt;"Serviço",AND(AUTOEVENTO="Manual",$M223=$A$15),$M223&gt;(ROW(PLE.lastrow)-ROW(PLE.firstrow))),0,
           IF(OFFSET(PLE!$G$15,$M223-$A$15,BW$13)="",10^12,OFFSET(PLE!$G$15,$M223-$A$15,BW$13)))</f>
        <v>1000000000000</v>
      </c>
      <c r="BX223" s="172">
        <f ca="1">IF(OR($D223&lt;&gt;"Serviço",AND(AUTOEVENTO="Manual",$M223=$A$15),$M223&gt;(ROW(PLE.lastrow)-ROW(PLE.firstrow))),0,
           IF(OFFSET(PLE!$G$15,$M223-$A$15,BX$13)="",10^12,OFFSET(PLE!$G$15,$M223-$A$15,BX$13)))</f>
        <v>1000000000000</v>
      </c>
      <c r="BY223" s="172">
        <f ca="1">IF(OR($D223&lt;&gt;"Serviço",AND(AUTOEVENTO="Manual",$M223=$A$15),$M223&gt;(ROW(PLE.lastrow)-ROW(PLE.firstrow))),0,
           IF(OFFSET(PLE!$G$15,$M223-$A$15,BY$13)="",10^12,OFFSET(PLE!$G$15,$M223-$A$15,BY$13)))</f>
        <v>1000000000000</v>
      </c>
      <c r="BZ223" s="172">
        <f ca="1">IF(OR($D223&lt;&gt;"Serviço",AND(AUTOEVENTO="Manual",$M223=$A$15),$M223&gt;(ROW(PLE.lastrow)-ROW(PLE.firstrow))),0,
           IF(OFFSET(PLE!$G$15,$M223-$A$15,BZ$13)="",10^12,OFFSET(PLE!$G$15,$M223-$A$15,BZ$13)))</f>
        <v>1000000000000</v>
      </c>
      <c r="CA223" s="172">
        <f ca="1">IF(OR($D223&lt;&gt;"Serviço",AND(AUTOEVENTO="Manual",$M223=$A$15),$M223&gt;(ROW(PLE.lastrow)-ROW(PLE.firstrow))),0,
           IF(OFFSET(PLE!$G$15,$M223-$A$15,CA$13)="",10^12,OFFSET(PLE!$G$15,$M223-$A$15,CA$13)))</f>
        <v>1000000000000</v>
      </c>
      <c r="CB223" s="172">
        <f ca="1">IF(OR($D223&lt;&gt;"Serviço",AND(AUTOEVENTO="Manual",$M223=$A$15),$M223&gt;(ROW(PLE.lastrow)-ROW(PLE.firstrow))),0,
           IF(OFFSET(PLE!$G$15,$M223-$A$15,CB$13)="",10^12,OFFSET(PLE!$G$15,$M223-$A$15,CB$13)))</f>
        <v>1000000000000</v>
      </c>
      <c r="CC223" s="172">
        <f ca="1">IF(OR($D223&lt;&gt;"Serviço",AND(AUTOEVENTO="Manual",$M223=$A$15),$M223&gt;(ROW(PLE.lastrow)-ROW(PLE.firstrow))),0,
           IF(OFFSET(PLE!$G$15,$M223-$A$15,CC$13)="",10^12,OFFSET(PLE!$G$15,$M223-$A$15,CC$13)))</f>
        <v>1000000000000</v>
      </c>
      <c r="CD223" s="172">
        <f ca="1">IF(OR($D223&lt;&gt;"Serviço",AND(AUTOEVENTO="Manual",$M223=$A$15),$M223&gt;(ROW(PLE.lastrow)-ROW(PLE.firstrow))),0,
           IF(OFFSET(PLE!$G$15,$M223-$A$15,CD$13)="",10^12,OFFSET(PLE!$G$15,$M223-$A$15,CD$13)))</f>
        <v>1000000000000</v>
      </c>
      <c r="CE223" s="172">
        <f ca="1">IF(OR($D223&lt;&gt;"Serviço",AND(AUTOEVENTO="Manual",$M223=$A$15),$M223&gt;(ROW(PLE.lastrow)-ROW(PLE.firstrow))),0,
           IF(OFFSET(PLE!$G$15,$M223-$A$15,CE$13)="",10^12,OFFSET(PLE!$G$15,$M223-$A$15,CE$13)))</f>
        <v>1000000000000</v>
      </c>
      <c r="CF223" s="172">
        <f ca="1">IF(OR($D223&lt;&gt;"Serviço",AND(AUTOEVENTO="Manual",$M223=$A$15),$M223&gt;(ROW(PLE.lastrow)-ROW(PLE.firstrow))),0,
           IF(OFFSET(PLE!$G$15,$M223-$A$15,CF$13)="",10^12,OFFSET(PLE!$G$15,$M223-$A$15,CF$13)))</f>
        <v>1000000000000</v>
      </c>
      <c r="CG223" s="172">
        <f ca="1">IF(OR($D223&lt;&gt;"Serviço",AND(AUTOEVENTO="Manual",$M223=$A$15),$M223&gt;(ROW(PLE.lastrow)-ROW(PLE.firstrow))),0,
           IF(OFFSET(PLE!$G$15,$M223-$A$15,CG$13)="",10^12,OFFSET(PLE!$G$15,$M223-$A$15,CG$13)))</f>
        <v>1000000000000</v>
      </c>
      <c r="CH223" s="172">
        <f ca="1">IF(OR($D223&lt;&gt;"Serviço",AND(AUTOEVENTO="Manual",$M223=$A$15),$M223&gt;(ROW(PLE.lastrow)-ROW(PLE.firstrow))),0,
           IF(OFFSET(PLE!$G$15,$M223-$A$15,CH$13)="",10^12,OFFSET(PLE!$G$15,$M223-$A$15,CH$13)))</f>
        <v>1000000000000</v>
      </c>
      <c r="CI223" s="172">
        <f ca="1">IF(OR($D223&lt;&gt;"Serviço",AND(AUTOEVENTO="Manual",$M223=$A$15),$M223&gt;(ROW(PLE.lastrow)-ROW(PLE.firstrow))),0,
           IF(OFFSET(PLE!$G$15,$M223-$A$15,CI$13)="",10^12,OFFSET(PLE!$G$15,$M223-$A$15,CI$13)))</f>
        <v>1000000000000</v>
      </c>
      <c r="CJ223" s="172">
        <f ca="1">IF(OR($D223&lt;&gt;"Serviço",AND(AUTOEVENTO="Manual",$M223=$A$15),$M223&gt;(ROW(PLE.lastrow)-ROW(PLE.firstrow))),0,
           IF(OFFSET(PLE!$G$15,$M223-$A$15,CJ$13)="",10^12,OFFSET(PLE!$G$15,$M223-$A$15,CJ$13)))</f>
        <v>1000000000000</v>
      </c>
      <c r="CK223" s="172">
        <f ca="1">IF(OR($D223&lt;&gt;"Serviço",AND(AUTOEVENTO="Manual",$M223=$A$15),$M223&gt;(ROW(PLE.lastrow)-ROW(PLE.firstrow))),0,
           IF(OFFSET(PLE!$G$15,$M223-$A$15,CK$13)="",10^12,OFFSET(PLE!$G$15,$M223-$A$15,CK$13)))</f>
        <v>1000000000000</v>
      </c>
      <c r="CL223" s="172">
        <f ca="1">IF(OR($D223&lt;&gt;"Serviço",AND(AUTOEVENTO="Manual",$M223=$A$15),$M223&gt;(ROW(PLE.lastrow)-ROW(PLE.firstrow))),0,
           IF(OFFSET(PLE!$G$15,$M223-$A$15,CL$13)="",10^12,OFFSET(PLE!$G$15,$M223-$A$15,CL$13)))</f>
        <v>1000000000000</v>
      </c>
      <c r="CM223" s="172">
        <f ca="1">IF(OR($D223&lt;&gt;"Serviço",AND(AUTOEVENTO="Manual",$M223=$A$15),$M223&gt;(ROW(PLE.lastrow)-ROW(PLE.firstrow))),0,
           IF(OFFSET(PLE!$G$15,$M223-$A$15,CM$13)="",10^12,OFFSET(PLE!$G$15,$M223-$A$15,CM$13)))</f>
        <v>1000000000000</v>
      </c>
    </row>
    <row r="224" spans="1:91" ht="12.75" x14ac:dyDescent="0.2">
      <c r="A224" s="7">
        <f t="shared" ca="1" si="13"/>
        <v>0</v>
      </c>
      <c r="B224" s="7">
        <f ca="1">OFFSET(ORÇAMENTO!C$15,ROW(B224)-ROW(B$15),0)</f>
        <v>3</v>
      </c>
      <c r="C224" s="7" t="str">
        <f ca="1">OFFSET(ORÇAMENTO!L$15,ROW(C224)-ROW(C$15),0)</f>
        <v>F</v>
      </c>
      <c r="D224" s="116" t="str">
        <f ca="1">OFFSET(ORÇAMENTO!N$15,ROW(D224)-ROW(D$15),0)</f>
        <v>Nível 3</v>
      </c>
      <c r="E224" s="117" t="str">
        <f ca="1">OFFSET(ORÇAMENTO!O$15,ROW(E224)-ROW(E$15),0)</f>
        <v>1.6.2.</v>
      </c>
      <c r="F224" s="163" t="str">
        <f ca="1">OFFSET(ORÇAMENTO!R$15,ROW(F224)-ROW(F$15),0)</f>
        <v>MONOVIA E COBERTURA</v>
      </c>
      <c r="G224" s="164" t="str">
        <f ca="1">IF($D224&lt;&gt;"Serviço","",OFFSET(ORÇAMENTO!S$15,ROW(G224)-ROW(G$15),0))</f>
        <v/>
      </c>
      <c r="H224" s="122" cm="1">
        <f t="array" aca="1" ref="H224" ca="1">IF($D224&lt;&gt;"Serviço",0,IF(ACOMPANHAMENTO="BM",ROUND(OFFSET(ORÇAMENTO!AJ$15,ROW(H224)-ROW(H$15),0),15-13*ORÇAMENTO!$AF$7),SUMPRODUCT(($Q$1:$AI$1=1)*ROUND($Q224:$AI224,15-13*ORÇAMENTO!$AF$7))))</f>
        <v>0</v>
      </c>
      <c r="I224" s="468"/>
      <c r="J224" s="640" t="str" cm="1">
        <f t="array" aca="1" ref="J224" ca="1">IF(OR(B224&lt;&gt;"S",CÁLCULO.FrentesPreenchidas=0),"",IF(AND(ACOMPANHAMENTO="PLE",AUTOEVENTO="Manual",OR(H224&gt;0,ORÇAMENTO!AC224="QUANT."),OR(K224="",M224=0,N224="")),"►E",IF(AND(ACOMPANHAMENTO="PLE",ORÇAMENTO!AC224="QUANT."),"►Q",IF(AND(ACOMPANHAMENTO="PLE",H224&lt;&gt;SUMPRODUCT(($Q$1:$AI$1=1)*ROUND(Q224:AI224,15))),"►S",IF(AND(COUNTIF($P$11:$AI$11,"▼")=0,H224&gt;0,I224=""),"◄M","")))))</f>
        <v/>
      </c>
      <c r="K224" s="641"/>
      <c r="L224" s="165" t="s">
        <v>764</v>
      </c>
      <c r="M224" s="166" t="str">
        <f ca="1">IF($D224&lt;&gt;"Serviço","",
          IF(AUTOEVENTO="manual",$A224,
                IF(ISERROR(MATCH($A224,$A$15:OFFSET($A224,-1,0),0)),MAX($M$15:OFFSET(M224,-1,0))+1,
                      INDEX($M$15:OFFSET(M224,-1,0),MATCH($A224,$A$15:OFFSET($A224,-1,0),0)))))</f>
        <v/>
      </c>
      <c r="N224" s="167" t="str">
        <f ca="1">IF($D224&lt;&gt;"Serviço","",
         IF(AUTOEVENTO="Manual",
                IF($A224=0,"&lt;-- defina o número do agrupador",
                       OFFSET(EVENTOS!$D$15,$A224-$A$15,0)),
                OFFSET($F$15,$A224,0)))</f>
        <v/>
      </c>
      <c r="O224" s="168"/>
      <c r="Q224" s="168"/>
      <c r="R224" s="169"/>
      <c r="S224" s="169"/>
      <c r="T224" s="169"/>
      <c r="U224" s="169"/>
      <c r="V224" s="169"/>
      <c r="W224" s="169"/>
      <c r="X224" s="169"/>
      <c r="Y224" s="169"/>
      <c r="Z224" s="170"/>
      <c r="AA224" s="169"/>
      <c r="AB224" s="169"/>
      <c r="AC224" s="169"/>
      <c r="AD224" s="169"/>
      <c r="AE224" s="169"/>
      <c r="AF224" s="169"/>
      <c r="AG224" s="169"/>
      <c r="AH224" s="170"/>
      <c r="AJ224" s="453">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3">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L224" s="453">
        <f ca="1">IF(AND($D224="Serviço",AL$12&lt;&gt;0,$H224&gt;0,OR(AUTOEVENTO&lt;&gt;"manual",$M224&lt;&gt;$A$15)),
        IF(Import.TipoArredondamento&lt;&gt;"TransfereGOV",
              ROUND(OFFSET($P224,0,AL$13),15-13*ORÇAMENTO!$AF$7)/$H224*OFFSET(ORÇAMENTO!$X$15,ROW(AL224)-ROW(AL$15),0),
              ROUND(ROUND(OFFSET($P224,0,AL$13),15-13*ORÇAMENTO!$AF$7)*OFFSET(ORÇAMENTO!$W$15,ROW(AL224)-ROW(AL$15),0),15-13*ORÇAMENTO!$AF$11)),
         0)</f>
        <v>0</v>
      </c>
      <c r="AM224" s="453">
        <f ca="1">IF(AND($D224="Serviço",AM$12&lt;&gt;0,$H224&gt;0,OR(AUTOEVENTO&lt;&gt;"manual",$M224&lt;&gt;$A$15)),
        IF(Import.TipoArredondamento&lt;&gt;"TransfereGOV",
              ROUND(OFFSET($P224,0,AM$13),15-13*ORÇAMENTO!$AF$7)/$H224*OFFSET(ORÇAMENTO!$X$15,ROW(AM224)-ROW(AM$15),0),
              ROUND(ROUND(OFFSET($P224,0,AM$13),15-13*ORÇAMENTO!$AF$7)*OFFSET(ORÇAMENTO!$W$15,ROW(AM224)-ROW(AM$15),0),15-13*ORÇAMENTO!$AF$11)),
         0)</f>
        <v>0</v>
      </c>
      <c r="AN224" s="453">
        <f ca="1">IF(AND($D224="Serviço",AN$12&lt;&gt;0,$H224&gt;0,OR(AUTOEVENTO&lt;&gt;"manual",$M224&lt;&gt;$A$15)),
        IF(Import.TipoArredondamento&lt;&gt;"TransfereGOV",
              ROUND(OFFSET($P224,0,AN$13),15-13*ORÇAMENTO!$AF$7)/$H224*OFFSET(ORÇAMENTO!$X$15,ROW(AN224)-ROW(AN$15),0),
              ROUND(ROUND(OFFSET($P224,0,AN$13),15-13*ORÇAMENTO!$AF$7)*OFFSET(ORÇAMENTO!$W$15,ROW(AN224)-ROW(AN$15),0),15-13*ORÇAMENTO!$AF$11)),
         0)</f>
        <v>0</v>
      </c>
      <c r="AO224" s="453">
        <f ca="1">IF(AND($D224="Serviço",AO$12&lt;&gt;0,$H224&gt;0,OR(AUTOEVENTO&lt;&gt;"manual",$M224&lt;&gt;$A$15)),
        IF(Import.TipoArredondamento&lt;&gt;"TransfereGOV",
              ROUND(OFFSET($P224,0,AO$13),15-13*ORÇAMENTO!$AF$7)/$H224*OFFSET(ORÇAMENTO!$X$15,ROW(AO224)-ROW(AO$15),0),
              ROUND(ROUND(OFFSET($P224,0,AO$13),15-13*ORÇAMENTO!$AF$7)*OFFSET(ORÇAMENTO!$W$15,ROW(AO224)-ROW(AO$15),0),15-13*ORÇAMENTO!$AF$11)),
         0)</f>
        <v>0</v>
      </c>
      <c r="AP224" s="453">
        <f ca="1">IF(AND($D224="Serviço",AP$12&lt;&gt;0,$H224&gt;0,OR(AUTOEVENTO&lt;&gt;"manual",$M224&lt;&gt;$A$15)),
        IF(Import.TipoArredondamento&lt;&gt;"TransfereGOV",
              ROUND(OFFSET($P224,0,AP$13),15-13*ORÇAMENTO!$AF$7)/$H224*OFFSET(ORÇAMENTO!$X$15,ROW(AP224)-ROW(AP$15),0),
              ROUND(ROUND(OFFSET($P224,0,AP$13),15-13*ORÇAMENTO!$AF$7)*OFFSET(ORÇAMENTO!$W$15,ROW(AP224)-ROW(AP$15),0),15-13*ORÇAMENTO!$AF$11)),
         0)</f>
        <v>0</v>
      </c>
      <c r="AQ224" s="453">
        <f ca="1">IF(AND($D224="Serviço",AQ$12&lt;&gt;0,$H224&gt;0,OR(AUTOEVENTO&lt;&gt;"manual",$M224&lt;&gt;$A$15)),
        IF(Import.TipoArredondamento&lt;&gt;"TransfereGOV",
              ROUND(OFFSET($P224,0,AQ$13),15-13*ORÇAMENTO!$AF$7)/$H224*OFFSET(ORÇAMENTO!$X$15,ROW(AQ224)-ROW(AQ$15),0),
              ROUND(ROUND(OFFSET($P224,0,AQ$13),15-13*ORÇAMENTO!$AF$7)*OFFSET(ORÇAMENTO!$W$15,ROW(AQ224)-ROW(AQ$15),0),15-13*ORÇAMENTO!$AF$11)),
         0)</f>
        <v>0</v>
      </c>
      <c r="AR224" s="453">
        <f ca="1">IF(AND($D224="Serviço",AR$12&lt;&gt;0,$H224&gt;0,OR(AUTOEVENTO&lt;&gt;"manual",$M224&lt;&gt;$A$15)),
        IF(Import.TipoArredondamento&lt;&gt;"TransfereGOV",
              ROUND(OFFSET($P224,0,AR$13),15-13*ORÇAMENTO!$AF$7)/$H224*OFFSET(ORÇAMENTO!$X$15,ROW(AR224)-ROW(AR$15),0),
              ROUND(ROUND(OFFSET($P224,0,AR$13),15-13*ORÇAMENTO!$AF$7)*OFFSET(ORÇAMENTO!$W$15,ROW(AR224)-ROW(AR$15),0),15-13*ORÇAMENTO!$AF$11)),
         0)</f>
        <v>0</v>
      </c>
      <c r="AS224" s="453">
        <f ca="1">IF(AND($D224="Serviço",AS$12&lt;&gt;0,$H224&gt;0,OR(AUTOEVENTO&lt;&gt;"manual",$M224&lt;&gt;$A$15)),
        IF(Import.TipoArredondamento&lt;&gt;"TransfereGOV",
              ROUND(OFFSET($P224,0,AS$13),15-13*ORÇAMENTO!$AF$7)/$H224*OFFSET(ORÇAMENTO!$X$15,ROW(AS224)-ROW(AS$15),0),
              ROUND(ROUND(OFFSET($P224,0,AS$13),15-13*ORÇAMENTO!$AF$7)*OFFSET(ORÇAMENTO!$W$15,ROW(AS224)-ROW(AS$15),0),15-13*ORÇAMENTO!$AF$11)),
         0)</f>
        <v>0</v>
      </c>
      <c r="AT224" s="453">
        <f ca="1">IF(AND($D224="Serviço",AT$12&lt;&gt;0,$H224&gt;0,OR(AUTOEVENTO&lt;&gt;"manual",$M224&lt;&gt;$A$15)),
        IF(Import.TipoArredondamento&lt;&gt;"TransfereGOV",
              ROUND(OFFSET($P224,0,AT$13),15-13*ORÇAMENTO!$AF$7)/$H224*OFFSET(ORÇAMENTO!$X$15,ROW(AT224)-ROW(AT$15),0),
              ROUND(ROUND(OFFSET($P224,0,AT$13),15-13*ORÇAMENTO!$AF$7)*OFFSET(ORÇAMENTO!$W$15,ROW(AT224)-ROW(AT$15),0),15-13*ORÇAMENTO!$AF$11)),
         0)</f>
        <v>0</v>
      </c>
      <c r="AU224" s="453">
        <f ca="1">IF(AND($D224="Serviço",AU$12&lt;&gt;0,$H224&gt;0,OR(AUTOEVENTO&lt;&gt;"manual",$M224&lt;&gt;$A$15)),
        IF(Import.TipoArredondamento&lt;&gt;"TransfereGOV",
              ROUND(OFFSET($P224,0,AU$13),15-13*ORÇAMENTO!$AF$7)/$H224*OFFSET(ORÇAMENTO!$X$15,ROW(AU224)-ROW(AU$15),0),
              ROUND(ROUND(OFFSET($P224,0,AU$13),15-13*ORÇAMENTO!$AF$7)*OFFSET(ORÇAMENTO!$W$15,ROW(AU224)-ROW(AU$15),0),15-13*ORÇAMENTO!$AF$11)),
         0)</f>
        <v>0</v>
      </c>
      <c r="AV224" s="453">
        <f ca="1">IF(AND($D224="Serviço",AV$12&lt;&gt;0,$H224&gt;0,OR(AUTOEVENTO&lt;&gt;"manual",$M224&lt;&gt;$A$15)),
        IF(Import.TipoArredondamento&lt;&gt;"TransfereGOV",
              ROUND(OFFSET($P224,0,AV$13),15-13*ORÇAMENTO!$AF$7)/$H224*OFFSET(ORÇAMENTO!$X$15,ROW(AV224)-ROW(AV$15),0),
              ROUND(ROUND(OFFSET($P224,0,AV$13),15-13*ORÇAMENTO!$AF$7)*OFFSET(ORÇAMENTO!$W$15,ROW(AV224)-ROW(AV$15),0),15-13*ORÇAMENTO!$AF$11)),
         0)</f>
        <v>0</v>
      </c>
      <c r="AW224" s="453">
        <f ca="1">IF(AND($D224="Serviço",AW$12&lt;&gt;0,$H224&gt;0,OR(AUTOEVENTO&lt;&gt;"manual",$M224&lt;&gt;$A$15)),
        IF(Import.TipoArredondamento&lt;&gt;"TransfereGOV",
              ROUND(OFFSET($P224,0,AW$13),15-13*ORÇAMENTO!$AF$7)/$H224*OFFSET(ORÇAMENTO!$X$15,ROW(AW224)-ROW(AW$15),0),
              ROUND(ROUND(OFFSET($P224,0,AW$13),15-13*ORÇAMENTO!$AF$7)*OFFSET(ORÇAMENTO!$W$15,ROW(AW224)-ROW(AW$15),0),15-13*ORÇAMENTO!$AF$11)),
         0)</f>
        <v>0</v>
      </c>
      <c r="AX224" s="453">
        <f ca="1">IF(AND($D224="Serviço",AX$12&lt;&gt;0,$H224&gt;0,OR(AUTOEVENTO&lt;&gt;"manual",$M224&lt;&gt;$A$15)),
        IF(Import.TipoArredondamento&lt;&gt;"TransfereGOV",
              ROUND(OFFSET($P224,0,AX$13),15-13*ORÇAMENTO!$AF$7)/$H224*OFFSET(ORÇAMENTO!$X$15,ROW(AX224)-ROW(AX$15),0),
              ROUND(ROUND(OFFSET($P224,0,AX$13),15-13*ORÇAMENTO!$AF$7)*OFFSET(ORÇAMENTO!$W$15,ROW(AX224)-ROW(AX$15),0),15-13*ORÇAMENTO!$AF$11)),
         0)</f>
        <v>0</v>
      </c>
      <c r="AY224" s="453">
        <f ca="1">IF(AND($D224="Serviço",AY$12&lt;&gt;0,$H224&gt;0,OR(AUTOEVENTO&lt;&gt;"manual",$M224&lt;&gt;$A$15)),
        IF(Import.TipoArredondamento&lt;&gt;"TransfereGOV",
              ROUND(OFFSET($P224,0,AY$13),15-13*ORÇAMENTO!$AF$7)/$H224*OFFSET(ORÇAMENTO!$X$15,ROW(AY224)-ROW(AY$15),0),
              ROUND(ROUND(OFFSET($P224,0,AY$13),15-13*ORÇAMENTO!$AF$7)*OFFSET(ORÇAMENTO!$W$15,ROW(AY224)-ROW(AY$15),0),15-13*ORÇAMENTO!$AF$11)),
         0)</f>
        <v>0</v>
      </c>
      <c r="AZ224" s="453">
        <f ca="1">IF(AND($D224="Serviço",AZ$12&lt;&gt;0,$H224&gt;0,OR(AUTOEVENTO&lt;&gt;"manual",$M224&lt;&gt;$A$15)),
        IF(Import.TipoArredondamento&lt;&gt;"TransfereGOV",
              ROUND(OFFSET($P224,0,AZ$13),15-13*ORÇAMENTO!$AF$7)/$H224*OFFSET(ORÇAMENTO!$X$15,ROW(AZ224)-ROW(AZ$15),0),
              ROUND(ROUND(OFFSET($P224,0,AZ$13),15-13*ORÇAMENTO!$AF$7)*OFFSET(ORÇAMENTO!$W$15,ROW(AZ224)-ROW(AZ$15),0),15-13*ORÇAMENTO!$AF$11)),
         0)</f>
        <v>0</v>
      </c>
      <c r="BA224" s="453">
        <f ca="1">IF(AND($D224="Serviço",BA$12&lt;&gt;0,$H224&gt;0,OR(AUTOEVENTO&lt;&gt;"manual",$M224&lt;&gt;$A$15)),
        IF(Import.TipoArredondamento&lt;&gt;"TransfereGOV",
              ROUND(OFFSET($P224,0,BA$13),15-13*ORÇAMENTO!$AF$7)/$H224*OFFSET(ORÇAMENTO!$X$15,ROW(BA224)-ROW(BA$15),0),
              ROUND(ROUND(OFFSET($P224,0,BA$13),15-13*ORÇAMENTO!$AF$7)*OFFSET(ORÇAMENTO!$W$15,ROW(BA224)-ROW(BA$15),0),15-13*ORÇAMENTO!$AF$11)),
         0)</f>
        <v>0</v>
      </c>
      <c r="BC224" s="171">
        <f ca="1">IF(OR($D224&lt;&gt;"Serviço",AND(AUTOEVENTO="Manual",$M224=$A$15)),0,
         IF(OFFSET(CRONOPLE!$F$15,$M224-$A$15,BC$13)=0,10^12,OFFSET(CRONOPLE!$F$15,$M224-$A$15,BC$13)))</f>
        <v>0</v>
      </c>
      <c r="BD224" s="171">
        <f ca="1">IF(OR($D224&lt;&gt;"Serviço",AND(AUTOEVENTO="Manual",$M224=$A$15)),0,
         IF(OFFSET(CRONOPLE!$F$15,$M224-$A$15,BD$13)=0,10^12,OFFSET(CRONOPLE!$F$15,$M224-$A$15,BD$13)))</f>
        <v>0</v>
      </c>
      <c r="BE224" s="171">
        <f ca="1">IF(OR($D224&lt;&gt;"Serviço",AND(AUTOEVENTO="Manual",$M224=$A$15)),0,
         IF(OFFSET(CRONOPLE!$F$15,$M224-$A$15,BE$13)=0,10^12,OFFSET(CRONOPLE!$F$15,$M224-$A$15,BE$13)))</f>
        <v>0</v>
      </c>
      <c r="BF224" s="171">
        <f ca="1">IF(OR($D224&lt;&gt;"Serviço",AND(AUTOEVENTO="Manual",$M224=$A$15)),0,
         IF(OFFSET(CRONOPLE!$F$15,$M224-$A$15,BF$13)=0,10^12,OFFSET(CRONOPLE!$F$15,$M224-$A$15,BF$13)))</f>
        <v>0</v>
      </c>
      <c r="BG224" s="171">
        <f ca="1">IF(OR($D224&lt;&gt;"Serviço",AND(AUTOEVENTO="Manual",$M224=$A$15)),0,
         IF(OFFSET(CRONOPLE!$F$15,$M224-$A$15,BG$13)=0,10^12,OFFSET(CRONOPLE!$F$15,$M224-$A$15,BG$13)))</f>
        <v>0</v>
      </c>
      <c r="BH224" s="171">
        <f ca="1">IF(OR($D224&lt;&gt;"Serviço",AND(AUTOEVENTO="Manual",$M224=$A$15)),0,
         IF(OFFSET(CRONOPLE!$F$15,$M224-$A$15,BH$13)=0,10^12,OFFSET(CRONOPLE!$F$15,$M224-$A$15,BH$13)))</f>
        <v>0</v>
      </c>
      <c r="BI224" s="171">
        <f ca="1">IF(OR($D224&lt;&gt;"Serviço",AND(AUTOEVENTO="Manual",$M224=$A$15)),0,
         IF(OFFSET(CRONOPLE!$F$15,$M224-$A$15,BI$13)=0,10^12,OFFSET(CRONOPLE!$F$15,$M224-$A$15,BI$13)))</f>
        <v>0</v>
      </c>
      <c r="BJ224" s="171">
        <f ca="1">IF(OR($D224&lt;&gt;"Serviço",AND(AUTOEVENTO="Manual",$M224=$A$15)),0,
         IF(OFFSET(CRONOPLE!$F$15,$M224-$A$15,BJ$13)=0,10^12,OFFSET(CRONOPLE!$F$15,$M224-$A$15,BJ$13)))</f>
        <v>0</v>
      </c>
      <c r="BK224" s="171">
        <f ca="1">IF(OR($D224&lt;&gt;"Serviço",AND(AUTOEVENTO="Manual",$M224=$A$15)),0,
         IF(OFFSET(CRONOPLE!$F$15,$M224-$A$15,BK$13)=0,10^12,OFFSET(CRONOPLE!$F$15,$M224-$A$15,BK$13)))</f>
        <v>0</v>
      </c>
      <c r="BL224" s="171">
        <f ca="1">IF(OR($D224&lt;&gt;"Serviço",AND(AUTOEVENTO="Manual",$M224=$A$15)),0,
         IF(OFFSET(CRONOPLE!$F$15,$M224-$A$15,BL$13)=0,10^12,OFFSET(CRONOPLE!$F$15,$M224-$A$15,BL$13)))</f>
        <v>0</v>
      </c>
      <c r="BM224" s="171">
        <f ca="1">IF(OR($D224&lt;&gt;"Serviço",AND(AUTOEVENTO="Manual",$M224=$A$15)),0,
         IF(OFFSET(CRONOPLE!$F$15,$M224-$A$15,BM$13)=0,10^12,OFFSET(CRONOPLE!$F$15,$M224-$A$15,BM$13)))</f>
        <v>0</v>
      </c>
      <c r="BN224" s="171">
        <f ca="1">IF(OR($D224&lt;&gt;"Serviço",AND(AUTOEVENTO="Manual",$M224=$A$15)),0,
         IF(OFFSET(CRONOPLE!$F$15,$M224-$A$15,BN$13)=0,10^12,OFFSET(CRONOPLE!$F$15,$M224-$A$15,BN$13)))</f>
        <v>0</v>
      </c>
      <c r="BO224" s="171">
        <f ca="1">IF(OR($D224&lt;&gt;"Serviço",AND(AUTOEVENTO="Manual",$M224=$A$15)),0,
         IF(OFFSET(CRONOPLE!$F$15,$M224-$A$15,BO$13)=0,10^12,OFFSET(CRONOPLE!$F$15,$M224-$A$15,BO$13)))</f>
        <v>0</v>
      </c>
      <c r="BP224" s="171">
        <f ca="1">IF(OR($D224&lt;&gt;"Serviço",AND(AUTOEVENTO="Manual",$M224=$A$15)),0,
         IF(OFFSET(CRONOPLE!$F$15,$M224-$A$15,BP$13)=0,10^12,OFFSET(CRONOPLE!$F$15,$M224-$A$15,BP$13)))</f>
        <v>0</v>
      </c>
      <c r="BQ224" s="171">
        <f ca="1">IF(OR($D224&lt;&gt;"Serviço",AND(AUTOEVENTO="Manual",$M224=$A$15)),0,
         IF(OFFSET(CRONOPLE!$F$15,$M224-$A$15,BQ$13)=0,10^12,OFFSET(CRONOPLE!$F$15,$M224-$A$15,BQ$13)))</f>
        <v>0</v>
      </c>
      <c r="BR224" s="171">
        <f ca="1">IF(OR($D224&lt;&gt;"Serviço",AND(AUTOEVENTO="Manual",$M224=$A$15)),0,
         IF(OFFSET(CRONOPLE!$F$15,$M224-$A$15,BR$13)=0,10^12,OFFSET(CRONOPLE!$F$15,$M224-$A$15,BR$13)))</f>
        <v>0</v>
      </c>
      <c r="BS224" s="171">
        <f ca="1">IF(OR($D224&lt;&gt;"Serviço",AND(AUTOEVENTO="Manual",$M224=$A$15)),0,
         IF(OFFSET(CRONOPLE!$F$15,$M224-$A$15,BS$13)=0,10^12,OFFSET(CRONOPLE!$F$15,$M224-$A$15,BS$13)))</f>
        <v>0</v>
      </c>
      <c r="BT224" s="171">
        <f ca="1">IF(OR($D224&lt;&gt;"Serviço",AND(AUTOEVENTO="Manual",$M224=$A$15)),0,
         IF(OFFSET(CRONOPLE!$F$15,$M224-$A$15,BT$13)=0,10^12,OFFSET(CRONOPLE!$F$15,$M224-$A$15,BT$13)))</f>
        <v>0</v>
      </c>
      <c r="BV224" s="172">
        <f ca="1">IF(OR($D224&lt;&gt;"Serviço",AND(AUTOEVENTO="Manual",$M224=$A$15),$M224&gt;(ROW(PLE.lastrow)-ROW(PLE.firstrow))),0,
           IF(OFFSET(PLE!$G$15,$M224-$A$15,BV$13)="",10^12,OFFSET(PLE!$G$15,$M224-$A$15,BV$13)))</f>
        <v>0</v>
      </c>
      <c r="BW224" s="172">
        <f ca="1">IF(OR($D224&lt;&gt;"Serviço",AND(AUTOEVENTO="Manual",$M224=$A$15),$M224&gt;(ROW(PLE.lastrow)-ROW(PLE.firstrow))),0,
           IF(OFFSET(PLE!$G$15,$M224-$A$15,BW$13)="",10^12,OFFSET(PLE!$G$15,$M224-$A$15,BW$13)))</f>
        <v>0</v>
      </c>
      <c r="BX224" s="172">
        <f ca="1">IF(OR($D224&lt;&gt;"Serviço",AND(AUTOEVENTO="Manual",$M224=$A$15),$M224&gt;(ROW(PLE.lastrow)-ROW(PLE.firstrow))),0,
           IF(OFFSET(PLE!$G$15,$M224-$A$15,BX$13)="",10^12,OFFSET(PLE!$G$15,$M224-$A$15,BX$13)))</f>
        <v>0</v>
      </c>
      <c r="BY224" s="172">
        <f ca="1">IF(OR($D224&lt;&gt;"Serviço",AND(AUTOEVENTO="Manual",$M224=$A$15),$M224&gt;(ROW(PLE.lastrow)-ROW(PLE.firstrow))),0,
           IF(OFFSET(PLE!$G$15,$M224-$A$15,BY$13)="",10^12,OFFSET(PLE!$G$15,$M224-$A$15,BY$13)))</f>
        <v>0</v>
      </c>
      <c r="BZ224" s="172">
        <f ca="1">IF(OR($D224&lt;&gt;"Serviço",AND(AUTOEVENTO="Manual",$M224=$A$15),$M224&gt;(ROW(PLE.lastrow)-ROW(PLE.firstrow))),0,
           IF(OFFSET(PLE!$G$15,$M224-$A$15,BZ$13)="",10^12,OFFSET(PLE!$G$15,$M224-$A$15,BZ$13)))</f>
        <v>0</v>
      </c>
      <c r="CA224" s="172">
        <f ca="1">IF(OR($D224&lt;&gt;"Serviço",AND(AUTOEVENTO="Manual",$M224=$A$15),$M224&gt;(ROW(PLE.lastrow)-ROW(PLE.firstrow))),0,
           IF(OFFSET(PLE!$G$15,$M224-$A$15,CA$13)="",10^12,OFFSET(PLE!$G$15,$M224-$A$15,CA$13)))</f>
        <v>0</v>
      </c>
      <c r="CB224" s="172">
        <f ca="1">IF(OR($D224&lt;&gt;"Serviço",AND(AUTOEVENTO="Manual",$M224=$A$15),$M224&gt;(ROW(PLE.lastrow)-ROW(PLE.firstrow))),0,
           IF(OFFSET(PLE!$G$15,$M224-$A$15,CB$13)="",10^12,OFFSET(PLE!$G$15,$M224-$A$15,CB$13)))</f>
        <v>0</v>
      </c>
      <c r="CC224" s="172">
        <f ca="1">IF(OR($D224&lt;&gt;"Serviço",AND(AUTOEVENTO="Manual",$M224=$A$15),$M224&gt;(ROW(PLE.lastrow)-ROW(PLE.firstrow))),0,
           IF(OFFSET(PLE!$G$15,$M224-$A$15,CC$13)="",10^12,OFFSET(PLE!$G$15,$M224-$A$15,CC$13)))</f>
        <v>0</v>
      </c>
      <c r="CD224" s="172">
        <f ca="1">IF(OR($D224&lt;&gt;"Serviço",AND(AUTOEVENTO="Manual",$M224=$A$15),$M224&gt;(ROW(PLE.lastrow)-ROW(PLE.firstrow))),0,
           IF(OFFSET(PLE!$G$15,$M224-$A$15,CD$13)="",10^12,OFFSET(PLE!$G$15,$M224-$A$15,CD$13)))</f>
        <v>0</v>
      </c>
      <c r="CE224" s="172">
        <f ca="1">IF(OR($D224&lt;&gt;"Serviço",AND(AUTOEVENTO="Manual",$M224=$A$15),$M224&gt;(ROW(PLE.lastrow)-ROW(PLE.firstrow))),0,
           IF(OFFSET(PLE!$G$15,$M224-$A$15,CE$13)="",10^12,OFFSET(PLE!$G$15,$M224-$A$15,CE$13)))</f>
        <v>0</v>
      </c>
      <c r="CF224" s="172">
        <f ca="1">IF(OR($D224&lt;&gt;"Serviço",AND(AUTOEVENTO="Manual",$M224=$A$15),$M224&gt;(ROW(PLE.lastrow)-ROW(PLE.firstrow))),0,
           IF(OFFSET(PLE!$G$15,$M224-$A$15,CF$13)="",10^12,OFFSET(PLE!$G$15,$M224-$A$15,CF$13)))</f>
        <v>0</v>
      </c>
      <c r="CG224" s="172">
        <f ca="1">IF(OR($D224&lt;&gt;"Serviço",AND(AUTOEVENTO="Manual",$M224=$A$15),$M224&gt;(ROW(PLE.lastrow)-ROW(PLE.firstrow))),0,
           IF(OFFSET(PLE!$G$15,$M224-$A$15,CG$13)="",10^12,OFFSET(PLE!$G$15,$M224-$A$15,CG$13)))</f>
        <v>0</v>
      </c>
      <c r="CH224" s="172">
        <f ca="1">IF(OR($D224&lt;&gt;"Serviço",AND(AUTOEVENTO="Manual",$M224=$A$15),$M224&gt;(ROW(PLE.lastrow)-ROW(PLE.firstrow))),0,
           IF(OFFSET(PLE!$G$15,$M224-$A$15,CH$13)="",10^12,OFFSET(PLE!$G$15,$M224-$A$15,CH$13)))</f>
        <v>0</v>
      </c>
      <c r="CI224" s="172">
        <f ca="1">IF(OR($D224&lt;&gt;"Serviço",AND(AUTOEVENTO="Manual",$M224=$A$15),$M224&gt;(ROW(PLE.lastrow)-ROW(PLE.firstrow))),0,
           IF(OFFSET(PLE!$G$15,$M224-$A$15,CI$13)="",10^12,OFFSET(PLE!$G$15,$M224-$A$15,CI$13)))</f>
        <v>0</v>
      </c>
      <c r="CJ224" s="172">
        <f ca="1">IF(OR($D224&lt;&gt;"Serviço",AND(AUTOEVENTO="Manual",$M224=$A$15),$M224&gt;(ROW(PLE.lastrow)-ROW(PLE.firstrow))),0,
           IF(OFFSET(PLE!$G$15,$M224-$A$15,CJ$13)="",10^12,OFFSET(PLE!$G$15,$M224-$A$15,CJ$13)))</f>
        <v>0</v>
      </c>
      <c r="CK224" s="172">
        <f ca="1">IF(OR($D224&lt;&gt;"Serviço",AND(AUTOEVENTO="Manual",$M224=$A$15),$M224&gt;(ROW(PLE.lastrow)-ROW(PLE.firstrow))),0,
           IF(OFFSET(PLE!$G$15,$M224-$A$15,CK$13)="",10^12,OFFSET(PLE!$G$15,$M224-$A$15,CK$13)))</f>
        <v>0</v>
      </c>
      <c r="CL224" s="172">
        <f ca="1">IF(OR($D224&lt;&gt;"Serviço",AND(AUTOEVENTO="Manual",$M224=$A$15),$M224&gt;(ROW(PLE.lastrow)-ROW(PLE.firstrow))),0,
           IF(OFFSET(PLE!$G$15,$M224-$A$15,CL$13)="",10^12,OFFSET(PLE!$G$15,$M224-$A$15,CL$13)))</f>
        <v>0</v>
      </c>
      <c r="CM224" s="172">
        <f ca="1">IF(OR($D224&lt;&gt;"Serviço",AND(AUTOEVENTO="Manual",$M224=$A$15),$M224&gt;(ROW(PLE.lastrow)-ROW(PLE.firstrow))),0,
           IF(OFFSET(PLE!$G$15,$M224-$A$15,CM$13)="",10^12,OFFSET(PLE!$G$15,$M224-$A$15,CM$13)))</f>
        <v>0</v>
      </c>
    </row>
    <row r="225" spans="1:91" ht="76.5" x14ac:dyDescent="0.2">
      <c r="A225" s="7">
        <f t="shared" ca="1" si="13"/>
        <v>5</v>
      </c>
      <c r="B225" s="7" t="str">
        <f ca="1">OFFSET(ORÇAMENTO!C$15,ROW(B225)-ROW(B$15),0)</f>
        <v>S</v>
      </c>
      <c r="C225" s="7" t="str">
        <f ca="1">OFFSET(ORÇAMENTO!L$15,ROW(C225)-ROW(C$15),0)</f>
        <v>F</v>
      </c>
      <c r="D225" s="116" t="str">
        <f ca="1">OFFSET(ORÇAMENTO!N$15,ROW(D225)-ROW(D$15),0)</f>
        <v>Serviço</v>
      </c>
      <c r="E225" s="117" t="str">
        <f ca="1">OFFSET(ORÇAMENTO!O$15,ROW(E225)-ROW(E$15),0)</f>
        <v>1.6.2.0.1.</v>
      </c>
      <c r="F225" s="163" t="str">
        <f ca="1">OFFSET(ORÇAMENTO!R$15,ROW(F225)-ROW(F$15),0)</f>
        <v>FORNECIMENTO DE ESTRUTURA METÁLICA EM PERFIL LAMINADO, INCLUSIVE FABRICAÇÃO, TRANSPORTE, MONTAGEM E APLICAÇÃO DE FUNDO PREPARADOR ANTICORROSIVO EM SUPERFÍCIE METÁLICA, UMA (1) DEMÃO</v>
      </c>
      <c r="G225" s="164" t="str">
        <f ca="1">IF($D225&lt;&gt;"Serviço","",OFFSET(ORÇAMENTO!S$15,ROW(G225)-ROW(G$15),0))</f>
        <v>KG</v>
      </c>
      <c r="H225" s="122" cm="1">
        <f t="array" aca="1" ref="H225" ca="1">IF($D225&lt;&gt;"Serviço",0,IF(ACOMPANHAMENTO="BM",ROUND(OFFSET(ORÇAMENTO!AJ$15,ROW(H225)-ROW(H$15),0),15-13*ORÇAMENTO!$AF$7),SUMPRODUCT(($Q$1:$AI$1=1)*ROUND($Q225:$AI225,15-13*ORÇAMENTO!$AF$7))))</f>
        <v>4736.3500000000004</v>
      </c>
      <c r="I225" s="468" t="s">
        <v>1344</v>
      </c>
      <c r="J225" s="640" t="str" cm="1">
        <f t="array" aca="1" ref="J225" ca="1">IF(OR(B225&lt;&gt;"S",CÁLCULO.FrentesPreenchidas=0),"",IF(AND(ACOMPANHAMENTO="PLE",AUTOEVENTO="Manual",OR(H225&gt;0,ORÇAMENTO!AC225="QUANT."),OR(K225="",M225=0,N225="")),"►E",IF(AND(ACOMPANHAMENTO="PLE",ORÇAMENTO!AC225="QUANT."),"►Q",IF(AND(ACOMPANHAMENTO="PLE",H225&lt;&gt;SUMPRODUCT(($Q$1:$AI$1=1)*ROUND(Q225:AI225,15))),"►S",IF(AND(COUNTIF($P$11:$AI$11,"▼")=0,H225&gt;0,I225=""),"◄M","")))))</f>
        <v/>
      </c>
      <c r="K225" s="641" t="s">
        <v>1390</v>
      </c>
      <c r="L225" s="165" t="s">
        <v>764</v>
      </c>
      <c r="M225" s="166">
        <f ca="1">IF($D225&lt;&gt;"Serviço","",
          IF(AUTOEVENTO="manual",$A225,
                IF(ISERROR(MATCH($A225,$A$15:OFFSET($A225,-1,0),0)),MAX($M$15:OFFSET(M225,-1,0))+1,
                      INDEX($M$15:OFFSET(M225,-1,0),MATCH($A225,$A$15:OFFSET($A225,-1,0),0)))))</f>
        <v>5</v>
      </c>
      <c r="N225" s="167" t="str">
        <f ca="1">IF($D225&lt;&gt;"Serviço","",
         IF(AUTOEVENTO="Manual",
                IF($A225=0,"&lt;-- defina o número do agrupador",
                       OFFSET(EVENTOS!$D$15,$A225-$A$15,0)),
                OFFSET($F$15,$A225,0)))</f>
        <v>Estrutura Metálica</v>
      </c>
      <c r="O225" s="168"/>
      <c r="Q225" s="168"/>
      <c r="R225" s="169"/>
      <c r="S225" s="169"/>
      <c r="T225" s="169"/>
      <c r="U225" s="169"/>
      <c r="V225" s="169"/>
      <c r="W225" s="169">
        <v>4736.3500000000004</v>
      </c>
      <c r="X225" s="169"/>
      <c r="Y225" s="169"/>
      <c r="Z225" s="170"/>
      <c r="AA225" s="169"/>
      <c r="AB225" s="169"/>
      <c r="AC225" s="169"/>
      <c r="AD225" s="169"/>
      <c r="AE225" s="169"/>
      <c r="AF225" s="169"/>
      <c r="AG225" s="169"/>
      <c r="AH225" s="170"/>
      <c r="AJ225" s="453">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3">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L225" s="453">
        <f ca="1">IF(AND($D225="Serviço",AL$12&lt;&gt;0,$H225&gt;0,OR(AUTOEVENTO&lt;&gt;"manual",$M225&lt;&gt;$A$15)),
        IF(Import.TipoArredondamento&lt;&gt;"TransfereGOV",
              ROUND(OFFSET($P225,0,AL$13),15-13*ORÇAMENTO!$AF$7)/$H225*OFFSET(ORÇAMENTO!$X$15,ROW(AL225)-ROW(AL$15),0),
              ROUND(ROUND(OFFSET($P225,0,AL$13),15-13*ORÇAMENTO!$AF$7)*OFFSET(ORÇAMENTO!$W$15,ROW(AL225)-ROW(AL$15),0),15-13*ORÇAMENTO!$AF$11)),
         0)</f>
        <v>0</v>
      </c>
      <c r="AM225" s="453">
        <f ca="1">IF(AND($D225="Serviço",AM$12&lt;&gt;0,$H225&gt;0,OR(AUTOEVENTO&lt;&gt;"manual",$M225&lt;&gt;$A$15)),
        IF(Import.TipoArredondamento&lt;&gt;"TransfereGOV",
              ROUND(OFFSET($P225,0,AM$13),15-13*ORÇAMENTO!$AF$7)/$H225*OFFSET(ORÇAMENTO!$X$15,ROW(AM225)-ROW(AM$15),0),
              ROUND(ROUND(OFFSET($P225,0,AM$13),15-13*ORÇAMENTO!$AF$7)*OFFSET(ORÇAMENTO!$W$15,ROW(AM225)-ROW(AM$15),0),15-13*ORÇAMENTO!$AF$11)),
         0)</f>
        <v>0</v>
      </c>
      <c r="AN225" s="453">
        <f ca="1">IF(AND($D225="Serviço",AN$12&lt;&gt;0,$H225&gt;0,OR(AUTOEVENTO&lt;&gt;"manual",$M225&lt;&gt;$A$15)),
        IF(Import.TipoArredondamento&lt;&gt;"TransfereGOV",
              ROUND(OFFSET($P225,0,AN$13),15-13*ORÇAMENTO!$AF$7)/$H225*OFFSET(ORÇAMENTO!$X$15,ROW(AN225)-ROW(AN$15),0),
              ROUND(ROUND(OFFSET($P225,0,AN$13),15-13*ORÇAMENTO!$AF$7)*OFFSET(ORÇAMENTO!$W$15,ROW(AN225)-ROW(AN$15),0),15-13*ORÇAMENTO!$AF$11)),
         0)</f>
        <v>0</v>
      </c>
      <c r="AO225" s="453">
        <f ca="1">IF(AND($D225="Serviço",AO$12&lt;&gt;0,$H225&gt;0,OR(AUTOEVENTO&lt;&gt;"manual",$M225&lt;&gt;$A$15)),
        IF(Import.TipoArredondamento&lt;&gt;"TransfereGOV",
              ROUND(OFFSET($P225,0,AO$13),15-13*ORÇAMENTO!$AF$7)/$H225*OFFSET(ORÇAMENTO!$X$15,ROW(AO225)-ROW(AO$15),0),
              ROUND(ROUND(OFFSET($P225,0,AO$13),15-13*ORÇAMENTO!$AF$7)*OFFSET(ORÇAMENTO!$W$15,ROW(AO225)-ROW(AO$15),0),15-13*ORÇAMENTO!$AF$11)),
         0)</f>
        <v>0</v>
      </c>
      <c r="AP225" s="453">
        <f ca="1">IF(AND($D225="Serviço",AP$12&lt;&gt;0,$H225&gt;0,OR(AUTOEVENTO&lt;&gt;"manual",$M225&lt;&gt;$A$15)),
        IF(Import.TipoArredondamento&lt;&gt;"TransfereGOV",
              ROUND(OFFSET($P225,0,AP$13),15-13*ORÇAMENTO!$AF$7)/$H225*OFFSET(ORÇAMENTO!$X$15,ROW(AP225)-ROW(AP$15),0),
              ROUND(ROUND(OFFSET($P225,0,AP$13),15-13*ORÇAMENTO!$AF$7)*OFFSET(ORÇAMENTO!$W$15,ROW(AP225)-ROW(AP$15),0),15-13*ORÇAMENTO!$AF$11)),
         0)</f>
        <v>0</v>
      </c>
      <c r="AQ225" s="453">
        <f ca="1">IF(AND($D225="Serviço",AQ$12&lt;&gt;0,$H225&gt;0,OR(AUTOEVENTO&lt;&gt;"manual",$M225&lt;&gt;$A$15)),
        IF(Import.TipoArredondamento&lt;&gt;"TransfereGOV",
              ROUND(OFFSET($P225,0,AQ$13),15-13*ORÇAMENTO!$AF$7)/$H225*OFFSET(ORÇAMENTO!$X$15,ROW(AQ225)-ROW(AQ$15),0),
              ROUND(ROUND(OFFSET($P225,0,AQ$13),15-13*ORÇAMENTO!$AF$7)*OFFSET(ORÇAMENTO!$W$15,ROW(AQ225)-ROW(AQ$15),0),15-13*ORÇAMENTO!$AF$11)),
         0)</f>
        <v>0</v>
      </c>
      <c r="AR225" s="453">
        <f ca="1">IF(AND($D225="Serviço",AR$12&lt;&gt;0,$H225&gt;0,OR(AUTOEVENTO&lt;&gt;"manual",$M225&lt;&gt;$A$15)),
        IF(Import.TipoArredondamento&lt;&gt;"TransfereGOV",
              ROUND(OFFSET($P225,0,AR$13),15-13*ORÇAMENTO!$AF$7)/$H225*OFFSET(ORÇAMENTO!$X$15,ROW(AR225)-ROW(AR$15),0),
              ROUND(ROUND(OFFSET($P225,0,AR$13),15-13*ORÇAMENTO!$AF$7)*OFFSET(ORÇAMENTO!$W$15,ROW(AR225)-ROW(AR$15),0),15-13*ORÇAMENTO!$AF$11)),
         0)</f>
        <v>0</v>
      </c>
      <c r="AS225" s="453">
        <f ca="1">IF(AND($D225="Serviço",AS$12&lt;&gt;0,$H225&gt;0,OR(AUTOEVENTO&lt;&gt;"manual",$M225&lt;&gt;$A$15)),
        IF(Import.TipoArredondamento&lt;&gt;"TransfereGOV",
              ROUND(OFFSET($P225,0,AS$13),15-13*ORÇAMENTO!$AF$7)/$H225*OFFSET(ORÇAMENTO!$X$15,ROW(AS225)-ROW(AS$15),0),
              ROUND(ROUND(OFFSET($P225,0,AS$13),15-13*ORÇAMENTO!$AF$7)*OFFSET(ORÇAMENTO!$W$15,ROW(AS225)-ROW(AS$15),0),15-13*ORÇAMENTO!$AF$11)),
         0)</f>
        <v>0</v>
      </c>
      <c r="AT225" s="453">
        <f ca="1">IF(AND($D225="Serviço",AT$12&lt;&gt;0,$H225&gt;0,OR(AUTOEVENTO&lt;&gt;"manual",$M225&lt;&gt;$A$15)),
        IF(Import.TipoArredondamento&lt;&gt;"TransfereGOV",
              ROUND(OFFSET($P225,0,AT$13),15-13*ORÇAMENTO!$AF$7)/$H225*OFFSET(ORÇAMENTO!$X$15,ROW(AT225)-ROW(AT$15),0),
              ROUND(ROUND(OFFSET($P225,0,AT$13),15-13*ORÇAMENTO!$AF$7)*OFFSET(ORÇAMENTO!$W$15,ROW(AT225)-ROW(AT$15),0),15-13*ORÇAMENTO!$AF$11)),
         0)</f>
        <v>0</v>
      </c>
      <c r="AU225" s="453">
        <f ca="1">IF(AND($D225="Serviço",AU$12&lt;&gt;0,$H225&gt;0,OR(AUTOEVENTO&lt;&gt;"manual",$M225&lt;&gt;$A$15)),
        IF(Import.TipoArredondamento&lt;&gt;"TransfereGOV",
              ROUND(OFFSET($P225,0,AU$13),15-13*ORÇAMENTO!$AF$7)/$H225*OFFSET(ORÇAMENTO!$X$15,ROW(AU225)-ROW(AU$15),0),
              ROUND(ROUND(OFFSET($P225,0,AU$13),15-13*ORÇAMENTO!$AF$7)*OFFSET(ORÇAMENTO!$W$15,ROW(AU225)-ROW(AU$15),0),15-13*ORÇAMENTO!$AF$11)),
         0)</f>
        <v>0</v>
      </c>
      <c r="AV225" s="453">
        <f ca="1">IF(AND($D225="Serviço",AV$12&lt;&gt;0,$H225&gt;0,OR(AUTOEVENTO&lt;&gt;"manual",$M225&lt;&gt;$A$15)),
        IF(Import.TipoArredondamento&lt;&gt;"TransfereGOV",
              ROUND(OFFSET($P225,0,AV$13),15-13*ORÇAMENTO!$AF$7)/$H225*OFFSET(ORÇAMENTO!$X$15,ROW(AV225)-ROW(AV$15),0),
              ROUND(ROUND(OFFSET($P225,0,AV$13),15-13*ORÇAMENTO!$AF$7)*OFFSET(ORÇAMENTO!$W$15,ROW(AV225)-ROW(AV$15),0),15-13*ORÇAMENTO!$AF$11)),
         0)</f>
        <v>0</v>
      </c>
      <c r="AW225" s="453">
        <f ca="1">IF(AND($D225="Serviço",AW$12&lt;&gt;0,$H225&gt;0,OR(AUTOEVENTO&lt;&gt;"manual",$M225&lt;&gt;$A$15)),
        IF(Import.TipoArredondamento&lt;&gt;"TransfereGOV",
              ROUND(OFFSET($P225,0,AW$13),15-13*ORÇAMENTO!$AF$7)/$H225*OFFSET(ORÇAMENTO!$X$15,ROW(AW225)-ROW(AW$15),0),
              ROUND(ROUND(OFFSET($P225,0,AW$13),15-13*ORÇAMENTO!$AF$7)*OFFSET(ORÇAMENTO!$W$15,ROW(AW225)-ROW(AW$15),0),15-13*ORÇAMENTO!$AF$11)),
         0)</f>
        <v>0</v>
      </c>
      <c r="AX225" s="453">
        <f ca="1">IF(AND($D225="Serviço",AX$12&lt;&gt;0,$H225&gt;0,OR(AUTOEVENTO&lt;&gt;"manual",$M225&lt;&gt;$A$15)),
        IF(Import.TipoArredondamento&lt;&gt;"TransfereGOV",
              ROUND(OFFSET($P225,0,AX$13),15-13*ORÇAMENTO!$AF$7)/$H225*OFFSET(ORÇAMENTO!$X$15,ROW(AX225)-ROW(AX$15),0),
              ROUND(ROUND(OFFSET($P225,0,AX$13),15-13*ORÇAMENTO!$AF$7)*OFFSET(ORÇAMENTO!$W$15,ROW(AX225)-ROW(AX$15),0),15-13*ORÇAMENTO!$AF$11)),
         0)</f>
        <v>0</v>
      </c>
      <c r="AY225" s="453">
        <f ca="1">IF(AND($D225="Serviço",AY$12&lt;&gt;0,$H225&gt;0,OR(AUTOEVENTO&lt;&gt;"manual",$M225&lt;&gt;$A$15)),
        IF(Import.TipoArredondamento&lt;&gt;"TransfereGOV",
              ROUND(OFFSET($P225,0,AY$13),15-13*ORÇAMENTO!$AF$7)/$H225*OFFSET(ORÇAMENTO!$X$15,ROW(AY225)-ROW(AY$15),0),
              ROUND(ROUND(OFFSET($P225,0,AY$13),15-13*ORÇAMENTO!$AF$7)*OFFSET(ORÇAMENTO!$W$15,ROW(AY225)-ROW(AY$15),0),15-13*ORÇAMENTO!$AF$11)),
         0)</f>
        <v>0</v>
      </c>
      <c r="AZ225" s="453">
        <f ca="1">IF(AND($D225="Serviço",AZ$12&lt;&gt;0,$H225&gt;0,OR(AUTOEVENTO&lt;&gt;"manual",$M225&lt;&gt;$A$15)),
        IF(Import.TipoArredondamento&lt;&gt;"TransfereGOV",
              ROUND(OFFSET($P225,0,AZ$13),15-13*ORÇAMENTO!$AF$7)/$H225*OFFSET(ORÇAMENTO!$X$15,ROW(AZ225)-ROW(AZ$15),0),
              ROUND(ROUND(OFFSET($P225,0,AZ$13),15-13*ORÇAMENTO!$AF$7)*OFFSET(ORÇAMENTO!$W$15,ROW(AZ225)-ROW(AZ$15),0),15-13*ORÇAMENTO!$AF$11)),
         0)</f>
        <v>0</v>
      </c>
      <c r="BA225" s="453">
        <f ca="1">IF(AND($D225="Serviço",BA$12&lt;&gt;0,$H225&gt;0,OR(AUTOEVENTO&lt;&gt;"manual",$M225&lt;&gt;$A$15)),
        IF(Import.TipoArredondamento&lt;&gt;"TransfereGOV",
              ROUND(OFFSET($P225,0,BA$13),15-13*ORÇAMENTO!$AF$7)/$H225*OFFSET(ORÇAMENTO!$X$15,ROW(BA225)-ROW(BA$15),0),
              ROUND(ROUND(OFFSET($P225,0,BA$13),15-13*ORÇAMENTO!$AF$7)*OFFSET(ORÇAMENTO!$W$15,ROW(BA225)-ROW(BA$15),0),15-13*ORÇAMENTO!$AF$11)),
         0)</f>
        <v>0</v>
      </c>
      <c r="BC225" s="171">
        <f ca="1">IF(OR($D225&lt;&gt;"Serviço",AND(AUTOEVENTO="Manual",$M225=$A$15)),0,
         IF(OFFSET(CRONOPLE!$F$15,$M225-$A$15,BC$13)=0,10^12,OFFSET(CRONOPLE!$F$15,$M225-$A$15,BC$13)))</f>
        <v>1</v>
      </c>
      <c r="BD225" s="171">
        <f ca="1">IF(OR($D225&lt;&gt;"Serviço",AND(AUTOEVENTO="Manual",$M225=$A$15)),0,
         IF(OFFSET(CRONOPLE!$F$15,$M225-$A$15,BD$13)=0,10^12,OFFSET(CRONOPLE!$F$15,$M225-$A$15,BD$13)))</f>
        <v>2</v>
      </c>
      <c r="BE225" s="171">
        <f ca="1">IF(OR($D225&lt;&gt;"Serviço",AND(AUTOEVENTO="Manual",$M225=$A$15)),0,
         IF(OFFSET(CRONOPLE!$F$15,$M225-$A$15,BE$13)=0,10^12,OFFSET(CRONOPLE!$F$15,$M225-$A$15,BE$13)))</f>
        <v>3</v>
      </c>
      <c r="BF225" s="171">
        <f ca="1">IF(OR($D225&lt;&gt;"Serviço",AND(AUTOEVENTO="Manual",$M225=$A$15)),0,
         IF(OFFSET(CRONOPLE!$F$15,$M225-$A$15,BF$13)=0,10^12,OFFSET(CRONOPLE!$F$15,$M225-$A$15,BF$13)))</f>
        <v>4</v>
      </c>
      <c r="BG225" s="171">
        <f ca="1">IF(OR($D225&lt;&gt;"Serviço",AND(AUTOEVENTO="Manual",$M225=$A$15)),0,
         IF(OFFSET(CRONOPLE!$F$15,$M225-$A$15,BG$13)=0,10^12,OFFSET(CRONOPLE!$F$15,$M225-$A$15,BG$13)))</f>
        <v>5</v>
      </c>
      <c r="BH225" s="171">
        <f ca="1">IF(OR($D225&lt;&gt;"Serviço",AND(AUTOEVENTO="Manual",$M225=$A$15)),0,
         IF(OFFSET(CRONOPLE!$F$15,$M225-$A$15,BH$13)=0,10^12,OFFSET(CRONOPLE!$F$15,$M225-$A$15,BH$13)))</f>
        <v>6</v>
      </c>
      <c r="BI225" s="171">
        <f ca="1">IF(OR($D225&lt;&gt;"Serviço",AND(AUTOEVENTO="Manual",$M225=$A$15)),0,
         IF(OFFSET(CRONOPLE!$F$15,$M225-$A$15,BI$13)=0,10^12,OFFSET(CRONOPLE!$F$15,$M225-$A$15,BI$13)))</f>
        <v>7</v>
      </c>
      <c r="BJ225" s="171">
        <f ca="1">IF(OR($D225&lt;&gt;"Serviço",AND(AUTOEVENTO="Manual",$M225=$A$15)),0,
         IF(OFFSET(CRONOPLE!$F$15,$M225-$A$15,BJ$13)=0,10^12,OFFSET(CRONOPLE!$F$15,$M225-$A$15,BJ$13)))</f>
        <v>8</v>
      </c>
      <c r="BK225" s="171">
        <f ca="1">IF(OR($D225&lt;&gt;"Serviço",AND(AUTOEVENTO="Manual",$M225=$A$15)),0,
         IF(OFFSET(CRONOPLE!$F$15,$M225-$A$15,BK$13)=0,10^12,OFFSET(CRONOPLE!$F$15,$M225-$A$15,BK$13)))</f>
        <v>9</v>
      </c>
      <c r="BL225" s="171">
        <f ca="1">IF(OR($D225&lt;&gt;"Serviço",AND(AUTOEVENTO="Manual",$M225=$A$15)),0,
         IF(OFFSET(CRONOPLE!$F$15,$M225-$A$15,BL$13)=0,10^12,OFFSET(CRONOPLE!$F$15,$M225-$A$15,BL$13)))</f>
        <v>10</v>
      </c>
      <c r="BM225" s="171">
        <f ca="1">IF(OR($D225&lt;&gt;"Serviço",AND(AUTOEVENTO="Manual",$M225=$A$15)),0,
         IF(OFFSET(CRONOPLE!$F$15,$M225-$A$15,BM$13)=0,10^12,OFFSET(CRONOPLE!$F$15,$M225-$A$15,BM$13)))</f>
        <v>1000000000000</v>
      </c>
      <c r="BN225" s="171">
        <f ca="1">IF(OR($D225&lt;&gt;"Serviço",AND(AUTOEVENTO="Manual",$M225=$A$15)),0,
         IF(OFFSET(CRONOPLE!$F$15,$M225-$A$15,BN$13)=0,10^12,OFFSET(CRONOPLE!$F$15,$M225-$A$15,BN$13)))</f>
        <v>1000000000000</v>
      </c>
      <c r="BO225" s="171">
        <f ca="1">IF(OR($D225&lt;&gt;"Serviço",AND(AUTOEVENTO="Manual",$M225=$A$15)),0,
         IF(OFFSET(CRONOPLE!$F$15,$M225-$A$15,BO$13)=0,10^12,OFFSET(CRONOPLE!$F$15,$M225-$A$15,BO$13)))</f>
        <v>1000000000000</v>
      </c>
      <c r="BP225" s="171">
        <f ca="1">IF(OR($D225&lt;&gt;"Serviço",AND(AUTOEVENTO="Manual",$M225=$A$15)),0,
         IF(OFFSET(CRONOPLE!$F$15,$M225-$A$15,BP$13)=0,10^12,OFFSET(CRONOPLE!$F$15,$M225-$A$15,BP$13)))</f>
        <v>1000000000000</v>
      </c>
      <c r="BQ225" s="171">
        <f ca="1">IF(OR($D225&lt;&gt;"Serviço",AND(AUTOEVENTO="Manual",$M225=$A$15)),0,
         IF(OFFSET(CRONOPLE!$F$15,$M225-$A$15,BQ$13)=0,10^12,OFFSET(CRONOPLE!$F$15,$M225-$A$15,BQ$13)))</f>
        <v>1000000000000</v>
      </c>
      <c r="BR225" s="171">
        <f ca="1">IF(OR($D225&lt;&gt;"Serviço",AND(AUTOEVENTO="Manual",$M225=$A$15)),0,
         IF(OFFSET(CRONOPLE!$F$15,$M225-$A$15,BR$13)=0,10^12,OFFSET(CRONOPLE!$F$15,$M225-$A$15,BR$13)))</f>
        <v>1000000000000</v>
      </c>
      <c r="BS225" s="171">
        <f ca="1">IF(OR($D225&lt;&gt;"Serviço",AND(AUTOEVENTO="Manual",$M225=$A$15)),0,
         IF(OFFSET(CRONOPLE!$F$15,$M225-$A$15,BS$13)=0,10^12,OFFSET(CRONOPLE!$F$15,$M225-$A$15,BS$13)))</f>
        <v>1000000000000</v>
      </c>
      <c r="BT225" s="171">
        <f ca="1">IF(OR($D225&lt;&gt;"Serviço",AND(AUTOEVENTO="Manual",$M225=$A$15)),0,
         IF(OFFSET(CRONOPLE!$F$15,$M225-$A$15,BT$13)=0,10^12,OFFSET(CRONOPLE!$F$15,$M225-$A$15,BT$13)))</f>
        <v>1000000000000</v>
      </c>
      <c r="BV225" s="172">
        <f ca="1">IF(OR($D225&lt;&gt;"Serviço",AND(AUTOEVENTO="Manual",$M225=$A$15),$M225&gt;(ROW(PLE.lastrow)-ROW(PLE.firstrow))),0,
           IF(OFFSET(PLE!$G$15,$M225-$A$15,BV$13)="",10^12,OFFSET(PLE!$G$15,$M225-$A$15,BV$13)))</f>
        <v>1000000000000</v>
      </c>
      <c r="BW225" s="172">
        <f ca="1">IF(OR($D225&lt;&gt;"Serviço",AND(AUTOEVENTO="Manual",$M225=$A$15),$M225&gt;(ROW(PLE.lastrow)-ROW(PLE.firstrow))),0,
           IF(OFFSET(PLE!$G$15,$M225-$A$15,BW$13)="",10^12,OFFSET(PLE!$G$15,$M225-$A$15,BW$13)))</f>
        <v>1000000000000</v>
      </c>
      <c r="BX225" s="172">
        <f ca="1">IF(OR($D225&lt;&gt;"Serviço",AND(AUTOEVENTO="Manual",$M225=$A$15),$M225&gt;(ROW(PLE.lastrow)-ROW(PLE.firstrow))),0,
           IF(OFFSET(PLE!$G$15,$M225-$A$15,BX$13)="",10^12,OFFSET(PLE!$G$15,$M225-$A$15,BX$13)))</f>
        <v>1000000000000</v>
      </c>
      <c r="BY225" s="172">
        <f ca="1">IF(OR($D225&lt;&gt;"Serviço",AND(AUTOEVENTO="Manual",$M225=$A$15),$M225&gt;(ROW(PLE.lastrow)-ROW(PLE.firstrow))),0,
           IF(OFFSET(PLE!$G$15,$M225-$A$15,BY$13)="",10^12,OFFSET(PLE!$G$15,$M225-$A$15,BY$13)))</f>
        <v>1000000000000</v>
      </c>
      <c r="BZ225" s="172">
        <f ca="1">IF(OR($D225&lt;&gt;"Serviço",AND(AUTOEVENTO="Manual",$M225=$A$15),$M225&gt;(ROW(PLE.lastrow)-ROW(PLE.firstrow))),0,
           IF(OFFSET(PLE!$G$15,$M225-$A$15,BZ$13)="",10^12,OFFSET(PLE!$G$15,$M225-$A$15,BZ$13)))</f>
        <v>1000000000000</v>
      </c>
      <c r="CA225" s="172">
        <f ca="1">IF(OR($D225&lt;&gt;"Serviço",AND(AUTOEVENTO="Manual",$M225=$A$15),$M225&gt;(ROW(PLE.lastrow)-ROW(PLE.firstrow))),0,
           IF(OFFSET(PLE!$G$15,$M225-$A$15,CA$13)="",10^12,OFFSET(PLE!$G$15,$M225-$A$15,CA$13)))</f>
        <v>1000000000000</v>
      </c>
      <c r="CB225" s="172">
        <f ca="1">IF(OR($D225&lt;&gt;"Serviço",AND(AUTOEVENTO="Manual",$M225=$A$15),$M225&gt;(ROW(PLE.lastrow)-ROW(PLE.firstrow))),0,
           IF(OFFSET(PLE!$G$15,$M225-$A$15,CB$13)="",10^12,OFFSET(PLE!$G$15,$M225-$A$15,CB$13)))</f>
        <v>1000000000000</v>
      </c>
      <c r="CC225" s="172">
        <f ca="1">IF(OR($D225&lt;&gt;"Serviço",AND(AUTOEVENTO="Manual",$M225=$A$15),$M225&gt;(ROW(PLE.lastrow)-ROW(PLE.firstrow))),0,
           IF(OFFSET(PLE!$G$15,$M225-$A$15,CC$13)="",10^12,OFFSET(PLE!$G$15,$M225-$A$15,CC$13)))</f>
        <v>1000000000000</v>
      </c>
      <c r="CD225" s="172">
        <f ca="1">IF(OR($D225&lt;&gt;"Serviço",AND(AUTOEVENTO="Manual",$M225=$A$15),$M225&gt;(ROW(PLE.lastrow)-ROW(PLE.firstrow))),0,
           IF(OFFSET(PLE!$G$15,$M225-$A$15,CD$13)="",10^12,OFFSET(PLE!$G$15,$M225-$A$15,CD$13)))</f>
        <v>1000000000000</v>
      </c>
      <c r="CE225" s="172">
        <f ca="1">IF(OR($D225&lt;&gt;"Serviço",AND(AUTOEVENTO="Manual",$M225=$A$15),$M225&gt;(ROW(PLE.lastrow)-ROW(PLE.firstrow))),0,
           IF(OFFSET(PLE!$G$15,$M225-$A$15,CE$13)="",10^12,OFFSET(PLE!$G$15,$M225-$A$15,CE$13)))</f>
        <v>1000000000000</v>
      </c>
      <c r="CF225" s="172">
        <f ca="1">IF(OR($D225&lt;&gt;"Serviço",AND(AUTOEVENTO="Manual",$M225=$A$15),$M225&gt;(ROW(PLE.lastrow)-ROW(PLE.firstrow))),0,
           IF(OFFSET(PLE!$G$15,$M225-$A$15,CF$13)="",10^12,OFFSET(PLE!$G$15,$M225-$A$15,CF$13)))</f>
        <v>1000000000000</v>
      </c>
      <c r="CG225" s="172">
        <f ca="1">IF(OR($D225&lt;&gt;"Serviço",AND(AUTOEVENTO="Manual",$M225=$A$15),$M225&gt;(ROW(PLE.lastrow)-ROW(PLE.firstrow))),0,
           IF(OFFSET(PLE!$G$15,$M225-$A$15,CG$13)="",10^12,OFFSET(PLE!$G$15,$M225-$A$15,CG$13)))</f>
        <v>1000000000000</v>
      </c>
      <c r="CH225" s="172">
        <f ca="1">IF(OR($D225&lt;&gt;"Serviço",AND(AUTOEVENTO="Manual",$M225=$A$15),$M225&gt;(ROW(PLE.lastrow)-ROW(PLE.firstrow))),0,
           IF(OFFSET(PLE!$G$15,$M225-$A$15,CH$13)="",10^12,OFFSET(PLE!$G$15,$M225-$A$15,CH$13)))</f>
        <v>1000000000000</v>
      </c>
      <c r="CI225" s="172">
        <f ca="1">IF(OR($D225&lt;&gt;"Serviço",AND(AUTOEVENTO="Manual",$M225=$A$15),$M225&gt;(ROW(PLE.lastrow)-ROW(PLE.firstrow))),0,
           IF(OFFSET(PLE!$G$15,$M225-$A$15,CI$13)="",10^12,OFFSET(PLE!$G$15,$M225-$A$15,CI$13)))</f>
        <v>1000000000000</v>
      </c>
      <c r="CJ225" s="172">
        <f ca="1">IF(OR($D225&lt;&gt;"Serviço",AND(AUTOEVENTO="Manual",$M225=$A$15),$M225&gt;(ROW(PLE.lastrow)-ROW(PLE.firstrow))),0,
           IF(OFFSET(PLE!$G$15,$M225-$A$15,CJ$13)="",10^12,OFFSET(PLE!$G$15,$M225-$A$15,CJ$13)))</f>
        <v>1000000000000</v>
      </c>
      <c r="CK225" s="172">
        <f ca="1">IF(OR($D225&lt;&gt;"Serviço",AND(AUTOEVENTO="Manual",$M225=$A$15),$M225&gt;(ROW(PLE.lastrow)-ROW(PLE.firstrow))),0,
           IF(OFFSET(PLE!$G$15,$M225-$A$15,CK$13)="",10^12,OFFSET(PLE!$G$15,$M225-$A$15,CK$13)))</f>
        <v>1000000000000</v>
      </c>
      <c r="CL225" s="172">
        <f ca="1">IF(OR($D225&lt;&gt;"Serviço",AND(AUTOEVENTO="Manual",$M225=$A$15),$M225&gt;(ROW(PLE.lastrow)-ROW(PLE.firstrow))),0,
           IF(OFFSET(PLE!$G$15,$M225-$A$15,CL$13)="",10^12,OFFSET(PLE!$G$15,$M225-$A$15,CL$13)))</f>
        <v>1000000000000</v>
      </c>
      <c r="CM225" s="172">
        <f ca="1">IF(OR($D225&lt;&gt;"Serviço",AND(AUTOEVENTO="Manual",$M225=$A$15),$M225&gt;(ROW(PLE.lastrow)-ROW(PLE.firstrow))),0,
           IF(OFFSET(PLE!$G$15,$M225-$A$15,CM$13)="",10^12,OFFSET(PLE!$G$15,$M225-$A$15,CM$13)))</f>
        <v>1000000000000</v>
      </c>
    </row>
    <row r="226" spans="1:91" ht="76.5" x14ac:dyDescent="0.2">
      <c r="A226" s="7">
        <f t="shared" ca="1" si="13"/>
        <v>5</v>
      </c>
      <c r="B226" s="7" t="str">
        <f ca="1">OFFSET(ORÇAMENTO!C$15,ROW(B226)-ROW(B$15),0)</f>
        <v>S</v>
      </c>
      <c r="C226" s="7" t="str">
        <f ca="1">OFFSET(ORÇAMENTO!L$15,ROW(C226)-ROW(C$15),0)</f>
        <v>F</v>
      </c>
      <c r="D226" s="116" t="str">
        <f ca="1">OFFSET(ORÇAMENTO!N$15,ROW(D226)-ROW(D$15),0)</f>
        <v>Serviço</v>
      </c>
      <c r="E226" s="117" t="str">
        <f ca="1">OFFSET(ORÇAMENTO!O$15,ROW(E226)-ROW(E$15),0)</f>
        <v>1.6.2.0.2.</v>
      </c>
      <c r="F226" s="163" t="str">
        <f ca="1">OFFSET(ORÇAMENTO!R$15,ROW(F226)-ROW(F$15),0)</f>
        <v>PARAFUSO AUTO-BROCANTE 12-14X3.1/2, FORNECIMENTO E INSTALAÇÃO - BASEADO EM ORSE (11035)</v>
      </c>
      <c r="G226" s="164" t="str">
        <f ca="1">IF($D226&lt;&gt;"Serviço","",OFFSET(ORÇAMENTO!S$15,ROW(G226)-ROW(G$15),0))</f>
        <v>UN</v>
      </c>
      <c r="H226" s="122" cm="1">
        <f t="array" aca="1" ref="H226" ca="1">IF($D226&lt;&gt;"Serviço",0,IF(ACOMPANHAMENTO="BM",ROUND(OFFSET(ORÇAMENTO!AJ$15,ROW(H226)-ROW(H$15),0),15-13*ORÇAMENTO!$AF$7),SUMPRODUCT(($Q$1:$AI$1=1)*ROUND($Q226:$AI226,15-13*ORÇAMENTO!$AF$7))))</f>
        <v>130</v>
      </c>
      <c r="I226" s="468" t="s">
        <v>1344</v>
      </c>
      <c r="J226" s="640" t="str" cm="1">
        <f t="array" aca="1" ref="J226" ca="1">IF(OR(B226&lt;&gt;"S",CÁLCULO.FrentesPreenchidas=0),"",IF(AND(ACOMPANHAMENTO="PLE",AUTOEVENTO="Manual",OR(H226&gt;0,ORÇAMENTO!AC226="QUANT."),OR(K226="",M226=0,N226="")),"►E",IF(AND(ACOMPANHAMENTO="PLE",ORÇAMENTO!AC226="QUANT."),"►Q",IF(AND(ACOMPANHAMENTO="PLE",H226&lt;&gt;SUMPRODUCT(($Q$1:$AI$1=1)*ROUND(Q226:AI226,15))),"►S",IF(AND(COUNTIF($P$11:$AI$11,"▼")=0,H226&gt;0,I226=""),"◄M","")))))</f>
        <v/>
      </c>
      <c r="K226" s="641" t="s">
        <v>1390</v>
      </c>
      <c r="L226" s="165" t="s">
        <v>764</v>
      </c>
      <c r="M226" s="166">
        <f ca="1">IF($D226&lt;&gt;"Serviço","",
          IF(AUTOEVENTO="manual",$A226,
                IF(ISERROR(MATCH($A226,$A$15:OFFSET($A226,-1,0),0)),MAX($M$15:OFFSET(M226,-1,0))+1,
                      INDEX($M$15:OFFSET(M226,-1,0),MATCH($A226,$A$15:OFFSET($A226,-1,0),0)))))</f>
        <v>5</v>
      </c>
      <c r="N226" s="167" t="str">
        <f ca="1">IF($D226&lt;&gt;"Serviço","",
         IF(AUTOEVENTO="Manual",
                IF($A226=0,"&lt;-- defina o número do agrupador",
                       OFFSET(EVENTOS!$D$15,$A226-$A$15,0)),
                OFFSET($F$15,$A226,0)))</f>
        <v>Estrutura Metálica</v>
      </c>
      <c r="O226" s="168"/>
      <c r="Q226" s="168"/>
      <c r="R226" s="169"/>
      <c r="S226" s="169"/>
      <c r="T226" s="169"/>
      <c r="U226" s="169"/>
      <c r="V226" s="169"/>
      <c r="W226" s="169">
        <v>130</v>
      </c>
      <c r="X226" s="169"/>
      <c r="Y226" s="169"/>
      <c r="Z226" s="170"/>
      <c r="AA226" s="169"/>
      <c r="AB226" s="169"/>
      <c r="AC226" s="169"/>
      <c r="AD226" s="169"/>
      <c r="AE226" s="169"/>
      <c r="AF226" s="169"/>
      <c r="AG226" s="169"/>
      <c r="AH226" s="170"/>
      <c r="AJ226" s="453">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0</v>
      </c>
      <c r="AK226" s="453">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0</v>
      </c>
      <c r="AL226" s="453">
        <f ca="1">IF(AND($D226="Serviço",AL$12&lt;&gt;0,$H226&gt;0,OR(AUTOEVENTO&lt;&gt;"manual",$M226&lt;&gt;$A$15)),
        IF(Import.TipoArredondamento&lt;&gt;"TransfereGOV",
              ROUND(OFFSET($P226,0,AL$13),15-13*ORÇAMENTO!$AF$7)/$H226*OFFSET(ORÇAMENTO!$X$15,ROW(AL226)-ROW(AL$15),0),
              ROUND(ROUND(OFFSET($P226,0,AL$13),15-13*ORÇAMENTO!$AF$7)*OFFSET(ORÇAMENTO!$W$15,ROW(AL226)-ROW(AL$15),0),15-13*ORÇAMENTO!$AF$11)),
         0)</f>
        <v>0</v>
      </c>
      <c r="AM226" s="453">
        <f ca="1">IF(AND($D226="Serviço",AM$12&lt;&gt;0,$H226&gt;0,OR(AUTOEVENTO&lt;&gt;"manual",$M226&lt;&gt;$A$15)),
        IF(Import.TipoArredondamento&lt;&gt;"TransfereGOV",
              ROUND(OFFSET($P226,0,AM$13),15-13*ORÇAMENTO!$AF$7)/$H226*OFFSET(ORÇAMENTO!$X$15,ROW(AM226)-ROW(AM$15),0),
              ROUND(ROUND(OFFSET($P226,0,AM$13),15-13*ORÇAMENTO!$AF$7)*OFFSET(ORÇAMENTO!$W$15,ROW(AM226)-ROW(AM$15),0),15-13*ORÇAMENTO!$AF$11)),
         0)</f>
        <v>0</v>
      </c>
      <c r="AN226" s="453">
        <f ca="1">IF(AND($D226="Serviço",AN$12&lt;&gt;0,$H226&gt;0,OR(AUTOEVENTO&lt;&gt;"manual",$M226&lt;&gt;$A$15)),
        IF(Import.TipoArredondamento&lt;&gt;"TransfereGOV",
              ROUND(OFFSET($P226,0,AN$13),15-13*ORÇAMENTO!$AF$7)/$H226*OFFSET(ORÇAMENTO!$X$15,ROW(AN226)-ROW(AN$15),0),
              ROUND(ROUND(OFFSET($P226,0,AN$13),15-13*ORÇAMENTO!$AF$7)*OFFSET(ORÇAMENTO!$W$15,ROW(AN226)-ROW(AN$15),0),15-13*ORÇAMENTO!$AF$11)),
         0)</f>
        <v>0</v>
      </c>
      <c r="AO226" s="453">
        <f ca="1">IF(AND($D226="Serviço",AO$12&lt;&gt;0,$H226&gt;0,OR(AUTOEVENTO&lt;&gt;"manual",$M226&lt;&gt;$A$15)),
        IF(Import.TipoArredondamento&lt;&gt;"TransfereGOV",
              ROUND(OFFSET($P226,0,AO$13),15-13*ORÇAMENTO!$AF$7)/$H226*OFFSET(ORÇAMENTO!$X$15,ROW(AO226)-ROW(AO$15),0),
              ROUND(ROUND(OFFSET($P226,0,AO$13),15-13*ORÇAMENTO!$AF$7)*OFFSET(ORÇAMENTO!$W$15,ROW(AO226)-ROW(AO$15),0),15-13*ORÇAMENTO!$AF$11)),
         0)</f>
        <v>0</v>
      </c>
      <c r="AP226" s="453">
        <f ca="1">IF(AND($D226="Serviço",AP$12&lt;&gt;0,$H226&gt;0,OR(AUTOEVENTO&lt;&gt;"manual",$M226&lt;&gt;$A$15)),
        IF(Import.TipoArredondamento&lt;&gt;"TransfereGOV",
              ROUND(OFFSET($P226,0,AP$13),15-13*ORÇAMENTO!$AF$7)/$H226*OFFSET(ORÇAMENTO!$X$15,ROW(AP226)-ROW(AP$15),0),
              ROUND(ROUND(OFFSET($P226,0,AP$13),15-13*ORÇAMENTO!$AF$7)*OFFSET(ORÇAMENTO!$W$15,ROW(AP226)-ROW(AP$15),0),15-13*ORÇAMENTO!$AF$11)),
         0)</f>
        <v>0</v>
      </c>
      <c r="AQ226" s="453">
        <f ca="1">IF(AND($D226="Serviço",AQ$12&lt;&gt;0,$H226&gt;0,OR(AUTOEVENTO&lt;&gt;"manual",$M226&lt;&gt;$A$15)),
        IF(Import.TipoArredondamento&lt;&gt;"TransfereGOV",
              ROUND(OFFSET($P226,0,AQ$13),15-13*ORÇAMENTO!$AF$7)/$H226*OFFSET(ORÇAMENTO!$X$15,ROW(AQ226)-ROW(AQ$15),0),
              ROUND(ROUND(OFFSET($P226,0,AQ$13),15-13*ORÇAMENTO!$AF$7)*OFFSET(ORÇAMENTO!$W$15,ROW(AQ226)-ROW(AQ$15),0),15-13*ORÇAMENTO!$AF$11)),
         0)</f>
        <v>0</v>
      </c>
      <c r="AR226" s="453">
        <f ca="1">IF(AND($D226="Serviço",AR$12&lt;&gt;0,$H226&gt;0,OR(AUTOEVENTO&lt;&gt;"manual",$M226&lt;&gt;$A$15)),
        IF(Import.TipoArredondamento&lt;&gt;"TransfereGOV",
              ROUND(OFFSET($P226,0,AR$13),15-13*ORÇAMENTO!$AF$7)/$H226*OFFSET(ORÇAMENTO!$X$15,ROW(AR226)-ROW(AR$15),0),
              ROUND(ROUND(OFFSET($P226,0,AR$13),15-13*ORÇAMENTO!$AF$7)*OFFSET(ORÇAMENTO!$W$15,ROW(AR226)-ROW(AR$15),0),15-13*ORÇAMENTO!$AF$11)),
         0)</f>
        <v>0</v>
      </c>
      <c r="AS226" s="453">
        <f ca="1">IF(AND($D226="Serviço",AS$12&lt;&gt;0,$H226&gt;0,OR(AUTOEVENTO&lt;&gt;"manual",$M226&lt;&gt;$A$15)),
        IF(Import.TipoArredondamento&lt;&gt;"TransfereGOV",
              ROUND(OFFSET($P226,0,AS$13),15-13*ORÇAMENTO!$AF$7)/$H226*OFFSET(ORÇAMENTO!$X$15,ROW(AS226)-ROW(AS$15),0),
              ROUND(ROUND(OFFSET($P226,0,AS$13),15-13*ORÇAMENTO!$AF$7)*OFFSET(ORÇAMENTO!$W$15,ROW(AS226)-ROW(AS$15),0),15-13*ORÇAMENTO!$AF$11)),
         0)</f>
        <v>0</v>
      </c>
      <c r="AT226" s="453">
        <f ca="1">IF(AND($D226="Serviço",AT$12&lt;&gt;0,$H226&gt;0,OR(AUTOEVENTO&lt;&gt;"manual",$M226&lt;&gt;$A$15)),
        IF(Import.TipoArredondamento&lt;&gt;"TransfereGOV",
              ROUND(OFFSET($P226,0,AT$13),15-13*ORÇAMENTO!$AF$7)/$H226*OFFSET(ORÇAMENTO!$X$15,ROW(AT226)-ROW(AT$15),0),
              ROUND(ROUND(OFFSET($P226,0,AT$13),15-13*ORÇAMENTO!$AF$7)*OFFSET(ORÇAMENTO!$W$15,ROW(AT226)-ROW(AT$15),0),15-13*ORÇAMENTO!$AF$11)),
         0)</f>
        <v>0</v>
      </c>
      <c r="AU226" s="453">
        <f ca="1">IF(AND($D226="Serviço",AU$12&lt;&gt;0,$H226&gt;0,OR(AUTOEVENTO&lt;&gt;"manual",$M226&lt;&gt;$A$15)),
        IF(Import.TipoArredondamento&lt;&gt;"TransfereGOV",
              ROUND(OFFSET($P226,0,AU$13),15-13*ORÇAMENTO!$AF$7)/$H226*OFFSET(ORÇAMENTO!$X$15,ROW(AU226)-ROW(AU$15),0),
              ROUND(ROUND(OFFSET($P226,0,AU$13),15-13*ORÇAMENTO!$AF$7)*OFFSET(ORÇAMENTO!$W$15,ROW(AU226)-ROW(AU$15),0),15-13*ORÇAMENTO!$AF$11)),
         0)</f>
        <v>0</v>
      </c>
      <c r="AV226" s="453">
        <f ca="1">IF(AND($D226="Serviço",AV$12&lt;&gt;0,$H226&gt;0,OR(AUTOEVENTO&lt;&gt;"manual",$M226&lt;&gt;$A$15)),
        IF(Import.TipoArredondamento&lt;&gt;"TransfereGOV",
              ROUND(OFFSET($P226,0,AV$13),15-13*ORÇAMENTO!$AF$7)/$H226*OFFSET(ORÇAMENTO!$X$15,ROW(AV226)-ROW(AV$15),0),
              ROUND(ROUND(OFFSET($P226,0,AV$13),15-13*ORÇAMENTO!$AF$7)*OFFSET(ORÇAMENTO!$W$15,ROW(AV226)-ROW(AV$15),0),15-13*ORÇAMENTO!$AF$11)),
         0)</f>
        <v>0</v>
      </c>
      <c r="AW226" s="453">
        <f ca="1">IF(AND($D226="Serviço",AW$12&lt;&gt;0,$H226&gt;0,OR(AUTOEVENTO&lt;&gt;"manual",$M226&lt;&gt;$A$15)),
        IF(Import.TipoArredondamento&lt;&gt;"TransfereGOV",
              ROUND(OFFSET($P226,0,AW$13),15-13*ORÇAMENTO!$AF$7)/$H226*OFFSET(ORÇAMENTO!$X$15,ROW(AW226)-ROW(AW$15),0),
              ROUND(ROUND(OFFSET($P226,0,AW$13),15-13*ORÇAMENTO!$AF$7)*OFFSET(ORÇAMENTO!$W$15,ROW(AW226)-ROW(AW$15),0),15-13*ORÇAMENTO!$AF$11)),
         0)</f>
        <v>0</v>
      </c>
      <c r="AX226" s="453">
        <f ca="1">IF(AND($D226="Serviço",AX$12&lt;&gt;0,$H226&gt;0,OR(AUTOEVENTO&lt;&gt;"manual",$M226&lt;&gt;$A$15)),
        IF(Import.TipoArredondamento&lt;&gt;"TransfereGOV",
              ROUND(OFFSET($P226,0,AX$13),15-13*ORÇAMENTO!$AF$7)/$H226*OFFSET(ORÇAMENTO!$X$15,ROW(AX226)-ROW(AX$15),0),
              ROUND(ROUND(OFFSET($P226,0,AX$13),15-13*ORÇAMENTO!$AF$7)*OFFSET(ORÇAMENTO!$W$15,ROW(AX226)-ROW(AX$15),0),15-13*ORÇAMENTO!$AF$11)),
         0)</f>
        <v>0</v>
      </c>
      <c r="AY226" s="453">
        <f ca="1">IF(AND($D226="Serviço",AY$12&lt;&gt;0,$H226&gt;0,OR(AUTOEVENTO&lt;&gt;"manual",$M226&lt;&gt;$A$15)),
        IF(Import.TipoArredondamento&lt;&gt;"TransfereGOV",
              ROUND(OFFSET($P226,0,AY$13),15-13*ORÇAMENTO!$AF$7)/$H226*OFFSET(ORÇAMENTO!$X$15,ROW(AY226)-ROW(AY$15),0),
              ROUND(ROUND(OFFSET($P226,0,AY$13),15-13*ORÇAMENTO!$AF$7)*OFFSET(ORÇAMENTO!$W$15,ROW(AY226)-ROW(AY$15),0),15-13*ORÇAMENTO!$AF$11)),
         0)</f>
        <v>0</v>
      </c>
      <c r="AZ226" s="453">
        <f ca="1">IF(AND($D226="Serviço",AZ$12&lt;&gt;0,$H226&gt;0,OR(AUTOEVENTO&lt;&gt;"manual",$M226&lt;&gt;$A$15)),
        IF(Import.TipoArredondamento&lt;&gt;"TransfereGOV",
              ROUND(OFFSET($P226,0,AZ$13),15-13*ORÇAMENTO!$AF$7)/$H226*OFFSET(ORÇAMENTO!$X$15,ROW(AZ226)-ROW(AZ$15),0),
              ROUND(ROUND(OFFSET($P226,0,AZ$13),15-13*ORÇAMENTO!$AF$7)*OFFSET(ORÇAMENTO!$W$15,ROW(AZ226)-ROW(AZ$15),0),15-13*ORÇAMENTO!$AF$11)),
         0)</f>
        <v>0</v>
      </c>
      <c r="BA226" s="453">
        <f ca="1">IF(AND($D226="Serviço",BA$12&lt;&gt;0,$H226&gt;0,OR(AUTOEVENTO&lt;&gt;"manual",$M226&lt;&gt;$A$15)),
        IF(Import.TipoArredondamento&lt;&gt;"TransfereGOV",
              ROUND(OFFSET($P226,0,BA$13),15-13*ORÇAMENTO!$AF$7)/$H226*OFFSET(ORÇAMENTO!$X$15,ROW(BA226)-ROW(BA$15),0),
              ROUND(ROUND(OFFSET($P226,0,BA$13),15-13*ORÇAMENTO!$AF$7)*OFFSET(ORÇAMENTO!$W$15,ROW(BA226)-ROW(BA$15),0),15-13*ORÇAMENTO!$AF$11)),
         0)</f>
        <v>0</v>
      </c>
      <c r="BC226" s="171">
        <f ca="1">IF(OR($D226&lt;&gt;"Serviço",AND(AUTOEVENTO="Manual",$M226=$A$15)),0,
         IF(OFFSET(CRONOPLE!$F$15,$M226-$A$15,BC$13)=0,10^12,OFFSET(CRONOPLE!$F$15,$M226-$A$15,BC$13)))</f>
        <v>1</v>
      </c>
      <c r="BD226" s="171">
        <f ca="1">IF(OR($D226&lt;&gt;"Serviço",AND(AUTOEVENTO="Manual",$M226=$A$15)),0,
         IF(OFFSET(CRONOPLE!$F$15,$M226-$A$15,BD$13)=0,10^12,OFFSET(CRONOPLE!$F$15,$M226-$A$15,BD$13)))</f>
        <v>2</v>
      </c>
      <c r="BE226" s="171">
        <f ca="1">IF(OR($D226&lt;&gt;"Serviço",AND(AUTOEVENTO="Manual",$M226=$A$15)),0,
         IF(OFFSET(CRONOPLE!$F$15,$M226-$A$15,BE$13)=0,10^12,OFFSET(CRONOPLE!$F$15,$M226-$A$15,BE$13)))</f>
        <v>3</v>
      </c>
      <c r="BF226" s="171">
        <f ca="1">IF(OR($D226&lt;&gt;"Serviço",AND(AUTOEVENTO="Manual",$M226=$A$15)),0,
         IF(OFFSET(CRONOPLE!$F$15,$M226-$A$15,BF$13)=0,10^12,OFFSET(CRONOPLE!$F$15,$M226-$A$15,BF$13)))</f>
        <v>4</v>
      </c>
      <c r="BG226" s="171">
        <f ca="1">IF(OR($D226&lt;&gt;"Serviço",AND(AUTOEVENTO="Manual",$M226=$A$15)),0,
         IF(OFFSET(CRONOPLE!$F$15,$M226-$A$15,BG$13)=0,10^12,OFFSET(CRONOPLE!$F$15,$M226-$A$15,BG$13)))</f>
        <v>5</v>
      </c>
      <c r="BH226" s="171">
        <f ca="1">IF(OR($D226&lt;&gt;"Serviço",AND(AUTOEVENTO="Manual",$M226=$A$15)),0,
         IF(OFFSET(CRONOPLE!$F$15,$M226-$A$15,BH$13)=0,10^12,OFFSET(CRONOPLE!$F$15,$M226-$A$15,BH$13)))</f>
        <v>6</v>
      </c>
      <c r="BI226" s="171">
        <f ca="1">IF(OR($D226&lt;&gt;"Serviço",AND(AUTOEVENTO="Manual",$M226=$A$15)),0,
         IF(OFFSET(CRONOPLE!$F$15,$M226-$A$15,BI$13)=0,10^12,OFFSET(CRONOPLE!$F$15,$M226-$A$15,BI$13)))</f>
        <v>7</v>
      </c>
      <c r="BJ226" s="171">
        <f ca="1">IF(OR($D226&lt;&gt;"Serviço",AND(AUTOEVENTO="Manual",$M226=$A$15)),0,
         IF(OFFSET(CRONOPLE!$F$15,$M226-$A$15,BJ$13)=0,10^12,OFFSET(CRONOPLE!$F$15,$M226-$A$15,BJ$13)))</f>
        <v>8</v>
      </c>
      <c r="BK226" s="171">
        <f ca="1">IF(OR($D226&lt;&gt;"Serviço",AND(AUTOEVENTO="Manual",$M226=$A$15)),0,
         IF(OFFSET(CRONOPLE!$F$15,$M226-$A$15,BK$13)=0,10^12,OFFSET(CRONOPLE!$F$15,$M226-$A$15,BK$13)))</f>
        <v>9</v>
      </c>
      <c r="BL226" s="171">
        <f ca="1">IF(OR($D226&lt;&gt;"Serviço",AND(AUTOEVENTO="Manual",$M226=$A$15)),0,
         IF(OFFSET(CRONOPLE!$F$15,$M226-$A$15,BL$13)=0,10^12,OFFSET(CRONOPLE!$F$15,$M226-$A$15,BL$13)))</f>
        <v>10</v>
      </c>
      <c r="BM226" s="171">
        <f ca="1">IF(OR($D226&lt;&gt;"Serviço",AND(AUTOEVENTO="Manual",$M226=$A$15)),0,
         IF(OFFSET(CRONOPLE!$F$15,$M226-$A$15,BM$13)=0,10^12,OFFSET(CRONOPLE!$F$15,$M226-$A$15,BM$13)))</f>
        <v>1000000000000</v>
      </c>
      <c r="BN226" s="171">
        <f ca="1">IF(OR($D226&lt;&gt;"Serviço",AND(AUTOEVENTO="Manual",$M226=$A$15)),0,
         IF(OFFSET(CRONOPLE!$F$15,$M226-$A$15,BN$13)=0,10^12,OFFSET(CRONOPLE!$F$15,$M226-$A$15,BN$13)))</f>
        <v>1000000000000</v>
      </c>
      <c r="BO226" s="171">
        <f ca="1">IF(OR($D226&lt;&gt;"Serviço",AND(AUTOEVENTO="Manual",$M226=$A$15)),0,
         IF(OFFSET(CRONOPLE!$F$15,$M226-$A$15,BO$13)=0,10^12,OFFSET(CRONOPLE!$F$15,$M226-$A$15,BO$13)))</f>
        <v>1000000000000</v>
      </c>
      <c r="BP226" s="171">
        <f ca="1">IF(OR($D226&lt;&gt;"Serviço",AND(AUTOEVENTO="Manual",$M226=$A$15)),0,
         IF(OFFSET(CRONOPLE!$F$15,$M226-$A$15,BP$13)=0,10^12,OFFSET(CRONOPLE!$F$15,$M226-$A$15,BP$13)))</f>
        <v>1000000000000</v>
      </c>
      <c r="BQ226" s="171">
        <f ca="1">IF(OR($D226&lt;&gt;"Serviço",AND(AUTOEVENTO="Manual",$M226=$A$15)),0,
         IF(OFFSET(CRONOPLE!$F$15,$M226-$A$15,BQ$13)=0,10^12,OFFSET(CRONOPLE!$F$15,$M226-$A$15,BQ$13)))</f>
        <v>1000000000000</v>
      </c>
      <c r="BR226" s="171">
        <f ca="1">IF(OR($D226&lt;&gt;"Serviço",AND(AUTOEVENTO="Manual",$M226=$A$15)),0,
         IF(OFFSET(CRONOPLE!$F$15,$M226-$A$15,BR$13)=0,10^12,OFFSET(CRONOPLE!$F$15,$M226-$A$15,BR$13)))</f>
        <v>1000000000000</v>
      </c>
      <c r="BS226" s="171">
        <f ca="1">IF(OR($D226&lt;&gt;"Serviço",AND(AUTOEVENTO="Manual",$M226=$A$15)),0,
         IF(OFFSET(CRONOPLE!$F$15,$M226-$A$15,BS$13)=0,10^12,OFFSET(CRONOPLE!$F$15,$M226-$A$15,BS$13)))</f>
        <v>1000000000000</v>
      </c>
      <c r="BT226" s="171">
        <f ca="1">IF(OR($D226&lt;&gt;"Serviço",AND(AUTOEVENTO="Manual",$M226=$A$15)),0,
         IF(OFFSET(CRONOPLE!$F$15,$M226-$A$15,BT$13)=0,10^12,OFFSET(CRONOPLE!$F$15,$M226-$A$15,BT$13)))</f>
        <v>1000000000000</v>
      </c>
      <c r="BV226" s="172">
        <f ca="1">IF(OR($D226&lt;&gt;"Serviço",AND(AUTOEVENTO="Manual",$M226=$A$15),$M226&gt;(ROW(PLE.lastrow)-ROW(PLE.firstrow))),0,
           IF(OFFSET(PLE!$G$15,$M226-$A$15,BV$13)="",10^12,OFFSET(PLE!$G$15,$M226-$A$15,BV$13)))</f>
        <v>1000000000000</v>
      </c>
      <c r="BW226" s="172">
        <f ca="1">IF(OR($D226&lt;&gt;"Serviço",AND(AUTOEVENTO="Manual",$M226=$A$15),$M226&gt;(ROW(PLE.lastrow)-ROW(PLE.firstrow))),0,
           IF(OFFSET(PLE!$G$15,$M226-$A$15,BW$13)="",10^12,OFFSET(PLE!$G$15,$M226-$A$15,BW$13)))</f>
        <v>1000000000000</v>
      </c>
      <c r="BX226" s="172">
        <f ca="1">IF(OR($D226&lt;&gt;"Serviço",AND(AUTOEVENTO="Manual",$M226=$A$15),$M226&gt;(ROW(PLE.lastrow)-ROW(PLE.firstrow))),0,
           IF(OFFSET(PLE!$G$15,$M226-$A$15,BX$13)="",10^12,OFFSET(PLE!$G$15,$M226-$A$15,BX$13)))</f>
        <v>1000000000000</v>
      </c>
      <c r="BY226" s="172">
        <f ca="1">IF(OR($D226&lt;&gt;"Serviço",AND(AUTOEVENTO="Manual",$M226=$A$15),$M226&gt;(ROW(PLE.lastrow)-ROW(PLE.firstrow))),0,
           IF(OFFSET(PLE!$G$15,$M226-$A$15,BY$13)="",10^12,OFFSET(PLE!$G$15,$M226-$A$15,BY$13)))</f>
        <v>1000000000000</v>
      </c>
      <c r="BZ226" s="172">
        <f ca="1">IF(OR($D226&lt;&gt;"Serviço",AND(AUTOEVENTO="Manual",$M226=$A$15),$M226&gt;(ROW(PLE.lastrow)-ROW(PLE.firstrow))),0,
           IF(OFFSET(PLE!$G$15,$M226-$A$15,BZ$13)="",10^12,OFFSET(PLE!$G$15,$M226-$A$15,BZ$13)))</f>
        <v>1000000000000</v>
      </c>
      <c r="CA226" s="172">
        <f ca="1">IF(OR($D226&lt;&gt;"Serviço",AND(AUTOEVENTO="Manual",$M226=$A$15),$M226&gt;(ROW(PLE.lastrow)-ROW(PLE.firstrow))),0,
           IF(OFFSET(PLE!$G$15,$M226-$A$15,CA$13)="",10^12,OFFSET(PLE!$G$15,$M226-$A$15,CA$13)))</f>
        <v>1000000000000</v>
      </c>
      <c r="CB226" s="172">
        <f ca="1">IF(OR($D226&lt;&gt;"Serviço",AND(AUTOEVENTO="Manual",$M226=$A$15),$M226&gt;(ROW(PLE.lastrow)-ROW(PLE.firstrow))),0,
           IF(OFFSET(PLE!$G$15,$M226-$A$15,CB$13)="",10^12,OFFSET(PLE!$G$15,$M226-$A$15,CB$13)))</f>
        <v>1000000000000</v>
      </c>
      <c r="CC226" s="172">
        <f ca="1">IF(OR($D226&lt;&gt;"Serviço",AND(AUTOEVENTO="Manual",$M226=$A$15),$M226&gt;(ROW(PLE.lastrow)-ROW(PLE.firstrow))),0,
           IF(OFFSET(PLE!$G$15,$M226-$A$15,CC$13)="",10^12,OFFSET(PLE!$G$15,$M226-$A$15,CC$13)))</f>
        <v>1000000000000</v>
      </c>
      <c r="CD226" s="172">
        <f ca="1">IF(OR($D226&lt;&gt;"Serviço",AND(AUTOEVENTO="Manual",$M226=$A$15),$M226&gt;(ROW(PLE.lastrow)-ROW(PLE.firstrow))),0,
           IF(OFFSET(PLE!$G$15,$M226-$A$15,CD$13)="",10^12,OFFSET(PLE!$G$15,$M226-$A$15,CD$13)))</f>
        <v>1000000000000</v>
      </c>
      <c r="CE226" s="172">
        <f ca="1">IF(OR($D226&lt;&gt;"Serviço",AND(AUTOEVENTO="Manual",$M226=$A$15),$M226&gt;(ROW(PLE.lastrow)-ROW(PLE.firstrow))),0,
           IF(OFFSET(PLE!$G$15,$M226-$A$15,CE$13)="",10^12,OFFSET(PLE!$G$15,$M226-$A$15,CE$13)))</f>
        <v>1000000000000</v>
      </c>
      <c r="CF226" s="172">
        <f ca="1">IF(OR($D226&lt;&gt;"Serviço",AND(AUTOEVENTO="Manual",$M226=$A$15),$M226&gt;(ROW(PLE.lastrow)-ROW(PLE.firstrow))),0,
           IF(OFFSET(PLE!$G$15,$M226-$A$15,CF$13)="",10^12,OFFSET(PLE!$G$15,$M226-$A$15,CF$13)))</f>
        <v>1000000000000</v>
      </c>
      <c r="CG226" s="172">
        <f ca="1">IF(OR($D226&lt;&gt;"Serviço",AND(AUTOEVENTO="Manual",$M226=$A$15),$M226&gt;(ROW(PLE.lastrow)-ROW(PLE.firstrow))),0,
           IF(OFFSET(PLE!$G$15,$M226-$A$15,CG$13)="",10^12,OFFSET(PLE!$G$15,$M226-$A$15,CG$13)))</f>
        <v>1000000000000</v>
      </c>
      <c r="CH226" s="172">
        <f ca="1">IF(OR($D226&lt;&gt;"Serviço",AND(AUTOEVENTO="Manual",$M226=$A$15),$M226&gt;(ROW(PLE.lastrow)-ROW(PLE.firstrow))),0,
           IF(OFFSET(PLE!$G$15,$M226-$A$15,CH$13)="",10^12,OFFSET(PLE!$G$15,$M226-$A$15,CH$13)))</f>
        <v>1000000000000</v>
      </c>
      <c r="CI226" s="172">
        <f ca="1">IF(OR($D226&lt;&gt;"Serviço",AND(AUTOEVENTO="Manual",$M226=$A$15),$M226&gt;(ROW(PLE.lastrow)-ROW(PLE.firstrow))),0,
           IF(OFFSET(PLE!$G$15,$M226-$A$15,CI$13)="",10^12,OFFSET(PLE!$G$15,$M226-$A$15,CI$13)))</f>
        <v>1000000000000</v>
      </c>
      <c r="CJ226" s="172">
        <f ca="1">IF(OR($D226&lt;&gt;"Serviço",AND(AUTOEVENTO="Manual",$M226=$A$15),$M226&gt;(ROW(PLE.lastrow)-ROW(PLE.firstrow))),0,
           IF(OFFSET(PLE!$G$15,$M226-$A$15,CJ$13)="",10^12,OFFSET(PLE!$G$15,$M226-$A$15,CJ$13)))</f>
        <v>1000000000000</v>
      </c>
      <c r="CK226" s="172">
        <f ca="1">IF(OR($D226&lt;&gt;"Serviço",AND(AUTOEVENTO="Manual",$M226=$A$15),$M226&gt;(ROW(PLE.lastrow)-ROW(PLE.firstrow))),0,
           IF(OFFSET(PLE!$G$15,$M226-$A$15,CK$13)="",10^12,OFFSET(PLE!$G$15,$M226-$A$15,CK$13)))</f>
        <v>1000000000000</v>
      </c>
      <c r="CL226" s="172">
        <f ca="1">IF(OR($D226&lt;&gt;"Serviço",AND(AUTOEVENTO="Manual",$M226=$A$15),$M226&gt;(ROW(PLE.lastrow)-ROW(PLE.firstrow))),0,
           IF(OFFSET(PLE!$G$15,$M226-$A$15,CL$13)="",10^12,OFFSET(PLE!$G$15,$M226-$A$15,CL$13)))</f>
        <v>1000000000000</v>
      </c>
      <c r="CM226" s="172">
        <f ca="1">IF(OR($D226&lt;&gt;"Serviço",AND(AUTOEVENTO="Manual",$M226=$A$15),$M226&gt;(ROW(PLE.lastrow)-ROW(PLE.firstrow))),0,
           IF(OFFSET(PLE!$G$15,$M226-$A$15,CM$13)="",10^12,OFFSET(PLE!$G$15,$M226-$A$15,CM$13)))</f>
        <v>1000000000000</v>
      </c>
    </row>
    <row r="227" spans="1:91" ht="76.5" x14ac:dyDescent="0.2">
      <c r="A227" s="7">
        <f t="shared" ca="1" si="13"/>
        <v>5</v>
      </c>
      <c r="B227" s="7" t="str">
        <f ca="1">OFFSET(ORÇAMENTO!C$15,ROW(B227)-ROW(B$15),0)</f>
        <v>S</v>
      </c>
      <c r="C227" s="7" t="str">
        <f ca="1">OFFSET(ORÇAMENTO!L$15,ROW(C227)-ROW(C$15),0)</f>
        <v>F</v>
      </c>
      <c r="D227" s="116" t="str">
        <f ca="1">OFFSET(ORÇAMENTO!N$15,ROW(D227)-ROW(D$15),0)</f>
        <v>Serviço</v>
      </c>
      <c r="E227" s="117" t="str">
        <f ca="1">OFFSET(ORÇAMENTO!O$15,ROW(E227)-ROW(E$15),0)</f>
        <v>1.6.2.0.3.</v>
      </c>
      <c r="F227" s="163" t="str">
        <f ca="1">OFFSET(ORÇAMENTO!R$15,ROW(F227)-ROW(F$15),0)</f>
        <v>PARAFUSO AUTO-BROCANTE 12-14X3/4, FORNECIMENTO E INSTALAÇÃO - BASEADO EM ORSE (11035)</v>
      </c>
      <c r="G227" s="164" t="str">
        <f ca="1">IF($D227&lt;&gt;"Serviço","",OFFSET(ORÇAMENTO!S$15,ROW(G227)-ROW(G$15),0))</f>
        <v>UN</v>
      </c>
      <c r="H227" s="122" cm="1">
        <f t="array" aca="1" ref="H227" ca="1">IF($D227&lt;&gt;"Serviço",0,IF(ACOMPANHAMENTO="BM",ROUND(OFFSET(ORÇAMENTO!AJ$15,ROW(H227)-ROW(H$15),0),15-13*ORÇAMENTO!$AF$7),SUMPRODUCT(($Q$1:$AI$1=1)*ROUND($Q227:$AI227,15-13*ORÇAMENTO!$AF$7))))</f>
        <v>90</v>
      </c>
      <c r="I227" s="468" t="s">
        <v>1344</v>
      </c>
      <c r="J227" s="640" t="str" cm="1">
        <f t="array" aca="1" ref="J227" ca="1">IF(OR(B227&lt;&gt;"S",CÁLCULO.FrentesPreenchidas=0),"",IF(AND(ACOMPANHAMENTO="PLE",AUTOEVENTO="Manual",OR(H227&gt;0,ORÇAMENTO!AC227="QUANT."),OR(K227="",M227=0,N227="")),"►E",IF(AND(ACOMPANHAMENTO="PLE",ORÇAMENTO!AC227="QUANT."),"►Q",IF(AND(ACOMPANHAMENTO="PLE",H227&lt;&gt;SUMPRODUCT(($Q$1:$AI$1=1)*ROUND(Q227:AI227,15))),"►S",IF(AND(COUNTIF($P$11:$AI$11,"▼")=0,H227&gt;0,I227=""),"◄M","")))))</f>
        <v/>
      </c>
      <c r="K227" s="641" t="s">
        <v>1390</v>
      </c>
      <c r="L227" s="165" t="s">
        <v>764</v>
      </c>
      <c r="M227" s="166">
        <f ca="1">IF($D227&lt;&gt;"Serviço","",
          IF(AUTOEVENTO="manual",$A227,
                IF(ISERROR(MATCH($A227,$A$15:OFFSET($A227,-1,0),0)),MAX($M$15:OFFSET(M227,-1,0))+1,
                      INDEX($M$15:OFFSET(M227,-1,0),MATCH($A227,$A$15:OFFSET($A227,-1,0),0)))))</f>
        <v>5</v>
      </c>
      <c r="N227" s="167" t="str">
        <f ca="1">IF($D227&lt;&gt;"Serviço","",
         IF(AUTOEVENTO="Manual",
                IF($A227=0,"&lt;-- defina o número do agrupador",
                       OFFSET(EVENTOS!$D$15,$A227-$A$15,0)),
                OFFSET($F$15,$A227,0)))</f>
        <v>Estrutura Metálica</v>
      </c>
      <c r="O227" s="168"/>
      <c r="Q227" s="168"/>
      <c r="R227" s="169"/>
      <c r="S227" s="169"/>
      <c r="T227" s="169"/>
      <c r="U227" s="169"/>
      <c r="V227" s="169"/>
      <c r="W227" s="169">
        <v>90</v>
      </c>
      <c r="X227" s="169"/>
      <c r="Y227" s="169"/>
      <c r="Z227" s="170"/>
      <c r="AA227" s="169"/>
      <c r="AB227" s="169"/>
      <c r="AC227" s="169"/>
      <c r="AD227" s="169"/>
      <c r="AE227" s="169"/>
      <c r="AF227" s="169"/>
      <c r="AG227" s="169"/>
      <c r="AH227" s="170"/>
      <c r="AJ227" s="453">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0</v>
      </c>
      <c r="AK227" s="453">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0</v>
      </c>
      <c r="AL227" s="453">
        <f ca="1">IF(AND($D227="Serviço",AL$12&lt;&gt;0,$H227&gt;0,OR(AUTOEVENTO&lt;&gt;"manual",$M227&lt;&gt;$A$15)),
        IF(Import.TipoArredondamento&lt;&gt;"TransfereGOV",
              ROUND(OFFSET($P227,0,AL$13),15-13*ORÇAMENTO!$AF$7)/$H227*OFFSET(ORÇAMENTO!$X$15,ROW(AL227)-ROW(AL$15),0),
              ROUND(ROUND(OFFSET($P227,0,AL$13),15-13*ORÇAMENTO!$AF$7)*OFFSET(ORÇAMENTO!$W$15,ROW(AL227)-ROW(AL$15),0),15-13*ORÇAMENTO!$AF$11)),
         0)</f>
        <v>0</v>
      </c>
      <c r="AM227" s="453">
        <f ca="1">IF(AND($D227="Serviço",AM$12&lt;&gt;0,$H227&gt;0,OR(AUTOEVENTO&lt;&gt;"manual",$M227&lt;&gt;$A$15)),
        IF(Import.TipoArredondamento&lt;&gt;"TransfereGOV",
              ROUND(OFFSET($P227,0,AM$13),15-13*ORÇAMENTO!$AF$7)/$H227*OFFSET(ORÇAMENTO!$X$15,ROW(AM227)-ROW(AM$15),0),
              ROUND(ROUND(OFFSET($P227,0,AM$13),15-13*ORÇAMENTO!$AF$7)*OFFSET(ORÇAMENTO!$W$15,ROW(AM227)-ROW(AM$15),0),15-13*ORÇAMENTO!$AF$11)),
         0)</f>
        <v>0</v>
      </c>
      <c r="AN227" s="453">
        <f ca="1">IF(AND($D227="Serviço",AN$12&lt;&gt;0,$H227&gt;0,OR(AUTOEVENTO&lt;&gt;"manual",$M227&lt;&gt;$A$15)),
        IF(Import.TipoArredondamento&lt;&gt;"TransfereGOV",
              ROUND(OFFSET($P227,0,AN$13),15-13*ORÇAMENTO!$AF$7)/$H227*OFFSET(ORÇAMENTO!$X$15,ROW(AN227)-ROW(AN$15),0),
              ROUND(ROUND(OFFSET($P227,0,AN$13),15-13*ORÇAMENTO!$AF$7)*OFFSET(ORÇAMENTO!$W$15,ROW(AN227)-ROW(AN$15),0),15-13*ORÇAMENTO!$AF$11)),
         0)</f>
        <v>0</v>
      </c>
      <c r="AO227" s="453">
        <f ca="1">IF(AND($D227="Serviço",AO$12&lt;&gt;0,$H227&gt;0,OR(AUTOEVENTO&lt;&gt;"manual",$M227&lt;&gt;$A$15)),
        IF(Import.TipoArredondamento&lt;&gt;"TransfereGOV",
              ROUND(OFFSET($P227,0,AO$13),15-13*ORÇAMENTO!$AF$7)/$H227*OFFSET(ORÇAMENTO!$X$15,ROW(AO227)-ROW(AO$15),0),
              ROUND(ROUND(OFFSET($P227,0,AO$13),15-13*ORÇAMENTO!$AF$7)*OFFSET(ORÇAMENTO!$W$15,ROW(AO227)-ROW(AO$15),0),15-13*ORÇAMENTO!$AF$11)),
         0)</f>
        <v>0</v>
      </c>
      <c r="AP227" s="453">
        <f ca="1">IF(AND($D227="Serviço",AP$12&lt;&gt;0,$H227&gt;0,OR(AUTOEVENTO&lt;&gt;"manual",$M227&lt;&gt;$A$15)),
        IF(Import.TipoArredondamento&lt;&gt;"TransfereGOV",
              ROUND(OFFSET($P227,0,AP$13),15-13*ORÇAMENTO!$AF$7)/$H227*OFFSET(ORÇAMENTO!$X$15,ROW(AP227)-ROW(AP$15),0),
              ROUND(ROUND(OFFSET($P227,0,AP$13),15-13*ORÇAMENTO!$AF$7)*OFFSET(ORÇAMENTO!$W$15,ROW(AP227)-ROW(AP$15),0),15-13*ORÇAMENTO!$AF$11)),
         0)</f>
        <v>0</v>
      </c>
      <c r="AQ227" s="453">
        <f ca="1">IF(AND($D227="Serviço",AQ$12&lt;&gt;0,$H227&gt;0,OR(AUTOEVENTO&lt;&gt;"manual",$M227&lt;&gt;$A$15)),
        IF(Import.TipoArredondamento&lt;&gt;"TransfereGOV",
              ROUND(OFFSET($P227,0,AQ$13),15-13*ORÇAMENTO!$AF$7)/$H227*OFFSET(ORÇAMENTO!$X$15,ROW(AQ227)-ROW(AQ$15),0),
              ROUND(ROUND(OFFSET($P227,0,AQ$13),15-13*ORÇAMENTO!$AF$7)*OFFSET(ORÇAMENTO!$W$15,ROW(AQ227)-ROW(AQ$15),0),15-13*ORÇAMENTO!$AF$11)),
         0)</f>
        <v>0</v>
      </c>
      <c r="AR227" s="453">
        <f ca="1">IF(AND($D227="Serviço",AR$12&lt;&gt;0,$H227&gt;0,OR(AUTOEVENTO&lt;&gt;"manual",$M227&lt;&gt;$A$15)),
        IF(Import.TipoArredondamento&lt;&gt;"TransfereGOV",
              ROUND(OFFSET($P227,0,AR$13),15-13*ORÇAMENTO!$AF$7)/$H227*OFFSET(ORÇAMENTO!$X$15,ROW(AR227)-ROW(AR$15),0),
              ROUND(ROUND(OFFSET($P227,0,AR$13),15-13*ORÇAMENTO!$AF$7)*OFFSET(ORÇAMENTO!$W$15,ROW(AR227)-ROW(AR$15),0),15-13*ORÇAMENTO!$AF$11)),
         0)</f>
        <v>0</v>
      </c>
      <c r="AS227" s="453">
        <f ca="1">IF(AND($D227="Serviço",AS$12&lt;&gt;0,$H227&gt;0,OR(AUTOEVENTO&lt;&gt;"manual",$M227&lt;&gt;$A$15)),
        IF(Import.TipoArredondamento&lt;&gt;"TransfereGOV",
              ROUND(OFFSET($P227,0,AS$13),15-13*ORÇAMENTO!$AF$7)/$H227*OFFSET(ORÇAMENTO!$X$15,ROW(AS227)-ROW(AS$15),0),
              ROUND(ROUND(OFFSET($P227,0,AS$13),15-13*ORÇAMENTO!$AF$7)*OFFSET(ORÇAMENTO!$W$15,ROW(AS227)-ROW(AS$15),0),15-13*ORÇAMENTO!$AF$11)),
         0)</f>
        <v>0</v>
      </c>
      <c r="AT227" s="453">
        <f ca="1">IF(AND($D227="Serviço",AT$12&lt;&gt;0,$H227&gt;0,OR(AUTOEVENTO&lt;&gt;"manual",$M227&lt;&gt;$A$15)),
        IF(Import.TipoArredondamento&lt;&gt;"TransfereGOV",
              ROUND(OFFSET($P227,0,AT$13),15-13*ORÇAMENTO!$AF$7)/$H227*OFFSET(ORÇAMENTO!$X$15,ROW(AT227)-ROW(AT$15),0),
              ROUND(ROUND(OFFSET($P227,0,AT$13),15-13*ORÇAMENTO!$AF$7)*OFFSET(ORÇAMENTO!$W$15,ROW(AT227)-ROW(AT$15),0),15-13*ORÇAMENTO!$AF$11)),
         0)</f>
        <v>0</v>
      </c>
      <c r="AU227" s="453">
        <f ca="1">IF(AND($D227="Serviço",AU$12&lt;&gt;0,$H227&gt;0,OR(AUTOEVENTO&lt;&gt;"manual",$M227&lt;&gt;$A$15)),
        IF(Import.TipoArredondamento&lt;&gt;"TransfereGOV",
              ROUND(OFFSET($P227,0,AU$13),15-13*ORÇAMENTO!$AF$7)/$H227*OFFSET(ORÇAMENTO!$X$15,ROW(AU227)-ROW(AU$15),0),
              ROUND(ROUND(OFFSET($P227,0,AU$13),15-13*ORÇAMENTO!$AF$7)*OFFSET(ORÇAMENTO!$W$15,ROW(AU227)-ROW(AU$15),0),15-13*ORÇAMENTO!$AF$11)),
         0)</f>
        <v>0</v>
      </c>
      <c r="AV227" s="453">
        <f ca="1">IF(AND($D227="Serviço",AV$12&lt;&gt;0,$H227&gt;0,OR(AUTOEVENTO&lt;&gt;"manual",$M227&lt;&gt;$A$15)),
        IF(Import.TipoArredondamento&lt;&gt;"TransfereGOV",
              ROUND(OFFSET($P227,0,AV$13),15-13*ORÇAMENTO!$AF$7)/$H227*OFFSET(ORÇAMENTO!$X$15,ROW(AV227)-ROW(AV$15),0),
              ROUND(ROUND(OFFSET($P227,0,AV$13),15-13*ORÇAMENTO!$AF$7)*OFFSET(ORÇAMENTO!$W$15,ROW(AV227)-ROW(AV$15),0),15-13*ORÇAMENTO!$AF$11)),
         0)</f>
        <v>0</v>
      </c>
      <c r="AW227" s="453">
        <f ca="1">IF(AND($D227="Serviço",AW$12&lt;&gt;0,$H227&gt;0,OR(AUTOEVENTO&lt;&gt;"manual",$M227&lt;&gt;$A$15)),
        IF(Import.TipoArredondamento&lt;&gt;"TransfereGOV",
              ROUND(OFFSET($P227,0,AW$13),15-13*ORÇAMENTO!$AF$7)/$H227*OFFSET(ORÇAMENTO!$X$15,ROW(AW227)-ROW(AW$15),0),
              ROUND(ROUND(OFFSET($P227,0,AW$13),15-13*ORÇAMENTO!$AF$7)*OFFSET(ORÇAMENTO!$W$15,ROW(AW227)-ROW(AW$15),0),15-13*ORÇAMENTO!$AF$11)),
         0)</f>
        <v>0</v>
      </c>
      <c r="AX227" s="453">
        <f ca="1">IF(AND($D227="Serviço",AX$12&lt;&gt;0,$H227&gt;0,OR(AUTOEVENTO&lt;&gt;"manual",$M227&lt;&gt;$A$15)),
        IF(Import.TipoArredondamento&lt;&gt;"TransfereGOV",
              ROUND(OFFSET($P227,0,AX$13),15-13*ORÇAMENTO!$AF$7)/$H227*OFFSET(ORÇAMENTO!$X$15,ROW(AX227)-ROW(AX$15),0),
              ROUND(ROUND(OFFSET($P227,0,AX$13),15-13*ORÇAMENTO!$AF$7)*OFFSET(ORÇAMENTO!$W$15,ROW(AX227)-ROW(AX$15),0),15-13*ORÇAMENTO!$AF$11)),
         0)</f>
        <v>0</v>
      </c>
      <c r="AY227" s="453">
        <f ca="1">IF(AND($D227="Serviço",AY$12&lt;&gt;0,$H227&gt;0,OR(AUTOEVENTO&lt;&gt;"manual",$M227&lt;&gt;$A$15)),
        IF(Import.TipoArredondamento&lt;&gt;"TransfereGOV",
              ROUND(OFFSET($P227,0,AY$13),15-13*ORÇAMENTO!$AF$7)/$H227*OFFSET(ORÇAMENTO!$X$15,ROW(AY227)-ROW(AY$15),0),
              ROUND(ROUND(OFFSET($P227,0,AY$13),15-13*ORÇAMENTO!$AF$7)*OFFSET(ORÇAMENTO!$W$15,ROW(AY227)-ROW(AY$15),0),15-13*ORÇAMENTO!$AF$11)),
         0)</f>
        <v>0</v>
      </c>
      <c r="AZ227" s="453">
        <f ca="1">IF(AND($D227="Serviço",AZ$12&lt;&gt;0,$H227&gt;0,OR(AUTOEVENTO&lt;&gt;"manual",$M227&lt;&gt;$A$15)),
        IF(Import.TipoArredondamento&lt;&gt;"TransfereGOV",
              ROUND(OFFSET($P227,0,AZ$13),15-13*ORÇAMENTO!$AF$7)/$H227*OFFSET(ORÇAMENTO!$X$15,ROW(AZ227)-ROW(AZ$15),0),
              ROUND(ROUND(OFFSET($P227,0,AZ$13),15-13*ORÇAMENTO!$AF$7)*OFFSET(ORÇAMENTO!$W$15,ROW(AZ227)-ROW(AZ$15),0),15-13*ORÇAMENTO!$AF$11)),
         0)</f>
        <v>0</v>
      </c>
      <c r="BA227" s="453">
        <f ca="1">IF(AND($D227="Serviço",BA$12&lt;&gt;0,$H227&gt;0,OR(AUTOEVENTO&lt;&gt;"manual",$M227&lt;&gt;$A$15)),
        IF(Import.TipoArredondamento&lt;&gt;"TransfereGOV",
              ROUND(OFFSET($P227,0,BA$13),15-13*ORÇAMENTO!$AF$7)/$H227*OFFSET(ORÇAMENTO!$X$15,ROW(BA227)-ROW(BA$15),0),
              ROUND(ROUND(OFFSET($P227,0,BA$13),15-13*ORÇAMENTO!$AF$7)*OFFSET(ORÇAMENTO!$W$15,ROW(BA227)-ROW(BA$15),0),15-13*ORÇAMENTO!$AF$11)),
         0)</f>
        <v>0</v>
      </c>
      <c r="BC227" s="171">
        <f ca="1">IF(OR($D227&lt;&gt;"Serviço",AND(AUTOEVENTO="Manual",$M227=$A$15)),0,
         IF(OFFSET(CRONOPLE!$F$15,$M227-$A$15,BC$13)=0,10^12,OFFSET(CRONOPLE!$F$15,$M227-$A$15,BC$13)))</f>
        <v>1</v>
      </c>
      <c r="BD227" s="171">
        <f ca="1">IF(OR($D227&lt;&gt;"Serviço",AND(AUTOEVENTO="Manual",$M227=$A$15)),0,
         IF(OFFSET(CRONOPLE!$F$15,$M227-$A$15,BD$13)=0,10^12,OFFSET(CRONOPLE!$F$15,$M227-$A$15,BD$13)))</f>
        <v>2</v>
      </c>
      <c r="BE227" s="171">
        <f ca="1">IF(OR($D227&lt;&gt;"Serviço",AND(AUTOEVENTO="Manual",$M227=$A$15)),0,
         IF(OFFSET(CRONOPLE!$F$15,$M227-$A$15,BE$13)=0,10^12,OFFSET(CRONOPLE!$F$15,$M227-$A$15,BE$13)))</f>
        <v>3</v>
      </c>
      <c r="BF227" s="171">
        <f ca="1">IF(OR($D227&lt;&gt;"Serviço",AND(AUTOEVENTO="Manual",$M227=$A$15)),0,
         IF(OFFSET(CRONOPLE!$F$15,$M227-$A$15,BF$13)=0,10^12,OFFSET(CRONOPLE!$F$15,$M227-$A$15,BF$13)))</f>
        <v>4</v>
      </c>
      <c r="BG227" s="171">
        <f ca="1">IF(OR($D227&lt;&gt;"Serviço",AND(AUTOEVENTO="Manual",$M227=$A$15)),0,
         IF(OFFSET(CRONOPLE!$F$15,$M227-$A$15,BG$13)=0,10^12,OFFSET(CRONOPLE!$F$15,$M227-$A$15,BG$13)))</f>
        <v>5</v>
      </c>
      <c r="BH227" s="171">
        <f ca="1">IF(OR($D227&lt;&gt;"Serviço",AND(AUTOEVENTO="Manual",$M227=$A$15)),0,
         IF(OFFSET(CRONOPLE!$F$15,$M227-$A$15,BH$13)=0,10^12,OFFSET(CRONOPLE!$F$15,$M227-$A$15,BH$13)))</f>
        <v>6</v>
      </c>
      <c r="BI227" s="171">
        <f ca="1">IF(OR($D227&lt;&gt;"Serviço",AND(AUTOEVENTO="Manual",$M227=$A$15)),0,
         IF(OFFSET(CRONOPLE!$F$15,$M227-$A$15,BI$13)=0,10^12,OFFSET(CRONOPLE!$F$15,$M227-$A$15,BI$13)))</f>
        <v>7</v>
      </c>
      <c r="BJ227" s="171">
        <f ca="1">IF(OR($D227&lt;&gt;"Serviço",AND(AUTOEVENTO="Manual",$M227=$A$15)),0,
         IF(OFFSET(CRONOPLE!$F$15,$M227-$A$15,BJ$13)=0,10^12,OFFSET(CRONOPLE!$F$15,$M227-$A$15,BJ$13)))</f>
        <v>8</v>
      </c>
      <c r="BK227" s="171">
        <f ca="1">IF(OR($D227&lt;&gt;"Serviço",AND(AUTOEVENTO="Manual",$M227=$A$15)),0,
         IF(OFFSET(CRONOPLE!$F$15,$M227-$A$15,BK$13)=0,10^12,OFFSET(CRONOPLE!$F$15,$M227-$A$15,BK$13)))</f>
        <v>9</v>
      </c>
      <c r="BL227" s="171">
        <f ca="1">IF(OR($D227&lt;&gt;"Serviço",AND(AUTOEVENTO="Manual",$M227=$A$15)),0,
         IF(OFFSET(CRONOPLE!$F$15,$M227-$A$15,BL$13)=0,10^12,OFFSET(CRONOPLE!$F$15,$M227-$A$15,BL$13)))</f>
        <v>10</v>
      </c>
      <c r="BM227" s="171">
        <f ca="1">IF(OR($D227&lt;&gt;"Serviço",AND(AUTOEVENTO="Manual",$M227=$A$15)),0,
         IF(OFFSET(CRONOPLE!$F$15,$M227-$A$15,BM$13)=0,10^12,OFFSET(CRONOPLE!$F$15,$M227-$A$15,BM$13)))</f>
        <v>1000000000000</v>
      </c>
      <c r="BN227" s="171">
        <f ca="1">IF(OR($D227&lt;&gt;"Serviço",AND(AUTOEVENTO="Manual",$M227=$A$15)),0,
         IF(OFFSET(CRONOPLE!$F$15,$M227-$A$15,BN$13)=0,10^12,OFFSET(CRONOPLE!$F$15,$M227-$A$15,BN$13)))</f>
        <v>1000000000000</v>
      </c>
      <c r="BO227" s="171">
        <f ca="1">IF(OR($D227&lt;&gt;"Serviço",AND(AUTOEVENTO="Manual",$M227=$A$15)),0,
         IF(OFFSET(CRONOPLE!$F$15,$M227-$A$15,BO$13)=0,10^12,OFFSET(CRONOPLE!$F$15,$M227-$A$15,BO$13)))</f>
        <v>1000000000000</v>
      </c>
      <c r="BP227" s="171">
        <f ca="1">IF(OR($D227&lt;&gt;"Serviço",AND(AUTOEVENTO="Manual",$M227=$A$15)),0,
         IF(OFFSET(CRONOPLE!$F$15,$M227-$A$15,BP$13)=0,10^12,OFFSET(CRONOPLE!$F$15,$M227-$A$15,BP$13)))</f>
        <v>1000000000000</v>
      </c>
      <c r="BQ227" s="171">
        <f ca="1">IF(OR($D227&lt;&gt;"Serviço",AND(AUTOEVENTO="Manual",$M227=$A$15)),0,
         IF(OFFSET(CRONOPLE!$F$15,$M227-$A$15,BQ$13)=0,10^12,OFFSET(CRONOPLE!$F$15,$M227-$A$15,BQ$13)))</f>
        <v>1000000000000</v>
      </c>
      <c r="BR227" s="171">
        <f ca="1">IF(OR($D227&lt;&gt;"Serviço",AND(AUTOEVENTO="Manual",$M227=$A$15)),0,
         IF(OFFSET(CRONOPLE!$F$15,$M227-$A$15,BR$13)=0,10^12,OFFSET(CRONOPLE!$F$15,$M227-$A$15,BR$13)))</f>
        <v>1000000000000</v>
      </c>
      <c r="BS227" s="171">
        <f ca="1">IF(OR($D227&lt;&gt;"Serviço",AND(AUTOEVENTO="Manual",$M227=$A$15)),0,
         IF(OFFSET(CRONOPLE!$F$15,$M227-$A$15,BS$13)=0,10^12,OFFSET(CRONOPLE!$F$15,$M227-$A$15,BS$13)))</f>
        <v>1000000000000</v>
      </c>
      <c r="BT227" s="171">
        <f ca="1">IF(OR($D227&lt;&gt;"Serviço",AND(AUTOEVENTO="Manual",$M227=$A$15)),0,
         IF(OFFSET(CRONOPLE!$F$15,$M227-$A$15,BT$13)=0,10^12,OFFSET(CRONOPLE!$F$15,$M227-$A$15,BT$13)))</f>
        <v>1000000000000</v>
      </c>
      <c r="BV227" s="172">
        <f ca="1">IF(OR($D227&lt;&gt;"Serviço",AND(AUTOEVENTO="Manual",$M227=$A$15),$M227&gt;(ROW(PLE.lastrow)-ROW(PLE.firstrow))),0,
           IF(OFFSET(PLE!$G$15,$M227-$A$15,BV$13)="",10^12,OFFSET(PLE!$G$15,$M227-$A$15,BV$13)))</f>
        <v>1000000000000</v>
      </c>
      <c r="BW227" s="172">
        <f ca="1">IF(OR($D227&lt;&gt;"Serviço",AND(AUTOEVENTO="Manual",$M227=$A$15),$M227&gt;(ROW(PLE.lastrow)-ROW(PLE.firstrow))),0,
           IF(OFFSET(PLE!$G$15,$M227-$A$15,BW$13)="",10^12,OFFSET(PLE!$G$15,$M227-$A$15,BW$13)))</f>
        <v>1000000000000</v>
      </c>
      <c r="BX227" s="172">
        <f ca="1">IF(OR($D227&lt;&gt;"Serviço",AND(AUTOEVENTO="Manual",$M227=$A$15),$M227&gt;(ROW(PLE.lastrow)-ROW(PLE.firstrow))),0,
           IF(OFFSET(PLE!$G$15,$M227-$A$15,BX$13)="",10^12,OFFSET(PLE!$G$15,$M227-$A$15,BX$13)))</f>
        <v>1000000000000</v>
      </c>
      <c r="BY227" s="172">
        <f ca="1">IF(OR($D227&lt;&gt;"Serviço",AND(AUTOEVENTO="Manual",$M227=$A$15),$M227&gt;(ROW(PLE.lastrow)-ROW(PLE.firstrow))),0,
           IF(OFFSET(PLE!$G$15,$M227-$A$15,BY$13)="",10^12,OFFSET(PLE!$G$15,$M227-$A$15,BY$13)))</f>
        <v>1000000000000</v>
      </c>
      <c r="BZ227" s="172">
        <f ca="1">IF(OR($D227&lt;&gt;"Serviço",AND(AUTOEVENTO="Manual",$M227=$A$15),$M227&gt;(ROW(PLE.lastrow)-ROW(PLE.firstrow))),0,
           IF(OFFSET(PLE!$G$15,$M227-$A$15,BZ$13)="",10^12,OFFSET(PLE!$G$15,$M227-$A$15,BZ$13)))</f>
        <v>1000000000000</v>
      </c>
      <c r="CA227" s="172">
        <f ca="1">IF(OR($D227&lt;&gt;"Serviço",AND(AUTOEVENTO="Manual",$M227=$A$15),$M227&gt;(ROW(PLE.lastrow)-ROW(PLE.firstrow))),0,
           IF(OFFSET(PLE!$G$15,$M227-$A$15,CA$13)="",10^12,OFFSET(PLE!$G$15,$M227-$A$15,CA$13)))</f>
        <v>1000000000000</v>
      </c>
      <c r="CB227" s="172">
        <f ca="1">IF(OR($D227&lt;&gt;"Serviço",AND(AUTOEVENTO="Manual",$M227=$A$15),$M227&gt;(ROW(PLE.lastrow)-ROW(PLE.firstrow))),0,
           IF(OFFSET(PLE!$G$15,$M227-$A$15,CB$13)="",10^12,OFFSET(PLE!$G$15,$M227-$A$15,CB$13)))</f>
        <v>1000000000000</v>
      </c>
      <c r="CC227" s="172">
        <f ca="1">IF(OR($D227&lt;&gt;"Serviço",AND(AUTOEVENTO="Manual",$M227=$A$15),$M227&gt;(ROW(PLE.lastrow)-ROW(PLE.firstrow))),0,
           IF(OFFSET(PLE!$G$15,$M227-$A$15,CC$13)="",10^12,OFFSET(PLE!$G$15,$M227-$A$15,CC$13)))</f>
        <v>1000000000000</v>
      </c>
      <c r="CD227" s="172">
        <f ca="1">IF(OR($D227&lt;&gt;"Serviço",AND(AUTOEVENTO="Manual",$M227=$A$15),$M227&gt;(ROW(PLE.lastrow)-ROW(PLE.firstrow))),0,
           IF(OFFSET(PLE!$G$15,$M227-$A$15,CD$13)="",10^12,OFFSET(PLE!$G$15,$M227-$A$15,CD$13)))</f>
        <v>1000000000000</v>
      </c>
      <c r="CE227" s="172">
        <f ca="1">IF(OR($D227&lt;&gt;"Serviço",AND(AUTOEVENTO="Manual",$M227=$A$15),$M227&gt;(ROW(PLE.lastrow)-ROW(PLE.firstrow))),0,
           IF(OFFSET(PLE!$G$15,$M227-$A$15,CE$13)="",10^12,OFFSET(PLE!$G$15,$M227-$A$15,CE$13)))</f>
        <v>1000000000000</v>
      </c>
      <c r="CF227" s="172">
        <f ca="1">IF(OR($D227&lt;&gt;"Serviço",AND(AUTOEVENTO="Manual",$M227=$A$15),$M227&gt;(ROW(PLE.lastrow)-ROW(PLE.firstrow))),0,
           IF(OFFSET(PLE!$G$15,$M227-$A$15,CF$13)="",10^12,OFFSET(PLE!$G$15,$M227-$A$15,CF$13)))</f>
        <v>1000000000000</v>
      </c>
      <c r="CG227" s="172">
        <f ca="1">IF(OR($D227&lt;&gt;"Serviço",AND(AUTOEVENTO="Manual",$M227=$A$15),$M227&gt;(ROW(PLE.lastrow)-ROW(PLE.firstrow))),0,
           IF(OFFSET(PLE!$G$15,$M227-$A$15,CG$13)="",10^12,OFFSET(PLE!$G$15,$M227-$A$15,CG$13)))</f>
        <v>1000000000000</v>
      </c>
      <c r="CH227" s="172">
        <f ca="1">IF(OR($D227&lt;&gt;"Serviço",AND(AUTOEVENTO="Manual",$M227=$A$15),$M227&gt;(ROW(PLE.lastrow)-ROW(PLE.firstrow))),0,
           IF(OFFSET(PLE!$G$15,$M227-$A$15,CH$13)="",10^12,OFFSET(PLE!$G$15,$M227-$A$15,CH$13)))</f>
        <v>1000000000000</v>
      </c>
      <c r="CI227" s="172">
        <f ca="1">IF(OR($D227&lt;&gt;"Serviço",AND(AUTOEVENTO="Manual",$M227=$A$15),$M227&gt;(ROW(PLE.lastrow)-ROW(PLE.firstrow))),0,
           IF(OFFSET(PLE!$G$15,$M227-$A$15,CI$13)="",10^12,OFFSET(PLE!$G$15,$M227-$A$15,CI$13)))</f>
        <v>1000000000000</v>
      </c>
      <c r="CJ227" s="172">
        <f ca="1">IF(OR($D227&lt;&gt;"Serviço",AND(AUTOEVENTO="Manual",$M227=$A$15),$M227&gt;(ROW(PLE.lastrow)-ROW(PLE.firstrow))),0,
           IF(OFFSET(PLE!$G$15,$M227-$A$15,CJ$13)="",10^12,OFFSET(PLE!$G$15,$M227-$A$15,CJ$13)))</f>
        <v>1000000000000</v>
      </c>
      <c r="CK227" s="172">
        <f ca="1">IF(OR($D227&lt;&gt;"Serviço",AND(AUTOEVENTO="Manual",$M227=$A$15),$M227&gt;(ROW(PLE.lastrow)-ROW(PLE.firstrow))),0,
           IF(OFFSET(PLE!$G$15,$M227-$A$15,CK$13)="",10^12,OFFSET(PLE!$G$15,$M227-$A$15,CK$13)))</f>
        <v>1000000000000</v>
      </c>
      <c r="CL227" s="172">
        <f ca="1">IF(OR($D227&lt;&gt;"Serviço",AND(AUTOEVENTO="Manual",$M227=$A$15),$M227&gt;(ROW(PLE.lastrow)-ROW(PLE.firstrow))),0,
           IF(OFFSET(PLE!$G$15,$M227-$A$15,CL$13)="",10^12,OFFSET(PLE!$G$15,$M227-$A$15,CL$13)))</f>
        <v>1000000000000</v>
      </c>
      <c r="CM227" s="172">
        <f ca="1">IF(OR($D227&lt;&gt;"Serviço",AND(AUTOEVENTO="Manual",$M227=$A$15),$M227&gt;(ROW(PLE.lastrow)-ROW(PLE.firstrow))),0,
           IF(OFFSET(PLE!$G$15,$M227-$A$15,CM$13)="",10^12,OFFSET(PLE!$G$15,$M227-$A$15,CM$13)))</f>
        <v>1000000000000</v>
      </c>
    </row>
    <row r="228" spans="1:91" ht="76.5" x14ac:dyDescent="0.2">
      <c r="A228" s="7">
        <f t="shared" ca="1" si="13"/>
        <v>5</v>
      </c>
      <c r="B228" s="7" t="str">
        <f ca="1">OFFSET(ORÇAMENTO!C$15,ROW(B228)-ROW(B$15),0)</f>
        <v>S</v>
      </c>
      <c r="C228" s="7" t="str">
        <f ca="1">OFFSET(ORÇAMENTO!L$15,ROW(C228)-ROW(C$15),0)</f>
        <v>F</v>
      </c>
      <c r="D228" s="116" t="str">
        <f ca="1">OFFSET(ORÇAMENTO!N$15,ROW(D228)-ROW(D$15),0)</f>
        <v>Serviço</v>
      </c>
      <c r="E228" s="117" t="str">
        <f ca="1">OFFSET(ORÇAMENTO!O$15,ROW(E228)-ROW(E$15),0)</f>
        <v>1.6.2.0.4.</v>
      </c>
      <c r="F228" s="163" t="str">
        <f ca="1">OFFSET(ORÇAMENTO!R$15,ROW(F228)-ROW(F$15),0)</f>
        <v>CONJUNTO PARAFUSO, PORCA E ARRUELA 3/4 - C = 1.3/4" - BASEADO EM AGESUL (1201008354)</v>
      </c>
      <c r="G228" s="164" t="str">
        <f ca="1">IF($D228&lt;&gt;"Serviço","",OFFSET(ORÇAMENTO!S$15,ROW(G228)-ROW(G$15),0))</f>
        <v>CJ</v>
      </c>
      <c r="H228" s="122" cm="1">
        <f t="array" aca="1" ref="H228" ca="1">IF($D228&lt;&gt;"Serviço",0,IF(ACOMPANHAMENTO="BM",ROUND(OFFSET(ORÇAMENTO!AJ$15,ROW(H228)-ROW(H$15),0),15-13*ORÇAMENTO!$AF$7),SUMPRODUCT(($Q$1:$AI$1=1)*ROUND($Q228:$AI228,15-13*ORÇAMENTO!$AF$7))))</f>
        <v>75</v>
      </c>
      <c r="I228" s="468" t="s">
        <v>1344</v>
      </c>
      <c r="J228" s="640" t="str" cm="1">
        <f t="array" aca="1" ref="J228" ca="1">IF(OR(B228&lt;&gt;"S",CÁLCULO.FrentesPreenchidas=0),"",IF(AND(ACOMPANHAMENTO="PLE",AUTOEVENTO="Manual",OR(H228&gt;0,ORÇAMENTO!AC228="QUANT."),OR(K228="",M228=0,N228="")),"►E",IF(AND(ACOMPANHAMENTO="PLE",ORÇAMENTO!AC228="QUANT."),"►Q",IF(AND(ACOMPANHAMENTO="PLE",H228&lt;&gt;SUMPRODUCT(($Q$1:$AI$1=1)*ROUND(Q228:AI228,15))),"►S",IF(AND(COUNTIF($P$11:$AI$11,"▼")=0,H228&gt;0,I228=""),"◄M","")))))</f>
        <v/>
      </c>
      <c r="K228" s="641" t="s">
        <v>1390</v>
      </c>
      <c r="L228" s="165" t="s">
        <v>764</v>
      </c>
      <c r="M228" s="166">
        <f ca="1">IF($D228&lt;&gt;"Serviço","",
          IF(AUTOEVENTO="manual",$A228,
                IF(ISERROR(MATCH($A228,$A$15:OFFSET($A228,-1,0),0)),MAX($M$15:OFFSET(M228,-1,0))+1,
                      INDEX($M$15:OFFSET(M228,-1,0),MATCH($A228,$A$15:OFFSET($A228,-1,0),0)))))</f>
        <v>5</v>
      </c>
      <c r="N228" s="167" t="str">
        <f ca="1">IF($D228&lt;&gt;"Serviço","",
         IF(AUTOEVENTO="Manual",
                IF($A228=0,"&lt;-- defina o número do agrupador",
                       OFFSET(EVENTOS!$D$15,$A228-$A$15,0)),
                OFFSET($F$15,$A228,0)))</f>
        <v>Estrutura Metálica</v>
      </c>
      <c r="O228" s="168"/>
      <c r="Q228" s="168"/>
      <c r="R228" s="169"/>
      <c r="S228" s="169"/>
      <c r="T228" s="169"/>
      <c r="U228" s="169"/>
      <c r="V228" s="169"/>
      <c r="W228" s="169">
        <v>75</v>
      </c>
      <c r="X228" s="169"/>
      <c r="Y228" s="169"/>
      <c r="Z228" s="170"/>
      <c r="AA228" s="169"/>
      <c r="AB228" s="169"/>
      <c r="AC228" s="169"/>
      <c r="AD228" s="169"/>
      <c r="AE228" s="169"/>
      <c r="AF228" s="169"/>
      <c r="AG228" s="169"/>
      <c r="AH228" s="170"/>
      <c r="AJ228" s="453">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0</v>
      </c>
      <c r="AK228" s="453">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0</v>
      </c>
      <c r="AL228" s="453">
        <f ca="1">IF(AND($D228="Serviço",AL$12&lt;&gt;0,$H228&gt;0,OR(AUTOEVENTO&lt;&gt;"manual",$M228&lt;&gt;$A$15)),
        IF(Import.TipoArredondamento&lt;&gt;"TransfereGOV",
              ROUND(OFFSET($P228,0,AL$13),15-13*ORÇAMENTO!$AF$7)/$H228*OFFSET(ORÇAMENTO!$X$15,ROW(AL228)-ROW(AL$15),0),
              ROUND(ROUND(OFFSET($P228,0,AL$13),15-13*ORÇAMENTO!$AF$7)*OFFSET(ORÇAMENTO!$W$15,ROW(AL228)-ROW(AL$15),0),15-13*ORÇAMENTO!$AF$11)),
         0)</f>
        <v>0</v>
      </c>
      <c r="AM228" s="453">
        <f ca="1">IF(AND($D228="Serviço",AM$12&lt;&gt;0,$H228&gt;0,OR(AUTOEVENTO&lt;&gt;"manual",$M228&lt;&gt;$A$15)),
        IF(Import.TipoArredondamento&lt;&gt;"TransfereGOV",
              ROUND(OFFSET($P228,0,AM$13),15-13*ORÇAMENTO!$AF$7)/$H228*OFFSET(ORÇAMENTO!$X$15,ROW(AM228)-ROW(AM$15),0),
              ROUND(ROUND(OFFSET($P228,0,AM$13),15-13*ORÇAMENTO!$AF$7)*OFFSET(ORÇAMENTO!$W$15,ROW(AM228)-ROW(AM$15),0),15-13*ORÇAMENTO!$AF$11)),
         0)</f>
        <v>0</v>
      </c>
      <c r="AN228" s="453">
        <f ca="1">IF(AND($D228="Serviço",AN$12&lt;&gt;0,$H228&gt;0,OR(AUTOEVENTO&lt;&gt;"manual",$M228&lt;&gt;$A$15)),
        IF(Import.TipoArredondamento&lt;&gt;"TransfereGOV",
              ROUND(OFFSET($P228,0,AN$13),15-13*ORÇAMENTO!$AF$7)/$H228*OFFSET(ORÇAMENTO!$X$15,ROW(AN228)-ROW(AN$15),0),
              ROUND(ROUND(OFFSET($P228,0,AN$13),15-13*ORÇAMENTO!$AF$7)*OFFSET(ORÇAMENTO!$W$15,ROW(AN228)-ROW(AN$15),0),15-13*ORÇAMENTO!$AF$11)),
         0)</f>
        <v>0</v>
      </c>
      <c r="AO228" s="453">
        <f ca="1">IF(AND($D228="Serviço",AO$12&lt;&gt;0,$H228&gt;0,OR(AUTOEVENTO&lt;&gt;"manual",$M228&lt;&gt;$A$15)),
        IF(Import.TipoArredondamento&lt;&gt;"TransfereGOV",
              ROUND(OFFSET($P228,0,AO$13),15-13*ORÇAMENTO!$AF$7)/$H228*OFFSET(ORÇAMENTO!$X$15,ROW(AO228)-ROW(AO$15),0),
              ROUND(ROUND(OFFSET($P228,0,AO$13),15-13*ORÇAMENTO!$AF$7)*OFFSET(ORÇAMENTO!$W$15,ROW(AO228)-ROW(AO$15),0),15-13*ORÇAMENTO!$AF$11)),
         0)</f>
        <v>0</v>
      </c>
      <c r="AP228" s="453">
        <f ca="1">IF(AND($D228="Serviço",AP$12&lt;&gt;0,$H228&gt;0,OR(AUTOEVENTO&lt;&gt;"manual",$M228&lt;&gt;$A$15)),
        IF(Import.TipoArredondamento&lt;&gt;"TransfereGOV",
              ROUND(OFFSET($P228,0,AP$13),15-13*ORÇAMENTO!$AF$7)/$H228*OFFSET(ORÇAMENTO!$X$15,ROW(AP228)-ROW(AP$15),0),
              ROUND(ROUND(OFFSET($P228,0,AP$13),15-13*ORÇAMENTO!$AF$7)*OFFSET(ORÇAMENTO!$W$15,ROW(AP228)-ROW(AP$15),0),15-13*ORÇAMENTO!$AF$11)),
         0)</f>
        <v>0</v>
      </c>
      <c r="AQ228" s="453">
        <f ca="1">IF(AND($D228="Serviço",AQ$12&lt;&gt;0,$H228&gt;0,OR(AUTOEVENTO&lt;&gt;"manual",$M228&lt;&gt;$A$15)),
        IF(Import.TipoArredondamento&lt;&gt;"TransfereGOV",
              ROUND(OFFSET($P228,0,AQ$13),15-13*ORÇAMENTO!$AF$7)/$H228*OFFSET(ORÇAMENTO!$X$15,ROW(AQ228)-ROW(AQ$15),0),
              ROUND(ROUND(OFFSET($P228,0,AQ$13),15-13*ORÇAMENTO!$AF$7)*OFFSET(ORÇAMENTO!$W$15,ROW(AQ228)-ROW(AQ$15),0),15-13*ORÇAMENTO!$AF$11)),
         0)</f>
        <v>0</v>
      </c>
      <c r="AR228" s="453">
        <f ca="1">IF(AND($D228="Serviço",AR$12&lt;&gt;0,$H228&gt;0,OR(AUTOEVENTO&lt;&gt;"manual",$M228&lt;&gt;$A$15)),
        IF(Import.TipoArredondamento&lt;&gt;"TransfereGOV",
              ROUND(OFFSET($P228,0,AR$13),15-13*ORÇAMENTO!$AF$7)/$H228*OFFSET(ORÇAMENTO!$X$15,ROW(AR228)-ROW(AR$15),0),
              ROUND(ROUND(OFFSET($P228,0,AR$13),15-13*ORÇAMENTO!$AF$7)*OFFSET(ORÇAMENTO!$W$15,ROW(AR228)-ROW(AR$15),0),15-13*ORÇAMENTO!$AF$11)),
         0)</f>
        <v>0</v>
      </c>
      <c r="AS228" s="453">
        <f ca="1">IF(AND($D228="Serviço",AS$12&lt;&gt;0,$H228&gt;0,OR(AUTOEVENTO&lt;&gt;"manual",$M228&lt;&gt;$A$15)),
        IF(Import.TipoArredondamento&lt;&gt;"TransfereGOV",
              ROUND(OFFSET($P228,0,AS$13),15-13*ORÇAMENTO!$AF$7)/$H228*OFFSET(ORÇAMENTO!$X$15,ROW(AS228)-ROW(AS$15),0),
              ROUND(ROUND(OFFSET($P228,0,AS$13),15-13*ORÇAMENTO!$AF$7)*OFFSET(ORÇAMENTO!$W$15,ROW(AS228)-ROW(AS$15),0),15-13*ORÇAMENTO!$AF$11)),
         0)</f>
        <v>0</v>
      </c>
      <c r="AT228" s="453">
        <f ca="1">IF(AND($D228="Serviço",AT$12&lt;&gt;0,$H228&gt;0,OR(AUTOEVENTO&lt;&gt;"manual",$M228&lt;&gt;$A$15)),
        IF(Import.TipoArredondamento&lt;&gt;"TransfereGOV",
              ROUND(OFFSET($P228,0,AT$13),15-13*ORÇAMENTO!$AF$7)/$H228*OFFSET(ORÇAMENTO!$X$15,ROW(AT228)-ROW(AT$15),0),
              ROUND(ROUND(OFFSET($P228,0,AT$13),15-13*ORÇAMENTO!$AF$7)*OFFSET(ORÇAMENTO!$W$15,ROW(AT228)-ROW(AT$15),0),15-13*ORÇAMENTO!$AF$11)),
         0)</f>
        <v>0</v>
      </c>
      <c r="AU228" s="453">
        <f ca="1">IF(AND($D228="Serviço",AU$12&lt;&gt;0,$H228&gt;0,OR(AUTOEVENTO&lt;&gt;"manual",$M228&lt;&gt;$A$15)),
        IF(Import.TipoArredondamento&lt;&gt;"TransfereGOV",
              ROUND(OFFSET($P228,0,AU$13),15-13*ORÇAMENTO!$AF$7)/$H228*OFFSET(ORÇAMENTO!$X$15,ROW(AU228)-ROW(AU$15),0),
              ROUND(ROUND(OFFSET($P228,0,AU$13),15-13*ORÇAMENTO!$AF$7)*OFFSET(ORÇAMENTO!$W$15,ROW(AU228)-ROW(AU$15),0),15-13*ORÇAMENTO!$AF$11)),
         0)</f>
        <v>0</v>
      </c>
      <c r="AV228" s="453">
        <f ca="1">IF(AND($D228="Serviço",AV$12&lt;&gt;0,$H228&gt;0,OR(AUTOEVENTO&lt;&gt;"manual",$M228&lt;&gt;$A$15)),
        IF(Import.TipoArredondamento&lt;&gt;"TransfereGOV",
              ROUND(OFFSET($P228,0,AV$13),15-13*ORÇAMENTO!$AF$7)/$H228*OFFSET(ORÇAMENTO!$X$15,ROW(AV228)-ROW(AV$15),0),
              ROUND(ROUND(OFFSET($P228,0,AV$13),15-13*ORÇAMENTO!$AF$7)*OFFSET(ORÇAMENTO!$W$15,ROW(AV228)-ROW(AV$15),0),15-13*ORÇAMENTO!$AF$11)),
         0)</f>
        <v>0</v>
      </c>
      <c r="AW228" s="453">
        <f ca="1">IF(AND($D228="Serviço",AW$12&lt;&gt;0,$H228&gt;0,OR(AUTOEVENTO&lt;&gt;"manual",$M228&lt;&gt;$A$15)),
        IF(Import.TipoArredondamento&lt;&gt;"TransfereGOV",
              ROUND(OFFSET($P228,0,AW$13),15-13*ORÇAMENTO!$AF$7)/$H228*OFFSET(ORÇAMENTO!$X$15,ROW(AW228)-ROW(AW$15),0),
              ROUND(ROUND(OFFSET($P228,0,AW$13),15-13*ORÇAMENTO!$AF$7)*OFFSET(ORÇAMENTO!$W$15,ROW(AW228)-ROW(AW$15),0),15-13*ORÇAMENTO!$AF$11)),
         0)</f>
        <v>0</v>
      </c>
      <c r="AX228" s="453">
        <f ca="1">IF(AND($D228="Serviço",AX$12&lt;&gt;0,$H228&gt;0,OR(AUTOEVENTO&lt;&gt;"manual",$M228&lt;&gt;$A$15)),
        IF(Import.TipoArredondamento&lt;&gt;"TransfereGOV",
              ROUND(OFFSET($P228,0,AX$13),15-13*ORÇAMENTO!$AF$7)/$H228*OFFSET(ORÇAMENTO!$X$15,ROW(AX228)-ROW(AX$15),0),
              ROUND(ROUND(OFFSET($P228,0,AX$13),15-13*ORÇAMENTO!$AF$7)*OFFSET(ORÇAMENTO!$W$15,ROW(AX228)-ROW(AX$15),0),15-13*ORÇAMENTO!$AF$11)),
         0)</f>
        <v>0</v>
      </c>
      <c r="AY228" s="453">
        <f ca="1">IF(AND($D228="Serviço",AY$12&lt;&gt;0,$H228&gt;0,OR(AUTOEVENTO&lt;&gt;"manual",$M228&lt;&gt;$A$15)),
        IF(Import.TipoArredondamento&lt;&gt;"TransfereGOV",
              ROUND(OFFSET($P228,0,AY$13),15-13*ORÇAMENTO!$AF$7)/$H228*OFFSET(ORÇAMENTO!$X$15,ROW(AY228)-ROW(AY$15),0),
              ROUND(ROUND(OFFSET($P228,0,AY$13),15-13*ORÇAMENTO!$AF$7)*OFFSET(ORÇAMENTO!$W$15,ROW(AY228)-ROW(AY$15),0),15-13*ORÇAMENTO!$AF$11)),
         0)</f>
        <v>0</v>
      </c>
      <c r="AZ228" s="453">
        <f ca="1">IF(AND($D228="Serviço",AZ$12&lt;&gt;0,$H228&gt;0,OR(AUTOEVENTO&lt;&gt;"manual",$M228&lt;&gt;$A$15)),
        IF(Import.TipoArredondamento&lt;&gt;"TransfereGOV",
              ROUND(OFFSET($P228,0,AZ$13),15-13*ORÇAMENTO!$AF$7)/$H228*OFFSET(ORÇAMENTO!$X$15,ROW(AZ228)-ROW(AZ$15),0),
              ROUND(ROUND(OFFSET($P228,0,AZ$13),15-13*ORÇAMENTO!$AF$7)*OFFSET(ORÇAMENTO!$W$15,ROW(AZ228)-ROW(AZ$15),0),15-13*ORÇAMENTO!$AF$11)),
         0)</f>
        <v>0</v>
      </c>
      <c r="BA228" s="453">
        <f ca="1">IF(AND($D228="Serviço",BA$12&lt;&gt;0,$H228&gt;0,OR(AUTOEVENTO&lt;&gt;"manual",$M228&lt;&gt;$A$15)),
        IF(Import.TipoArredondamento&lt;&gt;"TransfereGOV",
              ROUND(OFFSET($P228,0,BA$13),15-13*ORÇAMENTO!$AF$7)/$H228*OFFSET(ORÇAMENTO!$X$15,ROW(BA228)-ROW(BA$15),0),
              ROUND(ROUND(OFFSET($P228,0,BA$13),15-13*ORÇAMENTO!$AF$7)*OFFSET(ORÇAMENTO!$W$15,ROW(BA228)-ROW(BA$15),0),15-13*ORÇAMENTO!$AF$11)),
         0)</f>
        <v>0</v>
      </c>
      <c r="BC228" s="171">
        <f ca="1">IF(OR($D228&lt;&gt;"Serviço",AND(AUTOEVENTO="Manual",$M228=$A$15)),0,
         IF(OFFSET(CRONOPLE!$F$15,$M228-$A$15,BC$13)=0,10^12,OFFSET(CRONOPLE!$F$15,$M228-$A$15,BC$13)))</f>
        <v>1</v>
      </c>
      <c r="BD228" s="171">
        <f ca="1">IF(OR($D228&lt;&gt;"Serviço",AND(AUTOEVENTO="Manual",$M228=$A$15)),0,
         IF(OFFSET(CRONOPLE!$F$15,$M228-$A$15,BD$13)=0,10^12,OFFSET(CRONOPLE!$F$15,$M228-$A$15,BD$13)))</f>
        <v>2</v>
      </c>
      <c r="BE228" s="171">
        <f ca="1">IF(OR($D228&lt;&gt;"Serviço",AND(AUTOEVENTO="Manual",$M228=$A$15)),0,
         IF(OFFSET(CRONOPLE!$F$15,$M228-$A$15,BE$13)=0,10^12,OFFSET(CRONOPLE!$F$15,$M228-$A$15,BE$13)))</f>
        <v>3</v>
      </c>
      <c r="BF228" s="171">
        <f ca="1">IF(OR($D228&lt;&gt;"Serviço",AND(AUTOEVENTO="Manual",$M228=$A$15)),0,
         IF(OFFSET(CRONOPLE!$F$15,$M228-$A$15,BF$13)=0,10^12,OFFSET(CRONOPLE!$F$15,$M228-$A$15,BF$13)))</f>
        <v>4</v>
      </c>
      <c r="BG228" s="171">
        <f ca="1">IF(OR($D228&lt;&gt;"Serviço",AND(AUTOEVENTO="Manual",$M228=$A$15)),0,
         IF(OFFSET(CRONOPLE!$F$15,$M228-$A$15,BG$13)=0,10^12,OFFSET(CRONOPLE!$F$15,$M228-$A$15,BG$13)))</f>
        <v>5</v>
      </c>
      <c r="BH228" s="171">
        <f ca="1">IF(OR($D228&lt;&gt;"Serviço",AND(AUTOEVENTO="Manual",$M228=$A$15)),0,
         IF(OFFSET(CRONOPLE!$F$15,$M228-$A$15,BH$13)=0,10^12,OFFSET(CRONOPLE!$F$15,$M228-$A$15,BH$13)))</f>
        <v>6</v>
      </c>
      <c r="BI228" s="171">
        <f ca="1">IF(OR($D228&lt;&gt;"Serviço",AND(AUTOEVENTO="Manual",$M228=$A$15)),0,
         IF(OFFSET(CRONOPLE!$F$15,$M228-$A$15,BI$13)=0,10^12,OFFSET(CRONOPLE!$F$15,$M228-$A$15,BI$13)))</f>
        <v>7</v>
      </c>
      <c r="BJ228" s="171">
        <f ca="1">IF(OR($D228&lt;&gt;"Serviço",AND(AUTOEVENTO="Manual",$M228=$A$15)),0,
         IF(OFFSET(CRONOPLE!$F$15,$M228-$A$15,BJ$13)=0,10^12,OFFSET(CRONOPLE!$F$15,$M228-$A$15,BJ$13)))</f>
        <v>8</v>
      </c>
      <c r="BK228" s="171">
        <f ca="1">IF(OR($D228&lt;&gt;"Serviço",AND(AUTOEVENTO="Manual",$M228=$A$15)),0,
         IF(OFFSET(CRONOPLE!$F$15,$M228-$A$15,BK$13)=0,10^12,OFFSET(CRONOPLE!$F$15,$M228-$A$15,BK$13)))</f>
        <v>9</v>
      </c>
      <c r="BL228" s="171">
        <f ca="1">IF(OR($D228&lt;&gt;"Serviço",AND(AUTOEVENTO="Manual",$M228=$A$15)),0,
         IF(OFFSET(CRONOPLE!$F$15,$M228-$A$15,BL$13)=0,10^12,OFFSET(CRONOPLE!$F$15,$M228-$A$15,BL$13)))</f>
        <v>10</v>
      </c>
      <c r="BM228" s="171">
        <f ca="1">IF(OR($D228&lt;&gt;"Serviço",AND(AUTOEVENTO="Manual",$M228=$A$15)),0,
         IF(OFFSET(CRONOPLE!$F$15,$M228-$A$15,BM$13)=0,10^12,OFFSET(CRONOPLE!$F$15,$M228-$A$15,BM$13)))</f>
        <v>1000000000000</v>
      </c>
      <c r="BN228" s="171">
        <f ca="1">IF(OR($D228&lt;&gt;"Serviço",AND(AUTOEVENTO="Manual",$M228=$A$15)),0,
         IF(OFFSET(CRONOPLE!$F$15,$M228-$A$15,BN$13)=0,10^12,OFFSET(CRONOPLE!$F$15,$M228-$A$15,BN$13)))</f>
        <v>1000000000000</v>
      </c>
      <c r="BO228" s="171">
        <f ca="1">IF(OR($D228&lt;&gt;"Serviço",AND(AUTOEVENTO="Manual",$M228=$A$15)),0,
         IF(OFFSET(CRONOPLE!$F$15,$M228-$A$15,BO$13)=0,10^12,OFFSET(CRONOPLE!$F$15,$M228-$A$15,BO$13)))</f>
        <v>1000000000000</v>
      </c>
      <c r="BP228" s="171">
        <f ca="1">IF(OR($D228&lt;&gt;"Serviço",AND(AUTOEVENTO="Manual",$M228=$A$15)),0,
         IF(OFFSET(CRONOPLE!$F$15,$M228-$A$15,BP$13)=0,10^12,OFFSET(CRONOPLE!$F$15,$M228-$A$15,BP$13)))</f>
        <v>1000000000000</v>
      </c>
      <c r="BQ228" s="171">
        <f ca="1">IF(OR($D228&lt;&gt;"Serviço",AND(AUTOEVENTO="Manual",$M228=$A$15)),0,
         IF(OFFSET(CRONOPLE!$F$15,$M228-$A$15,BQ$13)=0,10^12,OFFSET(CRONOPLE!$F$15,$M228-$A$15,BQ$13)))</f>
        <v>1000000000000</v>
      </c>
      <c r="BR228" s="171">
        <f ca="1">IF(OR($D228&lt;&gt;"Serviço",AND(AUTOEVENTO="Manual",$M228=$A$15)),0,
         IF(OFFSET(CRONOPLE!$F$15,$M228-$A$15,BR$13)=0,10^12,OFFSET(CRONOPLE!$F$15,$M228-$A$15,BR$13)))</f>
        <v>1000000000000</v>
      </c>
      <c r="BS228" s="171">
        <f ca="1">IF(OR($D228&lt;&gt;"Serviço",AND(AUTOEVENTO="Manual",$M228=$A$15)),0,
         IF(OFFSET(CRONOPLE!$F$15,$M228-$A$15,BS$13)=0,10^12,OFFSET(CRONOPLE!$F$15,$M228-$A$15,BS$13)))</f>
        <v>1000000000000</v>
      </c>
      <c r="BT228" s="171">
        <f ca="1">IF(OR($D228&lt;&gt;"Serviço",AND(AUTOEVENTO="Manual",$M228=$A$15)),0,
         IF(OFFSET(CRONOPLE!$F$15,$M228-$A$15,BT$13)=0,10^12,OFFSET(CRONOPLE!$F$15,$M228-$A$15,BT$13)))</f>
        <v>1000000000000</v>
      </c>
      <c r="BV228" s="172">
        <f ca="1">IF(OR($D228&lt;&gt;"Serviço",AND(AUTOEVENTO="Manual",$M228=$A$15),$M228&gt;(ROW(PLE.lastrow)-ROW(PLE.firstrow))),0,
           IF(OFFSET(PLE!$G$15,$M228-$A$15,BV$13)="",10^12,OFFSET(PLE!$G$15,$M228-$A$15,BV$13)))</f>
        <v>1000000000000</v>
      </c>
      <c r="BW228" s="172">
        <f ca="1">IF(OR($D228&lt;&gt;"Serviço",AND(AUTOEVENTO="Manual",$M228=$A$15),$M228&gt;(ROW(PLE.lastrow)-ROW(PLE.firstrow))),0,
           IF(OFFSET(PLE!$G$15,$M228-$A$15,BW$13)="",10^12,OFFSET(PLE!$G$15,$M228-$A$15,BW$13)))</f>
        <v>1000000000000</v>
      </c>
      <c r="BX228" s="172">
        <f ca="1">IF(OR($D228&lt;&gt;"Serviço",AND(AUTOEVENTO="Manual",$M228=$A$15),$M228&gt;(ROW(PLE.lastrow)-ROW(PLE.firstrow))),0,
           IF(OFFSET(PLE!$G$15,$M228-$A$15,BX$13)="",10^12,OFFSET(PLE!$G$15,$M228-$A$15,BX$13)))</f>
        <v>1000000000000</v>
      </c>
      <c r="BY228" s="172">
        <f ca="1">IF(OR($D228&lt;&gt;"Serviço",AND(AUTOEVENTO="Manual",$M228=$A$15),$M228&gt;(ROW(PLE.lastrow)-ROW(PLE.firstrow))),0,
           IF(OFFSET(PLE!$G$15,$M228-$A$15,BY$13)="",10^12,OFFSET(PLE!$G$15,$M228-$A$15,BY$13)))</f>
        <v>1000000000000</v>
      </c>
      <c r="BZ228" s="172">
        <f ca="1">IF(OR($D228&lt;&gt;"Serviço",AND(AUTOEVENTO="Manual",$M228=$A$15),$M228&gt;(ROW(PLE.lastrow)-ROW(PLE.firstrow))),0,
           IF(OFFSET(PLE!$G$15,$M228-$A$15,BZ$13)="",10^12,OFFSET(PLE!$G$15,$M228-$A$15,BZ$13)))</f>
        <v>1000000000000</v>
      </c>
      <c r="CA228" s="172">
        <f ca="1">IF(OR($D228&lt;&gt;"Serviço",AND(AUTOEVENTO="Manual",$M228=$A$15),$M228&gt;(ROW(PLE.lastrow)-ROW(PLE.firstrow))),0,
           IF(OFFSET(PLE!$G$15,$M228-$A$15,CA$13)="",10^12,OFFSET(PLE!$G$15,$M228-$A$15,CA$13)))</f>
        <v>1000000000000</v>
      </c>
      <c r="CB228" s="172">
        <f ca="1">IF(OR($D228&lt;&gt;"Serviço",AND(AUTOEVENTO="Manual",$M228=$A$15),$M228&gt;(ROW(PLE.lastrow)-ROW(PLE.firstrow))),0,
           IF(OFFSET(PLE!$G$15,$M228-$A$15,CB$13)="",10^12,OFFSET(PLE!$G$15,$M228-$A$15,CB$13)))</f>
        <v>1000000000000</v>
      </c>
      <c r="CC228" s="172">
        <f ca="1">IF(OR($D228&lt;&gt;"Serviço",AND(AUTOEVENTO="Manual",$M228=$A$15),$M228&gt;(ROW(PLE.lastrow)-ROW(PLE.firstrow))),0,
           IF(OFFSET(PLE!$G$15,$M228-$A$15,CC$13)="",10^12,OFFSET(PLE!$G$15,$M228-$A$15,CC$13)))</f>
        <v>1000000000000</v>
      </c>
      <c r="CD228" s="172">
        <f ca="1">IF(OR($D228&lt;&gt;"Serviço",AND(AUTOEVENTO="Manual",$M228=$A$15),$M228&gt;(ROW(PLE.lastrow)-ROW(PLE.firstrow))),0,
           IF(OFFSET(PLE!$G$15,$M228-$A$15,CD$13)="",10^12,OFFSET(PLE!$G$15,$M228-$A$15,CD$13)))</f>
        <v>1000000000000</v>
      </c>
      <c r="CE228" s="172">
        <f ca="1">IF(OR($D228&lt;&gt;"Serviço",AND(AUTOEVENTO="Manual",$M228=$A$15),$M228&gt;(ROW(PLE.lastrow)-ROW(PLE.firstrow))),0,
           IF(OFFSET(PLE!$G$15,$M228-$A$15,CE$13)="",10^12,OFFSET(PLE!$G$15,$M228-$A$15,CE$13)))</f>
        <v>1000000000000</v>
      </c>
      <c r="CF228" s="172">
        <f ca="1">IF(OR($D228&lt;&gt;"Serviço",AND(AUTOEVENTO="Manual",$M228=$A$15),$M228&gt;(ROW(PLE.lastrow)-ROW(PLE.firstrow))),0,
           IF(OFFSET(PLE!$G$15,$M228-$A$15,CF$13)="",10^12,OFFSET(PLE!$G$15,$M228-$A$15,CF$13)))</f>
        <v>1000000000000</v>
      </c>
      <c r="CG228" s="172">
        <f ca="1">IF(OR($D228&lt;&gt;"Serviço",AND(AUTOEVENTO="Manual",$M228=$A$15),$M228&gt;(ROW(PLE.lastrow)-ROW(PLE.firstrow))),0,
           IF(OFFSET(PLE!$G$15,$M228-$A$15,CG$13)="",10^12,OFFSET(PLE!$G$15,$M228-$A$15,CG$13)))</f>
        <v>1000000000000</v>
      </c>
      <c r="CH228" s="172">
        <f ca="1">IF(OR($D228&lt;&gt;"Serviço",AND(AUTOEVENTO="Manual",$M228=$A$15),$M228&gt;(ROW(PLE.lastrow)-ROW(PLE.firstrow))),0,
           IF(OFFSET(PLE!$G$15,$M228-$A$15,CH$13)="",10^12,OFFSET(PLE!$G$15,$M228-$A$15,CH$13)))</f>
        <v>1000000000000</v>
      </c>
      <c r="CI228" s="172">
        <f ca="1">IF(OR($D228&lt;&gt;"Serviço",AND(AUTOEVENTO="Manual",$M228=$A$15),$M228&gt;(ROW(PLE.lastrow)-ROW(PLE.firstrow))),0,
           IF(OFFSET(PLE!$G$15,$M228-$A$15,CI$13)="",10^12,OFFSET(PLE!$G$15,$M228-$A$15,CI$13)))</f>
        <v>1000000000000</v>
      </c>
      <c r="CJ228" s="172">
        <f ca="1">IF(OR($D228&lt;&gt;"Serviço",AND(AUTOEVENTO="Manual",$M228=$A$15),$M228&gt;(ROW(PLE.lastrow)-ROW(PLE.firstrow))),0,
           IF(OFFSET(PLE!$G$15,$M228-$A$15,CJ$13)="",10^12,OFFSET(PLE!$G$15,$M228-$A$15,CJ$13)))</f>
        <v>1000000000000</v>
      </c>
      <c r="CK228" s="172">
        <f ca="1">IF(OR($D228&lt;&gt;"Serviço",AND(AUTOEVENTO="Manual",$M228=$A$15),$M228&gt;(ROW(PLE.lastrow)-ROW(PLE.firstrow))),0,
           IF(OFFSET(PLE!$G$15,$M228-$A$15,CK$13)="",10^12,OFFSET(PLE!$G$15,$M228-$A$15,CK$13)))</f>
        <v>1000000000000</v>
      </c>
      <c r="CL228" s="172">
        <f ca="1">IF(OR($D228&lt;&gt;"Serviço",AND(AUTOEVENTO="Manual",$M228=$A$15),$M228&gt;(ROW(PLE.lastrow)-ROW(PLE.firstrow))),0,
           IF(OFFSET(PLE!$G$15,$M228-$A$15,CL$13)="",10^12,OFFSET(PLE!$G$15,$M228-$A$15,CL$13)))</f>
        <v>1000000000000</v>
      </c>
      <c r="CM228" s="172">
        <f ca="1">IF(OR($D228&lt;&gt;"Serviço",AND(AUTOEVENTO="Manual",$M228=$A$15),$M228&gt;(ROW(PLE.lastrow)-ROW(PLE.firstrow))),0,
           IF(OFFSET(PLE!$G$15,$M228-$A$15,CM$13)="",10^12,OFFSET(PLE!$G$15,$M228-$A$15,CM$13)))</f>
        <v>1000000000000</v>
      </c>
    </row>
    <row r="229" spans="1:91" ht="76.5" x14ac:dyDescent="0.2">
      <c r="A229" s="7">
        <f t="shared" ca="1" si="13"/>
        <v>5</v>
      </c>
      <c r="B229" s="7" t="str">
        <f ca="1">OFFSET(ORÇAMENTO!C$15,ROW(B229)-ROW(B$15),0)</f>
        <v>S</v>
      </c>
      <c r="C229" s="7" t="str">
        <f ca="1">OFFSET(ORÇAMENTO!L$15,ROW(C229)-ROW(C$15),0)</f>
        <v>F</v>
      </c>
      <c r="D229" s="116" t="str">
        <f ca="1">OFFSET(ORÇAMENTO!N$15,ROW(D229)-ROW(D$15),0)</f>
        <v>Serviço</v>
      </c>
      <c r="E229" s="117" t="str">
        <f ca="1">OFFSET(ORÇAMENTO!O$15,ROW(E229)-ROW(E$15),0)</f>
        <v>1.6.2.0.5.</v>
      </c>
      <c r="F229" s="163" t="str">
        <f ca="1">OFFSET(ORÇAMENTO!R$15,ROW(F229)-ROW(F$15),0)</f>
        <v>CONJUNTO PARAFUSO, PORCA E ARRUELA 1/2 - C = 3" - BASEADO EM AGESUL (1201008354)</v>
      </c>
      <c r="G229" s="164" t="str">
        <f ca="1">IF($D229&lt;&gt;"Serviço","",OFFSET(ORÇAMENTO!S$15,ROW(G229)-ROW(G$15),0))</f>
        <v>CJ</v>
      </c>
      <c r="H229" s="122" cm="1">
        <f t="array" aca="1" ref="H229" ca="1">IF($D229&lt;&gt;"Serviço",0,IF(ACOMPANHAMENTO="BM",ROUND(OFFSET(ORÇAMENTO!AJ$15,ROW(H229)-ROW(H$15),0),15-13*ORÇAMENTO!$AF$7),SUMPRODUCT(($Q$1:$AI$1=1)*ROUND($Q229:$AI229,15-13*ORÇAMENTO!$AF$7))))</f>
        <v>25</v>
      </c>
      <c r="I229" s="468" t="s">
        <v>1344</v>
      </c>
      <c r="J229" s="640" t="str" cm="1">
        <f t="array" aca="1" ref="J229" ca="1">IF(OR(B229&lt;&gt;"S",CÁLCULO.FrentesPreenchidas=0),"",IF(AND(ACOMPANHAMENTO="PLE",AUTOEVENTO="Manual",OR(H229&gt;0,ORÇAMENTO!AC229="QUANT."),OR(K229="",M229=0,N229="")),"►E",IF(AND(ACOMPANHAMENTO="PLE",ORÇAMENTO!AC229="QUANT."),"►Q",IF(AND(ACOMPANHAMENTO="PLE",H229&lt;&gt;SUMPRODUCT(($Q$1:$AI$1=1)*ROUND(Q229:AI229,15))),"►S",IF(AND(COUNTIF($P$11:$AI$11,"▼")=0,H229&gt;0,I229=""),"◄M","")))))</f>
        <v/>
      </c>
      <c r="K229" s="641" t="s">
        <v>1390</v>
      </c>
      <c r="L229" s="165" t="s">
        <v>764</v>
      </c>
      <c r="M229" s="166">
        <f ca="1">IF($D229&lt;&gt;"Serviço","",
          IF(AUTOEVENTO="manual",$A229,
                IF(ISERROR(MATCH($A229,$A$15:OFFSET($A229,-1,0),0)),MAX($M$15:OFFSET(M229,-1,0))+1,
                      INDEX($M$15:OFFSET(M229,-1,0),MATCH($A229,$A$15:OFFSET($A229,-1,0),0)))))</f>
        <v>5</v>
      </c>
      <c r="N229" s="167" t="str">
        <f ca="1">IF($D229&lt;&gt;"Serviço","",
         IF(AUTOEVENTO="Manual",
                IF($A229=0,"&lt;-- defina o número do agrupador",
                       OFFSET(EVENTOS!$D$15,$A229-$A$15,0)),
                OFFSET($F$15,$A229,0)))</f>
        <v>Estrutura Metálica</v>
      </c>
      <c r="O229" s="168"/>
      <c r="Q229" s="168"/>
      <c r="R229" s="169"/>
      <c r="S229" s="169"/>
      <c r="T229" s="169"/>
      <c r="U229" s="169"/>
      <c r="V229" s="169"/>
      <c r="W229" s="169">
        <v>25</v>
      </c>
      <c r="X229" s="169"/>
      <c r="Y229" s="169"/>
      <c r="Z229" s="170"/>
      <c r="AA229" s="169"/>
      <c r="AB229" s="169"/>
      <c r="AC229" s="169"/>
      <c r="AD229" s="169"/>
      <c r="AE229" s="169"/>
      <c r="AF229" s="169"/>
      <c r="AG229" s="169"/>
      <c r="AH229" s="170"/>
      <c r="AJ229" s="453">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0</v>
      </c>
      <c r="AK229" s="453">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0</v>
      </c>
      <c r="AL229" s="453">
        <f ca="1">IF(AND($D229="Serviço",AL$12&lt;&gt;0,$H229&gt;0,OR(AUTOEVENTO&lt;&gt;"manual",$M229&lt;&gt;$A$15)),
        IF(Import.TipoArredondamento&lt;&gt;"TransfereGOV",
              ROUND(OFFSET($P229,0,AL$13),15-13*ORÇAMENTO!$AF$7)/$H229*OFFSET(ORÇAMENTO!$X$15,ROW(AL229)-ROW(AL$15),0),
              ROUND(ROUND(OFFSET($P229,0,AL$13),15-13*ORÇAMENTO!$AF$7)*OFFSET(ORÇAMENTO!$W$15,ROW(AL229)-ROW(AL$15),0),15-13*ORÇAMENTO!$AF$11)),
         0)</f>
        <v>0</v>
      </c>
      <c r="AM229" s="453">
        <f ca="1">IF(AND($D229="Serviço",AM$12&lt;&gt;0,$H229&gt;0,OR(AUTOEVENTO&lt;&gt;"manual",$M229&lt;&gt;$A$15)),
        IF(Import.TipoArredondamento&lt;&gt;"TransfereGOV",
              ROUND(OFFSET($P229,0,AM$13),15-13*ORÇAMENTO!$AF$7)/$H229*OFFSET(ORÇAMENTO!$X$15,ROW(AM229)-ROW(AM$15),0),
              ROUND(ROUND(OFFSET($P229,0,AM$13),15-13*ORÇAMENTO!$AF$7)*OFFSET(ORÇAMENTO!$W$15,ROW(AM229)-ROW(AM$15),0),15-13*ORÇAMENTO!$AF$11)),
         0)</f>
        <v>0</v>
      </c>
      <c r="AN229" s="453">
        <f ca="1">IF(AND($D229="Serviço",AN$12&lt;&gt;0,$H229&gt;0,OR(AUTOEVENTO&lt;&gt;"manual",$M229&lt;&gt;$A$15)),
        IF(Import.TipoArredondamento&lt;&gt;"TransfereGOV",
              ROUND(OFFSET($P229,0,AN$13),15-13*ORÇAMENTO!$AF$7)/$H229*OFFSET(ORÇAMENTO!$X$15,ROW(AN229)-ROW(AN$15),0),
              ROUND(ROUND(OFFSET($P229,0,AN$13),15-13*ORÇAMENTO!$AF$7)*OFFSET(ORÇAMENTO!$W$15,ROW(AN229)-ROW(AN$15),0),15-13*ORÇAMENTO!$AF$11)),
         0)</f>
        <v>0</v>
      </c>
      <c r="AO229" s="453">
        <f ca="1">IF(AND($D229="Serviço",AO$12&lt;&gt;0,$H229&gt;0,OR(AUTOEVENTO&lt;&gt;"manual",$M229&lt;&gt;$A$15)),
        IF(Import.TipoArredondamento&lt;&gt;"TransfereGOV",
              ROUND(OFFSET($P229,0,AO$13),15-13*ORÇAMENTO!$AF$7)/$H229*OFFSET(ORÇAMENTO!$X$15,ROW(AO229)-ROW(AO$15),0),
              ROUND(ROUND(OFFSET($P229,0,AO$13),15-13*ORÇAMENTO!$AF$7)*OFFSET(ORÇAMENTO!$W$15,ROW(AO229)-ROW(AO$15),0),15-13*ORÇAMENTO!$AF$11)),
         0)</f>
        <v>0</v>
      </c>
      <c r="AP229" s="453">
        <f ca="1">IF(AND($D229="Serviço",AP$12&lt;&gt;0,$H229&gt;0,OR(AUTOEVENTO&lt;&gt;"manual",$M229&lt;&gt;$A$15)),
        IF(Import.TipoArredondamento&lt;&gt;"TransfereGOV",
              ROUND(OFFSET($P229,0,AP$13),15-13*ORÇAMENTO!$AF$7)/$H229*OFFSET(ORÇAMENTO!$X$15,ROW(AP229)-ROW(AP$15),0),
              ROUND(ROUND(OFFSET($P229,0,AP$13),15-13*ORÇAMENTO!$AF$7)*OFFSET(ORÇAMENTO!$W$15,ROW(AP229)-ROW(AP$15),0),15-13*ORÇAMENTO!$AF$11)),
         0)</f>
        <v>0</v>
      </c>
      <c r="AQ229" s="453">
        <f ca="1">IF(AND($D229="Serviço",AQ$12&lt;&gt;0,$H229&gt;0,OR(AUTOEVENTO&lt;&gt;"manual",$M229&lt;&gt;$A$15)),
        IF(Import.TipoArredondamento&lt;&gt;"TransfereGOV",
              ROUND(OFFSET($P229,0,AQ$13),15-13*ORÇAMENTO!$AF$7)/$H229*OFFSET(ORÇAMENTO!$X$15,ROW(AQ229)-ROW(AQ$15),0),
              ROUND(ROUND(OFFSET($P229,0,AQ$13),15-13*ORÇAMENTO!$AF$7)*OFFSET(ORÇAMENTO!$W$15,ROW(AQ229)-ROW(AQ$15),0),15-13*ORÇAMENTO!$AF$11)),
         0)</f>
        <v>0</v>
      </c>
      <c r="AR229" s="453">
        <f ca="1">IF(AND($D229="Serviço",AR$12&lt;&gt;0,$H229&gt;0,OR(AUTOEVENTO&lt;&gt;"manual",$M229&lt;&gt;$A$15)),
        IF(Import.TipoArredondamento&lt;&gt;"TransfereGOV",
              ROUND(OFFSET($P229,0,AR$13),15-13*ORÇAMENTO!$AF$7)/$H229*OFFSET(ORÇAMENTO!$X$15,ROW(AR229)-ROW(AR$15),0),
              ROUND(ROUND(OFFSET($P229,0,AR$13),15-13*ORÇAMENTO!$AF$7)*OFFSET(ORÇAMENTO!$W$15,ROW(AR229)-ROW(AR$15),0),15-13*ORÇAMENTO!$AF$11)),
         0)</f>
        <v>0</v>
      </c>
      <c r="AS229" s="453">
        <f ca="1">IF(AND($D229="Serviço",AS$12&lt;&gt;0,$H229&gt;0,OR(AUTOEVENTO&lt;&gt;"manual",$M229&lt;&gt;$A$15)),
        IF(Import.TipoArredondamento&lt;&gt;"TransfereGOV",
              ROUND(OFFSET($P229,0,AS$13),15-13*ORÇAMENTO!$AF$7)/$H229*OFFSET(ORÇAMENTO!$X$15,ROW(AS229)-ROW(AS$15),0),
              ROUND(ROUND(OFFSET($P229,0,AS$13),15-13*ORÇAMENTO!$AF$7)*OFFSET(ORÇAMENTO!$W$15,ROW(AS229)-ROW(AS$15),0),15-13*ORÇAMENTO!$AF$11)),
         0)</f>
        <v>0</v>
      </c>
      <c r="AT229" s="453">
        <f ca="1">IF(AND($D229="Serviço",AT$12&lt;&gt;0,$H229&gt;0,OR(AUTOEVENTO&lt;&gt;"manual",$M229&lt;&gt;$A$15)),
        IF(Import.TipoArredondamento&lt;&gt;"TransfereGOV",
              ROUND(OFFSET($P229,0,AT$13),15-13*ORÇAMENTO!$AF$7)/$H229*OFFSET(ORÇAMENTO!$X$15,ROW(AT229)-ROW(AT$15),0),
              ROUND(ROUND(OFFSET($P229,0,AT$13),15-13*ORÇAMENTO!$AF$7)*OFFSET(ORÇAMENTO!$W$15,ROW(AT229)-ROW(AT$15),0),15-13*ORÇAMENTO!$AF$11)),
         0)</f>
        <v>0</v>
      </c>
      <c r="AU229" s="453">
        <f ca="1">IF(AND($D229="Serviço",AU$12&lt;&gt;0,$H229&gt;0,OR(AUTOEVENTO&lt;&gt;"manual",$M229&lt;&gt;$A$15)),
        IF(Import.TipoArredondamento&lt;&gt;"TransfereGOV",
              ROUND(OFFSET($P229,0,AU$13),15-13*ORÇAMENTO!$AF$7)/$H229*OFFSET(ORÇAMENTO!$X$15,ROW(AU229)-ROW(AU$15),0),
              ROUND(ROUND(OFFSET($P229,0,AU$13),15-13*ORÇAMENTO!$AF$7)*OFFSET(ORÇAMENTO!$W$15,ROW(AU229)-ROW(AU$15),0),15-13*ORÇAMENTO!$AF$11)),
         0)</f>
        <v>0</v>
      </c>
      <c r="AV229" s="453">
        <f ca="1">IF(AND($D229="Serviço",AV$12&lt;&gt;0,$H229&gt;0,OR(AUTOEVENTO&lt;&gt;"manual",$M229&lt;&gt;$A$15)),
        IF(Import.TipoArredondamento&lt;&gt;"TransfereGOV",
              ROUND(OFFSET($P229,0,AV$13),15-13*ORÇAMENTO!$AF$7)/$H229*OFFSET(ORÇAMENTO!$X$15,ROW(AV229)-ROW(AV$15),0),
              ROUND(ROUND(OFFSET($P229,0,AV$13),15-13*ORÇAMENTO!$AF$7)*OFFSET(ORÇAMENTO!$W$15,ROW(AV229)-ROW(AV$15),0),15-13*ORÇAMENTO!$AF$11)),
         0)</f>
        <v>0</v>
      </c>
      <c r="AW229" s="453">
        <f ca="1">IF(AND($D229="Serviço",AW$12&lt;&gt;0,$H229&gt;0,OR(AUTOEVENTO&lt;&gt;"manual",$M229&lt;&gt;$A$15)),
        IF(Import.TipoArredondamento&lt;&gt;"TransfereGOV",
              ROUND(OFFSET($P229,0,AW$13),15-13*ORÇAMENTO!$AF$7)/$H229*OFFSET(ORÇAMENTO!$X$15,ROW(AW229)-ROW(AW$15),0),
              ROUND(ROUND(OFFSET($P229,0,AW$13),15-13*ORÇAMENTO!$AF$7)*OFFSET(ORÇAMENTO!$W$15,ROW(AW229)-ROW(AW$15),0),15-13*ORÇAMENTO!$AF$11)),
         0)</f>
        <v>0</v>
      </c>
      <c r="AX229" s="453">
        <f ca="1">IF(AND($D229="Serviço",AX$12&lt;&gt;0,$H229&gt;0,OR(AUTOEVENTO&lt;&gt;"manual",$M229&lt;&gt;$A$15)),
        IF(Import.TipoArredondamento&lt;&gt;"TransfereGOV",
              ROUND(OFFSET($P229,0,AX$13),15-13*ORÇAMENTO!$AF$7)/$H229*OFFSET(ORÇAMENTO!$X$15,ROW(AX229)-ROW(AX$15),0),
              ROUND(ROUND(OFFSET($P229,0,AX$13),15-13*ORÇAMENTO!$AF$7)*OFFSET(ORÇAMENTO!$W$15,ROW(AX229)-ROW(AX$15),0),15-13*ORÇAMENTO!$AF$11)),
         0)</f>
        <v>0</v>
      </c>
      <c r="AY229" s="453">
        <f ca="1">IF(AND($D229="Serviço",AY$12&lt;&gt;0,$H229&gt;0,OR(AUTOEVENTO&lt;&gt;"manual",$M229&lt;&gt;$A$15)),
        IF(Import.TipoArredondamento&lt;&gt;"TransfereGOV",
              ROUND(OFFSET($P229,0,AY$13),15-13*ORÇAMENTO!$AF$7)/$H229*OFFSET(ORÇAMENTO!$X$15,ROW(AY229)-ROW(AY$15),0),
              ROUND(ROUND(OFFSET($P229,0,AY$13),15-13*ORÇAMENTO!$AF$7)*OFFSET(ORÇAMENTO!$W$15,ROW(AY229)-ROW(AY$15),0),15-13*ORÇAMENTO!$AF$11)),
         0)</f>
        <v>0</v>
      </c>
      <c r="AZ229" s="453">
        <f ca="1">IF(AND($D229="Serviço",AZ$12&lt;&gt;0,$H229&gt;0,OR(AUTOEVENTO&lt;&gt;"manual",$M229&lt;&gt;$A$15)),
        IF(Import.TipoArredondamento&lt;&gt;"TransfereGOV",
              ROUND(OFFSET($P229,0,AZ$13),15-13*ORÇAMENTO!$AF$7)/$H229*OFFSET(ORÇAMENTO!$X$15,ROW(AZ229)-ROW(AZ$15),0),
              ROUND(ROUND(OFFSET($P229,0,AZ$13),15-13*ORÇAMENTO!$AF$7)*OFFSET(ORÇAMENTO!$W$15,ROW(AZ229)-ROW(AZ$15),0),15-13*ORÇAMENTO!$AF$11)),
         0)</f>
        <v>0</v>
      </c>
      <c r="BA229" s="453">
        <f ca="1">IF(AND($D229="Serviço",BA$12&lt;&gt;0,$H229&gt;0,OR(AUTOEVENTO&lt;&gt;"manual",$M229&lt;&gt;$A$15)),
        IF(Import.TipoArredondamento&lt;&gt;"TransfereGOV",
              ROUND(OFFSET($P229,0,BA$13),15-13*ORÇAMENTO!$AF$7)/$H229*OFFSET(ORÇAMENTO!$X$15,ROW(BA229)-ROW(BA$15),0),
              ROUND(ROUND(OFFSET($P229,0,BA$13),15-13*ORÇAMENTO!$AF$7)*OFFSET(ORÇAMENTO!$W$15,ROW(BA229)-ROW(BA$15),0),15-13*ORÇAMENTO!$AF$11)),
         0)</f>
        <v>0</v>
      </c>
      <c r="BC229" s="171">
        <f ca="1">IF(OR($D229&lt;&gt;"Serviço",AND(AUTOEVENTO="Manual",$M229=$A$15)),0,
         IF(OFFSET(CRONOPLE!$F$15,$M229-$A$15,BC$13)=0,10^12,OFFSET(CRONOPLE!$F$15,$M229-$A$15,BC$13)))</f>
        <v>1</v>
      </c>
      <c r="BD229" s="171">
        <f ca="1">IF(OR($D229&lt;&gt;"Serviço",AND(AUTOEVENTO="Manual",$M229=$A$15)),0,
         IF(OFFSET(CRONOPLE!$F$15,$M229-$A$15,BD$13)=0,10^12,OFFSET(CRONOPLE!$F$15,$M229-$A$15,BD$13)))</f>
        <v>2</v>
      </c>
      <c r="BE229" s="171">
        <f ca="1">IF(OR($D229&lt;&gt;"Serviço",AND(AUTOEVENTO="Manual",$M229=$A$15)),0,
         IF(OFFSET(CRONOPLE!$F$15,$M229-$A$15,BE$13)=0,10^12,OFFSET(CRONOPLE!$F$15,$M229-$A$15,BE$13)))</f>
        <v>3</v>
      </c>
      <c r="BF229" s="171">
        <f ca="1">IF(OR($D229&lt;&gt;"Serviço",AND(AUTOEVENTO="Manual",$M229=$A$15)),0,
         IF(OFFSET(CRONOPLE!$F$15,$M229-$A$15,BF$13)=0,10^12,OFFSET(CRONOPLE!$F$15,$M229-$A$15,BF$13)))</f>
        <v>4</v>
      </c>
      <c r="BG229" s="171">
        <f ca="1">IF(OR($D229&lt;&gt;"Serviço",AND(AUTOEVENTO="Manual",$M229=$A$15)),0,
         IF(OFFSET(CRONOPLE!$F$15,$M229-$A$15,BG$13)=0,10^12,OFFSET(CRONOPLE!$F$15,$M229-$A$15,BG$13)))</f>
        <v>5</v>
      </c>
      <c r="BH229" s="171">
        <f ca="1">IF(OR($D229&lt;&gt;"Serviço",AND(AUTOEVENTO="Manual",$M229=$A$15)),0,
         IF(OFFSET(CRONOPLE!$F$15,$M229-$A$15,BH$13)=0,10^12,OFFSET(CRONOPLE!$F$15,$M229-$A$15,BH$13)))</f>
        <v>6</v>
      </c>
      <c r="BI229" s="171">
        <f ca="1">IF(OR($D229&lt;&gt;"Serviço",AND(AUTOEVENTO="Manual",$M229=$A$15)),0,
         IF(OFFSET(CRONOPLE!$F$15,$M229-$A$15,BI$13)=0,10^12,OFFSET(CRONOPLE!$F$15,$M229-$A$15,BI$13)))</f>
        <v>7</v>
      </c>
      <c r="BJ229" s="171">
        <f ca="1">IF(OR($D229&lt;&gt;"Serviço",AND(AUTOEVENTO="Manual",$M229=$A$15)),0,
         IF(OFFSET(CRONOPLE!$F$15,$M229-$A$15,BJ$13)=0,10^12,OFFSET(CRONOPLE!$F$15,$M229-$A$15,BJ$13)))</f>
        <v>8</v>
      </c>
      <c r="BK229" s="171">
        <f ca="1">IF(OR($D229&lt;&gt;"Serviço",AND(AUTOEVENTO="Manual",$M229=$A$15)),0,
         IF(OFFSET(CRONOPLE!$F$15,$M229-$A$15,BK$13)=0,10^12,OFFSET(CRONOPLE!$F$15,$M229-$A$15,BK$13)))</f>
        <v>9</v>
      </c>
      <c r="BL229" s="171">
        <f ca="1">IF(OR($D229&lt;&gt;"Serviço",AND(AUTOEVENTO="Manual",$M229=$A$15)),0,
         IF(OFFSET(CRONOPLE!$F$15,$M229-$A$15,BL$13)=0,10^12,OFFSET(CRONOPLE!$F$15,$M229-$A$15,BL$13)))</f>
        <v>10</v>
      </c>
      <c r="BM229" s="171">
        <f ca="1">IF(OR($D229&lt;&gt;"Serviço",AND(AUTOEVENTO="Manual",$M229=$A$15)),0,
         IF(OFFSET(CRONOPLE!$F$15,$M229-$A$15,BM$13)=0,10^12,OFFSET(CRONOPLE!$F$15,$M229-$A$15,BM$13)))</f>
        <v>1000000000000</v>
      </c>
      <c r="BN229" s="171">
        <f ca="1">IF(OR($D229&lt;&gt;"Serviço",AND(AUTOEVENTO="Manual",$M229=$A$15)),0,
         IF(OFFSET(CRONOPLE!$F$15,$M229-$A$15,BN$13)=0,10^12,OFFSET(CRONOPLE!$F$15,$M229-$A$15,BN$13)))</f>
        <v>1000000000000</v>
      </c>
      <c r="BO229" s="171">
        <f ca="1">IF(OR($D229&lt;&gt;"Serviço",AND(AUTOEVENTO="Manual",$M229=$A$15)),0,
         IF(OFFSET(CRONOPLE!$F$15,$M229-$A$15,BO$13)=0,10^12,OFFSET(CRONOPLE!$F$15,$M229-$A$15,BO$13)))</f>
        <v>1000000000000</v>
      </c>
      <c r="BP229" s="171">
        <f ca="1">IF(OR($D229&lt;&gt;"Serviço",AND(AUTOEVENTO="Manual",$M229=$A$15)),0,
         IF(OFFSET(CRONOPLE!$F$15,$M229-$A$15,BP$13)=0,10^12,OFFSET(CRONOPLE!$F$15,$M229-$A$15,BP$13)))</f>
        <v>1000000000000</v>
      </c>
      <c r="BQ229" s="171">
        <f ca="1">IF(OR($D229&lt;&gt;"Serviço",AND(AUTOEVENTO="Manual",$M229=$A$15)),0,
         IF(OFFSET(CRONOPLE!$F$15,$M229-$A$15,BQ$13)=0,10^12,OFFSET(CRONOPLE!$F$15,$M229-$A$15,BQ$13)))</f>
        <v>1000000000000</v>
      </c>
      <c r="BR229" s="171">
        <f ca="1">IF(OR($D229&lt;&gt;"Serviço",AND(AUTOEVENTO="Manual",$M229=$A$15)),0,
         IF(OFFSET(CRONOPLE!$F$15,$M229-$A$15,BR$13)=0,10^12,OFFSET(CRONOPLE!$F$15,$M229-$A$15,BR$13)))</f>
        <v>1000000000000</v>
      </c>
      <c r="BS229" s="171">
        <f ca="1">IF(OR($D229&lt;&gt;"Serviço",AND(AUTOEVENTO="Manual",$M229=$A$15)),0,
         IF(OFFSET(CRONOPLE!$F$15,$M229-$A$15,BS$13)=0,10^12,OFFSET(CRONOPLE!$F$15,$M229-$A$15,BS$13)))</f>
        <v>1000000000000</v>
      </c>
      <c r="BT229" s="171">
        <f ca="1">IF(OR($D229&lt;&gt;"Serviço",AND(AUTOEVENTO="Manual",$M229=$A$15)),0,
         IF(OFFSET(CRONOPLE!$F$15,$M229-$A$15,BT$13)=0,10^12,OFFSET(CRONOPLE!$F$15,$M229-$A$15,BT$13)))</f>
        <v>1000000000000</v>
      </c>
      <c r="BV229" s="172">
        <f ca="1">IF(OR($D229&lt;&gt;"Serviço",AND(AUTOEVENTO="Manual",$M229=$A$15),$M229&gt;(ROW(PLE.lastrow)-ROW(PLE.firstrow))),0,
           IF(OFFSET(PLE!$G$15,$M229-$A$15,BV$13)="",10^12,OFFSET(PLE!$G$15,$M229-$A$15,BV$13)))</f>
        <v>1000000000000</v>
      </c>
      <c r="BW229" s="172">
        <f ca="1">IF(OR($D229&lt;&gt;"Serviço",AND(AUTOEVENTO="Manual",$M229=$A$15),$M229&gt;(ROW(PLE.lastrow)-ROW(PLE.firstrow))),0,
           IF(OFFSET(PLE!$G$15,$M229-$A$15,BW$13)="",10^12,OFFSET(PLE!$G$15,$M229-$A$15,BW$13)))</f>
        <v>1000000000000</v>
      </c>
      <c r="BX229" s="172">
        <f ca="1">IF(OR($D229&lt;&gt;"Serviço",AND(AUTOEVENTO="Manual",$M229=$A$15),$M229&gt;(ROW(PLE.lastrow)-ROW(PLE.firstrow))),0,
           IF(OFFSET(PLE!$G$15,$M229-$A$15,BX$13)="",10^12,OFFSET(PLE!$G$15,$M229-$A$15,BX$13)))</f>
        <v>1000000000000</v>
      </c>
      <c r="BY229" s="172">
        <f ca="1">IF(OR($D229&lt;&gt;"Serviço",AND(AUTOEVENTO="Manual",$M229=$A$15),$M229&gt;(ROW(PLE.lastrow)-ROW(PLE.firstrow))),0,
           IF(OFFSET(PLE!$G$15,$M229-$A$15,BY$13)="",10^12,OFFSET(PLE!$G$15,$M229-$A$15,BY$13)))</f>
        <v>1000000000000</v>
      </c>
      <c r="BZ229" s="172">
        <f ca="1">IF(OR($D229&lt;&gt;"Serviço",AND(AUTOEVENTO="Manual",$M229=$A$15),$M229&gt;(ROW(PLE.lastrow)-ROW(PLE.firstrow))),0,
           IF(OFFSET(PLE!$G$15,$M229-$A$15,BZ$13)="",10^12,OFFSET(PLE!$G$15,$M229-$A$15,BZ$13)))</f>
        <v>1000000000000</v>
      </c>
      <c r="CA229" s="172">
        <f ca="1">IF(OR($D229&lt;&gt;"Serviço",AND(AUTOEVENTO="Manual",$M229=$A$15),$M229&gt;(ROW(PLE.lastrow)-ROW(PLE.firstrow))),0,
           IF(OFFSET(PLE!$G$15,$M229-$A$15,CA$13)="",10^12,OFFSET(PLE!$G$15,$M229-$A$15,CA$13)))</f>
        <v>1000000000000</v>
      </c>
      <c r="CB229" s="172">
        <f ca="1">IF(OR($D229&lt;&gt;"Serviço",AND(AUTOEVENTO="Manual",$M229=$A$15),$M229&gt;(ROW(PLE.lastrow)-ROW(PLE.firstrow))),0,
           IF(OFFSET(PLE!$G$15,$M229-$A$15,CB$13)="",10^12,OFFSET(PLE!$G$15,$M229-$A$15,CB$13)))</f>
        <v>1000000000000</v>
      </c>
      <c r="CC229" s="172">
        <f ca="1">IF(OR($D229&lt;&gt;"Serviço",AND(AUTOEVENTO="Manual",$M229=$A$15),$M229&gt;(ROW(PLE.lastrow)-ROW(PLE.firstrow))),0,
           IF(OFFSET(PLE!$G$15,$M229-$A$15,CC$13)="",10^12,OFFSET(PLE!$G$15,$M229-$A$15,CC$13)))</f>
        <v>1000000000000</v>
      </c>
      <c r="CD229" s="172">
        <f ca="1">IF(OR($D229&lt;&gt;"Serviço",AND(AUTOEVENTO="Manual",$M229=$A$15),$M229&gt;(ROW(PLE.lastrow)-ROW(PLE.firstrow))),0,
           IF(OFFSET(PLE!$G$15,$M229-$A$15,CD$13)="",10^12,OFFSET(PLE!$G$15,$M229-$A$15,CD$13)))</f>
        <v>1000000000000</v>
      </c>
      <c r="CE229" s="172">
        <f ca="1">IF(OR($D229&lt;&gt;"Serviço",AND(AUTOEVENTO="Manual",$M229=$A$15),$M229&gt;(ROW(PLE.lastrow)-ROW(PLE.firstrow))),0,
           IF(OFFSET(PLE!$G$15,$M229-$A$15,CE$13)="",10^12,OFFSET(PLE!$G$15,$M229-$A$15,CE$13)))</f>
        <v>1000000000000</v>
      </c>
      <c r="CF229" s="172">
        <f ca="1">IF(OR($D229&lt;&gt;"Serviço",AND(AUTOEVENTO="Manual",$M229=$A$15),$M229&gt;(ROW(PLE.lastrow)-ROW(PLE.firstrow))),0,
           IF(OFFSET(PLE!$G$15,$M229-$A$15,CF$13)="",10^12,OFFSET(PLE!$G$15,$M229-$A$15,CF$13)))</f>
        <v>1000000000000</v>
      </c>
      <c r="CG229" s="172">
        <f ca="1">IF(OR($D229&lt;&gt;"Serviço",AND(AUTOEVENTO="Manual",$M229=$A$15),$M229&gt;(ROW(PLE.lastrow)-ROW(PLE.firstrow))),0,
           IF(OFFSET(PLE!$G$15,$M229-$A$15,CG$13)="",10^12,OFFSET(PLE!$G$15,$M229-$A$15,CG$13)))</f>
        <v>1000000000000</v>
      </c>
      <c r="CH229" s="172">
        <f ca="1">IF(OR($D229&lt;&gt;"Serviço",AND(AUTOEVENTO="Manual",$M229=$A$15),$M229&gt;(ROW(PLE.lastrow)-ROW(PLE.firstrow))),0,
           IF(OFFSET(PLE!$G$15,$M229-$A$15,CH$13)="",10^12,OFFSET(PLE!$G$15,$M229-$A$15,CH$13)))</f>
        <v>1000000000000</v>
      </c>
      <c r="CI229" s="172">
        <f ca="1">IF(OR($D229&lt;&gt;"Serviço",AND(AUTOEVENTO="Manual",$M229=$A$15),$M229&gt;(ROW(PLE.lastrow)-ROW(PLE.firstrow))),0,
           IF(OFFSET(PLE!$G$15,$M229-$A$15,CI$13)="",10^12,OFFSET(PLE!$G$15,$M229-$A$15,CI$13)))</f>
        <v>1000000000000</v>
      </c>
      <c r="CJ229" s="172">
        <f ca="1">IF(OR($D229&lt;&gt;"Serviço",AND(AUTOEVENTO="Manual",$M229=$A$15),$M229&gt;(ROW(PLE.lastrow)-ROW(PLE.firstrow))),0,
           IF(OFFSET(PLE!$G$15,$M229-$A$15,CJ$13)="",10^12,OFFSET(PLE!$G$15,$M229-$A$15,CJ$13)))</f>
        <v>1000000000000</v>
      </c>
      <c r="CK229" s="172">
        <f ca="1">IF(OR($D229&lt;&gt;"Serviço",AND(AUTOEVENTO="Manual",$M229=$A$15),$M229&gt;(ROW(PLE.lastrow)-ROW(PLE.firstrow))),0,
           IF(OFFSET(PLE!$G$15,$M229-$A$15,CK$13)="",10^12,OFFSET(PLE!$G$15,$M229-$A$15,CK$13)))</f>
        <v>1000000000000</v>
      </c>
      <c r="CL229" s="172">
        <f ca="1">IF(OR($D229&lt;&gt;"Serviço",AND(AUTOEVENTO="Manual",$M229=$A$15),$M229&gt;(ROW(PLE.lastrow)-ROW(PLE.firstrow))),0,
           IF(OFFSET(PLE!$G$15,$M229-$A$15,CL$13)="",10^12,OFFSET(PLE!$G$15,$M229-$A$15,CL$13)))</f>
        <v>1000000000000</v>
      </c>
      <c r="CM229" s="172">
        <f ca="1">IF(OR($D229&lt;&gt;"Serviço",AND(AUTOEVENTO="Manual",$M229=$A$15),$M229&gt;(ROW(PLE.lastrow)-ROW(PLE.firstrow))),0,
           IF(OFFSET(PLE!$G$15,$M229-$A$15,CM$13)="",10^12,OFFSET(PLE!$G$15,$M229-$A$15,CM$13)))</f>
        <v>1000000000000</v>
      </c>
    </row>
    <row r="230" spans="1:91" ht="76.5" x14ac:dyDescent="0.2">
      <c r="A230" s="7">
        <f t="shared" ca="1" si="13"/>
        <v>5</v>
      </c>
      <c r="B230" s="7" t="str">
        <f ca="1">OFFSET(ORÇAMENTO!C$15,ROW(B230)-ROW(B$15),0)</f>
        <v>S</v>
      </c>
      <c r="C230" s="7" t="str">
        <f ca="1">OFFSET(ORÇAMENTO!L$15,ROW(C230)-ROW(C$15),0)</f>
        <v>F</v>
      </c>
      <c r="D230" s="116" t="str">
        <f ca="1">OFFSET(ORÇAMENTO!N$15,ROW(D230)-ROW(D$15),0)</f>
        <v>Serviço</v>
      </c>
      <c r="E230" s="117" t="str">
        <f ca="1">OFFSET(ORÇAMENTO!O$15,ROW(E230)-ROW(E$15),0)</f>
        <v>1.6.2.0.6.</v>
      </c>
      <c r="F230" s="163" t="str">
        <f ca="1">OFFSET(ORÇAMENTO!R$15,ROW(F230)-ROW(F$15),0)</f>
        <v>CONJUNTO PARAFUSO, PORCA E ARRUELA 1/2 - C = 2" - BASEADO EM AGESUL (1201008354)</v>
      </c>
      <c r="G230" s="164" t="str">
        <f ca="1">IF($D230&lt;&gt;"Serviço","",OFFSET(ORÇAMENTO!S$15,ROW(G230)-ROW(G$15),0))</f>
        <v>CJ</v>
      </c>
      <c r="H230" s="122" cm="1">
        <f t="array" aca="1" ref="H230" ca="1">IF($D230&lt;&gt;"Serviço",0,IF(ACOMPANHAMENTO="BM",ROUND(OFFSET(ORÇAMENTO!AJ$15,ROW(H230)-ROW(H$15),0),15-13*ORÇAMENTO!$AF$7),SUMPRODUCT(($Q$1:$AI$1=1)*ROUND($Q230:$AI230,15-13*ORÇAMENTO!$AF$7))))</f>
        <v>185</v>
      </c>
      <c r="I230" s="468" t="s">
        <v>1344</v>
      </c>
      <c r="J230" s="640" t="str" cm="1">
        <f t="array" aca="1" ref="J230" ca="1">IF(OR(B230&lt;&gt;"S",CÁLCULO.FrentesPreenchidas=0),"",IF(AND(ACOMPANHAMENTO="PLE",AUTOEVENTO="Manual",OR(H230&gt;0,ORÇAMENTO!AC230="QUANT."),OR(K230="",M230=0,N230="")),"►E",IF(AND(ACOMPANHAMENTO="PLE",ORÇAMENTO!AC230="QUANT."),"►Q",IF(AND(ACOMPANHAMENTO="PLE",H230&lt;&gt;SUMPRODUCT(($Q$1:$AI$1=1)*ROUND(Q230:AI230,15))),"►S",IF(AND(COUNTIF($P$11:$AI$11,"▼")=0,H230&gt;0,I230=""),"◄M","")))))</f>
        <v/>
      </c>
      <c r="K230" s="641" t="s">
        <v>1390</v>
      </c>
      <c r="L230" s="165" t="s">
        <v>764</v>
      </c>
      <c r="M230" s="166">
        <f ca="1">IF($D230&lt;&gt;"Serviço","",
          IF(AUTOEVENTO="manual",$A230,
                IF(ISERROR(MATCH($A230,$A$15:OFFSET($A230,-1,0),0)),MAX($M$15:OFFSET(M230,-1,0))+1,
                      INDEX($M$15:OFFSET(M230,-1,0),MATCH($A230,$A$15:OFFSET($A230,-1,0),0)))))</f>
        <v>5</v>
      </c>
      <c r="N230" s="167" t="str">
        <f ca="1">IF($D230&lt;&gt;"Serviço","",
         IF(AUTOEVENTO="Manual",
                IF($A230=0,"&lt;-- defina o número do agrupador",
                       OFFSET(EVENTOS!$D$15,$A230-$A$15,0)),
                OFFSET($F$15,$A230,0)))</f>
        <v>Estrutura Metálica</v>
      </c>
      <c r="O230" s="168"/>
      <c r="Q230" s="168"/>
      <c r="R230" s="169"/>
      <c r="S230" s="169"/>
      <c r="T230" s="169"/>
      <c r="U230" s="169"/>
      <c r="V230" s="169"/>
      <c r="W230" s="169">
        <v>185</v>
      </c>
      <c r="X230" s="169"/>
      <c r="Y230" s="169"/>
      <c r="Z230" s="170"/>
      <c r="AA230" s="169"/>
      <c r="AB230" s="169"/>
      <c r="AC230" s="169"/>
      <c r="AD230" s="169"/>
      <c r="AE230" s="169"/>
      <c r="AF230" s="169"/>
      <c r="AG230" s="169"/>
      <c r="AH230" s="170"/>
      <c r="AJ230" s="453">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0</v>
      </c>
      <c r="AK230" s="453">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0</v>
      </c>
      <c r="AL230" s="453">
        <f ca="1">IF(AND($D230="Serviço",AL$12&lt;&gt;0,$H230&gt;0,OR(AUTOEVENTO&lt;&gt;"manual",$M230&lt;&gt;$A$15)),
        IF(Import.TipoArredondamento&lt;&gt;"TransfereGOV",
              ROUND(OFFSET($P230,0,AL$13),15-13*ORÇAMENTO!$AF$7)/$H230*OFFSET(ORÇAMENTO!$X$15,ROW(AL230)-ROW(AL$15),0),
              ROUND(ROUND(OFFSET($P230,0,AL$13),15-13*ORÇAMENTO!$AF$7)*OFFSET(ORÇAMENTO!$W$15,ROW(AL230)-ROW(AL$15),0),15-13*ORÇAMENTO!$AF$11)),
         0)</f>
        <v>0</v>
      </c>
      <c r="AM230" s="453">
        <f ca="1">IF(AND($D230="Serviço",AM$12&lt;&gt;0,$H230&gt;0,OR(AUTOEVENTO&lt;&gt;"manual",$M230&lt;&gt;$A$15)),
        IF(Import.TipoArredondamento&lt;&gt;"TransfereGOV",
              ROUND(OFFSET($P230,0,AM$13),15-13*ORÇAMENTO!$AF$7)/$H230*OFFSET(ORÇAMENTO!$X$15,ROW(AM230)-ROW(AM$15),0),
              ROUND(ROUND(OFFSET($P230,0,AM$13),15-13*ORÇAMENTO!$AF$7)*OFFSET(ORÇAMENTO!$W$15,ROW(AM230)-ROW(AM$15),0),15-13*ORÇAMENTO!$AF$11)),
         0)</f>
        <v>0</v>
      </c>
      <c r="AN230" s="453">
        <f ca="1">IF(AND($D230="Serviço",AN$12&lt;&gt;0,$H230&gt;0,OR(AUTOEVENTO&lt;&gt;"manual",$M230&lt;&gt;$A$15)),
        IF(Import.TipoArredondamento&lt;&gt;"TransfereGOV",
              ROUND(OFFSET($P230,0,AN$13),15-13*ORÇAMENTO!$AF$7)/$H230*OFFSET(ORÇAMENTO!$X$15,ROW(AN230)-ROW(AN$15),0),
              ROUND(ROUND(OFFSET($P230,0,AN$13),15-13*ORÇAMENTO!$AF$7)*OFFSET(ORÇAMENTO!$W$15,ROW(AN230)-ROW(AN$15),0),15-13*ORÇAMENTO!$AF$11)),
         0)</f>
        <v>0</v>
      </c>
      <c r="AO230" s="453">
        <f ca="1">IF(AND($D230="Serviço",AO$12&lt;&gt;0,$H230&gt;0,OR(AUTOEVENTO&lt;&gt;"manual",$M230&lt;&gt;$A$15)),
        IF(Import.TipoArredondamento&lt;&gt;"TransfereGOV",
              ROUND(OFFSET($P230,0,AO$13),15-13*ORÇAMENTO!$AF$7)/$H230*OFFSET(ORÇAMENTO!$X$15,ROW(AO230)-ROW(AO$15),0),
              ROUND(ROUND(OFFSET($P230,0,AO$13),15-13*ORÇAMENTO!$AF$7)*OFFSET(ORÇAMENTO!$W$15,ROW(AO230)-ROW(AO$15),0),15-13*ORÇAMENTO!$AF$11)),
         0)</f>
        <v>0</v>
      </c>
      <c r="AP230" s="453">
        <f ca="1">IF(AND($D230="Serviço",AP$12&lt;&gt;0,$H230&gt;0,OR(AUTOEVENTO&lt;&gt;"manual",$M230&lt;&gt;$A$15)),
        IF(Import.TipoArredondamento&lt;&gt;"TransfereGOV",
              ROUND(OFFSET($P230,0,AP$13),15-13*ORÇAMENTO!$AF$7)/$H230*OFFSET(ORÇAMENTO!$X$15,ROW(AP230)-ROW(AP$15),0),
              ROUND(ROUND(OFFSET($P230,0,AP$13),15-13*ORÇAMENTO!$AF$7)*OFFSET(ORÇAMENTO!$W$15,ROW(AP230)-ROW(AP$15),0),15-13*ORÇAMENTO!$AF$11)),
         0)</f>
        <v>0</v>
      </c>
      <c r="AQ230" s="453">
        <f ca="1">IF(AND($D230="Serviço",AQ$12&lt;&gt;0,$H230&gt;0,OR(AUTOEVENTO&lt;&gt;"manual",$M230&lt;&gt;$A$15)),
        IF(Import.TipoArredondamento&lt;&gt;"TransfereGOV",
              ROUND(OFFSET($P230,0,AQ$13),15-13*ORÇAMENTO!$AF$7)/$H230*OFFSET(ORÇAMENTO!$X$15,ROW(AQ230)-ROW(AQ$15),0),
              ROUND(ROUND(OFFSET($P230,0,AQ$13),15-13*ORÇAMENTO!$AF$7)*OFFSET(ORÇAMENTO!$W$15,ROW(AQ230)-ROW(AQ$15),0),15-13*ORÇAMENTO!$AF$11)),
         0)</f>
        <v>0</v>
      </c>
      <c r="AR230" s="453">
        <f ca="1">IF(AND($D230="Serviço",AR$12&lt;&gt;0,$H230&gt;0,OR(AUTOEVENTO&lt;&gt;"manual",$M230&lt;&gt;$A$15)),
        IF(Import.TipoArredondamento&lt;&gt;"TransfereGOV",
              ROUND(OFFSET($P230,0,AR$13),15-13*ORÇAMENTO!$AF$7)/$H230*OFFSET(ORÇAMENTO!$X$15,ROW(AR230)-ROW(AR$15),0),
              ROUND(ROUND(OFFSET($P230,0,AR$13),15-13*ORÇAMENTO!$AF$7)*OFFSET(ORÇAMENTO!$W$15,ROW(AR230)-ROW(AR$15),0),15-13*ORÇAMENTO!$AF$11)),
         0)</f>
        <v>0</v>
      </c>
      <c r="AS230" s="453">
        <f ca="1">IF(AND($D230="Serviço",AS$12&lt;&gt;0,$H230&gt;0,OR(AUTOEVENTO&lt;&gt;"manual",$M230&lt;&gt;$A$15)),
        IF(Import.TipoArredondamento&lt;&gt;"TransfereGOV",
              ROUND(OFFSET($P230,0,AS$13),15-13*ORÇAMENTO!$AF$7)/$H230*OFFSET(ORÇAMENTO!$X$15,ROW(AS230)-ROW(AS$15),0),
              ROUND(ROUND(OFFSET($P230,0,AS$13),15-13*ORÇAMENTO!$AF$7)*OFFSET(ORÇAMENTO!$W$15,ROW(AS230)-ROW(AS$15),0),15-13*ORÇAMENTO!$AF$11)),
         0)</f>
        <v>0</v>
      </c>
      <c r="AT230" s="453">
        <f ca="1">IF(AND($D230="Serviço",AT$12&lt;&gt;0,$H230&gt;0,OR(AUTOEVENTO&lt;&gt;"manual",$M230&lt;&gt;$A$15)),
        IF(Import.TipoArredondamento&lt;&gt;"TransfereGOV",
              ROUND(OFFSET($P230,0,AT$13),15-13*ORÇAMENTO!$AF$7)/$H230*OFFSET(ORÇAMENTO!$X$15,ROW(AT230)-ROW(AT$15),0),
              ROUND(ROUND(OFFSET($P230,0,AT$13),15-13*ORÇAMENTO!$AF$7)*OFFSET(ORÇAMENTO!$W$15,ROW(AT230)-ROW(AT$15),0),15-13*ORÇAMENTO!$AF$11)),
         0)</f>
        <v>0</v>
      </c>
      <c r="AU230" s="453">
        <f ca="1">IF(AND($D230="Serviço",AU$12&lt;&gt;0,$H230&gt;0,OR(AUTOEVENTO&lt;&gt;"manual",$M230&lt;&gt;$A$15)),
        IF(Import.TipoArredondamento&lt;&gt;"TransfereGOV",
              ROUND(OFFSET($P230,0,AU$13),15-13*ORÇAMENTO!$AF$7)/$H230*OFFSET(ORÇAMENTO!$X$15,ROW(AU230)-ROW(AU$15),0),
              ROUND(ROUND(OFFSET($P230,0,AU$13),15-13*ORÇAMENTO!$AF$7)*OFFSET(ORÇAMENTO!$W$15,ROW(AU230)-ROW(AU$15),0),15-13*ORÇAMENTO!$AF$11)),
         0)</f>
        <v>0</v>
      </c>
      <c r="AV230" s="453">
        <f ca="1">IF(AND($D230="Serviço",AV$12&lt;&gt;0,$H230&gt;0,OR(AUTOEVENTO&lt;&gt;"manual",$M230&lt;&gt;$A$15)),
        IF(Import.TipoArredondamento&lt;&gt;"TransfereGOV",
              ROUND(OFFSET($P230,0,AV$13),15-13*ORÇAMENTO!$AF$7)/$H230*OFFSET(ORÇAMENTO!$X$15,ROW(AV230)-ROW(AV$15),0),
              ROUND(ROUND(OFFSET($P230,0,AV$13),15-13*ORÇAMENTO!$AF$7)*OFFSET(ORÇAMENTO!$W$15,ROW(AV230)-ROW(AV$15),0),15-13*ORÇAMENTO!$AF$11)),
         0)</f>
        <v>0</v>
      </c>
      <c r="AW230" s="453">
        <f ca="1">IF(AND($D230="Serviço",AW$12&lt;&gt;0,$H230&gt;0,OR(AUTOEVENTO&lt;&gt;"manual",$M230&lt;&gt;$A$15)),
        IF(Import.TipoArredondamento&lt;&gt;"TransfereGOV",
              ROUND(OFFSET($P230,0,AW$13),15-13*ORÇAMENTO!$AF$7)/$H230*OFFSET(ORÇAMENTO!$X$15,ROW(AW230)-ROW(AW$15),0),
              ROUND(ROUND(OFFSET($P230,0,AW$13),15-13*ORÇAMENTO!$AF$7)*OFFSET(ORÇAMENTO!$W$15,ROW(AW230)-ROW(AW$15),0),15-13*ORÇAMENTO!$AF$11)),
         0)</f>
        <v>0</v>
      </c>
      <c r="AX230" s="453">
        <f ca="1">IF(AND($D230="Serviço",AX$12&lt;&gt;0,$H230&gt;0,OR(AUTOEVENTO&lt;&gt;"manual",$M230&lt;&gt;$A$15)),
        IF(Import.TipoArredondamento&lt;&gt;"TransfereGOV",
              ROUND(OFFSET($P230,0,AX$13),15-13*ORÇAMENTO!$AF$7)/$H230*OFFSET(ORÇAMENTO!$X$15,ROW(AX230)-ROW(AX$15),0),
              ROUND(ROUND(OFFSET($P230,0,AX$13),15-13*ORÇAMENTO!$AF$7)*OFFSET(ORÇAMENTO!$W$15,ROW(AX230)-ROW(AX$15),0),15-13*ORÇAMENTO!$AF$11)),
         0)</f>
        <v>0</v>
      </c>
      <c r="AY230" s="453">
        <f ca="1">IF(AND($D230="Serviço",AY$12&lt;&gt;0,$H230&gt;0,OR(AUTOEVENTO&lt;&gt;"manual",$M230&lt;&gt;$A$15)),
        IF(Import.TipoArredondamento&lt;&gt;"TransfereGOV",
              ROUND(OFFSET($P230,0,AY$13),15-13*ORÇAMENTO!$AF$7)/$H230*OFFSET(ORÇAMENTO!$X$15,ROW(AY230)-ROW(AY$15),0),
              ROUND(ROUND(OFFSET($P230,0,AY$13),15-13*ORÇAMENTO!$AF$7)*OFFSET(ORÇAMENTO!$W$15,ROW(AY230)-ROW(AY$15),0),15-13*ORÇAMENTO!$AF$11)),
         0)</f>
        <v>0</v>
      </c>
      <c r="AZ230" s="453">
        <f ca="1">IF(AND($D230="Serviço",AZ$12&lt;&gt;0,$H230&gt;0,OR(AUTOEVENTO&lt;&gt;"manual",$M230&lt;&gt;$A$15)),
        IF(Import.TipoArredondamento&lt;&gt;"TransfereGOV",
              ROUND(OFFSET($P230,0,AZ$13),15-13*ORÇAMENTO!$AF$7)/$H230*OFFSET(ORÇAMENTO!$X$15,ROW(AZ230)-ROW(AZ$15),0),
              ROUND(ROUND(OFFSET($P230,0,AZ$13),15-13*ORÇAMENTO!$AF$7)*OFFSET(ORÇAMENTO!$W$15,ROW(AZ230)-ROW(AZ$15),0),15-13*ORÇAMENTO!$AF$11)),
         0)</f>
        <v>0</v>
      </c>
      <c r="BA230" s="453">
        <f ca="1">IF(AND($D230="Serviço",BA$12&lt;&gt;0,$H230&gt;0,OR(AUTOEVENTO&lt;&gt;"manual",$M230&lt;&gt;$A$15)),
        IF(Import.TipoArredondamento&lt;&gt;"TransfereGOV",
              ROUND(OFFSET($P230,0,BA$13),15-13*ORÇAMENTO!$AF$7)/$H230*OFFSET(ORÇAMENTO!$X$15,ROW(BA230)-ROW(BA$15),0),
              ROUND(ROUND(OFFSET($P230,0,BA$13),15-13*ORÇAMENTO!$AF$7)*OFFSET(ORÇAMENTO!$W$15,ROW(BA230)-ROW(BA$15),0),15-13*ORÇAMENTO!$AF$11)),
         0)</f>
        <v>0</v>
      </c>
      <c r="BC230" s="171">
        <f ca="1">IF(OR($D230&lt;&gt;"Serviço",AND(AUTOEVENTO="Manual",$M230=$A$15)),0,
         IF(OFFSET(CRONOPLE!$F$15,$M230-$A$15,BC$13)=0,10^12,OFFSET(CRONOPLE!$F$15,$M230-$A$15,BC$13)))</f>
        <v>1</v>
      </c>
      <c r="BD230" s="171">
        <f ca="1">IF(OR($D230&lt;&gt;"Serviço",AND(AUTOEVENTO="Manual",$M230=$A$15)),0,
         IF(OFFSET(CRONOPLE!$F$15,$M230-$A$15,BD$13)=0,10^12,OFFSET(CRONOPLE!$F$15,$M230-$A$15,BD$13)))</f>
        <v>2</v>
      </c>
      <c r="BE230" s="171">
        <f ca="1">IF(OR($D230&lt;&gt;"Serviço",AND(AUTOEVENTO="Manual",$M230=$A$15)),0,
         IF(OFFSET(CRONOPLE!$F$15,$M230-$A$15,BE$13)=0,10^12,OFFSET(CRONOPLE!$F$15,$M230-$A$15,BE$13)))</f>
        <v>3</v>
      </c>
      <c r="BF230" s="171">
        <f ca="1">IF(OR($D230&lt;&gt;"Serviço",AND(AUTOEVENTO="Manual",$M230=$A$15)),0,
         IF(OFFSET(CRONOPLE!$F$15,$M230-$A$15,BF$13)=0,10^12,OFFSET(CRONOPLE!$F$15,$M230-$A$15,BF$13)))</f>
        <v>4</v>
      </c>
      <c r="BG230" s="171">
        <f ca="1">IF(OR($D230&lt;&gt;"Serviço",AND(AUTOEVENTO="Manual",$M230=$A$15)),0,
         IF(OFFSET(CRONOPLE!$F$15,$M230-$A$15,BG$13)=0,10^12,OFFSET(CRONOPLE!$F$15,$M230-$A$15,BG$13)))</f>
        <v>5</v>
      </c>
      <c r="BH230" s="171">
        <f ca="1">IF(OR($D230&lt;&gt;"Serviço",AND(AUTOEVENTO="Manual",$M230=$A$15)),0,
         IF(OFFSET(CRONOPLE!$F$15,$M230-$A$15,BH$13)=0,10^12,OFFSET(CRONOPLE!$F$15,$M230-$A$15,BH$13)))</f>
        <v>6</v>
      </c>
      <c r="BI230" s="171">
        <f ca="1">IF(OR($D230&lt;&gt;"Serviço",AND(AUTOEVENTO="Manual",$M230=$A$15)),0,
         IF(OFFSET(CRONOPLE!$F$15,$M230-$A$15,BI$13)=0,10^12,OFFSET(CRONOPLE!$F$15,$M230-$A$15,BI$13)))</f>
        <v>7</v>
      </c>
      <c r="BJ230" s="171">
        <f ca="1">IF(OR($D230&lt;&gt;"Serviço",AND(AUTOEVENTO="Manual",$M230=$A$15)),0,
         IF(OFFSET(CRONOPLE!$F$15,$M230-$A$15,BJ$13)=0,10^12,OFFSET(CRONOPLE!$F$15,$M230-$A$15,BJ$13)))</f>
        <v>8</v>
      </c>
      <c r="BK230" s="171">
        <f ca="1">IF(OR($D230&lt;&gt;"Serviço",AND(AUTOEVENTO="Manual",$M230=$A$15)),0,
         IF(OFFSET(CRONOPLE!$F$15,$M230-$A$15,BK$13)=0,10^12,OFFSET(CRONOPLE!$F$15,$M230-$A$15,BK$13)))</f>
        <v>9</v>
      </c>
      <c r="BL230" s="171">
        <f ca="1">IF(OR($D230&lt;&gt;"Serviço",AND(AUTOEVENTO="Manual",$M230=$A$15)),0,
         IF(OFFSET(CRONOPLE!$F$15,$M230-$A$15,BL$13)=0,10^12,OFFSET(CRONOPLE!$F$15,$M230-$A$15,BL$13)))</f>
        <v>10</v>
      </c>
      <c r="BM230" s="171">
        <f ca="1">IF(OR($D230&lt;&gt;"Serviço",AND(AUTOEVENTO="Manual",$M230=$A$15)),0,
         IF(OFFSET(CRONOPLE!$F$15,$M230-$A$15,BM$13)=0,10^12,OFFSET(CRONOPLE!$F$15,$M230-$A$15,BM$13)))</f>
        <v>1000000000000</v>
      </c>
      <c r="BN230" s="171">
        <f ca="1">IF(OR($D230&lt;&gt;"Serviço",AND(AUTOEVENTO="Manual",$M230=$A$15)),0,
         IF(OFFSET(CRONOPLE!$F$15,$M230-$A$15,BN$13)=0,10^12,OFFSET(CRONOPLE!$F$15,$M230-$A$15,BN$13)))</f>
        <v>1000000000000</v>
      </c>
      <c r="BO230" s="171">
        <f ca="1">IF(OR($D230&lt;&gt;"Serviço",AND(AUTOEVENTO="Manual",$M230=$A$15)),0,
         IF(OFFSET(CRONOPLE!$F$15,$M230-$A$15,BO$13)=0,10^12,OFFSET(CRONOPLE!$F$15,$M230-$A$15,BO$13)))</f>
        <v>1000000000000</v>
      </c>
      <c r="BP230" s="171">
        <f ca="1">IF(OR($D230&lt;&gt;"Serviço",AND(AUTOEVENTO="Manual",$M230=$A$15)),0,
         IF(OFFSET(CRONOPLE!$F$15,$M230-$A$15,BP$13)=0,10^12,OFFSET(CRONOPLE!$F$15,$M230-$A$15,BP$13)))</f>
        <v>1000000000000</v>
      </c>
      <c r="BQ230" s="171">
        <f ca="1">IF(OR($D230&lt;&gt;"Serviço",AND(AUTOEVENTO="Manual",$M230=$A$15)),0,
         IF(OFFSET(CRONOPLE!$F$15,$M230-$A$15,BQ$13)=0,10^12,OFFSET(CRONOPLE!$F$15,$M230-$A$15,BQ$13)))</f>
        <v>1000000000000</v>
      </c>
      <c r="BR230" s="171">
        <f ca="1">IF(OR($D230&lt;&gt;"Serviço",AND(AUTOEVENTO="Manual",$M230=$A$15)),0,
         IF(OFFSET(CRONOPLE!$F$15,$M230-$A$15,BR$13)=0,10^12,OFFSET(CRONOPLE!$F$15,$M230-$A$15,BR$13)))</f>
        <v>1000000000000</v>
      </c>
      <c r="BS230" s="171">
        <f ca="1">IF(OR($D230&lt;&gt;"Serviço",AND(AUTOEVENTO="Manual",$M230=$A$15)),0,
         IF(OFFSET(CRONOPLE!$F$15,$M230-$A$15,BS$13)=0,10^12,OFFSET(CRONOPLE!$F$15,$M230-$A$15,BS$13)))</f>
        <v>1000000000000</v>
      </c>
      <c r="BT230" s="171">
        <f ca="1">IF(OR($D230&lt;&gt;"Serviço",AND(AUTOEVENTO="Manual",$M230=$A$15)),0,
         IF(OFFSET(CRONOPLE!$F$15,$M230-$A$15,BT$13)=0,10^12,OFFSET(CRONOPLE!$F$15,$M230-$A$15,BT$13)))</f>
        <v>1000000000000</v>
      </c>
      <c r="BV230" s="172">
        <f ca="1">IF(OR($D230&lt;&gt;"Serviço",AND(AUTOEVENTO="Manual",$M230=$A$15),$M230&gt;(ROW(PLE.lastrow)-ROW(PLE.firstrow))),0,
           IF(OFFSET(PLE!$G$15,$M230-$A$15,BV$13)="",10^12,OFFSET(PLE!$G$15,$M230-$A$15,BV$13)))</f>
        <v>1000000000000</v>
      </c>
      <c r="BW230" s="172">
        <f ca="1">IF(OR($D230&lt;&gt;"Serviço",AND(AUTOEVENTO="Manual",$M230=$A$15),$M230&gt;(ROW(PLE.lastrow)-ROW(PLE.firstrow))),0,
           IF(OFFSET(PLE!$G$15,$M230-$A$15,BW$13)="",10^12,OFFSET(PLE!$G$15,$M230-$A$15,BW$13)))</f>
        <v>1000000000000</v>
      </c>
      <c r="BX230" s="172">
        <f ca="1">IF(OR($D230&lt;&gt;"Serviço",AND(AUTOEVENTO="Manual",$M230=$A$15),$M230&gt;(ROW(PLE.lastrow)-ROW(PLE.firstrow))),0,
           IF(OFFSET(PLE!$G$15,$M230-$A$15,BX$13)="",10^12,OFFSET(PLE!$G$15,$M230-$A$15,BX$13)))</f>
        <v>1000000000000</v>
      </c>
      <c r="BY230" s="172">
        <f ca="1">IF(OR($D230&lt;&gt;"Serviço",AND(AUTOEVENTO="Manual",$M230=$A$15),$M230&gt;(ROW(PLE.lastrow)-ROW(PLE.firstrow))),0,
           IF(OFFSET(PLE!$G$15,$M230-$A$15,BY$13)="",10^12,OFFSET(PLE!$G$15,$M230-$A$15,BY$13)))</f>
        <v>1000000000000</v>
      </c>
      <c r="BZ230" s="172">
        <f ca="1">IF(OR($D230&lt;&gt;"Serviço",AND(AUTOEVENTO="Manual",$M230=$A$15),$M230&gt;(ROW(PLE.lastrow)-ROW(PLE.firstrow))),0,
           IF(OFFSET(PLE!$G$15,$M230-$A$15,BZ$13)="",10^12,OFFSET(PLE!$G$15,$M230-$A$15,BZ$13)))</f>
        <v>1000000000000</v>
      </c>
      <c r="CA230" s="172">
        <f ca="1">IF(OR($D230&lt;&gt;"Serviço",AND(AUTOEVENTO="Manual",$M230=$A$15),$M230&gt;(ROW(PLE.lastrow)-ROW(PLE.firstrow))),0,
           IF(OFFSET(PLE!$G$15,$M230-$A$15,CA$13)="",10^12,OFFSET(PLE!$G$15,$M230-$A$15,CA$13)))</f>
        <v>1000000000000</v>
      </c>
      <c r="CB230" s="172">
        <f ca="1">IF(OR($D230&lt;&gt;"Serviço",AND(AUTOEVENTO="Manual",$M230=$A$15),$M230&gt;(ROW(PLE.lastrow)-ROW(PLE.firstrow))),0,
           IF(OFFSET(PLE!$G$15,$M230-$A$15,CB$13)="",10^12,OFFSET(PLE!$G$15,$M230-$A$15,CB$13)))</f>
        <v>1000000000000</v>
      </c>
      <c r="CC230" s="172">
        <f ca="1">IF(OR($D230&lt;&gt;"Serviço",AND(AUTOEVENTO="Manual",$M230=$A$15),$M230&gt;(ROW(PLE.lastrow)-ROW(PLE.firstrow))),0,
           IF(OFFSET(PLE!$G$15,$M230-$A$15,CC$13)="",10^12,OFFSET(PLE!$G$15,$M230-$A$15,CC$13)))</f>
        <v>1000000000000</v>
      </c>
      <c r="CD230" s="172">
        <f ca="1">IF(OR($D230&lt;&gt;"Serviço",AND(AUTOEVENTO="Manual",$M230=$A$15),$M230&gt;(ROW(PLE.lastrow)-ROW(PLE.firstrow))),0,
           IF(OFFSET(PLE!$G$15,$M230-$A$15,CD$13)="",10^12,OFFSET(PLE!$G$15,$M230-$A$15,CD$13)))</f>
        <v>1000000000000</v>
      </c>
      <c r="CE230" s="172">
        <f ca="1">IF(OR($D230&lt;&gt;"Serviço",AND(AUTOEVENTO="Manual",$M230=$A$15),$M230&gt;(ROW(PLE.lastrow)-ROW(PLE.firstrow))),0,
           IF(OFFSET(PLE!$G$15,$M230-$A$15,CE$13)="",10^12,OFFSET(PLE!$G$15,$M230-$A$15,CE$13)))</f>
        <v>1000000000000</v>
      </c>
      <c r="CF230" s="172">
        <f ca="1">IF(OR($D230&lt;&gt;"Serviço",AND(AUTOEVENTO="Manual",$M230=$A$15),$M230&gt;(ROW(PLE.lastrow)-ROW(PLE.firstrow))),0,
           IF(OFFSET(PLE!$G$15,$M230-$A$15,CF$13)="",10^12,OFFSET(PLE!$G$15,$M230-$A$15,CF$13)))</f>
        <v>1000000000000</v>
      </c>
      <c r="CG230" s="172">
        <f ca="1">IF(OR($D230&lt;&gt;"Serviço",AND(AUTOEVENTO="Manual",$M230=$A$15),$M230&gt;(ROW(PLE.lastrow)-ROW(PLE.firstrow))),0,
           IF(OFFSET(PLE!$G$15,$M230-$A$15,CG$13)="",10^12,OFFSET(PLE!$G$15,$M230-$A$15,CG$13)))</f>
        <v>1000000000000</v>
      </c>
      <c r="CH230" s="172">
        <f ca="1">IF(OR($D230&lt;&gt;"Serviço",AND(AUTOEVENTO="Manual",$M230=$A$15),$M230&gt;(ROW(PLE.lastrow)-ROW(PLE.firstrow))),0,
           IF(OFFSET(PLE!$G$15,$M230-$A$15,CH$13)="",10^12,OFFSET(PLE!$G$15,$M230-$A$15,CH$13)))</f>
        <v>1000000000000</v>
      </c>
      <c r="CI230" s="172">
        <f ca="1">IF(OR($D230&lt;&gt;"Serviço",AND(AUTOEVENTO="Manual",$M230=$A$15),$M230&gt;(ROW(PLE.lastrow)-ROW(PLE.firstrow))),0,
           IF(OFFSET(PLE!$G$15,$M230-$A$15,CI$13)="",10^12,OFFSET(PLE!$G$15,$M230-$A$15,CI$13)))</f>
        <v>1000000000000</v>
      </c>
      <c r="CJ230" s="172">
        <f ca="1">IF(OR($D230&lt;&gt;"Serviço",AND(AUTOEVENTO="Manual",$M230=$A$15),$M230&gt;(ROW(PLE.lastrow)-ROW(PLE.firstrow))),0,
           IF(OFFSET(PLE!$G$15,$M230-$A$15,CJ$13)="",10^12,OFFSET(PLE!$G$15,$M230-$A$15,CJ$13)))</f>
        <v>1000000000000</v>
      </c>
      <c r="CK230" s="172">
        <f ca="1">IF(OR($D230&lt;&gt;"Serviço",AND(AUTOEVENTO="Manual",$M230=$A$15),$M230&gt;(ROW(PLE.lastrow)-ROW(PLE.firstrow))),0,
           IF(OFFSET(PLE!$G$15,$M230-$A$15,CK$13)="",10^12,OFFSET(PLE!$G$15,$M230-$A$15,CK$13)))</f>
        <v>1000000000000</v>
      </c>
      <c r="CL230" s="172">
        <f ca="1">IF(OR($D230&lt;&gt;"Serviço",AND(AUTOEVENTO="Manual",$M230=$A$15),$M230&gt;(ROW(PLE.lastrow)-ROW(PLE.firstrow))),0,
           IF(OFFSET(PLE!$G$15,$M230-$A$15,CL$13)="",10^12,OFFSET(PLE!$G$15,$M230-$A$15,CL$13)))</f>
        <v>1000000000000</v>
      </c>
      <c r="CM230" s="172">
        <f ca="1">IF(OR($D230&lt;&gt;"Serviço",AND(AUTOEVENTO="Manual",$M230=$A$15),$M230&gt;(ROW(PLE.lastrow)-ROW(PLE.firstrow))),0,
           IF(OFFSET(PLE!$G$15,$M230-$A$15,CM$13)="",10^12,OFFSET(PLE!$G$15,$M230-$A$15,CM$13)))</f>
        <v>1000000000000</v>
      </c>
    </row>
    <row r="231" spans="1:91" ht="76.5" x14ac:dyDescent="0.2">
      <c r="A231" s="7">
        <f t="shared" ca="1" si="13"/>
        <v>5</v>
      </c>
      <c r="B231" s="7" t="str">
        <f ca="1">OFFSET(ORÇAMENTO!C$15,ROW(B231)-ROW(B$15),0)</f>
        <v>S</v>
      </c>
      <c r="C231" s="7" t="str">
        <f ca="1">OFFSET(ORÇAMENTO!L$15,ROW(C231)-ROW(C$15),0)</f>
        <v>F</v>
      </c>
      <c r="D231" s="116" t="str">
        <f ca="1">OFFSET(ORÇAMENTO!N$15,ROW(D231)-ROW(D$15),0)</f>
        <v>Serviço</v>
      </c>
      <c r="E231" s="117" t="str">
        <f ca="1">OFFSET(ORÇAMENTO!O$15,ROW(E231)-ROW(E$15),0)</f>
        <v>1.6.2.0.7.</v>
      </c>
      <c r="F231" s="163" t="str">
        <f ca="1">OFFSET(ORÇAMENTO!R$15,ROW(F231)-ROW(F$15),0)</f>
        <v>CONJUNTO PARAFUSO, PORCA E ARRUELA 1/2 - C = 1.3/4" - BASEADO EM AGESUL (1201008354)</v>
      </c>
      <c r="G231" s="164" t="str">
        <f ca="1">IF($D231&lt;&gt;"Serviço","",OFFSET(ORÇAMENTO!S$15,ROW(G231)-ROW(G$15),0))</f>
        <v>CJ</v>
      </c>
      <c r="H231" s="122" cm="1">
        <f t="array" aca="1" ref="H231" ca="1">IF($D231&lt;&gt;"Serviço",0,IF(ACOMPANHAMENTO="BM",ROUND(OFFSET(ORÇAMENTO!AJ$15,ROW(H231)-ROW(H$15),0),15-13*ORÇAMENTO!$AF$7),SUMPRODUCT(($Q$1:$AI$1=1)*ROUND($Q231:$AI231,15-13*ORÇAMENTO!$AF$7))))</f>
        <v>15</v>
      </c>
      <c r="I231" s="468" t="s">
        <v>1344</v>
      </c>
      <c r="J231" s="640" t="str" cm="1">
        <f t="array" aca="1" ref="J231" ca="1">IF(OR(B231&lt;&gt;"S",CÁLCULO.FrentesPreenchidas=0),"",IF(AND(ACOMPANHAMENTO="PLE",AUTOEVENTO="Manual",OR(H231&gt;0,ORÇAMENTO!AC231="QUANT."),OR(K231="",M231=0,N231="")),"►E",IF(AND(ACOMPANHAMENTO="PLE",ORÇAMENTO!AC231="QUANT."),"►Q",IF(AND(ACOMPANHAMENTO="PLE",H231&lt;&gt;SUMPRODUCT(($Q$1:$AI$1=1)*ROUND(Q231:AI231,15))),"►S",IF(AND(COUNTIF($P$11:$AI$11,"▼")=0,H231&gt;0,I231=""),"◄M","")))))</f>
        <v/>
      </c>
      <c r="K231" s="641" t="s">
        <v>1390</v>
      </c>
      <c r="L231" s="165" t="s">
        <v>764</v>
      </c>
      <c r="M231" s="166">
        <f ca="1">IF($D231&lt;&gt;"Serviço","",
          IF(AUTOEVENTO="manual",$A231,
                IF(ISERROR(MATCH($A231,$A$15:OFFSET($A231,-1,0),0)),MAX($M$15:OFFSET(M231,-1,0))+1,
                      INDEX($M$15:OFFSET(M231,-1,0),MATCH($A231,$A$15:OFFSET($A231,-1,0),0)))))</f>
        <v>5</v>
      </c>
      <c r="N231" s="167" t="str">
        <f ca="1">IF($D231&lt;&gt;"Serviço","",
         IF(AUTOEVENTO="Manual",
                IF($A231=0,"&lt;-- defina o número do agrupador",
                       OFFSET(EVENTOS!$D$15,$A231-$A$15,0)),
                OFFSET($F$15,$A231,0)))</f>
        <v>Estrutura Metálica</v>
      </c>
      <c r="O231" s="168"/>
      <c r="Q231" s="168"/>
      <c r="R231" s="169"/>
      <c r="S231" s="169"/>
      <c r="T231" s="169"/>
      <c r="U231" s="169"/>
      <c r="V231" s="169"/>
      <c r="W231" s="169">
        <v>15</v>
      </c>
      <c r="X231" s="169"/>
      <c r="Y231" s="169"/>
      <c r="Z231" s="170"/>
      <c r="AA231" s="169"/>
      <c r="AB231" s="169"/>
      <c r="AC231" s="169"/>
      <c r="AD231" s="169"/>
      <c r="AE231" s="169"/>
      <c r="AF231" s="169"/>
      <c r="AG231" s="169"/>
      <c r="AH231" s="170"/>
      <c r="AJ231" s="453">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0</v>
      </c>
      <c r="AK231" s="453">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0</v>
      </c>
      <c r="AL231" s="453">
        <f ca="1">IF(AND($D231="Serviço",AL$12&lt;&gt;0,$H231&gt;0,OR(AUTOEVENTO&lt;&gt;"manual",$M231&lt;&gt;$A$15)),
        IF(Import.TipoArredondamento&lt;&gt;"TransfereGOV",
              ROUND(OFFSET($P231,0,AL$13),15-13*ORÇAMENTO!$AF$7)/$H231*OFFSET(ORÇAMENTO!$X$15,ROW(AL231)-ROW(AL$15),0),
              ROUND(ROUND(OFFSET($P231,0,AL$13),15-13*ORÇAMENTO!$AF$7)*OFFSET(ORÇAMENTO!$W$15,ROW(AL231)-ROW(AL$15),0),15-13*ORÇAMENTO!$AF$11)),
         0)</f>
        <v>0</v>
      </c>
      <c r="AM231" s="453">
        <f ca="1">IF(AND($D231="Serviço",AM$12&lt;&gt;0,$H231&gt;0,OR(AUTOEVENTO&lt;&gt;"manual",$M231&lt;&gt;$A$15)),
        IF(Import.TipoArredondamento&lt;&gt;"TransfereGOV",
              ROUND(OFFSET($P231,0,AM$13),15-13*ORÇAMENTO!$AF$7)/$H231*OFFSET(ORÇAMENTO!$X$15,ROW(AM231)-ROW(AM$15),0),
              ROUND(ROUND(OFFSET($P231,0,AM$13),15-13*ORÇAMENTO!$AF$7)*OFFSET(ORÇAMENTO!$W$15,ROW(AM231)-ROW(AM$15),0),15-13*ORÇAMENTO!$AF$11)),
         0)</f>
        <v>0</v>
      </c>
      <c r="AN231" s="453">
        <f ca="1">IF(AND($D231="Serviço",AN$12&lt;&gt;0,$H231&gt;0,OR(AUTOEVENTO&lt;&gt;"manual",$M231&lt;&gt;$A$15)),
        IF(Import.TipoArredondamento&lt;&gt;"TransfereGOV",
              ROUND(OFFSET($P231,0,AN$13),15-13*ORÇAMENTO!$AF$7)/$H231*OFFSET(ORÇAMENTO!$X$15,ROW(AN231)-ROW(AN$15),0),
              ROUND(ROUND(OFFSET($P231,0,AN$13),15-13*ORÇAMENTO!$AF$7)*OFFSET(ORÇAMENTO!$W$15,ROW(AN231)-ROW(AN$15),0),15-13*ORÇAMENTO!$AF$11)),
         0)</f>
        <v>0</v>
      </c>
      <c r="AO231" s="453">
        <f ca="1">IF(AND($D231="Serviço",AO$12&lt;&gt;0,$H231&gt;0,OR(AUTOEVENTO&lt;&gt;"manual",$M231&lt;&gt;$A$15)),
        IF(Import.TipoArredondamento&lt;&gt;"TransfereGOV",
              ROUND(OFFSET($P231,0,AO$13),15-13*ORÇAMENTO!$AF$7)/$H231*OFFSET(ORÇAMENTO!$X$15,ROW(AO231)-ROW(AO$15),0),
              ROUND(ROUND(OFFSET($P231,0,AO$13),15-13*ORÇAMENTO!$AF$7)*OFFSET(ORÇAMENTO!$W$15,ROW(AO231)-ROW(AO$15),0),15-13*ORÇAMENTO!$AF$11)),
         0)</f>
        <v>0</v>
      </c>
      <c r="AP231" s="453">
        <f ca="1">IF(AND($D231="Serviço",AP$12&lt;&gt;0,$H231&gt;0,OR(AUTOEVENTO&lt;&gt;"manual",$M231&lt;&gt;$A$15)),
        IF(Import.TipoArredondamento&lt;&gt;"TransfereGOV",
              ROUND(OFFSET($P231,0,AP$13),15-13*ORÇAMENTO!$AF$7)/$H231*OFFSET(ORÇAMENTO!$X$15,ROW(AP231)-ROW(AP$15),0),
              ROUND(ROUND(OFFSET($P231,0,AP$13),15-13*ORÇAMENTO!$AF$7)*OFFSET(ORÇAMENTO!$W$15,ROW(AP231)-ROW(AP$15),0),15-13*ORÇAMENTO!$AF$11)),
         0)</f>
        <v>0</v>
      </c>
      <c r="AQ231" s="453">
        <f ca="1">IF(AND($D231="Serviço",AQ$12&lt;&gt;0,$H231&gt;0,OR(AUTOEVENTO&lt;&gt;"manual",$M231&lt;&gt;$A$15)),
        IF(Import.TipoArredondamento&lt;&gt;"TransfereGOV",
              ROUND(OFFSET($P231,0,AQ$13),15-13*ORÇAMENTO!$AF$7)/$H231*OFFSET(ORÇAMENTO!$X$15,ROW(AQ231)-ROW(AQ$15),0),
              ROUND(ROUND(OFFSET($P231,0,AQ$13),15-13*ORÇAMENTO!$AF$7)*OFFSET(ORÇAMENTO!$W$15,ROW(AQ231)-ROW(AQ$15),0),15-13*ORÇAMENTO!$AF$11)),
         0)</f>
        <v>0</v>
      </c>
      <c r="AR231" s="453">
        <f ca="1">IF(AND($D231="Serviço",AR$12&lt;&gt;0,$H231&gt;0,OR(AUTOEVENTO&lt;&gt;"manual",$M231&lt;&gt;$A$15)),
        IF(Import.TipoArredondamento&lt;&gt;"TransfereGOV",
              ROUND(OFFSET($P231,0,AR$13),15-13*ORÇAMENTO!$AF$7)/$H231*OFFSET(ORÇAMENTO!$X$15,ROW(AR231)-ROW(AR$15),0),
              ROUND(ROUND(OFFSET($P231,0,AR$13),15-13*ORÇAMENTO!$AF$7)*OFFSET(ORÇAMENTO!$W$15,ROW(AR231)-ROW(AR$15),0),15-13*ORÇAMENTO!$AF$11)),
         0)</f>
        <v>0</v>
      </c>
      <c r="AS231" s="453">
        <f ca="1">IF(AND($D231="Serviço",AS$12&lt;&gt;0,$H231&gt;0,OR(AUTOEVENTO&lt;&gt;"manual",$M231&lt;&gt;$A$15)),
        IF(Import.TipoArredondamento&lt;&gt;"TransfereGOV",
              ROUND(OFFSET($P231,0,AS$13),15-13*ORÇAMENTO!$AF$7)/$H231*OFFSET(ORÇAMENTO!$X$15,ROW(AS231)-ROW(AS$15),0),
              ROUND(ROUND(OFFSET($P231,0,AS$13),15-13*ORÇAMENTO!$AF$7)*OFFSET(ORÇAMENTO!$W$15,ROW(AS231)-ROW(AS$15),0),15-13*ORÇAMENTO!$AF$11)),
         0)</f>
        <v>0</v>
      </c>
      <c r="AT231" s="453">
        <f ca="1">IF(AND($D231="Serviço",AT$12&lt;&gt;0,$H231&gt;0,OR(AUTOEVENTO&lt;&gt;"manual",$M231&lt;&gt;$A$15)),
        IF(Import.TipoArredondamento&lt;&gt;"TransfereGOV",
              ROUND(OFFSET($P231,0,AT$13),15-13*ORÇAMENTO!$AF$7)/$H231*OFFSET(ORÇAMENTO!$X$15,ROW(AT231)-ROW(AT$15),0),
              ROUND(ROUND(OFFSET($P231,0,AT$13),15-13*ORÇAMENTO!$AF$7)*OFFSET(ORÇAMENTO!$W$15,ROW(AT231)-ROW(AT$15),0),15-13*ORÇAMENTO!$AF$11)),
         0)</f>
        <v>0</v>
      </c>
      <c r="AU231" s="453">
        <f ca="1">IF(AND($D231="Serviço",AU$12&lt;&gt;0,$H231&gt;0,OR(AUTOEVENTO&lt;&gt;"manual",$M231&lt;&gt;$A$15)),
        IF(Import.TipoArredondamento&lt;&gt;"TransfereGOV",
              ROUND(OFFSET($P231,0,AU$13),15-13*ORÇAMENTO!$AF$7)/$H231*OFFSET(ORÇAMENTO!$X$15,ROW(AU231)-ROW(AU$15),0),
              ROUND(ROUND(OFFSET($P231,0,AU$13),15-13*ORÇAMENTO!$AF$7)*OFFSET(ORÇAMENTO!$W$15,ROW(AU231)-ROW(AU$15),0),15-13*ORÇAMENTO!$AF$11)),
         0)</f>
        <v>0</v>
      </c>
      <c r="AV231" s="453">
        <f ca="1">IF(AND($D231="Serviço",AV$12&lt;&gt;0,$H231&gt;0,OR(AUTOEVENTO&lt;&gt;"manual",$M231&lt;&gt;$A$15)),
        IF(Import.TipoArredondamento&lt;&gt;"TransfereGOV",
              ROUND(OFFSET($P231,0,AV$13),15-13*ORÇAMENTO!$AF$7)/$H231*OFFSET(ORÇAMENTO!$X$15,ROW(AV231)-ROW(AV$15),0),
              ROUND(ROUND(OFFSET($P231,0,AV$13),15-13*ORÇAMENTO!$AF$7)*OFFSET(ORÇAMENTO!$W$15,ROW(AV231)-ROW(AV$15),0),15-13*ORÇAMENTO!$AF$11)),
         0)</f>
        <v>0</v>
      </c>
      <c r="AW231" s="453">
        <f ca="1">IF(AND($D231="Serviço",AW$12&lt;&gt;0,$H231&gt;0,OR(AUTOEVENTO&lt;&gt;"manual",$M231&lt;&gt;$A$15)),
        IF(Import.TipoArredondamento&lt;&gt;"TransfereGOV",
              ROUND(OFFSET($P231,0,AW$13),15-13*ORÇAMENTO!$AF$7)/$H231*OFFSET(ORÇAMENTO!$X$15,ROW(AW231)-ROW(AW$15),0),
              ROUND(ROUND(OFFSET($P231,0,AW$13),15-13*ORÇAMENTO!$AF$7)*OFFSET(ORÇAMENTO!$W$15,ROW(AW231)-ROW(AW$15),0),15-13*ORÇAMENTO!$AF$11)),
         0)</f>
        <v>0</v>
      </c>
      <c r="AX231" s="453">
        <f ca="1">IF(AND($D231="Serviço",AX$12&lt;&gt;0,$H231&gt;0,OR(AUTOEVENTO&lt;&gt;"manual",$M231&lt;&gt;$A$15)),
        IF(Import.TipoArredondamento&lt;&gt;"TransfereGOV",
              ROUND(OFFSET($P231,0,AX$13),15-13*ORÇAMENTO!$AF$7)/$H231*OFFSET(ORÇAMENTO!$X$15,ROW(AX231)-ROW(AX$15),0),
              ROUND(ROUND(OFFSET($P231,0,AX$13),15-13*ORÇAMENTO!$AF$7)*OFFSET(ORÇAMENTO!$W$15,ROW(AX231)-ROW(AX$15),0),15-13*ORÇAMENTO!$AF$11)),
         0)</f>
        <v>0</v>
      </c>
      <c r="AY231" s="453">
        <f ca="1">IF(AND($D231="Serviço",AY$12&lt;&gt;0,$H231&gt;0,OR(AUTOEVENTO&lt;&gt;"manual",$M231&lt;&gt;$A$15)),
        IF(Import.TipoArredondamento&lt;&gt;"TransfereGOV",
              ROUND(OFFSET($P231,0,AY$13),15-13*ORÇAMENTO!$AF$7)/$H231*OFFSET(ORÇAMENTO!$X$15,ROW(AY231)-ROW(AY$15),0),
              ROUND(ROUND(OFFSET($P231,0,AY$13),15-13*ORÇAMENTO!$AF$7)*OFFSET(ORÇAMENTO!$W$15,ROW(AY231)-ROW(AY$15),0),15-13*ORÇAMENTO!$AF$11)),
         0)</f>
        <v>0</v>
      </c>
      <c r="AZ231" s="453">
        <f ca="1">IF(AND($D231="Serviço",AZ$12&lt;&gt;0,$H231&gt;0,OR(AUTOEVENTO&lt;&gt;"manual",$M231&lt;&gt;$A$15)),
        IF(Import.TipoArredondamento&lt;&gt;"TransfereGOV",
              ROUND(OFFSET($P231,0,AZ$13),15-13*ORÇAMENTO!$AF$7)/$H231*OFFSET(ORÇAMENTO!$X$15,ROW(AZ231)-ROW(AZ$15),0),
              ROUND(ROUND(OFFSET($P231,0,AZ$13),15-13*ORÇAMENTO!$AF$7)*OFFSET(ORÇAMENTO!$W$15,ROW(AZ231)-ROW(AZ$15),0),15-13*ORÇAMENTO!$AF$11)),
         0)</f>
        <v>0</v>
      </c>
      <c r="BA231" s="453">
        <f ca="1">IF(AND($D231="Serviço",BA$12&lt;&gt;0,$H231&gt;0,OR(AUTOEVENTO&lt;&gt;"manual",$M231&lt;&gt;$A$15)),
        IF(Import.TipoArredondamento&lt;&gt;"TransfereGOV",
              ROUND(OFFSET($P231,0,BA$13),15-13*ORÇAMENTO!$AF$7)/$H231*OFFSET(ORÇAMENTO!$X$15,ROW(BA231)-ROW(BA$15),0),
              ROUND(ROUND(OFFSET($P231,0,BA$13),15-13*ORÇAMENTO!$AF$7)*OFFSET(ORÇAMENTO!$W$15,ROW(BA231)-ROW(BA$15),0),15-13*ORÇAMENTO!$AF$11)),
         0)</f>
        <v>0</v>
      </c>
      <c r="BC231" s="171">
        <f ca="1">IF(OR($D231&lt;&gt;"Serviço",AND(AUTOEVENTO="Manual",$M231=$A$15)),0,
         IF(OFFSET(CRONOPLE!$F$15,$M231-$A$15,BC$13)=0,10^12,OFFSET(CRONOPLE!$F$15,$M231-$A$15,BC$13)))</f>
        <v>1</v>
      </c>
      <c r="BD231" s="171">
        <f ca="1">IF(OR($D231&lt;&gt;"Serviço",AND(AUTOEVENTO="Manual",$M231=$A$15)),0,
         IF(OFFSET(CRONOPLE!$F$15,$M231-$A$15,BD$13)=0,10^12,OFFSET(CRONOPLE!$F$15,$M231-$A$15,BD$13)))</f>
        <v>2</v>
      </c>
      <c r="BE231" s="171">
        <f ca="1">IF(OR($D231&lt;&gt;"Serviço",AND(AUTOEVENTO="Manual",$M231=$A$15)),0,
         IF(OFFSET(CRONOPLE!$F$15,$M231-$A$15,BE$13)=0,10^12,OFFSET(CRONOPLE!$F$15,$M231-$A$15,BE$13)))</f>
        <v>3</v>
      </c>
      <c r="BF231" s="171">
        <f ca="1">IF(OR($D231&lt;&gt;"Serviço",AND(AUTOEVENTO="Manual",$M231=$A$15)),0,
         IF(OFFSET(CRONOPLE!$F$15,$M231-$A$15,BF$13)=0,10^12,OFFSET(CRONOPLE!$F$15,$M231-$A$15,BF$13)))</f>
        <v>4</v>
      </c>
      <c r="BG231" s="171">
        <f ca="1">IF(OR($D231&lt;&gt;"Serviço",AND(AUTOEVENTO="Manual",$M231=$A$15)),0,
         IF(OFFSET(CRONOPLE!$F$15,$M231-$A$15,BG$13)=0,10^12,OFFSET(CRONOPLE!$F$15,$M231-$A$15,BG$13)))</f>
        <v>5</v>
      </c>
      <c r="BH231" s="171">
        <f ca="1">IF(OR($D231&lt;&gt;"Serviço",AND(AUTOEVENTO="Manual",$M231=$A$15)),0,
         IF(OFFSET(CRONOPLE!$F$15,$M231-$A$15,BH$13)=0,10^12,OFFSET(CRONOPLE!$F$15,$M231-$A$15,BH$13)))</f>
        <v>6</v>
      </c>
      <c r="BI231" s="171">
        <f ca="1">IF(OR($D231&lt;&gt;"Serviço",AND(AUTOEVENTO="Manual",$M231=$A$15)),0,
         IF(OFFSET(CRONOPLE!$F$15,$M231-$A$15,BI$13)=0,10^12,OFFSET(CRONOPLE!$F$15,$M231-$A$15,BI$13)))</f>
        <v>7</v>
      </c>
      <c r="BJ231" s="171">
        <f ca="1">IF(OR($D231&lt;&gt;"Serviço",AND(AUTOEVENTO="Manual",$M231=$A$15)),0,
         IF(OFFSET(CRONOPLE!$F$15,$M231-$A$15,BJ$13)=0,10^12,OFFSET(CRONOPLE!$F$15,$M231-$A$15,BJ$13)))</f>
        <v>8</v>
      </c>
      <c r="BK231" s="171">
        <f ca="1">IF(OR($D231&lt;&gt;"Serviço",AND(AUTOEVENTO="Manual",$M231=$A$15)),0,
         IF(OFFSET(CRONOPLE!$F$15,$M231-$A$15,BK$13)=0,10^12,OFFSET(CRONOPLE!$F$15,$M231-$A$15,BK$13)))</f>
        <v>9</v>
      </c>
      <c r="BL231" s="171">
        <f ca="1">IF(OR($D231&lt;&gt;"Serviço",AND(AUTOEVENTO="Manual",$M231=$A$15)),0,
         IF(OFFSET(CRONOPLE!$F$15,$M231-$A$15,BL$13)=0,10^12,OFFSET(CRONOPLE!$F$15,$M231-$A$15,BL$13)))</f>
        <v>10</v>
      </c>
      <c r="BM231" s="171">
        <f ca="1">IF(OR($D231&lt;&gt;"Serviço",AND(AUTOEVENTO="Manual",$M231=$A$15)),0,
         IF(OFFSET(CRONOPLE!$F$15,$M231-$A$15,BM$13)=0,10^12,OFFSET(CRONOPLE!$F$15,$M231-$A$15,BM$13)))</f>
        <v>1000000000000</v>
      </c>
      <c r="BN231" s="171">
        <f ca="1">IF(OR($D231&lt;&gt;"Serviço",AND(AUTOEVENTO="Manual",$M231=$A$15)),0,
         IF(OFFSET(CRONOPLE!$F$15,$M231-$A$15,BN$13)=0,10^12,OFFSET(CRONOPLE!$F$15,$M231-$A$15,BN$13)))</f>
        <v>1000000000000</v>
      </c>
      <c r="BO231" s="171">
        <f ca="1">IF(OR($D231&lt;&gt;"Serviço",AND(AUTOEVENTO="Manual",$M231=$A$15)),0,
         IF(OFFSET(CRONOPLE!$F$15,$M231-$A$15,BO$13)=0,10^12,OFFSET(CRONOPLE!$F$15,$M231-$A$15,BO$13)))</f>
        <v>1000000000000</v>
      </c>
      <c r="BP231" s="171">
        <f ca="1">IF(OR($D231&lt;&gt;"Serviço",AND(AUTOEVENTO="Manual",$M231=$A$15)),0,
         IF(OFFSET(CRONOPLE!$F$15,$M231-$A$15,BP$13)=0,10^12,OFFSET(CRONOPLE!$F$15,$M231-$A$15,BP$13)))</f>
        <v>1000000000000</v>
      </c>
      <c r="BQ231" s="171">
        <f ca="1">IF(OR($D231&lt;&gt;"Serviço",AND(AUTOEVENTO="Manual",$M231=$A$15)),0,
         IF(OFFSET(CRONOPLE!$F$15,$M231-$A$15,BQ$13)=0,10^12,OFFSET(CRONOPLE!$F$15,$M231-$A$15,BQ$13)))</f>
        <v>1000000000000</v>
      </c>
      <c r="BR231" s="171">
        <f ca="1">IF(OR($D231&lt;&gt;"Serviço",AND(AUTOEVENTO="Manual",$M231=$A$15)),0,
         IF(OFFSET(CRONOPLE!$F$15,$M231-$A$15,BR$13)=0,10^12,OFFSET(CRONOPLE!$F$15,$M231-$A$15,BR$13)))</f>
        <v>1000000000000</v>
      </c>
      <c r="BS231" s="171">
        <f ca="1">IF(OR($D231&lt;&gt;"Serviço",AND(AUTOEVENTO="Manual",$M231=$A$15)),0,
         IF(OFFSET(CRONOPLE!$F$15,$M231-$A$15,BS$13)=0,10^12,OFFSET(CRONOPLE!$F$15,$M231-$A$15,BS$13)))</f>
        <v>1000000000000</v>
      </c>
      <c r="BT231" s="171">
        <f ca="1">IF(OR($D231&lt;&gt;"Serviço",AND(AUTOEVENTO="Manual",$M231=$A$15)),0,
         IF(OFFSET(CRONOPLE!$F$15,$M231-$A$15,BT$13)=0,10^12,OFFSET(CRONOPLE!$F$15,$M231-$A$15,BT$13)))</f>
        <v>1000000000000</v>
      </c>
      <c r="BV231" s="172">
        <f ca="1">IF(OR($D231&lt;&gt;"Serviço",AND(AUTOEVENTO="Manual",$M231=$A$15),$M231&gt;(ROW(PLE.lastrow)-ROW(PLE.firstrow))),0,
           IF(OFFSET(PLE!$G$15,$M231-$A$15,BV$13)="",10^12,OFFSET(PLE!$G$15,$M231-$A$15,BV$13)))</f>
        <v>1000000000000</v>
      </c>
      <c r="BW231" s="172">
        <f ca="1">IF(OR($D231&lt;&gt;"Serviço",AND(AUTOEVENTO="Manual",$M231=$A$15),$M231&gt;(ROW(PLE.lastrow)-ROW(PLE.firstrow))),0,
           IF(OFFSET(PLE!$G$15,$M231-$A$15,BW$13)="",10^12,OFFSET(PLE!$G$15,$M231-$A$15,BW$13)))</f>
        <v>1000000000000</v>
      </c>
      <c r="BX231" s="172">
        <f ca="1">IF(OR($D231&lt;&gt;"Serviço",AND(AUTOEVENTO="Manual",$M231=$A$15),$M231&gt;(ROW(PLE.lastrow)-ROW(PLE.firstrow))),0,
           IF(OFFSET(PLE!$G$15,$M231-$A$15,BX$13)="",10^12,OFFSET(PLE!$G$15,$M231-$A$15,BX$13)))</f>
        <v>1000000000000</v>
      </c>
      <c r="BY231" s="172">
        <f ca="1">IF(OR($D231&lt;&gt;"Serviço",AND(AUTOEVENTO="Manual",$M231=$A$15),$M231&gt;(ROW(PLE.lastrow)-ROW(PLE.firstrow))),0,
           IF(OFFSET(PLE!$G$15,$M231-$A$15,BY$13)="",10^12,OFFSET(PLE!$G$15,$M231-$A$15,BY$13)))</f>
        <v>1000000000000</v>
      </c>
      <c r="BZ231" s="172">
        <f ca="1">IF(OR($D231&lt;&gt;"Serviço",AND(AUTOEVENTO="Manual",$M231=$A$15),$M231&gt;(ROW(PLE.lastrow)-ROW(PLE.firstrow))),0,
           IF(OFFSET(PLE!$G$15,$M231-$A$15,BZ$13)="",10^12,OFFSET(PLE!$G$15,$M231-$A$15,BZ$13)))</f>
        <v>1000000000000</v>
      </c>
      <c r="CA231" s="172">
        <f ca="1">IF(OR($D231&lt;&gt;"Serviço",AND(AUTOEVENTO="Manual",$M231=$A$15),$M231&gt;(ROW(PLE.lastrow)-ROW(PLE.firstrow))),0,
           IF(OFFSET(PLE!$G$15,$M231-$A$15,CA$13)="",10^12,OFFSET(PLE!$G$15,$M231-$A$15,CA$13)))</f>
        <v>1000000000000</v>
      </c>
      <c r="CB231" s="172">
        <f ca="1">IF(OR($D231&lt;&gt;"Serviço",AND(AUTOEVENTO="Manual",$M231=$A$15),$M231&gt;(ROW(PLE.lastrow)-ROW(PLE.firstrow))),0,
           IF(OFFSET(PLE!$G$15,$M231-$A$15,CB$13)="",10^12,OFFSET(PLE!$G$15,$M231-$A$15,CB$13)))</f>
        <v>1000000000000</v>
      </c>
      <c r="CC231" s="172">
        <f ca="1">IF(OR($D231&lt;&gt;"Serviço",AND(AUTOEVENTO="Manual",$M231=$A$15),$M231&gt;(ROW(PLE.lastrow)-ROW(PLE.firstrow))),0,
           IF(OFFSET(PLE!$G$15,$M231-$A$15,CC$13)="",10^12,OFFSET(PLE!$G$15,$M231-$A$15,CC$13)))</f>
        <v>1000000000000</v>
      </c>
      <c r="CD231" s="172">
        <f ca="1">IF(OR($D231&lt;&gt;"Serviço",AND(AUTOEVENTO="Manual",$M231=$A$15),$M231&gt;(ROW(PLE.lastrow)-ROW(PLE.firstrow))),0,
           IF(OFFSET(PLE!$G$15,$M231-$A$15,CD$13)="",10^12,OFFSET(PLE!$G$15,$M231-$A$15,CD$13)))</f>
        <v>1000000000000</v>
      </c>
      <c r="CE231" s="172">
        <f ca="1">IF(OR($D231&lt;&gt;"Serviço",AND(AUTOEVENTO="Manual",$M231=$A$15),$M231&gt;(ROW(PLE.lastrow)-ROW(PLE.firstrow))),0,
           IF(OFFSET(PLE!$G$15,$M231-$A$15,CE$13)="",10^12,OFFSET(PLE!$G$15,$M231-$A$15,CE$13)))</f>
        <v>1000000000000</v>
      </c>
      <c r="CF231" s="172">
        <f ca="1">IF(OR($D231&lt;&gt;"Serviço",AND(AUTOEVENTO="Manual",$M231=$A$15),$M231&gt;(ROW(PLE.lastrow)-ROW(PLE.firstrow))),0,
           IF(OFFSET(PLE!$G$15,$M231-$A$15,CF$13)="",10^12,OFFSET(PLE!$G$15,$M231-$A$15,CF$13)))</f>
        <v>1000000000000</v>
      </c>
      <c r="CG231" s="172">
        <f ca="1">IF(OR($D231&lt;&gt;"Serviço",AND(AUTOEVENTO="Manual",$M231=$A$15),$M231&gt;(ROW(PLE.lastrow)-ROW(PLE.firstrow))),0,
           IF(OFFSET(PLE!$G$15,$M231-$A$15,CG$13)="",10^12,OFFSET(PLE!$G$15,$M231-$A$15,CG$13)))</f>
        <v>1000000000000</v>
      </c>
      <c r="CH231" s="172">
        <f ca="1">IF(OR($D231&lt;&gt;"Serviço",AND(AUTOEVENTO="Manual",$M231=$A$15),$M231&gt;(ROW(PLE.lastrow)-ROW(PLE.firstrow))),0,
           IF(OFFSET(PLE!$G$15,$M231-$A$15,CH$13)="",10^12,OFFSET(PLE!$G$15,$M231-$A$15,CH$13)))</f>
        <v>1000000000000</v>
      </c>
      <c r="CI231" s="172">
        <f ca="1">IF(OR($D231&lt;&gt;"Serviço",AND(AUTOEVENTO="Manual",$M231=$A$15),$M231&gt;(ROW(PLE.lastrow)-ROW(PLE.firstrow))),0,
           IF(OFFSET(PLE!$G$15,$M231-$A$15,CI$13)="",10^12,OFFSET(PLE!$G$15,$M231-$A$15,CI$13)))</f>
        <v>1000000000000</v>
      </c>
      <c r="CJ231" s="172">
        <f ca="1">IF(OR($D231&lt;&gt;"Serviço",AND(AUTOEVENTO="Manual",$M231=$A$15),$M231&gt;(ROW(PLE.lastrow)-ROW(PLE.firstrow))),0,
           IF(OFFSET(PLE!$G$15,$M231-$A$15,CJ$13)="",10^12,OFFSET(PLE!$G$15,$M231-$A$15,CJ$13)))</f>
        <v>1000000000000</v>
      </c>
      <c r="CK231" s="172">
        <f ca="1">IF(OR($D231&lt;&gt;"Serviço",AND(AUTOEVENTO="Manual",$M231=$A$15),$M231&gt;(ROW(PLE.lastrow)-ROW(PLE.firstrow))),0,
           IF(OFFSET(PLE!$G$15,$M231-$A$15,CK$13)="",10^12,OFFSET(PLE!$G$15,$M231-$A$15,CK$13)))</f>
        <v>1000000000000</v>
      </c>
      <c r="CL231" s="172">
        <f ca="1">IF(OR($D231&lt;&gt;"Serviço",AND(AUTOEVENTO="Manual",$M231=$A$15),$M231&gt;(ROW(PLE.lastrow)-ROW(PLE.firstrow))),0,
           IF(OFFSET(PLE!$G$15,$M231-$A$15,CL$13)="",10^12,OFFSET(PLE!$G$15,$M231-$A$15,CL$13)))</f>
        <v>1000000000000</v>
      </c>
      <c r="CM231" s="172">
        <f ca="1">IF(OR($D231&lt;&gt;"Serviço",AND(AUTOEVENTO="Manual",$M231=$A$15),$M231&gt;(ROW(PLE.lastrow)-ROW(PLE.firstrow))),0,
           IF(OFFSET(PLE!$G$15,$M231-$A$15,CM$13)="",10^12,OFFSET(PLE!$G$15,$M231-$A$15,CM$13)))</f>
        <v>1000000000000</v>
      </c>
    </row>
    <row r="232" spans="1:91" ht="76.5" x14ac:dyDescent="0.2">
      <c r="A232" s="7">
        <f t="shared" ca="1" si="13"/>
        <v>5</v>
      </c>
      <c r="B232" s="7" t="str">
        <f ca="1">OFFSET(ORÇAMENTO!C$15,ROW(B232)-ROW(B$15),0)</f>
        <v>S</v>
      </c>
      <c r="C232" s="7" t="str">
        <f ca="1">OFFSET(ORÇAMENTO!L$15,ROW(C232)-ROW(C$15),0)</f>
        <v>F</v>
      </c>
      <c r="D232" s="116" t="str">
        <f ca="1">OFFSET(ORÇAMENTO!N$15,ROW(D232)-ROW(D$15),0)</f>
        <v>Serviço</v>
      </c>
      <c r="E232" s="117" t="str">
        <f ca="1">OFFSET(ORÇAMENTO!O$15,ROW(E232)-ROW(E$15),0)</f>
        <v>1.6.2.0.8.</v>
      </c>
      <c r="F232" s="163" t="str">
        <f ca="1">OFFSET(ORÇAMENTO!R$15,ROW(F232)-ROW(F$15),0)</f>
        <v>CONJUNTO PORCA E ARRUELA 5/8 - BASEADO EM AGESUL (1201008354)</v>
      </c>
      <c r="G232" s="164" t="str">
        <f ca="1">IF($D232&lt;&gt;"Serviço","",OFFSET(ORÇAMENTO!S$15,ROW(G232)-ROW(G$15),0))</f>
        <v>CJ</v>
      </c>
      <c r="H232" s="122" cm="1">
        <f t="array" aca="1" ref="H232" ca="1">IF($D232&lt;&gt;"Serviço",0,IF(ACOMPANHAMENTO="BM",ROUND(OFFSET(ORÇAMENTO!AJ$15,ROW(H232)-ROW(H$15),0),15-13*ORÇAMENTO!$AF$7),SUMPRODUCT(($Q$1:$AI$1=1)*ROUND($Q232:$AI232,15-13*ORÇAMENTO!$AF$7))))</f>
        <v>52</v>
      </c>
      <c r="I232" s="468" t="s">
        <v>1344</v>
      </c>
      <c r="J232" s="640" t="str" cm="1">
        <f t="array" aca="1" ref="J232" ca="1">IF(OR(B232&lt;&gt;"S",CÁLCULO.FrentesPreenchidas=0),"",IF(AND(ACOMPANHAMENTO="PLE",AUTOEVENTO="Manual",OR(H232&gt;0,ORÇAMENTO!AC232="QUANT."),OR(K232="",M232=0,N232="")),"►E",IF(AND(ACOMPANHAMENTO="PLE",ORÇAMENTO!AC232="QUANT."),"►Q",IF(AND(ACOMPANHAMENTO="PLE",H232&lt;&gt;SUMPRODUCT(($Q$1:$AI$1=1)*ROUND(Q232:AI232,15))),"►S",IF(AND(COUNTIF($P$11:$AI$11,"▼")=0,H232&gt;0,I232=""),"◄M","")))))</f>
        <v/>
      </c>
      <c r="K232" s="641" t="s">
        <v>1390</v>
      </c>
      <c r="L232" s="165" t="s">
        <v>764</v>
      </c>
      <c r="M232" s="166">
        <f ca="1">IF($D232&lt;&gt;"Serviço","",
          IF(AUTOEVENTO="manual",$A232,
                IF(ISERROR(MATCH($A232,$A$15:OFFSET($A232,-1,0),0)),MAX($M$15:OFFSET(M232,-1,0))+1,
                      INDEX($M$15:OFFSET(M232,-1,0),MATCH($A232,$A$15:OFFSET($A232,-1,0),0)))))</f>
        <v>5</v>
      </c>
      <c r="N232" s="167" t="str">
        <f ca="1">IF($D232&lt;&gt;"Serviço","",
         IF(AUTOEVENTO="Manual",
                IF($A232=0,"&lt;-- defina o número do agrupador",
                       OFFSET(EVENTOS!$D$15,$A232-$A$15,0)),
                OFFSET($F$15,$A232,0)))</f>
        <v>Estrutura Metálica</v>
      </c>
      <c r="O232" s="168"/>
      <c r="Q232" s="168"/>
      <c r="R232" s="169"/>
      <c r="S232" s="169"/>
      <c r="T232" s="169"/>
      <c r="U232" s="169"/>
      <c r="V232" s="169"/>
      <c r="W232" s="169">
        <v>52</v>
      </c>
      <c r="X232" s="169"/>
      <c r="Y232" s="169"/>
      <c r="Z232" s="170"/>
      <c r="AA232" s="169"/>
      <c r="AB232" s="169"/>
      <c r="AC232" s="169"/>
      <c r="AD232" s="169"/>
      <c r="AE232" s="169"/>
      <c r="AF232" s="169"/>
      <c r="AG232" s="169"/>
      <c r="AH232" s="170"/>
      <c r="AJ232" s="453">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0</v>
      </c>
      <c r="AK232" s="453">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0</v>
      </c>
      <c r="AL232" s="453">
        <f ca="1">IF(AND($D232="Serviço",AL$12&lt;&gt;0,$H232&gt;0,OR(AUTOEVENTO&lt;&gt;"manual",$M232&lt;&gt;$A$15)),
        IF(Import.TipoArredondamento&lt;&gt;"TransfereGOV",
              ROUND(OFFSET($P232,0,AL$13),15-13*ORÇAMENTO!$AF$7)/$H232*OFFSET(ORÇAMENTO!$X$15,ROW(AL232)-ROW(AL$15),0),
              ROUND(ROUND(OFFSET($P232,0,AL$13),15-13*ORÇAMENTO!$AF$7)*OFFSET(ORÇAMENTO!$W$15,ROW(AL232)-ROW(AL$15),0),15-13*ORÇAMENTO!$AF$11)),
         0)</f>
        <v>0</v>
      </c>
      <c r="AM232" s="453">
        <f ca="1">IF(AND($D232="Serviço",AM$12&lt;&gt;0,$H232&gt;0,OR(AUTOEVENTO&lt;&gt;"manual",$M232&lt;&gt;$A$15)),
        IF(Import.TipoArredondamento&lt;&gt;"TransfereGOV",
              ROUND(OFFSET($P232,0,AM$13),15-13*ORÇAMENTO!$AF$7)/$H232*OFFSET(ORÇAMENTO!$X$15,ROW(AM232)-ROW(AM$15),0),
              ROUND(ROUND(OFFSET($P232,0,AM$13),15-13*ORÇAMENTO!$AF$7)*OFFSET(ORÇAMENTO!$W$15,ROW(AM232)-ROW(AM$15),0),15-13*ORÇAMENTO!$AF$11)),
         0)</f>
        <v>0</v>
      </c>
      <c r="AN232" s="453">
        <f ca="1">IF(AND($D232="Serviço",AN$12&lt;&gt;0,$H232&gt;0,OR(AUTOEVENTO&lt;&gt;"manual",$M232&lt;&gt;$A$15)),
        IF(Import.TipoArredondamento&lt;&gt;"TransfereGOV",
              ROUND(OFFSET($P232,0,AN$13),15-13*ORÇAMENTO!$AF$7)/$H232*OFFSET(ORÇAMENTO!$X$15,ROW(AN232)-ROW(AN$15),0),
              ROUND(ROUND(OFFSET($P232,0,AN$13),15-13*ORÇAMENTO!$AF$7)*OFFSET(ORÇAMENTO!$W$15,ROW(AN232)-ROW(AN$15),0),15-13*ORÇAMENTO!$AF$11)),
         0)</f>
        <v>0</v>
      </c>
      <c r="AO232" s="453">
        <f ca="1">IF(AND($D232="Serviço",AO$12&lt;&gt;0,$H232&gt;0,OR(AUTOEVENTO&lt;&gt;"manual",$M232&lt;&gt;$A$15)),
        IF(Import.TipoArredondamento&lt;&gt;"TransfereGOV",
              ROUND(OFFSET($P232,0,AO$13),15-13*ORÇAMENTO!$AF$7)/$H232*OFFSET(ORÇAMENTO!$X$15,ROW(AO232)-ROW(AO$15),0),
              ROUND(ROUND(OFFSET($P232,0,AO$13),15-13*ORÇAMENTO!$AF$7)*OFFSET(ORÇAMENTO!$W$15,ROW(AO232)-ROW(AO$15),0),15-13*ORÇAMENTO!$AF$11)),
         0)</f>
        <v>0</v>
      </c>
      <c r="AP232" s="453">
        <f ca="1">IF(AND($D232="Serviço",AP$12&lt;&gt;0,$H232&gt;0,OR(AUTOEVENTO&lt;&gt;"manual",$M232&lt;&gt;$A$15)),
        IF(Import.TipoArredondamento&lt;&gt;"TransfereGOV",
              ROUND(OFFSET($P232,0,AP$13),15-13*ORÇAMENTO!$AF$7)/$H232*OFFSET(ORÇAMENTO!$X$15,ROW(AP232)-ROW(AP$15),0),
              ROUND(ROUND(OFFSET($P232,0,AP$13),15-13*ORÇAMENTO!$AF$7)*OFFSET(ORÇAMENTO!$W$15,ROW(AP232)-ROW(AP$15),0),15-13*ORÇAMENTO!$AF$11)),
         0)</f>
        <v>0</v>
      </c>
      <c r="AQ232" s="453">
        <f ca="1">IF(AND($D232="Serviço",AQ$12&lt;&gt;0,$H232&gt;0,OR(AUTOEVENTO&lt;&gt;"manual",$M232&lt;&gt;$A$15)),
        IF(Import.TipoArredondamento&lt;&gt;"TransfereGOV",
              ROUND(OFFSET($P232,0,AQ$13),15-13*ORÇAMENTO!$AF$7)/$H232*OFFSET(ORÇAMENTO!$X$15,ROW(AQ232)-ROW(AQ$15),0),
              ROUND(ROUND(OFFSET($P232,0,AQ$13),15-13*ORÇAMENTO!$AF$7)*OFFSET(ORÇAMENTO!$W$15,ROW(AQ232)-ROW(AQ$15),0),15-13*ORÇAMENTO!$AF$11)),
         0)</f>
        <v>0</v>
      </c>
      <c r="AR232" s="453">
        <f ca="1">IF(AND($D232="Serviço",AR$12&lt;&gt;0,$H232&gt;0,OR(AUTOEVENTO&lt;&gt;"manual",$M232&lt;&gt;$A$15)),
        IF(Import.TipoArredondamento&lt;&gt;"TransfereGOV",
              ROUND(OFFSET($P232,0,AR$13),15-13*ORÇAMENTO!$AF$7)/$H232*OFFSET(ORÇAMENTO!$X$15,ROW(AR232)-ROW(AR$15),0),
              ROUND(ROUND(OFFSET($P232,0,AR$13),15-13*ORÇAMENTO!$AF$7)*OFFSET(ORÇAMENTO!$W$15,ROW(AR232)-ROW(AR$15),0),15-13*ORÇAMENTO!$AF$11)),
         0)</f>
        <v>0</v>
      </c>
      <c r="AS232" s="453">
        <f ca="1">IF(AND($D232="Serviço",AS$12&lt;&gt;0,$H232&gt;0,OR(AUTOEVENTO&lt;&gt;"manual",$M232&lt;&gt;$A$15)),
        IF(Import.TipoArredondamento&lt;&gt;"TransfereGOV",
              ROUND(OFFSET($P232,0,AS$13),15-13*ORÇAMENTO!$AF$7)/$H232*OFFSET(ORÇAMENTO!$X$15,ROW(AS232)-ROW(AS$15),0),
              ROUND(ROUND(OFFSET($P232,0,AS$13),15-13*ORÇAMENTO!$AF$7)*OFFSET(ORÇAMENTO!$W$15,ROW(AS232)-ROW(AS$15),0),15-13*ORÇAMENTO!$AF$11)),
         0)</f>
        <v>0</v>
      </c>
      <c r="AT232" s="453">
        <f ca="1">IF(AND($D232="Serviço",AT$12&lt;&gt;0,$H232&gt;0,OR(AUTOEVENTO&lt;&gt;"manual",$M232&lt;&gt;$A$15)),
        IF(Import.TipoArredondamento&lt;&gt;"TransfereGOV",
              ROUND(OFFSET($P232,0,AT$13),15-13*ORÇAMENTO!$AF$7)/$H232*OFFSET(ORÇAMENTO!$X$15,ROW(AT232)-ROW(AT$15),0),
              ROUND(ROUND(OFFSET($P232,0,AT$13),15-13*ORÇAMENTO!$AF$7)*OFFSET(ORÇAMENTO!$W$15,ROW(AT232)-ROW(AT$15),0),15-13*ORÇAMENTO!$AF$11)),
         0)</f>
        <v>0</v>
      </c>
      <c r="AU232" s="453">
        <f ca="1">IF(AND($D232="Serviço",AU$12&lt;&gt;0,$H232&gt;0,OR(AUTOEVENTO&lt;&gt;"manual",$M232&lt;&gt;$A$15)),
        IF(Import.TipoArredondamento&lt;&gt;"TransfereGOV",
              ROUND(OFFSET($P232,0,AU$13),15-13*ORÇAMENTO!$AF$7)/$H232*OFFSET(ORÇAMENTO!$X$15,ROW(AU232)-ROW(AU$15),0),
              ROUND(ROUND(OFFSET($P232,0,AU$13),15-13*ORÇAMENTO!$AF$7)*OFFSET(ORÇAMENTO!$W$15,ROW(AU232)-ROW(AU$15),0),15-13*ORÇAMENTO!$AF$11)),
         0)</f>
        <v>0</v>
      </c>
      <c r="AV232" s="453">
        <f ca="1">IF(AND($D232="Serviço",AV$12&lt;&gt;0,$H232&gt;0,OR(AUTOEVENTO&lt;&gt;"manual",$M232&lt;&gt;$A$15)),
        IF(Import.TipoArredondamento&lt;&gt;"TransfereGOV",
              ROUND(OFFSET($P232,0,AV$13),15-13*ORÇAMENTO!$AF$7)/$H232*OFFSET(ORÇAMENTO!$X$15,ROW(AV232)-ROW(AV$15),0),
              ROUND(ROUND(OFFSET($P232,0,AV$13),15-13*ORÇAMENTO!$AF$7)*OFFSET(ORÇAMENTO!$W$15,ROW(AV232)-ROW(AV$15),0),15-13*ORÇAMENTO!$AF$11)),
         0)</f>
        <v>0</v>
      </c>
      <c r="AW232" s="453">
        <f ca="1">IF(AND($D232="Serviço",AW$12&lt;&gt;0,$H232&gt;0,OR(AUTOEVENTO&lt;&gt;"manual",$M232&lt;&gt;$A$15)),
        IF(Import.TipoArredondamento&lt;&gt;"TransfereGOV",
              ROUND(OFFSET($P232,0,AW$13),15-13*ORÇAMENTO!$AF$7)/$H232*OFFSET(ORÇAMENTO!$X$15,ROW(AW232)-ROW(AW$15),0),
              ROUND(ROUND(OFFSET($P232,0,AW$13),15-13*ORÇAMENTO!$AF$7)*OFFSET(ORÇAMENTO!$W$15,ROW(AW232)-ROW(AW$15),0),15-13*ORÇAMENTO!$AF$11)),
         0)</f>
        <v>0</v>
      </c>
      <c r="AX232" s="453">
        <f ca="1">IF(AND($D232="Serviço",AX$12&lt;&gt;0,$H232&gt;0,OR(AUTOEVENTO&lt;&gt;"manual",$M232&lt;&gt;$A$15)),
        IF(Import.TipoArredondamento&lt;&gt;"TransfereGOV",
              ROUND(OFFSET($P232,0,AX$13),15-13*ORÇAMENTO!$AF$7)/$H232*OFFSET(ORÇAMENTO!$X$15,ROW(AX232)-ROW(AX$15),0),
              ROUND(ROUND(OFFSET($P232,0,AX$13),15-13*ORÇAMENTO!$AF$7)*OFFSET(ORÇAMENTO!$W$15,ROW(AX232)-ROW(AX$15),0),15-13*ORÇAMENTO!$AF$11)),
         0)</f>
        <v>0</v>
      </c>
      <c r="AY232" s="453">
        <f ca="1">IF(AND($D232="Serviço",AY$12&lt;&gt;0,$H232&gt;0,OR(AUTOEVENTO&lt;&gt;"manual",$M232&lt;&gt;$A$15)),
        IF(Import.TipoArredondamento&lt;&gt;"TransfereGOV",
              ROUND(OFFSET($P232,0,AY$13),15-13*ORÇAMENTO!$AF$7)/$H232*OFFSET(ORÇAMENTO!$X$15,ROW(AY232)-ROW(AY$15),0),
              ROUND(ROUND(OFFSET($P232,0,AY$13),15-13*ORÇAMENTO!$AF$7)*OFFSET(ORÇAMENTO!$W$15,ROW(AY232)-ROW(AY$15),0),15-13*ORÇAMENTO!$AF$11)),
         0)</f>
        <v>0</v>
      </c>
      <c r="AZ232" s="453">
        <f ca="1">IF(AND($D232="Serviço",AZ$12&lt;&gt;0,$H232&gt;0,OR(AUTOEVENTO&lt;&gt;"manual",$M232&lt;&gt;$A$15)),
        IF(Import.TipoArredondamento&lt;&gt;"TransfereGOV",
              ROUND(OFFSET($P232,0,AZ$13),15-13*ORÇAMENTO!$AF$7)/$H232*OFFSET(ORÇAMENTO!$X$15,ROW(AZ232)-ROW(AZ$15),0),
              ROUND(ROUND(OFFSET($P232,0,AZ$13),15-13*ORÇAMENTO!$AF$7)*OFFSET(ORÇAMENTO!$W$15,ROW(AZ232)-ROW(AZ$15),0),15-13*ORÇAMENTO!$AF$11)),
         0)</f>
        <v>0</v>
      </c>
      <c r="BA232" s="453">
        <f ca="1">IF(AND($D232="Serviço",BA$12&lt;&gt;0,$H232&gt;0,OR(AUTOEVENTO&lt;&gt;"manual",$M232&lt;&gt;$A$15)),
        IF(Import.TipoArredondamento&lt;&gt;"TransfereGOV",
              ROUND(OFFSET($P232,0,BA$13),15-13*ORÇAMENTO!$AF$7)/$H232*OFFSET(ORÇAMENTO!$X$15,ROW(BA232)-ROW(BA$15),0),
              ROUND(ROUND(OFFSET($P232,0,BA$13),15-13*ORÇAMENTO!$AF$7)*OFFSET(ORÇAMENTO!$W$15,ROW(BA232)-ROW(BA$15),0),15-13*ORÇAMENTO!$AF$11)),
         0)</f>
        <v>0</v>
      </c>
      <c r="BC232" s="171">
        <f ca="1">IF(OR($D232&lt;&gt;"Serviço",AND(AUTOEVENTO="Manual",$M232=$A$15)),0,
         IF(OFFSET(CRONOPLE!$F$15,$M232-$A$15,BC$13)=0,10^12,OFFSET(CRONOPLE!$F$15,$M232-$A$15,BC$13)))</f>
        <v>1</v>
      </c>
      <c r="BD232" s="171">
        <f ca="1">IF(OR($D232&lt;&gt;"Serviço",AND(AUTOEVENTO="Manual",$M232=$A$15)),0,
         IF(OFFSET(CRONOPLE!$F$15,$M232-$A$15,BD$13)=0,10^12,OFFSET(CRONOPLE!$F$15,$M232-$A$15,BD$13)))</f>
        <v>2</v>
      </c>
      <c r="BE232" s="171">
        <f ca="1">IF(OR($D232&lt;&gt;"Serviço",AND(AUTOEVENTO="Manual",$M232=$A$15)),0,
         IF(OFFSET(CRONOPLE!$F$15,$M232-$A$15,BE$13)=0,10^12,OFFSET(CRONOPLE!$F$15,$M232-$A$15,BE$13)))</f>
        <v>3</v>
      </c>
      <c r="BF232" s="171">
        <f ca="1">IF(OR($D232&lt;&gt;"Serviço",AND(AUTOEVENTO="Manual",$M232=$A$15)),0,
         IF(OFFSET(CRONOPLE!$F$15,$M232-$A$15,BF$13)=0,10^12,OFFSET(CRONOPLE!$F$15,$M232-$A$15,BF$13)))</f>
        <v>4</v>
      </c>
      <c r="BG232" s="171">
        <f ca="1">IF(OR($D232&lt;&gt;"Serviço",AND(AUTOEVENTO="Manual",$M232=$A$15)),0,
         IF(OFFSET(CRONOPLE!$F$15,$M232-$A$15,BG$13)=0,10^12,OFFSET(CRONOPLE!$F$15,$M232-$A$15,BG$13)))</f>
        <v>5</v>
      </c>
      <c r="BH232" s="171">
        <f ca="1">IF(OR($D232&lt;&gt;"Serviço",AND(AUTOEVENTO="Manual",$M232=$A$15)),0,
         IF(OFFSET(CRONOPLE!$F$15,$M232-$A$15,BH$13)=0,10^12,OFFSET(CRONOPLE!$F$15,$M232-$A$15,BH$13)))</f>
        <v>6</v>
      </c>
      <c r="BI232" s="171">
        <f ca="1">IF(OR($D232&lt;&gt;"Serviço",AND(AUTOEVENTO="Manual",$M232=$A$15)),0,
         IF(OFFSET(CRONOPLE!$F$15,$M232-$A$15,BI$13)=0,10^12,OFFSET(CRONOPLE!$F$15,$M232-$A$15,BI$13)))</f>
        <v>7</v>
      </c>
      <c r="BJ232" s="171">
        <f ca="1">IF(OR($D232&lt;&gt;"Serviço",AND(AUTOEVENTO="Manual",$M232=$A$15)),0,
         IF(OFFSET(CRONOPLE!$F$15,$M232-$A$15,BJ$13)=0,10^12,OFFSET(CRONOPLE!$F$15,$M232-$A$15,BJ$13)))</f>
        <v>8</v>
      </c>
      <c r="BK232" s="171">
        <f ca="1">IF(OR($D232&lt;&gt;"Serviço",AND(AUTOEVENTO="Manual",$M232=$A$15)),0,
         IF(OFFSET(CRONOPLE!$F$15,$M232-$A$15,BK$13)=0,10^12,OFFSET(CRONOPLE!$F$15,$M232-$A$15,BK$13)))</f>
        <v>9</v>
      </c>
      <c r="BL232" s="171">
        <f ca="1">IF(OR($D232&lt;&gt;"Serviço",AND(AUTOEVENTO="Manual",$M232=$A$15)),0,
         IF(OFFSET(CRONOPLE!$F$15,$M232-$A$15,BL$13)=0,10^12,OFFSET(CRONOPLE!$F$15,$M232-$A$15,BL$13)))</f>
        <v>10</v>
      </c>
      <c r="BM232" s="171">
        <f ca="1">IF(OR($D232&lt;&gt;"Serviço",AND(AUTOEVENTO="Manual",$M232=$A$15)),0,
         IF(OFFSET(CRONOPLE!$F$15,$M232-$A$15,BM$13)=0,10^12,OFFSET(CRONOPLE!$F$15,$M232-$A$15,BM$13)))</f>
        <v>1000000000000</v>
      </c>
      <c r="BN232" s="171">
        <f ca="1">IF(OR($D232&lt;&gt;"Serviço",AND(AUTOEVENTO="Manual",$M232=$A$15)),0,
         IF(OFFSET(CRONOPLE!$F$15,$M232-$A$15,BN$13)=0,10^12,OFFSET(CRONOPLE!$F$15,$M232-$A$15,BN$13)))</f>
        <v>1000000000000</v>
      </c>
      <c r="BO232" s="171">
        <f ca="1">IF(OR($D232&lt;&gt;"Serviço",AND(AUTOEVENTO="Manual",$M232=$A$15)),0,
         IF(OFFSET(CRONOPLE!$F$15,$M232-$A$15,BO$13)=0,10^12,OFFSET(CRONOPLE!$F$15,$M232-$A$15,BO$13)))</f>
        <v>1000000000000</v>
      </c>
      <c r="BP232" s="171">
        <f ca="1">IF(OR($D232&lt;&gt;"Serviço",AND(AUTOEVENTO="Manual",$M232=$A$15)),0,
         IF(OFFSET(CRONOPLE!$F$15,$M232-$A$15,BP$13)=0,10^12,OFFSET(CRONOPLE!$F$15,$M232-$A$15,BP$13)))</f>
        <v>1000000000000</v>
      </c>
      <c r="BQ232" s="171">
        <f ca="1">IF(OR($D232&lt;&gt;"Serviço",AND(AUTOEVENTO="Manual",$M232=$A$15)),0,
         IF(OFFSET(CRONOPLE!$F$15,$M232-$A$15,BQ$13)=0,10^12,OFFSET(CRONOPLE!$F$15,$M232-$A$15,BQ$13)))</f>
        <v>1000000000000</v>
      </c>
      <c r="BR232" s="171">
        <f ca="1">IF(OR($D232&lt;&gt;"Serviço",AND(AUTOEVENTO="Manual",$M232=$A$15)),0,
         IF(OFFSET(CRONOPLE!$F$15,$M232-$A$15,BR$13)=0,10^12,OFFSET(CRONOPLE!$F$15,$M232-$A$15,BR$13)))</f>
        <v>1000000000000</v>
      </c>
      <c r="BS232" s="171">
        <f ca="1">IF(OR($D232&lt;&gt;"Serviço",AND(AUTOEVENTO="Manual",$M232=$A$15)),0,
         IF(OFFSET(CRONOPLE!$F$15,$M232-$A$15,BS$13)=0,10^12,OFFSET(CRONOPLE!$F$15,$M232-$A$15,BS$13)))</f>
        <v>1000000000000</v>
      </c>
      <c r="BT232" s="171">
        <f ca="1">IF(OR($D232&lt;&gt;"Serviço",AND(AUTOEVENTO="Manual",$M232=$A$15)),0,
         IF(OFFSET(CRONOPLE!$F$15,$M232-$A$15,BT$13)=0,10^12,OFFSET(CRONOPLE!$F$15,$M232-$A$15,BT$13)))</f>
        <v>1000000000000</v>
      </c>
      <c r="BV232" s="172">
        <f ca="1">IF(OR($D232&lt;&gt;"Serviço",AND(AUTOEVENTO="Manual",$M232=$A$15),$M232&gt;(ROW(PLE.lastrow)-ROW(PLE.firstrow))),0,
           IF(OFFSET(PLE!$G$15,$M232-$A$15,BV$13)="",10^12,OFFSET(PLE!$G$15,$M232-$A$15,BV$13)))</f>
        <v>1000000000000</v>
      </c>
      <c r="BW232" s="172">
        <f ca="1">IF(OR($D232&lt;&gt;"Serviço",AND(AUTOEVENTO="Manual",$M232=$A$15),$M232&gt;(ROW(PLE.lastrow)-ROW(PLE.firstrow))),0,
           IF(OFFSET(PLE!$G$15,$M232-$A$15,BW$13)="",10^12,OFFSET(PLE!$G$15,$M232-$A$15,BW$13)))</f>
        <v>1000000000000</v>
      </c>
      <c r="BX232" s="172">
        <f ca="1">IF(OR($D232&lt;&gt;"Serviço",AND(AUTOEVENTO="Manual",$M232=$A$15),$M232&gt;(ROW(PLE.lastrow)-ROW(PLE.firstrow))),0,
           IF(OFFSET(PLE!$G$15,$M232-$A$15,BX$13)="",10^12,OFFSET(PLE!$G$15,$M232-$A$15,BX$13)))</f>
        <v>1000000000000</v>
      </c>
      <c r="BY232" s="172">
        <f ca="1">IF(OR($D232&lt;&gt;"Serviço",AND(AUTOEVENTO="Manual",$M232=$A$15),$M232&gt;(ROW(PLE.lastrow)-ROW(PLE.firstrow))),0,
           IF(OFFSET(PLE!$G$15,$M232-$A$15,BY$13)="",10^12,OFFSET(PLE!$G$15,$M232-$A$15,BY$13)))</f>
        <v>1000000000000</v>
      </c>
      <c r="BZ232" s="172">
        <f ca="1">IF(OR($D232&lt;&gt;"Serviço",AND(AUTOEVENTO="Manual",$M232=$A$15),$M232&gt;(ROW(PLE.lastrow)-ROW(PLE.firstrow))),0,
           IF(OFFSET(PLE!$G$15,$M232-$A$15,BZ$13)="",10^12,OFFSET(PLE!$G$15,$M232-$A$15,BZ$13)))</f>
        <v>1000000000000</v>
      </c>
      <c r="CA232" s="172">
        <f ca="1">IF(OR($D232&lt;&gt;"Serviço",AND(AUTOEVENTO="Manual",$M232=$A$15),$M232&gt;(ROW(PLE.lastrow)-ROW(PLE.firstrow))),0,
           IF(OFFSET(PLE!$G$15,$M232-$A$15,CA$13)="",10^12,OFFSET(PLE!$G$15,$M232-$A$15,CA$13)))</f>
        <v>1000000000000</v>
      </c>
      <c r="CB232" s="172">
        <f ca="1">IF(OR($D232&lt;&gt;"Serviço",AND(AUTOEVENTO="Manual",$M232=$A$15),$M232&gt;(ROW(PLE.lastrow)-ROW(PLE.firstrow))),0,
           IF(OFFSET(PLE!$G$15,$M232-$A$15,CB$13)="",10^12,OFFSET(PLE!$G$15,$M232-$A$15,CB$13)))</f>
        <v>1000000000000</v>
      </c>
      <c r="CC232" s="172">
        <f ca="1">IF(OR($D232&lt;&gt;"Serviço",AND(AUTOEVENTO="Manual",$M232=$A$15),$M232&gt;(ROW(PLE.lastrow)-ROW(PLE.firstrow))),0,
           IF(OFFSET(PLE!$G$15,$M232-$A$15,CC$13)="",10^12,OFFSET(PLE!$G$15,$M232-$A$15,CC$13)))</f>
        <v>1000000000000</v>
      </c>
      <c r="CD232" s="172">
        <f ca="1">IF(OR($D232&lt;&gt;"Serviço",AND(AUTOEVENTO="Manual",$M232=$A$15),$M232&gt;(ROW(PLE.lastrow)-ROW(PLE.firstrow))),0,
           IF(OFFSET(PLE!$G$15,$M232-$A$15,CD$13)="",10^12,OFFSET(PLE!$G$15,$M232-$A$15,CD$13)))</f>
        <v>1000000000000</v>
      </c>
      <c r="CE232" s="172">
        <f ca="1">IF(OR($D232&lt;&gt;"Serviço",AND(AUTOEVENTO="Manual",$M232=$A$15),$M232&gt;(ROW(PLE.lastrow)-ROW(PLE.firstrow))),0,
           IF(OFFSET(PLE!$G$15,$M232-$A$15,CE$13)="",10^12,OFFSET(PLE!$G$15,$M232-$A$15,CE$13)))</f>
        <v>1000000000000</v>
      </c>
      <c r="CF232" s="172">
        <f ca="1">IF(OR($D232&lt;&gt;"Serviço",AND(AUTOEVENTO="Manual",$M232=$A$15),$M232&gt;(ROW(PLE.lastrow)-ROW(PLE.firstrow))),0,
           IF(OFFSET(PLE!$G$15,$M232-$A$15,CF$13)="",10^12,OFFSET(PLE!$G$15,$M232-$A$15,CF$13)))</f>
        <v>1000000000000</v>
      </c>
      <c r="CG232" s="172">
        <f ca="1">IF(OR($D232&lt;&gt;"Serviço",AND(AUTOEVENTO="Manual",$M232=$A$15),$M232&gt;(ROW(PLE.lastrow)-ROW(PLE.firstrow))),0,
           IF(OFFSET(PLE!$G$15,$M232-$A$15,CG$13)="",10^12,OFFSET(PLE!$G$15,$M232-$A$15,CG$13)))</f>
        <v>1000000000000</v>
      </c>
      <c r="CH232" s="172">
        <f ca="1">IF(OR($D232&lt;&gt;"Serviço",AND(AUTOEVENTO="Manual",$M232=$A$15),$M232&gt;(ROW(PLE.lastrow)-ROW(PLE.firstrow))),0,
           IF(OFFSET(PLE!$G$15,$M232-$A$15,CH$13)="",10^12,OFFSET(PLE!$G$15,$M232-$A$15,CH$13)))</f>
        <v>1000000000000</v>
      </c>
      <c r="CI232" s="172">
        <f ca="1">IF(OR($D232&lt;&gt;"Serviço",AND(AUTOEVENTO="Manual",$M232=$A$15),$M232&gt;(ROW(PLE.lastrow)-ROW(PLE.firstrow))),0,
           IF(OFFSET(PLE!$G$15,$M232-$A$15,CI$13)="",10^12,OFFSET(PLE!$G$15,$M232-$A$15,CI$13)))</f>
        <v>1000000000000</v>
      </c>
      <c r="CJ232" s="172">
        <f ca="1">IF(OR($D232&lt;&gt;"Serviço",AND(AUTOEVENTO="Manual",$M232=$A$15),$M232&gt;(ROW(PLE.lastrow)-ROW(PLE.firstrow))),0,
           IF(OFFSET(PLE!$G$15,$M232-$A$15,CJ$13)="",10^12,OFFSET(PLE!$G$15,$M232-$A$15,CJ$13)))</f>
        <v>1000000000000</v>
      </c>
      <c r="CK232" s="172">
        <f ca="1">IF(OR($D232&lt;&gt;"Serviço",AND(AUTOEVENTO="Manual",$M232=$A$15),$M232&gt;(ROW(PLE.lastrow)-ROW(PLE.firstrow))),0,
           IF(OFFSET(PLE!$G$15,$M232-$A$15,CK$13)="",10^12,OFFSET(PLE!$G$15,$M232-$A$15,CK$13)))</f>
        <v>1000000000000</v>
      </c>
      <c r="CL232" s="172">
        <f ca="1">IF(OR($D232&lt;&gt;"Serviço",AND(AUTOEVENTO="Manual",$M232=$A$15),$M232&gt;(ROW(PLE.lastrow)-ROW(PLE.firstrow))),0,
           IF(OFFSET(PLE!$G$15,$M232-$A$15,CL$13)="",10^12,OFFSET(PLE!$G$15,$M232-$A$15,CL$13)))</f>
        <v>1000000000000</v>
      </c>
      <c r="CM232" s="172">
        <f ca="1">IF(OR($D232&lt;&gt;"Serviço",AND(AUTOEVENTO="Manual",$M232=$A$15),$M232&gt;(ROW(PLE.lastrow)-ROW(PLE.firstrow))),0,
           IF(OFFSET(PLE!$G$15,$M232-$A$15,CM$13)="",10^12,OFFSET(PLE!$G$15,$M232-$A$15,CM$13)))</f>
        <v>1000000000000</v>
      </c>
    </row>
    <row r="233" spans="1:91" ht="76.5" x14ac:dyDescent="0.2">
      <c r="A233" s="7">
        <f t="shared" ca="1" si="13"/>
        <v>5</v>
      </c>
      <c r="B233" s="7" t="str">
        <f ca="1">OFFSET(ORÇAMENTO!C$15,ROW(B233)-ROW(B$15),0)</f>
        <v>S</v>
      </c>
      <c r="C233" s="7" t="str">
        <f ca="1">OFFSET(ORÇAMENTO!L$15,ROW(C233)-ROW(C$15),0)</f>
        <v>F</v>
      </c>
      <c r="D233" s="116" t="str">
        <f ca="1">OFFSET(ORÇAMENTO!N$15,ROW(D233)-ROW(D$15),0)</f>
        <v>Serviço</v>
      </c>
      <c r="E233" s="117" t="str">
        <f ca="1">OFFSET(ORÇAMENTO!O$15,ROW(E233)-ROW(E$15),0)</f>
        <v>1.6.2.0.9.</v>
      </c>
      <c r="F233" s="163" t="str">
        <f ca="1">OFFSET(ORÇAMENTO!R$15,ROW(F233)-ROW(F$15),0)</f>
        <v>PINTURA ESMALTE BASE SOLVENTE EM ESTRUTURA METÁLICA, DUAS (2) DEMÃOS, COM APLICAÇÃO MANUAL, INCLUSIVE UMA (1) DEMÃO FUNDO GALVANIZADO</v>
      </c>
      <c r="G233" s="164" t="str">
        <f ca="1">IF($D233&lt;&gt;"Serviço","",OFFSET(ORÇAMENTO!S$15,ROW(G233)-ROW(G$15),0))</f>
        <v>M2</v>
      </c>
      <c r="H233" s="122" cm="1">
        <f t="array" aca="1" ref="H233" ca="1">IF($D233&lt;&gt;"Serviço",0,IF(ACOMPANHAMENTO="BM",ROUND(OFFSET(ORÇAMENTO!AJ$15,ROW(H233)-ROW(H$15),0),15-13*ORÇAMENTO!$AF$7),SUMPRODUCT(($Q$1:$AI$1=1)*ROUND($Q233:$AI233,15-13*ORÇAMENTO!$AF$7))))</f>
        <v>169.95</v>
      </c>
      <c r="I233" s="468" t="s">
        <v>1344</v>
      </c>
      <c r="J233" s="640" t="str" cm="1">
        <f t="array" aca="1" ref="J233" ca="1">IF(OR(B233&lt;&gt;"S",CÁLCULO.FrentesPreenchidas=0),"",IF(AND(ACOMPANHAMENTO="PLE",AUTOEVENTO="Manual",OR(H233&gt;0,ORÇAMENTO!AC233="QUANT."),OR(K233="",M233=0,N233="")),"►E",IF(AND(ACOMPANHAMENTO="PLE",ORÇAMENTO!AC233="QUANT."),"►Q",IF(AND(ACOMPANHAMENTO="PLE",H233&lt;&gt;SUMPRODUCT(($Q$1:$AI$1=1)*ROUND(Q233:AI233,15))),"►S",IF(AND(COUNTIF($P$11:$AI$11,"▼")=0,H233&gt;0,I233=""),"◄M","")))))</f>
        <v/>
      </c>
      <c r="K233" s="641" t="s">
        <v>1390</v>
      </c>
      <c r="L233" s="165" t="s">
        <v>764</v>
      </c>
      <c r="M233" s="166">
        <f ca="1">IF($D233&lt;&gt;"Serviço","",
          IF(AUTOEVENTO="manual",$A233,
                IF(ISERROR(MATCH($A233,$A$15:OFFSET($A233,-1,0),0)),MAX($M$15:OFFSET(M233,-1,0))+1,
                      INDEX($M$15:OFFSET(M233,-1,0),MATCH($A233,$A$15:OFFSET($A233,-1,0),0)))))</f>
        <v>5</v>
      </c>
      <c r="N233" s="167" t="str">
        <f ca="1">IF($D233&lt;&gt;"Serviço","",
         IF(AUTOEVENTO="Manual",
                IF($A233=0,"&lt;-- defina o número do agrupador",
                       OFFSET(EVENTOS!$D$15,$A233-$A$15,0)),
                OFFSET($F$15,$A233,0)))</f>
        <v>Estrutura Metálica</v>
      </c>
      <c r="O233" s="168"/>
      <c r="Q233" s="168"/>
      <c r="R233" s="169"/>
      <c r="S233" s="169"/>
      <c r="T233" s="169"/>
      <c r="U233" s="169"/>
      <c r="V233" s="169"/>
      <c r="W233" s="169">
        <v>169.95</v>
      </c>
      <c r="X233" s="169"/>
      <c r="Y233" s="169"/>
      <c r="Z233" s="170"/>
      <c r="AA233" s="169"/>
      <c r="AB233" s="169"/>
      <c r="AC233" s="169"/>
      <c r="AD233" s="169"/>
      <c r="AE233" s="169"/>
      <c r="AF233" s="169"/>
      <c r="AG233" s="169"/>
      <c r="AH233" s="170"/>
      <c r="AJ233" s="453">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0</v>
      </c>
      <c r="AK233" s="453">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0</v>
      </c>
      <c r="AL233" s="453">
        <f ca="1">IF(AND($D233="Serviço",AL$12&lt;&gt;0,$H233&gt;0,OR(AUTOEVENTO&lt;&gt;"manual",$M233&lt;&gt;$A$15)),
        IF(Import.TipoArredondamento&lt;&gt;"TransfereGOV",
              ROUND(OFFSET($P233,0,AL$13),15-13*ORÇAMENTO!$AF$7)/$H233*OFFSET(ORÇAMENTO!$X$15,ROW(AL233)-ROW(AL$15),0),
              ROUND(ROUND(OFFSET($P233,0,AL$13),15-13*ORÇAMENTO!$AF$7)*OFFSET(ORÇAMENTO!$W$15,ROW(AL233)-ROW(AL$15),0),15-13*ORÇAMENTO!$AF$11)),
         0)</f>
        <v>0</v>
      </c>
      <c r="AM233" s="453">
        <f ca="1">IF(AND($D233="Serviço",AM$12&lt;&gt;0,$H233&gt;0,OR(AUTOEVENTO&lt;&gt;"manual",$M233&lt;&gt;$A$15)),
        IF(Import.TipoArredondamento&lt;&gt;"TransfereGOV",
              ROUND(OFFSET($P233,0,AM$13),15-13*ORÇAMENTO!$AF$7)/$H233*OFFSET(ORÇAMENTO!$X$15,ROW(AM233)-ROW(AM$15),0),
              ROUND(ROUND(OFFSET($P233,0,AM$13),15-13*ORÇAMENTO!$AF$7)*OFFSET(ORÇAMENTO!$W$15,ROW(AM233)-ROW(AM$15),0),15-13*ORÇAMENTO!$AF$11)),
         0)</f>
        <v>0</v>
      </c>
      <c r="AN233" s="453">
        <f ca="1">IF(AND($D233="Serviço",AN$12&lt;&gt;0,$H233&gt;0,OR(AUTOEVENTO&lt;&gt;"manual",$M233&lt;&gt;$A$15)),
        IF(Import.TipoArredondamento&lt;&gt;"TransfereGOV",
              ROUND(OFFSET($P233,0,AN$13),15-13*ORÇAMENTO!$AF$7)/$H233*OFFSET(ORÇAMENTO!$X$15,ROW(AN233)-ROW(AN$15),0),
              ROUND(ROUND(OFFSET($P233,0,AN$13),15-13*ORÇAMENTO!$AF$7)*OFFSET(ORÇAMENTO!$W$15,ROW(AN233)-ROW(AN$15),0),15-13*ORÇAMENTO!$AF$11)),
         0)</f>
        <v>0</v>
      </c>
      <c r="AO233" s="453">
        <f ca="1">IF(AND($D233="Serviço",AO$12&lt;&gt;0,$H233&gt;0,OR(AUTOEVENTO&lt;&gt;"manual",$M233&lt;&gt;$A$15)),
        IF(Import.TipoArredondamento&lt;&gt;"TransfereGOV",
              ROUND(OFFSET($P233,0,AO$13),15-13*ORÇAMENTO!$AF$7)/$H233*OFFSET(ORÇAMENTO!$X$15,ROW(AO233)-ROW(AO$15),0),
              ROUND(ROUND(OFFSET($P233,0,AO$13),15-13*ORÇAMENTO!$AF$7)*OFFSET(ORÇAMENTO!$W$15,ROW(AO233)-ROW(AO$15),0),15-13*ORÇAMENTO!$AF$11)),
         0)</f>
        <v>0</v>
      </c>
      <c r="AP233" s="453">
        <f ca="1">IF(AND($D233="Serviço",AP$12&lt;&gt;0,$H233&gt;0,OR(AUTOEVENTO&lt;&gt;"manual",$M233&lt;&gt;$A$15)),
        IF(Import.TipoArredondamento&lt;&gt;"TransfereGOV",
              ROUND(OFFSET($P233,0,AP$13),15-13*ORÇAMENTO!$AF$7)/$H233*OFFSET(ORÇAMENTO!$X$15,ROW(AP233)-ROW(AP$15),0),
              ROUND(ROUND(OFFSET($P233,0,AP$13),15-13*ORÇAMENTO!$AF$7)*OFFSET(ORÇAMENTO!$W$15,ROW(AP233)-ROW(AP$15),0),15-13*ORÇAMENTO!$AF$11)),
         0)</f>
        <v>0</v>
      </c>
      <c r="AQ233" s="453">
        <f ca="1">IF(AND($D233="Serviço",AQ$12&lt;&gt;0,$H233&gt;0,OR(AUTOEVENTO&lt;&gt;"manual",$M233&lt;&gt;$A$15)),
        IF(Import.TipoArredondamento&lt;&gt;"TransfereGOV",
              ROUND(OFFSET($P233,0,AQ$13),15-13*ORÇAMENTO!$AF$7)/$H233*OFFSET(ORÇAMENTO!$X$15,ROW(AQ233)-ROW(AQ$15),0),
              ROUND(ROUND(OFFSET($P233,0,AQ$13),15-13*ORÇAMENTO!$AF$7)*OFFSET(ORÇAMENTO!$W$15,ROW(AQ233)-ROW(AQ$15),0),15-13*ORÇAMENTO!$AF$11)),
         0)</f>
        <v>0</v>
      </c>
      <c r="AR233" s="453">
        <f ca="1">IF(AND($D233="Serviço",AR$12&lt;&gt;0,$H233&gt;0,OR(AUTOEVENTO&lt;&gt;"manual",$M233&lt;&gt;$A$15)),
        IF(Import.TipoArredondamento&lt;&gt;"TransfereGOV",
              ROUND(OFFSET($P233,0,AR$13),15-13*ORÇAMENTO!$AF$7)/$H233*OFFSET(ORÇAMENTO!$X$15,ROW(AR233)-ROW(AR$15),0),
              ROUND(ROUND(OFFSET($P233,0,AR$13),15-13*ORÇAMENTO!$AF$7)*OFFSET(ORÇAMENTO!$W$15,ROW(AR233)-ROW(AR$15),0),15-13*ORÇAMENTO!$AF$11)),
         0)</f>
        <v>0</v>
      </c>
      <c r="AS233" s="453">
        <f ca="1">IF(AND($D233="Serviço",AS$12&lt;&gt;0,$H233&gt;0,OR(AUTOEVENTO&lt;&gt;"manual",$M233&lt;&gt;$A$15)),
        IF(Import.TipoArredondamento&lt;&gt;"TransfereGOV",
              ROUND(OFFSET($P233,0,AS$13),15-13*ORÇAMENTO!$AF$7)/$H233*OFFSET(ORÇAMENTO!$X$15,ROW(AS233)-ROW(AS$15),0),
              ROUND(ROUND(OFFSET($P233,0,AS$13),15-13*ORÇAMENTO!$AF$7)*OFFSET(ORÇAMENTO!$W$15,ROW(AS233)-ROW(AS$15),0),15-13*ORÇAMENTO!$AF$11)),
         0)</f>
        <v>0</v>
      </c>
      <c r="AT233" s="453">
        <f ca="1">IF(AND($D233="Serviço",AT$12&lt;&gt;0,$H233&gt;0,OR(AUTOEVENTO&lt;&gt;"manual",$M233&lt;&gt;$A$15)),
        IF(Import.TipoArredondamento&lt;&gt;"TransfereGOV",
              ROUND(OFFSET($P233,0,AT$13),15-13*ORÇAMENTO!$AF$7)/$H233*OFFSET(ORÇAMENTO!$X$15,ROW(AT233)-ROW(AT$15),0),
              ROUND(ROUND(OFFSET($P233,0,AT$13),15-13*ORÇAMENTO!$AF$7)*OFFSET(ORÇAMENTO!$W$15,ROW(AT233)-ROW(AT$15),0),15-13*ORÇAMENTO!$AF$11)),
         0)</f>
        <v>0</v>
      </c>
      <c r="AU233" s="453">
        <f ca="1">IF(AND($D233="Serviço",AU$12&lt;&gt;0,$H233&gt;0,OR(AUTOEVENTO&lt;&gt;"manual",$M233&lt;&gt;$A$15)),
        IF(Import.TipoArredondamento&lt;&gt;"TransfereGOV",
              ROUND(OFFSET($P233,0,AU$13),15-13*ORÇAMENTO!$AF$7)/$H233*OFFSET(ORÇAMENTO!$X$15,ROW(AU233)-ROW(AU$15),0),
              ROUND(ROUND(OFFSET($P233,0,AU$13),15-13*ORÇAMENTO!$AF$7)*OFFSET(ORÇAMENTO!$W$15,ROW(AU233)-ROW(AU$15),0),15-13*ORÇAMENTO!$AF$11)),
         0)</f>
        <v>0</v>
      </c>
      <c r="AV233" s="453">
        <f ca="1">IF(AND($D233="Serviço",AV$12&lt;&gt;0,$H233&gt;0,OR(AUTOEVENTO&lt;&gt;"manual",$M233&lt;&gt;$A$15)),
        IF(Import.TipoArredondamento&lt;&gt;"TransfereGOV",
              ROUND(OFFSET($P233,0,AV$13),15-13*ORÇAMENTO!$AF$7)/$H233*OFFSET(ORÇAMENTO!$X$15,ROW(AV233)-ROW(AV$15),0),
              ROUND(ROUND(OFFSET($P233,0,AV$13),15-13*ORÇAMENTO!$AF$7)*OFFSET(ORÇAMENTO!$W$15,ROW(AV233)-ROW(AV$15),0),15-13*ORÇAMENTO!$AF$11)),
         0)</f>
        <v>0</v>
      </c>
      <c r="AW233" s="453">
        <f ca="1">IF(AND($D233="Serviço",AW$12&lt;&gt;0,$H233&gt;0,OR(AUTOEVENTO&lt;&gt;"manual",$M233&lt;&gt;$A$15)),
        IF(Import.TipoArredondamento&lt;&gt;"TransfereGOV",
              ROUND(OFFSET($P233,0,AW$13),15-13*ORÇAMENTO!$AF$7)/$H233*OFFSET(ORÇAMENTO!$X$15,ROW(AW233)-ROW(AW$15),0),
              ROUND(ROUND(OFFSET($P233,0,AW$13),15-13*ORÇAMENTO!$AF$7)*OFFSET(ORÇAMENTO!$W$15,ROW(AW233)-ROW(AW$15),0),15-13*ORÇAMENTO!$AF$11)),
         0)</f>
        <v>0</v>
      </c>
      <c r="AX233" s="453">
        <f ca="1">IF(AND($D233="Serviço",AX$12&lt;&gt;0,$H233&gt;0,OR(AUTOEVENTO&lt;&gt;"manual",$M233&lt;&gt;$A$15)),
        IF(Import.TipoArredondamento&lt;&gt;"TransfereGOV",
              ROUND(OFFSET($P233,0,AX$13),15-13*ORÇAMENTO!$AF$7)/$H233*OFFSET(ORÇAMENTO!$X$15,ROW(AX233)-ROW(AX$15),0),
              ROUND(ROUND(OFFSET($P233,0,AX$13),15-13*ORÇAMENTO!$AF$7)*OFFSET(ORÇAMENTO!$W$15,ROW(AX233)-ROW(AX$15),0),15-13*ORÇAMENTO!$AF$11)),
         0)</f>
        <v>0</v>
      </c>
      <c r="AY233" s="453">
        <f ca="1">IF(AND($D233="Serviço",AY$12&lt;&gt;0,$H233&gt;0,OR(AUTOEVENTO&lt;&gt;"manual",$M233&lt;&gt;$A$15)),
        IF(Import.TipoArredondamento&lt;&gt;"TransfereGOV",
              ROUND(OFFSET($P233,0,AY$13),15-13*ORÇAMENTO!$AF$7)/$H233*OFFSET(ORÇAMENTO!$X$15,ROW(AY233)-ROW(AY$15),0),
              ROUND(ROUND(OFFSET($P233,0,AY$13),15-13*ORÇAMENTO!$AF$7)*OFFSET(ORÇAMENTO!$W$15,ROW(AY233)-ROW(AY$15),0),15-13*ORÇAMENTO!$AF$11)),
         0)</f>
        <v>0</v>
      </c>
      <c r="AZ233" s="453">
        <f ca="1">IF(AND($D233="Serviço",AZ$12&lt;&gt;0,$H233&gt;0,OR(AUTOEVENTO&lt;&gt;"manual",$M233&lt;&gt;$A$15)),
        IF(Import.TipoArredondamento&lt;&gt;"TransfereGOV",
              ROUND(OFFSET($P233,0,AZ$13),15-13*ORÇAMENTO!$AF$7)/$H233*OFFSET(ORÇAMENTO!$X$15,ROW(AZ233)-ROW(AZ$15),0),
              ROUND(ROUND(OFFSET($P233,0,AZ$13),15-13*ORÇAMENTO!$AF$7)*OFFSET(ORÇAMENTO!$W$15,ROW(AZ233)-ROW(AZ$15),0),15-13*ORÇAMENTO!$AF$11)),
         0)</f>
        <v>0</v>
      </c>
      <c r="BA233" s="453">
        <f ca="1">IF(AND($D233="Serviço",BA$12&lt;&gt;0,$H233&gt;0,OR(AUTOEVENTO&lt;&gt;"manual",$M233&lt;&gt;$A$15)),
        IF(Import.TipoArredondamento&lt;&gt;"TransfereGOV",
              ROUND(OFFSET($P233,0,BA$13),15-13*ORÇAMENTO!$AF$7)/$H233*OFFSET(ORÇAMENTO!$X$15,ROW(BA233)-ROW(BA$15),0),
              ROUND(ROUND(OFFSET($P233,0,BA$13),15-13*ORÇAMENTO!$AF$7)*OFFSET(ORÇAMENTO!$W$15,ROW(BA233)-ROW(BA$15),0),15-13*ORÇAMENTO!$AF$11)),
         0)</f>
        <v>0</v>
      </c>
      <c r="BC233" s="171">
        <f ca="1">IF(OR($D233&lt;&gt;"Serviço",AND(AUTOEVENTO="Manual",$M233=$A$15)),0,
         IF(OFFSET(CRONOPLE!$F$15,$M233-$A$15,BC$13)=0,10^12,OFFSET(CRONOPLE!$F$15,$M233-$A$15,BC$13)))</f>
        <v>1</v>
      </c>
      <c r="BD233" s="171">
        <f ca="1">IF(OR($D233&lt;&gt;"Serviço",AND(AUTOEVENTO="Manual",$M233=$A$15)),0,
         IF(OFFSET(CRONOPLE!$F$15,$M233-$A$15,BD$13)=0,10^12,OFFSET(CRONOPLE!$F$15,$M233-$A$15,BD$13)))</f>
        <v>2</v>
      </c>
      <c r="BE233" s="171">
        <f ca="1">IF(OR($D233&lt;&gt;"Serviço",AND(AUTOEVENTO="Manual",$M233=$A$15)),0,
         IF(OFFSET(CRONOPLE!$F$15,$M233-$A$15,BE$13)=0,10^12,OFFSET(CRONOPLE!$F$15,$M233-$A$15,BE$13)))</f>
        <v>3</v>
      </c>
      <c r="BF233" s="171">
        <f ca="1">IF(OR($D233&lt;&gt;"Serviço",AND(AUTOEVENTO="Manual",$M233=$A$15)),0,
         IF(OFFSET(CRONOPLE!$F$15,$M233-$A$15,BF$13)=0,10^12,OFFSET(CRONOPLE!$F$15,$M233-$A$15,BF$13)))</f>
        <v>4</v>
      </c>
      <c r="BG233" s="171">
        <f ca="1">IF(OR($D233&lt;&gt;"Serviço",AND(AUTOEVENTO="Manual",$M233=$A$15)),0,
         IF(OFFSET(CRONOPLE!$F$15,$M233-$A$15,BG$13)=0,10^12,OFFSET(CRONOPLE!$F$15,$M233-$A$15,BG$13)))</f>
        <v>5</v>
      </c>
      <c r="BH233" s="171">
        <f ca="1">IF(OR($D233&lt;&gt;"Serviço",AND(AUTOEVENTO="Manual",$M233=$A$15)),0,
         IF(OFFSET(CRONOPLE!$F$15,$M233-$A$15,BH$13)=0,10^12,OFFSET(CRONOPLE!$F$15,$M233-$A$15,BH$13)))</f>
        <v>6</v>
      </c>
      <c r="BI233" s="171">
        <f ca="1">IF(OR($D233&lt;&gt;"Serviço",AND(AUTOEVENTO="Manual",$M233=$A$15)),0,
         IF(OFFSET(CRONOPLE!$F$15,$M233-$A$15,BI$13)=0,10^12,OFFSET(CRONOPLE!$F$15,$M233-$A$15,BI$13)))</f>
        <v>7</v>
      </c>
      <c r="BJ233" s="171">
        <f ca="1">IF(OR($D233&lt;&gt;"Serviço",AND(AUTOEVENTO="Manual",$M233=$A$15)),0,
         IF(OFFSET(CRONOPLE!$F$15,$M233-$A$15,BJ$13)=0,10^12,OFFSET(CRONOPLE!$F$15,$M233-$A$15,BJ$13)))</f>
        <v>8</v>
      </c>
      <c r="BK233" s="171">
        <f ca="1">IF(OR($D233&lt;&gt;"Serviço",AND(AUTOEVENTO="Manual",$M233=$A$15)),0,
         IF(OFFSET(CRONOPLE!$F$15,$M233-$A$15,BK$13)=0,10^12,OFFSET(CRONOPLE!$F$15,$M233-$A$15,BK$13)))</f>
        <v>9</v>
      </c>
      <c r="BL233" s="171">
        <f ca="1">IF(OR($D233&lt;&gt;"Serviço",AND(AUTOEVENTO="Manual",$M233=$A$15)),0,
         IF(OFFSET(CRONOPLE!$F$15,$M233-$A$15,BL$13)=0,10^12,OFFSET(CRONOPLE!$F$15,$M233-$A$15,BL$13)))</f>
        <v>10</v>
      </c>
      <c r="BM233" s="171">
        <f ca="1">IF(OR($D233&lt;&gt;"Serviço",AND(AUTOEVENTO="Manual",$M233=$A$15)),0,
         IF(OFFSET(CRONOPLE!$F$15,$M233-$A$15,BM$13)=0,10^12,OFFSET(CRONOPLE!$F$15,$M233-$A$15,BM$13)))</f>
        <v>1000000000000</v>
      </c>
      <c r="BN233" s="171">
        <f ca="1">IF(OR($D233&lt;&gt;"Serviço",AND(AUTOEVENTO="Manual",$M233=$A$15)),0,
         IF(OFFSET(CRONOPLE!$F$15,$M233-$A$15,BN$13)=0,10^12,OFFSET(CRONOPLE!$F$15,$M233-$A$15,BN$13)))</f>
        <v>1000000000000</v>
      </c>
      <c r="BO233" s="171">
        <f ca="1">IF(OR($D233&lt;&gt;"Serviço",AND(AUTOEVENTO="Manual",$M233=$A$15)),0,
         IF(OFFSET(CRONOPLE!$F$15,$M233-$A$15,BO$13)=0,10^12,OFFSET(CRONOPLE!$F$15,$M233-$A$15,BO$13)))</f>
        <v>1000000000000</v>
      </c>
      <c r="BP233" s="171">
        <f ca="1">IF(OR($D233&lt;&gt;"Serviço",AND(AUTOEVENTO="Manual",$M233=$A$15)),0,
         IF(OFFSET(CRONOPLE!$F$15,$M233-$A$15,BP$13)=0,10^12,OFFSET(CRONOPLE!$F$15,$M233-$A$15,BP$13)))</f>
        <v>1000000000000</v>
      </c>
      <c r="BQ233" s="171">
        <f ca="1">IF(OR($D233&lt;&gt;"Serviço",AND(AUTOEVENTO="Manual",$M233=$A$15)),0,
         IF(OFFSET(CRONOPLE!$F$15,$M233-$A$15,BQ$13)=0,10^12,OFFSET(CRONOPLE!$F$15,$M233-$A$15,BQ$13)))</f>
        <v>1000000000000</v>
      </c>
      <c r="BR233" s="171">
        <f ca="1">IF(OR($D233&lt;&gt;"Serviço",AND(AUTOEVENTO="Manual",$M233=$A$15)),0,
         IF(OFFSET(CRONOPLE!$F$15,$M233-$A$15,BR$13)=0,10^12,OFFSET(CRONOPLE!$F$15,$M233-$A$15,BR$13)))</f>
        <v>1000000000000</v>
      </c>
      <c r="BS233" s="171">
        <f ca="1">IF(OR($D233&lt;&gt;"Serviço",AND(AUTOEVENTO="Manual",$M233=$A$15)),0,
         IF(OFFSET(CRONOPLE!$F$15,$M233-$A$15,BS$13)=0,10^12,OFFSET(CRONOPLE!$F$15,$M233-$A$15,BS$13)))</f>
        <v>1000000000000</v>
      </c>
      <c r="BT233" s="171">
        <f ca="1">IF(OR($D233&lt;&gt;"Serviço",AND(AUTOEVENTO="Manual",$M233=$A$15)),0,
         IF(OFFSET(CRONOPLE!$F$15,$M233-$A$15,BT$13)=0,10^12,OFFSET(CRONOPLE!$F$15,$M233-$A$15,BT$13)))</f>
        <v>1000000000000</v>
      </c>
      <c r="BV233" s="172">
        <f ca="1">IF(OR($D233&lt;&gt;"Serviço",AND(AUTOEVENTO="Manual",$M233=$A$15),$M233&gt;(ROW(PLE.lastrow)-ROW(PLE.firstrow))),0,
           IF(OFFSET(PLE!$G$15,$M233-$A$15,BV$13)="",10^12,OFFSET(PLE!$G$15,$M233-$A$15,BV$13)))</f>
        <v>1000000000000</v>
      </c>
      <c r="BW233" s="172">
        <f ca="1">IF(OR($D233&lt;&gt;"Serviço",AND(AUTOEVENTO="Manual",$M233=$A$15),$M233&gt;(ROW(PLE.lastrow)-ROW(PLE.firstrow))),0,
           IF(OFFSET(PLE!$G$15,$M233-$A$15,BW$13)="",10^12,OFFSET(PLE!$G$15,$M233-$A$15,BW$13)))</f>
        <v>1000000000000</v>
      </c>
      <c r="BX233" s="172">
        <f ca="1">IF(OR($D233&lt;&gt;"Serviço",AND(AUTOEVENTO="Manual",$M233=$A$15),$M233&gt;(ROW(PLE.lastrow)-ROW(PLE.firstrow))),0,
           IF(OFFSET(PLE!$G$15,$M233-$A$15,BX$13)="",10^12,OFFSET(PLE!$G$15,$M233-$A$15,BX$13)))</f>
        <v>1000000000000</v>
      </c>
      <c r="BY233" s="172">
        <f ca="1">IF(OR($D233&lt;&gt;"Serviço",AND(AUTOEVENTO="Manual",$M233=$A$15),$M233&gt;(ROW(PLE.lastrow)-ROW(PLE.firstrow))),0,
           IF(OFFSET(PLE!$G$15,$M233-$A$15,BY$13)="",10^12,OFFSET(PLE!$G$15,$M233-$A$15,BY$13)))</f>
        <v>1000000000000</v>
      </c>
      <c r="BZ233" s="172">
        <f ca="1">IF(OR($D233&lt;&gt;"Serviço",AND(AUTOEVENTO="Manual",$M233=$A$15),$M233&gt;(ROW(PLE.lastrow)-ROW(PLE.firstrow))),0,
           IF(OFFSET(PLE!$G$15,$M233-$A$15,BZ$13)="",10^12,OFFSET(PLE!$G$15,$M233-$A$15,BZ$13)))</f>
        <v>1000000000000</v>
      </c>
      <c r="CA233" s="172">
        <f ca="1">IF(OR($D233&lt;&gt;"Serviço",AND(AUTOEVENTO="Manual",$M233=$A$15),$M233&gt;(ROW(PLE.lastrow)-ROW(PLE.firstrow))),0,
           IF(OFFSET(PLE!$G$15,$M233-$A$15,CA$13)="",10^12,OFFSET(PLE!$G$15,$M233-$A$15,CA$13)))</f>
        <v>1000000000000</v>
      </c>
      <c r="CB233" s="172">
        <f ca="1">IF(OR($D233&lt;&gt;"Serviço",AND(AUTOEVENTO="Manual",$M233=$A$15),$M233&gt;(ROW(PLE.lastrow)-ROW(PLE.firstrow))),0,
           IF(OFFSET(PLE!$G$15,$M233-$A$15,CB$13)="",10^12,OFFSET(PLE!$G$15,$M233-$A$15,CB$13)))</f>
        <v>1000000000000</v>
      </c>
      <c r="CC233" s="172">
        <f ca="1">IF(OR($D233&lt;&gt;"Serviço",AND(AUTOEVENTO="Manual",$M233=$A$15),$M233&gt;(ROW(PLE.lastrow)-ROW(PLE.firstrow))),0,
           IF(OFFSET(PLE!$G$15,$M233-$A$15,CC$13)="",10^12,OFFSET(PLE!$G$15,$M233-$A$15,CC$13)))</f>
        <v>1000000000000</v>
      </c>
      <c r="CD233" s="172">
        <f ca="1">IF(OR($D233&lt;&gt;"Serviço",AND(AUTOEVENTO="Manual",$M233=$A$15),$M233&gt;(ROW(PLE.lastrow)-ROW(PLE.firstrow))),0,
           IF(OFFSET(PLE!$G$15,$M233-$A$15,CD$13)="",10^12,OFFSET(PLE!$G$15,$M233-$A$15,CD$13)))</f>
        <v>1000000000000</v>
      </c>
      <c r="CE233" s="172">
        <f ca="1">IF(OR($D233&lt;&gt;"Serviço",AND(AUTOEVENTO="Manual",$M233=$A$15),$M233&gt;(ROW(PLE.lastrow)-ROW(PLE.firstrow))),0,
           IF(OFFSET(PLE!$G$15,$M233-$A$15,CE$13)="",10^12,OFFSET(PLE!$G$15,$M233-$A$15,CE$13)))</f>
        <v>1000000000000</v>
      </c>
      <c r="CF233" s="172">
        <f ca="1">IF(OR($D233&lt;&gt;"Serviço",AND(AUTOEVENTO="Manual",$M233=$A$15),$M233&gt;(ROW(PLE.lastrow)-ROW(PLE.firstrow))),0,
           IF(OFFSET(PLE!$G$15,$M233-$A$15,CF$13)="",10^12,OFFSET(PLE!$G$15,$M233-$A$15,CF$13)))</f>
        <v>1000000000000</v>
      </c>
      <c r="CG233" s="172">
        <f ca="1">IF(OR($D233&lt;&gt;"Serviço",AND(AUTOEVENTO="Manual",$M233=$A$15),$M233&gt;(ROW(PLE.lastrow)-ROW(PLE.firstrow))),0,
           IF(OFFSET(PLE!$G$15,$M233-$A$15,CG$13)="",10^12,OFFSET(PLE!$G$15,$M233-$A$15,CG$13)))</f>
        <v>1000000000000</v>
      </c>
      <c r="CH233" s="172">
        <f ca="1">IF(OR($D233&lt;&gt;"Serviço",AND(AUTOEVENTO="Manual",$M233=$A$15),$M233&gt;(ROW(PLE.lastrow)-ROW(PLE.firstrow))),0,
           IF(OFFSET(PLE!$G$15,$M233-$A$15,CH$13)="",10^12,OFFSET(PLE!$G$15,$M233-$A$15,CH$13)))</f>
        <v>1000000000000</v>
      </c>
      <c r="CI233" s="172">
        <f ca="1">IF(OR($D233&lt;&gt;"Serviço",AND(AUTOEVENTO="Manual",$M233=$A$15),$M233&gt;(ROW(PLE.lastrow)-ROW(PLE.firstrow))),0,
           IF(OFFSET(PLE!$G$15,$M233-$A$15,CI$13)="",10^12,OFFSET(PLE!$G$15,$M233-$A$15,CI$13)))</f>
        <v>1000000000000</v>
      </c>
      <c r="CJ233" s="172">
        <f ca="1">IF(OR($D233&lt;&gt;"Serviço",AND(AUTOEVENTO="Manual",$M233=$A$15),$M233&gt;(ROW(PLE.lastrow)-ROW(PLE.firstrow))),0,
           IF(OFFSET(PLE!$G$15,$M233-$A$15,CJ$13)="",10^12,OFFSET(PLE!$G$15,$M233-$A$15,CJ$13)))</f>
        <v>1000000000000</v>
      </c>
      <c r="CK233" s="172">
        <f ca="1">IF(OR($D233&lt;&gt;"Serviço",AND(AUTOEVENTO="Manual",$M233=$A$15),$M233&gt;(ROW(PLE.lastrow)-ROW(PLE.firstrow))),0,
           IF(OFFSET(PLE!$G$15,$M233-$A$15,CK$13)="",10^12,OFFSET(PLE!$G$15,$M233-$A$15,CK$13)))</f>
        <v>1000000000000</v>
      </c>
      <c r="CL233" s="172">
        <f ca="1">IF(OR($D233&lt;&gt;"Serviço",AND(AUTOEVENTO="Manual",$M233=$A$15),$M233&gt;(ROW(PLE.lastrow)-ROW(PLE.firstrow))),0,
           IF(OFFSET(PLE!$G$15,$M233-$A$15,CL$13)="",10^12,OFFSET(PLE!$G$15,$M233-$A$15,CL$13)))</f>
        <v>1000000000000</v>
      </c>
      <c r="CM233" s="172">
        <f ca="1">IF(OR($D233&lt;&gt;"Serviço",AND(AUTOEVENTO="Manual",$M233=$A$15),$M233&gt;(ROW(PLE.lastrow)-ROW(PLE.firstrow))),0,
           IF(OFFSET(PLE!$G$15,$M233-$A$15,CM$13)="",10^12,OFFSET(PLE!$G$15,$M233-$A$15,CM$13)))</f>
        <v>1000000000000</v>
      </c>
    </row>
    <row r="234" spans="1:91" ht="76.5" x14ac:dyDescent="0.2">
      <c r="A234" s="7">
        <f t="shared" ca="1" si="13"/>
        <v>5</v>
      </c>
      <c r="B234" s="7" t="str">
        <f ca="1">OFFSET(ORÇAMENTO!C$15,ROW(B234)-ROW(B$15),0)</f>
        <v>S</v>
      </c>
      <c r="C234" s="7" t="str">
        <f ca="1">OFFSET(ORÇAMENTO!L$15,ROW(C234)-ROW(C$15),0)</f>
        <v>F</v>
      </c>
      <c r="D234" s="116" t="str">
        <f ca="1">OFFSET(ORÇAMENTO!N$15,ROW(D234)-ROW(D$15),0)</f>
        <v>Serviço</v>
      </c>
      <c r="E234" s="117" t="str">
        <f ca="1">OFFSET(ORÇAMENTO!O$15,ROW(E234)-ROW(E$15),0)</f>
        <v>1.6.2.0.10.</v>
      </c>
      <c r="F234" s="163" t="str">
        <f ca="1">OFFSET(ORÇAMENTO!R$15,ROW(F234)-ROW(F$15),0)</f>
        <v>TELHAMENTO COM TELHA METÁLICA TERMOACÚSTICA E = 30 MM, COM ATÉ 2 ÁGUAS, INCLUSO IÇAMENTO. AF_07/2019</v>
      </c>
      <c r="G234" s="164" t="str">
        <f ca="1">IF($D234&lt;&gt;"Serviço","",OFFSET(ORÇAMENTO!S$15,ROW(G234)-ROW(G$15),0))</f>
        <v>M2</v>
      </c>
      <c r="H234" s="122" cm="1">
        <f t="array" aca="1" ref="H234" ca="1">IF($D234&lt;&gt;"Serviço",0,IF(ACOMPANHAMENTO="BM",ROUND(OFFSET(ORÇAMENTO!AJ$15,ROW(H234)-ROW(H$15),0),15-13*ORÇAMENTO!$AF$7),SUMPRODUCT(($Q$1:$AI$1=1)*ROUND($Q234:$AI234,15-13*ORÇAMENTO!$AF$7))))</f>
        <v>42.21</v>
      </c>
      <c r="I234" s="468" t="s">
        <v>1344</v>
      </c>
      <c r="J234" s="640" t="str" cm="1">
        <f t="array" aca="1" ref="J234" ca="1">IF(OR(B234&lt;&gt;"S",CÁLCULO.FrentesPreenchidas=0),"",IF(AND(ACOMPANHAMENTO="PLE",AUTOEVENTO="Manual",OR(H234&gt;0,ORÇAMENTO!AC234="QUANT."),OR(K234="",M234=0,N234="")),"►E",IF(AND(ACOMPANHAMENTO="PLE",ORÇAMENTO!AC234="QUANT."),"►Q",IF(AND(ACOMPANHAMENTO="PLE",H234&lt;&gt;SUMPRODUCT(($Q$1:$AI$1=1)*ROUND(Q234:AI234,15))),"►S",IF(AND(COUNTIF($P$11:$AI$11,"▼")=0,H234&gt;0,I234=""),"◄M","")))))</f>
        <v/>
      </c>
      <c r="K234" s="641" t="s">
        <v>1390</v>
      </c>
      <c r="L234" s="165" t="s">
        <v>764</v>
      </c>
      <c r="M234" s="166">
        <f ca="1">IF($D234&lt;&gt;"Serviço","",
          IF(AUTOEVENTO="manual",$A234,
                IF(ISERROR(MATCH($A234,$A$15:OFFSET($A234,-1,0),0)),MAX($M$15:OFFSET(M234,-1,0))+1,
                      INDEX($M$15:OFFSET(M234,-1,0),MATCH($A234,$A$15:OFFSET($A234,-1,0),0)))))</f>
        <v>5</v>
      </c>
      <c r="N234" s="167" t="str">
        <f ca="1">IF($D234&lt;&gt;"Serviço","",
         IF(AUTOEVENTO="Manual",
                IF($A234=0,"&lt;-- defina o número do agrupador",
                       OFFSET(EVENTOS!$D$15,$A234-$A$15,0)),
                OFFSET($F$15,$A234,0)))</f>
        <v>Estrutura Metálica</v>
      </c>
      <c r="O234" s="168"/>
      <c r="Q234" s="168"/>
      <c r="R234" s="169"/>
      <c r="S234" s="169"/>
      <c r="T234" s="169"/>
      <c r="U234" s="169"/>
      <c r="V234" s="169"/>
      <c r="W234" s="169">
        <v>42.21</v>
      </c>
      <c r="X234" s="169"/>
      <c r="Y234" s="169"/>
      <c r="Z234" s="170"/>
      <c r="AA234" s="169"/>
      <c r="AB234" s="169"/>
      <c r="AC234" s="169"/>
      <c r="AD234" s="169"/>
      <c r="AE234" s="169"/>
      <c r="AF234" s="169"/>
      <c r="AG234" s="169"/>
      <c r="AH234" s="170"/>
      <c r="AJ234" s="453">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0</v>
      </c>
      <c r="AK234" s="453">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0</v>
      </c>
      <c r="AL234" s="453">
        <f ca="1">IF(AND($D234="Serviço",AL$12&lt;&gt;0,$H234&gt;0,OR(AUTOEVENTO&lt;&gt;"manual",$M234&lt;&gt;$A$15)),
        IF(Import.TipoArredondamento&lt;&gt;"TransfereGOV",
              ROUND(OFFSET($P234,0,AL$13),15-13*ORÇAMENTO!$AF$7)/$H234*OFFSET(ORÇAMENTO!$X$15,ROW(AL234)-ROW(AL$15),0),
              ROUND(ROUND(OFFSET($P234,0,AL$13),15-13*ORÇAMENTO!$AF$7)*OFFSET(ORÇAMENTO!$W$15,ROW(AL234)-ROW(AL$15),0),15-13*ORÇAMENTO!$AF$11)),
         0)</f>
        <v>0</v>
      </c>
      <c r="AM234" s="453">
        <f ca="1">IF(AND($D234="Serviço",AM$12&lt;&gt;0,$H234&gt;0,OR(AUTOEVENTO&lt;&gt;"manual",$M234&lt;&gt;$A$15)),
        IF(Import.TipoArredondamento&lt;&gt;"TransfereGOV",
              ROUND(OFFSET($P234,0,AM$13),15-13*ORÇAMENTO!$AF$7)/$H234*OFFSET(ORÇAMENTO!$X$15,ROW(AM234)-ROW(AM$15),0),
              ROUND(ROUND(OFFSET($P234,0,AM$13),15-13*ORÇAMENTO!$AF$7)*OFFSET(ORÇAMENTO!$W$15,ROW(AM234)-ROW(AM$15),0),15-13*ORÇAMENTO!$AF$11)),
         0)</f>
        <v>0</v>
      </c>
      <c r="AN234" s="453">
        <f ca="1">IF(AND($D234="Serviço",AN$12&lt;&gt;0,$H234&gt;0,OR(AUTOEVENTO&lt;&gt;"manual",$M234&lt;&gt;$A$15)),
        IF(Import.TipoArredondamento&lt;&gt;"TransfereGOV",
              ROUND(OFFSET($P234,0,AN$13),15-13*ORÇAMENTO!$AF$7)/$H234*OFFSET(ORÇAMENTO!$X$15,ROW(AN234)-ROW(AN$15),0),
              ROUND(ROUND(OFFSET($P234,0,AN$13),15-13*ORÇAMENTO!$AF$7)*OFFSET(ORÇAMENTO!$W$15,ROW(AN234)-ROW(AN$15),0),15-13*ORÇAMENTO!$AF$11)),
         0)</f>
        <v>0</v>
      </c>
      <c r="AO234" s="453">
        <f ca="1">IF(AND($D234="Serviço",AO$12&lt;&gt;0,$H234&gt;0,OR(AUTOEVENTO&lt;&gt;"manual",$M234&lt;&gt;$A$15)),
        IF(Import.TipoArredondamento&lt;&gt;"TransfereGOV",
              ROUND(OFFSET($P234,0,AO$13),15-13*ORÇAMENTO!$AF$7)/$H234*OFFSET(ORÇAMENTO!$X$15,ROW(AO234)-ROW(AO$15),0),
              ROUND(ROUND(OFFSET($P234,0,AO$13),15-13*ORÇAMENTO!$AF$7)*OFFSET(ORÇAMENTO!$W$15,ROW(AO234)-ROW(AO$15),0),15-13*ORÇAMENTO!$AF$11)),
         0)</f>
        <v>0</v>
      </c>
      <c r="AP234" s="453">
        <f ca="1">IF(AND($D234="Serviço",AP$12&lt;&gt;0,$H234&gt;0,OR(AUTOEVENTO&lt;&gt;"manual",$M234&lt;&gt;$A$15)),
        IF(Import.TipoArredondamento&lt;&gt;"TransfereGOV",
              ROUND(OFFSET($P234,0,AP$13),15-13*ORÇAMENTO!$AF$7)/$H234*OFFSET(ORÇAMENTO!$X$15,ROW(AP234)-ROW(AP$15),0),
              ROUND(ROUND(OFFSET($P234,0,AP$13),15-13*ORÇAMENTO!$AF$7)*OFFSET(ORÇAMENTO!$W$15,ROW(AP234)-ROW(AP$15),0),15-13*ORÇAMENTO!$AF$11)),
         0)</f>
        <v>0</v>
      </c>
      <c r="AQ234" s="453">
        <f ca="1">IF(AND($D234="Serviço",AQ$12&lt;&gt;0,$H234&gt;0,OR(AUTOEVENTO&lt;&gt;"manual",$M234&lt;&gt;$A$15)),
        IF(Import.TipoArredondamento&lt;&gt;"TransfereGOV",
              ROUND(OFFSET($P234,0,AQ$13),15-13*ORÇAMENTO!$AF$7)/$H234*OFFSET(ORÇAMENTO!$X$15,ROW(AQ234)-ROW(AQ$15),0),
              ROUND(ROUND(OFFSET($P234,0,AQ$13),15-13*ORÇAMENTO!$AF$7)*OFFSET(ORÇAMENTO!$W$15,ROW(AQ234)-ROW(AQ$15),0),15-13*ORÇAMENTO!$AF$11)),
         0)</f>
        <v>0</v>
      </c>
      <c r="AR234" s="453">
        <f ca="1">IF(AND($D234="Serviço",AR$12&lt;&gt;0,$H234&gt;0,OR(AUTOEVENTO&lt;&gt;"manual",$M234&lt;&gt;$A$15)),
        IF(Import.TipoArredondamento&lt;&gt;"TransfereGOV",
              ROUND(OFFSET($P234,0,AR$13),15-13*ORÇAMENTO!$AF$7)/$H234*OFFSET(ORÇAMENTO!$X$15,ROW(AR234)-ROW(AR$15),0),
              ROUND(ROUND(OFFSET($P234,0,AR$13),15-13*ORÇAMENTO!$AF$7)*OFFSET(ORÇAMENTO!$W$15,ROW(AR234)-ROW(AR$15),0),15-13*ORÇAMENTO!$AF$11)),
         0)</f>
        <v>0</v>
      </c>
      <c r="AS234" s="453">
        <f ca="1">IF(AND($D234="Serviço",AS$12&lt;&gt;0,$H234&gt;0,OR(AUTOEVENTO&lt;&gt;"manual",$M234&lt;&gt;$A$15)),
        IF(Import.TipoArredondamento&lt;&gt;"TransfereGOV",
              ROUND(OFFSET($P234,0,AS$13),15-13*ORÇAMENTO!$AF$7)/$H234*OFFSET(ORÇAMENTO!$X$15,ROW(AS234)-ROW(AS$15),0),
              ROUND(ROUND(OFFSET($P234,0,AS$13),15-13*ORÇAMENTO!$AF$7)*OFFSET(ORÇAMENTO!$W$15,ROW(AS234)-ROW(AS$15),0),15-13*ORÇAMENTO!$AF$11)),
         0)</f>
        <v>0</v>
      </c>
      <c r="AT234" s="453">
        <f ca="1">IF(AND($D234="Serviço",AT$12&lt;&gt;0,$H234&gt;0,OR(AUTOEVENTO&lt;&gt;"manual",$M234&lt;&gt;$A$15)),
        IF(Import.TipoArredondamento&lt;&gt;"TransfereGOV",
              ROUND(OFFSET($P234,0,AT$13),15-13*ORÇAMENTO!$AF$7)/$H234*OFFSET(ORÇAMENTO!$X$15,ROW(AT234)-ROW(AT$15),0),
              ROUND(ROUND(OFFSET($P234,0,AT$13),15-13*ORÇAMENTO!$AF$7)*OFFSET(ORÇAMENTO!$W$15,ROW(AT234)-ROW(AT$15),0),15-13*ORÇAMENTO!$AF$11)),
         0)</f>
        <v>0</v>
      </c>
      <c r="AU234" s="453">
        <f ca="1">IF(AND($D234="Serviço",AU$12&lt;&gt;0,$H234&gt;0,OR(AUTOEVENTO&lt;&gt;"manual",$M234&lt;&gt;$A$15)),
        IF(Import.TipoArredondamento&lt;&gt;"TransfereGOV",
              ROUND(OFFSET($P234,0,AU$13),15-13*ORÇAMENTO!$AF$7)/$H234*OFFSET(ORÇAMENTO!$X$15,ROW(AU234)-ROW(AU$15),0),
              ROUND(ROUND(OFFSET($P234,0,AU$13),15-13*ORÇAMENTO!$AF$7)*OFFSET(ORÇAMENTO!$W$15,ROW(AU234)-ROW(AU$15),0),15-13*ORÇAMENTO!$AF$11)),
         0)</f>
        <v>0</v>
      </c>
      <c r="AV234" s="453">
        <f ca="1">IF(AND($D234="Serviço",AV$12&lt;&gt;0,$H234&gt;0,OR(AUTOEVENTO&lt;&gt;"manual",$M234&lt;&gt;$A$15)),
        IF(Import.TipoArredondamento&lt;&gt;"TransfereGOV",
              ROUND(OFFSET($P234,0,AV$13),15-13*ORÇAMENTO!$AF$7)/$H234*OFFSET(ORÇAMENTO!$X$15,ROW(AV234)-ROW(AV$15),0),
              ROUND(ROUND(OFFSET($P234,0,AV$13),15-13*ORÇAMENTO!$AF$7)*OFFSET(ORÇAMENTO!$W$15,ROW(AV234)-ROW(AV$15),0),15-13*ORÇAMENTO!$AF$11)),
         0)</f>
        <v>0</v>
      </c>
      <c r="AW234" s="453">
        <f ca="1">IF(AND($D234="Serviço",AW$12&lt;&gt;0,$H234&gt;0,OR(AUTOEVENTO&lt;&gt;"manual",$M234&lt;&gt;$A$15)),
        IF(Import.TipoArredondamento&lt;&gt;"TransfereGOV",
              ROUND(OFFSET($P234,0,AW$13),15-13*ORÇAMENTO!$AF$7)/$H234*OFFSET(ORÇAMENTO!$X$15,ROW(AW234)-ROW(AW$15),0),
              ROUND(ROUND(OFFSET($P234,0,AW$13),15-13*ORÇAMENTO!$AF$7)*OFFSET(ORÇAMENTO!$W$15,ROW(AW234)-ROW(AW$15),0),15-13*ORÇAMENTO!$AF$11)),
         0)</f>
        <v>0</v>
      </c>
      <c r="AX234" s="453">
        <f ca="1">IF(AND($D234="Serviço",AX$12&lt;&gt;0,$H234&gt;0,OR(AUTOEVENTO&lt;&gt;"manual",$M234&lt;&gt;$A$15)),
        IF(Import.TipoArredondamento&lt;&gt;"TransfereGOV",
              ROUND(OFFSET($P234,0,AX$13),15-13*ORÇAMENTO!$AF$7)/$H234*OFFSET(ORÇAMENTO!$X$15,ROW(AX234)-ROW(AX$15),0),
              ROUND(ROUND(OFFSET($P234,0,AX$13),15-13*ORÇAMENTO!$AF$7)*OFFSET(ORÇAMENTO!$W$15,ROW(AX234)-ROW(AX$15),0),15-13*ORÇAMENTO!$AF$11)),
         0)</f>
        <v>0</v>
      </c>
      <c r="AY234" s="453">
        <f ca="1">IF(AND($D234="Serviço",AY$12&lt;&gt;0,$H234&gt;0,OR(AUTOEVENTO&lt;&gt;"manual",$M234&lt;&gt;$A$15)),
        IF(Import.TipoArredondamento&lt;&gt;"TransfereGOV",
              ROUND(OFFSET($P234,0,AY$13),15-13*ORÇAMENTO!$AF$7)/$H234*OFFSET(ORÇAMENTO!$X$15,ROW(AY234)-ROW(AY$15),0),
              ROUND(ROUND(OFFSET($P234,0,AY$13),15-13*ORÇAMENTO!$AF$7)*OFFSET(ORÇAMENTO!$W$15,ROW(AY234)-ROW(AY$15),0),15-13*ORÇAMENTO!$AF$11)),
         0)</f>
        <v>0</v>
      </c>
      <c r="AZ234" s="453">
        <f ca="1">IF(AND($D234="Serviço",AZ$12&lt;&gt;0,$H234&gt;0,OR(AUTOEVENTO&lt;&gt;"manual",$M234&lt;&gt;$A$15)),
        IF(Import.TipoArredondamento&lt;&gt;"TransfereGOV",
              ROUND(OFFSET($P234,0,AZ$13),15-13*ORÇAMENTO!$AF$7)/$H234*OFFSET(ORÇAMENTO!$X$15,ROW(AZ234)-ROW(AZ$15),0),
              ROUND(ROUND(OFFSET($P234,0,AZ$13),15-13*ORÇAMENTO!$AF$7)*OFFSET(ORÇAMENTO!$W$15,ROW(AZ234)-ROW(AZ$15),0),15-13*ORÇAMENTO!$AF$11)),
         0)</f>
        <v>0</v>
      </c>
      <c r="BA234" s="453">
        <f ca="1">IF(AND($D234="Serviço",BA$12&lt;&gt;0,$H234&gt;0,OR(AUTOEVENTO&lt;&gt;"manual",$M234&lt;&gt;$A$15)),
        IF(Import.TipoArredondamento&lt;&gt;"TransfereGOV",
              ROUND(OFFSET($P234,0,BA$13),15-13*ORÇAMENTO!$AF$7)/$H234*OFFSET(ORÇAMENTO!$X$15,ROW(BA234)-ROW(BA$15),0),
              ROUND(ROUND(OFFSET($P234,0,BA$13),15-13*ORÇAMENTO!$AF$7)*OFFSET(ORÇAMENTO!$W$15,ROW(BA234)-ROW(BA$15),0),15-13*ORÇAMENTO!$AF$11)),
         0)</f>
        <v>0</v>
      </c>
      <c r="BC234" s="171">
        <f ca="1">IF(OR($D234&lt;&gt;"Serviço",AND(AUTOEVENTO="Manual",$M234=$A$15)),0,
         IF(OFFSET(CRONOPLE!$F$15,$M234-$A$15,BC$13)=0,10^12,OFFSET(CRONOPLE!$F$15,$M234-$A$15,BC$13)))</f>
        <v>1</v>
      </c>
      <c r="BD234" s="171">
        <f ca="1">IF(OR($D234&lt;&gt;"Serviço",AND(AUTOEVENTO="Manual",$M234=$A$15)),0,
         IF(OFFSET(CRONOPLE!$F$15,$M234-$A$15,BD$13)=0,10^12,OFFSET(CRONOPLE!$F$15,$M234-$A$15,BD$13)))</f>
        <v>2</v>
      </c>
      <c r="BE234" s="171">
        <f ca="1">IF(OR($D234&lt;&gt;"Serviço",AND(AUTOEVENTO="Manual",$M234=$A$15)),0,
         IF(OFFSET(CRONOPLE!$F$15,$M234-$A$15,BE$13)=0,10^12,OFFSET(CRONOPLE!$F$15,$M234-$A$15,BE$13)))</f>
        <v>3</v>
      </c>
      <c r="BF234" s="171">
        <f ca="1">IF(OR($D234&lt;&gt;"Serviço",AND(AUTOEVENTO="Manual",$M234=$A$15)),0,
         IF(OFFSET(CRONOPLE!$F$15,$M234-$A$15,BF$13)=0,10^12,OFFSET(CRONOPLE!$F$15,$M234-$A$15,BF$13)))</f>
        <v>4</v>
      </c>
      <c r="BG234" s="171">
        <f ca="1">IF(OR($D234&lt;&gt;"Serviço",AND(AUTOEVENTO="Manual",$M234=$A$15)),0,
         IF(OFFSET(CRONOPLE!$F$15,$M234-$A$15,BG$13)=0,10^12,OFFSET(CRONOPLE!$F$15,$M234-$A$15,BG$13)))</f>
        <v>5</v>
      </c>
      <c r="BH234" s="171">
        <f ca="1">IF(OR($D234&lt;&gt;"Serviço",AND(AUTOEVENTO="Manual",$M234=$A$15)),0,
         IF(OFFSET(CRONOPLE!$F$15,$M234-$A$15,BH$13)=0,10^12,OFFSET(CRONOPLE!$F$15,$M234-$A$15,BH$13)))</f>
        <v>6</v>
      </c>
      <c r="BI234" s="171">
        <f ca="1">IF(OR($D234&lt;&gt;"Serviço",AND(AUTOEVENTO="Manual",$M234=$A$15)),0,
         IF(OFFSET(CRONOPLE!$F$15,$M234-$A$15,BI$13)=0,10^12,OFFSET(CRONOPLE!$F$15,$M234-$A$15,BI$13)))</f>
        <v>7</v>
      </c>
      <c r="BJ234" s="171">
        <f ca="1">IF(OR($D234&lt;&gt;"Serviço",AND(AUTOEVENTO="Manual",$M234=$A$15)),0,
         IF(OFFSET(CRONOPLE!$F$15,$M234-$A$15,BJ$13)=0,10^12,OFFSET(CRONOPLE!$F$15,$M234-$A$15,BJ$13)))</f>
        <v>8</v>
      </c>
      <c r="BK234" s="171">
        <f ca="1">IF(OR($D234&lt;&gt;"Serviço",AND(AUTOEVENTO="Manual",$M234=$A$15)),0,
         IF(OFFSET(CRONOPLE!$F$15,$M234-$A$15,BK$13)=0,10^12,OFFSET(CRONOPLE!$F$15,$M234-$A$15,BK$13)))</f>
        <v>9</v>
      </c>
      <c r="BL234" s="171">
        <f ca="1">IF(OR($D234&lt;&gt;"Serviço",AND(AUTOEVENTO="Manual",$M234=$A$15)),0,
         IF(OFFSET(CRONOPLE!$F$15,$M234-$A$15,BL$13)=0,10^12,OFFSET(CRONOPLE!$F$15,$M234-$A$15,BL$13)))</f>
        <v>10</v>
      </c>
      <c r="BM234" s="171">
        <f ca="1">IF(OR($D234&lt;&gt;"Serviço",AND(AUTOEVENTO="Manual",$M234=$A$15)),0,
         IF(OFFSET(CRONOPLE!$F$15,$M234-$A$15,BM$13)=0,10^12,OFFSET(CRONOPLE!$F$15,$M234-$A$15,BM$13)))</f>
        <v>1000000000000</v>
      </c>
      <c r="BN234" s="171">
        <f ca="1">IF(OR($D234&lt;&gt;"Serviço",AND(AUTOEVENTO="Manual",$M234=$A$15)),0,
         IF(OFFSET(CRONOPLE!$F$15,$M234-$A$15,BN$13)=0,10^12,OFFSET(CRONOPLE!$F$15,$M234-$A$15,BN$13)))</f>
        <v>1000000000000</v>
      </c>
      <c r="BO234" s="171">
        <f ca="1">IF(OR($D234&lt;&gt;"Serviço",AND(AUTOEVENTO="Manual",$M234=$A$15)),0,
         IF(OFFSET(CRONOPLE!$F$15,$M234-$A$15,BO$13)=0,10^12,OFFSET(CRONOPLE!$F$15,$M234-$A$15,BO$13)))</f>
        <v>1000000000000</v>
      </c>
      <c r="BP234" s="171">
        <f ca="1">IF(OR($D234&lt;&gt;"Serviço",AND(AUTOEVENTO="Manual",$M234=$A$15)),0,
         IF(OFFSET(CRONOPLE!$F$15,$M234-$A$15,BP$13)=0,10^12,OFFSET(CRONOPLE!$F$15,$M234-$A$15,BP$13)))</f>
        <v>1000000000000</v>
      </c>
      <c r="BQ234" s="171">
        <f ca="1">IF(OR($D234&lt;&gt;"Serviço",AND(AUTOEVENTO="Manual",$M234=$A$15)),0,
         IF(OFFSET(CRONOPLE!$F$15,$M234-$A$15,BQ$13)=0,10^12,OFFSET(CRONOPLE!$F$15,$M234-$A$15,BQ$13)))</f>
        <v>1000000000000</v>
      </c>
      <c r="BR234" s="171">
        <f ca="1">IF(OR($D234&lt;&gt;"Serviço",AND(AUTOEVENTO="Manual",$M234=$A$15)),0,
         IF(OFFSET(CRONOPLE!$F$15,$M234-$A$15,BR$13)=0,10^12,OFFSET(CRONOPLE!$F$15,$M234-$A$15,BR$13)))</f>
        <v>1000000000000</v>
      </c>
      <c r="BS234" s="171">
        <f ca="1">IF(OR($D234&lt;&gt;"Serviço",AND(AUTOEVENTO="Manual",$M234=$A$15)),0,
         IF(OFFSET(CRONOPLE!$F$15,$M234-$A$15,BS$13)=0,10^12,OFFSET(CRONOPLE!$F$15,$M234-$A$15,BS$13)))</f>
        <v>1000000000000</v>
      </c>
      <c r="BT234" s="171">
        <f ca="1">IF(OR($D234&lt;&gt;"Serviço",AND(AUTOEVENTO="Manual",$M234=$A$15)),0,
         IF(OFFSET(CRONOPLE!$F$15,$M234-$A$15,BT$13)=0,10^12,OFFSET(CRONOPLE!$F$15,$M234-$A$15,BT$13)))</f>
        <v>1000000000000</v>
      </c>
      <c r="BV234" s="172">
        <f ca="1">IF(OR($D234&lt;&gt;"Serviço",AND(AUTOEVENTO="Manual",$M234=$A$15),$M234&gt;(ROW(PLE.lastrow)-ROW(PLE.firstrow))),0,
           IF(OFFSET(PLE!$G$15,$M234-$A$15,BV$13)="",10^12,OFFSET(PLE!$G$15,$M234-$A$15,BV$13)))</f>
        <v>1000000000000</v>
      </c>
      <c r="BW234" s="172">
        <f ca="1">IF(OR($D234&lt;&gt;"Serviço",AND(AUTOEVENTO="Manual",$M234=$A$15),$M234&gt;(ROW(PLE.lastrow)-ROW(PLE.firstrow))),0,
           IF(OFFSET(PLE!$G$15,$M234-$A$15,BW$13)="",10^12,OFFSET(PLE!$G$15,$M234-$A$15,BW$13)))</f>
        <v>1000000000000</v>
      </c>
      <c r="BX234" s="172">
        <f ca="1">IF(OR($D234&lt;&gt;"Serviço",AND(AUTOEVENTO="Manual",$M234=$A$15),$M234&gt;(ROW(PLE.lastrow)-ROW(PLE.firstrow))),0,
           IF(OFFSET(PLE!$G$15,$M234-$A$15,BX$13)="",10^12,OFFSET(PLE!$G$15,$M234-$A$15,BX$13)))</f>
        <v>1000000000000</v>
      </c>
      <c r="BY234" s="172">
        <f ca="1">IF(OR($D234&lt;&gt;"Serviço",AND(AUTOEVENTO="Manual",$M234=$A$15),$M234&gt;(ROW(PLE.lastrow)-ROW(PLE.firstrow))),0,
           IF(OFFSET(PLE!$G$15,$M234-$A$15,BY$13)="",10^12,OFFSET(PLE!$G$15,$M234-$A$15,BY$13)))</f>
        <v>1000000000000</v>
      </c>
      <c r="BZ234" s="172">
        <f ca="1">IF(OR($D234&lt;&gt;"Serviço",AND(AUTOEVENTO="Manual",$M234=$A$15),$M234&gt;(ROW(PLE.lastrow)-ROW(PLE.firstrow))),0,
           IF(OFFSET(PLE!$G$15,$M234-$A$15,BZ$13)="",10^12,OFFSET(PLE!$G$15,$M234-$A$15,BZ$13)))</f>
        <v>1000000000000</v>
      </c>
      <c r="CA234" s="172">
        <f ca="1">IF(OR($D234&lt;&gt;"Serviço",AND(AUTOEVENTO="Manual",$M234=$A$15),$M234&gt;(ROW(PLE.lastrow)-ROW(PLE.firstrow))),0,
           IF(OFFSET(PLE!$G$15,$M234-$A$15,CA$13)="",10^12,OFFSET(PLE!$G$15,$M234-$A$15,CA$13)))</f>
        <v>1000000000000</v>
      </c>
      <c r="CB234" s="172">
        <f ca="1">IF(OR($D234&lt;&gt;"Serviço",AND(AUTOEVENTO="Manual",$M234=$A$15),$M234&gt;(ROW(PLE.lastrow)-ROW(PLE.firstrow))),0,
           IF(OFFSET(PLE!$G$15,$M234-$A$15,CB$13)="",10^12,OFFSET(PLE!$G$15,$M234-$A$15,CB$13)))</f>
        <v>1000000000000</v>
      </c>
      <c r="CC234" s="172">
        <f ca="1">IF(OR($D234&lt;&gt;"Serviço",AND(AUTOEVENTO="Manual",$M234=$A$15),$M234&gt;(ROW(PLE.lastrow)-ROW(PLE.firstrow))),0,
           IF(OFFSET(PLE!$G$15,$M234-$A$15,CC$13)="",10^12,OFFSET(PLE!$G$15,$M234-$A$15,CC$13)))</f>
        <v>1000000000000</v>
      </c>
      <c r="CD234" s="172">
        <f ca="1">IF(OR($D234&lt;&gt;"Serviço",AND(AUTOEVENTO="Manual",$M234=$A$15),$M234&gt;(ROW(PLE.lastrow)-ROW(PLE.firstrow))),0,
           IF(OFFSET(PLE!$G$15,$M234-$A$15,CD$13)="",10^12,OFFSET(PLE!$G$15,$M234-$A$15,CD$13)))</f>
        <v>1000000000000</v>
      </c>
      <c r="CE234" s="172">
        <f ca="1">IF(OR($D234&lt;&gt;"Serviço",AND(AUTOEVENTO="Manual",$M234=$A$15),$M234&gt;(ROW(PLE.lastrow)-ROW(PLE.firstrow))),0,
           IF(OFFSET(PLE!$G$15,$M234-$A$15,CE$13)="",10^12,OFFSET(PLE!$G$15,$M234-$A$15,CE$13)))</f>
        <v>1000000000000</v>
      </c>
      <c r="CF234" s="172">
        <f ca="1">IF(OR($D234&lt;&gt;"Serviço",AND(AUTOEVENTO="Manual",$M234=$A$15),$M234&gt;(ROW(PLE.lastrow)-ROW(PLE.firstrow))),0,
           IF(OFFSET(PLE!$G$15,$M234-$A$15,CF$13)="",10^12,OFFSET(PLE!$G$15,$M234-$A$15,CF$13)))</f>
        <v>1000000000000</v>
      </c>
      <c r="CG234" s="172">
        <f ca="1">IF(OR($D234&lt;&gt;"Serviço",AND(AUTOEVENTO="Manual",$M234=$A$15),$M234&gt;(ROW(PLE.lastrow)-ROW(PLE.firstrow))),0,
           IF(OFFSET(PLE!$G$15,$M234-$A$15,CG$13)="",10^12,OFFSET(PLE!$G$15,$M234-$A$15,CG$13)))</f>
        <v>1000000000000</v>
      </c>
      <c r="CH234" s="172">
        <f ca="1">IF(OR($D234&lt;&gt;"Serviço",AND(AUTOEVENTO="Manual",$M234=$A$15),$M234&gt;(ROW(PLE.lastrow)-ROW(PLE.firstrow))),0,
           IF(OFFSET(PLE!$G$15,$M234-$A$15,CH$13)="",10^12,OFFSET(PLE!$G$15,$M234-$A$15,CH$13)))</f>
        <v>1000000000000</v>
      </c>
      <c r="CI234" s="172">
        <f ca="1">IF(OR($D234&lt;&gt;"Serviço",AND(AUTOEVENTO="Manual",$M234=$A$15),$M234&gt;(ROW(PLE.lastrow)-ROW(PLE.firstrow))),0,
           IF(OFFSET(PLE!$G$15,$M234-$A$15,CI$13)="",10^12,OFFSET(PLE!$G$15,$M234-$A$15,CI$13)))</f>
        <v>1000000000000</v>
      </c>
      <c r="CJ234" s="172">
        <f ca="1">IF(OR($D234&lt;&gt;"Serviço",AND(AUTOEVENTO="Manual",$M234=$A$15),$M234&gt;(ROW(PLE.lastrow)-ROW(PLE.firstrow))),0,
           IF(OFFSET(PLE!$G$15,$M234-$A$15,CJ$13)="",10^12,OFFSET(PLE!$G$15,$M234-$A$15,CJ$13)))</f>
        <v>1000000000000</v>
      </c>
      <c r="CK234" s="172">
        <f ca="1">IF(OR($D234&lt;&gt;"Serviço",AND(AUTOEVENTO="Manual",$M234=$A$15),$M234&gt;(ROW(PLE.lastrow)-ROW(PLE.firstrow))),0,
           IF(OFFSET(PLE!$G$15,$M234-$A$15,CK$13)="",10^12,OFFSET(PLE!$G$15,$M234-$A$15,CK$13)))</f>
        <v>1000000000000</v>
      </c>
      <c r="CL234" s="172">
        <f ca="1">IF(OR($D234&lt;&gt;"Serviço",AND(AUTOEVENTO="Manual",$M234=$A$15),$M234&gt;(ROW(PLE.lastrow)-ROW(PLE.firstrow))),0,
           IF(OFFSET(PLE!$G$15,$M234-$A$15,CL$13)="",10^12,OFFSET(PLE!$G$15,$M234-$A$15,CL$13)))</f>
        <v>1000000000000</v>
      </c>
      <c r="CM234" s="172">
        <f ca="1">IF(OR($D234&lt;&gt;"Serviço",AND(AUTOEVENTO="Manual",$M234=$A$15),$M234&gt;(ROW(PLE.lastrow)-ROW(PLE.firstrow))),0,
           IF(OFFSET(PLE!$G$15,$M234-$A$15,CM$13)="",10^12,OFFSET(PLE!$G$15,$M234-$A$15,CM$13)))</f>
        <v>1000000000000</v>
      </c>
    </row>
    <row r="235" spans="1:91" ht="12.75" x14ac:dyDescent="0.2">
      <c r="A235" s="7">
        <f t="shared" ca="1" si="13"/>
        <v>0</v>
      </c>
      <c r="B235" s="7">
        <f ca="1">OFFSET(ORÇAMENTO!C$15,ROW(B235)-ROW(B$15),0)</f>
        <v>3</v>
      </c>
      <c r="C235" s="7" t="str">
        <f ca="1">OFFSET(ORÇAMENTO!L$15,ROW(C235)-ROW(C$15),0)</f>
        <v>F</v>
      </c>
      <c r="D235" s="116" t="str">
        <f ca="1">OFFSET(ORÇAMENTO!N$15,ROW(D235)-ROW(D$15),0)</f>
        <v>Nível 3</v>
      </c>
      <c r="E235" s="117" t="str">
        <f ca="1">OFFSET(ORÇAMENTO!O$15,ROW(E235)-ROW(E$15),0)</f>
        <v>1.6.3.</v>
      </c>
      <c r="F235" s="163" t="str">
        <f ca="1">OFFSET(ORÇAMENTO!R$15,ROW(F235)-ROW(F$15),0)</f>
        <v>COBERTURA 03</v>
      </c>
      <c r="G235" s="164" t="str">
        <f ca="1">IF($D235&lt;&gt;"Serviço","",OFFSET(ORÇAMENTO!S$15,ROW(G235)-ROW(G$15),0))</f>
        <v/>
      </c>
      <c r="H235" s="122" cm="1">
        <f t="array" aca="1" ref="H235" ca="1">IF($D235&lt;&gt;"Serviço",0,IF(ACOMPANHAMENTO="BM",ROUND(OFFSET(ORÇAMENTO!AJ$15,ROW(H235)-ROW(H$15),0),15-13*ORÇAMENTO!$AF$7),SUMPRODUCT(($Q$1:$AI$1=1)*ROUND($Q235:$AI235,15-13*ORÇAMENTO!$AF$7))))</f>
        <v>0</v>
      </c>
      <c r="I235" s="468"/>
      <c r="J235" s="640" t="str" cm="1">
        <f t="array" aca="1" ref="J235" ca="1">IF(OR(B235&lt;&gt;"S",CÁLCULO.FrentesPreenchidas=0),"",IF(AND(ACOMPANHAMENTO="PLE",AUTOEVENTO="Manual",OR(H235&gt;0,ORÇAMENTO!AC235="QUANT."),OR(K235="",M235=0,N235="")),"►E",IF(AND(ACOMPANHAMENTO="PLE",ORÇAMENTO!AC235="QUANT."),"►Q",IF(AND(ACOMPANHAMENTO="PLE",H235&lt;&gt;SUMPRODUCT(($Q$1:$AI$1=1)*ROUND(Q235:AI235,15))),"►S",IF(AND(COUNTIF($P$11:$AI$11,"▼")=0,H235&gt;0,I235=""),"◄M","")))))</f>
        <v/>
      </c>
      <c r="K235" s="641"/>
      <c r="L235" s="165" t="s">
        <v>764</v>
      </c>
      <c r="M235" s="166" t="str">
        <f ca="1">IF($D235&lt;&gt;"Serviço","",
          IF(AUTOEVENTO="manual",$A235,
                IF(ISERROR(MATCH($A235,$A$15:OFFSET($A235,-1,0),0)),MAX($M$15:OFFSET(M235,-1,0))+1,
                      INDEX($M$15:OFFSET(M235,-1,0),MATCH($A235,$A$15:OFFSET($A235,-1,0),0)))))</f>
        <v/>
      </c>
      <c r="N235" s="167" t="str">
        <f ca="1">IF($D235&lt;&gt;"Serviço","",
         IF(AUTOEVENTO="Manual",
                IF($A235=0,"&lt;-- defina o número do agrupador",
                       OFFSET(EVENTOS!$D$15,$A235-$A$15,0)),
                OFFSET($F$15,$A235,0)))</f>
        <v/>
      </c>
      <c r="O235" s="168"/>
      <c r="Q235" s="168"/>
      <c r="R235" s="169"/>
      <c r="S235" s="169"/>
      <c r="T235" s="169"/>
      <c r="U235" s="169"/>
      <c r="V235" s="169"/>
      <c r="W235" s="169"/>
      <c r="X235" s="169"/>
      <c r="Y235" s="169"/>
      <c r="Z235" s="170"/>
      <c r="AA235" s="169"/>
      <c r="AB235" s="169"/>
      <c r="AC235" s="169"/>
      <c r="AD235" s="169"/>
      <c r="AE235" s="169"/>
      <c r="AF235" s="169"/>
      <c r="AG235" s="169"/>
      <c r="AH235" s="170"/>
      <c r="AJ235" s="453">
        <f ca="1">IF(AND($D235="Serviço",AJ$12&lt;&gt;0,$H235&gt;0,OR(AUTOEVENTO&lt;&gt;"manual",$M235&lt;&gt;$A$15)),
        IF(Import.TipoArredondamento&lt;&gt;"TransfereGOV",
              ROUND(OFFSET($P235,0,AJ$13),15-13*ORÇAMENTO!$AF$7)/$H235*OFFSET(ORÇAMENTO!$X$15,ROW(AJ235)-ROW(AJ$15),0),
              ROUND(ROUND(OFFSET($P235,0,AJ$13),15-13*ORÇAMENTO!$AF$7)*OFFSET(ORÇAMENTO!$W$15,ROW(AJ235)-ROW(AJ$15),0),15-13*ORÇAMENTO!$AF$11)),
         0)</f>
        <v>0</v>
      </c>
      <c r="AK235" s="453">
        <f ca="1">IF(AND($D235="Serviço",AK$12&lt;&gt;0,$H235&gt;0,OR(AUTOEVENTO&lt;&gt;"manual",$M235&lt;&gt;$A$15)),
        IF(Import.TipoArredondamento&lt;&gt;"TransfereGOV",
              ROUND(OFFSET($P235,0,AK$13),15-13*ORÇAMENTO!$AF$7)/$H235*OFFSET(ORÇAMENTO!$X$15,ROW(AK235)-ROW(AK$15),0),
              ROUND(ROUND(OFFSET($P235,0,AK$13),15-13*ORÇAMENTO!$AF$7)*OFFSET(ORÇAMENTO!$W$15,ROW(AK235)-ROW(AK$15),0),15-13*ORÇAMENTO!$AF$11)),
         0)</f>
        <v>0</v>
      </c>
      <c r="AL235" s="453">
        <f ca="1">IF(AND($D235="Serviço",AL$12&lt;&gt;0,$H235&gt;0,OR(AUTOEVENTO&lt;&gt;"manual",$M235&lt;&gt;$A$15)),
        IF(Import.TipoArredondamento&lt;&gt;"TransfereGOV",
              ROUND(OFFSET($P235,0,AL$13),15-13*ORÇAMENTO!$AF$7)/$H235*OFFSET(ORÇAMENTO!$X$15,ROW(AL235)-ROW(AL$15),0),
              ROUND(ROUND(OFFSET($P235,0,AL$13),15-13*ORÇAMENTO!$AF$7)*OFFSET(ORÇAMENTO!$W$15,ROW(AL235)-ROW(AL$15),0),15-13*ORÇAMENTO!$AF$11)),
         0)</f>
        <v>0</v>
      </c>
      <c r="AM235" s="453">
        <f ca="1">IF(AND($D235="Serviço",AM$12&lt;&gt;0,$H235&gt;0,OR(AUTOEVENTO&lt;&gt;"manual",$M235&lt;&gt;$A$15)),
        IF(Import.TipoArredondamento&lt;&gt;"TransfereGOV",
              ROUND(OFFSET($P235,0,AM$13),15-13*ORÇAMENTO!$AF$7)/$H235*OFFSET(ORÇAMENTO!$X$15,ROW(AM235)-ROW(AM$15),0),
              ROUND(ROUND(OFFSET($P235,0,AM$13),15-13*ORÇAMENTO!$AF$7)*OFFSET(ORÇAMENTO!$W$15,ROW(AM235)-ROW(AM$15),0),15-13*ORÇAMENTO!$AF$11)),
         0)</f>
        <v>0</v>
      </c>
      <c r="AN235" s="453">
        <f ca="1">IF(AND($D235="Serviço",AN$12&lt;&gt;0,$H235&gt;0,OR(AUTOEVENTO&lt;&gt;"manual",$M235&lt;&gt;$A$15)),
        IF(Import.TipoArredondamento&lt;&gt;"TransfereGOV",
              ROUND(OFFSET($P235,0,AN$13),15-13*ORÇAMENTO!$AF$7)/$H235*OFFSET(ORÇAMENTO!$X$15,ROW(AN235)-ROW(AN$15),0),
              ROUND(ROUND(OFFSET($P235,0,AN$13),15-13*ORÇAMENTO!$AF$7)*OFFSET(ORÇAMENTO!$W$15,ROW(AN235)-ROW(AN$15),0),15-13*ORÇAMENTO!$AF$11)),
         0)</f>
        <v>0</v>
      </c>
      <c r="AO235" s="453">
        <f ca="1">IF(AND($D235="Serviço",AO$12&lt;&gt;0,$H235&gt;0,OR(AUTOEVENTO&lt;&gt;"manual",$M235&lt;&gt;$A$15)),
        IF(Import.TipoArredondamento&lt;&gt;"TransfereGOV",
              ROUND(OFFSET($P235,0,AO$13),15-13*ORÇAMENTO!$AF$7)/$H235*OFFSET(ORÇAMENTO!$X$15,ROW(AO235)-ROW(AO$15),0),
              ROUND(ROUND(OFFSET($P235,0,AO$13),15-13*ORÇAMENTO!$AF$7)*OFFSET(ORÇAMENTO!$W$15,ROW(AO235)-ROW(AO$15),0),15-13*ORÇAMENTO!$AF$11)),
         0)</f>
        <v>0</v>
      </c>
      <c r="AP235" s="453">
        <f ca="1">IF(AND($D235="Serviço",AP$12&lt;&gt;0,$H235&gt;0,OR(AUTOEVENTO&lt;&gt;"manual",$M235&lt;&gt;$A$15)),
        IF(Import.TipoArredondamento&lt;&gt;"TransfereGOV",
              ROUND(OFFSET($P235,0,AP$13),15-13*ORÇAMENTO!$AF$7)/$H235*OFFSET(ORÇAMENTO!$X$15,ROW(AP235)-ROW(AP$15),0),
              ROUND(ROUND(OFFSET($P235,0,AP$13),15-13*ORÇAMENTO!$AF$7)*OFFSET(ORÇAMENTO!$W$15,ROW(AP235)-ROW(AP$15),0),15-13*ORÇAMENTO!$AF$11)),
         0)</f>
        <v>0</v>
      </c>
      <c r="AQ235" s="453">
        <f ca="1">IF(AND($D235="Serviço",AQ$12&lt;&gt;0,$H235&gt;0,OR(AUTOEVENTO&lt;&gt;"manual",$M235&lt;&gt;$A$15)),
        IF(Import.TipoArredondamento&lt;&gt;"TransfereGOV",
              ROUND(OFFSET($P235,0,AQ$13),15-13*ORÇAMENTO!$AF$7)/$H235*OFFSET(ORÇAMENTO!$X$15,ROW(AQ235)-ROW(AQ$15),0),
              ROUND(ROUND(OFFSET($P235,0,AQ$13),15-13*ORÇAMENTO!$AF$7)*OFFSET(ORÇAMENTO!$W$15,ROW(AQ235)-ROW(AQ$15),0),15-13*ORÇAMENTO!$AF$11)),
         0)</f>
        <v>0</v>
      </c>
      <c r="AR235" s="453">
        <f ca="1">IF(AND($D235="Serviço",AR$12&lt;&gt;0,$H235&gt;0,OR(AUTOEVENTO&lt;&gt;"manual",$M235&lt;&gt;$A$15)),
        IF(Import.TipoArredondamento&lt;&gt;"TransfereGOV",
              ROUND(OFFSET($P235,0,AR$13),15-13*ORÇAMENTO!$AF$7)/$H235*OFFSET(ORÇAMENTO!$X$15,ROW(AR235)-ROW(AR$15),0),
              ROUND(ROUND(OFFSET($P235,0,AR$13),15-13*ORÇAMENTO!$AF$7)*OFFSET(ORÇAMENTO!$W$15,ROW(AR235)-ROW(AR$15),0),15-13*ORÇAMENTO!$AF$11)),
         0)</f>
        <v>0</v>
      </c>
      <c r="AS235" s="453">
        <f ca="1">IF(AND($D235="Serviço",AS$12&lt;&gt;0,$H235&gt;0,OR(AUTOEVENTO&lt;&gt;"manual",$M235&lt;&gt;$A$15)),
        IF(Import.TipoArredondamento&lt;&gt;"TransfereGOV",
              ROUND(OFFSET($P235,0,AS$13),15-13*ORÇAMENTO!$AF$7)/$H235*OFFSET(ORÇAMENTO!$X$15,ROW(AS235)-ROW(AS$15),0),
              ROUND(ROUND(OFFSET($P235,0,AS$13),15-13*ORÇAMENTO!$AF$7)*OFFSET(ORÇAMENTO!$W$15,ROW(AS235)-ROW(AS$15),0),15-13*ORÇAMENTO!$AF$11)),
         0)</f>
        <v>0</v>
      </c>
      <c r="AT235" s="453">
        <f ca="1">IF(AND($D235="Serviço",AT$12&lt;&gt;0,$H235&gt;0,OR(AUTOEVENTO&lt;&gt;"manual",$M235&lt;&gt;$A$15)),
        IF(Import.TipoArredondamento&lt;&gt;"TransfereGOV",
              ROUND(OFFSET($P235,0,AT$13),15-13*ORÇAMENTO!$AF$7)/$H235*OFFSET(ORÇAMENTO!$X$15,ROW(AT235)-ROW(AT$15),0),
              ROUND(ROUND(OFFSET($P235,0,AT$13),15-13*ORÇAMENTO!$AF$7)*OFFSET(ORÇAMENTO!$W$15,ROW(AT235)-ROW(AT$15),0),15-13*ORÇAMENTO!$AF$11)),
         0)</f>
        <v>0</v>
      </c>
      <c r="AU235" s="453">
        <f ca="1">IF(AND($D235="Serviço",AU$12&lt;&gt;0,$H235&gt;0,OR(AUTOEVENTO&lt;&gt;"manual",$M235&lt;&gt;$A$15)),
        IF(Import.TipoArredondamento&lt;&gt;"TransfereGOV",
              ROUND(OFFSET($P235,0,AU$13),15-13*ORÇAMENTO!$AF$7)/$H235*OFFSET(ORÇAMENTO!$X$15,ROW(AU235)-ROW(AU$15),0),
              ROUND(ROUND(OFFSET($P235,0,AU$13),15-13*ORÇAMENTO!$AF$7)*OFFSET(ORÇAMENTO!$W$15,ROW(AU235)-ROW(AU$15),0),15-13*ORÇAMENTO!$AF$11)),
         0)</f>
        <v>0</v>
      </c>
      <c r="AV235" s="453">
        <f ca="1">IF(AND($D235="Serviço",AV$12&lt;&gt;0,$H235&gt;0,OR(AUTOEVENTO&lt;&gt;"manual",$M235&lt;&gt;$A$15)),
        IF(Import.TipoArredondamento&lt;&gt;"TransfereGOV",
              ROUND(OFFSET($P235,0,AV$13),15-13*ORÇAMENTO!$AF$7)/$H235*OFFSET(ORÇAMENTO!$X$15,ROW(AV235)-ROW(AV$15),0),
              ROUND(ROUND(OFFSET($P235,0,AV$13),15-13*ORÇAMENTO!$AF$7)*OFFSET(ORÇAMENTO!$W$15,ROW(AV235)-ROW(AV$15),0),15-13*ORÇAMENTO!$AF$11)),
         0)</f>
        <v>0</v>
      </c>
      <c r="AW235" s="453">
        <f ca="1">IF(AND($D235="Serviço",AW$12&lt;&gt;0,$H235&gt;0,OR(AUTOEVENTO&lt;&gt;"manual",$M235&lt;&gt;$A$15)),
        IF(Import.TipoArredondamento&lt;&gt;"TransfereGOV",
              ROUND(OFFSET($P235,0,AW$13),15-13*ORÇAMENTO!$AF$7)/$H235*OFFSET(ORÇAMENTO!$X$15,ROW(AW235)-ROW(AW$15),0),
              ROUND(ROUND(OFFSET($P235,0,AW$13),15-13*ORÇAMENTO!$AF$7)*OFFSET(ORÇAMENTO!$W$15,ROW(AW235)-ROW(AW$15),0),15-13*ORÇAMENTO!$AF$11)),
         0)</f>
        <v>0</v>
      </c>
      <c r="AX235" s="453">
        <f ca="1">IF(AND($D235="Serviço",AX$12&lt;&gt;0,$H235&gt;0,OR(AUTOEVENTO&lt;&gt;"manual",$M235&lt;&gt;$A$15)),
        IF(Import.TipoArredondamento&lt;&gt;"TransfereGOV",
              ROUND(OFFSET($P235,0,AX$13),15-13*ORÇAMENTO!$AF$7)/$H235*OFFSET(ORÇAMENTO!$X$15,ROW(AX235)-ROW(AX$15),0),
              ROUND(ROUND(OFFSET($P235,0,AX$13),15-13*ORÇAMENTO!$AF$7)*OFFSET(ORÇAMENTO!$W$15,ROW(AX235)-ROW(AX$15),0),15-13*ORÇAMENTO!$AF$11)),
         0)</f>
        <v>0</v>
      </c>
      <c r="AY235" s="453">
        <f ca="1">IF(AND($D235="Serviço",AY$12&lt;&gt;0,$H235&gt;0,OR(AUTOEVENTO&lt;&gt;"manual",$M235&lt;&gt;$A$15)),
        IF(Import.TipoArredondamento&lt;&gt;"TransfereGOV",
              ROUND(OFFSET($P235,0,AY$13),15-13*ORÇAMENTO!$AF$7)/$H235*OFFSET(ORÇAMENTO!$X$15,ROW(AY235)-ROW(AY$15),0),
              ROUND(ROUND(OFFSET($P235,0,AY$13),15-13*ORÇAMENTO!$AF$7)*OFFSET(ORÇAMENTO!$W$15,ROW(AY235)-ROW(AY$15),0),15-13*ORÇAMENTO!$AF$11)),
         0)</f>
        <v>0</v>
      </c>
      <c r="AZ235" s="453">
        <f ca="1">IF(AND($D235="Serviço",AZ$12&lt;&gt;0,$H235&gt;0,OR(AUTOEVENTO&lt;&gt;"manual",$M235&lt;&gt;$A$15)),
        IF(Import.TipoArredondamento&lt;&gt;"TransfereGOV",
              ROUND(OFFSET($P235,0,AZ$13),15-13*ORÇAMENTO!$AF$7)/$H235*OFFSET(ORÇAMENTO!$X$15,ROW(AZ235)-ROW(AZ$15),0),
              ROUND(ROUND(OFFSET($P235,0,AZ$13),15-13*ORÇAMENTO!$AF$7)*OFFSET(ORÇAMENTO!$W$15,ROW(AZ235)-ROW(AZ$15),0),15-13*ORÇAMENTO!$AF$11)),
         0)</f>
        <v>0</v>
      </c>
      <c r="BA235" s="453">
        <f ca="1">IF(AND($D235="Serviço",BA$12&lt;&gt;0,$H235&gt;0,OR(AUTOEVENTO&lt;&gt;"manual",$M235&lt;&gt;$A$15)),
        IF(Import.TipoArredondamento&lt;&gt;"TransfereGOV",
              ROUND(OFFSET($P235,0,BA$13),15-13*ORÇAMENTO!$AF$7)/$H235*OFFSET(ORÇAMENTO!$X$15,ROW(BA235)-ROW(BA$15),0),
              ROUND(ROUND(OFFSET($P235,0,BA$13),15-13*ORÇAMENTO!$AF$7)*OFFSET(ORÇAMENTO!$W$15,ROW(BA235)-ROW(BA$15),0),15-13*ORÇAMENTO!$AF$11)),
         0)</f>
        <v>0</v>
      </c>
      <c r="BC235" s="171">
        <f ca="1">IF(OR($D235&lt;&gt;"Serviço",AND(AUTOEVENTO="Manual",$M235=$A$15)),0,
         IF(OFFSET(CRONOPLE!$F$15,$M235-$A$15,BC$13)=0,10^12,OFFSET(CRONOPLE!$F$15,$M235-$A$15,BC$13)))</f>
        <v>0</v>
      </c>
      <c r="BD235" s="171">
        <f ca="1">IF(OR($D235&lt;&gt;"Serviço",AND(AUTOEVENTO="Manual",$M235=$A$15)),0,
         IF(OFFSET(CRONOPLE!$F$15,$M235-$A$15,BD$13)=0,10^12,OFFSET(CRONOPLE!$F$15,$M235-$A$15,BD$13)))</f>
        <v>0</v>
      </c>
      <c r="BE235" s="171">
        <f ca="1">IF(OR($D235&lt;&gt;"Serviço",AND(AUTOEVENTO="Manual",$M235=$A$15)),0,
         IF(OFFSET(CRONOPLE!$F$15,$M235-$A$15,BE$13)=0,10^12,OFFSET(CRONOPLE!$F$15,$M235-$A$15,BE$13)))</f>
        <v>0</v>
      </c>
      <c r="BF235" s="171">
        <f ca="1">IF(OR($D235&lt;&gt;"Serviço",AND(AUTOEVENTO="Manual",$M235=$A$15)),0,
         IF(OFFSET(CRONOPLE!$F$15,$M235-$A$15,BF$13)=0,10^12,OFFSET(CRONOPLE!$F$15,$M235-$A$15,BF$13)))</f>
        <v>0</v>
      </c>
      <c r="BG235" s="171">
        <f ca="1">IF(OR($D235&lt;&gt;"Serviço",AND(AUTOEVENTO="Manual",$M235=$A$15)),0,
         IF(OFFSET(CRONOPLE!$F$15,$M235-$A$15,BG$13)=0,10^12,OFFSET(CRONOPLE!$F$15,$M235-$A$15,BG$13)))</f>
        <v>0</v>
      </c>
      <c r="BH235" s="171">
        <f ca="1">IF(OR($D235&lt;&gt;"Serviço",AND(AUTOEVENTO="Manual",$M235=$A$15)),0,
         IF(OFFSET(CRONOPLE!$F$15,$M235-$A$15,BH$13)=0,10^12,OFFSET(CRONOPLE!$F$15,$M235-$A$15,BH$13)))</f>
        <v>0</v>
      </c>
      <c r="BI235" s="171">
        <f ca="1">IF(OR($D235&lt;&gt;"Serviço",AND(AUTOEVENTO="Manual",$M235=$A$15)),0,
         IF(OFFSET(CRONOPLE!$F$15,$M235-$A$15,BI$13)=0,10^12,OFFSET(CRONOPLE!$F$15,$M235-$A$15,BI$13)))</f>
        <v>0</v>
      </c>
      <c r="BJ235" s="171">
        <f ca="1">IF(OR($D235&lt;&gt;"Serviço",AND(AUTOEVENTO="Manual",$M235=$A$15)),0,
         IF(OFFSET(CRONOPLE!$F$15,$M235-$A$15,BJ$13)=0,10^12,OFFSET(CRONOPLE!$F$15,$M235-$A$15,BJ$13)))</f>
        <v>0</v>
      </c>
      <c r="BK235" s="171">
        <f ca="1">IF(OR($D235&lt;&gt;"Serviço",AND(AUTOEVENTO="Manual",$M235=$A$15)),0,
         IF(OFFSET(CRONOPLE!$F$15,$M235-$A$15,BK$13)=0,10^12,OFFSET(CRONOPLE!$F$15,$M235-$A$15,BK$13)))</f>
        <v>0</v>
      </c>
      <c r="BL235" s="171">
        <f ca="1">IF(OR($D235&lt;&gt;"Serviço",AND(AUTOEVENTO="Manual",$M235=$A$15)),0,
         IF(OFFSET(CRONOPLE!$F$15,$M235-$A$15,BL$13)=0,10^12,OFFSET(CRONOPLE!$F$15,$M235-$A$15,BL$13)))</f>
        <v>0</v>
      </c>
      <c r="BM235" s="171">
        <f ca="1">IF(OR($D235&lt;&gt;"Serviço",AND(AUTOEVENTO="Manual",$M235=$A$15)),0,
         IF(OFFSET(CRONOPLE!$F$15,$M235-$A$15,BM$13)=0,10^12,OFFSET(CRONOPLE!$F$15,$M235-$A$15,BM$13)))</f>
        <v>0</v>
      </c>
      <c r="BN235" s="171">
        <f ca="1">IF(OR($D235&lt;&gt;"Serviço",AND(AUTOEVENTO="Manual",$M235=$A$15)),0,
         IF(OFFSET(CRONOPLE!$F$15,$M235-$A$15,BN$13)=0,10^12,OFFSET(CRONOPLE!$F$15,$M235-$A$15,BN$13)))</f>
        <v>0</v>
      </c>
      <c r="BO235" s="171">
        <f ca="1">IF(OR($D235&lt;&gt;"Serviço",AND(AUTOEVENTO="Manual",$M235=$A$15)),0,
         IF(OFFSET(CRONOPLE!$F$15,$M235-$A$15,BO$13)=0,10^12,OFFSET(CRONOPLE!$F$15,$M235-$A$15,BO$13)))</f>
        <v>0</v>
      </c>
      <c r="BP235" s="171">
        <f ca="1">IF(OR($D235&lt;&gt;"Serviço",AND(AUTOEVENTO="Manual",$M235=$A$15)),0,
         IF(OFFSET(CRONOPLE!$F$15,$M235-$A$15,BP$13)=0,10^12,OFFSET(CRONOPLE!$F$15,$M235-$A$15,BP$13)))</f>
        <v>0</v>
      </c>
      <c r="BQ235" s="171">
        <f ca="1">IF(OR($D235&lt;&gt;"Serviço",AND(AUTOEVENTO="Manual",$M235=$A$15)),0,
         IF(OFFSET(CRONOPLE!$F$15,$M235-$A$15,BQ$13)=0,10^12,OFFSET(CRONOPLE!$F$15,$M235-$A$15,BQ$13)))</f>
        <v>0</v>
      </c>
      <c r="BR235" s="171">
        <f ca="1">IF(OR($D235&lt;&gt;"Serviço",AND(AUTOEVENTO="Manual",$M235=$A$15)),0,
         IF(OFFSET(CRONOPLE!$F$15,$M235-$A$15,BR$13)=0,10^12,OFFSET(CRONOPLE!$F$15,$M235-$A$15,BR$13)))</f>
        <v>0</v>
      </c>
      <c r="BS235" s="171">
        <f ca="1">IF(OR($D235&lt;&gt;"Serviço",AND(AUTOEVENTO="Manual",$M235=$A$15)),0,
         IF(OFFSET(CRONOPLE!$F$15,$M235-$A$15,BS$13)=0,10^12,OFFSET(CRONOPLE!$F$15,$M235-$A$15,BS$13)))</f>
        <v>0</v>
      </c>
      <c r="BT235" s="171">
        <f ca="1">IF(OR($D235&lt;&gt;"Serviço",AND(AUTOEVENTO="Manual",$M235=$A$15)),0,
         IF(OFFSET(CRONOPLE!$F$15,$M235-$A$15,BT$13)=0,10^12,OFFSET(CRONOPLE!$F$15,$M235-$A$15,BT$13)))</f>
        <v>0</v>
      </c>
      <c r="BV235" s="172">
        <f ca="1">IF(OR($D235&lt;&gt;"Serviço",AND(AUTOEVENTO="Manual",$M235=$A$15),$M235&gt;(ROW(PLE.lastrow)-ROW(PLE.firstrow))),0,
           IF(OFFSET(PLE!$G$15,$M235-$A$15,BV$13)="",10^12,OFFSET(PLE!$G$15,$M235-$A$15,BV$13)))</f>
        <v>0</v>
      </c>
      <c r="BW235" s="172">
        <f ca="1">IF(OR($D235&lt;&gt;"Serviço",AND(AUTOEVENTO="Manual",$M235=$A$15),$M235&gt;(ROW(PLE.lastrow)-ROW(PLE.firstrow))),0,
           IF(OFFSET(PLE!$G$15,$M235-$A$15,BW$13)="",10^12,OFFSET(PLE!$G$15,$M235-$A$15,BW$13)))</f>
        <v>0</v>
      </c>
      <c r="BX235" s="172">
        <f ca="1">IF(OR($D235&lt;&gt;"Serviço",AND(AUTOEVENTO="Manual",$M235=$A$15),$M235&gt;(ROW(PLE.lastrow)-ROW(PLE.firstrow))),0,
           IF(OFFSET(PLE!$G$15,$M235-$A$15,BX$13)="",10^12,OFFSET(PLE!$G$15,$M235-$A$15,BX$13)))</f>
        <v>0</v>
      </c>
      <c r="BY235" s="172">
        <f ca="1">IF(OR($D235&lt;&gt;"Serviço",AND(AUTOEVENTO="Manual",$M235=$A$15),$M235&gt;(ROW(PLE.lastrow)-ROW(PLE.firstrow))),0,
           IF(OFFSET(PLE!$G$15,$M235-$A$15,BY$13)="",10^12,OFFSET(PLE!$G$15,$M235-$A$15,BY$13)))</f>
        <v>0</v>
      </c>
      <c r="BZ235" s="172">
        <f ca="1">IF(OR($D235&lt;&gt;"Serviço",AND(AUTOEVENTO="Manual",$M235=$A$15),$M235&gt;(ROW(PLE.lastrow)-ROW(PLE.firstrow))),0,
           IF(OFFSET(PLE!$G$15,$M235-$A$15,BZ$13)="",10^12,OFFSET(PLE!$G$15,$M235-$A$15,BZ$13)))</f>
        <v>0</v>
      </c>
      <c r="CA235" s="172">
        <f ca="1">IF(OR($D235&lt;&gt;"Serviço",AND(AUTOEVENTO="Manual",$M235=$A$15),$M235&gt;(ROW(PLE.lastrow)-ROW(PLE.firstrow))),0,
           IF(OFFSET(PLE!$G$15,$M235-$A$15,CA$13)="",10^12,OFFSET(PLE!$G$15,$M235-$A$15,CA$13)))</f>
        <v>0</v>
      </c>
      <c r="CB235" s="172">
        <f ca="1">IF(OR($D235&lt;&gt;"Serviço",AND(AUTOEVENTO="Manual",$M235=$A$15),$M235&gt;(ROW(PLE.lastrow)-ROW(PLE.firstrow))),0,
           IF(OFFSET(PLE!$G$15,$M235-$A$15,CB$13)="",10^12,OFFSET(PLE!$G$15,$M235-$A$15,CB$13)))</f>
        <v>0</v>
      </c>
      <c r="CC235" s="172">
        <f ca="1">IF(OR($D235&lt;&gt;"Serviço",AND(AUTOEVENTO="Manual",$M235=$A$15),$M235&gt;(ROW(PLE.lastrow)-ROW(PLE.firstrow))),0,
           IF(OFFSET(PLE!$G$15,$M235-$A$15,CC$13)="",10^12,OFFSET(PLE!$G$15,$M235-$A$15,CC$13)))</f>
        <v>0</v>
      </c>
      <c r="CD235" s="172">
        <f ca="1">IF(OR($D235&lt;&gt;"Serviço",AND(AUTOEVENTO="Manual",$M235=$A$15),$M235&gt;(ROW(PLE.lastrow)-ROW(PLE.firstrow))),0,
           IF(OFFSET(PLE!$G$15,$M235-$A$15,CD$13)="",10^12,OFFSET(PLE!$G$15,$M235-$A$15,CD$13)))</f>
        <v>0</v>
      </c>
      <c r="CE235" s="172">
        <f ca="1">IF(OR($D235&lt;&gt;"Serviço",AND(AUTOEVENTO="Manual",$M235=$A$15),$M235&gt;(ROW(PLE.lastrow)-ROW(PLE.firstrow))),0,
           IF(OFFSET(PLE!$G$15,$M235-$A$15,CE$13)="",10^12,OFFSET(PLE!$G$15,$M235-$A$15,CE$13)))</f>
        <v>0</v>
      </c>
      <c r="CF235" s="172">
        <f ca="1">IF(OR($D235&lt;&gt;"Serviço",AND(AUTOEVENTO="Manual",$M235=$A$15),$M235&gt;(ROW(PLE.lastrow)-ROW(PLE.firstrow))),0,
           IF(OFFSET(PLE!$G$15,$M235-$A$15,CF$13)="",10^12,OFFSET(PLE!$G$15,$M235-$A$15,CF$13)))</f>
        <v>0</v>
      </c>
      <c r="CG235" s="172">
        <f ca="1">IF(OR($D235&lt;&gt;"Serviço",AND(AUTOEVENTO="Manual",$M235=$A$15),$M235&gt;(ROW(PLE.lastrow)-ROW(PLE.firstrow))),0,
           IF(OFFSET(PLE!$G$15,$M235-$A$15,CG$13)="",10^12,OFFSET(PLE!$G$15,$M235-$A$15,CG$13)))</f>
        <v>0</v>
      </c>
      <c r="CH235" s="172">
        <f ca="1">IF(OR($D235&lt;&gt;"Serviço",AND(AUTOEVENTO="Manual",$M235=$A$15),$M235&gt;(ROW(PLE.lastrow)-ROW(PLE.firstrow))),0,
           IF(OFFSET(PLE!$G$15,$M235-$A$15,CH$13)="",10^12,OFFSET(PLE!$G$15,$M235-$A$15,CH$13)))</f>
        <v>0</v>
      </c>
      <c r="CI235" s="172">
        <f ca="1">IF(OR($D235&lt;&gt;"Serviço",AND(AUTOEVENTO="Manual",$M235=$A$15),$M235&gt;(ROW(PLE.lastrow)-ROW(PLE.firstrow))),0,
           IF(OFFSET(PLE!$G$15,$M235-$A$15,CI$13)="",10^12,OFFSET(PLE!$G$15,$M235-$A$15,CI$13)))</f>
        <v>0</v>
      </c>
      <c r="CJ235" s="172">
        <f ca="1">IF(OR($D235&lt;&gt;"Serviço",AND(AUTOEVENTO="Manual",$M235=$A$15),$M235&gt;(ROW(PLE.lastrow)-ROW(PLE.firstrow))),0,
           IF(OFFSET(PLE!$G$15,$M235-$A$15,CJ$13)="",10^12,OFFSET(PLE!$G$15,$M235-$A$15,CJ$13)))</f>
        <v>0</v>
      </c>
      <c r="CK235" s="172">
        <f ca="1">IF(OR($D235&lt;&gt;"Serviço",AND(AUTOEVENTO="Manual",$M235=$A$15),$M235&gt;(ROW(PLE.lastrow)-ROW(PLE.firstrow))),0,
           IF(OFFSET(PLE!$G$15,$M235-$A$15,CK$13)="",10^12,OFFSET(PLE!$G$15,$M235-$A$15,CK$13)))</f>
        <v>0</v>
      </c>
      <c r="CL235" s="172">
        <f ca="1">IF(OR($D235&lt;&gt;"Serviço",AND(AUTOEVENTO="Manual",$M235=$A$15),$M235&gt;(ROW(PLE.lastrow)-ROW(PLE.firstrow))),0,
           IF(OFFSET(PLE!$G$15,$M235-$A$15,CL$13)="",10^12,OFFSET(PLE!$G$15,$M235-$A$15,CL$13)))</f>
        <v>0</v>
      </c>
      <c r="CM235" s="172">
        <f ca="1">IF(OR($D235&lt;&gt;"Serviço",AND(AUTOEVENTO="Manual",$M235=$A$15),$M235&gt;(ROW(PLE.lastrow)-ROW(PLE.firstrow))),0,
           IF(OFFSET(PLE!$G$15,$M235-$A$15,CM$13)="",10^12,OFFSET(PLE!$G$15,$M235-$A$15,CM$13)))</f>
        <v>0</v>
      </c>
    </row>
    <row r="236" spans="1:91" ht="63.75" x14ac:dyDescent="0.2">
      <c r="A236" s="7">
        <f t="shared" ca="1" si="13"/>
        <v>5</v>
      </c>
      <c r="B236" s="7" t="str">
        <f ca="1">OFFSET(ORÇAMENTO!C$15,ROW(B236)-ROW(B$15),0)</f>
        <v>S</v>
      </c>
      <c r="C236" s="7" t="str">
        <f ca="1">OFFSET(ORÇAMENTO!L$15,ROW(C236)-ROW(C$15),0)</f>
        <v>F</v>
      </c>
      <c r="D236" s="116" t="str">
        <f ca="1">OFFSET(ORÇAMENTO!N$15,ROW(D236)-ROW(D$15),0)</f>
        <v>Serviço</v>
      </c>
      <c r="E236" s="117" t="str">
        <f ca="1">OFFSET(ORÇAMENTO!O$15,ROW(E236)-ROW(E$15),0)</f>
        <v>1.6.3.0.1.</v>
      </c>
      <c r="F236" s="163" t="str">
        <f ca="1">OFFSET(ORÇAMENTO!R$15,ROW(F236)-ROW(F$15),0)</f>
        <v>FORNECIMENTO DE ESTRUTURA METÁLICA EM PERFIL LAMINADO, INCLUSIVE FABRICAÇÃO, TRANSPORTE, MONTAGEM E APLICAÇÃO DE FUNDO PREPARADOR ANTICORROSIVO EM SUPERFÍCIE METÁLICA, UMA (1) DEMÃO</v>
      </c>
      <c r="G236" s="164" t="str">
        <f ca="1">IF($D236&lt;&gt;"Serviço","",OFFSET(ORÇAMENTO!S$15,ROW(G236)-ROW(G$15),0))</f>
        <v>KG</v>
      </c>
      <c r="H236" s="122" cm="1">
        <f t="array" aca="1" ref="H236" ca="1">IF($D236&lt;&gt;"Serviço",0,IF(ACOMPANHAMENTO="BM",ROUND(OFFSET(ORÇAMENTO!AJ$15,ROW(H236)-ROW(H$15),0),15-13*ORÇAMENTO!$AF$7),SUMPRODUCT(($Q$1:$AI$1=1)*ROUND($Q236:$AI236,15-13*ORÇAMENTO!$AF$7))))</f>
        <v>517.79999999999995</v>
      </c>
      <c r="I236" s="468" t="s">
        <v>1345</v>
      </c>
      <c r="J236" s="640" t="str" cm="1">
        <f t="array" aca="1" ref="J236" ca="1">IF(OR(B236&lt;&gt;"S",CÁLCULO.FrentesPreenchidas=0),"",IF(AND(ACOMPANHAMENTO="PLE",AUTOEVENTO="Manual",OR(H236&gt;0,ORÇAMENTO!AC236="QUANT."),OR(K236="",M236=0,N236="")),"►E",IF(AND(ACOMPANHAMENTO="PLE",ORÇAMENTO!AC236="QUANT."),"►Q",IF(AND(ACOMPANHAMENTO="PLE",H236&lt;&gt;SUMPRODUCT(($Q$1:$AI$1=1)*ROUND(Q236:AI236,15))),"►S",IF(AND(COUNTIF($P$11:$AI$11,"▼")=0,H236&gt;0,I236=""),"◄M","")))))</f>
        <v/>
      </c>
      <c r="K236" s="641" t="s">
        <v>1390</v>
      </c>
      <c r="L236" s="165" t="s">
        <v>764</v>
      </c>
      <c r="M236" s="166">
        <f ca="1">IF($D236&lt;&gt;"Serviço","",
          IF(AUTOEVENTO="manual",$A236,
                IF(ISERROR(MATCH($A236,$A$15:OFFSET($A236,-1,0),0)),MAX($M$15:OFFSET(M236,-1,0))+1,
                      INDEX($M$15:OFFSET(M236,-1,0),MATCH($A236,$A$15:OFFSET($A236,-1,0),0)))))</f>
        <v>5</v>
      </c>
      <c r="N236" s="167" t="str">
        <f ca="1">IF($D236&lt;&gt;"Serviço","",
         IF(AUTOEVENTO="Manual",
                IF($A236=0,"&lt;-- defina o número do agrupador",
                       OFFSET(EVENTOS!$D$15,$A236-$A$15,0)),
                OFFSET($F$15,$A236,0)))</f>
        <v>Estrutura Metálica</v>
      </c>
      <c r="O236" s="168"/>
      <c r="Q236" s="168"/>
      <c r="R236" s="169"/>
      <c r="S236" s="169"/>
      <c r="T236" s="169"/>
      <c r="U236" s="169"/>
      <c r="V236" s="169"/>
      <c r="W236" s="169">
        <v>517.79999999999995</v>
      </c>
      <c r="X236" s="169"/>
      <c r="Y236" s="169"/>
      <c r="Z236" s="170"/>
      <c r="AA236" s="169"/>
      <c r="AB236" s="169"/>
      <c r="AC236" s="169"/>
      <c r="AD236" s="169"/>
      <c r="AE236" s="169"/>
      <c r="AF236" s="169"/>
      <c r="AG236" s="169"/>
      <c r="AH236" s="170"/>
      <c r="AJ236" s="453">
        <f ca="1">IF(AND($D236="Serviço",AJ$12&lt;&gt;0,$H236&gt;0,OR(AUTOEVENTO&lt;&gt;"manual",$M236&lt;&gt;$A$15)),
        IF(Import.TipoArredondamento&lt;&gt;"TransfereGOV",
              ROUND(OFFSET($P236,0,AJ$13),15-13*ORÇAMENTO!$AF$7)/$H236*OFFSET(ORÇAMENTO!$X$15,ROW(AJ236)-ROW(AJ$15),0),
              ROUND(ROUND(OFFSET($P236,0,AJ$13),15-13*ORÇAMENTO!$AF$7)*OFFSET(ORÇAMENTO!$W$15,ROW(AJ236)-ROW(AJ$15),0),15-13*ORÇAMENTO!$AF$11)),
         0)</f>
        <v>0</v>
      </c>
      <c r="AK236" s="453">
        <f ca="1">IF(AND($D236="Serviço",AK$12&lt;&gt;0,$H236&gt;0,OR(AUTOEVENTO&lt;&gt;"manual",$M236&lt;&gt;$A$15)),
        IF(Import.TipoArredondamento&lt;&gt;"TransfereGOV",
              ROUND(OFFSET($P236,0,AK$13),15-13*ORÇAMENTO!$AF$7)/$H236*OFFSET(ORÇAMENTO!$X$15,ROW(AK236)-ROW(AK$15),0),
              ROUND(ROUND(OFFSET($P236,0,AK$13),15-13*ORÇAMENTO!$AF$7)*OFFSET(ORÇAMENTO!$W$15,ROW(AK236)-ROW(AK$15),0),15-13*ORÇAMENTO!$AF$11)),
         0)</f>
        <v>0</v>
      </c>
      <c r="AL236" s="453">
        <f ca="1">IF(AND($D236="Serviço",AL$12&lt;&gt;0,$H236&gt;0,OR(AUTOEVENTO&lt;&gt;"manual",$M236&lt;&gt;$A$15)),
        IF(Import.TipoArredondamento&lt;&gt;"TransfereGOV",
              ROUND(OFFSET($P236,0,AL$13),15-13*ORÇAMENTO!$AF$7)/$H236*OFFSET(ORÇAMENTO!$X$15,ROW(AL236)-ROW(AL$15),0),
              ROUND(ROUND(OFFSET($P236,0,AL$13),15-13*ORÇAMENTO!$AF$7)*OFFSET(ORÇAMENTO!$W$15,ROW(AL236)-ROW(AL$15),0),15-13*ORÇAMENTO!$AF$11)),
         0)</f>
        <v>0</v>
      </c>
      <c r="AM236" s="453">
        <f ca="1">IF(AND($D236="Serviço",AM$12&lt;&gt;0,$H236&gt;0,OR(AUTOEVENTO&lt;&gt;"manual",$M236&lt;&gt;$A$15)),
        IF(Import.TipoArredondamento&lt;&gt;"TransfereGOV",
              ROUND(OFFSET($P236,0,AM$13),15-13*ORÇAMENTO!$AF$7)/$H236*OFFSET(ORÇAMENTO!$X$15,ROW(AM236)-ROW(AM$15),0),
              ROUND(ROUND(OFFSET($P236,0,AM$13),15-13*ORÇAMENTO!$AF$7)*OFFSET(ORÇAMENTO!$W$15,ROW(AM236)-ROW(AM$15),0),15-13*ORÇAMENTO!$AF$11)),
         0)</f>
        <v>0</v>
      </c>
      <c r="AN236" s="453">
        <f ca="1">IF(AND($D236="Serviço",AN$12&lt;&gt;0,$H236&gt;0,OR(AUTOEVENTO&lt;&gt;"manual",$M236&lt;&gt;$A$15)),
        IF(Import.TipoArredondamento&lt;&gt;"TransfereGOV",
              ROUND(OFFSET($P236,0,AN$13),15-13*ORÇAMENTO!$AF$7)/$H236*OFFSET(ORÇAMENTO!$X$15,ROW(AN236)-ROW(AN$15),0),
              ROUND(ROUND(OFFSET($P236,0,AN$13),15-13*ORÇAMENTO!$AF$7)*OFFSET(ORÇAMENTO!$W$15,ROW(AN236)-ROW(AN$15),0),15-13*ORÇAMENTO!$AF$11)),
         0)</f>
        <v>0</v>
      </c>
      <c r="AO236" s="453">
        <f ca="1">IF(AND($D236="Serviço",AO$12&lt;&gt;0,$H236&gt;0,OR(AUTOEVENTO&lt;&gt;"manual",$M236&lt;&gt;$A$15)),
        IF(Import.TipoArredondamento&lt;&gt;"TransfereGOV",
              ROUND(OFFSET($P236,0,AO$13),15-13*ORÇAMENTO!$AF$7)/$H236*OFFSET(ORÇAMENTO!$X$15,ROW(AO236)-ROW(AO$15),0),
              ROUND(ROUND(OFFSET($P236,0,AO$13),15-13*ORÇAMENTO!$AF$7)*OFFSET(ORÇAMENTO!$W$15,ROW(AO236)-ROW(AO$15),0),15-13*ORÇAMENTO!$AF$11)),
         0)</f>
        <v>0</v>
      </c>
      <c r="AP236" s="453">
        <f ca="1">IF(AND($D236="Serviço",AP$12&lt;&gt;0,$H236&gt;0,OR(AUTOEVENTO&lt;&gt;"manual",$M236&lt;&gt;$A$15)),
        IF(Import.TipoArredondamento&lt;&gt;"TransfereGOV",
              ROUND(OFFSET($P236,0,AP$13),15-13*ORÇAMENTO!$AF$7)/$H236*OFFSET(ORÇAMENTO!$X$15,ROW(AP236)-ROW(AP$15),0),
              ROUND(ROUND(OFFSET($P236,0,AP$13),15-13*ORÇAMENTO!$AF$7)*OFFSET(ORÇAMENTO!$W$15,ROW(AP236)-ROW(AP$15),0),15-13*ORÇAMENTO!$AF$11)),
         0)</f>
        <v>0</v>
      </c>
      <c r="AQ236" s="453">
        <f ca="1">IF(AND($D236="Serviço",AQ$12&lt;&gt;0,$H236&gt;0,OR(AUTOEVENTO&lt;&gt;"manual",$M236&lt;&gt;$A$15)),
        IF(Import.TipoArredondamento&lt;&gt;"TransfereGOV",
              ROUND(OFFSET($P236,0,AQ$13),15-13*ORÇAMENTO!$AF$7)/$H236*OFFSET(ORÇAMENTO!$X$15,ROW(AQ236)-ROW(AQ$15),0),
              ROUND(ROUND(OFFSET($P236,0,AQ$13),15-13*ORÇAMENTO!$AF$7)*OFFSET(ORÇAMENTO!$W$15,ROW(AQ236)-ROW(AQ$15),0),15-13*ORÇAMENTO!$AF$11)),
         0)</f>
        <v>0</v>
      </c>
      <c r="AR236" s="453">
        <f ca="1">IF(AND($D236="Serviço",AR$12&lt;&gt;0,$H236&gt;0,OR(AUTOEVENTO&lt;&gt;"manual",$M236&lt;&gt;$A$15)),
        IF(Import.TipoArredondamento&lt;&gt;"TransfereGOV",
              ROUND(OFFSET($P236,0,AR$13),15-13*ORÇAMENTO!$AF$7)/$H236*OFFSET(ORÇAMENTO!$X$15,ROW(AR236)-ROW(AR$15),0),
              ROUND(ROUND(OFFSET($P236,0,AR$13),15-13*ORÇAMENTO!$AF$7)*OFFSET(ORÇAMENTO!$W$15,ROW(AR236)-ROW(AR$15),0),15-13*ORÇAMENTO!$AF$11)),
         0)</f>
        <v>0</v>
      </c>
      <c r="AS236" s="453">
        <f ca="1">IF(AND($D236="Serviço",AS$12&lt;&gt;0,$H236&gt;0,OR(AUTOEVENTO&lt;&gt;"manual",$M236&lt;&gt;$A$15)),
        IF(Import.TipoArredondamento&lt;&gt;"TransfereGOV",
              ROUND(OFFSET($P236,0,AS$13),15-13*ORÇAMENTO!$AF$7)/$H236*OFFSET(ORÇAMENTO!$X$15,ROW(AS236)-ROW(AS$15),0),
              ROUND(ROUND(OFFSET($P236,0,AS$13),15-13*ORÇAMENTO!$AF$7)*OFFSET(ORÇAMENTO!$W$15,ROW(AS236)-ROW(AS$15),0),15-13*ORÇAMENTO!$AF$11)),
         0)</f>
        <v>0</v>
      </c>
      <c r="AT236" s="453">
        <f ca="1">IF(AND($D236="Serviço",AT$12&lt;&gt;0,$H236&gt;0,OR(AUTOEVENTO&lt;&gt;"manual",$M236&lt;&gt;$A$15)),
        IF(Import.TipoArredondamento&lt;&gt;"TransfereGOV",
              ROUND(OFFSET($P236,0,AT$13),15-13*ORÇAMENTO!$AF$7)/$H236*OFFSET(ORÇAMENTO!$X$15,ROW(AT236)-ROW(AT$15),0),
              ROUND(ROUND(OFFSET($P236,0,AT$13),15-13*ORÇAMENTO!$AF$7)*OFFSET(ORÇAMENTO!$W$15,ROW(AT236)-ROW(AT$15),0),15-13*ORÇAMENTO!$AF$11)),
         0)</f>
        <v>0</v>
      </c>
      <c r="AU236" s="453">
        <f ca="1">IF(AND($D236="Serviço",AU$12&lt;&gt;0,$H236&gt;0,OR(AUTOEVENTO&lt;&gt;"manual",$M236&lt;&gt;$A$15)),
        IF(Import.TipoArredondamento&lt;&gt;"TransfereGOV",
              ROUND(OFFSET($P236,0,AU$13),15-13*ORÇAMENTO!$AF$7)/$H236*OFFSET(ORÇAMENTO!$X$15,ROW(AU236)-ROW(AU$15),0),
              ROUND(ROUND(OFFSET($P236,0,AU$13),15-13*ORÇAMENTO!$AF$7)*OFFSET(ORÇAMENTO!$W$15,ROW(AU236)-ROW(AU$15),0),15-13*ORÇAMENTO!$AF$11)),
         0)</f>
        <v>0</v>
      </c>
      <c r="AV236" s="453">
        <f ca="1">IF(AND($D236="Serviço",AV$12&lt;&gt;0,$H236&gt;0,OR(AUTOEVENTO&lt;&gt;"manual",$M236&lt;&gt;$A$15)),
        IF(Import.TipoArredondamento&lt;&gt;"TransfereGOV",
              ROUND(OFFSET($P236,0,AV$13),15-13*ORÇAMENTO!$AF$7)/$H236*OFFSET(ORÇAMENTO!$X$15,ROW(AV236)-ROW(AV$15),0),
              ROUND(ROUND(OFFSET($P236,0,AV$13),15-13*ORÇAMENTO!$AF$7)*OFFSET(ORÇAMENTO!$W$15,ROW(AV236)-ROW(AV$15),0),15-13*ORÇAMENTO!$AF$11)),
         0)</f>
        <v>0</v>
      </c>
      <c r="AW236" s="453">
        <f ca="1">IF(AND($D236="Serviço",AW$12&lt;&gt;0,$H236&gt;0,OR(AUTOEVENTO&lt;&gt;"manual",$M236&lt;&gt;$A$15)),
        IF(Import.TipoArredondamento&lt;&gt;"TransfereGOV",
              ROUND(OFFSET($P236,0,AW$13),15-13*ORÇAMENTO!$AF$7)/$H236*OFFSET(ORÇAMENTO!$X$15,ROW(AW236)-ROW(AW$15),0),
              ROUND(ROUND(OFFSET($P236,0,AW$13),15-13*ORÇAMENTO!$AF$7)*OFFSET(ORÇAMENTO!$W$15,ROW(AW236)-ROW(AW$15),0),15-13*ORÇAMENTO!$AF$11)),
         0)</f>
        <v>0</v>
      </c>
      <c r="AX236" s="453">
        <f ca="1">IF(AND($D236="Serviço",AX$12&lt;&gt;0,$H236&gt;0,OR(AUTOEVENTO&lt;&gt;"manual",$M236&lt;&gt;$A$15)),
        IF(Import.TipoArredondamento&lt;&gt;"TransfereGOV",
              ROUND(OFFSET($P236,0,AX$13),15-13*ORÇAMENTO!$AF$7)/$H236*OFFSET(ORÇAMENTO!$X$15,ROW(AX236)-ROW(AX$15),0),
              ROUND(ROUND(OFFSET($P236,0,AX$13),15-13*ORÇAMENTO!$AF$7)*OFFSET(ORÇAMENTO!$W$15,ROW(AX236)-ROW(AX$15),0),15-13*ORÇAMENTO!$AF$11)),
         0)</f>
        <v>0</v>
      </c>
      <c r="AY236" s="453">
        <f ca="1">IF(AND($D236="Serviço",AY$12&lt;&gt;0,$H236&gt;0,OR(AUTOEVENTO&lt;&gt;"manual",$M236&lt;&gt;$A$15)),
        IF(Import.TipoArredondamento&lt;&gt;"TransfereGOV",
              ROUND(OFFSET($P236,0,AY$13),15-13*ORÇAMENTO!$AF$7)/$H236*OFFSET(ORÇAMENTO!$X$15,ROW(AY236)-ROW(AY$15),0),
              ROUND(ROUND(OFFSET($P236,0,AY$13),15-13*ORÇAMENTO!$AF$7)*OFFSET(ORÇAMENTO!$W$15,ROW(AY236)-ROW(AY$15),0),15-13*ORÇAMENTO!$AF$11)),
         0)</f>
        <v>0</v>
      </c>
      <c r="AZ236" s="453">
        <f ca="1">IF(AND($D236="Serviço",AZ$12&lt;&gt;0,$H236&gt;0,OR(AUTOEVENTO&lt;&gt;"manual",$M236&lt;&gt;$A$15)),
        IF(Import.TipoArredondamento&lt;&gt;"TransfereGOV",
              ROUND(OFFSET($P236,0,AZ$13),15-13*ORÇAMENTO!$AF$7)/$H236*OFFSET(ORÇAMENTO!$X$15,ROW(AZ236)-ROW(AZ$15),0),
              ROUND(ROUND(OFFSET($P236,0,AZ$13),15-13*ORÇAMENTO!$AF$7)*OFFSET(ORÇAMENTO!$W$15,ROW(AZ236)-ROW(AZ$15),0),15-13*ORÇAMENTO!$AF$11)),
         0)</f>
        <v>0</v>
      </c>
      <c r="BA236" s="453">
        <f ca="1">IF(AND($D236="Serviço",BA$12&lt;&gt;0,$H236&gt;0,OR(AUTOEVENTO&lt;&gt;"manual",$M236&lt;&gt;$A$15)),
        IF(Import.TipoArredondamento&lt;&gt;"TransfereGOV",
              ROUND(OFFSET($P236,0,BA$13),15-13*ORÇAMENTO!$AF$7)/$H236*OFFSET(ORÇAMENTO!$X$15,ROW(BA236)-ROW(BA$15),0),
              ROUND(ROUND(OFFSET($P236,0,BA$13),15-13*ORÇAMENTO!$AF$7)*OFFSET(ORÇAMENTO!$W$15,ROW(BA236)-ROW(BA$15),0),15-13*ORÇAMENTO!$AF$11)),
         0)</f>
        <v>0</v>
      </c>
      <c r="BC236" s="171">
        <f ca="1">IF(OR($D236&lt;&gt;"Serviço",AND(AUTOEVENTO="Manual",$M236=$A$15)),0,
         IF(OFFSET(CRONOPLE!$F$15,$M236-$A$15,BC$13)=0,10^12,OFFSET(CRONOPLE!$F$15,$M236-$A$15,BC$13)))</f>
        <v>1</v>
      </c>
      <c r="BD236" s="171">
        <f ca="1">IF(OR($D236&lt;&gt;"Serviço",AND(AUTOEVENTO="Manual",$M236=$A$15)),0,
         IF(OFFSET(CRONOPLE!$F$15,$M236-$A$15,BD$13)=0,10^12,OFFSET(CRONOPLE!$F$15,$M236-$A$15,BD$13)))</f>
        <v>2</v>
      </c>
      <c r="BE236" s="171">
        <f ca="1">IF(OR($D236&lt;&gt;"Serviço",AND(AUTOEVENTO="Manual",$M236=$A$15)),0,
         IF(OFFSET(CRONOPLE!$F$15,$M236-$A$15,BE$13)=0,10^12,OFFSET(CRONOPLE!$F$15,$M236-$A$15,BE$13)))</f>
        <v>3</v>
      </c>
      <c r="BF236" s="171">
        <f ca="1">IF(OR($D236&lt;&gt;"Serviço",AND(AUTOEVENTO="Manual",$M236=$A$15)),0,
         IF(OFFSET(CRONOPLE!$F$15,$M236-$A$15,BF$13)=0,10^12,OFFSET(CRONOPLE!$F$15,$M236-$A$15,BF$13)))</f>
        <v>4</v>
      </c>
      <c r="BG236" s="171">
        <f ca="1">IF(OR($D236&lt;&gt;"Serviço",AND(AUTOEVENTO="Manual",$M236=$A$15)),0,
         IF(OFFSET(CRONOPLE!$F$15,$M236-$A$15,BG$13)=0,10^12,OFFSET(CRONOPLE!$F$15,$M236-$A$15,BG$13)))</f>
        <v>5</v>
      </c>
      <c r="BH236" s="171">
        <f ca="1">IF(OR($D236&lt;&gt;"Serviço",AND(AUTOEVENTO="Manual",$M236=$A$15)),0,
         IF(OFFSET(CRONOPLE!$F$15,$M236-$A$15,BH$13)=0,10^12,OFFSET(CRONOPLE!$F$15,$M236-$A$15,BH$13)))</f>
        <v>6</v>
      </c>
      <c r="BI236" s="171">
        <f ca="1">IF(OR($D236&lt;&gt;"Serviço",AND(AUTOEVENTO="Manual",$M236=$A$15)),0,
         IF(OFFSET(CRONOPLE!$F$15,$M236-$A$15,BI$13)=0,10^12,OFFSET(CRONOPLE!$F$15,$M236-$A$15,BI$13)))</f>
        <v>7</v>
      </c>
      <c r="BJ236" s="171">
        <f ca="1">IF(OR($D236&lt;&gt;"Serviço",AND(AUTOEVENTO="Manual",$M236=$A$15)),0,
         IF(OFFSET(CRONOPLE!$F$15,$M236-$A$15,BJ$13)=0,10^12,OFFSET(CRONOPLE!$F$15,$M236-$A$15,BJ$13)))</f>
        <v>8</v>
      </c>
      <c r="BK236" s="171">
        <f ca="1">IF(OR($D236&lt;&gt;"Serviço",AND(AUTOEVENTO="Manual",$M236=$A$15)),0,
         IF(OFFSET(CRONOPLE!$F$15,$M236-$A$15,BK$13)=0,10^12,OFFSET(CRONOPLE!$F$15,$M236-$A$15,BK$13)))</f>
        <v>9</v>
      </c>
      <c r="BL236" s="171">
        <f ca="1">IF(OR($D236&lt;&gt;"Serviço",AND(AUTOEVENTO="Manual",$M236=$A$15)),0,
         IF(OFFSET(CRONOPLE!$F$15,$M236-$A$15,BL$13)=0,10^12,OFFSET(CRONOPLE!$F$15,$M236-$A$15,BL$13)))</f>
        <v>10</v>
      </c>
      <c r="BM236" s="171">
        <f ca="1">IF(OR($D236&lt;&gt;"Serviço",AND(AUTOEVENTO="Manual",$M236=$A$15)),0,
         IF(OFFSET(CRONOPLE!$F$15,$M236-$A$15,BM$13)=0,10^12,OFFSET(CRONOPLE!$F$15,$M236-$A$15,BM$13)))</f>
        <v>1000000000000</v>
      </c>
      <c r="BN236" s="171">
        <f ca="1">IF(OR($D236&lt;&gt;"Serviço",AND(AUTOEVENTO="Manual",$M236=$A$15)),0,
         IF(OFFSET(CRONOPLE!$F$15,$M236-$A$15,BN$13)=0,10^12,OFFSET(CRONOPLE!$F$15,$M236-$A$15,BN$13)))</f>
        <v>1000000000000</v>
      </c>
      <c r="BO236" s="171">
        <f ca="1">IF(OR($D236&lt;&gt;"Serviço",AND(AUTOEVENTO="Manual",$M236=$A$15)),0,
         IF(OFFSET(CRONOPLE!$F$15,$M236-$A$15,BO$13)=0,10^12,OFFSET(CRONOPLE!$F$15,$M236-$A$15,BO$13)))</f>
        <v>1000000000000</v>
      </c>
      <c r="BP236" s="171">
        <f ca="1">IF(OR($D236&lt;&gt;"Serviço",AND(AUTOEVENTO="Manual",$M236=$A$15)),0,
         IF(OFFSET(CRONOPLE!$F$15,$M236-$A$15,BP$13)=0,10^12,OFFSET(CRONOPLE!$F$15,$M236-$A$15,BP$13)))</f>
        <v>1000000000000</v>
      </c>
      <c r="BQ236" s="171">
        <f ca="1">IF(OR($D236&lt;&gt;"Serviço",AND(AUTOEVENTO="Manual",$M236=$A$15)),0,
         IF(OFFSET(CRONOPLE!$F$15,$M236-$A$15,BQ$13)=0,10^12,OFFSET(CRONOPLE!$F$15,$M236-$A$15,BQ$13)))</f>
        <v>1000000000000</v>
      </c>
      <c r="BR236" s="171">
        <f ca="1">IF(OR($D236&lt;&gt;"Serviço",AND(AUTOEVENTO="Manual",$M236=$A$15)),0,
         IF(OFFSET(CRONOPLE!$F$15,$M236-$A$15,BR$13)=0,10^12,OFFSET(CRONOPLE!$F$15,$M236-$A$15,BR$13)))</f>
        <v>1000000000000</v>
      </c>
      <c r="BS236" s="171">
        <f ca="1">IF(OR($D236&lt;&gt;"Serviço",AND(AUTOEVENTO="Manual",$M236=$A$15)),0,
         IF(OFFSET(CRONOPLE!$F$15,$M236-$A$15,BS$13)=0,10^12,OFFSET(CRONOPLE!$F$15,$M236-$A$15,BS$13)))</f>
        <v>1000000000000</v>
      </c>
      <c r="BT236" s="171">
        <f ca="1">IF(OR($D236&lt;&gt;"Serviço",AND(AUTOEVENTO="Manual",$M236=$A$15)),0,
         IF(OFFSET(CRONOPLE!$F$15,$M236-$A$15,BT$13)=0,10^12,OFFSET(CRONOPLE!$F$15,$M236-$A$15,BT$13)))</f>
        <v>1000000000000</v>
      </c>
      <c r="BV236" s="172">
        <f ca="1">IF(OR($D236&lt;&gt;"Serviço",AND(AUTOEVENTO="Manual",$M236=$A$15),$M236&gt;(ROW(PLE.lastrow)-ROW(PLE.firstrow))),0,
           IF(OFFSET(PLE!$G$15,$M236-$A$15,BV$13)="",10^12,OFFSET(PLE!$G$15,$M236-$A$15,BV$13)))</f>
        <v>1000000000000</v>
      </c>
      <c r="BW236" s="172">
        <f ca="1">IF(OR($D236&lt;&gt;"Serviço",AND(AUTOEVENTO="Manual",$M236=$A$15),$M236&gt;(ROW(PLE.lastrow)-ROW(PLE.firstrow))),0,
           IF(OFFSET(PLE!$G$15,$M236-$A$15,BW$13)="",10^12,OFFSET(PLE!$G$15,$M236-$A$15,BW$13)))</f>
        <v>1000000000000</v>
      </c>
      <c r="BX236" s="172">
        <f ca="1">IF(OR($D236&lt;&gt;"Serviço",AND(AUTOEVENTO="Manual",$M236=$A$15),$M236&gt;(ROW(PLE.lastrow)-ROW(PLE.firstrow))),0,
           IF(OFFSET(PLE!$G$15,$M236-$A$15,BX$13)="",10^12,OFFSET(PLE!$G$15,$M236-$A$15,BX$13)))</f>
        <v>1000000000000</v>
      </c>
      <c r="BY236" s="172">
        <f ca="1">IF(OR($D236&lt;&gt;"Serviço",AND(AUTOEVENTO="Manual",$M236=$A$15),$M236&gt;(ROW(PLE.lastrow)-ROW(PLE.firstrow))),0,
           IF(OFFSET(PLE!$G$15,$M236-$A$15,BY$13)="",10^12,OFFSET(PLE!$G$15,$M236-$A$15,BY$13)))</f>
        <v>1000000000000</v>
      </c>
      <c r="BZ236" s="172">
        <f ca="1">IF(OR($D236&lt;&gt;"Serviço",AND(AUTOEVENTO="Manual",$M236=$A$15),$M236&gt;(ROW(PLE.lastrow)-ROW(PLE.firstrow))),0,
           IF(OFFSET(PLE!$G$15,$M236-$A$15,BZ$13)="",10^12,OFFSET(PLE!$G$15,$M236-$A$15,BZ$13)))</f>
        <v>1000000000000</v>
      </c>
      <c r="CA236" s="172">
        <f ca="1">IF(OR($D236&lt;&gt;"Serviço",AND(AUTOEVENTO="Manual",$M236=$A$15),$M236&gt;(ROW(PLE.lastrow)-ROW(PLE.firstrow))),0,
           IF(OFFSET(PLE!$G$15,$M236-$A$15,CA$13)="",10^12,OFFSET(PLE!$G$15,$M236-$A$15,CA$13)))</f>
        <v>1000000000000</v>
      </c>
      <c r="CB236" s="172">
        <f ca="1">IF(OR($D236&lt;&gt;"Serviço",AND(AUTOEVENTO="Manual",$M236=$A$15),$M236&gt;(ROW(PLE.lastrow)-ROW(PLE.firstrow))),0,
           IF(OFFSET(PLE!$G$15,$M236-$A$15,CB$13)="",10^12,OFFSET(PLE!$G$15,$M236-$A$15,CB$13)))</f>
        <v>1000000000000</v>
      </c>
      <c r="CC236" s="172">
        <f ca="1">IF(OR($D236&lt;&gt;"Serviço",AND(AUTOEVENTO="Manual",$M236=$A$15),$M236&gt;(ROW(PLE.lastrow)-ROW(PLE.firstrow))),0,
           IF(OFFSET(PLE!$G$15,$M236-$A$15,CC$13)="",10^12,OFFSET(PLE!$G$15,$M236-$A$15,CC$13)))</f>
        <v>1000000000000</v>
      </c>
      <c r="CD236" s="172">
        <f ca="1">IF(OR($D236&lt;&gt;"Serviço",AND(AUTOEVENTO="Manual",$M236=$A$15),$M236&gt;(ROW(PLE.lastrow)-ROW(PLE.firstrow))),0,
           IF(OFFSET(PLE!$G$15,$M236-$A$15,CD$13)="",10^12,OFFSET(PLE!$G$15,$M236-$A$15,CD$13)))</f>
        <v>1000000000000</v>
      </c>
      <c r="CE236" s="172">
        <f ca="1">IF(OR($D236&lt;&gt;"Serviço",AND(AUTOEVENTO="Manual",$M236=$A$15),$M236&gt;(ROW(PLE.lastrow)-ROW(PLE.firstrow))),0,
           IF(OFFSET(PLE!$G$15,$M236-$A$15,CE$13)="",10^12,OFFSET(PLE!$G$15,$M236-$A$15,CE$13)))</f>
        <v>1000000000000</v>
      </c>
      <c r="CF236" s="172">
        <f ca="1">IF(OR($D236&lt;&gt;"Serviço",AND(AUTOEVENTO="Manual",$M236=$A$15),$M236&gt;(ROW(PLE.lastrow)-ROW(PLE.firstrow))),0,
           IF(OFFSET(PLE!$G$15,$M236-$A$15,CF$13)="",10^12,OFFSET(PLE!$G$15,$M236-$A$15,CF$13)))</f>
        <v>1000000000000</v>
      </c>
      <c r="CG236" s="172">
        <f ca="1">IF(OR($D236&lt;&gt;"Serviço",AND(AUTOEVENTO="Manual",$M236=$A$15),$M236&gt;(ROW(PLE.lastrow)-ROW(PLE.firstrow))),0,
           IF(OFFSET(PLE!$G$15,$M236-$A$15,CG$13)="",10^12,OFFSET(PLE!$G$15,$M236-$A$15,CG$13)))</f>
        <v>1000000000000</v>
      </c>
      <c r="CH236" s="172">
        <f ca="1">IF(OR($D236&lt;&gt;"Serviço",AND(AUTOEVENTO="Manual",$M236=$A$15),$M236&gt;(ROW(PLE.lastrow)-ROW(PLE.firstrow))),0,
           IF(OFFSET(PLE!$G$15,$M236-$A$15,CH$13)="",10^12,OFFSET(PLE!$G$15,$M236-$A$15,CH$13)))</f>
        <v>1000000000000</v>
      </c>
      <c r="CI236" s="172">
        <f ca="1">IF(OR($D236&lt;&gt;"Serviço",AND(AUTOEVENTO="Manual",$M236=$A$15),$M236&gt;(ROW(PLE.lastrow)-ROW(PLE.firstrow))),0,
           IF(OFFSET(PLE!$G$15,$M236-$A$15,CI$13)="",10^12,OFFSET(PLE!$G$15,$M236-$A$15,CI$13)))</f>
        <v>1000000000000</v>
      </c>
      <c r="CJ236" s="172">
        <f ca="1">IF(OR($D236&lt;&gt;"Serviço",AND(AUTOEVENTO="Manual",$M236=$A$15),$M236&gt;(ROW(PLE.lastrow)-ROW(PLE.firstrow))),0,
           IF(OFFSET(PLE!$G$15,$M236-$A$15,CJ$13)="",10^12,OFFSET(PLE!$G$15,$M236-$A$15,CJ$13)))</f>
        <v>1000000000000</v>
      </c>
      <c r="CK236" s="172">
        <f ca="1">IF(OR($D236&lt;&gt;"Serviço",AND(AUTOEVENTO="Manual",$M236=$A$15),$M236&gt;(ROW(PLE.lastrow)-ROW(PLE.firstrow))),0,
           IF(OFFSET(PLE!$G$15,$M236-$A$15,CK$13)="",10^12,OFFSET(PLE!$G$15,$M236-$A$15,CK$13)))</f>
        <v>1000000000000</v>
      </c>
      <c r="CL236" s="172">
        <f ca="1">IF(OR($D236&lt;&gt;"Serviço",AND(AUTOEVENTO="Manual",$M236=$A$15),$M236&gt;(ROW(PLE.lastrow)-ROW(PLE.firstrow))),0,
           IF(OFFSET(PLE!$G$15,$M236-$A$15,CL$13)="",10^12,OFFSET(PLE!$G$15,$M236-$A$15,CL$13)))</f>
        <v>1000000000000</v>
      </c>
      <c r="CM236" s="172">
        <f ca="1">IF(OR($D236&lt;&gt;"Serviço",AND(AUTOEVENTO="Manual",$M236=$A$15),$M236&gt;(ROW(PLE.lastrow)-ROW(PLE.firstrow))),0,
           IF(OFFSET(PLE!$G$15,$M236-$A$15,CM$13)="",10^12,OFFSET(PLE!$G$15,$M236-$A$15,CM$13)))</f>
        <v>1000000000000</v>
      </c>
    </row>
    <row r="237" spans="1:91" ht="63.75" x14ac:dyDescent="0.2">
      <c r="A237" s="7">
        <f t="shared" ca="1" si="13"/>
        <v>5</v>
      </c>
      <c r="B237" s="7" t="str">
        <f ca="1">OFFSET(ORÇAMENTO!C$15,ROW(B237)-ROW(B$15),0)</f>
        <v>S</v>
      </c>
      <c r="C237" s="7" t="str">
        <f ca="1">OFFSET(ORÇAMENTO!L$15,ROW(C237)-ROW(C$15),0)</f>
        <v>F</v>
      </c>
      <c r="D237" s="116" t="str">
        <f ca="1">OFFSET(ORÇAMENTO!N$15,ROW(D237)-ROW(D$15),0)</f>
        <v>Serviço</v>
      </c>
      <c r="E237" s="117" t="str">
        <f ca="1">OFFSET(ORÇAMENTO!O$15,ROW(E237)-ROW(E$15),0)</f>
        <v>1.6.3.0.2.</v>
      </c>
      <c r="F237" s="163" t="str">
        <f ca="1">OFFSET(ORÇAMENTO!R$15,ROW(F237)-ROW(F$15),0)</f>
        <v>PARAFUSO AUTO-BROCANTE 12-14X3.1/2, FORNECIMENTO E INSTALAÇÃO - BASEADO EM ORSE (11035)</v>
      </c>
      <c r="G237" s="164" t="str">
        <f ca="1">IF($D237&lt;&gt;"Serviço","",OFFSET(ORÇAMENTO!S$15,ROW(G237)-ROW(G$15),0))</f>
        <v>UN</v>
      </c>
      <c r="H237" s="122" cm="1">
        <f t="array" aca="1" ref="H237" ca="1">IF($D237&lt;&gt;"Serviço",0,IF(ACOMPANHAMENTO="BM",ROUND(OFFSET(ORÇAMENTO!AJ$15,ROW(H237)-ROW(H$15),0),15-13*ORÇAMENTO!$AF$7),SUMPRODUCT(($Q$1:$AI$1=1)*ROUND($Q237:$AI237,15-13*ORÇAMENTO!$AF$7))))</f>
        <v>132</v>
      </c>
      <c r="I237" s="468" t="s">
        <v>1345</v>
      </c>
      <c r="J237" s="640" t="str" cm="1">
        <f t="array" aca="1" ref="J237" ca="1">IF(OR(B237&lt;&gt;"S",CÁLCULO.FrentesPreenchidas=0),"",IF(AND(ACOMPANHAMENTO="PLE",AUTOEVENTO="Manual",OR(H237&gt;0,ORÇAMENTO!AC237="QUANT."),OR(K237="",M237=0,N237="")),"►E",IF(AND(ACOMPANHAMENTO="PLE",ORÇAMENTO!AC237="QUANT."),"►Q",IF(AND(ACOMPANHAMENTO="PLE",H237&lt;&gt;SUMPRODUCT(($Q$1:$AI$1=1)*ROUND(Q237:AI237,15))),"►S",IF(AND(COUNTIF($P$11:$AI$11,"▼")=0,H237&gt;0,I237=""),"◄M","")))))</f>
        <v/>
      </c>
      <c r="K237" s="641" t="s">
        <v>1390</v>
      </c>
      <c r="L237" s="165" t="s">
        <v>764</v>
      </c>
      <c r="M237" s="166">
        <f ca="1">IF($D237&lt;&gt;"Serviço","",
          IF(AUTOEVENTO="manual",$A237,
                IF(ISERROR(MATCH($A237,$A$15:OFFSET($A237,-1,0),0)),MAX($M$15:OFFSET(M237,-1,0))+1,
                      INDEX($M$15:OFFSET(M237,-1,0),MATCH($A237,$A$15:OFFSET($A237,-1,0),0)))))</f>
        <v>5</v>
      </c>
      <c r="N237" s="167" t="str">
        <f ca="1">IF($D237&lt;&gt;"Serviço","",
         IF(AUTOEVENTO="Manual",
                IF($A237=0,"&lt;-- defina o número do agrupador",
                       OFFSET(EVENTOS!$D$15,$A237-$A$15,0)),
                OFFSET($F$15,$A237,0)))</f>
        <v>Estrutura Metálica</v>
      </c>
      <c r="O237" s="168"/>
      <c r="Q237" s="168"/>
      <c r="R237" s="169"/>
      <c r="S237" s="169"/>
      <c r="T237" s="169"/>
      <c r="U237" s="169"/>
      <c r="V237" s="169"/>
      <c r="W237" s="169">
        <v>132</v>
      </c>
      <c r="X237" s="169"/>
      <c r="Y237" s="169"/>
      <c r="Z237" s="170"/>
      <c r="AA237" s="169"/>
      <c r="AB237" s="169"/>
      <c r="AC237" s="169"/>
      <c r="AD237" s="169"/>
      <c r="AE237" s="169"/>
      <c r="AF237" s="169"/>
      <c r="AG237" s="169"/>
      <c r="AH237" s="170"/>
      <c r="AJ237" s="453">
        <f ca="1">IF(AND($D237="Serviço",AJ$12&lt;&gt;0,$H237&gt;0,OR(AUTOEVENTO&lt;&gt;"manual",$M237&lt;&gt;$A$15)),
        IF(Import.TipoArredondamento&lt;&gt;"TransfereGOV",
              ROUND(OFFSET($P237,0,AJ$13),15-13*ORÇAMENTO!$AF$7)/$H237*OFFSET(ORÇAMENTO!$X$15,ROW(AJ237)-ROW(AJ$15),0),
              ROUND(ROUND(OFFSET($P237,0,AJ$13),15-13*ORÇAMENTO!$AF$7)*OFFSET(ORÇAMENTO!$W$15,ROW(AJ237)-ROW(AJ$15),0),15-13*ORÇAMENTO!$AF$11)),
         0)</f>
        <v>0</v>
      </c>
      <c r="AK237" s="453">
        <f ca="1">IF(AND($D237="Serviço",AK$12&lt;&gt;0,$H237&gt;0,OR(AUTOEVENTO&lt;&gt;"manual",$M237&lt;&gt;$A$15)),
        IF(Import.TipoArredondamento&lt;&gt;"TransfereGOV",
              ROUND(OFFSET($P237,0,AK$13),15-13*ORÇAMENTO!$AF$7)/$H237*OFFSET(ORÇAMENTO!$X$15,ROW(AK237)-ROW(AK$15),0),
              ROUND(ROUND(OFFSET($P237,0,AK$13),15-13*ORÇAMENTO!$AF$7)*OFFSET(ORÇAMENTO!$W$15,ROW(AK237)-ROW(AK$15),0),15-13*ORÇAMENTO!$AF$11)),
         0)</f>
        <v>0</v>
      </c>
      <c r="AL237" s="453">
        <f ca="1">IF(AND($D237="Serviço",AL$12&lt;&gt;0,$H237&gt;0,OR(AUTOEVENTO&lt;&gt;"manual",$M237&lt;&gt;$A$15)),
        IF(Import.TipoArredondamento&lt;&gt;"TransfereGOV",
              ROUND(OFFSET($P237,0,AL$13),15-13*ORÇAMENTO!$AF$7)/$H237*OFFSET(ORÇAMENTO!$X$15,ROW(AL237)-ROW(AL$15),0),
              ROUND(ROUND(OFFSET($P237,0,AL$13),15-13*ORÇAMENTO!$AF$7)*OFFSET(ORÇAMENTO!$W$15,ROW(AL237)-ROW(AL$15),0),15-13*ORÇAMENTO!$AF$11)),
         0)</f>
        <v>0</v>
      </c>
      <c r="AM237" s="453">
        <f ca="1">IF(AND($D237="Serviço",AM$12&lt;&gt;0,$H237&gt;0,OR(AUTOEVENTO&lt;&gt;"manual",$M237&lt;&gt;$A$15)),
        IF(Import.TipoArredondamento&lt;&gt;"TransfereGOV",
              ROUND(OFFSET($P237,0,AM$13),15-13*ORÇAMENTO!$AF$7)/$H237*OFFSET(ORÇAMENTO!$X$15,ROW(AM237)-ROW(AM$15),0),
              ROUND(ROUND(OFFSET($P237,0,AM$13),15-13*ORÇAMENTO!$AF$7)*OFFSET(ORÇAMENTO!$W$15,ROW(AM237)-ROW(AM$15),0),15-13*ORÇAMENTO!$AF$11)),
         0)</f>
        <v>0</v>
      </c>
      <c r="AN237" s="453">
        <f ca="1">IF(AND($D237="Serviço",AN$12&lt;&gt;0,$H237&gt;0,OR(AUTOEVENTO&lt;&gt;"manual",$M237&lt;&gt;$A$15)),
        IF(Import.TipoArredondamento&lt;&gt;"TransfereGOV",
              ROUND(OFFSET($P237,0,AN$13),15-13*ORÇAMENTO!$AF$7)/$H237*OFFSET(ORÇAMENTO!$X$15,ROW(AN237)-ROW(AN$15),0),
              ROUND(ROUND(OFFSET($P237,0,AN$13),15-13*ORÇAMENTO!$AF$7)*OFFSET(ORÇAMENTO!$W$15,ROW(AN237)-ROW(AN$15),0),15-13*ORÇAMENTO!$AF$11)),
         0)</f>
        <v>0</v>
      </c>
      <c r="AO237" s="453">
        <f ca="1">IF(AND($D237="Serviço",AO$12&lt;&gt;0,$H237&gt;0,OR(AUTOEVENTO&lt;&gt;"manual",$M237&lt;&gt;$A$15)),
        IF(Import.TipoArredondamento&lt;&gt;"TransfereGOV",
              ROUND(OFFSET($P237,0,AO$13),15-13*ORÇAMENTO!$AF$7)/$H237*OFFSET(ORÇAMENTO!$X$15,ROW(AO237)-ROW(AO$15),0),
              ROUND(ROUND(OFFSET($P237,0,AO$13),15-13*ORÇAMENTO!$AF$7)*OFFSET(ORÇAMENTO!$W$15,ROW(AO237)-ROW(AO$15),0),15-13*ORÇAMENTO!$AF$11)),
         0)</f>
        <v>0</v>
      </c>
      <c r="AP237" s="453">
        <f ca="1">IF(AND($D237="Serviço",AP$12&lt;&gt;0,$H237&gt;0,OR(AUTOEVENTO&lt;&gt;"manual",$M237&lt;&gt;$A$15)),
        IF(Import.TipoArredondamento&lt;&gt;"TransfereGOV",
              ROUND(OFFSET($P237,0,AP$13),15-13*ORÇAMENTO!$AF$7)/$H237*OFFSET(ORÇAMENTO!$X$15,ROW(AP237)-ROW(AP$15),0),
              ROUND(ROUND(OFFSET($P237,0,AP$13),15-13*ORÇAMENTO!$AF$7)*OFFSET(ORÇAMENTO!$W$15,ROW(AP237)-ROW(AP$15),0),15-13*ORÇAMENTO!$AF$11)),
         0)</f>
        <v>0</v>
      </c>
      <c r="AQ237" s="453">
        <f ca="1">IF(AND($D237="Serviço",AQ$12&lt;&gt;0,$H237&gt;0,OR(AUTOEVENTO&lt;&gt;"manual",$M237&lt;&gt;$A$15)),
        IF(Import.TipoArredondamento&lt;&gt;"TransfereGOV",
              ROUND(OFFSET($P237,0,AQ$13),15-13*ORÇAMENTO!$AF$7)/$H237*OFFSET(ORÇAMENTO!$X$15,ROW(AQ237)-ROW(AQ$15),0),
              ROUND(ROUND(OFFSET($P237,0,AQ$13),15-13*ORÇAMENTO!$AF$7)*OFFSET(ORÇAMENTO!$W$15,ROW(AQ237)-ROW(AQ$15),0),15-13*ORÇAMENTO!$AF$11)),
         0)</f>
        <v>0</v>
      </c>
      <c r="AR237" s="453">
        <f ca="1">IF(AND($D237="Serviço",AR$12&lt;&gt;0,$H237&gt;0,OR(AUTOEVENTO&lt;&gt;"manual",$M237&lt;&gt;$A$15)),
        IF(Import.TipoArredondamento&lt;&gt;"TransfereGOV",
              ROUND(OFFSET($P237,0,AR$13),15-13*ORÇAMENTO!$AF$7)/$H237*OFFSET(ORÇAMENTO!$X$15,ROW(AR237)-ROW(AR$15),0),
              ROUND(ROUND(OFFSET($P237,0,AR$13),15-13*ORÇAMENTO!$AF$7)*OFFSET(ORÇAMENTO!$W$15,ROW(AR237)-ROW(AR$15),0),15-13*ORÇAMENTO!$AF$11)),
         0)</f>
        <v>0</v>
      </c>
      <c r="AS237" s="453">
        <f ca="1">IF(AND($D237="Serviço",AS$12&lt;&gt;0,$H237&gt;0,OR(AUTOEVENTO&lt;&gt;"manual",$M237&lt;&gt;$A$15)),
        IF(Import.TipoArredondamento&lt;&gt;"TransfereGOV",
              ROUND(OFFSET($P237,0,AS$13),15-13*ORÇAMENTO!$AF$7)/$H237*OFFSET(ORÇAMENTO!$X$15,ROW(AS237)-ROW(AS$15),0),
              ROUND(ROUND(OFFSET($P237,0,AS$13),15-13*ORÇAMENTO!$AF$7)*OFFSET(ORÇAMENTO!$W$15,ROW(AS237)-ROW(AS$15),0),15-13*ORÇAMENTO!$AF$11)),
         0)</f>
        <v>0</v>
      </c>
      <c r="AT237" s="453">
        <f ca="1">IF(AND($D237="Serviço",AT$12&lt;&gt;0,$H237&gt;0,OR(AUTOEVENTO&lt;&gt;"manual",$M237&lt;&gt;$A$15)),
        IF(Import.TipoArredondamento&lt;&gt;"TransfereGOV",
              ROUND(OFFSET($P237,0,AT$13),15-13*ORÇAMENTO!$AF$7)/$H237*OFFSET(ORÇAMENTO!$X$15,ROW(AT237)-ROW(AT$15),0),
              ROUND(ROUND(OFFSET($P237,0,AT$13),15-13*ORÇAMENTO!$AF$7)*OFFSET(ORÇAMENTO!$W$15,ROW(AT237)-ROW(AT$15),0),15-13*ORÇAMENTO!$AF$11)),
         0)</f>
        <v>0</v>
      </c>
      <c r="AU237" s="453">
        <f ca="1">IF(AND($D237="Serviço",AU$12&lt;&gt;0,$H237&gt;0,OR(AUTOEVENTO&lt;&gt;"manual",$M237&lt;&gt;$A$15)),
        IF(Import.TipoArredondamento&lt;&gt;"TransfereGOV",
              ROUND(OFFSET($P237,0,AU$13),15-13*ORÇAMENTO!$AF$7)/$H237*OFFSET(ORÇAMENTO!$X$15,ROW(AU237)-ROW(AU$15),0),
              ROUND(ROUND(OFFSET($P237,0,AU$13),15-13*ORÇAMENTO!$AF$7)*OFFSET(ORÇAMENTO!$W$15,ROW(AU237)-ROW(AU$15),0),15-13*ORÇAMENTO!$AF$11)),
         0)</f>
        <v>0</v>
      </c>
      <c r="AV237" s="453">
        <f ca="1">IF(AND($D237="Serviço",AV$12&lt;&gt;0,$H237&gt;0,OR(AUTOEVENTO&lt;&gt;"manual",$M237&lt;&gt;$A$15)),
        IF(Import.TipoArredondamento&lt;&gt;"TransfereGOV",
              ROUND(OFFSET($P237,0,AV$13),15-13*ORÇAMENTO!$AF$7)/$H237*OFFSET(ORÇAMENTO!$X$15,ROW(AV237)-ROW(AV$15),0),
              ROUND(ROUND(OFFSET($P237,0,AV$13),15-13*ORÇAMENTO!$AF$7)*OFFSET(ORÇAMENTO!$W$15,ROW(AV237)-ROW(AV$15),0),15-13*ORÇAMENTO!$AF$11)),
         0)</f>
        <v>0</v>
      </c>
      <c r="AW237" s="453">
        <f ca="1">IF(AND($D237="Serviço",AW$12&lt;&gt;0,$H237&gt;0,OR(AUTOEVENTO&lt;&gt;"manual",$M237&lt;&gt;$A$15)),
        IF(Import.TipoArredondamento&lt;&gt;"TransfereGOV",
              ROUND(OFFSET($P237,0,AW$13),15-13*ORÇAMENTO!$AF$7)/$H237*OFFSET(ORÇAMENTO!$X$15,ROW(AW237)-ROW(AW$15),0),
              ROUND(ROUND(OFFSET($P237,0,AW$13),15-13*ORÇAMENTO!$AF$7)*OFFSET(ORÇAMENTO!$W$15,ROW(AW237)-ROW(AW$15),0),15-13*ORÇAMENTO!$AF$11)),
         0)</f>
        <v>0</v>
      </c>
      <c r="AX237" s="453">
        <f ca="1">IF(AND($D237="Serviço",AX$12&lt;&gt;0,$H237&gt;0,OR(AUTOEVENTO&lt;&gt;"manual",$M237&lt;&gt;$A$15)),
        IF(Import.TipoArredondamento&lt;&gt;"TransfereGOV",
              ROUND(OFFSET($P237,0,AX$13),15-13*ORÇAMENTO!$AF$7)/$H237*OFFSET(ORÇAMENTO!$X$15,ROW(AX237)-ROW(AX$15),0),
              ROUND(ROUND(OFFSET($P237,0,AX$13),15-13*ORÇAMENTO!$AF$7)*OFFSET(ORÇAMENTO!$W$15,ROW(AX237)-ROW(AX$15),0),15-13*ORÇAMENTO!$AF$11)),
         0)</f>
        <v>0</v>
      </c>
      <c r="AY237" s="453">
        <f ca="1">IF(AND($D237="Serviço",AY$12&lt;&gt;0,$H237&gt;0,OR(AUTOEVENTO&lt;&gt;"manual",$M237&lt;&gt;$A$15)),
        IF(Import.TipoArredondamento&lt;&gt;"TransfereGOV",
              ROUND(OFFSET($P237,0,AY$13),15-13*ORÇAMENTO!$AF$7)/$H237*OFFSET(ORÇAMENTO!$X$15,ROW(AY237)-ROW(AY$15),0),
              ROUND(ROUND(OFFSET($P237,0,AY$13),15-13*ORÇAMENTO!$AF$7)*OFFSET(ORÇAMENTO!$W$15,ROW(AY237)-ROW(AY$15),0),15-13*ORÇAMENTO!$AF$11)),
         0)</f>
        <v>0</v>
      </c>
      <c r="AZ237" s="453">
        <f ca="1">IF(AND($D237="Serviço",AZ$12&lt;&gt;0,$H237&gt;0,OR(AUTOEVENTO&lt;&gt;"manual",$M237&lt;&gt;$A$15)),
        IF(Import.TipoArredondamento&lt;&gt;"TransfereGOV",
              ROUND(OFFSET($P237,0,AZ$13),15-13*ORÇAMENTO!$AF$7)/$H237*OFFSET(ORÇAMENTO!$X$15,ROW(AZ237)-ROW(AZ$15),0),
              ROUND(ROUND(OFFSET($P237,0,AZ$13),15-13*ORÇAMENTO!$AF$7)*OFFSET(ORÇAMENTO!$W$15,ROW(AZ237)-ROW(AZ$15),0),15-13*ORÇAMENTO!$AF$11)),
         0)</f>
        <v>0</v>
      </c>
      <c r="BA237" s="453">
        <f ca="1">IF(AND($D237="Serviço",BA$12&lt;&gt;0,$H237&gt;0,OR(AUTOEVENTO&lt;&gt;"manual",$M237&lt;&gt;$A$15)),
        IF(Import.TipoArredondamento&lt;&gt;"TransfereGOV",
              ROUND(OFFSET($P237,0,BA$13),15-13*ORÇAMENTO!$AF$7)/$H237*OFFSET(ORÇAMENTO!$X$15,ROW(BA237)-ROW(BA$15),0),
              ROUND(ROUND(OFFSET($P237,0,BA$13),15-13*ORÇAMENTO!$AF$7)*OFFSET(ORÇAMENTO!$W$15,ROW(BA237)-ROW(BA$15),0),15-13*ORÇAMENTO!$AF$11)),
         0)</f>
        <v>0</v>
      </c>
      <c r="BC237" s="171">
        <f ca="1">IF(OR($D237&lt;&gt;"Serviço",AND(AUTOEVENTO="Manual",$M237=$A$15)),0,
         IF(OFFSET(CRONOPLE!$F$15,$M237-$A$15,BC$13)=0,10^12,OFFSET(CRONOPLE!$F$15,$M237-$A$15,BC$13)))</f>
        <v>1</v>
      </c>
      <c r="BD237" s="171">
        <f ca="1">IF(OR($D237&lt;&gt;"Serviço",AND(AUTOEVENTO="Manual",$M237=$A$15)),0,
         IF(OFFSET(CRONOPLE!$F$15,$M237-$A$15,BD$13)=0,10^12,OFFSET(CRONOPLE!$F$15,$M237-$A$15,BD$13)))</f>
        <v>2</v>
      </c>
      <c r="BE237" s="171">
        <f ca="1">IF(OR($D237&lt;&gt;"Serviço",AND(AUTOEVENTO="Manual",$M237=$A$15)),0,
         IF(OFFSET(CRONOPLE!$F$15,$M237-$A$15,BE$13)=0,10^12,OFFSET(CRONOPLE!$F$15,$M237-$A$15,BE$13)))</f>
        <v>3</v>
      </c>
      <c r="BF237" s="171">
        <f ca="1">IF(OR($D237&lt;&gt;"Serviço",AND(AUTOEVENTO="Manual",$M237=$A$15)),0,
         IF(OFFSET(CRONOPLE!$F$15,$M237-$A$15,BF$13)=0,10^12,OFFSET(CRONOPLE!$F$15,$M237-$A$15,BF$13)))</f>
        <v>4</v>
      </c>
      <c r="BG237" s="171">
        <f ca="1">IF(OR($D237&lt;&gt;"Serviço",AND(AUTOEVENTO="Manual",$M237=$A$15)),0,
         IF(OFFSET(CRONOPLE!$F$15,$M237-$A$15,BG$13)=0,10^12,OFFSET(CRONOPLE!$F$15,$M237-$A$15,BG$13)))</f>
        <v>5</v>
      </c>
      <c r="BH237" s="171">
        <f ca="1">IF(OR($D237&lt;&gt;"Serviço",AND(AUTOEVENTO="Manual",$M237=$A$15)),0,
         IF(OFFSET(CRONOPLE!$F$15,$M237-$A$15,BH$13)=0,10^12,OFFSET(CRONOPLE!$F$15,$M237-$A$15,BH$13)))</f>
        <v>6</v>
      </c>
      <c r="BI237" s="171">
        <f ca="1">IF(OR($D237&lt;&gt;"Serviço",AND(AUTOEVENTO="Manual",$M237=$A$15)),0,
         IF(OFFSET(CRONOPLE!$F$15,$M237-$A$15,BI$13)=0,10^12,OFFSET(CRONOPLE!$F$15,$M237-$A$15,BI$13)))</f>
        <v>7</v>
      </c>
      <c r="BJ237" s="171">
        <f ca="1">IF(OR($D237&lt;&gt;"Serviço",AND(AUTOEVENTO="Manual",$M237=$A$15)),0,
         IF(OFFSET(CRONOPLE!$F$15,$M237-$A$15,BJ$13)=0,10^12,OFFSET(CRONOPLE!$F$15,$M237-$A$15,BJ$13)))</f>
        <v>8</v>
      </c>
      <c r="BK237" s="171">
        <f ca="1">IF(OR($D237&lt;&gt;"Serviço",AND(AUTOEVENTO="Manual",$M237=$A$15)),0,
         IF(OFFSET(CRONOPLE!$F$15,$M237-$A$15,BK$13)=0,10^12,OFFSET(CRONOPLE!$F$15,$M237-$A$15,BK$13)))</f>
        <v>9</v>
      </c>
      <c r="BL237" s="171">
        <f ca="1">IF(OR($D237&lt;&gt;"Serviço",AND(AUTOEVENTO="Manual",$M237=$A$15)),0,
         IF(OFFSET(CRONOPLE!$F$15,$M237-$A$15,BL$13)=0,10^12,OFFSET(CRONOPLE!$F$15,$M237-$A$15,BL$13)))</f>
        <v>10</v>
      </c>
      <c r="BM237" s="171">
        <f ca="1">IF(OR($D237&lt;&gt;"Serviço",AND(AUTOEVENTO="Manual",$M237=$A$15)),0,
         IF(OFFSET(CRONOPLE!$F$15,$M237-$A$15,BM$13)=0,10^12,OFFSET(CRONOPLE!$F$15,$M237-$A$15,BM$13)))</f>
        <v>1000000000000</v>
      </c>
      <c r="BN237" s="171">
        <f ca="1">IF(OR($D237&lt;&gt;"Serviço",AND(AUTOEVENTO="Manual",$M237=$A$15)),0,
         IF(OFFSET(CRONOPLE!$F$15,$M237-$A$15,BN$13)=0,10^12,OFFSET(CRONOPLE!$F$15,$M237-$A$15,BN$13)))</f>
        <v>1000000000000</v>
      </c>
      <c r="BO237" s="171">
        <f ca="1">IF(OR($D237&lt;&gt;"Serviço",AND(AUTOEVENTO="Manual",$M237=$A$15)),0,
         IF(OFFSET(CRONOPLE!$F$15,$M237-$A$15,BO$13)=0,10^12,OFFSET(CRONOPLE!$F$15,$M237-$A$15,BO$13)))</f>
        <v>1000000000000</v>
      </c>
      <c r="BP237" s="171">
        <f ca="1">IF(OR($D237&lt;&gt;"Serviço",AND(AUTOEVENTO="Manual",$M237=$A$15)),0,
         IF(OFFSET(CRONOPLE!$F$15,$M237-$A$15,BP$13)=0,10^12,OFFSET(CRONOPLE!$F$15,$M237-$A$15,BP$13)))</f>
        <v>1000000000000</v>
      </c>
      <c r="BQ237" s="171">
        <f ca="1">IF(OR($D237&lt;&gt;"Serviço",AND(AUTOEVENTO="Manual",$M237=$A$15)),0,
         IF(OFFSET(CRONOPLE!$F$15,$M237-$A$15,BQ$13)=0,10^12,OFFSET(CRONOPLE!$F$15,$M237-$A$15,BQ$13)))</f>
        <v>1000000000000</v>
      </c>
      <c r="BR237" s="171">
        <f ca="1">IF(OR($D237&lt;&gt;"Serviço",AND(AUTOEVENTO="Manual",$M237=$A$15)),0,
         IF(OFFSET(CRONOPLE!$F$15,$M237-$A$15,BR$13)=0,10^12,OFFSET(CRONOPLE!$F$15,$M237-$A$15,BR$13)))</f>
        <v>1000000000000</v>
      </c>
      <c r="BS237" s="171">
        <f ca="1">IF(OR($D237&lt;&gt;"Serviço",AND(AUTOEVENTO="Manual",$M237=$A$15)),0,
         IF(OFFSET(CRONOPLE!$F$15,$M237-$A$15,BS$13)=0,10^12,OFFSET(CRONOPLE!$F$15,$M237-$A$15,BS$13)))</f>
        <v>1000000000000</v>
      </c>
      <c r="BT237" s="171">
        <f ca="1">IF(OR($D237&lt;&gt;"Serviço",AND(AUTOEVENTO="Manual",$M237=$A$15)),0,
         IF(OFFSET(CRONOPLE!$F$15,$M237-$A$15,BT$13)=0,10^12,OFFSET(CRONOPLE!$F$15,$M237-$A$15,BT$13)))</f>
        <v>1000000000000</v>
      </c>
      <c r="BV237" s="172">
        <f ca="1">IF(OR($D237&lt;&gt;"Serviço",AND(AUTOEVENTO="Manual",$M237=$A$15),$M237&gt;(ROW(PLE.lastrow)-ROW(PLE.firstrow))),0,
           IF(OFFSET(PLE!$G$15,$M237-$A$15,BV$13)="",10^12,OFFSET(PLE!$G$15,$M237-$A$15,BV$13)))</f>
        <v>1000000000000</v>
      </c>
      <c r="BW237" s="172">
        <f ca="1">IF(OR($D237&lt;&gt;"Serviço",AND(AUTOEVENTO="Manual",$M237=$A$15),$M237&gt;(ROW(PLE.lastrow)-ROW(PLE.firstrow))),0,
           IF(OFFSET(PLE!$G$15,$M237-$A$15,BW$13)="",10^12,OFFSET(PLE!$G$15,$M237-$A$15,BW$13)))</f>
        <v>1000000000000</v>
      </c>
      <c r="BX237" s="172">
        <f ca="1">IF(OR($D237&lt;&gt;"Serviço",AND(AUTOEVENTO="Manual",$M237=$A$15),$M237&gt;(ROW(PLE.lastrow)-ROW(PLE.firstrow))),0,
           IF(OFFSET(PLE!$G$15,$M237-$A$15,BX$13)="",10^12,OFFSET(PLE!$G$15,$M237-$A$15,BX$13)))</f>
        <v>1000000000000</v>
      </c>
      <c r="BY237" s="172">
        <f ca="1">IF(OR($D237&lt;&gt;"Serviço",AND(AUTOEVENTO="Manual",$M237=$A$15),$M237&gt;(ROW(PLE.lastrow)-ROW(PLE.firstrow))),0,
           IF(OFFSET(PLE!$G$15,$M237-$A$15,BY$13)="",10^12,OFFSET(PLE!$G$15,$M237-$A$15,BY$13)))</f>
        <v>1000000000000</v>
      </c>
      <c r="BZ237" s="172">
        <f ca="1">IF(OR($D237&lt;&gt;"Serviço",AND(AUTOEVENTO="Manual",$M237=$A$15),$M237&gt;(ROW(PLE.lastrow)-ROW(PLE.firstrow))),0,
           IF(OFFSET(PLE!$G$15,$M237-$A$15,BZ$13)="",10^12,OFFSET(PLE!$G$15,$M237-$A$15,BZ$13)))</f>
        <v>1000000000000</v>
      </c>
      <c r="CA237" s="172">
        <f ca="1">IF(OR($D237&lt;&gt;"Serviço",AND(AUTOEVENTO="Manual",$M237=$A$15),$M237&gt;(ROW(PLE.lastrow)-ROW(PLE.firstrow))),0,
           IF(OFFSET(PLE!$G$15,$M237-$A$15,CA$13)="",10^12,OFFSET(PLE!$G$15,$M237-$A$15,CA$13)))</f>
        <v>1000000000000</v>
      </c>
      <c r="CB237" s="172">
        <f ca="1">IF(OR($D237&lt;&gt;"Serviço",AND(AUTOEVENTO="Manual",$M237=$A$15),$M237&gt;(ROW(PLE.lastrow)-ROW(PLE.firstrow))),0,
           IF(OFFSET(PLE!$G$15,$M237-$A$15,CB$13)="",10^12,OFFSET(PLE!$G$15,$M237-$A$15,CB$13)))</f>
        <v>1000000000000</v>
      </c>
      <c r="CC237" s="172">
        <f ca="1">IF(OR($D237&lt;&gt;"Serviço",AND(AUTOEVENTO="Manual",$M237=$A$15),$M237&gt;(ROW(PLE.lastrow)-ROW(PLE.firstrow))),0,
           IF(OFFSET(PLE!$G$15,$M237-$A$15,CC$13)="",10^12,OFFSET(PLE!$G$15,$M237-$A$15,CC$13)))</f>
        <v>1000000000000</v>
      </c>
      <c r="CD237" s="172">
        <f ca="1">IF(OR($D237&lt;&gt;"Serviço",AND(AUTOEVENTO="Manual",$M237=$A$15),$M237&gt;(ROW(PLE.lastrow)-ROW(PLE.firstrow))),0,
           IF(OFFSET(PLE!$G$15,$M237-$A$15,CD$13)="",10^12,OFFSET(PLE!$G$15,$M237-$A$15,CD$13)))</f>
        <v>1000000000000</v>
      </c>
      <c r="CE237" s="172">
        <f ca="1">IF(OR($D237&lt;&gt;"Serviço",AND(AUTOEVENTO="Manual",$M237=$A$15),$M237&gt;(ROW(PLE.lastrow)-ROW(PLE.firstrow))),0,
           IF(OFFSET(PLE!$G$15,$M237-$A$15,CE$13)="",10^12,OFFSET(PLE!$G$15,$M237-$A$15,CE$13)))</f>
        <v>1000000000000</v>
      </c>
      <c r="CF237" s="172">
        <f ca="1">IF(OR($D237&lt;&gt;"Serviço",AND(AUTOEVENTO="Manual",$M237=$A$15),$M237&gt;(ROW(PLE.lastrow)-ROW(PLE.firstrow))),0,
           IF(OFFSET(PLE!$G$15,$M237-$A$15,CF$13)="",10^12,OFFSET(PLE!$G$15,$M237-$A$15,CF$13)))</f>
        <v>1000000000000</v>
      </c>
      <c r="CG237" s="172">
        <f ca="1">IF(OR($D237&lt;&gt;"Serviço",AND(AUTOEVENTO="Manual",$M237=$A$15),$M237&gt;(ROW(PLE.lastrow)-ROW(PLE.firstrow))),0,
           IF(OFFSET(PLE!$G$15,$M237-$A$15,CG$13)="",10^12,OFFSET(PLE!$G$15,$M237-$A$15,CG$13)))</f>
        <v>1000000000000</v>
      </c>
      <c r="CH237" s="172">
        <f ca="1">IF(OR($D237&lt;&gt;"Serviço",AND(AUTOEVENTO="Manual",$M237=$A$15),$M237&gt;(ROW(PLE.lastrow)-ROW(PLE.firstrow))),0,
           IF(OFFSET(PLE!$G$15,$M237-$A$15,CH$13)="",10^12,OFFSET(PLE!$G$15,$M237-$A$15,CH$13)))</f>
        <v>1000000000000</v>
      </c>
      <c r="CI237" s="172">
        <f ca="1">IF(OR($D237&lt;&gt;"Serviço",AND(AUTOEVENTO="Manual",$M237=$A$15),$M237&gt;(ROW(PLE.lastrow)-ROW(PLE.firstrow))),0,
           IF(OFFSET(PLE!$G$15,$M237-$A$15,CI$13)="",10^12,OFFSET(PLE!$G$15,$M237-$A$15,CI$13)))</f>
        <v>1000000000000</v>
      </c>
      <c r="CJ237" s="172">
        <f ca="1">IF(OR($D237&lt;&gt;"Serviço",AND(AUTOEVENTO="Manual",$M237=$A$15),$M237&gt;(ROW(PLE.lastrow)-ROW(PLE.firstrow))),0,
           IF(OFFSET(PLE!$G$15,$M237-$A$15,CJ$13)="",10^12,OFFSET(PLE!$G$15,$M237-$A$15,CJ$13)))</f>
        <v>1000000000000</v>
      </c>
      <c r="CK237" s="172">
        <f ca="1">IF(OR($D237&lt;&gt;"Serviço",AND(AUTOEVENTO="Manual",$M237=$A$15),$M237&gt;(ROW(PLE.lastrow)-ROW(PLE.firstrow))),0,
           IF(OFFSET(PLE!$G$15,$M237-$A$15,CK$13)="",10^12,OFFSET(PLE!$G$15,$M237-$A$15,CK$13)))</f>
        <v>1000000000000</v>
      </c>
      <c r="CL237" s="172">
        <f ca="1">IF(OR($D237&lt;&gt;"Serviço",AND(AUTOEVENTO="Manual",$M237=$A$15),$M237&gt;(ROW(PLE.lastrow)-ROW(PLE.firstrow))),0,
           IF(OFFSET(PLE!$G$15,$M237-$A$15,CL$13)="",10^12,OFFSET(PLE!$G$15,$M237-$A$15,CL$13)))</f>
        <v>1000000000000</v>
      </c>
      <c r="CM237" s="172">
        <f ca="1">IF(OR($D237&lt;&gt;"Serviço",AND(AUTOEVENTO="Manual",$M237=$A$15),$M237&gt;(ROW(PLE.lastrow)-ROW(PLE.firstrow))),0,
           IF(OFFSET(PLE!$G$15,$M237-$A$15,CM$13)="",10^12,OFFSET(PLE!$G$15,$M237-$A$15,CM$13)))</f>
        <v>1000000000000</v>
      </c>
    </row>
    <row r="238" spans="1:91" ht="63.75" x14ac:dyDescent="0.2">
      <c r="A238" s="7">
        <f t="shared" ca="1" si="13"/>
        <v>5</v>
      </c>
      <c r="B238" s="7" t="str">
        <f ca="1">OFFSET(ORÇAMENTO!C$15,ROW(B238)-ROW(B$15),0)</f>
        <v>S</v>
      </c>
      <c r="C238" s="7" t="str">
        <f ca="1">OFFSET(ORÇAMENTO!L$15,ROW(C238)-ROW(C$15),0)</f>
        <v>F</v>
      </c>
      <c r="D238" s="116" t="str">
        <f ca="1">OFFSET(ORÇAMENTO!N$15,ROW(D238)-ROW(D$15),0)</f>
        <v>Serviço</v>
      </c>
      <c r="E238" s="117" t="str">
        <f ca="1">OFFSET(ORÇAMENTO!O$15,ROW(E238)-ROW(E$15),0)</f>
        <v>1.6.3.0.3.</v>
      </c>
      <c r="F238" s="163" t="str">
        <f ca="1">OFFSET(ORÇAMENTO!R$15,ROW(F238)-ROW(F$15),0)</f>
        <v>PARAFUSO AUTO-BROCANTE 12-14X3/4, FORNECIMENTO E INSTALAÇÃO - BASEADO EM ORSE (11035)</v>
      </c>
      <c r="G238" s="164" t="str">
        <f ca="1">IF($D238&lt;&gt;"Serviço","",OFFSET(ORÇAMENTO!S$15,ROW(G238)-ROW(G$15),0))</f>
        <v>UN</v>
      </c>
      <c r="H238" s="122" cm="1">
        <f t="array" aca="1" ref="H238" ca="1">IF($D238&lt;&gt;"Serviço",0,IF(ACOMPANHAMENTO="BM",ROUND(OFFSET(ORÇAMENTO!AJ$15,ROW(H238)-ROW(H$15),0),15-13*ORÇAMENTO!$AF$7),SUMPRODUCT(($Q$1:$AI$1=1)*ROUND($Q238:$AI238,15-13*ORÇAMENTO!$AF$7))))</f>
        <v>77</v>
      </c>
      <c r="I238" s="468" t="s">
        <v>1345</v>
      </c>
      <c r="J238" s="640" t="str" cm="1">
        <f t="array" aca="1" ref="J238" ca="1">IF(OR(B238&lt;&gt;"S",CÁLCULO.FrentesPreenchidas=0),"",IF(AND(ACOMPANHAMENTO="PLE",AUTOEVENTO="Manual",OR(H238&gt;0,ORÇAMENTO!AC238="QUANT."),OR(K238="",M238=0,N238="")),"►E",IF(AND(ACOMPANHAMENTO="PLE",ORÇAMENTO!AC238="QUANT."),"►Q",IF(AND(ACOMPANHAMENTO="PLE",H238&lt;&gt;SUMPRODUCT(($Q$1:$AI$1=1)*ROUND(Q238:AI238,15))),"►S",IF(AND(COUNTIF($P$11:$AI$11,"▼")=0,H238&gt;0,I238=""),"◄M","")))))</f>
        <v/>
      </c>
      <c r="K238" s="641" t="s">
        <v>1390</v>
      </c>
      <c r="L238" s="165" t="s">
        <v>764</v>
      </c>
      <c r="M238" s="166">
        <f ca="1">IF($D238&lt;&gt;"Serviço","",
          IF(AUTOEVENTO="manual",$A238,
                IF(ISERROR(MATCH($A238,$A$15:OFFSET($A238,-1,0),0)),MAX($M$15:OFFSET(M238,-1,0))+1,
                      INDEX($M$15:OFFSET(M238,-1,0),MATCH($A238,$A$15:OFFSET($A238,-1,0),0)))))</f>
        <v>5</v>
      </c>
      <c r="N238" s="167" t="str">
        <f ca="1">IF($D238&lt;&gt;"Serviço","",
         IF(AUTOEVENTO="Manual",
                IF($A238=0,"&lt;-- defina o número do agrupador",
                       OFFSET(EVENTOS!$D$15,$A238-$A$15,0)),
                OFFSET($F$15,$A238,0)))</f>
        <v>Estrutura Metálica</v>
      </c>
      <c r="O238" s="168"/>
      <c r="Q238" s="168"/>
      <c r="R238" s="169"/>
      <c r="S238" s="169"/>
      <c r="T238" s="169"/>
      <c r="U238" s="169"/>
      <c r="V238" s="169"/>
      <c r="W238" s="169">
        <v>77</v>
      </c>
      <c r="X238" s="169"/>
      <c r="Y238" s="169"/>
      <c r="Z238" s="170"/>
      <c r="AA238" s="169"/>
      <c r="AB238" s="169"/>
      <c r="AC238" s="169"/>
      <c r="AD238" s="169"/>
      <c r="AE238" s="169"/>
      <c r="AF238" s="169"/>
      <c r="AG238" s="169"/>
      <c r="AH238" s="170"/>
      <c r="AJ238" s="453">
        <f ca="1">IF(AND($D238="Serviço",AJ$12&lt;&gt;0,$H238&gt;0,OR(AUTOEVENTO&lt;&gt;"manual",$M238&lt;&gt;$A$15)),
        IF(Import.TipoArredondamento&lt;&gt;"TransfereGOV",
              ROUND(OFFSET($P238,0,AJ$13),15-13*ORÇAMENTO!$AF$7)/$H238*OFFSET(ORÇAMENTO!$X$15,ROW(AJ238)-ROW(AJ$15),0),
              ROUND(ROUND(OFFSET($P238,0,AJ$13),15-13*ORÇAMENTO!$AF$7)*OFFSET(ORÇAMENTO!$W$15,ROW(AJ238)-ROW(AJ$15),0),15-13*ORÇAMENTO!$AF$11)),
         0)</f>
        <v>0</v>
      </c>
      <c r="AK238" s="453">
        <f ca="1">IF(AND($D238="Serviço",AK$12&lt;&gt;0,$H238&gt;0,OR(AUTOEVENTO&lt;&gt;"manual",$M238&lt;&gt;$A$15)),
        IF(Import.TipoArredondamento&lt;&gt;"TransfereGOV",
              ROUND(OFFSET($P238,0,AK$13),15-13*ORÇAMENTO!$AF$7)/$H238*OFFSET(ORÇAMENTO!$X$15,ROW(AK238)-ROW(AK$15),0),
              ROUND(ROUND(OFFSET($P238,0,AK$13),15-13*ORÇAMENTO!$AF$7)*OFFSET(ORÇAMENTO!$W$15,ROW(AK238)-ROW(AK$15),0),15-13*ORÇAMENTO!$AF$11)),
         0)</f>
        <v>0</v>
      </c>
      <c r="AL238" s="453">
        <f ca="1">IF(AND($D238="Serviço",AL$12&lt;&gt;0,$H238&gt;0,OR(AUTOEVENTO&lt;&gt;"manual",$M238&lt;&gt;$A$15)),
        IF(Import.TipoArredondamento&lt;&gt;"TransfereGOV",
              ROUND(OFFSET($P238,0,AL$13),15-13*ORÇAMENTO!$AF$7)/$H238*OFFSET(ORÇAMENTO!$X$15,ROW(AL238)-ROW(AL$15),0),
              ROUND(ROUND(OFFSET($P238,0,AL$13),15-13*ORÇAMENTO!$AF$7)*OFFSET(ORÇAMENTO!$W$15,ROW(AL238)-ROW(AL$15),0),15-13*ORÇAMENTO!$AF$11)),
         0)</f>
        <v>0</v>
      </c>
      <c r="AM238" s="453">
        <f ca="1">IF(AND($D238="Serviço",AM$12&lt;&gt;0,$H238&gt;0,OR(AUTOEVENTO&lt;&gt;"manual",$M238&lt;&gt;$A$15)),
        IF(Import.TipoArredondamento&lt;&gt;"TransfereGOV",
              ROUND(OFFSET($P238,0,AM$13),15-13*ORÇAMENTO!$AF$7)/$H238*OFFSET(ORÇAMENTO!$X$15,ROW(AM238)-ROW(AM$15),0),
              ROUND(ROUND(OFFSET($P238,0,AM$13),15-13*ORÇAMENTO!$AF$7)*OFFSET(ORÇAMENTO!$W$15,ROW(AM238)-ROW(AM$15),0),15-13*ORÇAMENTO!$AF$11)),
         0)</f>
        <v>0</v>
      </c>
      <c r="AN238" s="453">
        <f ca="1">IF(AND($D238="Serviço",AN$12&lt;&gt;0,$H238&gt;0,OR(AUTOEVENTO&lt;&gt;"manual",$M238&lt;&gt;$A$15)),
        IF(Import.TipoArredondamento&lt;&gt;"TransfereGOV",
              ROUND(OFFSET($P238,0,AN$13),15-13*ORÇAMENTO!$AF$7)/$H238*OFFSET(ORÇAMENTO!$X$15,ROW(AN238)-ROW(AN$15),0),
              ROUND(ROUND(OFFSET($P238,0,AN$13),15-13*ORÇAMENTO!$AF$7)*OFFSET(ORÇAMENTO!$W$15,ROW(AN238)-ROW(AN$15),0),15-13*ORÇAMENTO!$AF$11)),
         0)</f>
        <v>0</v>
      </c>
      <c r="AO238" s="453">
        <f ca="1">IF(AND($D238="Serviço",AO$12&lt;&gt;0,$H238&gt;0,OR(AUTOEVENTO&lt;&gt;"manual",$M238&lt;&gt;$A$15)),
        IF(Import.TipoArredondamento&lt;&gt;"TransfereGOV",
              ROUND(OFFSET($P238,0,AO$13),15-13*ORÇAMENTO!$AF$7)/$H238*OFFSET(ORÇAMENTO!$X$15,ROW(AO238)-ROW(AO$15),0),
              ROUND(ROUND(OFFSET($P238,0,AO$13),15-13*ORÇAMENTO!$AF$7)*OFFSET(ORÇAMENTO!$W$15,ROW(AO238)-ROW(AO$15),0),15-13*ORÇAMENTO!$AF$11)),
         0)</f>
        <v>0</v>
      </c>
      <c r="AP238" s="453">
        <f ca="1">IF(AND($D238="Serviço",AP$12&lt;&gt;0,$H238&gt;0,OR(AUTOEVENTO&lt;&gt;"manual",$M238&lt;&gt;$A$15)),
        IF(Import.TipoArredondamento&lt;&gt;"TransfereGOV",
              ROUND(OFFSET($P238,0,AP$13),15-13*ORÇAMENTO!$AF$7)/$H238*OFFSET(ORÇAMENTO!$X$15,ROW(AP238)-ROW(AP$15),0),
              ROUND(ROUND(OFFSET($P238,0,AP$13),15-13*ORÇAMENTO!$AF$7)*OFFSET(ORÇAMENTO!$W$15,ROW(AP238)-ROW(AP$15),0),15-13*ORÇAMENTO!$AF$11)),
         0)</f>
        <v>0</v>
      </c>
      <c r="AQ238" s="453">
        <f ca="1">IF(AND($D238="Serviço",AQ$12&lt;&gt;0,$H238&gt;0,OR(AUTOEVENTO&lt;&gt;"manual",$M238&lt;&gt;$A$15)),
        IF(Import.TipoArredondamento&lt;&gt;"TransfereGOV",
              ROUND(OFFSET($P238,0,AQ$13),15-13*ORÇAMENTO!$AF$7)/$H238*OFFSET(ORÇAMENTO!$X$15,ROW(AQ238)-ROW(AQ$15),0),
              ROUND(ROUND(OFFSET($P238,0,AQ$13),15-13*ORÇAMENTO!$AF$7)*OFFSET(ORÇAMENTO!$W$15,ROW(AQ238)-ROW(AQ$15),0),15-13*ORÇAMENTO!$AF$11)),
         0)</f>
        <v>0</v>
      </c>
      <c r="AR238" s="453">
        <f ca="1">IF(AND($D238="Serviço",AR$12&lt;&gt;0,$H238&gt;0,OR(AUTOEVENTO&lt;&gt;"manual",$M238&lt;&gt;$A$15)),
        IF(Import.TipoArredondamento&lt;&gt;"TransfereGOV",
              ROUND(OFFSET($P238,0,AR$13),15-13*ORÇAMENTO!$AF$7)/$H238*OFFSET(ORÇAMENTO!$X$15,ROW(AR238)-ROW(AR$15),0),
              ROUND(ROUND(OFFSET($P238,0,AR$13),15-13*ORÇAMENTO!$AF$7)*OFFSET(ORÇAMENTO!$W$15,ROW(AR238)-ROW(AR$15),0),15-13*ORÇAMENTO!$AF$11)),
         0)</f>
        <v>0</v>
      </c>
      <c r="AS238" s="453">
        <f ca="1">IF(AND($D238="Serviço",AS$12&lt;&gt;0,$H238&gt;0,OR(AUTOEVENTO&lt;&gt;"manual",$M238&lt;&gt;$A$15)),
        IF(Import.TipoArredondamento&lt;&gt;"TransfereGOV",
              ROUND(OFFSET($P238,0,AS$13),15-13*ORÇAMENTO!$AF$7)/$H238*OFFSET(ORÇAMENTO!$X$15,ROW(AS238)-ROW(AS$15),0),
              ROUND(ROUND(OFFSET($P238,0,AS$13),15-13*ORÇAMENTO!$AF$7)*OFFSET(ORÇAMENTO!$W$15,ROW(AS238)-ROW(AS$15),0),15-13*ORÇAMENTO!$AF$11)),
         0)</f>
        <v>0</v>
      </c>
      <c r="AT238" s="453">
        <f ca="1">IF(AND($D238="Serviço",AT$12&lt;&gt;0,$H238&gt;0,OR(AUTOEVENTO&lt;&gt;"manual",$M238&lt;&gt;$A$15)),
        IF(Import.TipoArredondamento&lt;&gt;"TransfereGOV",
              ROUND(OFFSET($P238,0,AT$13),15-13*ORÇAMENTO!$AF$7)/$H238*OFFSET(ORÇAMENTO!$X$15,ROW(AT238)-ROW(AT$15),0),
              ROUND(ROUND(OFFSET($P238,0,AT$13),15-13*ORÇAMENTO!$AF$7)*OFFSET(ORÇAMENTO!$W$15,ROW(AT238)-ROW(AT$15),0),15-13*ORÇAMENTO!$AF$11)),
         0)</f>
        <v>0</v>
      </c>
      <c r="AU238" s="453">
        <f ca="1">IF(AND($D238="Serviço",AU$12&lt;&gt;0,$H238&gt;0,OR(AUTOEVENTO&lt;&gt;"manual",$M238&lt;&gt;$A$15)),
        IF(Import.TipoArredondamento&lt;&gt;"TransfereGOV",
              ROUND(OFFSET($P238,0,AU$13),15-13*ORÇAMENTO!$AF$7)/$H238*OFFSET(ORÇAMENTO!$X$15,ROW(AU238)-ROW(AU$15),0),
              ROUND(ROUND(OFFSET($P238,0,AU$13),15-13*ORÇAMENTO!$AF$7)*OFFSET(ORÇAMENTO!$W$15,ROW(AU238)-ROW(AU$15),0),15-13*ORÇAMENTO!$AF$11)),
         0)</f>
        <v>0</v>
      </c>
      <c r="AV238" s="453">
        <f ca="1">IF(AND($D238="Serviço",AV$12&lt;&gt;0,$H238&gt;0,OR(AUTOEVENTO&lt;&gt;"manual",$M238&lt;&gt;$A$15)),
        IF(Import.TipoArredondamento&lt;&gt;"TransfereGOV",
              ROUND(OFFSET($P238,0,AV$13),15-13*ORÇAMENTO!$AF$7)/$H238*OFFSET(ORÇAMENTO!$X$15,ROW(AV238)-ROW(AV$15),0),
              ROUND(ROUND(OFFSET($P238,0,AV$13),15-13*ORÇAMENTO!$AF$7)*OFFSET(ORÇAMENTO!$W$15,ROW(AV238)-ROW(AV$15),0),15-13*ORÇAMENTO!$AF$11)),
         0)</f>
        <v>0</v>
      </c>
      <c r="AW238" s="453">
        <f ca="1">IF(AND($D238="Serviço",AW$12&lt;&gt;0,$H238&gt;0,OR(AUTOEVENTO&lt;&gt;"manual",$M238&lt;&gt;$A$15)),
        IF(Import.TipoArredondamento&lt;&gt;"TransfereGOV",
              ROUND(OFFSET($P238,0,AW$13),15-13*ORÇAMENTO!$AF$7)/$H238*OFFSET(ORÇAMENTO!$X$15,ROW(AW238)-ROW(AW$15),0),
              ROUND(ROUND(OFFSET($P238,0,AW$13),15-13*ORÇAMENTO!$AF$7)*OFFSET(ORÇAMENTO!$W$15,ROW(AW238)-ROW(AW$15),0),15-13*ORÇAMENTO!$AF$11)),
         0)</f>
        <v>0</v>
      </c>
      <c r="AX238" s="453">
        <f ca="1">IF(AND($D238="Serviço",AX$12&lt;&gt;0,$H238&gt;0,OR(AUTOEVENTO&lt;&gt;"manual",$M238&lt;&gt;$A$15)),
        IF(Import.TipoArredondamento&lt;&gt;"TransfereGOV",
              ROUND(OFFSET($P238,0,AX$13),15-13*ORÇAMENTO!$AF$7)/$H238*OFFSET(ORÇAMENTO!$X$15,ROW(AX238)-ROW(AX$15),0),
              ROUND(ROUND(OFFSET($P238,0,AX$13),15-13*ORÇAMENTO!$AF$7)*OFFSET(ORÇAMENTO!$W$15,ROW(AX238)-ROW(AX$15),0),15-13*ORÇAMENTO!$AF$11)),
         0)</f>
        <v>0</v>
      </c>
      <c r="AY238" s="453">
        <f ca="1">IF(AND($D238="Serviço",AY$12&lt;&gt;0,$H238&gt;0,OR(AUTOEVENTO&lt;&gt;"manual",$M238&lt;&gt;$A$15)),
        IF(Import.TipoArredondamento&lt;&gt;"TransfereGOV",
              ROUND(OFFSET($P238,0,AY$13),15-13*ORÇAMENTO!$AF$7)/$H238*OFFSET(ORÇAMENTO!$X$15,ROW(AY238)-ROW(AY$15),0),
              ROUND(ROUND(OFFSET($P238,0,AY$13),15-13*ORÇAMENTO!$AF$7)*OFFSET(ORÇAMENTO!$W$15,ROW(AY238)-ROW(AY$15),0),15-13*ORÇAMENTO!$AF$11)),
         0)</f>
        <v>0</v>
      </c>
      <c r="AZ238" s="453">
        <f ca="1">IF(AND($D238="Serviço",AZ$12&lt;&gt;0,$H238&gt;0,OR(AUTOEVENTO&lt;&gt;"manual",$M238&lt;&gt;$A$15)),
        IF(Import.TipoArredondamento&lt;&gt;"TransfereGOV",
              ROUND(OFFSET($P238,0,AZ$13),15-13*ORÇAMENTO!$AF$7)/$H238*OFFSET(ORÇAMENTO!$X$15,ROW(AZ238)-ROW(AZ$15),0),
              ROUND(ROUND(OFFSET($P238,0,AZ$13),15-13*ORÇAMENTO!$AF$7)*OFFSET(ORÇAMENTO!$W$15,ROW(AZ238)-ROW(AZ$15),0),15-13*ORÇAMENTO!$AF$11)),
         0)</f>
        <v>0</v>
      </c>
      <c r="BA238" s="453">
        <f ca="1">IF(AND($D238="Serviço",BA$12&lt;&gt;0,$H238&gt;0,OR(AUTOEVENTO&lt;&gt;"manual",$M238&lt;&gt;$A$15)),
        IF(Import.TipoArredondamento&lt;&gt;"TransfereGOV",
              ROUND(OFFSET($P238,0,BA$13),15-13*ORÇAMENTO!$AF$7)/$H238*OFFSET(ORÇAMENTO!$X$15,ROW(BA238)-ROW(BA$15),0),
              ROUND(ROUND(OFFSET($P238,0,BA$13),15-13*ORÇAMENTO!$AF$7)*OFFSET(ORÇAMENTO!$W$15,ROW(BA238)-ROW(BA$15),0),15-13*ORÇAMENTO!$AF$11)),
         0)</f>
        <v>0</v>
      </c>
      <c r="BC238" s="171">
        <f ca="1">IF(OR($D238&lt;&gt;"Serviço",AND(AUTOEVENTO="Manual",$M238=$A$15)),0,
         IF(OFFSET(CRONOPLE!$F$15,$M238-$A$15,BC$13)=0,10^12,OFFSET(CRONOPLE!$F$15,$M238-$A$15,BC$13)))</f>
        <v>1</v>
      </c>
      <c r="BD238" s="171">
        <f ca="1">IF(OR($D238&lt;&gt;"Serviço",AND(AUTOEVENTO="Manual",$M238=$A$15)),0,
         IF(OFFSET(CRONOPLE!$F$15,$M238-$A$15,BD$13)=0,10^12,OFFSET(CRONOPLE!$F$15,$M238-$A$15,BD$13)))</f>
        <v>2</v>
      </c>
      <c r="BE238" s="171">
        <f ca="1">IF(OR($D238&lt;&gt;"Serviço",AND(AUTOEVENTO="Manual",$M238=$A$15)),0,
         IF(OFFSET(CRONOPLE!$F$15,$M238-$A$15,BE$13)=0,10^12,OFFSET(CRONOPLE!$F$15,$M238-$A$15,BE$13)))</f>
        <v>3</v>
      </c>
      <c r="BF238" s="171">
        <f ca="1">IF(OR($D238&lt;&gt;"Serviço",AND(AUTOEVENTO="Manual",$M238=$A$15)),0,
         IF(OFFSET(CRONOPLE!$F$15,$M238-$A$15,BF$13)=0,10^12,OFFSET(CRONOPLE!$F$15,$M238-$A$15,BF$13)))</f>
        <v>4</v>
      </c>
      <c r="BG238" s="171">
        <f ca="1">IF(OR($D238&lt;&gt;"Serviço",AND(AUTOEVENTO="Manual",$M238=$A$15)),0,
         IF(OFFSET(CRONOPLE!$F$15,$M238-$A$15,BG$13)=0,10^12,OFFSET(CRONOPLE!$F$15,$M238-$A$15,BG$13)))</f>
        <v>5</v>
      </c>
      <c r="BH238" s="171">
        <f ca="1">IF(OR($D238&lt;&gt;"Serviço",AND(AUTOEVENTO="Manual",$M238=$A$15)),0,
         IF(OFFSET(CRONOPLE!$F$15,$M238-$A$15,BH$13)=0,10^12,OFFSET(CRONOPLE!$F$15,$M238-$A$15,BH$13)))</f>
        <v>6</v>
      </c>
      <c r="BI238" s="171">
        <f ca="1">IF(OR($D238&lt;&gt;"Serviço",AND(AUTOEVENTO="Manual",$M238=$A$15)),0,
         IF(OFFSET(CRONOPLE!$F$15,$M238-$A$15,BI$13)=0,10^12,OFFSET(CRONOPLE!$F$15,$M238-$A$15,BI$13)))</f>
        <v>7</v>
      </c>
      <c r="BJ238" s="171">
        <f ca="1">IF(OR($D238&lt;&gt;"Serviço",AND(AUTOEVENTO="Manual",$M238=$A$15)),0,
         IF(OFFSET(CRONOPLE!$F$15,$M238-$A$15,BJ$13)=0,10^12,OFFSET(CRONOPLE!$F$15,$M238-$A$15,BJ$13)))</f>
        <v>8</v>
      </c>
      <c r="BK238" s="171">
        <f ca="1">IF(OR($D238&lt;&gt;"Serviço",AND(AUTOEVENTO="Manual",$M238=$A$15)),0,
         IF(OFFSET(CRONOPLE!$F$15,$M238-$A$15,BK$13)=0,10^12,OFFSET(CRONOPLE!$F$15,$M238-$A$15,BK$13)))</f>
        <v>9</v>
      </c>
      <c r="BL238" s="171">
        <f ca="1">IF(OR($D238&lt;&gt;"Serviço",AND(AUTOEVENTO="Manual",$M238=$A$15)),0,
         IF(OFFSET(CRONOPLE!$F$15,$M238-$A$15,BL$13)=0,10^12,OFFSET(CRONOPLE!$F$15,$M238-$A$15,BL$13)))</f>
        <v>10</v>
      </c>
      <c r="BM238" s="171">
        <f ca="1">IF(OR($D238&lt;&gt;"Serviço",AND(AUTOEVENTO="Manual",$M238=$A$15)),0,
         IF(OFFSET(CRONOPLE!$F$15,$M238-$A$15,BM$13)=0,10^12,OFFSET(CRONOPLE!$F$15,$M238-$A$15,BM$13)))</f>
        <v>1000000000000</v>
      </c>
      <c r="BN238" s="171">
        <f ca="1">IF(OR($D238&lt;&gt;"Serviço",AND(AUTOEVENTO="Manual",$M238=$A$15)),0,
         IF(OFFSET(CRONOPLE!$F$15,$M238-$A$15,BN$13)=0,10^12,OFFSET(CRONOPLE!$F$15,$M238-$A$15,BN$13)))</f>
        <v>1000000000000</v>
      </c>
      <c r="BO238" s="171">
        <f ca="1">IF(OR($D238&lt;&gt;"Serviço",AND(AUTOEVENTO="Manual",$M238=$A$15)),0,
         IF(OFFSET(CRONOPLE!$F$15,$M238-$A$15,BO$13)=0,10^12,OFFSET(CRONOPLE!$F$15,$M238-$A$15,BO$13)))</f>
        <v>1000000000000</v>
      </c>
      <c r="BP238" s="171">
        <f ca="1">IF(OR($D238&lt;&gt;"Serviço",AND(AUTOEVENTO="Manual",$M238=$A$15)),0,
         IF(OFFSET(CRONOPLE!$F$15,$M238-$A$15,BP$13)=0,10^12,OFFSET(CRONOPLE!$F$15,$M238-$A$15,BP$13)))</f>
        <v>1000000000000</v>
      </c>
      <c r="BQ238" s="171">
        <f ca="1">IF(OR($D238&lt;&gt;"Serviço",AND(AUTOEVENTO="Manual",$M238=$A$15)),0,
         IF(OFFSET(CRONOPLE!$F$15,$M238-$A$15,BQ$13)=0,10^12,OFFSET(CRONOPLE!$F$15,$M238-$A$15,BQ$13)))</f>
        <v>1000000000000</v>
      </c>
      <c r="BR238" s="171">
        <f ca="1">IF(OR($D238&lt;&gt;"Serviço",AND(AUTOEVENTO="Manual",$M238=$A$15)),0,
         IF(OFFSET(CRONOPLE!$F$15,$M238-$A$15,BR$13)=0,10^12,OFFSET(CRONOPLE!$F$15,$M238-$A$15,BR$13)))</f>
        <v>1000000000000</v>
      </c>
      <c r="BS238" s="171">
        <f ca="1">IF(OR($D238&lt;&gt;"Serviço",AND(AUTOEVENTO="Manual",$M238=$A$15)),0,
         IF(OFFSET(CRONOPLE!$F$15,$M238-$A$15,BS$13)=0,10^12,OFFSET(CRONOPLE!$F$15,$M238-$A$15,BS$13)))</f>
        <v>1000000000000</v>
      </c>
      <c r="BT238" s="171">
        <f ca="1">IF(OR($D238&lt;&gt;"Serviço",AND(AUTOEVENTO="Manual",$M238=$A$15)),0,
         IF(OFFSET(CRONOPLE!$F$15,$M238-$A$15,BT$13)=0,10^12,OFFSET(CRONOPLE!$F$15,$M238-$A$15,BT$13)))</f>
        <v>1000000000000</v>
      </c>
      <c r="BV238" s="172">
        <f ca="1">IF(OR($D238&lt;&gt;"Serviço",AND(AUTOEVENTO="Manual",$M238=$A$15),$M238&gt;(ROW(PLE.lastrow)-ROW(PLE.firstrow))),0,
           IF(OFFSET(PLE!$G$15,$M238-$A$15,BV$13)="",10^12,OFFSET(PLE!$G$15,$M238-$A$15,BV$13)))</f>
        <v>1000000000000</v>
      </c>
      <c r="BW238" s="172">
        <f ca="1">IF(OR($D238&lt;&gt;"Serviço",AND(AUTOEVENTO="Manual",$M238=$A$15),$M238&gt;(ROW(PLE.lastrow)-ROW(PLE.firstrow))),0,
           IF(OFFSET(PLE!$G$15,$M238-$A$15,BW$13)="",10^12,OFFSET(PLE!$G$15,$M238-$A$15,BW$13)))</f>
        <v>1000000000000</v>
      </c>
      <c r="BX238" s="172">
        <f ca="1">IF(OR($D238&lt;&gt;"Serviço",AND(AUTOEVENTO="Manual",$M238=$A$15),$M238&gt;(ROW(PLE.lastrow)-ROW(PLE.firstrow))),0,
           IF(OFFSET(PLE!$G$15,$M238-$A$15,BX$13)="",10^12,OFFSET(PLE!$G$15,$M238-$A$15,BX$13)))</f>
        <v>1000000000000</v>
      </c>
      <c r="BY238" s="172">
        <f ca="1">IF(OR($D238&lt;&gt;"Serviço",AND(AUTOEVENTO="Manual",$M238=$A$15),$M238&gt;(ROW(PLE.lastrow)-ROW(PLE.firstrow))),0,
           IF(OFFSET(PLE!$G$15,$M238-$A$15,BY$13)="",10^12,OFFSET(PLE!$G$15,$M238-$A$15,BY$13)))</f>
        <v>1000000000000</v>
      </c>
      <c r="BZ238" s="172">
        <f ca="1">IF(OR($D238&lt;&gt;"Serviço",AND(AUTOEVENTO="Manual",$M238=$A$15),$M238&gt;(ROW(PLE.lastrow)-ROW(PLE.firstrow))),0,
           IF(OFFSET(PLE!$G$15,$M238-$A$15,BZ$13)="",10^12,OFFSET(PLE!$G$15,$M238-$A$15,BZ$13)))</f>
        <v>1000000000000</v>
      </c>
      <c r="CA238" s="172">
        <f ca="1">IF(OR($D238&lt;&gt;"Serviço",AND(AUTOEVENTO="Manual",$M238=$A$15),$M238&gt;(ROW(PLE.lastrow)-ROW(PLE.firstrow))),0,
           IF(OFFSET(PLE!$G$15,$M238-$A$15,CA$13)="",10^12,OFFSET(PLE!$G$15,$M238-$A$15,CA$13)))</f>
        <v>1000000000000</v>
      </c>
      <c r="CB238" s="172">
        <f ca="1">IF(OR($D238&lt;&gt;"Serviço",AND(AUTOEVENTO="Manual",$M238=$A$15),$M238&gt;(ROW(PLE.lastrow)-ROW(PLE.firstrow))),0,
           IF(OFFSET(PLE!$G$15,$M238-$A$15,CB$13)="",10^12,OFFSET(PLE!$G$15,$M238-$A$15,CB$13)))</f>
        <v>1000000000000</v>
      </c>
      <c r="CC238" s="172">
        <f ca="1">IF(OR($D238&lt;&gt;"Serviço",AND(AUTOEVENTO="Manual",$M238=$A$15),$M238&gt;(ROW(PLE.lastrow)-ROW(PLE.firstrow))),0,
           IF(OFFSET(PLE!$G$15,$M238-$A$15,CC$13)="",10^12,OFFSET(PLE!$G$15,$M238-$A$15,CC$13)))</f>
        <v>1000000000000</v>
      </c>
      <c r="CD238" s="172">
        <f ca="1">IF(OR($D238&lt;&gt;"Serviço",AND(AUTOEVENTO="Manual",$M238=$A$15),$M238&gt;(ROW(PLE.lastrow)-ROW(PLE.firstrow))),0,
           IF(OFFSET(PLE!$G$15,$M238-$A$15,CD$13)="",10^12,OFFSET(PLE!$G$15,$M238-$A$15,CD$13)))</f>
        <v>1000000000000</v>
      </c>
      <c r="CE238" s="172">
        <f ca="1">IF(OR($D238&lt;&gt;"Serviço",AND(AUTOEVENTO="Manual",$M238=$A$15),$M238&gt;(ROW(PLE.lastrow)-ROW(PLE.firstrow))),0,
           IF(OFFSET(PLE!$G$15,$M238-$A$15,CE$13)="",10^12,OFFSET(PLE!$G$15,$M238-$A$15,CE$13)))</f>
        <v>1000000000000</v>
      </c>
      <c r="CF238" s="172">
        <f ca="1">IF(OR($D238&lt;&gt;"Serviço",AND(AUTOEVENTO="Manual",$M238=$A$15),$M238&gt;(ROW(PLE.lastrow)-ROW(PLE.firstrow))),0,
           IF(OFFSET(PLE!$G$15,$M238-$A$15,CF$13)="",10^12,OFFSET(PLE!$G$15,$M238-$A$15,CF$13)))</f>
        <v>1000000000000</v>
      </c>
      <c r="CG238" s="172">
        <f ca="1">IF(OR($D238&lt;&gt;"Serviço",AND(AUTOEVENTO="Manual",$M238=$A$15),$M238&gt;(ROW(PLE.lastrow)-ROW(PLE.firstrow))),0,
           IF(OFFSET(PLE!$G$15,$M238-$A$15,CG$13)="",10^12,OFFSET(PLE!$G$15,$M238-$A$15,CG$13)))</f>
        <v>1000000000000</v>
      </c>
      <c r="CH238" s="172">
        <f ca="1">IF(OR($D238&lt;&gt;"Serviço",AND(AUTOEVENTO="Manual",$M238=$A$15),$M238&gt;(ROW(PLE.lastrow)-ROW(PLE.firstrow))),0,
           IF(OFFSET(PLE!$G$15,$M238-$A$15,CH$13)="",10^12,OFFSET(PLE!$G$15,$M238-$A$15,CH$13)))</f>
        <v>1000000000000</v>
      </c>
      <c r="CI238" s="172">
        <f ca="1">IF(OR($D238&lt;&gt;"Serviço",AND(AUTOEVENTO="Manual",$M238=$A$15),$M238&gt;(ROW(PLE.lastrow)-ROW(PLE.firstrow))),0,
           IF(OFFSET(PLE!$G$15,$M238-$A$15,CI$13)="",10^12,OFFSET(PLE!$G$15,$M238-$A$15,CI$13)))</f>
        <v>1000000000000</v>
      </c>
      <c r="CJ238" s="172">
        <f ca="1">IF(OR($D238&lt;&gt;"Serviço",AND(AUTOEVENTO="Manual",$M238=$A$15),$M238&gt;(ROW(PLE.lastrow)-ROW(PLE.firstrow))),0,
           IF(OFFSET(PLE!$G$15,$M238-$A$15,CJ$13)="",10^12,OFFSET(PLE!$G$15,$M238-$A$15,CJ$13)))</f>
        <v>1000000000000</v>
      </c>
      <c r="CK238" s="172">
        <f ca="1">IF(OR($D238&lt;&gt;"Serviço",AND(AUTOEVENTO="Manual",$M238=$A$15),$M238&gt;(ROW(PLE.lastrow)-ROW(PLE.firstrow))),0,
           IF(OFFSET(PLE!$G$15,$M238-$A$15,CK$13)="",10^12,OFFSET(PLE!$G$15,$M238-$A$15,CK$13)))</f>
        <v>1000000000000</v>
      </c>
      <c r="CL238" s="172">
        <f ca="1">IF(OR($D238&lt;&gt;"Serviço",AND(AUTOEVENTO="Manual",$M238=$A$15),$M238&gt;(ROW(PLE.lastrow)-ROW(PLE.firstrow))),0,
           IF(OFFSET(PLE!$G$15,$M238-$A$15,CL$13)="",10^12,OFFSET(PLE!$G$15,$M238-$A$15,CL$13)))</f>
        <v>1000000000000</v>
      </c>
      <c r="CM238" s="172">
        <f ca="1">IF(OR($D238&lt;&gt;"Serviço",AND(AUTOEVENTO="Manual",$M238=$A$15),$M238&gt;(ROW(PLE.lastrow)-ROW(PLE.firstrow))),0,
           IF(OFFSET(PLE!$G$15,$M238-$A$15,CM$13)="",10^12,OFFSET(PLE!$G$15,$M238-$A$15,CM$13)))</f>
        <v>1000000000000</v>
      </c>
    </row>
    <row r="239" spans="1:91" ht="63.75" x14ac:dyDescent="0.2">
      <c r="A239" s="7">
        <f t="shared" ca="1" si="13"/>
        <v>5</v>
      </c>
      <c r="B239" s="7" t="str">
        <f ca="1">OFFSET(ORÇAMENTO!C$15,ROW(B239)-ROW(B$15),0)</f>
        <v>S</v>
      </c>
      <c r="C239" s="7" t="str">
        <f ca="1">OFFSET(ORÇAMENTO!L$15,ROW(C239)-ROW(C$15),0)</f>
        <v>F</v>
      </c>
      <c r="D239" s="116" t="str">
        <f ca="1">OFFSET(ORÇAMENTO!N$15,ROW(D239)-ROW(D$15),0)</f>
        <v>Serviço</v>
      </c>
      <c r="E239" s="117" t="str">
        <f ca="1">OFFSET(ORÇAMENTO!O$15,ROW(E239)-ROW(E$15),0)</f>
        <v>1.6.3.0.4.</v>
      </c>
      <c r="F239" s="163" t="str">
        <f ca="1">OFFSET(ORÇAMENTO!R$15,ROW(F239)-ROW(F$15),0)</f>
        <v>CHUMBADOR MECÂNICO CB 14200 1/4" X 50MM, COM PORCA E ARRUELA ZINCADOS, FORNECIMENTO E INSTALAÇÃO - BASEADO EM ORSE (9819)</v>
      </c>
      <c r="G239" s="164" t="str">
        <f ca="1">IF($D239&lt;&gt;"Serviço","",OFFSET(ORÇAMENTO!S$15,ROW(G239)-ROW(G$15),0))</f>
        <v>UN</v>
      </c>
      <c r="H239" s="122" cm="1">
        <f t="array" aca="1" ref="H239" ca="1">IF($D239&lt;&gt;"Serviço",0,IF(ACOMPANHAMENTO="BM",ROUND(OFFSET(ORÇAMENTO!AJ$15,ROW(H239)-ROW(H$15),0),15-13*ORÇAMENTO!$AF$7),SUMPRODUCT(($Q$1:$AI$1=1)*ROUND($Q239:$AI239,15-13*ORÇAMENTO!$AF$7))))</f>
        <v>24</v>
      </c>
      <c r="I239" s="468" t="s">
        <v>1345</v>
      </c>
      <c r="J239" s="640" t="str" cm="1">
        <f t="array" aca="1" ref="J239" ca="1">IF(OR(B239&lt;&gt;"S",CÁLCULO.FrentesPreenchidas=0),"",IF(AND(ACOMPANHAMENTO="PLE",AUTOEVENTO="Manual",OR(H239&gt;0,ORÇAMENTO!AC239="QUANT."),OR(K239="",M239=0,N239="")),"►E",IF(AND(ACOMPANHAMENTO="PLE",ORÇAMENTO!AC239="QUANT."),"►Q",IF(AND(ACOMPANHAMENTO="PLE",H239&lt;&gt;SUMPRODUCT(($Q$1:$AI$1=1)*ROUND(Q239:AI239,15))),"►S",IF(AND(COUNTIF($P$11:$AI$11,"▼")=0,H239&gt;0,I239=""),"◄M","")))))</f>
        <v/>
      </c>
      <c r="K239" s="641" t="s">
        <v>1390</v>
      </c>
      <c r="L239" s="165" t="s">
        <v>764</v>
      </c>
      <c r="M239" s="166">
        <f ca="1">IF($D239&lt;&gt;"Serviço","",
          IF(AUTOEVENTO="manual",$A239,
                IF(ISERROR(MATCH($A239,$A$15:OFFSET($A239,-1,0),0)),MAX($M$15:OFFSET(M239,-1,0))+1,
                      INDEX($M$15:OFFSET(M239,-1,0),MATCH($A239,$A$15:OFFSET($A239,-1,0),0)))))</f>
        <v>5</v>
      </c>
      <c r="N239" s="167" t="str">
        <f ca="1">IF($D239&lt;&gt;"Serviço","",
         IF(AUTOEVENTO="Manual",
                IF($A239=0,"&lt;-- defina o número do agrupador",
                       OFFSET(EVENTOS!$D$15,$A239-$A$15,0)),
                OFFSET($F$15,$A239,0)))</f>
        <v>Estrutura Metálica</v>
      </c>
      <c r="O239" s="168"/>
      <c r="Q239" s="168"/>
      <c r="R239" s="169"/>
      <c r="S239" s="169"/>
      <c r="T239" s="169"/>
      <c r="U239" s="169"/>
      <c r="V239" s="169"/>
      <c r="W239" s="169">
        <v>24</v>
      </c>
      <c r="X239" s="169"/>
      <c r="Y239" s="169"/>
      <c r="Z239" s="170"/>
      <c r="AA239" s="169"/>
      <c r="AB239" s="169"/>
      <c r="AC239" s="169"/>
      <c r="AD239" s="169"/>
      <c r="AE239" s="169"/>
      <c r="AF239" s="169"/>
      <c r="AG239" s="169"/>
      <c r="AH239" s="170"/>
      <c r="AJ239" s="453">
        <f ca="1">IF(AND($D239="Serviço",AJ$12&lt;&gt;0,$H239&gt;0,OR(AUTOEVENTO&lt;&gt;"manual",$M239&lt;&gt;$A$15)),
        IF(Import.TipoArredondamento&lt;&gt;"TransfereGOV",
              ROUND(OFFSET($P239,0,AJ$13),15-13*ORÇAMENTO!$AF$7)/$H239*OFFSET(ORÇAMENTO!$X$15,ROW(AJ239)-ROW(AJ$15),0),
              ROUND(ROUND(OFFSET($P239,0,AJ$13),15-13*ORÇAMENTO!$AF$7)*OFFSET(ORÇAMENTO!$W$15,ROW(AJ239)-ROW(AJ$15),0),15-13*ORÇAMENTO!$AF$11)),
         0)</f>
        <v>0</v>
      </c>
      <c r="AK239" s="453">
        <f ca="1">IF(AND($D239="Serviço",AK$12&lt;&gt;0,$H239&gt;0,OR(AUTOEVENTO&lt;&gt;"manual",$M239&lt;&gt;$A$15)),
        IF(Import.TipoArredondamento&lt;&gt;"TransfereGOV",
              ROUND(OFFSET($P239,0,AK$13),15-13*ORÇAMENTO!$AF$7)/$H239*OFFSET(ORÇAMENTO!$X$15,ROW(AK239)-ROW(AK$15),0),
              ROUND(ROUND(OFFSET($P239,0,AK$13),15-13*ORÇAMENTO!$AF$7)*OFFSET(ORÇAMENTO!$W$15,ROW(AK239)-ROW(AK$15),0),15-13*ORÇAMENTO!$AF$11)),
         0)</f>
        <v>0</v>
      </c>
      <c r="AL239" s="453">
        <f ca="1">IF(AND($D239="Serviço",AL$12&lt;&gt;0,$H239&gt;0,OR(AUTOEVENTO&lt;&gt;"manual",$M239&lt;&gt;$A$15)),
        IF(Import.TipoArredondamento&lt;&gt;"TransfereGOV",
              ROUND(OFFSET($P239,0,AL$13),15-13*ORÇAMENTO!$AF$7)/$H239*OFFSET(ORÇAMENTO!$X$15,ROW(AL239)-ROW(AL$15),0),
              ROUND(ROUND(OFFSET($P239,0,AL$13),15-13*ORÇAMENTO!$AF$7)*OFFSET(ORÇAMENTO!$W$15,ROW(AL239)-ROW(AL$15),0),15-13*ORÇAMENTO!$AF$11)),
         0)</f>
        <v>0</v>
      </c>
      <c r="AM239" s="453">
        <f ca="1">IF(AND($D239="Serviço",AM$12&lt;&gt;0,$H239&gt;0,OR(AUTOEVENTO&lt;&gt;"manual",$M239&lt;&gt;$A$15)),
        IF(Import.TipoArredondamento&lt;&gt;"TransfereGOV",
              ROUND(OFFSET($P239,0,AM$13),15-13*ORÇAMENTO!$AF$7)/$H239*OFFSET(ORÇAMENTO!$X$15,ROW(AM239)-ROW(AM$15),0),
              ROUND(ROUND(OFFSET($P239,0,AM$13),15-13*ORÇAMENTO!$AF$7)*OFFSET(ORÇAMENTO!$W$15,ROW(AM239)-ROW(AM$15),0),15-13*ORÇAMENTO!$AF$11)),
         0)</f>
        <v>0</v>
      </c>
      <c r="AN239" s="453">
        <f ca="1">IF(AND($D239="Serviço",AN$12&lt;&gt;0,$H239&gt;0,OR(AUTOEVENTO&lt;&gt;"manual",$M239&lt;&gt;$A$15)),
        IF(Import.TipoArredondamento&lt;&gt;"TransfereGOV",
              ROUND(OFFSET($P239,0,AN$13),15-13*ORÇAMENTO!$AF$7)/$H239*OFFSET(ORÇAMENTO!$X$15,ROW(AN239)-ROW(AN$15),0),
              ROUND(ROUND(OFFSET($P239,0,AN$13),15-13*ORÇAMENTO!$AF$7)*OFFSET(ORÇAMENTO!$W$15,ROW(AN239)-ROW(AN$15),0),15-13*ORÇAMENTO!$AF$11)),
         0)</f>
        <v>0</v>
      </c>
      <c r="AO239" s="453">
        <f ca="1">IF(AND($D239="Serviço",AO$12&lt;&gt;0,$H239&gt;0,OR(AUTOEVENTO&lt;&gt;"manual",$M239&lt;&gt;$A$15)),
        IF(Import.TipoArredondamento&lt;&gt;"TransfereGOV",
              ROUND(OFFSET($P239,0,AO$13),15-13*ORÇAMENTO!$AF$7)/$H239*OFFSET(ORÇAMENTO!$X$15,ROW(AO239)-ROW(AO$15),0),
              ROUND(ROUND(OFFSET($P239,0,AO$13),15-13*ORÇAMENTO!$AF$7)*OFFSET(ORÇAMENTO!$W$15,ROW(AO239)-ROW(AO$15),0),15-13*ORÇAMENTO!$AF$11)),
         0)</f>
        <v>0</v>
      </c>
      <c r="AP239" s="453">
        <f ca="1">IF(AND($D239="Serviço",AP$12&lt;&gt;0,$H239&gt;0,OR(AUTOEVENTO&lt;&gt;"manual",$M239&lt;&gt;$A$15)),
        IF(Import.TipoArredondamento&lt;&gt;"TransfereGOV",
              ROUND(OFFSET($P239,0,AP$13),15-13*ORÇAMENTO!$AF$7)/$H239*OFFSET(ORÇAMENTO!$X$15,ROW(AP239)-ROW(AP$15),0),
              ROUND(ROUND(OFFSET($P239,0,AP$13),15-13*ORÇAMENTO!$AF$7)*OFFSET(ORÇAMENTO!$W$15,ROW(AP239)-ROW(AP$15),0),15-13*ORÇAMENTO!$AF$11)),
         0)</f>
        <v>0</v>
      </c>
      <c r="AQ239" s="453">
        <f ca="1">IF(AND($D239="Serviço",AQ$12&lt;&gt;0,$H239&gt;0,OR(AUTOEVENTO&lt;&gt;"manual",$M239&lt;&gt;$A$15)),
        IF(Import.TipoArredondamento&lt;&gt;"TransfereGOV",
              ROUND(OFFSET($P239,0,AQ$13),15-13*ORÇAMENTO!$AF$7)/$H239*OFFSET(ORÇAMENTO!$X$15,ROW(AQ239)-ROW(AQ$15),0),
              ROUND(ROUND(OFFSET($P239,0,AQ$13),15-13*ORÇAMENTO!$AF$7)*OFFSET(ORÇAMENTO!$W$15,ROW(AQ239)-ROW(AQ$15),0),15-13*ORÇAMENTO!$AF$11)),
         0)</f>
        <v>0</v>
      </c>
      <c r="AR239" s="453">
        <f ca="1">IF(AND($D239="Serviço",AR$12&lt;&gt;0,$H239&gt;0,OR(AUTOEVENTO&lt;&gt;"manual",$M239&lt;&gt;$A$15)),
        IF(Import.TipoArredondamento&lt;&gt;"TransfereGOV",
              ROUND(OFFSET($P239,0,AR$13),15-13*ORÇAMENTO!$AF$7)/$H239*OFFSET(ORÇAMENTO!$X$15,ROW(AR239)-ROW(AR$15),0),
              ROUND(ROUND(OFFSET($P239,0,AR$13),15-13*ORÇAMENTO!$AF$7)*OFFSET(ORÇAMENTO!$W$15,ROW(AR239)-ROW(AR$15),0),15-13*ORÇAMENTO!$AF$11)),
         0)</f>
        <v>0</v>
      </c>
      <c r="AS239" s="453">
        <f ca="1">IF(AND($D239="Serviço",AS$12&lt;&gt;0,$H239&gt;0,OR(AUTOEVENTO&lt;&gt;"manual",$M239&lt;&gt;$A$15)),
        IF(Import.TipoArredondamento&lt;&gt;"TransfereGOV",
              ROUND(OFFSET($P239,0,AS$13),15-13*ORÇAMENTO!$AF$7)/$H239*OFFSET(ORÇAMENTO!$X$15,ROW(AS239)-ROW(AS$15),0),
              ROUND(ROUND(OFFSET($P239,0,AS$13),15-13*ORÇAMENTO!$AF$7)*OFFSET(ORÇAMENTO!$W$15,ROW(AS239)-ROW(AS$15),0),15-13*ORÇAMENTO!$AF$11)),
         0)</f>
        <v>0</v>
      </c>
      <c r="AT239" s="453">
        <f ca="1">IF(AND($D239="Serviço",AT$12&lt;&gt;0,$H239&gt;0,OR(AUTOEVENTO&lt;&gt;"manual",$M239&lt;&gt;$A$15)),
        IF(Import.TipoArredondamento&lt;&gt;"TransfereGOV",
              ROUND(OFFSET($P239,0,AT$13),15-13*ORÇAMENTO!$AF$7)/$H239*OFFSET(ORÇAMENTO!$X$15,ROW(AT239)-ROW(AT$15),0),
              ROUND(ROUND(OFFSET($P239,0,AT$13),15-13*ORÇAMENTO!$AF$7)*OFFSET(ORÇAMENTO!$W$15,ROW(AT239)-ROW(AT$15),0),15-13*ORÇAMENTO!$AF$11)),
         0)</f>
        <v>0</v>
      </c>
      <c r="AU239" s="453">
        <f ca="1">IF(AND($D239="Serviço",AU$12&lt;&gt;0,$H239&gt;0,OR(AUTOEVENTO&lt;&gt;"manual",$M239&lt;&gt;$A$15)),
        IF(Import.TipoArredondamento&lt;&gt;"TransfereGOV",
              ROUND(OFFSET($P239,0,AU$13),15-13*ORÇAMENTO!$AF$7)/$H239*OFFSET(ORÇAMENTO!$X$15,ROW(AU239)-ROW(AU$15),0),
              ROUND(ROUND(OFFSET($P239,0,AU$13),15-13*ORÇAMENTO!$AF$7)*OFFSET(ORÇAMENTO!$W$15,ROW(AU239)-ROW(AU$15),0),15-13*ORÇAMENTO!$AF$11)),
         0)</f>
        <v>0</v>
      </c>
      <c r="AV239" s="453">
        <f ca="1">IF(AND($D239="Serviço",AV$12&lt;&gt;0,$H239&gt;0,OR(AUTOEVENTO&lt;&gt;"manual",$M239&lt;&gt;$A$15)),
        IF(Import.TipoArredondamento&lt;&gt;"TransfereGOV",
              ROUND(OFFSET($P239,0,AV$13),15-13*ORÇAMENTO!$AF$7)/$H239*OFFSET(ORÇAMENTO!$X$15,ROW(AV239)-ROW(AV$15),0),
              ROUND(ROUND(OFFSET($P239,0,AV$13),15-13*ORÇAMENTO!$AF$7)*OFFSET(ORÇAMENTO!$W$15,ROW(AV239)-ROW(AV$15),0),15-13*ORÇAMENTO!$AF$11)),
         0)</f>
        <v>0</v>
      </c>
      <c r="AW239" s="453">
        <f ca="1">IF(AND($D239="Serviço",AW$12&lt;&gt;0,$H239&gt;0,OR(AUTOEVENTO&lt;&gt;"manual",$M239&lt;&gt;$A$15)),
        IF(Import.TipoArredondamento&lt;&gt;"TransfereGOV",
              ROUND(OFFSET($P239,0,AW$13),15-13*ORÇAMENTO!$AF$7)/$H239*OFFSET(ORÇAMENTO!$X$15,ROW(AW239)-ROW(AW$15),0),
              ROUND(ROUND(OFFSET($P239,0,AW$13),15-13*ORÇAMENTO!$AF$7)*OFFSET(ORÇAMENTO!$W$15,ROW(AW239)-ROW(AW$15),0),15-13*ORÇAMENTO!$AF$11)),
         0)</f>
        <v>0</v>
      </c>
      <c r="AX239" s="453">
        <f ca="1">IF(AND($D239="Serviço",AX$12&lt;&gt;0,$H239&gt;0,OR(AUTOEVENTO&lt;&gt;"manual",$M239&lt;&gt;$A$15)),
        IF(Import.TipoArredondamento&lt;&gt;"TransfereGOV",
              ROUND(OFFSET($P239,0,AX$13),15-13*ORÇAMENTO!$AF$7)/$H239*OFFSET(ORÇAMENTO!$X$15,ROW(AX239)-ROW(AX$15),0),
              ROUND(ROUND(OFFSET($P239,0,AX$13),15-13*ORÇAMENTO!$AF$7)*OFFSET(ORÇAMENTO!$W$15,ROW(AX239)-ROW(AX$15),0),15-13*ORÇAMENTO!$AF$11)),
         0)</f>
        <v>0</v>
      </c>
      <c r="AY239" s="453">
        <f ca="1">IF(AND($D239="Serviço",AY$12&lt;&gt;0,$H239&gt;0,OR(AUTOEVENTO&lt;&gt;"manual",$M239&lt;&gt;$A$15)),
        IF(Import.TipoArredondamento&lt;&gt;"TransfereGOV",
              ROUND(OFFSET($P239,0,AY$13),15-13*ORÇAMENTO!$AF$7)/$H239*OFFSET(ORÇAMENTO!$X$15,ROW(AY239)-ROW(AY$15),0),
              ROUND(ROUND(OFFSET($P239,0,AY$13),15-13*ORÇAMENTO!$AF$7)*OFFSET(ORÇAMENTO!$W$15,ROW(AY239)-ROW(AY$15),0),15-13*ORÇAMENTO!$AF$11)),
         0)</f>
        <v>0</v>
      </c>
      <c r="AZ239" s="453">
        <f ca="1">IF(AND($D239="Serviço",AZ$12&lt;&gt;0,$H239&gt;0,OR(AUTOEVENTO&lt;&gt;"manual",$M239&lt;&gt;$A$15)),
        IF(Import.TipoArredondamento&lt;&gt;"TransfereGOV",
              ROUND(OFFSET($P239,0,AZ$13),15-13*ORÇAMENTO!$AF$7)/$H239*OFFSET(ORÇAMENTO!$X$15,ROW(AZ239)-ROW(AZ$15),0),
              ROUND(ROUND(OFFSET($P239,0,AZ$13),15-13*ORÇAMENTO!$AF$7)*OFFSET(ORÇAMENTO!$W$15,ROW(AZ239)-ROW(AZ$15),0),15-13*ORÇAMENTO!$AF$11)),
         0)</f>
        <v>0</v>
      </c>
      <c r="BA239" s="453">
        <f ca="1">IF(AND($D239="Serviço",BA$12&lt;&gt;0,$H239&gt;0,OR(AUTOEVENTO&lt;&gt;"manual",$M239&lt;&gt;$A$15)),
        IF(Import.TipoArredondamento&lt;&gt;"TransfereGOV",
              ROUND(OFFSET($P239,0,BA$13),15-13*ORÇAMENTO!$AF$7)/$H239*OFFSET(ORÇAMENTO!$X$15,ROW(BA239)-ROW(BA$15),0),
              ROUND(ROUND(OFFSET($P239,0,BA$13),15-13*ORÇAMENTO!$AF$7)*OFFSET(ORÇAMENTO!$W$15,ROW(BA239)-ROW(BA$15),0),15-13*ORÇAMENTO!$AF$11)),
         0)</f>
        <v>0</v>
      </c>
      <c r="BC239" s="171">
        <f ca="1">IF(OR($D239&lt;&gt;"Serviço",AND(AUTOEVENTO="Manual",$M239=$A$15)),0,
         IF(OFFSET(CRONOPLE!$F$15,$M239-$A$15,BC$13)=0,10^12,OFFSET(CRONOPLE!$F$15,$M239-$A$15,BC$13)))</f>
        <v>1</v>
      </c>
      <c r="BD239" s="171">
        <f ca="1">IF(OR($D239&lt;&gt;"Serviço",AND(AUTOEVENTO="Manual",$M239=$A$15)),0,
         IF(OFFSET(CRONOPLE!$F$15,$M239-$A$15,BD$13)=0,10^12,OFFSET(CRONOPLE!$F$15,$M239-$A$15,BD$13)))</f>
        <v>2</v>
      </c>
      <c r="BE239" s="171">
        <f ca="1">IF(OR($D239&lt;&gt;"Serviço",AND(AUTOEVENTO="Manual",$M239=$A$15)),0,
         IF(OFFSET(CRONOPLE!$F$15,$M239-$A$15,BE$13)=0,10^12,OFFSET(CRONOPLE!$F$15,$M239-$A$15,BE$13)))</f>
        <v>3</v>
      </c>
      <c r="BF239" s="171">
        <f ca="1">IF(OR($D239&lt;&gt;"Serviço",AND(AUTOEVENTO="Manual",$M239=$A$15)),0,
         IF(OFFSET(CRONOPLE!$F$15,$M239-$A$15,BF$13)=0,10^12,OFFSET(CRONOPLE!$F$15,$M239-$A$15,BF$13)))</f>
        <v>4</v>
      </c>
      <c r="BG239" s="171">
        <f ca="1">IF(OR($D239&lt;&gt;"Serviço",AND(AUTOEVENTO="Manual",$M239=$A$15)),0,
         IF(OFFSET(CRONOPLE!$F$15,$M239-$A$15,BG$13)=0,10^12,OFFSET(CRONOPLE!$F$15,$M239-$A$15,BG$13)))</f>
        <v>5</v>
      </c>
      <c r="BH239" s="171">
        <f ca="1">IF(OR($D239&lt;&gt;"Serviço",AND(AUTOEVENTO="Manual",$M239=$A$15)),0,
         IF(OFFSET(CRONOPLE!$F$15,$M239-$A$15,BH$13)=0,10^12,OFFSET(CRONOPLE!$F$15,$M239-$A$15,BH$13)))</f>
        <v>6</v>
      </c>
      <c r="BI239" s="171">
        <f ca="1">IF(OR($D239&lt;&gt;"Serviço",AND(AUTOEVENTO="Manual",$M239=$A$15)),0,
         IF(OFFSET(CRONOPLE!$F$15,$M239-$A$15,BI$13)=0,10^12,OFFSET(CRONOPLE!$F$15,$M239-$A$15,BI$13)))</f>
        <v>7</v>
      </c>
      <c r="BJ239" s="171">
        <f ca="1">IF(OR($D239&lt;&gt;"Serviço",AND(AUTOEVENTO="Manual",$M239=$A$15)),0,
         IF(OFFSET(CRONOPLE!$F$15,$M239-$A$15,BJ$13)=0,10^12,OFFSET(CRONOPLE!$F$15,$M239-$A$15,BJ$13)))</f>
        <v>8</v>
      </c>
      <c r="BK239" s="171">
        <f ca="1">IF(OR($D239&lt;&gt;"Serviço",AND(AUTOEVENTO="Manual",$M239=$A$15)),0,
         IF(OFFSET(CRONOPLE!$F$15,$M239-$A$15,BK$13)=0,10^12,OFFSET(CRONOPLE!$F$15,$M239-$A$15,BK$13)))</f>
        <v>9</v>
      </c>
      <c r="BL239" s="171">
        <f ca="1">IF(OR($D239&lt;&gt;"Serviço",AND(AUTOEVENTO="Manual",$M239=$A$15)),0,
         IF(OFFSET(CRONOPLE!$F$15,$M239-$A$15,BL$13)=0,10^12,OFFSET(CRONOPLE!$F$15,$M239-$A$15,BL$13)))</f>
        <v>10</v>
      </c>
      <c r="BM239" s="171">
        <f ca="1">IF(OR($D239&lt;&gt;"Serviço",AND(AUTOEVENTO="Manual",$M239=$A$15)),0,
         IF(OFFSET(CRONOPLE!$F$15,$M239-$A$15,BM$13)=0,10^12,OFFSET(CRONOPLE!$F$15,$M239-$A$15,BM$13)))</f>
        <v>1000000000000</v>
      </c>
      <c r="BN239" s="171">
        <f ca="1">IF(OR($D239&lt;&gt;"Serviço",AND(AUTOEVENTO="Manual",$M239=$A$15)),0,
         IF(OFFSET(CRONOPLE!$F$15,$M239-$A$15,BN$13)=0,10^12,OFFSET(CRONOPLE!$F$15,$M239-$A$15,BN$13)))</f>
        <v>1000000000000</v>
      </c>
      <c r="BO239" s="171">
        <f ca="1">IF(OR($D239&lt;&gt;"Serviço",AND(AUTOEVENTO="Manual",$M239=$A$15)),0,
         IF(OFFSET(CRONOPLE!$F$15,$M239-$A$15,BO$13)=0,10^12,OFFSET(CRONOPLE!$F$15,$M239-$A$15,BO$13)))</f>
        <v>1000000000000</v>
      </c>
      <c r="BP239" s="171">
        <f ca="1">IF(OR($D239&lt;&gt;"Serviço",AND(AUTOEVENTO="Manual",$M239=$A$15)),0,
         IF(OFFSET(CRONOPLE!$F$15,$M239-$A$15,BP$13)=0,10^12,OFFSET(CRONOPLE!$F$15,$M239-$A$15,BP$13)))</f>
        <v>1000000000000</v>
      </c>
      <c r="BQ239" s="171">
        <f ca="1">IF(OR($D239&lt;&gt;"Serviço",AND(AUTOEVENTO="Manual",$M239=$A$15)),0,
         IF(OFFSET(CRONOPLE!$F$15,$M239-$A$15,BQ$13)=0,10^12,OFFSET(CRONOPLE!$F$15,$M239-$A$15,BQ$13)))</f>
        <v>1000000000000</v>
      </c>
      <c r="BR239" s="171">
        <f ca="1">IF(OR($D239&lt;&gt;"Serviço",AND(AUTOEVENTO="Manual",$M239=$A$15)),0,
         IF(OFFSET(CRONOPLE!$F$15,$M239-$A$15,BR$13)=0,10^12,OFFSET(CRONOPLE!$F$15,$M239-$A$15,BR$13)))</f>
        <v>1000000000000</v>
      </c>
      <c r="BS239" s="171">
        <f ca="1">IF(OR($D239&lt;&gt;"Serviço",AND(AUTOEVENTO="Manual",$M239=$A$15)),0,
         IF(OFFSET(CRONOPLE!$F$15,$M239-$A$15,BS$13)=0,10^12,OFFSET(CRONOPLE!$F$15,$M239-$A$15,BS$13)))</f>
        <v>1000000000000</v>
      </c>
      <c r="BT239" s="171">
        <f ca="1">IF(OR($D239&lt;&gt;"Serviço",AND(AUTOEVENTO="Manual",$M239=$A$15)),0,
         IF(OFFSET(CRONOPLE!$F$15,$M239-$A$15,BT$13)=0,10^12,OFFSET(CRONOPLE!$F$15,$M239-$A$15,BT$13)))</f>
        <v>1000000000000</v>
      </c>
      <c r="BV239" s="172">
        <f ca="1">IF(OR($D239&lt;&gt;"Serviço",AND(AUTOEVENTO="Manual",$M239=$A$15),$M239&gt;(ROW(PLE.lastrow)-ROW(PLE.firstrow))),0,
           IF(OFFSET(PLE!$G$15,$M239-$A$15,BV$13)="",10^12,OFFSET(PLE!$G$15,$M239-$A$15,BV$13)))</f>
        <v>1000000000000</v>
      </c>
      <c r="BW239" s="172">
        <f ca="1">IF(OR($D239&lt;&gt;"Serviço",AND(AUTOEVENTO="Manual",$M239=$A$15),$M239&gt;(ROW(PLE.lastrow)-ROW(PLE.firstrow))),0,
           IF(OFFSET(PLE!$G$15,$M239-$A$15,BW$13)="",10^12,OFFSET(PLE!$G$15,$M239-$A$15,BW$13)))</f>
        <v>1000000000000</v>
      </c>
      <c r="BX239" s="172">
        <f ca="1">IF(OR($D239&lt;&gt;"Serviço",AND(AUTOEVENTO="Manual",$M239=$A$15),$M239&gt;(ROW(PLE.lastrow)-ROW(PLE.firstrow))),0,
           IF(OFFSET(PLE!$G$15,$M239-$A$15,BX$13)="",10^12,OFFSET(PLE!$G$15,$M239-$A$15,BX$13)))</f>
        <v>1000000000000</v>
      </c>
      <c r="BY239" s="172">
        <f ca="1">IF(OR($D239&lt;&gt;"Serviço",AND(AUTOEVENTO="Manual",$M239=$A$15),$M239&gt;(ROW(PLE.lastrow)-ROW(PLE.firstrow))),0,
           IF(OFFSET(PLE!$G$15,$M239-$A$15,BY$13)="",10^12,OFFSET(PLE!$G$15,$M239-$A$15,BY$13)))</f>
        <v>1000000000000</v>
      </c>
      <c r="BZ239" s="172">
        <f ca="1">IF(OR($D239&lt;&gt;"Serviço",AND(AUTOEVENTO="Manual",$M239=$A$15),$M239&gt;(ROW(PLE.lastrow)-ROW(PLE.firstrow))),0,
           IF(OFFSET(PLE!$G$15,$M239-$A$15,BZ$13)="",10^12,OFFSET(PLE!$G$15,$M239-$A$15,BZ$13)))</f>
        <v>1000000000000</v>
      </c>
      <c r="CA239" s="172">
        <f ca="1">IF(OR($D239&lt;&gt;"Serviço",AND(AUTOEVENTO="Manual",$M239=$A$15),$M239&gt;(ROW(PLE.lastrow)-ROW(PLE.firstrow))),0,
           IF(OFFSET(PLE!$G$15,$M239-$A$15,CA$13)="",10^12,OFFSET(PLE!$G$15,$M239-$A$15,CA$13)))</f>
        <v>1000000000000</v>
      </c>
      <c r="CB239" s="172">
        <f ca="1">IF(OR($D239&lt;&gt;"Serviço",AND(AUTOEVENTO="Manual",$M239=$A$15),$M239&gt;(ROW(PLE.lastrow)-ROW(PLE.firstrow))),0,
           IF(OFFSET(PLE!$G$15,$M239-$A$15,CB$13)="",10^12,OFFSET(PLE!$G$15,$M239-$A$15,CB$13)))</f>
        <v>1000000000000</v>
      </c>
      <c r="CC239" s="172">
        <f ca="1">IF(OR($D239&lt;&gt;"Serviço",AND(AUTOEVENTO="Manual",$M239=$A$15),$M239&gt;(ROW(PLE.lastrow)-ROW(PLE.firstrow))),0,
           IF(OFFSET(PLE!$G$15,$M239-$A$15,CC$13)="",10^12,OFFSET(PLE!$G$15,$M239-$A$15,CC$13)))</f>
        <v>1000000000000</v>
      </c>
      <c r="CD239" s="172">
        <f ca="1">IF(OR($D239&lt;&gt;"Serviço",AND(AUTOEVENTO="Manual",$M239=$A$15),$M239&gt;(ROW(PLE.lastrow)-ROW(PLE.firstrow))),0,
           IF(OFFSET(PLE!$G$15,$M239-$A$15,CD$13)="",10^12,OFFSET(PLE!$G$15,$M239-$A$15,CD$13)))</f>
        <v>1000000000000</v>
      </c>
      <c r="CE239" s="172">
        <f ca="1">IF(OR($D239&lt;&gt;"Serviço",AND(AUTOEVENTO="Manual",$M239=$A$15),$M239&gt;(ROW(PLE.lastrow)-ROW(PLE.firstrow))),0,
           IF(OFFSET(PLE!$G$15,$M239-$A$15,CE$13)="",10^12,OFFSET(PLE!$G$15,$M239-$A$15,CE$13)))</f>
        <v>1000000000000</v>
      </c>
      <c r="CF239" s="172">
        <f ca="1">IF(OR($D239&lt;&gt;"Serviço",AND(AUTOEVENTO="Manual",$M239=$A$15),$M239&gt;(ROW(PLE.lastrow)-ROW(PLE.firstrow))),0,
           IF(OFFSET(PLE!$G$15,$M239-$A$15,CF$13)="",10^12,OFFSET(PLE!$G$15,$M239-$A$15,CF$13)))</f>
        <v>1000000000000</v>
      </c>
      <c r="CG239" s="172">
        <f ca="1">IF(OR($D239&lt;&gt;"Serviço",AND(AUTOEVENTO="Manual",$M239=$A$15),$M239&gt;(ROW(PLE.lastrow)-ROW(PLE.firstrow))),0,
           IF(OFFSET(PLE!$G$15,$M239-$A$15,CG$13)="",10^12,OFFSET(PLE!$G$15,$M239-$A$15,CG$13)))</f>
        <v>1000000000000</v>
      </c>
      <c r="CH239" s="172">
        <f ca="1">IF(OR($D239&lt;&gt;"Serviço",AND(AUTOEVENTO="Manual",$M239=$A$15),$M239&gt;(ROW(PLE.lastrow)-ROW(PLE.firstrow))),0,
           IF(OFFSET(PLE!$G$15,$M239-$A$15,CH$13)="",10^12,OFFSET(PLE!$G$15,$M239-$A$15,CH$13)))</f>
        <v>1000000000000</v>
      </c>
      <c r="CI239" s="172">
        <f ca="1">IF(OR($D239&lt;&gt;"Serviço",AND(AUTOEVENTO="Manual",$M239=$A$15),$M239&gt;(ROW(PLE.lastrow)-ROW(PLE.firstrow))),0,
           IF(OFFSET(PLE!$G$15,$M239-$A$15,CI$13)="",10^12,OFFSET(PLE!$G$15,$M239-$A$15,CI$13)))</f>
        <v>1000000000000</v>
      </c>
      <c r="CJ239" s="172">
        <f ca="1">IF(OR($D239&lt;&gt;"Serviço",AND(AUTOEVENTO="Manual",$M239=$A$15),$M239&gt;(ROW(PLE.lastrow)-ROW(PLE.firstrow))),0,
           IF(OFFSET(PLE!$G$15,$M239-$A$15,CJ$13)="",10^12,OFFSET(PLE!$G$15,$M239-$A$15,CJ$13)))</f>
        <v>1000000000000</v>
      </c>
      <c r="CK239" s="172">
        <f ca="1">IF(OR($D239&lt;&gt;"Serviço",AND(AUTOEVENTO="Manual",$M239=$A$15),$M239&gt;(ROW(PLE.lastrow)-ROW(PLE.firstrow))),0,
           IF(OFFSET(PLE!$G$15,$M239-$A$15,CK$13)="",10^12,OFFSET(PLE!$G$15,$M239-$A$15,CK$13)))</f>
        <v>1000000000000</v>
      </c>
      <c r="CL239" s="172">
        <f ca="1">IF(OR($D239&lt;&gt;"Serviço",AND(AUTOEVENTO="Manual",$M239=$A$15),$M239&gt;(ROW(PLE.lastrow)-ROW(PLE.firstrow))),0,
           IF(OFFSET(PLE!$G$15,$M239-$A$15,CL$13)="",10^12,OFFSET(PLE!$G$15,$M239-$A$15,CL$13)))</f>
        <v>1000000000000</v>
      </c>
      <c r="CM239" s="172">
        <f ca="1">IF(OR($D239&lt;&gt;"Serviço",AND(AUTOEVENTO="Manual",$M239=$A$15),$M239&gt;(ROW(PLE.lastrow)-ROW(PLE.firstrow))),0,
           IF(OFFSET(PLE!$G$15,$M239-$A$15,CM$13)="",10^12,OFFSET(PLE!$G$15,$M239-$A$15,CM$13)))</f>
        <v>1000000000000</v>
      </c>
    </row>
    <row r="240" spans="1:91" ht="63.75" x14ac:dyDescent="0.2">
      <c r="A240" s="7">
        <f t="shared" ca="1" si="13"/>
        <v>5</v>
      </c>
      <c r="B240" s="7" t="str">
        <f ca="1">OFFSET(ORÇAMENTO!C$15,ROW(B240)-ROW(B$15),0)</f>
        <v>S</v>
      </c>
      <c r="C240" s="7" t="str">
        <f ca="1">OFFSET(ORÇAMENTO!L$15,ROW(C240)-ROW(C$15),0)</f>
        <v>F</v>
      </c>
      <c r="D240" s="116" t="str">
        <f ca="1">OFFSET(ORÇAMENTO!N$15,ROW(D240)-ROW(D$15),0)</f>
        <v>Serviço</v>
      </c>
      <c r="E240" s="117" t="str">
        <f ca="1">OFFSET(ORÇAMENTO!O$15,ROW(E240)-ROW(E$15),0)</f>
        <v>1.6.3.0.5.</v>
      </c>
      <c r="F240" s="163" t="str">
        <f ca="1">OFFSET(ORÇAMENTO!R$15,ROW(F240)-ROW(F$15),0)</f>
        <v>CONJUNTO PARAFUSO, PORCA E ARRUELA 3/8 - C = 1.1/4" - BASEADO EM AGESUL (1201008354)</v>
      </c>
      <c r="G240" s="164" t="str">
        <f ca="1">IF($D240&lt;&gt;"Serviço","",OFFSET(ORÇAMENTO!S$15,ROW(G240)-ROW(G$15),0))</f>
        <v>CJ</v>
      </c>
      <c r="H240" s="122" cm="1">
        <f t="array" aca="1" ref="H240" ca="1">IF($D240&lt;&gt;"Serviço",0,IF(ACOMPANHAMENTO="BM",ROUND(OFFSET(ORÇAMENTO!AJ$15,ROW(H240)-ROW(H$15),0),15-13*ORÇAMENTO!$AF$7),SUMPRODUCT(($Q$1:$AI$1=1)*ROUND($Q240:$AI240,15-13*ORÇAMENTO!$AF$7))))</f>
        <v>48</v>
      </c>
      <c r="I240" s="468" t="s">
        <v>1345</v>
      </c>
      <c r="J240" s="640" t="str" cm="1">
        <f t="array" aca="1" ref="J240" ca="1">IF(OR(B240&lt;&gt;"S",CÁLCULO.FrentesPreenchidas=0),"",IF(AND(ACOMPANHAMENTO="PLE",AUTOEVENTO="Manual",OR(H240&gt;0,ORÇAMENTO!AC240="QUANT."),OR(K240="",M240=0,N240="")),"►E",IF(AND(ACOMPANHAMENTO="PLE",ORÇAMENTO!AC240="QUANT."),"►Q",IF(AND(ACOMPANHAMENTO="PLE",H240&lt;&gt;SUMPRODUCT(($Q$1:$AI$1=1)*ROUND(Q240:AI240,15))),"►S",IF(AND(COUNTIF($P$11:$AI$11,"▼")=0,H240&gt;0,I240=""),"◄M","")))))</f>
        <v/>
      </c>
      <c r="K240" s="641" t="s">
        <v>1390</v>
      </c>
      <c r="L240" s="165" t="s">
        <v>764</v>
      </c>
      <c r="M240" s="166">
        <f ca="1">IF($D240&lt;&gt;"Serviço","",
          IF(AUTOEVENTO="manual",$A240,
                IF(ISERROR(MATCH($A240,$A$15:OFFSET($A240,-1,0),0)),MAX($M$15:OFFSET(M240,-1,0))+1,
                      INDEX($M$15:OFFSET(M240,-1,0),MATCH($A240,$A$15:OFFSET($A240,-1,0),0)))))</f>
        <v>5</v>
      </c>
      <c r="N240" s="167" t="str">
        <f ca="1">IF($D240&lt;&gt;"Serviço","",
         IF(AUTOEVENTO="Manual",
                IF($A240=0,"&lt;-- defina o número do agrupador",
                       OFFSET(EVENTOS!$D$15,$A240-$A$15,0)),
                OFFSET($F$15,$A240,0)))</f>
        <v>Estrutura Metálica</v>
      </c>
      <c r="O240" s="168"/>
      <c r="Q240" s="168"/>
      <c r="R240" s="169"/>
      <c r="S240" s="169"/>
      <c r="T240" s="169"/>
      <c r="U240" s="169"/>
      <c r="V240" s="169"/>
      <c r="W240" s="169">
        <v>48</v>
      </c>
      <c r="X240" s="169"/>
      <c r="Y240" s="169"/>
      <c r="Z240" s="170"/>
      <c r="AA240" s="169"/>
      <c r="AB240" s="169"/>
      <c r="AC240" s="169"/>
      <c r="AD240" s="169"/>
      <c r="AE240" s="169"/>
      <c r="AF240" s="169"/>
      <c r="AG240" s="169"/>
      <c r="AH240" s="170"/>
      <c r="AJ240" s="453">
        <f ca="1">IF(AND($D240="Serviço",AJ$12&lt;&gt;0,$H240&gt;0,OR(AUTOEVENTO&lt;&gt;"manual",$M240&lt;&gt;$A$15)),
        IF(Import.TipoArredondamento&lt;&gt;"TransfereGOV",
              ROUND(OFFSET($P240,0,AJ$13),15-13*ORÇAMENTO!$AF$7)/$H240*OFFSET(ORÇAMENTO!$X$15,ROW(AJ240)-ROW(AJ$15),0),
              ROUND(ROUND(OFFSET($P240,0,AJ$13),15-13*ORÇAMENTO!$AF$7)*OFFSET(ORÇAMENTO!$W$15,ROW(AJ240)-ROW(AJ$15),0),15-13*ORÇAMENTO!$AF$11)),
         0)</f>
        <v>0</v>
      </c>
      <c r="AK240" s="453">
        <f ca="1">IF(AND($D240="Serviço",AK$12&lt;&gt;0,$H240&gt;0,OR(AUTOEVENTO&lt;&gt;"manual",$M240&lt;&gt;$A$15)),
        IF(Import.TipoArredondamento&lt;&gt;"TransfereGOV",
              ROUND(OFFSET($P240,0,AK$13),15-13*ORÇAMENTO!$AF$7)/$H240*OFFSET(ORÇAMENTO!$X$15,ROW(AK240)-ROW(AK$15),0),
              ROUND(ROUND(OFFSET($P240,0,AK$13),15-13*ORÇAMENTO!$AF$7)*OFFSET(ORÇAMENTO!$W$15,ROW(AK240)-ROW(AK$15),0),15-13*ORÇAMENTO!$AF$11)),
         0)</f>
        <v>0</v>
      </c>
      <c r="AL240" s="453">
        <f ca="1">IF(AND($D240="Serviço",AL$12&lt;&gt;0,$H240&gt;0,OR(AUTOEVENTO&lt;&gt;"manual",$M240&lt;&gt;$A$15)),
        IF(Import.TipoArredondamento&lt;&gt;"TransfereGOV",
              ROUND(OFFSET($P240,0,AL$13),15-13*ORÇAMENTO!$AF$7)/$H240*OFFSET(ORÇAMENTO!$X$15,ROW(AL240)-ROW(AL$15),0),
              ROUND(ROUND(OFFSET($P240,0,AL$13),15-13*ORÇAMENTO!$AF$7)*OFFSET(ORÇAMENTO!$W$15,ROW(AL240)-ROW(AL$15),0),15-13*ORÇAMENTO!$AF$11)),
         0)</f>
        <v>0</v>
      </c>
      <c r="AM240" s="453">
        <f ca="1">IF(AND($D240="Serviço",AM$12&lt;&gt;0,$H240&gt;0,OR(AUTOEVENTO&lt;&gt;"manual",$M240&lt;&gt;$A$15)),
        IF(Import.TipoArredondamento&lt;&gt;"TransfereGOV",
              ROUND(OFFSET($P240,0,AM$13),15-13*ORÇAMENTO!$AF$7)/$H240*OFFSET(ORÇAMENTO!$X$15,ROW(AM240)-ROW(AM$15),0),
              ROUND(ROUND(OFFSET($P240,0,AM$13),15-13*ORÇAMENTO!$AF$7)*OFFSET(ORÇAMENTO!$W$15,ROW(AM240)-ROW(AM$15),0),15-13*ORÇAMENTO!$AF$11)),
         0)</f>
        <v>0</v>
      </c>
      <c r="AN240" s="453">
        <f ca="1">IF(AND($D240="Serviço",AN$12&lt;&gt;0,$H240&gt;0,OR(AUTOEVENTO&lt;&gt;"manual",$M240&lt;&gt;$A$15)),
        IF(Import.TipoArredondamento&lt;&gt;"TransfereGOV",
              ROUND(OFFSET($P240,0,AN$13),15-13*ORÇAMENTO!$AF$7)/$H240*OFFSET(ORÇAMENTO!$X$15,ROW(AN240)-ROW(AN$15),0),
              ROUND(ROUND(OFFSET($P240,0,AN$13),15-13*ORÇAMENTO!$AF$7)*OFFSET(ORÇAMENTO!$W$15,ROW(AN240)-ROW(AN$15),0),15-13*ORÇAMENTO!$AF$11)),
         0)</f>
        <v>0</v>
      </c>
      <c r="AO240" s="453">
        <f ca="1">IF(AND($D240="Serviço",AO$12&lt;&gt;0,$H240&gt;0,OR(AUTOEVENTO&lt;&gt;"manual",$M240&lt;&gt;$A$15)),
        IF(Import.TipoArredondamento&lt;&gt;"TransfereGOV",
              ROUND(OFFSET($P240,0,AO$13),15-13*ORÇAMENTO!$AF$7)/$H240*OFFSET(ORÇAMENTO!$X$15,ROW(AO240)-ROW(AO$15),0),
              ROUND(ROUND(OFFSET($P240,0,AO$13),15-13*ORÇAMENTO!$AF$7)*OFFSET(ORÇAMENTO!$W$15,ROW(AO240)-ROW(AO$15),0),15-13*ORÇAMENTO!$AF$11)),
         0)</f>
        <v>0</v>
      </c>
      <c r="AP240" s="453">
        <f ca="1">IF(AND($D240="Serviço",AP$12&lt;&gt;0,$H240&gt;0,OR(AUTOEVENTO&lt;&gt;"manual",$M240&lt;&gt;$A$15)),
        IF(Import.TipoArredondamento&lt;&gt;"TransfereGOV",
              ROUND(OFFSET($P240,0,AP$13),15-13*ORÇAMENTO!$AF$7)/$H240*OFFSET(ORÇAMENTO!$X$15,ROW(AP240)-ROW(AP$15),0),
              ROUND(ROUND(OFFSET($P240,0,AP$13),15-13*ORÇAMENTO!$AF$7)*OFFSET(ORÇAMENTO!$W$15,ROW(AP240)-ROW(AP$15),0),15-13*ORÇAMENTO!$AF$11)),
         0)</f>
        <v>0</v>
      </c>
      <c r="AQ240" s="453">
        <f ca="1">IF(AND($D240="Serviço",AQ$12&lt;&gt;0,$H240&gt;0,OR(AUTOEVENTO&lt;&gt;"manual",$M240&lt;&gt;$A$15)),
        IF(Import.TipoArredondamento&lt;&gt;"TransfereGOV",
              ROUND(OFFSET($P240,0,AQ$13),15-13*ORÇAMENTO!$AF$7)/$H240*OFFSET(ORÇAMENTO!$X$15,ROW(AQ240)-ROW(AQ$15),0),
              ROUND(ROUND(OFFSET($P240,0,AQ$13),15-13*ORÇAMENTO!$AF$7)*OFFSET(ORÇAMENTO!$W$15,ROW(AQ240)-ROW(AQ$15),0),15-13*ORÇAMENTO!$AF$11)),
         0)</f>
        <v>0</v>
      </c>
      <c r="AR240" s="453">
        <f ca="1">IF(AND($D240="Serviço",AR$12&lt;&gt;0,$H240&gt;0,OR(AUTOEVENTO&lt;&gt;"manual",$M240&lt;&gt;$A$15)),
        IF(Import.TipoArredondamento&lt;&gt;"TransfereGOV",
              ROUND(OFFSET($P240,0,AR$13),15-13*ORÇAMENTO!$AF$7)/$H240*OFFSET(ORÇAMENTO!$X$15,ROW(AR240)-ROW(AR$15),0),
              ROUND(ROUND(OFFSET($P240,0,AR$13),15-13*ORÇAMENTO!$AF$7)*OFFSET(ORÇAMENTO!$W$15,ROW(AR240)-ROW(AR$15),0),15-13*ORÇAMENTO!$AF$11)),
         0)</f>
        <v>0</v>
      </c>
      <c r="AS240" s="453">
        <f ca="1">IF(AND($D240="Serviço",AS$12&lt;&gt;0,$H240&gt;0,OR(AUTOEVENTO&lt;&gt;"manual",$M240&lt;&gt;$A$15)),
        IF(Import.TipoArredondamento&lt;&gt;"TransfereGOV",
              ROUND(OFFSET($P240,0,AS$13),15-13*ORÇAMENTO!$AF$7)/$H240*OFFSET(ORÇAMENTO!$X$15,ROW(AS240)-ROW(AS$15),0),
              ROUND(ROUND(OFFSET($P240,0,AS$13),15-13*ORÇAMENTO!$AF$7)*OFFSET(ORÇAMENTO!$W$15,ROW(AS240)-ROW(AS$15),0),15-13*ORÇAMENTO!$AF$11)),
         0)</f>
        <v>0</v>
      </c>
      <c r="AT240" s="453">
        <f ca="1">IF(AND($D240="Serviço",AT$12&lt;&gt;0,$H240&gt;0,OR(AUTOEVENTO&lt;&gt;"manual",$M240&lt;&gt;$A$15)),
        IF(Import.TipoArredondamento&lt;&gt;"TransfereGOV",
              ROUND(OFFSET($P240,0,AT$13),15-13*ORÇAMENTO!$AF$7)/$H240*OFFSET(ORÇAMENTO!$X$15,ROW(AT240)-ROW(AT$15),0),
              ROUND(ROUND(OFFSET($P240,0,AT$13),15-13*ORÇAMENTO!$AF$7)*OFFSET(ORÇAMENTO!$W$15,ROW(AT240)-ROW(AT$15),0),15-13*ORÇAMENTO!$AF$11)),
         0)</f>
        <v>0</v>
      </c>
      <c r="AU240" s="453">
        <f ca="1">IF(AND($D240="Serviço",AU$12&lt;&gt;0,$H240&gt;0,OR(AUTOEVENTO&lt;&gt;"manual",$M240&lt;&gt;$A$15)),
        IF(Import.TipoArredondamento&lt;&gt;"TransfereGOV",
              ROUND(OFFSET($P240,0,AU$13),15-13*ORÇAMENTO!$AF$7)/$H240*OFFSET(ORÇAMENTO!$X$15,ROW(AU240)-ROW(AU$15),0),
              ROUND(ROUND(OFFSET($P240,0,AU$13),15-13*ORÇAMENTO!$AF$7)*OFFSET(ORÇAMENTO!$W$15,ROW(AU240)-ROW(AU$15),0),15-13*ORÇAMENTO!$AF$11)),
         0)</f>
        <v>0</v>
      </c>
      <c r="AV240" s="453">
        <f ca="1">IF(AND($D240="Serviço",AV$12&lt;&gt;0,$H240&gt;0,OR(AUTOEVENTO&lt;&gt;"manual",$M240&lt;&gt;$A$15)),
        IF(Import.TipoArredondamento&lt;&gt;"TransfereGOV",
              ROUND(OFFSET($P240,0,AV$13),15-13*ORÇAMENTO!$AF$7)/$H240*OFFSET(ORÇAMENTO!$X$15,ROW(AV240)-ROW(AV$15),0),
              ROUND(ROUND(OFFSET($P240,0,AV$13),15-13*ORÇAMENTO!$AF$7)*OFFSET(ORÇAMENTO!$W$15,ROW(AV240)-ROW(AV$15),0),15-13*ORÇAMENTO!$AF$11)),
         0)</f>
        <v>0</v>
      </c>
      <c r="AW240" s="453">
        <f ca="1">IF(AND($D240="Serviço",AW$12&lt;&gt;0,$H240&gt;0,OR(AUTOEVENTO&lt;&gt;"manual",$M240&lt;&gt;$A$15)),
        IF(Import.TipoArredondamento&lt;&gt;"TransfereGOV",
              ROUND(OFFSET($P240,0,AW$13),15-13*ORÇAMENTO!$AF$7)/$H240*OFFSET(ORÇAMENTO!$X$15,ROW(AW240)-ROW(AW$15),0),
              ROUND(ROUND(OFFSET($P240,0,AW$13),15-13*ORÇAMENTO!$AF$7)*OFFSET(ORÇAMENTO!$W$15,ROW(AW240)-ROW(AW$15),0),15-13*ORÇAMENTO!$AF$11)),
         0)</f>
        <v>0</v>
      </c>
      <c r="AX240" s="453">
        <f ca="1">IF(AND($D240="Serviço",AX$12&lt;&gt;0,$H240&gt;0,OR(AUTOEVENTO&lt;&gt;"manual",$M240&lt;&gt;$A$15)),
        IF(Import.TipoArredondamento&lt;&gt;"TransfereGOV",
              ROUND(OFFSET($P240,0,AX$13),15-13*ORÇAMENTO!$AF$7)/$H240*OFFSET(ORÇAMENTO!$X$15,ROW(AX240)-ROW(AX$15),0),
              ROUND(ROUND(OFFSET($P240,0,AX$13),15-13*ORÇAMENTO!$AF$7)*OFFSET(ORÇAMENTO!$W$15,ROW(AX240)-ROW(AX$15),0),15-13*ORÇAMENTO!$AF$11)),
         0)</f>
        <v>0</v>
      </c>
      <c r="AY240" s="453">
        <f ca="1">IF(AND($D240="Serviço",AY$12&lt;&gt;0,$H240&gt;0,OR(AUTOEVENTO&lt;&gt;"manual",$M240&lt;&gt;$A$15)),
        IF(Import.TipoArredondamento&lt;&gt;"TransfereGOV",
              ROUND(OFFSET($P240,0,AY$13),15-13*ORÇAMENTO!$AF$7)/$H240*OFFSET(ORÇAMENTO!$X$15,ROW(AY240)-ROW(AY$15),0),
              ROUND(ROUND(OFFSET($P240,0,AY$13),15-13*ORÇAMENTO!$AF$7)*OFFSET(ORÇAMENTO!$W$15,ROW(AY240)-ROW(AY$15),0),15-13*ORÇAMENTO!$AF$11)),
         0)</f>
        <v>0</v>
      </c>
      <c r="AZ240" s="453">
        <f ca="1">IF(AND($D240="Serviço",AZ$12&lt;&gt;0,$H240&gt;0,OR(AUTOEVENTO&lt;&gt;"manual",$M240&lt;&gt;$A$15)),
        IF(Import.TipoArredondamento&lt;&gt;"TransfereGOV",
              ROUND(OFFSET($P240,0,AZ$13),15-13*ORÇAMENTO!$AF$7)/$H240*OFFSET(ORÇAMENTO!$X$15,ROW(AZ240)-ROW(AZ$15),0),
              ROUND(ROUND(OFFSET($P240,0,AZ$13),15-13*ORÇAMENTO!$AF$7)*OFFSET(ORÇAMENTO!$W$15,ROW(AZ240)-ROW(AZ$15),0),15-13*ORÇAMENTO!$AF$11)),
         0)</f>
        <v>0</v>
      </c>
      <c r="BA240" s="453">
        <f ca="1">IF(AND($D240="Serviço",BA$12&lt;&gt;0,$H240&gt;0,OR(AUTOEVENTO&lt;&gt;"manual",$M240&lt;&gt;$A$15)),
        IF(Import.TipoArredondamento&lt;&gt;"TransfereGOV",
              ROUND(OFFSET($P240,0,BA$13),15-13*ORÇAMENTO!$AF$7)/$H240*OFFSET(ORÇAMENTO!$X$15,ROW(BA240)-ROW(BA$15),0),
              ROUND(ROUND(OFFSET($P240,0,BA$13),15-13*ORÇAMENTO!$AF$7)*OFFSET(ORÇAMENTO!$W$15,ROW(BA240)-ROW(BA$15),0),15-13*ORÇAMENTO!$AF$11)),
         0)</f>
        <v>0</v>
      </c>
      <c r="BC240" s="171">
        <f ca="1">IF(OR($D240&lt;&gt;"Serviço",AND(AUTOEVENTO="Manual",$M240=$A$15)),0,
         IF(OFFSET(CRONOPLE!$F$15,$M240-$A$15,BC$13)=0,10^12,OFFSET(CRONOPLE!$F$15,$M240-$A$15,BC$13)))</f>
        <v>1</v>
      </c>
      <c r="BD240" s="171">
        <f ca="1">IF(OR($D240&lt;&gt;"Serviço",AND(AUTOEVENTO="Manual",$M240=$A$15)),0,
         IF(OFFSET(CRONOPLE!$F$15,$M240-$A$15,BD$13)=0,10^12,OFFSET(CRONOPLE!$F$15,$M240-$A$15,BD$13)))</f>
        <v>2</v>
      </c>
      <c r="BE240" s="171">
        <f ca="1">IF(OR($D240&lt;&gt;"Serviço",AND(AUTOEVENTO="Manual",$M240=$A$15)),0,
         IF(OFFSET(CRONOPLE!$F$15,$M240-$A$15,BE$13)=0,10^12,OFFSET(CRONOPLE!$F$15,$M240-$A$15,BE$13)))</f>
        <v>3</v>
      </c>
      <c r="BF240" s="171">
        <f ca="1">IF(OR($D240&lt;&gt;"Serviço",AND(AUTOEVENTO="Manual",$M240=$A$15)),0,
         IF(OFFSET(CRONOPLE!$F$15,$M240-$A$15,BF$13)=0,10^12,OFFSET(CRONOPLE!$F$15,$M240-$A$15,BF$13)))</f>
        <v>4</v>
      </c>
      <c r="BG240" s="171">
        <f ca="1">IF(OR($D240&lt;&gt;"Serviço",AND(AUTOEVENTO="Manual",$M240=$A$15)),0,
         IF(OFFSET(CRONOPLE!$F$15,$M240-$A$15,BG$13)=0,10^12,OFFSET(CRONOPLE!$F$15,$M240-$A$15,BG$13)))</f>
        <v>5</v>
      </c>
      <c r="BH240" s="171">
        <f ca="1">IF(OR($D240&lt;&gt;"Serviço",AND(AUTOEVENTO="Manual",$M240=$A$15)),0,
         IF(OFFSET(CRONOPLE!$F$15,$M240-$A$15,BH$13)=0,10^12,OFFSET(CRONOPLE!$F$15,$M240-$A$15,BH$13)))</f>
        <v>6</v>
      </c>
      <c r="BI240" s="171">
        <f ca="1">IF(OR($D240&lt;&gt;"Serviço",AND(AUTOEVENTO="Manual",$M240=$A$15)),0,
         IF(OFFSET(CRONOPLE!$F$15,$M240-$A$15,BI$13)=0,10^12,OFFSET(CRONOPLE!$F$15,$M240-$A$15,BI$13)))</f>
        <v>7</v>
      </c>
      <c r="BJ240" s="171">
        <f ca="1">IF(OR($D240&lt;&gt;"Serviço",AND(AUTOEVENTO="Manual",$M240=$A$15)),0,
         IF(OFFSET(CRONOPLE!$F$15,$M240-$A$15,BJ$13)=0,10^12,OFFSET(CRONOPLE!$F$15,$M240-$A$15,BJ$13)))</f>
        <v>8</v>
      </c>
      <c r="BK240" s="171">
        <f ca="1">IF(OR($D240&lt;&gt;"Serviço",AND(AUTOEVENTO="Manual",$M240=$A$15)),0,
         IF(OFFSET(CRONOPLE!$F$15,$M240-$A$15,BK$13)=0,10^12,OFFSET(CRONOPLE!$F$15,$M240-$A$15,BK$13)))</f>
        <v>9</v>
      </c>
      <c r="BL240" s="171">
        <f ca="1">IF(OR($D240&lt;&gt;"Serviço",AND(AUTOEVENTO="Manual",$M240=$A$15)),0,
         IF(OFFSET(CRONOPLE!$F$15,$M240-$A$15,BL$13)=0,10^12,OFFSET(CRONOPLE!$F$15,$M240-$A$15,BL$13)))</f>
        <v>10</v>
      </c>
      <c r="BM240" s="171">
        <f ca="1">IF(OR($D240&lt;&gt;"Serviço",AND(AUTOEVENTO="Manual",$M240=$A$15)),0,
         IF(OFFSET(CRONOPLE!$F$15,$M240-$A$15,BM$13)=0,10^12,OFFSET(CRONOPLE!$F$15,$M240-$A$15,BM$13)))</f>
        <v>1000000000000</v>
      </c>
      <c r="BN240" s="171">
        <f ca="1">IF(OR($D240&lt;&gt;"Serviço",AND(AUTOEVENTO="Manual",$M240=$A$15)),0,
         IF(OFFSET(CRONOPLE!$F$15,$M240-$A$15,BN$13)=0,10^12,OFFSET(CRONOPLE!$F$15,$M240-$A$15,BN$13)))</f>
        <v>1000000000000</v>
      </c>
      <c r="BO240" s="171">
        <f ca="1">IF(OR($D240&lt;&gt;"Serviço",AND(AUTOEVENTO="Manual",$M240=$A$15)),0,
         IF(OFFSET(CRONOPLE!$F$15,$M240-$A$15,BO$13)=0,10^12,OFFSET(CRONOPLE!$F$15,$M240-$A$15,BO$13)))</f>
        <v>1000000000000</v>
      </c>
      <c r="BP240" s="171">
        <f ca="1">IF(OR($D240&lt;&gt;"Serviço",AND(AUTOEVENTO="Manual",$M240=$A$15)),0,
         IF(OFFSET(CRONOPLE!$F$15,$M240-$A$15,BP$13)=0,10^12,OFFSET(CRONOPLE!$F$15,$M240-$A$15,BP$13)))</f>
        <v>1000000000000</v>
      </c>
      <c r="BQ240" s="171">
        <f ca="1">IF(OR($D240&lt;&gt;"Serviço",AND(AUTOEVENTO="Manual",$M240=$A$15)),0,
         IF(OFFSET(CRONOPLE!$F$15,$M240-$A$15,BQ$13)=0,10^12,OFFSET(CRONOPLE!$F$15,$M240-$A$15,BQ$13)))</f>
        <v>1000000000000</v>
      </c>
      <c r="BR240" s="171">
        <f ca="1">IF(OR($D240&lt;&gt;"Serviço",AND(AUTOEVENTO="Manual",$M240=$A$15)),0,
         IF(OFFSET(CRONOPLE!$F$15,$M240-$A$15,BR$13)=0,10^12,OFFSET(CRONOPLE!$F$15,$M240-$A$15,BR$13)))</f>
        <v>1000000000000</v>
      </c>
      <c r="BS240" s="171">
        <f ca="1">IF(OR($D240&lt;&gt;"Serviço",AND(AUTOEVENTO="Manual",$M240=$A$15)),0,
         IF(OFFSET(CRONOPLE!$F$15,$M240-$A$15,BS$13)=0,10^12,OFFSET(CRONOPLE!$F$15,$M240-$A$15,BS$13)))</f>
        <v>1000000000000</v>
      </c>
      <c r="BT240" s="171">
        <f ca="1">IF(OR($D240&lt;&gt;"Serviço",AND(AUTOEVENTO="Manual",$M240=$A$15)),0,
         IF(OFFSET(CRONOPLE!$F$15,$M240-$A$15,BT$13)=0,10^12,OFFSET(CRONOPLE!$F$15,$M240-$A$15,BT$13)))</f>
        <v>1000000000000</v>
      </c>
      <c r="BV240" s="172">
        <f ca="1">IF(OR($D240&lt;&gt;"Serviço",AND(AUTOEVENTO="Manual",$M240=$A$15),$M240&gt;(ROW(PLE.lastrow)-ROW(PLE.firstrow))),0,
           IF(OFFSET(PLE!$G$15,$M240-$A$15,BV$13)="",10^12,OFFSET(PLE!$G$15,$M240-$A$15,BV$13)))</f>
        <v>1000000000000</v>
      </c>
      <c r="BW240" s="172">
        <f ca="1">IF(OR($D240&lt;&gt;"Serviço",AND(AUTOEVENTO="Manual",$M240=$A$15),$M240&gt;(ROW(PLE.lastrow)-ROW(PLE.firstrow))),0,
           IF(OFFSET(PLE!$G$15,$M240-$A$15,BW$13)="",10^12,OFFSET(PLE!$G$15,$M240-$A$15,BW$13)))</f>
        <v>1000000000000</v>
      </c>
      <c r="BX240" s="172">
        <f ca="1">IF(OR($D240&lt;&gt;"Serviço",AND(AUTOEVENTO="Manual",$M240=$A$15),$M240&gt;(ROW(PLE.lastrow)-ROW(PLE.firstrow))),0,
           IF(OFFSET(PLE!$G$15,$M240-$A$15,BX$13)="",10^12,OFFSET(PLE!$G$15,$M240-$A$15,BX$13)))</f>
        <v>1000000000000</v>
      </c>
      <c r="BY240" s="172">
        <f ca="1">IF(OR($D240&lt;&gt;"Serviço",AND(AUTOEVENTO="Manual",$M240=$A$15),$M240&gt;(ROW(PLE.lastrow)-ROW(PLE.firstrow))),0,
           IF(OFFSET(PLE!$G$15,$M240-$A$15,BY$13)="",10^12,OFFSET(PLE!$G$15,$M240-$A$15,BY$13)))</f>
        <v>1000000000000</v>
      </c>
      <c r="BZ240" s="172">
        <f ca="1">IF(OR($D240&lt;&gt;"Serviço",AND(AUTOEVENTO="Manual",$M240=$A$15),$M240&gt;(ROW(PLE.lastrow)-ROW(PLE.firstrow))),0,
           IF(OFFSET(PLE!$G$15,$M240-$A$15,BZ$13)="",10^12,OFFSET(PLE!$G$15,$M240-$A$15,BZ$13)))</f>
        <v>1000000000000</v>
      </c>
      <c r="CA240" s="172">
        <f ca="1">IF(OR($D240&lt;&gt;"Serviço",AND(AUTOEVENTO="Manual",$M240=$A$15),$M240&gt;(ROW(PLE.lastrow)-ROW(PLE.firstrow))),0,
           IF(OFFSET(PLE!$G$15,$M240-$A$15,CA$13)="",10^12,OFFSET(PLE!$G$15,$M240-$A$15,CA$13)))</f>
        <v>1000000000000</v>
      </c>
      <c r="CB240" s="172">
        <f ca="1">IF(OR($D240&lt;&gt;"Serviço",AND(AUTOEVENTO="Manual",$M240=$A$15),$M240&gt;(ROW(PLE.lastrow)-ROW(PLE.firstrow))),0,
           IF(OFFSET(PLE!$G$15,$M240-$A$15,CB$13)="",10^12,OFFSET(PLE!$G$15,$M240-$A$15,CB$13)))</f>
        <v>1000000000000</v>
      </c>
      <c r="CC240" s="172">
        <f ca="1">IF(OR($D240&lt;&gt;"Serviço",AND(AUTOEVENTO="Manual",$M240=$A$15),$M240&gt;(ROW(PLE.lastrow)-ROW(PLE.firstrow))),0,
           IF(OFFSET(PLE!$G$15,$M240-$A$15,CC$13)="",10^12,OFFSET(PLE!$G$15,$M240-$A$15,CC$13)))</f>
        <v>1000000000000</v>
      </c>
      <c r="CD240" s="172">
        <f ca="1">IF(OR($D240&lt;&gt;"Serviço",AND(AUTOEVENTO="Manual",$M240=$A$15),$M240&gt;(ROW(PLE.lastrow)-ROW(PLE.firstrow))),0,
           IF(OFFSET(PLE!$G$15,$M240-$A$15,CD$13)="",10^12,OFFSET(PLE!$G$15,$M240-$A$15,CD$13)))</f>
        <v>1000000000000</v>
      </c>
      <c r="CE240" s="172">
        <f ca="1">IF(OR($D240&lt;&gt;"Serviço",AND(AUTOEVENTO="Manual",$M240=$A$15),$M240&gt;(ROW(PLE.lastrow)-ROW(PLE.firstrow))),0,
           IF(OFFSET(PLE!$G$15,$M240-$A$15,CE$13)="",10^12,OFFSET(PLE!$G$15,$M240-$A$15,CE$13)))</f>
        <v>1000000000000</v>
      </c>
      <c r="CF240" s="172">
        <f ca="1">IF(OR($D240&lt;&gt;"Serviço",AND(AUTOEVENTO="Manual",$M240=$A$15),$M240&gt;(ROW(PLE.lastrow)-ROW(PLE.firstrow))),0,
           IF(OFFSET(PLE!$G$15,$M240-$A$15,CF$13)="",10^12,OFFSET(PLE!$G$15,$M240-$A$15,CF$13)))</f>
        <v>1000000000000</v>
      </c>
      <c r="CG240" s="172">
        <f ca="1">IF(OR($D240&lt;&gt;"Serviço",AND(AUTOEVENTO="Manual",$M240=$A$15),$M240&gt;(ROW(PLE.lastrow)-ROW(PLE.firstrow))),0,
           IF(OFFSET(PLE!$G$15,$M240-$A$15,CG$13)="",10^12,OFFSET(PLE!$G$15,$M240-$A$15,CG$13)))</f>
        <v>1000000000000</v>
      </c>
      <c r="CH240" s="172">
        <f ca="1">IF(OR($D240&lt;&gt;"Serviço",AND(AUTOEVENTO="Manual",$M240=$A$15),$M240&gt;(ROW(PLE.lastrow)-ROW(PLE.firstrow))),0,
           IF(OFFSET(PLE!$G$15,$M240-$A$15,CH$13)="",10^12,OFFSET(PLE!$G$15,$M240-$A$15,CH$13)))</f>
        <v>1000000000000</v>
      </c>
      <c r="CI240" s="172">
        <f ca="1">IF(OR($D240&lt;&gt;"Serviço",AND(AUTOEVENTO="Manual",$M240=$A$15),$M240&gt;(ROW(PLE.lastrow)-ROW(PLE.firstrow))),0,
           IF(OFFSET(PLE!$G$15,$M240-$A$15,CI$13)="",10^12,OFFSET(PLE!$G$15,$M240-$A$15,CI$13)))</f>
        <v>1000000000000</v>
      </c>
      <c r="CJ240" s="172">
        <f ca="1">IF(OR($D240&lt;&gt;"Serviço",AND(AUTOEVENTO="Manual",$M240=$A$15),$M240&gt;(ROW(PLE.lastrow)-ROW(PLE.firstrow))),0,
           IF(OFFSET(PLE!$G$15,$M240-$A$15,CJ$13)="",10^12,OFFSET(PLE!$G$15,$M240-$A$15,CJ$13)))</f>
        <v>1000000000000</v>
      </c>
      <c r="CK240" s="172">
        <f ca="1">IF(OR($D240&lt;&gt;"Serviço",AND(AUTOEVENTO="Manual",$M240=$A$15),$M240&gt;(ROW(PLE.lastrow)-ROW(PLE.firstrow))),0,
           IF(OFFSET(PLE!$G$15,$M240-$A$15,CK$13)="",10^12,OFFSET(PLE!$G$15,$M240-$A$15,CK$13)))</f>
        <v>1000000000000</v>
      </c>
      <c r="CL240" s="172">
        <f ca="1">IF(OR($D240&lt;&gt;"Serviço",AND(AUTOEVENTO="Manual",$M240=$A$15),$M240&gt;(ROW(PLE.lastrow)-ROW(PLE.firstrow))),0,
           IF(OFFSET(PLE!$G$15,$M240-$A$15,CL$13)="",10^12,OFFSET(PLE!$G$15,$M240-$A$15,CL$13)))</f>
        <v>1000000000000</v>
      </c>
      <c r="CM240" s="172">
        <f ca="1">IF(OR($D240&lt;&gt;"Serviço",AND(AUTOEVENTO="Manual",$M240=$A$15),$M240&gt;(ROW(PLE.lastrow)-ROW(PLE.firstrow))),0,
           IF(OFFSET(PLE!$G$15,$M240-$A$15,CM$13)="",10^12,OFFSET(PLE!$G$15,$M240-$A$15,CM$13)))</f>
        <v>1000000000000</v>
      </c>
    </row>
    <row r="241" spans="1:91" ht="63.75" x14ac:dyDescent="0.2">
      <c r="A241" s="7">
        <f t="shared" ca="1" si="13"/>
        <v>5</v>
      </c>
      <c r="B241" s="7" t="str">
        <f ca="1">OFFSET(ORÇAMENTO!C$15,ROW(B241)-ROW(B$15),0)</f>
        <v>S</v>
      </c>
      <c r="C241" s="7" t="str">
        <f ca="1">OFFSET(ORÇAMENTO!L$15,ROW(C241)-ROW(C$15),0)</f>
        <v>F</v>
      </c>
      <c r="D241" s="116" t="str">
        <f ca="1">OFFSET(ORÇAMENTO!N$15,ROW(D241)-ROW(D$15),0)</f>
        <v>Serviço</v>
      </c>
      <c r="E241" s="117" t="str">
        <f ca="1">OFFSET(ORÇAMENTO!O$15,ROW(E241)-ROW(E$15),0)</f>
        <v>1.6.3.0.6.</v>
      </c>
      <c r="F241" s="163" t="str">
        <f ca="1">OFFSET(ORÇAMENTO!R$15,ROW(F241)-ROW(F$15),0)</f>
        <v>CONJUNTO PORCA E ARRUELA 3/8 - BASEADO EM AGESUL (1201008354)</v>
      </c>
      <c r="G241" s="164" t="str">
        <f ca="1">IF($D241&lt;&gt;"Serviço","",OFFSET(ORÇAMENTO!S$15,ROW(G241)-ROW(G$15),0))</f>
        <v>CJ</v>
      </c>
      <c r="H241" s="122" cm="1">
        <f t="array" aca="1" ref="H241" ca="1">IF($D241&lt;&gt;"Serviço",0,IF(ACOMPANHAMENTO="BM",ROUND(OFFSET(ORÇAMENTO!AJ$15,ROW(H241)-ROW(H$15),0),15-13*ORÇAMENTO!$AF$7),SUMPRODUCT(($Q$1:$AI$1=1)*ROUND($Q241:$AI241,15-13*ORÇAMENTO!$AF$7))))</f>
        <v>192</v>
      </c>
      <c r="I241" s="468" t="s">
        <v>1345</v>
      </c>
      <c r="J241" s="640" t="str" cm="1">
        <f t="array" aca="1" ref="J241" ca="1">IF(OR(B241&lt;&gt;"S",CÁLCULO.FrentesPreenchidas=0),"",IF(AND(ACOMPANHAMENTO="PLE",AUTOEVENTO="Manual",OR(H241&gt;0,ORÇAMENTO!AC241="QUANT."),OR(K241="",M241=0,N241="")),"►E",IF(AND(ACOMPANHAMENTO="PLE",ORÇAMENTO!AC241="QUANT."),"►Q",IF(AND(ACOMPANHAMENTO="PLE",H241&lt;&gt;SUMPRODUCT(($Q$1:$AI$1=1)*ROUND(Q241:AI241,15))),"►S",IF(AND(COUNTIF($P$11:$AI$11,"▼")=0,H241&gt;0,I241=""),"◄M","")))))</f>
        <v/>
      </c>
      <c r="K241" s="641" t="s">
        <v>1390</v>
      </c>
      <c r="L241" s="165" t="s">
        <v>764</v>
      </c>
      <c r="M241" s="166">
        <f ca="1">IF($D241&lt;&gt;"Serviço","",
          IF(AUTOEVENTO="manual",$A241,
                IF(ISERROR(MATCH($A241,$A$15:OFFSET($A241,-1,0),0)),MAX($M$15:OFFSET(M241,-1,0))+1,
                      INDEX($M$15:OFFSET(M241,-1,0),MATCH($A241,$A$15:OFFSET($A241,-1,0),0)))))</f>
        <v>5</v>
      </c>
      <c r="N241" s="167" t="str">
        <f ca="1">IF($D241&lt;&gt;"Serviço","",
         IF(AUTOEVENTO="Manual",
                IF($A241=0,"&lt;-- defina o número do agrupador",
                       OFFSET(EVENTOS!$D$15,$A241-$A$15,0)),
                OFFSET($F$15,$A241,0)))</f>
        <v>Estrutura Metálica</v>
      </c>
      <c r="O241" s="168"/>
      <c r="Q241" s="168"/>
      <c r="R241" s="169"/>
      <c r="S241" s="169"/>
      <c r="T241" s="169"/>
      <c r="U241" s="169"/>
      <c r="V241" s="169"/>
      <c r="W241" s="169">
        <v>192</v>
      </c>
      <c r="X241" s="169"/>
      <c r="Y241" s="169"/>
      <c r="Z241" s="170"/>
      <c r="AA241" s="169"/>
      <c r="AB241" s="169"/>
      <c r="AC241" s="169"/>
      <c r="AD241" s="169"/>
      <c r="AE241" s="169"/>
      <c r="AF241" s="169"/>
      <c r="AG241" s="169"/>
      <c r="AH241" s="170"/>
      <c r="AJ241" s="453">
        <f ca="1">IF(AND($D241="Serviço",AJ$12&lt;&gt;0,$H241&gt;0,OR(AUTOEVENTO&lt;&gt;"manual",$M241&lt;&gt;$A$15)),
        IF(Import.TipoArredondamento&lt;&gt;"TransfereGOV",
              ROUND(OFFSET($P241,0,AJ$13),15-13*ORÇAMENTO!$AF$7)/$H241*OFFSET(ORÇAMENTO!$X$15,ROW(AJ241)-ROW(AJ$15),0),
              ROUND(ROUND(OFFSET($P241,0,AJ$13),15-13*ORÇAMENTO!$AF$7)*OFFSET(ORÇAMENTO!$W$15,ROW(AJ241)-ROW(AJ$15),0),15-13*ORÇAMENTO!$AF$11)),
         0)</f>
        <v>0</v>
      </c>
      <c r="AK241" s="453">
        <f ca="1">IF(AND($D241="Serviço",AK$12&lt;&gt;0,$H241&gt;0,OR(AUTOEVENTO&lt;&gt;"manual",$M241&lt;&gt;$A$15)),
        IF(Import.TipoArredondamento&lt;&gt;"TransfereGOV",
              ROUND(OFFSET($P241,0,AK$13),15-13*ORÇAMENTO!$AF$7)/$H241*OFFSET(ORÇAMENTO!$X$15,ROW(AK241)-ROW(AK$15),0),
              ROUND(ROUND(OFFSET($P241,0,AK$13),15-13*ORÇAMENTO!$AF$7)*OFFSET(ORÇAMENTO!$W$15,ROW(AK241)-ROW(AK$15),0),15-13*ORÇAMENTO!$AF$11)),
         0)</f>
        <v>0</v>
      </c>
      <c r="AL241" s="453">
        <f ca="1">IF(AND($D241="Serviço",AL$12&lt;&gt;0,$H241&gt;0,OR(AUTOEVENTO&lt;&gt;"manual",$M241&lt;&gt;$A$15)),
        IF(Import.TipoArredondamento&lt;&gt;"TransfereGOV",
              ROUND(OFFSET($P241,0,AL$13),15-13*ORÇAMENTO!$AF$7)/$H241*OFFSET(ORÇAMENTO!$X$15,ROW(AL241)-ROW(AL$15),0),
              ROUND(ROUND(OFFSET($P241,0,AL$13),15-13*ORÇAMENTO!$AF$7)*OFFSET(ORÇAMENTO!$W$15,ROW(AL241)-ROW(AL$15),0),15-13*ORÇAMENTO!$AF$11)),
         0)</f>
        <v>0</v>
      </c>
      <c r="AM241" s="453">
        <f ca="1">IF(AND($D241="Serviço",AM$12&lt;&gt;0,$H241&gt;0,OR(AUTOEVENTO&lt;&gt;"manual",$M241&lt;&gt;$A$15)),
        IF(Import.TipoArredondamento&lt;&gt;"TransfereGOV",
              ROUND(OFFSET($P241,0,AM$13),15-13*ORÇAMENTO!$AF$7)/$H241*OFFSET(ORÇAMENTO!$X$15,ROW(AM241)-ROW(AM$15),0),
              ROUND(ROUND(OFFSET($P241,0,AM$13),15-13*ORÇAMENTO!$AF$7)*OFFSET(ORÇAMENTO!$W$15,ROW(AM241)-ROW(AM$15),0),15-13*ORÇAMENTO!$AF$11)),
         0)</f>
        <v>0</v>
      </c>
      <c r="AN241" s="453">
        <f ca="1">IF(AND($D241="Serviço",AN$12&lt;&gt;0,$H241&gt;0,OR(AUTOEVENTO&lt;&gt;"manual",$M241&lt;&gt;$A$15)),
        IF(Import.TipoArredondamento&lt;&gt;"TransfereGOV",
              ROUND(OFFSET($P241,0,AN$13),15-13*ORÇAMENTO!$AF$7)/$H241*OFFSET(ORÇAMENTO!$X$15,ROW(AN241)-ROW(AN$15),0),
              ROUND(ROUND(OFFSET($P241,0,AN$13),15-13*ORÇAMENTO!$AF$7)*OFFSET(ORÇAMENTO!$W$15,ROW(AN241)-ROW(AN$15),0),15-13*ORÇAMENTO!$AF$11)),
         0)</f>
        <v>0</v>
      </c>
      <c r="AO241" s="453">
        <f ca="1">IF(AND($D241="Serviço",AO$12&lt;&gt;0,$H241&gt;0,OR(AUTOEVENTO&lt;&gt;"manual",$M241&lt;&gt;$A$15)),
        IF(Import.TipoArredondamento&lt;&gt;"TransfereGOV",
              ROUND(OFFSET($P241,0,AO$13),15-13*ORÇAMENTO!$AF$7)/$H241*OFFSET(ORÇAMENTO!$X$15,ROW(AO241)-ROW(AO$15),0),
              ROUND(ROUND(OFFSET($P241,0,AO$13),15-13*ORÇAMENTO!$AF$7)*OFFSET(ORÇAMENTO!$W$15,ROW(AO241)-ROW(AO$15),0),15-13*ORÇAMENTO!$AF$11)),
         0)</f>
        <v>0</v>
      </c>
      <c r="AP241" s="453">
        <f ca="1">IF(AND($D241="Serviço",AP$12&lt;&gt;0,$H241&gt;0,OR(AUTOEVENTO&lt;&gt;"manual",$M241&lt;&gt;$A$15)),
        IF(Import.TipoArredondamento&lt;&gt;"TransfereGOV",
              ROUND(OFFSET($P241,0,AP$13),15-13*ORÇAMENTO!$AF$7)/$H241*OFFSET(ORÇAMENTO!$X$15,ROW(AP241)-ROW(AP$15),0),
              ROUND(ROUND(OFFSET($P241,0,AP$13),15-13*ORÇAMENTO!$AF$7)*OFFSET(ORÇAMENTO!$W$15,ROW(AP241)-ROW(AP$15),0),15-13*ORÇAMENTO!$AF$11)),
         0)</f>
        <v>0</v>
      </c>
      <c r="AQ241" s="453">
        <f ca="1">IF(AND($D241="Serviço",AQ$12&lt;&gt;0,$H241&gt;0,OR(AUTOEVENTO&lt;&gt;"manual",$M241&lt;&gt;$A$15)),
        IF(Import.TipoArredondamento&lt;&gt;"TransfereGOV",
              ROUND(OFFSET($P241,0,AQ$13),15-13*ORÇAMENTO!$AF$7)/$H241*OFFSET(ORÇAMENTO!$X$15,ROW(AQ241)-ROW(AQ$15),0),
              ROUND(ROUND(OFFSET($P241,0,AQ$13),15-13*ORÇAMENTO!$AF$7)*OFFSET(ORÇAMENTO!$W$15,ROW(AQ241)-ROW(AQ$15),0),15-13*ORÇAMENTO!$AF$11)),
         0)</f>
        <v>0</v>
      </c>
      <c r="AR241" s="453">
        <f ca="1">IF(AND($D241="Serviço",AR$12&lt;&gt;0,$H241&gt;0,OR(AUTOEVENTO&lt;&gt;"manual",$M241&lt;&gt;$A$15)),
        IF(Import.TipoArredondamento&lt;&gt;"TransfereGOV",
              ROUND(OFFSET($P241,0,AR$13),15-13*ORÇAMENTO!$AF$7)/$H241*OFFSET(ORÇAMENTO!$X$15,ROW(AR241)-ROW(AR$15),0),
              ROUND(ROUND(OFFSET($P241,0,AR$13),15-13*ORÇAMENTO!$AF$7)*OFFSET(ORÇAMENTO!$W$15,ROW(AR241)-ROW(AR$15),0),15-13*ORÇAMENTO!$AF$11)),
         0)</f>
        <v>0</v>
      </c>
      <c r="AS241" s="453">
        <f ca="1">IF(AND($D241="Serviço",AS$12&lt;&gt;0,$H241&gt;0,OR(AUTOEVENTO&lt;&gt;"manual",$M241&lt;&gt;$A$15)),
        IF(Import.TipoArredondamento&lt;&gt;"TransfereGOV",
              ROUND(OFFSET($P241,0,AS$13),15-13*ORÇAMENTO!$AF$7)/$H241*OFFSET(ORÇAMENTO!$X$15,ROW(AS241)-ROW(AS$15),0),
              ROUND(ROUND(OFFSET($P241,0,AS$13),15-13*ORÇAMENTO!$AF$7)*OFFSET(ORÇAMENTO!$W$15,ROW(AS241)-ROW(AS$15),0),15-13*ORÇAMENTO!$AF$11)),
         0)</f>
        <v>0</v>
      </c>
      <c r="AT241" s="453">
        <f ca="1">IF(AND($D241="Serviço",AT$12&lt;&gt;0,$H241&gt;0,OR(AUTOEVENTO&lt;&gt;"manual",$M241&lt;&gt;$A$15)),
        IF(Import.TipoArredondamento&lt;&gt;"TransfereGOV",
              ROUND(OFFSET($P241,0,AT$13),15-13*ORÇAMENTO!$AF$7)/$H241*OFFSET(ORÇAMENTO!$X$15,ROW(AT241)-ROW(AT$15),0),
              ROUND(ROUND(OFFSET($P241,0,AT$13),15-13*ORÇAMENTO!$AF$7)*OFFSET(ORÇAMENTO!$W$15,ROW(AT241)-ROW(AT$15),0),15-13*ORÇAMENTO!$AF$11)),
         0)</f>
        <v>0</v>
      </c>
      <c r="AU241" s="453">
        <f ca="1">IF(AND($D241="Serviço",AU$12&lt;&gt;0,$H241&gt;0,OR(AUTOEVENTO&lt;&gt;"manual",$M241&lt;&gt;$A$15)),
        IF(Import.TipoArredondamento&lt;&gt;"TransfereGOV",
              ROUND(OFFSET($P241,0,AU$13),15-13*ORÇAMENTO!$AF$7)/$H241*OFFSET(ORÇAMENTO!$X$15,ROW(AU241)-ROW(AU$15),0),
              ROUND(ROUND(OFFSET($P241,0,AU$13),15-13*ORÇAMENTO!$AF$7)*OFFSET(ORÇAMENTO!$W$15,ROW(AU241)-ROW(AU$15),0),15-13*ORÇAMENTO!$AF$11)),
         0)</f>
        <v>0</v>
      </c>
      <c r="AV241" s="453">
        <f ca="1">IF(AND($D241="Serviço",AV$12&lt;&gt;0,$H241&gt;0,OR(AUTOEVENTO&lt;&gt;"manual",$M241&lt;&gt;$A$15)),
        IF(Import.TipoArredondamento&lt;&gt;"TransfereGOV",
              ROUND(OFFSET($P241,0,AV$13),15-13*ORÇAMENTO!$AF$7)/$H241*OFFSET(ORÇAMENTO!$X$15,ROW(AV241)-ROW(AV$15),0),
              ROUND(ROUND(OFFSET($P241,0,AV$13),15-13*ORÇAMENTO!$AF$7)*OFFSET(ORÇAMENTO!$W$15,ROW(AV241)-ROW(AV$15),0),15-13*ORÇAMENTO!$AF$11)),
         0)</f>
        <v>0</v>
      </c>
      <c r="AW241" s="453">
        <f ca="1">IF(AND($D241="Serviço",AW$12&lt;&gt;0,$H241&gt;0,OR(AUTOEVENTO&lt;&gt;"manual",$M241&lt;&gt;$A$15)),
        IF(Import.TipoArredondamento&lt;&gt;"TransfereGOV",
              ROUND(OFFSET($P241,0,AW$13),15-13*ORÇAMENTO!$AF$7)/$H241*OFFSET(ORÇAMENTO!$X$15,ROW(AW241)-ROW(AW$15),0),
              ROUND(ROUND(OFFSET($P241,0,AW$13),15-13*ORÇAMENTO!$AF$7)*OFFSET(ORÇAMENTO!$W$15,ROW(AW241)-ROW(AW$15),0),15-13*ORÇAMENTO!$AF$11)),
         0)</f>
        <v>0</v>
      </c>
      <c r="AX241" s="453">
        <f ca="1">IF(AND($D241="Serviço",AX$12&lt;&gt;0,$H241&gt;0,OR(AUTOEVENTO&lt;&gt;"manual",$M241&lt;&gt;$A$15)),
        IF(Import.TipoArredondamento&lt;&gt;"TransfereGOV",
              ROUND(OFFSET($P241,0,AX$13),15-13*ORÇAMENTO!$AF$7)/$H241*OFFSET(ORÇAMENTO!$X$15,ROW(AX241)-ROW(AX$15),0),
              ROUND(ROUND(OFFSET($P241,0,AX$13),15-13*ORÇAMENTO!$AF$7)*OFFSET(ORÇAMENTO!$W$15,ROW(AX241)-ROW(AX$15),0),15-13*ORÇAMENTO!$AF$11)),
         0)</f>
        <v>0</v>
      </c>
      <c r="AY241" s="453">
        <f ca="1">IF(AND($D241="Serviço",AY$12&lt;&gt;0,$H241&gt;0,OR(AUTOEVENTO&lt;&gt;"manual",$M241&lt;&gt;$A$15)),
        IF(Import.TipoArredondamento&lt;&gt;"TransfereGOV",
              ROUND(OFFSET($P241,0,AY$13),15-13*ORÇAMENTO!$AF$7)/$H241*OFFSET(ORÇAMENTO!$X$15,ROW(AY241)-ROW(AY$15),0),
              ROUND(ROUND(OFFSET($P241,0,AY$13),15-13*ORÇAMENTO!$AF$7)*OFFSET(ORÇAMENTO!$W$15,ROW(AY241)-ROW(AY$15),0),15-13*ORÇAMENTO!$AF$11)),
         0)</f>
        <v>0</v>
      </c>
      <c r="AZ241" s="453">
        <f ca="1">IF(AND($D241="Serviço",AZ$12&lt;&gt;0,$H241&gt;0,OR(AUTOEVENTO&lt;&gt;"manual",$M241&lt;&gt;$A$15)),
        IF(Import.TipoArredondamento&lt;&gt;"TransfereGOV",
              ROUND(OFFSET($P241,0,AZ$13),15-13*ORÇAMENTO!$AF$7)/$H241*OFFSET(ORÇAMENTO!$X$15,ROW(AZ241)-ROW(AZ$15),0),
              ROUND(ROUND(OFFSET($P241,0,AZ$13),15-13*ORÇAMENTO!$AF$7)*OFFSET(ORÇAMENTO!$W$15,ROW(AZ241)-ROW(AZ$15),0),15-13*ORÇAMENTO!$AF$11)),
         0)</f>
        <v>0</v>
      </c>
      <c r="BA241" s="453">
        <f ca="1">IF(AND($D241="Serviço",BA$12&lt;&gt;0,$H241&gt;0,OR(AUTOEVENTO&lt;&gt;"manual",$M241&lt;&gt;$A$15)),
        IF(Import.TipoArredondamento&lt;&gt;"TransfereGOV",
              ROUND(OFFSET($P241,0,BA$13),15-13*ORÇAMENTO!$AF$7)/$H241*OFFSET(ORÇAMENTO!$X$15,ROW(BA241)-ROW(BA$15),0),
              ROUND(ROUND(OFFSET($P241,0,BA$13),15-13*ORÇAMENTO!$AF$7)*OFFSET(ORÇAMENTO!$W$15,ROW(BA241)-ROW(BA$15),0),15-13*ORÇAMENTO!$AF$11)),
         0)</f>
        <v>0</v>
      </c>
      <c r="BC241" s="171">
        <f ca="1">IF(OR($D241&lt;&gt;"Serviço",AND(AUTOEVENTO="Manual",$M241=$A$15)),0,
         IF(OFFSET(CRONOPLE!$F$15,$M241-$A$15,BC$13)=0,10^12,OFFSET(CRONOPLE!$F$15,$M241-$A$15,BC$13)))</f>
        <v>1</v>
      </c>
      <c r="BD241" s="171">
        <f ca="1">IF(OR($D241&lt;&gt;"Serviço",AND(AUTOEVENTO="Manual",$M241=$A$15)),0,
         IF(OFFSET(CRONOPLE!$F$15,$M241-$A$15,BD$13)=0,10^12,OFFSET(CRONOPLE!$F$15,$M241-$A$15,BD$13)))</f>
        <v>2</v>
      </c>
      <c r="BE241" s="171">
        <f ca="1">IF(OR($D241&lt;&gt;"Serviço",AND(AUTOEVENTO="Manual",$M241=$A$15)),0,
         IF(OFFSET(CRONOPLE!$F$15,$M241-$A$15,BE$13)=0,10^12,OFFSET(CRONOPLE!$F$15,$M241-$A$15,BE$13)))</f>
        <v>3</v>
      </c>
      <c r="BF241" s="171">
        <f ca="1">IF(OR($D241&lt;&gt;"Serviço",AND(AUTOEVENTO="Manual",$M241=$A$15)),0,
         IF(OFFSET(CRONOPLE!$F$15,$M241-$A$15,BF$13)=0,10^12,OFFSET(CRONOPLE!$F$15,$M241-$A$15,BF$13)))</f>
        <v>4</v>
      </c>
      <c r="BG241" s="171">
        <f ca="1">IF(OR($D241&lt;&gt;"Serviço",AND(AUTOEVENTO="Manual",$M241=$A$15)),0,
         IF(OFFSET(CRONOPLE!$F$15,$M241-$A$15,BG$13)=0,10^12,OFFSET(CRONOPLE!$F$15,$M241-$A$15,BG$13)))</f>
        <v>5</v>
      </c>
      <c r="BH241" s="171">
        <f ca="1">IF(OR($D241&lt;&gt;"Serviço",AND(AUTOEVENTO="Manual",$M241=$A$15)),0,
         IF(OFFSET(CRONOPLE!$F$15,$M241-$A$15,BH$13)=0,10^12,OFFSET(CRONOPLE!$F$15,$M241-$A$15,BH$13)))</f>
        <v>6</v>
      </c>
      <c r="BI241" s="171">
        <f ca="1">IF(OR($D241&lt;&gt;"Serviço",AND(AUTOEVENTO="Manual",$M241=$A$15)),0,
         IF(OFFSET(CRONOPLE!$F$15,$M241-$A$15,BI$13)=0,10^12,OFFSET(CRONOPLE!$F$15,$M241-$A$15,BI$13)))</f>
        <v>7</v>
      </c>
      <c r="BJ241" s="171">
        <f ca="1">IF(OR($D241&lt;&gt;"Serviço",AND(AUTOEVENTO="Manual",$M241=$A$15)),0,
         IF(OFFSET(CRONOPLE!$F$15,$M241-$A$15,BJ$13)=0,10^12,OFFSET(CRONOPLE!$F$15,$M241-$A$15,BJ$13)))</f>
        <v>8</v>
      </c>
      <c r="BK241" s="171">
        <f ca="1">IF(OR($D241&lt;&gt;"Serviço",AND(AUTOEVENTO="Manual",$M241=$A$15)),0,
         IF(OFFSET(CRONOPLE!$F$15,$M241-$A$15,BK$13)=0,10^12,OFFSET(CRONOPLE!$F$15,$M241-$A$15,BK$13)))</f>
        <v>9</v>
      </c>
      <c r="BL241" s="171">
        <f ca="1">IF(OR($D241&lt;&gt;"Serviço",AND(AUTOEVENTO="Manual",$M241=$A$15)),0,
         IF(OFFSET(CRONOPLE!$F$15,$M241-$A$15,BL$13)=0,10^12,OFFSET(CRONOPLE!$F$15,$M241-$A$15,BL$13)))</f>
        <v>10</v>
      </c>
      <c r="BM241" s="171">
        <f ca="1">IF(OR($D241&lt;&gt;"Serviço",AND(AUTOEVENTO="Manual",$M241=$A$15)),0,
         IF(OFFSET(CRONOPLE!$F$15,$M241-$A$15,BM$13)=0,10^12,OFFSET(CRONOPLE!$F$15,$M241-$A$15,BM$13)))</f>
        <v>1000000000000</v>
      </c>
      <c r="BN241" s="171">
        <f ca="1">IF(OR($D241&lt;&gt;"Serviço",AND(AUTOEVENTO="Manual",$M241=$A$15)),0,
         IF(OFFSET(CRONOPLE!$F$15,$M241-$A$15,BN$13)=0,10^12,OFFSET(CRONOPLE!$F$15,$M241-$A$15,BN$13)))</f>
        <v>1000000000000</v>
      </c>
      <c r="BO241" s="171">
        <f ca="1">IF(OR($D241&lt;&gt;"Serviço",AND(AUTOEVENTO="Manual",$M241=$A$15)),0,
         IF(OFFSET(CRONOPLE!$F$15,$M241-$A$15,BO$13)=0,10^12,OFFSET(CRONOPLE!$F$15,$M241-$A$15,BO$13)))</f>
        <v>1000000000000</v>
      </c>
      <c r="BP241" s="171">
        <f ca="1">IF(OR($D241&lt;&gt;"Serviço",AND(AUTOEVENTO="Manual",$M241=$A$15)),0,
         IF(OFFSET(CRONOPLE!$F$15,$M241-$A$15,BP$13)=0,10^12,OFFSET(CRONOPLE!$F$15,$M241-$A$15,BP$13)))</f>
        <v>1000000000000</v>
      </c>
      <c r="BQ241" s="171">
        <f ca="1">IF(OR($D241&lt;&gt;"Serviço",AND(AUTOEVENTO="Manual",$M241=$A$15)),0,
         IF(OFFSET(CRONOPLE!$F$15,$M241-$A$15,BQ$13)=0,10^12,OFFSET(CRONOPLE!$F$15,$M241-$A$15,BQ$13)))</f>
        <v>1000000000000</v>
      </c>
      <c r="BR241" s="171">
        <f ca="1">IF(OR($D241&lt;&gt;"Serviço",AND(AUTOEVENTO="Manual",$M241=$A$15)),0,
         IF(OFFSET(CRONOPLE!$F$15,$M241-$A$15,BR$13)=0,10^12,OFFSET(CRONOPLE!$F$15,$M241-$A$15,BR$13)))</f>
        <v>1000000000000</v>
      </c>
      <c r="BS241" s="171">
        <f ca="1">IF(OR($D241&lt;&gt;"Serviço",AND(AUTOEVENTO="Manual",$M241=$A$15)),0,
         IF(OFFSET(CRONOPLE!$F$15,$M241-$A$15,BS$13)=0,10^12,OFFSET(CRONOPLE!$F$15,$M241-$A$15,BS$13)))</f>
        <v>1000000000000</v>
      </c>
      <c r="BT241" s="171">
        <f ca="1">IF(OR($D241&lt;&gt;"Serviço",AND(AUTOEVENTO="Manual",$M241=$A$15)),0,
         IF(OFFSET(CRONOPLE!$F$15,$M241-$A$15,BT$13)=0,10^12,OFFSET(CRONOPLE!$F$15,$M241-$A$15,BT$13)))</f>
        <v>1000000000000</v>
      </c>
      <c r="BV241" s="172">
        <f ca="1">IF(OR($D241&lt;&gt;"Serviço",AND(AUTOEVENTO="Manual",$M241=$A$15),$M241&gt;(ROW(PLE.lastrow)-ROW(PLE.firstrow))),0,
           IF(OFFSET(PLE!$G$15,$M241-$A$15,BV$13)="",10^12,OFFSET(PLE!$G$15,$M241-$A$15,BV$13)))</f>
        <v>1000000000000</v>
      </c>
      <c r="BW241" s="172">
        <f ca="1">IF(OR($D241&lt;&gt;"Serviço",AND(AUTOEVENTO="Manual",$M241=$A$15),$M241&gt;(ROW(PLE.lastrow)-ROW(PLE.firstrow))),0,
           IF(OFFSET(PLE!$G$15,$M241-$A$15,BW$13)="",10^12,OFFSET(PLE!$G$15,$M241-$A$15,BW$13)))</f>
        <v>1000000000000</v>
      </c>
      <c r="BX241" s="172">
        <f ca="1">IF(OR($D241&lt;&gt;"Serviço",AND(AUTOEVENTO="Manual",$M241=$A$15),$M241&gt;(ROW(PLE.lastrow)-ROW(PLE.firstrow))),0,
           IF(OFFSET(PLE!$G$15,$M241-$A$15,BX$13)="",10^12,OFFSET(PLE!$G$15,$M241-$A$15,BX$13)))</f>
        <v>1000000000000</v>
      </c>
      <c r="BY241" s="172">
        <f ca="1">IF(OR($D241&lt;&gt;"Serviço",AND(AUTOEVENTO="Manual",$M241=$A$15),$M241&gt;(ROW(PLE.lastrow)-ROW(PLE.firstrow))),0,
           IF(OFFSET(PLE!$G$15,$M241-$A$15,BY$13)="",10^12,OFFSET(PLE!$G$15,$M241-$A$15,BY$13)))</f>
        <v>1000000000000</v>
      </c>
      <c r="BZ241" s="172">
        <f ca="1">IF(OR($D241&lt;&gt;"Serviço",AND(AUTOEVENTO="Manual",$M241=$A$15),$M241&gt;(ROW(PLE.lastrow)-ROW(PLE.firstrow))),0,
           IF(OFFSET(PLE!$G$15,$M241-$A$15,BZ$13)="",10^12,OFFSET(PLE!$G$15,$M241-$A$15,BZ$13)))</f>
        <v>1000000000000</v>
      </c>
      <c r="CA241" s="172">
        <f ca="1">IF(OR($D241&lt;&gt;"Serviço",AND(AUTOEVENTO="Manual",$M241=$A$15),$M241&gt;(ROW(PLE.lastrow)-ROW(PLE.firstrow))),0,
           IF(OFFSET(PLE!$G$15,$M241-$A$15,CA$13)="",10^12,OFFSET(PLE!$G$15,$M241-$A$15,CA$13)))</f>
        <v>1000000000000</v>
      </c>
      <c r="CB241" s="172">
        <f ca="1">IF(OR($D241&lt;&gt;"Serviço",AND(AUTOEVENTO="Manual",$M241=$A$15),$M241&gt;(ROW(PLE.lastrow)-ROW(PLE.firstrow))),0,
           IF(OFFSET(PLE!$G$15,$M241-$A$15,CB$13)="",10^12,OFFSET(PLE!$G$15,$M241-$A$15,CB$13)))</f>
        <v>1000000000000</v>
      </c>
      <c r="CC241" s="172">
        <f ca="1">IF(OR($D241&lt;&gt;"Serviço",AND(AUTOEVENTO="Manual",$M241=$A$15),$M241&gt;(ROW(PLE.lastrow)-ROW(PLE.firstrow))),0,
           IF(OFFSET(PLE!$G$15,$M241-$A$15,CC$13)="",10^12,OFFSET(PLE!$G$15,$M241-$A$15,CC$13)))</f>
        <v>1000000000000</v>
      </c>
      <c r="CD241" s="172">
        <f ca="1">IF(OR($D241&lt;&gt;"Serviço",AND(AUTOEVENTO="Manual",$M241=$A$15),$M241&gt;(ROW(PLE.lastrow)-ROW(PLE.firstrow))),0,
           IF(OFFSET(PLE!$G$15,$M241-$A$15,CD$13)="",10^12,OFFSET(PLE!$G$15,$M241-$A$15,CD$13)))</f>
        <v>1000000000000</v>
      </c>
      <c r="CE241" s="172">
        <f ca="1">IF(OR($D241&lt;&gt;"Serviço",AND(AUTOEVENTO="Manual",$M241=$A$15),$M241&gt;(ROW(PLE.lastrow)-ROW(PLE.firstrow))),0,
           IF(OFFSET(PLE!$G$15,$M241-$A$15,CE$13)="",10^12,OFFSET(PLE!$G$15,$M241-$A$15,CE$13)))</f>
        <v>1000000000000</v>
      </c>
      <c r="CF241" s="172">
        <f ca="1">IF(OR($D241&lt;&gt;"Serviço",AND(AUTOEVENTO="Manual",$M241=$A$15),$M241&gt;(ROW(PLE.lastrow)-ROW(PLE.firstrow))),0,
           IF(OFFSET(PLE!$G$15,$M241-$A$15,CF$13)="",10^12,OFFSET(PLE!$G$15,$M241-$A$15,CF$13)))</f>
        <v>1000000000000</v>
      </c>
      <c r="CG241" s="172">
        <f ca="1">IF(OR($D241&lt;&gt;"Serviço",AND(AUTOEVENTO="Manual",$M241=$A$15),$M241&gt;(ROW(PLE.lastrow)-ROW(PLE.firstrow))),0,
           IF(OFFSET(PLE!$G$15,$M241-$A$15,CG$13)="",10^12,OFFSET(PLE!$G$15,$M241-$A$15,CG$13)))</f>
        <v>1000000000000</v>
      </c>
      <c r="CH241" s="172">
        <f ca="1">IF(OR($D241&lt;&gt;"Serviço",AND(AUTOEVENTO="Manual",$M241=$A$15),$M241&gt;(ROW(PLE.lastrow)-ROW(PLE.firstrow))),0,
           IF(OFFSET(PLE!$G$15,$M241-$A$15,CH$13)="",10^12,OFFSET(PLE!$G$15,$M241-$A$15,CH$13)))</f>
        <v>1000000000000</v>
      </c>
      <c r="CI241" s="172">
        <f ca="1">IF(OR($D241&lt;&gt;"Serviço",AND(AUTOEVENTO="Manual",$M241=$A$15),$M241&gt;(ROW(PLE.lastrow)-ROW(PLE.firstrow))),0,
           IF(OFFSET(PLE!$G$15,$M241-$A$15,CI$13)="",10^12,OFFSET(PLE!$G$15,$M241-$A$15,CI$13)))</f>
        <v>1000000000000</v>
      </c>
      <c r="CJ241" s="172">
        <f ca="1">IF(OR($D241&lt;&gt;"Serviço",AND(AUTOEVENTO="Manual",$M241=$A$15),$M241&gt;(ROW(PLE.lastrow)-ROW(PLE.firstrow))),0,
           IF(OFFSET(PLE!$G$15,$M241-$A$15,CJ$13)="",10^12,OFFSET(PLE!$G$15,$M241-$A$15,CJ$13)))</f>
        <v>1000000000000</v>
      </c>
      <c r="CK241" s="172">
        <f ca="1">IF(OR($D241&lt;&gt;"Serviço",AND(AUTOEVENTO="Manual",$M241=$A$15),$M241&gt;(ROW(PLE.lastrow)-ROW(PLE.firstrow))),0,
           IF(OFFSET(PLE!$G$15,$M241-$A$15,CK$13)="",10^12,OFFSET(PLE!$G$15,$M241-$A$15,CK$13)))</f>
        <v>1000000000000</v>
      </c>
      <c r="CL241" s="172">
        <f ca="1">IF(OR($D241&lt;&gt;"Serviço",AND(AUTOEVENTO="Manual",$M241=$A$15),$M241&gt;(ROW(PLE.lastrow)-ROW(PLE.firstrow))),0,
           IF(OFFSET(PLE!$G$15,$M241-$A$15,CL$13)="",10^12,OFFSET(PLE!$G$15,$M241-$A$15,CL$13)))</f>
        <v>1000000000000</v>
      </c>
      <c r="CM241" s="172">
        <f ca="1">IF(OR($D241&lt;&gt;"Serviço",AND(AUTOEVENTO="Manual",$M241=$A$15),$M241&gt;(ROW(PLE.lastrow)-ROW(PLE.firstrow))),0,
           IF(OFFSET(PLE!$G$15,$M241-$A$15,CM$13)="",10^12,OFFSET(PLE!$G$15,$M241-$A$15,CM$13)))</f>
        <v>1000000000000</v>
      </c>
    </row>
    <row r="242" spans="1:91" ht="63.75" x14ac:dyDescent="0.2">
      <c r="A242" s="7">
        <f t="shared" ca="1" si="13"/>
        <v>5</v>
      </c>
      <c r="B242" s="7" t="str">
        <f ca="1">OFFSET(ORÇAMENTO!C$15,ROW(B242)-ROW(B$15),0)</f>
        <v>S</v>
      </c>
      <c r="C242" s="7" t="str">
        <f ca="1">OFFSET(ORÇAMENTO!L$15,ROW(C242)-ROW(C$15),0)</f>
        <v>F</v>
      </c>
      <c r="D242" s="116" t="str">
        <f ca="1">OFFSET(ORÇAMENTO!N$15,ROW(D242)-ROW(D$15),0)</f>
        <v>Serviço</v>
      </c>
      <c r="E242" s="117" t="str">
        <f ca="1">OFFSET(ORÇAMENTO!O$15,ROW(E242)-ROW(E$15),0)</f>
        <v>1.6.3.0.7.</v>
      </c>
      <c r="F242" s="163" t="str">
        <f ca="1">OFFSET(ORÇAMENTO!R$15,ROW(F242)-ROW(F$15),0)</f>
        <v>PINTURA ESMALTE BASE SOLVENTE EM ESTRUTURA METÁLICA, DUAS (2) DEMÃOS, COM APLICAÇÃO MANUAL, INCLUSIVE UMA (1) DEMÃO FUNDO GALVANIZADO</v>
      </c>
      <c r="G242" s="164" t="str">
        <f ca="1">IF($D242&lt;&gt;"Serviço","",OFFSET(ORÇAMENTO!S$15,ROW(G242)-ROW(G$15),0))</f>
        <v>M2</v>
      </c>
      <c r="H242" s="122" cm="1">
        <f t="array" aca="1" ref="H242" ca="1">IF($D242&lt;&gt;"Serviço",0,IF(ACOMPANHAMENTO="BM",ROUND(OFFSET(ORÇAMENTO!AJ$15,ROW(H242)-ROW(H$15),0),15-13*ORÇAMENTO!$AF$7),SUMPRODUCT(($Q$1:$AI$1=1)*ROUND($Q242:$AI242,15-13*ORÇAMENTO!$AF$7))))</f>
        <v>36.64</v>
      </c>
      <c r="I242" s="468" t="s">
        <v>1345</v>
      </c>
      <c r="J242" s="640" t="str" cm="1">
        <f t="array" aca="1" ref="J242" ca="1">IF(OR(B242&lt;&gt;"S",CÁLCULO.FrentesPreenchidas=0),"",IF(AND(ACOMPANHAMENTO="PLE",AUTOEVENTO="Manual",OR(H242&gt;0,ORÇAMENTO!AC242="QUANT."),OR(K242="",M242=0,N242="")),"►E",IF(AND(ACOMPANHAMENTO="PLE",ORÇAMENTO!AC242="QUANT."),"►Q",IF(AND(ACOMPANHAMENTO="PLE",H242&lt;&gt;SUMPRODUCT(($Q$1:$AI$1=1)*ROUND(Q242:AI242,15))),"►S",IF(AND(COUNTIF($P$11:$AI$11,"▼")=0,H242&gt;0,I242=""),"◄M","")))))</f>
        <v/>
      </c>
      <c r="K242" s="641" t="s">
        <v>1390</v>
      </c>
      <c r="L242" s="165" t="s">
        <v>764</v>
      </c>
      <c r="M242" s="166">
        <f ca="1">IF($D242&lt;&gt;"Serviço","",
          IF(AUTOEVENTO="manual",$A242,
                IF(ISERROR(MATCH($A242,$A$15:OFFSET($A242,-1,0),0)),MAX($M$15:OFFSET(M242,-1,0))+1,
                      INDEX($M$15:OFFSET(M242,-1,0),MATCH($A242,$A$15:OFFSET($A242,-1,0),0)))))</f>
        <v>5</v>
      </c>
      <c r="N242" s="167" t="str">
        <f ca="1">IF($D242&lt;&gt;"Serviço","",
         IF(AUTOEVENTO="Manual",
                IF($A242=0,"&lt;-- defina o número do agrupador",
                       OFFSET(EVENTOS!$D$15,$A242-$A$15,0)),
                OFFSET($F$15,$A242,0)))</f>
        <v>Estrutura Metálica</v>
      </c>
      <c r="O242" s="168"/>
      <c r="Q242" s="168"/>
      <c r="R242" s="169"/>
      <c r="S242" s="169"/>
      <c r="T242" s="169"/>
      <c r="U242" s="169"/>
      <c r="V242" s="169"/>
      <c r="W242" s="169">
        <v>36.64</v>
      </c>
      <c r="X242" s="169"/>
      <c r="Y242" s="169"/>
      <c r="Z242" s="170"/>
      <c r="AA242" s="169"/>
      <c r="AB242" s="169"/>
      <c r="AC242" s="169"/>
      <c r="AD242" s="169"/>
      <c r="AE242" s="169"/>
      <c r="AF242" s="169"/>
      <c r="AG242" s="169"/>
      <c r="AH242" s="170"/>
      <c r="AJ242" s="453">
        <f ca="1">IF(AND($D242="Serviço",AJ$12&lt;&gt;0,$H242&gt;0,OR(AUTOEVENTO&lt;&gt;"manual",$M242&lt;&gt;$A$15)),
        IF(Import.TipoArredondamento&lt;&gt;"TransfereGOV",
              ROUND(OFFSET($P242,0,AJ$13),15-13*ORÇAMENTO!$AF$7)/$H242*OFFSET(ORÇAMENTO!$X$15,ROW(AJ242)-ROW(AJ$15),0),
              ROUND(ROUND(OFFSET($P242,0,AJ$13),15-13*ORÇAMENTO!$AF$7)*OFFSET(ORÇAMENTO!$W$15,ROW(AJ242)-ROW(AJ$15),0),15-13*ORÇAMENTO!$AF$11)),
         0)</f>
        <v>0</v>
      </c>
      <c r="AK242" s="453">
        <f ca="1">IF(AND($D242="Serviço",AK$12&lt;&gt;0,$H242&gt;0,OR(AUTOEVENTO&lt;&gt;"manual",$M242&lt;&gt;$A$15)),
        IF(Import.TipoArredondamento&lt;&gt;"TransfereGOV",
              ROUND(OFFSET($P242,0,AK$13),15-13*ORÇAMENTO!$AF$7)/$H242*OFFSET(ORÇAMENTO!$X$15,ROW(AK242)-ROW(AK$15),0),
              ROUND(ROUND(OFFSET($P242,0,AK$13),15-13*ORÇAMENTO!$AF$7)*OFFSET(ORÇAMENTO!$W$15,ROW(AK242)-ROW(AK$15),0),15-13*ORÇAMENTO!$AF$11)),
         0)</f>
        <v>0</v>
      </c>
      <c r="AL242" s="453">
        <f ca="1">IF(AND($D242="Serviço",AL$12&lt;&gt;0,$H242&gt;0,OR(AUTOEVENTO&lt;&gt;"manual",$M242&lt;&gt;$A$15)),
        IF(Import.TipoArredondamento&lt;&gt;"TransfereGOV",
              ROUND(OFFSET($P242,0,AL$13),15-13*ORÇAMENTO!$AF$7)/$H242*OFFSET(ORÇAMENTO!$X$15,ROW(AL242)-ROW(AL$15),0),
              ROUND(ROUND(OFFSET($P242,0,AL$13),15-13*ORÇAMENTO!$AF$7)*OFFSET(ORÇAMENTO!$W$15,ROW(AL242)-ROW(AL$15),0),15-13*ORÇAMENTO!$AF$11)),
         0)</f>
        <v>0</v>
      </c>
      <c r="AM242" s="453">
        <f ca="1">IF(AND($D242="Serviço",AM$12&lt;&gt;0,$H242&gt;0,OR(AUTOEVENTO&lt;&gt;"manual",$M242&lt;&gt;$A$15)),
        IF(Import.TipoArredondamento&lt;&gt;"TransfereGOV",
              ROUND(OFFSET($P242,0,AM$13),15-13*ORÇAMENTO!$AF$7)/$H242*OFFSET(ORÇAMENTO!$X$15,ROW(AM242)-ROW(AM$15),0),
              ROUND(ROUND(OFFSET($P242,0,AM$13),15-13*ORÇAMENTO!$AF$7)*OFFSET(ORÇAMENTO!$W$15,ROW(AM242)-ROW(AM$15),0),15-13*ORÇAMENTO!$AF$11)),
         0)</f>
        <v>0</v>
      </c>
      <c r="AN242" s="453">
        <f ca="1">IF(AND($D242="Serviço",AN$12&lt;&gt;0,$H242&gt;0,OR(AUTOEVENTO&lt;&gt;"manual",$M242&lt;&gt;$A$15)),
        IF(Import.TipoArredondamento&lt;&gt;"TransfereGOV",
              ROUND(OFFSET($P242,0,AN$13),15-13*ORÇAMENTO!$AF$7)/$H242*OFFSET(ORÇAMENTO!$X$15,ROW(AN242)-ROW(AN$15),0),
              ROUND(ROUND(OFFSET($P242,0,AN$13),15-13*ORÇAMENTO!$AF$7)*OFFSET(ORÇAMENTO!$W$15,ROW(AN242)-ROW(AN$15),0),15-13*ORÇAMENTO!$AF$11)),
         0)</f>
        <v>0</v>
      </c>
      <c r="AO242" s="453">
        <f ca="1">IF(AND($D242="Serviço",AO$12&lt;&gt;0,$H242&gt;0,OR(AUTOEVENTO&lt;&gt;"manual",$M242&lt;&gt;$A$15)),
        IF(Import.TipoArredondamento&lt;&gt;"TransfereGOV",
              ROUND(OFFSET($P242,0,AO$13),15-13*ORÇAMENTO!$AF$7)/$H242*OFFSET(ORÇAMENTO!$X$15,ROW(AO242)-ROW(AO$15),0),
              ROUND(ROUND(OFFSET($P242,0,AO$13),15-13*ORÇAMENTO!$AF$7)*OFFSET(ORÇAMENTO!$W$15,ROW(AO242)-ROW(AO$15),0),15-13*ORÇAMENTO!$AF$11)),
         0)</f>
        <v>0</v>
      </c>
      <c r="AP242" s="453">
        <f ca="1">IF(AND($D242="Serviço",AP$12&lt;&gt;0,$H242&gt;0,OR(AUTOEVENTO&lt;&gt;"manual",$M242&lt;&gt;$A$15)),
        IF(Import.TipoArredondamento&lt;&gt;"TransfereGOV",
              ROUND(OFFSET($P242,0,AP$13),15-13*ORÇAMENTO!$AF$7)/$H242*OFFSET(ORÇAMENTO!$X$15,ROW(AP242)-ROW(AP$15),0),
              ROUND(ROUND(OFFSET($P242,0,AP$13),15-13*ORÇAMENTO!$AF$7)*OFFSET(ORÇAMENTO!$W$15,ROW(AP242)-ROW(AP$15),0),15-13*ORÇAMENTO!$AF$11)),
         0)</f>
        <v>0</v>
      </c>
      <c r="AQ242" s="453">
        <f ca="1">IF(AND($D242="Serviço",AQ$12&lt;&gt;0,$H242&gt;0,OR(AUTOEVENTO&lt;&gt;"manual",$M242&lt;&gt;$A$15)),
        IF(Import.TipoArredondamento&lt;&gt;"TransfereGOV",
              ROUND(OFFSET($P242,0,AQ$13),15-13*ORÇAMENTO!$AF$7)/$H242*OFFSET(ORÇAMENTO!$X$15,ROW(AQ242)-ROW(AQ$15),0),
              ROUND(ROUND(OFFSET($P242,0,AQ$13),15-13*ORÇAMENTO!$AF$7)*OFFSET(ORÇAMENTO!$W$15,ROW(AQ242)-ROW(AQ$15),0),15-13*ORÇAMENTO!$AF$11)),
         0)</f>
        <v>0</v>
      </c>
      <c r="AR242" s="453">
        <f ca="1">IF(AND($D242="Serviço",AR$12&lt;&gt;0,$H242&gt;0,OR(AUTOEVENTO&lt;&gt;"manual",$M242&lt;&gt;$A$15)),
        IF(Import.TipoArredondamento&lt;&gt;"TransfereGOV",
              ROUND(OFFSET($P242,0,AR$13),15-13*ORÇAMENTO!$AF$7)/$H242*OFFSET(ORÇAMENTO!$X$15,ROW(AR242)-ROW(AR$15),0),
              ROUND(ROUND(OFFSET($P242,0,AR$13),15-13*ORÇAMENTO!$AF$7)*OFFSET(ORÇAMENTO!$W$15,ROW(AR242)-ROW(AR$15),0),15-13*ORÇAMENTO!$AF$11)),
         0)</f>
        <v>0</v>
      </c>
      <c r="AS242" s="453">
        <f ca="1">IF(AND($D242="Serviço",AS$12&lt;&gt;0,$H242&gt;0,OR(AUTOEVENTO&lt;&gt;"manual",$M242&lt;&gt;$A$15)),
        IF(Import.TipoArredondamento&lt;&gt;"TransfereGOV",
              ROUND(OFFSET($P242,0,AS$13),15-13*ORÇAMENTO!$AF$7)/$H242*OFFSET(ORÇAMENTO!$X$15,ROW(AS242)-ROW(AS$15),0),
              ROUND(ROUND(OFFSET($P242,0,AS$13),15-13*ORÇAMENTO!$AF$7)*OFFSET(ORÇAMENTO!$W$15,ROW(AS242)-ROW(AS$15),0),15-13*ORÇAMENTO!$AF$11)),
         0)</f>
        <v>0</v>
      </c>
      <c r="AT242" s="453">
        <f ca="1">IF(AND($D242="Serviço",AT$12&lt;&gt;0,$H242&gt;0,OR(AUTOEVENTO&lt;&gt;"manual",$M242&lt;&gt;$A$15)),
        IF(Import.TipoArredondamento&lt;&gt;"TransfereGOV",
              ROUND(OFFSET($P242,0,AT$13),15-13*ORÇAMENTO!$AF$7)/$H242*OFFSET(ORÇAMENTO!$X$15,ROW(AT242)-ROW(AT$15),0),
              ROUND(ROUND(OFFSET($P242,0,AT$13),15-13*ORÇAMENTO!$AF$7)*OFFSET(ORÇAMENTO!$W$15,ROW(AT242)-ROW(AT$15),0),15-13*ORÇAMENTO!$AF$11)),
         0)</f>
        <v>0</v>
      </c>
      <c r="AU242" s="453">
        <f ca="1">IF(AND($D242="Serviço",AU$12&lt;&gt;0,$H242&gt;0,OR(AUTOEVENTO&lt;&gt;"manual",$M242&lt;&gt;$A$15)),
        IF(Import.TipoArredondamento&lt;&gt;"TransfereGOV",
              ROUND(OFFSET($P242,0,AU$13),15-13*ORÇAMENTO!$AF$7)/$H242*OFFSET(ORÇAMENTO!$X$15,ROW(AU242)-ROW(AU$15),0),
              ROUND(ROUND(OFFSET($P242,0,AU$13),15-13*ORÇAMENTO!$AF$7)*OFFSET(ORÇAMENTO!$W$15,ROW(AU242)-ROW(AU$15),0),15-13*ORÇAMENTO!$AF$11)),
         0)</f>
        <v>0</v>
      </c>
      <c r="AV242" s="453">
        <f ca="1">IF(AND($D242="Serviço",AV$12&lt;&gt;0,$H242&gt;0,OR(AUTOEVENTO&lt;&gt;"manual",$M242&lt;&gt;$A$15)),
        IF(Import.TipoArredondamento&lt;&gt;"TransfereGOV",
              ROUND(OFFSET($P242,0,AV$13),15-13*ORÇAMENTO!$AF$7)/$H242*OFFSET(ORÇAMENTO!$X$15,ROW(AV242)-ROW(AV$15),0),
              ROUND(ROUND(OFFSET($P242,0,AV$13),15-13*ORÇAMENTO!$AF$7)*OFFSET(ORÇAMENTO!$W$15,ROW(AV242)-ROW(AV$15),0),15-13*ORÇAMENTO!$AF$11)),
         0)</f>
        <v>0</v>
      </c>
      <c r="AW242" s="453">
        <f ca="1">IF(AND($D242="Serviço",AW$12&lt;&gt;0,$H242&gt;0,OR(AUTOEVENTO&lt;&gt;"manual",$M242&lt;&gt;$A$15)),
        IF(Import.TipoArredondamento&lt;&gt;"TransfereGOV",
              ROUND(OFFSET($P242,0,AW$13),15-13*ORÇAMENTO!$AF$7)/$H242*OFFSET(ORÇAMENTO!$X$15,ROW(AW242)-ROW(AW$15),0),
              ROUND(ROUND(OFFSET($P242,0,AW$13),15-13*ORÇAMENTO!$AF$7)*OFFSET(ORÇAMENTO!$W$15,ROW(AW242)-ROW(AW$15),0),15-13*ORÇAMENTO!$AF$11)),
         0)</f>
        <v>0</v>
      </c>
      <c r="AX242" s="453">
        <f ca="1">IF(AND($D242="Serviço",AX$12&lt;&gt;0,$H242&gt;0,OR(AUTOEVENTO&lt;&gt;"manual",$M242&lt;&gt;$A$15)),
        IF(Import.TipoArredondamento&lt;&gt;"TransfereGOV",
              ROUND(OFFSET($P242,0,AX$13),15-13*ORÇAMENTO!$AF$7)/$H242*OFFSET(ORÇAMENTO!$X$15,ROW(AX242)-ROW(AX$15),0),
              ROUND(ROUND(OFFSET($P242,0,AX$13),15-13*ORÇAMENTO!$AF$7)*OFFSET(ORÇAMENTO!$W$15,ROW(AX242)-ROW(AX$15),0),15-13*ORÇAMENTO!$AF$11)),
         0)</f>
        <v>0</v>
      </c>
      <c r="AY242" s="453">
        <f ca="1">IF(AND($D242="Serviço",AY$12&lt;&gt;0,$H242&gt;0,OR(AUTOEVENTO&lt;&gt;"manual",$M242&lt;&gt;$A$15)),
        IF(Import.TipoArredondamento&lt;&gt;"TransfereGOV",
              ROUND(OFFSET($P242,0,AY$13),15-13*ORÇAMENTO!$AF$7)/$H242*OFFSET(ORÇAMENTO!$X$15,ROW(AY242)-ROW(AY$15),0),
              ROUND(ROUND(OFFSET($P242,0,AY$13),15-13*ORÇAMENTO!$AF$7)*OFFSET(ORÇAMENTO!$W$15,ROW(AY242)-ROW(AY$15),0),15-13*ORÇAMENTO!$AF$11)),
         0)</f>
        <v>0</v>
      </c>
      <c r="AZ242" s="453">
        <f ca="1">IF(AND($D242="Serviço",AZ$12&lt;&gt;0,$H242&gt;0,OR(AUTOEVENTO&lt;&gt;"manual",$M242&lt;&gt;$A$15)),
        IF(Import.TipoArredondamento&lt;&gt;"TransfereGOV",
              ROUND(OFFSET($P242,0,AZ$13),15-13*ORÇAMENTO!$AF$7)/$H242*OFFSET(ORÇAMENTO!$X$15,ROW(AZ242)-ROW(AZ$15),0),
              ROUND(ROUND(OFFSET($P242,0,AZ$13),15-13*ORÇAMENTO!$AF$7)*OFFSET(ORÇAMENTO!$W$15,ROW(AZ242)-ROW(AZ$15),0),15-13*ORÇAMENTO!$AF$11)),
         0)</f>
        <v>0</v>
      </c>
      <c r="BA242" s="453">
        <f ca="1">IF(AND($D242="Serviço",BA$12&lt;&gt;0,$H242&gt;0,OR(AUTOEVENTO&lt;&gt;"manual",$M242&lt;&gt;$A$15)),
        IF(Import.TipoArredondamento&lt;&gt;"TransfereGOV",
              ROUND(OFFSET($P242,0,BA$13),15-13*ORÇAMENTO!$AF$7)/$H242*OFFSET(ORÇAMENTO!$X$15,ROW(BA242)-ROW(BA$15),0),
              ROUND(ROUND(OFFSET($P242,0,BA$13),15-13*ORÇAMENTO!$AF$7)*OFFSET(ORÇAMENTO!$W$15,ROW(BA242)-ROW(BA$15),0),15-13*ORÇAMENTO!$AF$11)),
         0)</f>
        <v>0</v>
      </c>
      <c r="BC242" s="171">
        <f ca="1">IF(OR($D242&lt;&gt;"Serviço",AND(AUTOEVENTO="Manual",$M242=$A$15)),0,
         IF(OFFSET(CRONOPLE!$F$15,$M242-$A$15,BC$13)=0,10^12,OFFSET(CRONOPLE!$F$15,$M242-$A$15,BC$13)))</f>
        <v>1</v>
      </c>
      <c r="BD242" s="171">
        <f ca="1">IF(OR($D242&lt;&gt;"Serviço",AND(AUTOEVENTO="Manual",$M242=$A$15)),0,
         IF(OFFSET(CRONOPLE!$F$15,$M242-$A$15,BD$13)=0,10^12,OFFSET(CRONOPLE!$F$15,$M242-$A$15,BD$13)))</f>
        <v>2</v>
      </c>
      <c r="BE242" s="171">
        <f ca="1">IF(OR($D242&lt;&gt;"Serviço",AND(AUTOEVENTO="Manual",$M242=$A$15)),0,
         IF(OFFSET(CRONOPLE!$F$15,$M242-$A$15,BE$13)=0,10^12,OFFSET(CRONOPLE!$F$15,$M242-$A$15,BE$13)))</f>
        <v>3</v>
      </c>
      <c r="BF242" s="171">
        <f ca="1">IF(OR($D242&lt;&gt;"Serviço",AND(AUTOEVENTO="Manual",$M242=$A$15)),0,
         IF(OFFSET(CRONOPLE!$F$15,$M242-$A$15,BF$13)=0,10^12,OFFSET(CRONOPLE!$F$15,$M242-$A$15,BF$13)))</f>
        <v>4</v>
      </c>
      <c r="BG242" s="171">
        <f ca="1">IF(OR($D242&lt;&gt;"Serviço",AND(AUTOEVENTO="Manual",$M242=$A$15)),0,
         IF(OFFSET(CRONOPLE!$F$15,$M242-$A$15,BG$13)=0,10^12,OFFSET(CRONOPLE!$F$15,$M242-$A$15,BG$13)))</f>
        <v>5</v>
      </c>
      <c r="BH242" s="171">
        <f ca="1">IF(OR($D242&lt;&gt;"Serviço",AND(AUTOEVENTO="Manual",$M242=$A$15)),0,
         IF(OFFSET(CRONOPLE!$F$15,$M242-$A$15,BH$13)=0,10^12,OFFSET(CRONOPLE!$F$15,$M242-$A$15,BH$13)))</f>
        <v>6</v>
      </c>
      <c r="BI242" s="171">
        <f ca="1">IF(OR($D242&lt;&gt;"Serviço",AND(AUTOEVENTO="Manual",$M242=$A$15)),0,
         IF(OFFSET(CRONOPLE!$F$15,$M242-$A$15,BI$13)=0,10^12,OFFSET(CRONOPLE!$F$15,$M242-$A$15,BI$13)))</f>
        <v>7</v>
      </c>
      <c r="BJ242" s="171">
        <f ca="1">IF(OR($D242&lt;&gt;"Serviço",AND(AUTOEVENTO="Manual",$M242=$A$15)),0,
         IF(OFFSET(CRONOPLE!$F$15,$M242-$A$15,BJ$13)=0,10^12,OFFSET(CRONOPLE!$F$15,$M242-$A$15,BJ$13)))</f>
        <v>8</v>
      </c>
      <c r="BK242" s="171">
        <f ca="1">IF(OR($D242&lt;&gt;"Serviço",AND(AUTOEVENTO="Manual",$M242=$A$15)),0,
         IF(OFFSET(CRONOPLE!$F$15,$M242-$A$15,BK$13)=0,10^12,OFFSET(CRONOPLE!$F$15,$M242-$A$15,BK$13)))</f>
        <v>9</v>
      </c>
      <c r="BL242" s="171">
        <f ca="1">IF(OR($D242&lt;&gt;"Serviço",AND(AUTOEVENTO="Manual",$M242=$A$15)),0,
         IF(OFFSET(CRONOPLE!$F$15,$M242-$A$15,BL$13)=0,10^12,OFFSET(CRONOPLE!$F$15,$M242-$A$15,BL$13)))</f>
        <v>10</v>
      </c>
      <c r="BM242" s="171">
        <f ca="1">IF(OR($D242&lt;&gt;"Serviço",AND(AUTOEVENTO="Manual",$M242=$A$15)),0,
         IF(OFFSET(CRONOPLE!$F$15,$M242-$A$15,BM$13)=0,10^12,OFFSET(CRONOPLE!$F$15,$M242-$A$15,BM$13)))</f>
        <v>1000000000000</v>
      </c>
      <c r="BN242" s="171">
        <f ca="1">IF(OR($D242&lt;&gt;"Serviço",AND(AUTOEVENTO="Manual",$M242=$A$15)),0,
         IF(OFFSET(CRONOPLE!$F$15,$M242-$A$15,BN$13)=0,10^12,OFFSET(CRONOPLE!$F$15,$M242-$A$15,BN$13)))</f>
        <v>1000000000000</v>
      </c>
      <c r="BO242" s="171">
        <f ca="1">IF(OR($D242&lt;&gt;"Serviço",AND(AUTOEVENTO="Manual",$M242=$A$15)),0,
         IF(OFFSET(CRONOPLE!$F$15,$M242-$A$15,BO$13)=0,10^12,OFFSET(CRONOPLE!$F$15,$M242-$A$15,BO$13)))</f>
        <v>1000000000000</v>
      </c>
      <c r="BP242" s="171">
        <f ca="1">IF(OR($D242&lt;&gt;"Serviço",AND(AUTOEVENTO="Manual",$M242=$A$15)),0,
         IF(OFFSET(CRONOPLE!$F$15,$M242-$A$15,BP$13)=0,10^12,OFFSET(CRONOPLE!$F$15,$M242-$A$15,BP$13)))</f>
        <v>1000000000000</v>
      </c>
      <c r="BQ242" s="171">
        <f ca="1">IF(OR($D242&lt;&gt;"Serviço",AND(AUTOEVENTO="Manual",$M242=$A$15)),0,
         IF(OFFSET(CRONOPLE!$F$15,$M242-$A$15,BQ$13)=0,10^12,OFFSET(CRONOPLE!$F$15,$M242-$A$15,BQ$13)))</f>
        <v>1000000000000</v>
      </c>
      <c r="BR242" s="171">
        <f ca="1">IF(OR($D242&lt;&gt;"Serviço",AND(AUTOEVENTO="Manual",$M242=$A$15)),0,
         IF(OFFSET(CRONOPLE!$F$15,$M242-$A$15,BR$13)=0,10^12,OFFSET(CRONOPLE!$F$15,$M242-$A$15,BR$13)))</f>
        <v>1000000000000</v>
      </c>
      <c r="BS242" s="171">
        <f ca="1">IF(OR($D242&lt;&gt;"Serviço",AND(AUTOEVENTO="Manual",$M242=$A$15)),0,
         IF(OFFSET(CRONOPLE!$F$15,$M242-$A$15,BS$13)=0,10^12,OFFSET(CRONOPLE!$F$15,$M242-$A$15,BS$13)))</f>
        <v>1000000000000</v>
      </c>
      <c r="BT242" s="171">
        <f ca="1">IF(OR($D242&lt;&gt;"Serviço",AND(AUTOEVENTO="Manual",$M242=$A$15)),0,
         IF(OFFSET(CRONOPLE!$F$15,$M242-$A$15,BT$13)=0,10^12,OFFSET(CRONOPLE!$F$15,$M242-$A$15,BT$13)))</f>
        <v>1000000000000</v>
      </c>
      <c r="BV242" s="172">
        <f ca="1">IF(OR($D242&lt;&gt;"Serviço",AND(AUTOEVENTO="Manual",$M242=$A$15),$M242&gt;(ROW(PLE.lastrow)-ROW(PLE.firstrow))),0,
           IF(OFFSET(PLE!$G$15,$M242-$A$15,BV$13)="",10^12,OFFSET(PLE!$G$15,$M242-$A$15,BV$13)))</f>
        <v>1000000000000</v>
      </c>
      <c r="BW242" s="172">
        <f ca="1">IF(OR($D242&lt;&gt;"Serviço",AND(AUTOEVENTO="Manual",$M242=$A$15),$M242&gt;(ROW(PLE.lastrow)-ROW(PLE.firstrow))),0,
           IF(OFFSET(PLE!$G$15,$M242-$A$15,BW$13)="",10^12,OFFSET(PLE!$G$15,$M242-$A$15,BW$13)))</f>
        <v>1000000000000</v>
      </c>
      <c r="BX242" s="172">
        <f ca="1">IF(OR($D242&lt;&gt;"Serviço",AND(AUTOEVENTO="Manual",$M242=$A$15),$M242&gt;(ROW(PLE.lastrow)-ROW(PLE.firstrow))),0,
           IF(OFFSET(PLE!$G$15,$M242-$A$15,BX$13)="",10^12,OFFSET(PLE!$G$15,$M242-$A$15,BX$13)))</f>
        <v>1000000000000</v>
      </c>
      <c r="BY242" s="172">
        <f ca="1">IF(OR($D242&lt;&gt;"Serviço",AND(AUTOEVENTO="Manual",$M242=$A$15),$M242&gt;(ROW(PLE.lastrow)-ROW(PLE.firstrow))),0,
           IF(OFFSET(PLE!$G$15,$M242-$A$15,BY$13)="",10^12,OFFSET(PLE!$G$15,$M242-$A$15,BY$13)))</f>
        <v>1000000000000</v>
      </c>
      <c r="BZ242" s="172">
        <f ca="1">IF(OR($D242&lt;&gt;"Serviço",AND(AUTOEVENTO="Manual",$M242=$A$15),$M242&gt;(ROW(PLE.lastrow)-ROW(PLE.firstrow))),0,
           IF(OFFSET(PLE!$G$15,$M242-$A$15,BZ$13)="",10^12,OFFSET(PLE!$G$15,$M242-$A$15,BZ$13)))</f>
        <v>1000000000000</v>
      </c>
      <c r="CA242" s="172">
        <f ca="1">IF(OR($D242&lt;&gt;"Serviço",AND(AUTOEVENTO="Manual",$M242=$A$15),$M242&gt;(ROW(PLE.lastrow)-ROW(PLE.firstrow))),0,
           IF(OFFSET(PLE!$G$15,$M242-$A$15,CA$13)="",10^12,OFFSET(PLE!$G$15,$M242-$A$15,CA$13)))</f>
        <v>1000000000000</v>
      </c>
      <c r="CB242" s="172">
        <f ca="1">IF(OR($D242&lt;&gt;"Serviço",AND(AUTOEVENTO="Manual",$M242=$A$15),$M242&gt;(ROW(PLE.lastrow)-ROW(PLE.firstrow))),0,
           IF(OFFSET(PLE!$G$15,$M242-$A$15,CB$13)="",10^12,OFFSET(PLE!$G$15,$M242-$A$15,CB$13)))</f>
        <v>1000000000000</v>
      </c>
      <c r="CC242" s="172">
        <f ca="1">IF(OR($D242&lt;&gt;"Serviço",AND(AUTOEVENTO="Manual",$M242=$A$15),$M242&gt;(ROW(PLE.lastrow)-ROW(PLE.firstrow))),0,
           IF(OFFSET(PLE!$G$15,$M242-$A$15,CC$13)="",10^12,OFFSET(PLE!$G$15,$M242-$A$15,CC$13)))</f>
        <v>1000000000000</v>
      </c>
      <c r="CD242" s="172">
        <f ca="1">IF(OR($D242&lt;&gt;"Serviço",AND(AUTOEVENTO="Manual",$M242=$A$15),$M242&gt;(ROW(PLE.lastrow)-ROW(PLE.firstrow))),0,
           IF(OFFSET(PLE!$G$15,$M242-$A$15,CD$13)="",10^12,OFFSET(PLE!$G$15,$M242-$A$15,CD$13)))</f>
        <v>1000000000000</v>
      </c>
      <c r="CE242" s="172">
        <f ca="1">IF(OR($D242&lt;&gt;"Serviço",AND(AUTOEVENTO="Manual",$M242=$A$15),$M242&gt;(ROW(PLE.lastrow)-ROW(PLE.firstrow))),0,
           IF(OFFSET(PLE!$G$15,$M242-$A$15,CE$13)="",10^12,OFFSET(PLE!$G$15,$M242-$A$15,CE$13)))</f>
        <v>1000000000000</v>
      </c>
      <c r="CF242" s="172">
        <f ca="1">IF(OR($D242&lt;&gt;"Serviço",AND(AUTOEVENTO="Manual",$M242=$A$15),$M242&gt;(ROW(PLE.lastrow)-ROW(PLE.firstrow))),0,
           IF(OFFSET(PLE!$G$15,$M242-$A$15,CF$13)="",10^12,OFFSET(PLE!$G$15,$M242-$A$15,CF$13)))</f>
        <v>1000000000000</v>
      </c>
      <c r="CG242" s="172">
        <f ca="1">IF(OR($D242&lt;&gt;"Serviço",AND(AUTOEVENTO="Manual",$M242=$A$15),$M242&gt;(ROW(PLE.lastrow)-ROW(PLE.firstrow))),0,
           IF(OFFSET(PLE!$G$15,$M242-$A$15,CG$13)="",10^12,OFFSET(PLE!$G$15,$M242-$A$15,CG$13)))</f>
        <v>1000000000000</v>
      </c>
      <c r="CH242" s="172">
        <f ca="1">IF(OR($D242&lt;&gt;"Serviço",AND(AUTOEVENTO="Manual",$M242=$A$15),$M242&gt;(ROW(PLE.lastrow)-ROW(PLE.firstrow))),0,
           IF(OFFSET(PLE!$G$15,$M242-$A$15,CH$13)="",10^12,OFFSET(PLE!$G$15,$M242-$A$15,CH$13)))</f>
        <v>1000000000000</v>
      </c>
      <c r="CI242" s="172">
        <f ca="1">IF(OR($D242&lt;&gt;"Serviço",AND(AUTOEVENTO="Manual",$M242=$A$15),$M242&gt;(ROW(PLE.lastrow)-ROW(PLE.firstrow))),0,
           IF(OFFSET(PLE!$G$15,$M242-$A$15,CI$13)="",10^12,OFFSET(PLE!$G$15,$M242-$A$15,CI$13)))</f>
        <v>1000000000000</v>
      </c>
      <c r="CJ242" s="172">
        <f ca="1">IF(OR($D242&lt;&gt;"Serviço",AND(AUTOEVENTO="Manual",$M242=$A$15),$M242&gt;(ROW(PLE.lastrow)-ROW(PLE.firstrow))),0,
           IF(OFFSET(PLE!$G$15,$M242-$A$15,CJ$13)="",10^12,OFFSET(PLE!$G$15,$M242-$A$15,CJ$13)))</f>
        <v>1000000000000</v>
      </c>
      <c r="CK242" s="172">
        <f ca="1">IF(OR($D242&lt;&gt;"Serviço",AND(AUTOEVENTO="Manual",$M242=$A$15),$M242&gt;(ROW(PLE.lastrow)-ROW(PLE.firstrow))),0,
           IF(OFFSET(PLE!$G$15,$M242-$A$15,CK$13)="",10^12,OFFSET(PLE!$G$15,$M242-$A$15,CK$13)))</f>
        <v>1000000000000</v>
      </c>
      <c r="CL242" s="172">
        <f ca="1">IF(OR($D242&lt;&gt;"Serviço",AND(AUTOEVENTO="Manual",$M242=$A$15),$M242&gt;(ROW(PLE.lastrow)-ROW(PLE.firstrow))),0,
           IF(OFFSET(PLE!$G$15,$M242-$A$15,CL$13)="",10^12,OFFSET(PLE!$G$15,$M242-$A$15,CL$13)))</f>
        <v>1000000000000</v>
      </c>
      <c r="CM242" s="172">
        <f ca="1">IF(OR($D242&lt;&gt;"Serviço",AND(AUTOEVENTO="Manual",$M242=$A$15),$M242&gt;(ROW(PLE.lastrow)-ROW(PLE.firstrow))),0,
           IF(OFFSET(PLE!$G$15,$M242-$A$15,CM$13)="",10^12,OFFSET(PLE!$G$15,$M242-$A$15,CM$13)))</f>
        <v>1000000000000</v>
      </c>
    </row>
    <row r="243" spans="1:91" ht="63.75" x14ac:dyDescent="0.2">
      <c r="A243" s="7">
        <f t="shared" ca="1" si="13"/>
        <v>5</v>
      </c>
      <c r="B243" s="7" t="str">
        <f ca="1">OFFSET(ORÇAMENTO!C$15,ROW(B243)-ROW(B$15),0)</f>
        <v>S</v>
      </c>
      <c r="C243" s="7" t="str">
        <f ca="1">OFFSET(ORÇAMENTO!L$15,ROW(C243)-ROW(C$15),0)</f>
        <v>F</v>
      </c>
      <c r="D243" s="116" t="str">
        <f ca="1">OFFSET(ORÇAMENTO!N$15,ROW(D243)-ROW(D$15),0)</f>
        <v>Serviço</v>
      </c>
      <c r="E243" s="117" t="str">
        <f ca="1">OFFSET(ORÇAMENTO!O$15,ROW(E243)-ROW(E$15),0)</f>
        <v>1.6.3.0.8.</v>
      </c>
      <c r="F243" s="163" t="str">
        <f ca="1">OFFSET(ORÇAMENTO!R$15,ROW(F243)-ROW(F$15),0)</f>
        <v>TELHAMENTO COM TELHA METÁLICA TERMOACÚSTICA E = 30 MM, COM ATÉ 2 ÁGUAS, INCLUSO IÇAMENTO. AF_07/2019</v>
      </c>
      <c r="G243" s="164" t="str">
        <f ca="1">IF($D243&lt;&gt;"Serviço","",OFFSET(ORÇAMENTO!S$15,ROW(G243)-ROW(G$15),0))</f>
        <v>M2</v>
      </c>
      <c r="H243" s="122" cm="1">
        <f t="array" aca="1" ref="H243" ca="1">IF($D243&lt;&gt;"Serviço",0,IF(ACOMPANHAMENTO="BM",ROUND(OFFSET(ORÇAMENTO!AJ$15,ROW(H243)-ROW(H$15),0),15-13*ORÇAMENTO!$AF$7),SUMPRODUCT(($Q$1:$AI$1=1)*ROUND($Q243:$AI243,15-13*ORÇAMENTO!$AF$7))))</f>
        <v>35.04</v>
      </c>
      <c r="I243" s="468" t="s">
        <v>1345</v>
      </c>
      <c r="J243" s="640" t="str" cm="1">
        <f t="array" aca="1" ref="J243" ca="1">IF(OR(B243&lt;&gt;"S",CÁLCULO.FrentesPreenchidas=0),"",IF(AND(ACOMPANHAMENTO="PLE",AUTOEVENTO="Manual",OR(H243&gt;0,ORÇAMENTO!AC243="QUANT."),OR(K243="",M243=0,N243="")),"►E",IF(AND(ACOMPANHAMENTO="PLE",ORÇAMENTO!AC243="QUANT."),"►Q",IF(AND(ACOMPANHAMENTO="PLE",H243&lt;&gt;SUMPRODUCT(($Q$1:$AI$1=1)*ROUND(Q243:AI243,15))),"►S",IF(AND(COUNTIF($P$11:$AI$11,"▼")=0,H243&gt;0,I243=""),"◄M","")))))</f>
        <v/>
      </c>
      <c r="K243" s="641" t="s">
        <v>1390</v>
      </c>
      <c r="L243" s="165" t="s">
        <v>764</v>
      </c>
      <c r="M243" s="166">
        <f ca="1">IF($D243&lt;&gt;"Serviço","",
          IF(AUTOEVENTO="manual",$A243,
                IF(ISERROR(MATCH($A243,$A$15:OFFSET($A243,-1,0),0)),MAX($M$15:OFFSET(M243,-1,0))+1,
                      INDEX($M$15:OFFSET(M243,-1,0),MATCH($A243,$A$15:OFFSET($A243,-1,0),0)))))</f>
        <v>5</v>
      </c>
      <c r="N243" s="167" t="str">
        <f ca="1">IF($D243&lt;&gt;"Serviço","",
         IF(AUTOEVENTO="Manual",
                IF($A243=0,"&lt;-- defina o número do agrupador",
                       OFFSET(EVENTOS!$D$15,$A243-$A$15,0)),
                OFFSET($F$15,$A243,0)))</f>
        <v>Estrutura Metálica</v>
      </c>
      <c r="O243" s="168"/>
      <c r="Q243" s="168"/>
      <c r="R243" s="169"/>
      <c r="S243" s="169"/>
      <c r="T243" s="169"/>
      <c r="U243" s="169"/>
      <c r="V243" s="169"/>
      <c r="W243" s="169">
        <v>35.04</v>
      </c>
      <c r="X243" s="169"/>
      <c r="Y243" s="169"/>
      <c r="Z243" s="170"/>
      <c r="AA243" s="169"/>
      <c r="AB243" s="169"/>
      <c r="AC243" s="169"/>
      <c r="AD243" s="169"/>
      <c r="AE243" s="169"/>
      <c r="AF243" s="169"/>
      <c r="AG243" s="169"/>
      <c r="AH243" s="170"/>
      <c r="AJ243" s="453">
        <f ca="1">IF(AND($D243="Serviço",AJ$12&lt;&gt;0,$H243&gt;0,OR(AUTOEVENTO&lt;&gt;"manual",$M243&lt;&gt;$A$15)),
        IF(Import.TipoArredondamento&lt;&gt;"TransfereGOV",
              ROUND(OFFSET($P243,0,AJ$13),15-13*ORÇAMENTO!$AF$7)/$H243*OFFSET(ORÇAMENTO!$X$15,ROW(AJ243)-ROW(AJ$15),0),
              ROUND(ROUND(OFFSET($P243,0,AJ$13),15-13*ORÇAMENTO!$AF$7)*OFFSET(ORÇAMENTO!$W$15,ROW(AJ243)-ROW(AJ$15),0),15-13*ORÇAMENTO!$AF$11)),
         0)</f>
        <v>0</v>
      </c>
      <c r="AK243" s="453">
        <f ca="1">IF(AND($D243="Serviço",AK$12&lt;&gt;0,$H243&gt;0,OR(AUTOEVENTO&lt;&gt;"manual",$M243&lt;&gt;$A$15)),
        IF(Import.TipoArredondamento&lt;&gt;"TransfereGOV",
              ROUND(OFFSET($P243,0,AK$13),15-13*ORÇAMENTO!$AF$7)/$H243*OFFSET(ORÇAMENTO!$X$15,ROW(AK243)-ROW(AK$15),0),
              ROUND(ROUND(OFFSET($P243,0,AK$13),15-13*ORÇAMENTO!$AF$7)*OFFSET(ORÇAMENTO!$W$15,ROW(AK243)-ROW(AK$15),0),15-13*ORÇAMENTO!$AF$11)),
         0)</f>
        <v>0</v>
      </c>
      <c r="AL243" s="453">
        <f ca="1">IF(AND($D243="Serviço",AL$12&lt;&gt;0,$H243&gt;0,OR(AUTOEVENTO&lt;&gt;"manual",$M243&lt;&gt;$A$15)),
        IF(Import.TipoArredondamento&lt;&gt;"TransfereGOV",
              ROUND(OFFSET($P243,0,AL$13),15-13*ORÇAMENTO!$AF$7)/$H243*OFFSET(ORÇAMENTO!$X$15,ROW(AL243)-ROW(AL$15),0),
              ROUND(ROUND(OFFSET($P243,0,AL$13),15-13*ORÇAMENTO!$AF$7)*OFFSET(ORÇAMENTO!$W$15,ROW(AL243)-ROW(AL$15),0),15-13*ORÇAMENTO!$AF$11)),
         0)</f>
        <v>0</v>
      </c>
      <c r="AM243" s="453">
        <f ca="1">IF(AND($D243="Serviço",AM$12&lt;&gt;0,$H243&gt;0,OR(AUTOEVENTO&lt;&gt;"manual",$M243&lt;&gt;$A$15)),
        IF(Import.TipoArredondamento&lt;&gt;"TransfereGOV",
              ROUND(OFFSET($P243,0,AM$13),15-13*ORÇAMENTO!$AF$7)/$H243*OFFSET(ORÇAMENTO!$X$15,ROW(AM243)-ROW(AM$15),0),
              ROUND(ROUND(OFFSET($P243,0,AM$13),15-13*ORÇAMENTO!$AF$7)*OFFSET(ORÇAMENTO!$W$15,ROW(AM243)-ROW(AM$15),0),15-13*ORÇAMENTO!$AF$11)),
         0)</f>
        <v>0</v>
      </c>
      <c r="AN243" s="453">
        <f ca="1">IF(AND($D243="Serviço",AN$12&lt;&gt;0,$H243&gt;0,OR(AUTOEVENTO&lt;&gt;"manual",$M243&lt;&gt;$A$15)),
        IF(Import.TipoArredondamento&lt;&gt;"TransfereGOV",
              ROUND(OFFSET($P243,0,AN$13),15-13*ORÇAMENTO!$AF$7)/$H243*OFFSET(ORÇAMENTO!$X$15,ROW(AN243)-ROW(AN$15),0),
              ROUND(ROUND(OFFSET($P243,0,AN$13),15-13*ORÇAMENTO!$AF$7)*OFFSET(ORÇAMENTO!$W$15,ROW(AN243)-ROW(AN$15),0),15-13*ORÇAMENTO!$AF$11)),
         0)</f>
        <v>0</v>
      </c>
      <c r="AO243" s="453">
        <f ca="1">IF(AND($D243="Serviço",AO$12&lt;&gt;0,$H243&gt;0,OR(AUTOEVENTO&lt;&gt;"manual",$M243&lt;&gt;$A$15)),
        IF(Import.TipoArredondamento&lt;&gt;"TransfereGOV",
              ROUND(OFFSET($P243,0,AO$13),15-13*ORÇAMENTO!$AF$7)/$H243*OFFSET(ORÇAMENTO!$X$15,ROW(AO243)-ROW(AO$15),0),
              ROUND(ROUND(OFFSET($P243,0,AO$13),15-13*ORÇAMENTO!$AF$7)*OFFSET(ORÇAMENTO!$W$15,ROW(AO243)-ROW(AO$15),0),15-13*ORÇAMENTO!$AF$11)),
         0)</f>
        <v>0</v>
      </c>
      <c r="AP243" s="453">
        <f ca="1">IF(AND($D243="Serviço",AP$12&lt;&gt;0,$H243&gt;0,OR(AUTOEVENTO&lt;&gt;"manual",$M243&lt;&gt;$A$15)),
        IF(Import.TipoArredondamento&lt;&gt;"TransfereGOV",
              ROUND(OFFSET($P243,0,AP$13),15-13*ORÇAMENTO!$AF$7)/$H243*OFFSET(ORÇAMENTO!$X$15,ROW(AP243)-ROW(AP$15),0),
              ROUND(ROUND(OFFSET($P243,0,AP$13),15-13*ORÇAMENTO!$AF$7)*OFFSET(ORÇAMENTO!$W$15,ROW(AP243)-ROW(AP$15),0),15-13*ORÇAMENTO!$AF$11)),
         0)</f>
        <v>0</v>
      </c>
      <c r="AQ243" s="453">
        <f ca="1">IF(AND($D243="Serviço",AQ$12&lt;&gt;0,$H243&gt;0,OR(AUTOEVENTO&lt;&gt;"manual",$M243&lt;&gt;$A$15)),
        IF(Import.TipoArredondamento&lt;&gt;"TransfereGOV",
              ROUND(OFFSET($P243,0,AQ$13),15-13*ORÇAMENTO!$AF$7)/$H243*OFFSET(ORÇAMENTO!$X$15,ROW(AQ243)-ROW(AQ$15),0),
              ROUND(ROUND(OFFSET($P243,0,AQ$13),15-13*ORÇAMENTO!$AF$7)*OFFSET(ORÇAMENTO!$W$15,ROW(AQ243)-ROW(AQ$15),0),15-13*ORÇAMENTO!$AF$11)),
         0)</f>
        <v>0</v>
      </c>
      <c r="AR243" s="453">
        <f ca="1">IF(AND($D243="Serviço",AR$12&lt;&gt;0,$H243&gt;0,OR(AUTOEVENTO&lt;&gt;"manual",$M243&lt;&gt;$A$15)),
        IF(Import.TipoArredondamento&lt;&gt;"TransfereGOV",
              ROUND(OFFSET($P243,0,AR$13),15-13*ORÇAMENTO!$AF$7)/$H243*OFFSET(ORÇAMENTO!$X$15,ROW(AR243)-ROW(AR$15),0),
              ROUND(ROUND(OFFSET($P243,0,AR$13),15-13*ORÇAMENTO!$AF$7)*OFFSET(ORÇAMENTO!$W$15,ROW(AR243)-ROW(AR$15),0),15-13*ORÇAMENTO!$AF$11)),
         0)</f>
        <v>0</v>
      </c>
      <c r="AS243" s="453">
        <f ca="1">IF(AND($D243="Serviço",AS$12&lt;&gt;0,$H243&gt;0,OR(AUTOEVENTO&lt;&gt;"manual",$M243&lt;&gt;$A$15)),
        IF(Import.TipoArredondamento&lt;&gt;"TransfereGOV",
              ROUND(OFFSET($P243,0,AS$13),15-13*ORÇAMENTO!$AF$7)/$H243*OFFSET(ORÇAMENTO!$X$15,ROW(AS243)-ROW(AS$15),0),
              ROUND(ROUND(OFFSET($P243,0,AS$13),15-13*ORÇAMENTO!$AF$7)*OFFSET(ORÇAMENTO!$W$15,ROW(AS243)-ROW(AS$15),0),15-13*ORÇAMENTO!$AF$11)),
         0)</f>
        <v>0</v>
      </c>
      <c r="AT243" s="453">
        <f ca="1">IF(AND($D243="Serviço",AT$12&lt;&gt;0,$H243&gt;0,OR(AUTOEVENTO&lt;&gt;"manual",$M243&lt;&gt;$A$15)),
        IF(Import.TipoArredondamento&lt;&gt;"TransfereGOV",
              ROUND(OFFSET($P243,0,AT$13),15-13*ORÇAMENTO!$AF$7)/$H243*OFFSET(ORÇAMENTO!$X$15,ROW(AT243)-ROW(AT$15),0),
              ROUND(ROUND(OFFSET($P243,0,AT$13),15-13*ORÇAMENTO!$AF$7)*OFFSET(ORÇAMENTO!$W$15,ROW(AT243)-ROW(AT$15),0),15-13*ORÇAMENTO!$AF$11)),
         0)</f>
        <v>0</v>
      </c>
      <c r="AU243" s="453">
        <f ca="1">IF(AND($D243="Serviço",AU$12&lt;&gt;0,$H243&gt;0,OR(AUTOEVENTO&lt;&gt;"manual",$M243&lt;&gt;$A$15)),
        IF(Import.TipoArredondamento&lt;&gt;"TransfereGOV",
              ROUND(OFFSET($P243,0,AU$13),15-13*ORÇAMENTO!$AF$7)/$H243*OFFSET(ORÇAMENTO!$X$15,ROW(AU243)-ROW(AU$15),0),
              ROUND(ROUND(OFFSET($P243,0,AU$13),15-13*ORÇAMENTO!$AF$7)*OFFSET(ORÇAMENTO!$W$15,ROW(AU243)-ROW(AU$15),0),15-13*ORÇAMENTO!$AF$11)),
         0)</f>
        <v>0</v>
      </c>
      <c r="AV243" s="453">
        <f ca="1">IF(AND($D243="Serviço",AV$12&lt;&gt;0,$H243&gt;0,OR(AUTOEVENTO&lt;&gt;"manual",$M243&lt;&gt;$A$15)),
        IF(Import.TipoArredondamento&lt;&gt;"TransfereGOV",
              ROUND(OFFSET($P243,0,AV$13),15-13*ORÇAMENTO!$AF$7)/$H243*OFFSET(ORÇAMENTO!$X$15,ROW(AV243)-ROW(AV$15),0),
              ROUND(ROUND(OFFSET($P243,0,AV$13),15-13*ORÇAMENTO!$AF$7)*OFFSET(ORÇAMENTO!$W$15,ROW(AV243)-ROW(AV$15),0),15-13*ORÇAMENTO!$AF$11)),
         0)</f>
        <v>0</v>
      </c>
      <c r="AW243" s="453">
        <f ca="1">IF(AND($D243="Serviço",AW$12&lt;&gt;0,$H243&gt;0,OR(AUTOEVENTO&lt;&gt;"manual",$M243&lt;&gt;$A$15)),
        IF(Import.TipoArredondamento&lt;&gt;"TransfereGOV",
              ROUND(OFFSET($P243,0,AW$13),15-13*ORÇAMENTO!$AF$7)/$H243*OFFSET(ORÇAMENTO!$X$15,ROW(AW243)-ROW(AW$15),0),
              ROUND(ROUND(OFFSET($P243,0,AW$13),15-13*ORÇAMENTO!$AF$7)*OFFSET(ORÇAMENTO!$W$15,ROW(AW243)-ROW(AW$15),0),15-13*ORÇAMENTO!$AF$11)),
         0)</f>
        <v>0</v>
      </c>
      <c r="AX243" s="453">
        <f ca="1">IF(AND($D243="Serviço",AX$12&lt;&gt;0,$H243&gt;0,OR(AUTOEVENTO&lt;&gt;"manual",$M243&lt;&gt;$A$15)),
        IF(Import.TipoArredondamento&lt;&gt;"TransfereGOV",
              ROUND(OFFSET($P243,0,AX$13),15-13*ORÇAMENTO!$AF$7)/$H243*OFFSET(ORÇAMENTO!$X$15,ROW(AX243)-ROW(AX$15),0),
              ROUND(ROUND(OFFSET($P243,0,AX$13),15-13*ORÇAMENTO!$AF$7)*OFFSET(ORÇAMENTO!$W$15,ROW(AX243)-ROW(AX$15),0),15-13*ORÇAMENTO!$AF$11)),
         0)</f>
        <v>0</v>
      </c>
      <c r="AY243" s="453">
        <f ca="1">IF(AND($D243="Serviço",AY$12&lt;&gt;0,$H243&gt;0,OR(AUTOEVENTO&lt;&gt;"manual",$M243&lt;&gt;$A$15)),
        IF(Import.TipoArredondamento&lt;&gt;"TransfereGOV",
              ROUND(OFFSET($P243,0,AY$13),15-13*ORÇAMENTO!$AF$7)/$H243*OFFSET(ORÇAMENTO!$X$15,ROW(AY243)-ROW(AY$15),0),
              ROUND(ROUND(OFFSET($P243,0,AY$13),15-13*ORÇAMENTO!$AF$7)*OFFSET(ORÇAMENTO!$W$15,ROW(AY243)-ROW(AY$15),0),15-13*ORÇAMENTO!$AF$11)),
         0)</f>
        <v>0</v>
      </c>
      <c r="AZ243" s="453">
        <f ca="1">IF(AND($D243="Serviço",AZ$12&lt;&gt;0,$H243&gt;0,OR(AUTOEVENTO&lt;&gt;"manual",$M243&lt;&gt;$A$15)),
        IF(Import.TipoArredondamento&lt;&gt;"TransfereGOV",
              ROUND(OFFSET($P243,0,AZ$13),15-13*ORÇAMENTO!$AF$7)/$H243*OFFSET(ORÇAMENTO!$X$15,ROW(AZ243)-ROW(AZ$15),0),
              ROUND(ROUND(OFFSET($P243,0,AZ$13),15-13*ORÇAMENTO!$AF$7)*OFFSET(ORÇAMENTO!$W$15,ROW(AZ243)-ROW(AZ$15),0),15-13*ORÇAMENTO!$AF$11)),
         0)</f>
        <v>0</v>
      </c>
      <c r="BA243" s="453">
        <f ca="1">IF(AND($D243="Serviço",BA$12&lt;&gt;0,$H243&gt;0,OR(AUTOEVENTO&lt;&gt;"manual",$M243&lt;&gt;$A$15)),
        IF(Import.TipoArredondamento&lt;&gt;"TransfereGOV",
              ROUND(OFFSET($P243,0,BA$13),15-13*ORÇAMENTO!$AF$7)/$H243*OFFSET(ORÇAMENTO!$X$15,ROW(BA243)-ROW(BA$15),0),
              ROUND(ROUND(OFFSET($P243,0,BA$13),15-13*ORÇAMENTO!$AF$7)*OFFSET(ORÇAMENTO!$W$15,ROW(BA243)-ROW(BA$15),0),15-13*ORÇAMENTO!$AF$11)),
         0)</f>
        <v>0</v>
      </c>
      <c r="BC243" s="171">
        <f ca="1">IF(OR($D243&lt;&gt;"Serviço",AND(AUTOEVENTO="Manual",$M243=$A$15)),0,
         IF(OFFSET(CRONOPLE!$F$15,$M243-$A$15,BC$13)=0,10^12,OFFSET(CRONOPLE!$F$15,$M243-$A$15,BC$13)))</f>
        <v>1</v>
      </c>
      <c r="BD243" s="171">
        <f ca="1">IF(OR($D243&lt;&gt;"Serviço",AND(AUTOEVENTO="Manual",$M243=$A$15)),0,
         IF(OFFSET(CRONOPLE!$F$15,$M243-$A$15,BD$13)=0,10^12,OFFSET(CRONOPLE!$F$15,$M243-$A$15,BD$13)))</f>
        <v>2</v>
      </c>
      <c r="BE243" s="171">
        <f ca="1">IF(OR($D243&lt;&gt;"Serviço",AND(AUTOEVENTO="Manual",$M243=$A$15)),0,
         IF(OFFSET(CRONOPLE!$F$15,$M243-$A$15,BE$13)=0,10^12,OFFSET(CRONOPLE!$F$15,$M243-$A$15,BE$13)))</f>
        <v>3</v>
      </c>
      <c r="BF243" s="171">
        <f ca="1">IF(OR($D243&lt;&gt;"Serviço",AND(AUTOEVENTO="Manual",$M243=$A$15)),0,
         IF(OFFSET(CRONOPLE!$F$15,$M243-$A$15,BF$13)=0,10^12,OFFSET(CRONOPLE!$F$15,$M243-$A$15,BF$13)))</f>
        <v>4</v>
      </c>
      <c r="BG243" s="171">
        <f ca="1">IF(OR($D243&lt;&gt;"Serviço",AND(AUTOEVENTO="Manual",$M243=$A$15)),0,
         IF(OFFSET(CRONOPLE!$F$15,$M243-$A$15,BG$13)=0,10^12,OFFSET(CRONOPLE!$F$15,$M243-$A$15,BG$13)))</f>
        <v>5</v>
      </c>
      <c r="BH243" s="171">
        <f ca="1">IF(OR($D243&lt;&gt;"Serviço",AND(AUTOEVENTO="Manual",$M243=$A$15)),0,
         IF(OFFSET(CRONOPLE!$F$15,$M243-$A$15,BH$13)=0,10^12,OFFSET(CRONOPLE!$F$15,$M243-$A$15,BH$13)))</f>
        <v>6</v>
      </c>
      <c r="BI243" s="171">
        <f ca="1">IF(OR($D243&lt;&gt;"Serviço",AND(AUTOEVENTO="Manual",$M243=$A$15)),0,
         IF(OFFSET(CRONOPLE!$F$15,$M243-$A$15,BI$13)=0,10^12,OFFSET(CRONOPLE!$F$15,$M243-$A$15,BI$13)))</f>
        <v>7</v>
      </c>
      <c r="BJ243" s="171">
        <f ca="1">IF(OR($D243&lt;&gt;"Serviço",AND(AUTOEVENTO="Manual",$M243=$A$15)),0,
         IF(OFFSET(CRONOPLE!$F$15,$M243-$A$15,BJ$13)=0,10^12,OFFSET(CRONOPLE!$F$15,$M243-$A$15,BJ$13)))</f>
        <v>8</v>
      </c>
      <c r="BK243" s="171">
        <f ca="1">IF(OR($D243&lt;&gt;"Serviço",AND(AUTOEVENTO="Manual",$M243=$A$15)),0,
         IF(OFFSET(CRONOPLE!$F$15,$M243-$A$15,BK$13)=0,10^12,OFFSET(CRONOPLE!$F$15,$M243-$A$15,BK$13)))</f>
        <v>9</v>
      </c>
      <c r="BL243" s="171">
        <f ca="1">IF(OR($D243&lt;&gt;"Serviço",AND(AUTOEVENTO="Manual",$M243=$A$15)),0,
         IF(OFFSET(CRONOPLE!$F$15,$M243-$A$15,BL$13)=0,10^12,OFFSET(CRONOPLE!$F$15,$M243-$A$15,BL$13)))</f>
        <v>10</v>
      </c>
      <c r="BM243" s="171">
        <f ca="1">IF(OR($D243&lt;&gt;"Serviço",AND(AUTOEVENTO="Manual",$M243=$A$15)),0,
         IF(OFFSET(CRONOPLE!$F$15,$M243-$A$15,BM$13)=0,10^12,OFFSET(CRONOPLE!$F$15,$M243-$A$15,BM$13)))</f>
        <v>1000000000000</v>
      </c>
      <c r="BN243" s="171">
        <f ca="1">IF(OR($D243&lt;&gt;"Serviço",AND(AUTOEVENTO="Manual",$M243=$A$15)),0,
         IF(OFFSET(CRONOPLE!$F$15,$M243-$A$15,BN$13)=0,10^12,OFFSET(CRONOPLE!$F$15,$M243-$A$15,BN$13)))</f>
        <v>1000000000000</v>
      </c>
      <c r="BO243" s="171">
        <f ca="1">IF(OR($D243&lt;&gt;"Serviço",AND(AUTOEVENTO="Manual",$M243=$A$15)),0,
         IF(OFFSET(CRONOPLE!$F$15,$M243-$A$15,BO$13)=0,10^12,OFFSET(CRONOPLE!$F$15,$M243-$A$15,BO$13)))</f>
        <v>1000000000000</v>
      </c>
      <c r="BP243" s="171">
        <f ca="1">IF(OR($D243&lt;&gt;"Serviço",AND(AUTOEVENTO="Manual",$M243=$A$15)),0,
         IF(OFFSET(CRONOPLE!$F$15,$M243-$A$15,BP$13)=0,10^12,OFFSET(CRONOPLE!$F$15,$M243-$A$15,BP$13)))</f>
        <v>1000000000000</v>
      </c>
      <c r="BQ243" s="171">
        <f ca="1">IF(OR($D243&lt;&gt;"Serviço",AND(AUTOEVENTO="Manual",$M243=$A$15)),0,
         IF(OFFSET(CRONOPLE!$F$15,$M243-$A$15,BQ$13)=0,10^12,OFFSET(CRONOPLE!$F$15,$M243-$A$15,BQ$13)))</f>
        <v>1000000000000</v>
      </c>
      <c r="BR243" s="171">
        <f ca="1">IF(OR($D243&lt;&gt;"Serviço",AND(AUTOEVENTO="Manual",$M243=$A$15)),0,
         IF(OFFSET(CRONOPLE!$F$15,$M243-$A$15,BR$13)=0,10^12,OFFSET(CRONOPLE!$F$15,$M243-$A$15,BR$13)))</f>
        <v>1000000000000</v>
      </c>
      <c r="BS243" s="171">
        <f ca="1">IF(OR($D243&lt;&gt;"Serviço",AND(AUTOEVENTO="Manual",$M243=$A$15)),0,
         IF(OFFSET(CRONOPLE!$F$15,$M243-$A$15,BS$13)=0,10^12,OFFSET(CRONOPLE!$F$15,$M243-$A$15,BS$13)))</f>
        <v>1000000000000</v>
      </c>
      <c r="BT243" s="171">
        <f ca="1">IF(OR($D243&lt;&gt;"Serviço",AND(AUTOEVENTO="Manual",$M243=$A$15)),0,
         IF(OFFSET(CRONOPLE!$F$15,$M243-$A$15,BT$13)=0,10^12,OFFSET(CRONOPLE!$F$15,$M243-$A$15,BT$13)))</f>
        <v>1000000000000</v>
      </c>
      <c r="BV243" s="172">
        <f ca="1">IF(OR($D243&lt;&gt;"Serviço",AND(AUTOEVENTO="Manual",$M243=$A$15),$M243&gt;(ROW(PLE.lastrow)-ROW(PLE.firstrow))),0,
           IF(OFFSET(PLE!$G$15,$M243-$A$15,BV$13)="",10^12,OFFSET(PLE!$G$15,$M243-$A$15,BV$13)))</f>
        <v>1000000000000</v>
      </c>
      <c r="BW243" s="172">
        <f ca="1">IF(OR($D243&lt;&gt;"Serviço",AND(AUTOEVENTO="Manual",$M243=$A$15),$M243&gt;(ROW(PLE.lastrow)-ROW(PLE.firstrow))),0,
           IF(OFFSET(PLE!$G$15,$M243-$A$15,BW$13)="",10^12,OFFSET(PLE!$G$15,$M243-$A$15,BW$13)))</f>
        <v>1000000000000</v>
      </c>
      <c r="BX243" s="172">
        <f ca="1">IF(OR($D243&lt;&gt;"Serviço",AND(AUTOEVENTO="Manual",$M243=$A$15),$M243&gt;(ROW(PLE.lastrow)-ROW(PLE.firstrow))),0,
           IF(OFFSET(PLE!$G$15,$M243-$A$15,BX$13)="",10^12,OFFSET(PLE!$G$15,$M243-$A$15,BX$13)))</f>
        <v>1000000000000</v>
      </c>
      <c r="BY243" s="172">
        <f ca="1">IF(OR($D243&lt;&gt;"Serviço",AND(AUTOEVENTO="Manual",$M243=$A$15),$M243&gt;(ROW(PLE.lastrow)-ROW(PLE.firstrow))),0,
           IF(OFFSET(PLE!$G$15,$M243-$A$15,BY$13)="",10^12,OFFSET(PLE!$G$15,$M243-$A$15,BY$13)))</f>
        <v>1000000000000</v>
      </c>
      <c r="BZ243" s="172">
        <f ca="1">IF(OR($D243&lt;&gt;"Serviço",AND(AUTOEVENTO="Manual",$M243=$A$15),$M243&gt;(ROW(PLE.lastrow)-ROW(PLE.firstrow))),0,
           IF(OFFSET(PLE!$G$15,$M243-$A$15,BZ$13)="",10^12,OFFSET(PLE!$G$15,$M243-$A$15,BZ$13)))</f>
        <v>1000000000000</v>
      </c>
      <c r="CA243" s="172">
        <f ca="1">IF(OR($D243&lt;&gt;"Serviço",AND(AUTOEVENTO="Manual",$M243=$A$15),$M243&gt;(ROW(PLE.lastrow)-ROW(PLE.firstrow))),0,
           IF(OFFSET(PLE!$G$15,$M243-$A$15,CA$13)="",10^12,OFFSET(PLE!$G$15,$M243-$A$15,CA$13)))</f>
        <v>1000000000000</v>
      </c>
      <c r="CB243" s="172">
        <f ca="1">IF(OR($D243&lt;&gt;"Serviço",AND(AUTOEVENTO="Manual",$M243=$A$15),$M243&gt;(ROW(PLE.lastrow)-ROW(PLE.firstrow))),0,
           IF(OFFSET(PLE!$G$15,$M243-$A$15,CB$13)="",10^12,OFFSET(PLE!$G$15,$M243-$A$15,CB$13)))</f>
        <v>1000000000000</v>
      </c>
      <c r="CC243" s="172">
        <f ca="1">IF(OR($D243&lt;&gt;"Serviço",AND(AUTOEVENTO="Manual",$M243=$A$15),$M243&gt;(ROW(PLE.lastrow)-ROW(PLE.firstrow))),0,
           IF(OFFSET(PLE!$G$15,$M243-$A$15,CC$13)="",10^12,OFFSET(PLE!$G$15,$M243-$A$15,CC$13)))</f>
        <v>1000000000000</v>
      </c>
      <c r="CD243" s="172">
        <f ca="1">IF(OR($D243&lt;&gt;"Serviço",AND(AUTOEVENTO="Manual",$M243=$A$15),$M243&gt;(ROW(PLE.lastrow)-ROW(PLE.firstrow))),0,
           IF(OFFSET(PLE!$G$15,$M243-$A$15,CD$13)="",10^12,OFFSET(PLE!$G$15,$M243-$A$15,CD$13)))</f>
        <v>1000000000000</v>
      </c>
      <c r="CE243" s="172">
        <f ca="1">IF(OR($D243&lt;&gt;"Serviço",AND(AUTOEVENTO="Manual",$M243=$A$15),$M243&gt;(ROW(PLE.lastrow)-ROW(PLE.firstrow))),0,
           IF(OFFSET(PLE!$G$15,$M243-$A$15,CE$13)="",10^12,OFFSET(PLE!$G$15,$M243-$A$15,CE$13)))</f>
        <v>1000000000000</v>
      </c>
      <c r="CF243" s="172">
        <f ca="1">IF(OR($D243&lt;&gt;"Serviço",AND(AUTOEVENTO="Manual",$M243=$A$15),$M243&gt;(ROW(PLE.lastrow)-ROW(PLE.firstrow))),0,
           IF(OFFSET(PLE!$G$15,$M243-$A$15,CF$13)="",10^12,OFFSET(PLE!$G$15,$M243-$A$15,CF$13)))</f>
        <v>1000000000000</v>
      </c>
      <c r="CG243" s="172">
        <f ca="1">IF(OR($D243&lt;&gt;"Serviço",AND(AUTOEVENTO="Manual",$M243=$A$15),$M243&gt;(ROW(PLE.lastrow)-ROW(PLE.firstrow))),0,
           IF(OFFSET(PLE!$G$15,$M243-$A$15,CG$13)="",10^12,OFFSET(PLE!$G$15,$M243-$A$15,CG$13)))</f>
        <v>1000000000000</v>
      </c>
      <c r="CH243" s="172">
        <f ca="1">IF(OR($D243&lt;&gt;"Serviço",AND(AUTOEVENTO="Manual",$M243=$A$15),$M243&gt;(ROW(PLE.lastrow)-ROW(PLE.firstrow))),0,
           IF(OFFSET(PLE!$G$15,$M243-$A$15,CH$13)="",10^12,OFFSET(PLE!$G$15,$M243-$A$15,CH$13)))</f>
        <v>1000000000000</v>
      </c>
      <c r="CI243" s="172">
        <f ca="1">IF(OR($D243&lt;&gt;"Serviço",AND(AUTOEVENTO="Manual",$M243=$A$15),$M243&gt;(ROW(PLE.lastrow)-ROW(PLE.firstrow))),0,
           IF(OFFSET(PLE!$G$15,$M243-$A$15,CI$13)="",10^12,OFFSET(PLE!$G$15,$M243-$A$15,CI$13)))</f>
        <v>1000000000000</v>
      </c>
      <c r="CJ243" s="172">
        <f ca="1">IF(OR($D243&lt;&gt;"Serviço",AND(AUTOEVENTO="Manual",$M243=$A$15),$M243&gt;(ROW(PLE.lastrow)-ROW(PLE.firstrow))),0,
           IF(OFFSET(PLE!$G$15,$M243-$A$15,CJ$13)="",10^12,OFFSET(PLE!$G$15,$M243-$A$15,CJ$13)))</f>
        <v>1000000000000</v>
      </c>
      <c r="CK243" s="172">
        <f ca="1">IF(OR($D243&lt;&gt;"Serviço",AND(AUTOEVENTO="Manual",$M243=$A$15),$M243&gt;(ROW(PLE.lastrow)-ROW(PLE.firstrow))),0,
           IF(OFFSET(PLE!$G$15,$M243-$A$15,CK$13)="",10^12,OFFSET(PLE!$G$15,$M243-$A$15,CK$13)))</f>
        <v>1000000000000</v>
      </c>
      <c r="CL243" s="172">
        <f ca="1">IF(OR($D243&lt;&gt;"Serviço",AND(AUTOEVENTO="Manual",$M243=$A$15),$M243&gt;(ROW(PLE.lastrow)-ROW(PLE.firstrow))),0,
           IF(OFFSET(PLE!$G$15,$M243-$A$15,CL$13)="",10^12,OFFSET(PLE!$G$15,$M243-$A$15,CL$13)))</f>
        <v>1000000000000</v>
      </c>
      <c r="CM243" s="172">
        <f ca="1">IF(OR($D243&lt;&gt;"Serviço",AND(AUTOEVENTO="Manual",$M243=$A$15),$M243&gt;(ROW(PLE.lastrow)-ROW(PLE.firstrow))),0,
           IF(OFFSET(PLE!$G$15,$M243-$A$15,CM$13)="",10^12,OFFSET(PLE!$G$15,$M243-$A$15,CM$13)))</f>
        <v>1000000000000</v>
      </c>
    </row>
    <row r="244" spans="1:91" ht="12.75" x14ac:dyDescent="0.2">
      <c r="A244" s="7">
        <f t="shared" ca="1" si="13"/>
        <v>0</v>
      </c>
      <c r="B244" s="7">
        <f ca="1">OFFSET(ORÇAMENTO!C$15,ROW(B244)-ROW(B$15),0)</f>
        <v>2</v>
      </c>
      <c r="C244" s="7" t="str">
        <f ca="1">OFFSET(ORÇAMENTO!L$15,ROW(C244)-ROW(C$15),0)</f>
        <v>F</v>
      </c>
      <c r="D244" s="116" t="str">
        <f ca="1">OFFSET(ORÇAMENTO!N$15,ROW(D244)-ROW(D$15),0)</f>
        <v>Nível 2</v>
      </c>
      <c r="E244" s="117" t="str">
        <f ca="1">OFFSET(ORÇAMENTO!O$15,ROW(E244)-ROW(E$15),0)</f>
        <v>1.7.</v>
      </c>
      <c r="F244" s="163" t="str">
        <f ca="1">OFFSET(ORÇAMENTO!R$15,ROW(F244)-ROW(F$15),0)</f>
        <v>SANEAMENTO</v>
      </c>
      <c r="G244" s="164" t="str">
        <f ca="1">IF($D244&lt;&gt;"Serviço","",OFFSET(ORÇAMENTO!S$15,ROW(G244)-ROW(G$15),0))</f>
        <v/>
      </c>
      <c r="H244" s="122" cm="1">
        <f t="array" aca="1" ref="H244" ca="1">IF($D244&lt;&gt;"Serviço",0,IF(ACOMPANHAMENTO="BM",ROUND(OFFSET(ORÇAMENTO!AJ$15,ROW(H244)-ROW(H$15),0),15-13*ORÇAMENTO!$AF$7),SUMPRODUCT(($Q$1:$AI$1=1)*ROUND($Q244:$AI244,15-13*ORÇAMENTO!$AF$7))))</f>
        <v>0</v>
      </c>
      <c r="I244" s="468"/>
      <c r="J244" s="640" t="str" cm="1">
        <f t="array" aca="1" ref="J244" ca="1">IF(OR(B244&lt;&gt;"S",CÁLCULO.FrentesPreenchidas=0),"",IF(AND(ACOMPANHAMENTO="PLE",AUTOEVENTO="Manual",OR(H244&gt;0,ORÇAMENTO!AC244="QUANT."),OR(K244="",M244=0,N244="")),"►E",IF(AND(ACOMPANHAMENTO="PLE",ORÇAMENTO!AC244="QUANT."),"►Q",IF(AND(ACOMPANHAMENTO="PLE",H244&lt;&gt;SUMPRODUCT(($Q$1:$AI$1=1)*ROUND(Q244:AI244,15))),"►S",IF(AND(COUNTIF($P$11:$AI$11,"▼")=0,H244&gt;0,I244=""),"◄M","")))))</f>
        <v/>
      </c>
      <c r="K244" s="641"/>
      <c r="L244" s="165" t="s">
        <v>764</v>
      </c>
      <c r="M244" s="166" t="str">
        <f ca="1">IF($D244&lt;&gt;"Serviço","",
          IF(AUTOEVENTO="manual",$A244,
                IF(ISERROR(MATCH($A244,$A$15:OFFSET($A244,-1,0),0)),MAX($M$15:OFFSET(M244,-1,0))+1,
                      INDEX($M$15:OFFSET(M244,-1,0),MATCH($A244,$A$15:OFFSET($A244,-1,0),0)))))</f>
        <v/>
      </c>
      <c r="N244" s="167" t="str">
        <f ca="1">IF($D244&lt;&gt;"Serviço","",
         IF(AUTOEVENTO="Manual",
                IF($A244=0,"&lt;-- defina o número do agrupador",
                       OFFSET(EVENTOS!$D$15,$A244-$A$15,0)),
                OFFSET($F$15,$A244,0)))</f>
        <v/>
      </c>
      <c r="O244" s="168"/>
      <c r="Q244" s="168"/>
      <c r="R244" s="169"/>
      <c r="S244" s="169"/>
      <c r="T244" s="169"/>
      <c r="U244" s="169"/>
      <c r="V244" s="169"/>
      <c r="W244" s="169"/>
      <c r="X244" s="169"/>
      <c r="Y244" s="169"/>
      <c r="Z244" s="170"/>
      <c r="AA244" s="169"/>
      <c r="AB244" s="169"/>
      <c r="AC244" s="169"/>
      <c r="AD244" s="169"/>
      <c r="AE244" s="169"/>
      <c r="AF244" s="169"/>
      <c r="AG244" s="169"/>
      <c r="AH244" s="170"/>
      <c r="AJ244" s="453">
        <f ca="1">IF(AND($D244="Serviço",AJ$12&lt;&gt;0,$H244&gt;0,OR(AUTOEVENTO&lt;&gt;"manual",$M244&lt;&gt;$A$15)),
        IF(Import.TipoArredondamento&lt;&gt;"TransfereGOV",
              ROUND(OFFSET($P244,0,AJ$13),15-13*ORÇAMENTO!$AF$7)/$H244*OFFSET(ORÇAMENTO!$X$15,ROW(AJ244)-ROW(AJ$15),0),
              ROUND(ROUND(OFFSET($P244,0,AJ$13),15-13*ORÇAMENTO!$AF$7)*OFFSET(ORÇAMENTO!$W$15,ROW(AJ244)-ROW(AJ$15),0),15-13*ORÇAMENTO!$AF$11)),
         0)</f>
        <v>0</v>
      </c>
      <c r="AK244" s="453">
        <f ca="1">IF(AND($D244="Serviço",AK$12&lt;&gt;0,$H244&gt;0,OR(AUTOEVENTO&lt;&gt;"manual",$M244&lt;&gt;$A$15)),
        IF(Import.TipoArredondamento&lt;&gt;"TransfereGOV",
              ROUND(OFFSET($P244,0,AK$13),15-13*ORÇAMENTO!$AF$7)/$H244*OFFSET(ORÇAMENTO!$X$15,ROW(AK244)-ROW(AK$15),0),
              ROUND(ROUND(OFFSET($P244,0,AK$13),15-13*ORÇAMENTO!$AF$7)*OFFSET(ORÇAMENTO!$W$15,ROW(AK244)-ROW(AK$15),0),15-13*ORÇAMENTO!$AF$11)),
         0)</f>
        <v>0</v>
      </c>
      <c r="AL244" s="453">
        <f ca="1">IF(AND($D244="Serviço",AL$12&lt;&gt;0,$H244&gt;0,OR(AUTOEVENTO&lt;&gt;"manual",$M244&lt;&gt;$A$15)),
        IF(Import.TipoArredondamento&lt;&gt;"TransfereGOV",
              ROUND(OFFSET($P244,0,AL$13),15-13*ORÇAMENTO!$AF$7)/$H244*OFFSET(ORÇAMENTO!$X$15,ROW(AL244)-ROW(AL$15),0),
              ROUND(ROUND(OFFSET($P244,0,AL$13),15-13*ORÇAMENTO!$AF$7)*OFFSET(ORÇAMENTO!$W$15,ROW(AL244)-ROW(AL$15),0),15-13*ORÇAMENTO!$AF$11)),
         0)</f>
        <v>0</v>
      </c>
      <c r="AM244" s="453">
        <f ca="1">IF(AND($D244="Serviço",AM$12&lt;&gt;0,$H244&gt;0,OR(AUTOEVENTO&lt;&gt;"manual",$M244&lt;&gt;$A$15)),
        IF(Import.TipoArredondamento&lt;&gt;"TransfereGOV",
              ROUND(OFFSET($P244,0,AM$13),15-13*ORÇAMENTO!$AF$7)/$H244*OFFSET(ORÇAMENTO!$X$15,ROW(AM244)-ROW(AM$15),0),
              ROUND(ROUND(OFFSET($P244,0,AM$13),15-13*ORÇAMENTO!$AF$7)*OFFSET(ORÇAMENTO!$W$15,ROW(AM244)-ROW(AM$15),0),15-13*ORÇAMENTO!$AF$11)),
         0)</f>
        <v>0</v>
      </c>
      <c r="AN244" s="453">
        <f ca="1">IF(AND($D244="Serviço",AN$12&lt;&gt;0,$H244&gt;0,OR(AUTOEVENTO&lt;&gt;"manual",$M244&lt;&gt;$A$15)),
        IF(Import.TipoArredondamento&lt;&gt;"TransfereGOV",
              ROUND(OFFSET($P244,0,AN$13),15-13*ORÇAMENTO!$AF$7)/$H244*OFFSET(ORÇAMENTO!$X$15,ROW(AN244)-ROW(AN$15),0),
              ROUND(ROUND(OFFSET($P244,0,AN$13),15-13*ORÇAMENTO!$AF$7)*OFFSET(ORÇAMENTO!$W$15,ROW(AN244)-ROW(AN$15),0),15-13*ORÇAMENTO!$AF$11)),
         0)</f>
        <v>0</v>
      </c>
      <c r="AO244" s="453">
        <f ca="1">IF(AND($D244="Serviço",AO$12&lt;&gt;0,$H244&gt;0,OR(AUTOEVENTO&lt;&gt;"manual",$M244&lt;&gt;$A$15)),
        IF(Import.TipoArredondamento&lt;&gt;"TransfereGOV",
              ROUND(OFFSET($P244,0,AO$13),15-13*ORÇAMENTO!$AF$7)/$H244*OFFSET(ORÇAMENTO!$X$15,ROW(AO244)-ROW(AO$15),0),
              ROUND(ROUND(OFFSET($P244,0,AO$13),15-13*ORÇAMENTO!$AF$7)*OFFSET(ORÇAMENTO!$W$15,ROW(AO244)-ROW(AO$15),0),15-13*ORÇAMENTO!$AF$11)),
         0)</f>
        <v>0</v>
      </c>
      <c r="AP244" s="453">
        <f ca="1">IF(AND($D244="Serviço",AP$12&lt;&gt;0,$H244&gt;0,OR(AUTOEVENTO&lt;&gt;"manual",$M244&lt;&gt;$A$15)),
        IF(Import.TipoArredondamento&lt;&gt;"TransfereGOV",
              ROUND(OFFSET($P244,0,AP$13),15-13*ORÇAMENTO!$AF$7)/$H244*OFFSET(ORÇAMENTO!$X$15,ROW(AP244)-ROW(AP$15),0),
              ROUND(ROUND(OFFSET($P244,0,AP$13),15-13*ORÇAMENTO!$AF$7)*OFFSET(ORÇAMENTO!$W$15,ROW(AP244)-ROW(AP$15),0),15-13*ORÇAMENTO!$AF$11)),
         0)</f>
        <v>0</v>
      </c>
      <c r="AQ244" s="453">
        <f ca="1">IF(AND($D244="Serviço",AQ$12&lt;&gt;0,$H244&gt;0,OR(AUTOEVENTO&lt;&gt;"manual",$M244&lt;&gt;$A$15)),
        IF(Import.TipoArredondamento&lt;&gt;"TransfereGOV",
              ROUND(OFFSET($P244,0,AQ$13),15-13*ORÇAMENTO!$AF$7)/$H244*OFFSET(ORÇAMENTO!$X$15,ROW(AQ244)-ROW(AQ$15),0),
              ROUND(ROUND(OFFSET($P244,0,AQ$13),15-13*ORÇAMENTO!$AF$7)*OFFSET(ORÇAMENTO!$W$15,ROW(AQ244)-ROW(AQ$15),0),15-13*ORÇAMENTO!$AF$11)),
         0)</f>
        <v>0</v>
      </c>
      <c r="AR244" s="453">
        <f ca="1">IF(AND($D244="Serviço",AR$12&lt;&gt;0,$H244&gt;0,OR(AUTOEVENTO&lt;&gt;"manual",$M244&lt;&gt;$A$15)),
        IF(Import.TipoArredondamento&lt;&gt;"TransfereGOV",
              ROUND(OFFSET($P244,0,AR$13),15-13*ORÇAMENTO!$AF$7)/$H244*OFFSET(ORÇAMENTO!$X$15,ROW(AR244)-ROW(AR$15),0),
              ROUND(ROUND(OFFSET($P244,0,AR$13),15-13*ORÇAMENTO!$AF$7)*OFFSET(ORÇAMENTO!$W$15,ROW(AR244)-ROW(AR$15),0),15-13*ORÇAMENTO!$AF$11)),
         0)</f>
        <v>0</v>
      </c>
      <c r="AS244" s="453">
        <f ca="1">IF(AND($D244="Serviço",AS$12&lt;&gt;0,$H244&gt;0,OR(AUTOEVENTO&lt;&gt;"manual",$M244&lt;&gt;$A$15)),
        IF(Import.TipoArredondamento&lt;&gt;"TransfereGOV",
              ROUND(OFFSET($P244,0,AS$13),15-13*ORÇAMENTO!$AF$7)/$H244*OFFSET(ORÇAMENTO!$X$15,ROW(AS244)-ROW(AS$15),0),
              ROUND(ROUND(OFFSET($P244,0,AS$13),15-13*ORÇAMENTO!$AF$7)*OFFSET(ORÇAMENTO!$W$15,ROW(AS244)-ROW(AS$15),0),15-13*ORÇAMENTO!$AF$11)),
         0)</f>
        <v>0</v>
      </c>
      <c r="AT244" s="453">
        <f ca="1">IF(AND($D244="Serviço",AT$12&lt;&gt;0,$H244&gt;0,OR(AUTOEVENTO&lt;&gt;"manual",$M244&lt;&gt;$A$15)),
        IF(Import.TipoArredondamento&lt;&gt;"TransfereGOV",
              ROUND(OFFSET($P244,0,AT$13),15-13*ORÇAMENTO!$AF$7)/$H244*OFFSET(ORÇAMENTO!$X$15,ROW(AT244)-ROW(AT$15),0),
              ROUND(ROUND(OFFSET($P244,0,AT$13),15-13*ORÇAMENTO!$AF$7)*OFFSET(ORÇAMENTO!$W$15,ROW(AT244)-ROW(AT$15),0),15-13*ORÇAMENTO!$AF$11)),
         0)</f>
        <v>0</v>
      </c>
      <c r="AU244" s="453">
        <f ca="1">IF(AND($D244="Serviço",AU$12&lt;&gt;0,$H244&gt;0,OR(AUTOEVENTO&lt;&gt;"manual",$M244&lt;&gt;$A$15)),
        IF(Import.TipoArredondamento&lt;&gt;"TransfereGOV",
              ROUND(OFFSET($P244,0,AU$13),15-13*ORÇAMENTO!$AF$7)/$H244*OFFSET(ORÇAMENTO!$X$15,ROW(AU244)-ROW(AU$15),0),
              ROUND(ROUND(OFFSET($P244,0,AU$13),15-13*ORÇAMENTO!$AF$7)*OFFSET(ORÇAMENTO!$W$15,ROW(AU244)-ROW(AU$15),0),15-13*ORÇAMENTO!$AF$11)),
         0)</f>
        <v>0</v>
      </c>
      <c r="AV244" s="453">
        <f ca="1">IF(AND($D244="Serviço",AV$12&lt;&gt;0,$H244&gt;0,OR(AUTOEVENTO&lt;&gt;"manual",$M244&lt;&gt;$A$15)),
        IF(Import.TipoArredondamento&lt;&gt;"TransfereGOV",
              ROUND(OFFSET($P244,0,AV$13),15-13*ORÇAMENTO!$AF$7)/$H244*OFFSET(ORÇAMENTO!$X$15,ROW(AV244)-ROW(AV$15),0),
              ROUND(ROUND(OFFSET($P244,0,AV$13),15-13*ORÇAMENTO!$AF$7)*OFFSET(ORÇAMENTO!$W$15,ROW(AV244)-ROW(AV$15),0),15-13*ORÇAMENTO!$AF$11)),
         0)</f>
        <v>0</v>
      </c>
      <c r="AW244" s="453">
        <f ca="1">IF(AND($D244="Serviço",AW$12&lt;&gt;0,$H244&gt;0,OR(AUTOEVENTO&lt;&gt;"manual",$M244&lt;&gt;$A$15)),
        IF(Import.TipoArredondamento&lt;&gt;"TransfereGOV",
              ROUND(OFFSET($P244,0,AW$13),15-13*ORÇAMENTO!$AF$7)/$H244*OFFSET(ORÇAMENTO!$X$15,ROW(AW244)-ROW(AW$15),0),
              ROUND(ROUND(OFFSET($P244,0,AW$13),15-13*ORÇAMENTO!$AF$7)*OFFSET(ORÇAMENTO!$W$15,ROW(AW244)-ROW(AW$15),0),15-13*ORÇAMENTO!$AF$11)),
         0)</f>
        <v>0</v>
      </c>
      <c r="AX244" s="453">
        <f ca="1">IF(AND($D244="Serviço",AX$12&lt;&gt;0,$H244&gt;0,OR(AUTOEVENTO&lt;&gt;"manual",$M244&lt;&gt;$A$15)),
        IF(Import.TipoArredondamento&lt;&gt;"TransfereGOV",
              ROUND(OFFSET($P244,0,AX$13),15-13*ORÇAMENTO!$AF$7)/$H244*OFFSET(ORÇAMENTO!$X$15,ROW(AX244)-ROW(AX$15),0),
              ROUND(ROUND(OFFSET($P244,0,AX$13),15-13*ORÇAMENTO!$AF$7)*OFFSET(ORÇAMENTO!$W$15,ROW(AX244)-ROW(AX$15),0),15-13*ORÇAMENTO!$AF$11)),
         0)</f>
        <v>0</v>
      </c>
      <c r="AY244" s="453">
        <f ca="1">IF(AND($D244="Serviço",AY$12&lt;&gt;0,$H244&gt;0,OR(AUTOEVENTO&lt;&gt;"manual",$M244&lt;&gt;$A$15)),
        IF(Import.TipoArredondamento&lt;&gt;"TransfereGOV",
              ROUND(OFFSET($P244,0,AY$13),15-13*ORÇAMENTO!$AF$7)/$H244*OFFSET(ORÇAMENTO!$X$15,ROW(AY244)-ROW(AY$15),0),
              ROUND(ROUND(OFFSET($P244,0,AY$13),15-13*ORÇAMENTO!$AF$7)*OFFSET(ORÇAMENTO!$W$15,ROW(AY244)-ROW(AY$15),0),15-13*ORÇAMENTO!$AF$11)),
         0)</f>
        <v>0</v>
      </c>
      <c r="AZ244" s="453">
        <f ca="1">IF(AND($D244="Serviço",AZ$12&lt;&gt;0,$H244&gt;0,OR(AUTOEVENTO&lt;&gt;"manual",$M244&lt;&gt;$A$15)),
        IF(Import.TipoArredondamento&lt;&gt;"TransfereGOV",
              ROUND(OFFSET($P244,0,AZ$13),15-13*ORÇAMENTO!$AF$7)/$H244*OFFSET(ORÇAMENTO!$X$15,ROW(AZ244)-ROW(AZ$15),0),
              ROUND(ROUND(OFFSET($P244,0,AZ$13),15-13*ORÇAMENTO!$AF$7)*OFFSET(ORÇAMENTO!$W$15,ROW(AZ244)-ROW(AZ$15),0),15-13*ORÇAMENTO!$AF$11)),
         0)</f>
        <v>0</v>
      </c>
      <c r="BA244" s="453">
        <f ca="1">IF(AND($D244="Serviço",BA$12&lt;&gt;0,$H244&gt;0,OR(AUTOEVENTO&lt;&gt;"manual",$M244&lt;&gt;$A$15)),
        IF(Import.TipoArredondamento&lt;&gt;"TransfereGOV",
              ROUND(OFFSET($P244,0,BA$13),15-13*ORÇAMENTO!$AF$7)/$H244*OFFSET(ORÇAMENTO!$X$15,ROW(BA244)-ROW(BA$15),0),
              ROUND(ROUND(OFFSET($P244,0,BA$13),15-13*ORÇAMENTO!$AF$7)*OFFSET(ORÇAMENTO!$W$15,ROW(BA244)-ROW(BA$15),0),15-13*ORÇAMENTO!$AF$11)),
         0)</f>
        <v>0</v>
      </c>
      <c r="BC244" s="171">
        <f ca="1">IF(OR($D244&lt;&gt;"Serviço",AND(AUTOEVENTO="Manual",$M244=$A$15)),0,
         IF(OFFSET(CRONOPLE!$F$15,$M244-$A$15,BC$13)=0,10^12,OFFSET(CRONOPLE!$F$15,$M244-$A$15,BC$13)))</f>
        <v>0</v>
      </c>
      <c r="BD244" s="171">
        <f ca="1">IF(OR($D244&lt;&gt;"Serviço",AND(AUTOEVENTO="Manual",$M244=$A$15)),0,
         IF(OFFSET(CRONOPLE!$F$15,$M244-$A$15,BD$13)=0,10^12,OFFSET(CRONOPLE!$F$15,$M244-$A$15,BD$13)))</f>
        <v>0</v>
      </c>
      <c r="BE244" s="171">
        <f ca="1">IF(OR($D244&lt;&gt;"Serviço",AND(AUTOEVENTO="Manual",$M244=$A$15)),0,
         IF(OFFSET(CRONOPLE!$F$15,$M244-$A$15,BE$13)=0,10^12,OFFSET(CRONOPLE!$F$15,$M244-$A$15,BE$13)))</f>
        <v>0</v>
      </c>
      <c r="BF244" s="171">
        <f ca="1">IF(OR($D244&lt;&gt;"Serviço",AND(AUTOEVENTO="Manual",$M244=$A$15)),0,
         IF(OFFSET(CRONOPLE!$F$15,$M244-$A$15,BF$13)=0,10^12,OFFSET(CRONOPLE!$F$15,$M244-$A$15,BF$13)))</f>
        <v>0</v>
      </c>
      <c r="BG244" s="171">
        <f ca="1">IF(OR($D244&lt;&gt;"Serviço",AND(AUTOEVENTO="Manual",$M244=$A$15)),0,
         IF(OFFSET(CRONOPLE!$F$15,$M244-$A$15,BG$13)=0,10^12,OFFSET(CRONOPLE!$F$15,$M244-$A$15,BG$13)))</f>
        <v>0</v>
      </c>
      <c r="BH244" s="171">
        <f ca="1">IF(OR($D244&lt;&gt;"Serviço",AND(AUTOEVENTO="Manual",$M244=$A$15)),0,
         IF(OFFSET(CRONOPLE!$F$15,$M244-$A$15,BH$13)=0,10^12,OFFSET(CRONOPLE!$F$15,$M244-$A$15,BH$13)))</f>
        <v>0</v>
      </c>
      <c r="BI244" s="171">
        <f ca="1">IF(OR($D244&lt;&gt;"Serviço",AND(AUTOEVENTO="Manual",$M244=$A$15)),0,
         IF(OFFSET(CRONOPLE!$F$15,$M244-$A$15,BI$13)=0,10^12,OFFSET(CRONOPLE!$F$15,$M244-$A$15,BI$13)))</f>
        <v>0</v>
      </c>
      <c r="BJ244" s="171">
        <f ca="1">IF(OR($D244&lt;&gt;"Serviço",AND(AUTOEVENTO="Manual",$M244=$A$15)),0,
         IF(OFFSET(CRONOPLE!$F$15,$M244-$A$15,BJ$13)=0,10^12,OFFSET(CRONOPLE!$F$15,$M244-$A$15,BJ$13)))</f>
        <v>0</v>
      </c>
      <c r="BK244" s="171">
        <f ca="1">IF(OR($D244&lt;&gt;"Serviço",AND(AUTOEVENTO="Manual",$M244=$A$15)),0,
         IF(OFFSET(CRONOPLE!$F$15,$M244-$A$15,BK$13)=0,10^12,OFFSET(CRONOPLE!$F$15,$M244-$A$15,BK$13)))</f>
        <v>0</v>
      </c>
      <c r="BL244" s="171">
        <f ca="1">IF(OR($D244&lt;&gt;"Serviço",AND(AUTOEVENTO="Manual",$M244=$A$15)),0,
         IF(OFFSET(CRONOPLE!$F$15,$M244-$A$15,BL$13)=0,10^12,OFFSET(CRONOPLE!$F$15,$M244-$A$15,BL$13)))</f>
        <v>0</v>
      </c>
      <c r="BM244" s="171">
        <f ca="1">IF(OR($D244&lt;&gt;"Serviço",AND(AUTOEVENTO="Manual",$M244=$A$15)),0,
         IF(OFFSET(CRONOPLE!$F$15,$M244-$A$15,BM$13)=0,10^12,OFFSET(CRONOPLE!$F$15,$M244-$A$15,BM$13)))</f>
        <v>0</v>
      </c>
      <c r="BN244" s="171">
        <f ca="1">IF(OR($D244&lt;&gt;"Serviço",AND(AUTOEVENTO="Manual",$M244=$A$15)),0,
         IF(OFFSET(CRONOPLE!$F$15,$M244-$A$15,BN$13)=0,10^12,OFFSET(CRONOPLE!$F$15,$M244-$A$15,BN$13)))</f>
        <v>0</v>
      </c>
      <c r="BO244" s="171">
        <f ca="1">IF(OR($D244&lt;&gt;"Serviço",AND(AUTOEVENTO="Manual",$M244=$A$15)),0,
         IF(OFFSET(CRONOPLE!$F$15,$M244-$A$15,BO$13)=0,10^12,OFFSET(CRONOPLE!$F$15,$M244-$A$15,BO$13)))</f>
        <v>0</v>
      </c>
      <c r="BP244" s="171">
        <f ca="1">IF(OR($D244&lt;&gt;"Serviço",AND(AUTOEVENTO="Manual",$M244=$A$15)),0,
         IF(OFFSET(CRONOPLE!$F$15,$M244-$A$15,BP$13)=0,10^12,OFFSET(CRONOPLE!$F$15,$M244-$A$15,BP$13)))</f>
        <v>0</v>
      </c>
      <c r="BQ244" s="171">
        <f ca="1">IF(OR($D244&lt;&gt;"Serviço",AND(AUTOEVENTO="Manual",$M244=$A$15)),0,
         IF(OFFSET(CRONOPLE!$F$15,$M244-$A$15,BQ$13)=0,10^12,OFFSET(CRONOPLE!$F$15,$M244-$A$15,BQ$13)))</f>
        <v>0</v>
      </c>
      <c r="BR244" s="171">
        <f ca="1">IF(OR($D244&lt;&gt;"Serviço",AND(AUTOEVENTO="Manual",$M244=$A$15)),0,
         IF(OFFSET(CRONOPLE!$F$15,$M244-$A$15,BR$13)=0,10^12,OFFSET(CRONOPLE!$F$15,$M244-$A$15,BR$13)))</f>
        <v>0</v>
      </c>
      <c r="BS244" s="171">
        <f ca="1">IF(OR($D244&lt;&gt;"Serviço",AND(AUTOEVENTO="Manual",$M244=$A$15)),0,
         IF(OFFSET(CRONOPLE!$F$15,$M244-$A$15,BS$13)=0,10^12,OFFSET(CRONOPLE!$F$15,$M244-$A$15,BS$13)))</f>
        <v>0</v>
      </c>
      <c r="BT244" s="171">
        <f ca="1">IF(OR($D244&lt;&gt;"Serviço",AND(AUTOEVENTO="Manual",$M244=$A$15)),0,
         IF(OFFSET(CRONOPLE!$F$15,$M244-$A$15,BT$13)=0,10^12,OFFSET(CRONOPLE!$F$15,$M244-$A$15,BT$13)))</f>
        <v>0</v>
      </c>
      <c r="BV244" s="172">
        <f ca="1">IF(OR($D244&lt;&gt;"Serviço",AND(AUTOEVENTO="Manual",$M244=$A$15),$M244&gt;(ROW(PLE.lastrow)-ROW(PLE.firstrow))),0,
           IF(OFFSET(PLE!$G$15,$M244-$A$15,BV$13)="",10^12,OFFSET(PLE!$G$15,$M244-$A$15,BV$13)))</f>
        <v>0</v>
      </c>
      <c r="BW244" s="172">
        <f ca="1">IF(OR($D244&lt;&gt;"Serviço",AND(AUTOEVENTO="Manual",$M244=$A$15),$M244&gt;(ROW(PLE.lastrow)-ROW(PLE.firstrow))),0,
           IF(OFFSET(PLE!$G$15,$M244-$A$15,BW$13)="",10^12,OFFSET(PLE!$G$15,$M244-$A$15,BW$13)))</f>
        <v>0</v>
      </c>
      <c r="BX244" s="172">
        <f ca="1">IF(OR($D244&lt;&gt;"Serviço",AND(AUTOEVENTO="Manual",$M244=$A$15),$M244&gt;(ROW(PLE.lastrow)-ROW(PLE.firstrow))),0,
           IF(OFFSET(PLE!$G$15,$M244-$A$15,BX$13)="",10^12,OFFSET(PLE!$G$15,$M244-$A$15,BX$13)))</f>
        <v>0</v>
      </c>
      <c r="BY244" s="172">
        <f ca="1">IF(OR($D244&lt;&gt;"Serviço",AND(AUTOEVENTO="Manual",$M244=$A$15),$M244&gt;(ROW(PLE.lastrow)-ROW(PLE.firstrow))),0,
           IF(OFFSET(PLE!$G$15,$M244-$A$15,BY$13)="",10^12,OFFSET(PLE!$G$15,$M244-$A$15,BY$13)))</f>
        <v>0</v>
      </c>
      <c r="BZ244" s="172">
        <f ca="1">IF(OR($D244&lt;&gt;"Serviço",AND(AUTOEVENTO="Manual",$M244=$A$15),$M244&gt;(ROW(PLE.lastrow)-ROW(PLE.firstrow))),0,
           IF(OFFSET(PLE!$G$15,$M244-$A$15,BZ$13)="",10^12,OFFSET(PLE!$G$15,$M244-$A$15,BZ$13)))</f>
        <v>0</v>
      </c>
      <c r="CA244" s="172">
        <f ca="1">IF(OR($D244&lt;&gt;"Serviço",AND(AUTOEVENTO="Manual",$M244=$A$15),$M244&gt;(ROW(PLE.lastrow)-ROW(PLE.firstrow))),0,
           IF(OFFSET(PLE!$G$15,$M244-$A$15,CA$13)="",10^12,OFFSET(PLE!$G$15,$M244-$A$15,CA$13)))</f>
        <v>0</v>
      </c>
      <c r="CB244" s="172">
        <f ca="1">IF(OR($D244&lt;&gt;"Serviço",AND(AUTOEVENTO="Manual",$M244=$A$15),$M244&gt;(ROW(PLE.lastrow)-ROW(PLE.firstrow))),0,
           IF(OFFSET(PLE!$G$15,$M244-$A$15,CB$13)="",10^12,OFFSET(PLE!$G$15,$M244-$A$15,CB$13)))</f>
        <v>0</v>
      </c>
      <c r="CC244" s="172">
        <f ca="1">IF(OR($D244&lt;&gt;"Serviço",AND(AUTOEVENTO="Manual",$M244=$A$15),$M244&gt;(ROW(PLE.lastrow)-ROW(PLE.firstrow))),0,
           IF(OFFSET(PLE!$G$15,$M244-$A$15,CC$13)="",10^12,OFFSET(PLE!$G$15,$M244-$A$15,CC$13)))</f>
        <v>0</v>
      </c>
      <c r="CD244" s="172">
        <f ca="1">IF(OR($D244&lt;&gt;"Serviço",AND(AUTOEVENTO="Manual",$M244=$A$15),$M244&gt;(ROW(PLE.lastrow)-ROW(PLE.firstrow))),0,
           IF(OFFSET(PLE!$G$15,$M244-$A$15,CD$13)="",10^12,OFFSET(PLE!$G$15,$M244-$A$15,CD$13)))</f>
        <v>0</v>
      </c>
      <c r="CE244" s="172">
        <f ca="1">IF(OR($D244&lt;&gt;"Serviço",AND(AUTOEVENTO="Manual",$M244=$A$15),$M244&gt;(ROW(PLE.lastrow)-ROW(PLE.firstrow))),0,
           IF(OFFSET(PLE!$G$15,$M244-$A$15,CE$13)="",10^12,OFFSET(PLE!$G$15,$M244-$A$15,CE$13)))</f>
        <v>0</v>
      </c>
      <c r="CF244" s="172">
        <f ca="1">IF(OR($D244&lt;&gt;"Serviço",AND(AUTOEVENTO="Manual",$M244=$A$15),$M244&gt;(ROW(PLE.lastrow)-ROW(PLE.firstrow))),0,
           IF(OFFSET(PLE!$G$15,$M244-$A$15,CF$13)="",10^12,OFFSET(PLE!$G$15,$M244-$A$15,CF$13)))</f>
        <v>0</v>
      </c>
      <c r="CG244" s="172">
        <f ca="1">IF(OR($D244&lt;&gt;"Serviço",AND(AUTOEVENTO="Manual",$M244=$A$15),$M244&gt;(ROW(PLE.lastrow)-ROW(PLE.firstrow))),0,
           IF(OFFSET(PLE!$G$15,$M244-$A$15,CG$13)="",10^12,OFFSET(PLE!$G$15,$M244-$A$15,CG$13)))</f>
        <v>0</v>
      </c>
      <c r="CH244" s="172">
        <f ca="1">IF(OR($D244&lt;&gt;"Serviço",AND(AUTOEVENTO="Manual",$M244=$A$15),$M244&gt;(ROW(PLE.lastrow)-ROW(PLE.firstrow))),0,
           IF(OFFSET(PLE!$G$15,$M244-$A$15,CH$13)="",10^12,OFFSET(PLE!$G$15,$M244-$A$15,CH$13)))</f>
        <v>0</v>
      </c>
      <c r="CI244" s="172">
        <f ca="1">IF(OR($D244&lt;&gt;"Serviço",AND(AUTOEVENTO="Manual",$M244=$A$15),$M244&gt;(ROW(PLE.lastrow)-ROW(PLE.firstrow))),0,
           IF(OFFSET(PLE!$G$15,$M244-$A$15,CI$13)="",10^12,OFFSET(PLE!$G$15,$M244-$A$15,CI$13)))</f>
        <v>0</v>
      </c>
      <c r="CJ244" s="172">
        <f ca="1">IF(OR($D244&lt;&gt;"Serviço",AND(AUTOEVENTO="Manual",$M244=$A$15),$M244&gt;(ROW(PLE.lastrow)-ROW(PLE.firstrow))),0,
           IF(OFFSET(PLE!$G$15,$M244-$A$15,CJ$13)="",10^12,OFFSET(PLE!$G$15,$M244-$A$15,CJ$13)))</f>
        <v>0</v>
      </c>
      <c r="CK244" s="172">
        <f ca="1">IF(OR($D244&lt;&gt;"Serviço",AND(AUTOEVENTO="Manual",$M244=$A$15),$M244&gt;(ROW(PLE.lastrow)-ROW(PLE.firstrow))),0,
           IF(OFFSET(PLE!$G$15,$M244-$A$15,CK$13)="",10^12,OFFSET(PLE!$G$15,$M244-$A$15,CK$13)))</f>
        <v>0</v>
      </c>
      <c r="CL244" s="172">
        <f ca="1">IF(OR($D244&lt;&gt;"Serviço",AND(AUTOEVENTO="Manual",$M244=$A$15),$M244&gt;(ROW(PLE.lastrow)-ROW(PLE.firstrow))),0,
           IF(OFFSET(PLE!$G$15,$M244-$A$15,CL$13)="",10^12,OFFSET(PLE!$G$15,$M244-$A$15,CL$13)))</f>
        <v>0</v>
      </c>
      <c r="CM244" s="172">
        <f ca="1">IF(OR($D244&lt;&gt;"Serviço",AND(AUTOEVENTO="Manual",$M244=$A$15),$M244&gt;(ROW(PLE.lastrow)-ROW(PLE.firstrow))),0,
           IF(OFFSET(PLE!$G$15,$M244-$A$15,CM$13)="",10^12,OFFSET(PLE!$G$15,$M244-$A$15,CM$13)))</f>
        <v>0</v>
      </c>
    </row>
    <row r="245" spans="1:91" ht="12.75" x14ac:dyDescent="0.2">
      <c r="A245" s="7">
        <f t="shared" ca="1" si="13"/>
        <v>0</v>
      </c>
      <c r="B245" s="7">
        <f ca="1">OFFSET(ORÇAMENTO!C$15,ROW(B245)-ROW(B$15),0)</f>
        <v>3</v>
      </c>
      <c r="C245" s="7" t="str">
        <f ca="1">OFFSET(ORÇAMENTO!L$15,ROW(C245)-ROW(C$15),0)</f>
        <v>F</v>
      </c>
      <c r="D245" s="116" t="str">
        <f ca="1">OFFSET(ORÇAMENTO!N$15,ROW(D245)-ROW(D$15),0)</f>
        <v>Nível 3</v>
      </c>
      <c r="E245" s="117" t="str">
        <f ca="1">OFFSET(ORÇAMENTO!O$15,ROW(E245)-ROW(E$15),0)</f>
        <v>1.7.1.</v>
      </c>
      <c r="F245" s="163" t="str">
        <f ca="1">OFFSET(ORÇAMENTO!R$15,ROW(F245)-ROW(F$15),0)</f>
        <v>FILTRO BIOLÓGICO</v>
      </c>
      <c r="G245" s="164" t="str">
        <f ca="1">IF($D245&lt;&gt;"Serviço","",OFFSET(ORÇAMENTO!S$15,ROW(G245)-ROW(G$15),0))</f>
        <v/>
      </c>
      <c r="H245" s="122" cm="1">
        <f t="array" aca="1" ref="H245" ca="1">IF($D245&lt;&gt;"Serviço",0,IF(ACOMPANHAMENTO="BM",ROUND(OFFSET(ORÇAMENTO!AJ$15,ROW(H245)-ROW(H$15),0),15-13*ORÇAMENTO!$AF$7),SUMPRODUCT(($Q$1:$AI$1=1)*ROUND($Q245:$AI245,15-13*ORÇAMENTO!$AF$7))))</f>
        <v>0</v>
      </c>
      <c r="I245" s="468"/>
      <c r="J245" s="640" t="str" cm="1">
        <f t="array" aca="1" ref="J245" ca="1">IF(OR(B245&lt;&gt;"S",CÁLCULO.FrentesPreenchidas=0),"",IF(AND(ACOMPANHAMENTO="PLE",AUTOEVENTO="Manual",OR(H245&gt;0,ORÇAMENTO!AC245="QUANT."),OR(K245="",M245=0,N245="")),"►E",IF(AND(ACOMPANHAMENTO="PLE",ORÇAMENTO!AC245="QUANT."),"►Q",IF(AND(ACOMPANHAMENTO="PLE",H245&lt;&gt;SUMPRODUCT(($Q$1:$AI$1=1)*ROUND(Q245:AI245,15))),"►S",IF(AND(COUNTIF($P$11:$AI$11,"▼")=0,H245&gt;0,I245=""),"◄M","")))))</f>
        <v/>
      </c>
      <c r="K245" s="641"/>
      <c r="L245" s="165" t="s">
        <v>764</v>
      </c>
      <c r="M245" s="166" t="str">
        <f ca="1">IF($D245&lt;&gt;"Serviço","",
          IF(AUTOEVENTO="manual",$A245,
                IF(ISERROR(MATCH($A245,$A$15:OFFSET($A245,-1,0),0)),MAX($M$15:OFFSET(M245,-1,0))+1,
                      INDEX($M$15:OFFSET(M245,-1,0),MATCH($A245,$A$15:OFFSET($A245,-1,0),0)))))</f>
        <v/>
      </c>
      <c r="N245" s="167" t="str">
        <f ca="1">IF($D245&lt;&gt;"Serviço","",
         IF(AUTOEVENTO="Manual",
                IF($A245=0,"&lt;-- defina o número do agrupador",
                       OFFSET(EVENTOS!$D$15,$A245-$A$15,0)),
                OFFSET($F$15,$A245,0)))</f>
        <v/>
      </c>
      <c r="O245" s="168"/>
      <c r="Q245" s="168"/>
      <c r="R245" s="169"/>
      <c r="S245" s="169"/>
      <c r="T245" s="169"/>
      <c r="U245" s="169"/>
      <c r="V245" s="169"/>
      <c r="W245" s="169"/>
      <c r="X245" s="169"/>
      <c r="Y245" s="169"/>
      <c r="Z245" s="170"/>
      <c r="AA245" s="169"/>
      <c r="AB245" s="169"/>
      <c r="AC245" s="169"/>
      <c r="AD245" s="169"/>
      <c r="AE245" s="169"/>
      <c r="AF245" s="169"/>
      <c r="AG245" s="169"/>
      <c r="AH245" s="170"/>
      <c r="AJ245" s="453">
        <f ca="1">IF(AND($D245="Serviço",AJ$12&lt;&gt;0,$H245&gt;0,OR(AUTOEVENTO&lt;&gt;"manual",$M245&lt;&gt;$A$15)),
        IF(Import.TipoArredondamento&lt;&gt;"TransfereGOV",
              ROUND(OFFSET($P245,0,AJ$13),15-13*ORÇAMENTO!$AF$7)/$H245*OFFSET(ORÇAMENTO!$X$15,ROW(AJ245)-ROW(AJ$15),0),
              ROUND(ROUND(OFFSET($P245,0,AJ$13),15-13*ORÇAMENTO!$AF$7)*OFFSET(ORÇAMENTO!$W$15,ROW(AJ245)-ROW(AJ$15),0),15-13*ORÇAMENTO!$AF$11)),
         0)</f>
        <v>0</v>
      </c>
      <c r="AK245" s="453">
        <f ca="1">IF(AND($D245="Serviço",AK$12&lt;&gt;0,$H245&gt;0,OR(AUTOEVENTO&lt;&gt;"manual",$M245&lt;&gt;$A$15)),
        IF(Import.TipoArredondamento&lt;&gt;"TransfereGOV",
              ROUND(OFFSET($P245,0,AK$13),15-13*ORÇAMENTO!$AF$7)/$H245*OFFSET(ORÇAMENTO!$X$15,ROW(AK245)-ROW(AK$15),0),
              ROUND(ROUND(OFFSET($P245,0,AK$13),15-13*ORÇAMENTO!$AF$7)*OFFSET(ORÇAMENTO!$W$15,ROW(AK245)-ROW(AK$15),0),15-13*ORÇAMENTO!$AF$11)),
         0)</f>
        <v>0</v>
      </c>
      <c r="AL245" s="453">
        <f ca="1">IF(AND($D245="Serviço",AL$12&lt;&gt;0,$H245&gt;0,OR(AUTOEVENTO&lt;&gt;"manual",$M245&lt;&gt;$A$15)),
        IF(Import.TipoArredondamento&lt;&gt;"TransfereGOV",
              ROUND(OFFSET($P245,0,AL$13),15-13*ORÇAMENTO!$AF$7)/$H245*OFFSET(ORÇAMENTO!$X$15,ROW(AL245)-ROW(AL$15),0),
              ROUND(ROUND(OFFSET($P245,0,AL$13),15-13*ORÇAMENTO!$AF$7)*OFFSET(ORÇAMENTO!$W$15,ROW(AL245)-ROW(AL$15),0),15-13*ORÇAMENTO!$AF$11)),
         0)</f>
        <v>0</v>
      </c>
      <c r="AM245" s="453">
        <f ca="1">IF(AND($D245="Serviço",AM$12&lt;&gt;0,$H245&gt;0,OR(AUTOEVENTO&lt;&gt;"manual",$M245&lt;&gt;$A$15)),
        IF(Import.TipoArredondamento&lt;&gt;"TransfereGOV",
              ROUND(OFFSET($P245,0,AM$13),15-13*ORÇAMENTO!$AF$7)/$H245*OFFSET(ORÇAMENTO!$X$15,ROW(AM245)-ROW(AM$15),0),
              ROUND(ROUND(OFFSET($P245,0,AM$13),15-13*ORÇAMENTO!$AF$7)*OFFSET(ORÇAMENTO!$W$15,ROW(AM245)-ROW(AM$15),0),15-13*ORÇAMENTO!$AF$11)),
         0)</f>
        <v>0</v>
      </c>
      <c r="AN245" s="453">
        <f ca="1">IF(AND($D245="Serviço",AN$12&lt;&gt;0,$H245&gt;0,OR(AUTOEVENTO&lt;&gt;"manual",$M245&lt;&gt;$A$15)),
        IF(Import.TipoArredondamento&lt;&gt;"TransfereGOV",
              ROUND(OFFSET($P245,0,AN$13),15-13*ORÇAMENTO!$AF$7)/$H245*OFFSET(ORÇAMENTO!$X$15,ROW(AN245)-ROW(AN$15),0),
              ROUND(ROUND(OFFSET($P245,0,AN$13),15-13*ORÇAMENTO!$AF$7)*OFFSET(ORÇAMENTO!$W$15,ROW(AN245)-ROW(AN$15),0),15-13*ORÇAMENTO!$AF$11)),
         0)</f>
        <v>0</v>
      </c>
      <c r="AO245" s="453">
        <f ca="1">IF(AND($D245="Serviço",AO$12&lt;&gt;0,$H245&gt;0,OR(AUTOEVENTO&lt;&gt;"manual",$M245&lt;&gt;$A$15)),
        IF(Import.TipoArredondamento&lt;&gt;"TransfereGOV",
              ROUND(OFFSET($P245,0,AO$13),15-13*ORÇAMENTO!$AF$7)/$H245*OFFSET(ORÇAMENTO!$X$15,ROW(AO245)-ROW(AO$15),0),
              ROUND(ROUND(OFFSET($P245,0,AO$13),15-13*ORÇAMENTO!$AF$7)*OFFSET(ORÇAMENTO!$W$15,ROW(AO245)-ROW(AO$15),0),15-13*ORÇAMENTO!$AF$11)),
         0)</f>
        <v>0</v>
      </c>
      <c r="AP245" s="453">
        <f ca="1">IF(AND($D245="Serviço",AP$12&lt;&gt;0,$H245&gt;0,OR(AUTOEVENTO&lt;&gt;"manual",$M245&lt;&gt;$A$15)),
        IF(Import.TipoArredondamento&lt;&gt;"TransfereGOV",
              ROUND(OFFSET($P245,0,AP$13),15-13*ORÇAMENTO!$AF$7)/$H245*OFFSET(ORÇAMENTO!$X$15,ROW(AP245)-ROW(AP$15),0),
              ROUND(ROUND(OFFSET($P245,0,AP$13),15-13*ORÇAMENTO!$AF$7)*OFFSET(ORÇAMENTO!$W$15,ROW(AP245)-ROW(AP$15),0),15-13*ORÇAMENTO!$AF$11)),
         0)</f>
        <v>0</v>
      </c>
      <c r="AQ245" s="453">
        <f ca="1">IF(AND($D245="Serviço",AQ$12&lt;&gt;0,$H245&gt;0,OR(AUTOEVENTO&lt;&gt;"manual",$M245&lt;&gt;$A$15)),
        IF(Import.TipoArredondamento&lt;&gt;"TransfereGOV",
              ROUND(OFFSET($P245,0,AQ$13),15-13*ORÇAMENTO!$AF$7)/$H245*OFFSET(ORÇAMENTO!$X$15,ROW(AQ245)-ROW(AQ$15),0),
              ROUND(ROUND(OFFSET($P245,0,AQ$13),15-13*ORÇAMENTO!$AF$7)*OFFSET(ORÇAMENTO!$W$15,ROW(AQ245)-ROW(AQ$15),0),15-13*ORÇAMENTO!$AF$11)),
         0)</f>
        <v>0</v>
      </c>
      <c r="AR245" s="453">
        <f ca="1">IF(AND($D245="Serviço",AR$12&lt;&gt;0,$H245&gt;0,OR(AUTOEVENTO&lt;&gt;"manual",$M245&lt;&gt;$A$15)),
        IF(Import.TipoArredondamento&lt;&gt;"TransfereGOV",
              ROUND(OFFSET($P245,0,AR$13),15-13*ORÇAMENTO!$AF$7)/$H245*OFFSET(ORÇAMENTO!$X$15,ROW(AR245)-ROW(AR$15),0),
              ROUND(ROUND(OFFSET($P245,0,AR$13),15-13*ORÇAMENTO!$AF$7)*OFFSET(ORÇAMENTO!$W$15,ROW(AR245)-ROW(AR$15),0),15-13*ORÇAMENTO!$AF$11)),
         0)</f>
        <v>0</v>
      </c>
      <c r="AS245" s="453">
        <f ca="1">IF(AND($D245="Serviço",AS$12&lt;&gt;0,$H245&gt;0,OR(AUTOEVENTO&lt;&gt;"manual",$M245&lt;&gt;$A$15)),
        IF(Import.TipoArredondamento&lt;&gt;"TransfereGOV",
              ROUND(OFFSET($P245,0,AS$13),15-13*ORÇAMENTO!$AF$7)/$H245*OFFSET(ORÇAMENTO!$X$15,ROW(AS245)-ROW(AS$15),0),
              ROUND(ROUND(OFFSET($P245,0,AS$13),15-13*ORÇAMENTO!$AF$7)*OFFSET(ORÇAMENTO!$W$15,ROW(AS245)-ROW(AS$15),0),15-13*ORÇAMENTO!$AF$11)),
         0)</f>
        <v>0</v>
      </c>
      <c r="AT245" s="453">
        <f ca="1">IF(AND($D245="Serviço",AT$12&lt;&gt;0,$H245&gt;0,OR(AUTOEVENTO&lt;&gt;"manual",$M245&lt;&gt;$A$15)),
        IF(Import.TipoArredondamento&lt;&gt;"TransfereGOV",
              ROUND(OFFSET($P245,0,AT$13),15-13*ORÇAMENTO!$AF$7)/$H245*OFFSET(ORÇAMENTO!$X$15,ROW(AT245)-ROW(AT$15),0),
              ROUND(ROUND(OFFSET($P245,0,AT$13),15-13*ORÇAMENTO!$AF$7)*OFFSET(ORÇAMENTO!$W$15,ROW(AT245)-ROW(AT$15),0),15-13*ORÇAMENTO!$AF$11)),
         0)</f>
        <v>0</v>
      </c>
      <c r="AU245" s="453">
        <f ca="1">IF(AND($D245="Serviço",AU$12&lt;&gt;0,$H245&gt;0,OR(AUTOEVENTO&lt;&gt;"manual",$M245&lt;&gt;$A$15)),
        IF(Import.TipoArredondamento&lt;&gt;"TransfereGOV",
              ROUND(OFFSET($P245,0,AU$13),15-13*ORÇAMENTO!$AF$7)/$H245*OFFSET(ORÇAMENTO!$X$15,ROW(AU245)-ROW(AU$15),0),
              ROUND(ROUND(OFFSET($P245,0,AU$13),15-13*ORÇAMENTO!$AF$7)*OFFSET(ORÇAMENTO!$W$15,ROW(AU245)-ROW(AU$15),0),15-13*ORÇAMENTO!$AF$11)),
         0)</f>
        <v>0</v>
      </c>
      <c r="AV245" s="453">
        <f ca="1">IF(AND($D245="Serviço",AV$12&lt;&gt;0,$H245&gt;0,OR(AUTOEVENTO&lt;&gt;"manual",$M245&lt;&gt;$A$15)),
        IF(Import.TipoArredondamento&lt;&gt;"TransfereGOV",
              ROUND(OFFSET($P245,0,AV$13),15-13*ORÇAMENTO!$AF$7)/$H245*OFFSET(ORÇAMENTO!$X$15,ROW(AV245)-ROW(AV$15),0),
              ROUND(ROUND(OFFSET($P245,0,AV$13),15-13*ORÇAMENTO!$AF$7)*OFFSET(ORÇAMENTO!$W$15,ROW(AV245)-ROW(AV$15),0),15-13*ORÇAMENTO!$AF$11)),
         0)</f>
        <v>0</v>
      </c>
      <c r="AW245" s="453">
        <f ca="1">IF(AND($D245="Serviço",AW$12&lt;&gt;0,$H245&gt;0,OR(AUTOEVENTO&lt;&gt;"manual",$M245&lt;&gt;$A$15)),
        IF(Import.TipoArredondamento&lt;&gt;"TransfereGOV",
              ROUND(OFFSET($P245,0,AW$13),15-13*ORÇAMENTO!$AF$7)/$H245*OFFSET(ORÇAMENTO!$X$15,ROW(AW245)-ROW(AW$15),0),
              ROUND(ROUND(OFFSET($P245,0,AW$13),15-13*ORÇAMENTO!$AF$7)*OFFSET(ORÇAMENTO!$W$15,ROW(AW245)-ROW(AW$15),0),15-13*ORÇAMENTO!$AF$11)),
         0)</f>
        <v>0</v>
      </c>
      <c r="AX245" s="453">
        <f ca="1">IF(AND($D245="Serviço",AX$12&lt;&gt;0,$H245&gt;0,OR(AUTOEVENTO&lt;&gt;"manual",$M245&lt;&gt;$A$15)),
        IF(Import.TipoArredondamento&lt;&gt;"TransfereGOV",
              ROUND(OFFSET($P245,0,AX$13),15-13*ORÇAMENTO!$AF$7)/$H245*OFFSET(ORÇAMENTO!$X$15,ROW(AX245)-ROW(AX$15),0),
              ROUND(ROUND(OFFSET($P245,0,AX$13),15-13*ORÇAMENTO!$AF$7)*OFFSET(ORÇAMENTO!$W$15,ROW(AX245)-ROW(AX$15),0),15-13*ORÇAMENTO!$AF$11)),
         0)</f>
        <v>0</v>
      </c>
      <c r="AY245" s="453">
        <f ca="1">IF(AND($D245="Serviço",AY$12&lt;&gt;0,$H245&gt;0,OR(AUTOEVENTO&lt;&gt;"manual",$M245&lt;&gt;$A$15)),
        IF(Import.TipoArredondamento&lt;&gt;"TransfereGOV",
              ROUND(OFFSET($P245,0,AY$13),15-13*ORÇAMENTO!$AF$7)/$H245*OFFSET(ORÇAMENTO!$X$15,ROW(AY245)-ROW(AY$15),0),
              ROUND(ROUND(OFFSET($P245,0,AY$13),15-13*ORÇAMENTO!$AF$7)*OFFSET(ORÇAMENTO!$W$15,ROW(AY245)-ROW(AY$15),0),15-13*ORÇAMENTO!$AF$11)),
         0)</f>
        <v>0</v>
      </c>
      <c r="AZ245" s="453">
        <f ca="1">IF(AND($D245="Serviço",AZ$12&lt;&gt;0,$H245&gt;0,OR(AUTOEVENTO&lt;&gt;"manual",$M245&lt;&gt;$A$15)),
        IF(Import.TipoArredondamento&lt;&gt;"TransfereGOV",
              ROUND(OFFSET($P245,0,AZ$13),15-13*ORÇAMENTO!$AF$7)/$H245*OFFSET(ORÇAMENTO!$X$15,ROW(AZ245)-ROW(AZ$15),0),
              ROUND(ROUND(OFFSET($P245,0,AZ$13),15-13*ORÇAMENTO!$AF$7)*OFFSET(ORÇAMENTO!$W$15,ROW(AZ245)-ROW(AZ$15),0),15-13*ORÇAMENTO!$AF$11)),
         0)</f>
        <v>0</v>
      </c>
      <c r="BA245" s="453">
        <f ca="1">IF(AND($D245="Serviço",BA$12&lt;&gt;0,$H245&gt;0,OR(AUTOEVENTO&lt;&gt;"manual",$M245&lt;&gt;$A$15)),
        IF(Import.TipoArredondamento&lt;&gt;"TransfereGOV",
              ROUND(OFFSET($P245,0,BA$13),15-13*ORÇAMENTO!$AF$7)/$H245*OFFSET(ORÇAMENTO!$X$15,ROW(BA245)-ROW(BA$15),0),
              ROUND(ROUND(OFFSET($P245,0,BA$13),15-13*ORÇAMENTO!$AF$7)*OFFSET(ORÇAMENTO!$W$15,ROW(BA245)-ROW(BA$15),0),15-13*ORÇAMENTO!$AF$11)),
         0)</f>
        <v>0</v>
      </c>
      <c r="BC245" s="171">
        <f ca="1">IF(OR($D245&lt;&gt;"Serviço",AND(AUTOEVENTO="Manual",$M245=$A$15)),0,
         IF(OFFSET(CRONOPLE!$F$15,$M245-$A$15,BC$13)=0,10^12,OFFSET(CRONOPLE!$F$15,$M245-$A$15,BC$13)))</f>
        <v>0</v>
      </c>
      <c r="BD245" s="171">
        <f ca="1">IF(OR($D245&lt;&gt;"Serviço",AND(AUTOEVENTO="Manual",$M245=$A$15)),0,
         IF(OFFSET(CRONOPLE!$F$15,$M245-$A$15,BD$13)=0,10^12,OFFSET(CRONOPLE!$F$15,$M245-$A$15,BD$13)))</f>
        <v>0</v>
      </c>
      <c r="BE245" s="171">
        <f ca="1">IF(OR($D245&lt;&gt;"Serviço",AND(AUTOEVENTO="Manual",$M245=$A$15)),0,
         IF(OFFSET(CRONOPLE!$F$15,$M245-$A$15,BE$13)=0,10^12,OFFSET(CRONOPLE!$F$15,$M245-$A$15,BE$13)))</f>
        <v>0</v>
      </c>
      <c r="BF245" s="171">
        <f ca="1">IF(OR($D245&lt;&gt;"Serviço",AND(AUTOEVENTO="Manual",$M245=$A$15)),0,
         IF(OFFSET(CRONOPLE!$F$15,$M245-$A$15,BF$13)=0,10^12,OFFSET(CRONOPLE!$F$15,$M245-$A$15,BF$13)))</f>
        <v>0</v>
      </c>
      <c r="BG245" s="171">
        <f ca="1">IF(OR($D245&lt;&gt;"Serviço",AND(AUTOEVENTO="Manual",$M245=$A$15)),0,
         IF(OFFSET(CRONOPLE!$F$15,$M245-$A$15,BG$13)=0,10^12,OFFSET(CRONOPLE!$F$15,$M245-$A$15,BG$13)))</f>
        <v>0</v>
      </c>
      <c r="BH245" s="171">
        <f ca="1">IF(OR($D245&lt;&gt;"Serviço",AND(AUTOEVENTO="Manual",$M245=$A$15)),0,
         IF(OFFSET(CRONOPLE!$F$15,$M245-$A$15,BH$13)=0,10^12,OFFSET(CRONOPLE!$F$15,$M245-$A$15,BH$13)))</f>
        <v>0</v>
      </c>
      <c r="BI245" s="171">
        <f ca="1">IF(OR($D245&lt;&gt;"Serviço",AND(AUTOEVENTO="Manual",$M245=$A$15)),0,
         IF(OFFSET(CRONOPLE!$F$15,$M245-$A$15,BI$13)=0,10^12,OFFSET(CRONOPLE!$F$15,$M245-$A$15,BI$13)))</f>
        <v>0</v>
      </c>
      <c r="BJ245" s="171">
        <f ca="1">IF(OR($D245&lt;&gt;"Serviço",AND(AUTOEVENTO="Manual",$M245=$A$15)),0,
         IF(OFFSET(CRONOPLE!$F$15,$M245-$A$15,BJ$13)=0,10^12,OFFSET(CRONOPLE!$F$15,$M245-$A$15,BJ$13)))</f>
        <v>0</v>
      </c>
      <c r="BK245" s="171">
        <f ca="1">IF(OR($D245&lt;&gt;"Serviço",AND(AUTOEVENTO="Manual",$M245=$A$15)),0,
         IF(OFFSET(CRONOPLE!$F$15,$M245-$A$15,BK$13)=0,10^12,OFFSET(CRONOPLE!$F$15,$M245-$A$15,BK$13)))</f>
        <v>0</v>
      </c>
      <c r="BL245" s="171">
        <f ca="1">IF(OR($D245&lt;&gt;"Serviço",AND(AUTOEVENTO="Manual",$M245=$A$15)),0,
         IF(OFFSET(CRONOPLE!$F$15,$M245-$A$15,BL$13)=0,10^12,OFFSET(CRONOPLE!$F$15,$M245-$A$15,BL$13)))</f>
        <v>0</v>
      </c>
      <c r="BM245" s="171">
        <f ca="1">IF(OR($D245&lt;&gt;"Serviço",AND(AUTOEVENTO="Manual",$M245=$A$15)),0,
         IF(OFFSET(CRONOPLE!$F$15,$M245-$A$15,BM$13)=0,10^12,OFFSET(CRONOPLE!$F$15,$M245-$A$15,BM$13)))</f>
        <v>0</v>
      </c>
      <c r="BN245" s="171">
        <f ca="1">IF(OR($D245&lt;&gt;"Serviço",AND(AUTOEVENTO="Manual",$M245=$A$15)),0,
         IF(OFFSET(CRONOPLE!$F$15,$M245-$A$15,BN$13)=0,10^12,OFFSET(CRONOPLE!$F$15,$M245-$A$15,BN$13)))</f>
        <v>0</v>
      </c>
      <c r="BO245" s="171">
        <f ca="1">IF(OR($D245&lt;&gt;"Serviço",AND(AUTOEVENTO="Manual",$M245=$A$15)),0,
         IF(OFFSET(CRONOPLE!$F$15,$M245-$A$15,BO$13)=0,10^12,OFFSET(CRONOPLE!$F$15,$M245-$A$15,BO$13)))</f>
        <v>0</v>
      </c>
      <c r="BP245" s="171">
        <f ca="1">IF(OR($D245&lt;&gt;"Serviço",AND(AUTOEVENTO="Manual",$M245=$A$15)),0,
         IF(OFFSET(CRONOPLE!$F$15,$M245-$A$15,BP$13)=0,10^12,OFFSET(CRONOPLE!$F$15,$M245-$A$15,BP$13)))</f>
        <v>0</v>
      </c>
      <c r="BQ245" s="171">
        <f ca="1">IF(OR($D245&lt;&gt;"Serviço",AND(AUTOEVENTO="Manual",$M245=$A$15)),0,
         IF(OFFSET(CRONOPLE!$F$15,$M245-$A$15,BQ$13)=0,10^12,OFFSET(CRONOPLE!$F$15,$M245-$A$15,BQ$13)))</f>
        <v>0</v>
      </c>
      <c r="BR245" s="171">
        <f ca="1">IF(OR($D245&lt;&gt;"Serviço",AND(AUTOEVENTO="Manual",$M245=$A$15)),0,
         IF(OFFSET(CRONOPLE!$F$15,$M245-$A$15,BR$13)=0,10^12,OFFSET(CRONOPLE!$F$15,$M245-$A$15,BR$13)))</f>
        <v>0</v>
      </c>
      <c r="BS245" s="171">
        <f ca="1">IF(OR($D245&lt;&gt;"Serviço",AND(AUTOEVENTO="Manual",$M245=$A$15)),0,
         IF(OFFSET(CRONOPLE!$F$15,$M245-$A$15,BS$13)=0,10^12,OFFSET(CRONOPLE!$F$15,$M245-$A$15,BS$13)))</f>
        <v>0</v>
      </c>
      <c r="BT245" s="171">
        <f ca="1">IF(OR($D245&lt;&gt;"Serviço",AND(AUTOEVENTO="Manual",$M245=$A$15)),0,
         IF(OFFSET(CRONOPLE!$F$15,$M245-$A$15,BT$13)=0,10^12,OFFSET(CRONOPLE!$F$15,$M245-$A$15,BT$13)))</f>
        <v>0</v>
      </c>
      <c r="BV245" s="172">
        <f ca="1">IF(OR($D245&lt;&gt;"Serviço",AND(AUTOEVENTO="Manual",$M245=$A$15),$M245&gt;(ROW(PLE.lastrow)-ROW(PLE.firstrow))),0,
           IF(OFFSET(PLE!$G$15,$M245-$A$15,BV$13)="",10^12,OFFSET(PLE!$G$15,$M245-$A$15,BV$13)))</f>
        <v>0</v>
      </c>
      <c r="BW245" s="172">
        <f ca="1">IF(OR($D245&lt;&gt;"Serviço",AND(AUTOEVENTO="Manual",$M245=$A$15),$M245&gt;(ROW(PLE.lastrow)-ROW(PLE.firstrow))),0,
           IF(OFFSET(PLE!$G$15,$M245-$A$15,BW$13)="",10^12,OFFSET(PLE!$G$15,$M245-$A$15,BW$13)))</f>
        <v>0</v>
      </c>
      <c r="BX245" s="172">
        <f ca="1">IF(OR($D245&lt;&gt;"Serviço",AND(AUTOEVENTO="Manual",$M245=$A$15),$M245&gt;(ROW(PLE.lastrow)-ROW(PLE.firstrow))),0,
           IF(OFFSET(PLE!$G$15,$M245-$A$15,BX$13)="",10^12,OFFSET(PLE!$G$15,$M245-$A$15,BX$13)))</f>
        <v>0</v>
      </c>
      <c r="BY245" s="172">
        <f ca="1">IF(OR($D245&lt;&gt;"Serviço",AND(AUTOEVENTO="Manual",$M245=$A$15),$M245&gt;(ROW(PLE.lastrow)-ROW(PLE.firstrow))),0,
           IF(OFFSET(PLE!$G$15,$M245-$A$15,BY$13)="",10^12,OFFSET(PLE!$G$15,$M245-$A$15,BY$13)))</f>
        <v>0</v>
      </c>
      <c r="BZ245" s="172">
        <f ca="1">IF(OR($D245&lt;&gt;"Serviço",AND(AUTOEVENTO="Manual",$M245=$A$15),$M245&gt;(ROW(PLE.lastrow)-ROW(PLE.firstrow))),0,
           IF(OFFSET(PLE!$G$15,$M245-$A$15,BZ$13)="",10^12,OFFSET(PLE!$G$15,$M245-$A$15,BZ$13)))</f>
        <v>0</v>
      </c>
      <c r="CA245" s="172">
        <f ca="1">IF(OR($D245&lt;&gt;"Serviço",AND(AUTOEVENTO="Manual",$M245=$A$15),$M245&gt;(ROW(PLE.lastrow)-ROW(PLE.firstrow))),0,
           IF(OFFSET(PLE!$G$15,$M245-$A$15,CA$13)="",10^12,OFFSET(PLE!$G$15,$M245-$A$15,CA$13)))</f>
        <v>0</v>
      </c>
      <c r="CB245" s="172">
        <f ca="1">IF(OR($D245&lt;&gt;"Serviço",AND(AUTOEVENTO="Manual",$M245=$A$15),$M245&gt;(ROW(PLE.lastrow)-ROW(PLE.firstrow))),0,
           IF(OFFSET(PLE!$G$15,$M245-$A$15,CB$13)="",10^12,OFFSET(PLE!$G$15,$M245-$A$15,CB$13)))</f>
        <v>0</v>
      </c>
      <c r="CC245" s="172">
        <f ca="1">IF(OR($D245&lt;&gt;"Serviço",AND(AUTOEVENTO="Manual",$M245=$A$15),$M245&gt;(ROW(PLE.lastrow)-ROW(PLE.firstrow))),0,
           IF(OFFSET(PLE!$G$15,$M245-$A$15,CC$13)="",10^12,OFFSET(PLE!$G$15,$M245-$A$15,CC$13)))</f>
        <v>0</v>
      </c>
      <c r="CD245" s="172">
        <f ca="1">IF(OR($D245&lt;&gt;"Serviço",AND(AUTOEVENTO="Manual",$M245=$A$15),$M245&gt;(ROW(PLE.lastrow)-ROW(PLE.firstrow))),0,
           IF(OFFSET(PLE!$G$15,$M245-$A$15,CD$13)="",10^12,OFFSET(PLE!$G$15,$M245-$A$15,CD$13)))</f>
        <v>0</v>
      </c>
      <c r="CE245" s="172">
        <f ca="1">IF(OR($D245&lt;&gt;"Serviço",AND(AUTOEVENTO="Manual",$M245=$A$15),$M245&gt;(ROW(PLE.lastrow)-ROW(PLE.firstrow))),0,
           IF(OFFSET(PLE!$G$15,$M245-$A$15,CE$13)="",10^12,OFFSET(PLE!$G$15,$M245-$A$15,CE$13)))</f>
        <v>0</v>
      </c>
      <c r="CF245" s="172">
        <f ca="1">IF(OR($D245&lt;&gt;"Serviço",AND(AUTOEVENTO="Manual",$M245=$A$15),$M245&gt;(ROW(PLE.lastrow)-ROW(PLE.firstrow))),0,
           IF(OFFSET(PLE!$G$15,$M245-$A$15,CF$13)="",10^12,OFFSET(PLE!$G$15,$M245-$A$15,CF$13)))</f>
        <v>0</v>
      </c>
      <c r="CG245" s="172">
        <f ca="1">IF(OR($D245&lt;&gt;"Serviço",AND(AUTOEVENTO="Manual",$M245=$A$15),$M245&gt;(ROW(PLE.lastrow)-ROW(PLE.firstrow))),0,
           IF(OFFSET(PLE!$G$15,$M245-$A$15,CG$13)="",10^12,OFFSET(PLE!$G$15,$M245-$A$15,CG$13)))</f>
        <v>0</v>
      </c>
      <c r="CH245" s="172">
        <f ca="1">IF(OR($D245&lt;&gt;"Serviço",AND(AUTOEVENTO="Manual",$M245=$A$15),$M245&gt;(ROW(PLE.lastrow)-ROW(PLE.firstrow))),0,
           IF(OFFSET(PLE!$G$15,$M245-$A$15,CH$13)="",10^12,OFFSET(PLE!$G$15,$M245-$A$15,CH$13)))</f>
        <v>0</v>
      </c>
      <c r="CI245" s="172">
        <f ca="1">IF(OR($D245&lt;&gt;"Serviço",AND(AUTOEVENTO="Manual",$M245=$A$15),$M245&gt;(ROW(PLE.lastrow)-ROW(PLE.firstrow))),0,
           IF(OFFSET(PLE!$G$15,$M245-$A$15,CI$13)="",10^12,OFFSET(PLE!$G$15,$M245-$A$15,CI$13)))</f>
        <v>0</v>
      </c>
      <c r="CJ245" s="172">
        <f ca="1">IF(OR($D245&lt;&gt;"Serviço",AND(AUTOEVENTO="Manual",$M245=$A$15),$M245&gt;(ROW(PLE.lastrow)-ROW(PLE.firstrow))),0,
           IF(OFFSET(PLE!$G$15,$M245-$A$15,CJ$13)="",10^12,OFFSET(PLE!$G$15,$M245-$A$15,CJ$13)))</f>
        <v>0</v>
      </c>
      <c r="CK245" s="172">
        <f ca="1">IF(OR($D245&lt;&gt;"Serviço",AND(AUTOEVENTO="Manual",$M245=$A$15),$M245&gt;(ROW(PLE.lastrow)-ROW(PLE.firstrow))),0,
           IF(OFFSET(PLE!$G$15,$M245-$A$15,CK$13)="",10^12,OFFSET(PLE!$G$15,$M245-$A$15,CK$13)))</f>
        <v>0</v>
      </c>
      <c r="CL245" s="172">
        <f ca="1">IF(OR($D245&lt;&gt;"Serviço",AND(AUTOEVENTO="Manual",$M245=$A$15),$M245&gt;(ROW(PLE.lastrow)-ROW(PLE.firstrow))),0,
           IF(OFFSET(PLE!$G$15,$M245-$A$15,CL$13)="",10^12,OFFSET(PLE!$G$15,$M245-$A$15,CL$13)))</f>
        <v>0</v>
      </c>
      <c r="CM245" s="172">
        <f ca="1">IF(OR($D245&lt;&gt;"Serviço",AND(AUTOEVENTO="Manual",$M245=$A$15),$M245&gt;(ROW(PLE.lastrow)-ROW(PLE.firstrow))),0,
           IF(OFFSET(PLE!$G$15,$M245-$A$15,CM$13)="",10^12,OFFSET(PLE!$G$15,$M245-$A$15,CM$13)))</f>
        <v>0</v>
      </c>
    </row>
    <row r="246" spans="1:91" ht="12.75" x14ac:dyDescent="0.2">
      <c r="A246" s="7">
        <f t="shared" ca="1" si="13"/>
        <v>0</v>
      </c>
      <c r="B246" s="7">
        <f ca="1">OFFSET(ORÇAMENTO!C$15,ROW(B246)-ROW(B$15),0)</f>
        <v>4</v>
      </c>
      <c r="C246" s="7" t="str">
        <f ca="1">OFFSET(ORÇAMENTO!L$15,ROW(C246)-ROW(C$15),0)</f>
        <v>F</v>
      </c>
      <c r="D246" s="116" t="str">
        <f ca="1">OFFSET(ORÇAMENTO!N$15,ROW(D246)-ROW(D$15),0)</f>
        <v>Nível 4</v>
      </c>
      <c r="E246" s="117" t="str">
        <f ca="1">OFFSET(ORÇAMENTO!O$15,ROW(E246)-ROW(E$15),0)</f>
        <v>1.7.1.1.</v>
      </c>
      <c r="F246" s="163" t="str">
        <f ca="1">OFFSET(ORÇAMENTO!R$15,ROW(F246)-ROW(F$15),0)</f>
        <v>FORNECIMENTO DE MATERIAIS E EQUIPAMENTOS</v>
      </c>
      <c r="G246" s="164" t="str">
        <f ca="1">IF($D246&lt;&gt;"Serviço","",OFFSET(ORÇAMENTO!S$15,ROW(G246)-ROW(G$15),0))</f>
        <v/>
      </c>
      <c r="H246" s="122" cm="1">
        <f t="array" aca="1" ref="H246" ca="1">IF($D246&lt;&gt;"Serviço",0,IF(ACOMPANHAMENTO="BM",ROUND(OFFSET(ORÇAMENTO!AJ$15,ROW(H246)-ROW(H$15),0),15-13*ORÇAMENTO!$AF$7),SUMPRODUCT(($Q$1:$AI$1=1)*ROUND($Q246:$AI246,15-13*ORÇAMENTO!$AF$7))))</f>
        <v>0</v>
      </c>
      <c r="I246" s="468"/>
      <c r="J246" s="640" t="str" cm="1">
        <f t="array" aca="1" ref="J246" ca="1">IF(OR(B246&lt;&gt;"S",CÁLCULO.FrentesPreenchidas=0),"",IF(AND(ACOMPANHAMENTO="PLE",AUTOEVENTO="Manual",OR(H246&gt;0,ORÇAMENTO!AC246="QUANT."),OR(K246="",M246=0,N246="")),"►E",IF(AND(ACOMPANHAMENTO="PLE",ORÇAMENTO!AC246="QUANT."),"►Q",IF(AND(ACOMPANHAMENTO="PLE",H246&lt;&gt;SUMPRODUCT(($Q$1:$AI$1=1)*ROUND(Q246:AI246,15))),"►S",IF(AND(COUNTIF($P$11:$AI$11,"▼")=0,H246&gt;0,I246=""),"◄M","")))))</f>
        <v/>
      </c>
      <c r="K246" s="641"/>
      <c r="L246" s="165" t="s">
        <v>764</v>
      </c>
      <c r="M246" s="166" t="str">
        <f ca="1">IF($D246&lt;&gt;"Serviço","",
          IF(AUTOEVENTO="manual",$A246,
                IF(ISERROR(MATCH($A246,$A$15:OFFSET($A246,-1,0),0)),MAX($M$15:OFFSET(M246,-1,0))+1,
                      INDEX($M$15:OFFSET(M246,-1,0),MATCH($A246,$A$15:OFFSET($A246,-1,0),0)))))</f>
        <v/>
      </c>
      <c r="N246" s="167" t="str">
        <f ca="1">IF($D246&lt;&gt;"Serviço","",
         IF(AUTOEVENTO="Manual",
                IF($A246=0,"&lt;-- defina o número do agrupador",
                       OFFSET(EVENTOS!$D$15,$A246-$A$15,0)),
                OFFSET($F$15,$A246,0)))</f>
        <v/>
      </c>
      <c r="O246" s="168"/>
      <c r="Q246" s="168"/>
      <c r="R246" s="169"/>
      <c r="S246" s="169"/>
      <c r="T246" s="169"/>
      <c r="U246" s="169"/>
      <c r="V246" s="169"/>
      <c r="W246" s="169"/>
      <c r="X246" s="169"/>
      <c r="Y246" s="169"/>
      <c r="Z246" s="170"/>
      <c r="AA246" s="169"/>
      <c r="AB246" s="169"/>
      <c r="AC246" s="169"/>
      <c r="AD246" s="169"/>
      <c r="AE246" s="169"/>
      <c r="AF246" s="169"/>
      <c r="AG246" s="169"/>
      <c r="AH246" s="170"/>
      <c r="AJ246" s="453">
        <f ca="1">IF(AND($D246="Serviço",AJ$12&lt;&gt;0,$H246&gt;0,OR(AUTOEVENTO&lt;&gt;"manual",$M246&lt;&gt;$A$15)),
        IF(Import.TipoArredondamento&lt;&gt;"TransfereGOV",
              ROUND(OFFSET($P246,0,AJ$13),15-13*ORÇAMENTO!$AF$7)/$H246*OFFSET(ORÇAMENTO!$X$15,ROW(AJ246)-ROW(AJ$15),0),
              ROUND(ROUND(OFFSET($P246,0,AJ$13),15-13*ORÇAMENTO!$AF$7)*OFFSET(ORÇAMENTO!$W$15,ROW(AJ246)-ROW(AJ$15),0),15-13*ORÇAMENTO!$AF$11)),
         0)</f>
        <v>0</v>
      </c>
      <c r="AK246" s="453">
        <f ca="1">IF(AND($D246="Serviço",AK$12&lt;&gt;0,$H246&gt;0,OR(AUTOEVENTO&lt;&gt;"manual",$M246&lt;&gt;$A$15)),
        IF(Import.TipoArredondamento&lt;&gt;"TransfereGOV",
              ROUND(OFFSET($P246,0,AK$13),15-13*ORÇAMENTO!$AF$7)/$H246*OFFSET(ORÇAMENTO!$X$15,ROW(AK246)-ROW(AK$15),0),
              ROUND(ROUND(OFFSET($P246,0,AK$13),15-13*ORÇAMENTO!$AF$7)*OFFSET(ORÇAMENTO!$W$15,ROW(AK246)-ROW(AK$15),0),15-13*ORÇAMENTO!$AF$11)),
         0)</f>
        <v>0</v>
      </c>
      <c r="AL246" s="453">
        <f ca="1">IF(AND($D246="Serviço",AL$12&lt;&gt;0,$H246&gt;0,OR(AUTOEVENTO&lt;&gt;"manual",$M246&lt;&gt;$A$15)),
        IF(Import.TipoArredondamento&lt;&gt;"TransfereGOV",
              ROUND(OFFSET($P246,0,AL$13),15-13*ORÇAMENTO!$AF$7)/$H246*OFFSET(ORÇAMENTO!$X$15,ROW(AL246)-ROW(AL$15),0),
              ROUND(ROUND(OFFSET($P246,0,AL$13),15-13*ORÇAMENTO!$AF$7)*OFFSET(ORÇAMENTO!$W$15,ROW(AL246)-ROW(AL$15),0),15-13*ORÇAMENTO!$AF$11)),
         0)</f>
        <v>0</v>
      </c>
      <c r="AM246" s="453">
        <f ca="1">IF(AND($D246="Serviço",AM$12&lt;&gt;0,$H246&gt;0,OR(AUTOEVENTO&lt;&gt;"manual",$M246&lt;&gt;$A$15)),
        IF(Import.TipoArredondamento&lt;&gt;"TransfereGOV",
              ROUND(OFFSET($P246,0,AM$13),15-13*ORÇAMENTO!$AF$7)/$H246*OFFSET(ORÇAMENTO!$X$15,ROW(AM246)-ROW(AM$15),0),
              ROUND(ROUND(OFFSET($P246,0,AM$13),15-13*ORÇAMENTO!$AF$7)*OFFSET(ORÇAMENTO!$W$15,ROW(AM246)-ROW(AM$15),0),15-13*ORÇAMENTO!$AF$11)),
         0)</f>
        <v>0</v>
      </c>
      <c r="AN246" s="453">
        <f ca="1">IF(AND($D246="Serviço",AN$12&lt;&gt;0,$H246&gt;0,OR(AUTOEVENTO&lt;&gt;"manual",$M246&lt;&gt;$A$15)),
        IF(Import.TipoArredondamento&lt;&gt;"TransfereGOV",
              ROUND(OFFSET($P246,0,AN$13),15-13*ORÇAMENTO!$AF$7)/$H246*OFFSET(ORÇAMENTO!$X$15,ROW(AN246)-ROW(AN$15),0),
              ROUND(ROUND(OFFSET($P246,0,AN$13),15-13*ORÇAMENTO!$AF$7)*OFFSET(ORÇAMENTO!$W$15,ROW(AN246)-ROW(AN$15),0),15-13*ORÇAMENTO!$AF$11)),
         0)</f>
        <v>0</v>
      </c>
      <c r="AO246" s="453">
        <f ca="1">IF(AND($D246="Serviço",AO$12&lt;&gt;0,$H246&gt;0,OR(AUTOEVENTO&lt;&gt;"manual",$M246&lt;&gt;$A$15)),
        IF(Import.TipoArredondamento&lt;&gt;"TransfereGOV",
              ROUND(OFFSET($P246,0,AO$13),15-13*ORÇAMENTO!$AF$7)/$H246*OFFSET(ORÇAMENTO!$X$15,ROW(AO246)-ROW(AO$15),0),
              ROUND(ROUND(OFFSET($P246,0,AO$13),15-13*ORÇAMENTO!$AF$7)*OFFSET(ORÇAMENTO!$W$15,ROW(AO246)-ROW(AO$15),0),15-13*ORÇAMENTO!$AF$11)),
         0)</f>
        <v>0</v>
      </c>
      <c r="AP246" s="453">
        <f ca="1">IF(AND($D246="Serviço",AP$12&lt;&gt;0,$H246&gt;0,OR(AUTOEVENTO&lt;&gt;"manual",$M246&lt;&gt;$A$15)),
        IF(Import.TipoArredondamento&lt;&gt;"TransfereGOV",
              ROUND(OFFSET($P246,0,AP$13),15-13*ORÇAMENTO!$AF$7)/$H246*OFFSET(ORÇAMENTO!$X$15,ROW(AP246)-ROW(AP$15),0),
              ROUND(ROUND(OFFSET($P246,0,AP$13),15-13*ORÇAMENTO!$AF$7)*OFFSET(ORÇAMENTO!$W$15,ROW(AP246)-ROW(AP$15),0),15-13*ORÇAMENTO!$AF$11)),
         0)</f>
        <v>0</v>
      </c>
      <c r="AQ246" s="453">
        <f ca="1">IF(AND($D246="Serviço",AQ$12&lt;&gt;0,$H246&gt;0,OR(AUTOEVENTO&lt;&gt;"manual",$M246&lt;&gt;$A$15)),
        IF(Import.TipoArredondamento&lt;&gt;"TransfereGOV",
              ROUND(OFFSET($P246,0,AQ$13),15-13*ORÇAMENTO!$AF$7)/$H246*OFFSET(ORÇAMENTO!$X$15,ROW(AQ246)-ROW(AQ$15),0),
              ROUND(ROUND(OFFSET($P246,0,AQ$13),15-13*ORÇAMENTO!$AF$7)*OFFSET(ORÇAMENTO!$W$15,ROW(AQ246)-ROW(AQ$15),0),15-13*ORÇAMENTO!$AF$11)),
         0)</f>
        <v>0</v>
      </c>
      <c r="AR246" s="453">
        <f ca="1">IF(AND($D246="Serviço",AR$12&lt;&gt;0,$H246&gt;0,OR(AUTOEVENTO&lt;&gt;"manual",$M246&lt;&gt;$A$15)),
        IF(Import.TipoArredondamento&lt;&gt;"TransfereGOV",
              ROUND(OFFSET($P246,0,AR$13),15-13*ORÇAMENTO!$AF$7)/$H246*OFFSET(ORÇAMENTO!$X$15,ROW(AR246)-ROW(AR$15),0),
              ROUND(ROUND(OFFSET($P246,0,AR$13),15-13*ORÇAMENTO!$AF$7)*OFFSET(ORÇAMENTO!$W$15,ROW(AR246)-ROW(AR$15),0),15-13*ORÇAMENTO!$AF$11)),
         0)</f>
        <v>0</v>
      </c>
      <c r="AS246" s="453">
        <f ca="1">IF(AND($D246="Serviço",AS$12&lt;&gt;0,$H246&gt;0,OR(AUTOEVENTO&lt;&gt;"manual",$M246&lt;&gt;$A$15)),
        IF(Import.TipoArredondamento&lt;&gt;"TransfereGOV",
              ROUND(OFFSET($P246,0,AS$13),15-13*ORÇAMENTO!$AF$7)/$H246*OFFSET(ORÇAMENTO!$X$15,ROW(AS246)-ROW(AS$15),0),
              ROUND(ROUND(OFFSET($P246,0,AS$13),15-13*ORÇAMENTO!$AF$7)*OFFSET(ORÇAMENTO!$W$15,ROW(AS246)-ROW(AS$15),0),15-13*ORÇAMENTO!$AF$11)),
         0)</f>
        <v>0</v>
      </c>
      <c r="AT246" s="453">
        <f ca="1">IF(AND($D246="Serviço",AT$12&lt;&gt;0,$H246&gt;0,OR(AUTOEVENTO&lt;&gt;"manual",$M246&lt;&gt;$A$15)),
        IF(Import.TipoArredondamento&lt;&gt;"TransfereGOV",
              ROUND(OFFSET($P246,0,AT$13),15-13*ORÇAMENTO!$AF$7)/$H246*OFFSET(ORÇAMENTO!$X$15,ROW(AT246)-ROW(AT$15),0),
              ROUND(ROUND(OFFSET($P246,0,AT$13),15-13*ORÇAMENTO!$AF$7)*OFFSET(ORÇAMENTO!$W$15,ROW(AT246)-ROW(AT$15),0),15-13*ORÇAMENTO!$AF$11)),
         0)</f>
        <v>0</v>
      </c>
      <c r="AU246" s="453">
        <f ca="1">IF(AND($D246="Serviço",AU$12&lt;&gt;0,$H246&gt;0,OR(AUTOEVENTO&lt;&gt;"manual",$M246&lt;&gt;$A$15)),
        IF(Import.TipoArredondamento&lt;&gt;"TransfereGOV",
              ROUND(OFFSET($P246,0,AU$13),15-13*ORÇAMENTO!$AF$7)/$H246*OFFSET(ORÇAMENTO!$X$15,ROW(AU246)-ROW(AU$15),0),
              ROUND(ROUND(OFFSET($P246,0,AU$13),15-13*ORÇAMENTO!$AF$7)*OFFSET(ORÇAMENTO!$W$15,ROW(AU246)-ROW(AU$15),0),15-13*ORÇAMENTO!$AF$11)),
         0)</f>
        <v>0</v>
      </c>
      <c r="AV246" s="453">
        <f ca="1">IF(AND($D246="Serviço",AV$12&lt;&gt;0,$H246&gt;0,OR(AUTOEVENTO&lt;&gt;"manual",$M246&lt;&gt;$A$15)),
        IF(Import.TipoArredondamento&lt;&gt;"TransfereGOV",
              ROUND(OFFSET($P246,0,AV$13),15-13*ORÇAMENTO!$AF$7)/$H246*OFFSET(ORÇAMENTO!$X$15,ROW(AV246)-ROW(AV$15),0),
              ROUND(ROUND(OFFSET($P246,0,AV$13),15-13*ORÇAMENTO!$AF$7)*OFFSET(ORÇAMENTO!$W$15,ROW(AV246)-ROW(AV$15),0),15-13*ORÇAMENTO!$AF$11)),
         0)</f>
        <v>0</v>
      </c>
      <c r="AW246" s="453">
        <f ca="1">IF(AND($D246="Serviço",AW$12&lt;&gt;0,$H246&gt;0,OR(AUTOEVENTO&lt;&gt;"manual",$M246&lt;&gt;$A$15)),
        IF(Import.TipoArredondamento&lt;&gt;"TransfereGOV",
              ROUND(OFFSET($P246,0,AW$13),15-13*ORÇAMENTO!$AF$7)/$H246*OFFSET(ORÇAMENTO!$X$15,ROW(AW246)-ROW(AW$15),0),
              ROUND(ROUND(OFFSET($P246,0,AW$13),15-13*ORÇAMENTO!$AF$7)*OFFSET(ORÇAMENTO!$W$15,ROW(AW246)-ROW(AW$15),0),15-13*ORÇAMENTO!$AF$11)),
         0)</f>
        <v>0</v>
      </c>
      <c r="AX246" s="453">
        <f ca="1">IF(AND($D246="Serviço",AX$12&lt;&gt;0,$H246&gt;0,OR(AUTOEVENTO&lt;&gt;"manual",$M246&lt;&gt;$A$15)),
        IF(Import.TipoArredondamento&lt;&gt;"TransfereGOV",
              ROUND(OFFSET($P246,0,AX$13),15-13*ORÇAMENTO!$AF$7)/$H246*OFFSET(ORÇAMENTO!$X$15,ROW(AX246)-ROW(AX$15),0),
              ROUND(ROUND(OFFSET($P246,0,AX$13),15-13*ORÇAMENTO!$AF$7)*OFFSET(ORÇAMENTO!$W$15,ROW(AX246)-ROW(AX$15),0),15-13*ORÇAMENTO!$AF$11)),
         0)</f>
        <v>0</v>
      </c>
      <c r="AY246" s="453">
        <f ca="1">IF(AND($D246="Serviço",AY$12&lt;&gt;0,$H246&gt;0,OR(AUTOEVENTO&lt;&gt;"manual",$M246&lt;&gt;$A$15)),
        IF(Import.TipoArredondamento&lt;&gt;"TransfereGOV",
              ROUND(OFFSET($P246,0,AY$13),15-13*ORÇAMENTO!$AF$7)/$H246*OFFSET(ORÇAMENTO!$X$15,ROW(AY246)-ROW(AY$15),0),
              ROUND(ROUND(OFFSET($P246,0,AY$13),15-13*ORÇAMENTO!$AF$7)*OFFSET(ORÇAMENTO!$W$15,ROW(AY246)-ROW(AY$15),0),15-13*ORÇAMENTO!$AF$11)),
         0)</f>
        <v>0</v>
      </c>
      <c r="AZ246" s="453">
        <f ca="1">IF(AND($D246="Serviço",AZ$12&lt;&gt;0,$H246&gt;0,OR(AUTOEVENTO&lt;&gt;"manual",$M246&lt;&gt;$A$15)),
        IF(Import.TipoArredondamento&lt;&gt;"TransfereGOV",
              ROUND(OFFSET($P246,0,AZ$13),15-13*ORÇAMENTO!$AF$7)/$H246*OFFSET(ORÇAMENTO!$X$15,ROW(AZ246)-ROW(AZ$15),0),
              ROUND(ROUND(OFFSET($P246,0,AZ$13),15-13*ORÇAMENTO!$AF$7)*OFFSET(ORÇAMENTO!$W$15,ROW(AZ246)-ROW(AZ$15),0),15-13*ORÇAMENTO!$AF$11)),
         0)</f>
        <v>0</v>
      </c>
      <c r="BA246" s="453">
        <f ca="1">IF(AND($D246="Serviço",BA$12&lt;&gt;0,$H246&gt;0,OR(AUTOEVENTO&lt;&gt;"manual",$M246&lt;&gt;$A$15)),
        IF(Import.TipoArredondamento&lt;&gt;"TransfereGOV",
              ROUND(OFFSET($P246,0,BA$13),15-13*ORÇAMENTO!$AF$7)/$H246*OFFSET(ORÇAMENTO!$X$15,ROW(BA246)-ROW(BA$15),0),
              ROUND(ROUND(OFFSET($P246,0,BA$13),15-13*ORÇAMENTO!$AF$7)*OFFSET(ORÇAMENTO!$W$15,ROW(BA246)-ROW(BA$15),0),15-13*ORÇAMENTO!$AF$11)),
         0)</f>
        <v>0</v>
      </c>
      <c r="BC246" s="171">
        <f ca="1">IF(OR($D246&lt;&gt;"Serviço",AND(AUTOEVENTO="Manual",$M246=$A$15)),0,
         IF(OFFSET(CRONOPLE!$F$15,$M246-$A$15,BC$13)=0,10^12,OFFSET(CRONOPLE!$F$15,$M246-$A$15,BC$13)))</f>
        <v>0</v>
      </c>
      <c r="BD246" s="171">
        <f ca="1">IF(OR($D246&lt;&gt;"Serviço",AND(AUTOEVENTO="Manual",$M246=$A$15)),0,
         IF(OFFSET(CRONOPLE!$F$15,$M246-$A$15,BD$13)=0,10^12,OFFSET(CRONOPLE!$F$15,$M246-$A$15,BD$13)))</f>
        <v>0</v>
      </c>
      <c r="BE246" s="171">
        <f ca="1">IF(OR($D246&lt;&gt;"Serviço",AND(AUTOEVENTO="Manual",$M246=$A$15)),0,
         IF(OFFSET(CRONOPLE!$F$15,$M246-$A$15,BE$13)=0,10^12,OFFSET(CRONOPLE!$F$15,$M246-$A$15,BE$13)))</f>
        <v>0</v>
      </c>
      <c r="BF246" s="171">
        <f ca="1">IF(OR($D246&lt;&gt;"Serviço",AND(AUTOEVENTO="Manual",$M246=$A$15)),0,
         IF(OFFSET(CRONOPLE!$F$15,$M246-$A$15,BF$13)=0,10^12,OFFSET(CRONOPLE!$F$15,$M246-$A$15,BF$13)))</f>
        <v>0</v>
      </c>
      <c r="BG246" s="171">
        <f ca="1">IF(OR($D246&lt;&gt;"Serviço",AND(AUTOEVENTO="Manual",$M246=$A$15)),0,
         IF(OFFSET(CRONOPLE!$F$15,$M246-$A$15,BG$13)=0,10^12,OFFSET(CRONOPLE!$F$15,$M246-$A$15,BG$13)))</f>
        <v>0</v>
      </c>
      <c r="BH246" s="171">
        <f ca="1">IF(OR($D246&lt;&gt;"Serviço",AND(AUTOEVENTO="Manual",$M246=$A$15)),0,
         IF(OFFSET(CRONOPLE!$F$15,$M246-$A$15,BH$13)=0,10^12,OFFSET(CRONOPLE!$F$15,$M246-$A$15,BH$13)))</f>
        <v>0</v>
      </c>
      <c r="BI246" s="171">
        <f ca="1">IF(OR($D246&lt;&gt;"Serviço",AND(AUTOEVENTO="Manual",$M246=$A$15)),0,
         IF(OFFSET(CRONOPLE!$F$15,$M246-$A$15,BI$13)=0,10^12,OFFSET(CRONOPLE!$F$15,$M246-$A$15,BI$13)))</f>
        <v>0</v>
      </c>
      <c r="BJ246" s="171">
        <f ca="1">IF(OR($D246&lt;&gt;"Serviço",AND(AUTOEVENTO="Manual",$M246=$A$15)),0,
         IF(OFFSET(CRONOPLE!$F$15,$M246-$A$15,BJ$13)=0,10^12,OFFSET(CRONOPLE!$F$15,$M246-$A$15,BJ$13)))</f>
        <v>0</v>
      </c>
      <c r="BK246" s="171">
        <f ca="1">IF(OR($D246&lt;&gt;"Serviço",AND(AUTOEVENTO="Manual",$M246=$A$15)),0,
         IF(OFFSET(CRONOPLE!$F$15,$M246-$A$15,BK$13)=0,10^12,OFFSET(CRONOPLE!$F$15,$M246-$A$15,BK$13)))</f>
        <v>0</v>
      </c>
      <c r="BL246" s="171">
        <f ca="1">IF(OR($D246&lt;&gt;"Serviço",AND(AUTOEVENTO="Manual",$M246=$A$15)),0,
         IF(OFFSET(CRONOPLE!$F$15,$M246-$A$15,BL$13)=0,10^12,OFFSET(CRONOPLE!$F$15,$M246-$A$15,BL$13)))</f>
        <v>0</v>
      </c>
      <c r="BM246" s="171">
        <f ca="1">IF(OR($D246&lt;&gt;"Serviço",AND(AUTOEVENTO="Manual",$M246=$A$15)),0,
         IF(OFFSET(CRONOPLE!$F$15,$M246-$A$15,BM$13)=0,10^12,OFFSET(CRONOPLE!$F$15,$M246-$A$15,BM$13)))</f>
        <v>0</v>
      </c>
      <c r="BN246" s="171">
        <f ca="1">IF(OR($D246&lt;&gt;"Serviço",AND(AUTOEVENTO="Manual",$M246=$A$15)),0,
         IF(OFFSET(CRONOPLE!$F$15,$M246-$A$15,BN$13)=0,10^12,OFFSET(CRONOPLE!$F$15,$M246-$A$15,BN$13)))</f>
        <v>0</v>
      </c>
      <c r="BO246" s="171">
        <f ca="1">IF(OR($D246&lt;&gt;"Serviço",AND(AUTOEVENTO="Manual",$M246=$A$15)),0,
         IF(OFFSET(CRONOPLE!$F$15,$M246-$A$15,BO$13)=0,10^12,OFFSET(CRONOPLE!$F$15,$M246-$A$15,BO$13)))</f>
        <v>0</v>
      </c>
      <c r="BP246" s="171">
        <f ca="1">IF(OR($D246&lt;&gt;"Serviço",AND(AUTOEVENTO="Manual",$M246=$A$15)),0,
         IF(OFFSET(CRONOPLE!$F$15,$M246-$A$15,BP$13)=0,10^12,OFFSET(CRONOPLE!$F$15,$M246-$A$15,BP$13)))</f>
        <v>0</v>
      </c>
      <c r="BQ246" s="171">
        <f ca="1">IF(OR($D246&lt;&gt;"Serviço",AND(AUTOEVENTO="Manual",$M246=$A$15)),0,
         IF(OFFSET(CRONOPLE!$F$15,$M246-$A$15,BQ$13)=0,10^12,OFFSET(CRONOPLE!$F$15,$M246-$A$15,BQ$13)))</f>
        <v>0</v>
      </c>
      <c r="BR246" s="171">
        <f ca="1">IF(OR($D246&lt;&gt;"Serviço",AND(AUTOEVENTO="Manual",$M246=$A$15)),0,
         IF(OFFSET(CRONOPLE!$F$15,$M246-$A$15,BR$13)=0,10^12,OFFSET(CRONOPLE!$F$15,$M246-$A$15,BR$13)))</f>
        <v>0</v>
      </c>
      <c r="BS246" s="171">
        <f ca="1">IF(OR($D246&lt;&gt;"Serviço",AND(AUTOEVENTO="Manual",$M246=$A$15)),0,
         IF(OFFSET(CRONOPLE!$F$15,$M246-$A$15,BS$13)=0,10^12,OFFSET(CRONOPLE!$F$15,$M246-$A$15,BS$13)))</f>
        <v>0</v>
      </c>
      <c r="BT246" s="171">
        <f ca="1">IF(OR($D246&lt;&gt;"Serviço",AND(AUTOEVENTO="Manual",$M246=$A$15)),0,
         IF(OFFSET(CRONOPLE!$F$15,$M246-$A$15,BT$13)=0,10^12,OFFSET(CRONOPLE!$F$15,$M246-$A$15,BT$13)))</f>
        <v>0</v>
      </c>
      <c r="BV246" s="172">
        <f ca="1">IF(OR($D246&lt;&gt;"Serviço",AND(AUTOEVENTO="Manual",$M246=$A$15),$M246&gt;(ROW(PLE.lastrow)-ROW(PLE.firstrow))),0,
           IF(OFFSET(PLE!$G$15,$M246-$A$15,BV$13)="",10^12,OFFSET(PLE!$G$15,$M246-$A$15,BV$13)))</f>
        <v>0</v>
      </c>
      <c r="BW246" s="172">
        <f ca="1">IF(OR($D246&lt;&gt;"Serviço",AND(AUTOEVENTO="Manual",$M246=$A$15),$M246&gt;(ROW(PLE.lastrow)-ROW(PLE.firstrow))),0,
           IF(OFFSET(PLE!$G$15,$M246-$A$15,BW$13)="",10^12,OFFSET(PLE!$G$15,$M246-$A$15,BW$13)))</f>
        <v>0</v>
      </c>
      <c r="BX246" s="172">
        <f ca="1">IF(OR($D246&lt;&gt;"Serviço",AND(AUTOEVENTO="Manual",$M246=$A$15),$M246&gt;(ROW(PLE.lastrow)-ROW(PLE.firstrow))),0,
           IF(OFFSET(PLE!$G$15,$M246-$A$15,BX$13)="",10^12,OFFSET(PLE!$G$15,$M246-$A$15,BX$13)))</f>
        <v>0</v>
      </c>
      <c r="BY246" s="172">
        <f ca="1">IF(OR($D246&lt;&gt;"Serviço",AND(AUTOEVENTO="Manual",$M246=$A$15),$M246&gt;(ROW(PLE.lastrow)-ROW(PLE.firstrow))),0,
           IF(OFFSET(PLE!$G$15,$M246-$A$15,BY$13)="",10^12,OFFSET(PLE!$G$15,$M246-$A$15,BY$13)))</f>
        <v>0</v>
      </c>
      <c r="BZ246" s="172">
        <f ca="1">IF(OR($D246&lt;&gt;"Serviço",AND(AUTOEVENTO="Manual",$M246=$A$15),$M246&gt;(ROW(PLE.lastrow)-ROW(PLE.firstrow))),0,
           IF(OFFSET(PLE!$G$15,$M246-$A$15,BZ$13)="",10^12,OFFSET(PLE!$G$15,$M246-$A$15,BZ$13)))</f>
        <v>0</v>
      </c>
      <c r="CA246" s="172">
        <f ca="1">IF(OR($D246&lt;&gt;"Serviço",AND(AUTOEVENTO="Manual",$M246=$A$15),$M246&gt;(ROW(PLE.lastrow)-ROW(PLE.firstrow))),0,
           IF(OFFSET(PLE!$G$15,$M246-$A$15,CA$13)="",10^12,OFFSET(PLE!$G$15,$M246-$A$15,CA$13)))</f>
        <v>0</v>
      </c>
      <c r="CB246" s="172">
        <f ca="1">IF(OR($D246&lt;&gt;"Serviço",AND(AUTOEVENTO="Manual",$M246=$A$15),$M246&gt;(ROW(PLE.lastrow)-ROW(PLE.firstrow))),0,
           IF(OFFSET(PLE!$G$15,$M246-$A$15,CB$13)="",10^12,OFFSET(PLE!$G$15,$M246-$A$15,CB$13)))</f>
        <v>0</v>
      </c>
      <c r="CC246" s="172">
        <f ca="1">IF(OR($D246&lt;&gt;"Serviço",AND(AUTOEVENTO="Manual",$M246=$A$15),$M246&gt;(ROW(PLE.lastrow)-ROW(PLE.firstrow))),0,
           IF(OFFSET(PLE!$G$15,$M246-$A$15,CC$13)="",10^12,OFFSET(PLE!$G$15,$M246-$A$15,CC$13)))</f>
        <v>0</v>
      </c>
      <c r="CD246" s="172">
        <f ca="1">IF(OR($D246&lt;&gt;"Serviço",AND(AUTOEVENTO="Manual",$M246=$A$15),$M246&gt;(ROW(PLE.lastrow)-ROW(PLE.firstrow))),0,
           IF(OFFSET(PLE!$G$15,$M246-$A$15,CD$13)="",10^12,OFFSET(PLE!$G$15,$M246-$A$15,CD$13)))</f>
        <v>0</v>
      </c>
      <c r="CE246" s="172">
        <f ca="1">IF(OR($D246&lt;&gt;"Serviço",AND(AUTOEVENTO="Manual",$M246=$A$15),$M246&gt;(ROW(PLE.lastrow)-ROW(PLE.firstrow))),0,
           IF(OFFSET(PLE!$G$15,$M246-$A$15,CE$13)="",10^12,OFFSET(PLE!$G$15,$M246-$A$15,CE$13)))</f>
        <v>0</v>
      </c>
      <c r="CF246" s="172">
        <f ca="1">IF(OR($D246&lt;&gt;"Serviço",AND(AUTOEVENTO="Manual",$M246=$A$15),$M246&gt;(ROW(PLE.lastrow)-ROW(PLE.firstrow))),0,
           IF(OFFSET(PLE!$G$15,$M246-$A$15,CF$13)="",10^12,OFFSET(PLE!$G$15,$M246-$A$15,CF$13)))</f>
        <v>0</v>
      </c>
      <c r="CG246" s="172">
        <f ca="1">IF(OR($D246&lt;&gt;"Serviço",AND(AUTOEVENTO="Manual",$M246=$A$15),$M246&gt;(ROW(PLE.lastrow)-ROW(PLE.firstrow))),0,
           IF(OFFSET(PLE!$G$15,$M246-$A$15,CG$13)="",10^12,OFFSET(PLE!$G$15,$M246-$A$15,CG$13)))</f>
        <v>0</v>
      </c>
      <c r="CH246" s="172">
        <f ca="1">IF(OR($D246&lt;&gt;"Serviço",AND(AUTOEVENTO="Manual",$M246=$A$15),$M246&gt;(ROW(PLE.lastrow)-ROW(PLE.firstrow))),0,
           IF(OFFSET(PLE!$G$15,$M246-$A$15,CH$13)="",10^12,OFFSET(PLE!$G$15,$M246-$A$15,CH$13)))</f>
        <v>0</v>
      </c>
      <c r="CI246" s="172">
        <f ca="1">IF(OR($D246&lt;&gt;"Serviço",AND(AUTOEVENTO="Manual",$M246=$A$15),$M246&gt;(ROW(PLE.lastrow)-ROW(PLE.firstrow))),0,
           IF(OFFSET(PLE!$G$15,$M246-$A$15,CI$13)="",10^12,OFFSET(PLE!$G$15,$M246-$A$15,CI$13)))</f>
        <v>0</v>
      </c>
      <c r="CJ246" s="172">
        <f ca="1">IF(OR($D246&lt;&gt;"Serviço",AND(AUTOEVENTO="Manual",$M246=$A$15),$M246&gt;(ROW(PLE.lastrow)-ROW(PLE.firstrow))),0,
           IF(OFFSET(PLE!$G$15,$M246-$A$15,CJ$13)="",10^12,OFFSET(PLE!$G$15,$M246-$A$15,CJ$13)))</f>
        <v>0</v>
      </c>
      <c r="CK246" s="172">
        <f ca="1">IF(OR($D246&lt;&gt;"Serviço",AND(AUTOEVENTO="Manual",$M246=$A$15),$M246&gt;(ROW(PLE.lastrow)-ROW(PLE.firstrow))),0,
           IF(OFFSET(PLE!$G$15,$M246-$A$15,CK$13)="",10^12,OFFSET(PLE!$G$15,$M246-$A$15,CK$13)))</f>
        <v>0</v>
      </c>
      <c r="CL246" s="172">
        <f ca="1">IF(OR($D246&lt;&gt;"Serviço",AND(AUTOEVENTO="Manual",$M246=$A$15),$M246&gt;(ROW(PLE.lastrow)-ROW(PLE.firstrow))),0,
           IF(OFFSET(PLE!$G$15,$M246-$A$15,CL$13)="",10^12,OFFSET(PLE!$G$15,$M246-$A$15,CL$13)))</f>
        <v>0</v>
      </c>
      <c r="CM246" s="172">
        <f ca="1">IF(OR($D246&lt;&gt;"Serviço",AND(AUTOEVENTO="Manual",$M246=$A$15),$M246&gt;(ROW(PLE.lastrow)-ROW(PLE.firstrow))),0,
           IF(OFFSET(PLE!$G$15,$M246-$A$15,CM$13)="",10^12,OFFSET(PLE!$G$15,$M246-$A$15,CM$13)))</f>
        <v>0</v>
      </c>
    </row>
    <row r="247" spans="1:91" ht="51" x14ac:dyDescent="0.2">
      <c r="A247" s="7">
        <f t="shared" ca="1" si="13"/>
        <v>6</v>
      </c>
      <c r="B247" s="7" t="str">
        <f ca="1">OFFSET(ORÇAMENTO!C$15,ROW(B247)-ROW(B$15),0)</f>
        <v>S</v>
      </c>
      <c r="C247" s="7" t="str">
        <f ca="1">OFFSET(ORÇAMENTO!L$15,ROW(C247)-ROW(C$15),0)</f>
        <v>F</v>
      </c>
      <c r="D247" s="116" t="str">
        <f ca="1">OFFSET(ORÇAMENTO!N$15,ROW(D247)-ROW(D$15),0)</f>
        <v>Serviço</v>
      </c>
      <c r="E247" s="117" t="str">
        <f ca="1">OFFSET(ORÇAMENTO!O$15,ROW(E247)-ROW(E$15),0)</f>
        <v>1.7.1.1.1.</v>
      </c>
      <c r="F247" s="163" t="str">
        <f ca="1">OFFSET(ORÇAMENTO!R$15,ROW(F247)-ROW(F$15),0)</f>
        <v>TÊ COM BOLSAS FoFo - DN 350</v>
      </c>
      <c r="G247" s="164" t="str">
        <f ca="1">IF($D247&lt;&gt;"Serviço","",OFFSET(ORÇAMENTO!S$15,ROW(G247)-ROW(G$15),0))</f>
        <v>UN</v>
      </c>
      <c r="H247" s="122" cm="1">
        <f t="array" aca="1" ref="H247" ca="1">IF($D247&lt;&gt;"Serviço",0,IF(ACOMPANHAMENTO="BM",ROUND(OFFSET(ORÇAMENTO!AJ$15,ROW(H247)-ROW(H$15),0),15-13*ORÇAMENTO!$AF$7),SUMPRODUCT(($Q$1:$AI$1=1)*ROUND($Q247:$AI247,15-13*ORÇAMENTO!$AF$7))))</f>
        <v>1</v>
      </c>
      <c r="I247" s="468" t="s">
        <v>1346</v>
      </c>
      <c r="J247" s="640" t="str" cm="1">
        <f t="array" aca="1" ref="J247" ca="1">IF(OR(B247&lt;&gt;"S",CÁLCULO.FrentesPreenchidas=0),"",IF(AND(ACOMPANHAMENTO="PLE",AUTOEVENTO="Manual",OR(H247&gt;0,ORÇAMENTO!AC247="QUANT."),OR(K247="",M247=0,N247="")),"►E",IF(AND(ACOMPANHAMENTO="PLE",ORÇAMENTO!AC247="QUANT."),"►Q",IF(AND(ACOMPANHAMENTO="PLE",H247&lt;&gt;SUMPRODUCT(($Q$1:$AI$1=1)*ROUND(Q247:AI247,15))),"►S",IF(AND(COUNTIF($P$11:$AI$11,"▼")=0,H247&gt;0,I247=""),"◄M","")))))</f>
        <v/>
      </c>
      <c r="K247" s="641" t="s">
        <v>1385</v>
      </c>
      <c r="L247" s="165" t="s">
        <v>764</v>
      </c>
      <c r="M247" s="166">
        <f ca="1">IF($D247&lt;&gt;"Serviço","",
          IF(AUTOEVENTO="manual",$A247,
                IF(ISERROR(MATCH($A247,$A$15:OFFSET($A247,-1,0),0)),MAX($M$15:OFFSET(M247,-1,0))+1,
                      INDEX($M$15:OFFSET(M247,-1,0),MATCH($A247,$A$15:OFFSET($A247,-1,0),0)))))</f>
        <v>6</v>
      </c>
      <c r="N247" s="167" t="str">
        <f ca="1">IF($D247&lt;&gt;"Serviço","",
         IF(AUTOEVENTO="Manual",
                IF($A247=0,"&lt;-- defina o número do agrupador",
                       OFFSET(EVENTOS!$D$15,$A247-$A$15,0)),
                OFFSET($F$15,$A247,0)))</f>
        <v>Saneamento</v>
      </c>
      <c r="O247" s="168"/>
      <c r="Q247" s="168"/>
      <c r="R247" s="169"/>
      <c r="S247" s="169">
        <v>1</v>
      </c>
      <c r="T247" s="169"/>
      <c r="U247" s="169"/>
      <c r="V247" s="169"/>
      <c r="W247" s="169"/>
      <c r="X247" s="169"/>
      <c r="Y247" s="169"/>
      <c r="Z247" s="170"/>
      <c r="AA247" s="169"/>
      <c r="AB247" s="169"/>
      <c r="AC247" s="169"/>
      <c r="AD247" s="169"/>
      <c r="AE247" s="169"/>
      <c r="AF247" s="169"/>
      <c r="AG247" s="169"/>
      <c r="AH247" s="170"/>
      <c r="AJ247" s="453">
        <f ca="1">IF(AND($D247="Serviço",AJ$12&lt;&gt;0,$H247&gt;0,OR(AUTOEVENTO&lt;&gt;"manual",$M247&lt;&gt;$A$15)),
        IF(Import.TipoArredondamento&lt;&gt;"TransfereGOV",
              ROUND(OFFSET($P247,0,AJ$13),15-13*ORÇAMENTO!$AF$7)/$H247*OFFSET(ORÇAMENTO!$X$15,ROW(AJ247)-ROW(AJ$15),0),
              ROUND(ROUND(OFFSET($P247,0,AJ$13),15-13*ORÇAMENTO!$AF$7)*OFFSET(ORÇAMENTO!$W$15,ROW(AJ247)-ROW(AJ$15),0),15-13*ORÇAMENTO!$AF$11)),
         0)</f>
        <v>0</v>
      </c>
      <c r="AK247" s="453">
        <f ca="1">IF(AND($D247="Serviço",AK$12&lt;&gt;0,$H247&gt;0,OR(AUTOEVENTO&lt;&gt;"manual",$M247&lt;&gt;$A$15)),
        IF(Import.TipoArredondamento&lt;&gt;"TransfereGOV",
              ROUND(OFFSET($P247,0,AK$13),15-13*ORÇAMENTO!$AF$7)/$H247*OFFSET(ORÇAMENTO!$X$15,ROW(AK247)-ROW(AK$15),0),
              ROUND(ROUND(OFFSET($P247,0,AK$13),15-13*ORÇAMENTO!$AF$7)*OFFSET(ORÇAMENTO!$W$15,ROW(AK247)-ROW(AK$15),0),15-13*ORÇAMENTO!$AF$11)),
         0)</f>
        <v>0</v>
      </c>
      <c r="AL247" s="453">
        <f ca="1">IF(AND($D247="Serviço",AL$12&lt;&gt;0,$H247&gt;0,OR(AUTOEVENTO&lt;&gt;"manual",$M247&lt;&gt;$A$15)),
        IF(Import.TipoArredondamento&lt;&gt;"TransfereGOV",
              ROUND(OFFSET($P247,0,AL$13),15-13*ORÇAMENTO!$AF$7)/$H247*OFFSET(ORÇAMENTO!$X$15,ROW(AL247)-ROW(AL$15),0),
              ROUND(ROUND(OFFSET($P247,0,AL$13),15-13*ORÇAMENTO!$AF$7)*OFFSET(ORÇAMENTO!$W$15,ROW(AL247)-ROW(AL$15),0),15-13*ORÇAMENTO!$AF$11)),
         0)</f>
        <v>0</v>
      </c>
      <c r="AM247" s="453">
        <f ca="1">IF(AND($D247="Serviço",AM$12&lt;&gt;0,$H247&gt;0,OR(AUTOEVENTO&lt;&gt;"manual",$M247&lt;&gt;$A$15)),
        IF(Import.TipoArredondamento&lt;&gt;"TransfereGOV",
              ROUND(OFFSET($P247,0,AM$13),15-13*ORÇAMENTO!$AF$7)/$H247*OFFSET(ORÇAMENTO!$X$15,ROW(AM247)-ROW(AM$15),0),
              ROUND(ROUND(OFFSET($P247,0,AM$13),15-13*ORÇAMENTO!$AF$7)*OFFSET(ORÇAMENTO!$W$15,ROW(AM247)-ROW(AM$15),0),15-13*ORÇAMENTO!$AF$11)),
         0)</f>
        <v>0</v>
      </c>
      <c r="AN247" s="453">
        <f ca="1">IF(AND($D247="Serviço",AN$12&lt;&gt;0,$H247&gt;0,OR(AUTOEVENTO&lt;&gt;"manual",$M247&lt;&gt;$A$15)),
        IF(Import.TipoArredondamento&lt;&gt;"TransfereGOV",
              ROUND(OFFSET($P247,0,AN$13),15-13*ORÇAMENTO!$AF$7)/$H247*OFFSET(ORÇAMENTO!$X$15,ROW(AN247)-ROW(AN$15),0),
              ROUND(ROUND(OFFSET($P247,0,AN$13),15-13*ORÇAMENTO!$AF$7)*OFFSET(ORÇAMENTO!$W$15,ROW(AN247)-ROW(AN$15),0),15-13*ORÇAMENTO!$AF$11)),
         0)</f>
        <v>0</v>
      </c>
      <c r="AO247" s="453">
        <f ca="1">IF(AND($D247="Serviço",AO$12&lt;&gt;0,$H247&gt;0,OR(AUTOEVENTO&lt;&gt;"manual",$M247&lt;&gt;$A$15)),
        IF(Import.TipoArredondamento&lt;&gt;"TransfereGOV",
              ROUND(OFFSET($P247,0,AO$13),15-13*ORÇAMENTO!$AF$7)/$H247*OFFSET(ORÇAMENTO!$X$15,ROW(AO247)-ROW(AO$15),0),
              ROUND(ROUND(OFFSET($P247,0,AO$13),15-13*ORÇAMENTO!$AF$7)*OFFSET(ORÇAMENTO!$W$15,ROW(AO247)-ROW(AO$15),0),15-13*ORÇAMENTO!$AF$11)),
         0)</f>
        <v>0</v>
      </c>
      <c r="AP247" s="453">
        <f ca="1">IF(AND($D247="Serviço",AP$12&lt;&gt;0,$H247&gt;0,OR(AUTOEVENTO&lt;&gt;"manual",$M247&lt;&gt;$A$15)),
        IF(Import.TipoArredondamento&lt;&gt;"TransfereGOV",
              ROUND(OFFSET($P247,0,AP$13),15-13*ORÇAMENTO!$AF$7)/$H247*OFFSET(ORÇAMENTO!$X$15,ROW(AP247)-ROW(AP$15),0),
              ROUND(ROUND(OFFSET($P247,0,AP$13),15-13*ORÇAMENTO!$AF$7)*OFFSET(ORÇAMENTO!$W$15,ROW(AP247)-ROW(AP$15),0),15-13*ORÇAMENTO!$AF$11)),
         0)</f>
        <v>0</v>
      </c>
      <c r="AQ247" s="453">
        <f ca="1">IF(AND($D247="Serviço",AQ$12&lt;&gt;0,$H247&gt;0,OR(AUTOEVENTO&lt;&gt;"manual",$M247&lt;&gt;$A$15)),
        IF(Import.TipoArredondamento&lt;&gt;"TransfereGOV",
              ROUND(OFFSET($P247,0,AQ$13),15-13*ORÇAMENTO!$AF$7)/$H247*OFFSET(ORÇAMENTO!$X$15,ROW(AQ247)-ROW(AQ$15),0),
              ROUND(ROUND(OFFSET($P247,0,AQ$13),15-13*ORÇAMENTO!$AF$7)*OFFSET(ORÇAMENTO!$W$15,ROW(AQ247)-ROW(AQ$15),0),15-13*ORÇAMENTO!$AF$11)),
         0)</f>
        <v>0</v>
      </c>
      <c r="AR247" s="453">
        <f ca="1">IF(AND($D247="Serviço",AR$12&lt;&gt;0,$H247&gt;0,OR(AUTOEVENTO&lt;&gt;"manual",$M247&lt;&gt;$A$15)),
        IF(Import.TipoArredondamento&lt;&gt;"TransfereGOV",
              ROUND(OFFSET($P247,0,AR$13),15-13*ORÇAMENTO!$AF$7)/$H247*OFFSET(ORÇAMENTO!$X$15,ROW(AR247)-ROW(AR$15),0),
              ROUND(ROUND(OFFSET($P247,0,AR$13),15-13*ORÇAMENTO!$AF$7)*OFFSET(ORÇAMENTO!$W$15,ROW(AR247)-ROW(AR$15),0),15-13*ORÇAMENTO!$AF$11)),
         0)</f>
        <v>0</v>
      </c>
      <c r="AS247" s="453">
        <f ca="1">IF(AND($D247="Serviço",AS$12&lt;&gt;0,$H247&gt;0,OR(AUTOEVENTO&lt;&gt;"manual",$M247&lt;&gt;$A$15)),
        IF(Import.TipoArredondamento&lt;&gt;"TransfereGOV",
              ROUND(OFFSET($P247,0,AS$13),15-13*ORÇAMENTO!$AF$7)/$H247*OFFSET(ORÇAMENTO!$X$15,ROW(AS247)-ROW(AS$15),0),
              ROUND(ROUND(OFFSET($P247,0,AS$13),15-13*ORÇAMENTO!$AF$7)*OFFSET(ORÇAMENTO!$W$15,ROW(AS247)-ROW(AS$15),0),15-13*ORÇAMENTO!$AF$11)),
         0)</f>
        <v>0</v>
      </c>
      <c r="AT247" s="453">
        <f ca="1">IF(AND($D247="Serviço",AT$12&lt;&gt;0,$H247&gt;0,OR(AUTOEVENTO&lt;&gt;"manual",$M247&lt;&gt;$A$15)),
        IF(Import.TipoArredondamento&lt;&gt;"TransfereGOV",
              ROUND(OFFSET($P247,0,AT$13),15-13*ORÇAMENTO!$AF$7)/$H247*OFFSET(ORÇAMENTO!$X$15,ROW(AT247)-ROW(AT$15),0),
              ROUND(ROUND(OFFSET($P247,0,AT$13),15-13*ORÇAMENTO!$AF$7)*OFFSET(ORÇAMENTO!$W$15,ROW(AT247)-ROW(AT$15),0),15-13*ORÇAMENTO!$AF$11)),
         0)</f>
        <v>0</v>
      </c>
      <c r="AU247" s="453">
        <f ca="1">IF(AND($D247="Serviço",AU$12&lt;&gt;0,$H247&gt;0,OR(AUTOEVENTO&lt;&gt;"manual",$M247&lt;&gt;$A$15)),
        IF(Import.TipoArredondamento&lt;&gt;"TransfereGOV",
              ROUND(OFFSET($P247,0,AU$13),15-13*ORÇAMENTO!$AF$7)/$H247*OFFSET(ORÇAMENTO!$X$15,ROW(AU247)-ROW(AU$15),0),
              ROUND(ROUND(OFFSET($P247,0,AU$13),15-13*ORÇAMENTO!$AF$7)*OFFSET(ORÇAMENTO!$W$15,ROW(AU247)-ROW(AU$15),0),15-13*ORÇAMENTO!$AF$11)),
         0)</f>
        <v>0</v>
      </c>
      <c r="AV247" s="453">
        <f ca="1">IF(AND($D247="Serviço",AV$12&lt;&gt;0,$H247&gt;0,OR(AUTOEVENTO&lt;&gt;"manual",$M247&lt;&gt;$A$15)),
        IF(Import.TipoArredondamento&lt;&gt;"TransfereGOV",
              ROUND(OFFSET($P247,0,AV$13),15-13*ORÇAMENTO!$AF$7)/$H247*OFFSET(ORÇAMENTO!$X$15,ROW(AV247)-ROW(AV$15),0),
              ROUND(ROUND(OFFSET($P247,0,AV$13),15-13*ORÇAMENTO!$AF$7)*OFFSET(ORÇAMENTO!$W$15,ROW(AV247)-ROW(AV$15),0),15-13*ORÇAMENTO!$AF$11)),
         0)</f>
        <v>0</v>
      </c>
      <c r="AW247" s="453">
        <f ca="1">IF(AND($D247="Serviço",AW$12&lt;&gt;0,$H247&gt;0,OR(AUTOEVENTO&lt;&gt;"manual",$M247&lt;&gt;$A$15)),
        IF(Import.TipoArredondamento&lt;&gt;"TransfereGOV",
              ROUND(OFFSET($P247,0,AW$13),15-13*ORÇAMENTO!$AF$7)/$H247*OFFSET(ORÇAMENTO!$X$15,ROW(AW247)-ROW(AW$15),0),
              ROUND(ROUND(OFFSET($P247,0,AW$13),15-13*ORÇAMENTO!$AF$7)*OFFSET(ORÇAMENTO!$W$15,ROW(AW247)-ROW(AW$15),0),15-13*ORÇAMENTO!$AF$11)),
         0)</f>
        <v>0</v>
      </c>
      <c r="AX247" s="453">
        <f ca="1">IF(AND($D247="Serviço",AX$12&lt;&gt;0,$H247&gt;0,OR(AUTOEVENTO&lt;&gt;"manual",$M247&lt;&gt;$A$15)),
        IF(Import.TipoArredondamento&lt;&gt;"TransfereGOV",
              ROUND(OFFSET($P247,0,AX$13),15-13*ORÇAMENTO!$AF$7)/$H247*OFFSET(ORÇAMENTO!$X$15,ROW(AX247)-ROW(AX$15),0),
              ROUND(ROUND(OFFSET($P247,0,AX$13),15-13*ORÇAMENTO!$AF$7)*OFFSET(ORÇAMENTO!$W$15,ROW(AX247)-ROW(AX$15),0),15-13*ORÇAMENTO!$AF$11)),
         0)</f>
        <v>0</v>
      </c>
      <c r="AY247" s="453">
        <f ca="1">IF(AND($D247="Serviço",AY$12&lt;&gt;0,$H247&gt;0,OR(AUTOEVENTO&lt;&gt;"manual",$M247&lt;&gt;$A$15)),
        IF(Import.TipoArredondamento&lt;&gt;"TransfereGOV",
              ROUND(OFFSET($P247,0,AY$13),15-13*ORÇAMENTO!$AF$7)/$H247*OFFSET(ORÇAMENTO!$X$15,ROW(AY247)-ROW(AY$15),0),
              ROUND(ROUND(OFFSET($P247,0,AY$13),15-13*ORÇAMENTO!$AF$7)*OFFSET(ORÇAMENTO!$W$15,ROW(AY247)-ROW(AY$15),0),15-13*ORÇAMENTO!$AF$11)),
         0)</f>
        <v>0</v>
      </c>
      <c r="AZ247" s="453">
        <f ca="1">IF(AND($D247="Serviço",AZ$12&lt;&gt;0,$H247&gt;0,OR(AUTOEVENTO&lt;&gt;"manual",$M247&lt;&gt;$A$15)),
        IF(Import.TipoArredondamento&lt;&gt;"TransfereGOV",
              ROUND(OFFSET($P247,0,AZ$13),15-13*ORÇAMENTO!$AF$7)/$H247*OFFSET(ORÇAMENTO!$X$15,ROW(AZ247)-ROW(AZ$15),0),
              ROUND(ROUND(OFFSET($P247,0,AZ$13),15-13*ORÇAMENTO!$AF$7)*OFFSET(ORÇAMENTO!$W$15,ROW(AZ247)-ROW(AZ$15),0),15-13*ORÇAMENTO!$AF$11)),
         0)</f>
        <v>0</v>
      </c>
      <c r="BA247" s="453">
        <f ca="1">IF(AND($D247="Serviço",BA$12&lt;&gt;0,$H247&gt;0,OR(AUTOEVENTO&lt;&gt;"manual",$M247&lt;&gt;$A$15)),
        IF(Import.TipoArredondamento&lt;&gt;"TransfereGOV",
              ROUND(OFFSET($P247,0,BA$13),15-13*ORÇAMENTO!$AF$7)/$H247*OFFSET(ORÇAMENTO!$X$15,ROW(BA247)-ROW(BA$15),0),
              ROUND(ROUND(OFFSET($P247,0,BA$13),15-13*ORÇAMENTO!$AF$7)*OFFSET(ORÇAMENTO!$W$15,ROW(BA247)-ROW(BA$15),0),15-13*ORÇAMENTO!$AF$11)),
         0)</f>
        <v>0</v>
      </c>
      <c r="BC247" s="171">
        <f ca="1">IF(OR($D247&lt;&gt;"Serviço",AND(AUTOEVENTO="Manual",$M247=$A$15)),0,
         IF(OFFSET(CRONOPLE!$F$15,$M247-$A$15,BC$13)=0,10^12,OFFSET(CRONOPLE!$F$15,$M247-$A$15,BC$13)))</f>
        <v>1</v>
      </c>
      <c r="BD247" s="171">
        <f ca="1">IF(OR($D247&lt;&gt;"Serviço",AND(AUTOEVENTO="Manual",$M247=$A$15)),0,
         IF(OFFSET(CRONOPLE!$F$15,$M247-$A$15,BD$13)=0,10^12,OFFSET(CRONOPLE!$F$15,$M247-$A$15,BD$13)))</f>
        <v>2</v>
      </c>
      <c r="BE247" s="171">
        <f ca="1">IF(OR($D247&lt;&gt;"Serviço",AND(AUTOEVENTO="Manual",$M247=$A$15)),0,
         IF(OFFSET(CRONOPLE!$F$15,$M247-$A$15,BE$13)=0,10^12,OFFSET(CRONOPLE!$F$15,$M247-$A$15,BE$13)))</f>
        <v>3</v>
      </c>
      <c r="BF247" s="171">
        <f ca="1">IF(OR($D247&lt;&gt;"Serviço",AND(AUTOEVENTO="Manual",$M247=$A$15)),0,
         IF(OFFSET(CRONOPLE!$F$15,$M247-$A$15,BF$13)=0,10^12,OFFSET(CRONOPLE!$F$15,$M247-$A$15,BF$13)))</f>
        <v>4</v>
      </c>
      <c r="BG247" s="171">
        <f ca="1">IF(OR($D247&lt;&gt;"Serviço",AND(AUTOEVENTO="Manual",$M247=$A$15)),0,
         IF(OFFSET(CRONOPLE!$F$15,$M247-$A$15,BG$13)=0,10^12,OFFSET(CRONOPLE!$F$15,$M247-$A$15,BG$13)))</f>
        <v>5</v>
      </c>
      <c r="BH247" s="171">
        <f ca="1">IF(OR($D247&lt;&gt;"Serviço",AND(AUTOEVENTO="Manual",$M247=$A$15)),0,
         IF(OFFSET(CRONOPLE!$F$15,$M247-$A$15,BH$13)=0,10^12,OFFSET(CRONOPLE!$F$15,$M247-$A$15,BH$13)))</f>
        <v>6</v>
      </c>
      <c r="BI247" s="171">
        <f ca="1">IF(OR($D247&lt;&gt;"Serviço",AND(AUTOEVENTO="Manual",$M247=$A$15)),0,
         IF(OFFSET(CRONOPLE!$F$15,$M247-$A$15,BI$13)=0,10^12,OFFSET(CRONOPLE!$F$15,$M247-$A$15,BI$13)))</f>
        <v>7</v>
      </c>
      <c r="BJ247" s="171">
        <f ca="1">IF(OR($D247&lt;&gt;"Serviço",AND(AUTOEVENTO="Manual",$M247=$A$15)),0,
         IF(OFFSET(CRONOPLE!$F$15,$M247-$A$15,BJ$13)=0,10^12,OFFSET(CRONOPLE!$F$15,$M247-$A$15,BJ$13)))</f>
        <v>8</v>
      </c>
      <c r="BK247" s="171">
        <f ca="1">IF(OR($D247&lt;&gt;"Serviço",AND(AUTOEVENTO="Manual",$M247=$A$15)),0,
         IF(OFFSET(CRONOPLE!$F$15,$M247-$A$15,BK$13)=0,10^12,OFFSET(CRONOPLE!$F$15,$M247-$A$15,BK$13)))</f>
        <v>9</v>
      </c>
      <c r="BL247" s="171">
        <f ca="1">IF(OR($D247&lt;&gt;"Serviço",AND(AUTOEVENTO="Manual",$M247=$A$15)),0,
         IF(OFFSET(CRONOPLE!$F$15,$M247-$A$15,BL$13)=0,10^12,OFFSET(CRONOPLE!$F$15,$M247-$A$15,BL$13)))</f>
        <v>1000000000000</v>
      </c>
      <c r="BM247" s="171">
        <f ca="1">IF(OR($D247&lt;&gt;"Serviço",AND(AUTOEVENTO="Manual",$M247=$A$15)),0,
         IF(OFFSET(CRONOPLE!$F$15,$M247-$A$15,BM$13)=0,10^12,OFFSET(CRONOPLE!$F$15,$M247-$A$15,BM$13)))</f>
        <v>1000000000000</v>
      </c>
      <c r="BN247" s="171">
        <f ca="1">IF(OR($D247&lt;&gt;"Serviço",AND(AUTOEVENTO="Manual",$M247=$A$15)),0,
         IF(OFFSET(CRONOPLE!$F$15,$M247-$A$15,BN$13)=0,10^12,OFFSET(CRONOPLE!$F$15,$M247-$A$15,BN$13)))</f>
        <v>1000000000000</v>
      </c>
      <c r="BO247" s="171">
        <f ca="1">IF(OR($D247&lt;&gt;"Serviço",AND(AUTOEVENTO="Manual",$M247=$A$15)),0,
         IF(OFFSET(CRONOPLE!$F$15,$M247-$A$15,BO$13)=0,10^12,OFFSET(CRONOPLE!$F$15,$M247-$A$15,BO$13)))</f>
        <v>1000000000000</v>
      </c>
      <c r="BP247" s="171">
        <f ca="1">IF(OR($D247&lt;&gt;"Serviço",AND(AUTOEVENTO="Manual",$M247=$A$15)),0,
         IF(OFFSET(CRONOPLE!$F$15,$M247-$A$15,BP$13)=0,10^12,OFFSET(CRONOPLE!$F$15,$M247-$A$15,BP$13)))</f>
        <v>1000000000000</v>
      </c>
      <c r="BQ247" s="171">
        <f ca="1">IF(OR($D247&lt;&gt;"Serviço",AND(AUTOEVENTO="Manual",$M247=$A$15)),0,
         IF(OFFSET(CRONOPLE!$F$15,$M247-$A$15,BQ$13)=0,10^12,OFFSET(CRONOPLE!$F$15,$M247-$A$15,BQ$13)))</f>
        <v>1000000000000</v>
      </c>
      <c r="BR247" s="171">
        <f ca="1">IF(OR($D247&lt;&gt;"Serviço",AND(AUTOEVENTO="Manual",$M247=$A$15)),0,
         IF(OFFSET(CRONOPLE!$F$15,$M247-$A$15,BR$13)=0,10^12,OFFSET(CRONOPLE!$F$15,$M247-$A$15,BR$13)))</f>
        <v>1000000000000</v>
      </c>
      <c r="BS247" s="171">
        <f ca="1">IF(OR($D247&lt;&gt;"Serviço",AND(AUTOEVENTO="Manual",$M247=$A$15)),0,
         IF(OFFSET(CRONOPLE!$F$15,$M247-$A$15,BS$13)=0,10^12,OFFSET(CRONOPLE!$F$15,$M247-$A$15,BS$13)))</f>
        <v>1000000000000</v>
      </c>
      <c r="BT247" s="171">
        <f ca="1">IF(OR($D247&lt;&gt;"Serviço",AND(AUTOEVENTO="Manual",$M247=$A$15)),0,
         IF(OFFSET(CRONOPLE!$F$15,$M247-$A$15,BT$13)=0,10^12,OFFSET(CRONOPLE!$F$15,$M247-$A$15,BT$13)))</f>
        <v>1000000000000</v>
      </c>
      <c r="BV247" s="172">
        <f ca="1">IF(OR($D247&lt;&gt;"Serviço",AND(AUTOEVENTO="Manual",$M247=$A$15),$M247&gt;(ROW(PLE.lastrow)-ROW(PLE.firstrow))),0,
           IF(OFFSET(PLE!$G$15,$M247-$A$15,BV$13)="",10^12,OFFSET(PLE!$G$15,$M247-$A$15,BV$13)))</f>
        <v>1000000000000</v>
      </c>
      <c r="BW247" s="172">
        <f ca="1">IF(OR($D247&lt;&gt;"Serviço",AND(AUTOEVENTO="Manual",$M247=$A$15),$M247&gt;(ROW(PLE.lastrow)-ROW(PLE.firstrow))),0,
           IF(OFFSET(PLE!$G$15,$M247-$A$15,BW$13)="",10^12,OFFSET(PLE!$G$15,$M247-$A$15,BW$13)))</f>
        <v>1000000000000</v>
      </c>
      <c r="BX247" s="172">
        <f ca="1">IF(OR($D247&lt;&gt;"Serviço",AND(AUTOEVENTO="Manual",$M247=$A$15),$M247&gt;(ROW(PLE.lastrow)-ROW(PLE.firstrow))),0,
           IF(OFFSET(PLE!$G$15,$M247-$A$15,BX$13)="",10^12,OFFSET(PLE!$G$15,$M247-$A$15,BX$13)))</f>
        <v>1000000000000</v>
      </c>
      <c r="BY247" s="172">
        <f ca="1">IF(OR($D247&lt;&gt;"Serviço",AND(AUTOEVENTO="Manual",$M247=$A$15),$M247&gt;(ROW(PLE.lastrow)-ROW(PLE.firstrow))),0,
           IF(OFFSET(PLE!$G$15,$M247-$A$15,BY$13)="",10^12,OFFSET(PLE!$G$15,$M247-$A$15,BY$13)))</f>
        <v>1000000000000</v>
      </c>
      <c r="BZ247" s="172">
        <f ca="1">IF(OR($D247&lt;&gt;"Serviço",AND(AUTOEVENTO="Manual",$M247=$A$15),$M247&gt;(ROW(PLE.lastrow)-ROW(PLE.firstrow))),0,
           IF(OFFSET(PLE!$G$15,$M247-$A$15,BZ$13)="",10^12,OFFSET(PLE!$G$15,$M247-$A$15,BZ$13)))</f>
        <v>1000000000000</v>
      </c>
      <c r="CA247" s="172">
        <f ca="1">IF(OR($D247&lt;&gt;"Serviço",AND(AUTOEVENTO="Manual",$M247=$A$15),$M247&gt;(ROW(PLE.lastrow)-ROW(PLE.firstrow))),0,
           IF(OFFSET(PLE!$G$15,$M247-$A$15,CA$13)="",10^12,OFFSET(PLE!$G$15,$M247-$A$15,CA$13)))</f>
        <v>1000000000000</v>
      </c>
      <c r="CB247" s="172">
        <f ca="1">IF(OR($D247&lt;&gt;"Serviço",AND(AUTOEVENTO="Manual",$M247=$A$15),$M247&gt;(ROW(PLE.lastrow)-ROW(PLE.firstrow))),0,
           IF(OFFSET(PLE!$G$15,$M247-$A$15,CB$13)="",10^12,OFFSET(PLE!$G$15,$M247-$A$15,CB$13)))</f>
        <v>1000000000000</v>
      </c>
      <c r="CC247" s="172">
        <f ca="1">IF(OR($D247&lt;&gt;"Serviço",AND(AUTOEVENTO="Manual",$M247=$A$15),$M247&gt;(ROW(PLE.lastrow)-ROW(PLE.firstrow))),0,
           IF(OFFSET(PLE!$G$15,$M247-$A$15,CC$13)="",10^12,OFFSET(PLE!$G$15,$M247-$A$15,CC$13)))</f>
        <v>1000000000000</v>
      </c>
      <c r="CD247" s="172">
        <f ca="1">IF(OR($D247&lt;&gt;"Serviço",AND(AUTOEVENTO="Manual",$M247=$A$15),$M247&gt;(ROW(PLE.lastrow)-ROW(PLE.firstrow))),0,
           IF(OFFSET(PLE!$G$15,$M247-$A$15,CD$13)="",10^12,OFFSET(PLE!$G$15,$M247-$A$15,CD$13)))</f>
        <v>1000000000000</v>
      </c>
      <c r="CE247" s="172">
        <f ca="1">IF(OR($D247&lt;&gt;"Serviço",AND(AUTOEVENTO="Manual",$M247=$A$15),$M247&gt;(ROW(PLE.lastrow)-ROW(PLE.firstrow))),0,
           IF(OFFSET(PLE!$G$15,$M247-$A$15,CE$13)="",10^12,OFFSET(PLE!$G$15,$M247-$A$15,CE$13)))</f>
        <v>1000000000000</v>
      </c>
      <c r="CF247" s="172">
        <f ca="1">IF(OR($D247&lt;&gt;"Serviço",AND(AUTOEVENTO="Manual",$M247=$A$15),$M247&gt;(ROW(PLE.lastrow)-ROW(PLE.firstrow))),0,
           IF(OFFSET(PLE!$G$15,$M247-$A$15,CF$13)="",10^12,OFFSET(PLE!$G$15,$M247-$A$15,CF$13)))</f>
        <v>1000000000000</v>
      </c>
      <c r="CG247" s="172">
        <f ca="1">IF(OR($D247&lt;&gt;"Serviço",AND(AUTOEVENTO="Manual",$M247=$A$15),$M247&gt;(ROW(PLE.lastrow)-ROW(PLE.firstrow))),0,
           IF(OFFSET(PLE!$G$15,$M247-$A$15,CG$13)="",10^12,OFFSET(PLE!$G$15,$M247-$A$15,CG$13)))</f>
        <v>1000000000000</v>
      </c>
      <c r="CH247" s="172">
        <f ca="1">IF(OR($D247&lt;&gt;"Serviço",AND(AUTOEVENTO="Manual",$M247=$A$15),$M247&gt;(ROW(PLE.lastrow)-ROW(PLE.firstrow))),0,
           IF(OFFSET(PLE!$G$15,$M247-$A$15,CH$13)="",10^12,OFFSET(PLE!$G$15,$M247-$A$15,CH$13)))</f>
        <v>1000000000000</v>
      </c>
      <c r="CI247" s="172">
        <f ca="1">IF(OR($D247&lt;&gt;"Serviço",AND(AUTOEVENTO="Manual",$M247=$A$15),$M247&gt;(ROW(PLE.lastrow)-ROW(PLE.firstrow))),0,
           IF(OFFSET(PLE!$G$15,$M247-$A$15,CI$13)="",10^12,OFFSET(PLE!$G$15,$M247-$A$15,CI$13)))</f>
        <v>1000000000000</v>
      </c>
      <c r="CJ247" s="172">
        <f ca="1">IF(OR($D247&lt;&gt;"Serviço",AND(AUTOEVENTO="Manual",$M247=$A$15),$M247&gt;(ROW(PLE.lastrow)-ROW(PLE.firstrow))),0,
           IF(OFFSET(PLE!$G$15,$M247-$A$15,CJ$13)="",10^12,OFFSET(PLE!$G$15,$M247-$A$15,CJ$13)))</f>
        <v>1000000000000</v>
      </c>
      <c r="CK247" s="172">
        <f ca="1">IF(OR($D247&lt;&gt;"Serviço",AND(AUTOEVENTO="Manual",$M247=$A$15),$M247&gt;(ROW(PLE.lastrow)-ROW(PLE.firstrow))),0,
           IF(OFFSET(PLE!$G$15,$M247-$A$15,CK$13)="",10^12,OFFSET(PLE!$G$15,$M247-$A$15,CK$13)))</f>
        <v>1000000000000</v>
      </c>
      <c r="CL247" s="172">
        <f ca="1">IF(OR($D247&lt;&gt;"Serviço",AND(AUTOEVENTO="Manual",$M247=$A$15),$M247&gt;(ROW(PLE.lastrow)-ROW(PLE.firstrow))),0,
           IF(OFFSET(PLE!$G$15,$M247-$A$15,CL$13)="",10^12,OFFSET(PLE!$G$15,$M247-$A$15,CL$13)))</f>
        <v>1000000000000</v>
      </c>
      <c r="CM247" s="172">
        <f ca="1">IF(OR($D247&lt;&gt;"Serviço",AND(AUTOEVENTO="Manual",$M247=$A$15),$M247&gt;(ROW(PLE.lastrow)-ROW(PLE.firstrow))),0,
           IF(OFFSET(PLE!$G$15,$M247-$A$15,CM$13)="",10^12,OFFSET(PLE!$G$15,$M247-$A$15,CM$13)))</f>
        <v>1000000000000</v>
      </c>
    </row>
    <row r="248" spans="1:91" ht="51" x14ac:dyDescent="0.2">
      <c r="A248" s="7">
        <f t="shared" ca="1" si="13"/>
        <v>6</v>
      </c>
      <c r="B248" s="7" t="str">
        <f ca="1">OFFSET(ORÇAMENTO!C$15,ROW(B248)-ROW(B$15),0)</f>
        <v>S</v>
      </c>
      <c r="C248" s="7" t="str">
        <f ca="1">OFFSET(ORÇAMENTO!L$15,ROW(C248)-ROW(C$15),0)</f>
        <v>F</v>
      </c>
      <c r="D248" s="116" t="str">
        <f ca="1">OFFSET(ORÇAMENTO!N$15,ROW(D248)-ROW(D$15),0)</f>
        <v>Serviço</v>
      </c>
      <c r="E248" s="117" t="str">
        <f ca="1">OFFSET(ORÇAMENTO!O$15,ROW(E248)-ROW(E$15),0)</f>
        <v>1.7.1.1.2.</v>
      </c>
      <c r="F248" s="163" t="str">
        <f ca="1">OFFSET(ORÇAMENTO!R$15,ROW(F248)-ROW(F$15),0)</f>
        <v>TUBO CILÍNDRICO FoFo L=4,70 M - DN 350 MM</v>
      </c>
      <c r="G248" s="164" t="str">
        <f ca="1">IF($D248&lt;&gt;"Serviço","",OFFSET(ORÇAMENTO!S$15,ROW(G248)-ROW(G$15),0))</f>
        <v>UN</v>
      </c>
      <c r="H248" s="122" cm="1">
        <f t="array" aca="1" ref="H248" ca="1">IF($D248&lt;&gt;"Serviço",0,IF(ACOMPANHAMENTO="BM",ROUND(OFFSET(ORÇAMENTO!AJ$15,ROW(H248)-ROW(H$15),0),15-13*ORÇAMENTO!$AF$7),SUMPRODUCT(($Q$1:$AI$1=1)*ROUND($Q248:$AI248,15-13*ORÇAMENTO!$AF$7))))</f>
        <v>1</v>
      </c>
      <c r="I248" s="468" t="s">
        <v>1346</v>
      </c>
      <c r="J248" s="640" t="str" cm="1">
        <f t="array" aca="1" ref="J248" ca="1">IF(OR(B248&lt;&gt;"S",CÁLCULO.FrentesPreenchidas=0),"",IF(AND(ACOMPANHAMENTO="PLE",AUTOEVENTO="Manual",OR(H248&gt;0,ORÇAMENTO!AC248="QUANT."),OR(K248="",M248=0,N248="")),"►E",IF(AND(ACOMPANHAMENTO="PLE",ORÇAMENTO!AC248="QUANT."),"►Q",IF(AND(ACOMPANHAMENTO="PLE",H248&lt;&gt;SUMPRODUCT(($Q$1:$AI$1=1)*ROUND(Q248:AI248,15))),"►S",IF(AND(COUNTIF($P$11:$AI$11,"▼")=0,H248&gt;0,I248=""),"◄M","")))))</f>
        <v/>
      </c>
      <c r="K248" s="641" t="s">
        <v>1385</v>
      </c>
      <c r="L248" s="165" t="s">
        <v>764</v>
      </c>
      <c r="M248" s="166">
        <f ca="1">IF($D248&lt;&gt;"Serviço","",
          IF(AUTOEVENTO="manual",$A248,
                IF(ISERROR(MATCH($A248,$A$15:OFFSET($A248,-1,0),0)),MAX($M$15:OFFSET(M248,-1,0))+1,
                      INDEX($M$15:OFFSET(M248,-1,0),MATCH($A248,$A$15:OFFSET($A248,-1,0),0)))))</f>
        <v>6</v>
      </c>
      <c r="N248" s="167" t="str">
        <f ca="1">IF($D248&lt;&gt;"Serviço","",
         IF(AUTOEVENTO="Manual",
                IF($A248=0,"&lt;-- defina o número do agrupador",
                       OFFSET(EVENTOS!$D$15,$A248-$A$15,0)),
                OFFSET($F$15,$A248,0)))</f>
        <v>Saneamento</v>
      </c>
      <c r="O248" s="168"/>
      <c r="Q248" s="168"/>
      <c r="R248" s="169"/>
      <c r="S248" s="169">
        <v>1</v>
      </c>
      <c r="T248" s="169"/>
      <c r="U248" s="169"/>
      <c r="V248" s="169"/>
      <c r="W248" s="169"/>
      <c r="X248" s="169"/>
      <c r="Y248" s="169"/>
      <c r="Z248" s="170"/>
      <c r="AA248" s="169"/>
      <c r="AB248" s="169"/>
      <c r="AC248" s="169"/>
      <c r="AD248" s="169"/>
      <c r="AE248" s="169"/>
      <c r="AF248" s="169"/>
      <c r="AG248" s="169"/>
      <c r="AH248" s="170"/>
      <c r="AJ248" s="453">
        <f ca="1">IF(AND($D248="Serviço",AJ$12&lt;&gt;0,$H248&gt;0,OR(AUTOEVENTO&lt;&gt;"manual",$M248&lt;&gt;$A$15)),
        IF(Import.TipoArredondamento&lt;&gt;"TransfereGOV",
              ROUND(OFFSET($P248,0,AJ$13),15-13*ORÇAMENTO!$AF$7)/$H248*OFFSET(ORÇAMENTO!$X$15,ROW(AJ248)-ROW(AJ$15),0),
              ROUND(ROUND(OFFSET($P248,0,AJ$13),15-13*ORÇAMENTO!$AF$7)*OFFSET(ORÇAMENTO!$W$15,ROW(AJ248)-ROW(AJ$15),0),15-13*ORÇAMENTO!$AF$11)),
         0)</f>
        <v>0</v>
      </c>
      <c r="AK248" s="453">
        <f ca="1">IF(AND($D248="Serviço",AK$12&lt;&gt;0,$H248&gt;0,OR(AUTOEVENTO&lt;&gt;"manual",$M248&lt;&gt;$A$15)),
        IF(Import.TipoArredondamento&lt;&gt;"TransfereGOV",
              ROUND(OFFSET($P248,0,AK$13),15-13*ORÇAMENTO!$AF$7)/$H248*OFFSET(ORÇAMENTO!$X$15,ROW(AK248)-ROW(AK$15),0),
              ROUND(ROUND(OFFSET($P248,0,AK$13),15-13*ORÇAMENTO!$AF$7)*OFFSET(ORÇAMENTO!$W$15,ROW(AK248)-ROW(AK$15),0),15-13*ORÇAMENTO!$AF$11)),
         0)</f>
        <v>0</v>
      </c>
      <c r="AL248" s="453">
        <f ca="1">IF(AND($D248="Serviço",AL$12&lt;&gt;0,$H248&gt;0,OR(AUTOEVENTO&lt;&gt;"manual",$M248&lt;&gt;$A$15)),
        IF(Import.TipoArredondamento&lt;&gt;"TransfereGOV",
              ROUND(OFFSET($P248,0,AL$13),15-13*ORÇAMENTO!$AF$7)/$H248*OFFSET(ORÇAMENTO!$X$15,ROW(AL248)-ROW(AL$15),0),
              ROUND(ROUND(OFFSET($P248,0,AL$13),15-13*ORÇAMENTO!$AF$7)*OFFSET(ORÇAMENTO!$W$15,ROW(AL248)-ROW(AL$15),0),15-13*ORÇAMENTO!$AF$11)),
         0)</f>
        <v>0</v>
      </c>
      <c r="AM248" s="453">
        <f ca="1">IF(AND($D248="Serviço",AM$12&lt;&gt;0,$H248&gt;0,OR(AUTOEVENTO&lt;&gt;"manual",$M248&lt;&gt;$A$15)),
        IF(Import.TipoArredondamento&lt;&gt;"TransfereGOV",
              ROUND(OFFSET($P248,0,AM$13),15-13*ORÇAMENTO!$AF$7)/$H248*OFFSET(ORÇAMENTO!$X$15,ROW(AM248)-ROW(AM$15),0),
              ROUND(ROUND(OFFSET($P248,0,AM$13),15-13*ORÇAMENTO!$AF$7)*OFFSET(ORÇAMENTO!$W$15,ROW(AM248)-ROW(AM$15),0),15-13*ORÇAMENTO!$AF$11)),
         0)</f>
        <v>0</v>
      </c>
      <c r="AN248" s="453">
        <f ca="1">IF(AND($D248="Serviço",AN$12&lt;&gt;0,$H248&gt;0,OR(AUTOEVENTO&lt;&gt;"manual",$M248&lt;&gt;$A$15)),
        IF(Import.TipoArredondamento&lt;&gt;"TransfereGOV",
              ROUND(OFFSET($P248,0,AN$13),15-13*ORÇAMENTO!$AF$7)/$H248*OFFSET(ORÇAMENTO!$X$15,ROW(AN248)-ROW(AN$15),0),
              ROUND(ROUND(OFFSET($P248,0,AN$13),15-13*ORÇAMENTO!$AF$7)*OFFSET(ORÇAMENTO!$W$15,ROW(AN248)-ROW(AN$15),0),15-13*ORÇAMENTO!$AF$11)),
         0)</f>
        <v>0</v>
      </c>
      <c r="AO248" s="453">
        <f ca="1">IF(AND($D248="Serviço",AO$12&lt;&gt;0,$H248&gt;0,OR(AUTOEVENTO&lt;&gt;"manual",$M248&lt;&gt;$A$15)),
        IF(Import.TipoArredondamento&lt;&gt;"TransfereGOV",
              ROUND(OFFSET($P248,0,AO$13),15-13*ORÇAMENTO!$AF$7)/$H248*OFFSET(ORÇAMENTO!$X$15,ROW(AO248)-ROW(AO$15),0),
              ROUND(ROUND(OFFSET($P248,0,AO$13),15-13*ORÇAMENTO!$AF$7)*OFFSET(ORÇAMENTO!$W$15,ROW(AO248)-ROW(AO$15),0),15-13*ORÇAMENTO!$AF$11)),
         0)</f>
        <v>0</v>
      </c>
      <c r="AP248" s="453">
        <f ca="1">IF(AND($D248="Serviço",AP$12&lt;&gt;0,$H248&gt;0,OR(AUTOEVENTO&lt;&gt;"manual",$M248&lt;&gt;$A$15)),
        IF(Import.TipoArredondamento&lt;&gt;"TransfereGOV",
              ROUND(OFFSET($P248,0,AP$13),15-13*ORÇAMENTO!$AF$7)/$H248*OFFSET(ORÇAMENTO!$X$15,ROW(AP248)-ROW(AP$15),0),
              ROUND(ROUND(OFFSET($P248,0,AP$13),15-13*ORÇAMENTO!$AF$7)*OFFSET(ORÇAMENTO!$W$15,ROW(AP248)-ROW(AP$15),0),15-13*ORÇAMENTO!$AF$11)),
         0)</f>
        <v>0</v>
      </c>
      <c r="AQ248" s="453">
        <f ca="1">IF(AND($D248="Serviço",AQ$12&lt;&gt;0,$H248&gt;0,OR(AUTOEVENTO&lt;&gt;"manual",$M248&lt;&gt;$A$15)),
        IF(Import.TipoArredondamento&lt;&gt;"TransfereGOV",
              ROUND(OFFSET($P248,0,AQ$13),15-13*ORÇAMENTO!$AF$7)/$H248*OFFSET(ORÇAMENTO!$X$15,ROW(AQ248)-ROW(AQ$15),0),
              ROUND(ROUND(OFFSET($P248,0,AQ$13),15-13*ORÇAMENTO!$AF$7)*OFFSET(ORÇAMENTO!$W$15,ROW(AQ248)-ROW(AQ$15),0),15-13*ORÇAMENTO!$AF$11)),
         0)</f>
        <v>0</v>
      </c>
      <c r="AR248" s="453">
        <f ca="1">IF(AND($D248="Serviço",AR$12&lt;&gt;0,$H248&gt;0,OR(AUTOEVENTO&lt;&gt;"manual",$M248&lt;&gt;$A$15)),
        IF(Import.TipoArredondamento&lt;&gt;"TransfereGOV",
              ROUND(OFFSET($P248,0,AR$13),15-13*ORÇAMENTO!$AF$7)/$H248*OFFSET(ORÇAMENTO!$X$15,ROW(AR248)-ROW(AR$15),0),
              ROUND(ROUND(OFFSET($P248,0,AR$13),15-13*ORÇAMENTO!$AF$7)*OFFSET(ORÇAMENTO!$W$15,ROW(AR248)-ROW(AR$15),0),15-13*ORÇAMENTO!$AF$11)),
         0)</f>
        <v>0</v>
      </c>
      <c r="AS248" s="453">
        <f ca="1">IF(AND($D248="Serviço",AS$12&lt;&gt;0,$H248&gt;0,OR(AUTOEVENTO&lt;&gt;"manual",$M248&lt;&gt;$A$15)),
        IF(Import.TipoArredondamento&lt;&gt;"TransfereGOV",
              ROUND(OFFSET($P248,0,AS$13),15-13*ORÇAMENTO!$AF$7)/$H248*OFFSET(ORÇAMENTO!$X$15,ROW(AS248)-ROW(AS$15),0),
              ROUND(ROUND(OFFSET($P248,0,AS$13),15-13*ORÇAMENTO!$AF$7)*OFFSET(ORÇAMENTO!$W$15,ROW(AS248)-ROW(AS$15),0),15-13*ORÇAMENTO!$AF$11)),
         0)</f>
        <v>0</v>
      </c>
      <c r="AT248" s="453">
        <f ca="1">IF(AND($D248="Serviço",AT$12&lt;&gt;0,$H248&gt;0,OR(AUTOEVENTO&lt;&gt;"manual",$M248&lt;&gt;$A$15)),
        IF(Import.TipoArredondamento&lt;&gt;"TransfereGOV",
              ROUND(OFFSET($P248,0,AT$13),15-13*ORÇAMENTO!$AF$7)/$H248*OFFSET(ORÇAMENTO!$X$15,ROW(AT248)-ROW(AT$15),0),
              ROUND(ROUND(OFFSET($P248,0,AT$13),15-13*ORÇAMENTO!$AF$7)*OFFSET(ORÇAMENTO!$W$15,ROW(AT248)-ROW(AT$15),0),15-13*ORÇAMENTO!$AF$11)),
         0)</f>
        <v>0</v>
      </c>
      <c r="AU248" s="453">
        <f ca="1">IF(AND($D248="Serviço",AU$12&lt;&gt;0,$H248&gt;0,OR(AUTOEVENTO&lt;&gt;"manual",$M248&lt;&gt;$A$15)),
        IF(Import.TipoArredondamento&lt;&gt;"TransfereGOV",
              ROUND(OFFSET($P248,0,AU$13),15-13*ORÇAMENTO!$AF$7)/$H248*OFFSET(ORÇAMENTO!$X$15,ROW(AU248)-ROW(AU$15),0),
              ROUND(ROUND(OFFSET($P248,0,AU$13),15-13*ORÇAMENTO!$AF$7)*OFFSET(ORÇAMENTO!$W$15,ROW(AU248)-ROW(AU$15),0),15-13*ORÇAMENTO!$AF$11)),
         0)</f>
        <v>0</v>
      </c>
      <c r="AV248" s="453">
        <f ca="1">IF(AND($D248="Serviço",AV$12&lt;&gt;0,$H248&gt;0,OR(AUTOEVENTO&lt;&gt;"manual",$M248&lt;&gt;$A$15)),
        IF(Import.TipoArredondamento&lt;&gt;"TransfereGOV",
              ROUND(OFFSET($P248,0,AV$13),15-13*ORÇAMENTO!$AF$7)/$H248*OFFSET(ORÇAMENTO!$X$15,ROW(AV248)-ROW(AV$15),0),
              ROUND(ROUND(OFFSET($P248,0,AV$13),15-13*ORÇAMENTO!$AF$7)*OFFSET(ORÇAMENTO!$W$15,ROW(AV248)-ROW(AV$15),0),15-13*ORÇAMENTO!$AF$11)),
         0)</f>
        <v>0</v>
      </c>
      <c r="AW248" s="453">
        <f ca="1">IF(AND($D248="Serviço",AW$12&lt;&gt;0,$H248&gt;0,OR(AUTOEVENTO&lt;&gt;"manual",$M248&lt;&gt;$A$15)),
        IF(Import.TipoArredondamento&lt;&gt;"TransfereGOV",
              ROUND(OFFSET($P248,0,AW$13),15-13*ORÇAMENTO!$AF$7)/$H248*OFFSET(ORÇAMENTO!$X$15,ROW(AW248)-ROW(AW$15),0),
              ROUND(ROUND(OFFSET($P248,0,AW$13),15-13*ORÇAMENTO!$AF$7)*OFFSET(ORÇAMENTO!$W$15,ROW(AW248)-ROW(AW$15),0),15-13*ORÇAMENTO!$AF$11)),
         0)</f>
        <v>0</v>
      </c>
      <c r="AX248" s="453">
        <f ca="1">IF(AND($D248="Serviço",AX$12&lt;&gt;0,$H248&gt;0,OR(AUTOEVENTO&lt;&gt;"manual",$M248&lt;&gt;$A$15)),
        IF(Import.TipoArredondamento&lt;&gt;"TransfereGOV",
              ROUND(OFFSET($P248,0,AX$13),15-13*ORÇAMENTO!$AF$7)/$H248*OFFSET(ORÇAMENTO!$X$15,ROW(AX248)-ROW(AX$15),0),
              ROUND(ROUND(OFFSET($P248,0,AX$13),15-13*ORÇAMENTO!$AF$7)*OFFSET(ORÇAMENTO!$W$15,ROW(AX248)-ROW(AX$15),0),15-13*ORÇAMENTO!$AF$11)),
         0)</f>
        <v>0</v>
      </c>
      <c r="AY248" s="453">
        <f ca="1">IF(AND($D248="Serviço",AY$12&lt;&gt;0,$H248&gt;0,OR(AUTOEVENTO&lt;&gt;"manual",$M248&lt;&gt;$A$15)),
        IF(Import.TipoArredondamento&lt;&gt;"TransfereGOV",
              ROUND(OFFSET($P248,0,AY$13),15-13*ORÇAMENTO!$AF$7)/$H248*OFFSET(ORÇAMENTO!$X$15,ROW(AY248)-ROW(AY$15),0),
              ROUND(ROUND(OFFSET($P248,0,AY$13),15-13*ORÇAMENTO!$AF$7)*OFFSET(ORÇAMENTO!$W$15,ROW(AY248)-ROW(AY$15),0),15-13*ORÇAMENTO!$AF$11)),
         0)</f>
        <v>0</v>
      </c>
      <c r="AZ248" s="453">
        <f ca="1">IF(AND($D248="Serviço",AZ$12&lt;&gt;0,$H248&gt;0,OR(AUTOEVENTO&lt;&gt;"manual",$M248&lt;&gt;$A$15)),
        IF(Import.TipoArredondamento&lt;&gt;"TransfereGOV",
              ROUND(OFFSET($P248,0,AZ$13),15-13*ORÇAMENTO!$AF$7)/$H248*OFFSET(ORÇAMENTO!$X$15,ROW(AZ248)-ROW(AZ$15),0),
              ROUND(ROUND(OFFSET($P248,0,AZ$13),15-13*ORÇAMENTO!$AF$7)*OFFSET(ORÇAMENTO!$W$15,ROW(AZ248)-ROW(AZ$15),0),15-13*ORÇAMENTO!$AF$11)),
         0)</f>
        <v>0</v>
      </c>
      <c r="BA248" s="453">
        <f ca="1">IF(AND($D248="Serviço",BA$12&lt;&gt;0,$H248&gt;0,OR(AUTOEVENTO&lt;&gt;"manual",$M248&lt;&gt;$A$15)),
        IF(Import.TipoArredondamento&lt;&gt;"TransfereGOV",
              ROUND(OFFSET($P248,0,BA$13),15-13*ORÇAMENTO!$AF$7)/$H248*OFFSET(ORÇAMENTO!$X$15,ROW(BA248)-ROW(BA$15),0),
              ROUND(ROUND(OFFSET($P248,0,BA$13),15-13*ORÇAMENTO!$AF$7)*OFFSET(ORÇAMENTO!$W$15,ROW(BA248)-ROW(BA$15),0),15-13*ORÇAMENTO!$AF$11)),
         0)</f>
        <v>0</v>
      </c>
      <c r="BC248" s="171">
        <f ca="1">IF(OR($D248&lt;&gt;"Serviço",AND(AUTOEVENTO="Manual",$M248=$A$15)),0,
         IF(OFFSET(CRONOPLE!$F$15,$M248-$A$15,BC$13)=0,10^12,OFFSET(CRONOPLE!$F$15,$M248-$A$15,BC$13)))</f>
        <v>1</v>
      </c>
      <c r="BD248" s="171">
        <f ca="1">IF(OR($D248&lt;&gt;"Serviço",AND(AUTOEVENTO="Manual",$M248=$A$15)),0,
         IF(OFFSET(CRONOPLE!$F$15,$M248-$A$15,BD$13)=0,10^12,OFFSET(CRONOPLE!$F$15,$M248-$A$15,BD$13)))</f>
        <v>2</v>
      </c>
      <c r="BE248" s="171">
        <f ca="1">IF(OR($D248&lt;&gt;"Serviço",AND(AUTOEVENTO="Manual",$M248=$A$15)),0,
         IF(OFFSET(CRONOPLE!$F$15,$M248-$A$15,BE$13)=0,10^12,OFFSET(CRONOPLE!$F$15,$M248-$A$15,BE$13)))</f>
        <v>3</v>
      </c>
      <c r="BF248" s="171">
        <f ca="1">IF(OR($D248&lt;&gt;"Serviço",AND(AUTOEVENTO="Manual",$M248=$A$15)),0,
         IF(OFFSET(CRONOPLE!$F$15,$M248-$A$15,BF$13)=0,10^12,OFFSET(CRONOPLE!$F$15,$M248-$A$15,BF$13)))</f>
        <v>4</v>
      </c>
      <c r="BG248" s="171">
        <f ca="1">IF(OR($D248&lt;&gt;"Serviço",AND(AUTOEVENTO="Manual",$M248=$A$15)),0,
         IF(OFFSET(CRONOPLE!$F$15,$M248-$A$15,BG$13)=0,10^12,OFFSET(CRONOPLE!$F$15,$M248-$A$15,BG$13)))</f>
        <v>5</v>
      </c>
      <c r="BH248" s="171">
        <f ca="1">IF(OR($D248&lt;&gt;"Serviço",AND(AUTOEVENTO="Manual",$M248=$A$15)),0,
         IF(OFFSET(CRONOPLE!$F$15,$M248-$A$15,BH$13)=0,10^12,OFFSET(CRONOPLE!$F$15,$M248-$A$15,BH$13)))</f>
        <v>6</v>
      </c>
      <c r="BI248" s="171">
        <f ca="1">IF(OR($D248&lt;&gt;"Serviço",AND(AUTOEVENTO="Manual",$M248=$A$15)),0,
         IF(OFFSET(CRONOPLE!$F$15,$M248-$A$15,BI$13)=0,10^12,OFFSET(CRONOPLE!$F$15,$M248-$A$15,BI$13)))</f>
        <v>7</v>
      </c>
      <c r="BJ248" s="171">
        <f ca="1">IF(OR($D248&lt;&gt;"Serviço",AND(AUTOEVENTO="Manual",$M248=$A$15)),0,
         IF(OFFSET(CRONOPLE!$F$15,$M248-$A$15,BJ$13)=0,10^12,OFFSET(CRONOPLE!$F$15,$M248-$A$15,BJ$13)))</f>
        <v>8</v>
      </c>
      <c r="BK248" s="171">
        <f ca="1">IF(OR($D248&lt;&gt;"Serviço",AND(AUTOEVENTO="Manual",$M248=$A$15)),0,
         IF(OFFSET(CRONOPLE!$F$15,$M248-$A$15,BK$13)=0,10^12,OFFSET(CRONOPLE!$F$15,$M248-$A$15,BK$13)))</f>
        <v>9</v>
      </c>
      <c r="BL248" s="171">
        <f ca="1">IF(OR($D248&lt;&gt;"Serviço",AND(AUTOEVENTO="Manual",$M248=$A$15)),0,
         IF(OFFSET(CRONOPLE!$F$15,$M248-$A$15,BL$13)=0,10^12,OFFSET(CRONOPLE!$F$15,$M248-$A$15,BL$13)))</f>
        <v>1000000000000</v>
      </c>
      <c r="BM248" s="171">
        <f ca="1">IF(OR($D248&lt;&gt;"Serviço",AND(AUTOEVENTO="Manual",$M248=$A$15)),0,
         IF(OFFSET(CRONOPLE!$F$15,$M248-$A$15,BM$13)=0,10^12,OFFSET(CRONOPLE!$F$15,$M248-$A$15,BM$13)))</f>
        <v>1000000000000</v>
      </c>
      <c r="BN248" s="171">
        <f ca="1">IF(OR($D248&lt;&gt;"Serviço",AND(AUTOEVENTO="Manual",$M248=$A$15)),0,
         IF(OFFSET(CRONOPLE!$F$15,$M248-$A$15,BN$13)=0,10^12,OFFSET(CRONOPLE!$F$15,$M248-$A$15,BN$13)))</f>
        <v>1000000000000</v>
      </c>
      <c r="BO248" s="171">
        <f ca="1">IF(OR($D248&lt;&gt;"Serviço",AND(AUTOEVENTO="Manual",$M248=$A$15)),0,
         IF(OFFSET(CRONOPLE!$F$15,$M248-$A$15,BO$13)=0,10^12,OFFSET(CRONOPLE!$F$15,$M248-$A$15,BO$13)))</f>
        <v>1000000000000</v>
      </c>
      <c r="BP248" s="171">
        <f ca="1">IF(OR($D248&lt;&gt;"Serviço",AND(AUTOEVENTO="Manual",$M248=$A$15)),0,
         IF(OFFSET(CRONOPLE!$F$15,$M248-$A$15,BP$13)=0,10^12,OFFSET(CRONOPLE!$F$15,$M248-$A$15,BP$13)))</f>
        <v>1000000000000</v>
      </c>
      <c r="BQ248" s="171">
        <f ca="1">IF(OR($D248&lt;&gt;"Serviço",AND(AUTOEVENTO="Manual",$M248=$A$15)),0,
         IF(OFFSET(CRONOPLE!$F$15,$M248-$A$15,BQ$13)=0,10^12,OFFSET(CRONOPLE!$F$15,$M248-$A$15,BQ$13)))</f>
        <v>1000000000000</v>
      </c>
      <c r="BR248" s="171">
        <f ca="1">IF(OR($D248&lt;&gt;"Serviço",AND(AUTOEVENTO="Manual",$M248=$A$15)),0,
         IF(OFFSET(CRONOPLE!$F$15,$M248-$A$15,BR$13)=0,10^12,OFFSET(CRONOPLE!$F$15,$M248-$A$15,BR$13)))</f>
        <v>1000000000000</v>
      </c>
      <c r="BS248" s="171">
        <f ca="1">IF(OR($D248&lt;&gt;"Serviço",AND(AUTOEVENTO="Manual",$M248=$A$15)),0,
         IF(OFFSET(CRONOPLE!$F$15,$M248-$A$15,BS$13)=0,10^12,OFFSET(CRONOPLE!$F$15,$M248-$A$15,BS$13)))</f>
        <v>1000000000000</v>
      </c>
      <c r="BT248" s="171">
        <f ca="1">IF(OR($D248&lt;&gt;"Serviço",AND(AUTOEVENTO="Manual",$M248=$A$15)),0,
         IF(OFFSET(CRONOPLE!$F$15,$M248-$A$15,BT$13)=0,10^12,OFFSET(CRONOPLE!$F$15,$M248-$A$15,BT$13)))</f>
        <v>1000000000000</v>
      </c>
      <c r="BV248" s="172">
        <f ca="1">IF(OR($D248&lt;&gt;"Serviço",AND(AUTOEVENTO="Manual",$M248=$A$15),$M248&gt;(ROW(PLE.lastrow)-ROW(PLE.firstrow))),0,
           IF(OFFSET(PLE!$G$15,$M248-$A$15,BV$13)="",10^12,OFFSET(PLE!$G$15,$M248-$A$15,BV$13)))</f>
        <v>1000000000000</v>
      </c>
      <c r="BW248" s="172">
        <f ca="1">IF(OR($D248&lt;&gt;"Serviço",AND(AUTOEVENTO="Manual",$M248=$A$15),$M248&gt;(ROW(PLE.lastrow)-ROW(PLE.firstrow))),0,
           IF(OFFSET(PLE!$G$15,$M248-$A$15,BW$13)="",10^12,OFFSET(PLE!$G$15,$M248-$A$15,BW$13)))</f>
        <v>1000000000000</v>
      </c>
      <c r="BX248" s="172">
        <f ca="1">IF(OR($D248&lt;&gt;"Serviço",AND(AUTOEVENTO="Manual",$M248=$A$15),$M248&gt;(ROW(PLE.lastrow)-ROW(PLE.firstrow))),0,
           IF(OFFSET(PLE!$G$15,$M248-$A$15,BX$13)="",10^12,OFFSET(PLE!$G$15,$M248-$A$15,BX$13)))</f>
        <v>1000000000000</v>
      </c>
      <c r="BY248" s="172">
        <f ca="1">IF(OR($D248&lt;&gt;"Serviço",AND(AUTOEVENTO="Manual",$M248=$A$15),$M248&gt;(ROW(PLE.lastrow)-ROW(PLE.firstrow))),0,
           IF(OFFSET(PLE!$G$15,$M248-$A$15,BY$13)="",10^12,OFFSET(PLE!$G$15,$M248-$A$15,BY$13)))</f>
        <v>1000000000000</v>
      </c>
      <c r="BZ248" s="172">
        <f ca="1">IF(OR($D248&lt;&gt;"Serviço",AND(AUTOEVENTO="Manual",$M248=$A$15),$M248&gt;(ROW(PLE.lastrow)-ROW(PLE.firstrow))),0,
           IF(OFFSET(PLE!$G$15,$M248-$A$15,BZ$13)="",10^12,OFFSET(PLE!$G$15,$M248-$A$15,BZ$13)))</f>
        <v>1000000000000</v>
      </c>
      <c r="CA248" s="172">
        <f ca="1">IF(OR($D248&lt;&gt;"Serviço",AND(AUTOEVENTO="Manual",$M248=$A$15),$M248&gt;(ROW(PLE.lastrow)-ROW(PLE.firstrow))),0,
           IF(OFFSET(PLE!$G$15,$M248-$A$15,CA$13)="",10^12,OFFSET(PLE!$G$15,$M248-$A$15,CA$13)))</f>
        <v>1000000000000</v>
      </c>
      <c r="CB248" s="172">
        <f ca="1">IF(OR($D248&lt;&gt;"Serviço",AND(AUTOEVENTO="Manual",$M248=$A$15),$M248&gt;(ROW(PLE.lastrow)-ROW(PLE.firstrow))),0,
           IF(OFFSET(PLE!$G$15,$M248-$A$15,CB$13)="",10^12,OFFSET(PLE!$G$15,$M248-$A$15,CB$13)))</f>
        <v>1000000000000</v>
      </c>
      <c r="CC248" s="172">
        <f ca="1">IF(OR($D248&lt;&gt;"Serviço",AND(AUTOEVENTO="Manual",$M248=$A$15),$M248&gt;(ROW(PLE.lastrow)-ROW(PLE.firstrow))),0,
           IF(OFFSET(PLE!$G$15,$M248-$A$15,CC$13)="",10^12,OFFSET(PLE!$G$15,$M248-$A$15,CC$13)))</f>
        <v>1000000000000</v>
      </c>
      <c r="CD248" s="172">
        <f ca="1">IF(OR($D248&lt;&gt;"Serviço",AND(AUTOEVENTO="Manual",$M248=$A$15),$M248&gt;(ROW(PLE.lastrow)-ROW(PLE.firstrow))),0,
           IF(OFFSET(PLE!$G$15,$M248-$A$15,CD$13)="",10^12,OFFSET(PLE!$G$15,$M248-$A$15,CD$13)))</f>
        <v>1000000000000</v>
      </c>
      <c r="CE248" s="172">
        <f ca="1">IF(OR($D248&lt;&gt;"Serviço",AND(AUTOEVENTO="Manual",$M248=$A$15),$M248&gt;(ROW(PLE.lastrow)-ROW(PLE.firstrow))),0,
           IF(OFFSET(PLE!$G$15,$M248-$A$15,CE$13)="",10^12,OFFSET(PLE!$G$15,$M248-$A$15,CE$13)))</f>
        <v>1000000000000</v>
      </c>
      <c r="CF248" s="172">
        <f ca="1">IF(OR($D248&lt;&gt;"Serviço",AND(AUTOEVENTO="Manual",$M248=$A$15),$M248&gt;(ROW(PLE.lastrow)-ROW(PLE.firstrow))),0,
           IF(OFFSET(PLE!$G$15,$M248-$A$15,CF$13)="",10^12,OFFSET(PLE!$G$15,$M248-$A$15,CF$13)))</f>
        <v>1000000000000</v>
      </c>
      <c r="CG248" s="172">
        <f ca="1">IF(OR($D248&lt;&gt;"Serviço",AND(AUTOEVENTO="Manual",$M248=$A$15),$M248&gt;(ROW(PLE.lastrow)-ROW(PLE.firstrow))),0,
           IF(OFFSET(PLE!$G$15,$M248-$A$15,CG$13)="",10^12,OFFSET(PLE!$G$15,$M248-$A$15,CG$13)))</f>
        <v>1000000000000</v>
      </c>
      <c r="CH248" s="172">
        <f ca="1">IF(OR($D248&lt;&gt;"Serviço",AND(AUTOEVENTO="Manual",$M248=$A$15),$M248&gt;(ROW(PLE.lastrow)-ROW(PLE.firstrow))),0,
           IF(OFFSET(PLE!$G$15,$M248-$A$15,CH$13)="",10^12,OFFSET(PLE!$G$15,$M248-$A$15,CH$13)))</f>
        <v>1000000000000</v>
      </c>
      <c r="CI248" s="172">
        <f ca="1">IF(OR($D248&lt;&gt;"Serviço",AND(AUTOEVENTO="Manual",$M248=$A$15),$M248&gt;(ROW(PLE.lastrow)-ROW(PLE.firstrow))),0,
           IF(OFFSET(PLE!$G$15,$M248-$A$15,CI$13)="",10^12,OFFSET(PLE!$G$15,$M248-$A$15,CI$13)))</f>
        <v>1000000000000</v>
      </c>
      <c r="CJ248" s="172">
        <f ca="1">IF(OR($D248&lt;&gt;"Serviço",AND(AUTOEVENTO="Manual",$M248=$A$15),$M248&gt;(ROW(PLE.lastrow)-ROW(PLE.firstrow))),0,
           IF(OFFSET(PLE!$G$15,$M248-$A$15,CJ$13)="",10^12,OFFSET(PLE!$G$15,$M248-$A$15,CJ$13)))</f>
        <v>1000000000000</v>
      </c>
      <c r="CK248" s="172">
        <f ca="1">IF(OR($D248&lt;&gt;"Serviço",AND(AUTOEVENTO="Manual",$M248=$A$15),$M248&gt;(ROW(PLE.lastrow)-ROW(PLE.firstrow))),0,
           IF(OFFSET(PLE!$G$15,$M248-$A$15,CK$13)="",10^12,OFFSET(PLE!$G$15,$M248-$A$15,CK$13)))</f>
        <v>1000000000000</v>
      </c>
      <c r="CL248" s="172">
        <f ca="1">IF(OR($D248&lt;&gt;"Serviço",AND(AUTOEVENTO="Manual",$M248=$A$15),$M248&gt;(ROW(PLE.lastrow)-ROW(PLE.firstrow))),0,
           IF(OFFSET(PLE!$G$15,$M248-$A$15,CL$13)="",10^12,OFFSET(PLE!$G$15,$M248-$A$15,CL$13)))</f>
        <v>1000000000000</v>
      </c>
      <c r="CM248" s="172">
        <f ca="1">IF(OR($D248&lt;&gt;"Serviço",AND(AUTOEVENTO="Manual",$M248=$A$15),$M248&gt;(ROW(PLE.lastrow)-ROW(PLE.firstrow))),0,
           IF(OFFSET(PLE!$G$15,$M248-$A$15,CM$13)="",10^12,OFFSET(PLE!$G$15,$M248-$A$15,CM$13)))</f>
        <v>1000000000000</v>
      </c>
    </row>
    <row r="249" spans="1:91" ht="51" x14ac:dyDescent="0.2">
      <c r="A249" s="7">
        <f t="shared" ca="1" si="13"/>
        <v>6</v>
      </c>
      <c r="B249" s="7" t="str">
        <f ca="1">OFFSET(ORÇAMENTO!C$15,ROW(B249)-ROW(B$15),0)</f>
        <v>S</v>
      </c>
      <c r="C249" s="7" t="str">
        <f ca="1">OFFSET(ORÇAMENTO!L$15,ROW(C249)-ROW(C$15),0)</f>
        <v>F</v>
      </c>
      <c r="D249" s="116" t="str">
        <f ca="1">OFFSET(ORÇAMENTO!N$15,ROW(D249)-ROW(D$15),0)</f>
        <v>Serviço</v>
      </c>
      <c r="E249" s="117" t="str">
        <f ca="1">OFFSET(ORÇAMENTO!O$15,ROW(E249)-ROW(E$15),0)</f>
        <v>1.7.1.1.3.</v>
      </c>
      <c r="F249" s="163" t="str">
        <f ca="1">OFFSET(ORÇAMENTO!R$15,ROW(F249)-ROW(F$15),0)</f>
        <v>TUBO PONTA/BOLSA FoFo L=6,00 M - DN 350 MM</v>
      </c>
      <c r="G249" s="164" t="str">
        <f ca="1">IF($D249&lt;&gt;"Serviço","",OFFSET(ORÇAMENTO!S$15,ROW(G249)-ROW(G$15),0))</f>
        <v>UN</v>
      </c>
      <c r="H249" s="122" cm="1">
        <f t="array" aca="1" ref="H249" ca="1">IF($D249&lt;&gt;"Serviço",0,IF(ACOMPANHAMENTO="BM",ROUND(OFFSET(ORÇAMENTO!AJ$15,ROW(H249)-ROW(H$15),0),15-13*ORÇAMENTO!$AF$7),SUMPRODUCT(($Q$1:$AI$1=1)*ROUND($Q249:$AI249,15-13*ORÇAMENTO!$AF$7))))</f>
        <v>1</v>
      </c>
      <c r="I249" s="468" t="s">
        <v>1346</v>
      </c>
      <c r="J249" s="640" t="str" cm="1">
        <f t="array" aca="1" ref="J249" ca="1">IF(OR(B249&lt;&gt;"S",CÁLCULO.FrentesPreenchidas=0),"",IF(AND(ACOMPANHAMENTO="PLE",AUTOEVENTO="Manual",OR(H249&gt;0,ORÇAMENTO!AC249="QUANT."),OR(K249="",M249=0,N249="")),"►E",IF(AND(ACOMPANHAMENTO="PLE",ORÇAMENTO!AC249="QUANT."),"►Q",IF(AND(ACOMPANHAMENTO="PLE",H249&lt;&gt;SUMPRODUCT(($Q$1:$AI$1=1)*ROUND(Q249:AI249,15))),"►S",IF(AND(COUNTIF($P$11:$AI$11,"▼")=0,H249&gt;0,I249=""),"◄M","")))))</f>
        <v/>
      </c>
      <c r="K249" s="641" t="s">
        <v>1385</v>
      </c>
      <c r="L249" s="165" t="s">
        <v>764</v>
      </c>
      <c r="M249" s="166">
        <f ca="1">IF($D249&lt;&gt;"Serviço","",
          IF(AUTOEVENTO="manual",$A249,
                IF(ISERROR(MATCH($A249,$A$15:OFFSET($A249,-1,0),0)),MAX($M$15:OFFSET(M249,-1,0))+1,
                      INDEX($M$15:OFFSET(M249,-1,0),MATCH($A249,$A$15:OFFSET($A249,-1,0),0)))))</f>
        <v>6</v>
      </c>
      <c r="N249" s="167" t="str">
        <f ca="1">IF($D249&lt;&gt;"Serviço","",
         IF(AUTOEVENTO="Manual",
                IF($A249=0,"&lt;-- defina o número do agrupador",
                       OFFSET(EVENTOS!$D$15,$A249-$A$15,0)),
                OFFSET($F$15,$A249,0)))</f>
        <v>Saneamento</v>
      </c>
      <c r="O249" s="168"/>
      <c r="Q249" s="168"/>
      <c r="R249" s="169"/>
      <c r="S249" s="169">
        <v>1</v>
      </c>
      <c r="T249" s="169"/>
      <c r="U249" s="169"/>
      <c r="V249" s="169"/>
      <c r="W249" s="169"/>
      <c r="X249" s="169"/>
      <c r="Y249" s="169"/>
      <c r="Z249" s="170"/>
      <c r="AA249" s="169"/>
      <c r="AB249" s="169"/>
      <c r="AC249" s="169"/>
      <c r="AD249" s="169"/>
      <c r="AE249" s="169"/>
      <c r="AF249" s="169"/>
      <c r="AG249" s="169"/>
      <c r="AH249" s="170"/>
      <c r="AJ249" s="453">
        <f ca="1">IF(AND($D249="Serviço",AJ$12&lt;&gt;0,$H249&gt;0,OR(AUTOEVENTO&lt;&gt;"manual",$M249&lt;&gt;$A$15)),
        IF(Import.TipoArredondamento&lt;&gt;"TransfereGOV",
              ROUND(OFFSET($P249,0,AJ$13),15-13*ORÇAMENTO!$AF$7)/$H249*OFFSET(ORÇAMENTO!$X$15,ROW(AJ249)-ROW(AJ$15),0),
              ROUND(ROUND(OFFSET($P249,0,AJ$13),15-13*ORÇAMENTO!$AF$7)*OFFSET(ORÇAMENTO!$W$15,ROW(AJ249)-ROW(AJ$15),0),15-13*ORÇAMENTO!$AF$11)),
         0)</f>
        <v>0</v>
      </c>
      <c r="AK249" s="453">
        <f ca="1">IF(AND($D249="Serviço",AK$12&lt;&gt;0,$H249&gt;0,OR(AUTOEVENTO&lt;&gt;"manual",$M249&lt;&gt;$A$15)),
        IF(Import.TipoArredondamento&lt;&gt;"TransfereGOV",
              ROUND(OFFSET($P249,0,AK$13),15-13*ORÇAMENTO!$AF$7)/$H249*OFFSET(ORÇAMENTO!$X$15,ROW(AK249)-ROW(AK$15),0),
              ROUND(ROUND(OFFSET($P249,0,AK$13),15-13*ORÇAMENTO!$AF$7)*OFFSET(ORÇAMENTO!$W$15,ROW(AK249)-ROW(AK$15),0),15-13*ORÇAMENTO!$AF$11)),
         0)</f>
        <v>0</v>
      </c>
      <c r="AL249" s="453">
        <f ca="1">IF(AND($D249="Serviço",AL$12&lt;&gt;0,$H249&gt;0,OR(AUTOEVENTO&lt;&gt;"manual",$M249&lt;&gt;$A$15)),
        IF(Import.TipoArredondamento&lt;&gt;"TransfereGOV",
              ROUND(OFFSET($P249,0,AL$13),15-13*ORÇAMENTO!$AF$7)/$H249*OFFSET(ORÇAMENTO!$X$15,ROW(AL249)-ROW(AL$15),0),
              ROUND(ROUND(OFFSET($P249,0,AL$13),15-13*ORÇAMENTO!$AF$7)*OFFSET(ORÇAMENTO!$W$15,ROW(AL249)-ROW(AL$15),0),15-13*ORÇAMENTO!$AF$11)),
         0)</f>
        <v>0</v>
      </c>
      <c r="AM249" s="453">
        <f ca="1">IF(AND($D249="Serviço",AM$12&lt;&gt;0,$H249&gt;0,OR(AUTOEVENTO&lt;&gt;"manual",$M249&lt;&gt;$A$15)),
        IF(Import.TipoArredondamento&lt;&gt;"TransfereGOV",
              ROUND(OFFSET($P249,0,AM$13),15-13*ORÇAMENTO!$AF$7)/$H249*OFFSET(ORÇAMENTO!$X$15,ROW(AM249)-ROW(AM$15),0),
              ROUND(ROUND(OFFSET($P249,0,AM$13),15-13*ORÇAMENTO!$AF$7)*OFFSET(ORÇAMENTO!$W$15,ROW(AM249)-ROW(AM$15),0),15-13*ORÇAMENTO!$AF$11)),
         0)</f>
        <v>0</v>
      </c>
      <c r="AN249" s="453">
        <f ca="1">IF(AND($D249="Serviço",AN$12&lt;&gt;0,$H249&gt;0,OR(AUTOEVENTO&lt;&gt;"manual",$M249&lt;&gt;$A$15)),
        IF(Import.TipoArredondamento&lt;&gt;"TransfereGOV",
              ROUND(OFFSET($P249,0,AN$13),15-13*ORÇAMENTO!$AF$7)/$H249*OFFSET(ORÇAMENTO!$X$15,ROW(AN249)-ROW(AN$15),0),
              ROUND(ROUND(OFFSET($P249,0,AN$13),15-13*ORÇAMENTO!$AF$7)*OFFSET(ORÇAMENTO!$W$15,ROW(AN249)-ROW(AN$15),0),15-13*ORÇAMENTO!$AF$11)),
         0)</f>
        <v>0</v>
      </c>
      <c r="AO249" s="453">
        <f ca="1">IF(AND($D249="Serviço",AO$12&lt;&gt;0,$H249&gt;0,OR(AUTOEVENTO&lt;&gt;"manual",$M249&lt;&gt;$A$15)),
        IF(Import.TipoArredondamento&lt;&gt;"TransfereGOV",
              ROUND(OFFSET($P249,0,AO$13),15-13*ORÇAMENTO!$AF$7)/$H249*OFFSET(ORÇAMENTO!$X$15,ROW(AO249)-ROW(AO$15),0),
              ROUND(ROUND(OFFSET($P249,0,AO$13),15-13*ORÇAMENTO!$AF$7)*OFFSET(ORÇAMENTO!$W$15,ROW(AO249)-ROW(AO$15),0),15-13*ORÇAMENTO!$AF$11)),
         0)</f>
        <v>0</v>
      </c>
      <c r="AP249" s="453">
        <f ca="1">IF(AND($D249="Serviço",AP$12&lt;&gt;0,$H249&gt;0,OR(AUTOEVENTO&lt;&gt;"manual",$M249&lt;&gt;$A$15)),
        IF(Import.TipoArredondamento&lt;&gt;"TransfereGOV",
              ROUND(OFFSET($P249,0,AP$13),15-13*ORÇAMENTO!$AF$7)/$H249*OFFSET(ORÇAMENTO!$X$15,ROW(AP249)-ROW(AP$15),0),
              ROUND(ROUND(OFFSET($P249,0,AP$13),15-13*ORÇAMENTO!$AF$7)*OFFSET(ORÇAMENTO!$W$15,ROW(AP249)-ROW(AP$15),0),15-13*ORÇAMENTO!$AF$11)),
         0)</f>
        <v>0</v>
      </c>
      <c r="AQ249" s="453">
        <f ca="1">IF(AND($D249="Serviço",AQ$12&lt;&gt;0,$H249&gt;0,OR(AUTOEVENTO&lt;&gt;"manual",$M249&lt;&gt;$A$15)),
        IF(Import.TipoArredondamento&lt;&gt;"TransfereGOV",
              ROUND(OFFSET($P249,0,AQ$13),15-13*ORÇAMENTO!$AF$7)/$H249*OFFSET(ORÇAMENTO!$X$15,ROW(AQ249)-ROW(AQ$15),0),
              ROUND(ROUND(OFFSET($P249,0,AQ$13),15-13*ORÇAMENTO!$AF$7)*OFFSET(ORÇAMENTO!$W$15,ROW(AQ249)-ROW(AQ$15),0),15-13*ORÇAMENTO!$AF$11)),
         0)</f>
        <v>0</v>
      </c>
      <c r="AR249" s="453">
        <f ca="1">IF(AND($D249="Serviço",AR$12&lt;&gt;0,$H249&gt;0,OR(AUTOEVENTO&lt;&gt;"manual",$M249&lt;&gt;$A$15)),
        IF(Import.TipoArredondamento&lt;&gt;"TransfereGOV",
              ROUND(OFFSET($P249,0,AR$13),15-13*ORÇAMENTO!$AF$7)/$H249*OFFSET(ORÇAMENTO!$X$15,ROW(AR249)-ROW(AR$15),0),
              ROUND(ROUND(OFFSET($P249,0,AR$13),15-13*ORÇAMENTO!$AF$7)*OFFSET(ORÇAMENTO!$W$15,ROW(AR249)-ROW(AR$15),0),15-13*ORÇAMENTO!$AF$11)),
         0)</f>
        <v>0</v>
      </c>
      <c r="AS249" s="453">
        <f ca="1">IF(AND($D249="Serviço",AS$12&lt;&gt;0,$H249&gt;0,OR(AUTOEVENTO&lt;&gt;"manual",$M249&lt;&gt;$A$15)),
        IF(Import.TipoArredondamento&lt;&gt;"TransfereGOV",
              ROUND(OFFSET($P249,0,AS$13),15-13*ORÇAMENTO!$AF$7)/$H249*OFFSET(ORÇAMENTO!$X$15,ROW(AS249)-ROW(AS$15),0),
              ROUND(ROUND(OFFSET($P249,0,AS$13),15-13*ORÇAMENTO!$AF$7)*OFFSET(ORÇAMENTO!$W$15,ROW(AS249)-ROW(AS$15),0),15-13*ORÇAMENTO!$AF$11)),
         0)</f>
        <v>0</v>
      </c>
      <c r="AT249" s="453">
        <f ca="1">IF(AND($D249="Serviço",AT$12&lt;&gt;0,$H249&gt;0,OR(AUTOEVENTO&lt;&gt;"manual",$M249&lt;&gt;$A$15)),
        IF(Import.TipoArredondamento&lt;&gt;"TransfereGOV",
              ROUND(OFFSET($P249,0,AT$13),15-13*ORÇAMENTO!$AF$7)/$H249*OFFSET(ORÇAMENTO!$X$15,ROW(AT249)-ROW(AT$15),0),
              ROUND(ROUND(OFFSET($P249,0,AT$13),15-13*ORÇAMENTO!$AF$7)*OFFSET(ORÇAMENTO!$W$15,ROW(AT249)-ROW(AT$15),0),15-13*ORÇAMENTO!$AF$11)),
         0)</f>
        <v>0</v>
      </c>
      <c r="AU249" s="453">
        <f ca="1">IF(AND($D249="Serviço",AU$12&lt;&gt;0,$H249&gt;0,OR(AUTOEVENTO&lt;&gt;"manual",$M249&lt;&gt;$A$15)),
        IF(Import.TipoArredondamento&lt;&gt;"TransfereGOV",
              ROUND(OFFSET($P249,0,AU$13),15-13*ORÇAMENTO!$AF$7)/$H249*OFFSET(ORÇAMENTO!$X$15,ROW(AU249)-ROW(AU$15),0),
              ROUND(ROUND(OFFSET($P249,0,AU$13),15-13*ORÇAMENTO!$AF$7)*OFFSET(ORÇAMENTO!$W$15,ROW(AU249)-ROW(AU$15),0),15-13*ORÇAMENTO!$AF$11)),
         0)</f>
        <v>0</v>
      </c>
      <c r="AV249" s="453">
        <f ca="1">IF(AND($D249="Serviço",AV$12&lt;&gt;0,$H249&gt;0,OR(AUTOEVENTO&lt;&gt;"manual",$M249&lt;&gt;$A$15)),
        IF(Import.TipoArredondamento&lt;&gt;"TransfereGOV",
              ROUND(OFFSET($P249,0,AV$13),15-13*ORÇAMENTO!$AF$7)/$H249*OFFSET(ORÇAMENTO!$X$15,ROW(AV249)-ROW(AV$15),0),
              ROUND(ROUND(OFFSET($P249,0,AV$13),15-13*ORÇAMENTO!$AF$7)*OFFSET(ORÇAMENTO!$W$15,ROW(AV249)-ROW(AV$15),0),15-13*ORÇAMENTO!$AF$11)),
         0)</f>
        <v>0</v>
      </c>
      <c r="AW249" s="453">
        <f ca="1">IF(AND($D249="Serviço",AW$12&lt;&gt;0,$H249&gt;0,OR(AUTOEVENTO&lt;&gt;"manual",$M249&lt;&gt;$A$15)),
        IF(Import.TipoArredondamento&lt;&gt;"TransfereGOV",
              ROUND(OFFSET($P249,0,AW$13),15-13*ORÇAMENTO!$AF$7)/$H249*OFFSET(ORÇAMENTO!$X$15,ROW(AW249)-ROW(AW$15),0),
              ROUND(ROUND(OFFSET($P249,0,AW$13),15-13*ORÇAMENTO!$AF$7)*OFFSET(ORÇAMENTO!$W$15,ROW(AW249)-ROW(AW$15),0),15-13*ORÇAMENTO!$AF$11)),
         0)</f>
        <v>0</v>
      </c>
      <c r="AX249" s="453">
        <f ca="1">IF(AND($D249="Serviço",AX$12&lt;&gt;0,$H249&gt;0,OR(AUTOEVENTO&lt;&gt;"manual",$M249&lt;&gt;$A$15)),
        IF(Import.TipoArredondamento&lt;&gt;"TransfereGOV",
              ROUND(OFFSET($P249,0,AX$13),15-13*ORÇAMENTO!$AF$7)/$H249*OFFSET(ORÇAMENTO!$X$15,ROW(AX249)-ROW(AX$15),0),
              ROUND(ROUND(OFFSET($P249,0,AX$13),15-13*ORÇAMENTO!$AF$7)*OFFSET(ORÇAMENTO!$W$15,ROW(AX249)-ROW(AX$15),0),15-13*ORÇAMENTO!$AF$11)),
         0)</f>
        <v>0</v>
      </c>
      <c r="AY249" s="453">
        <f ca="1">IF(AND($D249="Serviço",AY$12&lt;&gt;0,$H249&gt;0,OR(AUTOEVENTO&lt;&gt;"manual",$M249&lt;&gt;$A$15)),
        IF(Import.TipoArredondamento&lt;&gt;"TransfereGOV",
              ROUND(OFFSET($P249,0,AY$13),15-13*ORÇAMENTO!$AF$7)/$H249*OFFSET(ORÇAMENTO!$X$15,ROW(AY249)-ROW(AY$15),0),
              ROUND(ROUND(OFFSET($P249,0,AY$13),15-13*ORÇAMENTO!$AF$7)*OFFSET(ORÇAMENTO!$W$15,ROW(AY249)-ROW(AY$15),0),15-13*ORÇAMENTO!$AF$11)),
         0)</f>
        <v>0</v>
      </c>
      <c r="AZ249" s="453">
        <f ca="1">IF(AND($D249="Serviço",AZ$12&lt;&gt;0,$H249&gt;0,OR(AUTOEVENTO&lt;&gt;"manual",$M249&lt;&gt;$A$15)),
        IF(Import.TipoArredondamento&lt;&gt;"TransfereGOV",
              ROUND(OFFSET($P249,0,AZ$13),15-13*ORÇAMENTO!$AF$7)/$H249*OFFSET(ORÇAMENTO!$X$15,ROW(AZ249)-ROW(AZ$15),0),
              ROUND(ROUND(OFFSET($P249,0,AZ$13),15-13*ORÇAMENTO!$AF$7)*OFFSET(ORÇAMENTO!$W$15,ROW(AZ249)-ROW(AZ$15),0),15-13*ORÇAMENTO!$AF$11)),
         0)</f>
        <v>0</v>
      </c>
      <c r="BA249" s="453">
        <f ca="1">IF(AND($D249="Serviço",BA$12&lt;&gt;0,$H249&gt;0,OR(AUTOEVENTO&lt;&gt;"manual",$M249&lt;&gt;$A$15)),
        IF(Import.TipoArredondamento&lt;&gt;"TransfereGOV",
              ROUND(OFFSET($P249,0,BA$13),15-13*ORÇAMENTO!$AF$7)/$H249*OFFSET(ORÇAMENTO!$X$15,ROW(BA249)-ROW(BA$15),0),
              ROUND(ROUND(OFFSET($P249,0,BA$13),15-13*ORÇAMENTO!$AF$7)*OFFSET(ORÇAMENTO!$W$15,ROW(BA249)-ROW(BA$15),0),15-13*ORÇAMENTO!$AF$11)),
         0)</f>
        <v>0</v>
      </c>
      <c r="BC249" s="171">
        <f ca="1">IF(OR($D249&lt;&gt;"Serviço",AND(AUTOEVENTO="Manual",$M249=$A$15)),0,
         IF(OFFSET(CRONOPLE!$F$15,$M249-$A$15,BC$13)=0,10^12,OFFSET(CRONOPLE!$F$15,$M249-$A$15,BC$13)))</f>
        <v>1</v>
      </c>
      <c r="BD249" s="171">
        <f ca="1">IF(OR($D249&lt;&gt;"Serviço",AND(AUTOEVENTO="Manual",$M249=$A$15)),0,
         IF(OFFSET(CRONOPLE!$F$15,$M249-$A$15,BD$13)=0,10^12,OFFSET(CRONOPLE!$F$15,$M249-$A$15,BD$13)))</f>
        <v>2</v>
      </c>
      <c r="BE249" s="171">
        <f ca="1">IF(OR($D249&lt;&gt;"Serviço",AND(AUTOEVENTO="Manual",$M249=$A$15)),0,
         IF(OFFSET(CRONOPLE!$F$15,$M249-$A$15,BE$13)=0,10^12,OFFSET(CRONOPLE!$F$15,$M249-$A$15,BE$13)))</f>
        <v>3</v>
      </c>
      <c r="BF249" s="171">
        <f ca="1">IF(OR($D249&lt;&gt;"Serviço",AND(AUTOEVENTO="Manual",$M249=$A$15)),0,
         IF(OFFSET(CRONOPLE!$F$15,$M249-$A$15,BF$13)=0,10^12,OFFSET(CRONOPLE!$F$15,$M249-$A$15,BF$13)))</f>
        <v>4</v>
      </c>
      <c r="BG249" s="171">
        <f ca="1">IF(OR($D249&lt;&gt;"Serviço",AND(AUTOEVENTO="Manual",$M249=$A$15)),0,
         IF(OFFSET(CRONOPLE!$F$15,$M249-$A$15,BG$13)=0,10^12,OFFSET(CRONOPLE!$F$15,$M249-$A$15,BG$13)))</f>
        <v>5</v>
      </c>
      <c r="BH249" s="171">
        <f ca="1">IF(OR($D249&lt;&gt;"Serviço",AND(AUTOEVENTO="Manual",$M249=$A$15)),0,
         IF(OFFSET(CRONOPLE!$F$15,$M249-$A$15,BH$13)=0,10^12,OFFSET(CRONOPLE!$F$15,$M249-$A$15,BH$13)))</f>
        <v>6</v>
      </c>
      <c r="BI249" s="171">
        <f ca="1">IF(OR($D249&lt;&gt;"Serviço",AND(AUTOEVENTO="Manual",$M249=$A$15)),0,
         IF(OFFSET(CRONOPLE!$F$15,$M249-$A$15,BI$13)=0,10^12,OFFSET(CRONOPLE!$F$15,$M249-$A$15,BI$13)))</f>
        <v>7</v>
      </c>
      <c r="BJ249" s="171">
        <f ca="1">IF(OR($D249&lt;&gt;"Serviço",AND(AUTOEVENTO="Manual",$M249=$A$15)),0,
         IF(OFFSET(CRONOPLE!$F$15,$M249-$A$15,BJ$13)=0,10^12,OFFSET(CRONOPLE!$F$15,$M249-$A$15,BJ$13)))</f>
        <v>8</v>
      </c>
      <c r="BK249" s="171">
        <f ca="1">IF(OR($D249&lt;&gt;"Serviço",AND(AUTOEVENTO="Manual",$M249=$A$15)),0,
         IF(OFFSET(CRONOPLE!$F$15,$M249-$A$15,BK$13)=0,10^12,OFFSET(CRONOPLE!$F$15,$M249-$A$15,BK$13)))</f>
        <v>9</v>
      </c>
      <c r="BL249" s="171">
        <f ca="1">IF(OR($D249&lt;&gt;"Serviço",AND(AUTOEVENTO="Manual",$M249=$A$15)),0,
         IF(OFFSET(CRONOPLE!$F$15,$M249-$A$15,BL$13)=0,10^12,OFFSET(CRONOPLE!$F$15,$M249-$A$15,BL$13)))</f>
        <v>1000000000000</v>
      </c>
      <c r="BM249" s="171">
        <f ca="1">IF(OR($D249&lt;&gt;"Serviço",AND(AUTOEVENTO="Manual",$M249=$A$15)),0,
         IF(OFFSET(CRONOPLE!$F$15,$M249-$A$15,BM$13)=0,10^12,OFFSET(CRONOPLE!$F$15,$M249-$A$15,BM$13)))</f>
        <v>1000000000000</v>
      </c>
      <c r="BN249" s="171">
        <f ca="1">IF(OR($D249&lt;&gt;"Serviço",AND(AUTOEVENTO="Manual",$M249=$A$15)),0,
         IF(OFFSET(CRONOPLE!$F$15,$M249-$A$15,BN$13)=0,10^12,OFFSET(CRONOPLE!$F$15,$M249-$A$15,BN$13)))</f>
        <v>1000000000000</v>
      </c>
      <c r="BO249" s="171">
        <f ca="1">IF(OR($D249&lt;&gt;"Serviço",AND(AUTOEVENTO="Manual",$M249=$A$15)),0,
         IF(OFFSET(CRONOPLE!$F$15,$M249-$A$15,BO$13)=0,10^12,OFFSET(CRONOPLE!$F$15,$M249-$A$15,BO$13)))</f>
        <v>1000000000000</v>
      </c>
      <c r="BP249" s="171">
        <f ca="1">IF(OR($D249&lt;&gt;"Serviço",AND(AUTOEVENTO="Manual",$M249=$A$15)),0,
         IF(OFFSET(CRONOPLE!$F$15,$M249-$A$15,BP$13)=0,10^12,OFFSET(CRONOPLE!$F$15,$M249-$A$15,BP$13)))</f>
        <v>1000000000000</v>
      </c>
      <c r="BQ249" s="171">
        <f ca="1">IF(OR($D249&lt;&gt;"Serviço",AND(AUTOEVENTO="Manual",$M249=$A$15)),0,
         IF(OFFSET(CRONOPLE!$F$15,$M249-$A$15,BQ$13)=0,10^12,OFFSET(CRONOPLE!$F$15,$M249-$A$15,BQ$13)))</f>
        <v>1000000000000</v>
      </c>
      <c r="BR249" s="171">
        <f ca="1">IF(OR($D249&lt;&gt;"Serviço",AND(AUTOEVENTO="Manual",$M249=$A$15)),0,
         IF(OFFSET(CRONOPLE!$F$15,$M249-$A$15,BR$13)=0,10^12,OFFSET(CRONOPLE!$F$15,$M249-$A$15,BR$13)))</f>
        <v>1000000000000</v>
      </c>
      <c r="BS249" s="171">
        <f ca="1">IF(OR($D249&lt;&gt;"Serviço",AND(AUTOEVENTO="Manual",$M249=$A$15)),0,
         IF(OFFSET(CRONOPLE!$F$15,$M249-$A$15,BS$13)=0,10^12,OFFSET(CRONOPLE!$F$15,$M249-$A$15,BS$13)))</f>
        <v>1000000000000</v>
      </c>
      <c r="BT249" s="171">
        <f ca="1">IF(OR($D249&lt;&gt;"Serviço",AND(AUTOEVENTO="Manual",$M249=$A$15)),0,
         IF(OFFSET(CRONOPLE!$F$15,$M249-$A$15,BT$13)=0,10^12,OFFSET(CRONOPLE!$F$15,$M249-$A$15,BT$13)))</f>
        <v>1000000000000</v>
      </c>
      <c r="BV249" s="172">
        <f ca="1">IF(OR($D249&lt;&gt;"Serviço",AND(AUTOEVENTO="Manual",$M249=$A$15),$M249&gt;(ROW(PLE.lastrow)-ROW(PLE.firstrow))),0,
           IF(OFFSET(PLE!$G$15,$M249-$A$15,BV$13)="",10^12,OFFSET(PLE!$G$15,$M249-$A$15,BV$13)))</f>
        <v>1000000000000</v>
      </c>
      <c r="BW249" s="172">
        <f ca="1">IF(OR($D249&lt;&gt;"Serviço",AND(AUTOEVENTO="Manual",$M249=$A$15),$M249&gt;(ROW(PLE.lastrow)-ROW(PLE.firstrow))),0,
           IF(OFFSET(PLE!$G$15,$M249-$A$15,BW$13)="",10^12,OFFSET(PLE!$G$15,$M249-$A$15,BW$13)))</f>
        <v>1000000000000</v>
      </c>
      <c r="BX249" s="172">
        <f ca="1">IF(OR($D249&lt;&gt;"Serviço",AND(AUTOEVENTO="Manual",$M249=$A$15),$M249&gt;(ROW(PLE.lastrow)-ROW(PLE.firstrow))),0,
           IF(OFFSET(PLE!$G$15,$M249-$A$15,BX$13)="",10^12,OFFSET(PLE!$G$15,$M249-$A$15,BX$13)))</f>
        <v>1000000000000</v>
      </c>
      <c r="BY249" s="172">
        <f ca="1">IF(OR($D249&lt;&gt;"Serviço",AND(AUTOEVENTO="Manual",$M249=$A$15),$M249&gt;(ROW(PLE.lastrow)-ROW(PLE.firstrow))),0,
           IF(OFFSET(PLE!$G$15,$M249-$A$15,BY$13)="",10^12,OFFSET(PLE!$G$15,$M249-$A$15,BY$13)))</f>
        <v>1000000000000</v>
      </c>
      <c r="BZ249" s="172">
        <f ca="1">IF(OR($D249&lt;&gt;"Serviço",AND(AUTOEVENTO="Manual",$M249=$A$15),$M249&gt;(ROW(PLE.lastrow)-ROW(PLE.firstrow))),0,
           IF(OFFSET(PLE!$G$15,$M249-$A$15,BZ$13)="",10^12,OFFSET(PLE!$G$15,$M249-$A$15,BZ$13)))</f>
        <v>1000000000000</v>
      </c>
      <c r="CA249" s="172">
        <f ca="1">IF(OR($D249&lt;&gt;"Serviço",AND(AUTOEVENTO="Manual",$M249=$A$15),$M249&gt;(ROW(PLE.lastrow)-ROW(PLE.firstrow))),0,
           IF(OFFSET(PLE!$G$15,$M249-$A$15,CA$13)="",10^12,OFFSET(PLE!$G$15,$M249-$A$15,CA$13)))</f>
        <v>1000000000000</v>
      </c>
      <c r="CB249" s="172">
        <f ca="1">IF(OR($D249&lt;&gt;"Serviço",AND(AUTOEVENTO="Manual",$M249=$A$15),$M249&gt;(ROW(PLE.lastrow)-ROW(PLE.firstrow))),0,
           IF(OFFSET(PLE!$G$15,$M249-$A$15,CB$13)="",10^12,OFFSET(PLE!$G$15,$M249-$A$15,CB$13)))</f>
        <v>1000000000000</v>
      </c>
      <c r="CC249" s="172">
        <f ca="1">IF(OR($D249&lt;&gt;"Serviço",AND(AUTOEVENTO="Manual",$M249=$A$15),$M249&gt;(ROW(PLE.lastrow)-ROW(PLE.firstrow))),0,
           IF(OFFSET(PLE!$G$15,$M249-$A$15,CC$13)="",10^12,OFFSET(PLE!$G$15,$M249-$A$15,CC$13)))</f>
        <v>1000000000000</v>
      </c>
      <c r="CD249" s="172">
        <f ca="1">IF(OR($D249&lt;&gt;"Serviço",AND(AUTOEVENTO="Manual",$M249=$A$15),$M249&gt;(ROW(PLE.lastrow)-ROW(PLE.firstrow))),0,
           IF(OFFSET(PLE!$G$15,$M249-$A$15,CD$13)="",10^12,OFFSET(PLE!$G$15,$M249-$A$15,CD$13)))</f>
        <v>1000000000000</v>
      </c>
      <c r="CE249" s="172">
        <f ca="1">IF(OR($D249&lt;&gt;"Serviço",AND(AUTOEVENTO="Manual",$M249=$A$15),$M249&gt;(ROW(PLE.lastrow)-ROW(PLE.firstrow))),0,
           IF(OFFSET(PLE!$G$15,$M249-$A$15,CE$13)="",10^12,OFFSET(PLE!$G$15,$M249-$A$15,CE$13)))</f>
        <v>1000000000000</v>
      </c>
      <c r="CF249" s="172">
        <f ca="1">IF(OR($D249&lt;&gt;"Serviço",AND(AUTOEVENTO="Manual",$M249=$A$15),$M249&gt;(ROW(PLE.lastrow)-ROW(PLE.firstrow))),0,
           IF(OFFSET(PLE!$G$15,$M249-$A$15,CF$13)="",10^12,OFFSET(PLE!$G$15,$M249-$A$15,CF$13)))</f>
        <v>1000000000000</v>
      </c>
      <c r="CG249" s="172">
        <f ca="1">IF(OR($D249&lt;&gt;"Serviço",AND(AUTOEVENTO="Manual",$M249=$A$15),$M249&gt;(ROW(PLE.lastrow)-ROW(PLE.firstrow))),0,
           IF(OFFSET(PLE!$G$15,$M249-$A$15,CG$13)="",10^12,OFFSET(PLE!$G$15,$M249-$A$15,CG$13)))</f>
        <v>1000000000000</v>
      </c>
      <c r="CH249" s="172">
        <f ca="1">IF(OR($D249&lt;&gt;"Serviço",AND(AUTOEVENTO="Manual",$M249=$A$15),$M249&gt;(ROW(PLE.lastrow)-ROW(PLE.firstrow))),0,
           IF(OFFSET(PLE!$G$15,$M249-$A$15,CH$13)="",10^12,OFFSET(PLE!$G$15,$M249-$A$15,CH$13)))</f>
        <v>1000000000000</v>
      </c>
      <c r="CI249" s="172">
        <f ca="1">IF(OR($D249&lt;&gt;"Serviço",AND(AUTOEVENTO="Manual",$M249=$A$15),$M249&gt;(ROW(PLE.lastrow)-ROW(PLE.firstrow))),0,
           IF(OFFSET(PLE!$G$15,$M249-$A$15,CI$13)="",10^12,OFFSET(PLE!$G$15,$M249-$A$15,CI$13)))</f>
        <v>1000000000000</v>
      </c>
      <c r="CJ249" s="172">
        <f ca="1">IF(OR($D249&lt;&gt;"Serviço",AND(AUTOEVENTO="Manual",$M249=$A$15),$M249&gt;(ROW(PLE.lastrow)-ROW(PLE.firstrow))),0,
           IF(OFFSET(PLE!$G$15,$M249-$A$15,CJ$13)="",10^12,OFFSET(PLE!$G$15,$M249-$A$15,CJ$13)))</f>
        <v>1000000000000</v>
      </c>
      <c r="CK249" s="172">
        <f ca="1">IF(OR($D249&lt;&gt;"Serviço",AND(AUTOEVENTO="Manual",$M249=$A$15),$M249&gt;(ROW(PLE.lastrow)-ROW(PLE.firstrow))),0,
           IF(OFFSET(PLE!$G$15,$M249-$A$15,CK$13)="",10^12,OFFSET(PLE!$G$15,$M249-$A$15,CK$13)))</f>
        <v>1000000000000</v>
      </c>
      <c r="CL249" s="172">
        <f ca="1">IF(OR($D249&lt;&gt;"Serviço",AND(AUTOEVENTO="Manual",$M249=$A$15),$M249&gt;(ROW(PLE.lastrow)-ROW(PLE.firstrow))),0,
           IF(OFFSET(PLE!$G$15,$M249-$A$15,CL$13)="",10^12,OFFSET(PLE!$G$15,$M249-$A$15,CL$13)))</f>
        <v>1000000000000</v>
      </c>
      <c r="CM249" s="172">
        <f ca="1">IF(OR($D249&lt;&gt;"Serviço",AND(AUTOEVENTO="Manual",$M249=$A$15),$M249&gt;(ROW(PLE.lastrow)-ROW(PLE.firstrow))),0,
           IF(OFFSET(PLE!$G$15,$M249-$A$15,CM$13)="",10^12,OFFSET(PLE!$G$15,$M249-$A$15,CM$13)))</f>
        <v>1000000000000</v>
      </c>
    </row>
    <row r="250" spans="1:91" ht="51" x14ac:dyDescent="0.2">
      <c r="A250" s="7">
        <f t="shared" ca="1" si="13"/>
        <v>6</v>
      </c>
      <c r="B250" s="7" t="str">
        <f ca="1">OFFSET(ORÇAMENTO!C$15,ROW(B250)-ROW(B$15),0)</f>
        <v>S</v>
      </c>
      <c r="C250" s="7" t="str">
        <f ca="1">OFFSET(ORÇAMENTO!L$15,ROW(C250)-ROW(C$15),0)</f>
        <v>F</v>
      </c>
      <c r="D250" s="116" t="str">
        <f ca="1">OFFSET(ORÇAMENTO!N$15,ROW(D250)-ROW(D$15),0)</f>
        <v>Serviço</v>
      </c>
      <c r="E250" s="117" t="str">
        <f ca="1">OFFSET(ORÇAMENTO!O$15,ROW(E250)-ROW(E$15),0)</f>
        <v>1.7.1.1.4.</v>
      </c>
      <c r="F250" s="163" t="str">
        <f ca="1">OFFSET(ORÇAMENTO!R$15,ROW(F250)-ROW(F$15),0)</f>
        <v>CURVA 90 BOLSAS FoFo - DN 350 MM</v>
      </c>
      <c r="G250" s="164" t="str">
        <f ca="1">IF($D250&lt;&gt;"Serviço","",OFFSET(ORÇAMENTO!S$15,ROW(G250)-ROW(G$15),0))</f>
        <v>UN</v>
      </c>
      <c r="H250" s="122" cm="1">
        <f t="array" aca="1" ref="H250" ca="1">IF($D250&lt;&gt;"Serviço",0,IF(ACOMPANHAMENTO="BM",ROUND(OFFSET(ORÇAMENTO!AJ$15,ROW(H250)-ROW(H$15),0),15-13*ORÇAMENTO!$AF$7),SUMPRODUCT(($Q$1:$AI$1=1)*ROUND($Q250:$AI250,15-13*ORÇAMENTO!$AF$7))))</f>
        <v>1</v>
      </c>
      <c r="I250" s="468" t="s">
        <v>1346</v>
      </c>
      <c r="J250" s="640" t="str" cm="1">
        <f t="array" aca="1" ref="J250" ca="1">IF(OR(B250&lt;&gt;"S",CÁLCULO.FrentesPreenchidas=0),"",IF(AND(ACOMPANHAMENTO="PLE",AUTOEVENTO="Manual",OR(H250&gt;0,ORÇAMENTO!AC250="QUANT."),OR(K250="",M250=0,N250="")),"►E",IF(AND(ACOMPANHAMENTO="PLE",ORÇAMENTO!AC250="QUANT."),"►Q",IF(AND(ACOMPANHAMENTO="PLE",H250&lt;&gt;SUMPRODUCT(($Q$1:$AI$1=1)*ROUND(Q250:AI250,15))),"►S",IF(AND(COUNTIF($P$11:$AI$11,"▼")=0,H250&gt;0,I250=""),"◄M","")))))</f>
        <v/>
      </c>
      <c r="K250" s="641" t="s">
        <v>1385</v>
      </c>
      <c r="L250" s="165" t="s">
        <v>764</v>
      </c>
      <c r="M250" s="166">
        <f ca="1">IF($D250&lt;&gt;"Serviço","",
          IF(AUTOEVENTO="manual",$A250,
                IF(ISERROR(MATCH($A250,$A$15:OFFSET($A250,-1,0),0)),MAX($M$15:OFFSET(M250,-1,0))+1,
                      INDEX($M$15:OFFSET(M250,-1,0),MATCH($A250,$A$15:OFFSET($A250,-1,0),0)))))</f>
        <v>6</v>
      </c>
      <c r="N250" s="167" t="str">
        <f ca="1">IF($D250&lt;&gt;"Serviço","",
         IF(AUTOEVENTO="Manual",
                IF($A250=0,"&lt;-- defina o número do agrupador",
                       OFFSET(EVENTOS!$D$15,$A250-$A$15,0)),
                OFFSET($F$15,$A250,0)))</f>
        <v>Saneamento</v>
      </c>
      <c r="O250" s="168"/>
      <c r="Q250" s="168"/>
      <c r="R250" s="169"/>
      <c r="S250" s="169">
        <v>1</v>
      </c>
      <c r="T250" s="169"/>
      <c r="U250" s="169"/>
      <c r="V250" s="169"/>
      <c r="W250" s="169"/>
      <c r="X250" s="169"/>
      <c r="Y250" s="169"/>
      <c r="Z250" s="170"/>
      <c r="AA250" s="169"/>
      <c r="AB250" s="169"/>
      <c r="AC250" s="169"/>
      <c r="AD250" s="169"/>
      <c r="AE250" s="169"/>
      <c r="AF250" s="169"/>
      <c r="AG250" s="169"/>
      <c r="AH250" s="170"/>
      <c r="AJ250" s="453">
        <f ca="1">IF(AND($D250="Serviço",AJ$12&lt;&gt;0,$H250&gt;0,OR(AUTOEVENTO&lt;&gt;"manual",$M250&lt;&gt;$A$15)),
        IF(Import.TipoArredondamento&lt;&gt;"TransfereGOV",
              ROUND(OFFSET($P250,0,AJ$13),15-13*ORÇAMENTO!$AF$7)/$H250*OFFSET(ORÇAMENTO!$X$15,ROW(AJ250)-ROW(AJ$15),0),
              ROUND(ROUND(OFFSET($P250,0,AJ$13),15-13*ORÇAMENTO!$AF$7)*OFFSET(ORÇAMENTO!$W$15,ROW(AJ250)-ROW(AJ$15),0),15-13*ORÇAMENTO!$AF$11)),
         0)</f>
        <v>0</v>
      </c>
      <c r="AK250" s="453">
        <f ca="1">IF(AND($D250="Serviço",AK$12&lt;&gt;0,$H250&gt;0,OR(AUTOEVENTO&lt;&gt;"manual",$M250&lt;&gt;$A$15)),
        IF(Import.TipoArredondamento&lt;&gt;"TransfereGOV",
              ROUND(OFFSET($P250,0,AK$13),15-13*ORÇAMENTO!$AF$7)/$H250*OFFSET(ORÇAMENTO!$X$15,ROW(AK250)-ROW(AK$15),0),
              ROUND(ROUND(OFFSET($P250,0,AK$13),15-13*ORÇAMENTO!$AF$7)*OFFSET(ORÇAMENTO!$W$15,ROW(AK250)-ROW(AK$15),0),15-13*ORÇAMENTO!$AF$11)),
         0)</f>
        <v>0</v>
      </c>
      <c r="AL250" s="453">
        <f ca="1">IF(AND($D250="Serviço",AL$12&lt;&gt;0,$H250&gt;0,OR(AUTOEVENTO&lt;&gt;"manual",$M250&lt;&gt;$A$15)),
        IF(Import.TipoArredondamento&lt;&gt;"TransfereGOV",
              ROUND(OFFSET($P250,0,AL$13),15-13*ORÇAMENTO!$AF$7)/$H250*OFFSET(ORÇAMENTO!$X$15,ROW(AL250)-ROW(AL$15),0),
              ROUND(ROUND(OFFSET($P250,0,AL$13),15-13*ORÇAMENTO!$AF$7)*OFFSET(ORÇAMENTO!$W$15,ROW(AL250)-ROW(AL$15),0),15-13*ORÇAMENTO!$AF$11)),
         0)</f>
        <v>0</v>
      </c>
      <c r="AM250" s="453">
        <f ca="1">IF(AND($D250="Serviço",AM$12&lt;&gt;0,$H250&gt;0,OR(AUTOEVENTO&lt;&gt;"manual",$M250&lt;&gt;$A$15)),
        IF(Import.TipoArredondamento&lt;&gt;"TransfereGOV",
              ROUND(OFFSET($P250,0,AM$13),15-13*ORÇAMENTO!$AF$7)/$H250*OFFSET(ORÇAMENTO!$X$15,ROW(AM250)-ROW(AM$15),0),
              ROUND(ROUND(OFFSET($P250,0,AM$13),15-13*ORÇAMENTO!$AF$7)*OFFSET(ORÇAMENTO!$W$15,ROW(AM250)-ROW(AM$15),0),15-13*ORÇAMENTO!$AF$11)),
         0)</f>
        <v>0</v>
      </c>
      <c r="AN250" s="453">
        <f ca="1">IF(AND($D250="Serviço",AN$12&lt;&gt;0,$H250&gt;0,OR(AUTOEVENTO&lt;&gt;"manual",$M250&lt;&gt;$A$15)),
        IF(Import.TipoArredondamento&lt;&gt;"TransfereGOV",
              ROUND(OFFSET($P250,0,AN$13),15-13*ORÇAMENTO!$AF$7)/$H250*OFFSET(ORÇAMENTO!$X$15,ROW(AN250)-ROW(AN$15),0),
              ROUND(ROUND(OFFSET($P250,0,AN$13),15-13*ORÇAMENTO!$AF$7)*OFFSET(ORÇAMENTO!$W$15,ROW(AN250)-ROW(AN$15),0),15-13*ORÇAMENTO!$AF$11)),
         0)</f>
        <v>0</v>
      </c>
      <c r="AO250" s="453">
        <f ca="1">IF(AND($D250="Serviço",AO$12&lt;&gt;0,$H250&gt;0,OR(AUTOEVENTO&lt;&gt;"manual",$M250&lt;&gt;$A$15)),
        IF(Import.TipoArredondamento&lt;&gt;"TransfereGOV",
              ROUND(OFFSET($P250,0,AO$13),15-13*ORÇAMENTO!$AF$7)/$H250*OFFSET(ORÇAMENTO!$X$15,ROW(AO250)-ROW(AO$15),0),
              ROUND(ROUND(OFFSET($P250,0,AO$13),15-13*ORÇAMENTO!$AF$7)*OFFSET(ORÇAMENTO!$W$15,ROW(AO250)-ROW(AO$15),0),15-13*ORÇAMENTO!$AF$11)),
         0)</f>
        <v>0</v>
      </c>
      <c r="AP250" s="453">
        <f ca="1">IF(AND($D250="Serviço",AP$12&lt;&gt;0,$H250&gt;0,OR(AUTOEVENTO&lt;&gt;"manual",$M250&lt;&gt;$A$15)),
        IF(Import.TipoArredondamento&lt;&gt;"TransfereGOV",
              ROUND(OFFSET($P250,0,AP$13),15-13*ORÇAMENTO!$AF$7)/$H250*OFFSET(ORÇAMENTO!$X$15,ROW(AP250)-ROW(AP$15),0),
              ROUND(ROUND(OFFSET($P250,0,AP$13),15-13*ORÇAMENTO!$AF$7)*OFFSET(ORÇAMENTO!$W$15,ROW(AP250)-ROW(AP$15),0),15-13*ORÇAMENTO!$AF$11)),
         0)</f>
        <v>0</v>
      </c>
      <c r="AQ250" s="453">
        <f ca="1">IF(AND($D250="Serviço",AQ$12&lt;&gt;0,$H250&gt;0,OR(AUTOEVENTO&lt;&gt;"manual",$M250&lt;&gt;$A$15)),
        IF(Import.TipoArredondamento&lt;&gt;"TransfereGOV",
              ROUND(OFFSET($P250,0,AQ$13),15-13*ORÇAMENTO!$AF$7)/$H250*OFFSET(ORÇAMENTO!$X$15,ROW(AQ250)-ROW(AQ$15),0),
              ROUND(ROUND(OFFSET($P250,0,AQ$13),15-13*ORÇAMENTO!$AF$7)*OFFSET(ORÇAMENTO!$W$15,ROW(AQ250)-ROW(AQ$15),0),15-13*ORÇAMENTO!$AF$11)),
         0)</f>
        <v>0</v>
      </c>
      <c r="AR250" s="453">
        <f ca="1">IF(AND($D250="Serviço",AR$12&lt;&gt;0,$H250&gt;0,OR(AUTOEVENTO&lt;&gt;"manual",$M250&lt;&gt;$A$15)),
        IF(Import.TipoArredondamento&lt;&gt;"TransfereGOV",
              ROUND(OFFSET($P250,0,AR$13),15-13*ORÇAMENTO!$AF$7)/$H250*OFFSET(ORÇAMENTO!$X$15,ROW(AR250)-ROW(AR$15),0),
              ROUND(ROUND(OFFSET($P250,0,AR$13),15-13*ORÇAMENTO!$AF$7)*OFFSET(ORÇAMENTO!$W$15,ROW(AR250)-ROW(AR$15),0),15-13*ORÇAMENTO!$AF$11)),
         0)</f>
        <v>0</v>
      </c>
      <c r="AS250" s="453">
        <f ca="1">IF(AND($D250="Serviço",AS$12&lt;&gt;0,$H250&gt;0,OR(AUTOEVENTO&lt;&gt;"manual",$M250&lt;&gt;$A$15)),
        IF(Import.TipoArredondamento&lt;&gt;"TransfereGOV",
              ROUND(OFFSET($P250,0,AS$13),15-13*ORÇAMENTO!$AF$7)/$H250*OFFSET(ORÇAMENTO!$X$15,ROW(AS250)-ROW(AS$15),0),
              ROUND(ROUND(OFFSET($P250,0,AS$13),15-13*ORÇAMENTO!$AF$7)*OFFSET(ORÇAMENTO!$W$15,ROW(AS250)-ROW(AS$15),0),15-13*ORÇAMENTO!$AF$11)),
         0)</f>
        <v>0</v>
      </c>
      <c r="AT250" s="453">
        <f ca="1">IF(AND($D250="Serviço",AT$12&lt;&gt;0,$H250&gt;0,OR(AUTOEVENTO&lt;&gt;"manual",$M250&lt;&gt;$A$15)),
        IF(Import.TipoArredondamento&lt;&gt;"TransfereGOV",
              ROUND(OFFSET($P250,0,AT$13),15-13*ORÇAMENTO!$AF$7)/$H250*OFFSET(ORÇAMENTO!$X$15,ROW(AT250)-ROW(AT$15),0),
              ROUND(ROUND(OFFSET($P250,0,AT$13),15-13*ORÇAMENTO!$AF$7)*OFFSET(ORÇAMENTO!$W$15,ROW(AT250)-ROW(AT$15),0),15-13*ORÇAMENTO!$AF$11)),
         0)</f>
        <v>0</v>
      </c>
      <c r="AU250" s="453">
        <f ca="1">IF(AND($D250="Serviço",AU$12&lt;&gt;0,$H250&gt;0,OR(AUTOEVENTO&lt;&gt;"manual",$M250&lt;&gt;$A$15)),
        IF(Import.TipoArredondamento&lt;&gt;"TransfereGOV",
              ROUND(OFFSET($P250,0,AU$13),15-13*ORÇAMENTO!$AF$7)/$H250*OFFSET(ORÇAMENTO!$X$15,ROW(AU250)-ROW(AU$15),0),
              ROUND(ROUND(OFFSET($P250,0,AU$13),15-13*ORÇAMENTO!$AF$7)*OFFSET(ORÇAMENTO!$W$15,ROW(AU250)-ROW(AU$15),0),15-13*ORÇAMENTO!$AF$11)),
         0)</f>
        <v>0</v>
      </c>
      <c r="AV250" s="453">
        <f ca="1">IF(AND($D250="Serviço",AV$12&lt;&gt;0,$H250&gt;0,OR(AUTOEVENTO&lt;&gt;"manual",$M250&lt;&gt;$A$15)),
        IF(Import.TipoArredondamento&lt;&gt;"TransfereGOV",
              ROUND(OFFSET($P250,0,AV$13),15-13*ORÇAMENTO!$AF$7)/$H250*OFFSET(ORÇAMENTO!$X$15,ROW(AV250)-ROW(AV$15),0),
              ROUND(ROUND(OFFSET($P250,0,AV$13),15-13*ORÇAMENTO!$AF$7)*OFFSET(ORÇAMENTO!$W$15,ROW(AV250)-ROW(AV$15),0),15-13*ORÇAMENTO!$AF$11)),
         0)</f>
        <v>0</v>
      </c>
      <c r="AW250" s="453">
        <f ca="1">IF(AND($D250="Serviço",AW$12&lt;&gt;0,$H250&gt;0,OR(AUTOEVENTO&lt;&gt;"manual",$M250&lt;&gt;$A$15)),
        IF(Import.TipoArredondamento&lt;&gt;"TransfereGOV",
              ROUND(OFFSET($P250,0,AW$13),15-13*ORÇAMENTO!$AF$7)/$H250*OFFSET(ORÇAMENTO!$X$15,ROW(AW250)-ROW(AW$15),0),
              ROUND(ROUND(OFFSET($P250,0,AW$13),15-13*ORÇAMENTO!$AF$7)*OFFSET(ORÇAMENTO!$W$15,ROW(AW250)-ROW(AW$15),0),15-13*ORÇAMENTO!$AF$11)),
         0)</f>
        <v>0</v>
      </c>
      <c r="AX250" s="453">
        <f ca="1">IF(AND($D250="Serviço",AX$12&lt;&gt;0,$H250&gt;0,OR(AUTOEVENTO&lt;&gt;"manual",$M250&lt;&gt;$A$15)),
        IF(Import.TipoArredondamento&lt;&gt;"TransfereGOV",
              ROUND(OFFSET($P250,0,AX$13),15-13*ORÇAMENTO!$AF$7)/$H250*OFFSET(ORÇAMENTO!$X$15,ROW(AX250)-ROW(AX$15),0),
              ROUND(ROUND(OFFSET($P250,0,AX$13),15-13*ORÇAMENTO!$AF$7)*OFFSET(ORÇAMENTO!$W$15,ROW(AX250)-ROW(AX$15),0),15-13*ORÇAMENTO!$AF$11)),
         0)</f>
        <v>0</v>
      </c>
      <c r="AY250" s="453">
        <f ca="1">IF(AND($D250="Serviço",AY$12&lt;&gt;0,$H250&gt;0,OR(AUTOEVENTO&lt;&gt;"manual",$M250&lt;&gt;$A$15)),
        IF(Import.TipoArredondamento&lt;&gt;"TransfereGOV",
              ROUND(OFFSET($P250,0,AY$13),15-13*ORÇAMENTO!$AF$7)/$H250*OFFSET(ORÇAMENTO!$X$15,ROW(AY250)-ROW(AY$15),0),
              ROUND(ROUND(OFFSET($P250,0,AY$13),15-13*ORÇAMENTO!$AF$7)*OFFSET(ORÇAMENTO!$W$15,ROW(AY250)-ROW(AY$15),0),15-13*ORÇAMENTO!$AF$11)),
         0)</f>
        <v>0</v>
      </c>
      <c r="AZ250" s="453">
        <f ca="1">IF(AND($D250="Serviço",AZ$12&lt;&gt;0,$H250&gt;0,OR(AUTOEVENTO&lt;&gt;"manual",$M250&lt;&gt;$A$15)),
        IF(Import.TipoArredondamento&lt;&gt;"TransfereGOV",
              ROUND(OFFSET($P250,0,AZ$13),15-13*ORÇAMENTO!$AF$7)/$H250*OFFSET(ORÇAMENTO!$X$15,ROW(AZ250)-ROW(AZ$15),0),
              ROUND(ROUND(OFFSET($P250,0,AZ$13),15-13*ORÇAMENTO!$AF$7)*OFFSET(ORÇAMENTO!$W$15,ROW(AZ250)-ROW(AZ$15),0),15-13*ORÇAMENTO!$AF$11)),
         0)</f>
        <v>0</v>
      </c>
      <c r="BA250" s="453">
        <f ca="1">IF(AND($D250="Serviço",BA$12&lt;&gt;0,$H250&gt;0,OR(AUTOEVENTO&lt;&gt;"manual",$M250&lt;&gt;$A$15)),
        IF(Import.TipoArredondamento&lt;&gt;"TransfereGOV",
              ROUND(OFFSET($P250,0,BA$13),15-13*ORÇAMENTO!$AF$7)/$H250*OFFSET(ORÇAMENTO!$X$15,ROW(BA250)-ROW(BA$15),0),
              ROUND(ROUND(OFFSET($P250,0,BA$13),15-13*ORÇAMENTO!$AF$7)*OFFSET(ORÇAMENTO!$W$15,ROW(BA250)-ROW(BA$15),0),15-13*ORÇAMENTO!$AF$11)),
         0)</f>
        <v>0</v>
      </c>
      <c r="BC250" s="171">
        <f ca="1">IF(OR($D250&lt;&gt;"Serviço",AND(AUTOEVENTO="Manual",$M250=$A$15)),0,
         IF(OFFSET(CRONOPLE!$F$15,$M250-$A$15,BC$13)=0,10^12,OFFSET(CRONOPLE!$F$15,$M250-$A$15,BC$13)))</f>
        <v>1</v>
      </c>
      <c r="BD250" s="171">
        <f ca="1">IF(OR($D250&lt;&gt;"Serviço",AND(AUTOEVENTO="Manual",$M250=$A$15)),0,
         IF(OFFSET(CRONOPLE!$F$15,$M250-$A$15,BD$13)=0,10^12,OFFSET(CRONOPLE!$F$15,$M250-$A$15,BD$13)))</f>
        <v>2</v>
      </c>
      <c r="BE250" s="171">
        <f ca="1">IF(OR($D250&lt;&gt;"Serviço",AND(AUTOEVENTO="Manual",$M250=$A$15)),0,
         IF(OFFSET(CRONOPLE!$F$15,$M250-$A$15,BE$13)=0,10^12,OFFSET(CRONOPLE!$F$15,$M250-$A$15,BE$13)))</f>
        <v>3</v>
      </c>
      <c r="BF250" s="171">
        <f ca="1">IF(OR($D250&lt;&gt;"Serviço",AND(AUTOEVENTO="Manual",$M250=$A$15)),0,
         IF(OFFSET(CRONOPLE!$F$15,$M250-$A$15,BF$13)=0,10^12,OFFSET(CRONOPLE!$F$15,$M250-$A$15,BF$13)))</f>
        <v>4</v>
      </c>
      <c r="BG250" s="171">
        <f ca="1">IF(OR($D250&lt;&gt;"Serviço",AND(AUTOEVENTO="Manual",$M250=$A$15)),0,
         IF(OFFSET(CRONOPLE!$F$15,$M250-$A$15,BG$13)=0,10^12,OFFSET(CRONOPLE!$F$15,$M250-$A$15,BG$13)))</f>
        <v>5</v>
      </c>
      <c r="BH250" s="171">
        <f ca="1">IF(OR($D250&lt;&gt;"Serviço",AND(AUTOEVENTO="Manual",$M250=$A$15)),0,
         IF(OFFSET(CRONOPLE!$F$15,$M250-$A$15,BH$13)=0,10^12,OFFSET(CRONOPLE!$F$15,$M250-$A$15,BH$13)))</f>
        <v>6</v>
      </c>
      <c r="BI250" s="171">
        <f ca="1">IF(OR($D250&lt;&gt;"Serviço",AND(AUTOEVENTO="Manual",$M250=$A$15)),0,
         IF(OFFSET(CRONOPLE!$F$15,$M250-$A$15,BI$13)=0,10^12,OFFSET(CRONOPLE!$F$15,$M250-$A$15,BI$13)))</f>
        <v>7</v>
      </c>
      <c r="BJ250" s="171">
        <f ca="1">IF(OR($D250&lt;&gt;"Serviço",AND(AUTOEVENTO="Manual",$M250=$A$15)),0,
         IF(OFFSET(CRONOPLE!$F$15,$M250-$A$15,BJ$13)=0,10^12,OFFSET(CRONOPLE!$F$15,$M250-$A$15,BJ$13)))</f>
        <v>8</v>
      </c>
      <c r="BK250" s="171">
        <f ca="1">IF(OR($D250&lt;&gt;"Serviço",AND(AUTOEVENTO="Manual",$M250=$A$15)),0,
         IF(OFFSET(CRONOPLE!$F$15,$M250-$A$15,BK$13)=0,10^12,OFFSET(CRONOPLE!$F$15,$M250-$A$15,BK$13)))</f>
        <v>9</v>
      </c>
      <c r="BL250" s="171">
        <f ca="1">IF(OR($D250&lt;&gt;"Serviço",AND(AUTOEVENTO="Manual",$M250=$A$15)),0,
         IF(OFFSET(CRONOPLE!$F$15,$M250-$A$15,BL$13)=0,10^12,OFFSET(CRONOPLE!$F$15,$M250-$A$15,BL$13)))</f>
        <v>1000000000000</v>
      </c>
      <c r="BM250" s="171">
        <f ca="1">IF(OR($D250&lt;&gt;"Serviço",AND(AUTOEVENTO="Manual",$M250=$A$15)),0,
         IF(OFFSET(CRONOPLE!$F$15,$M250-$A$15,BM$13)=0,10^12,OFFSET(CRONOPLE!$F$15,$M250-$A$15,BM$13)))</f>
        <v>1000000000000</v>
      </c>
      <c r="BN250" s="171">
        <f ca="1">IF(OR($D250&lt;&gt;"Serviço",AND(AUTOEVENTO="Manual",$M250=$A$15)),0,
         IF(OFFSET(CRONOPLE!$F$15,$M250-$A$15,BN$13)=0,10^12,OFFSET(CRONOPLE!$F$15,$M250-$A$15,BN$13)))</f>
        <v>1000000000000</v>
      </c>
      <c r="BO250" s="171">
        <f ca="1">IF(OR($D250&lt;&gt;"Serviço",AND(AUTOEVENTO="Manual",$M250=$A$15)),0,
         IF(OFFSET(CRONOPLE!$F$15,$M250-$A$15,BO$13)=0,10^12,OFFSET(CRONOPLE!$F$15,$M250-$A$15,BO$13)))</f>
        <v>1000000000000</v>
      </c>
      <c r="BP250" s="171">
        <f ca="1">IF(OR($D250&lt;&gt;"Serviço",AND(AUTOEVENTO="Manual",$M250=$A$15)),0,
         IF(OFFSET(CRONOPLE!$F$15,$M250-$A$15,BP$13)=0,10^12,OFFSET(CRONOPLE!$F$15,$M250-$A$15,BP$13)))</f>
        <v>1000000000000</v>
      </c>
      <c r="BQ250" s="171">
        <f ca="1">IF(OR($D250&lt;&gt;"Serviço",AND(AUTOEVENTO="Manual",$M250=$A$15)),0,
         IF(OFFSET(CRONOPLE!$F$15,$M250-$A$15,BQ$13)=0,10^12,OFFSET(CRONOPLE!$F$15,$M250-$A$15,BQ$13)))</f>
        <v>1000000000000</v>
      </c>
      <c r="BR250" s="171">
        <f ca="1">IF(OR($D250&lt;&gt;"Serviço",AND(AUTOEVENTO="Manual",$M250=$A$15)),0,
         IF(OFFSET(CRONOPLE!$F$15,$M250-$A$15,BR$13)=0,10^12,OFFSET(CRONOPLE!$F$15,$M250-$A$15,BR$13)))</f>
        <v>1000000000000</v>
      </c>
      <c r="BS250" s="171">
        <f ca="1">IF(OR($D250&lt;&gt;"Serviço",AND(AUTOEVENTO="Manual",$M250=$A$15)),0,
         IF(OFFSET(CRONOPLE!$F$15,$M250-$A$15,BS$13)=0,10^12,OFFSET(CRONOPLE!$F$15,$M250-$A$15,BS$13)))</f>
        <v>1000000000000</v>
      </c>
      <c r="BT250" s="171">
        <f ca="1">IF(OR($D250&lt;&gt;"Serviço",AND(AUTOEVENTO="Manual",$M250=$A$15)),0,
         IF(OFFSET(CRONOPLE!$F$15,$M250-$A$15,BT$13)=0,10^12,OFFSET(CRONOPLE!$F$15,$M250-$A$15,BT$13)))</f>
        <v>1000000000000</v>
      </c>
      <c r="BV250" s="172">
        <f ca="1">IF(OR($D250&lt;&gt;"Serviço",AND(AUTOEVENTO="Manual",$M250=$A$15),$M250&gt;(ROW(PLE.lastrow)-ROW(PLE.firstrow))),0,
           IF(OFFSET(PLE!$G$15,$M250-$A$15,BV$13)="",10^12,OFFSET(PLE!$G$15,$M250-$A$15,BV$13)))</f>
        <v>1000000000000</v>
      </c>
      <c r="BW250" s="172">
        <f ca="1">IF(OR($D250&lt;&gt;"Serviço",AND(AUTOEVENTO="Manual",$M250=$A$15),$M250&gt;(ROW(PLE.lastrow)-ROW(PLE.firstrow))),0,
           IF(OFFSET(PLE!$G$15,$M250-$A$15,BW$13)="",10^12,OFFSET(PLE!$G$15,$M250-$A$15,BW$13)))</f>
        <v>1000000000000</v>
      </c>
      <c r="BX250" s="172">
        <f ca="1">IF(OR($D250&lt;&gt;"Serviço",AND(AUTOEVENTO="Manual",$M250=$A$15),$M250&gt;(ROW(PLE.lastrow)-ROW(PLE.firstrow))),0,
           IF(OFFSET(PLE!$G$15,$M250-$A$15,BX$13)="",10^12,OFFSET(PLE!$G$15,$M250-$A$15,BX$13)))</f>
        <v>1000000000000</v>
      </c>
      <c r="BY250" s="172">
        <f ca="1">IF(OR($D250&lt;&gt;"Serviço",AND(AUTOEVENTO="Manual",$M250=$A$15),$M250&gt;(ROW(PLE.lastrow)-ROW(PLE.firstrow))),0,
           IF(OFFSET(PLE!$G$15,$M250-$A$15,BY$13)="",10^12,OFFSET(PLE!$G$15,$M250-$A$15,BY$13)))</f>
        <v>1000000000000</v>
      </c>
      <c r="BZ250" s="172">
        <f ca="1">IF(OR($D250&lt;&gt;"Serviço",AND(AUTOEVENTO="Manual",$M250=$A$15),$M250&gt;(ROW(PLE.lastrow)-ROW(PLE.firstrow))),0,
           IF(OFFSET(PLE!$G$15,$M250-$A$15,BZ$13)="",10^12,OFFSET(PLE!$G$15,$M250-$A$15,BZ$13)))</f>
        <v>1000000000000</v>
      </c>
      <c r="CA250" s="172">
        <f ca="1">IF(OR($D250&lt;&gt;"Serviço",AND(AUTOEVENTO="Manual",$M250=$A$15),$M250&gt;(ROW(PLE.lastrow)-ROW(PLE.firstrow))),0,
           IF(OFFSET(PLE!$G$15,$M250-$A$15,CA$13)="",10^12,OFFSET(PLE!$G$15,$M250-$A$15,CA$13)))</f>
        <v>1000000000000</v>
      </c>
      <c r="CB250" s="172">
        <f ca="1">IF(OR($D250&lt;&gt;"Serviço",AND(AUTOEVENTO="Manual",$M250=$A$15),$M250&gt;(ROW(PLE.lastrow)-ROW(PLE.firstrow))),0,
           IF(OFFSET(PLE!$G$15,$M250-$A$15,CB$13)="",10^12,OFFSET(PLE!$G$15,$M250-$A$15,CB$13)))</f>
        <v>1000000000000</v>
      </c>
      <c r="CC250" s="172">
        <f ca="1">IF(OR($D250&lt;&gt;"Serviço",AND(AUTOEVENTO="Manual",$M250=$A$15),$M250&gt;(ROW(PLE.lastrow)-ROW(PLE.firstrow))),0,
           IF(OFFSET(PLE!$G$15,$M250-$A$15,CC$13)="",10^12,OFFSET(PLE!$G$15,$M250-$A$15,CC$13)))</f>
        <v>1000000000000</v>
      </c>
      <c r="CD250" s="172">
        <f ca="1">IF(OR($D250&lt;&gt;"Serviço",AND(AUTOEVENTO="Manual",$M250=$A$15),$M250&gt;(ROW(PLE.lastrow)-ROW(PLE.firstrow))),0,
           IF(OFFSET(PLE!$G$15,$M250-$A$15,CD$13)="",10^12,OFFSET(PLE!$G$15,$M250-$A$15,CD$13)))</f>
        <v>1000000000000</v>
      </c>
      <c r="CE250" s="172">
        <f ca="1">IF(OR($D250&lt;&gt;"Serviço",AND(AUTOEVENTO="Manual",$M250=$A$15),$M250&gt;(ROW(PLE.lastrow)-ROW(PLE.firstrow))),0,
           IF(OFFSET(PLE!$G$15,$M250-$A$15,CE$13)="",10^12,OFFSET(PLE!$G$15,$M250-$A$15,CE$13)))</f>
        <v>1000000000000</v>
      </c>
      <c r="CF250" s="172">
        <f ca="1">IF(OR($D250&lt;&gt;"Serviço",AND(AUTOEVENTO="Manual",$M250=$A$15),$M250&gt;(ROW(PLE.lastrow)-ROW(PLE.firstrow))),0,
           IF(OFFSET(PLE!$G$15,$M250-$A$15,CF$13)="",10^12,OFFSET(PLE!$G$15,$M250-$A$15,CF$13)))</f>
        <v>1000000000000</v>
      </c>
      <c r="CG250" s="172">
        <f ca="1">IF(OR($D250&lt;&gt;"Serviço",AND(AUTOEVENTO="Manual",$M250=$A$15),$M250&gt;(ROW(PLE.lastrow)-ROW(PLE.firstrow))),0,
           IF(OFFSET(PLE!$G$15,$M250-$A$15,CG$13)="",10^12,OFFSET(PLE!$G$15,$M250-$A$15,CG$13)))</f>
        <v>1000000000000</v>
      </c>
      <c r="CH250" s="172">
        <f ca="1">IF(OR($D250&lt;&gt;"Serviço",AND(AUTOEVENTO="Manual",$M250=$A$15),$M250&gt;(ROW(PLE.lastrow)-ROW(PLE.firstrow))),0,
           IF(OFFSET(PLE!$G$15,$M250-$A$15,CH$13)="",10^12,OFFSET(PLE!$G$15,$M250-$A$15,CH$13)))</f>
        <v>1000000000000</v>
      </c>
      <c r="CI250" s="172">
        <f ca="1">IF(OR($D250&lt;&gt;"Serviço",AND(AUTOEVENTO="Manual",$M250=$A$15),$M250&gt;(ROW(PLE.lastrow)-ROW(PLE.firstrow))),0,
           IF(OFFSET(PLE!$G$15,$M250-$A$15,CI$13)="",10^12,OFFSET(PLE!$G$15,$M250-$A$15,CI$13)))</f>
        <v>1000000000000</v>
      </c>
      <c r="CJ250" s="172">
        <f ca="1">IF(OR($D250&lt;&gt;"Serviço",AND(AUTOEVENTO="Manual",$M250=$A$15),$M250&gt;(ROW(PLE.lastrow)-ROW(PLE.firstrow))),0,
           IF(OFFSET(PLE!$G$15,$M250-$A$15,CJ$13)="",10^12,OFFSET(PLE!$G$15,$M250-$A$15,CJ$13)))</f>
        <v>1000000000000</v>
      </c>
      <c r="CK250" s="172">
        <f ca="1">IF(OR($D250&lt;&gt;"Serviço",AND(AUTOEVENTO="Manual",$M250=$A$15),$M250&gt;(ROW(PLE.lastrow)-ROW(PLE.firstrow))),0,
           IF(OFFSET(PLE!$G$15,$M250-$A$15,CK$13)="",10^12,OFFSET(PLE!$G$15,$M250-$A$15,CK$13)))</f>
        <v>1000000000000</v>
      </c>
      <c r="CL250" s="172">
        <f ca="1">IF(OR($D250&lt;&gt;"Serviço",AND(AUTOEVENTO="Manual",$M250=$A$15),$M250&gt;(ROW(PLE.lastrow)-ROW(PLE.firstrow))),0,
           IF(OFFSET(PLE!$G$15,$M250-$A$15,CL$13)="",10^12,OFFSET(PLE!$G$15,$M250-$A$15,CL$13)))</f>
        <v>1000000000000</v>
      </c>
      <c r="CM250" s="172">
        <f ca="1">IF(OR($D250&lt;&gt;"Serviço",AND(AUTOEVENTO="Manual",$M250=$A$15),$M250&gt;(ROW(PLE.lastrow)-ROW(PLE.firstrow))),0,
           IF(OFFSET(PLE!$G$15,$M250-$A$15,CM$13)="",10^12,OFFSET(PLE!$G$15,$M250-$A$15,CM$13)))</f>
        <v>1000000000000</v>
      </c>
    </row>
    <row r="251" spans="1:91" ht="51" x14ac:dyDescent="0.2">
      <c r="A251" s="7">
        <f t="shared" ca="1" si="13"/>
        <v>6</v>
      </c>
      <c r="B251" s="7" t="str">
        <f ca="1">OFFSET(ORÇAMENTO!C$15,ROW(B251)-ROW(B$15),0)</f>
        <v>S</v>
      </c>
      <c r="C251" s="7" t="str">
        <f ca="1">OFFSET(ORÇAMENTO!L$15,ROW(C251)-ROW(C$15),0)</f>
        <v>F</v>
      </c>
      <c r="D251" s="116" t="str">
        <f ca="1">OFFSET(ORÇAMENTO!N$15,ROW(D251)-ROW(D$15),0)</f>
        <v>Serviço</v>
      </c>
      <c r="E251" s="117" t="str">
        <f ca="1">OFFSET(ORÇAMENTO!O$15,ROW(E251)-ROW(E$15),0)</f>
        <v>1.7.1.1.5.</v>
      </c>
      <c r="F251" s="163" t="str">
        <f ca="1">OFFSET(ORÇAMENTO!R$15,ROW(F251)-ROW(F$15),0)</f>
        <v>TUBO FLANGE/PONTA FoFo L=3,05 M - DN 350 MM</v>
      </c>
      <c r="G251" s="164" t="str">
        <f ca="1">IF($D251&lt;&gt;"Serviço","",OFFSET(ORÇAMENTO!S$15,ROW(G251)-ROW(G$15),0))</f>
        <v>UN</v>
      </c>
      <c r="H251" s="122" cm="1">
        <f t="array" aca="1" ref="H251" ca="1">IF($D251&lt;&gt;"Serviço",0,IF(ACOMPANHAMENTO="BM",ROUND(OFFSET(ORÇAMENTO!AJ$15,ROW(H251)-ROW(H$15),0),15-13*ORÇAMENTO!$AF$7),SUMPRODUCT(($Q$1:$AI$1=1)*ROUND($Q251:$AI251,15-13*ORÇAMENTO!$AF$7))))</f>
        <v>1</v>
      </c>
      <c r="I251" s="468" t="s">
        <v>1346</v>
      </c>
      <c r="J251" s="640" t="str" cm="1">
        <f t="array" aca="1" ref="J251" ca="1">IF(OR(B251&lt;&gt;"S",CÁLCULO.FrentesPreenchidas=0),"",IF(AND(ACOMPANHAMENTO="PLE",AUTOEVENTO="Manual",OR(H251&gt;0,ORÇAMENTO!AC251="QUANT."),OR(K251="",M251=0,N251="")),"►E",IF(AND(ACOMPANHAMENTO="PLE",ORÇAMENTO!AC251="QUANT."),"►Q",IF(AND(ACOMPANHAMENTO="PLE",H251&lt;&gt;SUMPRODUCT(($Q$1:$AI$1=1)*ROUND(Q251:AI251,15))),"►S",IF(AND(COUNTIF($P$11:$AI$11,"▼")=0,H251&gt;0,I251=""),"◄M","")))))</f>
        <v/>
      </c>
      <c r="K251" s="641" t="s">
        <v>1385</v>
      </c>
      <c r="L251" s="165" t="s">
        <v>764</v>
      </c>
      <c r="M251" s="166">
        <f ca="1">IF($D251&lt;&gt;"Serviço","",
          IF(AUTOEVENTO="manual",$A251,
                IF(ISERROR(MATCH($A251,$A$15:OFFSET($A251,-1,0),0)),MAX($M$15:OFFSET(M251,-1,0))+1,
                      INDEX($M$15:OFFSET(M251,-1,0),MATCH($A251,$A$15:OFFSET($A251,-1,0),0)))))</f>
        <v>6</v>
      </c>
      <c r="N251" s="167" t="str">
        <f ca="1">IF($D251&lt;&gt;"Serviço","",
         IF(AUTOEVENTO="Manual",
                IF($A251=0,"&lt;-- defina o número do agrupador",
                       OFFSET(EVENTOS!$D$15,$A251-$A$15,0)),
                OFFSET($F$15,$A251,0)))</f>
        <v>Saneamento</v>
      </c>
      <c r="O251" s="168"/>
      <c r="Q251" s="168"/>
      <c r="R251" s="169"/>
      <c r="S251" s="169">
        <v>1</v>
      </c>
      <c r="T251" s="169"/>
      <c r="U251" s="169"/>
      <c r="V251" s="169"/>
      <c r="W251" s="169"/>
      <c r="X251" s="169"/>
      <c r="Y251" s="169"/>
      <c r="Z251" s="170"/>
      <c r="AA251" s="169"/>
      <c r="AB251" s="169"/>
      <c r="AC251" s="169"/>
      <c r="AD251" s="169"/>
      <c r="AE251" s="169"/>
      <c r="AF251" s="169"/>
      <c r="AG251" s="169"/>
      <c r="AH251" s="170"/>
      <c r="AJ251" s="453">
        <f ca="1">IF(AND($D251="Serviço",AJ$12&lt;&gt;0,$H251&gt;0,OR(AUTOEVENTO&lt;&gt;"manual",$M251&lt;&gt;$A$15)),
        IF(Import.TipoArredondamento&lt;&gt;"TransfereGOV",
              ROUND(OFFSET($P251,0,AJ$13),15-13*ORÇAMENTO!$AF$7)/$H251*OFFSET(ORÇAMENTO!$X$15,ROW(AJ251)-ROW(AJ$15),0),
              ROUND(ROUND(OFFSET($P251,0,AJ$13),15-13*ORÇAMENTO!$AF$7)*OFFSET(ORÇAMENTO!$W$15,ROW(AJ251)-ROW(AJ$15),0),15-13*ORÇAMENTO!$AF$11)),
         0)</f>
        <v>0</v>
      </c>
      <c r="AK251" s="453">
        <f ca="1">IF(AND($D251="Serviço",AK$12&lt;&gt;0,$H251&gt;0,OR(AUTOEVENTO&lt;&gt;"manual",$M251&lt;&gt;$A$15)),
        IF(Import.TipoArredondamento&lt;&gt;"TransfereGOV",
              ROUND(OFFSET($P251,0,AK$13),15-13*ORÇAMENTO!$AF$7)/$H251*OFFSET(ORÇAMENTO!$X$15,ROW(AK251)-ROW(AK$15),0),
              ROUND(ROUND(OFFSET($P251,0,AK$13),15-13*ORÇAMENTO!$AF$7)*OFFSET(ORÇAMENTO!$W$15,ROW(AK251)-ROW(AK$15),0),15-13*ORÇAMENTO!$AF$11)),
         0)</f>
        <v>0</v>
      </c>
      <c r="AL251" s="453">
        <f ca="1">IF(AND($D251="Serviço",AL$12&lt;&gt;0,$H251&gt;0,OR(AUTOEVENTO&lt;&gt;"manual",$M251&lt;&gt;$A$15)),
        IF(Import.TipoArredondamento&lt;&gt;"TransfereGOV",
              ROUND(OFFSET($P251,0,AL$13),15-13*ORÇAMENTO!$AF$7)/$H251*OFFSET(ORÇAMENTO!$X$15,ROW(AL251)-ROW(AL$15),0),
              ROUND(ROUND(OFFSET($P251,0,AL$13),15-13*ORÇAMENTO!$AF$7)*OFFSET(ORÇAMENTO!$W$15,ROW(AL251)-ROW(AL$15),0),15-13*ORÇAMENTO!$AF$11)),
         0)</f>
        <v>0</v>
      </c>
      <c r="AM251" s="453">
        <f ca="1">IF(AND($D251="Serviço",AM$12&lt;&gt;0,$H251&gt;0,OR(AUTOEVENTO&lt;&gt;"manual",$M251&lt;&gt;$A$15)),
        IF(Import.TipoArredondamento&lt;&gt;"TransfereGOV",
              ROUND(OFFSET($P251,0,AM$13),15-13*ORÇAMENTO!$AF$7)/$H251*OFFSET(ORÇAMENTO!$X$15,ROW(AM251)-ROW(AM$15),0),
              ROUND(ROUND(OFFSET($P251,0,AM$13),15-13*ORÇAMENTO!$AF$7)*OFFSET(ORÇAMENTO!$W$15,ROW(AM251)-ROW(AM$15),0),15-13*ORÇAMENTO!$AF$11)),
         0)</f>
        <v>0</v>
      </c>
      <c r="AN251" s="453">
        <f ca="1">IF(AND($D251="Serviço",AN$12&lt;&gt;0,$H251&gt;0,OR(AUTOEVENTO&lt;&gt;"manual",$M251&lt;&gt;$A$15)),
        IF(Import.TipoArredondamento&lt;&gt;"TransfereGOV",
              ROUND(OFFSET($P251,0,AN$13),15-13*ORÇAMENTO!$AF$7)/$H251*OFFSET(ORÇAMENTO!$X$15,ROW(AN251)-ROW(AN$15),0),
              ROUND(ROUND(OFFSET($P251,0,AN$13),15-13*ORÇAMENTO!$AF$7)*OFFSET(ORÇAMENTO!$W$15,ROW(AN251)-ROW(AN$15),0),15-13*ORÇAMENTO!$AF$11)),
         0)</f>
        <v>0</v>
      </c>
      <c r="AO251" s="453">
        <f ca="1">IF(AND($D251="Serviço",AO$12&lt;&gt;0,$H251&gt;0,OR(AUTOEVENTO&lt;&gt;"manual",$M251&lt;&gt;$A$15)),
        IF(Import.TipoArredondamento&lt;&gt;"TransfereGOV",
              ROUND(OFFSET($P251,0,AO$13),15-13*ORÇAMENTO!$AF$7)/$H251*OFFSET(ORÇAMENTO!$X$15,ROW(AO251)-ROW(AO$15),0),
              ROUND(ROUND(OFFSET($P251,0,AO$13),15-13*ORÇAMENTO!$AF$7)*OFFSET(ORÇAMENTO!$W$15,ROW(AO251)-ROW(AO$15),0),15-13*ORÇAMENTO!$AF$11)),
         0)</f>
        <v>0</v>
      </c>
      <c r="AP251" s="453">
        <f ca="1">IF(AND($D251="Serviço",AP$12&lt;&gt;0,$H251&gt;0,OR(AUTOEVENTO&lt;&gt;"manual",$M251&lt;&gt;$A$15)),
        IF(Import.TipoArredondamento&lt;&gt;"TransfereGOV",
              ROUND(OFFSET($P251,0,AP$13),15-13*ORÇAMENTO!$AF$7)/$H251*OFFSET(ORÇAMENTO!$X$15,ROW(AP251)-ROW(AP$15),0),
              ROUND(ROUND(OFFSET($P251,0,AP$13),15-13*ORÇAMENTO!$AF$7)*OFFSET(ORÇAMENTO!$W$15,ROW(AP251)-ROW(AP$15),0),15-13*ORÇAMENTO!$AF$11)),
         0)</f>
        <v>0</v>
      </c>
      <c r="AQ251" s="453">
        <f ca="1">IF(AND($D251="Serviço",AQ$12&lt;&gt;0,$H251&gt;0,OR(AUTOEVENTO&lt;&gt;"manual",$M251&lt;&gt;$A$15)),
        IF(Import.TipoArredondamento&lt;&gt;"TransfereGOV",
              ROUND(OFFSET($P251,0,AQ$13),15-13*ORÇAMENTO!$AF$7)/$H251*OFFSET(ORÇAMENTO!$X$15,ROW(AQ251)-ROW(AQ$15),0),
              ROUND(ROUND(OFFSET($P251,0,AQ$13),15-13*ORÇAMENTO!$AF$7)*OFFSET(ORÇAMENTO!$W$15,ROW(AQ251)-ROW(AQ$15),0),15-13*ORÇAMENTO!$AF$11)),
         0)</f>
        <v>0</v>
      </c>
      <c r="AR251" s="453">
        <f ca="1">IF(AND($D251="Serviço",AR$12&lt;&gt;0,$H251&gt;0,OR(AUTOEVENTO&lt;&gt;"manual",$M251&lt;&gt;$A$15)),
        IF(Import.TipoArredondamento&lt;&gt;"TransfereGOV",
              ROUND(OFFSET($P251,0,AR$13),15-13*ORÇAMENTO!$AF$7)/$H251*OFFSET(ORÇAMENTO!$X$15,ROW(AR251)-ROW(AR$15),0),
              ROUND(ROUND(OFFSET($P251,0,AR$13),15-13*ORÇAMENTO!$AF$7)*OFFSET(ORÇAMENTO!$W$15,ROW(AR251)-ROW(AR$15),0),15-13*ORÇAMENTO!$AF$11)),
         0)</f>
        <v>0</v>
      </c>
      <c r="AS251" s="453">
        <f ca="1">IF(AND($D251="Serviço",AS$12&lt;&gt;0,$H251&gt;0,OR(AUTOEVENTO&lt;&gt;"manual",$M251&lt;&gt;$A$15)),
        IF(Import.TipoArredondamento&lt;&gt;"TransfereGOV",
              ROUND(OFFSET($P251,0,AS$13),15-13*ORÇAMENTO!$AF$7)/$H251*OFFSET(ORÇAMENTO!$X$15,ROW(AS251)-ROW(AS$15),0),
              ROUND(ROUND(OFFSET($P251,0,AS$13),15-13*ORÇAMENTO!$AF$7)*OFFSET(ORÇAMENTO!$W$15,ROW(AS251)-ROW(AS$15),0),15-13*ORÇAMENTO!$AF$11)),
         0)</f>
        <v>0</v>
      </c>
      <c r="AT251" s="453">
        <f ca="1">IF(AND($D251="Serviço",AT$12&lt;&gt;0,$H251&gt;0,OR(AUTOEVENTO&lt;&gt;"manual",$M251&lt;&gt;$A$15)),
        IF(Import.TipoArredondamento&lt;&gt;"TransfereGOV",
              ROUND(OFFSET($P251,0,AT$13),15-13*ORÇAMENTO!$AF$7)/$H251*OFFSET(ORÇAMENTO!$X$15,ROW(AT251)-ROW(AT$15),0),
              ROUND(ROUND(OFFSET($P251,0,AT$13),15-13*ORÇAMENTO!$AF$7)*OFFSET(ORÇAMENTO!$W$15,ROW(AT251)-ROW(AT$15),0),15-13*ORÇAMENTO!$AF$11)),
         0)</f>
        <v>0</v>
      </c>
      <c r="AU251" s="453">
        <f ca="1">IF(AND($D251="Serviço",AU$12&lt;&gt;0,$H251&gt;0,OR(AUTOEVENTO&lt;&gt;"manual",$M251&lt;&gt;$A$15)),
        IF(Import.TipoArredondamento&lt;&gt;"TransfereGOV",
              ROUND(OFFSET($P251,0,AU$13),15-13*ORÇAMENTO!$AF$7)/$H251*OFFSET(ORÇAMENTO!$X$15,ROW(AU251)-ROW(AU$15),0),
              ROUND(ROUND(OFFSET($P251,0,AU$13),15-13*ORÇAMENTO!$AF$7)*OFFSET(ORÇAMENTO!$W$15,ROW(AU251)-ROW(AU$15),0),15-13*ORÇAMENTO!$AF$11)),
         0)</f>
        <v>0</v>
      </c>
      <c r="AV251" s="453">
        <f ca="1">IF(AND($D251="Serviço",AV$12&lt;&gt;0,$H251&gt;0,OR(AUTOEVENTO&lt;&gt;"manual",$M251&lt;&gt;$A$15)),
        IF(Import.TipoArredondamento&lt;&gt;"TransfereGOV",
              ROUND(OFFSET($P251,0,AV$13),15-13*ORÇAMENTO!$AF$7)/$H251*OFFSET(ORÇAMENTO!$X$15,ROW(AV251)-ROW(AV$15),0),
              ROUND(ROUND(OFFSET($P251,0,AV$13),15-13*ORÇAMENTO!$AF$7)*OFFSET(ORÇAMENTO!$W$15,ROW(AV251)-ROW(AV$15),0),15-13*ORÇAMENTO!$AF$11)),
         0)</f>
        <v>0</v>
      </c>
      <c r="AW251" s="453">
        <f ca="1">IF(AND($D251="Serviço",AW$12&lt;&gt;0,$H251&gt;0,OR(AUTOEVENTO&lt;&gt;"manual",$M251&lt;&gt;$A$15)),
        IF(Import.TipoArredondamento&lt;&gt;"TransfereGOV",
              ROUND(OFFSET($P251,0,AW$13),15-13*ORÇAMENTO!$AF$7)/$H251*OFFSET(ORÇAMENTO!$X$15,ROW(AW251)-ROW(AW$15),0),
              ROUND(ROUND(OFFSET($P251,0,AW$13),15-13*ORÇAMENTO!$AF$7)*OFFSET(ORÇAMENTO!$W$15,ROW(AW251)-ROW(AW$15),0),15-13*ORÇAMENTO!$AF$11)),
         0)</f>
        <v>0</v>
      </c>
      <c r="AX251" s="453">
        <f ca="1">IF(AND($D251="Serviço",AX$12&lt;&gt;0,$H251&gt;0,OR(AUTOEVENTO&lt;&gt;"manual",$M251&lt;&gt;$A$15)),
        IF(Import.TipoArredondamento&lt;&gt;"TransfereGOV",
              ROUND(OFFSET($P251,0,AX$13),15-13*ORÇAMENTO!$AF$7)/$H251*OFFSET(ORÇAMENTO!$X$15,ROW(AX251)-ROW(AX$15),0),
              ROUND(ROUND(OFFSET($P251,0,AX$13),15-13*ORÇAMENTO!$AF$7)*OFFSET(ORÇAMENTO!$W$15,ROW(AX251)-ROW(AX$15),0),15-13*ORÇAMENTO!$AF$11)),
         0)</f>
        <v>0</v>
      </c>
      <c r="AY251" s="453">
        <f ca="1">IF(AND($D251="Serviço",AY$12&lt;&gt;0,$H251&gt;0,OR(AUTOEVENTO&lt;&gt;"manual",$M251&lt;&gt;$A$15)),
        IF(Import.TipoArredondamento&lt;&gt;"TransfereGOV",
              ROUND(OFFSET($P251,0,AY$13),15-13*ORÇAMENTO!$AF$7)/$H251*OFFSET(ORÇAMENTO!$X$15,ROW(AY251)-ROW(AY$15),0),
              ROUND(ROUND(OFFSET($P251,0,AY$13),15-13*ORÇAMENTO!$AF$7)*OFFSET(ORÇAMENTO!$W$15,ROW(AY251)-ROW(AY$15),0),15-13*ORÇAMENTO!$AF$11)),
         0)</f>
        <v>0</v>
      </c>
      <c r="AZ251" s="453">
        <f ca="1">IF(AND($D251="Serviço",AZ$12&lt;&gt;0,$H251&gt;0,OR(AUTOEVENTO&lt;&gt;"manual",$M251&lt;&gt;$A$15)),
        IF(Import.TipoArredondamento&lt;&gt;"TransfereGOV",
              ROUND(OFFSET($P251,0,AZ$13),15-13*ORÇAMENTO!$AF$7)/$H251*OFFSET(ORÇAMENTO!$X$15,ROW(AZ251)-ROW(AZ$15),0),
              ROUND(ROUND(OFFSET($P251,0,AZ$13),15-13*ORÇAMENTO!$AF$7)*OFFSET(ORÇAMENTO!$W$15,ROW(AZ251)-ROW(AZ$15),0),15-13*ORÇAMENTO!$AF$11)),
         0)</f>
        <v>0</v>
      </c>
      <c r="BA251" s="453">
        <f ca="1">IF(AND($D251="Serviço",BA$12&lt;&gt;0,$H251&gt;0,OR(AUTOEVENTO&lt;&gt;"manual",$M251&lt;&gt;$A$15)),
        IF(Import.TipoArredondamento&lt;&gt;"TransfereGOV",
              ROUND(OFFSET($P251,0,BA$13),15-13*ORÇAMENTO!$AF$7)/$H251*OFFSET(ORÇAMENTO!$X$15,ROW(BA251)-ROW(BA$15),0),
              ROUND(ROUND(OFFSET($P251,0,BA$13),15-13*ORÇAMENTO!$AF$7)*OFFSET(ORÇAMENTO!$W$15,ROW(BA251)-ROW(BA$15),0),15-13*ORÇAMENTO!$AF$11)),
         0)</f>
        <v>0</v>
      </c>
      <c r="BC251" s="171">
        <f ca="1">IF(OR($D251&lt;&gt;"Serviço",AND(AUTOEVENTO="Manual",$M251=$A$15)),0,
         IF(OFFSET(CRONOPLE!$F$15,$M251-$A$15,BC$13)=0,10^12,OFFSET(CRONOPLE!$F$15,$M251-$A$15,BC$13)))</f>
        <v>1</v>
      </c>
      <c r="BD251" s="171">
        <f ca="1">IF(OR($D251&lt;&gt;"Serviço",AND(AUTOEVENTO="Manual",$M251=$A$15)),0,
         IF(OFFSET(CRONOPLE!$F$15,$M251-$A$15,BD$13)=0,10^12,OFFSET(CRONOPLE!$F$15,$M251-$A$15,BD$13)))</f>
        <v>2</v>
      </c>
      <c r="BE251" s="171">
        <f ca="1">IF(OR($D251&lt;&gt;"Serviço",AND(AUTOEVENTO="Manual",$M251=$A$15)),0,
         IF(OFFSET(CRONOPLE!$F$15,$M251-$A$15,BE$13)=0,10^12,OFFSET(CRONOPLE!$F$15,$M251-$A$15,BE$13)))</f>
        <v>3</v>
      </c>
      <c r="BF251" s="171">
        <f ca="1">IF(OR($D251&lt;&gt;"Serviço",AND(AUTOEVENTO="Manual",$M251=$A$15)),0,
         IF(OFFSET(CRONOPLE!$F$15,$M251-$A$15,BF$13)=0,10^12,OFFSET(CRONOPLE!$F$15,$M251-$A$15,BF$13)))</f>
        <v>4</v>
      </c>
      <c r="BG251" s="171">
        <f ca="1">IF(OR($D251&lt;&gt;"Serviço",AND(AUTOEVENTO="Manual",$M251=$A$15)),0,
         IF(OFFSET(CRONOPLE!$F$15,$M251-$A$15,BG$13)=0,10^12,OFFSET(CRONOPLE!$F$15,$M251-$A$15,BG$13)))</f>
        <v>5</v>
      </c>
      <c r="BH251" s="171">
        <f ca="1">IF(OR($D251&lt;&gt;"Serviço",AND(AUTOEVENTO="Manual",$M251=$A$15)),0,
         IF(OFFSET(CRONOPLE!$F$15,$M251-$A$15,BH$13)=0,10^12,OFFSET(CRONOPLE!$F$15,$M251-$A$15,BH$13)))</f>
        <v>6</v>
      </c>
      <c r="BI251" s="171">
        <f ca="1">IF(OR($D251&lt;&gt;"Serviço",AND(AUTOEVENTO="Manual",$M251=$A$15)),0,
         IF(OFFSET(CRONOPLE!$F$15,$M251-$A$15,BI$13)=0,10^12,OFFSET(CRONOPLE!$F$15,$M251-$A$15,BI$13)))</f>
        <v>7</v>
      </c>
      <c r="BJ251" s="171">
        <f ca="1">IF(OR($D251&lt;&gt;"Serviço",AND(AUTOEVENTO="Manual",$M251=$A$15)),0,
         IF(OFFSET(CRONOPLE!$F$15,$M251-$A$15,BJ$13)=0,10^12,OFFSET(CRONOPLE!$F$15,$M251-$A$15,BJ$13)))</f>
        <v>8</v>
      </c>
      <c r="BK251" s="171">
        <f ca="1">IF(OR($D251&lt;&gt;"Serviço",AND(AUTOEVENTO="Manual",$M251=$A$15)),0,
         IF(OFFSET(CRONOPLE!$F$15,$M251-$A$15,BK$13)=0,10^12,OFFSET(CRONOPLE!$F$15,$M251-$A$15,BK$13)))</f>
        <v>9</v>
      </c>
      <c r="BL251" s="171">
        <f ca="1">IF(OR($D251&lt;&gt;"Serviço",AND(AUTOEVENTO="Manual",$M251=$A$15)),0,
         IF(OFFSET(CRONOPLE!$F$15,$M251-$A$15,BL$13)=0,10^12,OFFSET(CRONOPLE!$F$15,$M251-$A$15,BL$13)))</f>
        <v>1000000000000</v>
      </c>
      <c r="BM251" s="171">
        <f ca="1">IF(OR($D251&lt;&gt;"Serviço",AND(AUTOEVENTO="Manual",$M251=$A$15)),0,
         IF(OFFSET(CRONOPLE!$F$15,$M251-$A$15,BM$13)=0,10^12,OFFSET(CRONOPLE!$F$15,$M251-$A$15,BM$13)))</f>
        <v>1000000000000</v>
      </c>
      <c r="BN251" s="171">
        <f ca="1">IF(OR($D251&lt;&gt;"Serviço",AND(AUTOEVENTO="Manual",$M251=$A$15)),0,
         IF(OFFSET(CRONOPLE!$F$15,$M251-$A$15,BN$13)=0,10^12,OFFSET(CRONOPLE!$F$15,$M251-$A$15,BN$13)))</f>
        <v>1000000000000</v>
      </c>
      <c r="BO251" s="171">
        <f ca="1">IF(OR($D251&lt;&gt;"Serviço",AND(AUTOEVENTO="Manual",$M251=$A$15)),0,
         IF(OFFSET(CRONOPLE!$F$15,$M251-$A$15,BO$13)=0,10^12,OFFSET(CRONOPLE!$F$15,$M251-$A$15,BO$13)))</f>
        <v>1000000000000</v>
      </c>
      <c r="BP251" s="171">
        <f ca="1">IF(OR($D251&lt;&gt;"Serviço",AND(AUTOEVENTO="Manual",$M251=$A$15)),0,
         IF(OFFSET(CRONOPLE!$F$15,$M251-$A$15,BP$13)=0,10^12,OFFSET(CRONOPLE!$F$15,$M251-$A$15,BP$13)))</f>
        <v>1000000000000</v>
      </c>
      <c r="BQ251" s="171">
        <f ca="1">IF(OR($D251&lt;&gt;"Serviço",AND(AUTOEVENTO="Manual",$M251=$A$15)),0,
         IF(OFFSET(CRONOPLE!$F$15,$M251-$A$15,BQ$13)=0,10^12,OFFSET(CRONOPLE!$F$15,$M251-$A$15,BQ$13)))</f>
        <v>1000000000000</v>
      </c>
      <c r="BR251" s="171">
        <f ca="1">IF(OR($D251&lt;&gt;"Serviço",AND(AUTOEVENTO="Manual",$M251=$A$15)),0,
         IF(OFFSET(CRONOPLE!$F$15,$M251-$A$15,BR$13)=0,10^12,OFFSET(CRONOPLE!$F$15,$M251-$A$15,BR$13)))</f>
        <v>1000000000000</v>
      </c>
      <c r="BS251" s="171">
        <f ca="1">IF(OR($D251&lt;&gt;"Serviço",AND(AUTOEVENTO="Manual",$M251=$A$15)),0,
         IF(OFFSET(CRONOPLE!$F$15,$M251-$A$15,BS$13)=0,10^12,OFFSET(CRONOPLE!$F$15,$M251-$A$15,BS$13)))</f>
        <v>1000000000000</v>
      </c>
      <c r="BT251" s="171">
        <f ca="1">IF(OR($D251&lt;&gt;"Serviço",AND(AUTOEVENTO="Manual",$M251=$A$15)),0,
         IF(OFFSET(CRONOPLE!$F$15,$M251-$A$15,BT$13)=0,10^12,OFFSET(CRONOPLE!$F$15,$M251-$A$15,BT$13)))</f>
        <v>1000000000000</v>
      </c>
      <c r="BV251" s="172">
        <f ca="1">IF(OR($D251&lt;&gt;"Serviço",AND(AUTOEVENTO="Manual",$M251=$A$15),$M251&gt;(ROW(PLE.lastrow)-ROW(PLE.firstrow))),0,
           IF(OFFSET(PLE!$G$15,$M251-$A$15,BV$13)="",10^12,OFFSET(PLE!$G$15,$M251-$A$15,BV$13)))</f>
        <v>1000000000000</v>
      </c>
      <c r="BW251" s="172">
        <f ca="1">IF(OR($D251&lt;&gt;"Serviço",AND(AUTOEVENTO="Manual",$M251=$A$15),$M251&gt;(ROW(PLE.lastrow)-ROW(PLE.firstrow))),0,
           IF(OFFSET(PLE!$G$15,$M251-$A$15,BW$13)="",10^12,OFFSET(PLE!$G$15,$M251-$A$15,BW$13)))</f>
        <v>1000000000000</v>
      </c>
      <c r="BX251" s="172">
        <f ca="1">IF(OR($D251&lt;&gt;"Serviço",AND(AUTOEVENTO="Manual",$M251=$A$15),$M251&gt;(ROW(PLE.lastrow)-ROW(PLE.firstrow))),0,
           IF(OFFSET(PLE!$G$15,$M251-$A$15,BX$13)="",10^12,OFFSET(PLE!$G$15,$M251-$A$15,BX$13)))</f>
        <v>1000000000000</v>
      </c>
      <c r="BY251" s="172">
        <f ca="1">IF(OR($D251&lt;&gt;"Serviço",AND(AUTOEVENTO="Manual",$M251=$A$15),$M251&gt;(ROW(PLE.lastrow)-ROW(PLE.firstrow))),0,
           IF(OFFSET(PLE!$G$15,$M251-$A$15,BY$13)="",10^12,OFFSET(PLE!$G$15,$M251-$A$15,BY$13)))</f>
        <v>1000000000000</v>
      </c>
      <c r="BZ251" s="172">
        <f ca="1">IF(OR($D251&lt;&gt;"Serviço",AND(AUTOEVENTO="Manual",$M251=$A$15),$M251&gt;(ROW(PLE.lastrow)-ROW(PLE.firstrow))),0,
           IF(OFFSET(PLE!$G$15,$M251-$A$15,BZ$13)="",10^12,OFFSET(PLE!$G$15,$M251-$A$15,BZ$13)))</f>
        <v>1000000000000</v>
      </c>
      <c r="CA251" s="172">
        <f ca="1">IF(OR($D251&lt;&gt;"Serviço",AND(AUTOEVENTO="Manual",$M251=$A$15),$M251&gt;(ROW(PLE.lastrow)-ROW(PLE.firstrow))),0,
           IF(OFFSET(PLE!$G$15,$M251-$A$15,CA$13)="",10^12,OFFSET(PLE!$G$15,$M251-$A$15,CA$13)))</f>
        <v>1000000000000</v>
      </c>
      <c r="CB251" s="172">
        <f ca="1">IF(OR($D251&lt;&gt;"Serviço",AND(AUTOEVENTO="Manual",$M251=$A$15),$M251&gt;(ROW(PLE.lastrow)-ROW(PLE.firstrow))),0,
           IF(OFFSET(PLE!$G$15,$M251-$A$15,CB$13)="",10^12,OFFSET(PLE!$G$15,$M251-$A$15,CB$13)))</f>
        <v>1000000000000</v>
      </c>
      <c r="CC251" s="172">
        <f ca="1">IF(OR($D251&lt;&gt;"Serviço",AND(AUTOEVENTO="Manual",$M251=$A$15),$M251&gt;(ROW(PLE.lastrow)-ROW(PLE.firstrow))),0,
           IF(OFFSET(PLE!$G$15,$M251-$A$15,CC$13)="",10^12,OFFSET(PLE!$G$15,$M251-$A$15,CC$13)))</f>
        <v>1000000000000</v>
      </c>
      <c r="CD251" s="172">
        <f ca="1">IF(OR($D251&lt;&gt;"Serviço",AND(AUTOEVENTO="Manual",$M251=$A$15),$M251&gt;(ROW(PLE.lastrow)-ROW(PLE.firstrow))),0,
           IF(OFFSET(PLE!$G$15,$M251-$A$15,CD$13)="",10^12,OFFSET(PLE!$G$15,$M251-$A$15,CD$13)))</f>
        <v>1000000000000</v>
      </c>
      <c r="CE251" s="172">
        <f ca="1">IF(OR($D251&lt;&gt;"Serviço",AND(AUTOEVENTO="Manual",$M251=$A$15),$M251&gt;(ROW(PLE.lastrow)-ROW(PLE.firstrow))),0,
           IF(OFFSET(PLE!$G$15,$M251-$A$15,CE$13)="",10^12,OFFSET(PLE!$G$15,$M251-$A$15,CE$13)))</f>
        <v>1000000000000</v>
      </c>
      <c r="CF251" s="172">
        <f ca="1">IF(OR($D251&lt;&gt;"Serviço",AND(AUTOEVENTO="Manual",$M251=$A$15),$M251&gt;(ROW(PLE.lastrow)-ROW(PLE.firstrow))),0,
           IF(OFFSET(PLE!$G$15,$M251-$A$15,CF$13)="",10^12,OFFSET(PLE!$G$15,$M251-$A$15,CF$13)))</f>
        <v>1000000000000</v>
      </c>
      <c r="CG251" s="172">
        <f ca="1">IF(OR($D251&lt;&gt;"Serviço",AND(AUTOEVENTO="Manual",$M251=$A$15),$M251&gt;(ROW(PLE.lastrow)-ROW(PLE.firstrow))),0,
           IF(OFFSET(PLE!$G$15,$M251-$A$15,CG$13)="",10^12,OFFSET(PLE!$G$15,$M251-$A$15,CG$13)))</f>
        <v>1000000000000</v>
      </c>
      <c r="CH251" s="172">
        <f ca="1">IF(OR($D251&lt;&gt;"Serviço",AND(AUTOEVENTO="Manual",$M251=$A$15),$M251&gt;(ROW(PLE.lastrow)-ROW(PLE.firstrow))),0,
           IF(OFFSET(PLE!$G$15,$M251-$A$15,CH$13)="",10^12,OFFSET(PLE!$G$15,$M251-$A$15,CH$13)))</f>
        <v>1000000000000</v>
      </c>
      <c r="CI251" s="172">
        <f ca="1">IF(OR($D251&lt;&gt;"Serviço",AND(AUTOEVENTO="Manual",$M251=$A$15),$M251&gt;(ROW(PLE.lastrow)-ROW(PLE.firstrow))),0,
           IF(OFFSET(PLE!$G$15,$M251-$A$15,CI$13)="",10^12,OFFSET(PLE!$G$15,$M251-$A$15,CI$13)))</f>
        <v>1000000000000</v>
      </c>
      <c r="CJ251" s="172">
        <f ca="1">IF(OR($D251&lt;&gt;"Serviço",AND(AUTOEVENTO="Manual",$M251=$A$15),$M251&gt;(ROW(PLE.lastrow)-ROW(PLE.firstrow))),0,
           IF(OFFSET(PLE!$G$15,$M251-$A$15,CJ$13)="",10^12,OFFSET(PLE!$G$15,$M251-$A$15,CJ$13)))</f>
        <v>1000000000000</v>
      </c>
      <c r="CK251" s="172">
        <f ca="1">IF(OR($D251&lt;&gt;"Serviço",AND(AUTOEVENTO="Manual",$M251=$A$15),$M251&gt;(ROW(PLE.lastrow)-ROW(PLE.firstrow))),0,
           IF(OFFSET(PLE!$G$15,$M251-$A$15,CK$13)="",10^12,OFFSET(PLE!$G$15,$M251-$A$15,CK$13)))</f>
        <v>1000000000000</v>
      </c>
      <c r="CL251" s="172">
        <f ca="1">IF(OR($D251&lt;&gt;"Serviço",AND(AUTOEVENTO="Manual",$M251=$A$15),$M251&gt;(ROW(PLE.lastrow)-ROW(PLE.firstrow))),0,
           IF(OFFSET(PLE!$G$15,$M251-$A$15,CL$13)="",10^12,OFFSET(PLE!$G$15,$M251-$A$15,CL$13)))</f>
        <v>1000000000000</v>
      </c>
      <c r="CM251" s="172">
        <f ca="1">IF(OR($D251&lt;&gt;"Serviço",AND(AUTOEVENTO="Manual",$M251=$A$15),$M251&gt;(ROW(PLE.lastrow)-ROW(PLE.firstrow))),0,
           IF(OFFSET(PLE!$G$15,$M251-$A$15,CM$13)="",10^12,OFFSET(PLE!$G$15,$M251-$A$15,CM$13)))</f>
        <v>1000000000000</v>
      </c>
    </row>
    <row r="252" spans="1:91" ht="51" x14ac:dyDescent="0.2">
      <c r="A252" s="7">
        <f t="shared" ca="1" si="13"/>
        <v>6</v>
      </c>
      <c r="B252" s="7" t="str">
        <f ca="1">OFFSET(ORÇAMENTO!C$15,ROW(B252)-ROW(B$15),0)</f>
        <v>S</v>
      </c>
      <c r="C252" s="7" t="str">
        <f ca="1">OFFSET(ORÇAMENTO!L$15,ROW(C252)-ROW(C$15),0)</f>
        <v>F</v>
      </c>
      <c r="D252" s="116" t="str">
        <f ca="1">OFFSET(ORÇAMENTO!N$15,ROW(D252)-ROW(D$15),0)</f>
        <v>Serviço</v>
      </c>
      <c r="E252" s="117" t="str">
        <f ca="1">OFFSET(ORÇAMENTO!O$15,ROW(E252)-ROW(E$15),0)</f>
        <v>1.7.1.1.6.</v>
      </c>
      <c r="F252" s="163" t="str">
        <f ca="1">OFFSET(ORÇAMENTO!R$15,ROW(F252)-ROW(F$15),0)</f>
        <v>TUBO FLANGE/PONTA FoFo L=4,10 M - DN 350 MM</v>
      </c>
      <c r="G252" s="164" t="str">
        <f ca="1">IF($D252&lt;&gt;"Serviço","",OFFSET(ORÇAMENTO!S$15,ROW(G252)-ROW(G$15),0))</f>
        <v>UN</v>
      </c>
      <c r="H252" s="122" cm="1">
        <f t="array" aca="1" ref="H252" ca="1">IF($D252&lt;&gt;"Serviço",0,IF(ACOMPANHAMENTO="BM",ROUND(OFFSET(ORÇAMENTO!AJ$15,ROW(H252)-ROW(H$15),0),15-13*ORÇAMENTO!$AF$7),SUMPRODUCT(($Q$1:$AI$1=1)*ROUND($Q252:$AI252,15-13*ORÇAMENTO!$AF$7))))</f>
        <v>2</v>
      </c>
      <c r="I252" s="468" t="s">
        <v>1346</v>
      </c>
      <c r="J252" s="640" t="str" cm="1">
        <f t="array" aca="1" ref="J252" ca="1">IF(OR(B252&lt;&gt;"S",CÁLCULO.FrentesPreenchidas=0),"",IF(AND(ACOMPANHAMENTO="PLE",AUTOEVENTO="Manual",OR(H252&gt;0,ORÇAMENTO!AC252="QUANT."),OR(K252="",M252=0,N252="")),"►E",IF(AND(ACOMPANHAMENTO="PLE",ORÇAMENTO!AC252="QUANT."),"►Q",IF(AND(ACOMPANHAMENTO="PLE",H252&lt;&gt;SUMPRODUCT(($Q$1:$AI$1=1)*ROUND(Q252:AI252,15))),"►S",IF(AND(COUNTIF($P$11:$AI$11,"▼")=0,H252&gt;0,I252=""),"◄M","")))))</f>
        <v/>
      </c>
      <c r="K252" s="641" t="s">
        <v>1385</v>
      </c>
      <c r="L252" s="165" t="s">
        <v>764</v>
      </c>
      <c r="M252" s="166">
        <f ca="1">IF($D252&lt;&gt;"Serviço","",
          IF(AUTOEVENTO="manual",$A252,
                IF(ISERROR(MATCH($A252,$A$15:OFFSET($A252,-1,0),0)),MAX($M$15:OFFSET(M252,-1,0))+1,
                      INDEX($M$15:OFFSET(M252,-1,0),MATCH($A252,$A$15:OFFSET($A252,-1,0),0)))))</f>
        <v>6</v>
      </c>
      <c r="N252" s="167" t="str">
        <f ca="1">IF($D252&lt;&gt;"Serviço","",
         IF(AUTOEVENTO="Manual",
                IF($A252=0,"&lt;-- defina o número do agrupador",
                       OFFSET(EVENTOS!$D$15,$A252-$A$15,0)),
                OFFSET($F$15,$A252,0)))</f>
        <v>Saneamento</v>
      </c>
      <c r="O252" s="168"/>
      <c r="Q252" s="168"/>
      <c r="R252" s="169"/>
      <c r="S252" s="169">
        <v>2</v>
      </c>
      <c r="T252" s="169"/>
      <c r="U252" s="169"/>
      <c r="V252" s="169"/>
      <c r="W252" s="169"/>
      <c r="X252" s="169"/>
      <c r="Y252" s="169"/>
      <c r="Z252" s="170"/>
      <c r="AA252" s="169"/>
      <c r="AB252" s="169"/>
      <c r="AC252" s="169"/>
      <c r="AD252" s="169"/>
      <c r="AE252" s="169"/>
      <c r="AF252" s="169"/>
      <c r="AG252" s="169"/>
      <c r="AH252" s="170"/>
      <c r="AJ252" s="453">
        <f ca="1">IF(AND($D252="Serviço",AJ$12&lt;&gt;0,$H252&gt;0,OR(AUTOEVENTO&lt;&gt;"manual",$M252&lt;&gt;$A$15)),
        IF(Import.TipoArredondamento&lt;&gt;"TransfereGOV",
              ROUND(OFFSET($P252,0,AJ$13),15-13*ORÇAMENTO!$AF$7)/$H252*OFFSET(ORÇAMENTO!$X$15,ROW(AJ252)-ROW(AJ$15),0),
              ROUND(ROUND(OFFSET($P252,0,AJ$13),15-13*ORÇAMENTO!$AF$7)*OFFSET(ORÇAMENTO!$W$15,ROW(AJ252)-ROW(AJ$15),0),15-13*ORÇAMENTO!$AF$11)),
         0)</f>
        <v>0</v>
      </c>
      <c r="AK252" s="453">
        <f ca="1">IF(AND($D252="Serviço",AK$12&lt;&gt;0,$H252&gt;0,OR(AUTOEVENTO&lt;&gt;"manual",$M252&lt;&gt;$A$15)),
        IF(Import.TipoArredondamento&lt;&gt;"TransfereGOV",
              ROUND(OFFSET($P252,0,AK$13),15-13*ORÇAMENTO!$AF$7)/$H252*OFFSET(ORÇAMENTO!$X$15,ROW(AK252)-ROW(AK$15),0),
              ROUND(ROUND(OFFSET($P252,0,AK$13),15-13*ORÇAMENTO!$AF$7)*OFFSET(ORÇAMENTO!$W$15,ROW(AK252)-ROW(AK$15),0),15-13*ORÇAMENTO!$AF$11)),
         0)</f>
        <v>0</v>
      </c>
      <c r="AL252" s="453">
        <f ca="1">IF(AND($D252="Serviço",AL$12&lt;&gt;0,$H252&gt;0,OR(AUTOEVENTO&lt;&gt;"manual",$M252&lt;&gt;$A$15)),
        IF(Import.TipoArredondamento&lt;&gt;"TransfereGOV",
              ROUND(OFFSET($P252,0,AL$13),15-13*ORÇAMENTO!$AF$7)/$H252*OFFSET(ORÇAMENTO!$X$15,ROW(AL252)-ROW(AL$15),0),
              ROUND(ROUND(OFFSET($P252,0,AL$13),15-13*ORÇAMENTO!$AF$7)*OFFSET(ORÇAMENTO!$W$15,ROW(AL252)-ROW(AL$15),0),15-13*ORÇAMENTO!$AF$11)),
         0)</f>
        <v>0</v>
      </c>
      <c r="AM252" s="453">
        <f ca="1">IF(AND($D252="Serviço",AM$12&lt;&gt;0,$H252&gt;0,OR(AUTOEVENTO&lt;&gt;"manual",$M252&lt;&gt;$A$15)),
        IF(Import.TipoArredondamento&lt;&gt;"TransfereGOV",
              ROUND(OFFSET($P252,0,AM$13),15-13*ORÇAMENTO!$AF$7)/$H252*OFFSET(ORÇAMENTO!$X$15,ROW(AM252)-ROW(AM$15),0),
              ROUND(ROUND(OFFSET($P252,0,AM$13),15-13*ORÇAMENTO!$AF$7)*OFFSET(ORÇAMENTO!$W$15,ROW(AM252)-ROW(AM$15),0),15-13*ORÇAMENTO!$AF$11)),
         0)</f>
        <v>0</v>
      </c>
      <c r="AN252" s="453">
        <f ca="1">IF(AND($D252="Serviço",AN$12&lt;&gt;0,$H252&gt;0,OR(AUTOEVENTO&lt;&gt;"manual",$M252&lt;&gt;$A$15)),
        IF(Import.TipoArredondamento&lt;&gt;"TransfereGOV",
              ROUND(OFFSET($P252,0,AN$13),15-13*ORÇAMENTO!$AF$7)/$H252*OFFSET(ORÇAMENTO!$X$15,ROW(AN252)-ROW(AN$15),0),
              ROUND(ROUND(OFFSET($P252,0,AN$13),15-13*ORÇAMENTO!$AF$7)*OFFSET(ORÇAMENTO!$W$15,ROW(AN252)-ROW(AN$15),0),15-13*ORÇAMENTO!$AF$11)),
         0)</f>
        <v>0</v>
      </c>
      <c r="AO252" s="453">
        <f ca="1">IF(AND($D252="Serviço",AO$12&lt;&gt;0,$H252&gt;0,OR(AUTOEVENTO&lt;&gt;"manual",$M252&lt;&gt;$A$15)),
        IF(Import.TipoArredondamento&lt;&gt;"TransfereGOV",
              ROUND(OFFSET($P252,0,AO$13),15-13*ORÇAMENTO!$AF$7)/$H252*OFFSET(ORÇAMENTO!$X$15,ROW(AO252)-ROW(AO$15),0),
              ROUND(ROUND(OFFSET($P252,0,AO$13),15-13*ORÇAMENTO!$AF$7)*OFFSET(ORÇAMENTO!$W$15,ROW(AO252)-ROW(AO$15),0),15-13*ORÇAMENTO!$AF$11)),
         0)</f>
        <v>0</v>
      </c>
      <c r="AP252" s="453">
        <f ca="1">IF(AND($D252="Serviço",AP$12&lt;&gt;0,$H252&gt;0,OR(AUTOEVENTO&lt;&gt;"manual",$M252&lt;&gt;$A$15)),
        IF(Import.TipoArredondamento&lt;&gt;"TransfereGOV",
              ROUND(OFFSET($P252,0,AP$13),15-13*ORÇAMENTO!$AF$7)/$H252*OFFSET(ORÇAMENTO!$X$15,ROW(AP252)-ROW(AP$15),0),
              ROUND(ROUND(OFFSET($P252,0,AP$13),15-13*ORÇAMENTO!$AF$7)*OFFSET(ORÇAMENTO!$W$15,ROW(AP252)-ROW(AP$15),0),15-13*ORÇAMENTO!$AF$11)),
         0)</f>
        <v>0</v>
      </c>
      <c r="AQ252" s="453">
        <f ca="1">IF(AND($D252="Serviço",AQ$12&lt;&gt;0,$H252&gt;0,OR(AUTOEVENTO&lt;&gt;"manual",$M252&lt;&gt;$A$15)),
        IF(Import.TipoArredondamento&lt;&gt;"TransfereGOV",
              ROUND(OFFSET($P252,0,AQ$13),15-13*ORÇAMENTO!$AF$7)/$H252*OFFSET(ORÇAMENTO!$X$15,ROW(AQ252)-ROW(AQ$15),0),
              ROUND(ROUND(OFFSET($P252,0,AQ$13),15-13*ORÇAMENTO!$AF$7)*OFFSET(ORÇAMENTO!$W$15,ROW(AQ252)-ROW(AQ$15),0),15-13*ORÇAMENTO!$AF$11)),
         0)</f>
        <v>0</v>
      </c>
      <c r="AR252" s="453">
        <f ca="1">IF(AND($D252="Serviço",AR$12&lt;&gt;0,$H252&gt;0,OR(AUTOEVENTO&lt;&gt;"manual",$M252&lt;&gt;$A$15)),
        IF(Import.TipoArredondamento&lt;&gt;"TransfereGOV",
              ROUND(OFFSET($P252,0,AR$13),15-13*ORÇAMENTO!$AF$7)/$H252*OFFSET(ORÇAMENTO!$X$15,ROW(AR252)-ROW(AR$15),0),
              ROUND(ROUND(OFFSET($P252,0,AR$13),15-13*ORÇAMENTO!$AF$7)*OFFSET(ORÇAMENTO!$W$15,ROW(AR252)-ROW(AR$15),0),15-13*ORÇAMENTO!$AF$11)),
         0)</f>
        <v>0</v>
      </c>
      <c r="AS252" s="453">
        <f ca="1">IF(AND($D252="Serviço",AS$12&lt;&gt;0,$H252&gt;0,OR(AUTOEVENTO&lt;&gt;"manual",$M252&lt;&gt;$A$15)),
        IF(Import.TipoArredondamento&lt;&gt;"TransfereGOV",
              ROUND(OFFSET($P252,0,AS$13),15-13*ORÇAMENTO!$AF$7)/$H252*OFFSET(ORÇAMENTO!$X$15,ROW(AS252)-ROW(AS$15),0),
              ROUND(ROUND(OFFSET($P252,0,AS$13),15-13*ORÇAMENTO!$AF$7)*OFFSET(ORÇAMENTO!$W$15,ROW(AS252)-ROW(AS$15),0),15-13*ORÇAMENTO!$AF$11)),
         0)</f>
        <v>0</v>
      </c>
      <c r="AT252" s="453">
        <f ca="1">IF(AND($D252="Serviço",AT$12&lt;&gt;0,$H252&gt;0,OR(AUTOEVENTO&lt;&gt;"manual",$M252&lt;&gt;$A$15)),
        IF(Import.TipoArredondamento&lt;&gt;"TransfereGOV",
              ROUND(OFFSET($P252,0,AT$13),15-13*ORÇAMENTO!$AF$7)/$H252*OFFSET(ORÇAMENTO!$X$15,ROW(AT252)-ROW(AT$15),0),
              ROUND(ROUND(OFFSET($P252,0,AT$13),15-13*ORÇAMENTO!$AF$7)*OFFSET(ORÇAMENTO!$W$15,ROW(AT252)-ROW(AT$15),0),15-13*ORÇAMENTO!$AF$11)),
         0)</f>
        <v>0</v>
      </c>
      <c r="AU252" s="453">
        <f ca="1">IF(AND($D252="Serviço",AU$12&lt;&gt;0,$H252&gt;0,OR(AUTOEVENTO&lt;&gt;"manual",$M252&lt;&gt;$A$15)),
        IF(Import.TipoArredondamento&lt;&gt;"TransfereGOV",
              ROUND(OFFSET($P252,0,AU$13),15-13*ORÇAMENTO!$AF$7)/$H252*OFFSET(ORÇAMENTO!$X$15,ROW(AU252)-ROW(AU$15),0),
              ROUND(ROUND(OFFSET($P252,0,AU$13),15-13*ORÇAMENTO!$AF$7)*OFFSET(ORÇAMENTO!$W$15,ROW(AU252)-ROW(AU$15),0),15-13*ORÇAMENTO!$AF$11)),
         0)</f>
        <v>0</v>
      </c>
      <c r="AV252" s="453">
        <f ca="1">IF(AND($D252="Serviço",AV$12&lt;&gt;0,$H252&gt;0,OR(AUTOEVENTO&lt;&gt;"manual",$M252&lt;&gt;$A$15)),
        IF(Import.TipoArredondamento&lt;&gt;"TransfereGOV",
              ROUND(OFFSET($P252,0,AV$13),15-13*ORÇAMENTO!$AF$7)/$H252*OFFSET(ORÇAMENTO!$X$15,ROW(AV252)-ROW(AV$15),0),
              ROUND(ROUND(OFFSET($P252,0,AV$13),15-13*ORÇAMENTO!$AF$7)*OFFSET(ORÇAMENTO!$W$15,ROW(AV252)-ROW(AV$15),0),15-13*ORÇAMENTO!$AF$11)),
         0)</f>
        <v>0</v>
      </c>
      <c r="AW252" s="453">
        <f ca="1">IF(AND($D252="Serviço",AW$12&lt;&gt;0,$H252&gt;0,OR(AUTOEVENTO&lt;&gt;"manual",$M252&lt;&gt;$A$15)),
        IF(Import.TipoArredondamento&lt;&gt;"TransfereGOV",
              ROUND(OFFSET($P252,0,AW$13),15-13*ORÇAMENTO!$AF$7)/$H252*OFFSET(ORÇAMENTO!$X$15,ROW(AW252)-ROW(AW$15),0),
              ROUND(ROUND(OFFSET($P252,0,AW$13),15-13*ORÇAMENTO!$AF$7)*OFFSET(ORÇAMENTO!$W$15,ROW(AW252)-ROW(AW$15),0),15-13*ORÇAMENTO!$AF$11)),
         0)</f>
        <v>0</v>
      </c>
      <c r="AX252" s="453">
        <f ca="1">IF(AND($D252="Serviço",AX$12&lt;&gt;0,$H252&gt;0,OR(AUTOEVENTO&lt;&gt;"manual",$M252&lt;&gt;$A$15)),
        IF(Import.TipoArredondamento&lt;&gt;"TransfereGOV",
              ROUND(OFFSET($P252,0,AX$13),15-13*ORÇAMENTO!$AF$7)/$H252*OFFSET(ORÇAMENTO!$X$15,ROW(AX252)-ROW(AX$15),0),
              ROUND(ROUND(OFFSET($P252,0,AX$13),15-13*ORÇAMENTO!$AF$7)*OFFSET(ORÇAMENTO!$W$15,ROW(AX252)-ROW(AX$15),0),15-13*ORÇAMENTO!$AF$11)),
         0)</f>
        <v>0</v>
      </c>
      <c r="AY252" s="453">
        <f ca="1">IF(AND($D252="Serviço",AY$12&lt;&gt;0,$H252&gt;0,OR(AUTOEVENTO&lt;&gt;"manual",$M252&lt;&gt;$A$15)),
        IF(Import.TipoArredondamento&lt;&gt;"TransfereGOV",
              ROUND(OFFSET($P252,0,AY$13),15-13*ORÇAMENTO!$AF$7)/$H252*OFFSET(ORÇAMENTO!$X$15,ROW(AY252)-ROW(AY$15),0),
              ROUND(ROUND(OFFSET($P252,0,AY$13),15-13*ORÇAMENTO!$AF$7)*OFFSET(ORÇAMENTO!$W$15,ROW(AY252)-ROW(AY$15),0),15-13*ORÇAMENTO!$AF$11)),
         0)</f>
        <v>0</v>
      </c>
      <c r="AZ252" s="453">
        <f ca="1">IF(AND($D252="Serviço",AZ$12&lt;&gt;0,$H252&gt;0,OR(AUTOEVENTO&lt;&gt;"manual",$M252&lt;&gt;$A$15)),
        IF(Import.TipoArredondamento&lt;&gt;"TransfereGOV",
              ROUND(OFFSET($P252,0,AZ$13),15-13*ORÇAMENTO!$AF$7)/$H252*OFFSET(ORÇAMENTO!$X$15,ROW(AZ252)-ROW(AZ$15),0),
              ROUND(ROUND(OFFSET($P252,0,AZ$13),15-13*ORÇAMENTO!$AF$7)*OFFSET(ORÇAMENTO!$W$15,ROW(AZ252)-ROW(AZ$15),0),15-13*ORÇAMENTO!$AF$11)),
         0)</f>
        <v>0</v>
      </c>
      <c r="BA252" s="453">
        <f ca="1">IF(AND($D252="Serviço",BA$12&lt;&gt;0,$H252&gt;0,OR(AUTOEVENTO&lt;&gt;"manual",$M252&lt;&gt;$A$15)),
        IF(Import.TipoArredondamento&lt;&gt;"TransfereGOV",
              ROUND(OFFSET($P252,0,BA$13),15-13*ORÇAMENTO!$AF$7)/$H252*OFFSET(ORÇAMENTO!$X$15,ROW(BA252)-ROW(BA$15),0),
              ROUND(ROUND(OFFSET($P252,0,BA$13),15-13*ORÇAMENTO!$AF$7)*OFFSET(ORÇAMENTO!$W$15,ROW(BA252)-ROW(BA$15),0),15-13*ORÇAMENTO!$AF$11)),
         0)</f>
        <v>0</v>
      </c>
      <c r="BC252" s="171">
        <f ca="1">IF(OR($D252&lt;&gt;"Serviço",AND(AUTOEVENTO="Manual",$M252=$A$15)),0,
         IF(OFFSET(CRONOPLE!$F$15,$M252-$A$15,BC$13)=0,10^12,OFFSET(CRONOPLE!$F$15,$M252-$A$15,BC$13)))</f>
        <v>1</v>
      </c>
      <c r="BD252" s="171">
        <f ca="1">IF(OR($D252&lt;&gt;"Serviço",AND(AUTOEVENTO="Manual",$M252=$A$15)),0,
         IF(OFFSET(CRONOPLE!$F$15,$M252-$A$15,BD$13)=0,10^12,OFFSET(CRONOPLE!$F$15,$M252-$A$15,BD$13)))</f>
        <v>2</v>
      </c>
      <c r="BE252" s="171">
        <f ca="1">IF(OR($D252&lt;&gt;"Serviço",AND(AUTOEVENTO="Manual",$M252=$A$15)),0,
         IF(OFFSET(CRONOPLE!$F$15,$M252-$A$15,BE$13)=0,10^12,OFFSET(CRONOPLE!$F$15,$M252-$A$15,BE$13)))</f>
        <v>3</v>
      </c>
      <c r="BF252" s="171">
        <f ca="1">IF(OR($D252&lt;&gt;"Serviço",AND(AUTOEVENTO="Manual",$M252=$A$15)),0,
         IF(OFFSET(CRONOPLE!$F$15,$M252-$A$15,BF$13)=0,10^12,OFFSET(CRONOPLE!$F$15,$M252-$A$15,BF$13)))</f>
        <v>4</v>
      </c>
      <c r="BG252" s="171">
        <f ca="1">IF(OR($D252&lt;&gt;"Serviço",AND(AUTOEVENTO="Manual",$M252=$A$15)),0,
         IF(OFFSET(CRONOPLE!$F$15,$M252-$A$15,BG$13)=0,10^12,OFFSET(CRONOPLE!$F$15,$M252-$A$15,BG$13)))</f>
        <v>5</v>
      </c>
      <c r="BH252" s="171">
        <f ca="1">IF(OR($D252&lt;&gt;"Serviço",AND(AUTOEVENTO="Manual",$M252=$A$15)),0,
         IF(OFFSET(CRONOPLE!$F$15,$M252-$A$15,BH$13)=0,10^12,OFFSET(CRONOPLE!$F$15,$M252-$A$15,BH$13)))</f>
        <v>6</v>
      </c>
      <c r="BI252" s="171">
        <f ca="1">IF(OR($D252&lt;&gt;"Serviço",AND(AUTOEVENTO="Manual",$M252=$A$15)),0,
         IF(OFFSET(CRONOPLE!$F$15,$M252-$A$15,BI$13)=0,10^12,OFFSET(CRONOPLE!$F$15,$M252-$A$15,BI$13)))</f>
        <v>7</v>
      </c>
      <c r="BJ252" s="171">
        <f ca="1">IF(OR($D252&lt;&gt;"Serviço",AND(AUTOEVENTO="Manual",$M252=$A$15)),0,
         IF(OFFSET(CRONOPLE!$F$15,$M252-$A$15,BJ$13)=0,10^12,OFFSET(CRONOPLE!$F$15,$M252-$A$15,BJ$13)))</f>
        <v>8</v>
      </c>
      <c r="BK252" s="171">
        <f ca="1">IF(OR($D252&lt;&gt;"Serviço",AND(AUTOEVENTO="Manual",$M252=$A$15)),0,
         IF(OFFSET(CRONOPLE!$F$15,$M252-$A$15,BK$13)=0,10^12,OFFSET(CRONOPLE!$F$15,$M252-$A$15,BK$13)))</f>
        <v>9</v>
      </c>
      <c r="BL252" s="171">
        <f ca="1">IF(OR($D252&lt;&gt;"Serviço",AND(AUTOEVENTO="Manual",$M252=$A$15)),0,
         IF(OFFSET(CRONOPLE!$F$15,$M252-$A$15,BL$13)=0,10^12,OFFSET(CRONOPLE!$F$15,$M252-$A$15,BL$13)))</f>
        <v>1000000000000</v>
      </c>
      <c r="BM252" s="171">
        <f ca="1">IF(OR($D252&lt;&gt;"Serviço",AND(AUTOEVENTO="Manual",$M252=$A$15)),0,
         IF(OFFSET(CRONOPLE!$F$15,$M252-$A$15,BM$13)=0,10^12,OFFSET(CRONOPLE!$F$15,$M252-$A$15,BM$13)))</f>
        <v>1000000000000</v>
      </c>
      <c r="BN252" s="171">
        <f ca="1">IF(OR($D252&lt;&gt;"Serviço",AND(AUTOEVENTO="Manual",$M252=$A$15)),0,
         IF(OFFSET(CRONOPLE!$F$15,$M252-$A$15,BN$13)=0,10^12,OFFSET(CRONOPLE!$F$15,$M252-$A$15,BN$13)))</f>
        <v>1000000000000</v>
      </c>
      <c r="BO252" s="171">
        <f ca="1">IF(OR($D252&lt;&gt;"Serviço",AND(AUTOEVENTO="Manual",$M252=$A$15)),0,
         IF(OFFSET(CRONOPLE!$F$15,$M252-$A$15,BO$13)=0,10^12,OFFSET(CRONOPLE!$F$15,$M252-$A$15,BO$13)))</f>
        <v>1000000000000</v>
      </c>
      <c r="BP252" s="171">
        <f ca="1">IF(OR($D252&lt;&gt;"Serviço",AND(AUTOEVENTO="Manual",$M252=$A$15)),0,
         IF(OFFSET(CRONOPLE!$F$15,$M252-$A$15,BP$13)=0,10^12,OFFSET(CRONOPLE!$F$15,$M252-$A$15,BP$13)))</f>
        <v>1000000000000</v>
      </c>
      <c r="BQ252" s="171">
        <f ca="1">IF(OR($D252&lt;&gt;"Serviço",AND(AUTOEVENTO="Manual",$M252=$A$15)),0,
         IF(OFFSET(CRONOPLE!$F$15,$M252-$A$15,BQ$13)=0,10^12,OFFSET(CRONOPLE!$F$15,$M252-$A$15,BQ$13)))</f>
        <v>1000000000000</v>
      </c>
      <c r="BR252" s="171">
        <f ca="1">IF(OR($D252&lt;&gt;"Serviço",AND(AUTOEVENTO="Manual",$M252=$A$15)),0,
         IF(OFFSET(CRONOPLE!$F$15,$M252-$A$15,BR$13)=0,10^12,OFFSET(CRONOPLE!$F$15,$M252-$A$15,BR$13)))</f>
        <v>1000000000000</v>
      </c>
      <c r="BS252" s="171">
        <f ca="1">IF(OR($D252&lt;&gt;"Serviço",AND(AUTOEVENTO="Manual",$M252=$A$15)),0,
         IF(OFFSET(CRONOPLE!$F$15,$M252-$A$15,BS$13)=0,10^12,OFFSET(CRONOPLE!$F$15,$M252-$A$15,BS$13)))</f>
        <v>1000000000000</v>
      </c>
      <c r="BT252" s="171">
        <f ca="1">IF(OR($D252&lt;&gt;"Serviço",AND(AUTOEVENTO="Manual",$M252=$A$15)),0,
         IF(OFFSET(CRONOPLE!$F$15,$M252-$A$15,BT$13)=0,10^12,OFFSET(CRONOPLE!$F$15,$M252-$A$15,BT$13)))</f>
        <v>1000000000000</v>
      </c>
      <c r="BV252" s="172">
        <f ca="1">IF(OR($D252&lt;&gt;"Serviço",AND(AUTOEVENTO="Manual",$M252=$A$15),$M252&gt;(ROW(PLE.lastrow)-ROW(PLE.firstrow))),0,
           IF(OFFSET(PLE!$G$15,$M252-$A$15,BV$13)="",10^12,OFFSET(PLE!$G$15,$M252-$A$15,BV$13)))</f>
        <v>1000000000000</v>
      </c>
      <c r="BW252" s="172">
        <f ca="1">IF(OR($D252&lt;&gt;"Serviço",AND(AUTOEVENTO="Manual",$M252=$A$15),$M252&gt;(ROW(PLE.lastrow)-ROW(PLE.firstrow))),0,
           IF(OFFSET(PLE!$G$15,$M252-$A$15,BW$13)="",10^12,OFFSET(PLE!$G$15,$M252-$A$15,BW$13)))</f>
        <v>1000000000000</v>
      </c>
      <c r="BX252" s="172">
        <f ca="1">IF(OR($D252&lt;&gt;"Serviço",AND(AUTOEVENTO="Manual",$M252=$A$15),$M252&gt;(ROW(PLE.lastrow)-ROW(PLE.firstrow))),0,
           IF(OFFSET(PLE!$G$15,$M252-$A$15,BX$13)="",10^12,OFFSET(PLE!$G$15,$M252-$A$15,BX$13)))</f>
        <v>1000000000000</v>
      </c>
      <c r="BY252" s="172">
        <f ca="1">IF(OR($D252&lt;&gt;"Serviço",AND(AUTOEVENTO="Manual",$M252=$A$15),$M252&gt;(ROW(PLE.lastrow)-ROW(PLE.firstrow))),0,
           IF(OFFSET(PLE!$G$15,$M252-$A$15,BY$13)="",10^12,OFFSET(PLE!$G$15,$M252-$A$15,BY$13)))</f>
        <v>1000000000000</v>
      </c>
      <c r="BZ252" s="172">
        <f ca="1">IF(OR($D252&lt;&gt;"Serviço",AND(AUTOEVENTO="Manual",$M252=$A$15),$M252&gt;(ROW(PLE.lastrow)-ROW(PLE.firstrow))),0,
           IF(OFFSET(PLE!$G$15,$M252-$A$15,BZ$13)="",10^12,OFFSET(PLE!$G$15,$M252-$A$15,BZ$13)))</f>
        <v>1000000000000</v>
      </c>
      <c r="CA252" s="172">
        <f ca="1">IF(OR($D252&lt;&gt;"Serviço",AND(AUTOEVENTO="Manual",$M252=$A$15),$M252&gt;(ROW(PLE.lastrow)-ROW(PLE.firstrow))),0,
           IF(OFFSET(PLE!$G$15,$M252-$A$15,CA$13)="",10^12,OFFSET(PLE!$G$15,$M252-$A$15,CA$13)))</f>
        <v>1000000000000</v>
      </c>
      <c r="CB252" s="172">
        <f ca="1">IF(OR($D252&lt;&gt;"Serviço",AND(AUTOEVENTO="Manual",$M252=$A$15),$M252&gt;(ROW(PLE.lastrow)-ROW(PLE.firstrow))),0,
           IF(OFFSET(PLE!$G$15,$M252-$A$15,CB$13)="",10^12,OFFSET(PLE!$G$15,$M252-$A$15,CB$13)))</f>
        <v>1000000000000</v>
      </c>
      <c r="CC252" s="172">
        <f ca="1">IF(OR($D252&lt;&gt;"Serviço",AND(AUTOEVENTO="Manual",$M252=$A$15),$M252&gt;(ROW(PLE.lastrow)-ROW(PLE.firstrow))),0,
           IF(OFFSET(PLE!$G$15,$M252-$A$15,CC$13)="",10^12,OFFSET(PLE!$G$15,$M252-$A$15,CC$13)))</f>
        <v>1000000000000</v>
      </c>
      <c r="CD252" s="172">
        <f ca="1">IF(OR($D252&lt;&gt;"Serviço",AND(AUTOEVENTO="Manual",$M252=$A$15),$M252&gt;(ROW(PLE.lastrow)-ROW(PLE.firstrow))),0,
           IF(OFFSET(PLE!$G$15,$M252-$A$15,CD$13)="",10^12,OFFSET(PLE!$G$15,$M252-$A$15,CD$13)))</f>
        <v>1000000000000</v>
      </c>
      <c r="CE252" s="172">
        <f ca="1">IF(OR($D252&lt;&gt;"Serviço",AND(AUTOEVENTO="Manual",$M252=$A$15),$M252&gt;(ROW(PLE.lastrow)-ROW(PLE.firstrow))),0,
           IF(OFFSET(PLE!$G$15,$M252-$A$15,CE$13)="",10^12,OFFSET(PLE!$G$15,$M252-$A$15,CE$13)))</f>
        <v>1000000000000</v>
      </c>
      <c r="CF252" s="172">
        <f ca="1">IF(OR($D252&lt;&gt;"Serviço",AND(AUTOEVENTO="Manual",$M252=$A$15),$M252&gt;(ROW(PLE.lastrow)-ROW(PLE.firstrow))),0,
           IF(OFFSET(PLE!$G$15,$M252-$A$15,CF$13)="",10^12,OFFSET(PLE!$G$15,$M252-$A$15,CF$13)))</f>
        <v>1000000000000</v>
      </c>
      <c r="CG252" s="172">
        <f ca="1">IF(OR($D252&lt;&gt;"Serviço",AND(AUTOEVENTO="Manual",$M252=$A$15),$M252&gt;(ROW(PLE.lastrow)-ROW(PLE.firstrow))),0,
           IF(OFFSET(PLE!$G$15,$M252-$A$15,CG$13)="",10^12,OFFSET(PLE!$G$15,$M252-$A$15,CG$13)))</f>
        <v>1000000000000</v>
      </c>
      <c r="CH252" s="172">
        <f ca="1">IF(OR($D252&lt;&gt;"Serviço",AND(AUTOEVENTO="Manual",$M252=$A$15),$M252&gt;(ROW(PLE.lastrow)-ROW(PLE.firstrow))),0,
           IF(OFFSET(PLE!$G$15,$M252-$A$15,CH$13)="",10^12,OFFSET(PLE!$G$15,$M252-$A$15,CH$13)))</f>
        <v>1000000000000</v>
      </c>
      <c r="CI252" s="172">
        <f ca="1">IF(OR($D252&lt;&gt;"Serviço",AND(AUTOEVENTO="Manual",$M252=$A$15),$M252&gt;(ROW(PLE.lastrow)-ROW(PLE.firstrow))),0,
           IF(OFFSET(PLE!$G$15,$M252-$A$15,CI$13)="",10^12,OFFSET(PLE!$G$15,$M252-$A$15,CI$13)))</f>
        <v>1000000000000</v>
      </c>
      <c r="CJ252" s="172">
        <f ca="1">IF(OR($D252&lt;&gt;"Serviço",AND(AUTOEVENTO="Manual",$M252=$A$15),$M252&gt;(ROW(PLE.lastrow)-ROW(PLE.firstrow))),0,
           IF(OFFSET(PLE!$G$15,$M252-$A$15,CJ$13)="",10^12,OFFSET(PLE!$G$15,$M252-$A$15,CJ$13)))</f>
        <v>1000000000000</v>
      </c>
      <c r="CK252" s="172">
        <f ca="1">IF(OR($D252&lt;&gt;"Serviço",AND(AUTOEVENTO="Manual",$M252=$A$15),$M252&gt;(ROW(PLE.lastrow)-ROW(PLE.firstrow))),0,
           IF(OFFSET(PLE!$G$15,$M252-$A$15,CK$13)="",10^12,OFFSET(PLE!$G$15,$M252-$A$15,CK$13)))</f>
        <v>1000000000000</v>
      </c>
      <c r="CL252" s="172">
        <f ca="1">IF(OR($D252&lt;&gt;"Serviço",AND(AUTOEVENTO="Manual",$M252=$A$15),$M252&gt;(ROW(PLE.lastrow)-ROW(PLE.firstrow))),0,
           IF(OFFSET(PLE!$G$15,$M252-$A$15,CL$13)="",10^12,OFFSET(PLE!$G$15,$M252-$A$15,CL$13)))</f>
        <v>1000000000000</v>
      </c>
      <c r="CM252" s="172">
        <f ca="1">IF(OR($D252&lt;&gt;"Serviço",AND(AUTOEVENTO="Manual",$M252=$A$15),$M252&gt;(ROW(PLE.lastrow)-ROW(PLE.firstrow))),0,
           IF(OFFSET(PLE!$G$15,$M252-$A$15,CM$13)="",10^12,OFFSET(PLE!$G$15,$M252-$A$15,CM$13)))</f>
        <v>1000000000000</v>
      </c>
    </row>
    <row r="253" spans="1:91" ht="51" x14ac:dyDescent="0.2">
      <c r="A253" s="7">
        <f t="shared" ca="1" si="13"/>
        <v>6</v>
      </c>
      <c r="B253" s="7" t="str">
        <f ca="1">OFFSET(ORÇAMENTO!C$15,ROW(B253)-ROW(B$15),0)</f>
        <v>S</v>
      </c>
      <c r="C253" s="7" t="str">
        <f ca="1">OFFSET(ORÇAMENTO!L$15,ROW(C253)-ROW(C$15),0)</f>
        <v>F</v>
      </c>
      <c r="D253" s="116" t="str">
        <f ca="1">OFFSET(ORÇAMENTO!N$15,ROW(D253)-ROW(D$15),0)</f>
        <v>Serviço</v>
      </c>
      <c r="E253" s="117" t="str">
        <f ca="1">OFFSET(ORÇAMENTO!O$15,ROW(E253)-ROW(E$15),0)</f>
        <v>1.7.1.1.7.</v>
      </c>
      <c r="F253" s="163" t="str">
        <f ca="1">OFFSET(ORÇAMENTO!R$15,ROW(F253)-ROW(F$15),0)</f>
        <v>CURVA 90 FLANGEADA FoFo - DN 350 MM</v>
      </c>
      <c r="G253" s="164" t="str">
        <f ca="1">IF($D253&lt;&gt;"Serviço","",OFFSET(ORÇAMENTO!S$15,ROW(G253)-ROW(G$15),0))</f>
        <v>UN</v>
      </c>
      <c r="H253" s="122" cm="1">
        <f t="array" aca="1" ref="H253" ca="1">IF($D253&lt;&gt;"Serviço",0,IF(ACOMPANHAMENTO="BM",ROUND(OFFSET(ORÇAMENTO!AJ$15,ROW(H253)-ROW(H$15),0),15-13*ORÇAMENTO!$AF$7),SUMPRODUCT(($Q$1:$AI$1=1)*ROUND($Q253:$AI253,15-13*ORÇAMENTO!$AF$7))))</f>
        <v>1</v>
      </c>
      <c r="I253" s="468" t="s">
        <v>1346</v>
      </c>
      <c r="J253" s="640" t="str" cm="1">
        <f t="array" aca="1" ref="J253" ca="1">IF(OR(B253&lt;&gt;"S",CÁLCULO.FrentesPreenchidas=0),"",IF(AND(ACOMPANHAMENTO="PLE",AUTOEVENTO="Manual",OR(H253&gt;0,ORÇAMENTO!AC253="QUANT."),OR(K253="",M253=0,N253="")),"►E",IF(AND(ACOMPANHAMENTO="PLE",ORÇAMENTO!AC253="QUANT."),"►Q",IF(AND(ACOMPANHAMENTO="PLE",H253&lt;&gt;SUMPRODUCT(($Q$1:$AI$1=1)*ROUND(Q253:AI253,15))),"►S",IF(AND(COUNTIF($P$11:$AI$11,"▼")=0,H253&gt;0,I253=""),"◄M","")))))</f>
        <v/>
      </c>
      <c r="K253" s="641" t="s">
        <v>1385</v>
      </c>
      <c r="L253" s="165" t="s">
        <v>764</v>
      </c>
      <c r="M253" s="166">
        <f ca="1">IF($D253&lt;&gt;"Serviço","",
          IF(AUTOEVENTO="manual",$A253,
                IF(ISERROR(MATCH($A253,$A$15:OFFSET($A253,-1,0),0)),MAX($M$15:OFFSET(M253,-1,0))+1,
                      INDEX($M$15:OFFSET(M253,-1,0),MATCH($A253,$A$15:OFFSET($A253,-1,0),0)))))</f>
        <v>6</v>
      </c>
      <c r="N253" s="167" t="str">
        <f ca="1">IF($D253&lt;&gt;"Serviço","",
         IF(AUTOEVENTO="Manual",
                IF($A253=0,"&lt;-- defina o número do agrupador",
                       OFFSET(EVENTOS!$D$15,$A253-$A$15,0)),
                OFFSET($F$15,$A253,0)))</f>
        <v>Saneamento</v>
      </c>
      <c r="O253" s="168"/>
      <c r="Q253" s="168"/>
      <c r="R253" s="169"/>
      <c r="S253" s="169">
        <v>1</v>
      </c>
      <c r="T253" s="169"/>
      <c r="U253" s="169"/>
      <c r="V253" s="169"/>
      <c r="W253" s="169"/>
      <c r="X253" s="169"/>
      <c r="Y253" s="169"/>
      <c r="Z253" s="170"/>
      <c r="AA253" s="169"/>
      <c r="AB253" s="169"/>
      <c r="AC253" s="169"/>
      <c r="AD253" s="169"/>
      <c r="AE253" s="169"/>
      <c r="AF253" s="169"/>
      <c r="AG253" s="169"/>
      <c r="AH253" s="170"/>
      <c r="AJ253" s="453">
        <f ca="1">IF(AND($D253="Serviço",AJ$12&lt;&gt;0,$H253&gt;0,OR(AUTOEVENTO&lt;&gt;"manual",$M253&lt;&gt;$A$15)),
        IF(Import.TipoArredondamento&lt;&gt;"TransfereGOV",
              ROUND(OFFSET($P253,0,AJ$13),15-13*ORÇAMENTO!$AF$7)/$H253*OFFSET(ORÇAMENTO!$X$15,ROW(AJ253)-ROW(AJ$15),0),
              ROUND(ROUND(OFFSET($P253,0,AJ$13),15-13*ORÇAMENTO!$AF$7)*OFFSET(ORÇAMENTO!$W$15,ROW(AJ253)-ROW(AJ$15),0),15-13*ORÇAMENTO!$AF$11)),
         0)</f>
        <v>0</v>
      </c>
      <c r="AK253" s="453">
        <f ca="1">IF(AND($D253="Serviço",AK$12&lt;&gt;0,$H253&gt;0,OR(AUTOEVENTO&lt;&gt;"manual",$M253&lt;&gt;$A$15)),
        IF(Import.TipoArredondamento&lt;&gt;"TransfereGOV",
              ROUND(OFFSET($P253,0,AK$13),15-13*ORÇAMENTO!$AF$7)/$H253*OFFSET(ORÇAMENTO!$X$15,ROW(AK253)-ROW(AK$15),0),
              ROUND(ROUND(OFFSET($P253,0,AK$13),15-13*ORÇAMENTO!$AF$7)*OFFSET(ORÇAMENTO!$W$15,ROW(AK253)-ROW(AK$15),0),15-13*ORÇAMENTO!$AF$11)),
         0)</f>
        <v>0</v>
      </c>
      <c r="AL253" s="453">
        <f ca="1">IF(AND($D253="Serviço",AL$12&lt;&gt;0,$H253&gt;0,OR(AUTOEVENTO&lt;&gt;"manual",$M253&lt;&gt;$A$15)),
        IF(Import.TipoArredondamento&lt;&gt;"TransfereGOV",
              ROUND(OFFSET($P253,0,AL$13),15-13*ORÇAMENTO!$AF$7)/$H253*OFFSET(ORÇAMENTO!$X$15,ROW(AL253)-ROW(AL$15),0),
              ROUND(ROUND(OFFSET($P253,0,AL$13),15-13*ORÇAMENTO!$AF$7)*OFFSET(ORÇAMENTO!$W$15,ROW(AL253)-ROW(AL$15),0),15-13*ORÇAMENTO!$AF$11)),
         0)</f>
        <v>0</v>
      </c>
      <c r="AM253" s="453">
        <f ca="1">IF(AND($D253="Serviço",AM$12&lt;&gt;0,$H253&gt;0,OR(AUTOEVENTO&lt;&gt;"manual",$M253&lt;&gt;$A$15)),
        IF(Import.TipoArredondamento&lt;&gt;"TransfereGOV",
              ROUND(OFFSET($P253,0,AM$13),15-13*ORÇAMENTO!$AF$7)/$H253*OFFSET(ORÇAMENTO!$X$15,ROW(AM253)-ROW(AM$15),0),
              ROUND(ROUND(OFFSET($P253,0,AM$13),15-13*ORÇAMENTO!$AF$7)*OFFSET(ORÇAMENTO!$W$15,ROW(AM253)-ROW(AM$15),0),15-13*ORÇAMENTO!$AF$11)),
         0)</f>
        <v>0</v>
      </c>
      <c r="AN253" s="453">
        <f ca="1">IF(AND($D253="Serviço",AN$12&lt;&gt;0,$H253&gt;0,OR(AUTOEVENTO&lt;&gt;"manual",$M253&lt;&gt;$A$15)),
        IF(Import.TipoArredondamento&lt;&gt;"TransfereGOV",
              ROUND(OFFSET($P253,0,AN$13),15-13*ORÇAMENTO!$AF$7)/$H253*OFFSET(ORÇAMENTO!$X$15,ROW(AN253)-ROW(AN$15),0),
              ROUND(ROUND(OFFSET($P253,0,AN$13),15-13*ORÇAMENTO!$AF$7)*OFFSET(ORÇAMENTO!$W$15,ROW(AN253)-ROW(AN$15),0),15-13*ORÇAMENTO!$AF$11)),
         0)</f>
        <v>0</v>
      </c>
      <c r="AO253" s="453">
        <f ca="1">IF(AND($D253="Serviço",AO$12&lt;&gt;0,$H253&gt;0,OR(AUTOEVENTO&lt;&gt;"manual",$M253&lt;&gt;$A$15)),
        IF(Import.TipoArredondamento&lt;&gt;"TransfereGOV",
              ROUND(OFFSET($P253,0,AO$13),15-13*ORÇAMENTO!$AF$7)/$H253*OFFSET(ORÇAMENTO!$X$15,ROW(AO253)-ROW(AO$15),0),
              ROUND(ROUND(OFFSET($P253,0,AO$13),15-13*ORÇAMENTO!$AF$7)*OFFSET(ORÇAMENTO!$W$15,ROW(AO253)-ROW(AO$15),0),15-13*ORÇAMENTO!$AF$11)),
         0)</f>
        <v>0</v>
      </c>
      <c r="AP253" s="453">
        <f ca="1">IF(AND($D253="Serviço",AP$12&lt;&gt;0,$H253&gt;0,OR(AUTOEVENTO&lt;&gt;"manual",$M253&lt;&gt;$A$15)),
        IF(Import.TipoArredondamento&lt;&gt;"TransfereGOV",
              ROUND(OFFSET($P253,0,AP$13),15-13*ORÇAMENTO!$AF$7)/$H253*OFFSET(ORÇAMENTO!$X$15,ROW(AP253)-ROW(AP$15),0),
              ROUND(ROUND(OFFSET($P253,0,AP$13),15-13*ORÇAMENTO!$AF$7)*OFFSET(ORÇAMENTO!$W$15,ROW(AP253)-ROW(AP$15),0),15-13*ORÇAMENTO!$AF$11)),
         0)</f>
        <v>0</v>
      </c>
      <c r="AQ253" s="453">
        <f ca="1">IF(AND($D253="Serviço",AQ$12&lt;&gt;0,$H253&gt;0,OR(AUTOEVENTO&lt;&gt;"manual",$M253&lt;&gt;$A$15)),
        IF(Import.TipoArredondamento&lt;&gt;"TransfereGOV",
              ROUND(OFFSET($P253,0,AQ$13),15-13*ORÇAMENTO!$AF$7)/$H253*OFFSET(ORÇAMENTO!$X$15,ROW(AQ253)-ROW(AQ$15),0),
              ROUND(ROUND(OFFSET($P253,0,AQ$13),15-13*ORÇAMENTO!$AF$7)*OFFSET(ORÇAMENTO!$W$15,ROW(AQ253)-ROW(AQ$15),0),15-13*ORÇAMENTO!$AF$11)),
         0)</f>
        <v>0</v>
      </c>
      <c r="AR253" s="453">
        <f ca="1">IF(AND($D253="Serviço",AR$12&lt;&gt;0,$H253&gt;0,OR(AUTOEVENTO&lt;&gt;"manual",$M253&lt;&gt;$A$15)),
        IF(Import.TipoArredondamento&lt;&gt;"TransfereGOV",
              ROUND(OFFSET($P253,0,AR$13),15-13*ORÇAMENTO!$AF$7)/$H253*OFFSET(ORÇAMENTO!$X$15,ROW(AR253)-ROW(AR$15),0),
              ROUND(ROUND(OFFSET($P253,0,AR$13),15-13*ORÇAMENTO!$AF$7)*OFFSET(ORÇAMENTO!$W$15,ROW(AR253)-ROW(AR$15),0),15-13*ORÇAMENTO!$AF$11)),
         0)</f>
        <v>0</v>
      </c>
      <c r="AS253" s="453">
        <f ca="1">IF(AND($D253="Serviço",AS$12&lt;&gt;0,$H253&gt;0,OR(AUTOEVENTO&lt;&gt;"manual",$M253&lt;&gt;$A$15)),
        IF(Import.TipoArredondamento&lt;&gt;"TransfereGOV",
              ROUND(OFFSET($P253,0,AS$13),15-13*ORÇAMENTO!$AF$7)/$H253*OFFSET(ORÇAMENTO!$X$15,ROW(AS253)-ROW(AS$15),0),
              ROUND(ROUND(OFFSET($P253,0,AS$13),15-13*ORÇAMENTO!$AF$7)*OFFSET(ORÇAMENTO!$W$15,ROW(AS253)-ROW(AS$15),0),15-13*ORÇAMENTO!$AF$11)),
         0)</f>
        <v>0</v>
      </c>
      <c r="AT253" s="453">
        <f ca="1">IF(AND($D253="Serviço",AT$12&lt;&gt;0,$H253&gt;0,OR(AUTOEVENTO&lt;&gt;"manual",$M253&lt;&gt;$A$15)),
        IF(Import.TipoArredondamento&lt;&gt;"TransfereGOV",
              ROUND(OFFSET($P253,0,AT$13),15-13*ORÇAMENTO!$AF$7)/$H253*OFFSET(ORÇAMENTO!$X$15,ROW(AT253)-ROW(AT$15),0),
              ROUND(ROUND(OFFSET($P253,0,AT$13),15-13*ORÇAMENTO!$AF$7)*OFFSET(ORÇAMENTO!$W$15,ROW(AT253)-ROW(AT$15),0),15-13*ORÇAMENTO!$AF$11)),
         0)</f>
        <v>0</v>
      </c>
      <c r="AU253" s="453">
        <f ca="1">IF(AND($D253="Serviço",AU$12&lt;&gt;0,$H253&gt;0,OR(AUTOEVENTO&lt;&gt;"manual",$M253&lt;&gt;$A$15)),
        IF(Import.TipoArredondamento&lt;&gt;"TransfereGOV",
              ROUND(OFFSET($P253,0,AU$13),15-13*ORÇAMENTO!$AF$7)/$H253*OFFSET(ORÇAMENTO!$X$15,ROW(AU253)-ROW(AU$15),0),
              ROUND(ROUND(OFFSET($P253,0,AU$13),15-13*ORÇAMENTO!$AF$7)*OFFSET(ORÇAMENTO!$W$15,ROW(AU253)-ROW(AU$15),0),15-13*ORÇAMENTO!$AF$11)),
         0)</f>
        <v>0</v>
      </c>
      <c r="AV253" s="453">
        <f ca="1">IF(AND($D253="Serviço",AV$12&lt;&gt;0,$H253&gt;0,OR(AUTOEVENTO&lt;&gt;"manual",$M253&lt;&gt;$A$15)),
        IF(Import.TipoArredondamento&lt;&gt;"TransfereGOV",
              ROUND(OFFSET($P253,0,AV$13),15-13*ORÇAMENTO!$AF$7)/$H253*OFFSET(ORÇAMENTO!$X$15,ROW(AV253)-ROW(AV$15),0),
              ROUND(ROUND(OFFSET($P253,0,AV$13),15-13*ORÇAMENTO!$AF$7)*OFFSET(ORÇAMENTO!$W$15,ROW(AV253)-ROW(AV$15),0),15-13*ORÇAMENTO!$AF$11)),
         0)</f>
        <v>0</v>
      </c>
      <c r="AW253" s="453">
        <f ca="1">IF(AND($D253="Serviço",AW$12&lt;&gt;0,$H253&gt;0,OR(AUTOEVENTO&lt;&gt;"manual",$M253&lt;&gt;$A$15)),
        IF(Import.TipoArredondamento&lt;&gt;"TransfereGOV",
              ROUND(OFFSET($P253,0,AW$13),15-13*ORÇAMENTO!$AF$7)/$H253*OFFSET(ORÇAMENTO!$X$15,ROW(AW253)-ROW(AW$15),0),
              ROUND(ROUND(OFFSET($P253,0,AW$13),15-13*ORÇAMENTO!$AF$7)*OFFSET(ORÇAMENTO!$W$15,ROW(AW253)-ROW(AW$15),0),15-13*ORÇAMENTO!$AF$11)),
         0)</f>
        <v>0</v>
      </c>
      <c r="AX253" s="453">
        <f ca="1">IF(AND($D253="Serviço",AX$12&lt;&gt;0,$H253&gt;0,OR(AUTOEVENTO&lt;&gt;"manual",$M253&lt;&gt;$A$15)),
        IF(Import.TipoArredondamento&lt;&gt;"TransfereGOV",
              ROUND(OFFSET($P253,0,AX$13),15-13*ORÇAMENTO!$AF$7)/$H253*OFFSET(ORÇAMENTO!$X$15,ROW(AX253)-ROW(AX$15),0),
              ROUND(ROUND(OFFSET($P253,0,AX$13),15-13*ORÇAMENTO!$AF$7)*OFFSET(ORÇAMENTO!$W$15,ROW(AX253)-ROW(AX$15),0),15-13*ORÇAMENTO!$AF$11)),
         0)</f>
        <v>0</v>
      </c>
      <c r="AY253" s="453">
        <f ca="1">IF(AND($D253="Serviço",AY$12&lt;&gt;0,$H253&gt;0,OR(AUTOEVENTO&lt;&gt;"manual",$M253&lt;&gt;$A$15)),
        IF(Import.TipoArredondamento&lt;&gt;"TransfereGOV",
              ROUND(OFFSET($P253,0,AY$13),15-13*ORÇAMENTO!$AF$7)/$H253*OFFSET(ORÇAMENTO!$X$15,ROW(AY253)-ROW(AY$15),0),
              ROUND(ROUND(OFFSET($P253,0,AY$13),15-13*ORÇAMENTO!$AF$7)*OFFSET(ORÇAMENTO!$W$15,ROW(AY253)-ROW(AY$15),0),15-13*ORÇAMENTO!$AF$11)),
         0)</f>
        <v>0</v>
      </c>
      <c r="AZ253" s="453">
        <f ca="1">IF(AND($D253="Serviço",AZ$12&lt;&gt;0,$H253&gt;0,OR(AUTOEVENTO&lt;&gt;"manual",$M253&lt;&gt;$A$15)),
        IF(Import.TipoArredondamento&lt;&gt;"TransfereGOV",
              ROUND(OFFSET($P253,0,AZ$13),15-13*ORÇAMENTO!$AF$7)/$H253*OFFSET(ORÇAMENTO!$X$15,ROW(AZ253)-ROW(AZ$15),0),
              ROUND(ROUND(OFFSET($P253,0,AZ$13),15-13*ORÇAMENTO!$AF$7)*OFFSET(ORÇAMENTO!$W$15,ROW(AZ253)-ROW(AZ$15),0),15-13*ORÇAMENTO!$AF$11)),
         0)</f>
        <v>0</v>
      </c>
      <c r="BA253" s="453">
        <f ca="1">IF(AND($D253="Serviço",BA$12&lt;&gt;0,$H253&gt;0,OR(AUTOEVENTO&lt;&gt;"manual",$M253&lt;&gt;$A$15)),
        IF(Import.TipoArredondamento&lt;&gt;"TransfereGOV",
              ROUND(OFFSET($P253,0,BA$13),15-13*ORÇAMENTO!$AF$7)/$H253*OFFSET(ORÇAMENTO!$X$15,ROW(BA253)-ROW(BA$15),0),
              ROUND(ROUND(OFFSET($P253,0,BA$13),15-13*ORÇAMENTO!$AF$7)*OFFSET(ORÇAMENTO!$W$15,ROW(BA253)-ROW(BA$15),0),15-13*ORÇAMENTO!$AF$11)),
         0)</f>
        <v>0</v>
      </c>
      <c r="BC253" s="171">
        <f ca="1">IF(OR($D253&lt;&gt;"Serviço",AND(AUTOEVENTO="Manual",$M253=$A$15)),0,
         IF(OFFSET(CRONOPLE!$F$15,$M253-$A$15,BC$13)=0,10^12,OFFSET(CRONOPLE!$F$15,$M253-$A$15,BC$13)))</f>
        <v>1</v>
      </c>
      <c r="BD253" s="171">
        <f ca="1">IF(OR($D253&lt;&gt;"Serviço",AND(AUTOEVENTO="Manual",$M253=$A$15)),0,
         IF(OFFSET(CRONOPLE!$F$15,$M253-$A$15,BD$13)=0,10^12,OFFSET(CRONOPLE!$F$15,$M253-$A$15,BD$13)))</f>
        <v>2</v>
      </c>
      <c r="BE253" s="171">
        <f ca="1">IF(OR($D253&lt;&gt;"Serviço",AND(AUTOEVENTO="Manual",$M253=$A$15)),0,
         IF(OFFSET(CRONOPLE!$F$15,$M253-$A$15,BE$13)=0,10^12,OFFSET(CRONOPLE!$F$15,$M253-$A$15,BE$13)))</f>
        <v>3</v>
      </c>
      <c r="BF253" s="171">
        <f ca="1">IF(OR($D253&lt;&gt;"Serviço",AND(AUTOEVENTO="Manual",$M253=$A$15)),0,
         IF(OFFSET(CRONOPLE!$F$15,$M253-$A$15,BF$13)=0,10^12,OFFSET(CRONOPLE!$F$15,$M253-$A$15,BF$13)))</f>
        <v>4</v>
      </c>
      <c r="BG253" s="171">
        <f ca="1">IF(OR($D253&lt;&gt;"Serviço",AND(AUTOEVENTO="Manual",$M253=$A$15)),0,
         IF(OFFSET(CRONOPLE!$F$15,$M253-$A$15,BG$13)=0,10^12,OFFSET(CRONOPLE!$F$15,$M253-$A$15,BG$13)))</f>
        <v>5</v>
      </c>
      <c r="BH253" s="171">
        <f ca="1">IF(OR($D253&lt;&gt;"Serviço",AND(AUTOEVENTO="Manual",$M253=$A$15)),0,
         IF(OFFSET(CRONOPLE!$F$15,$M253-$A$15,BH$13)=0,10^12,OFFSET(CRONOPLE!$F$15,$M253-$A$15,BH$13)))</f>
        <v>6</v>
      </c>
      <c r="BI253" s="171">
        <f ca="1">IF(OR($D253&lt;&gt;"Serviço",AND(AUTOEVENTO="Manual",$M253=$A$15)),0,
         IF(OFFSET(CRONOPLE!$F$15,$M253-$A$15,BI$13)=0,10^12,OFFSET(CRONOPLE!$F$15,$M253-$A$15,BI$13)))</f>
        <v>7</v>
      </c>
      <c r="BJ253" s="171">
        <f ca="1">IF(OR($D253&lt;&gt;"Serviço",AND(AUTOEVENTO="Manual",$M253=$A$15)),0,
         IF(OFFSET(CRONOPLE!$F$15,$M253-$A$15,BJ$13)=0,10^12,OFFSET(CRONOPLE!$F$15,$M253-$A$15,BJ$13)))</f>
        <v>8</v>
      </c>
      <c r="BK253" s="171">
        <f ca="1">IF(OR($D253&lt;&gt;"Serviço",AND(AUTOEVENTO="Manual",$M253=$A$15)),0,
         IF(OFFSET(CRONOPLE!$F$15,$M253-$A$15,BK$13)=0,10^12,OFFSET(CRONOPLE!$F$15,$M253-$A$15,BK$13)))</f>
        <v>9</v>
      </c>
      <c r="BL253" s="171">
        <f ca="1">IF(OR($D253&lt;&gt;"Serviço",AND(AUTOEVENTO="Manual",$M253=$A$15)),0,
         IF(OFFSET(CRONOPLE!$F$15,$M253-$A$15,BL$13)=0,10^12,OFFSET(CRONOPLE!$F$15,$M253-$A$15,BL$13)))</f>
        <v>1000000000000</v>
      </c>
      <c r="BM253" s="171">
        <f ca="1">IF(OR($D253&lt;&gt;"Serviço",AND(AUTOEVENTO="Manual",$M253=$A$15)),0,
         IF(OFFSET(CRONOPLE!$F$15,$M253-$A$15,BM$13)=0,10^12,OFFSET(CRONOPLE!$F$15,$M253-$A$15,BM$13)))</f>
        <v>1000000000000</v>
      </c>
      <c r="BN253" s="171">
        <f ca="1">IF(OR($D253&lt;&gt;"Serviço",AND(AUTOEVENTO="Manual",$M253=$A$15)),0,
         IF(OFFSET(CRONOPLE!$F$15,$M253-$A$15,BN$13)=0,10^12,OFFSET(CRONOPLE!$F$15,$M253-$A$15,BN$13)))</f>
        <v>1000000000000</v>
      </c>
      <c r="BO253" s="171">
        <f ca="1">IF(OR($D253&lt;&gt;"Serviço",AND(AUTOEVENTO="Manual",$M253=$A$15)),0,
         IF(OFFSET(CRONOPLE!$F$15,$M253-$A$15,BO$13)=0,10^12,OFFSET(CRONOPLE!$F$15,$M253-$A$15,BO$13)))</f>
        <v>1000000000000</v>
      </c>
      <c r="BP253" s="171">
        <f ca="1">IF(OR($D253&lt;&gt;"Serviço",AND(AUTOEVENTO="Manual",$M253=$A$15)),0,
         IF(OFFSET(CRONOPLE!$F$15,$M253-$A$15,BP$13)=0,10^12,OFFSET(CRONOPLE!$F$15,$M253-$A$15,BP$13)))</f>
        <v>1000000000000</v>
      </c>
      <c r="BQ253" s="171">
        <f ca="1">IF(OR($D253&lt;&gt;"Serviço",AND(AUTOEVENTO="Manual",$M253=$A$15)),0,
         IF(OFFSET(CRONOPLE!$F$15,$M253-$A$15,BQ$13)=0,10^12,OFFSET(CRONOPLE!$F$15,$M253-$A$15,BQ$13)))</f>
        <v>1000000000000</v>
      </c>
      <c r="BR253" s="171">
        <f ca="1">IF(OR($D253&lt;&gt;"Serviço",AND(AUTOEVENTO="Manual",$M253=$A$15)),0,
         IF(OFFSET(CRONOPLE!$F$15,$M253-$A$15,BR$13)=0,10^12,OFFSET(CRONOPLE!$F$15,$M253-$A$15,BR$13)))</f>
        <v>1000000000000</v>
      </c>
      <c r="BS253" s="171">
        <f ca="1">IF(OR($D253&lt;&gt;"Serviço",AND(AUTOEVENTO="Manual",$M253=$A$15)),0,
         IF(OFFSET(CRONOPLE!$F$15,$M253-$A$15,BS$13)=0,10^12,OFFSET(CRONOPLE!$F$15,$M253-$A$15,BS$13)))</f>
        <v>1000000000000</v>
      </c>
      <c r="BT253" s="171">
        <f ca="1">IF(OR($D253&lt;&gt;"Serviço",AND(AUTOEVENTO="Manual",$M253=$A$15)),0,
         IF(OFFSET(CRONOPLE!$F$15,$M253-$A$15,BT$13)=0,10^12,OFFSET(CRONOPLE!$F$15,$M253-$A$15,BT$13)))</f>
        <v>1000000000000</v>
      </c>
      <c r="BV253" s="172">
        <f ca="1">IF(OR($D253&lt;&gt;"Serviço",AND(AUTOEVENTO="Manual",$M253=$A$15),$M253&gt;(ROW(PLE.lastrow)-ROW(PLE.firstrow))),0,
           IF(OFFSET(PLE!$G$15,$M253-$A$15,BV$13)="",10^12,OFFSET(PLE!$G$15,$M253-$A$15,BV$13)))</f>
        <v>1000000000000</v>
      </c>
      <c r="BW253" s="172">
        <f ca="1">IF(OR($D253&lt;&gt;"Serviço",AND(AUTOEVENTO="Manual",$M253=$A$15),$M253&gt;(ROW(PLE.lastrow)-ROW(PLE.firstrow))),0,
           IF(OFFSET(PLE!$G$15,$M253-$A$15,BW$13)="",10^12,OFFSET(PLE!$G$15,$M253-$A$15,BW$13)))</f>
        <v>1000000000000</v>
      </c>
      <c r="BX253" s="172">
        <f ca="1">IF(OR($D253&lt;&gt;"Serviço",AND(AUTOEVENTO="Manual",$M253=$A$15),$M253&gt;(ROW(PLE.lastrow)-ROW(PLE.firstrow))),0,
           IF(OFFSET(PLE!$G$15,$M253-$A$15,BX$13)="",10^12,OFFSET(PLE!$G$15,$M253-$A$15,BX$13)))</f>
        <v>1000000000000</v>
      </c>
      <c r="BY253" s="172">
        <f ca="1">IF(OR($D253&lt;&gt;"Serviço",AND(AUTOEVENTO="Manual",$M253=$A$15),$M253&gt;(ROW(PLE.lastrow)-ROW(PLE.firstrow))),0,
           IF(OFFSET(PLE!$G$15,$M253-$A$15,BY$13)="",10^12,OFFSET(PLE!$G$15,$M253-$A$15,BY$13)))</f>
        <v>1000000000000</v>
      </c>
      <c r="BZ253" s="172">
        <f ca="1">IF(OR($D253&lt;&gt;"Serviço",AND(AUTOEVENTO="Manual",$M253=$A$15),$M253&gt;(ROW(PLE.lastrow)-ROW(PLE.firstrow))),0,
           IF(OFFSET(PLE!$G$15,$M253-$A$15,BZ$13)="",10^12,OFFSET(PLE!$G$15,$M253-$A$15,BZ$13)))</f>
        <v>1000000000000</v>
      </c>
      <c r="CA253" s="172">
        <f ca="1">IF(OR($D253&lt;&gt;"Serviço",AND(AUTOEVENTO="Manual",$M253=$A$15),$M253&gt;(ROW(PLE.lastrow)-ROW(PLE.firstrow))),0,
           IF(OFFSET(PLE!$G$15,$M253-$A$15,CA$13)="",10^12,OFFSET(PLE!$G$15,$M253-$A$15,CA$13)))</f>
        <v>1000000000000</v>
      </c>
      <c r="CB253" s="172">
        <f ca="1">IF(OR($D253&lt;&gt;"Serviço",AND(AUTOEVENTO="Manual",$M253=$A$15),$M253&gt;(ROW(PLE.lastrow)-ROW(PLE.firstrow))),0,
           IF(OFFSET(PLE!$G$15,$M253-$A$15,CB$13)="",10^12,OFFSET(PLE!$G$15,$M253-$A$15,CB$13)))</f>
        <v>1000000000000</v>
      </c>
      <c r="CC253" s="172">
        <f ca="1">IF(OR($D253&lt;&gt;"Serviço",AND(AUTOEVENTO="Manual",$M253=$A$15),$M253&gt;(ROW(PLE.lastrow)-ROW(PLE.firstrow))),0,
           IF(OFFSET(PLE!$G$15,$M253-$A$15,CC$13)="",10^12,OFFSET(PLE!$G$15,$M253-$A$15,CC$13)))</f>
        <v>1000000000000</v>
      </c>
      <c r="CD253" s="172">
        <f ca="1">IF(OR($D253&lt;&gt;"Serviço",AND(AUTOEVENTO="Manual",$M253=$A$15),$M253&gt;(ROW(PLE.lastrow)-ROW(PLE.firstrow))),0,
           IF(OFFSET(PLE!$G$15,$M253-$A$15,CD$13)="",10^12,OFFSET(PLE!$G$15,$M253-$A$15,CD$13)))</f>
        <v>1000000000000</v>
      </c>
      <c r="CE253" s="172">
        <f ca="1">IF(OR($D253&lt;&gt;"Serviço",AND(AUTOEVENTO="Manual",$M253=$A$15),$M253&gt;(ROW(PLE.lastrow)-ROW(PLE.firstrow))),0,
           IF(OFFSET(PLE!$G$15,$M253-$A$15,CE$13)="",10^12,OFFSET(PLE!$G$15,$M253-$A$15,CE$13)))</f>
        <v>1000000000000</v>
      </c>
      <c r="CF253" s="172">
        <f ca="1">IF(OR($D253&lt;&gt;"Serviço",AND(AUTOEVENTO="Manual",$M253=$A$15),$M253&gt;(ROW(PLE.lastrow)-ROW(PLE.firstrow))),0,
           IF(OFFSET(PLE!$G$15,$M253-$A$15,CF$13)="",10^12,OFFSET(PLE!$G$15,$M253-$A$15,CF$13)))</f>
        <v>1000000000000</v>
      </c>
      <c r="CG253" s="172">
        <f ca="1">IF(OR($D253&lt;&gt;"Serviço",AND(AUTOEVENTO="Manual",$M253=$A$15),$M253&gt;(ROW(PLE.lastrow)-ROW(PLE.firstrow))),0,
           IF(OFFSET(PLE!$G$15,$M253-$A$15,CG$13)="",10^12,OFFSET(PLE!$G$15,$M253-$A$15,CG$13)))</f>
        <v>1000000000000</v>
      </c>
      <c r="CH253" s="172">
        <f ca="1">IF(OR($D253&lt;&gt;"Serviço",AND(AUTOEVENTO="Manual",$M253=$A$15),$M253&gt;(ROW(PLE.lastrow)-ROW(PLE.firstrow))),0,
           IF(OFFSET(PLE!$G$15,$M253-$A$15,CH$13)="",10^12,OFFSET(PLE!$G$15,$M253-$A$15,CH$13)))</f>
        <v>1000000000000</v>
      </c>
      <c r="CI253" s="172">
        <f ca="1">IF(OR($D253&lt;&gt;"Serviço",AND(AUTOEVENTO="Manual",$M253=$A$15),$M253&gt;(ROW(PLE.lastrow)-ROW(PLE.firstrow))),0,
           IF(OFFSET(PLE!$G$15,$M253-$A$15,CI$13)="",10^12,OFFSET(PLE!$G$15,$M253-$A$15,CI$13)))</f>
        <v>1000000000000</v>
      </c>
      <c r="CJ253" s="172">
        <f ca="1">IF(OR($D253&lt;&gt;"Serviço",AND(AUTOEVENTO="Manual",$M253=$A$15),$M253&gt;(ROW(PLE.lastrow)-ROW(PLE.firstrow))),0,
           IF(OFFSET(PLE!$G$15,$M253-$A$15,CJ$13)="",10^12,OFFSET(PLE!$G$15,$M253-$A$15,CJ$13)))</f>
        <v>1000000000000</v>
      </c>
      <c r="CK253" s="172">
        <f ca="1">IF(OR($D253&lt;&gt;"Serviço",AND(AUTOEVENTO="Manual",$M253=$A$15),$M253&gt;(ROW(PLE.lastrow)-ROW(PLE.firstrow))),0,
           IF(OFFSET(PLE!$G$15,$M253-$A$15,CK$13)="",10^12,OFFSET(PLE!$G$15,$M253-$A$15,CK$13)))</f>
        <v>1000000000000</v>
      </c>
      <c r="CL253" s="172">
        <f ca="1">IF(OR($D253&lt;&gt;"Serviço",AND(AUTOEVENTO="Manual",$M253=$A$15),$M253&gt;(ROW(PLE.lastrow)-ROW(PLE.firstrow))),0,
           IF(OFFSET(PLE!$G$15,$M253-$A$15,CL$13)="",10^12,OFFSET(PLE!$G$15,$M253-$A$15,CL$13)))</f>
        <v>1000000000000</v>
      </c>
      <c r="CM253" s="172">
        <f ca="1">IF(OR($D253&lt;&gt;"Serviço",AND(AUTOEVENTO="Manual",$M253=$A$15),$M253&gt;(ROW(PLE.lastrow)-ROW(PLE.firstrow))),0,
           IF(OFFSET(PLE!$G$15,$M253-$A$15,CM$13)="",10^12,OFFSET(PLE!$G$15,$M253-$A$15,CM$13)))</f>
        <v>1000000000000</v>
      </c>
    </row>
    <row r="254" spans="1:91" ht="51" x14ac:dyDescent="0.2">
      <c r="A254" s="7">
        <f t="shared" ca="1" si="13"/>
        <v>6</v>
      </c>
      <c r="B254" s="7" t="str">
        <f ca="1">OFFSET(ORÇAMENTO!C$15,ROW(B254)-ROW(B$15),0)</f>
        <v>S</v>
      </c>
      <c r="C254" s="7" t="str">
        <f ca="1">OFFSET(ORÇAMENTO!L$15,ROW(C254)-ROW(C$15),0)</f>
        <v>F</v>
      </c>
      <c r="D254" s="116" t="str">
        <f ca="1">OFFSET(ORÇAMENTO!N$15,ROW(D254)-ROW(D$15),0)</f>
        <v>Serviço</v>
      </c>
      <c r="E254" s="117" t="str">
        <f ca="1">OFFSET(ORÇAMENTO!O$15,ROW(E254)-ROW(E$15),0)</f>
        <v>1.7.1.1.8.</v>
      </c>
      <c r="F254" s="163" t="str">
        <f ca="1">OFFSET(ORÇAMENTO!R$15,ROW(F254)-ROW(F$15),0)</f>
        <v>DISTRIBUIDOR ROTATIVO PARA LEITO FILTRANTE (INCLUINDO ACESSÓRIOS: PEDESTAL DE SUSPENSÃO, HASTE DE PROLONGAMENTO E MANCAL)</v>
      </c>
      <c r="G254" s="164" t="str">
        <f ca="1">IF($D254&lt;&gt;"Serviço","",OFFSET(ORÇAMENTO!S$15,ROW(G254)-ROW(G$15),0))</f>
        <v>CJ</v>
      </c>
      <c r="H254" s="122" cm="1">
        <f t="array" aca="1" ref="H254" ca="1">IF($D254&lt;&gt;"Serviço",0,IF(ACOMPANHAMENTO="BM",ROUND(OFFSET(ORÇAMENTO!AJ$15,ROW(H254)-ROW(H$15),0),15-13*ORÇAMENTO!$AF$7),SUMPRODUCT(($Q$1:$AI$1=1)*ROUND($Q254:$AI254,15-13*ORÇAMENTO!$AF$7))))</f>
        <v>1</v>
      </c>
      <c r="I254" s="468" t="s">
        <v>1346</v>
      </c>
      <c r="J254" s="640" t="str" cm="1">
        <f t="array" aca="1" ref="J254" ca="1">IF(OR(B254&lt;&gt;"S",CÁLCULO.FrentesPreenchidas=0),"",IF(AND(ACOMPANHAMENTO="PLE",AUTOEVENTO="Manual",OR(H254&gt;0,ORÇAMENTO!AC254="QUANT."),OR(K254="",M254=0,N254="")),"►E",IF(AND(ACOMPANHAMENTO="PLE",ORÇAMENTO!AC254="QUANT."),"►Q",IF(AND(ACOMPANHAMENTO="PLE",H254&lt;&gt;SUMPRODUCT(($Q$1:$AI$1=1)*ROUND(Q254:AI254,15))),"►S",IF(AND(COUNTIF($P$11:$AI$11,"▼")=0,H254&gt;0,I254=""),"◄M","")))))</f>
        <v/>
      </c>
      <c r="K254" s="641" t="s">
        <v>1385</v>
      </c>
      <c r="L254" s="165" t="s">
        <v>764</v>
      </c>
      <c r="M254" s="166">
        <f ca="1">IF($D254&lt;&gt;"Serviço","",
          IF(AUTOEVENTO="manual",$A254,
                IF(ISERROR(MATCH($A254,$A$15:OFFSET($A254,-1,0),0)),MAX($M$15:OFFSET(M254,-1,0))+1,
                      INDEX($M$15:OFFSET(M254,-1,0),MATCH($A254,$A$15:OFFSET($A254,-1,0),0)))))</f>
        <v>6</v>
      </c>
      <c r="N254" s="167" t="str">
        <f ca="1">IF($D254&lt;&gt;"Serviço","",
         IF(AUTOEVENTO="Manual",
                IF($A254=0,"&lt;-- defina o número do agrupador",
                       OFFSET(EVENTOS!$D$15,$A254-$A$15,0)),
                OFFSET($F$15,$A254,0)))</f>
        <v>Saneamento</v>
      </c>
      <c r="O254" s="168"/>
      <c r="Q254" s="168"/>
      <c r="R254" s="169"/>
      <c r="S254" s="169">
        <v>1</v>
      </c>
      <c r="T254" s="169"/>
      <c r="U254" s="169"/>
      <c r="V254" s="169"/>
      <c r="W254" s="169"/>
      <c r="X254" s="169"/>
      <c r="Y254" s="169"/>
      <c r="Z254" s="170"/>
      <c r="AA254" s="169"/>
      <c r="AB254" s="169"/>
      <c r="AC254" s="169"/>
      <c r="AD254" s="169"/>
      <c r="AE254" s="169"/>
      <c r="AF254" s="169"/>
      <c r="AG254" s="169"/>
      <c r="AH254" s="170"/>
      <c r="AJ254" s="453">
        <f ca="1">IF(AND($D254="Serviço",AJ$12&lt;&gt;0,$H254&gt;0,OR(AUTOEVENTO&lt;&gt;"manual",$M254&lt;&gt;$A$15)),
        IF(Import.TipoArredondamento&lt;&gt;"TransfereGOV",
              ROUND(OFFSET($P254,0,AJ$13),15-13*ORÇAMENTO!$AF$7)/$H254*OFFSET(ORÇAMENTO!$X$15,ROW(AJ254)-ROW(AJ$15),0),
              ROUND(ROUND(OFFSET($P254,0,AJ$13),15-13*ORÇAMENTO!$AF$7)*OFFSET(ORÇAMENTO!$W$15,ROW(AJ254)-ROW(AJ$15),0),15-13*ORÇAMENTO!$AF$11)),
         0)</f>
        <v>0</v>
      </c>
      <c r="AK254" s="453">
        <f ca="1">IF(AND($D254="Serviço",AK$12&lt;&gt;0,$H254&gt;0,OR(AUTOEVENTO&lt;&gt;"manual",$M254&lt;&gt;$A$15)),
        IF(Import.TipoArredondamento&lt;&gt;"TransfereGOV",
              ROUND(OFFSET($P254,0,AK$13),15-13*ORÇAMENTO!$AF$7)/$H254*OFFSET(ORÇAMENTO!$X$15,ROW(AK254)-ROW(AK$15),0),
              ROUND(ROUND(OFFSET($P254,0,AK$13),15-13*ORÇAMENTO!$AF$7)*OFFSET(ORÇAMENTO!$W$15,ROW(AK254)-ROW(AK$15),0),15-13*ORÇAMENTO!$AF$11)),
         0)</f>
        <v>0</v>
      </c>
      <c r="AL254" s="453">
        <f ca="1">IF(AND($D254="Serviço",AL$12&lt;&gt;0,$H254&gt;0,OR(AUTOEVENTO&lt;&gt;"manual",$M254&lt;&gt;$A$15)),
        IF(Import.TipoArredondamento&lt;&gt;"TransfereGOV",
              ROUND(OFFSET($P254,0,AL$13),15-13*ORÇAMENTO!$AF$7)/$H254*OFFSET(ORÇAMENTO!$X$15,ROW(AL254)-ROW(AL$15),0),
              ROUND(ROUND(OFFSET($P254,0,AL$13),15-13*ORÇAMENTO!$AF$7)*OFFSET(ORÇAMENTO!$W$15,ROW(AL254)-ROW(AL$15),0),15-13*ORÇAMENTO!$AF$11)),
         0)</f>
        <v>0</v>
      </c>
      <c r="AM254" s="453">
        <f ca="1">IF(AND($D254="Serviço",AM$12&lt;&gt;0,$H254&gt;0,OR(AUTOEVENTO&lt;&gt;"manual",$M254&lt;&gt;$A$15)),
        IF(Import.TipoArredondamento&lt;&gt;"TransfereGOV",
              ROUND(OFFSET($P254,0,AM$13),15-13*ORÇAMENTO!$AF$7)/$H254*OFFSET(ORÇAMENTO!$X$15,ROW(AM254)-ROW(AM$15),0),
              ROUND(ROUND(OFFSET($P254,0,AM$13),15-13*ORÇAMENTO!$AF$7)*OFFSET(ORÇAMENTO!$W$15,ROW(AM254)-ROW(AM$15),0),15-13*ORÇAMENTO!$AF$11)),
         0)</f>
        <v>0</v>
      </c>
      <c r="AN254" s="453">
        <f ca="1">IF(AND($D254="Serviço",AN$12&lt;&gt;0,$H254&gt;0,OR(AUTOEVENTO&lt;&gt;"manual",$M254&lt;&gt;$A$15)),
        IF(Import.TipoArredondamento&lt;&gt;"TransfereGOV",
              ROUND(OFFSET($P254,0,AN$13),15-13*ORÇAMENTO!$AF$7)/$H254*OFFSET(ORÇAMENTO!$X$15,ROW(AN254)-ROW(AN$15),0),
              ROUND(ROUND(OFFSET($P254,0,AN$13),15-13*ORÇAMENTO!$AF$7)*OFFSET(ORÇAMENTO!$W$15,ROW(AN254)-ROW(AN$15),0),15-13*ORÇAMENTO!$AF$11)),
         0)</f>
        <v>0</v>
      </c>
      <c r="AO254" s="453">
        <f ca="1">IF(AND($D254="Serviço",AO$12&lt;&gt;0,$H254&gt;0,OR(AUTOEVENTO&lt;&gt;"manual",$M254&lt;&gt;$A$15)),
        IF(Import.TipoArredondamento&lt;&gt;"TransfereGOV",
              ROUND(OFFSET($P254,0,AO$13),15-13*ORÇAMENTO!$AF$7)/$H254*OFFSET(ORÇAMENTO!$X$15,ROW(AO254)-ROW(AO$15),0),
              ROUND(ROUND(OFFSET($P254,0,AO$13),15-13*ORÇAMENTO!$AF$7)*OFFSET(ORÇAMENTO!$W$15,ROW(AO254)-ROW(AO$15),0),15-13*ORÇAMENTO!$AF$11)),
         0)</f>
        <v>0</v>
      </c>
      <c r="AP254" s="453">
        <f ca="1">IF(AND($D254="Serviço",AP$12&lt;&gt;0,$H254&gt;0,OR(AUTOEVENTO&lt;&gt;"manual",$M254&lt;&gt;$A$15)),
        IF(Import.TipoArredondamento&lt;&gt;"TransfereGOV",
              ROUND(OFFSET($P254,0,AP$13),15-13*ORÇAMENTO!$AF$7)/$H254*OFFSET(ORÇAMENTO!$X$15,ROW(AP254)-ROW(AP$15),0),
              ROUND(ROUND(OFFSET($P254,0,AP$13),15-13*ORÇAMENTO!$AF$7)*OFFSET(ORÇAMENTO!$W$15,ROW(AP254)-ROW(AP$15),0),15-13*ORÇAMENTO!$AF$11)),
         0)</f>
        <v>0</v>
      </c>
      <c r="AQ254" s="453">
        <f ca="1">IF(AND($D254="Serviço",AQ$12&lt;&gt;0,$H254&gt;0,OR(AUTOEVENTO&lt;&gt;"manual",$M254&lt;&gt;$A$15)),
        IF(Import.TipoArredondamento&lt;&gt;"TransfereGOV",
              ROUND(OFFSET($P254,0,AQ$13),15-13*ORÇAMENTO!$AF$7)/$H254*OFFSET(ORÇAMENTO!$X$15,ROW(AQ254)-ROW(AQ$15),0),
              ROUND(ROUND(OFFSET($P254,0,AQ$13),15-13*ORÇAMENTO!$AF$7)*OFFSET(ORÇAMENTO!$W$15,ROW(AQ254)-ROW(AQ$15),0),15-13*ORÇAMENTO!$AF$11)),
         0)</f>
        <v>0</v>
      </c>
      <c r="AR254" s="453">
        <f ca="1">IF(AND($D254="Serviço",AR$12&lt;&gt;0,$H254&gt;0,OR(AUTOEVENTO&lt;&gt;"manual",$M254&lt;&gt;$A$15)),
        IF(Import.TipoArredondamento&lt;&gt;"TransfereGOV",
              ROUND(OFFSET($P254,0,AR$13),15-13*ORÇAMENTO!$AF$7)/$H254*OFFSET(ORÇAMENTO!$X$15,ROW(AR254)-ROW(AR$15),0),
              ROUND(ROUND(OFFSET($P254,0,AR$13),15-13*ORÇAMENTO!$AF$7)*OFFSET(ORÇAMENTO!$W$15,ROW(AR254)-ROW(AR$15),0),15-13*ORÇAMENTO!$AF$11)),
         0)</f>
        <v>0</v>
      </c>
      <c r="AS254" s="453">
        <f ca="1">IF(AND($D254="Serviço",AS$12&lt;&gt;0,$H254&gt;0,OR(AUTOEVENTO&lt;&gt;"manual",$M254&lt;&gt;$A$15)),
        IF(Import.TipoArredondamento&lt;&gt;"TransfereGOV",
              ROUND(OFFSET($P254,0,AS$13),15-13*ORÇAMENTO!$AF$7)/$H254*OFFSET(ORÇAMENTO!$X$15,ROW(AS254)-ROW(AS$15),0),
              ROUND(ROUND(OFFSET($P254,0,AS$13),15-13*ORÇAMENTO!$AF$7)*OFFSET(ORÇAMENTO!$W$15,ROW(AS254)-ROW(AS$15),0),15-13*ORÇAMENTO!$AF$11)),
         0)</f>
        <v>0</v>
      </c>
      <c r="AT254" s="453">
        <f ca="1">IF(AND($D254="Serviço",AT$12&lt;&gt;0,$H254&gt;0,OR(AUTOEVENTO&lt;&gt;"manual",$M254&lt;&gt;$A$15)),
        IF(Import.TipoArredondamento&lt;&gt;"TransfereGOV",
              ROUND(OFFSET($P254,0,AT$13),15-13*ORÇAMENTO!$AF$7)/$H254*OFFSET(ORÇAMENTO!$X$15,ROW(AT254)-ROW(AT$15),0),
              ROUND(ROUND(OFFSET($P254,0,AT$13),15-13*ORÇAMENTO!$AF$7)*OFFSET(ORÇAMENTO!$W$15,ROW(AT254)-ROW(AT$15),0),15-13*ORÇAMENTO!$AF$11)),
         0)</f>
        <v>0</v>
      </c>
      <c r="AU254" s="453">
        <f ca="1">IF(AND($D254="Serviço",AU$12&lt;&gt;0,$H254&gt;0,OR(AUTOEVENTO&lt;&gt;"manual",$M254&lt;&gt;$A$15)),
        IF(Import.TipoArredondamento&lt;&gt;"TransfereGOV",
              ROUND(OFFSET($P254,0,AU$13),15-13*ORÇAMENTO!$AF$7)/$H254*OFFSET(ORÇAMENTO!$X$15,ROW(AU254)-ROW(AU$15),0),
              ROUND(ROUND(OFFSET($P254,0,AU$13),15-13*ORÇAMENTO!$AF$7)*OFFSET(ORÇAMENTO!$W$15,ROW(AU254)-ROW(AU$15),0),15-13*ORÇAMENTO!$AF$11)),
         0)</f>
        <v>0</v>
      </c>
      <c r="AV254" s="453">
        <f ca="1">IF(AND($D254="Serviço",AV$12&lt;&gt;0,$H254&gt;0,OR(AUTOEVENTO&lt;&gt;"manual",$M254&lt;&gt;$A$15)),
        IF(Import.TipoArredondamento&lt;&gt;"TransfereGOV",
              ROUND(OFFSET($P254,0,AV$13),15-13*ORÇAMENTO!$AF$7)/$H254*OFFSET(ORÇAMENTO!$X$15,ROW(AV254)-ROW(AV$15),0),
              ROUND(ROUND(OFFSET($P254,0,AV$13),15-13*ORÇAMENTO!$AF$7)*OFFSET(ORÇAMENTO!$W$15,ROW(AV254)-ROW(AV$15),0),15-13*ORÇAMENTO!$AF$11)),
         0)</f>
        <v>0</v>
      </c>
      <c r="AW254" s="453">
        <f ca="1">IF(AND($D254="Serviço",AW$12&lt;&gt;0,$H254&gt;0,OR(AUTOEVENTO&lt;&gt;"manual",$M254&lt;&gt;$A$15)),
        IF(Import.TipoArredondamento&lt;&gt;"TransfereGOV",
              ROUND(OFFSET($P254,0,AW$13),15-13*ORÇAMENTO!$AF$7)/$H254*OFFSET(ORÇAMENTO!$X$15,ROW(AW254)-ROW(AW$15),0),
              ROUND(ROUND(OFFSET($P254,0,AW$13),15-13*ORÇAMENTO!$AF$7)*OFFSET(ORÇAMENTO!$W$15,ROW(AW254)-ROW(AW$15),0),15-13*ORÇAMENTO!$AF$11)),
         0)</f>
        <v>0</v>
      </c>
      <c r="AX254" s="453">
        <f ca="1">IF(AND($D254="Serviço",AX$12&lt;&gt;0,$H254&gt;0,OR(AUTOEVENTO&lt;&gt;"manual",$M254&lt;&gt;$A$15)),
        IF(Import.TipoArredondamento&lt;&gt;"TransfereGOV",
              ROUND(OFFSET($P254,0,AX$13),15-13*ORÇAMENTO!$AF$7)/$H254*OFFSET(ORÇAMENTO!$X$15,ROW(AX254)-ROW(AX$15),0),
              ROUND(ROUND(OFFSET($P254,0,AX$13),15-13*ORÇAMENTO!$AF$7)*OFFSET(ORÇAMENTO!$W$15,ROW(AX254)-ROW(AX$15),0),15-13*ORÇAMENTO!$AF$11)),
         0)</f>
        <v>0</v>
      </c>
      <c r="AY254" s="453">
        <f ca="1">IF(AND($D254="Serviço",AY$12&lt;&gt;0,$H254&gt;0,OR(AUTOEVENTO&lt;&gt;"manual",$M254&lt;&gt;$A$15)),
        IF(Import.TipoArredondamento&lt;&gt;"TransfereGOV",
              ROUND(OFFSET($P254,0,AY$13),15-13*ORÇAMENTO!$AF$7)/$H254*OFFSET(ORÇAMENTO!$X$15,ROW(AY254)-ROW(AY$15),0),
              ROUND(ROUND(OFFSET($P254,0,AY$13),15-13*ORÇAMENTO!$AF$7)*OFFSET(ORÇAMENTO!$W$15,ROW(AY254)-ROW(AY$15),0),15-13*ORÇAMENTO!$AF$11)),
         0)</f>
        <v>0</v>
      </c>
      <c r="AZ254" s="453">
        <f ca="1">IF(AND($D254="Serviço",AZ$12&lt;&gt;0,$H254&gt;0,OR(AUTOEVENTO&lt;&gt;"manual",$M254&lt;&gt;$A$15)),
        IF(Import.TipoArredondamento&lt;&gt;"TransfereGOV",
              ROUND(OFFSET($P254,0,AZ$13),15-13*ORÇAMENTO!$AF$7)/$H254*OFFSET(ORÇAMENTO!$X$15,ROW(AZ254)-ROW(AZ$15),0),
              ROUND(ROUND(OFFSET($P254,0,AZ$13),15-13*ORÇAMENTO!$AF$7)*OFFSET(ORÇAMENTO!$W$15,ROW(AZ254)-ROW(AZ$15),0),15-13*ORÇAMENTO!$AF$11)),
         0)</f>
        <v>0</v>
      </c>
      <c r="BA254" s="453">
        <f ca="1">IF(AND($D254="Serviço",BA$12&lt;&gt;0,$H254&gt;0,OR(AUTOEVENTO&lt;&gt;"manual",$M254&lt;&gt;$A$15)),
        IF(Import.TipoArredondamento&lt;&gt;"TransfereGOV",
              ROUND(OFFSET($P254,0,BA$13),15-13*ORÇAMENTO!$AF$7)/$H254*OFFSET(ORÇAMENTO!$X$15,ROW(BA254)-ROW(BA$15),0),
              ROUND(ROUND(OFFSET($P254,0,BA$13),15-13*ORÇAMENTO!$AF$7)*OFFSET(ORÇAMENTO!$W$15,ROW(BA254)-ROW(BA$15),0),15-13*ORÇAMENTO!$AF$11)),
         0)</f>
        <v>0</v>
      </c>
      <c r="BC254" s="171">
        <f ca="1">IF(OR($D254&lt;&gt;"Serviço",AND(AUTOEVENTO="Manual",$M254=$A$15)),0,
         IF(OFFSET(CRONOPLE!$F$15,$M254-$A$15,BC$13)=0,10^12,OFFSET(CRONOPLE!$F$15,$M254-$A$15,BC$13)))</f>
        <v>1</v>
      </c>
      <c r="BD254" s="171">
        <f ca="1">IF(OR($D254&lt;&gt;"Serviço",AND(AUTOEVENTO="Manual",$M254=$A$15)),0,
         IF(OFFSET(CRONOPLE!$F$15,$M254-$A$15,BD$13)=0,10^12,OFFSET(CRONOPLE!$F$15,$M254-$A$15,BD$13)))</f>
        <v>2</v>
      </c>
      <c r="BE254" s="171">
        <f ca="1">IF(OR($D254&lt;&gt;"Serviço",AND(AUTOEVENTO="Manual",$M254=$A$15)),0,
         IF(OFFSET(CRONOPLE!$F$15,$M254-$A$15,BE$13)=0,10^12,OFFSET(CRONOPLE!$F$15,$M254-$A$15,BE$13)))</f>
        <v>3</v>
      </c>
      <c r="BF254" s="171">
        <f ca="1">IF(OR($D254&lt;&gt;"Serviço",AND(AUTOEVENTO="Manual",$M254=$A$15)),0,
         IF(OFFSET(CRONOPLE!$F$15,$M254-$A$15,BF$13)=0,10^12,OFFSET(CRONOPLE!$F$15,$M254-$A$15,BF$13)))</f>
        <v>4</v>
      </c>
      <c r="BG254" s="171">
        <f ca="1">IF(OR($D254&lt;&gt;"Serviço",AND(AUTOEVENTO="Manual",$M254=$A$15)),0,
         IF(OFFSET(CRONOPLE!$F$15,$M254-$A$15,BG$13)=0,10^12,OFFSET(CRONOPLE!$F$15,$M254-$A$15,BG$13)))</f>
        <v>5</v>
      </c>
      <c r="BH254" s="171">
        <f ca="1">IF(OR($D254&lt;&gt;"Serviço",AND(AUTOEVENTO="Manual",$M254=$A$15)),0,
         IF(OFFSET(CRONOPLE!$F$15,$M254-$A$15,BH$13)=0,10^12,OFFSET(CRONOPLE!$F$15,$M254-$A$15,BH$13)))</f>
        <v>6</v>
      </c>
      <c r="BI254" s="171">
        <f ca="1">IF(OR($D254&lt;&gt;"Serviço",AND(AUTOEVENTO="Manual",$M254=$A$15)),0,
         IF(OFFSET(CRONOPLE!$F$15,$M254-$A$15,BI$13)=0,10^12,OFFSET(CRONOPLE!$F$15,$M254-$A$15,BI$13)))</f>
        <v>7</v>
      </c>
      <c r="BJ254" s="171">
        <f ca="1">IF(OR($D254&lt;&gt;"Serviço",AND(AUTOEVENTO="Manual",$M254=$A$15)),0,
         IF(OFFSET(CRONOPLE!$F$15,$M254-$A$15,BJ$13)=0,10^12,OFFSET(CRONOPLE!$F$15,$M254-$A$15,BJ$13)))</f>
        <v>8</v>
      </c>
      <c r="BK254" s="171">
        <f ca="1">IF(OR($D254&lt;&gt;"Serviço",AND(AUTOEVENTO="Manual",$M254=$A$15)),0,
         IF(OFFSET(CRONOPLE!$F$15,$M254-$A$15,BK$13)=0,10^12,OFFSET(CRONOPLE!$F$15,$M254-$A$15,BK$13)))</f>
        <v>9</v>
      </c>
      <c r="BL254" s="171">
        <f ca="1">IF(OR($D254&lt;&gt;"Serviço",AND(AUTOEVENTO="Manual",$M254=$A$15)),0,
         IF(OFFSET(CRONOPLE!$F$15,$M254-$A$15,BL$13)=0,10^12,OFFSET(CRONOPLE!$F$15,$M254-$A$15,BL$13)))</f>
        <v>1000000000000</v>
      </c>
      <c r="BM254" s="171">
        <f ca="1">IF(OR($D254&lt;&gt;"Serviço",AND(AUTOEVENTO="Manual",$M254=$A$15)),0,
         IF(OFFSET(CRONOPLE!$F$15,$M254-$A$15,BM$13)=0,10^12,OFFSET(CRONOPLE!$F$15,$M254-$A$15,BM$13)))</f>
        <v>1000000000000</v>
      </c>
      <c r="BN254" s="171">
        <f ca="1">IF(OR($D254&lt;&gt;"Serviço",AND(AUTOEVENTO="Manual",$M254=$A$15)),0,
         IF(OFFSET(CRONOPLE!$F$15,$M254-$A$15,BN$13)=0,10^12,OFFSET(CRONOPLE!$F$15,$M254-$A$15,BN$13)))</f>
        <v>1000000000000</v>
      </c>
      <c r="BO254" s="171">
        <f ca="1">IF(OR($D254&lt;&gt;"Serviço",AND(AUTOEVENTO="Manual",$M254=$A$15)),0,
         IF(OFFSET(CRONOPLE!$F$15,$M254-$A$15,BO$13)=0,10^12,OFFSET(CRONOPLE!$F$15,$M254-$A$15,BO$13)))</f>
        <v>1000000000000</v>
      </c>
      <c r="BP254" s="171">
        <f ca="1">IF(OR($D254&lt;&gt;"Serviço",AND(AUTOEVENTO="Manual",$M254=$A$15)),0,
         IF(OFFSET(CRONOPLE!$F$15,$M254-$A$15,BP$13)=0,10^12,OFFSET(CRONOPLE!$F$15,$M254-$A$15,BP$13)))</f>
        <v>1000000000000</v>
      </c>
      <c r="BQ254" s="171">
        <f ca="1">IF(OR($D254&lt;&gt;"Serviço",AND(AUTOEVENTO="Manual",$M254=$A$15)),0,
         IF(OFFSET(CRONOPLE!$F$15,$M254-$A$15,BQ$13)=0,10^12,OFFSET(CRONOPLE!$F$15,$M254-$A$15,BQ$13)))</f>
        <v>1000000000000</v>
      </c>
      <c r="BR254" s="171">
        <f ca="1">IF(OR($D254&lt;&gt;"Serviço",AND(AUTOEVENTO="Manual",$M254=$A$15)),0,
         IF(OFFSET(CRONOPLE!$F$15,$M254-$A$15,BR$13)=0,10^12,OFFSET(CRONOPLE!$F$15,$M254-$A$15,BR$13)))</f>
        <v>1000000000000</v>
      </c>
      <c r="BS254" s="171">
        <f ca="1">IF(OR($D254&lt;&gt;"Serviço",AND(AUTOEVENTO="Manual",$M254=$A$15)),0,
         IF(OFFSET(CRONOPLE!$F$15,$M254-$A$15,BS$13)=0,10^12,OFFSET(CRONOPLE!$F$15,$M254-$A$15,BS$13)))</f>
        <v>1000000000000</v>
      </c>
      <c r="BT254" s="171">
        <f ca="1">IF(OR($D254&lt;&gt;"Serviço",AND(AUTOEVENTO="Manual",$M254=$A$15)),0,
         IF(OFFSET(CRONOPLE!$F$15,$M254-$A$15,BT$13)=0,10^12,OFFSET(CRONOPLE!$F$15,$M254-$A$15,BT$13)))</f>
        <v>1000000000000</v>
      </c>
      <c r="BV254" s="172">
        <f ca="1">IF(OR($D254&lt;&gt;"Serviço",AND(AUTOEVENTO="Manual",$M254=$A$15),$M254&gt;(ROW(PLE.lastrow)-ROW(PLE.firstrow))),0,
           IF(OFFSET(PLE!$G$15,$M254-$A$15,BV$13)="",10^12,OFFSET(PLE!$G$15,$M254-$A$15,BV$13)))</f>
        <v>1000000000000</v>
      </c>
      <c r="BW254" s="172">
        <f ca="1">IF(OR($D254&lt;&gt;"Serviço",AND(AUTOEVENTO="Manual",$M254=$A$15),$M254&gt;(ROW(PLE.lastrow)-ROW(PLE.firstrow))),0,
           IF(OFFSET(PLE!$G$15,$M254-$A$15,BW$13)="",10^12,OFFSET(PLE!$G$15,$M254-$A$15,BW$13)))</f>
        <v>1000000000000</v>
      </c>
      <c r="BX254" s="172">
        <f ca="1">IF(OR($D254&lt;&gt;"Serviço",AND(AUTOEVENTO="Manual",$M254=$A$15),$M254&gt;(ROW(PLE.lastrow)-ROW(PLE.firstrow))),0,
           IF(OFFSET(PLE!$G$15,$M254-$A$15,BX$13)="",10^12,OFFSET(PLE!$G$15,$M254-$A$15,BX$13)))</f>
        <v>1000000000000</v>
      </c>
      <c r="BY254" s="172">
        <f ca="1">IF(OR($D254&lt;&gt;"Serviço",AND(AUTOEVENTO="Manual",$M254=$A$15),$M254&gt;(ROW(PLE.lastrow)-ROW(PLE.firstrow))),0,
           IF(OFFSET(PLE!$G$15,$M254-$A$15,BY$13)="",10^12,OFFSET(PLE!$G$15,$M254-$A$15,BY$13)))</f>
        <v>1000000000000</v>
      </c>
      <c r="BZ254" s="172">
        <f ca="1">IF(OR($D254&lt;&gt;"Serviço",AND(AUTOEVENTO="Manual",$M254=$A$15),$M254&gt;(ROW(PLE.lastrow)-ROW(PLE.firstrow))),0,
           IF(OFFSET(PLE!$G$15,$M254-$A$15,BZ$13)="",10^12,OFFSET(PLE!$G$15,$M254-$A$15,BZ$13)))</f>
        <v>1000000000000</v>
      </c>
      <c r="CA254" s="172">
        <f ca="1">IF(OR($D254&lt;&gt;"Serviço",AND(AUTOEVENTO="Manual",$M254=$A$15),$M254&gt;(ROW(PLE.lastrow)-ROW(PLE.firstrow))),0,
           IF(OFFSET(PLE!$G$15,$M254-$A$15,CA$13)="",10^12,OFFSET(PLE!$G$15,$M254-$A$15,CA$13)))</f>
        <v>1000000000000</v>
      </c>
      <c r="CB254" s="172">
        <f ca="1">IF(OR($D254&lt;&gt;"Serviço",AND(AUTOEVENTO="Manual",$M254=$A$15),$M254&gt;(ROW(PLE.lastrow)-ROW(PLE.firstrow))),0,
           IF(OFFSET(PLE!$G$15,$M254-$A$15,CB$13)="",10^12,OFFSET(PLE!$G$15,$M254-$A$15,CB$13)))</f>
        <v>1000000000000</v>
      </c>
      <c r="CC254" s="172">
        <f ca="1">IF(OR($D254&lt;&gt;"Serviço",AND(AUTOEVENTO="Manual",$M254=$A$15),$M254&gt;(ROW(PLE.lastrow)-ROW(PLE.firstrow))),0,
           IF(OFFSET(PLE!$G$15,$M254-$A$15,CC$13)="",10^12,OFFSET(PLE!$G$15,$M254-$A$15,CC$13)))</f>
        <v>1000000000000</v>
      </c>
      <c r="CD254" s="172">
        <f ca="1">IF(OR($D254&lt;&gt;"Serviço",AND(AUTOEVENTO="Manual",$M254=$A$15),$M254&gt;(ROW(PLE.lastrow)-ROW(PLE.firstrow))),0,
           IF(OFFSET(PLE!$G$15,$M254-$A$15,CD$13)="",10^12,OFFSET(PLE!$G$15,$M254-$A$15,CD$13)))</f>
        <v>1000000000000</v>
      </c>
      <c r="CE254" s="172">
        <f ca="1">IF(OR($D254&lt;&gt;"Serviço",AND(AUTOEVENTO="Manual",$M254=$A$15),$M254&gt;(ROW(PLE.lastrow)-ROW(PLE.firstrow))),0,
           IF(OFFSET(PLE!$G$15,$M254-$A$15,CE$13)="",10^12,OFFSET(PLE!$G$15,$M254-$A$15,CE$13)))</f>
        <v>1000000000000</v>
      </c>
      <c r="CF254" s="172">
        <f ca="1">IF(OR($D254&lt;&gt;"Serviço",AND(AUTOEVENTO="Manual",$M254=$A$15),$M254&gt;(ROW(PLE.lastrow)-ROW(PLE.firstrow))),0,
           IF(OFFSET(PLE!$G$15,$M254-$A$15,CF$13)="",10^12,OFFSET(PLE!$G$15,$M254-$A$15,CF$13)))</f>
        <v>1000000000000</v>
      </c>
      <c r="CG254" s="172">
        <f ca="1">IF(OR($D254&lt;&gt;"Serviço",AND(AUTOEVENTO="Manual",$M254=$A$15),$M254&gt;(ROW(PLE.lastrow)-ROW(PLE.firstrow))),0,
           IF(OFFSET(PLE!$G$15,$M254-$A$15,CG$13)="",10^12,OFFSET(PLE!$G$15,$M254-$A$15,CG$13)))</f>
        <v>1000000000000</v>
      </c>
      <c r="CH254" s="172">
        <f ca="1">IF(OR($D254&lt;&gt;"Serviço",AND(AUTOEVENTO="Manual",$M254=$A$15),$M254&gt;(ROW(PLE.lastrow)-ROW(PLE.firstrow))),0,
           IF(OFFSET(PLE!$G$15,$M254-$A$15,CH$13)="",10^12,OFFSET(PLE!$G$15,$M254-$A$15,CH$13)))</f>
        <v>1000000000000</v>
      </c>
      <c r="CI254" s="172">
        <f ca="1">IF(OR($D254&lt;&gt;"Serviço",AND(AUTOEVENTO="Manual",$M254=$A$15),$M254&gt;(ROW(PLE.lastrow)-ROW(PLE.firstrow))),0,
           IF(OFFSET(PLE!$G$15,$M254-$A$15,CI$13)="",10^12,OFFSET(PLE!$G$15,$M254-$A$15,CI$13)))</f>
        <v>1000000000000</v>
      </c>
      <c r="CJ254" s="172">
        <f ca="1">IF(OR($D254&lt;&gt;"Serviço",AND(AUTOEVENTO="Manual",$M254=$A$15),$M254&gt;(ROW(PLE.lastrow)-ROW(PLE.firstrow))),0,
           IF(OFFSET(PLE!$G$15,$M254-$A$15,CJ$13)="",10^12,OFFSET(PLE!$G$15,$M254-$A$15,CJ$13)))</f>
        <v>1000000000000</v>
      </c>
      <c r="CK254" s="172">
        <f ca="1">IF(OR($D254&lt;&gt;"Serviço",AND(AUTOEVENTO="Manual",$M254=$A$15),$M254&gt;(ROW(PLE.lastrow)-ROW(PLE.firstrow))),0,
           IF(OFFSET(PLE!$G$15,$M254-$A$15,CK$13)="",10^12,OFFSET(PLE!$G$15,$M254-$A$15,CK$13)))</f>
        <v>1000000000000</v>
      </c>
      <c r="CL254" s="172">
        <f ca="1">IF(OR($D254&lt;&gt;"Serviço",AND(AUTOEVENTO="Manual",$M254=$A$15),$M254&gt;(ROW(PLE.lastrow)-ROW(PLE.firstrow))),0,
           IF(OFFSET(PLE!$G$15,$M254-$A$15,CL$13)="",10^12,OFFSET(PLE!$G$15,$M254-$A$15,CL$13)))</f>
        <v>1000000000000</v>
      </c>
      <c r="CM254" s="172">
        <f ca="1">IF(OR($D254&lt;&gt;"Serviço",AND(AUTOEVENTO="Manual",$M254=$A$15),$M254&gt;(ROW(PLE.lastrow)-ROW(PLE.firstrow))),0,
           IF(OFFSET(PLE!$G$15,$M254-$A$15,CM$13)="",10^12,OFFSET(PLE!$G$15,$M254-$A$15,CM$13)))</f>
        <v>1000000000000</v>
      </c>
    </row>
    <row r="255" spans="1:91" ht="51" x14ac:dyDescent="0.2">
      <c r="A255" s="7">
        <f t="shared" ca="1" si="13"/>
        <v>6</v>
      </c>
      <c r="B255" s="7" t="str">
        <f ca="1">OFFSET(ORÇAMENTO!C$15,ROW(B255)-ROW(B$15),0)</f>
        <v>S</v>
      </c>
      <c r="C255" s="7" t="str">
        <f ca="1">OFFSET(ORÇAMENTO!L$15,ROW(C255)-ROW(C$15),0)</f>
        <v>F</v>
      </c>
      <c r="D255" s="116" t="str">
        <f ca="1">OFFSET(ORÇAMENTO!N$15,ROW(D255)-ROW(D$15),0)</f>
        <v>Serviço</v>
      </c>
      <c r="E255" s="117" t="str">
        <f ca="1">OFFSET(ORÇAMENTO!O$15,ROW(E255)-ROW(E$15),0)</f>
        <v>1.7.1.1.9.</v>
      </c>
      <c r="F255" s="163" t="str">
        <f ca="1">OFFSET(ORÇAMENTO!R$15,ROW(F255)-ROW(F$15),0)</f>
        <v>COMPORTA QUADRADA DE SENTIDO DUPLO (CONFORME PROJETO) - FORNECIMENTO E INSTALAÇÃO</v>
      </c>
      <c r="G255" s="164" t="str">
        <f ca="1">IF($D255&lt;&gt;"Serviço","",OFFSET(ORÇAMENTO!S$15,ROW(G255)-ROW(G$15),0))</f>
        <v>UN</v>
      </c>
      <c r="H255" s="122" cm="1">
        <f t="array" aca="1" ref="H255" ca="1">IF($D255&lt;&gt;"Serviço",0,IF(ACOMPANHAMENTO="BM",ROUND(OFFSET(ORÇAMENTO!AJ$15,ROW(H255)-ROW(H$15),0),15-13*ORÇAMENTO!$AF$7),SUMPRODUCT(($Q$1:$AI$1=1)*ROUND($Q255:$AI255,15-13*ORÇAMENTO!$AF$7))))</f>
        <v>1</v>
      </c>
      <c r="I255" s="468" t="s">
        <v>1346</v>
      </c>
      <c r="J255" s="640" t="str" cm="1">
        <f t="array" aca="1" ref="J255" ca="1">IF(OR(B255&lt;&gt;"S",CÁLCULO.FrentesPreenchidas=0),"",IF(AND(ACOMPANHAMENTO="PLE",AUTOEVENTO="Manual",OR(H255&gt;0,ORÇAMENTO!AC255="QUANT."),OR(K255="",M255=0,N255="")),"►E",IF(AND(ACOMPANHAMENTO="PLE",ORÇAMENTO!AC255="QUANT."),"►Q",IF(AND(ACOMPANHAMENTO="PLE",H255&lt;&gt;SUMPRODUCT(($Q$1:$AI$1=1)*ROUND(Q255:AI255,15))),"►S",IF(AND(COUNTIF($P$11:$AI$11,"▼")=0,H255&gt;0,I255=""),"◄M","")))))</f>
        <v/>
      </c>
      <c r="K255" s="641" t="s">
        <v>1385</v>
      </c>
      <c r="L255" s="165" t="s">
        <v>764</v>
      </c>
      <c r="M255" s="166">
        <f ca="1">IF($D255&lt;&gt;"Serviço","",
          IF(AUTOEVENTO="manual",$A255,
                IF(ISERROR(MATCH($A255,$A$15:OFFSET($A255,-1,0),0)),MAX($M$15:OFFSET(M255,-1,0))+1,
                      INDEX($M$15:OFFSET(M255,-1,0),MATCH($A255,$A$15:OFFSET($A255,-1,0),0)))))</f>
        <v>6</v>
      </c>
      <c r="N255" s="167" t="str">
        <f ca="1">IF($D255&lt;&gt;"Serviço","",
         IF(AUTOEVENTO="Manual",
                IF($A255=0,"&lt;-- defina o número do agrupador",
                       OFFSET(EVENTOS!$D$15,$A255-$A$15,0)),
                OFFSET($F$15,$A255,0)))</f>
        <v>Saneamento</v>
      </c>
      <c r="O255" s="168"/>
      <c r="Q255" s="168"/>
      <c r="R255" s="169"/>
      <c r="S255" s="169">
        <v>1</v>
      </c>
      <c r="T255" s="169"/>
      <c r="U255" s="169"/>
      <c r="V255" s="169"/>
      <c r="W255" s="169"/>
      <c r="X255" s="169"/>
      <c r="Y255" s="169"/>
      <c r="Z255" s="170"/>
      <c r="AA255" s="169"/>
      <c r="AB255" s="169"/>
      <c r="AC255" s="169"/>
      <c r="AD255" s="169"/>
      <c r="AE255" s="169"/>
      <c r="AF255" s="169"/>
      <c r="AG255" s="169"/>
      <c r="AH255" s="170"/>
      <c r="AJ255" s="453">
        <f ca="1">IF(AND($D255="Serviço",AJ$12&lt;&gt;0,$H255&gt;0,OR(AUTOEVENTO&lt;&gt;"manual",$M255&lt;&gt;$A$15)),
        IF(Import.TipoArredondamento&lt;&gt;"TransfereGOV",
              ROUND(OFFSET($P255,0,AJ$13),15-13*ORÇAMENTO!$AF$7)/$H255*OFFSET(ORÇAMENTO!$X$15,ROW(AJ255)-ROW(AJ$15),0),
              ROUND(ROUND(OFFSET($P255,0,AJ$13),15-13*ORÇAMENTO!$AF$7)*OFFSET(ORÇAMENTO!$W$15,ROW(AJ255)-ROW(AJ$15),0),15-13*ORÇAMENTO!$AF$11)),
         0)</f>
        <v>0</v>
      </c>
      <c r="AK255" s="453">
        <f ca="1">IF(AND($D255="Serviço",AK$12&lt;&gt;0,$H255&gt;0,OR(AUTOEVENTO&lt;&gt;"manual",$M255&lt;&gt;$A$15)),
        IF(Import.TipoArredondamento&lt;&gt;"TransfereGOV",
              ROUND(OFFSET($P255,0,AK$13),15-13*ORÇAMENTO!$AF$7)/$H255*OFFSET(ORÇAMENTO!$X$15,ROW(AK255)-ROW(AK$15),0),
              ROUND(ROUND(OFFSET($P255,0,AK$13),15-13*ORÇAMENTO!$AF$7)*OFFSET(ORÇAMENTO!$W$15,ROW(AK255)-ROW(AK$15),0),15-13*ORÇAMENTO!$AF$11)),
         0)</f>
        <v>0</v>
      </c>
      <c r="AL255" s="453">
        <f ca="1">IF(AND($D255="Serviço",AL$12&lt;&gt;0,$H255&gt;0,OR(AUTOEVENTO&lt;&gt;"manual",$M255&lt;&gt;$A$15)),
        IF(Import.TipoArredondamento&lt;&gt;"TransfereGOV",
              ROUND(OFFSET($P255,0,AL$13),15-13*ORÇAMENTO!$AF$7)/$H255*OFFSET(ORÇAMENTO!$X$15,ROW(AL255)-ROW(AL$15),0),
              ROUND(ROUND(OFFSET($P255,0,AL$13),15-13*ORÇAMENTO!$AF$7)*OFFSET(ORÇAMENTO!$W$15,ROW(AL255)-ROW(AL$15),0),15-13*ORÇAMENTO!$AF$11)),
         0)</f>
        <v>0</v>
      </c>
      <c r="AM255" s="453">
        <f ca="1">IF(AND($D255="Serviço",AM$12&lt;&gt;0,$H255&gt;0,OR(AUTOEVENTO&lt;&gt;"manual",$M255&lt;&gt;$A$15)),
        IF(Import.TipoArredondamento&lt;&gt;"TransfereGOV",
              ROUND(OFFSET($P255,0,AM$13),15-13*ORÇAMENTO!$AF$7)/$H255*OFFSET(ORÇAMENTO!$X$15,ROW(AM255)-ROW(AM$15),0),
              ROUND(ROUND(OFFSET($P255,0,AM$13),15-13*ORÇAMENTO!$AF$7)*OFFSET(ORÇAMENTO!$W$15,ROW(AM255)-ROW(AM$15),0),15-13*ORÇAMENTO!$AF$11)),
         0)</f>
        <v>0</v>
      </c>
      <c r="AN255" s="453">
        <f ca="1">IF(AND($D255="Serviço",AN$12&lt;&gt;0,$H255&gt;0,OR(AUTOEVENTO&lt;&gt;"manual",$M255&lt;&gt;$A$15)),
        IF(Import.TipoArredondamento&lt;&gt;"TransfereGOV",
              ROUND(OFFSET($P255,0,AN$13),15-13*ORÇAMENTO!$AF$7)/$H255*OFFSET(ORÇAMENTO!$X$15,ROW(AN255)-ROW(AN$15),0),
              ROUND(ROUND(OFFSET($P255,0,AN$13),15-13*ORÇAMENTO!$AF$7)*OFFSET(ORÇAMENTO!$W$15,ROW(AN255)-ROW(AN$15),0),15-13*ORÇAMENTO!$AF$11)),
         0)</f>
        <v>0</v>
      </c>
      <c r="AO255" s="453">
        <f ca="1">IF(AND($D255="Serviço",AO$12&lt;&gt;0,$H255&gt;0,OR(AUTOEVENTO&lt;&gt;"manual",$M255&lt;&gt;$A$15)),
        IF(Import.TipoArredondamento&lt;&gt;"TransfereGOV",
              ROUND(OFFSET($P255,0,AO$13),15-13*ORÇAMENTO!$AF$7)/$H255*OFFSET(ORÇAMENTO!$X$15,ROW(AO255)-ROW(AO$15),0),
              ROUND(ROUND(OFFSET($P255,0,AO$13),15-13*ORÇAMENTO!$AF$7)*OFFSET(ORÇAMENTO!$W$15,ROW(AO255)-ROW(AO$15),0),15-13*ORÇAMENTO!$AF$11)),
         0)</f>
        <v>0</v>
      </c>
      <c r="AP255" s="453">
        <f ca="1">IF(AND($D255="Serviço",AP$12&lt;&gt;0,$H255&gt;0,OR(AUTOEVENTO&lt;&gt;"manual",$M255&lt;&gt;$A$15)),
        IF(Import.TipoArredondamento&lt;&gt;"TransfereGOV",
              ROUND(OFFSET($P255,0,AP$13),15-13*ORÇAMENTO!$AF$7)/$H255*OFFSET(ORÇAMENTO!$X$15,ROW(AP255)-ROW(AP$15),0),
              ROUND(ROUND(OFFSET($P255,0,AP$13),15-13*ORÇAMENTO!$AF$7)*OFFSET(ORÇAMENTO!$W$15,ROW(AP255)-ROW(AP$15),0),15-13*ORÇAMENTO!$AF$11)),
         0)</f>
        <v>0</v>
      </c>
      <c r="AQ255" s="453">
        <f ca="1">IF(AND($D255="Serviço",AQ$12&lt;&gt;0,$H255&gt;0,OR(AUTOEVENTO&lt;&gt;"manual",$M255&lt;&gt;$A$15)),
        IF(Import.TipoArredondamento&lt;&gt;"TransfereGOV",
              ROUND(OFFSET($P255,0,AQ$13),15-13*ORÇAMENTO!$AF$7)/$H255*OFFSET(ORÇAMENTO!$X$15,ROW(AQ255)-ROW(AQ$15),0),
              ROUND(ROUND(OFFSET($P255,0,AQ$13),15-13*ORÇAMENTO!$AF$7)*OFFSET(ORÇAMENTO!$W$15,ROW(AQ255)-ROW(AQ$15),0),15-13*ORÇAMENTO!$AF$11)),
         0)</f>
        <v>0</v>
      </c>
      <c r="AR255" s="453">
        <f ca="1">IF(AND($D255="Serviço",AR$12&lt;&gt;0,$H255&gt;0,OR(AUTOEVENTO&lt;&gt;"manual",$M255&lt;&gt;$A$15)),
        IF(Import.TipoArredondamento&lt;&gt;"TransfereGOV",
              ROUND(OFFSET($P255,0,AR$13),15-13*ORÇAMENTO!$AF$7)/$H255*OFFSET(ORÇAMENTO!$X$15,ROW(AR255)-ROW(AR$15),0),
              ROUND(ROUND(OFFSET($P255,0,AR$13),15-13*ORÇAMENTO!$AF$7)*OFFSET(ORÇAMENTO!$W$15,ROW(AR255)-ROW(AR$15),0),15-13*ORÇAMENTO!$AF$11)),
         0)</f>
        <v>0</v>
      </c>
      <c r="AS255" s="453">
        <f ca="1">IF(AND($D255="Serviço",AS$12&lt;&gt;0,$H255&gt;0,OR(AUTOEVENTO&lt;&gt;"manual",$M255&lt;&gt;$A$15)),
        IF(Import.TipoArredondamento&lt;&gt;"TransfereGOV",
              ROUND(OFFSET($P255,0,AS$13),15-13*ORÇAMENTO!$AF$7)/$H255*OFFSET(ORÇAMENTO!$X$15,ROW(AS255)-ROW(AS$15),0),
              ROUND(ROUND(OFFSET($P255,0,AS$13),15-13*ORÇAMENTO!$AF$7)*OFFSET(ORÇAMENTO!$W$15,ROW(AS255)-ROW(AS$15),0),15-13*ORÇAMENTO!$AF$11)),
         0)</f>
        <v>0</v>
      </c>
      <c r="AT255" s="453">
        <f ca="1">IF(AND($D255="Serviço",AT$12&lt;&gt;0,$H255&gt;0,OR(AUTOEVENTO&lt;&gt;"manual",$M255&lt;&gt;$A$15)),
        IF(Import.TipoArredondamento&lt;&gt;"TransfereGOV",
              ROUND(OFFSET($P255,0,AT$13),15-13*ORÇAMENTO!$AF$7)/$H255*OFFSET(ORÇAMENTO!$X$15,ROW(AT255)-ROW(AT$15),0),
              ROUND(ROUND(OFFSET($P255,0,AT$13),15-13*ORÇAMENTO!$AF$7)*OFFSET(ORÇAMENTO!$W$15,ROW(AT255)-ROW(AT$15),0),15-13*ORÇAMENTO!$AF$11)),
         0)</f>
        <v>0</v>
      </c>
      <c r="AU255" s="453">
        <f ca="1">IF(AND($D255="Serviço",AU$12&lt;&gt;0,$H255&gt;0,OR(AUTOEVENTO&lt;&gt;"manual",$M255&lt;&gt;$A$15)),
        IF(Import.TipoArredondamento&lt;&gt;"TransfereGOV",
              ROUND(OFFSET($P255,0,AU$13),15-13*ORÇAMENTO!$AF$7)/$H255*OFFSET(ORÇAMENTO!$X$15,ROW(AU255)-ROW(AU$15),0),
              ROUND(ROUND(OFFSET($P255,0,AU$13),15-13*ORÇAMENTO!$AF$7)*OFFSET(ORÇAMENTO!$W$15,ROW(AU255)-ROW(AU$15),0),15-13*ORÇAMENTO!$AF$11)),
         0)</f>
        <v>0</v>
      </c>
      <c r="AV255" s="453">
        <f ca="1">IF(AND($D255="Serviço",AV$12&lt;&gt;0,$H255&gt;0,OR(AUTOEVENTO&lt;&gt;"manual",$M255&lt;&gt;$A$15)),
        IF(Import.TipoArredondamento&lt;&gt;"TransfereGOV",
              ROUND(OFFSET($P255,0,AV$13),15-13*ORÇAMENTO!$AF$7)/$H255*OFFSET(ORÇAMENTO!$X$15,ROW(AV255)-ROW(AV$15),0),
              ROUND(ROUND(OFFSET($P255,0,AV$13),15-13*ORÇAMENTO!$AF$7)*OFFSET(ORÇAMENTO!$W$15,ROW(AV255)-ROW(AV$15),0),15-13*ORÇAMENTO!$AF$11)),
         0)</f>
        <v>0</v>
      </c>
      <c r="AW255" s="453">
        <f ca="1">IF(AND($D255="Serviço",AW$12&lt;&gt;0,$H255&gt;0,OR(AUTOEVENTO&lt;&gt;"manual",$M255&lt;&gt;$A$15)),
        IF(Import.TipoArredondamento&lt;&gt;"TransfereGOV",
              ROUND(OFFSET($P255,0,AW$13),15-13*ORÇAMENTO!$AF$7)/$H255*OFFSET(ORÇAMENTO!$X$15,ROW(AW255)-ROW(AW$15),0),
              ROUND(ROUND(OFFSET($P255,0,AW$13),15-13*ORÇAMENTO!$AF$7)*OFFSET(ORÇAMENTO!$W$15,ROW(AW255)-ROW(AW$15),0),15-13*ORÇAMENTO!$AF$11)),
         0)</f>
        <v>0</v>
      </c>
      <c r="AX255" s="453">
        <f ca="1">IF(AND($D255="Serviço",AX$12&lt;&gt;0,$H255&gt;0,OR(AUTOEVENTO&lt;&gt;"manual",$M255&lt;&gt;$A$15)),
        IF(Import.TipoArredondamento&lt;&gt;"TransfereGOV",
              ROUND(OFFSET($P255,0,AX$13),15-13*ORÇAMENTO!$AF$7)/$H255*OFFSET(ORÇAMENTO!$X$15,ROW(AX255)-ROW(AX$15),0),
              ROUND(ROUND(OFFSET($P255,0,AX$13),15-13*ORÇAMENTO!$AF$7)*OFFSET(ORÇAMENTO!$W$15,ROW(AX255)-ROW(AX$15),0),15-13*ORÇAMENTO!$AF$11)),
         0)</f>
        <v>0</v>
      </c>
      <c r="AY255" s="453">
        <f ca="1">IF(AND($D255="Serviço",AY$12&lt;&gt;0,$H255&gt;0,OR(AUTOEVENTO&lt;&gt;"manual",$M255&lt;&gt;$A$15)),
        IF(Import.TipoArredondamento&lt;&gt;"TransfereGOV",
              ROUND(OFFSET($P255,0,AY$13),15-13*ORÇAMENTO!$AF$7)/$H255*OFFSET(ORÇAMENTO!$X$15,ROW(AY255)-ROW(AY$15),0),
              ROUND(ROUND(OFFSET($P255,0,AY$13),15-13*ORÇAMENTO!$AF$7)*OFFSET(ORÇAMENTO!$W$15,ROW(AY255)-ROW(AY$15),0),15-13*ORÇAMENTO!$AF$11)),
         0)</f>
        <v>0</v>
      </c>
      <c r="AZ255" s="453">
        <f ca="1">IF(AND($D255="Serviço",AZ$12&lt;&gt;0,$H255&gt;0,OR(AUTOEVENTO&lt;&gt;"manual",$M255&lt;&gt;$A$15)),
        IF(Import.TipoArredondamento&lt;&gt;"TransfereGOV",
              ROUND(OFFSET($P255,0,AZ$13),15-13*ORÇAMENTO!$AF$7)/$H255*OFFSET(ORÇAMENTO!$X$15,ROW(AZ255)-ROW(AZ$15),0),
              ROUND(ROUND(OFFSET($P255,0,AZ$13),15-13*ORÇAMENTO!$AF$7)*OFFSET(ORÇAMENTO!$W$15,ROW(AZ255)-ROW(AZ$15),0),15-13*ORÇAMENTO!$AF$11)),
         0)</f>
        <v>0</v>
      </c>
      <c r="BA255" s="453">
        <f ca="1">IF(AND($D255="Serviço",BA$12&lt;&gt;0,$H255&gt;0,OR(AUTOEVENTO&lt;&gt;"manual",$M255&lt;&gt;$A$15)),
        IF(Import.TipoArredondamento&lt;&gt;"TransfereGOV",
              ROUND(OFFSET($P255,0,BA$13),15-13*ORÇAMENTO!$AF$7)/$H255*OFFSET(ORÇAMENTO!$X$15,ROW(BA255)-ROW(BA$15),0),
              ROUND(ROUND(OFFSET($P255,0,BA$13),15-13*ORÇAMENTO!$AF$7)*OFFSET(ORÇAMENTO!$W$15,ROW(BA255)-ROW(BA$15),0),15-13*ORÇAMENTO!$AF$11)),
         0)</f>
        <v>0</v>
      </c>
      <c r="BC255" s="171">
        <f ca="1">IF(OR($D255&lt;&gt;"Serviço",AND(AUTOEVENTO="Manual",$M255=$A$15)),0,
         IF(OFFSET(CRONOPLE!$F$15,$M255-$A$15,BC$13)=0,10^12,OFFSET(CRONOPLE!$F$15,$M255-$A$15,BC$13)))</f>
        <v>1</v>
      </c>
      <c r="BD255" s="171">
        <f ca="1">IF(OR($D255&lt;&gt;"Serviço",AND(AUTOEVENTO="Manual",$M255=$A$15)),0,
         IF(OFFSET(CRONOPLE!$F$15,$M255-$A$15,BD$13)=0,10^12,OFFSET(CRONOPLE!$F$15,$M255-$A$15,BD$13)))</f>
        <v>2</v>
      </c>
      <c r="BE255" s="171">
        <f ca="1">IF(OR($D255&lt;&gt;"Serviço",AND(AUTOEVENTO="Manual",$M255=$A$15)),0,
         IF(OFFSET(CRONOPLE!$F$15,$M255-$A$15,BE$13)=0,10^12,OFFSET(CRONOPLE!$F$15,$M255-$A$15,BE$13)))</f>
        <v>3</v>
      </c>
      <c r="BF255" s="171">
        <f ca="1">IF(OR($D255&lt;&gt;"Serviço",AND(AUTOEVENTO="Manual",$M255=$A$15)),0,
         IF(OFFSET(CRONOPLE!$F$15,$M255-$A$15,BF$13)=0,10^12,OFFSET(CRONOPLE!$F$15,$M255-$A$15,BF$13)))</f>
        <v>4</v>
      </c>
      <c r="BG255" s="171">
        <f ca="1">IF(OR($D255&lt;&gt;"Serviço",AND(AUTOEVENTO="Manual",$M255=$A$15)),0,
         IF(OFFSET(CRONOPLE!$F$15,$M255-$A$15,BG$13)=0,10^12,OFFSET(CRONOPLE!$F$15,$M255-$A$15,BG$13)))</f>
        <v>5</v>
      </c>
      <c r="BH255" s="171">
        <f ca="1">IF(OR($D255&lt;&gt;"Serviço",AND(AUTOEVENTO="Manual",$M255=$A$15)),0,
         IF(OFFSET(CRONOPLE!$F$15,$M255-$A$15,BH$13)=0,10^12,OFFSET(CRONOPLE!$F$15,$M255-$A$15,BH$13)))</f>
        <v>6</v>
      </c>
      <c r="BI255" s="171">
        <f ca="1">IF(OR($D255&lt;&gt;"Serviço",AND(AUTOEVENTO="Manual",$M255=$A$15)),0,
         IF(OFFSET(CRONOPLE!$F$15,$M255-$A$15,BI$13)=0,10^12,OFFSET(CRONOPLE!$F$15,$M255-$A$15,BI$13)))</f>
        <v>7</v>
      </c>
      <c r="BJ255" s="171">
        <f ca="1">IF(OR($D255&lt;&gt;"Serviço",AND(AUTOEVENTO="Manual",$M255=$A$15)),0,
         IF(OFFSET(CRONOPLE!$F$15,$M255-$A$15,BJ$13)=0,10^12,OFFSET(CRONOPLE!$F$15,$M255-$A$15,BJ$13)))</f>
        <v>8</v>
      </c>
      <c r="BK255" s="171">
        <f ca="1">IF(OR($D255&lt;&gt;"Serviço",AND(AUTOEVENTO="Manual",$M255=$A$15)),0,
         IF(OFFSET(CRONOPLE!$F$15,$M255-$A$15,BK$13)=0,10^12,OFFSET(CRONOPLE!$F$15,$M255-$A$15,BK$13)))</f>
        <v>9</v>
      </c>
      <c r="BL255" s="171">
        <f ca="1">IF(OR($D255&lt;&gt;"Serviço",AND(AUTOEVENTO="Manual",$M255=$A$15)),0,
         IF(OFFSET(CRONOPLE!$F$15,$M255-$A$15,BL$13)=0,10^12,OFFSET(CRONOPLE!$F$15,$M255-$A$15,BL$13)))</f>
        <v>1000000000000</v>
      </c>
      <c r="BM255" s="171">
        <f ca="1">IF(OR($D255&lt;&gt;"Serviço",AND(AUTOEVENTO="Manual",$M255=$A$15)),0,
         IF(OFFSET(CRONOPLE!$F$15,$M255-$A$15,BM$13)=0,10^12,OFFSET(CRONOPLE!$F$15,$M255-$A$15,BM$13)))</f>
        <v>1000000000000</v>
      </c>
      <c r="BN255" s="171">
        <f ca="1">IF(OR($D255&lt;&gt;"Serviço",AND(AUTOEVENTO="Manual",$M255=$A$15)),0,
         IF(OFFSET(CRONOPLE!$F$15,$M255-$A$15,BN$13)=0,10^12,OFFSET(CRONOPLE!$F$15,$M255-$A$15,BN$13)))</f>
        <v>1000000000000</v>
      </c>
      <c r="BO255" s="171">
        <f ca="1">IF(OR($D255&lt;&gt;"Serviço",AND(AUTOEVENTO="Manual",$M255=$A$15)),0,
         IF(OFFSET(CRONOPLE!$F$15,$M255-$A$15,BO$13)=0,10^12,OFFSET(CRONOPLE!$F$15,$M255-$A$15,BO$13)))</f>
        <v>1000000000000</v>
      </c>
      <c r="BP255" s="171">
        <f ca="1">IF(OR($D255&lt;&gt;"Serviço",AND(AUTOEVENTO="Manual",$M255=$A$15)),0,
         IF(OFFSET(CRONOPLE!$F$15,$M255-$A$15,BP$13)=0,10^12,OFFSET(CRONOPLE!$F$15,$M255-$A$15,BP$13)))</f>
        <v>1000000000000</v>
      </c>
      <c r="BQ255" s="171">
        <f ca="1">IF(OR($D255&lt;&gt;"Serviço",AND(AUTOEVENTO="Manual",$M255=$A$15)),0,
         IF(OFFSET(CRONOPLE!$F$15,$M255-$A$15,BQ$13)=0,10^12,OFFSET(CRONOPLE!$F$15,$M255-$A$15,BQ$13)))</f>
        <v>1000000000000</v>
      </c>
      <c r="BR255" s="171">
        <f ca="1">IF(OR($D255&lt;&gt;"Serviço",AND(AUTOEVENTO="Manual",$M255=$A$15)),0,
         IF(OFFSET(CRONOPLE!$F$15,$M255-$A$15,BR$13)=0,10^12,OFFSET(CRONOPLE!$F$15,$M255-$A$15,BR$13)))</f>
        <v>1000000000000</v>
      </c>
      <c r="BS255" s="171">
        <f ca="1">IF(OR($D255&lt;&gt;"Serviço",AND(AUTOEVENTO="Manual",$M255=$A$15)),0,
         IF(OFFSET(CRONOPLE!$F$15,$M255-$A$15,BS$13)=0,10^12,OFFSET(CRONOPLE!$F$15,$M255-$A$15,BS$13)))</f>
        <v>1000000000000</v>
      </c>
      <c r="BT255" s="171">
        <f ca="1">IF(OR($D255&lt;&gt;"Serviço",AND(AUTOEVENTO="Manual",$M255=$A$15)),0,
         IF(OFFSET(CRONOPLE!$F$15,$M255-$A$15,BT$13)=0,10^12,OFFSET(CRONOPLE!$F$15,$M255-$A$15,BT$13)))</f>
        <v>1000000000000</v>
      </c>
      <c r="BV255" s="172">
        <f ca="1">IF(OR($D255&lt;&gt;"Serviço",AND(AUTOEVENTO="Manual",$M255=$A$15),$M255&gt;(ROW(PLE.lastrow)-ROW(PLE.firstrow))),0,
           IF(OFFSET(PLE!$G$15,$M255-$A$15,BV$13)="",10^12,OFFSET(PLE!$G$15,$M255-$A$15,BV$13)))</f>
        <v>1000000000000</v>
      </c>
      <c r="BW255" s="172">
        <f ca="1">IF(OR($D255&lt;&gt;"Serviço",AND(AUTOEVENTO="Manual",$M255=$A$15),$M255&gt;(ROW(PLE.lastrow)-ROW(PLE.firstrow))),0,
           IF(OFFSET(PLE!$G$15,$M255-$A$15,BW$13)="",10^12,OFFSET(PLE!$G$15,$M255-$A$15,BW$13)))</f>
        <v>1000000000000</v>
      </c>
      <c r="BX255" s="172">
        <f ca="1">IF(OR($D255&lt;&gt;"Serviço",AND(AUTOEVENTO="Manual",$M255=$A$15),$M255&gt;(ROW(PLE.lastrow)-ROW(PLE.firstrow))),0,
           IF(OFFSET(PLE!$G$15,$M255-$A$15,BX$13)="",10^12,OFFSET(PLE!$G$15,$M255-$A$15,BX$13)))</f>
        <v>1000000000000</v>
      </c>
      <c r="BY255" s="172">
        <f ca="1">IF(OR($D255&lt;&gt;"Serviço",AND(AUTOEVENTO="Manual",$M255=$A$15),$M255&gt;(ROW(PLE.lastrow)-ROW(PLE.firstrow))),0,
           IF(OFFSET(PLE!$G$15,$M255-$A$15,BY$13)="",10^12,OFFSET(PLE!$G$15,$M255-$A$15,BY$13)))</f>
        <v>1000000000000</v>
      </c>
      <c r="BZ255" s="172">
        <f ca="1">IF(OR($D255&lt;&gt;"Serviço",AND(AUTOEVENTO="Manual",$M255=$A$15),$M255&gt;(ROW(PLE.lastrow)-ROW(PLE.firstrow))),0,
           IF(OFFSET(PLE!$G$15,$M255-$A$15,BZ$13)="",10^12,OFFSET(PLE!$G$15,$M255-$A$15,BZ$13)))</f>
        <v>1000000000000</v>
      </c>
      <c r="CA255" s="172">
        <f ca="1">IF(OR($D255&lt;&gt;"Serviço",AND(AUTOEVENTO="Manual",$M255=$A$15),$M255&gt;(ROW(PLE.lastrow)-ROW(PLE.firstrow))),0,
           IF(OFFSET(PLE!$G$15,$M255-$A$15,CA$13)="",10^12,OFFSET(PLE!$G$15,$M255-$A$15,CA$13)))</f>
        <v>1000000000000</v>
      </c>
      <c r="CB255" s="172">
        <f ca="1">IF(OR($D255&lt;&gt;"Serviço",AND(AUTOEVENTO="Manual",$M255=$A$15),$M255&gt;(ROW(PLE.lastrow)-ROW(PLE.firstrow))),0,
           IF(OFFSET(PLE!$G$15,$M255-$A$15,CB$13)="",10^12,OFFSET(PLE!$G$15,$M255-$A$15,CB$13)))</f>
        <v>1000000000000</v>
      </c>
      <c r="CC255" s="172">
        <f ca="1">IF(OR($D255&lt;&gt;"Serviço",AND(AUTOEVENTO="Manual",$M255=$A$15),$M255&gt;(ROW(PLE.lastrow)-ROW(PLE.firstrow))),0,
           IF(OFFSET(PLE!$G$15,$M255-$A$15,CC$13)="",10^12,OFFSET(PLE!$G$15,$M255-$A$15,CC$13)))</f>
        <v>1000000000000</v>
      </c>
      <c r="CD255" s="172">
        <f ca="1">IF(OR($D255&lt;&gt;"Serviço",AND(AUTOEVENTO="Manual",$M255=$A$15),$M255&gt;(ROW(PLE.lastrow)-ROW(PLE.firstrow))),0,
           IF(OFFSET(PLE!$G$15,$M255-$A$15,CD$13)="",10^12,OFFSET(PLE!$G$15,$M255-$A$15,CD$13)))</f>
        <v>1000000000000</v>
      </c>
      <c r="CE255" s="172">
        <f ca="1">IF(OR($D255&lt;&gt;"Serviço",AND(AUTOEVENTO="Manual",$M255=$A$15),$M255&gt;(ROW(PLE.lastrow)-ROW(PLE.firstrow))),0,
           IF(OFFSET(PLE!$G$15,$M255-$A$15,CE$13)="",10^12,OFFSET(PLE!$G$15,$M255-$A$15,CE$13)))</f>
        <v>1000000000000</v>
      </c>
      <c r="CF255" s="172">
        <f ca="1">IF(OR($D255&lt;&gt;"Serviço",AND(AUTOEVENTO="Manual",$M255=$A$15),$M255&gt;(ROW(PLE.lastrow)-ROW(PLE.firstrow))),0,
           IF(OFFSET(PLE!$G$15,$M255-$A$15,CF$13)="",10^12,OFFSET(PLE!$G$15,$M255-$A$15,CF$13)))</f>
        <v>1000000000000</v>
      </c>
      <c r="CG255" s="172">
        <f ca="1">IF(OR($D255&lt;&gt;"Serviço",AND(AUTOEVENTO="Manual",$M255=$A$15),$M255&gt;(ROW(PLE.lastrow)-ROW(PLE.firstrow))),0,
           IF(OFFSET(PLE!$G$15,$M255-$A$15,CG$13)="",10^12,OFFSET(PLE!$G$15,$M255-$A$15,CG$13)))</f>
        <v>1000000000000</v>
      </c>
      <c r="CH255" s="172">
        <f ca="1">IF(OR($D255&lt;&gt;"Serviço",AND(AUTOEVENTO="Manual",$M255=$A$15),$M255&gt;(ROW(PLE.lastrow)-ROW(PLE.firstrow))),0,
           IF(OFFSET(PLE!$G$15,$M255-$A$15,CH$13)="",10^12,OFFSET(PLE!$G$15,$M255-$A$15,CH$13)))</f>
        <v>1000000000000</v>
      </c>
      <c r="CI255" s="172">
        <f ca="1">IF(OR($D255&lt;&gt;"Serviço",AND(AUTOEVENTO="Manual",$M255=$A$15),$M255&gt;(ROW(PLE.lastrow)-ROW(PLE.firstrow))),0,
           IF(OFFSET(PLE!$G$15,$M255-$A$15,CI$13)="",10^12,OFFSET(PLE!$G$15,$M255-$A$15,CI$13)))</f>
        <v>1000000000000</v>
      </c>
      <c r="CJ255" s="172">
        <f ca="1">IF(OR($D255&lt;&gt;"Serviço",AND(AUTOEVENTO="Manual",$M255=$A$15),$M255&gt;(ROW(PLE.lastrow)-ROW(PLE.firstrow))),0,
           IF(OFFSET(PLE!$G$15,$M255-$A$15,CJ$13)="",10^12,OFFSET(PLE!$G$15,$M255-$A$15,CJ$13)))</f>
        <v>1000000000000</v>
      </c>
      <c r="CK255" s="172">
        <f ca="1">IF(OR($D255&lt;&gt;"Serviço",AND(AUTOEVENTO="Manual",$M255=$A$15),$M255&gt;(ROW(PLE.lastrow)-ROW(PLE.firstrow))),0,
           IF(OFFSET(PLE!$G$15,$M255-$A$15,CK$13)="",10^12,OFFSET(PLE!$G$15,$M255-$A$15,CK$13)))</f>
        <v>1000000000000</v>
      </c>
      <c r="CL255" s="172">
        <f ca="1">IF(OR($D255&lt;&gt;"Serviço",AND(AUTOEVENTO="Manual",$M255=$A$15),$M255&gt;(ROW(PLE.lastrow)-ROW(PLE.firstrow))),0,
           IF(OFFSET(PLE!$G$15,$M255-$A$15,CL$13)="",10^12,OFFSET(PLE!$G$15,$M255-$A$15,CL$13)))</f>
        <v>1000000000000</v>
      </c>
      <c r="CM255" s="172">
        <f ca="1">IF(OR($D255&lt;&gt;"Serviço",AND(AUTOEVENTO="Manual",$M255=$A$15),$M255&gt;(ROW(PLE.lastrow)-ROW(PLE.firstrow))),0,
           IF(OFFSET(PLE!$G$15,$M255-$A$15,CM$13)="",10^12,OFFSET(PLE!$G$15,$M255-$A$15,CM$13)))</f>
        <v>1000000000000</v>
      </c>
    </row>
    <row r="256" spans="1:91" ht="51" x14ac:dyDescent="0.2">
      <c r="A256" s="7">
        <f t="shared" ca="1" si="13"/>
        <v>6</v>
      </c>
      <c r="B256" s="7" t="str">
        <f ca="1">OFFSET(ORÇAMENTO!C$15,ROW(B256)-ROW(B$15),0)</f>
        <v>S</v>
      </c>
      <c r="C256" s="7" t="str">
        <f ca="1">OFFSET(ORÇAMENTO!L$15,ROW(C256)-ROW(C$15),0)</f>
        <v>F</v>
      </c>
      <c r="D256" s="116" t="str">
        <f ca="1">OFFSET(ORÇAMENTO!N$15,ROW(D256)-ROW(D$15),0)</f>
        <v>Serviço</v>
      </c>
      <c r="E256" s="117" t="str">
        <f ca="1">OFFSET(ORÇAMENTO!O$15,ROW(E256)-ROW(E$15),0)</f>
        <v>1.7.1.1.10.</v>
      </c>
      <c r="F256" s="163" t="str">
        <f ca="1">OFFSET(ORÇAMENTO!R$15,ROW(F256)-ROW(F$15),0)</f>
        <v>FORNECIMENTO E COLOCAÇÃO DE MATERIAL PARA O LEITO FILTRANTE - BASEADO EM SEINFRA (C3401)</v>
      </c>
      <c r="G256" s="164" t="str">
        <f ca="1">IF($D256&lt;&gt;"Serviço","",OFFSET(ORÇAMENTO!S$15,ROW(G256)-ROW(G$15),0))</f>
        <v>M3</v>
      </c>
      <c r="H256" s="122" cm="1">
        <f t="array" aca="1" ref="H256" ca="1">IF($D256&lt;&gt;"Serviço",0,IF(ACOMPANHAMENTO="BM",ROUND(OFFSET(ORÇAMENTO!AJ$15,ROW(H256)-ROW(H$15),0),15-13*ORÇAMENTO!$AF$7),SUMPRODUCT(($Q$1:$AI$1=1)*ROUND($Q256:$AI256,15-13*ORÇAMENTO!$AF$7))))</f>
        <v>454</v>
      </c>
      <c r="I256" s="468" t="s">
        <v>1346</v>
      </c>
      <c r="J256" s="640" t="str" cm="1">
        <f t="array" aca="1" ref="J256" ca="1">IF(OR(B256&lt;&gt;"S",CÁLCULO.FrentesPreenchidas=0),"",IF(AND(ACOMPANHAMENTO="PLE",AUTOEVENTO="Manual",OR(H256&gt;0,ORÇAMENTO!AC256="QUANT."),OR(K256="",M256=0,N256="")),"►E",IF(AND(ACOMPANHAMENTO="PLE",ORÇAMENTO!AC256="QUANT."),"►Q",IF(AND(ACOMPANHAMENTO="PLE",H256&lt;&gt;SUMPRODUCT(($Q$1:$AI$1=1)*ROUND(Q256:AI256,15))),"►S",IF(AND(COUNTIF($P$11:$AI$11,"▼")=0,H256&gt;0,I256=""),"◄M","")))))</f>
        <v/>
      </c>
      <c r="K256" s="641" t="s">
        <v>1385</v>
      </c>
      <c r="L256" s="165" t="s">
        <v>764</v>
      </c>
      <c r="M256" s="166">
        <f ca="1">IF($D256&lt;&gt;"Serviço","",
          IF(AUTOEVENTO="manual",$A256,
                IF(ISERROR(MATCH($A256,$A$15:OFFSET($A256,-1,0),0)),MAX($M$15:OFFSET(M256,-1,0))+1,
                      INDEX($M$15:OFFSET(M256,-1,0),MATCH($A256,$A$15:OFFSET($A256,-1,0),0)))))</f>
        <v>6</v>
      </c>
      <c r="N256" s="167" t="str">
        <f ca="1">IF($D256&lt;&gt;"Serviço","",
         IF(AUTOEVENTO="Manual",
                IF($A256=0,"&lt;-- defina o número do agrupador",
                       OFFSET(EVENTOS!$D$15,$A256-$A$15,0)),
                OFFSET($F$15,$A256,0)))</f>
        <v>Saneamento</v>
      </c>
      <c r="O256" s="168"/>
      <c r="Q256" s="168"/>
      <c r="R256" s="169"/>
      <c r="S256" s="169">
        <v>454</v>
      </c>
      <c r="T256" s="169"/>
      <c r="U256" s="169"/>
      <c r="V256" s="169"/>
      <c r="W256" s="169"/>
      <c r="X256" s="169"/>
      <c r="Y256" s="169"/>
      <c r="Z256" s="170"/>
      <c r="AA256" s="169"/>
      <c r="AB256" s="169"/>
      <c r="AC256" s="169"/>
      <c r="AD256" s="169"/>
      <c r="AE256" s="169"/>
      <c r="AF256" s="169"/>
      <c r="AG256" s="169"/>
      <c r="AH256" s="170"/>
      <c r="AJ256" s="453">
        <f ca="1">IF(AND($D256="Serviço",AJ$12&lt;&gt;0,$H256&gt;0,OR(AUTOEVENTO&lt;&gt;"manual",$M256&lt;&gt;$A$15)),
        IF(Import.TipoArredondamento&lt;&gt;"TransfereGOV",
              ROUND(OFFSET($P256,0,AJ$13),15-13*ORÇAMENTO!$AF$7)/$H256*OFFSET(ORÇAMENTO!$X$15,ROW(AJ256)-ROW(AJ$15),0),
              ROUND(ROUND(OFFSET($P256,0,AJ$13),15-13*ORÇAMENTO!$AF$7)*OFFSET(ORÇAMENTO!$W$15,ROW(AJ256)-ROW(AJ$15),0),15-13*ORÇAMENTO!$AF$11)),
         0)</f>
        <v>0</v>
      </c>
      <c r="AK256" s="453">
        <f ca="1">IF(AND($D256="Serviço",AK$12&lt;&gt;0,$H256&gt;0,OR(AUTOEVENTO&lt;&gt;"manual",$M256&lt;&gt;$A$15)),
        IF(Import.TipoArredondamento&lt;&gt;"TransfereGOV",
              ROUND(OFFSET($P256,0,AK$13),15-13*ORÇAMENTO!$AF$7)/$H256*OFFSET(ORÇAMENTO!$X$15,ROW(AK256)-ROW(AK$15),0),
              ROUND(ROUND(OFFSET($P256,0,AK$13),15-13*ORÇAMENTO!$AF$7)*OFFSET(ORÇAMENTO!$W$15,ROW(AK256)-ROW(AK$15),0),15-13*ORÇAMENTO!$AF$11)),
         0)</f>
        <v>0</v>
      </c>
      <c r="AL256" s="453">
        <f ca="1">IF(AND($D256="Serviço",AL$12&lt;&gt;0,$H256&gt;0,OR(AUTOEVENTO&lt;&gt;"manual",$M256&lt;&gt;$A$15)),
        IF(Import.TipoArredondamento&lt;&gt;"TransfereGOV",
              ROUND(OFFSET($P256,0,AL$13),15-13*ORÇAMENTO!$AF$7)/$H256*OFFSET(ORÇAMENTO!$X$15,ROW(AL256)-ROW(AL$15),0),
              ROUND(ROUND(OFFSET($P256,0,AL$13),15-13*ORÇAMENTO!$AF$7)*OFFSET(ORÇAMENTO!$W$15,ROW(AL256)-ROW(AL$15),0),15-13*ORÇAMENTO!$AF$11)),
         0)</f>
        <v>0</v>
      </c>
      <c r="AM256" s="453">
        <f ca="1">IF(AND($D256="Serviço",AM$12&lt;&gt;0,$H256&gt;0,OR(AUTOEVENTO&lt;&gt;"manual",$M256&lt;&gt;$A$15)),
        IF(Import.TipoArredondamento&lt;&gt;"TransfereGOV",
              ROUND(OFFSET($P256,0,AM$13),15-13*ORÇAMENTO!$AF$7)/$H256*OFFSET(ORÇAMENTO!$X$15,ROW(AM256)-ROW(AM$15),0),
              ROUND(ROUND(OFFSET($P256,0,AM$13),15-13*ORÇAMENTO!$AF$7)*OFFSET(ORÇAMENTO!$W$15,ROW(AM256)-ROW(AM$15),0),15-13*ORÇAMENTO!$AF$11)),
         0)</f>
        <v>0</v>
      </c>
      <c r="AN256" s="453">
        <f ca="1">IF(AND($D256="Serviço",AN$12&lt;&gt;0,$H256&gt;0,OR(AUTOEVENTO&lt;&gt;"manual",$M256&lt;&gt;$A$15)),
        IF(Import.TipoArredondamento&lt;&gt;"TransfereGOV",
              ROUND(OFFSET($P256,0,AN$13),15-13*ORÇAMENTO!$AF$7)/$H256*OFFSET(ORÇAMENTO!$X$15,ROW(AN256)-ROW(AN$15),0),
              ROUND(ROUND(OFFSET($P256,0,AN$13),15-13*ORÇAMENTO!$AF$7)*OFFSET(ORÇAMENTO!$W$15,ROW(AN256)-ROW(AN$15),0),15-13*ORÇAMENTO!$AF$11)),
         0)</f>
        <v>0</v>
      </c>
      <c r="AO256" s="453">
        <f ca="1">IF(AND($D256="Serviço",AO$12&lt;&gt;0,$H256&gt;0,OR(AUTOEVENTO&lt;&gt;"manual",$M256&lt;&gt;$A$15)),
        IF(Import.TipoArredondamento&lt;&gt;"TransfereGOV",
              ROUND(OFFSET($P256,0,AO$13),15-13*ORÇAMENTO!$AF$7)/$H256*OFFSET(ORÇAMENTO!$X$15,ROW(AO256)-ROW(AO$15),0),
              ROUND(ROUND(OFFSET($P256,0,AO$13),15-13*ORÇAMENTO!$AF$7)*OFFSET(ORÇAMENTO!$W$15,ROW(AO256)-ROW(AO$15),0),15-13*ORÇAMENTO!$AF$11)),
         0)</f>
        <v>0</v>
      </c>
      <c r="AP256" s="453">
        <f ca="1">IF(AND($D256="Serviço",AP$12&lt;&gt;0,$H256&gt;0,OR(AUTOEVENTO&lt;&gt;"manual",$M256&lt;&gt;$A$15)),
        IF(Import.TipoArredondamento&lt;&gt;"TransfereGOV",
              ROUND(OFFSET($P256,0,AP$13),15-13*ORÇAMENTO!$AF$7)/$H256*OFFSET(ORÇAMENTO!$X$15,ROW(AP256)-ROW(AP$15),0),
              ROUND(ROUND(OFFSET($P256,0,AP$13),15-13*ORÇAMENTO!$AF$7)*OFFSET(ORÇAMENTO!$W$15,ROW(AP256)-ROW(AP$15),0),15-13*ORÇAMENTO!$AF$11)),
         0)</f>
        <v>0</v>
      </c>
      <c r="AQ256" s="453">
        <f ca="1">IF(AND($D256="Serviço",AQ$12&lt;&gt;0,$H256&gt;0,OR(AUTOEVENTO&lt;&gt;"manual",$M256&lt;&gt;$A$15)),
        IF(Import.TipoArredondamento&lt;&gt;"TransfereGOV",
              ROUND(OFFSET($P256,0,AQ$13),15-13*ORÇAMENTO!$AF$7)/$H256*OFFSET(ORÇAMENTO!$X$15,ROW(AQ256)-ROW(AQ$15),0),
              ROUND(ROUND(OFFSET($P256,0,AQ$13),15-13*ORÇAMENTO!$AF$7)*OFFSET(ORÇAMENTO!$W$15,ROW(AQ256)-ROW(AQ$15),0),15-13*ORÇAMENTO!$AF$11)),
         0)</f>
        <v>0</v>
      </c>
      <c r="AR256" s="453">
        <f ca="1">IF(AND($D256="Serviço",AR$12&lt;&gt;0,$H256&gt;0,OR(AUTOEVENTO&lt;&gt;"manual",$M256&lt;&gt;$A$15)),
        IF(Import.TipoArredondamento&lt;&gt;"TransfereGOV",
              ROUND(OFFSET($P256,0,AR$13),15-13*ORÇAMENTO!$AF$7)/$H256*OFFSET(ORÇAMENTO!$X$15,ROW(AR256)-ROW(AR$15),0),
              ROUND(ROUND(OFFSET($P256,0,AR$13),15-13*ORÇAMENTO!$AF$7)*OFFSET(ORÇAMENTO!$W$15,ROW(AR256)-ROW(AR$15),0),15-13*ORÇAMENTO!$AF$11)),
         0)</f>
        <v>0</v>
      </c>
      <c r="AS256" s="453">
        <f ca="1">IF(AND($D256="Serviço",AS$12&lt;&gt;0,$H256&gt;0,OR(AUTOEVENTO&lt;&gt;"manual",$M256&lt;&gt;$A$15)),
        IF(Import.TipoArredondamento&lt;&gt;"TransfereGOV",
              ROUND(OFFSET($P256,0,AS$13),15-13*ORÇAMENTO!$AF$7)/$H256*OFFSET(ORÇAMENTO!$X$15,ROW(AS256)-ROW(AS$15),0),
              ROUND(ROUND(OFFSET($P256,0,AS$13),15-13*ORÇAMENTO!$AF$7)*OFFSET(ORÇAMENTO!$W$15,ROW(AS256)-ROW(AS$15),0),15-13*ORÇAMENTO!$AF$11)),
         0)</f>
        <v>0</v>
      </c>
      <c r="AT256" s="453">
        <f ca="1">IF(AND($D256="Serviço",AT$12&lt;&gt;0,$H256&gt;0,OR(AUTOEVENTO&lt;&gt;"manual",$M256&lt;&gt;$A$15)),
        IF(Import.TipoArredondamento&lt;&gt;"TransfereGOV",
              ROUND(OFFSET($P256,0,AT$13),15-13*ORÇAMENTO!$AF$7)/$H256*OFFSET(ORÇAMENTO!$X$15,ROW(AT256)-ROW(AT$15),0),
              ROUND(ROUND(OFFSET($P256,0,AT$13),15-13*ORÇAMENTO!$AF$7)*OFFSET(ORÇAMENTO!$W$15,ROW(AT256)-ROW(AT$15),0),15-13*ORÇAMENTO!$AF$11)),
         0)</f>
        <v>0</v>
      </c>
      <c r="AU256" s="453">
        <f ca="1">IF(AND($D256="Serviço",AU$12&lt;&gt;0,$H256&gt;0,OR(AUTOEVENTO&lt;&gt;"manual",$M256&lt;&gt;$A$15)),
        IF(Import.TipoArredondamento&lt;&gt;"TransfereGOV",
              ROUND(OFFSET($P256,0,AU$13),15-13*ORÇAMENTO!$AF$7)/$H256*OFFSET(ORÇAMENTO!$X$15,ROW(AU256)-ROW(AU$15),0),
              ROUND(ROUND(OFFSET($P256,0,AU$13),15-13*ORÇAMENTO!$AF$7)*OFFSET(ORÇAMENTO!$W$15,ROW(AU256)-ROW(AU$15),0),15-13*ORÇAMENTO!$AF$11)),
         0)</f>
        <v>0</v>
      </c>
      <c r="AV256" s="453">
        <f ca="1">IF(AND($D256="Serviço",AV$12&lt;&gt;0,$H256&gt;0,OR(AUTOEVENTO&lt;&gt;"manual",$M256&lt;&gt;$A$15)),
        IF(Import.TipoArredondamento&lt;&gt;"TransfereGOV",
              ROUND(OFFSET($P256,0,AV$13),15-13*ORÇAMENTO!$AF$7)/$H256*OFFSET(ORÇAMENTO!$X$15,ROW(AV256)-ROW(AV$15),0),
              ROUND(ROUND(OFFSET($P256,0,AV$13),15-13*ORÇAMENTO!$AF$7)*OFFSET(ORÇAMENTO!$W$15,ROW(AV256)-ROW(AV$15),0),15-13*ORÇAMENTO!$AF$11)),
         0)</f>
        <v>0</v>
      </c>
      <c r="AW256" s="453">
        <f ca="1">IF(AND($D256="Serviço",AW$12&lt;&gt;0,$H256&gt;0,OR(AUTOEVENTO&lt;&gt;"manual",$M256&lt;&gt;$A$15)),
        IF(Import.TipoArredondamento&lt;&gt;"TransfereGOV",
              ROUND(OFFSET($P256,0,AW$13),15-13*ORÇAMENTO!$AF$7)/$H256*OFFSET(ORÇAMENTO!$X$15,ROW(AW256)-ROW(AW$15),0),
              ROUND(ROUND(OFFSET($P256,0,AW$13),15-13*ORÇAMENTO!$AF$7)*OFFSET(ORÇAMENTO!$W$15,ROW(AW256)-ROW(AW$15),0),15-13*ORÇAMENTO!$AF$11)),
         0)</f>
        <v>0</v>
      </c>
      <c r="AX256" s="453">
        <f ca="1">IF(AND($D256="Serviço",AX$12&lt;&gt;0,$H256&gt;0,OR(AUTOEVENTO&lt;&gt;"manual",$M256&lt;&gt;$A$15)),
        IF(Import.TipoArredondamento&lt;&gt;"TransfereGOV",
              ROUND(OFFSET($P256,0,AX$13),15-13*ORÇAMENTO!$AF$7)/$H256*OFFSET(ORÇAMENTO!$X$15,ROW(AX256)-ROW(AX$15),0),
              ROUND(ROUND(OFFSET($P256,0,AX$13),15-13*ORÇAMENTO!$AF$7)*OFFSET(ORÇAMENTO!$W$15,ROW(AX256)-ROW(AX$15),0),15-13*ORÇAMENTO!$AF$11)),
         0)</f>
        <v>0</v>
      </c>
      <c r="AY256" s="453">
        <f ca="1">IF(AND($D256="Serviço",AY$12&lt;&gt;0,$H256&gt;0,OR(AUTOEVENTO&lt;&gt;"manual",$M256&lt;&gt;$A$15)),
        IF(Import.TipoArredondamento&lt;&gt;"TransfereGOV",
              ROUND(OFFSET($P256,0,AY$13),15-13*ORÇAMENTO!$AF$7)/$H256*OFFSET(ORÇAMENTO!$X$15,ROW(AY256)-ROW(AY$15),0),
              ROUND(ROUND(OFFSET($P256,0,AY$13),15-13*ORÇAMENTO!$AF$7)*OFFSET(ORÇAMENTO!$W$15,ROW(AY256)-ROW(AY$15),0),15-13*ORÇAMENTO!$AF$11)),
         0)</f>
        <v>0</v>
      </c>
      <c r="AZ256" s="453">
        <f ca="1">IF(AND($D256="Serviço",AZ$12&lt;&gt;0,$H256&gt;0,OR(AUTOEVENTO&lt;&gt;"manual",$M256&lt;&gt;$A$15)),
        IF(Import.TipoArredondamento&lt;&gt;"TransfereGOV",
              ROUND(OFFSET($P256,0,AZ$13),15-13*ORÇAMENTO!$AF$7)/$H256*OFFSET(ORÇAMENTO!$X$15,ROW(AZ256)-ROW(AZ$15),0),
              ROUND(ROUND(OFFSET($P256,0,AZ$13),15-13*ORÇAMENTO!$AF$7)*OFFSET(ORÇAMENTO!$W$15,ROW(AZ256)-ROW(AZ$15),0),15-13*ORÇAMENTO!$AF$11)),
         0)</f>
        <v>0</v>
      </c>
      <c r="BA256" s="453">
        <f ca="1">IF(AND($D256="Serviço",BA$12&lt;&gt;0,$H256&gt;0,OR(AUTOEVENTO&lt;&gt;"manual",$M256&lt;&gt;$A$15)),
        IF(Import.TipoArredondamento&lt;&gt;"TransfereGOV",
              ROUND(OFFSET($P256,0,BA$13),15-13*ORÇAMENTO!$AF$7)/$H256*OFFSET(ORÇAMENTO!$X$15,ROW(BA256)-ROW(BA$15),0),
              ROUND(ROUND(OFFSET($P256,0,BA$13),15-13*ORÇAMENTO!$AF$7)*OFFSET(ORÇAMENTO!$W$15,ROW(BA256)-ROW(BA$15),0),15-13*ORÇAMENTO!$AF$11)),
         0)</f>
        <v>0</v>
      </c>
      <c r="BC256" s="171">
        <f ca="1">IF(OR($D256&lt;&gt;"Serviço",AND(AUTOEVENTO="Manual",$M256=$A$15)),0,
         IF(OFFSET(CRONOPLE!$F$15,$M256-$A$15,BC$13)=0,10^12,OFFSET(CRONOPLE!$F$15,$M256-$A$15,BC$13)))</f>
        <v>1</v>
      </c>
      <c r="BD256" s="171">
        <f ca="1">IF(OR($D256&lt;&gt;"Serviço",AND(AUTOEVENTO="Manual",$M256=$A$15)),0,
         IF(OFFSET(CRONOPLE!$F$15,$M256-$A$15,BD$13)=0,10^12,OFFSET(CRONOPLE!$F$15,$M256-$A$15,BD$13)))</f>
        <v>2</v>
      </c>
      <c r="BE256" s="171">
        <f ca="1">IF(OR($D256&lt;&gt;"Serviço",AND(AUTOEVENTO="Manual",$M256=$A$15)),0,
         IF(OFFSET(CRONOPLE!$F$15,$M256-$A$15,BE$13)=0,10^12,OFFSET(CRONOPLE!$F$15,$M256-$A$15,BE$13)))</f>
        <v>3</v>
      </c>
      <c r="BF256" s="171">
        <f ca="1">IF(OR($D256&lt;&gt;"Serviço",AND(AUTOEVENTO="Manual",$M256=$A$15)),0,
         IF(OFFSET(CRONOPLE!$F$15,$M256-$A$15,BF$13)=0,10^12,OFFSET(CRONOPLE!$F$15,$M256-$A$15,BF$13)))</f>
        <v>4</v>
      </c>
      <c r="BG256" s="171">
        <f ca="1">IF(OR($D256&lt;&gt;"Serviço",AND(AUTOEVENTO="Manual",$M256=$A$15)),0,
         IF(OFFSET(CRONOPLE!$F$15,$M256-$A$15,BG$13)=0,10^12,OFFSET(CRONOPLE!$F$15,$M256-$A$15,BG$13)))</f>
        <v>5</v>
      </c>
      <c r="BH256" s="171">
        <f ca="1">IF(OR($D256&lt;&gt;"Serviço",AND(AUTOEVENTO="Manual",$M256=$A$15)),0,
         IF(OFFSET(CRONOPLE!$F$15,$M256-$A$15,BH$13)=0,10^12,OFFSET(CRONOPLE!$F$15,$M256-$A$15,BH$13)))</f>
        <v>6</v>
      </c>
      <c r="BI256" s="171">
        <f ca="1">IF(OR($D256&lt;&gt;"Serviço",AND(AUTOEVENTO="Manual",$M256=$A$15)),0,
         IF(OFFSET(CRONOPLE!$F$15,$M256-$A$15,BI$13)=0,10^12,OFFSET(CRONOPLE!$F$15,$M256-$A$15,BI$13)))</f>
        <v>7</v>
      </c>
      <c r="BJ256" s="171">
        <f ca="1">IF(OR($D256&lt;&gt;"Serviço",AND(AUTOEVENTO="Manual",$M256=$A$15)),0,
         IF(OFFSET(CRONOPLE!$F$15,$M256-$A$15,BJ$13)=0,10^12,OFFSET(CRONOPLE!$F$15,$M256-$A$15,BJ$13)))</f>
        <v>8</v>
      </c>
      <c r="BK256" s="171">
        <f ca="1">IF(OR($D256&lt;&gt;"Serviço",AND(AUTOEVENTO="Manual",$M256=$A$15)),0,
         IF(OFFSET(CRONOPLE!$F$15,$M256-$A$15,BK$13)=0,10^12,OFFSET(CRONOPLE!$F$15,$M256-$A$15,BK$13)))</f>
        <v>9</v>
      </c>
      <c r="BL256" s="171">
        <f ca="1">IF(OR($D256&lt;&gt;"Serviço",AND(AUTOEVENTO="Manual",$M256=$A$15)),0,
         IF(OFFSET(CRONOPLE!$F$15,$M256-$A$15,BL$13)=0,10^12,OFFSET(CRONOPLE!$F$15,$M256-$A$15,BL$13)))</f>
        <v>1000000000000</v>
      </c>
      <c r="BM256" s="171">
        <f ca="1">IF(OR($D256&lt;&gt;"Serviço",AND(AUTOEVENTO="Manual",$M256=$A$15)),0,
         IF(OFFSET(CRONOPLE!$F$15,$M256-$A$15,BM$13)=0,10^12,OFFSET(CRONOPLE!$F$15,$M256-$A$15,BM$13)))</f>
        <v>1000000000000</v>
      </c>
      <c r="BN256" s="171">
        <f ca="1">IF(OR($D256&lt;&gt;"Serviço",AND(AUTOEVENTO="Manual",$M256=$A$15)),0,
         IF(OFFSET(CRONOPLE!$F$15,$M256-$A$15,BN$13)=0,10^12,OFFSET(CRONOPLE!$F$15,$M256-$A$15,BN$13)))</f>
        <v>1000000000000</v>
      </c>
      <c r="BO256" s="171">
        <f ca="1">IF(OR($D256&lt;&gt;"Serviço",AND(AUTOEVENTO="Manual",$M256=$A$15)),0,
         IF(OFFSET(CRONOPLE!$F$15,$M256-$A$15,BO$13)=0,10^12,OFFSET(CRONOPLE!$F$15,$M256-$A$15,BO$13)))</f>
        <v>1000000000000</v>
      </c>
      <c r="BP256" s="171">
        <f ca="1">IF(OR($D256&lt;&gt;"Serviço",AND(AUTOEVENTO="Manual",$M256=$A$15)),0,
         IF(OFFSET(CRONOPLE!$F$15,$M256-$A$15,BP$13)=0,10^12,OFFSET(CRONOPLE!$F$15,$M256-$A$15,BP$13)))</f>
        <v>1000000000000</v>
      </c>
      <c r="BQ256" s="171">
        <f ca="1">IF(OR($D256&lt;&gt;"Serviço",AND(AUTOEVENTO="Manual",$M256=$A$15)),0,
         IF(OFFSET(CRONOPLE!$F$15,$M256-$A$15,BQ$13)=0,10^12,OFFSET(CRONOPLE!$F$15,$M256-$A$15,BQ$13)))</f>
        <v>1000000000000</v>
      </c>
      <c r="BR256" s="171">
        <f ca="1">IF(OR($D256&lt;&gt;"Serviço",AND(AUTOEVENTO="Manual",$M256=$A$15)),0,
         IF(OFFSET(CRONOPLE!$F$15,$M256-$A$15,BR$13)=0,10^12,OFFSET(CRONOPLE!$F$15,$M256-$A$15,BR$13)))</f>
        <v>1000000000000</v>
      </c>
      <c r="BS256" s="171">
        <f ca="1">IF(OR($D256&lt;&gt;"Serviço",AND(AUTOEVENTO="Manual",$M256=$A$15)),0,
         IF(OFFSET(CRONOPLE!$F$15,$M256-$A$15,BS$13)=0,10^12,OFFSET(CRONOPLE!$F$15,$M256-$A$15,BS$13)))</f>
        <v>1000000000000</v>
      </c>
      <c r="BT256" s="171">
        <f ca="1">IF(OR($D256&lt;&gt;"Serviço",AND(AUTOEVENTO="Manual",$M256=$A$15)),0,
         IF(OFFSET(CRONOPLE!$F$15,$M256-$A$15,BT$13)=0,10^12,OFFSET(CRONOPLE!$F$15,$M256-$A$15,BT$13)))</f>
        <v>1000000000000</v>
      </c>
      <c r="BV256" s="172">
        <f ca="1">IF(OR($D256&lt;&gt;"Serviço",AND(AUTOEVENTO="Manual",$M256=$A$15),$M256&gt;(ROW(PLE.lastrow)-ROW(PLE.firstrow))),0,
           IF(OFFSET(PLE!$G$15,$M256-$A$15,BV$13)="",10^12,OFFSET(PLE!$G$15,$M256-$A$15,BV$13)))</f>
        <v>1000000000000</v>
      </c>
      <c r="BW256" s="172">
        <f ca="1">IF(OR($D256&lt;&gt;"Serviço",AND(AUTOEVENTO="Manual",$M256=$A$15),$M256&gt;(ROW(PLE.lastrow)-ROW(PLE.firstrow))),0,
           IF(OFFSET(PLE!$G$15,$M256-$A$15,BW$13)="",10^12,OFFSET(PLE!$G$15,$M256-$A$15,BW$13)))</f>
        <v>1000000000000</v>
      </c>
      <c r="BX256" s="172">
        <f ca="1">IF(OR($D256&lt;&gt;"Serviço",AND(AUTOEVENTO="Manual",$M256=$A$15),$M256&gt;(ROW(PLE.lastrow)-ROW(PLE.firstrow))),0,
           IF(OFFSET(PLE!$G$15,$M256-$A$15,BX$13)="",10^12,OFFSET(PLE!$G$15,$M256-$A$15,BX$13)))</f>
        <v>1000000000000</v>
      </c>
      <c r="BY256" s="172">
        <f ca="1">IF(OR($D256&lt;&gt;"Serviço",AND(AUTOEVENTO="Manual",$M256=$A$15),$M256&gt;(ROW(PLE.lastrow)-ROW(PLE.firstrow))),0,
           IF(OFFSET(PLE!$G$15,$M256-$A$15,BY$13)="",10^12,OFFSET(PLE!$G$15,$M256-$A$15,BY$13)))</f>
        <v>1000000000000</v>
      </c>
      <c r="BZ256" s="172">
        <f ca="1">IF(OR($D256&lt;&gt;"Serviço",AND(AUTOEVENTO="Manual",$M256=$A$15),$M256&gt;(ROW(PLE.lastrow)-ROW(PLE.firstrow))),0,
           IF(OFFSET(PLE!$G$15,$M256-$A$15,BZ$13)="",10^12,OFFSET(PLE!$G$15,$M256-$A$15,BZ$13)))</f>
        <v>1000000000000</v>
      </c>
      <c r="CA256" s="172">
        <f ca="1">IF(OR($D256&lt;&gt;"Serviço",AND(AUTOEVENTO="Manual",$M256=$A$15),$M256&gt;(ROW(PLE.lastrow)-ROW(PLE.firstrow))),0,
           IF(OFFSET(PLE!$G$15,$M256-$A$15,CA$13)="",10^12,OFFSET(PLE!$G$15,$M256-$A$15,CA$13)))</f>
        <v>1000000000000</v>
      </c>
      <c r="CB256" s="172">
        <f ca="1">IF(OR($D256&lt;&gt;"Serviço",AND(AUTOEVENTO="Manual",$M256=$A$15),$M256&gt;(ROW(PLE.lastrow)-ROW(PLE.firstrow))),0,
           IF(OFFSET(PLE!$G$15,$M256-$A$15,CB$13)="",10^12,OFFSET(PLE!$G$15,$M256-$A$15,CB$13)))</f>
        <v>1000000000000</v>
      </c>
      <c r="CC256" s="172">
        <f ca="1">IF(OR($D256&lt;&gt;"Serviço",AND(AUTOEVENTO="Manual",$M256=$A$15),$M256&gt;(ROW(PLE.lastrow)-ROW(PLE.firstrow))),0,
           IF(OFFSET(PLE!$G$15,$M256-$A$15,CC$13)="",10^12,OFFSET(PLE!$G$15,$M256-$A$15,CC$13)))</f>
        <v>1000000000000</v>
      </c>
      <c r="CD256" s="172">
        <f ca="1">IF(OR($D256&lt;&gt;"Serviço",AND(AUTOEVENTO="Manual",$M256=$A$15),$M256&gt;(ROW(PLE.lastrow)-ROW(PLE.firstrow))),0,
           IF(OFFSET(PLE!$G$15,$M256-$A$15,CD$13)="",10^12,OFFSET(PLE!$G$15,$M256-$A$15,CD$13)))</f>
        <v>1000000000000</v>
      </c>
      <c r="CE256" s="172">
        <f ca="1">IF(OR($D256&lt;&gt;"Serviço",AND(AUTOEVENTO="Manual",$M256=$A$15),$M256&gt;(ROW(PLE.lastrow)-ROW(PLE.firstrow))),0,
           IF(OFFSET(PLE!$G$15,$M256-$A$15,CE$13)="",10^12,OFFSET(PLE!$G$15,$M256-$A$15,CE$13)))</f>
        <v>1000000000000</v>
      </c>
      <c r="CF256" s="172">
        <f ca="1">IF(OR($D256&lt;&gt;"Serviço",AND(AUTOEVENTO="Manual",$M256=$A$15),$M256&gt;(ROW(PLE.lastrow)-ROW(PLE.firstrow))),0,
           IF(OFFSET(PLE!$G$15,$M256-$A$15,CF$13)="",10^12,OFFSET(PLE!$G$15,$M256-$A$15,CF$13)))</f>
        <v>1000000000000</v>
      </c>
      <c r="CG256" s="172">
        <f ca="1">IF(OR($D256&lt;&gt;"Serviço",AND(AUTOEVENTO="Manual",$M256=$A$15),$M256&gt;(ROW(PLE.lastrow)-ROW(PLE.firstrow))),0,
           IF(OFFSET(PLE!$G$15,$M256-$A$15,CG$13)="",10^12,OFFSET(PLE!$G$15,$M256-$A$15,CG$13)))</f>
        <v>1000000000000</v>
      </c>
      <c r="CH256" s="172">
        <f ca="1">IF(OR($D256&lt;&gt;"Serviço",AND(AUTOEVENTO="Manual",$M256=$A$15),$M256&gt;(ROW(PLE.lastrow)-ROW(PLE.firstrow))),0,
           IF(OFFSET(PLE!$G$15,$M256-$A$15,CH$13)="",10^12,OFFSET(PLE!$G$15,$M256-$A$15,CH$13)))</f>
        <v>1000000000000</v>
      </c>
      <c r="CI256" s="172">
        <f ca="1">IF(OR($D256&lt;&gt;"Serviço",AND(AUTOEVENTO="Manual",$M256=$A$15),$M256&gt;(ROW(PLE.lastrow)-ROW(PLE.firstrow))),0,
           IF(OFFSET(PLE!$G$15,$M256-$A$15,CI$13)="",10^12,OFFSET(PLE!$G$15,$M256-$A$15,CI$13)))</f>
        <v>1000000000000</v>
      </c>
      <c r="CJ256" s="172">
        <f ca="1">IF(OR($D256&lt;&gt;"Serviço",AND(AUTOEVENTO="Manual",$M256=$A$15),$M256&gt;(ROW(PLE.lastrow)-ROW(PLE.firstrow))),0,
           IF(OFFSET(PLE!$G$15,$M256-$A$15,CJ$13)="",10^12,OFFSET(PLE!$G$15,$M256-$A$15,CJ$13)))</f>
        <v>1000000000000</v>
      </c>
      <c r="CK256" s="172">
        <f ca="1">IF(OR($D256&lt;&gt;"Serviço",AND(AUTOEVENTO="Manual",$M256=$A$15),$M256&gt;(ROW(PLE.lastrow)-ROW(PLE.firstrow))),0,
           IF(OFFSET(PLE!$G$15,$M256-$A$15,CK$13)="",10^12,OFFSET(PLE!$G$15,$M256-$A$15,CK$13)))</f>
        <v>1000000000000</v>
      </c>
      <c r="CL256" s="172">
        <f ca="1">IF(OR($D256&lt;&gt;"Serviço",AND(AUTOEVENTO="Manual",$M256=$A$15),$M256&gt;(ROW(PLE.lastrow)-ROW(PLE.firstrow))),0,
           IF(OFFSET(PLE!$G$15,$M256-$A$15,CL$13)="",10^12,OFFSET(PLE!$G$15,$M256-$A$15,CL$13)))</f>
        <v>1000000000000</v>
      </c>
      <c r="CM256" s="172">
        <f ca="1">IF(OR($D256&lt;&gt;"Serviço",AND(AUTOEVENTO="Manual",$M256=$A$15),$M256&gt;(ROW(PLE.lastrow)-ROW(PLE.firstrow))),0,
           IF(OFFSET(PLE!$G$15,$M256-$A$15,CM$13)="",10^12,OFFSET(PLE!$G$15,$M256-$A$15,CM$13)))</f>
        <v>1000000000000</v>
      </c>
    </row>
    <row r="257" spans="1:91" ht="51" x14ac:dyDescent="0.2">
      <c r="A257" s="7">
        <f t="shared" ca="1" si="13"/>
        <v>6</v>
      </c>
      <c r="B257" s="7" t="str">
        <f ca="1">OFFSET(ORÇAMENTO!C$15,ROW(B257)-ROW(B$15),0)</f>
        <v>S</v>
      </c>
      <c r="C257" s="7" t="str">
        <f ca="1">OFFSET(ORÇAMENTO!L$15,ROW(C257)-ROW(C$15),0)</f>
        <v>F</v>
      </c>
      <c r="D257" s="116" t="str">
        <f ca="1">OFFSET(ORÇAMENTO!N$15,ROW(D257)-ROW(D$15),0)</f>
        <v>Serviço</v>
      </c>
      <c r="E257" s="117" t="str">
        <f ca="1">OFFSET(ORÇAMENTO!O$15,ROW(E257)-ROW(E$15),0)</f>
        <v>1.7.1.1.11.</v>
      </c>
      <c r="F257" s="163" t="str">
        <f ca="1">OFFSET(ORÇAMENTO!R$15,ROW(F257)-ROW(F$15),0)</f>
        <v>ARRUELA BORRACHA PARA FLANGE - DN 350 MM</v>
      </c>
      <c r="G257" s="164" t="str">
        <f ca="1">IF($D257&lt;&gt;"Serviço","",OFFSET(ORÇAMENTO!S$15,ROW(G257)-ROW(G$15),0))</f>
        <v>UN</v>
      </c>
      <c r="H257" s="122" cm="1">
        <f t="array" aca="1" ref="H257" ca="1">IF($D257&lt;&gt;"Serviço",0,IF(ACOMPANHAMENTO="BM",ROUND(OFFSET(ORÇAMENTO!AJ$15,ROW(H257)-ROW(H$15),0),15-13*ORÇAMENTO!$AF$7),SUMPRODUCT(($Q$1:$AI$1=1)*ROUND($Q257:$AI257,15-13*ORÇAMENTO!$AF$7))))</f>
        <v>2</v>
      </c>
      <c r="I257" s="468" t="s">
        <v>1346</v>
      </c>
      <c r="J257" s="640" t="str" cm="1">
        <f t="array" aca="1" ref="J257" ca="1">IF(OR(B257&lt;&gt;"S",CÁLCULO.FrentesPreenchidas=0),"",IF(AND(ACOMPANHAMENTO="PLE",AUTOEVENTO="Manual",OR(H257&gt;0,ORÇAMENTO!AC257="QUANT."),OR(K257="",M257=0,N257="")),"►E",IF(AND(ACOMPANHAMENTO="PLE",ORÇAMENTO!AC257="QUANT."),"►Q",IF(AND(ACOMPANHAMENTO="PLE",H257&lt;&gt;SUMPRODUCT(($Q$1:$AI$1=1)*ROUND(Q257:AI257,15))),"►S",IF(AND(COUNTIF($P$11:$AI$11,"▼")=0,H257&gt;0,I257=""),"◄M","")))))</f>
        <v/>
      </c>
      <c r="K257" s="641" t="s">
        <v>1385</v>
      </c>
      <c r="L257" s="165" t="s">
        <v>764</v>
      </c>
      <c r="M257" s="166">
        <f ca="1">IF($D257&lt;&gt;"Serviço","",
          IF(AUTOEVENTO="manual",$A257,
                IF(ISERROR(MATCH($A257,$A$15:OFFSET($A257,-1,0),0)),MAX($M$15:OFFSET(M257,-1,0))+1,
                      INDEX($M$15:OFFSET(M257,-1,0),MATCH($A257,$A$15:OFFSET($A257,-1,0),0)))))</f>
        <v>6</v>
      </c>
      <c r="N257" s="167" t="str">
        <f ca="1">IF($D257&lt;&gt;"Serviço","",
         IF(AUTOEVENTO="Manual",
                IF($A257=0,"&lt;-- defina o número do agrupador",
                       OFFSET(EVENTOS!$D$15,$A257-$A$15,0)),
                OFFSET($F$15,$A257,0)))</f>
        <v>Saneamento</v>
      </c>
      <c r="O257" s="168"/>
      <c r="Q257" s="168"/>
      <c r="R257" s="169"/>
      <c r="S257" s="169">
        <v>2</v>
      </c>
      <c r="T257" s="169"/>
      <c r="U257" s="169"/>
      <c r="V257" s="169"/>
      <c r="W257" s="169"/>
      <c r="X257" s="169"/>
      <c r="Y257" s="169"/>
      <c r="Z257" s="170"/>
      <c r="AA257" s="169"/>
      <c r="AB257" s="169"/>
      <c r="AC257" s="169"/>
      <c r="AD257" s="169"/>
      <c r="AE257" s="169"/>
      <c r="AF257" s="169"/>
      <c r="AG257" s="169"/>
      <c r="AH257" s="170"/>
      <c r="AJ257" s="453">
        <f ca="1">IF(AND($D257="Serviço",AJ$12&lt;&gt;0,$H257&gt;0,OR(AUTOEVENTO&lt;&gt;"manual",$M257&lt;&gt;$A$15)),
        IF(Import.TipoArredondamento&lt;&gt;"TransfereGOV",
              ROUND(OFFSET($P257,0,AJ$13),15-13*ORÇAMENTO!$AF$7)/$H257*OFFSET(ORÇAMENTO!$X$15,ROW(AJ257)-ROW(AJ$15),0),
              ROUND(ROUND(OFFSET($P257,0,AJ$13),15-13*ORÇAMENTO!$AF$7)*OFFSET(ORÇAMENTO!$W$15,ROW(AJ257)-ROW(AJ$15),0),15-13*ORÇAMENTO!$AF$11)),
         0)</f>
        <v>0</v>
      </c>
      <c r="AK257" s="453">
        <f ca="1">IF(AND($D257="Serviço",AK$12&lt;&gt;0,$H257&gt;0,OR(AUTOEVENTO&lt;&gt;"manual",$M257&lt;&gt;$A$15)),
        IF(Import.TipoArredondamento&lt;&gt;"TransfereGOV",
              ROUND(OFFSET($P257,0,AK$13),15-13*ORÇAMENTO!$AF$7)/$H257*OFFSET(ORÇAMENTO!$X$15,ROW(AK257)-ROW(AK$15),0),
              ROUND(ROUND(OFFSET($P257,0,AK$13),15-13*ORÇAMENTO!$AF$7)*OFFSET(ORÇAMENTO!$W$15,ROW(AK257)-ROW(AK$15),0),15-13*ORÇAMENTO!$AF$11)),
         0)</f>
        <v>0</v>
      </c>
      <c r="AL257" s="453">
        <f ca="1">IF(AND($D257="Serviço",AL$12&lt;&gt;0,$H257&gt;0,OR(AUTOEVENTO&lt;&gt;"manual",$M257&lt;&gt;$A$15)),
        IF(Import.TipoArredondamento&lt;&gt;"TransfereGOV",
              ROUND(OFFSET($P257,0,AL$13),15-13*ORÇAMENTO!$AF$7)/$H257*OFFSET(ORÇAMENTO!$X$15,ROW(AL257)-ROW(AL$15),0),
              ROUND(ROUND(OFFSET($P257,0,AL$13),15-13*ORÇAMENTO!$AF$7)*OFFSET(ORÇAMENTO!$W$15,ROW(AL257)-ROW(AL$15),0),15-13*ORÇAMENTO!$AF$11)),
         0)</f>
        <v>0</v>
      </c>
      <c r="AM257" s="453">
        <f ca="1">IF(AND($D257="Serviço",AM$12&lt;&gt;0,$H257&gt;0,OR(AUTOEVENTO&lt;&gt;"manual",$M257&lt;&gt;$A$15)),
        IF(Import.TipoArredondamento&lt;&gt;"TransfereGOV",
              ROUND(OFFSET($P257,0,AM$13),15-13*ORÇAMENTO!$AF$7)/$H257*OFFSET(ORÇAMENTO!$X$15,ROW(AM257)-ROW(AM$15),0),
              ROUND(ROUND(OFFSET($P257,0,AM$13),15-13*ORÇAMENTO!$AF$7)*OFFSET(ORÇAMENTO!$W$15,ROW(AM257)-ROW(AM$15),0),15-13*ORÇAMENTO!$AF$11)),
         0)</f>
        <v>0</v>
      </c>
      <c r="AN257" s="453">
        <f ca="1">IF(AND($D257="Serviço",AN$12&lt;&gt;0,$H257&gt;0,OR(AUTOEVENTO&lt;&gt;"manual",$M257&lt;&gt;$A$15)),
        IF(Import.TipoArredondamento&lt;&gt;"TransfereGOV",
              ROUND(OFFSET($P257,0,AN$13),15-13*ORÇAMENTO!$AF$7)/$H257*OFFSET(ORÇAMENTO!$X$15,ROW(AN257)-ROW(AN$15),0),
              ROUND(ROUND(OFFSET($P257,0,AN$13),15-13*ORÇAMENTO!$AF$7)*OFFSET(ORÇAMENTO!$W$15,ROW(AN257)-ROW(AN$15),0),15-13*ORÇAMENTO!$AF$11)),
         0)</f>
        <v>0</v>
      </c>
      <c r="AO257" s="453">
        <f ca="1">IF(AND($D257="Serviço",AO$12&lt;&gt;0,$H257&gt;0,OR(AUTOEVENTO&lt;&gt;"manual",$M257&lt;&gt;$A$15)),
        IF(Import.TipoArredondamento&lt;&gt;"TransfereGOV",
              ROUND(OFFSET($P257,0,AO$13),15-13*ORÇAMENTO!$AF$7)/$H257*OFFSET(ORÇAMENTO!$X$15,ROW(AO257)-ROW(AO$15),0),
              ROUND(ROUND(OFFSET($P257,0,AO$13),15-13*ORÇAMENTO!$AF$7)*OFFSET(ORÇAMENTO!$W$15,ROW(AO257)-ROW(AO$15),0),15-13*ORÇAMENTO!$AF$11)),
         0)</f>
        <v>0</v>
      </c>
      <c r="AP257" s="453">
        <f ca="1">IF(AND($D257="Serviço",AP$12&lt;&gt;0,$H257&gt;0,OR(AUTOEVENTO&lt;&gt;"manual",$M257&lt;&gt;$A$15)),
        IF(Import.TipoArredondamento&lt;&gt;"TransfereGOV",
              ROUND(OFFSET($P257,0,AP$13),15-13*ORÇAMENTO!$AF$7)/$H257*OFFSET(ORÇAMENTO!$X$15,ROW(AP257)-ROW(AP$15),0),
              ROUND(ROUND(OFFSET($P257,0,AP$13),15-13*ORÇAMENTO!$AF$7)*OFFSET(ORÇAMENTO!$W$15,ROW(AP257)-ROW(AP$15),0),15-13*ORÇAMENTO!$AF$11)),
         0)</f>
        <v>0</v>
      </c>
      <c r="AQ257" s="453">
        <f ca="1">IF(AND($D257="Serviço",AQ$12&lt;&gt;0,$H257&gt;0,OR(AUTOEVENTO&lt;&gt;"manual",$M257&lt;&gt;$A$15)),
        IF(Import.TipoArredondamento&lt;&gt;"TransfereGOV",
              ROUND(OFFSET($P257,0,AQ$13),15-13*ORÇAMENTO!$AF$7)/$H257*OFFSET(ORÇAMENTO!$X$15,ROW(AQ257)-ROW(AQ$15),0),
              ROUND(ROUND(OFFSET($P257,0,AQ$13),15-13*ORÇAMENTO!$AF$7)*OFFSET(ORÇAMENTO!$W$15,ROW(AQ257)-ROW(AQ$15),0),15-13*ORÇAMENTO!$AF$11)),
         0)</f>
        <v>0</v>
      </c>
      <c r="AR257" s="453">
        <f ca="1">IF(AND($D257="Serviço",AR$12&lt;&gt;0,$H257&gt;0,OR(AUTOEVENTO&lt;&gt;"manual",$M257&lt;&gt;$A$15)),
        IF(Import.TipoArredondamento&lt;&gt;"TransfereGOV",
              ROUND(OFFSET($P257,0,AR$13),15-13*ORÇAMENTO!$AF$7)/$H257*OFFSET(ORÇAMENTO!$X$15,ROW(AR257)-ROW(AR$15),0),
              ROUND(ROUND(OFFSET($P257,0,AR$13),15-13*ORÇAMENTO!$AF$7)*OFFSET(ORÇAMENTO!$W$15,ROW(AR257)-ROW(AR$15),0),15-13*ORÇAMENTO!$AF$11)),
         0)</f>
        <v>0</v>
      </c>
      <c r="AS257" s="453">
        <f ca="1">IF(AND($D257="Serviço",AS$12&lt;&gt;0,$H257&gt;0,OR(AUTOEVENTO&lt;&gt;"manual",$M257&lt;&gt;$A$15)),
        IF(Import.TipoArredondamento&lt;&gt;"TransfereGOV",
              ROUND(OFFSET($P257,0,AS$13),15-13*ORÇAMENTO!$AF$7)/$H257*OFFSET(ORÇAMENTO!$X$15,ROW(AS257)-ROW(AS$15),0),
              ROUND(ROUND(OFFSET($P257,0,AS$13),15-13*ORÇAMENTO!$AF$7)*OFFSET(ORÇAMENTO!$W$15,ROW(AS257)-ROW(AS$15),0),15-13*ORÇAMENTO!$AF$11)),
         0)</f>
        <v>0</v>
      </c>
      <c r="AT257" s="453">
        <f ca="1">IF(AND($D257="Serviço",AT$12&lt;&gt;0,$H257&gt;0,OR(AUTOEVENTO&lt;&gt;"manual",$M257&lt;&gt;$A$15)),
        IF(Import.TipoArredondamento&lt;&gt;"TransfereGOV",
              ROUND(OFFSET($P257,0,AT$13),15-13*ORÇAMENTO!$AF$7)/$H257*OFFSET(ORÇAMENTO!$X$15,ROW(AT257)-ROW(AT$15),0),
              ROUND(ROUND(OFFSET($P257,0,AT$13),15-13*ORÇAMENTO!$AF$7)*OFFSET(ORÇAMENTO!$W$15,ROW(AT257)-ROW(AT$15),0),15-13*ORÇAMENTO!$AF$11)),
         0)</f>
        <v>0</v>
      </c>
      <c r="AU257" s="453">
        <f ca="1">IF(AND($D257="Serviço",AU$12&lt;&gt;0,$H257&gt;0,OR(AUTOEVENTO&lt;&gt;"manual",$M257&lt;&gt;$A$15)),
        IF(Import.TipoArredondamento&lt;&gt;"TransfereGOV",
              ROUND(OFFSET($P257,0,AU$13),15-13*ORÇAMENTO!$AF$7)/$H257*OFFSET(ORÇAMENTO!$X$15,ROW(AU257)-ROW(AU$15),0),
              ROUND(ROUND(OFFSET($P257,0,AU$13),15-13*ORÇAMENTO!$AF$7)*OFFSET(ORÇAMENTO!$W$15,ROW(AU257)-ROW(AU$15),0),15-13*ORÇAMENTO!$AF$11)),
         0)</f>
        <v>0</v>
      </c>
      <c r="AV257" s="453">
        <f ca="1">IF(AND($D257="Serviço",AV$12&lt;&gt;0,$H257&gt;0,OR(AUTOEVENTO&lt;&gt;"manual",$M257&lt;&gt;$A$15)),
        IF(Import.TipoArredondamento&lt;&gt;"TransfereGOV",
              ROUND(OFFSET($P257,0,AV$13),15-13*ORÇAMENTO!$AF$7)/$H257*OFFSET(ORÇAMENTO!$X$15,ROW(AV257)-ROW(AV$15),0),
              ROUND(ROUND(OFFSET($P257,0,AV$13),15-13*ORÇAMENTO!$AF$7)*OFFSET(ORÇAMENTO!$W$15,ROW(AV257)-ROW(AV$15),0),15-13*ORÇAMENTO!$AF$11)),
         0)</f>
        <v>0</v>
      </c>
      <c r="AW257" s="453">
        <f ca="1">IF(AND($D257="Serviço",AW$12&lt;&gt;0,$H257&gt;0,OR(AUTOEVENTO&lt;&gt;"manual",$M257&lt;&gt;$A$15)),
        IF(Import.TipoArredondamento&lt;&gt;"TransfereGOV",
              ROUND(OFFSET($P257,0,AW$13),15-13*ORÇAMENTO!$AF$7)/$H257*OFFSET(ORÇAMENTO!$X$15,ROW(AW257)-ROW(AW$15),0),
              ROUND(ROUND(OFFSET($P257,0,AW$13),15-13*ORÇAMENTO!$AF$7)*OFFSET(ORÇAMENTO!$W$15,ROW(AW257)-ROW(AW$15),0),15-13*ORÇAMENTO!$AF$11)),
         0)</f>
        <v>0</v>
      </c>
      <c r="AX257" s="453">
        <f ca="1">IF(AND($D257="Serviço",AX$12&lt;&gt;0,$H257&gt;0,OR(AUTOEVENTO&lt;&gt;"manual",$M257&lt;&gt;$A$15)),
        IF(Import.TipoArredondamento&lt;&gt;"TransfereGOV",
              ROUND(OFFSET($P257,0,AX$13),15-13*ORÇAMENTO!$AF$7)/$H257*OFFSET(ORÇAMENTO!$X$15,ROW(AX257)-ROW(AX$15),0),
              ROUND(ROUND(OFFSET($P257,0,AX$13),15-13*ORÇAMENTO!$AF$7)*OFFSET(ORÇAMENTO!$W$15,ROW(AX257)-ROW(AX$15),0),15-13*ORÇAMENTO!$AF$11)),
         0)</f>
        <v>0</v>
      </c>
      <c r="AY257" s="453">
        <f ca="1">IF(AND($D257="Serviço",AY$12&lt;&gt;0,$H257&gt;0,OR(AUTOEVENTO&lt;&gt;"manual",$M257&lt;&gt;$A$15)),
        IF(Import.TipoArredondamento&lt;&gt;"TransfereGOV",
              ROUND(OFFSET($P257,0,AY$13),15-13*ORÇAMENTO!$AF$7)/$H257*OFFSET(ORÇAMENTO!$X$15,ROW(AY257)-ROW(AY$15),0),
              ROUND(ROUND(OFFSET($P257,0,AY$13),15-13*ORÇAMENTO!$AF$7)*OFFSET(ORÇAMENTO!$W$15,ROW(AY257)-ROW(AY$15),0),15-13*ORÇAMENTO!$AF$11)),
         0)</f>
        <v>0</v>
      </c>
      <c r="AZ257" s="453">
        <f ca="1">IF(AND($D257="Serviço",AZ$12&lt;&gt;0,$H257&gt;0,OR(AUTOEVENTO&lt;&gt;"manual",$M257&lt;&gt;$A$15)),
        IF(Import.TipoArredondamento&lt;&gt;"TransfereGOV",
              ROUND(OFFSET($P257,0,AZ$13),15-13*ORÇAMENTO!$AF$7)/$H257*OFFSET(ORÇAMENTO!$X$15,ROW(AZ257)-ROW(AZ$15),0),
              ROUND(ROUND(OFFSET($P257,0,AZ$13),15-13*ORÇAMENTO!$AF$7)*OFFSET(ORÇAMENTO!$W$15,ROW(AZ257)-ROW(AZ$15),0),15-13*ORÇAMENTO!$AF$11)),
         0)</f>
        <v>0</v>
      </c>
      <c r="BA257" s="453">
        <f ca="1">IF(AND($D257="Serviço",BA$12&lt;&gt;0,$H257&gt;0,OR(AUTOEVENTO&lt;&gt;"manual",$M257&lt;&gt;$A$15)),
        IF(Import.TipoArredondamento&lt;&gt;"TransfereGOV",
              ROUND(OFFSET($P257,0,BA$13),15-13*ORÇAMENTO!$AF$7)/$H257*OFFSET(ORÇAMENTO!$X$15,ROW(BA257)-ROW(BA$15),0),
              ROUND(ROUND(OFFSET($P257,0,BA$13),15-13*ORÇAMENTO!$AF$7)*OFFSET(ORÇAMENTO!$W$15,ROW(BA257)-ROW(BA$15),0),15-13*ORÇAMENTO!$AF$11)),
         0)</f>
        <v>0</v>
      </c>
      <c r="BC257" s="171">
        <f ca="1">IF(OR($D257&lt;&gt;"Serviço",AND(AUTOEVENTO="Manual",$M257=$A$15)),0,
         IF(OFFSET(CRONOPLE!$F$15,$M257-$A$15,BC$13)=0,10^12,OFFSET(CRONOPLE!$F$15,$M257-$A$15,BC$13)))</f>
        <v>1</v>
      </c>
      <c r="BD257" s="171">
        <f ca="1">IF(OR($D257&lt;&gt;"Serviço",AND(AUTOEVENTO="Manual",$M257=$A$15)),0,
         IF(OFFSET(CRONOPLE!$F$15,$M257-$A$15,BD$13)=0,10^12,OFFSET(CRONOPLE!$F$15,$M257-$A$15,BD$13)))</f>
        <v>2</v>
      </c>
      <c r="BE257" s="171">
        <f ca="1">IF(OR($D257&lt;&gt;"Serviço",AND(AUTOEVENTO="Manual",$M257=$A$15)),0,
         IF(OFFSET(CRONOPLE!$F$15,$M257-$A$15,BE$13)=0,10^12,OFFSET(CRONOPLE!$F$15,$M257-$A$15,BE$13)))</f>
        <v>3</v>
      </c>
      <c r="BF257" s="171">
        <f ca="1">IF(OR($D257&lt;&gt;"Serviço",AND(AUTOEVENTO="Manual",$M257=$A$15)),0,
         IF(OFFSET(CRONOPLE!$F$15,$M257-$A$15,BF$13)=0,10^12,OFFSET(CRONOPLE!$F$15,$M257-$A$15,BF$13)))</f>
        <v>4</v>
      </c>
      <c r="BG257" s="171">
        <f ca="1">IF(OR($D257&lt;&gt;"Serviço",AND(AUTOEVENTO="Manual",$M257=$A$15)),0,
         IF(OFFSET(CRONOPLE!$F$15,$M257-$A$15,BG$13)=0,10^12,OFFSET(CRONOPLE!$F$15,$M257-$A$15,BG$13)))</f>
        <v>5</v>
      </c>
      <c r="BH257" s="171">
        <f ca="1">IF(OR($D257&lt;&gt;"Serviço",AND(AUTOEVENTO="Manual",$M257=$A$15)),0,
         IF(OFFSET(CRONOPLE!$F$15,$M257-$A$15,BH$13)=0,10^12,OFFSET(CRONOPLE!$F$15,$M257-$A$15,BH$13)))</f>
        <v>6</v>
      </c>
      <c r="BI257" s="171">
        <f ca="1">IF(OR($D257&lt;&gt;"Serviço",AND(AUTOEVENTO="Manual",$M257=$A$15)),0,
         IF(OFFSET(CRONOPLE!$F$15,$M257-$A$15,BI$13)=0,10^12,OFFSET(CRONOPLE!$F$15,$M257-$A$15,BI$13)))</f>
        <v>7</v>
      </c>
      <c r="BJ257" s="171">
        <f ca="1">IF(OR($D257&lt;&gt;"Serviço",AND(AUTOEVENTO="Manual",$M257=$A$15)),0,
         IF(OFFSET(CRONOPLE!$F$15,$M257-$A$15,BJ$13)=0,10^12,OFFSET(CRONOPLE!$F$15,$M257-$A$15,BJ$13)))</f>
        <v>8</v>
      </c>
      <c r="BK257" s="171">
        <f ca="1">IF(OR($D257&lt;&gt;"Serviço",AND(AUTOEVENTO="Manual",$M257=$A$15)),0,
         IF(OFFSET(CRONOPLE!$F$15,$M257-$A$15,BK$13)=0,10^12,OFFSET(CRONOPLE!$F$15,$M257-$A$15,BK$13)))</f>
        <v>9</v>
      </c>
      <c r="BL257" s="171">
        <f ca="1">IF(OR($D257&lt;&gt;"Serviço",AND(AUTOEVENTO="Manual",$M257=$A$15)),0,
         IF(OFFSET(CRONOPLE!$F$15,$M257-$A$15,BL$13)=0,10^12,OFFSET(CRONOPLE!$F$15,$M257-$A$15,BL$13)))</f>
        <v>1000000000000</v>
      </c>
      <c r="BM257" s="171">
        <f ca="1">IF(OR($D257&lt;&gt;"Serviço",AND(AUTOEVENTO="Manual",$M257=$A$15)),0,
         IF(OFFSET(CRONOPLE!$F$15,$M257-$A$15,BM$13)=0,10^12,OFFSET(CRONOPLE!$F$15,$M257-$A$15,BM$13)))</f>
        <v>1000000000000</v>
      </c>
      <c r="BN257" s="171">
        <f ca="1">IF(OR($D257&lt;&gt;"Serviço",AND(AUTOEVENTO="Manual",$M257=$A$15)),0,
         IF(OFFSET(CRONOPLE!$F$15,$M257-$A$15,BN$13)=0,10^12,OFFSET(CRONOPLE!$F$15,$M257-$A$15,BN$13)))</f>
        <v>1000000000000</v>
      </c>
      <c r="BO257" s="171">
        <f ca="1">IF(OR($D257&lt;&gt;"Serviço",AND(AUTOEVENTO="Manual",$M257=$A$15)),0,
         IF(OFFSET(CRONOPLE!$F$15,$M257-$A$15,BO$13)=0,10^12,OFFSET(CRONOPLE!$F$15,$M257-$A$15,BO$13)))</f>
        <v>1000000000000</v>
      </c>
      <c r="BP257" s="171">
        <f ca="1">IF(OR($D257&lt;&gt;"Serviço",AND(AUTOEVENTO="Manual",$M257=$A$15)),0,
         IF(OFFSET(CRONOPLE!$F$15,$M257-$A$15,BP$13)=0,10^12,OFFSET(CRONOPLE!$F$15,$M257-$A$15,BP$13)))</f>
        <v>1000000000000</v>
      </c>
      <c r="BQ257" s="171">
        <f ca="1">IF(OR($D257&lt;&gt;"Serviço",AND(AUTOEVENTO="Manual",$M257=$A$15)),0,
         IF(OFFSET(CRONOPLE!$F$15,$M257-$A$15,BQ$13)=0,10^12,OFFSET(CRONOPLE!$F$15,$M257-$A$15,BQ$13)))</f>
        <v>1000000000000</v>
      </c>
      <c r="BR257" s="171">
        <f ca="1">IF(OR($D257&lt;&gt;"Serviço",AND(AUTOEVENTO="Manual",$M257=$A$15)),0,
         IF(OFFSET(CRONOPLE!$F$15,$M257-$A$15,BR$13)=0,10^12,OFFSET(CRONOPLE!$F$15,$M257-$A$15,BR$13)))</f>
        <v>1000000000000</v>
      </c>
      <c r="BS257" s="171">
        <f ca="1">IF(OR($D257&lt;&gt;"Serviço",AND(AUTOEVENTO="Manual",$M257=$A$15)),0,
         IF(OFFSET(CRONOPLE!$F$15,$M257-$A$15,BS$13)=0,10^12,OFFSET(CRONOPLE!$F$15,$M257-$A$15,BS$13)))</f>
        <v>1000000000000</v>
      </c>
      <c r="BT257" s="171">
        <f ca="1">IF(OR($D257&lt;&gt;"Serviço",AND(AUTOEVENTO="Manual",$M257=$A$15)),0,
         IF(OFFSET(CRONOPLE!$F$15,$M257-$A$15,BT$13)=0,10^12,OFFSET(CRONOPLE!$F$15,$M257-$A$15,BT$13)))</f>
        <v>1000000000000</v>
      </c>
      <c r="BV257" s="172">
        <f ca="1">IF(OR($D257&lt;&gt;"Serviço",AND(AUTOEVENTO="Manual",$M257=$A$15),$M257&gt;(ROW(PLE.lastrow)-ROW(PLE.firstrow))),0,
           IF(OFFSET(PLE!$G$15,$M257-$A$15,BV$13)="",10^12,OFFSET(PLE!$G$15,$M257-$A$15,BV$13)))</f>
        <v>1000000000000</v>
      </c>
      <c r="BW257" s="172">
        <f ca="1">IF(OR($D257&lt;&gt;"Serviço",AND(AUTOEVENTO="Manual",$M257=$A$15),$M257&gt;(ROW(PLE.lastrow)-ROW(PLE.firstrow))),0,
           IF(OFFSET(PLE!$G$15,$M257-$A$15,BW$13)="",10^12,OFFSET(PLE!$G$15,$M257-$A$15,BW$13)))</f>
        <v>1000000000000</v>
      </c>
      <c r="BX257" s="172">
        <f ca="1">IF(OR($D257&lt;&gt;"Serviço",AND(AUTOEVENTO="Manual",$M257=$A$15),$M257&gt;(ROW(PLE.lastrow)-ROW(PLE.firstrow))),0,
           IF(OFFSET(PLE!$G$15,$M257-$A$15,BX$13)="",10^12,OFFSET(PLE!$G$15,$M257-$A$15,BX$13)))</f>
        <v>1000000000000</v>
      </c>
      <c r="BY257" s="172">
        <f ca="1">IF(OR($D257&lt;&gt;"Serviço",AND(AUTOEVENTO="Manual",$M257=$A$15),$M257&gt;(ROW(PLE.lastrow)-ROW(PLE.firstrow))),0,
           IF(OFFSET(PLE!$G$15,$M257-$A$15,BY$13)="",10^12,OFFSET(PLE!$G$15,$M257-$A$15,BY$13)))</f>
        <v>1000000000000</v>
      </c>
      <c r="BZ257" s="172">
        <f ca="1">IF(OR($D257&lt;&gt;"Serviço",AND(AUTOEVENTO="Manual",$M257=$A$15),$M257&gt;(ROW(PLE.lastrow)-ROW(PLE.firstrow))),0,
           IF(OFFSET(PLE!$G$15,$M257-$A$15,BZ$13)="",10^12,OFFSET(PLE!$G$15,$M257-$A$15,BZ$13)))</f>
        <v>1000000000000</v>
      </c>
      <c r="CA257" s="172">
        <f ca="1">IF(OR($D257&lt;&gt;"Serviço",AND(AUTOEVENTO="Manual",$M257=$A$15),$M257&gt;(ROW(PLE.lastrow)-ROW(PLE.firstrow))),0,
           IF(OFFSET(PLE!$G$15,$M257-$A$15,CA$13)="",10^12,OFFSET(PLE!$G$15,$M257-$A$15,CA$13)))</f>
        <v>1000000000000</v>
      </c>
      <c r="CB257" s="172">
        <f ca="1">IF(OR($D257&lt;&gt;"Serviço",AND(AUTOEVENTO="Manual",$M257=$A$15),$M257&gt;(ROW(PLE.lastrow)-ROW(PLE.firstrow))),0,
           IF(OFFSET(PLE!$G$15,$M257-$A$15,CB$13)="",10^12,OFFSET(PLE!$G$15,$M257-$A$15,CB$13)))</f>
        <v>1000000000000</v>
      </c>
      <c r="CC257" s="172">
        <f ca="1">IF(OR($D257&lt;&gt;"Serviço",AND(AUTOEVENTO="Manual",$M257=$A$15),$M257&gt;(ROW(PLE.lastrow)-ROW(PLE.firstrow))),0,
           IF(OFFSET(PLE!$G$15,$M257-$A$15,CC$13)="",10^12,OFFSET(PLE!$G$15,$M257-$A$15,CC$13)))</f>
        <v>1000000000000</v>
      </c>
      <c r="CD257" s="172">
        <f ca="1">IF(OR($D257&lt;&gt;"Serviço",AND(AUTOEVENTO="Manual",$M257=$A$15),$M257&gt;(ROW(PLE.lastrow)-ROW(PLE.firstrow))),0,
           IF(OFFSET(PLE!$G$15,$M257-$A$15,CD$13)="",10^12,OFFSET(PLE!$G$15,$M257-$A$15,CD$13)))</f>
        <v>1000000000000</v>
      </c>
      <c r="CE257" s="172">
        <f ca="1">IF(OR($D257&lt;&gt;"Serviço",AND(AUTOEVENTO="Manual",$M257=$A$15),$M257&gt;(ROW(PLE.lastrow)-ROW(PLE.firstrow))),0,
           IF(OFFSET(PLE!$G$15,$M257-$A$15,CE$13)="",10^12,OFFSET(PLE!$G$15,$M257-$A$15,CE$13)))</f>
        <v>1000000000000</v>
      </c>
      <c r="CF257" s="172">
        <f ca="1">IF(OR($D257&lt;&gt;"Serviço",AND(AUTOEVENTO="Manual",$M257=$A$15),$M257&gt;(ROW(PLE.lastrow)-ROW(PLE.firstrow))),0,
           IF(OFFSET(PLE!$G$15,$M257-$A$15,CF$13)="",10^12,OFFSET(PLE!$G$15,$M257-$A$15,CF$13)))</f>
        <v>1000000000000</v>
      </c>
      <c r="CG257" s="172">
        <f ca="1">IF(OR($D257&lt;&gt;"Serviço",AND(AUTOEVENTO="Manual",$M257=$A$15),$M257&gt;(ROW(PLE.lastrow)-ROW(PLE.firstrow))),0,
           IF(OFFSET(PLE!$G$15,$M257-$A$15,CG$13)="",10^12,OFFSET(PLE!$G$15,$M257-$A$15,CG$13)))</f>
        <v>1000000000000</v>
      </c>
      <c r="CH257" s="172">
        <f ca="1">IF(OR($D257&lt;&gt;"Serviço",AND(AUTOEVENTO="Manual",$M257=$A$15),$M257&gt;(ROW(PLE.lastrow)-ROW(PLE.firstrow))),0,
           IF(OFFSET(PLE!$G$15,$M257-$A$15,CH$13)="",10^12,OFFSET(PLE!$G$15,$M257-$A$15,CH$13)))</f>
        <v>1000000000000</v>
      </c>
      <c r="CI257" s="172">
        <f ca="1">IF(OR($D257&lt;&gt;"Serviço",AND(AUTOEVENTO="Manual",$M257=$A$15),$M257&gt;(ROW(PLE.lastrow)-ROW(PLE.firstrow))),0,
           IF(OFFSET(PLE!$G$15,$M257-$A$15,CI$13)="",10^12,OFFSET(PLE!$G$15,$M257-$A$15,CI$13)))</f>
        <v>1000000000000</v>
      </c>
      <c r="CJ257" s="172">
        <f ca="1">IF(OR($D257&lt;&gt;"Serviço",AND(AUTOEVENTO="Manual",$M257=$A$15),$M257&gt;(ROW(PLE.lastrow)-ROW(PLE.firstrow))),0,
           IF(OFFSET(PLE!$G$15,$M257-$A$15,CJ$13)="",10^12,OFFSET(PLE!$G$15,$M257-$A$15,CJ$13)))</f>
        <v>1000000000000</v>
      </c>
      <c r="CK257" s="172">
        <f ca="1">IF(OR($D257&lt;&gt;"Serviço",AND(AUTOEVENTO="Manual",$M257=$A$15),$M257&gt;(ROW(PLE.lastrow)-ROW(PLE.firstrow))),0,
           IF(OFFSET(PLE!$G$15,$M257-$A$15,CK$13)="",10^12,OFFSET(PLE!$G$15,$M257-$A$15,CK$13)))</f>
        <v>1000000000000</v>
      </c>
      <c r="CL257" s="172">
        <f ca="1">IF(OR($D257&lt;&gt;"Serviço",AND(AUTOEVENTO="Manual",$M257=$A$15),$M257&gt;(ROW(PLE.lastrow)-ROW(PLE.firstrow))),0,
           IF(OFFSET(PLE!$G$15,$M257-$A$15,CL$13)="",10^12,OFFSET(PLE!$G$15,$M257-$A$15,CL$13)))</f>
        <v>1000000000000</v>
      </c>
      <c r="CM257" s="172">
        <f ca="1">IF(OR($D257&lt;&gt;"Serviço",AND(AUTOEVENTO="Manual",$M257=$A$15),$M257&gt;(ROW(PLE.lastrow)-ROW(PLE.firstrow))),0,
           IF(OFFSET(PLE!$G$15,$M257-$A$15,CM$13)="",10^12,OFFSET(PLE!$G$15,$M257-$A$15,CM$13)))</f>
        <v>1000000000000</v>
      </c>
    </row>
    <row r="258" spans="1:91" ht="51" x14ac:dyDescent="0.2">
      <c r="A258" s="7">
        <f t="shared" ca="1" si="13"/>
        <v>6</v>
      </c>
      <c r="B258" s="7" t="str">
        <f ca="1">OFFSET(ORÇAMENTO!C$15,ROW(B258)-ROW(B$15),0)</f>
        <v>S</v>
      </c>
      <c r="C258" s="7" t="str">
        <f ca="1">OFFSET(ORÇAMENTO!L$15,ROW(C258)-ROW(C$15),0)</f>
        <v>F</v>
      </c>
      <c r="D258" s="116" t="str">
        <f ca="1">OFFSET(ORÇAMENTO!N$15,ROW(D258)-ROW(D$15),0)</f>
        <v>Serviço</v>
      </c>
      <c r="E258" s="117" t="str">
        <f ca="1">OFFSET(ORÇAMENTO!O$15,ROW(E258)-ROW(E$15),0)</f>
        <v>1.7.1.1.12.</v>
      </c>
      <c r="F258" s="163" t="str">
        <f ca="1">OFFSET(ORÇAMENTO!R$15,ROW(F258)-ROW(F$15),0)</f>
        <v>PARAFUSO PARA FLANGE - 20 X 90 MM</v>
      </c>
      <c r="G258" s="164" t="str">
        <f ca="1">IF($D258&lt;&gt;"Serviço","",OFFSET(ORÇAMENTO!S$15,ROW(G258)-ROW(G$15),0))</f>
        <v>UN</v>
      </c>
      <c r="H258" s="122" cm="1">
        <f t="array" aca="1" ref="H258" ca="1">IF($D258&lt;&gt;"Serviço",0,IF(ACOMPANHAMENTO="BM",ROUND(OFFSET(ORÇAMENTO!AJ$15,ROW(H258)-ROW(H$15),0),15-13*ORÇAMENTO!$AF$7),SUMPRODUCT(($Q$1:$AI$1=1)*ROUND($Q258:$AI258,15-13*ORÇAMENTO!$AF$7))))</f>
        <v>32</v>
      </c>
      <c r="I258" s="468" t="s">
        <v>1346</v>
      </c>
      <c r="J258" s="640" t="str" cm="1">
        <f t="array" aca="1" ref="J258" ca="1">IF(OR(B258&lt;&gt;"S",CÁLCULO.FrentesPreenchidas=0),"",IF(AND(ACOMPANHAMENTO="PLE",AUTOEVENTO="Manual",OR(H258&gt;0,ORÇAMENTO!AC258="QUANT."),OR(K258="",M258=0,N258="")),"►E",IF(AND(ACOMPANHAMENTO="PLE",ORÇAMENTO!AC258="QUANT."),"►Q",IF(AND(ACOMPANHAMENTO="PLE",H258&lt;&gt;SUMPRODUCT(($Q$1:$AI$1=1)*ROUND(Q258:AI258,15))),"►S",IF(AND(COUNTIF($P$11:$AI$11,"▼")=0,H258&gt;0,I258=""),"◄M","")))))</f>
        <v/>
      </c>
      <c r="K258" s="641" t="s">
        <v>1385</v>
      </c>
      <c r="L258" s="165" t="s">
        <v>764</v>
      </c>
      <c r="M258" s="166">
        <f ca="1">IF($D258&lt;&gt;"Serviço","",
          IF(AUTOEVENTO="manual",$A258,
                IF(ISERROR(MATCH($A258,$A$15:OFFSET($A258,-1,0),0)),MAX($M$15:OFFSET(M258,-1,0))+1,
                      INDEX($M$15:OFFSET(M258,-1,0),MATCH($A258,$A$15:OFFSET($A258,-1,0),0)))))</f>
        <v>6</v>
      </c>
      <c r="N258" s="167" t="str">
        <f ca="1">IF($D258&lt;&gt;"Serviço","",
         IF(AUTOEVENTO="Manual",
                IF($A258=0,"&lt;-- defina o número do agrupador",
                       OFFSET(EVENTOS!$D$15,$A258-$A$15,0)),
                OFFSET($F$15,$A258,0)))</f>
        <v>Saneamento</v>
      </c>
      <c r="O258" s="168"/>
      <c r="Q258" s="168"/>
      <c r="R258" s="169"/>
      <c r="S258" s="169">
        <v>32</v>
      </c>
      <c r="T258" s="169"/>
      <c r="U258" s="169"/>
      <c r="V258" s="169"/>
      <c r="W258" s="169"/>
      <c r="X258" s="169"/>
      <c r="Y258" s="169"/>
      <c r="Z258" s="170"/>
      <c r="AA258" s="169"/>
      <c r="AB258" s="169"/>
      <c r="AC258" s="169"/>
      <c r="AD258" s="169"/>
      <c r="AE258" s="169"/>
      <c r="AF258" s="169"/>
      <c r="AG258" s="169"/>
      <c r="AH258" s="170"/>
      <c r="AJ258" s="453">
        <f ca="1">IF(AND($D258="Serviço",AJ$12&lt;&gt;0,$H258&gt;0,OR(AUTOEVENTO&lt;&gt;"manual",$M258&lt;&gt;$A$15)),
        IF(Import.TipoArredondamento&lt;&gt;"TransfereGOV",
              ROUND(OFFSET($P258,0,AJ$13),15-13*ORÇAMENTO!$AF$7)/$H258*OFFSET(ORÇAMENTO!$X$15,ROW(AJ258)-ROW(AJ$15),0),
              ROUND(ROUND(OFFSET($P258,0,AJ$13),15-13*ORÇAMENTO!$AF$7)*OFFSET(ORÇAMENTO!$W$15,ROW(AJ258)-ROW(AJ$15),0),15-13*ORÇAMENTO!$AF$11)),
         0)</f>
        <v>0</v>
      </c>
      <c r="AK258" s="453">
        <f ca="1">IF(AND($D258="Serviço",AK$12&lt;&gt;0,$H258&gt;0,OR(AUTOEVENTO&lt;&gt;"manual",$M258&lt;&gt;$A$15)),
        IF(Import.TipoArredondamento&lt;&gt;"TransfereGOV",
              ROUND(OFFSET($P258,0,AK$13),15-13*ORÇAMENTO!$AF$7)/$H258*OFFSET(ORÇAMENTO!$X$15,ROW(AK258)-ROW(AK$15),0),
              ROUND(ROUND(OFFSET($P258,0,AK$13),15-13*ORÇAMENTO!$AF$7)*OFFSET(ORÇAMENTO!$W$15,ROW(AK258)-ROW(AK$15),0),15-13*ORÇAMENTO!$AF$11)),
         0)</f>
        <v>0</v>
      </c>
      <c r="AL258" s="453">
        <f ca="1">IF(AND($D258="Serviço",AL$12&lt;&gt;0,$H258&gt;0,OR(AUTOEVENTO&lt;&gt;"manual",$M258&lt;&gt;$A$15)),
        IF(Import.TipoArredondamento&lt;&gt;"TransfereGOV",
              ROUND(OFFSET($P258,0,AL$13),15-13*ORÇAMENTO!$AF$7)/$H258*OFFSET(ORÇAMENTO!$X$15,ROW(AL258)-ROW(AL$15),0),
              ROUND(ROUND(OFFSET($P258,0,AL$13),15-13*ORÇAMENTO!$AF$7)*OFFSET(ORÇAMENTO!$W$15,ROW(AL258)-ROW(AL$15),0),15-13*ORÇAMENTO!$AF$11)),
         0)</f>
        <v>0</v>
      </c>
      <c r="AM258" s="453">
        <f ca="1">IF(AND($D258="Serviço",AM$12&lt;&gt;0,$H258&gt;0,OR(AUTOEVENTO&lt;&gt;"manual",$M258&lt;&gt;$A$15)),
        IF(Import.TipoArredondamento&lt;&gt;"TransfereGOV",
              ROUND(OFFSET($P258,0,AM$13),15-13*ORÇAMENTO!$AF$7)/$H258*OFFSET(ORÇAMENTO!$X$15,ROW(AM258)-ROW(AM$15),0),
              ROUND(ROUND(OFFSET($P258,0,AM$13),15-13*ORÇAMENTO!$AF$7)*OFFSET(ORÇAMENTO!$W$15,ROW(AM258)-ROW(AM$15),0),15-13*ORÇAMENTO!$AF$11)),
         0)</f>
        <v>0</v>
      </c>
      <c r="AN258" s="453">
        <f ca="1">IF(AND($D258="Serviço",AN$12&lt;&gt;0,$H258&gt;0,OR(AUTOEVENTO&lt;&gt;"manual",$M258&lt;&gt;$A$15)),
        IF(Import.TipoArredondamento&lt;&gt;"TransfereGOV",
              ROUND(OFFSET($P258,0,AN$13),15-13*ORÇAMENTO!$AF$7)/$H258*OFFSET(ORÇAMENTO!$X$15,ROW(AN258)-ROW(AN$15),0),
              ROUND(ROUND(OFFSET($P258,0,AN$13),15-13*ORÇAMENTO!$AF$7)*OFFSET(ORÇAMENTO!$W$15,ROW(AN258)-ROW(AN$15),0),15-13*ORÇAMENTO!$AF$11)),
         0)</f>
        <v>0</v>
      </c>
      <c r="AO258" s="453">
        <f ca="1">IF(AND($D258="Serviço",AO$12&lt;&gt;0,$H258&gt;0,OR(AUTOEVENTO&lt;&gt;"manual",$M258&lt;&gt;$A$15)),
        IF(Import.TipoArredondamento&lt;&gt;"TransfereGOV",
              ROUND(OFFSET($P258,0,AO$13),15-13*ORÇAMENTO!$AF$7)/$H258*OFFSET(ORÇAMENTO!$X$15,ROW(AO258)-ROW(AO$15),0),
              ROUND(ROUND(OFFSET($P258,0,AO$13),15-13*ORÇAMENTO!$AF$7)*OFFSET(ORÇAMENTO!$W$15,ROW(AO258)-ROW(AO$15),0),15-13*ORÇAMENTO!$AF$11)),
         0)</f>
        <v>0</v>
      </c>
      <c r="AP258" s="453">
        <f ca="1">IF(AND($D258="Serviço",AP$12&lt;&gt;0,$H258&gt;0,OR(AUTOEVENTO&lt;&gt;"manual",$M258&lt;&gt;$A$15)),
        IF(Import.TipoArredondamento&lt;&gt;"TransfereGOV",
              ROUND(OFFSET($P258,0,AP$13),15-13*ORÇAMENTO!$AF$7)/$H258*OFFSET(ORÇAMENTO!$X$15,ROW(AP258)-ROW(AP$15),0),
              ROUND(ROUND(OFFSET($P258,0,AP$13),15-13*ORÇAMENTO!$AF$7)*OFFSET(ORÇAMENTO!$W$15,ROW(AP258)-ROW(AP$15),0),15-13*ORÇAMENTO!$AF$11)),
         0)</f>
        <v>0</v>
      </c>
      <c r="AQ258" s="453">
        <f ca="1">IF(AND($D258="Serviço",AQ$12&lt;&gt;0,$H258&gt;0,OR(AUTOEVENTO&lt;&gt;"manual",$M258&lt;&gt;$A$15)),
        IF(Import.TipoArredondamento&lt;&gt;"TransfereGOV",
              ROUND(OFFSET($P258,0,AQ$13),15-13*ORÇAMENTO!$AF$7)/$H258*OFFSET(ORÇAMENTO!$X$15,ROW(AQ258)-ROW(AQ$15),0),
              ROUND(ROUND(OFFSET($P258,0,AQ$13),15-13*ORÇAMENTO!$AF$7)*OFFSET(ORÇAMENTO!$W$15,ROW(AQ258)-ROW(AQ$15),0),15-13*ORÇAMENTO!$AF$11)),
         0)</f>
        <v>0</v>
      </c>
      <c r="AR258" s="453">
        <f ca="1">IF(AND($D258="Serviço",AR$12&lt;&gt;0,$H258&gt;0,OR(AUTOEVENTO&lt;&gt;"manual",$M258&lt;&gt;$A$15)),
        IF(Import.TipoArredondamento&lt;&gt;"TransfereGOV",
              ROUND(OFFSET($P258,0,AR$13),15-13*ORÇAMENTO!$AF$7)/$H258*OFFSET(ORÇAMENTO!$X$15,ROW(AR258)-ROW(AR$15),0),
              ROUND(ROUND(OFFSET($P258,0,AR$13),15-13*ORÇAMENTO!$AF$7)*OFFSET(ORÇAMENTO!$W$15,ROW(AR258)-ROW(AR$15),0),15-13*ORÇAMENTO!$AF$11)),
         0)</f>
        <v>0</v>
      </c>
      <c r="AS258" s="453">
        <f ca="1">IF(AND($D258="Serviço",AS$12&lt;&gt;0,$H258&gt;0,OR(AUTOEVENTO&lt;&gt;"manual",$M258&lt;&gt;$A$15)),
        IF(Import.TipoArredondamento&lt;&gt;"TransfereGOV",
              ROUND(OFFSET($P258,0,AS$13),15-13*ORÇAMENTO!$AF$7)/$H258*OFFSET(ORÇAMENTO!$X$15,ROW(AS258)-ROW(AS$15),0),
              ROUND(ROUND(OFFSET($P258,0,AS$13),15-13*ORÇAMENTO!$AF$7)*OFFSET(ORÇAMENTO!$W$15,ROW(AS258)-ROW(AS$15),0),15-13*ORÇAMENTO!$AF$11)),
         0)</f>
        <v>0</v>
      </c>
      <c r="AT258" s="453">
        <f ca="1">IF(AND($D258="Serviço",AT$12&lt;&gt;0,$H258&gt;0,OR(AUTOEVENTO&lt;&gt;"manual",$M258&lt;&gt;$A$15)),
        IF(Import.TipoArredondamento&lt;&gt;"TransfereGOV",
              ROUND(OFFSET($P258,0,AT$13),15-13*ORÇAMENTO!$AF$7)/$H258*OFFSET(ORÇAMENTO!$X$15,ROW(AT258)-ROW(AT$15),0),
              ROUND(ROUND(OFFSET($P258,0,AT$13),15-13*ORÇAMENTO!$AF$7)*OFFSET(ORÇAMENTO!$W$15,ROW(AT258)-ROW(AT$15),0),15-13*ORÇAMENTO!$AF$11)),
         0)</f>
        <v>0</v>
      </c>
      <c r="AU258" s="453">
        <f ca="1">IF(AND($D258="Serviço",AU$12&lt;&gt;0,$H258&gt;0,OR(AUTOEVENTO&lt;&gt;"manual",$M258&lt;&gt;$A$15)),
        IF(Import.TipoArredondamento&lt;&gt;"TransfereGOV",
              ROUND(OFFSET($P258,0,AU$13),15-13*ORÇAMENTO!$AF$7)/$H258*OFFSET(ORÇAMENTO!$X$15,ROW(AU258)-ROW(AU$15),0),
              ROUND(ROUND(OFFSET($P258,0,AU$13),15-13*ORÇAMENTO!$AF$7)*OFFSET(ORÇAMENTO!$W$15,ROW(AU258)-ROW(AU$15),0),15-13*ORÇAMENTO!$AF$11)),
         0)</f>
        <v>0</v>
      </c>
      <c r="AV258" s="453">
        <f ca="1">IF(AND($D258="Serviço",AV$12&lt;&gt;0,$H258&gt;0,OR(AUTOEVENTO&lt;&gt;"manual",$M258&lt;&gt;$A$15)),
        IF(Import.TipoArredondamento&lt;&gt;"TransfereGOV",
              ROUND(OFFSET($P258,0,AV$13),15-13*ORÇAMENTO!$AF$7)/$H258*OFFSET(ORÇAMENTO!$X$15,ROW(AV258)-ROW(AV$15),0),
              ROUND(ROUND(OFFSET($P258,0,AV$13),15-13*ORÇAMENTO!$AF$7)*OFFSET(ORÇAMENTO!$W$15,ROW(AV258)-ROW(AV$15),0),15-13*ORÇAMENTO!$AF$11)),
         0)</f>
        <v>0</v>
      </c>
      <c r="AW258" s="453">
        <f ca="1">IF(AND($D258="Serviço",AW$12&lt;&gt;0,$H258&gt;0,OR(AUTOEVENTO&lt;&gt;"manual",$M258&lt;&gt;$A$15)),
        IF(Import.TipoArredondamento&lt;&gt;"TransfereGOV",
              ROUND(OFFSET($P258,0,AW$13),15-13*ORÇAMENTO!$AF$7)/$H258*OFFSET(ORÇAMENTO!$X$15,ROW(AW258)-ROW(AW$15),0),
              ROUND(ROUND(OFFSET($P258,0,AW$13),15-13*ORÇAMENTO!$AF$7)*OFFSET(ORÇAMENTO!$W$15,ROW(AW258)-ROW(AW$15),0),15-13*ORÇAMENTO!$AF$11)),
         0)</f>
        <v>0</v>
      </c>
      <c r="AX258" s="453">
        <f ca="1">IF(AND($D258="Serviço",AX$12&lt;&gt;0,$H258&gt;0,OR(AUTOEVENTO&lt;&gt;"manual",$M258&lt;&gt;$A$15)),
        IF(Import.TipoArredondamento&lt;&gt;"TransfereGOV",
              ROUND(OFFSET($P258,0,AX$13),15-13*ORÇAMENTO!$AF$7)/$H258*OFFSET(ORÇAMENTO!$X$15,ROW(AX258)-ROW(AX$15),0),
              ROUND(ROUND(OFFSET($P258,0,AX$13),15-13*ORÇAMENTO!$AF$7)*OFFSET(ORÇAMENTO!$W$15,ROW(AX258)-ROW(AX$15),0),15-13*ORÇAMENTO!$AF$11)),
         0)</f>
        <v>0</v>
      </c>
      <c r="AY258" s="453">
        <f ca="1">IF(AND($D258="Serviço",AY$12&lt;&gt;0,$H258&gt;0,OR(AUTOEVENTO&lt;&gt;"manual",$M258&lt;&gt;$A$15)),
        IF(Import.TipoArredondamento&lt;&gt;"TransfereGOV",
              ROUND(OFFSET($P258,0,AY$13),15-13*ORÇAMENTO!$AF$7)/$H258*OFFSET(ORÇAMENTO!$X$15,ROW(AY258)-ROW(AY$15),0),
              ROUND(ROUND(OFFSET($P258,0,AY$13),15-13*ORÇAMENTO!$AF$7)*OFFSET(ORÇAMENTO!$W$15,ROW(AY258)-ROW(AY$15),0),15-13*ORÇAMENTO!$AF$11)),
         0)</f>
        <v>0</v>
      </c>
      <c r="AZ258" s="453">
        <f ca="1">IF(AND($D258="Serviço",AZ$12&lt;&gt;0,$H258&gt;0,OR(AUTOEVENTO&lt;&gt;"manual",$M258&lt;&gt;$A$15)),
        IF(Import.TipoArredondamento&lt;&gt;"TransfereGOV",
              ROUND(OFFSET($P258,0,AZ$13),15-13*ORÇAMENTO!$AF$7)/$H258*OFFSET(ORÇAMENTO!$X$15,ROW(AZ258)-ROW(AZ$15),0),
              ROUND(ROUND(OFFSET($P258,0,AZ$13),15-13*ORÇAMENTO!$AF$7)*OFFSET(ORÇAMENTO!$W$15,ROW(AZ258)-ROW(AZ$15),0),15-13*ORÇAMENTO!$AF$11)),
         0)</f>
        <v>0</v>
      </c>
      <c r="BA258" s="453">
        <f ca="1">IF(AND($D258="Serviço",BA$12&lt;&gt;0,$H258&gt;0,OR(AUTOEVENTO&lt;&gt;"manual",$M258&lt;&gt;$A$15)),
        IF(Import.TipoArredondamento&lt;&gt;"TransfereGOV",
              ROUND(OFFSET($P258,0,BA$13),15-13*ORÇAMENTO!$AF$7)/$H258*OFFSET(ORÇAMENTO!$X$15,ROW(BA258)-ROW(BA$15),0),
              ROUND(ROUND(OFFSET($P258,0,BA$13),15-13*ORÇAMENTO!$AF$7)*OFFSET(ORÇAMENTO!$W$15,ROW(BA258)-ROW(BA$15),0),15-13*ORÇAMENTO!$AF$11)),
         0)</f>
        <v>0</v>
      </c>
      <c r="BC258" s="171">
        <f ca="1">IF(OR($D258&lt;&gt;"Serviço",AND(AUTOEVENTO="Manual",$M258=$A$15)),0,
         IF(OFFSET(CRONOPLE!$F$15,$M258-$A$15,BC$13)=0,10^12,OFFSET(CRONOPLE!$F$15,$M258-$A$15,BC$13)))</f>
        <v>1</v>
      </c>
      <c r="BD258" s="171">
        <f ca="1">IF(OR($D258&lt;&gt;"Serviço",AND(AUTOEVENTO="Manual",$M258=$A$15)),0,
         IF(OFFSET(CRONOPLE!$F$15,$M258-$A$15,BD$13)=0,10^12,OFFSET(CRONOPLE!$F$15,$M258-$A$15,BD$13)))</f>
        <v>2</v>
      </c>
      <c r="BE258" s="171">
        <f ca="1">IF(OR($D258&lt;&gt;"Serviço",AND(AUTOEVENTO="Manual",$M258=$A$15)),0,
         IF(OFFSET(CRONOPLE!$F$15,$M258-$A$15,BE$13)=0,10^12,OFFSET(CRONOPLE!$F$15,$M258-$A$15,BE$13)))</f>
        <v>3</v>
      </c>
      <c r="BF258" s="171">
        <f ca="1">IF(OR($D258&lt;&gt;"Serviço",AND(AUTOEVENTO="Manual",$M258=$A$15)),0,
         IF(OFFSET(CRONOPLE!$F$15,$M258-$A$15,BF$13)=0,10^12,OFFSET(CRONOPLE!$F$15,$M258-$A$15,BF$13)))</f>
        <v>4</v>
      </c>
      <c r="BG258" s="171">
        <f ca="1">IF(OR($D258&lt;&gt;"Serviço",AND(AUTOEVENTO="Manual",$M258=$A$15)),0,
         IF(OFFSET(CRONOPLE!$F$15,$M258-$A$15,BG$13)=0,10^12,OFFSET(CRONOPLE!$F$15,$M258-$A$15,BG$13)))</f>
        <v>5</v>
      </c>
      <c r="BH258" s="171">
        <f ca="1">IF(OR($D258&lt;&gt;"Serviço",AND(AUTOEVENTO="Manual",$M258=$A$15)),0,
         IF(OFFSET(CRONOPLE!$F$15,$M258-$A$15,BH$13)=0,10^12,OFFSET(CRONOPLE!$F$15,$M258-$A$15,BH$13)))</f>
        <v>6</v>
      </c>
      <c r="BI258" s="171">
        <f ca="1">IF(OR($D258&lt;&gt;"Serviço",AND(AUTOEVENTO="Manual",$M258=$A$15)),0,
         IF(OFFSET(CRONOPLE!$F$15,$M258-$A$15,BI$13)=0,10^12,OFFSET(CRONOPLE!$F$15,$M258-$A$15,BI$13)))</f>
        <v>7</v>
      </c>
      <c r="BJ258" s="171">
        <f ca="1">IF(OR($D258&lt;&gt;"Serviço",AND(AUTOEVENTO="Manual",$M258=$A$15)),0,
         IF(OFFSET(CRONOPLE!$F$15,$M258-$A$15,BJ$13)=0,10^12,OFFSET(CRONOPLE!$F$15,$M258-$A$15,BJ$13)))</f>
        <v>8</v>
      </c>
      <c r="BK258" s="171">
        <f ca="1">IF(OR($D258&lt;&gt;"Serviço",AND(AUTOEVENTO="Manual",$M258=$A$15)),0,
         IF(OFFSET(CRONOPLE!$F$15,$M258-$A$15,BK$13)=0,10^12,OFFSET(CRONOPLE!$F$15,$M258-$A$15,BK$13)))</f>
        <v>9</v>
      </c>
      <c r="BL258" s="171">
        <f ca="1">IF(OR($D258&lt;&gt;"Serviço",AND(AUTOEVENTO="Manual",$M258=$A$15)),0,
         IF(OFFSET(CRONOPLE!$F$15,$M258-$A$15,BL$13)=0,10^12,OFFSET(CRONOPLE!$F$15,$M258-$A$15,BL$13)))</f>
        <v>1000000000000</v>
      </c>
      <c r="BM258" s="171">
        <f ca="1">IF(OR($D258&lt;&gt;"Serviço",AND(AUTOEVENTO="Manual",$M258=$A$15)),0,
         IF(OFFSET(CRONOPLE!$F$15,$M258-$A$15,BM$13)=0,10^12,OFFSET(CRONOPLE!$F$15,$M258-$A$15,BM$13)))</f>
        <v>1000000000000</v>
      </c>
      <c r="BN258" s="171">
        <f ca="1">IF(OR($D258&lt;&gt;"Serviço",AND(AUTOEVENTO="Manual",$M258=$A$15)),0,
         IF(OFFSET(CRONOPLE!$F$15,$M258-$A$15,BN$13)=0,10^12,OFFSET(CRONOPLE!$F$15,$M258-$A$15,BN$13)))</f>
        <v>1000000000000</v>
      </c>
      <c r="BO258" s="171">
        <f ca="1">IF(OR($D258&lt;&gt;"Serviço",AND(AUTOEVENTO="Manual",$M258=$A$15)),0,
         IF(OFFSET(CRONOPLE!$F$15,$M258-$A$15,BO$13)=0,10^12,OFFSET(CRONOPLE!$F$15,$M258-$A$15,BO$13)))</f>
        <v>1000000000000</v>
      </c>
      <c r="BP258" s="171">
        <f ca="1">IF(OR($D258&lt;&gt;"Serviço",AND(AUTOEVENTO="Manual",$M258=$A$15)),0,
         IF(OFFSET(CRONOPLE!$F$15,$M258-$A$15,BP$13)=0,10^12,OFFSET(CRONOPLE!$F$15,$M258-$A$15,BP$13)))</f>
        <v>1000000000000</v>
      </c>
      <c r="BQ258" s="171">
        <f ca="1">IF(OR($D258&lt;&gt;"Serviço",AND(AUTOEVENTO="Manual",$M258=$A$15)),0,
         IF(OFFSET(CRONOPLE!$F$15,$M258-$A$15,BQ$13)=0,10^12,OFFSET(CRONOPLE!$F$15,$M258-$A$15,BQ$13)))</f>
        <v>1000000000000</v>
      </c>
      <c r="BR258" s="171">
        <f ca="1">IF(OR($D258&lt;&gt;"Serviço",AND(AUTOEVENTO="Manual",$M258=$A$15)),0,
         IF(OFFSET(CRONOPLE!$F$15,$M258-$A$15,BR$13)=0,10^12,OFFSET(CRONOPLE!$F$15,$M258-$A$15,BR$13)))</f>
        <v>1000000000000</v>
      </c>
      <c r="BS258" s="171">
        <f ca="1">IF(OR($D258&lt;&gt;"Serviço",AND(AUTOEVENTO="Manual",$M258=$A$15)),0,
         IF(OFFSET(CRONOPLE!$F$15,$M258-$A$15,BS$13)=0,10^12,OFFSET(CRONOPLE!$F$15,$M258-$A$15,BS$13)))</f>
        <v>1000000000000</v>
      </c>
      <c r="BT258" s="171">
        <f ca="1">IF(OR($D258&lt;&gt;"Serviço",AND(AUTOEVENTO="Manual",$M258=$A$15)),0,
         IF(OFFSET(CRONOPLE!$F$15,$M258-$A$15,BT$13)=0,10^12,OFFSET(CRONOPLE!$F$15,$M258-$A$15,BT$13)))</f>
        <v>1000000000000</v>
      </c>
      <c r="BV258" s="172">
        <f ca="1">IF(OR($D258&lt;&gt;"Serviço",AND(AUTOEVENTO="Manual",$M258=$A$15),$M258&gt;(ROW(PLE.lastrow)-ROW(PLE.firstrow))),0,
           IF(OFFSET(PLE!$G$15,$M258-$A$15,BV$13)="",10^12,OFFSET(PLE!$G$15,$M258-$A$15,BV$13)))</f>
        <v>1000000000000</v>
      </c>
      <c r="BW258" s="172">
        <f ca="1">IF(OR($D258&lt;&gt;"Serviço",AND(AUTOEVENTO="Manual",$M258=$A$15),$M258&gt;(ROW(PLE.lastrow)-ROW(PLE.firstrow))),0,
           IF(OFFSET(PLE!$G$15,$M258-$A$15,BW$13)="",10^12,OFFSET(PLE!$G$15,$M258-$A$15,BW$13)))</f>
        <v>1000000000000</v>
      </c>
      <c r="BX258" s="172">
        <f ca="1">IF(OR($D258&lt;&gt;"Serviço",AND(AUTOEVENTO="Manual",$M258=$A$15),$M258&gt;(ROW(PLE.lastrow)-ROW(PLE.firstrow))),0,
           IF(OFFSET(PLE!$G$15,$M258-$A$15,BX$13)="",10^12,OFFSET(PLE!$G$15,$M258-$A$15,BX$13)))</f>
        <v>1000000000000</v>
      </c>
      <c r="BY258" s="172">
        <f ca="1">IF(OR($D258&lt;&gt;"Serviço",AND(AUTOEVENTO="Manual",$M258=$A$15),$M258&gt;(ROW(PLE.lastrow)-ROW(PLE.firstrow))),0,
           IF(OFFSET(PLE!$G$15,$M258-$A$15,BY$13)="",10^12,OFFSET(PLE!$G$15,$M258-$A$15,BY$13)))</f>
        <v>1000000000000</v>
      </c>
      <c r="BZ258" s="172">
        <f ca="1">IF(OR($D258&lt;&gt;"Serviço",AND(AUTOEVENTO="Manual",$M258=$A$15),$M258&gt;(ROW(PLE.lastrow)-ROW(PLE.firstrow))),0,
           IF(OFFSET(PLE!$G$15,$M258-$A$15,BZ$13)="",10^12,OFFSET(PLE!$G$15,$M258-$A$15,BZ$13)))</f>
        <v>1000000000000</v>
      </c>
      <c r="CA258" s="172">
        <f ca="1">IF(OR($D258&lt;&gt;"Serviço",AND(AUTOEVENTO="Manual",$M258=$A$15),$M258&gt;(ROW(PLE.lastrow)-ROW(PLE.firstrow))),0,
           IF(OFFSET(PLE!$G$15,$M258-$A$15,CA$13)="",10^12,OFFSET(PLE!$G$15,$M258-$A$15,CA$13)))</f>
        <v>1000000000000</v>
      </c>
      <c r="CB258" s="172">
        <f ca="1">IF(OR($D258&lt;&gt;"Serviço",AND(AUTOEVENTO="Manual",$M258=$A$15),$M258&gt;(ROW(PLE.lastrow)-ROW(PLE.firstrow))),0,
           IF(OFFSET(PLE!$G$15,$M258-$A$15,CB$13)="",10^12,OFFSET(PLE!$G$15,$M258-$A$15,CB$13)))</f>
        <v>1000000000000</v>
      </c>
      <c r="CC258" s="172">
        <f ca="1">IF(OR($D258&lt;&gt;"Serviço",AND(AUTOEVENTO="Manual",$M258=$A$15),$M258&gt;(ROW(PLE.lastrow)-ROW(PLE.firstrow))),0,
           IF(OFFSET(PLE!$G$15,$M258-$A$15,CC$13)="",10^12,OFFSET(PLE!$G$15,$M258-$A$15,CC$13)))</f>
        <v>1000000000000</v>
      </c>
      <c r="CD258" s="172">
        <f ca="1">IF(OR($D258&lt;&gt;"Serviço",AND(AUTOEVENTO="Manual",$M258=$A$15),$M258&gt;(ROW(PLE.lastrow)-ROW(PLE.firstrow))),0,
           IF(OFFSET(PLE!$G$15,$M258-$A$15,CD$13)="",10^12,OFFSET(PLE!$G$15,$M258-$A$15,CD$13)))</f>
        <v>1000000000000</v>
      </c>
      <c r="CE258" s="172">
        <f ca="1">IF(OR($D258&lt;&gt;"Serviço",AND(AUTOEVENTO="Manual",$M258=$A$15),$M258&gt;(ROW(PLE.lastrow)-ROW(PLE.firstrow))),0,
           IF(OFFSET(PLE!$G$15,$M258-$A$15,CE$13)="",10^12,OFFSET(PLE!$G$15,$M258-$A$15,CE$13)))</f>
        <v>1000000000000</v>
      </c>
      <c r="CF258" s="172">
        <f ca="1">IF(OR($D258&lt;&gt;"Serviço",AND(AUTOEVENTO="Manual",$M258=$A$15),$M258&gt;(ROW(PLE.lastrow)-ROW(PLE.firstrow))),0,
           IF(OFFSET(PLE!$G$15,$M258-$A$15,CF$13)="",10^12,OFFSET(PLE!$G$15,$M258-$A$15,CF$13)))</f>
        <v>1000000000000</v>
      </c>
      <c r="CG258" s="172">
        <f ca="1">IF(OR($D258&lt;&gt;"Serviço",AND(AUTOEVENTO="Manual",$M258=$A$15),$M258&gt;(ROW(PLE.lastrow)-ROW(PLE.firstrow))),0,
           IF(OFFSET(PLE!$G$15,$M258-$A$15,CG$13)="",10^12,OFFSET(PLE!$G$15,$M258-$A$15,CG$13)))</f>
        <v>1000000000000</v>
      </c>
      <c r="CH258" s="172">
        <f ca="1">IF(OR($D258&lt;&gt;"Serviço",AND(AUTOEVENTO="Manual",$M258=$A$15),$M258&gt;(ROW(PLE.lastrow)-ROW(PLE.firstrow))),0,
           IF(OFFSET(PLE!$G$15,$M258-$A$15,CH$13)="",10^12,OFFSET(PLE!$G$15,$M258-$A$15,CH$13)))</f>
        <v>1000000000000</v>
      </c>
      <c r="CI258" s="172">
        <f ca="1">IF(OR($D258&lt;&gt;"Serviço",AND(AUTOEVENTO="Manual",$M258=$A$15),$M258&gt;(ROW(PLE.lastrow)-ROW(PLE.firstrow))),0,
           IF(OFFSET(PLE!$G$15,$M258-$A$15,CI$13)="",10^12,OFFSET(PLE!$G$15,$M258-$A$15,CI$13)))</f>
        <v>1000000000000</v>
      </c>
      <c r="CJ258" s="172">
        <f ca="1">IF(OR($D258&lt;&gt;"Serviço",AND(AUTOEVENTO="Manual",$M258=$A$15),$M258&gt;(ROW(PLE.lastrow)-ROW(PLE.firstrow))),0,
           IF(OFFSET(PLE!$G$15,$M258-$A$15,CJ$13)="",10^12,OFFSET(PLE!$G$15,$M258-$A$15,CJ$13)))</f>
        <v>1000000000000</v>
      </c>
      <c r="CK258" s="172">
        <f ca="1">IF(OR($D258&lt;&gt;"Serviço",AND(AUTOEVENTO="Manual",$M258=$A$15),$M258&gt;(ROW(PLE.lastrow)-ROW(PLE.firstrow))),0,
           IF(OFFSET(PLE!$G$15,$M258-$A$15,CK$13)="",10^12,OFFSET(PLE!$G$15,$M258-$A$15,CK$13)))</f>
        <v>1000000000000</v>
      </c>
      <c r="CL258" s="172">
        <f ca="1">IF(OR($D258&lt;&gt;"Serviço",AND(AUTOEVENTO="Manual",$M258=$A$15),$M258&gt;(ROW(PLE.lastrow)-ROW(PLE.firstrow))),0,
           IF(OFFSET(PLE!$G$15,$M258-$A$15,CL$13)="",10^12,OFFSET(PLE!$G$15,$M258-$A$15,CL$13)))</f>
        <v>1000000000000</v>
      </c>
      <c r="CM258" s="172">
        <f ca="1">IF(OR($D258&lt;&gt;"Serviço",AND(AUTOEVENTO="Manual",$M258=$A$15),$M258&gt;(ROW(PLE.lastrow)-ROW(PLE.firstrow))),0,
           IF(OFFSET(PLE!$G$15,$M258-$A$15,CM$13)="",10^12,OFFSET(PLE!$G$15,$M258-$A$15,CM$13)))</f>
        <v>1000000000000</v>
      </c>
    </row>
    <row r="259" spans="1:91" ht="12.75" x14ac:dyDescent="0.2">
      <c r="A259" s="7">
        <f t="shared" ca="1" si="13"/>
        <v>7</v>
      </c>
      <c r="B259" s="7">
        <f ca="1">OFFSET(ORÇAMENTO!C$15,ROW(B259)-ROW(B$15),0)</f>
        <v>4</v>
      </c>
      <c r="C259" s="7" t="str">
        <f ca="1">OFFSET(ORÇAMENTO!L$15,ROW(C259)-ROW(C$15),0)</f>
        <v>F</v>
      </c>
      <c r="D259" s="116" t="str">
        <f ca="1">OFFSET(ORÇAMENTO!N$15,ROW(D259)-ROW(D$15),0)</f>
        <v>Nível 4</v>
      </c>
      <c r="E259" s="117" t="str">
        <f ca="1">OFFSET(ORÇAMENTO!O$15,ROW(E259)-ROW(E$15),0)</f>
        <v>1.7.1.2.</v>
      </c>
      <c r="F259" s="163" t="str">
        <f ca="1">OFFSET(ORÇAMENTO!R$15,ROW(F259)-ROW(F$15),0)</f>
        <v>INSTALAÇÃO DE MATERIAIS E EQUIPAMENTOS</v>
      </c>
      <c r="G259" s="164" t="str">
        <f ca="1">IF($D259&lt;&gt;"Serviço","",OFFSET(ORÇAMENTO!S$15,ROW(G259)-ROW(G$15),0))</f>
        <v/>
      </c>
      <c r="H259" s="122" cm="1">
        <f t="array" aca="1" ref="H259" ca="1">IF($D259&lt;&gt;"Serviço",0,IF(ACOMPANHAMENTO="BM",ROUND(OFFSET(ORÇAMENTO!AJ$15,ROW(H259)-ROW(H$15),0),15-13*ORÇAMENTO!$AF$7),SUMPRODUCT(($Q$1:$AI$1=1)*ROUND($Q259:$AI259,15-13*ORÇAMENTO!$AF$7))))</f>
        <v>0</v>
      </c>
      <c r="I259" s="468"/>
      <c r="J259" s="640" t="str" cm="1">
        <f t="array" aca="1" ref="J259" ca="1">IF(OR(B259&lt;&gt;"S",CÁLCULO.FrentesPreenchidas=0),"",IF(AND(ACOMPANHAMENTO="PLE",AUTOEVENTO="Manual",OR(H259&gt;0,ORÇAMENTO!AC259="QUANT."),OR(K259="",M259=0,N259="")),"►E",IF(AND(ACOMPANHAMENTO="PLE",ORÇAMENTO!AC259="QUANT."),"►Q",IF(AND(ACOMPANHAMENTO="PLE",H259&lt;&gt;SUMPRODUCT(($Q$1:$AI$1=1)*ROUND(Q259:AI259,15))),"►S",IF(AND(COUNTIF($P$11:$AI$11,"▼")=0,H259&gt;0,I259=""),"◄M","")))))</f>
        <v/>
      </c>
      <c r="K259" s="641" t="s">
        <v>1365</v>
      </c>
      <c r="L259" s="165" t="s">
        <v>764</v>
      </c>
      <c r="M259" s="166" t="str">
        <f ca="1">IF($D259&lt;&gt;"Serviço","",
          IF(AUTOEVENTO="manual",$A259,
                IF(ISERROR(MATCH($A259,$A$15:OFFSET($A259,-1,0),0)),MAX($M$15:OFFSET(M259,-1,0))+1,
                      INDEX($M$15:OFFSET(M259,-1,0),MATCH($A259,$A$15:OFFSET($A259,-1,0),0)))))</f>
        <v/>
      </c>
      <c r="N259" s="167" t="str">
        <f ca="1">IF($D259&lt;&gt;"Serviço","",
         IF(AUTOEVENTO="Manual",
                IF($A259=0,"&lt;-- defina o número do agrupador",
                       OFFSET(EVENTOS!$D$15,$A259-$A$15,0)),
                OFFSET($F$15,$A259,0)))</f>
        <v/>
      </c>
      <c r="O259" s="168"/>
      <c r="Q259" s="168"/>
      <c r="R259" s="169"/>
      <c r="S259" s="169"/>
      <c r="T259" s="169"/>
      <c r="U259" s="169"/>
      <c r="V259" s="169"/>
      <c r="W259" s="169"/>
      <c r="X259" s="169"/>
      <c r="Y259" s="169"/>
      <c r="Z259" s="170"/>
      <c r="AA259" s="169"/>
      <c r="AB259" s="169"/>
      <c r="AC259" s="169"/>
      <c r="AD259" s="169"/>
      <c r="AE259" s="169"/>
      <c r="AF259" s="169"/>
      <c r="AG259" s="169"/>
      <c r="AH259" s="170"/>
      <c r="AJ259" s="453">
        <f ca="1">IF(AND($D259="Serviço",AJ$12&lt;&gt;0,$H259&gt;0,OR(AUTOEVENTO&lt;&gt;"manual",$M259&lt;&gt;$A$15)),
        IF(Import.TipoArredondamento&lt;&gt;"TransfereGOV",
              ROUND(OFFSET($P259,0,AJ$13),15-13*ORÇAMENTO!$AF$7)/$H259*OFFSET(ORÇAMENTO!$X$15,ROW(AJ259)-ROW(AJ$15),0),
              ROUND(ROUND(OFFSET($P259,0,AJ$13),15-13*ORÇAMENTO!$AF$7)*OFFSET(ORÇAMENTO!$W$15,ROW(AJ259)-ROW(AJ$15),0),15-13*ORÇAMENTO!$AF$11)),
         0)</f>
        <v>0</v>
      </c>
      <c r="AK259" s="453">
        <f ca="1">IF(AND($D259="Serviço",AK$12&lt;&gt;0,$H259&gt;0,OR(AUTOEVENTO&lt;&gt;"manual",$M259&lt;&gt;$A$15)),
        IF(Import.TipoArredondamento&lt;&gt;"TransfereGOV",
              ROUND(OFFSET($P259,0,AK$13),15-13*ORÇAMENTO!$AF$7)/$H259*OFFSET(ORÇAMENTO!$X$15,ROW(AK259)-ROW(AK$15),0),
              ROUND(ROUND(OFFSET($P259,0,AK$13),15-13*ORÇAMENTO!$AF$7)*OFFSET(ORÇAMENTO!$W$15,ROW(AK259)-ROW(AK$15),0),15-13*ORÇAMENTO!$AF$11)),
         0)</f>
        <v>0</v>
      </c>
      <c r="AL259" s="453">
        <f ca="1">IF(AND($D259="Serviço",AL$12&lt;&gt;0,$H259&gt;0,OR(AUTOEVENTO&lt;&gt;"manual",$M259&lt;&gt;$A$15)),
        IF(Import.TipoArredondamento&lt;&gt;"TransfereGOV",
              ROUND(OFFSET($P259,0,AL$13),15-13*ORÇAMENTO!$AF$7)/$H259*OFFSET(ORÇAMENTO!$X$15,ROW(AL259)-ROW(AL$15),0),
              ROUND(ROUND(OFFSET($P259,0,AL$13),15-13*ORÇAMENTO!$AF$7)*OFFSET(ORÇAMENTO!$W$15,ROW(AL259)-ROW(AL$15),0),15-13*ORÇAMENTO!$AF$11)),
         0)</f>
        <v>0</v>
      </c>
      <c r="AM259" s="453">
        <f ca="1">IF(AND($D259="Serviço",AM$12&lt;&gt;0,$H259&gt;0,OR(AUTOEVENTO&lt;&gt;"manual",$M259&lt;&gt;$A$15)),
        IF(Import.TipoArredondamento&lt;&gt;"TransfereGOV",
              ROUND(OFFSET($P259,0,AM$13),15-13*ORÇAMENTO!$AF$7)/$H259*OFFSET(ORÇAMENTO!$X$15,ROW(AM259)-ROW(AM$15),0),
              ROUND(ROUND(OFFSET($P259,0,AM$13),15-13*ORÇAMENTO!$AF$7)*OFFSET(ORÇAMENTO!$W$15,ROW(AM259)-ROW(AM$15),0),15-13*ORÇAMENTO!$AF$11)),
         0)</f>
        <v>0</v>
      </c>
      <c r="AN259" s="453">
        <f ca="1">IF(AND($D259="Serviço",AN$12&lt;&gt;0,$H259&gt;0,OR(AUTOEVENTO&lt;&gt;"manual",$M259&lt;&gt;$A$15)),
        IF(Import.TipoArredondamento&lt;&gt;"TransfereGOV",
              ROUND(OFFSET($P259,0,AN$13),15-13*ORÇAMENTO!$AF$7)/$H259*OFFSET(ORÇAMENTO!$X$15,ROW(AN259)-ROW(AN$15),0),
              ROUND(ROUND(OFFSET($P259,0,AN$13),15-13*ORÇAMENTO!$AF$7)*OFFSET(ORÇAMENTO!$W$15,ROW(AN259)-ROW(AN$15),0),15-13*ORÇAMENTO!$AF$11)),
         0)</f>
        <v>0</v>
      </c>
      <c r="AO259" s="453">
        <f ca="1">IF(AND($D259="Serviço",AO$12&lt;&gt;0,$H259&gt;0,OR(AUTOEVENTO&lt;&gt;"manual",$M259&lt;&gt;$A$15)),
        IF(Import.TipoArredondamento&lt;&gt;"TransfereGOV",
              ROUND(OFFSET($P259,0,AO$13),15-13*ORÇAMENTO!$AF$7)/$H259*OFFSET(ORÇAMENTO!$X$15,ROW(AO259)-ROW(AO$15),0),
              ROUND(ROUND(OFFSET($P259,0,AO$13),15-13*ORÇAMENTO!$AF$7)*OFFSET(ORÇAMENTO!$W$15,ROW(AO259)-ROW(AO$15),0),15-13*ORÇAMENTO!$AF$11)),
         0)</f>
        <v>0</v>
      </c>
      <c r="AP259" s="453">
        <f ca="1">IF(AND($D259="Serviço",AP$12&lt;&gt;0,$H259&gt;0,OR(AUTOEVENTO&lt;&gt;"manual",$M259&lt;&gt;$A$15)),
        IF(Import.TipoArredondamento&lt;&gt;"TransfereGOV",
              ROUND(OFFSET($P259,0,AP$13),15-13*ORÇAMENTO!$AF$7)/$H259*OFFSET(ORÇAMENTO!$X$15,ROW(AP259)-ROW(AP$15),0),
              ROUND(ROUND(OFFSET($P259,0,AP$13),15-13*ORÇAMENTO!$AF$7)*OFFSET(ORÇAMENTO!$W$15,ROW(AP259)-ROW(AP$15),0),15-13*ORÇAMENTO!$AF$11)),
         0)</f>
        <v>0</v>
      </c>
      <c r="AQ259" s="453">
        <f ca="1">IF(AND($D259="Serviço",AQ$12&lt;&gt;0,$H259&gt;0,OR(AUTOEVENTO&lt;&gt;"manual",$M259&lt;&gt;$A$15)),
        IF(Import.TipoArredondamento&lt;&gt;"TransfereGOV",
              ROUND(OFFSET($P259,0,AQ$13),15-13*ORÇAMENTO!$AF$7)/$H259*OFFSET(ORÇAMENTO!$X$15,ROW(AQ259)-ROW(AQ$15),0),
              ROUND(ROUND(OFFSET($P259,0,AQ$13),15-13*ORÇAMENTO!$AF$7)*OFFSET(ORÇAMENTO!$W$15,ROW(AQ259)-ROW(AQ$15),0),15-13*ORÇAMENTO!$AF$11)),
         0)</f>
        <v>0</v>
      </c>
      <c r="AR259" s="453">
        <f ca="1">IF(AND($D259="Serviço",AR$12&lt;&gt;0,$H259&gt;0,OR(AUTOEVENTO&lt;&gt;"manual",$M259&lt;&gt;$A$15)),
        IF(Import.TipoArredondamento&lt;&gt;"TransfereGOV",
              ROUND(OFFSET($P259,0,AR$13),15-13*ORÇAMENTO!$AF$7)/$H259*OFFSET(ORÇAMENTO!$X$15,ROW(AR259)-ROW(AR$15),0),
              ROUND(ROUND(OFFSET($P259,0,AR$13),15-13*ORÇAMENTO!$AF$7)*OFFSET(ORÇAMENTO!$W$15,ROW(AR259)-ROW(AR$15),0),15-13*ORÇAMENTO!$AF$11)),
         0)</f>
        <v>0</v>
      </c>
      <c r="AS259" s="453">
        <f ca="1">IF(AND($D259="Serviço",AS$12&lt;&gt;0,$H259&gt;0,OR(AUTOEVENTO&lt;&gt;"manual",$M259&lt;&gt;$A$15)),
        IF(Import.TipoArredondamento&lt;&gt;"TransfereGOV",
              ROUND(OFFSET($P259,0,AS$13),15-13*ORÇAMENTO!$AF$7)/$H259*OFFSET(ORÇAMENTO!$X$15,ROW(AS259)-ROW(AS$15),0),
              ROUND(ROUND(OFFSET($P259,0,AS$13),15-13*ORÇAMENTO!$AF$7)*OFFSET(ORÇAMENTO!$W$15,ROW(AS259)-ROW(AS$15),0),15-13*ORÇAMENTO!$AF$11)),
         0)</f>
        <v>0</v>
      </c>
      <c r="AT259" s="453">
        <f ca="1">IF(AND($D259="Serviço",AT$12&lt;&gt;0,$H259&gt;0,OR(AUTOEVENTO&lt;&gt;"manual",$M259&lt;&gt;$A$15)),
        IF(Import.TipoArredondamento&lt;&gt;"TransfereGOV",
              ROUND(OFFSET($P259,0,AT$13),15-13*ORÇAMENTO!$AF$7)/$H259*OFFSET(ORÇAMENTO!$X$15,ROW(AT259)-ROW(AT$15),0),
              ROUND(ROUND(OFFSET($P259,0,AT$13),15-13*ORÇAMENTO!$AF$7)*OFFSET(ORÇAMENTO!$W$15,ROW(AT259)-ROW(AT$15),0),15-13*ORÇAMENTO!$AF$11)),
         0)</f>
        <v>0</v>
      </c>
      <c r="AU259" s="453">
        <f ca="1">IF(AND($D259="Serviço",AU$12&lt;&gt;0,$H259&gt;0,OR(AUTOEVENTO&lt;&gt;"manual",$M259&lt;&gt;$A$15)),
        IF(Import.TipoArredondamento&lt;&gt;"TransfereGOV",
              ROUND(OFFSET($P259,0,AU$13),15-13*ORÇAMENTO!$AF$7)/$H259*OFFSET(ORÇAMENTO!$X$15,ROW(AU259)-ROW(AU$15),0),
              ROUND(ROUND(OFFSET($P259,0,AU$13),15-13*ORÇAMENTO!$AF$7)*OFFSET(ORÇAMENTO!$W$15,ROW(AU259)-ROW(AU$15),0),15-13*ORÇAMENTO!$AF$11)),
         0)</f>
        <v>0</v>
      </c>
      <c r="AV259" s="453">
        <f ca="1">IF(AND($D259="Serviço",AV$12&lt;&gt;0,$H259&gt;0,OR(AUTOEVENTO&lt;&gt;"manual",$M259&lt;&gt;$A$15)),
        IF(Import.TipoArredondamento&lt;&gt;"TransfereGOV",
              ROUND(OFFSET($P259,0,AV$13),15-13*ORÇAMENTO!$AF$7)/$H259*OFFSET(ORÇAMENTO!$X$15,ROW(AV259)-ROW(AV$15),0),
              ROUND(ROUND(OFFSET($P259,0,AV$13),15-13*ORÇAMENTO!$AF$7)*OFFSET(ORÇAMENTO!$W$15,ROW(AV259)-ROW(AV$15),0),15-13*ORÇAMENTO!$AF$11)),
         0)</f>
        <v>0</v>
      </c>
      <c r="AW259" s="453">
        <f ca="1">IF(AND($D259="Serviço",AW$12&lt;&gt;0,$H259&gt;0,OR(AUTOEVENTO&lt;&gt;"manual",$M259&lt;&gt;$A$15)),
        IF(Import.TipoArredondamento&lt;&gt;"TransfereGOV",
              ROUND(OFFSET($P259,0,AW$13),15-13*ORÇAMENTO!$AF$7)/$H259*OFFSET(ORÇAMENTO!$X$15,ROW(AW259)-ROW(AW$15),0),
              ROUND(ROUND(OFFSET($P259,0,AW$13),15-13*ORÇAMENTO!$AF$7)*OFFSET(ORÇAMENTO!$W$15,ROW(AW259)-ROW(AW$15),0),15-13*ORÇAMENTO!$AF$11)),
         0)</f>
        <v>0</v>
      </c>
      <c r="AX259" s="453">
        <f ca="1">IF(AND($D259="Serviço",AX$12&lt;&gt;0,$H259&gt;0,OR(AUTOEVENTO&lt;&gt;"manual",$M259&lt;&gt;$A$15)),
        IF(Import.TipoArredondamento&lt;&gt;"TransfereGOV",
              ROUND(OFFSET($P259,0,AX$13),15-13*ORÇAMENTO!$AF$7)/$H259*OFFSET(ORÇAMENTO!$X$15,ROW(AX259)-ROW(AX$15),0),
              ROUND(ROUND(OFFSET($P259,0,AX$13),15-13*ORÇAMENTO!$AF$7)*OFFSET(ORÇAMENTO!$W$15,ROW(AX259)-ROW(AX$15),0),15-13*ORÇAMENTO!$AF$11)),
         0)</f>
        <v>0</v>
      </c>
      <c r="AY259" s="453">
        <f ca="1">IF(AND($D259="Serviço",AY$12&lt;&gt;0,$H259&gt;0,OR(AUTOEVENTO&lt;&gt;"manual",$M259&lt;&gt;$A$15)),
        IF(Import.TipoArredondamento&lt;&gt;"TransfereGOV",
              ROUND(OFFSET($P259,0,AY$13),15-13*ORÇAMENTO!$AF$7)/$H259*OFFSET(ORÇAMENTO!$X$15,ROW(AY259)-ROW(AY$15),0),
              ROUND(ROUND(OFFSET($P259,0,AY$13),15-13*ORÇAMENTO!$AF$7)*OFFSET(ORÇAMENTO!$W$15,ROW(AY259)-ROW(AY$15),0),15-13*ORÇAMENTO!$AF$11)),
         0)</f>
        <v>0</v>
      </c>
      <c r="AZ259" s="453">
        <f ca="1">IF(AND($D259="Serviço",AZ$12&lt;&gt;0,$H259&gt;0,OR(AUTOEVENTO&lt;&gt;"manual",$M259&lt;&gt;$A$15)),
        IF(Import.TipoArredondamento&lt;&gt;"TransfereGOV",
              ROUND(OFFSET($P259,0,AZ$13),15-13*ORÇAMENTO!$AF$7)/$H259*OFFSET(ORÇAMENTO!$X$15,ROW(AZ259)-ROW(AZ$15),0),
              ROUND(ROUND(OFFSET($P259,0,AZ$13),15-13*ORÇAMENTO!$AF$7)*OFFSET(ORÇAMENTO!$W$15,ROW(AZ259)-ROW(AZ$15),0),15-13*ORÇAMENTO!$AF$11)),
         0)</f>
        <v>0</v>
      </c>
      <c r="BA259" s="453">
        <f ca="1">IF(AND($D259="Serviço",BA$12&lt;&gt;0,$H259&gt;0,OR(AUTOEVENTO&lt;&gt;"manual",$M259&lt;&gt;$A$15)),
        IF(Import.TipoArredondamento&lt;&gt;"TransfereGOV",
              ROUND(OFFSET($P259,0,BA$13),15-13*ORÇAMENTO!$AF$7)/$H259*OFFSET(ORÇAMENTO!$X$15,ROW(BA259)-ROW(BA$15),0),
              ROUND(ROUND(OFFSET($P259,0,BA$13),15-13*ORÇAMENTO!$AF$7)*OFFSET(ORÇAMENTO!$W$15,ROW(BA259)-ROW(BA$15),0),15-13*ORÇAMENTO!$AF$11)),
         0)</f>
        <v>0</v>
      </c>
      <c r="BC259" s="171">
        <f ca="1">IF(OR($D259&lt;&gt;"Serviço",AND(AUTOEVENTO="Manual",$M259=$A$15)),0,
         IF(OFFSET(CRONOPLE!$F$15,$M259-$A$15,BC$13)=0,10^12,OFFSET(CRONOPLE!$F$15,$M259-$A$15,BC$13)))</f>
        <v>0</v>
      </c>
      <c r="BD259" s="171">
        <f ca="1">IF(OR($D259&lt;&gt;"Serviço",AND(AUTOEVENTO="Manual",$M259=$A$15)),0,
         IF(OFFSET(CRONOPLE!$F$15,$M259-$A$15,BD$13)=0,10^12,OFFSET(CRONOPLE!$F$15,$M259-$A$15,BD$13)))</f>
        <v>0</v>
      </c>
      <c r="BE259" s="171">
        <f ca="1">IF(OR($D259&lt;&gt;"Serviço",AND(AUTOEVENTO="Manual",$M259=$A$15)),0,
         IF(OFFSET(CRONOPLE!$F$15,$M259-$A$15,BE$13)=0,10^12,OFFSET(CRONOPLE!$F$15,$M259-$A$15,BE$13)))</f>
        <v>0</v>
      </c>
      <c r="BF259" s="171">
        <f ca="1">IF(OR($D259&lt;&gt;"Serviço",AND(AUTOEVENTO="Manual",$M259=$A$15)),0,
         IF(OFFSET(CRONOPLE!$F$15,$M259-$A$15,BF$13)=0,10^12,OFFSET(CRONOPLE!$F$15,$M259-$A$15,BF$13)))</f>
        <v>0</v>
      </c>
      <c r="BG259" s="171">
        <f ca="1">IF(OR($D259&lt;&gt;"Serviço",AND(AUTOEVENTO="Manual",$M259=$A$15)),0,
         IF(OFFSET(CRONOPLE!$F$15,$M259-$A$15,BG$13)=0,10^12,OFFSET(CRONOPLE!$F$15,$M259-$A$15,BG$13)))</f>
        <v>0</v>
      </c>
      <c r="BH259" s="171">
        <f ca="1">IF(OR($D259&lt;&gt;"Serviço",AND(AUTOEVENTO="Manual",$M259=$A$15)),0,
         IF(OFFSET(CRONOPLE!$F$15,$M259-$A$15,BH$13)=0,10^12,OFFSET(CRONOPLE!$F$15,$M259-$A$15,BH$13)))</f>
        <v>0</v>
      </c>
      <c r="BI259" s="171">
        <f ca="1">IF(OR($D259&lt;&gt;"Serviço",AND(AUTOEVENTO="Manual",$M259=$A$15)),0,
         IF(OFFSET(CRONOPLE!$F$15,$M259-$A$15,BI$13)=0,10^12,OFFSET(CRONOPLE!$F$15,$M259-$A$15,BI$13)))</f>
        <v>0</v>
      </c>
      <c r="BJ259" s="171">
        <f ca="1">IF(OR($D259&lt;&gt;"Serviço",AND(AUTOEVENTO="Manual",$M259=$A$15)),0,
         IF(OFFSET(CRONOPLE!$F$15,$M259-$A$15,BJ$13)=0,10^12,OFFSET(CRONOPLE!$F$15,$M259-$A$15,BJ$13)))</f>
        <v>0</v>
      </c>
      <c r="BK259" s="171">
        <f ca="1">IF(OR($D259&lt;&gt;"Serviço",AND(AUTOEVENTO="Manual",$M259=$A$15)),0,
         IF(OFFSET(CRONOPLE!$F$15,$M259-$A$15,BK$13)=0,10^12,OFFSET(CRONOPLE!$F$15,$M259-$A$15,BK$13)))</f>
        <v>0</v>
      </c>
      <c r="BL259" s="171">
        <f ca="1">IF(OR($D259&lt;&gt;"Serviço",AND(AUTOEVENTO="Manual",$M259=$A$15)),0,
         IF(OFFSET(CRONOPLE!$F$15,$M259-$A$15,BL$13)=0,10^12,OFFSET(CRONOPLE!$F$15,$M259-$A$15,BL$13)))</f>
        <v>0</v>
      </c>
      <c r="BM259" s="171">
        <f ca="1">IF(OR($D259&lt;&gt;"Serviço",AND(AUTOEVENTO="Manual",$M259=$A$15)),0,
         IF(OFFSET(CRONOPLE!$F$15,$M259-$A$15,BM$13)=0,10^12,OFFSET(CRONOPLE!$F$15,$M259-$A$15,BM$13)))</f>
        <v>0</v>
      </c>
      <c r="BN259" s="171">
        <f ca="1">IF(OR($D259&lt;&gt;"Serviço",AND(AUTOEVENTO="Manual",$M259=$A$15)),0,
         IF(OFFSET(CRONOPLE!$F$15,$M259-$A$15,BN$13)=0,10^12,OFFSET(CRONOPLE!$F$15,$M259-$A$15,BN$13)))</f>
        <v>0</v>
      </c>
      <c r="BO259" s="171">
        <f ca="1">IF(OR($D259&lt;&gt;"Serviço",AND(AUTOEVENTO="Manual",$M259=$A$15)),0,
         IF(OFFSET(CRONOPLE!$F$15,$M259-$A$15,BO$13)=0,10^12,OFFSET(CRONOPLE!$F$15,$M259-$A$15,BO$13)))</f>
        <v>0</v>
      </c>
      <c r="BP259" s="171">
        <f ca="1">IF(OR($D259&lt;&gt;"Serviço",AND(AUTOEVENTO="Manual",$M259=$A$15)),0,
         IF(OFFSET(CRONOPLE!$F$15,$M259-$A$15,BP$13)=0,10^12,OFFSET(CRONOPLE!$F$15,$M259-$A$15,BP$13)))</f>
        <v>0</v>
      </c>
      <c r="BQ259" s="171">
        <f ca="1">IF(OR($D259&lt;&gt;"Serviço",AND(AUTOEVENTO="Manual",$M259=$A$15)),0,
         IF(OFFSET(CRONOPLE!$F$15,$M259-$A$15,BQ$13)=0,10^12,OFFSET(CRONOPLE!$F$15,$M259-$A$15,BQ$13)))</f>
        <v>0</v>
      </c>
      <c r="BR259" s="171">
        <f ca="1">IF(OR($D259&lt;&gt;"Serviço",AND(AUTOEVENTO="Manual",$M259=$A$15)),0,
         IF(OFFSET(CRONOPLE!$F$15,$M259-$A$15,BR$13)=0,10^12,OFFSET(CRONOPLE!$F$15,$M259-$A$15,BR$13)))</f>
        <v>0</v>
      </c>
      <c r="BS259" s="171">
        <f ca="1">IF(OR($D259&lt;&gt;"Serviço",AND(AUTOEVENTO="Manual",$M259=$A$15)),0,
         IF(OFFSET(CRONOPLE!$F$15,$M259-$A$15,BS$13)=0,10^12,OFFSET(CRONOPLE!$F$15,$M259-$A$15,BS$13)))</f>
        <v>0</v>
      </c>
      <c r="BT259" s="171">
        <f ca="1">IF(OR($D259&lt;&gt;"Serviço",AND(AUTOEVENTO="Manual",$M259=$A$15)),0,
         IF(OFFSET(CRONOPLE!$F$15,$M259-$A$15,BT$13)=0,10^12,OFFSET(CRONOPLE!$F$15,$M259-$A$15,BT$13)))</f>
        <v>0</v>
      </c>
      <c r="BV259" s="172">
        <f ca="1">IF(OR($D259&lt;&gt;"Serviço",AND(AUTOEVENTO="Manual",$M259=$A$15),$M259&gt;(ROW(PLE.lastrow)-ROW(PLE.firstrow))),0,
           IF(OFFSET(PLE!$G$15,$M259-$A$15,BV$13)="",10^12,OFFSET(PLE!$G$15,$M259-$A$15,BV$13)))</f>
        <v>0</v>
      </c>
      <c r="BW259" s="172">
        <f ca="1">IF(OR($D259&lt;&gt;"Serviço",AND(AUTOEVENTO="Manual",$M259=$A$15),$M259&gt;(ROW(PLE.lastrow)-ROW(PLE.firstrow))),0,
           IF(OFFSET(PLE!$G$15,$M259-$A$15,BW$13)="",10^12,OFFSET(PLE!$G$15,$M259-$A$15,BW$13)))</f>
        <v>0</v>
      </c>
      <c r="BX259" s="172">
        <f ca="1">IF(OR($D259&lt;&gt;"Serviço",AND(AUTOEVENTO="Manual",$M259=$A$15),$M259&gt;(ROW(PLE.lastrow)-ROW(PLE.firstrow))),0,
           IF(OFFSET(PLE!$G$15,$M259-$A$15,BX$13)="",10^12,OFFSET(PLE!$G$15,$M259-$A$15,BX$13)))</f>
        <v>0</v>
      </c>
      <c r="BY259" s="172">
        <f ca="1">IF(OR($D259&lt;&gt;"Serviço",AND(AUTOEVENTO="Manual",$M259=$A$15),$M259&gt;(ROW(PLE.lastrow)-ROW(PLE.firstrow))),0,
           IF(OFFSET(PLE!$G$15,$M259-$A$15,BY$13)="",10^12,OFFSET(PLE!$G$15,$M259-$A$15,BY$13)))</f>
        <v>0</v>
      </c>
      <c r="BZ259" s="172">
        <f ca="1">IF(OR($D259&lt;&gt;"Serviço",AND(AUTOEVENTO="Manual",$M259=$A$15),$M259&gt;(ROW(PLE.lastrow)-ROW(PLE.firstrow))),0,
           IF(OFFSET(PLE!$G$15,$M259-$A$15,BZ$13)="",10^12,OFFSET(PLE!$G$15,$M259-$A$15,BZ$13)))</f>
        <v>0</v>
      </c>
      <c r="CA259" s="172">
        <f ca="1">IF(OR($D259&lt;&gt;"Serviço",AND(AUTOEVENTO="Manual",$M259=$A$15),$M259&gt;(ROW(PLE.lastrow)-ROW(PLE.firstrow))),0,
           IF(OFFSET(PLE!$G$15,$M259-$A$15,CA$13)="",10^12,OFFSET(PLE!$G$15,$M259-$A$15,CA$13)))</f>
        <v>0</v>
      </c>
      <c r="CB259" s="172">
        <f ca="1">IF(OR($D259&lt;&gt;"Serviço",AND(AUTOEVENTO="Manual",$M259=$A$15),$M259&gt;(ROW(PLE.lastrow)-ROW(PLE.firstrow))),0,
           IF(OFFSET(PLE!$G$15,$M259-$A$15,CB$13)="",10^12,OFFSET(PLE!$G$15,$M259-$A$15,CB$13)))</f>
        <v>0</v>
      </c>
      <c r="CC259" s="172">
        <f ca="1">IF(OR($D259&lt;&gt;"Serviço",AND(AUTOEVENTO="Manual",$M259=$A$15),$M259&gt;(ROW(PLE.lastrow)-ROW(PLE.firstrow))),0,
           IF(OFFSET(PLE!$G$15,$M259-$A$15,CC$13)="",10^12,OFFSET(PLE!$G$15,$M259-$A$15,CC$13)))</f>
        <v>0</v>
      </c>
      <c r="CD259" s="172">
        <f ca="1">IF(OR($D259&lt;&gt;"Serviço",AND(AUTOEVENTO="Manual",$M259=$A$15),$M259&gt;(ROW(PLE.lastrow)-ROW(PLE.firstrow))),0,
           IF(OFFSET(PLE!$G$15,$M259-$A$15,CD$13)="",10^12,OFFSET(PLE!$G$15,$M259-$A$15,CD$13)))</f>
        <v>0</v>
      </c>
      <c r="CE259" s="172">
        <f ca="1">IF(OR($D259&lt;&gt;"Serviço",AND(AUTOEVENTO="Manual",$M259=$A$15),$M259&gt;(ROW(PLE.lastrow)-ROW(PLE.firstrow))),0,
           IF(OFFSET(PLE!$G$15,$M259-$A$15,CE$13)="",10^12,OFFSET(PLE!$G$15,$M259-$A$15,CE$13)))</f>
        <v>0</v>
      </c>
      <c r="CF259" s="172">
        <f ca="1">IF(OR($D259&lt;&gt;"Serviço",AND(AUTOEVENTO="Manual",$M259=$A$15),$M259&gt;(ROW(PLE.lastrow)-ROW(PLE.firstrow))),0,
           IF(OFFSET(PLE!$G$15,$M259-$A$15,CF$13)="",10^12,OFFSET(PLE!$G$15,$M259-$A$15,CF$13)))</f>
        <v>0</v>
      </c>
      <c r="CG259" s="172">
        <f ca="1">IF(OR($D259&lt;&gt;"Serviço",AND(AUTOEVENTO="Manual",$M259=$A$15),$M259&gt;(ROW(PLE.lastrow)-ROW(PLE.firstrow))),0,
           IF(OFFSET(PLE!$G$15,$M259-$A$15,CG$13)="",10^12,OFFSET(PLE!$G$15,$M259-$A$15,CG$13)))</f>
        <v>0</v>
      </c>
      <c r="CH259" s="172">
        <f ca="1">IF(OR($D259&lt;&gt;"Serviço",AND(AUTOEVENTO="Manual",$M259=$A$15),$M259&gt;(ROW(PLE.lastrow)-ROW(PLE.firstrow))),0,
           IF(OFFSET(PLE!$G$15,$M259-$A$15,CH$13)="",10^12,OFFSET(PLE!$G$15,$M259-$A$15,CH$13)))</f>
        <v>0</v>
      </c>
      <c r="CI259" s="172">
        <f ca="1">IF(OR($D259&lt;&gt;"Serviço",AND(AUTOEVENTO="Manual",$M259=$A$15),$M259&gt;(ROW(PLE.lastrow)-ROW(PLE.firstrow))),0,
           IF(OFFSET(PLE!$G$15,$M259-$A$15,CI$13)="",10^12,OFFSET(PLE!$G$15,$M259-$A$15,CI$13)))</f>
        <v>0</v>
      </c>
      <c r="CJ259" s="172">
        <f ca="1">IF(OR($D259&lt;&gt;"Serviço",AND(AUTOEVENTO="Manual",$M259=$A$15),$M259&gt;(ROW(PLE.lastrow)-ROW(PLE.firstrow))),0,
           IF(OFFSET(PLE!$G$15,$M259-$A$15,CJ$13)="",10^12,OFFSET(PLE!$G$15,$M259-$A$15,CJ$13)))</f>
        <v>0</v>
      </c>
      <c r="CK259" s="172">
        <f ca="1">IF(OR($D259&lt;&gt;"Serviço",AND(AUTOEVENTO="Manual",$M259=$A$15),$M259&gt;(ROW(PLE.lastrow)-ROW(PLE.firstrow))),0,
           IF(OFFSET(PLE!$G$15,$M259-$A$15,CK$13)="",10^12,OFFSET(PLE!$G$15,$M259-$A$15,CK$13)))</f>
        <v>0</v>
      </c>
      <c r="CL259" s="172">
        <f ca="1">IF(OR($D259&lt;&gt;"Serviço",AND(AUTOEVENTO="Manual",$M259=$A$15),$M259&gt;(ROW(PLE.lastrow)-ROW(PLE.firstrow))),0,
           IF(OFFSET(PLE!$G$15,$M259-$A$15,CL$13)="",10^12,OFFSET(PLE!$G$15,$M259-$A$15,CL$13)))</f>
        <v>0</v>
      </c>
      <c r="CM259" s="172">
        <f ca="1">IF(OR($D259&lt;&gt;"Serviço",AND(AUTOEVENTO="Manual",$M259=$A$15),$M259&gt;(ROW(PLE.lastrow)-ROW(PLE.firstrow))),0,
           IF(OFFSET(PLE!$G$15,$M259-$A$15,CM$13)="",10^12,OFFSET(PLE!$G$15,$M259-$A$15,CM$13)))</f>
        <v>0</v>
      </c>
    </row>
    <row r="260" spans="1:91" ht="25.5" x14ac:dyDescent="0.2">
      <c r="A260" s="7">
        <f t="shared" ca="1" si="13"/>
        <v>6</v>
      </c>
      <c r="B260" s="7" t="str">
        <f ca="1">OFFSET(ORÇAMENTO!C$15,ROW(B260)-ROW(B$15),0)</f>
        <v>S</v>
      </c>
      <c r="C260" s="7" t="str">
        <f ca="1">OFFSET(ORÇAMENTO!L$15,ROW(C260)-ROW(C$15),0)</f>
        <v>F</v>
      </c>
      <c r="D260" s="116" t="str">
        <f ca="1">OFFSET(ORÇAMENTO!N$15,ROW(D260)-ROW(D$15),0)</f>
        <v>Serviço</v>
      </c>
      <c r="E260" s="117" t="str">
        <f ca="1">OFFSET(ORÇAMENTO!O$15,ROW(E260)-ROW(E$15),0)</f>
        <v>1.7.1.2.1.</v>
      </c>
      <c r="F260" s="163" t="str">
        <f ca="1">OFFSET(ORÇAMENTO!R$15,ROW(F260)-ROW(F$15),0)</f>
        <v>ASSENTAMENTO DE CONEXÕES EM FERRO FUNDIDO, JUNTA ELÁSTICA, DN = 350 MM - BASEADO EM ORSE (5287)</v>
      </c>
      <c r="G260" s="164" t="str">
        <f ca="1">IF($D260&lt;&gt;"Serviço","",OFFSET(ORÇAMENTO!S$15,ROW(G260)-ROW(G$15),0))</f>
        <v>UN</v>
      </c>
      <c r="H260" s="122" cm="1">
        <f t="array" aca="1" ref="H260" ca="1">IF($D260&lt;&gt;"Serviço",0,IF(ACOMPANHAMENTO="BM",ROUND(OFFSET(ORÇAMENTO!AJ$15,ROW(H260)-ROW(H$15),0),15-13*ORÇAMENTO!$AF$7),SUMPRODUCT(($Q$1:$AI$1=1)*ROUND($Q260:$AI260,15-13*ORÇAMENTO!$AF$7))))</f>
        <v>3</v>
      </c>
      <c r="I260" s="468" t="s">
        <v>1347</v>
      </c>
      <c r="J260" s="640" t="str" cm="1">
        <f t="array" aca="1" ref="J260" ca="1">IF(OR(B260&lt;&gt;"S",CÁLCULO.FrentesPreenchidas=0),"",IF(AND(ACOMPANHAMENTO="PLE",AUTOEVENTO="Manual",OR(H260&gt;0,ORÇAMENTO!AC260="QUANT."),OR(K260="",M260=0,N260="")),"►E",IF(AND(ACOMPANHAMENTO="PLE",ORÇAMENTO!AC260="QUANT."),"►Q",IF(AND(ACOMPANHAMENTO="PLE",H260&lt;&gt;SUMPRODUCT(($Q$1:$AI$1=1)*ROUND(Q260:AI260,15))),"►S",IF(AND(COUNTIF($P$11:$AI$11,"▼")=0,H260&gt;0,I260=""),"◄M","")))))</f>
        <v/>
      </c>
      <c r="K260" s="641" t="s">
        <v>1385</v>
      </c>
      <c r="L260" s="165" t="s">
        <v>764</v>
      </c>
      <c r="M260" s="166">
        <f ca="1">IF($D260&lt;&gt;"Serviço","",
          IF(AUTOEVENTO="manual",$A260,
                IF(ISERROR(MATCH($A260,$A$15:OFFSET($A260,-1,0),0)),MAX($M$15:OFFSET(M260,-1,0))+1,
                      INDEX($M$15:OFFSET(M260,-1,0),MATCH($A260,$A$15:OFFSET($A260,-1,0),0)))))</f>
        <v>6</v>
      </c>
      <c r="N260" s="167" t="str">
        <f ca="1">IF($D260&lt;&gt;"Serviço","",
         IF(AUTOEVENTO="Manual",
                IF($A260=0,"&lt;-- defina o número do agrupador",
                       OFFSET(EVENTOS!$D$15,$A260-$A$15,0)),
                OFFSET($F$15,$A260,0)))</f>
        <v>Saneamento</v>
      </c>
      <c r="O260" s="168"/>
      <c r="Q260" s="168"/>
      <c r="R260" s="169"/>
      <c r="S260" s="169">
        <f>S247+S250+S253</f>
        <v>3</v>
      </c>
      <c r="T260" s="169"/>
      <c r="U260" s="169"/>
      <c r="V260" s="169"/>
      <c r="W260" s="169"/>
      <c r="X260" s="169"/>
      <c r="Y260" s="169"/>
      <c r="Z260" s="170"/>
      <c r="AA260" s="169"/>
      <c r="AB260" s="169"/>
      <c r="AC260" s="169"/>
      <c r="AD260" s="169"/>
      <c r="AE260" s="169"/>
      <c r="AF260" s="169"/>
      <c r="AG260" s="169"/>
      <c r="AH260" s="170"/>
      <c r="AJ260" s="453">
        <f ca="1">IF(AND($D260="Serviço",AJ$12&lt;&gt;0,$H260&gt;0,OR(AUTOEVENTO&lt;&gt;"manual",$M260&lt;&gt;$A$15)),
        IF(Import.TipoArredondamento&lt;&gt;"TransfereGOV",
              ROUND(OFFSET($P260,0,AJ$13),15-13*ORÇAMENTO!$AF$7)/$H260*OFFSET(ORÇAMENTO!$X$15,ROW(AJ260)-ROW(AJ$15),0),
              ROUND(ROUND(OFFSET($P260,0,AJ$13),15-13*ORÇAMENTO!$AF$7)*OFFSET(ORÇAMENTO!$W$15,ROW(AJ260)-ROW(AJ$15),0),15-13*ORÇAMENTO!$AF$11)),
         0)</f>
        <v>0</v>
      </c>
      <c r="AK260" s="453">
        <f ca="1">IF(AND($D260="Serviço",AK$12&lt;&gt;0,$H260&gt;0,OR(AUTOEVENTO&lt;&gt;"manual",$M260&lt;&gt;$A$15)),
        IF(Import.TipoArredondamento&lt;&gt;"TransfereGOV",
              ROUND(OFFSET($P260,0,AK$13),15-13*ORÇAMENTO!$AF$7)/$H260*OFFSET(ORÇAMENTO!$X$15,ROW(AK260)-ROW(AK$15),0),
              ROUND(ROUND(OFFSET($P260,0,AK$13),15-13*ORÇAMENTO!$AF$7)*OFFSET(ORÇAMENTO!$W$15,ROW(AK260)-ROW(AK$15),0),15-13*ORÇAMENTO!$AF$11)),
         0)</f>
        <v>0</v>
      </c>
      <c r="AL260" s="453">
        <f ca="1">IF(AND($D260="Serviço",AL$12&lt;&gt;0,$H260&gt;0,OR(AUTOEVENTO&lt;&gt;"manual",$M260&lt;&gt;$A$15)),
        IF(Import.TipoArredondamento&lt;&gt;"TransfereGOV",
              ROUND(OFFSET($P260,0,AL$13),15-13*ORÇAMENTO!$AF$7)/$H260*OFFSET(ORÇAMENTO!$X$15,ROW(AL260)-ROW(AL$15),0),
              ROUND(ROUND(OFFSET($P260,0,AL$13),15-13*ORÇAMENTO!$AF$7)*OFFSET(ORÇAMENTO!$W$15,ROW(AL260)-ROW(AL$15),0),15-13*ORÇAMENTO!$AF$11)),
         0)</f>
        <v>0</v>
      </c>
      <c r="AM260" s="453">
        <f ca="1">IF(AND($D260="Serviço",AM$12&lt;&gt;0,$H260&gt;0,OR(AUTOEVENTO&lt;&gt;"manual",$M260&lt;&gt;$A$15)),
        IF(Import.TipoArredondamento&lt;&gt;"TransfereGOV",
              ROUND(OFFSET($P260,0,AM$13),15-13*ORÇAMENTO!$AF$7)/$H260*OFFSET(ORÇAMENTO!$X$15,ROW(AM260)-ROW(AM$15),0),
              ROUND(ROUND(OFFSET($P260,0,AM$13),15-13*ORÇAMENTO!$AF$7)*OFFSET(ORÇAMENTO!$W$15,ROW(AM260)-ROW(AM$15),0),15-13*ORÇAMENTO!$AF$11)),
         0)</f>
        <v>0</v>
      </c>
      <c r="AN260" s="453">
        <f ca="1">IF(AND($D260="Serviço",AN$12&lt;&gt;0,$H260&gt;0,OR(AUTOEVENTO&lt;&gt;"manual",$M260&lt;&gt;$A$15)),
        IF(Import.TipoArredondamento&lt;&gt;"TransfereGOV",
              ROUND(OFFSET($P260,0,AN$13),15-13*ORÇAMENTO!$AF$7)/$H260*OFFSET(ORÇAMENTO!$X$15,ROW(AN260)-ROW(AN$15),0),
              ROUND(ROUND(OFFSET($P260,0,AN$13),15-13*ORÇAMENTO!$AF$7)*OFFSET(ORÇAMENTO!$W$15,ROW(AN260)-ROW(AN$15),0),15-13*ORÇAMENTO!$AF$11)),
         0)</f>
        <v>0</v>
      </c>
      <c r="AO260" s="453">
        <f ca="1">IF(AND($D260="Serviço",AO$12&lt;&gt;0,$H260&gt;0,OR(AUTOEVENTO&lt;&gt;"manual",$M260&lt;&gt;$A$15)),
        IF(Import.TipoArredondamento&lt;&gt;"TransfereGOV",
              ROUND(OFFSET($P260,0,AO$13),15-13*ORÇAMENTO!$AF$7)/$H260*OFFSET(ORÇAMENTO!$X$15,ROW(AO260)-ROW(AO$15),0),
              ROUND(ROUND(OFFSET($P260,0,AO$13),15-13*ORÇAMENTO!$AF$7)*OFFSET(ORÇAMENTO!$W$15,ROW(AO260)-ROW(AO$15),0),15-13*ORÇAMENTO!$AF$11)),
         0)</f>
        <v>0</v>
      </c>
      <c r="AP260" s="453">
        <f ca="1">IF(AND($D260="Serviço",AP$12&lt;&gt;0,$H260&gt;0,OR(AUTOEVENTO&lt;&gt;"manual",$M260&lt;&gt;$A$15)),
        IF(Import.TipoArredondamento&lt;&gt;"TransfereGOV",
              ROUND(OFFSET($P260,0,AP$13),15-13*ORÇAMENTO!$AF$7)/$H260*OFFSET(ORÇAMENTO!$X$15,ROW(AP260)-ROW(AP$15),0),
              ROUND(ROUND(OFFSET($P260,0,AP$13),15-13*ORÇAMENTO!$AF$7)*OFFSET(ORÇAMENTO!$W$15,ROW(AP260)-ROW(AP$15),0),15-13*ORÇAMENTO!$AF$11)),
         0)</f>
        <v>0</v>
      </c>
      <c r="AQ260" s="453">
        <f ca="1">IF(AND($D260="Serviço",AQ$12&lt;&gt;0,$H260&gt;0,OR(AUTOEVENTO&lt;&gt;"manual",$M260&lt;&gt;$A$15)),
        IF(Import.TipoArredondamento&lt;&gt;"TransfereGOV",
              ROUND(OFFSET($P260,0,AQ$13),15-13*ORÇAMENTO!$AF$7)/$H260*OFFSET(ORÇAMENTO!$X$15,ROW(AQ260)-ROW(AQ$15),0),
              ROUND(ROUND(OFFSET($P260,0,AQ$13),15-13*ORÇAMENTO!$AF$7)*OFFSET(ORÇAMENTO!$W$15,ROW(AQ260)-ROW(AQ$15),0),15-13*ORÇAMENTO!$AF$11)),
         0)</f>
        <v>0</v>
      </c>
      <c r="AR260" s="453">
        <f ca="1">IF(AND($D260="Serviço",AR$12&lt;&gt;0,$H260&gt;0,OR(AUTOEVENTO&lt;&gt;"manual",$M260&lt;&gt;$A$15)),
        IF(Import.TipoArredondamento&lt;&gt;"TransfereGOV",
              ROUND(OFFSET($P260,0,AR$13),15-13*ORÇAMENTO!$AF$7)/$H260*OFFSET(ORÇAMENTO!$X$15,ROW(AR260)-ROW(AR$15),0),
              ROUND(ROUND(OFFSET($P260,0,AR$13),15-13*ORÇAMENTO!$AF$7)*OFFSET(ORÇAMENTO!$W$15,ROW(AR260)-ROW(AR$15),0),15-13*ORÇAMENTO!$AF$11)),
         0)</f>
        <v>0</v>
      </c>
      <c r="AS260" s="453">
        <f ca="1">IF(AND($D260="Serviço",AS$12&lt;&gt;0,$H260&gt;0,OR(AUTOEVENTO&lt;&gt;"manual",$M260&lt;&gt;$A$15)),
        IF(Import.TipoArredondamento&lt;&gt;"TransfereGOV",
              ROUND(OFFSET($P260,0,AS$13),15-13*ORÇAMENTO!$AF$7)/$H260*OFFSET(ORÇAMENTO!$X$15,ROW(AS260)-ROW(AS$15),0),
              ROUND(ROUND(OFFSET($P260,0,AS$13),15-13*ORÇAMENTO!$AF$7)*OFFSET(ORÇAMENTO!$W$15,ROW(AS260)-ROW(AS$15),0),15-13*ORÇAMENTO!$AF$11)),
         0)</f>
        <v>0</v>
      </c>
      <c r="AT260" s="453">
        <f ca="1">IF(AND($D260="Serviço",AT$12&lt;&gt;0,$H260&gt;0,OR(AUTOEVENTO&lt;&gt;"manual",$M260&lt;&gt;$A$15)),
        IF(Import.TipoArredondamento&lt;&gt;"TransfereGOV",
              ROUND(OFFSET($P260,0,AT$13),15-13*ORÇAMENTO!$AF$7)/$H260*OFFSET(ORÇAMENTO!$X$15,ROW(AT260)-ROW(AT$15),0),
              ROUND(ROUND(OFFSET($P260,0,AT$13),15-13*ORÇAMENTO!$AF$7)*OFFSET(ORÇAMENTO!$W$15,ROW(AT260)-ROW(AT$15),0),15-13*ORÇAMENTO!$AF$11)),
         0)</f>
        <v>0</v>
      </c>
      <c r="AU260" s="453">
        <f ca="1">IF(AND($D260="Serviço",AU$12&lt;&gt;0,$H260&gt;0,OR(AUTOEVENTO&lt;&gt;"manual",$M260&lt;&gt;$A$15)),
        IF(Import.TipoArredondamento&lt;&gt;"TransfereGOV",
              ROUND(OFFSET($P260,0,AU$13),15-13*ORÇAMENTO!$AF$7)/$H260*OFFSET(ORÇAMENTO!$X$15,ROW(AU260)-ROW(AU$15),0),
              ROUND(ROUND(OFFSET($P260,0,AU$13),15-13*ORÇAMENTO!$AF$7)*OFFSET(ORÇAMENTO!$W$15,ROW(AU260)-ROW(AU$15),0),15-13*ORÇAMENTO!$AF$11)),
         0)</f>
        <v>0</v>
      </c>
      <c r="AV260" s="453">
        <f ca="1">IF(AND($D260="Serviço",AV$12&lt;&gt;0,$H260&gt;0,OR(AUTOEVENTO&lt;&gt;"manual",$M260&lt;&gt;$A$15)),
        IF(Import.TipoArredondamento&lt;&gt;"TransfereGOV",
              ROUND(OFFSET($P260,0,AV$13),15-13*ORÇAMENTO!$AF$7)/$H260*OFFSET(ORÇAMENTO!$X$15,ROW(AV260)-ROW(AV$15),0),
              ROUND(ROUND(OFFSET($P260,0,AV$13),15-13*ORÇAMENTO!$AF$7)*OFFSET(ORÇAMENTO!$W$15,ROW(AV260)-ROW(AV$15),0),15-13*ORÇAMENTO!$AF$11)),
         0)</f>
        <v>0</v>
      </c>
      <c r="AW260" s="453">
        <f ca="1">IF(AND($D260="Serviço",AW$12&lt;&gt;0,$H260&gt;0,OR(AUTOEVENTO&lt;&gt;"manual",$M260&lt;&gt;$A$15)),
        IF(Import.TipoArredondamento&lt;&gt;"TransfereGOV",
              ROUND(OFFSET($P260,0,AW$13),15-13*ORÇAMENTO!$AF$7)/$H260*OFFSET(ORÇAMENTO!$X$15,ROW(AW260)-ROW(AW$15),0),
              ROUND(ROUND(OFFSET($P260,0,AW$13),15-13*ORÇAMENTO!$AF$7)*OFFSET(ORÇAMENTO!$W$15,ROW(AW260)-ROW(AW$15),0),15-13*ORÇAMENTO!$AF$11)),
         0)</f>
        <v>0</v>
      </c>
      <c r="AX260" s="453">
        <f ca="1">IF(AND($D260="Serviço",AX$12&lt;&gt;0,$H260&gt;0,OR(AUTOEVENTO&lt;&gt;"manual",$M260&lt;&gt;$A$15)),
        IF(Import.TipoArredondamento&lt;&gt;"TransfereGOV",
              ROUND(OFFSET($P260,0,AX$13),15-13*ORÇAMENTO!$AF$7)/$H260*OFFSET(ORÇAMENTO!$X$15,ROW(AX260)-ROW(AX$15),0),
              ROUND(ROUND(OFFSET($P260,0,AX$13),15-13*ORÇAMENTO!$AF$7)*OFFSET(ORÇAMENTO!$W$15,ROW(AX260)-ROW(AX$15),0),15-13*ORÇAMENTO!$AF$11)),
         0)</f>
        <v>0</v>
      </c>
      <c r="AY260" s="453">
        <f ca="1">IF(AND($D260="Serviço",AY$12&lt;&gt;0,$H260&gt;0,OR(AUTOEVENTO&lt;&gt;"manual",$M260&lt;&gt;$A$15)),
        IF(Import.TipoArredondamento&lt;&gt;"TransfereGOV",
              ROUND(OFFSET($P260,0,AY$13),15-13*ORÇAMENTO!$AF$7)/$H260*OFFSET(ORÇAMENTO!$X$15,ROW(AY260)-ROW(AY$15),0),
              ROUND(ROUND(OFFSET($P260,0,AY$13),15-13*ORÇAMENTO!$AF$7)*OFFSET(ORÇAMENTO!$W$15,ROW(AY260)-ROW(AY$15),0),15-13*ORÇAMENTO!$AF$11)),
         0)</f>
        <v>0</v>
      </c>
      <c r="AZ260" s="453">
        <f ca="1">IF(AND($D260="Serviço",AZ$12&lt;&gt;0,$H260&gt;0,OR(AUTOEVENTO&lt;&gt;"manual",$M260&lt;&gt;$A$15)),
        IF(Import.TipoArredondamento&lt;&gt;"TransfereGOV",
              ROUND(OFFSET($P260,0,AZ$13),15-13*ORÇAMENTO!$AF$7)/$H260*OFFSET(ORÇAMENTO!$X$15,ROW(AZ260)-ROW(AZ$15),0),
              ROUND(ROUND(OFFSET($P260,0,AZ$13),15-13*ORÇAMENTO!$AF$7)*OFFSET(ORÇAMENTO!$W$15,ROW(AZ260)-ROW(AZ$15),0),15-13*ORÇAMENTO!$AF$11)),
         0)</f>
        <v>0</v>
      </c>
      <c r="BA260" s="453">
        <f ca="1">IF(AND($D260="Serviço",BA$12&lt;&gt;0,$H260&gt;0,OR(AUTOEVENTO&lt;&gt;"manual",$M260&lt;&gt;$A$15)),
        IF(Import.TipoArredondamento&lt;&gt;"TransfereGOV",
              ROUND(OFFSET($P260,0,BA$13),15-13*ORÇAMENTO!$AF$7)/$H260*OFFSET(ORÇAMENTO!$X$15,ROW(BA260)-ROW(BA$15),0),
              ROUND(ROUND(OFFSET($P260,0,BA$13),15-13*ORÇAMENTO!$AF$7)*OFFSET(ORÇAMENTO!$W$15,ROW(BA260)-ROW(BA$15),0),15-13*ORÇAMENTO!$AF$11)),
         0)</f>
        <v>0</v>
      </c>
      <c r="BC260" s="171">
        <f ca="1">IF(OR($D260&lt;&gt;"Serviço",AND(AUTOEVENTO="Manual",$M260=$A$15)),0,
         IF(OFFSET(CRONOPLE!$F$15,$M260-$A$15,BC$13)=0,10^12,OFFSET(CRONOPLE!$F$15,$M260-$A$15,BC$13)))</f>
        <v>1</v>
      </c>
      <c r="BD260" s="171">
        <f ca="1">IF(OR($D260&lt;&gt;"Serviço",AND(AUTOEVENTO="Manual",$M260=$A$15)),0,
         IF(OFFSET(CRONOPLE!$F$15,$M260-$A$15,BD$13)=0,10^12,OFFSET(CRONOPLE!$F$15,$M260-$A$15,BD$13)))</f>
        <v>2</v>
      </c>
      <c r="BE260" s="171">
        <f ca="1">IF(OR($D260&lt;&gt;"Serviço",AND(AUTOEVENTO="Manual",$M260=$A$15)),0,
         IF(OFFSET(CRONOPLE!$F$15,$M260-$A$15,BE$13)=0,10^12,OFFSET(CRONOPLE!$F$15,$M260-$A$15,BE$13)))</f>
        <v>3</v>
      </c>
      <c r="BF260" s="171">
        <f ca="1">IF(OR($D260&lt;&gt;"Serviço",AND(AUTOEVENTO="Manual",$M260=$A$15)),0,
         IF(OFFSET(CRONOPLE!$F$15,$M260-$A$15,BF$13)=0,10^12,OFFSET(CRONOPLE!$F$15,$M260-$A$15,BF$13)))</f>
        <v>4</v>
      </c>
      <c r="BG260" s="171">
        <f ca="1">IF(OR($D260&lt;&gt;"Serviço",AND(AUTOEVENTO="Manual",$M260=$A$15)),0,
         IF(OFFSET(CRONOPLE!$F$15,$M260-$A$15,BG$13)=0,10^12,OFFSET(CRONOPLE!$F$15,$M260-$A$15,BG$13)))</f>
        <v>5</v>
      </c>
      <c r="BH260" s="171">
        <f ca="1">IF(OR($D260&lt;&gt;"Serviço",AND(AUTOEVENTO="Manual",$M260=$A$15)),0,
         IF(OFFSET(CRONOPLE!$F$15,$M260-$A$15,BH$13)=0,10^12,OFFSET(CRONOPLE!$F$15,$M260-$A$15,BH$13)))</f>
        <v>6</v>
      </c>
      <c r="BI260" s="171">
        <f ca="1">IF(OR($D260&lt;&gt;"Serviço",AND(AUTOEVENTO="Manual",$M260=$A$15)),0,
         IF(OFFSET(CRONOPLE!$F$15,$M260-$A$15,BI$13)=0,10^12,OFFSET(CRONOPLE!$F$15,$M260-$A$15,BI$13)))</f>
        <v>7</v>
      </c>
      <c r="BJ260" s="171">
        <f ca="1">IF(OR($D260&lt;&gt;"Serviço",AND(AUTOEVENTO="Manual",$M260=$A$15)),0,
         IF(OFFSET(CRONOPLE!$F$15,$M260-$A$15,BJ$13)=0,10^12,OFFSET(CRONOPLE!$F$15,$M260-$A$15,BJ$13)))</f>
        <v>8</v>
      </c>
      <c r="BK260" s="171">
        <f ca="1">IF(OR($D260&lt;&gt;"Serviço",AND(AUTOEVENTO="Manual",$M260=$A$15)),0,
         IF(OFFSET(CRONOPLE!$F$15,$M260-$A$15,BK$13)=0,10^12,OFFSET(CRONOPLE!$F$15,$M260-$A$15,BK$13)))</f>
        <v>9</v>
      </c>
      <c r="BL260" s="171">
        <f ca="1">IF(OR($D260&lt;&gt;"Serviço",AND(AUTOEVENTO="Manual",$M260=$A$15)),0,
         IF(OFFSET(CRONOPLE!$F$15,$M260-$A$15,BL$13)=0,10^12,OFFSET(CRONOPLE!$F$15,$M260-$A$15,BL$13)))</f>
        <v>1000000000000</v>
      </c>
      <c r="BM260" s="171">
        <f ca="1">IF(OR($D260&lt;&gt;"Serviço",AND(AUTOEVENTO="Manual",$M260=$A$15)),0,
         IF(OFFSET(CRONOPLE!$F$15,$M260-$A$15,BM$13)=0,10^12,OFFSET(CRONOPLE!$F$15,$M260-$A$15,BM$13)))</f>
        <v>1000000000000</v>
      </c>
      <c r="BN260" s="171">
        <f ca="1">IF(OR($D260&lt;&gt;"Serviço",AND(AUTOEVENTO="Manual",$M260=$A$15)),0,
         IF(OFFSET(CRONOPLE!$F$15,$M260-$A$15,BN$13)=0,10^12,OFFSET(CRONOPLE!$F$15,$M260-$A$15,BN$13)))</f>
        <v>1000000000000</v>
      </c>
      <c r="BO260" s="171">
        <f ca="1">IF(OR($D260&lt;&gt;"Serviço",AND(AUTOEVENTO="Manual",$M260=$A$15)),0,
         IF(OFFSET(CRONOPLE!$F$15,$M260-$A$15,BO$13)=0,10^12,OFFSET(CRONOPLE!$F$15,$M260-$A$15,BO$13)))</f>
        <v>1000000000000</v>
      </c>
      <c r="BP260" s="171">
        <f ca="1">IF(OR($D260&lt;&gt;"Serviço",AND(AUTOEVENTO="Manual",$M260=$A$15)),0,
         IF(OFFSET(CRONOPLE!$F$15,$M260-$A$15,BP$13)=0,10^12,OFFSET(CRONOPLE!$F$15,$M260-$A$15,BP$13)))</f>
        <v>1000000000000</v>
      </c>
      <c r="BQ260" s="171">
        <f ca="1">IF(OR($D260&lt;&gt;"Serviço",AND(AUTOEVENTO="Manual",$M260=$A$15)),0,
         IF(OFFSET(CRONOPLE!$F$15,$M260-$A$15,BQ$13)=0,10^12,OFFSET(CRONOPLE!$F$15,$M260-$A$15,BQ$13)))</f>
        <v>1000000000000</v>
      </c>
      <c r="BR260" s="171">
        <f ca="1">IF(OR($D260&lt;&gt;"Serviço",AND(AUTOEVENTO="Manual",$M260=$A$15)),0,
         IF(OFFSET(CRONOPLE!$F$15,$M260-$A$15,BR$13)=0,10^12,OFFSET(CRONOPLE!$F$15,$M260-$A$15,BR$13)))</f>
        <v>1000000000000</v>
      </c>
      <c r="BS260" s="171">
        <f ca="1">IF(OR($D260&lt;&gt;"Serviço",AND(AUTOEVENTO="Manual",$M260=$A$15)),0,
         IF(OFFSET(CRONOPLE!$F$15,$M260-$A$15,BS$13)=0,10^12,OFFSET(CRONOPLE!$F$15,$M260-$A$15,BS$13)))</f>
        <v>1000000000000</v>
      </c>
      <c r="BT260" s="171">
        <f ca="1">IF(OR($D260&lt;&gt;"Serviço",AND(AUTOEVENTO="Manual",$M260=$A$15)),0,
         IF(OFFSET(CRONOPLE!$F$15,$M260-$A$15,BT$13)=0,10^12,OFFSET(CRONOPLE!$F$15,$M260-$A$15,BT$13)))</f>
        <v>1000000000000</v>
      </c>
      <c r="BV260" s="172">
        <f ca="1">IF(OR($D260&lt;&gt;"Serviço",AND(AUTOEVENTO="Manual",$M260=$A$15),$M260&gt;(ROW(PLE.lastrow)-ROW(PLE.firstrow))),0,
           IF(OFFSET(PLE!$G$15,$M260-$A$15,BV$13)="",10^12,OFFSET(PLE!$G$15,$M260-$A$15,BV$13)))</f>
        <v>1000000000000</v>
      </c>
      <c r="BW260" s="172">
        <f ca="1">IF(OR($D260&lt;&gt;"Serviço",AND(AUTOEVENTO="Manual",$M260=$A$15),$M260&gt;(ROW(PLE.lastrow)-ROW(PLE.firstrow))),0,
           IF(OFFSET(PLE!$G$15,$M260-$A$15,BW$13)="",10^12,OFFSET(PLE!$G$15,$M260-$A$15,BW$13)))</f>
        <v>1000000000000</v>
      </c>
      <c r="BX260" s="172">
        <f ca="1">IF(OR($D260&lt;&gt;"Serviço",AND(AUTOEVENTO="Manual",$M260=$A$15),$M260&gt;(ROW(PLE.lastrow)-ROW(PLE.firstrow))),0,
           IF(OFFSET(PLE!$G$15,$M260-$A$15,BX$13)="",10^12,OFFSET(PLE!$G$15,$M260-$A$15,BX$13)))</f>
        <v>1000000000000</v>
      </c>
      <c r="BY260" s="172">
        <f ca="1">IF(OR($D260&lt;&gt;"Serviço",AND(AUTOEVENTO="Manual",$M260=$A$15),$M260&gt;(ROW(PLE.lastrow)-ROW(PLE.firstrow))),0,
           IF(OFFSET(PLE!$G$15,$M260-$A$15,BY$13)="",10^12,OFFSET(PLE!$G$15,$M260-$A$15,BY$13)))</f>
        <v>1000000000000</v>
      </c>
      <c r="BZ260" s="172">
        <f ca="1">IF(OR($D260&lt;&gt;"Serviço",AND(AUTOEVENTO="Manual",$M260=$A$15),$M260&gt;(ROW(PLE.lastrow)-ROW(PLE.firstrow))),0,
           IF(OFFSET(PLE!$G$15,$M260-$A$15,BZ$13)="",10^12,OFFSET(PLE!$G$15,$M260-$A$15,BZ$13)))</f>
        <v>1000000000000</v>
      </c>
      <c r="CA260" s="172">
        <f ca="1">IF(OR($D260&lt;&gt;"Serviço",AND(AUTOEVENTO="Manual",$M260=$A$15),$M260&gt;(ROW(PLE.lastrow)-ROW(PLE.firstrow))),0,
           IF(OFFSET(PLE!$G$15,$M260-$A$15,CA$13)="",10^12,OFFSET(PLE!$G$15,$M260-$A$15,CA$13)))</f>
        <v>1000000000000</v>
      </c>
      <c r="CB260" s="172">
        <f ca="1">IF(OR($D260&lt;&gt;"Serviço",AND(AUTOEVENTO="Manual",$M260=$A$15),$M260&gt;(ROW(PLE.lastrow)-ROW(PLE.firstrow))),0,
           IF(OFFSET(PLE!$G$15,$M260-$A$15,CB$13)="",10^12,OFFSET(PLE!$G$15,$M260-$A$15,CB$13)))</f>
        <v>1000000000000</v>
      </c>
      <c r="CC260" s="172">
        <f ca="1">IF(OR($D260&lt;&gt;"Serviço",AND(AUTOEVENTO="Manual",$M260=$A$15),$M260&gt;(ROW(PLE.lastrow)-ROW(PLE.firstrow))),0,
           IF(OFFSET(PLE!$G$15,$M260-$A$15,CC$13)="",10^12,OFFSET(PLE!$G$15,$M260-$A$15,CC$13)))</f>
        <v>1000000000000</v>
      </c>
      <c r="CD260" s="172">
        <f ca="1">IF(OR($D260&lt;&gt;"Serviço",AND(AUTOEVENTO="Manual",$M260=$A$15),$M260&gt;(ROW(PLE.lastrow)-ROW(PLE.firstrow))),0,
           IF(OFFSET(PLE!$G$15,$M260-$A$15,CD$13)="",10^12,OFFSET(PLE!$G$15,$M260-$A$15,CD$13)))</f>
        <v>1000000000000</v>
      </c>
      <c r="CE260" s="172">
        <f ca="1">IF(OR($D260&lt;&gt;"Serviço",AND(AUTOEVENTO="Manual",$M260=$A$15),$M260&gt;(ROW(PLE.lastrow)-ROW(PLE.firstrow))),0,
           IF(OFFSET(PLE!$G$15,$M260-$A$15,CE$13)="",10^12,OFFSET(PLE!$G$15,$M260-$A$15,CE$13)))</f>
        <v>1000000000000</v>
      </c>
      <c r="CF260" s="172">
        <f ca="1">IF(OR($D260&lt;&gt;"Serviço",AND(AUTOEVENTO="Manual",$M260=$A$15),$M260&gt;(ROW(PLE.lastrow)-ROW(PLE.firstrow))),0,
           IF(OFFSET(PLE!$G$15,$M260-$A$15,CF$13)="",10^12,OFFSET(PLE!$G$15,$M260-$A$15,CF$13)))</f>
        <v>1000000000000</v>
      </c>
      <c r="CG260" s="172">
        <f ca="1">IF(OR($D260&lt;&gt;"Serviço",AND(AUTOEVENTO="Manual",$M260=$A$15),$M260&gt;(ROW(PLE.lastrow)-ROW(PLE.firstrow))),0,
           IF(OFFSET(PLE!$G$15,$M260-$A$15,CG$13)="",10^12,OFFSET(PLE!$G$15,$M260-$A$15,CG$13)))</f>
        <v>1000000000000</v>
      </c>
      <c r="CH260" s="172">
        <f ca="1">IF(OR($D260&lt;&gt;"Serviço",AND(AUTOEVENTO="Manual",$M260=$A$15),$M260&gt;(ROW(PLE.lastrow)-ROW(PLE.firstrow))),0,
           IF(OFFSET(PLE!$G$15,$M260-$A$15,CH$13)="",10^12,OFFSET(PLE!$G$15,$M260-$A$15,CH$13)))</f>
        <v>1000000000000</v>
      </c>
      <c r="CI260" s="172">
        <f ca="1">IF(OR($D260&lt;&gt;"Serviço",AND(AUTOEVENTO="Manual",$M260=$A$15),$M260&gt;(ROW(PLE.lastrow)-ROW(PLE.firstrow))),0,
           IF(OFFSET(PLE!$G$15,$M260-$A$15,CI$13)="",10^12,OFFSET(PLE!$G$15,$M260-$A$15,CI$13)))</f>
        <v>1000000000000</v>
      </c>
      <c r="CJ260" s="172">
        <f ca="1">IF(OR($D260&lt;&gt;"Serviço",AND(AUTOEVENTO="Manual",$M260=$A$15),$M260&gt;(ROW(PLE.lastrow)-ROW(PLE.firstrow))),0,
           IF(OFFSET(PLE!$G$15,$M260-$A$15,CJ$13)="",10^12,OFFSET(PLE!$G$15,$M260-$A$15,CJ$13)))</f>
        <v>1000000000000</v>
      </c>
      <c r="CK260" s="172">
        <f ca="1">IF(OR($D260&lt;&gt;"Serviço",AND(AUTOEVENTO="Manual",$M260=$A$15),$M260&gt;(ROW(PLE.lastrow)-ROW(PLE.firstrow))),0,
           IF(OFFSET(PLE!$G$15,$M260-$A$15,CK$13)="",10^12,OFFSET(PLE!$G$15,$M260-$A$15,CK$13)))</f>
        <v>1000000000000</v>
      </c>
      <c r="CL260" s="172">
        <f ca="1">IF(OR($D260&lt;&gt;"Serviço",AND(AUTOEVENTO="Manual",$M260=$A$15),$M260&gt;(ROW(PLE.lastrow)-ROW(PLE.firstrow))),0,
           IF(OFFSET(PLE!$G$15,$M260-$A$15,CL$13)="",10^12,OFFSET(PLE!$G$15,$M260-$A$15,CL$13)))</f>
        <v>1000000000000</v>
      </c>
      <c r="CM260" s="172">
        <f ca="1">IF(OR($D260&lt;&gt;"Serviço",AND(AUTOEVENTO="Manual",$M260=$A$15),$M260&gt;(ROW(PLE.lastrow)-ROW(PLE.firstrow))),0,
           IF(OFFSET(PLE!$G$15,$M260-$A$15,CM$13)="",10^12,OFFSET(PLE!$G$15,$M260-$A$15,CM$13)))</f>
        <v>1000000000000</v>
      </c>
    </row>
    <row r="261" spans="1:91" ht="51" x14ac:dyDescent="0.2">
      <c r="A261" s="7">
        <f t="shared" ca="1" si="13"/>
        <v>6</v>
      </c>
      <c r="B261" s="7" t="str">
        <f ca="1">OFFSET(ORÇAMENTO!C$15,ROW(B261)-ROW(B$15),0)</f>
        <v>S</v>
      </c>
      <c r="C261" s="7" t="str">
        <f ca="1">OFFSET(ORÇAMENTO!L$15,ROW(C261)-ROW(C$15),0)</f>
        <v>F</v>
      </c>
      <c r="D261" s="116" t="str">
        <f ca="1">OFFSET(ORÇAMENTO!N$15,ROW(D261)-ROW(D$15),0)</f>
        <v>Serviço</v>
      </c>
      <c r="E261" s="117" t="str">
        <f ca="1">OFFSET(ORÇAMENTO!O$15,ROW(E261)-ROW(E$15),0)</f>
        <v>1.7.1.2.2.</v>
      </c>
      <c r="F261" s="163" t="str">
        <f ca="1">OFFSET(ORÇAMENTO!R$15,ROW(F261)-ROW(F$15),0)</f>
        <v>ASSENTAMENTO DE TUBO DE FERRO FUNDIDO PARA REDE DE ÁGUA, DN 350 MM, JUNTA ELÁSTICA, INSTALADO EM LOCAL COM NÍVEL BAIXO DE INTERFERÊNCIAS (NÃO INCLUI FORNECIMENTO). AF_05/2024</v>
      </c>
      <c r="G261" s="164" t="str">
        <f ca="1">IF($D261&lt;&gt;"Serviço","",OFFSET(ORÇAMENTO!S$15,ROW(G261)-ROW(G$15),0))</f>
        <v>M</v>
      </c>
      <c r="H261" s="122" cm="1">
        <f t="array" aca="1" ref="H261" ca="1">IF($D261&lt;&gt;"Serviço",0,IF(ACOMPANHAMENTO="BM",ROUND(OFFSET(ORÇAMENTO!AJ$15,ROW(H261)-ROW(H$15),0),15-13*ORÇAMENTO!$AF$7),SUMPRODUCT(($Q$1:$AI$1=1)*ROUND($Q261:$AI261,15-13*ORÇAMENTO!$AF$7))))</f>
        <v>21.95</v>
      </c>
      <c r="I261" s="468" t="s">
        <v>1347</v>
      </c>
      <c r="J261" s="640" t="str" cm="1">
        <f t="array" aca="1" ref="J261" ca="1">IF(OR(B261&lt;&gt;"S",CÁLCULO.FrentesPreenchidas=0),"",IF(AND(ACOMPANHAMENTO="PLE",AUTOEVENTO="Manual",OR(H261&gt;0,ORÇAMENTO!AC261="QUANT."),OR(K261="",M261=0,N261="")),"►E",IF(AND(ACOMPANHAMENTO="PLE",ORÇAMENTO!AC261="QUANT."),"►Q",IF(AND(ACOMPANHAMENTO="PLE",H261&lt;&gt;SUMPRODUCT(($Q$1:$AI$1=1)*ROUND(Q261:AI261,15))),"►S",IF(AND(COUNTIF($P$11:$AI$11,"▼")=0,H261&gt;0,I261=""),"◄M","")))))</f>
        <v/>
      </c>
      <c r="K261" s="641" t="s">
        <v>1385</v>
      </c>
      <c r="L261" s="165" t="s">
        <v>764</v>
      </c>
      <c r="M261" s="166">
        <f ca="1">IF($D261&lt;&gt;"Serviço","",
          IF(AUTOEVENTO="manual",$A261,
                IF(ISERROR(MATCH($A261,$A$15:OFFSET($A261,-1,0),0)),MAX($M$15:OFFSET(M261,-1,0))+1,
                      INDEX($M$15:OFFSET(M261,-1,0),MATCH($A261,$A$15:OFFSET($A261,-1,0),0)))))</f>
        <v>6</v>
      </c>
      <c r="N261" s="167" t="str">
        <f ca="1">IF($D261&lt;&gt;"Serviço","",
         IF(AUTOEVENTO="Manual",
                IF($A261=0,"&lt;-- defina o número do agrupador",
                       OFFSET(EVENTOS!$D$15,$A261-$A$15,0)),
                OFFSET($F$15,$A261,0)))</f>
        <v>Saneamento</v>
      </c>
      <c r="O261" s="168"/>
      <c r="Q261" s="168"/>
      <c r="R261" s="169"/>
      <c r="S261" s="169">
        <f>S248*4.7+S249*6+S251*3.05+S252*4.1</f>
        <v>21.95</v>
      </c>
      <c r="T261" s="169"/>
      <c r="U261" s="169"/>
      <c r="V261" s="169"/>
      <c r="W261" s="169"/>
      <c r="X261" s="169"/>
      <c r="Y261" s="169"/>
      <c r="Z261" s="170"/>
      <c r="AA261" s="169"/>
      <c r="AB261" s="169"/>
      <c r="AC261" s="169"/>
      <c r="AD261" s="169"/>
      <c r="AE261" s="169"/>
      <c r="AF261" s="169"/>
      <c r="AG261" s="169"/>
      <c r="AH261" s="170"/>
      <c r="AJ261" s="453">
        <f ca="1">IF(AND($D261="Serviço",AJ$12&lt;&gt;0,$H261&gt;0,OR(AUTOEVENTO&lt;&gt;"manual",$M261&lt;&gt;$A$15)),
        IF(Import.TipoArredondamento&lt;&gt;"TransfereGOV",
              ROUND(OFFSET($P261,0,AJ$13),15-13*ORÇAMENTO!$AF$7)/$H261*OFFSET(ORÇAMENTO!$X$15,ROW(AJ261)-ROW(AJ$15),0),
              ROUND(ROUND(OFFSET($P261,0,AJ$13),15-13*ORÇAMENTO!$AF$7)*OFFSET(ORÇAMENTO!$W$15,ROW(AJ261)-ROW(AJ$15),0),15-13*ORÇAMENTO!$AF$11)),
         0)</f>
        <v>0</v>
      </c>
      <c r="AK261" s="453">
        <f ca="1">IF(AND($D261="Serviço",AK$12&lt;&gt;0,$H261&gt;0,OR(AUTOEVENTO&lt;&gt;"manual",$M261&lt;&gt;$A$15)),
        IF(Import.TipoArredondamento&lt;&gt;"TransfereGOV",
              ROUND(OFFSET($P261,0,AK$13),15-13*ORÇAMENTO!$AF$7)/$H261*OFFSET(ORÇAMENTO!$X$15,ROW(AK261)-ROW(AK$15),0),
              ROUND(ROUND(OFFSET($P261,0,AK$13),15-13*ORÇAMENTO!$AF$7)*OFFSET(ORÇAMENTO!$W$15,ROW(AK261)-ROW(AK$15),0),15-13*ORÇAMENTO!$AF$11)),
         0)</f>
        <v>0</v>
      </c>
      <c r="AL261" s="453">
        <f ca="1">IF(AND($D261="Serviço",AL$12&lt;&gt;0,$H261&gt;0,OR(AUTOEVENTO&lt;&gt;"manual",$M261&lt;&gt;$A$15)),
        IF(Import.TipoArredondamento&lt;&gt;"TransfereGOV",
              ROUND(OFFSET($P261,0,AL$13),15-13*ORÇAMENTO!$AF$7)/$H261*OFFSET(ORÇAMENTO!$X$15,ROW(AL261)-ROW(AL$15),0),
              ROUND(ROUND(OFFSET($P261,0,AL$13),15-13*ORÇAMENTO!$AF$7)*OFFSET(ORÇAMENTO!$W$15,ROW(AL261)-ROW(AL$15),0),15-13*ORÇAMENTO!$AF$11)),
         0)</f>
        <v>0</v>
      </c>
      <c r="AM261" s="453">
        <f ca="1">IF(AND($D261="Serviço",AM$12&lt;&gt;0,$H261&gt;0,OR(AUTOEVENTO&lt;&gt;"manual",$M261&lt;&gt;$A$15)),
        IF(Import.TipoArredondamento&lt;&gt;"TransfereGOV",
              ROUND(OFFSET($P261,0,AM$13),15-13*ORÇAMENTO!$AF$7)/$H261*OFFSET(ORÇAMENTO!$X$15,ROW(AM261)-ROW(AM$15),0),
              ROUND(ROUND(OFFSET($P261,0,AM$13),15-13*ORÇAMENTO!$AF$7)*OFFSET(ORÇAMENTO!$W$15,ROW(AM261)-ROW(AM$15),0),15-13*ORÇAMENTO!$AF$11)),
         0)</f>
        <v>0</v>
      </c>
      <c r="AN261" s="453">
        <f ca="1">IF(AND($D261="Serviço",AN$12&lt;&gt;0,$H261&gt;0,OR(AUTOEVENTO&lt;&gt;"manual",$M261&lt;&gt;$A$15)),
        IF(Import.TipoArredondamento&lt;&gt;"TransfereGOV",
              ROUND(OFFSET($P261,0,AN$13),15-13*ORÇAMENTO!$AF$7)/$H261*OFFSET(ORÇAMENTO!$X$15,ROW(AN261)-ROW(AN$15),0),
              ROUND(ROUND(OFFSET($P261,0,AN$13),15-13*ORÇAMENTO!$AF$7)*OFFSET(ORÇAMENTO!$W$15,ROW(AN261)-ROW(AN$15),0),15-13*ORÇAMENTO!$AF$11)),
         0)</f>
        <v>0</v>
      </c>
      <c r="AO261" s="453">
        <f ca="1">IF(AND($D261="Serviço",AO$12&lt;&gt;0,$H261&gt;0,OR(AUTOEVENTO&lt;&gt;"manual",$M261&lt;&gt;$A$15)),
        IF(Import.TipoArredondamento&lt;&gt;"TransfereGOV",
              ROUND(OFFSET($P261,0,AO$13),15-13*ORÇAMENTO!$AF$7)/$H261*OFFSET(ORÇAMENTO!$X$15,ROW(AO261)-ROW(AO$15),0),
              ROUND(ROUND(OFFSET($P261,0,AO$13),15-13*ORÇAMENTO!$AF$7)*OFFSET(ORÇAMENTO!$W$15,ROW(AO261)-ROW(AO$15),0),15-13*ORÇAMENTO!$AF$11)),
         0)</f>
        <v>0</v>
      </c>
      <c r="AP261" s="453">
        <f ca="1">IF(AND($D261="Serviço",AP$12&lt;&gt;0,$H261&gt;0,OR(AUTOEVENTO&lt;&gt;"manual",$M261&lt;&gt;$A$15)),
        IF(Import.TipoArredondamento&lt;&gt;"TransfereGOV",
              ROUND(OFFSET($P261,0,AP$13),15-13*ORÇAMENTO!$AF$7)/$H261*OFFSET(ORÇAMENTO!$X$15,ROW(AP261)-ROW(AP$15),0),
              ROUND(ROUND(OFFSET($P261,0,AP$13),15-13*ORÇAMENTO!$AF$7)*OFFSET(ORÇAMENTO!$W$15,ROW(AP261)-ROW(AP$15),0),15-13*ORÇAMENTO!$AF$11)),
         0)</f>
        <v>0</v>
      </c>
      <c r="AQ261" s="453">
        <f ca="1">IF(AND($D261="Serviço",AQ$12&lt;&gt;0,$H261&gt;0,OR(AUTOEVENTO&lt;&gt;"manual",$M261&lt;&gt;$A$15)),
        IF(Import.TipoArredondamento&lt;&gt;"TransfereGOV",
              ROUND(OFFSET($P261,0,AQ$13),15-13*ORÇAMENTO!$AF$7)/$H261*OFFSET(ORÇAMENTO!$X$15,ROW(AQ261)-ROW(AQ$15),0),
              ROUND(ROUND(OFFSET($P261,0,AQ$13),15-13*ORÇAMENTO!$AF$7)*OFFSET(ORÇAMENTO!$W$15,ROW(AQ261)-ROW(AQ$15),0),15-13*ORÇAMENTO!$AF$11)),
         0)</f>
        <v>0</v>
      </c>
      <c r="AR261" s="453">
        <f ca="1">IF(AND($D261="Serviço",AR$12&lt;&gt;0,$H261&gt;0,OR(AUTOEVENTO&lt;&gt;"manual",$M261&lt;&gt;$A$15)),
        IF(Import.TipoArredondamento&lt;&gt;"TransfereGOV",
              ROUND(OFFSET($P261,0,AR$13),15-13*ORÇAMENTO!$AF$7)/$H261*OFFSET(ORÇAMENTO!$X$15,ROW(AR261)-ROW(AR$15),0),
              ROUND(ROUND(OFFSET($P261,0,AR$13),15-13*ORÇAMENTO!$AF$7)*OFFSET(ORÇAMENTO!$W$15,ROW(AR261)-ROW(AR$15),0),15-13*ORÇAMENTO!$AF$11)),
         0)</f>
        <v>0</v>
      </c>
      <c r="AS261" s="453">
        <f ca="1">IF(AND($D261="Serviço",AS$12&lt;&gt;0,$H261&gt;0,OR(AUTOEVENTO&lt;&gt;"manual",$M261&lt;&gt;$A$15)),
        IF(Import.TipoArredondamento&lt;&gt;"TransfereGOV",
              ROUND(OFFSET($P261,0,AS$13),15-13*ORÇAMENTO!$AF$7)/$H261*OFFSET(ORÇAMENTO!$X$15,ROW(AS261)-ROW(AS$15),0),
              ROUND(ROUND(OFFSET($P261,0,AS$13),15-13*ORÇAMENTO!$AF$7)*OFFSET(ORÇAMENTO!$W$15,ROW(AS261)-ROW(AS$15),0),15-13*ORÇAMENTO!$AF$11)),
         0)</f>
        <v>0</v>
      </c>
      <c r="AT261" s="453">
        <f ca="1">IF(AND($D261="Serviço",AT$12&lt;&gt;0,$H261&gt;0,OR(AUTOEVENTO&lt;&gt;"manual",$M261&lt;&gt;$A$15)),
        IF(Import.TipoArredondamento&lt;&gt;"TransfereGOV",
              ROUND(OFFSET($P261,0,AT$13),15-13*ORÇAMENTO!$AF$7)/$H261*OFFSET(ORÇAMENTO!$X$15,ROW(AT261)-ROW(AT$15),0),
              ROUND(ROUND(OFFSET($P261,0,AT$13),15-13*ORÇAMENTO!$AF$7)*OFFSET(ORÇAMENTO!$W$15,ROW(AT261)-ROW(AT$15),0),15-13*ORÇAMENTO!$AF$11)),
         0)</f>
        <v>0</v>
      </c>
      <c r="AU261" s="453">
        <f ca="1">IF(AND($D261="Serviço",AU$12&lt;&gt;0,$H261&gt;0,OR(AUTOEVENTO&lt;&gt;"manual",$M261&lt;&gt;$A$15)),
        IF(Import.TipoArredondamento&lt;&gt;"TransfereGOV",
              ROUND(OFFSET($P261,0,AU$13),15-13*ORÇAMENTO!$AF$7)/$H261*OFFSET(ORÇAMENTO!$X$15,ROW(AU261)-ROW(AU$15),0),
              ROUND(ROUND(OFFSET($P261,0,AU$13),15-13*ORÇAMENTO!$AF$7)*OFFSET(ORÇAMENTO!$W$15,ROW(AU261)-ROW(AU$15),0),15-13*ORÇAMENTO!$AF$11)),
         0)</f>
        <v>0</v>
      </c>
      <c r="AV261" s="453">
        <f ca="1">IF(AND($D261="Serviço",AV$12&lt;&gt;0,$H261&gt;0,OR(AUTOEVENTO&lt;&gt;"manual",$M261&lt;&gt;$A$15)),
        IF(Import.TipoArredondamento&lt;&gt;"TransfereGOV",
              ROUND(OFFSET($P261,0,AV$13),15-13*ORÇAMENTO!$AF$7)/$H261*OFFSET(ORÇAMENTO!$X$15,ROW(AV261)-ROW(AV$15),0),
              ROUND(ROUND(OFFSET($P261,0,AV$13),15-13*ORÇAMENTO!$AF$7)*OFFSET(ORÇAMENTO!$W$15,ROW(AV261)-ROW(AV$15),0),15-13*ORÇAMENTO!$AF$11)),
         0)</f>
        <v>0</v>
      </c>
      <c r="AW261" s="453">
        <f ca="1">IF(AND($D261="Serviço",AW$12&lt;&gt;0,$H261&gt;0,OR(AUTOEVENTO&lt;&gt;"manual",$M261&lt;&gt;$A$15)),
        IF(Import.TipoArredondamento&lt;&gt;"TransfereGOV",
              ROUND(OFFSET($P261,0,AW$13),15-13*ORÇAMENTO!$AF$7)/$H261*OFFSET(ORÇAMENTO!$X$15,ROW(AW261)-ROW(AW$15),0),
              ROUND(ROUND(OFFSET($P261,0,AW$13),15-13*ORÇAMENTO!$AF$7)*OFFSET(ORÇAMENTO!$W$15,ROW(AW261)-ROW(AW$15),0),15-13*ORÇAMENTO!$AF$11)),
         0)</f>
        <v>0</v>
      </c>
      <c r="AX261" s="453">
        <f ca="1">IF(AND($D261="Serviço",AX$12&lt;&gt;0,$H261&gt;0,OR(AUTOEVENTO&lt;&gt;"manual",$M261&lt;&gt;$A$15)),
        IF(Import.TipoArredondamento&lt;&gt;"TransfereGOV",
              ROUND(OFFSET($P261,0,AX$13),15-13*ORÇAMENTO!$AF$7)/$H261*OFFSET(ORÇAMENTO!$X$15,ROW(AX261)-ROW(AX$15),0),
              ROUND(ROUND(OFFSET($P261,0,AX$13),15-13*ORÇAMENTO!$AF$7)*OFFSET(ORÇAMENTO!$W$15,ROW(AX261)-ROW(AX$15),0),15-13*ORÇAMENTO!$AF$11)),
         0)</f>
        <v>0</v>
      </c>
      <c r="AY261" s="453">
        <f ca="1">IF(AND($D261="Serviço",AY$12&lt;&gt;0,$H261&gt;0,OR(AUTOEVENTO&lt;&gt;"manual",$M261&lt;&gt;$A$15)),
        IF(Import.TipoArredondamento&lt;&gt;"TransfereGOV",
              ROUND(OFFSET($P261,0,AY$13),15-13*ORÇAMENTO!$AF$7)/$H261*OFFSET(ORÇAMENTO!$X$15,ROW(AY261)-ROW(AY$15),0),
              ROUND(ROUND(OFFSET($P261,0,AY$13),15-13*ORÇAMENTO!$AF$7)*OFFSET(ORÇAMENTO!$W$15,ROW(AY261)-ROW(AY$15),0),15-13*ORÇAMENTO!$AF$11)),
         0)</f>
        <v>0</v>
      </c>
      <c r="AZ261" s="453">
        <f ca="1">IF(AND($D261="Serviço",AZ$12&lt;&gt;0,$H261&gt;0,OR(AUTOEVENTO&lt;&gt;"manual",$M261&lt;&gt;$A$15)),
        IF(Import.TipoArredondamento&lt;&gt;"TransfereGOV",
              ROUND(OFFSET($P261,0,AZ$13),15-13*ORÇAMENTO!$AF$7)/$H261*OFFSET(ORÇAMENTO!$X$15,ROW(AZ261)-ROW(AZ$15),0),
              ROUND(ROUND(OFFSET($P261,0,AZ$13),15-13*ORÇAMENTO!$AF$7)*OFFSET(ORÇAMENTO!$W$15,ROW(AZ261)-ROW(AZ$15),0),15-13*ORÇAMENTO!$AF$11)),
         0)</f>
        <v>0</v>
      </c>
      <c r="BA261" s="453">
        <f ca="1">IF(AND($D261="Serviço",BA$12&lt;&gt;0,$H261&gt;0,OR(AUTOEVENTO&lt;&gt;"manual",$M261&lt;&gt;$A$15)),
        IF(Import.TipoArredondamento&lt;&gt;"TransfereGOV",
              ROUND(OFFSET($P261,0,BA$13),15-13*ORÇAMENTO!$AF$7)/$H261*OFFSET(ORÇAMENTO!$X$15,ROW(BA261)-ROW(BA$15),0),
              ROUND(ROUND(OFFSET($P261,0,BA$13),15-13*ORÇAMENTO!$AF$7)*OFFSET(ORÇAMENTO!$W$15,ROW(BA261)-ROW(BA$15),0),15-13*ORÇAMENTO!$AF$11)),
         0)</f>
        <v>0</v>
      </c>
      <c r="BC261" s="171">
        <f ca="1">IF(OR($D261&lt;&gt;"Serviço",AND(AUTOEVENTO="Manual",$M261=$A$15)),0,
         IF(OFFSET(CRONOPLE!$F$15,$M261-$A$15,BC$13)=0,10^12,OFFSET(CRONOPLE!$F$15,$M261-$A$15,BC$13)))</f>
        <v>1</v>
      </c>
      <c r="BD261" s="171">
        <f ca="1">IF(OR($D261&lt;&gt;"Serviço",AND(AUTOEVENTO="Manual",$M261=$A$15)),0,
         IF(OFFSET(CRONOPLE!$F$15,$M261-$A$15,BD$13)=0,10^12,OFFSET(CRONOPLE!$F$15,$M261-$A$15,BD$13)))</f>
        <v>2</v>
      </c>
      <c r="BE261" s="171">
        <f ca="1">IF(OR($D261&lt;&gt;"Serviço",AND(AUTOEVENTO="Manual",$M261=$A$15)),0,
         IF(OFFSET(CRONOPLE!$F$15,$M261-$A$15,BE$13)=0,10^12,OFFSET(CRONOPLE!$F$15,$M261-$A$15,BE$13)))</f>
        <v>3</v>
      </c>
      <c r="BF261" s="171">
        <f ca="1">IF(OR($D261&lt;&gt;"Serviço",AND(AUTOEVENTO="Manual",$M261=$A$15)),0,
         IF(OFFSET(CRONOPLE!$F$15,$M261-$A$15,BF$13)=0,10^12,OFFSET(CRONOPLE!$F$15,$M261-$A$15,BF$13)))</f>
        <v>4</v>
      </c>
      <c r="BG261" s="171">
        <f ca="1">IF(OR($D261&lt;&gt;"Serviço",AND(AUTOEVENTO="Manual",$M261=$A$15)),0,
         IF(OFFSET(CRONOPLE!$F$15,$M261-$A$15,BG$13)=0,10^12,OFFSET(CRONOPLE!$F$15,$M261-$A$15,BG$13)))</f>
        <v>5</v>
      </c>
      <c r="BH261" s="171">
        <f ca="1">IF(OR($D261&lt;&gt;"Serviço",AND(AUTOEVENTO="Manual",$M261=$A$15)),0,
         IF(OFFSET(CRONOPLE!$F$15,$M261-$A$15,BH$13)=0,10^12,OFFSET(CRONOPLE!$F$15,$M261-$A$15,BH$13)))</f>
        <v>6</v>
      </c>
      <c r="BI261" s="171">
        <f ca="1">IF(OR($D261&lt;&gt;"Serviço",AND(AUTOEVENTO="Manual",$M261=$A$15)),0,
         IF(OFFSET(CRONOPLE!$F$15,$M261-$A$15,BI$13)=0,10^12,OFFSET(CRONOPLE!$F$15,$M261-$A$15,BI$13)))</f>
        <v>7</v>
      </c>
      <c r="BJ261" s="171">
        <f ca="1">IF(OR($D261&lt;&gt;"Serviço",AND(AUTOEVENTO="Manual",$M261=$A$15)),0,
         IF(OFFSET(CRONOPLE!$F$15,$M261-$A$15,BJ$13)=0,10^12,OFFSET(CRONOPLE!$F$15,$M261-$A$15,BJ$13)))</f>
        <v>8</v>
      </c>
      <c r="BK261" s="171">
        <f ca="1">IF(OR($D261&lt;&gt;"Serviço",AND(AUTOEVENTO="Manual",$M261=$A$15)),0,
         IF(OFFSET(CRONOPLE!$F$15,$M261-$A$15,BK$13)=0,10^12,OFFSET(CRONOPLE!$F$15,$M261-$A$15,BK$13)))</f>
        <v>9</v>
      </c>
      <c r="BL261" s="171">
        <f ca="1">IF(OR($D261&lt;&gt;"Serviço",AND(AUTOEVENTO="Manual",$M261=$A$15)),0,
         IF(OFFSET(CRONOPLE!$F$15,$M261-$A$15,BL$13)=0,10^12,OFFSET(CRONOPLE!$F$15,$M261-$A$15,BL$13)))</f>
        <v>1000000000000</v>
      </c>
      <c r="BM261" s="171">
        <f ca="1">IF(OR($D261&lt;&gt;"Serviço",AND(AUTOEVENTO="Manual",$M261=$A$15)),0,
         IF(OFFSET(CRONOPLE!$F$15,$M261-$A$15,BM$13)=0,10^12,OFFSET(CRONOPLE!$F$15,$M261-$A$15,BM$13)))</f>
        <v>1000000000000</v>
      </c>
      <c r="BN261" s="171">
        <f ca="1">IF(OR($D261&lt;&gt;"Serviço",AND(AUTOEVENTO="Manual",$M261=$A$15)),0,
         IF(OFFSET(CRONOPLE!$F$15,$M261-$A$15,BN$13)=0,10^12,OFFSET(CRONOPLE!$F$15,$M261-$A$15,BN$13)))</f>
        <v>1000000000000</v>
      </c>
      <c r="BO261" s="171">
        <f ca="1">IF(OR($D261&lt;&gt;"Serviço",AND(AUTOEVENTO="Manual",$M261=$A$15)),0,
         IF(OFFSET(CRONOPLE!$F$15,$M261-$A$15,BO$13)=0,10^12,OFFSET(CRONOPLE!$F$15,$M261-$A$15,BO$13)))</f>
        <v>1000000000000</v>
      </c>
      <c r="BP261" s="171">
        <f ca="1">IF(OR($D261&lt;&gt;"Serviço",AND(AUTOEVENTO="Manual",$M261=$A$15)),0,
         IF(OFFSET(CRONOPLE!$F$15,$M261-$A$15,BP$13)=0,10^12,OFFSET(CRONOPLE!$F$15,$M261-$A$15,BP$13)))</f>
        <v>1000000000000</v>
      </c>
      <c r="BQ261" s="171">
        <f ca="1">IF(OR($D261&lt;&gt;"Serviço",AND(AUTOEVENTO="Manual",$M261=$A$15)),0,
         IF(OFFSET(CRONOPLE!$F$15,$M261-$A$15,BQ$13)=0,10^12,OFFSET(CRONOPLE!$F$15,$M261-$A$15,BQ$13)))</f>
        <v>1000000000000</v>
      </c>
      <c r="BR261" s="171">
        <f ca="1">IF(OR($D261&lt;&gt;"Serviço",AND(AUTOEVENTO="Manual",$M261=$A$15)),0,
         IF(OFFSET(CRONOPLE!$F$15,$M261-$A$15,BR$13)=0,10^12,OFFSET(CRONOPLE!$F$15,$M261-$A$15,BR$13)))</f>
        <v>1000000000000</v>
      </c>
      <c r="BS261" s="171">
        <f ca="1">IF(OR($D261&lt;&gt;"Serviço",AND(AUTOEVENTO="Manual",$M261=$A$15)),0,
         IF(OFFSET(CRONOPLE!$F$15,$M261-$A$15,BS$13)=0,10^12,OFFSET(CRONOPLE!$F$15,$M261-$A$15,BS$13)))</f>
        <v>1000000000000</v>
      </c>
      <c r="BT261" s="171">
        <f ca="1">IF(OR($D261&lt;&gt;"Serviço",AND(AUTOEVENTO="Manual",$M261=$A$15)),0,
         IF(OFFSET(CRONOPLE!$F$15,$M261-$A$15,BT$13)=0,10^12,OFFSET(CRONOPLE!$F$15,$M261-$A$15,BT$13)))</f>
        <v>1000000000000</v>
      </c>
      <c r="BV261" s="172">
        <f ca="1">IF(OR($D261&lt;&gt;"Serviço",AND(AUTOEVENTO="Manual",$M261=$A$15),$M261&gt;(ROW(PLE.lastrow)-ROW(PLE.firstrow))),0,
           IF(OFFSET(PLE!$G$15,$M261-$A$15,BV$13)="",10^12,OFFSET(PLE!$G$15,$M261-$A$15,BV$13)))</f>
        <v>1000000000000</v>
      </c>
      <c r="BW261" s="172">
        <f ca="1">IF(OR($D261&lt;&gt;"Serviço",AND(AUTOEVENTO="Manual",$M261=$A$15),$M261&gt;(ROW(PLE.lastrow)-ROW(PLE.firstrow))),0,
           IF(OFFSET(PLE!$G$15,$M261-$A$15,BW$13)="",10^12,OFFSET(PLE!$G$15,$M261-$A$15,BW$13)))</f>
        <v>1000000000000</v>
      </c>
      <c r="BX261" s="172">
        <f ca="1">IF(OR($D261&lt;&gt;"Serviço",AND(AUTOEVENTO="Manual",$M261=$A$15),$M261&gt;(ROW(PLE.lastrow)-ROW(PLE.firstrow))),0,
           IF(OFFSET(PLE!$G$15,$M261-$A$15,BX$13)="",10^12,OFFSET(PLE!$G$15,$M261-$A$15,BX$13)))</f>
        <v>1000000000000</v>
      </c>
      <c r="BY261" s="172">
        <f ca="1">IF(OR($D261&lt;&gt;"Serviço",AND(AUTOEVENTO="Manual",$M261=$A$15),$M261&gt;(ROW(PLE.lastrow)-ROW(PLE.firstrow))),0,
           IF(OFFSET(PLE!$G$15,$M261-$A$15,BY$13)="",10^12,OFFSET(PLE!$G$15,$M261-$A$15,BY$13)))</f>
        <v>1000000000000</v>
      </c>
      <c r="BZ261" s="172">
        <f ca="1">IF(OR($D261&lt;&gt;"Serviço",AND(AUTOEVENTO="Manual",$M261=$A$15),$M261&gt;(ROW(PLE.lastrow)-ROW(PLE.firstrow))),0,
           IF(OFFSET(PLE!$G$15,$M261-$A$15,BZ$13)="",10^12,OFFSET(PLE!$G$15,$M261-$A$15,BZ$13)))</f>
        <v>1000000000000</v>
      </c>
      <c r="CA261" s="172">
        <f ca="1">IF(OR($D261&lt;&gt;"Serviço",AND(AUTOEVENTO="Manual",$M261=$A$15),$M261&gt;(ROW(PLE.lastrow)-ROW(PLE.firstrow))),0,
           IF(OFFSET(PLE!$G$15,$M261-$A$15,CA$13)="",10^12,OFFSET(PLE!$G$15,$M261-$A$15,CA$13)))</f>
        <v>1000000000000</v>
      </c>
      <c r="CB261" s="172">
        <f ca="1">IF(OR($D261&lt;&gt;"Serviço",AND(AUTOEVENTO="Manual",$M261=$A$15),$M261&gt;(ROW(PLE.lastrow)-ROW(PLE.firstrow))),0,
           IF(OFFSET(PLE!$G$15,$M261-$A$15,CB$13)="",10^12,OFFSET(PLE!$G$15,$M261-$A$15,CB$13)))</f>
        <v>1000000000000</v>
      </c>
      <c r="CC261" s="172">
        <f ca="1">IF(OR($D261&lt;&gt;"Serviço",AND(AUTOEVENTO="Manual",$M261=$A$15),$M261&gt;(ROW(PLE.lastrow)-ROW(PLE.firstrow))),0,
           IF(OFFSET(PLE!$G$15,$M261-$A$15,CC$13)="",10^12,OFFSET(PLE!$G$15,$M261-$A$15,CC$13)))</f>
        <v>1000000000000</v>
      </c>
      <c r="CD261" s="172">
        <f ca="1">IF(OR($D261&lt;&gt;"Serviço",AND(AUTOEVENTO="Manual",$M261=$A$15),$M261&gt;(ROW(PLE.lastrow)-ROW(PLE.firstrow))),0,
           IF(OFFSET(PLE!$G$15,$M261-$A$15,CD$13)="",10^12,OFFSET(PLE!$G$15,$M261-$A$15,CD$13)))</f>
        <v>1000000000000</v>
      </c>
      <c r="CE261" s="172">
        <f ca="1">IF(OR($D261&lt;&gt;"Serviço",AND(AUTOEVENTO="Manual",$M261=$A$15),$M261&gt;(ROW(PLE.lastrow)-ROW(PLE.firstrow))),0,
           IF(OFFSET(PLE!$G$15,$M261-$A$15,CE$13)="",10^12,OFFSET(PLE!$G$15,$M261-$A$15,CE$13)))</f>
        <v>1000000000000</v>
      </c>
      <c r="CF261" s="172">
        <f ca="1">IF(OR($D261&lt;&gt;"Serviço",AND(AUTOEVENTO="Manual",$M261=$A$15),$M261&gt;(ROW(PLE.lastrow)-ROW(PLE.firstrow))),0,
           IF(OFFSET(PLE!$G$15,$M261-$A$15,CF$13)="",10^12,OFFSET(PLE!$G$15,$M261-$A$15,CF$13)))</f>
        <v>1000000000000</v>
      </c>
      <c r="CG261" s="172">
        <f ca="1">IF(OR($D261&lt;&gt;"Serviço",AND(AUTOEVENTO="Manual",$M261=$A$15),$M261&gt;(ROW(PLE.lastrow)-ROW(PLE.firstrow))),0,
           IF(OFFSET(PLE!$G$15,$M261-$A$15,CG$13)="",10^12,OFFSET(PLE!$G$15,$M261-$A$15,CG$13)))</f>
        <v>1000000000000</v>
      </c>
      <c r="CH261" s="172">
        <f ca="1">IF(OR($D261&lt;&gt;"Serviço",AND(AUTOEVENTO="Manual",$M261=$A$15),$M261&gt;(ROW(PLE.lastrow)-ROW(PLE.firstrow))),0,
           IF(OFFSET(PLE!$G$15,$M261-$A$15,CH$13)="",10^12,OFFSET(PLE!$G$15,$M261-$A$15,CH$13)))</f>
        <v>1000000000000</v>
      </c>
      <c r="CI261" s="172">
        <f ca="1">IF(OR($D261&lt;&gt;"Serviço",AND(AUTOEVENTO="Manual",$M261=$A$15),$M261&gt;(ROW(PLE.lastrow)-ROW(PLE.firstrow))),0,
           IF(OFFSET(PLE!$G$15,$M261-$A$15,CI$13)="",10^12,OFFSET(PLE!$G$15,$M261-$A$15,CI$13)))</f>
        <v>1000000000000</v>
      </c>
      <c r="CJ261" s="172">
        <f ca="1">IF(OR($D261&lt;&gt;"Serviço",AND(AUTOEVENTO="Manual",$M261=$A$15),$M261&gt;(ROW(PLE.lastrow)-ROW(PLE.firstrow))),0,
           IF(OFFSET(PLE!$G$15,$M261-$A$15,CJ$13)="",10^12,OFFSET(PLE!$G$15,$M261-$A$15,CJ$13)))</f>
        <v>1000000000000</v>
      </c>
      <c r="CK261" s="172">
        <f ca="1">IF(OR($D261&lt;&gt;"Serviço",AND(AUTOEVENTO="Manual",$M261=$A$15),$M261&gt;(ROW(PLE.lastrow)-ROW(PLE.firstrow))),0,
           IF(OFFSET(PLE!$G$15,$M261-$A$15,CK$13)="",10^12,OFFSET(PLE!$G$15,$M261-$A$15,CK$13)))</f>
        <v>1000000000000</v>
      </c>
      <c r="CL261" s="172">
        <f ca="1">IF(OR($D261&lt;&gt;"Serviço",AND(AUTOEVENTO="Manual",$M261=$A$15),$M261&gt;(ROW(PLE.lastrow)-ROW(PLE.firstrow))),0,
           IF(OFFSET(PLE!$G$15,$M261-$A$15,CL$13)="",10^12,OFFSET(PLE!$G$15,$M261-$A$15,CL$13)))</f>
        <v>1000000000000</v>
      </c>
      <c r="CM261" s="172">
        <f ca="1">IF(OR($D261&lt;&gt;"Serviço",AND(AUTOEVENTO="Manual",$M261=$A$15),$M261&gt;(ROW(PLE.lastrow)-ROW(PLE.firstrow))),0,
           IF(OFFSET(PLE!$G$15,$M261-$A$15,CM$13)="",10^12,OFFSET(PLE!$G$15,$M261-$A$15,CM$13)))</f>
        <v>1000000000000</v>
      </c>
    </row>
    <row r="262" spans="1:91" ht="25.5" x14ac:dyDescent="0.2">
      <c r="A262" s="7">
        <f t="shared" ca="1" si="13"/>
        <v>6</v>
      </c>
      <c r="B262" s="7" t="str">
        <f ca="1">OFFSET(ORÇAMENTO!C$15,ROW(B262)-ROW(B$15),0)</f>
        <v>S</v>
      </c>
      <c r="C262" s="7" t="str">
        <f ca="1">OFFSET(ORÇAMENTO!L$15,ROW(C262)-ROW(C$15),0)</f>
        <v>F</v>
      </c>
      <c r="D262" s="116" t="str">
        <f ca="1">OFFSET(ORÇAMENTO!N$15,ROW(D262)-ROW(D$15),0)</f>
        <v>Serviço</v>
      </c>
      <c r="E262" s="117" t="str">
        <f ca="1">OFFSET(ORÇAMENTO!O$15,ROW(E262)-ROW(E$15),0)</f>
        <v>1.7.1.2.3.</v>
      </c>
      <c r="F262" s="163" t="str">
        <f ca="1">OFFSET(ORÇAMENTO!R$15,ROW(F262)-ROW(F$15),0)</f>
        <v>DISTRIBUIDOR ROTATIVO - MONTAGEM - BASEADO EM SETOP (ED-20568)</v>
      </c>
      <c r="G262" s="164" t="str">
        <f ca="1">IF($D262&lt;&gt;"Serviço","",OFFSET(ORÇAMENTO!S$15,ROW(G262)-ROW(G$15),0))</f>
        <v>KG</v>
      </c>
      <c r="H262" s="122" cm="1">
        <f t="array" aca="1" ref="H262" ca="1">IF($D262&lt;&gt;"Serviço",0,IF(ACOMPANHAMENTO="BM",ROUND(OFFSET(ORÇAMENTO!AJ$15,ROW(H262)-ROW(H$15),0),15-13*ORÇAMENTO!$AF$7),SUMPRODUCT(($Q$1:$AI$1=1)*ROUND($Q262:$AI262,15-13*ORÇAMENTO!$AF$7))))</f>
        <v>7000</v>
      </c>
      <c r="I262" s="468" t="s">
        <v>1348</v>
      </c>
      <c r="J262" s="640" t="str" cm="1">
        <f t="array" aca="1" ref="J262" ca="1">IF(OR(B262&lt;&gt;"S",CÁLCULO.FrentesPreenchidas=0),"",IF(AND(ACOMPANHAMENTO="PLE",AUTOEVENTO="Manual",OR(H262&gt;0,ORÇAMENTO!AC262="QUANT."),OR(K262="",M262=0,N262="")),"►E",IF(AND(ACOMPANHAMENTO="PLE",ORÇAMENTO!AC262="QUANT."),"►Q",IF(AND(ACOMPANHAMENTO="PLE",H262&lt;&gt;SUMPRODUCT(($Q$1:$AI$1=1)*ROUND(Q262:AI262,15))),"►S",IF(AND(COUNTIF($P$11:$AI$11,"▼")=0,H262&gt;0,I262=""),"◄M","")))))</f>
        <v/>
      </c>
      <c r="K262" s="641" t="s">
        <v>1385</v>
      </c>
      <c r="L262" s="165" t="s">
        <v>764</v>
      </c>
      <c r="M262" s="166">
        <f ca="1">IF($D262&lt;&gt;"Serviço","",
          IF(AUTOEVENTO="manual",$A262,
                IF(ISERROR(MATCH($A262,$A$15:OFFSET($A262,-1,0),0)),MAX($M$15:OFFSET(M262,-1,0))+1,
                      INDEX($M$15:OFFSET(M262,-1,0),MATCH($A262,$A$15:OFFSET($A262,-1,0),0)))))</f>
        <v>6</v>
      </c>
      <c r="N262" s="167" t="str">
        <f ca="1">IF($D262&lt;&gt;"Serviço","",
         IF(AUTOEVENTO="Manual",
                IF($A262=0,"&lt;-- defina o número do agrupador",
                       OFFSET(EVENTOS!$D$15,$A262-$A$15,0)),
                OFFSET($F$15,$A262,0)))</f>
        <v>Saneamento</v>
      </c>
      <c r="O262" s="168"/>
      <c r="Q262" s="168"/>
      <c r="R262" s="169"/>
      <c r="S262" s="169">
        <v>4000</v>
      </c>
      <c r="T262" s="169"/>
      <c r="U262" s="169"/>
      <c r="V262" s="169"/>
      <c r="W262" s="169"/>
      <c r="X262" s="169"/>
      <c r="Y262" s="169"/>
      <c r="Z262" s="170"/>
      <c r="AA262" s="169"/>
      <c r="AB262" s="169"/>
      <c r="AC262" s="169"/>
      <c r="AD262" s="169"/>
      <c r="AE262" s="169"/>
      <c r="AF262" s="169"/>
      <c r="AG262" s="169"/>
      <c r="AH262" s="170"/>
      <c r="AJ262" s="453">
        <f ca="1">IF(AND($D262="Serviço",AJ$12&lt;&gt;0,$H262&gt;0,OR(AUTOEVENTO&lt;&gt;"manual",$M262&lt;&gt;$A$15)),
        IF(Import.TipoArredondamento&lt;&gt;"TransfereGOV",
              ROUND(OFFSET($P262,0,AJ$13),15-13*ORÇAMENTO!$AF$7)/$H262*OFFSET(ORÇAMENTO!$X$15,ROW(AJ262)-ROW(AJ$15),0),
              ROUND(ROUND(OFFSET($P262,0,AJ$13),15-13*ORÇAMENTO!$AF$7)*OFFSET(ORÇAMENTO!$W$15,ROW(AJ262)-ROW(AJ$15),0),15-13*ORÇAMENTO!$AF$11)),
         0)</f>
        <v>0</v>
      </c>
      <c r="AK262" s="453">
        <f ca="1">IF(AND($D262="Serviço",AK$12&lt;&gt;0,$H262&gt;0,OR(AUTOEVENTO&lt;&gt;"manual",$M262&lt;&gt;$A$15)),
        IF(Import.TipoArredondamento&lt;&gt;"TransfereGOV",
              ROUND(OFFSET($P262,0,AK$13),15-13*ORÇAMENTO!$AF$7)/$H262*OFFSET(ORÇAMENTO!$X$15,ROW(AK262)-ROW(AK$15),0),
              ROUND(ROUND(OFFSET($P262,0,AK$13),15-13*ORÇAMENTO!$AF$7)*OFFSET(ORÇAMENTO!$W$15,ROW(AK262)-ROW(AK$15),0),15-13*ORÇAMENTO!$AF$11)),
         0)</f>
        <v>0</v>
      </c>
      <c r="AL262" s="453">
        <f ca="1">IF(AND($D262="Serviço",AL$12&lt;&gt;0,$H262&gt;0,OR(AUTOEVENTO&lt;&gt;"manual",$M262&lt;&gt;$A$15)),
        IF(Import.TipoArredondamento&lt;&gt;"TransfereGOV",
              ROUND(OFFSET($P262,0,AL$13),15-13*ORÇAMENTO!$AF$7)/$H262*OFFSET(ORÇAMENTO!$X$15,ROW(AL262)-ROW(AL$15),0),
              ROUND(ROUND(OFFSET($P262,0,AL$13),15-13*ORÇAMENTO!$AF$7)*OFFSET(ORÇAMENTO!$W$15,ROW(AL262)-ROW(AL$15),0),15-13*ORÇAMENTO!$AF$11)),
         0)</f>
        <v>0</v>
      </c>
      <c r="AM262" s="453">
        <f ca="1">IF(AND($D262="Serviço",AM$12&lt;&gt;0,$H262&gt;0,OR(AUTOEVENTO&lt;&gt;"manual",$M262&lt;&gt;$A$15)),
        IF(Import.TipoArredondamento&lt;&gt;"TransfereGOV",
              ROUND(OFFSET($P262,0,AM$13),15-13*ORÇAMENTO!$AF$7)/$H262*OFFSET(ORÇAMENTO!$X$15,ROW(AM262)-ROW(AM$15),0),
              ROUND(ROUND(OFFSET($P262,0,AM$13),15-13*ORÇAMENTO!$AF$7)*OFFSET(ORÇAMENTO!$W$15,ROW(AM262)-ROW(AM$15),0),15-13*ORÇAMENTO!$AF$11)),
         0)</f>
        <v>0</v>
      </c>
      <c r="AN262" s="453">
        <f ca="1">IF(AND($D262="Serviço",AN$12&lt;&gt;0,$H262&gt;0,OR(AUTOEVENTO&lt;&gt;"manual",$M262&lt;&gt;$A$15)),
        IF(Import.TipoArredondamento&lt;&gt;"TransfereGOV",
              ROUND(OFFSET($P262,0,AN$13),15-13*ORÇAMENTO!$AF$7)/$H262*OFFSET(ORÇAMENTO!$X$15,ROW(AN262)-ROW(AN$15),0),
              ROUND(ROUND(OFFSET($P262,0,AN$13),15-13*ORÇAMENTO!$AF$7)*OFFSET(ORÇAMENTO!$W$15,ROW(AN262)-ROW(AN$15),0),15-13*ORÇAMENTO!$AF$11)),
         0)</f>
        <v>0</v>
      </c>
      <c r="AO262" s="453">
        <f ca="1">IF(AND($D262="Serviço",AO$12&lt;&gt;0,$H262&gt;0,OR(AUTOEVENTO&lt;&gt;"manual",$M262&lt;&gt;$A$15)),
        IF(Import.TipoArredondamento&lt;&gt;"TransfereGOV",
              ROUND(OFFSET($P262,0,AO$13),15-13*ORÇAMENTO!$AF$7)/$H262*OFFSET(ORÇAMENTO!$X$15,ROW(AO262)-ROW(AO$15),0),
              ROUND(ROUND(OFFSET($P262,0,AO$13),15-13*ORÇAMENTO!$AF$7)*OFFSET(ORÇAMENTO!$W$15,ROW(AO262)-ROW(AO$15),0),15-13*ORÇAMENTO!$AF$11)),
         0)</f>
        <v>0</v>
      </c>
      <c r="AP262" s="453">
        <f ca="1">IF(AND($D262="Serviço",AP$12&lt;&gt;0,$H262&gt;0,OR(AUTOEVENTO&lt;&gt;"manual",$M262&lt;&gt;$A$15)),
        IF(Import.TipoArredondamento&lt;&gt;"TransfereGOV",
              ROUND(OFFSET($P262,0,AP$13),15-13*ORÇAMENTO!$AF$7)/$H262*OFFSET(ORÇAMENTO!$X$15,ROW(AP262)-ROW(AP$15),0),
              ROUND(ROUND(OFFSET($P262,0,AP$13),15-13*ORÇAMENTO!$AF$7)*OFFSET(ORÇAMENTO!$W$15,ROW(AP262)-ROW(AP$15),0),15-13*ORÇAMENTO!$AF$11)),
         0)</f>
        <v>0</v>
      </c>
      <c r="AQ262" s="453">
        <f ca="1">IF(AND($D262="Serviço",AQ$12&lt;&gt;0,$H262&gt;0,OR(AUTOEVENTO&lt;&gt;"manual",$M262&lt;&gt;$A$15)),
        IF(Import.TipoArredondamento&lt;&gt;"TransfereGOV",
              ROUND(OFFSET($P262,0,AQ$13),15-13*ORÇAMENTO!$AF$7)/$H262*OFFSET(ORÇAMENTO!$X$15,ROW(AQ262)-ROW(AQ$15),0),
              ROUND(ROUND(OFFSET($P262,0,AQ$13),15-13*ORÇAMENTO!$AF$7)*OFFSET(ORÇAMENTO!$W$15,ROW(AQ262)-ROW(AQ$15),0),15-13*ORÇAMENTO!$AF$11)),
         0)</f>
        <v>0</v>
      </c>
      <c r="AR262" s="453">
        <f ca="1">IF(AND($D262="Serviço",AR$12&lt;&gt;0,$H262&gt;0,OR(AUTOEVENTO&lt;&gt;"manual",$M262&lt;&gt;$A$15)),
        IF(Import.TipoArredondamento&lt;&gt;"TransfereGOV",
              ROUND(OFFSET($P262,0,AR$13),15-13*ORÇAMENTO!$AF$7)/$H262*OFFSET(ORÇAMENTO!$X$15,ROW(AR262)-ROW(AR$15),0),
              ROUND(ROUND(OFFSET($P262,0,AR$13),15-13*ORÇAMENTO!$AF$7)*OFFSET(ORÇAMENTO!$W$15,ROW(AR262)-ROW(AR$15),0),15-13*ORÇAMENTO!$AF$11)),
         0)</f>
        <v>0</v>
      </c>
      <c r="AS262" s="453">
        <f ca="1">IF(AND($D262="Serviço",AS$12&lt;&gt;0,$H262&gt;0,OR(AUTOEVENTO&lt;&gt;"manual",$M262&lt;&gt;$A$15)),
        IF(Import.TipoArredondamento&lt;&gt;"TransfereGOV",
              ROUND(OFFSET($P262,0,AS$13),15-13*ORÇAMENTO!$AF$7)/$H262*OFFSET(ORÇAMENTO!$X$15,ROW(AS262)-ROW(AS$15),0),
              ROUND(ROUND(OFFSET($P262,0,AS$13),15-13*ORÇAMENTO!$AF$7)*OFFSET(ORÇAMENTO!$W$15,ROW(AS262)-ROW(AS$15),0),15-13*ORÇAMENTO!$AF$11)),
         0)</f>
        <v>0</v>
      </c>
      <c r="AT262" s="453">
        <f ca="1">IF(AND($D262="Serviço",AT$12&lt;&gt;0,$H262&gt;0,OR(AUTOEVENTO&lt;&gt;"manual",$M262&lt;&gt;$A$15)),
        IF(Import.TipoArredondamento&lt;&gt;"TransfereGOV",
              ROUND(OFFSET($P262,0,AT$13),15-13*ORÇAMENTO!$AF$7)/$H262*OFFSET(ORÇAMENTO!$X$15,ROW(AT262)-ROW(AT$15),0),
              ROUND(ROUND(OFFSET($P262,0,AT$13),15-13*ORÇAMENTO!$AF$7)*OFFSET(ORÇAMENTO!$W$15,ROW(AT262)-ROW(AT$15),0),15-13*ORÇAMENTO!$AF$11)),
         0)</f>
        <v>0</v>
      </c>
      <c r="AU262" s="453">
        <f ca="1">IF(AND($D262="Serviço",AU$12&lt;&gt;0,$H262&gt;0,OR(AUTOEVENTO&lt;&gt;"manual",$M262&lt;&gt;$A$15)),
        IF(Import.TipoArredondamento&lt;&gt;"TransfereGOV",
              ROUND(OFFSET($P262,0,AU$13),15-13*ORÇAMENTO!$AF$7)/$H262*OFFSET(ORÇAMENTO!$X$15,ROW(AU262)-ROW(AU$15),0),
              ROUND(ROUND(OFFSET($P262,0,AU$13),15-13*ORÇAMENTO!$AF$7)*OFFSET(ORÇAMENTO!$W$15,ROW(AU262)-ROW(AU$15),0),15-13*ORÇAMENTO!$AF$11)),
         0)</f>
        <v>0</v>
      </c>
      <c r="AV262" s="453">
        <f ca="1">IF(AND($D262="Serviço",AV$12&lt;&gt;0,$H262&gt;0,OR(AUTOEVENTO&lt;&gt;"manual",$M262&lt;&gt;$A$15)),
        IF(Import.TipoArredondamento&lt;&gt;"TransfereGOV",
              ROUND(OFFSET($P262,0,AV$13),15-13*ORÇAMENTO!$AF$7)/$H262*OFFSET(ORÇAMENTO!$X$15,ROW(AV262)-ROW(AV$15),0),
              ROUND(ROUND(OFFSET($P262,0,AV$13),15-13*ORÇAMENTO!$AF$7)*OFFSET(ORÇAMENTO!$W$15,ROW(AV262)-ROW(AV$15),0),15-13*ORÇAMENTO!$AF$11)),
         0)</f>
        <v>0</v>
      </c>
      <c r="AW262" s="453">
        <f ca="1">IF(AND($D262="Serviço",AW$12&lt;&gt;0,$H262&gt;0,OR(AUTOEVENTO&lt;&gt;"manual",$M262&lt;&gt;$A$15)),
        IF(Import.TipoArredondamento&lt;&gt;"TransfereGOV",
              ROUND(OFFSET($P262,0,AW$13),15-13*ORÇAMENTO!$AF$7)/$H262*OFFSET(ORÇAMENTO!$X$15,ROW(AW262)-ROW(AW$15),0),
              ROUND(ROUND(OFFSET($P262,0,AW$13),15-13*ORÇAMENTO!$AF$7)*OFFSET(ORÇAMENTO!$W$15,ROW(AW262)-ROW(AW$15),0),15-13*ORÇAMENTO!$AF$11)),
         0)</f>
        <v>0</v>
      </c>
      <c r="AX262" s="453">
        <f ca="1">IF(AND($D262="Serviço",AX$12&lt;&gt;0,$H262&gt;0,OR(AUTOEVENTO&lt;&gt;"manual",$M262&lt;&gt;$A$15)),
        IF(Import.TipoArredondamento&lt;&gt;"TransfereGOV",
              ROUND(OFFSET($P262,0,AX$13),15-13*ORÇAMENTO!$AF$7)/$H262*OFFSET(ORÇAMENTO!$X$15,ROW(AX262)-ROW(AX$15),0),
              ROUND(ROUND(OFFSET($P262,0,AX$13),15-13*ORÇAMENTO!$AF$7)*OFFSET(ORÇAMENTO!$W$15,ROW(AX262)-ROW(AX$15),0),15-13*ORÇAMENTO!$AF$11)),
         0)</f>
        <v>0</v>
      </c>
      <c r="AY262" s="453">
        <f ca="1">IF(AND($D262="Serviço",AY$12&lt;&gt;0,$H262&gt;0,OR(AUTOEVENTO&lt;&gt;"manual",$M262&lt;&gt;$A$15)),
        IF(Import.TipoArredondamento&lt;&gt;"TransfereGOV",
              ROUND(OFFSET($P262,0,AY$13),15-13*ORÇAMENTO!$AF$7)/$H262*OFFSET(ORÇAMENTO!$X$15,ROW(AY262)-ROW(AY$15),0),
              ROUND(ROUND(OFFSET($P262,0,AY$13),15-13*ORÇAMENTO!$AF$7)*OFFSET(ORÇAMENTO!$W$15,ROW(AY262)-ROW(AY$15),0),15-13*ORÇAMENTO!$AF$11)),
         0)</f>
        <v>0</v>
      </c>
      <c r="AZ262" s="453">
        <f ca="1">IF(AND($D262="Serviço",AZ$12&lt;&gt;0,$H262&gt;0,OR(AUTOEVENTO&lt;&gt;"manual",$M262&lt;&gt;$A$15)),
        IF(Import.TipoArredondamento&lt;&gt;"TransfereGOV",
              ROUND(OFFSET($P262,0,AZ$13),15-13*ORÇAMENTO!$AF$7)/$H262*OFFSET(ORÇAMENTO!$X$15,ROW(AZ262)-ROW(AZ$15),0),
              ROUND(ROUND(OFFSET($P262,0,AZ$13),15-13*ORÇAMENTO!$AF$7)*OFFSET(ORÇAMENTO!$W$15,ROW(AZ262)-ROW(AZ$15),0),15-13*ORÇAMENTO!$AF$11)),
         0)</f>
        <v>0</v>
      </c>
      <c r="BA262" s="453">
        <f ca="1">IF(AND($D262="Serviço",BA$12&lt;&gt;0,$H262&gt;0,OR(AUTOEVENTO&lt;&gt;"manual",$M262&lt;&gt;$A$15)),
        IF(Import.TipoArredondamento&lt;&gt;"TransfereGOV",
              ROUND(OFFSET($P262,0,BA$13),15-13*ORÇAMENTO!$AF$7)/$H262*OFFSET(ORÇAMENTO!$X$15,ROW(BA262)-ROW(BA$15),0),
              ROUND(ROUND(OFFSET($P262,0,BA$13),15-13*ORÇAMENTO!$AF$7)*OFFSET(ORÇAMENTO!$W$15,ROW(BA262)-ROW(BA$15),0),15-13*ORÇAMENTO!$AF$11)),
         0)</f>
        <v>0</v>
      </c>
      <c r="BC262" s="171">
        <f ca="1">IF(OR($D262&lt;&gt;"Serviço",AND(AUTOEVENTO="Manual",$M262=$A$15)),0,
         IF(OFFSET(CRONOPLE!$F$15,$M262-$A$15,BC$13)=0,10^12,OFFSET(CRONOPLE!$F$15,$M262-$A$15,BC$13)))</f>
        <v>1</v>
      </c>
      <c r="BD262" s="171">
        <f ca="1">IF(OR($D262&lt;&gt;"Serviço",AND(AUTOEVENTO="Manual",$M262=$A$15)),0,
         IF(OFFSET(CRONOPLE!$F$15,$M262-$A$15,BD$13)=0,10^12,OFFSET(CRONOPLE!$F$15,$M262-$A$15,BD$13)))</f>
        <v>2</v>
      </c>
      <c r="BE262" s="171">
        <f ca="1">IF(OR($D262&lt;&gt;"Serviço",AND(AUTOEVENTO="Manual",$M262=$A$15)),0,
         IF(OFFSET(CRONOPLE!$F$15,$M262-$A$15,BE$13)=0,10^12,OFFSET(CRONOPLE!$F$15,$M262-$A$15,BE$13)))</f>
        <v>3</v>
      </c>
      <c r="BF262" s="171">
        <f ca="1">IF(OR($D262&lt;&gt;"Serviço",AND(AUTOEVENTO="Manual",$M262=$A$15)),0,
         IF(OFFSET(CRONOPLE!$F$15,$M262-$A$15,BF$13)=0,10^12,OFFSET(CRONOPLE!$F$15,$M262-$A$15,BF$13)))</f>
        <v>4</v>
      </c>
      <c r="BG262" s="171">
        <f ca="1">IF(OR($D262&lt;&gt;"Serviço",AND(AUTOEVENTO="Manual",$M262=$A$15)),0,
         IF(OFFSET(CRONOPLE!$F$15,$M262-$A$15,BG$13)=0,10^12,OFFSET(CRONOPLE!$F$15,$M262-$A$15,BG$13)))</f>
        <v>5</v>
      </c>
      <c r="BH262" s="171">
        <f ca="1">IF(OR($D262&lt;&gt;"Serviço",AND(AUTOEVENTO="Manual",$M262=$A$15)),0,
         IF(OFFSET(CRONOPLE!$F$15,$M262-$A$15,BH$13)=0,10^12,OFFSET(CRONOPLE!$F$15,$M262-$A$15,BH$13)))</f>
        <v>6</v>
      </c>
      <c r="BI262" s="171">
        <f ca="1">IF(OR($D262&lt;&gt;"Serviço",AND(AUTOEVENTO="Manual",$M262=$A$15)),0,
         IF(OFFSET(CRONOPLE!$F$15,$M262-$A$15,BI$13)=0,10^12,OFFSET(CRONOPLE!$F$15,$M262-$A$15,BI$13)))</f>
        <v>7</v>
      </c>
      <c r="BJ262" s="171">
        <f ca="1">IF(OR($D262&lt;&gt;"Serviço",AND(AUTOEVENTO="Manual",$M262=$A$15)),0,
         IF(OFFSET(CRONOPLE!$F$15,$M262-$A$15,BJ$13)=0,10^12,OFFSET(CRONOPLE!$F$15,$M262-$A$15,BJ$13)))</f>
        <v>8</v>
      </c>
      <c r="BK262" s="171">
        <f ca="1">IF(OR($D262&lt;&gt;"Serviço",AND(AUTOEVENTO="Manual",$M262=$A$15)),0,
         IF(OFFSET(CRONOPLE!$F$15,$M262-$A$15,BK$13)=0,10^12,OFFSET(CRONOPLE!$F$15,$M262-$A$15,BK$13)))</f>
        <v>9</v>
      </c>
      <c r="BL262" s="171">
        <f ca="1">IF(OR($D262&lt;&gt;"Serviço",AND(AUTOEVENTO="Manual",$M262=$A$15)),0,
         IF(OFFSET(CRONOPLE!$F$15,$M262-$A$15,BL$13)=0,10^12,OFFSET(CRONOPLE!$F$15,$M262-$A$15,BL$13)))</f>
        <v>1000000000000</v>
      </c>
      <c r="BM262" s="171">
        <f ca="1">IF(OR($D262&lt;&gt;"Serviço",AND(AUTOEVENTO="Manual",$M262=$A$15)),0,
         IF(OFFSET(CRONOPLE!$F$15,$M262-$A$15,BM$13)=0,10^12,OFFSET(CRONOPLE!$F$15,$M262-$A$15,BM$13)))</f>
        <v>1000000000000</v>
      </c>
      <c r="BN262" s="171">
        <f ca="1">IF(OR($D262&lt;&gt;"Serviço",AND(AUTOEVENTO="Manual",$M262=$A$15)),0,
         IF(OFFSET(CRONOPLE!$F$15,$M262-$A$15,BN$13)=0,10^12,OFFSET(CRONOPLE!$F$15,$M262-$A$15,BN$13)))</f>
        <v>1000000000000</v>
      </c>
      <c r="BO262" s="171">
        <f ca="1">IF(OR($D262&lt;&gt;"Serviço",AND(AUTOEVENTO="Manual",$M262=$A$15)),0,
         IF(OFFSET(CRONOPLE!$F$15,$M262-$A$15,BO$13)=0,10^12,OFFSET(CRONOPLE!$F$15,$M262-$A$15,BO$13)))</f>
        <v>1000000000000</v>
      </c>
      <c r="BP262" s="171">
        <f ca="1">IF(OR($D262&lt;&gt;"Serviço",AND(AUTOEVENTO="Manual",$M262=$A$15)),0,
         IF(OFFSET(CRONOPLE!$F$15,$M262-$A$15,BP$13)=0,10^12,OFFSET(CRONOPLE!$F$15,$M262-$A$15,BP$13)))</f>
        <v>1000000000000</v>
      </c>
      <c r="BQ262" s="171">
        <f ca="1">IF(OR($D262&lt;&gt;"Serviço",AND(AUTOEVENTO="Manual",$M262=$A$15)),0,
         IF(OFFSET(CRONOPLE!$F$15,$M262-$A$15,BQ$13)=0,10^12,OFFSET(CRONOPLE!$F$15,$M262-$A$15,BQ$13)))</f>
        <v>1000000000000</v>
      </c>
      <c r="BR262" s="171">
        <f ca="1">IF(OR($D262&lt;&gt;"Serviço",AND(AUTOEVENTO="Manual",$M262=$A$15)),0,
         IF(OFFSET(CRONOPLE!$F$15,$M262-$A$15,BR$13)=0,10^12,OFFSET(CRONOPLE!$F$15,$M262-$A$15,BR$13)))</f>
        <v>1000000000000</v>
      </c>
      <c r="BS262" s="171">
        <f ca="1">IF(OR($D262&lt;&gt;"Serviço",AND(AUTOEVENTO="Manual",$M262=$A$15)),0,
         IF(OFFSET(CRONOPLE!$F$15,$M262-$A$15,BS$13)=0,10^12,OFFSET(CRONOPLE!$F$15,$M262-$A$15,BS$13)))</f>
        <v>1000000000000</v>
      </c>
      <c r="BT262" s="171">
        <f ca="1">IF(OR($D262&lt;&gt;"Serviço",AND(AUTOEVENTO="Manual",$M262=$A$15)),0,
         IF(OFFSET(CRONOPLE!$F$15,$M262-$A$15,BT$13)=0,10^12,OFFSET(CRONOPLE!$F$15,$M262-$A$15,BT$13)))</f>
        <v>1000000000000</v>
      </c>
      <c r="BV262" s="172">
        <f ca="1">IF(OR($D262&lt;&gt;"Serviço",AND(AUTOEVENTO="Manual",$M262=$A$15),$M262&gt;(ROW(PLE.lastrow)-ROW(PLE.firstrow))),0,
           IF(OFFSET(PLE!$G$15,$M262-$A$15,BV$13)="",10^12,OFFSET(PLE!$G$15,$M262-$A$15,BV$13)))</f>
        <v>1000000000000</v>
      </c>
      <c r="BW262" s="172">
        <f ca="1">IF(OR($D262&lt;&gt;"Serviço",AND(AUTOEVENTO="Manual",$M262=$A$15),$M262&gt;(ROW(PLE.lastrow)-ROW(PLE.firstrow))),0,
           IF(OFFSET(PLE!$G$15,$M262-$A$15,BW$13)="",10^12,OFFSET(PLE!$G$15,$M262-$A$15,BW$13)))</f>
        <v>1000000000000</v>
      </c>
      <c r="BX262" s="172">
        <f ca="1">IF(OR($D262&lt;&gt;"Serviço",AND(AUTOEVENTO="Manual",$M262=$A$15),$M262&gt;(ROW(PLE.lastrow)-ROW(PLE.firstrow))),0,
           IF(OFFSET(PLE!$G$15,$M262-$A$15,BX$13)="",10^12,OFFSET(PLE!$G$15,$M262-$A$15,BX$13)))</f>
        <v>1000000000000</v>
      </c>
      <c r="BY262" s="172">
        <f ca="1">IF(OR($D262&lt;&gt;"Serviço",AND(AUTOEVENTO="Manual",$M262=$A$15),$M262&gt;(ROW(PLE.lastrow)-ROW(PLE.firstrow))),0,
           IF(OFFSET(PLE!$G$15,$M262-$A$15,BY$13)="",10^12,OFFSET(PLE!$G$15,$M262-$A$15,BY$13)))</f>
        <v>1000000000000</v>
      </c>
      <c r="BZ262" s="172">
        <f ca="1">IF(OR($D262&lt;&gt;"Serviço",AND(AUTOEVENTO="Manual",$M262=$A$15),$M262&gt;(ROW(PLE.lastrow)-ROW(PLE.firstrow))),0,
           IF(OFFSET(PLE!$G$15,$M262-$A$15,BZ$13)="",10^12,OFFSET(PLE!$G$15,$M262-$A$15,BZ$13)))</f>
        <v>1000000000000</v>
      </c>
      <c r="CA262" s="172">
        <f ca="1">IF(OR($D262&lt;&gt;"Serviço",AND(AUTOEVENTO="Manual",$M262=$A$15),$M262&gt;(ROW(PLE.lastrow)-ROW(PLE.firstrow))),0,
           IF(OFFSET(PLE!$G$15,$M262-$A$15,CA$13)="",10^12,OFFSET(PLE!$G$15,$M262-$A$15,CA$13)))</f>
        <v>1000000000000</v>
      </c>
      <c r="CB262" s="172">
        <f ca="1">IF(OR($D262&lt;&gt;"Serviço",AND(AUTOEVENTO="Manual",$M262=$A$15),$M262&gt;(ROW(PLE.lastrow)-ROW(PLE.firstrow))),0,
           IF(OFFSET(PLE!$G$15,$M262-$A$15,CB$13)="",10^12,OFFSET(PLE!$G$15,$M262-$A$15,CB$13)))</f>
        <v>1000000000000</v>
      </c>
      <c r="CC262" s="172">
        <f ca="1">IF(OR($D262&lt;&gt;"Serviço",AND(AUTOEVENTO="Manual",$M262=$A$15),$M262&gt;(ROW(PLE.lastrow)-ROW(PLE.firstrow))),0,
           IF(OFFSET(PLE!$G$15,$M262-$A$15,CC$13)="",10^12,OFFSET(PLE!$G$15,$M262-$A$15,CC$13)))</f>
        <v>1000000000000</v>
      </c>
      <c r="CD262" s="172">
        <f ca="1">IF(OR($D262&lt;&gt;"Serviço",AND(AUTOEVENTO="Manual",$M262=$A$15),$M262&gt;(ROW(PLE.lastrow)-ROW(PLE.firstrow))),0,
           IF(OFFSET(PLE!$G$15,$M262-$A$15,CD$13)="",10^12,OFFSET(PLE!$G$15,$M262-$A$15,CD$13)))</f>
        <v>1000000000000</v>
      </c>
      <c r="CE262" s="172">
        <f ca="1">IF(OR($D262&lt;&gt;"Serviço",AND(AUTOEVENTO="Manual",$M262=$A$15),$M262&gt;(ROW(PLE.lastrow)-ROW(PLE.firstrow))),0,
           IF(OFFSET(PLE!$G$15,$M262-$A$15,CE$13)="",10^12,OFFSET(PLE!$G$15,$M262-$A$15,CE$13)))</f>
        <v>1000000000000</v>
      </c>
      <c r="CF262" s="172">
        <f ca="1">IF(OR($D262&lt;&gt;"Serviço",AND(AUTOEVENTO="Manual",$M262=$A$15),$M262&gt;(ROW(PLE.lastrow)-ROW(PLE.firstrow))),0,
           IF(OFFSET(PLE!$G$15,$M262-$A$15,CF$13)="",10^12,OFFSET(PLE!$G$15,$M262-$A$15,CF$13)))</f>
        <v>1000000000000</v>
      </c>
      <c r="CG262" s="172">
        <f ca="1">IF(OR($D262&lt;&gt;"Serviço",AND(AUTOEVENTO="Manual",$M262=$A$15),$M262&gt;(ROW(PLE.lastrow)-ROW(PLE.firstrow))),0,
           IF(OFFSET(PLE!$G$15,$M262-$A$15,CG$13)="",10^12,OFFSET(PLE!$G$15,$M262-$A$15,CG$13)))</f>
        <v>1000000000000</v>
      </c>
      <c r="CH262" s="172">
        <f ca="1">IF(OR($D262&lt;&gt;"Serviço",AND(AUTOEVENTO="Manual",$M262=$A$15),$M262&gt;(ROW(PLE.lastrow)-ROW(PLE.firstrow))),0,
           IF(OFFSET(PLE!$G$15,$M262-$A$15,CH$13)="",10^12,OFFSET(PLE!$G$15,$M262-$A$15,CH$13)))</f>
        <v>1000000000000</v>
      </c>
      <c r="CI262" s="172">
        <f ca="1">IF(OR($D262&lt;&gt;"Serviço",AND(AUTOEVENTO="Manual",$M262=$A$15),$M262&gt;(ROW(PLE.lastrow)-ROW(PLE.firstrow))),0,
           IF(OFFSET(PLE!$G$15,$M262-$A$15,CI$13)="",10^12,OFFSET(PLE!$G$15,$M262-$A$15,CI$13)))</f>
        <v>1000000000000</v>
      </c>
      <c r="CJ262" s="172">
        <f ca="1">IF(OR($D262&lt;&gt;"Serviço",AND(AUTOEVENTO="Manual",$M262=$A$15),$M262&gt;(ROW(PLE.lastrow)-ROW(PLE.firstrow))),0,
           IF(OFFSET(PLE!$G$15,$M262-$A$15,CJ$13)="",10^12,OFFSET(PLE!$G$15,$M262-$A$15,CJ$13)))</f>
        <v>1000000000000</v>
      </c>
      <c r="CK262" s="172">
        <f ca="1">IF(OR($D262&lt;&gt;"Serviço",AND(AUTOEVENTO="Manual",$M262=$A$15),$M262&gt;(ROW(PLE.lastrow)-ROW(PLE.firstrow))),0,
           IF(OFFSET(PLE!$G$15,$M262-$A$15,CK$13)="",10^12,OFFSET(PLE!$G$15,$M262-$A$15,CK$13)))</f>
        <v>1000000000000</v>
      </c>
      <c r="CL262" s="172">
        <f ca="1">IF(OR($D262&lt;&gt;"Serviço",AND(AUTOEVENTO="Manual",$M262=$A$15),$M262&gt;(ROW(PLE.lastrow)-ROW(PLE.firstrow))),0,
           IF(OFFSET(PLE!$G$15,$M262-$A$15,CL$13)="",10^12,OFFSET(PLE!$G$15,$M262-$A$15,CL$13)))</f>
        <v>1000000000000</v>
      </c>
      <c r="CM262" s="172">
        <f ca="1">IF(OR($D262&lt;&gt;"Serviço",AND(AUTOEVENTO="Manual",$M262=$A$15),$M262&gt;(ROW(PLE.lastrow)-ROW(PLE.firstrow))),0,
           IF(OFFSET(PLE!$G$15,$M262-$A$15,CM$13)="",10^12,OFFSET(PLE!$G$15,$M262-$A$15,CM$13)))</f>
        <v>1000000000000</v>
      </c>
    </row>
    <row r="263" spans="1:91" ht="12.75" x14ac:dyDescent="0.2">
      <c r="A263" s="7">
        <f t="shared" ca="1" si="13"/>
        <v>7</v>
      </c>
      <c r="B263" s="7">
        <f ca="1">OFFSET(ORÇAMENTO!C$15,ROW(B263)-ROW(B$15),0)</f>
        <v>3</v>
      </c>
      <c r="C263" s="7" t="str">
        <f ca="1">OFFSET(ORÇAMENTO!L$15,ROW(C263)-ROW(C$15),0)</f>
        <v>F</v>
      </c>
      <c r="D263" s="116" t="str">
        <f ca="1">OFFSET(ORÇAMENTO!N$15,ROW(D263)-ROW(D$15),0)</f>
        <v>Nível 3</v>
      </c>
      <c r="E263" s="117" t="str">
        <f ca="1">OFFSET(ORÇAMENTO!O$15,ROW(E263)-ROW(E$15),0)</f>
        <v>1.7.2.</v>
      </c>
      <c r="F263" s="163" t="str">
        <f ca="1">OFFSET(ORÇAMENTO!R$15,ROW(F263)-ROW(F$15),0)</f>
        <v>DECANTADOR SECUNDÁRIO</v>
      </c>
      <c r="G263" s="164" t="str">
        <f ca="1">IF($D263&lt;&gt;"Serviço","",OFFSET(ORÇAMENTO!S$15,ROW(G263)-ROW(G$15),0))</f>
        <v/>
      </c>
      <c r="H263" s="122" cm="1">
        <f t="array" aca="1" ref="H263" ca="1">IF($D263&lt;&gt;"Serviço",0,IF(ACOMPANHAMENTO="BM",ROUND(OFFSET(ORÇAMENTO!AJ$15,ROW(H263)-ROW(H$15),0),15-13*ORÇAMENTO!$AF$7),SUMPRODUCT(($Q$1:$AI$1=1)*ROUND($Q263:$AI263,15-13*ORÇAMENTO!$AF$7))))</f>
        <v>0</v>
      </c>
      <c r="I263" s="468"/>
      <c r="J263" s="640" t="str" cm="1">
        <f t="array" aca="1" ref="J263" ca="1">IF(OR(B263&lt;&gt;"S",CÁLCULO.FrentesPreenchidas=0),"",IF(AND(ACOMPANHAMENTO="PLE",AUTOEVENTO="Manual",OR(H263&gt;0,ORÇAMENTO!AC263="QUANT."),OR(K263="",M263=0,N263="")),"►E",IF(AND(ACOMPANHAMENTO="PLE",ORÇAMENTO!AC263="QUANT."),"►Q",IF(AND(ACOMPANHAMENTO="PLE",H263&lt;&gt;SUMPRODUCT(($Q$1:$AI$1=1)*ROUND(Q263:AI263,15))),"►S",IF(AND(COUNTIF($P$11:$AI$11,"▼")=0,H263&gt;0,I263=""),"◄M","")))))</f>
        <v/>
      </c>
      <c r="K263" s="641" t="s">
        <v>1365</v>
      </c>
      <c r="L263" s="165" t="s">
        <v>764</v>
      </c>
      <c r="M263" s="166" t="str">
        <f ca="1">IF($D263&lt;&gt;"Serviço","",
          IF(AUTOEVENTO="manual",$A263,
                IF(ISERROR(MATCH($A263,$A$15:OFFSET($A263,-1,0),0)),MAX($M$15:OFFSET(M263,-1,0))+1,
                      INDEX($M$15:OFFSET(M263,-1,0),MATCH($A263,$A$15:OFFSET($A263,-1,0),0)))))</f>
        <v/>
      </c>
      <c r="N263" s="167" t="str">
        <f ca="1">IF($D263&lt;&gt;"Serviço","",
         IF(AUTOEVENTO="Manual",
                IF($A263=0,"&lt;-- defina o número do agrupador",
                       OFFSET(EVENTOS!$D$15,$A263-$A$15,0)),
                OFFSET($F$15,$A263,0)))</f>
        <v/>
      </c>
      <c r="O263" s="168"/>
      <c r="Q263" s="168"/>
      <c r="R263" s="169"/>
      <c r="S263" s="169"/>
      <c r="T263" s="169"/>
      <c r="U263" s="169"/>
      <c r="V263" s="169"/>
      <c r="W263" s="169"/>
      <c r="X263" s="169"/>
      <c r="Y263" s="169"/>
      <c r="Z263" s="170"/>
      <c r="AA263" s="169"/>
      <c r="AB263" s="169"/>
      <c r="AC263" s="169"/>
      <c r="AD263" s="169"/>
      <c r="AE263" s="169"/>
      <c r="AF263" s="169"/>
      <c r="AG263" s="169"/>
      <c r="AH263" s="170"/>
      <c r="AJ263" s="453">
        <f ca="1">IF(AND($D263="Serviço",AJ$12&lt;&gt;0,$H263&gt;0,OR(AUTOEVENTO&lt;&gt;"manual",$M263&lt;&gt;$A$15)),
        IF(Import.TipoArredondamento&lt;&gt;"TransfereGOV",
              ROUND(OFFSET($P263,0,AJ$13),15-13*ORÇAMENTO!$AF$7)/$H263*OFFSET(ORÇAMENTO!$X$15,ROW(AJ263)-ROW(AJ$15),0),
              ROUND(ROUND(OFFSET($P263,0,AJ$13),15-13*ORÇAMENTO!$AF$7)*OFFSET(ORÇAMENTO!$W$15,ROW(AJ263)-ROW(AJ$15),0),15-13*ORÇAMENTO!$AF$11)),
         0)</f>
        <v>0</v>
      </c>
      <c r="AK263" s="453">
        <f ca="1">IF(AND($D263="Serviço",AK$12&lt;&gt;0,$H263&gt;0,OR(AUTOEVENTO&lt;&gt;"manual",$M263&lt;&gt;$A$15)),
        IF(Import.TipoArredondamento&lt;&gt;"TransfereGOV",
              ROUND(OFFSET($P263,0,AK$13),15-13*ORÇAMENTO!$AF$7)/$H263*OFFSET(ORÇAMENTO!$X$15,ROW(AK263)-ROW(AK$15),0),
              ROUND(ROUND(OFFSET($P263,0,AK$13),15-13*ORÇAMENTO!$AF$7)*OFFSET(ORÇAMENTO!$W$15,ROW(AK263)-ROW(AK$15),0),15-13*ORÇAMENTO!$AF$11)),
         0)</f>
        <v>0</v>
      </c>
      <c r="AL263" s="453">
        <f ca="1">IF(AND($D263="Serviço",AL$12&lt;&gt;0,$H263&gt;0,OR(AUTOEVENTO&lt;&gt;"manual",$M263&lt;&gt;$A$15)),
        IF(Import.TipoArredondamento&lt;&gt;"TransfereGOV",
              ROUND(OFFSET($P263,0,AL$13),15-13*ORÇAMENTO!$AF$7)/$H263*OFFSET(ORÇAMENTO!$X$15,ROW(AL263)-ROW(AL$15),0),
              ROUND(ROUND(OFFSET($P263,0,AL$13),15-13*ORÇAMENTO!$AF$7)*OFFSET(ORÇAMENTO!$W$15,ROW(AL263)-ROW(AL$15),0),15-13*ORÇAMENTO!$AF$11)),
         0)</f>
        <v>0</v>
      </c>
      <c r="AM263" s="453">
        <f ca="1">IF(AND($D263="Serviço",AM$12&lt;&gt;0,$H263&gt;0,OR(AUTOEVENTO&lt;&gt;"manual",$M263&lt;&gt;$A$15)),
        IF(Import.TipoArredondamento&lt;&gt;"TransfereGOV",
              ROUND(OFFSET($P263,0,AM$13),15-13*ORÇAMENTO!$AF$7)/$H263*OFFSET(ORÇAMENTO!$X$15,ROW(AM263)-ROW(AM$15),0),
              ROUND(ROUND(OFFSET($P263,0,AM$13),15-13*ORÇAMENTO!$AF$7)*OFFSET(ORÇAMENTO!$W$15,ROW(AM263)-ROW(AM$15),0),15-13*ORÇAMENTO!$AF$11)),
         0)</f>
        <v>0</v>
      </c>
      <c r="AN263" s="453">
        <f ca="1">IF(AND($D263="Serviço",AN$12&lt;&gt;0,$H263&gt;0,OR(AUTOEVENTO&lt;&gt;"manual",$M263&lt;&gt;$A$15)),
        IF(Import.TipoArredondamento&lt;&gt;"TransfereGOV",
              ROUND(OFFSET($P263,0,AN$13),15-13*ORÇAMENTO!$AF$7)/$H263*OFFSET(ORÇAMENTO!$X$15,ROW(AN263)-ROW(AN$15),0),
              ROUND(ROUND(OFFSET($P263,0,AN$13),15-13*ORÇAMENTO!$AF$7)*OFFSET(ORÇAMENTO!$W$15,ROW(AN263)-ROW(AN$15),0),15-13*ORÇAMENTO!$AF$11)),
         0)</f>
        <v>0</v>
      </c>
      <c r="AO263" s="453">
        <f ca="1">IF(AND($D263="Serviço",AO$12&lt;&gt;0,$H263&gt;0,OR(AUTOEVENTO&lt;&gt;"manual",$M263&lt;&gt;$A$15)),
        IF(Import.TipoArredondamento&lt;&gt;"TransfereGOV",
              ROUND(OFFSET($P263,0,AO$13),15-13*ORÇAMENTO!$AF$7)/$H263*OFFSET(ORÇAMENTO!$X$15,ROW(AO263)-ROW(AO$15),0),
              ROUND(ROUND(OFFSET($P263,0,AO$13),15-13*ORÇAMENTO!$AF$7)*OFFSET(ORÇAMENTO!$W$15,ROW(AO263)-ROW(AO$15),0),15-13*ORÇAMENTO!$AF$11)),
         0)</f>
        <v>0</v>
      </c>
      <c r="AP263" s="453">
        <f ca="1">IF(AND($D263="Serviço",AP$12&lt;&gt;0,$H263&gt;0,OR(AUTOEVENTO&lt;&gt;"manual",$M263&lt;&gt;$A$15)),
        IF(Import.TipoArredondamento&lt;&gt;"TransfereGOV",
              ROUND(OFFSET($P263,0,AP$13),15-13*ORÇAMENTO!$AF$7)/$H263*OFFSET(ORÇAMENTO!$X$15,ROW(AP263)-ROW(AP$15),0),
              ROUND(ROUND(OFFSET($P263,0,AP$13),15-13*ORÇAMENTO!$AF$7)*OFFSET(ORÇAMENTO!$W$15,ROW(AP263)-ROW(AP$15),0),15-13*ORÇAMENTO!$AF$11)),
         0)</f>
        <v>0</v>
      </c>
      <c r="AQ263" s="453">
        <f ca="1">IF(AND($D263="Serviço",AQ$12&lt;&gt;0,$H263&gt;0,OR(AUTOEVENTO&lt;&gt;"manual",$M263&lt;&gt;$A$15)),
        IF(Import.TipoArredondamento&lt;&gt;"TransfereGOV",
              ROUND(OFFSET($P263,0,AQ$13),15-13*ORÇAMENTO!$AF$7)/$H263*OFFSET(ORÇAMENTO!$X$15,ROW(AQ263)-ROW(AQ$15),0),
              ROUND(ROUND(OFFSET($P263,0,AQ$13),15-13*ORÇAMENTO!$AF$7)*OFFSET(ORÇAMENTO!$W$15,ROW(AQ263)-ROW(AQ$15),0),15-13*ORÇAMENTO!$AF$11)),
         0)</f>
        <v>0</v>
      </c>
      <c r="AR263" s="453">
        <f ca="1">IF(AND($D263="Serviço",AR$12&lt;&gt;0,$H263&gt;0,OR(AUTOEVENTO&lt;&gt;"manual",$M263&lt;&gt;$A$15)),
        IF(Import.TipoArredondamento&lt;&gt;"TransfereGOV",
              ROUND(OFFSET($P263,0,AR$13),15-13*ORÇAMENTO!$AF$7)/$H263*OFFSET(ORÇAMENTO!$X$15,ROW(AR263)-ROW(AR$15),0),
              ROUND(ROUND(OFFSET($P263,0,AR$13),15-13*ORÇAMENTO!$AF$7)*OFFSET(ORÇAMENTO!$W$15,ROW(AR263)-ROW(AR$15),0),15-13*ORÇAMENTO!$AF$11)),
         0)</f>
        <v>0</v>
      </c>
      <c r="AS263" s="453">
        <f ca="1">IF(AND($D263="Serviço",AS$12&lt;&gt;0,$H263&gt;0,OR(AUTOEVENTO&lt;&gt;"manual",$M263&lt;&gt;$A$15)),
        IF(Import.TipoArredondamento&lt;&gt;"TransfereGOV",
              ROUND(OFFSET($P263,0,AS$13),15-13*ORÇAMENTO!$AF$7)/$H263*OFFSET(ORÇAMENTO!$X$15,ROW(AS263)-ROW(AS$15),0),
              ROUND(ROUND(OFFSET($P263,0,AS$13),15-13*ORÇAMENTO!$AF$7)*OFFSET(ORÇAMENTO!$W$15,ROW(AS263)-ROW(AS$15),0),15-13*ORÇAMENTO!$AF$11)),
         0)</f>
        <v>0</v>
      </c>
      <c r="AT263" s="453">
        <f ca="1">IF(AND($D263="Serviço",AT$12&lt;&gt;0,$H263&gt;0,OR(AUTOEVENTO&lt;&gt;"manual",$M263&lt;&gt;$A$15)),
        IF(Import.TipoArredondamento&lt;&gt;"TransfereGOV",
              ROUND(OFFSET($P263,0,AT$13),15-13*ORÇAMENTO!$AF$7)/$H263*OFFSET(ORÇAMENTO!$X$15,ROW(AT263)-ROW(AT$15),0),
              ROUND(ROUND(OFFSET($P263,0,AT$13),15-13*ORÇAMENTO!$AF$7)*OFFSET(ORÇAMENTO!$W$15,ROW(AT263)-ROW(AT$15),0),15-13*ORÇAMENTO!$AF$11)),
         0)</f>
        <v>0</v>
      </c>
      <c r="AU263" s="453">
        <f ca="1">IF(AND($D263="Serviço",AU$12&lt;&gt;0,$H263&gt;0,OR(AUTOEVENTO&lt;&gt;"manual",$M263&lt;&gt;$A$15)),
        IF(Import.TipoArredondamento&lt;&gt;"TransfereGOV",
              ROUND(OFFSET($P263,0,AU$13),15-13*ORÇAMENTO!$AF$7)/$H263*OFFSET(ORÇAMENTO!$X$15,ROW(AU263)-ROW(AU$15),0),
              ROUND(ROUND(OFFSET($P263,0,AU$13),15-13*ORÇAMENTO!$AF$7)*OFFSET(ORÇAMENTO!$W$15,ROW(AU263)-ROW(AU$15),0),15-13*ORÇAMENTO!$AF$11)),
         0)</f>
        <v>0</v>
      </c>
      <c r="AV263" s="453">
        <f ca="1">IF(AND($D263="Serviço",AV$12&lt;&gt;0,$H263&gt;0,OR(AUTOEVENTO&lt;&gt;"manual",$M263&lt;&gt;$A$15)),
        IF(Import.TipoArredondamento&lt;&gt;"TransfereGOV",
              ROUND(OFFSET($P263,0,AV$13),15-13*ORÇAMENTO!$AF$7)/$H263*OFFSET(ORÇAMENTO!$X$15,ROW(AV263)-ROW(AV$15),0),
              ROUND(ROUND(OFFSET($P263,0,AV$13),15-13*ORÇAMENTO!$AF$7)*OFFSET(ORÇAMENTO!$W$15,ROW(AV263)-ROW(AV$15),0),15-13*ORÇAMENTO!$AF$11)),
         0)</f>
        <v>0</v>
      </c>
      <c r="AW263" s="453">
        <f ca="1">IF(AND($D263="Serviço",AW$12&lt;&gt;0,$H263&gt;0,OR(AUTOEVENTO&lt;&gt;"manual",$M263&lt;&gt;$A$15)),
        IF(Import.TipoArredondamento&lt;&gt;"TransfereGOV",
              ROUND(OFFSET($P263,0,AW$13),15-13*ORÇAMENTO!$AF$7)/$H263*OFFSET(ORÇAMENTO!$X$15,ROW(AW263)-ROW(AW$15),0),
              ROUND(ROUND(OFFSET($P263,0,AW$13),15-13*ORÇAMENTO!$AF$7)*OFFSET(ORÇAMENTO!$W$15,ROW(AW263)-ROW(AW$15),0),15-13*ORÇAMENTO!$AF$11)),
         0)</f>
        <v>0</v>
      </c>
      <c r="AX263" s="453">
        <f ca="1">IF(AND($D263="Serviço",AX$12&lt;&gt;0,$H263&gt;0,OR(AUTOEVENTO&lt;&gt;"manual",$M263&lt;&gt;$A$15)),
        IF(Import.TipoArredondamento&lt;&gt;"TransfereGOV",
              ROUND(OFFSET($P263,0,AX$13),15-13*ORÇAMENTO!$AF$7)/$H263*OFFSET(ORÇAMENTO!$X$15,ROW(AX263)-ROW(AX$15),0),
              ROUND(ROUND(OFFSET($P263,0,AX$13),15-13*ORÇAMENTO!$AF$7)*OFFSET(ORÇAMENTO!$W$15,ROW(AX263)-ROW(AX$15),0),15-13*ORÇAMENTO!$AF$11)),
         0)</f>
        <v>0</v>
      </c>
      <c r="AY263" s="453">
        <f ca="1">IF(AND($D263="Serviço",AY$12&lt;&gt;0,$H263&gt;0,OR(AUTOEVENTO&lt;&gt;"manual",$M263&lt;&gt;$A$15)),
        IF(Import.TipoArredondamento&lt;&gt;"TransfereGOV",
              ROUND(OFFSET($P263,0,AY$13),15-13*ORÇAMENTO!$AF$7)/$H263*OFFSET(ORÇAMENTO!$X$15,ROW(AY263)-ROW(AY$15),0),
              ROUND(ROUND(OFFSET($P263,0,AY$13),15-13*ORÇAMENTO!$AF$7)*OFFSET(ORÇAMENTO!$W$15,ROW(AY263)-ROW(AY$15),0),15-13*ORÇAMENTO!$AF$11)),
         0)</f>
        <v>0</v>
      </c>
      <c r="AZ263" s="453">
        <f ca="1">IF(AND($D263="Serviço",AZ$12&lt;&gt;0,$H263&gt;0,OR(AUTOEVENTO&lt;&gt;"manual",$M263&lt;&gt;$A$15)),
        IF(Import.TipoArredondamento&lt;&gt;"TransfereGOV",
              ROUND(OFFSET($P263,0,AZ$13),15-13*ORÇAMENTO!$AF$7)/$H263*OFFSET(ORÇAMENTO!$X$15,ROW(AZ263)-ROW(AZ$15),0),
              ROUND(ROUND(OFFSET($P263,0,AZ$13),15-13*ORÇAMENTO!$AF$7)*OFFSET(ORÇAMENTO!$W$15,ROW(AZ263)-ROW(AZ$15),0),15-13*ORÇAMENTO!$AF$11)),
         0)</f>
        <v>0</v>
      </c>
      <c r="BA263" s="453">
        <f ca="1">IF(AND($D263="Serviço",BA$12&lt;&gt;0,$H263&gt;0,OR(AUTOEVENTO&lt;&gt;"manual",$M263&lt;&gt;$A$15)),
        IF(Import.TipoArredondamento&lt;&gt;"TransfereGOV",
              ROUND(OFFSET($P263,0,BA$13),15-13*ORÇAMENTO!$AF$7)/$H263*OFFSET(ORÇAMENTO!$X$15,ROW(BA263)-ROW(BA$15),0),
              ROUND(ROUND(OFFSET($P263,0,BA$13),15-13*ORÇAMENTO!$AF$7)*OFFSET(ORÇAMENTO!$W$15,ROW(BA263)-ROW(BA$15),0),15-13*ORÇAMENTO!$AF$11)),
         0)</f>
        <v>0</v>
      </c>
      <c r="BC263" s="171">
        <f ca="1">IF(OR($D263&lt;&gt;"Serviço",AND(AUTOEVENTO="Manual",$M263=$A$15)),0,
         IF(OFFSET(CRONOPLE!$F$15,$M263-$A$15,BC$13)=0,10^12,OFFSET(CRONOPLE!$F$15,$M263-$A$15,BC$13)))</f>
        <v>0</v>
      </c>
      <c r="BD263" s="171">
        <f ca="1">IF(OR($D263&lt;&gt;"Serviço",AND(AUTOEVENTO="Manual",$M263=$A$15)),0,
         IF(OFFSET(CRONOPLE!$F$15,$M263-$A$15,BD$13)=0,10^12,OFFSET(CRONOPLE!$F$15,$M263-$A$15,BD$13)))</f>
        <v>0</v>
      </c>
      <c r="BE263" s="171">
        <f ca="1">IF(OR($D263&lt;&gt;"Serviço",AND(AUTOEVENTO="Manual",$M263=$A$15)),0,
         IF(OFFSET(CRONOPLE!$F$15,$M263-$A$15,BE$13)=0,10^12,OFFSET(CRONOPLE!$F$15,$M263-$A$15,BE$13)))</f>
        <v>0</v>
      </c>
      <c r="BF263" s="171">
        <f ca="1">IF(OR($D263&lt;&gt;"Serviço",AND(AUTOEVENTO="Manual",$M263=$A$15)),0,
         IF(OFFSET(CRONOPLE!$F$15,$M263-$A$15,BF$13)=0,10^12,OFFSET(CRONOPLE!$F$15,$M263-$A$15,BF$13)))</f>
        <v>0</v>
      </c>
      <c r="BG263" s="171">
        <f ca="1">IF(OR($D263&lt;&gt;"Serviço",AND(AUTOEVENTO="Manual",$M263=$A$15)),0,
         IF(OFFSET(CRONOPLE!$F$15,$M263-$A$15,BG$13)=0,10^12,OFFSET(CRONOPLE!$F$15,$M263-$A$15,BG$13)))</f>
        <v>0</v>
      </c>
      <c r="BH263" s="171">
        <f ca="1">IF(OR($D263&lt;&gt;"Serviço",AND(AUTOEVENTO="Manual",$M263=$A$15)),0,
         IF(OFFSET(CRONOPLE!$F$15,$M263-$A$15,BH$13)=0,10^12,OFFSET(CRONOPLE!$F$15,$M263-$A$15,BH$13)))</f>
        <v>0</v>
      </c>
      <c r="BI263" s="171">
        <f ca="1">IF(OR($D263&lt;&gt;"Serviço",AND(AUTOEVENTO="Manual",$M263=$A$15)),0,
         IF(OFFSET(CRONOPLE!$F$15,$M263-$A$15,BI$13)=0,10^12,OFFSET(CRONOPLE!$F$15,$M263-$A$15,BI$13)))</f>
        <v>0</v>
      </c>
      <c r="BJ263" s="171">
        <f ca="1">IF(OR($D263&lt;&gt;"Serviço",AND(AUTOEVENTO="Manual",$M263=$A$15)),0,
         IF(OFFSET(CRONOPLE!$F$15,$M263-$A$15,BJ$13)=0,10^12,OFFSET(CRONOPLE!$F$15,$M263-$A$15,BJ$13)))</f>
        <v>0</v>
      </c>
      <c r="BK263" s="171">
        <f ca="1">IF(OR($D263&lt;&gt;"Serviço",AND(AUTOEVENTO="Manual",$M263=$A$15)),0,
         IF(OFFSET(CRONOPLE!$F$15,$M263-$A$15,BK$13)=0,10^12,OFFSET(CRONOPLE!$F$15,$M263-$A$15,BK$13)))</f>
        <v>0</v>
      </c>
      <c r="BL263" s="171">
        <f ca="1">IF(OR($D263&lt;&gt;"Serviço",AND(AUTOEVENTO="Manual",$M263=$A$15)),0,
         IF(OFFSET(CRONOPLE!$F$15,$M263-$A$15,BL$13)=0,10^12,OFFSET(CRONOPLE!$F$15,$M263-$A$15,BL$13)))</f>
        <v>0</v>
      </c>
      <c r="BM263" s="171">
        <f ca="1">IF(OR($D263&lt;&gt;"Serviço",AND(AUTOEVENTO="Manual",$M263=$A$15)),0,
         IF(OFFSET(CRONOPLE!$F$15,$M263-$A$15,BM$13)=0,10^12,OFFSET(CRONOPLE!$F$15,$M263-$A$15,BM$13)))</f>
        <v>0</v>
      </c>
      <c r="BN263" s="171">
        <f ca="1">IF(OR($D263&lt;&gt;"Serviço",AND(AUTOEVENTO="Manual",$M263=$A$15)),0,
         IF(OFFSET(CRONOPLE!$F$15,$M263-$A$15,BN$13)=0,10^12,OFFSET(CRONOPLE!$F$15,$M263-$A$15,BN$13)))</f>
        <v>0</v>
      </c>
      <c r="BO263" s="171">
        <f ca="1">IF(OR($D263&lt;&gt;"Serviço",AND(AUTOEVENTO="Manual",$M263=$A$15)),0,
         IF(OFFSET(CRONOPLE!$F$15,$M263-$A$15,BO$13)=0,10^12,OFFSET(CRONOPLE!$F$15,$M263-$A$15,BO$13)))</f>
        <v>0</v>
      </c>
      <c r="BP263" s="171">
        <f ca="1">IF(OR($D263&lt;&gt;"Serviço",AND(AUTOEVENTO="Manual",$M263=$A$15)),0,
         IF(OFFSET(CRONOPLE!$F$15,$M263-$A$15,BP$13)=0,10^12,OFFSET(CRONOPLE!$F$15,$M263-$A$15,BP$13)))</f>
        <v>0</v>
      </c>
      <c r="BQ263" s="171">
        <f ca="1">IF(OR($D263&lt;&gt;"Serviço",AND(AUTOEVENTO="Manual",$M263=$A$15)),0,
         IF(OFFSET(CRONOPLE!$F$15,$M263-$A$15,BQ$13)=0,10^12,OFFSET(CRONOPLE!$F$15,$M263-$A$15,BQ$13)))</f>
        <v>0</v>
      </c>
      <c r="BR263" s="171">
        <f ca="1">IF(OR($D263&lt;&gt;"Serviço",AND(AUTOEVENTO="Manual",$M263=$A$15)),0,
         IF(OFFSET(CRONOPLE!$F$15,$M263-$A$15,BR$13)=0,10^12,OFFSET(CRONOPLE!$F$15,$M263-$A$15,BR$13)))</f>
        <v>0</v>
      </c>
      <c r="BS263" s="171">
        <f ca="1">IF(OR($D263&lt;&gt;"Serviço",AND(AUTOEVENTO="Manual",$M263=$A$15)),0,
         IF(OFFSET(CRONOPLE!$F$15,$M263-$A$15,BS$13)=0,10^12,OFFSET(CRONOPLE!$F$15,$M263-$A$15,BS$13)))</f>
        <v>0</v>
      </c>
      <c r="BT263" s="171">
        <f ca="1">IF(OR($D263&lt;&gt;"Serviço",AND(AUTOEVENTO="Manual",$M263=$A$15)),0,
         IF(OFFSET(CRONOPLE!$F$15,$M263-$A$15,BT$13)=0,10^12,OFFSET(CRONOPLE!$F$15,$M263-$A$15,BT$13)))</f>
        <v>0</v>
      </c>
      <c r="BV263" s="172">
        <f ca="1">IF(OR($D263&lt;&gt;"Serviço",AND(AUTOEVENTO="Manual",$M263=$A$15),$M263&gt;(ROW(PLE.lastrow)-ROW(PLE.firstrow))),0,
           IF(OFFSET(PLE!$G$15,$M263-$A$15,BV$13)="",10^12,OFFSET(PLE!$G$15,$M263-$A$15,BV$13)))</f>
        <v>0</v>
      </c>
      <c r="BW263" s="172">
        <f ca="1">IF(OR($D263&lt;&gt;"Serviço",AND(AUTOEVENTO="Manual",$M263=$A$15),$M263&gt;(ROW(PLE.lastrow)-ROW(PLE.firstrow))),0,
           IF(OFFSET(PLE!$G$15,$M263-$A$15,BW$13)="",10^12,OFFSET(PLE!$G$15,$M263-$A$15,BW$13)))</f>
        <v>0</v>
      </c>
      <c r="BX263" s="172">
        <f ca="1">IF(OR($D263&lt;&gt;"Serviço",AND(AUTOEVENTO="Manual",$M263=$A$15),$M263&gt;(ROW(PLE.lastrow)-ROW(PLE.firstrow))),0,
           IF(OFFSET(PLE!$G$15,$M263-$A$15,BX$13)="",10^12,OFFSET(PLE!$G$15,$M263-$A$15,BX$13)))</f>
        <v>0</v>
      </c>
      <c r="BY263" s="172">
        <f ca="1">IF(OR($D263&lt;&gt;"Serviço",AND(AUTOEVENTO="Manual",$M263=$A$15),$M263&gt;(ROW(PLE.lastrow)-ROW(PLE.firstrow))),0,
           IF(OFFSET(PLE!$G$15,$M263-$A$15,BY$13)="",10^12,OFFSET(PLE!$G$15,$M263-$A$15,BY$13)))</f>
        <v>0</v>
      </c>
      <c r="BZ263" s="172">
        <f ca="1">IF(OR($D263&lt;&gt;"Serviço",AND(AUTOEVENTO="Manual",$M263=$A$15),$M263&gt;(ROW(PLE.lastrow)-ROW(PLE.firstrow))),0,
           IF(OFFSET(PLE!$G$15,$M263-$A$15,BZ$13)="",10^12,OFFSET(PLE!$G$15,$M263-$A$15,BZ$13)))</f>
        <v>0</v>
      </c>
      <c r="CA263" s="172">
        <f ca="1">IF(OR($D263&lt;&gt;"Serviço",AND(AUTOEVENTO="Manual",$M263=$A$15),$M263&gt;(ROW(PLE.lastrow)-ROW(PLE.firstrow))),0,
           IF(OFFSET(PLE!$G$15,$M263-$A$15,CA$13)="",10^12,OFFSET(PLE!$G$15,$M263-$A$15,CA$13)))</f>
        <v>0</v>
      </c>
      <c r="CB263" s="172">
        <f ca="1">IF(OR($D263&lt;&gt;"Serviço",AND(AUTOEVENTO="Manual",$M263=$A$15),$M263&gt;(ROW(PLE.lastrow)-ROW(PLE.firstrow))),0,
           IF(OFFSET(PLE!$G$15,$M263-$A$15,CB$13)="",10^12,OFFSET(PLE!$G$15,$M263-$A$15,CB$13)))</f>
        <v>0</v>
      </c>
      <c r="CC263" s="172">
        <f ca="1">IF(OR($D263&lt;&gt;"Serviço",AND(AUTOEVENTO="Manual",$M263=$A$15),$M263&gt;(ROW(PLE.lastrow)-ROW(PLE.firstrow))),0,
           IF(OFFSET(PLE!$G$15,$M263-$A$15,CC$13)="",10^12,OFFSET(PLE!$G$15,$M263-$A$15,CC$13)))</f>
        <v>0</v>
      </c>
      <c r="CD263" s="172">
        <f ca="1">IF(OR($D263&lt;&gt;"Serviço",AND(AUTOEVENTO="Manual",$M263=$A$15),$M263&gt;(ROW(PLE.lastrow)-ROW(PLE.firstrow))),0,
           IF(OFFSET(PLE!$G$15,$M263-$A$15,CD$13)="",10^12,OFFSET(PLE!$G$15,$M263-$A$15,CD$13)))</f>
        <v>0</v>
      </c>
      <c r="CE263" s="172">
        <f ca="1">IF(OR($D263&lt;&gt;"Serviço",AND(AUTOEVENTO="Manual",$M263=$A$15),$M263&gt;(ROW(PLE.lastrow)-ROW(PLE.firstrow))),0,
           IF(OFFSET(PLE!$G$15,$M263-$A$15,CE$13)="",10^12,OFFSET(PLE!$G$15,$M263-$A$15,CE$13)))</f>
        <v>0</v>
      </c>
      <c r="CF263" s="172">
        <f ca="1">IF(OR($D263&lt;&gt;"Serviço",AND(AUTOEVENTO="Manual",$M263=$A$15),$M263&gt;(ROW(PLE.lastrow)-ROW(PLE.firstrow))),0,
           IF(OFFSET(PLE!$G$15,$M263-$A$15,CF$13)="",10^12,OFFSET(PLE!$G$15,$M263-$A$15,CF$13)))</f>
        <v>0</v>
      </c>
      <c r="CG263" s="172">
        <f ca="1">IF(OR($D263&lt;&gt;"Serviço",AND(AUTOEVENTO="Manual",$M263=$A$15),$M263&gt;(ROW(PLE.lastrow)-ROW(PLE.firstrow))),0,
           IF(OFFSET(PLE!$G$15,$M263-$A$15,CG$13)="",10^12,OFFSET(PLE!$G$15,$M263-$A$15,CG$13)))</f>
        <v>0</v>
      </c>
      <c r="CH263" s="172">
        <f ca="1">IF(OR($D263&lt;&gt;"Serviço",AND(AUTOEVENTO="Manual",$M263=$A$15),$M263&gt;(ROW(PLE.lastrow)-ROW(PLE.firstrow))),0,
           IF(OFFSET(PLE!$G$15,$M263-$A$15,CH$13)="",10^12,OFFSET(PLE!$G$15,$M263-$A$15,CH$13)))</f>
        <v>0</v>
      </c>
      <c r="CI263" s="172">
        <f ca="1">IF(OR($D263&lt;&gt;"Serviço",AND(AUTOEVENTO="Manual",$M263=$A$15),$M263&gt;(ROW(PLE.lastrow)-ROW(PLE.firstrow))),0,
           IF(OFFSET(PLE!$G$15,$M263-$A$15,CI$13)="",10^12,OFFSET(PLE!$G$15,$M263-$A$15,CI$13)))</f>
        <v>0</v>
      </c>
      <c r="CJ263" s="172">
        <f ca="1">IF(OR($D263&lt;&gt;"Serviço",AND(AUTOEVENTO="Manual",$M263=$A$15),$M263&gt;(ROW(PLE.lastrow)-ROW(PLE.firstrow))),0,
           IF(OFFSET(PLE!$G$15,$M263-$A$15,CJ$13)="",10^12,OFFSET(PLE!$G$15,$M263-$A$15,CJ$13)))</f>
        <v>0</v>
      </c>
      <c r="CK263" s="172">
        <f ca="1">IF(OR($D263&lt;&gt;"Serviço",AND(AUTOEVENTO="Manual",$M263=$A$15),$M263&gt;(ROW(PLE.lastrow)-ROW(PLE.firstrow))),0,
           IF(OFFSET(PLE!$G$15,$M263-$A$15,CK$13)="",10^12,OFFSET(PLE!$G$15,$M263-$A$15,CK$13)))</f>
        <v>0</v>
      </c>
      <c r="CL263" s="172">
        <f ca="1">IF(OR($D263&lt;&gt;"Serviço",AND(AUTOEVENTO="Manual",$M263=$A$15),$M263&gt;(ROW(PLE.lastrow)-ROW(PLE.firstrow))),0,
           IF(OFFSET(PLE!$G$15,$M263-$A$15,CL$13)="",10^12,OFFSET(PLE!$G$15,$M263-$A$15,CL$13)))</f>
        <v>0</v>
      </c>
      <c r="CM263" s="172">
        <f ca="1">IF(OR($D263&lt;&gt;"Serviço",AND(AUTOEVENTO="Manual",$M263=$A$15),$M263&gt;(ROW(PLE.lastrow)-ROW(PLE.firstrow))),0,
           IF(OFFSET(PLE!$G$15,$M263-$A$15,CM$13)="",10^12,OFFSET(PLE!$G$15,$M263-$A$15,CM$13)))</f>
        <v>0</v>
      </c>
    </row>
    <row r="264" spans="1:91" ht="12.75" x14ac:dyDescent="0.2">
      <c r="A264" s="7">
        <f t="shared" ca="1" si="13"/>
        <v>7</v>
      </c>
      <c r="B264" s="7">
        <f ca="1">OFFSET(ORÇAMENTO!C$15,ROW(B264)-ROW(B$15),0)</f>
        <v>4</v>
      </c>
      <c r="C264" s="7" t="str">
        <f ca="1">OFFSET(ORÇAMENTO!L$15,ROW(C264)-ROW(C$15),0)</f>
        <v>F</v>
      </c>
      <c r="D264" s="116" t="str">
        <f ca="1">OFFSET(ORÇAMENTO!N$15,ROW(D264)-ROW(D$15),0)</f>
        <v>Nível 4</v>
      </c>
      <c r="E264" s="117" t="str">
        <f ca="1">OFFSET(ORÇAMENTO!O$15,ROW(E264)-ROW(E$15),0)</f>
        <v>1.7.2.1.</v>
      </c>
      <c r="F264" s="163" t="str">
        <f ca="1">OFFSET(ORÇAMENTO!R$15,ROW(F264)-ROW(F$15),0)</f>
        <v>FORNECIMENTO DE MATERIAIS E EQUIPAMENTOS</v>
      </c>
      <c r="G264" s="164" t="str">
        <f ca="1">IF($D264&lt;&gt;"Serviço","",OFFSET(ORÇAMENTO!S$15,ROW(G264)-ROW(G$15),0))</f>
        <v/>
      </c>
      <c r="H264" s="122" cm="1">
        <f t="array" aca="1" ref="H264" ca="1">IF($D264&lt;&gt;"Serviço",0,IF(ACOMPANHAMENTO="BM",ROUND(OFFSET(ORÇAMENTO!AJ$15,ROW(H264)-ROW(H$15),0),15-13*ORÇAMENTO!$AF$7),SUMPRODUCT(($Q$1:$AI$1=1)*ROUND($Q264:$AI264,15-13*ORÇAMENTO!$AF$7))))</f>
        <v>0</v>
      </c>
      <c r="I264" s="468"/>
      <c r="J264" s="640" t="str" cm="1">
        <f t="array" aca="1" ref="J264" ca="1">IF(OR(B264&lt;&gt;"S",CÁLCULO.FrentesPreenchidas=0),"",IF(AND(ACOMPANHAMENTO="PLE",AUTOEVENTO="Manual",OR(H264&gt;0,ORÇAMENTO!AC264="QUANT."),OR(K264="",M264=0,N264="")),"►E",IF(AND(ACOMPANHAMENTO="PLE",ORÇAMENTO!AC264="QUANT."),"►Q",IF(AND(ACOMPANHAMENTO="PLE",H264&lt;&gt;SUMPRODUCT(($Q$1:$AI$1=1)*ROUND(Q264:AI264,15))),"►S",IF(AND(COUNTIF($P$11:$AI$11,"▼")=0,H264&gt;0,I264=""),"◄M","")))))</f>
        <v/>
      </c>
      <c r="K264" s="641" t="s">
        <v>1365</v>
      </c>
      <c r="L264" s="165" t="s">
        <v>764</v>
      </c>
      <c r="M264" s="166" t="str">
        <f ca="1">IF($D264&lt;&gt;"Serviço","",
          IF(AUTOEVENTO="manual",$A264,
                IF(ISERROR(MATCH($A264,$A$15:OFFSET($A264,-1,0),0)),MAX($M$15:OFFSET(M264,-1,0))+1,
                      INDEX($M$15:OFFSET(M264,-1,0),MATCH($A264,$A$15:OFFSET($A264,-1,0),0)))))</f>
        <v/>
      </c>
      <c r="N264" s="167" t="str">
        <f ca="1">IF($D264&lt;&gt;"Serviço","",
         IF(AUTOEVENTO="Manual",
                IF($A264=0,"&lt;-- defina o número do agrupador",
                       OFFSET(EVENTOS!$D$15,$A264-$A$15,0)),
                OFFSET($F$15,$A264,0)))</f>
        <v/>
      </c>
      <c r="O264" s="168"/>
      <c r="Q264" s="168"/>
      <c r="R264" s="169"/>
      <c r="S264" s="169"/>
      <c r="T264" s="169"/>
      <c r="U264" s="169"/>
      <c r="V264" s="169"/>
      <c r="W264" s="169"/>
      <c r="X264" s="169"/>
      <c r="Y264" s="169"/>
      <c r="Z264" s="170"/>
      <c r="AA264" s="169"/>
      <c r="AB264" s="169"/>
      <c r="AC264" s="169"/>
      <c r="AD264" s="169"/>
      <c r="AE264" s="169"/>
      <c r="AF264" s="169"/>
      <c r="AG264" s="169"/>
      <c r="AH264" s="170"/>
      <c r="AJ264" s="453">
        <f ca="1">IF(AND($D264="Serviço",AJ$12&lt;&gt;0,$H264&gt;0,OR(AUTOEVENTO&lt;&gt;"manual",$M264&lt;&gt;$A$15)),
        IF(Import.TipoArredondamento&lt;&gt;"TransfereGOV",
              ROUND(OFFSET($P264,0,AJ$13),15-13*ORÇAMENTO!$AF$7)/$H264*OFFSET(ORÇAMENTO!$X$15,ROW(AJ264)-ROW(AJ$15),0),
              ROUND(ROUND(OFFSET($P264,0,AJ$13),15-13*ORÇAMENTO!$AF$7)*OFFSET(ORÇAMENTO!$W$15,ROW(AJ264)-ROW(AJ$15),0),15-13*ORÇAMENTO!$AF$11)),
         0)</f>
        <v>0</v>
      </c>
      <c r="AK264" s="453">
        <f ca="1">IF(AND($D264="Serviço",AK$12&lt;&gt;0,$H264&gt;0,OR(AUTOEVENTO&lt;&gt;"manual",$M264&lt;&gt;$A$15)),
        IF(Import.TipoArredondamento&lt;&gt;"TransfereGOV",
              ROUND(OFFSET($P264,0,AK$13),15-13*ORÇAMENTO!$AF$7)/$H264*OFFSET(ORÇAMENTO!$X$15,ROW(AK264)-ROW(AK$15),0),
              ROUND(ROUND(OFFSET($P264,0,AK$13),15-13*ORÇAMENTO!$AF$7)*OFFSET(ORÇAMENTO!$W$15,ROW(AK264)-ROW(AK$15),0),15-13*ORÇAMENTO!$AF$11)),
         0)</f>
        <v>0</v>
      </c>
      <c r="AL264" s="453">
        <f ca="1">IF(AND($D264="Serviço",AL$12&lt;&gt;0,$H264&gt;0,OR(AUTOEVENTO&lt;&gt;"manual",$M264&lt;&gt;$A$15)),
        IF(Import.TipoArredondamento&lt;&gt;"TransfereGOV",
              ROUND(OFFSET($P264,0,AL$13),15-13*ORÇAMENTO!$AF$7)/$H264*OFFSET(ORÇAMENTO!$X$15,ROW(AL264)-ROW(AL$15),0),
              ROUND(ROUND(OFFSET($P264,0,AL$13),15-13*ORÇAMENTO!$AF$7)*OFFSET(ORÇAMENTO!$W$15,ROW(AL264)-ROW(AL$15),0),15-13*ORÇAMENTO!$AF$11)),
         0)</f>
        <v>0</v>
      </c>
      <c r="AM264" s="453">
        <f ca="1">IF(AND($D264="Serviço",AM$12&lt;&gt;0,$H264&gt;0,OR(AUTOEVENTO&lt;&gt;"manual",$M264&lt;&gt;$A$15)),
        IF(Import.TipoArredondamento&lt;&gt;"TransfereGOV",
              ROUND(OFFSET($P264,0,AM$13),15-13*ORÇAMENTO!$AF$7)/$H264*OFFSET(ORÇAMENTO!$X$15,ROW(AM264)-ROW(AM$15),0),
              ROUND(ROUND(OFFSET($P264,0,AM$13),15-13*ORÇAMENTO!$AF$7)*OFFSET(ORÇAMENTO!$W$15,ROW(AM264)-ROW(AM$15),0),15-13*ORÇAMENTO!$AF$11)),
         0)</f>
        <v>0</v>
      </c>
      <c r="AN264" s="453">
        <f ca="1">IF(AND($D264="Serviço",AN$12&lt;&gt;0,$H264&gt;0,OR(AUTOEVENTO&lt;&gt;"manual",$M264&lt;&gt;$A$15)),
        IF(Import.TipoArredondamento&lt;&gt;"TransfereGOV",
              ROUND(OFFSET($P264,0,AN$13),15-13*ORÇAMENTO!$AF$7)/$H264*OFFSET(ORÇAMENTO!$X$15,ROW(AN264)-ROW(AN$15),0),
              ROUND(ROUND(OFFSET($P264,0,AN$13),15-13*ORÇAMENTO!$AF$7)*OFFSET(ORÇAMENTO!$W$15,ROW(AN264)-ROW(AN$15),0),15-13*ORÇAMENTO!$AF$11)),
         0)</f>
        <v>0</v>
      </c>
      <c r="AO264" s="453">
        <f ca="1">IF(AND($D264="Serviço",AO$12&lt;&gt;0,$H264&gt;0,OR(AUTOEVENTO&lt;&gt;"manual",$M264&lt;&gt;$A$15)),
        IF(Import.TipoArredondamento&lt;&gt;"TransfereGOV",
              ROUND(OFFSET($P264,0,AO$13),15-13*ORÇAMENTO!$AF$7)/$H264*OFFSET(ORÇAMENTO!$X$15,ROW(AO264)-ROW(AO$15),0),
              ROUND(ROUND(OFFSET($P264,0,AO$13),15-13*ORÇAMENTO!$AF$7)*OFFSET(ORÇAMENTO!$W$15,ROW(AO264)-ROW(AO$15),0),15-13*ORÇAMENTO!$AF$11)),
         0)</f>
        <v>0</v>
      </c>
      <c r="AP264" s="453">
        <f ca="1">IF(AND($D264="Serviço",AP$12&lt;&gt;0,$H264&gt;0,OR(AUTOEVENTO&lt;&gt;"manual",$M264&lt;&gt;$A$15)),
        IF(Import.TipoArredondamento&lt;&gt;"TransfereGOV",
              ROUND(OFFSET($P264,0,AP$13),15-13*ORÇAMENTO!$AF$7)/$H264*OFFSET(ORÇAMENTO!$X$15,ROW(AP264)-ROW(AP$15),0),
              ROUND(ROUND(OFFSET($P264,0,AP$13),15-13*ORÇAMENTO!$AF$7)*OFFSET(ORÇAMENTO!$W$15,ROW(AP264)-ROW(AP$15),0),15-13*ORÇAMENTO!$AF$11)),
         0)</f>
        <v>0</v>
      </c>
      <c r="AQ264" s="453">
        <f ca="1">IF(AND($D264="Serviço",AQ$12&lt;&gt;0,$H264&gt;0,OR(AUTOEVENTO&lt;&gt;"manual",$M264&lt;&gt;$A$15)),
        IF(Import.TipoArredondamento&lt;&gt;"TransfereGOV",
              ROUND(OFFSET($P264,0,AQ$13),15-13*ORÇAMENTO!$AF$7)/$H264*OFFSET(ORÇAMENTO!$X$15,ROW(AQ264)-ROW(AQ$15),0),
              ROUND(ROUND(OFFSET($P264,0,AQ$13),15-13*ORÇAMENTO!$AF$7)*OFFSET(ORÇAMENTO!$W$15,ROW(AQ264)-ROW(AQ$15),0),15-13*ORÇAMENTO!$AF$11)),
         0)</f>
        <v>0</v>
      </c>
      <c r="AR264" s="453">
        <f ca="1">IF(AND($D264="Serviço",AR$12&lt;&gt;0,$H264&gt;0,OR(AUTOEVENTO&lt;&gt;"manual",$M264&lt;&gt;$A$15)),
        IF(Import.TipoArredondamento&lt;&gt;"TransfereGOV",
              ROUND(OFFSET($P264,0,AR$13),15-13*ORÇAMENTO!$AF$7)/$H264*OFFSET(ORÇAMENTO!$X$15,ROW(AR264)-ROW(AR$15),0),
              ROUND(ROUND(OFFSET($P264,0,AR$13),15-13*ORÇAMENTO!$AF$7)*OFFSET(ORÇAMENTO!$W$15,ROW(AR264)-ROW(AR$15),0),15-13*ORÇAMENTO!$AF$11)),
         0)</f>
        <v>0</v>
      </c>
      <c r="AS264" s="453">
        <f ca="1">IF(AND($D264="Serviço",AS$12&lt;&gt;0,$H264&gt;0,OR(AUTOEVENTO&lt;&gt;"manual",$M264&lt;&gt;$A$15)),
        IF(Import.TipoArredondamento&lt;&gt;"TransfereGOV",
              ROUND(OFFSET($P264,0,AS$13),15-13*ORÇAMENTO!$AF$7)/$H264*OFFSET(ORÇAMENTO!$X$15,ROW(AS264)-ROW(AS$15),0),
              ROUND(ROUND(OFFSET($P264,0,AS$13),15-13*ORÇAMENTO!$AF$7)*OFFSET(ORÇAMENTO!$W$15,ROW(AS264)-ROW(AS$15),0),15-13*ORÇAMENTO!$AF$11)),
         0)</f>
        <v>0</v>
      </c>
      <c r="AT264" s="453">
        <f ca="1">IF(AND($D264="Serviço",AT$12&lt;&gt;0,$H264&gt;0,OR(AUTOEVENTO&lt;&gt;"manual",$M264&lt;&gt;$A$15)),
        IF(Import.TipoArredondamento&lt;&gt;"TransfereGOV",
              ROUND(OFFSET($P264,0,AT$13),15-13*ORÇAMENTO!$AF$7)/$H264*OFFSET(ORÇAMENTO!$X$15,ROW(AT264)-ROW(AT$15),0),
              ROUND(ROUND(OFFSET($P264,0,AT$13),15-13*ORÇAMENTO!$AF$7)*OFFSET(ORÇAMENTO!$W$15,ROW(AT264)-ROW(AT$15),0),15-13*ORÇAMENTO!$AF$11)),
         0)</f>
        <v>0</v>
      </c>
      <c r="AU264" s="453">
        <f ca="1">IF(AND($D264="Serviço",AU$12&lt;&gt;0,$H264&gt;0,OR(AUTOEVENTO&lt;&gt;"manual",$M264&lt;&gt;$A$15)),
        IF(Import.TipoArredondamento&lt;&gt;"TransfereGOV",
              ROUND(OFFSET($P264,0,AU$13),15-13*ORÇAMENTO!$AF$7)/$H264*OFFSET(ORÇAMENTO!$X$15,ROW(AU264)-ROW(AU$15),0),
              ROUND(ROUND(OFFSET($P264,0,AU$13),15-13*ORÇAMENTO!$AF$7)*OFFSET(ORÇAMENTO!$W$15,ROW(AU264)-ROW(AU$15),0),15-13*ORÇAMENTO!$AF$11)),
         0)</f>
        <v>0</v>
      </c>
      <c r="AV264" s="453">
        <f ca="1">IF(AND($D264="Serviço",AV$12&lt;&gt;0,$H264&gt;0,OR(AUTOEVENTO&lt;&gt;"manual",$M264&lt;&gt;$A$15)),
        IF(Import.TipoArredondamento&lt;&gt;"TransfereGOV",
              ROUND(OFFSET($P264,0,AV$13),15-13*ORÇAMENTO!$AF$7)/$H264*OFFSET(ORÇAMENTO!$X$15,ROW(AV264)-ROW(AV$15),0),
              ROUND(ROUND(OFFSET($P264,0,AV$13),15-13*ORÇAMENTO!$AF$7)*OFFSET(ORÇAMENTO!$W$15,ROW(AV264)-ROW(AV$15),0),15-13*ORÇAMENTO!$AF$11)),
         0)</f>
        <v>0</v>
      </c>
      <c r="AW264" s="453">
        <f ca="1">IF(AND($D264="Serviço",AW$12&lt;&gt;0,$H264&gt;0,OR(AUTOEVENTO&lt;&gt;"manual",$M264&lt;&gt;$A$15)),
        IF(Import.TipoArredondamento&lt;&gt;"TransfereGOV",
              ROUND(OFFSET($P264,0,AW$13),15-13*ORÇAMENTO!$AF$7)/$H264*OFFSET(ORÇAMENTO!$X$15,ROW(AW264)-ROW(AW$15),0),
              ROUND(ROUND(OFFSET($P264,0,AW$13),15-13*ORÇAMENTO!$AF$7)*OFFSET(ORÇAMENTO!$W$15,ROW(AW264)-ROW(AW$15),0),15-13*ORÇAMENTO!$AF$11)),
         0)</f>
        <v>0</v>
      </c>
      <c r="AX264" s="453">
        <f ca="1">IF(AND($D264="Serviço",AX$12&lt;&gt;0,$H264&gt;0,OR(AUTOEVENTO&lt;&gt;"manual",$M264&lt;&gt;$A$15)),
        IF(Import.TipoArredondamento&lt;&gt;"TransfereGOV",
              ROUND(OFFSET($P264,0,AX$13),15-13*ORÇAMENTO!$AF$7)/$H264*OFFSET(ORÇAMENTO!$X$15,ROW(AX264)-ROW(AX$15),0),
              ROUND(ROUND(OFFSET($P264,0,AX$13),15-13*ORÇAMENTO!$AF$7)*OFFSET(ORÇAMENTO!$W$15,ROW(AX264)-ROW(AX$15),0),15-13*ORÇAMENTO!$AF$11)),
         0)</f>
        <v>0</v>
      </c>
      <c r="AY264" s="453">
        <f ca="1">IF(AND($D264="Serviço",AY$12&lt;&gt;0,$H264&gt;0,OR(AUTOEVENTO&lt;&gt;"manual",$M264&lt;&gt;$A$15)),
        IF(Import.TipoArredondamento&lt;&gt;"TransfereGOV",
              ROUND(OFFSET($P264,0,AY$13),15-13*ORÇAMENTO!$AF$7)/$H264*OFFSET(ORÇAMENTO!$X$15,ROW(AY264)-ROW(AY$15),0),
              ROUND(ROUND(OFFSET($P264,0,AY$13),15-13*ORÇAMENTO!$AF$7)*OFFSET(ORÇAMENTO!$W$15,ROW(AY264)-ROW(AY$15),0),15-13*ORÇAMENTO!$AF$11)),
         0)</f>
        <v>0</v>
      </c>
      <c r="AZ264" s="453">
        <f ca="1">IF(AND($D264="Serviço",AZ$12&lt;&gt;0,$H264&gt;0,OR(AUTOEVENTO&lt;&gt;"manual",$M264&lt;&gt;$A$15)),
        IF(Import.TipoArredondamento&lt;&gt;"TransfereGOV",
              ROUND(OFFSET($P264,0,AZ$13),15-13*ORÇAMENTO!$AF$7)/$H264*OFFSET(ORÇAMENTO!$X$15,ROW(AZ264)-ROW(AZ$15),0),
              ROUND(ROUND(OFFSET($P264,0,AZ$13),15-13*ORÇAMENTO!$AF$7)*OFFSET(ORÇAMENTO!$W$15,ROW(AZ264)-ROW(AZ$15),0),15-13*ORÇAMENTO!$AF$11)),
         0)</f>
        <v>0</v>
      </c>
      <c r="BA264" s="453">
        <f ca="1">IF(AND($D264="Serviço",BA$12&lt;&gt;0,$H264&gt;0,OR(AUTOEVENTO&lt;&gt;"manual",$M264&lt;&gt;$A$15)),
        IF(Import.TipoArredondamento&lt;&gt;"TransfereGOV",
              ROUND(OFFSET($P264,0,BA$13),15-13*ORÇAMENTO!$AF$7)/$H264*OFFSET(ORÇAMENTO!$X$15,ROW(BA264)-ROW(BA$15),0),
              ROUND(ROUND(OFFSET($P264,0,BA$13),15-13*ORÇAMENTO!$AF$7)*OFFSET(ORÇAMENTO!$W$15,ROW(BA264)-ROW(BA$15),0),15-13*ORÇAMENTO!$AF$11)),
         0)</f>
        <v>0</v>
      </c>
      <c r="BC264" s="171">
        <f ca="1">IF(OR($D264&lt;&gt;"Serviço",AND(AUTOEVENTO="Manual",$M264=$A$15)),0,
         IF(OFFSET(CRONOPLE!$F$15,$M264-$A$15,BC$13)=0,10^12,OFFSET(CRONOPLE!$F$15,$M264-$A$15,BC$13)))</f>
        <v>0</v>
      </c>
      <c r="BD264" s="171">
        <f ca="1">IF(OR($D264&lt;&gt;"Serviço",AND(AUTOEVENTO="Manual",$M264=$A$15)),0,
         IF(OFFSET(CRONOPLE!$F$15,$M264-$A$15,BD$13)=0,10^12,OFFSET(CRONOPLE!$F$15,$M264-$A$15,BD$13)))</f>
        <v>0</v>
      </c>
      <c r="BE264" s="171">
        <f ca="1">IF(OR($D264&lt;&gt;"Serviço",AND(AUTOEVENTO="Manual",$M264=$A$15)),0,
         IF(OFFSET(CRONOPLE!$F$15,$M264-$A$15,BE$13)=0,10^12,OFFSET(CRONOPLE!$F$15,$M264-$A$15,BE$13)))</f>
        <v>0</v>
      </c>
      <c r="BF264" s="171">
        <f ca="1">IF(OR($D264&lt;&gt;"Serviço",AND(AUTOEVENTO="Manual",$M264=$A$15)),0,
         IF(OFFSET(CRONOPLE!$F$15,$M264-$A$15,BF$13)=0,10^12,OFFSET(CRONOPLE!$F$15,$M264-$A$15,BF$13)))</f>
        <v>0</v>
      </c>
      <c r="BG264" s="171">
        <f ca="1">IF(OR($D264&lt;&gt;"Serviço",AND(AUTOEVENTO="Manual",$M264=$A$15)),0,
         IF(OFFSET(CRONOPLE!$F$15,$M264-$A$15,BG$13)=0,10^12,OFFSET(CRONOPLE!$F$15,$M264-$A$15,BG$13)))</f>
        <v>0</v>
      </c>
      <c r="BH264" s="171">
        <f ca="1">IF(OR($D264&lt;&gt;"Serviço",AND(AUTOEVENTO="Manual",$M264=$A$15)),0,
         IF(OFFSET(CRONOPLE!$F$15,$M264-$A$15,BH$13)=0,10^12,OFFSET(CRONOPLE!$F$15,$M264-$A$15,BH$13)))</f>
        <v>0</v>
      </c>
      <c r="BI264" s="171">
        <f ca="1">IF(OR($D264&lt;&gt;"Serviço",AND(AUTOEVENTO="Manual",$M264=$A$15)),0,
         IF(OFFSET(CRONOPLE!$F$15,$M264-$A$15,BI$13)=0,10^12,OFFSET(CRONOPLE!$F$15,$M264-$A$15,BI$13)))</f>
        <v>0</v>
      </c>
      <c r="BJ264" s="171">
        <f ca="1">IF(OR($D264&lt;&gt;"Serviço",AND(AUTOEVENTO="Manual",$M264=$A$15)),0,
         IF(OFFSET(CRONOPLE!$F$15,$M264-$A$15,BJ$13)=0,10^12,OFFSET(CRONOPLE!$F$15,$M264-$A$15,BJ$13)))</f>
        <v>0</v>
      </c>
      <c r="BK264" s="171">
        <f ca="1">IF(OR($D264&lt;&gt;"Serviço",AND(AUTOEVENTO="Manual",$M264=$A$15)),0,
         IF(OFFSET(CRONOPLE!$F$15,$M264-$A$15,BK$13)=0,10^12,OFFSET(CRONOPLE!$F$15,$M264-$A$15,BK$13)))</f>
        <v>0</v>
      </c>
      <c r="BL264" s="171">
        <f ca="1">IF(OR($D264&lt;&gt;"Serviço",AND(AUTOEVENTO="Manual",$M264=$A$15)),0,
         IF(OFFSET(CRONOPLE!$F$15,$M264-$A$15,BL$13)=0,10^12,OFFSET(CRONOPLE!$F$15,$M264-$A$15,BL$13)))</f>
        <v>0</v>
      </c>
      <c r="BM264" s="171">
        <f ca="1">IF(OR($D264&lt;&gt;"Serviço",AND(AUTOEVENTO="Manual",$M264=$A$15)),0,
         IF(OFFSET(CRONOPLE!$F$15,$M264-$A$15,BM$13)=0,10^12,OFFSET(CRONOPLE!$F$15,$M264-$A$15,BM$13)))</f>
        <v>0</v>
      </c>
      <c r="BN264" s="171">
        <f ca="1">IF(OR($D264&lt;&gt;"Serviço",AND(AUTOEVENTO="Manual",$M264=$A$15)),0,
         IF(OFFSET(CRONOPLE!$F$15,$M264-$A$15,BN$13)=0,10^12,OFFSET(CRONOPLE!$F$15,$M264-$A$15,BN$13)))</f>
        <v>0</v>
      </c>
      <c r="BO264" s="171">
        <f ca="1">IF(OR($D264&lt;&gt;"Serviço",AND(AUTOEVENTO="Manual",$M264=$A$15)),0,
         IF(OFFSET(CRONOPLE!$F$15,$M264-$A$15,BO$13)=0,10^12,OFFSET(CRONOPLE!$F$15,$M264-$A$15,BO$13)))</f>
        <v>0</v>
      </c>
      <c r="BP264" s="171">
        <f ca="1">IF(OR($D264&lt;&gt;"Serviço",AND(AUTOEVENTO="Manual",$M264=$A$15)),0,
         IF(OFFSET(CRONOPLE!$F$15,$M264-$A$15,BP$13)=0,10^12,OFFSET(CRONOPLE!$F$15,$M264-$A$15,BP$13)))</f>
        <v>0</v>
      </c>
      <c r="BQ264" s="171">
        <f ca="1">IF(OR($D264&lt;&gt;"Serviço",AND(AUTOEVENTO="Manual",$M264=$A$15)),0,
         IF(OFFSET(CRONOPLE!$F$15,$M264-$A$15,BQ$13)=0,10^12,OFFSET(CRONOPLE!$F$15,$M264-$A$15,BQ$13)))</f>
        <v>0</v>
      </c>
      <c r="BR264" s="171">
        <f ca="1">IF(OR($D264&lt;&gt;"Serviço",AND(AUTOEVENTO="Manual",$M264=$A$15)),0,
         IF(OFFSET(CRONOPLE!$F$15,$M264-$A$15,BR$13)=0,10^12,OFFSET(CRONOPLE!$F$15,$M264-$A$15,BR$13)))</f>
        <v>0</v>
      </c>
      <c r="BS264" s="171">
        <f ca="1">IF(OR($D264&lt;&gt;"Serviço",AND(AUTOEVENTO="Manual",$M264=$A$15)),0,
         IF(OFFSET(CRONOPLE!$F$15,$M264-$A$15,BS$13)=0,10^12,OFFSET(CRONOPLE!$F$15,$M264-$A$15,BS$13)))</f>
        <v>0</v>
      </c>
      <c r="BT264" s="171">
        <f ca="1">IF(OR($D264&lt;&gt;"Serviço",AND(AUTOEVENTO="Manual",$M264=$A$15)),0,
         IF(OFFSET(CRONOPLE!$F$15,$M264-$A$15,BT$13)=0,10^12,OFFSET(CRONOPLE!$F$15,$M264-$A$15,BT$13)))</f>
        <v>0</v>
      </c>
      <c r="BV264" s="172">
        <f ca="1">IF(OR($D264&lt;&gt;"Serviço",AND(AUTOEVENTO="Manual",$M264=$A$15),$M264&gt;(ROW(PLE.lastrow)-ROW(PLE.firstrow))),0,
           IF(OFFSET(PLE!$G$15,$M264-$A$15,BV$13)="",10^12,OFFSET(PLE!$G$15,$M264-$A$15,BV$13)))</f>
        <v>0</v>
      </c>
      <c r="BW264" s="172">
        <f ca="1">IF(OR($D264&lt;&gt;"Serviço",AND(AUTOEVENTO="Manual",$M264=$A$15),$M264&gt;(ROW(PLE.lastrow)-ROW(PLE.firstrow))),0,
           IF(OFFSET(PLE!$G$15,$M264-$A$15,BW$13)="",10^12,OFFSET(PLE!$G$15,$M264-$A$15,BW$13)))</f>
        <v>0</v>
      </c>
      <c r="BX264" s="172">
        <f ca="1">IF(OR($D264&lt;&gt;"Serviço",AND(AUTOEVENTO="Manual",$M264=$A$15),$M264&gt;(ROW(PLE.lastrow)-ROW(PLE.firstrow))),0,
           IF(OFFSET(PLE!$G$15,$M264-$A$15,BX$13)="",10^12,OFFSET(PLE!$G$15,$M264-$A$15,BX$13)))</f>
        <v>0</v>
      </c>
      <c r="BY264" s="172">
        <f ca="1">IF(OR($D264&lt;&gt;"Serviço",AND(AUTOEVENTO="Manual",$M264=$A$15),$M264&gt;(ROW(PLE.lastrow)-ROW(PLE.firstrow))),0,
           IF(OFFSET(PLE!$G$15,$M264-$A$15,BY$13)="",10^12,OFFSET(PLE!$G$15,$M264-$A$15,BY$13)))</f>
        <v>0</v>
      </c>
      <c r="BZ264" s="172">
        <f ca="1">IF(OR($D264&lt;&gt;"Serviço",AND(AUTOEVENTO="Manual",$M264=$A$15),$M264&gt;(ROW(PLE.lastrow)-ROW(PLE.firstrow))),0,
           IF(OFFSET(PLE!$G$15,$M264-$A$15,BZ$13)="",10^12,OFFSET(PLE!$G$15,$M264-$A$15,BZ$13)))</f>
        <v>0</v>
      </c>
      <c r="CA264" s="172">
        <f ca="1">IF(OR($D264&lt;&gt;"Serviço",AND(AUTOEVENTO="Manual",$M264=$A$15),$M264&gt;(ROW(PLE.lastrow)-ROW(PLE.firstrow))),0,
           IF(OFFSET(PLE!$G$15,$M264-$A$15,CA$13)="",10^12,OFFSET(PLE!$G$15,$M264-$A$15,CA$13)))</f>
        <v>0</v>
      </c>
      <c r="CB264" s="172">
        <f ca="1">IF(OR($D264&lt;&gt;"Serviço",AND(AUTOEVENTO="Manual",$M264=$A$15),$M264&gt;(ROW(PLE.lastrow)-ROW(PLE.firstrow))),0,
           IF(OFFSET(PLE!$G$15,$M264-$A$15,CB$13)="",10^12,OFFSET(PLE!$G$15,$M264-$A$15,CB$13)))</f>
        <v>0</v>
      </c>
      <c r="CC264" s="172">
        <f ca="1">IF(OR($D264&lt;&gt;"Serviço",AND(AUTOEVENTO="Manual",$M264=$A$15),$M264&gt;(ROW(PLE.lastrow)-ROW(PLE.firstrow))),0,
           IF(OFFSET(PLE!$G$15,$M264-$A$15,CC$13)="",10^12,OFFSET(PLE!$G$15,$M264-$A$15,CC$13)))</f>
        <v>0</v>
      </c>
      <c r="CD264" s="172">
        <f ca="1">IF(OR($D264&lt;&gt;"Serviço",AND(AUTOEVENTO="Manual",$M264=$A$15),$M264&gt;(ROW(PLE.lastrow)-ROW(PLE.firstrow))),0,
           IF(OFFSET(PLE!$G$15,$M264-$A$15,CD$13)="",10^12,OFFSET(PLE!$G$15,$M264-$A$15,CD$13)))</f>
        <v>0</v>
      </c>
      <c r="CE264" s="172">
        <f ca="1">IF(OR($D264&lt;&gt;"Serviço",AND(AUTOEVENTO="Manual",$M264=$A$15),$M264&gt;(ROW(PLE.lastrow)-ROW(PLE.firstrow))),0,
           IF(OFFSET(PLE!$G$15,$M264-$A$15,CE$13)="",10^12,OFFSET(PLE!$G$15,$M264-$A$15,CE$13)))</f>
        <v>0</v>
      </c>
      <c r="CF264" s="172">
        <f ca="1">IF(OR($D264&lt;&gt;"Serviço",AND(AUTOEVENTO="Manual",$M264=$A$15),$M264&gt;(ROW(PLE.lastrow)-ROW(PLE.firstrow))),0,
           IF(OFFSET(PLE!$G$15,$M264-$A$15,CF$13)="",10^12,OFFSET(PLE!$G$15,$M264-$A$15,CF$13)))</f>
        <v>0</v>
      </c>
      <c r="CG264" s="172">
        <f ca="1">IF(OR($D264&lt;&gt;"Serviço",AND(AUTOEVENTO="Manual",$M264=$A$15),$M264&gt;(ROW(PLE.lastrow)-ROW(PLE.firstrow))),0,
           IF(OFFSET(PLE!$G$15,$M264-$A$15,CG$13)="",10^12,OFFSET(PLE!$G$15,$M264-$A$15,CG$13)))</f>
        <v>0</v>
      </c>
      <c r="CH264" s="172">
        <f ca="1">IF(OR($D264&lt;&gt;"Serviço",AND(AUTOEVENTO="Manual",$M264=$A$15),$M264&gt;(ROW(PLE.lastrow)-ROW(PLE.firstrow))),0,
           IF(OFFSET(PLE!$G$15,$M264-$A$15,CH$13)="",10^12,OFFSET(PLE!$G$15,$M264-$A$15,CH$13)))</f>
        <v>0</v>
      </c>
      <c r="CI264" s="172">
        <f ca="1">IF(OR($D264&lt;&gt;"Serviço",AND(AUTOEVENTO="Manual",$M264=$A$15),$M264&gt;(ROW(PLE.lastrow)-ROW(PLE.firstrow))),0,
           IF(OFFSET(PLE!$G$15,$M264-$A$15,CI$13)="",10^12,OFFSET(PLE!$G$15,$M264-$A$15,CI$13)))</f>
        <v>0</v>
      </c>
      <c r="CJ264" s="172">
        <f ca="1">IF(OR($D264&lt;&gt;"Serviço",AND(AUTOEVENTO="Manual",$M264=$A$15),$M264&gt;(ROW(PLE.lastrow)-ROW(PLE.firstrow))),0,
           IF(OFFSET(PLE!$G$15,$M264-$A$15,CJ$13)="",10^12,OFFSET(PLE!$G$15,$M264-$A$15,CJ$13)))</f>
        <v>0</v>
      </c>
      <c r="CK264" s="172">
        <f ca="1">IF(OR($D264&lt;&gt;"Serviço",AND(AUTOEVENTO="Manual",$M264=$A$15),$M264&gt;(ROW(PLE.lastrow)-ROW(PLE.firstrow))),0,
           IF(OFFSET(PLE!$G$15,$M264-$A$15,CK$13)="",10^12,OFFSET(PLE!$G$15,$M264-$A$15,CK$13)))</f>
        <v>0</v>
      </c>
      <c r="CL264" s="172">
        <f ca="1">IF(OR($D264&lt;&gt;"Serviço",AND(AUTOEVENTO="Manual",$M264=$A$15),$M264&gt;(ROW(PLE.lastrow)-ROW(PLE.firstrow))),0,
           IF(OFFSET(PLE!$G$15,$M264-$A$15,CL$13)="",10^12,OFFSET(PLE!$G$15,$M264-$A$15,CL$13)))</f>
        <v>0</v>
      </c>
      <c r="CM264" s="172">
        <f ca="1">IF(OR($D264&lt;&gt;"Serviço",AND(AUTOEVENTO="Manual",$M264=$A$15),$M264&gt;(ROW(PLE.lastrow)-ROW(PLE.firstrow))),0,
           IF(OFFSET(PLE!$G$15,$M264-$A$15,CM$13)="",10^12,OFFSET(PLE!$G$15,$M264-$A$15,CM$13)))</f>
        <v>0</v>
      </c>
    </row>
    <row r="265" spans="1:91" ht="51" x14ac:dyDescent="0.2">
      <c r="A265" s="7">
        <f t="shared" ca="1" si="13"/>
        <v>6</v>
      </c>
      <c r="B265" s="7" t="str">
        <f ca="1">OFFSET(ORÇAMENTO!C$15,ROW(B265)-ROW(B$15),0)</f>
        <v>S</v>
      </c>
      <c r="C265" s="7" t="str">
        <f ca="1">OFFSET(ORÇAMENTO!L$15,ROW(C265)-ROW(C$15),0)</f>
        <v>F</v>
      </c>
      <c r="D265" s="116" t="str">
        <f ca="1">OFFSET(ORÇAMENTO!N$15,ROW(D265)-ROW(D$15),0)</f>
        <v>Serviço</v>
      </c>
      <c r="E265" s="117" t="str">
        <f ca="1">OFFSET(ORÇAMENTO!O$15,ROW(E265)-ROW(E$15),0)</f>
        <v>1.7.2.1.1.</v>
      </c>
      <c r="F265" s="163" t="str">
        <f ca="1">OFFSET(ORÇAMENTO!R$15,ROW(F265)-ROW(F$15),0)</f>
        <v>MECANISMO PRA REMOÇÃO DE LODO - FORNECIMENTO</v>
      </c>
      <c r="G265" s="164" t="str">
        <f ca="1">IF($D265&lt;&gt;"Serviço","",OFFSET(ORÇAMENTO!S$15,ROW(G265)-ROW(G$15),0))</f>
        <v>CJ</v>
      </c>
      <c r="H265" s="122" cm="1">
        <f t="array" aca="1" ref="H265" ca="1">IF($D265&lt;&gt;"Serviço",0,IF(ACOMPANHAMENTO="BM",ROUND(OFFSET(ORÇAMENTO!AJ$15,ROW(H265)-ROW(H$15),0),15-13*ORÇAMENTO!$AF$7),SUMPRODUCT(($Q$1:$AI$1=1)*ROUND($Q265:$AI265,15-13*ORÇAMENTO!$AF$7))))</f>
        <v>1</v>
      </c>
      <c r="I265" s="468" t="s">
        <v>1349</v>
      </c>
      <c r="J265" s="640" t="str" cm="1">
        <f t="array" aca="1" ref="J265" ca="1">IF(OR(B265&lt;&gt;"S",CÁLCULO.FrentesPreenchidas=0),"",IF(AND(ACOMPANHAMENTO="PLE",AUTOEVENTO="Manual",OR(H265&gt;0,ORÇAMENTO!AC265="QUANT."),OR(K265="",M265=0,N265="")),"►E",IF(AND(ACOMPANHAMENTO="PLE",ORÇAMENTO!AC265="QUANT."),"►Q",IF(AND(ACOMPANHAMENTO="PLE",H265&lt;&gt;SUMPRODUCT(($Q$1:$AI$1=1)*ROUND(Q265:AI265,15))),"►S",IF(AND(COUNTIF($P$11:$AI$11,"▼")=0,H265&gt;0,I265=""),"◄M","")))))</f>
        <v/>
      </c>
      <c r="K265" s="641" t="s">
        <v>1385</v>
      </c>
      <c r="L265" s="165" t="s">
        <v>764</v>
      </c>
      <c r="M265" s="166">
        <f ca="1">IF($D265&lt;&gt;"Serviço","",
          IF(AUTOEVENTO="manual",$A265,
                IF(ISERROR(MATCH($A265,$A$15:OFFSET($A265,-1,0),0)),MAX($M$15:OFFSET(M265,-1,0))+1,
                      INDEX($M$15:OFFSET(M265,-1,0),MATCH($A265,$A$15:OFFSET($A265,-1,0),0)))))</f>
        <v>6</v>
      </c>
      <c r="N265" s="167" t="str">
        <f ca="1">IF($D265&lt;&gt;"Serviço","",
         IF(AUTOEVENTO="Manual",
                IF($A265=0,"&lt;-- defina o número do agrupador",
                       OFFSET(EVENTOS!$D$15,$A265-$A$15,0)),
                OFFSET($F$15,$A265,0)))</f>
        <v>Saneamento</v>
      </c>
      <c r="O265" s="168"/>
      <c r="Q265" s="168"/>
      <c r="R265" s="169"/>
      <c r="S265" s="169"/>
      <c r="T265" s="169">
        <v>1</v>
      </c>
      <c r="U265" s="169"/>
      <c r="V265" s="169"/>
      <c r="W265" s="169"/>
      <c r="X265" s="169"/>
      <c r="Y265" s="169"/>
      <c r="Z265" s="170"/>
      <c r="AA265" s="169"/>
      <c r="AB265" s="169"/>
      <c r="AC265" s="169"/>
      <c r="AD265" s="169"/>
      <c r="AE265" s="169"/>
      <c r="AF265" s="169"/>
      <c r="AG265" s="169"/>
      <c r="AH265" s="170"/>
      <c r="AJ265" s="453">
        <f ca="1">IF(AND($D265="Serviço",AJ$12&lt;&gt;0,$H265&gt;0,OR(AUTOEVENTO&lt;&gt;"manual",$M265&lt;&gt;$A$15)),
        IF(Import.TipoArredondamento&lt;&gt;"TransfereGOV",
              ROUND(OFFSET($P265,0,AJ$13),15-13*ORÇAMENTO!$AF$7)/$H265*OFFSET(ORÇAMENTO!$X$15,ROW(AJ265)-ROW(AJ$15),0),
              ROUND(ROUND(OFFSET($P265,0,AJ$13),15-13*ORÇAMENTO!$AF$7)*OFFSET(ORÇAMENTO!$W$15,ROW(AJ265)-ROW(AJ$15),0),15-13*ORÇAMENTO!$AF$11)),
         0)</f>
        <v>0</v>
      </c>
      <c r="AK265" s="453">
        <f ca="1">IF(AND($D265="Serviço",AK$12&lt;&gt;0,$H265&gt;0,OR(AUTOEVENTO&lt;&gt;"manual",$M265&lt;&gt;$A$15)),
        IF(Import.TipoArredondamento&lt;&gt;"TransfereGOV",
              ROUND(OFFSET($P265,0,AK$13),15-13*ORÇAMENTO!$AF$7)/$H265*OFFSET(ORÇAMENTO!$X$15,ROW(AK265)-ROW(AK$15),0),
              ROUND(ROUND(OFFSET($P265,0,AK$13),15-13*ORÇAMENTO!$AF$7)*OFFSET(ORÇAMENTO!$W$15,ROW(AK265)-ROW(AK$15),0),15-13*ORÇAMENTO!$AF$11)),
         0)</f>
        <v>0</v>
      </c>
      <c r="AL265" s="453">
        <f ca="1">IF(AND($D265="Serviço",AL$12&lt;&gt;0,$H265&gt;0,OR(AUTOEVENTO&lt;&gt;"manual",$M265&lt;&gt;$A$15)),
        IF(Import.TipoArredondamento&lt;&gt;"TransfereGOV",
              ROUND(OFFSET($P265,0,AL$13),15-13*ORÇAMENTO!$AF$7)/$H265*OFFSET(ORÇAMENTO!$X$15,ROW(AL265)-ROW(AL$15),0),
              ROUND(ROUND(OFFSET($P265,0,AL$13),15-13*ORÇAMENTO!$AF$7)*OFFSET(ORÇAMENTO!$W$15,ROW(AL265)-ROW(AL$15),0),15-13*ORÇAMENTO!$AF$11)),
         0)</f>
        <v>0</v>
      </c>
      <c r="AM265" s="453">
        <f ca="1">IF(AND($D265="Serviço",AM$12&lt;&gt;0,$H265&gt;0,OR(AUTOEVENTO&lt;&gt;"manual",$M265&lt;&gt;$A$15)),
        IF(Import.TipoArredondamento&lt;&gt;"TransfereGOV",
              ROUND(OFFSET($P265,0,AM$13),15-13*ORÇAMENTO!$AF$7)/$H265*OFFSET(ORÇAMENTO!$X$15,ROW(AM265)-ROW(AM$15),0),
              ROUND(ROUND(OFFSET($P265,0,AM$13),15-13*ORÇAMENTO!$AF$7)*OFFSET(ORÇAMENTO!$W$15,ROW(AM265)-ROW(AM$15),0),15-13*ORÇAMENTO!$AF$11)),
         0)</f>
        <v>0</v>
      </c>
      <c r="AN265" s="453">
        <f ca="1">IF(AND($D265="Serviço",AN$12&lt;&gt;0,$H265&gt;0,OR(AUTOEVENTO&lt;&gt;"manual",$M265&lt;&gt;$A$15)),
        IF(Import.TipoArredondamento&lt;&gt;"TransfereGOV",
              ROUND(OFFSET($P265,0,AN$13),15-13*ORÇAMENTO!$AF$7)/$H265*OFFSET(ORÇAMENTO!$X$15,ROW(AN265)-ROW(AN$15),0),
              ROUND(ROUND(OFFSET($P265,0,AN$13),15-13*ORÇAMENTO!$AF$7)*OFFSET(ORÇAMENTO!$W$15,ROW(AN265)-ROW(AN$15),0),15-13*ORÇAMENTO!$AF$11)),
         0)</f>
        <v>0</v>
      </c>
      <c r="AO265" s="453">
        <f ca="1">IF(AND($D265="Serviço",AO$12&lt;&gt;0,$H265&gt;0,OR(AUTOEVENTO&lt;&gt;"manual",$M265&lt;&gt;$A$15)),
        IF(Import.TipoArredondamento&lt;&gt;"TransfereGOV",
              ROUND(OFFSET($P265,0,AO$13),15-13*ORÇAMENTO!$AF$7)/$H265*OFFSET(ORÇAMENTO!$X$15,ROW(AO265)-ROW(AO$15),0),
              ROUND(ROUND(OFFSET($P265,0,AO$13),15-13*ORÇAMENTO!$AF$7)*OFFSET(ORÇAMENTO!$W$15,ROW(AO265)-ROW(AO$15),0),15-13*ORÇAMENTO!$AF$11)),
         0)</f>
        <v>0</v>
      </c>
      <c r="AP265" s="453">
        <f ca="1">IF(AND($D265="Serviço",AP$12&lt;&gt;0,$H265&gt;0,OR(AUTOEVENTO&lt;&gt;"manual",$M265&lt;&gt;$A$15)),
        IF(Import.TipoArredondamento&lt;&gt;"TransfereGOV",
              ROUND(OFFSET($P265,0,AP$13),15-13*ORÇAMENTO!$AF$7)/$H265*OFFSET(ORÇAMENTO!$X$15,ROW(AP265)-ROW(AP$15),0),
              ROUND(ROUND(OFFSET($P265,0,AP$13),15-13*ORÇAMENTO!$AF$7)*OFFSET(ORÇAMENTO!$W$15,ROW(AP265)-ROW(AP$15),0),15-13*ORÇAMENTO!$AF$11)),
         0)</f>
        <v>0</v>
      </c>
      <c r="AQ265" s="453">
        <f ca="1">IF(AND($D265="Serviço",AQ$12&lt;&gt;0,$H265&gt;0,OR(AUTOEVENTO&lt;&gt;"manual",$M265&lt;&gt;$A$15)),
        IF(Import.TipoArredondamento&lt;&gt;"TransfereGOV",
              ROUND(OFFSET($P265,0,AQ$13),15-13*ORÇAMENTO!$AF$7)/$H265*OFFSET(ORÇAMENTO!$X$15,ROW(AQ265)-ROW(AQ$15),0),
              ROUND(ROUND(OFFSET($P265,0,AQ$13),15-13*ORÇAMENTO!$AF$7)*OFFSET(ORÇAMENTO!$W$15,ROW(AQ265)-ROW(AQ$15),0),15-13*ORÇAMENTO!$AF$11)),
         0)</f>
        <v>0</v>
      </c>
      <c r="AR265" s="453">
        <f ca="1">IF(AND($D265="Serviço",AR$12&lt;&gt;0,$H265&gt;0,OR(AUTOEVENTO&lt;&gt;"manual",$M265&lt;&gt;$A$15)),
        IF(Import.TipoArredondamento&lt;&gt;"TransfereGOV",
              ROUND(OFFSET($P265,0,AR$13),15-13*ORÇAMENTO!$AF$7)/$H265*OFFSET(ORÇAMENTO!$X$15,ROW(AR265)-ROW(AR$15),0),
              ROUND(ROUND(OFFSET($P265,0,AR$13),15-13*ORÇAMENTO!$AF$7)*OFFSET(ORÇAMENTO!$W$15,ROW(AR265)-ROW(AR$15),0),15-13*ORÇAMENTO!$AF$11)),
         0)</f>
        <v>0</v>
      </c>
      <c r="AS265" s="453">
        <f ca="1">IF(AND($D265="Serviço",AS$12&lt;&gt;0,$H265&gt;0,OR(AUTOEVENTO&lt;&gt;"manual",$M265&lt;&gt;$A$15)),
        IF(Import.TipoArredondamento&lt;&gt;"TransfereGOV",
              ROUND(OFFSET($P265,0,AS$13),15-13*ORÇAMENTO!$AF$7)/$H265*OFFSET(ORÇAMENTO!$X$15,ROW(AS265)-ROW(AS$15),0),
              ROUND(ROUND(OFFSET($P265,0,AS$13),15-13*ORÇAMENTO!$AF$7)*OFFSET(ORÇAMENTO!$W$15,ROW(AS265)-ROW(AS$15),0),15-13*ORÇAMENTO!$AF$11)),
         0)</f>
        <v>0</v>
      </c>
      <c r="AT265" s="453">
        <f ca="1">IF(AND($D265="Serviço",AT$12&lt;&gt;0,$H265&gt;0,OR(AUTOEVENTO&lt;&gt;"manual",$M265&lt;&gt;$A$15)),
        IF(Import.TipoArredondamento&lt;&gt;"TransfereGOV",
              ROUND(OFFSET($P265,0,AT$13),15-13*ORÇAMENTO!$AF$7)/$H265*OFFSET(ORÇAMENTO!$X$15,ROW(AT265)-ROW(AT$15),0),
              ROUND(ROUND(OFFSET($P265,0,AT$13),15-13*ORÇAMENTO!$AF$7)*OFFSET(ORÇAMENTO!$W$15,ROW(AT265)-ROW(AT$15),0),15-13*ORÇAMENTO!$AF$11)),
         0)</f>
        <v>0</v>
      </c>
      <c r="AU265" s="453">
        <f ca="1">IF(AND($D265="Serviço",AU$12&lt;&gt;0,$H265&gt;0,OR(AUTOEVENTO&lt;&gt;"manual",$M265&lt;&gt;$A$15)),
        IF(Import.TipoArredondamento&lt;&gt;"TransfereGOV",
              ROUND(OFFSET($P265,0,AU$13),15-13*ORÇAMENTO!$AF$7)/$H265*OFFSET(ORÇAMENTO!$X$15,ROW(AU265)-ROW(AU$15),0),
              ROUND(ROUND(OFFSET($P265,0,AU$13),15-13*ORÇAMENTO!$AF$7)*OFFSET(ORÇAMENTO!$W$15,ROW(AU265)-ROW(AU$15),0),15-13*ORÇAMENTO!$AF$11)),
         0)</f>
        <v>0</v>
      </c>
      <c r="AV265" s="453">
        <f ca="1">IF(AND($D265="Serviço",AV$12&lt;&gt;0,$H265&gt;0,OR(AUTOEVENTO&lt;&gt;"manual",$M265&lt;&gt;$A$15)),
        IF(Import.TipoArredondamento&lt;&gt;"TransfereGOV",
              ROUND(OFFSET($P265,0,AV$13),15-13*ORÇAMENTO!$AF$7)/$H265*OFFSET(ORÇAMENTO!$X$15,ROW(AV265)-ROW(AV$15),0),
              ROUND(ROUND(OFFSET($P265,0,AV$13),15-13*ORÇAMENTO!$AF$7)*OFFSET(ORÇAMENTO!$W$15,ROW(AV265)-ROW(AV$15),0),15-13*ORÇAMENTO!$AF$11)),
         0)</f>
        <v>0</v>
      </c>
      <c r="AW265" s="453">
        <f ca="1">IF(AND($D265="Serviço",AW$12&lt;&gt;0,$H265&gt;0,OR(AUTOEVENTO&lt;&gt;"manual",$M265&lt;&gt;$A$15)),
        IF(Import.TipoArredondamento&lt;&gt;"TransfereGOV",
              ROUND(OFFSET($P265,0,AW$13),15-13*ORÇAMENTO!$AF$7)/$H265*OFFSET(ORÇAMENTO!$X$15,ROW(AW265)-ROW(AW$15),0),
              ROUND(ROUND(OFFSET($P265,0,AW$13),15-13*ORÇAMENTO!$AF$7)*OFFSET(ORÇAMENTO!$W$15,ROW(AW265)-ROW(AW$15),0),15-13*ORÇAMENTO!$AF$11)),
         0)</f>
        <v>0</v>
      </c>
      <c r="AX265" s="453">
        <f ca="1">IF(AND($D265="Serviço",AX$12&lt;&gt;0,$H265&gt;0,OR(AUTOEVENTO&lt;&gt;"manual",$M265&lt;&gt;$A$15)),
        IF(Import.TipoArredondamento&lt;&gt;"TransfereGOV",
              ROUND(OFFSET($P265,0,AX$13),15-13*ORÇAMENTO!$AF$7)/$H265*OFFSET(ORÇAMENTO!$X$15,ROW(AX265)-ROW(AX$15),0),
              ROUND(ROUND(OFFSET($P265,0,AX$13),15-13*ORÇAMENTO!$AF$7)*OFFSET(ORÇAMENTO!$W$15,ROW(AX265)-ROW(AX$15),0),15-13*ORÇAMENTO!$AF$11)),
         0)</f>
        <v>0</v>
      </c>
      <c r="AY265" s="453">
        <f ca="1">IF(AND($D265="Serviço",AY$12&lt;&gt;0,$H265&gt;0,OR(AUTOEVENTO&lt;&gt;"manual",$M265&lt;&gt;$A$15)),
        IF(Import.TipoArredondamento&lt;&gt;"TransfereGOV",
              ROUND(OFFSET($P265,0,AY$13),15-13*ORÇAMENTO!$AF$7)/$H265*OFFSET(ORÇAMENTO!$X$15,ROW(AY265)-ROW(AY$15),0),
              ROUND(ROUND(OFFSET($P265,0,AY$13),15-13*ORÇAMENTO!$AF$7)*OFFSET(ORÇAMENTO!$W$15,ROW(AY265)-ROW(AY$15),0),15-13*ORÇAMENTO!$AF$11)),
         0)</f>
        <v>0</v>
      </c>
      <c r="AZ265" s="453">
        <f ca="1">IF(AND($D265="Serviço",AZ$12&lt;&gt;0,$H265&gt;0,OR(AUTOEVENTO&lt;&gt;"manual",$M265&lt;&gt;$A$15)),
        IF(Import.TipoArredondamento&lt;&gt;"TransfereGOV",
              ROUND(OFFSET($P265,0,AZ$13),15-13*ORÇAMENTO!$AF$7)/$H265*OFFSET(ORÇAMENTO!$X$15,ROW(AZ265)-ROW(AZ$15),0),
              ROUND(ROUND(OFFSET($P265,0,AZ$13),15-13*ORÇAMENTO!$AF$7)*OFFSET(ORÇAMENTO!$W$15,ROW(AZ265)-ROW(AZ$15),0),15-13*ORÇAMENTO!$AF$11)),
         0)</f>
        <v>0</v>
      </c>
      <c r="BA265" s="453">
        <f ca="1">IF(AND($D265="Serviço",BA$12&lt;&gt;0,$H265&gt;0,OR(AUTOEVENTO&lt;&gt;"manual",$M265&lt;&gt;$A$15)),
        IF(Import.TipoArredondamento&lt;&gt;"TransfereGOV",
              ROUND(OFFSET($P265,0,BA$13),15-13*ORÇAMENTO!$AF$7)/$H265*OFFSET(ORÇAMENTO!$X$15,ROW(BA265)-ROW(BA$15),0),
              ROUND(ROUND(OFFSET($P265,0,BA$13),15-13*ORÇAMENTO!$AF$7)*OFFSET(ORÇAMENTO!$W$15,ROW(BA265)-ROW(BA$15),0),15-13*ORÇAMENTO!$AF$11)),
         0)</f>
        <v>0</v>
      </c>
      <c r="BC265" s="171">
        <f ca="1">IF(OR($D265&lt;&gt;"Serviço",AND(AUTOEVENTO="Manual",$M265=$A$15)),0,
         IF(OFFSET(CRONOPLE!$F$15,$M265-$A$15,BC$13)=0,10^12,OFFSET(CRONOPLE!$F$15,$M265-$A$15,BC$13)))</f>
        <v>1</v>
      </c>
      <c r="BD265" s="171">
        <f ca="1">IF(OR($D265&lt;&gt;"Serviço",AND(AUTOEVENTO="Manual",$M265=$A$15)),0,
         IF(OFFSET(CRONOPLE!$F$15,$M265-$A$15,BD$13)=0,10^12,OFFSET(CRONOPLE!$F$15,$M265-$A$15,BD$13)))</f>
        <v>2</v>
      </c>
      <c r="BE265" s="171">
        <f ca="1">IF(OR($D265&lt;&gt;"Serviço",AND(AUTOEVENTO="Manual",$M265=$A$15)),0,
         IF(OFFSET(CRONOPLE!$F$15,$M265-$A$15,BE$13)=0,10^12,OFFSET(CRONOPLE!$F$15,$M265-$A$15,BE$13)))</f>
        <v>3</v>
      </c>
      <c r="BF265" s="171">
        <f ca="1">IF(OR($D265&lt;&gt;"Serviço",AND(AUTOEVENTO="Manual",$M265=$A$15)),0,
         IF(OFFSET(CRONOPLE!$F$15,$M265-$A$15,BF$13)=0,10^12,OFFSET(CRONOPLE!$F$15,$M265-$A$15,BF$13)))</f>
        <v>4</v>
      </c>
      <c r="BG265" s="171">
        <f ca="1">IF(OR($D265&lt;&gt;"Serviço",AND(AUTOEVENTO="Manual",$M265=$A$15)),0,
         IF(OFFSET(CRONOPLE!$F$15,$M265-$A$15,BG$13)=0,10^12,OFFSET(CRONOPLE!$F$15,$M265-$A$15,BG$13)))</f>
        <v>5</v>
      </c>
      <c r="BH265" s="171">
        <f ca="1">IF(OR($D265&lt;&gt;"Serviço",AND(AUTOEVENTO="Manual",$M265=$A$15)),0,
         IF(OFFSET(CRONOPLE!$F$15,$M265-$A$15,BH$13)=0,10^12,OFFSET(CRONOPLE!$F$15,$M265-$A$15,BH$13)))</f>
        <v>6</v>
      </c>
      <c r="BI265" s="171">
        <f ca="1">IF(OR($D265&lt;&gt;"Serviço",AND(AUTOEVENTO="Manual",$M265=$A$15)),0,
         IF(OFFSET(CRONOPLE!$F$15,$M265-$A$15,BI$13)=0,10^12,OFFSET(CRONOPLE!$F$15,$M265-$A$15,BI$13)))</f>
        <v>7</v>
      </c>
      <c r="BJ265" s="171">
        <f ca="1">IF(OR($D265&lt;&gt;"Serviço",AND(AUTOEVENTO="Manual",$M265=$A$15)),0,
         IF(OFFSET(CRONOPLE!$F$15,$M265-$A$15,BJ$13)=0,10^12,OFFSET(CRONOPLE!$F$15,$M265-$A$15,BJ$13)))</f>
        <v>8</v>
      </c>
      <c r="BK265" s="171">
        <f ca="1">IF(OR($D265&lt;&gt;"Serviço",AND(AUTOEVENTO="Manual",$M265=$A$15)),0,
         IF(OFFSET(CRONOPLE!$F$15,$M265-$A$15,BK$13)=0,10^12,OFFSET(CRONOPLE!$F$15,$M265-$A$15,BK$13)))</f>
        <v>9</v>
      </c>
      <c r="BL265" s="171">
        <f ca="1">IF(OR($D265&lt;&gt;"Serviço",AND(AUTOEVENTO="Manual",$M265=$A$15)),0,
         IF(OFFSET(CRONOPLE!$F$15,$M265-$A$15,BL$13)=0,10^12,OFFSET(CRONOPLE!$F$15,$M265-$A$15,BL$13)))</f>
        <v>1000000000000</v>
      </c>
      <c r="BM265" s="171">
        <f ca="1">IF(OR($D265&lt;&gt;"Serviço",AND(AUTOEVENTO="Manual",$M265=$A$15)),0,
         IF(OFFSET(CRONOPLE!$F$15,$M265-$A$15,BM$13)=0,10^12,OFFSET(CRONOPLE!$F$15,$M265-$A$15,BM$13)))</f>
        <v>1000000000000</v>
      </c>
      <c r="BN265" s="171">
        <f ca="1">IF(OR($D265&lt;&gt;"Serviço",AND(AUTOEVENTO="Manual",$M265=$A$15)),0,
         IF(OFFSET(CRONOPLE!$F$15,$M265-$A$15,BN$13)=0,10^12,OFFSET(CRONOPLE!$F$15,$M265-$A$15,BN$13)))</f>
        <v>1000000000000</v>
      </c>
      <c r="BO265" s="171">
        <f ca="1">IF(OR($D265&lt;&gt;"Serviço",AND(AUTOEVENTO="Manual",$M265=$A$15)),0,
         IF(OFFSET(CRONOPLE!$F$15,$M265-$A$15,BO$13)=0,10^12,OFFSET(CRONOPLE!$F$15,$M265-$A$15,BO$13)))</f>
        <v>1000000000000</v>
      </c>
      <c r="BP265" s="171">
        <f ca="1">IF(OR($D265&lt;&gt;"Serviço",AND(AUTOEVENTO="Manual",$M265=$A$15)),0,
         IF(OFFSET(CRONOPLE!$F$15,$M265-$A$15,BP$13)=0,10^12,OFFSET(CRONOPLE!$F$15,$M265-$A$15,BP$13)))</f>
        <v>1000000000000</v>
      </c>
      <c r="BQ265" s="171">
        <f ca="1">IF(OR($D265&lt;&gt;"Serviço",AND(AUTOEVENTO="Manual",$M265=$A$15)),0,
         IF(OFFSET(CRONOPLE!$F$15,$M265-$A$15,BQ$13)=0,10^12,OFFSET(CRONOPLE!$F$15,$M265-$A$15,BQ$13)))</f>
        <v>1000000000000</v>
      </c>
      <c r="BR265" s="171">
        <f ca="1">IF(OR($D265&lt;&gt;"Serviço",AND(AUTOEVENTO="Manual",$M265=$A$15)),0,
         IF(OFFSET(CRONOPLE!$F$15,$M265-$A$15,BR$13)=0,10^12,OFFSET(CRONOPLE!$F$15,$M265-$A$15,BR$13)))</f>
        <v>1000000000000</v>
      </c>
      <c r="BS265" s="171">
        <f ca="1">IF(OR($D265&lt;&gt;"Serviço",AND(AUTOEVENTO="Manual",$M265=$A$15)),0,
         IF(OFFSET(CRONOPLE!$F$15,$M265-$A$15,BS$13)=0,10^12,OFFSET(CRONOPLE!$F$15,$M265-$A$15,BS$13)))</f>
        <v>1000000000000</v>
      </c>
      <c r="BT265" s="171">
        <f ca="1">IF(OR($D265&lt;&gt;"Serviço",AND(AUTOEVENTO="Manual",$M265=$A$15)),0,
         IF(OFFSET(CRONOPLE!$F$15,$M265-$A$15,BT$13)=0,10^12,OFFSET(CRONOPLE!$F$15,$M265-$A$15,BT$13)))</f>
        <v>1000000000000</v>
      </c>
      <c r="BV265" s="172">
        <f ca="1">IF(OR($D265&lt;&gt;"Serviço",AND(AUTOEVENTO="Manual",$M265=$A$15),$M265&gt;(ROW(PLE.lastrow)-ROW(PLE.firstrow))),0,
           IF(OFFSET(PLE!$G$15,$M265-$A$15,BV$13)="",10^12,OFFSET(PLE!$G$15,$M265-$A$15,BV$13)))</f>
        <v>1000000000000</v>
      </c>
      <c r="BW265" s="172">
        <f ca="1">IF(OR($D265&lt;&gt;"Serviço",AND(AUTOEVENTO="Manual",$M265=$A$15),$M265&gt;(ROW(PLE.lastrow)-ROW(PLE.firstrow))),0,
           IF(OFFSET(PLE!$G$15,$M265-$A$15,BW$13)="",10^12,OFFSET(PLE!$G$15,$M265-$A$15,BW$13)))</f>
        <v>1000000000000</v>
      </c>
      <c r="BX265" s="172">
        <f ca="1">IF(OR($D265&lt;&gt;"Serviço",AND(AUTOEVENTO="Manual",$M265=$A$15),$M265&gt;(ROW(PLE.lastrow)-ROW(PLE.firstrow))),0,
           IF(OFFSET(PLE!$G$15,$M265-$A$15,BX$13)="",10^12,OFFSET(PLE!$G$15,$M265-$A$15,BX$13)))</f>
        <v>1000000000000</v>
      </c>
      <c r="BY265" s="172">
        <f ca="1">IF(OR($D265&lt;&gt;"Serviço",AND(AUTOEVENTO="Manual",$M265=$A$15),$M265&gt;(ROW(PLE.lastrow)-ROW(PLE.firstrow))),0,
           IF(OFFSET(PLE!$G$15,$M265-$A$15,BY$13)="",10^12,OFFSET(PLE!$G$15,$M265-$A$15,BY$13)))</f>
        <v>1000000000000</v>
      </c>
      <c r="BZ265" s="172">
        <f ca="1">IF(OR($D265&lt;&gt;"Serviço",AND(AUTOEVENTO="Manual",$M265=$A$15),$M265&gt;(ROW(PLE.lastrow)-ROW(PLE.firstrow))),0,
           IF(OFFSET(PLE!$G$15,$M265-$A$15,BZ$13)="",10^12,OFFSET(PLE!$G$15,$M265-$A$15,BZ$13)))</f>
        <v>1000000000000</v>
      </c>
      <c r="CA265" s="172">
        <f ca="1">IF(OR($D265&lt;&gt;"Serviço",AND(AUTOEVENTO="Manual",$M265=$A$15),$M265&gt;(ROW(PLE.lastrow)-ROW(PLE.firstrow))),0,
           IF(OFFSET(PLE!$G$15,$M265-$A$15,CA$13)="",10^12,OFFSET(PLE!$G$15,$M265-$A$15,CA$13)))</f>
        <v>1000000000000</v>
      </c>
      <c r="CB265" s="172">
        <f ca="1">IF(OR($D265&lt;&gt;"Serviço",AND(AUTOEVENTO="Manual",$M265=$A$15),$M265&gt;(ROW(PLE.lastrow)-ROW(PLE.firstrow))),0,
           IF(OFFSET(PLE!$G$15,$M265-$A$15,CB$13)="",10^12,OFFSET(PLE!$G$15,$M265-$A$15,CB$13)))</f>
        <v>1000000000000</v>
      </c>
      <c r="CC265" s="172">
        <f ca="1">IF(OR($D265&lt;&gt;"Serviço",AND(AUTOEVENTO="Manual",$M265=$A$15),$M265&gt;(ROW(PLE.lastrow)-ROW(PLE.firstrow))),0,
           IF(OFFSET(PLE!$G$15,$M265-$A$15,CC$13)="",10^12,OFFSET(PLE!$G$15,$M265-$A$15,CC$13)))</f>
        <v>1000000000000</v>
      </c>
      <c r="CD265" s="172">
        <f ca="1">IF(OR($D265&lt;&gt;"Serviço",AND(AUTOEVENTO="Manual",$M265=$A$15),$M265&gt;(ROW(PLE.lastrow)-ROW(PLE.firstrow))),0,
           IF(OFFSET(PLE!$G$15,$M265-$A$15,CD$13)="",10^12,OFFSET(PLE!$G$15,$M265-$A$15,CD$13)))</f>
        <v>1000000000000</v>
      </c>
      <c r="CE265" s="172">
        <f ca="1">IF(OR($D265&lt;&gt;"Serviço",AND(AUTOEVENTO="Manual",$M265=$A$15),$M265&gt;(ROW(PLE.lastrow)-ROW(PLE.firstrow))),0,
           IF(OFFSET(PLE!$G$15,$M265-$A$15,CE$13)="",10^12,OFFSET(PLE!$G$15,$M265-$A$15,CE$13)))</f>
        <v>1000000000000</v>
      </c>
      <c r="CF265" s="172">
        <f ca="1">IF(OR($D265&lt;&gt;"Serviço",AND(AUTOEVENTO="Manual",$M265=$A$15),$M265&gt;(ROW(PLE.lastrow)-ROW(PLE.firstrow))),0,
           IF(OFFSET(PLE!$G$15,$M265-$A$15,CF$13)="",10^12,OFFSET(PLE!$G$15,$M265-$A$15,CF$13)))</f>
        <v>1000000000000</v>
      </c>
      <c r="CG265" s="172">
        <f ca="1">IF(OR($D265&lt;&gt;"Serviço",AND(AUTOEVENTO="Manual",$M265=$A$15),$M265&gt;(ROW(PLE.lastrow)-ROW(PLE.firstrow))),0,
           IF(OFFSET(PLE!$G$15,$M265-$A$15,CG$13)="",10^12,OFFSET(PLE!$G$15,$M265-$A$15,CG$13)))</f>
        <v>1000000000000</v>
      </c>
      <c r="CH265" s="172">
        <f ca="1">IF(OR($D265&lt;&gt;"Serviço",AND(AUTOEVENTO="Manual",$M265=$A$15),$M265&gt;(ROW(PLE.lastrow)-ROW(PLE.firstrow))),0,
           IF(OFFSET(PLE!$G$15,$M265-$A$15,CH$13)="",10^12,OFFSET(PLE!$G$15,$M265-$A$15,CH$13)))</f>
        <v>1000000000000</v>
      </c>
      <c r="CI265" s="172">
        <f ca="1">IF(OR($D265&lt;&gt;"Serviço",AND(AUTOEVENTO="Manual",$M265=$A$15),$M265&gt;(ROW(PLE.lastrow)-ROW(PLE.firstrow))),0,
           IF(OFFSET(PLE!$G$15,$M265-$A$15,CI$13)="",10^12,OFFSET(PLE!$G$15,$M265-$A$15,CI$13)))</f>
        <v>1000000000000</v>
      </c>
      <c r="CJ265" s="172">
        <f ca="1">IF(OR($D265&lt;&gt;"Serviço",AND(AUTOEVENTO="Manual",$M265=$A$15),$M265&gt;(ROW(PLE.lastrow)-ROW(PLE.firstrow))),0,
           IF(OFFSET(PLE!$G$15,$M265-$A$15,CJ$13)="",10^12,OFFSET(PLE!$G$15,$M265-$A$15,CJ$13)))</f>
        <v>1000000000000</v>
      </c>
      <c r="CK265" s="172">
        <f ca="1">IF(OR($D265&lt;&gt;"Serviço",AND(AUTOEVENTO="Manual",$M265=$A$15),$M265&gt;(ROW(PLE.lastrow)-ROW(PLE.firstrow))),0,
           IF(OFFSET(PLE!$G$15,$M265-$A$15,CK$13)="",10^12,OFFSET(PLE!$G$15,$M265-$A$15,CK$13)))</f>
        <v>1000000000000</v>
      </c>
      <c r="CL265" s="172">
        <f ca="1">IF(OR($D265&lt;&gt;"Serviço",AND(AUTOEVENTO="Manual",$M265=$A$15),$M265&gt;(ROW(PLE.lastrow)-ROW(PLE.firstrow))),0,
           IF(OFFSET(PLE!$G$15,$M265-$A$15,CL$13)="",10^12,OFFSET(PLE!$G$15,$M265-$A$15,CL$13)))</f>
        <v>1000000000000</v>
      </c>
      <c r="CM265" s="172">
        <f ca="1">IF(OR($D265&lt;&gt;"Serviço",AND(AUTOEVENTO="Manual",$M265=$A$15),$M265&gt;(ROW(PLE.lastrow)-ROW(PLE.firstrow))),0,
           IF(OFFSET(PLE!$G$15,$M265-$A$15,CM$13)="",10^12,OFFSET(PLE!$G$15,$M265-$A$15,CM$13)))</f>
        <v>1000000000000</v>
      </c>
    </row>
    <row r="266" spans="1:91" ht="51" x14ac:dyDescent="0.2">
      <c r="A266" s="7">
        <f t="shared" ca="1" si="13"/>
        <v>6</v>
      </c>
      <c r="B266" s="7" t="str">
        <f ca="1">OFFSET(ORÇAMENTO!C$15,ROW(B266)-ROW(B$15),0)</f>
        <v>S</v>
      </c>
      <c r="C266" s="7" t="str">
        <f ca="1">OFFSET(ORÇAMENTO!L$15,ROW(C266)-ROW(C$15),0)</f>
        <v>F</v>
      </c>
      <c r="D266" s="116" t="str">
        <f ca="1">OFFSET(ORÇAMENTO!N$15,ROW(D266)-ROW(D$15),0)</f>
        <v>Serviço</v>
      </c>
      <c r="E266" s="117" t="str">
        <f ca="1">OFFSET(ORÇAMENTO!O$15,ROW(E266)-ROW(E$15),0)</f>
        <v>1.7.2.1.2.</v>
      </c>
      <c r="F266" s="163" t="str">
        <f ca="1">OFFSET(ORÇAMENTO!R$15,ROW(F266)-ROW(F$15),0)</f>
        <v>EXTREMIDADE PONTA/FLANGE FoFo - DN 400 MM</v>
      </c>
      <c r="G266" s="164" t="str">
        <f ca="1">IF($D266&lt;&gt;"Serviço","",OFFSET(ORÇAMENTO!S$15,ROW(G266)-ROW(G$15),0))</f>
        <v>UN</v>
      </c>
      <c r="H266" s="122" cm="1">
        <f t="array" aca="1" ref="H266" ca="1">IF($D266&lt;&gt;"Serviço",0,IF(ACOMPANHAMENTO="BM",ROUND(OFFSET(ORÇAMENTO!AJ$15,ROW(H266)-ROW(H$15),0),15-13*ORÇAMENTO!$AF$7),SUMPRODUCT(($Q$1:$AI$1=1)*ROUND($Q266:$AI266,15-13*ORÇAMENTO!$AF$7))))</f>
        <v>1</v>
      </c>
      <c r="I266" s="468" t="s">
        <v>1349</v>
      </c>
      <c r="J266" s="640" t="str" cm="1">
        <f t="array" aca="1" ref="J266" ca="1">IF(OR(B266&lt;&gt;"S",CÁLCULO.FrentesPreenchidas=0),"",IF(AND(ACOMPANHAMENTO="PLE",AUTOEVENTO="Manual",OR(H266&gt;0,ORÇAMENTO!AC266="QUANT."),OR(K266="",M266=0,N266="")),"►E",IF(AND(ACOMPANHAMENTO="PLE",ORÇAMENTO!AC266="QUANT."),"►Q",IF(AND(ACOMPANHAMENTO="PLE",H266&lt;&gt;SUMPRODUCT(($Q$1:$AI$1=1)*ROUND(Q266:AI266,15))),"►S",IF(AND(COUNTIF($P$11:$AI$11,"▼")=0,H266&gt;0,I266=""),"◄M","")))))</f>
        <v/>
      </c>
      <c r="K266" s="641" t="s">
        <v>1385</v>
      </c>
      <c r="L266" s="165" t="s">
        <v>764</v>
      </c>
      <c r="M266" s="166">
        <f ca="1">IF($D266&lt;&gt;"Serviço","",
          IF(AUTOEVENTO="manual",$A266,
                IF(ISERROR(MATCH($A266,$A$15:OFFSET($A266,-1,0),0)),MAX($M$15:OFFSET(M266,-1,0))+1,
                      INDEX($M$15:OFFSET(M266,-1,0),MATCH($A266,$A$15:OFFSET($A266,-1,0),0)))))</f>
        <v>6</v>
      </c>
      <c r="N266" s="167" t="str">
        <f ca="1">IF($D266&lt;&gt;"Serviço","",
         IF(AUTOEVENTO="Manual",
                IF($A266=0,"&lt;-- defina o número do agrupador",
                       OFFSET(EVENTOS!$D$15,$A266-$A$15,0)),
                OFFSET($F$15,$A266,0)))</f>
        <v>Saneamento</v>
      </c>
      <c r="O266" s="168"/>
      <c r="Q266" s="168"/>
      <c r="R266" s="169"/>
      <c r="S266" s="169"/>
      <c r="T266" s="169">
        <v>1</v>
      </c>
      <c r="U266" s="169"/>
      <c r="V266" s="169"/>
      <c r="W266" s="169"/>
      <c r="X266" s="169"/>
      <c r="Y266" s="169"/>
      <c r="Z266" s="170"/>
      <c r="AA266" s="169"/>
      <c r="AB266" s="169"/>
      <c r="AC266" s="169"/>
      <c r="AD266" s="169"/>
      <c r="AE266" s="169"/>
      <c r="AF266" s="169"/>
      <c r="AG266" s="169"/>
      <c r="AH266" s="170"/>
      <c r="AJ266" s="453">
        <f ca="1">IF(AND($D266="Serviço",AJ$12&lt;&gt;0,$H266&gt;0,OR(AUTOEVENTO&lt;&gt;"manual",$M266&lt;&gt;$A$15)),
        IF(Import.TipoArredondamento&lt;&gt;"TransfereGOV",
              ROUND(OFFSET($P266,0,AJ$13),15-13*ORÇAMENTO!$AF$7)/$H266*OFFSET(ORÇAMENTO!$X$15,ROW(AJ266)-ROW(AJ$15),0),
              ROUND(ROUND(OFFSET($P266,0,AJ$13),15-13*ORÇAMENTO!$AF$7)*OFFSET(ORÇAMENTO!$W$15,ROW(AJ266)-ROW(AJ$15),0),15-13*ORÇAMENTO!$AF$11)),
         0)</f>
        <v>0</v>
      </c>
      <c r="AK266" s="453">
        <f ca="1">IF(AND($D266="Serviço",AK$12&lt;&gt;0,$H266&gt;0,OR(AUTOEVENTO&lt;&gt;"manual",$M266&lt;&gt;$A$15)),
        IF(Import.TipoArredondamento&lt;&gt;"TransfereGOV",
              ROUND(OFFSET($P266,0,AK$13),15-13*ORÇAMENTO!$AF$7)/$H266*OFFSET(ORÇAMENTO!$X$15,ROW(AK266)-ROW(AK$15),0),
              ROUND(ROUND(OFFSET($P266,0,AK$13),15-13*ORÇAMENTO!$AF$7)*OFFSET(ORÇAMENTO!$W$15,ROW(AK266)-ROW(AK$15),0),15-13*ORÇAMENTO!$AF$11)),
         0)</f>
        <v>0</v>
      </c>
      <c r="AL266" s="453">
        <f ca="1">IF(AND($D266="Serviço",AL$12&lt;&gt;0,$H266&gt;0,OR(AUTOEVENTO&lt;&gt;"manual",$M266&lt;&gt;$A$15)),
        IF(Import.TipoArredondamento&lt;&gt;"TransfereGOV",
              ROUND(OFFSET($P266,0,AL$13),15-13*ORÇAMENTO!$AF$7)/$H266*OFFSET(ORÇAMENTO!$X$15,ROW(AL266)-ROW(AL$15),0),
              ROUND(ROUND(OFFSET($P266,0,AL$13),15-13*ORÇAMENTO!$AF$7)*OFFSET(ORÇAMENTO!$W$15,ROW(AL266)-ROW(AL$15),0),15-13*ORÇAMENTO!$AF$11)),
         0)</f>
        <v>0</v>
      </c>
      <c r="AM266" s="453">
        <f ca="1">IF(AND($D266="Serviço",AM$12&lt;&gt;0,$H266&gt;0,OR(AUTOEVENTO&lt;&gt;"manual",$M266&lt;&gt;$A$15)),
        IF(Import.TipoArredondamento&lt;&gt;"TransfereGOV",
              ROUND(OFFSET($P266,0,AM$13),15-13*ORÇAMENTO!$AF$7)/$H266*OFFSET(ORÇAMENTO!$X$15,ROW(AM266)-ROW(AM$15),0),
              ROUND(ROUND(OFFSET($P266,0,AM$13),15-13*ORÇAMENTO!$AF$7)*OFFSET(ORÇAMENTO!$W$15,ROW(AM266)-ROW(AM$15),0),15-13*ORÇAMENTO!$AF$11)),
         0)</f>
        <v>0</v>
      </c>
      <c r="AN266" s="453">
        <f ca="1">IF(AND($D266="Serviço",AN$12&lt;&gt;0,$H266&gt;0,OR(AUTOEVENTO&lt;&gt;"manual",$M266&lt;&gt;$A$15)),
        IF(Import.TipoArredondamento&lt;&gt;"TransfereGOV",
              ROUND(OFFSET($P266,0,AN$13),15-13*ORÇAMENTO!$AF$7)/$H266*OFFSET(ORÇAMENTO!$X$15,ROW(AN266)-ROW(AN$15),0),
              ROUND(ROUND(OFFSET($P266,0,AN$13),15-13*ORÇAMENTO!$AF$7)*OFFSET(ORÇAMENTO!$W$15,ROW(AN266)-ROW(AN$15),0),15-13*ORÇAMENTO!$AF$11)),
         0)</f>
        <v>0</v>
      </c>
      <c r="AO266" s="453">
        <f ca="1">IF(AND($D266="Serviço",AO$12&lt;&gt;0,$H266&gt;0,OR(AUTOEVENTO&lt;&gt;"manual",$M266&lt;&gt;$A$15)),
        IF(Import.TipoArredondamento&lt;&gt;"TransfereGOV",
              ROUND(OFFSET($P266,0,AO$13),15-13*ORÇAMENTO!$AF$7)/$H266*OFFSET(ORÇAMENTO!$X$15,ROW(AO266)-ROW(AO$15),0),
              ROUND(ROUND(OFFSET($P266,0,AO$13),15-13*ORÇAMENTO!$AF$7)*OFFSET(ORÇAMENTO!$W$15,ROW(AO266)-ROW(AO$15),0),15-13*ORÇAMENTO!$AF$11)),
         0)</f>
        <v>0</v>
      </c>
      <c r="AP266" s="453">
        <f ca="1">IF(AND($D266="Serviço",AP$12&lt;&gt;0,$H266&gt;0,OR(AUTOEVENTO&lt;&gt;"manual",$M266&lt;&gt;$A$15)),
        IF(Import.TipoArredondamento&lt;&gt;"TransfereGOV",
              ROUND(OFFSET($P266,0,AP$13),15-13*ORÇAMENTO!$AF$7)/$H266*OFFSET(ORÇAMENTO!$X$15,ROW(AP266)-ROW(AP$15),0),
              ROUND(ROUND(OFFSET($P266,0,AP$13),15-13*ORÇAMENTO!$AF$7)*OFFSET(ORÇAMENTO!$W$15,ROW(AP266)-ROW(AP$15),0),15-13*ORÇAMENTO!$AF$11)),
         0)</f>
        <v>0</v>
      </c>
      <c r="AQ266" s="453">
        <f ca="1">IF(AND($D266="Serviço",AQ$12&lt;&gt;0,$H266&gt;0,OR(AUTOEVENTO&lt;&gt;"manual",$M266&lt;&gt;$A$15)),
        IF(Import.TipoArredondamento&lt;&gt;"TransfereGOV",
              ROUND(OFFSET($P266,0,AQ$13),15-13*ORÇAMENTO!$AF$7)/$H266*OFFSET(ORÇAMENTO!$X$15,ROW(AQ266)-ROW(AQ$15),0),
              ROUND(ROUND(OFFSET($P266,0,AQ$13),15-13*ORÇAMENTO!$AF$7)*OFFSET(ORÇAMENTO!$W$15,ROW(AQ266)-ROW(AQ$15),0),15-13*ORÇAMENTO!$AF$11)),
         0)</f>
        <v>0</v>
      </c>
      <c r="AR266" s="453">
        <f ca="1">IF(AND($D266="Serviço",AR$12&lt;&gt;0,$H266&gt;0,OR(AUTOEVENTO&lt;&gt;"manual",$M266&lt;&gt;$A$15)),
        IF(Import.TipoArredondamento&lt;&gt;"TransfereGOV",
              ROUND(OFFSET($P266,0,AR$13),15-13*ORÇAMENTO!$AF$7)/$H266*OFFSET(ORÇAMENTO!$X$15,ROW(AR266)-ROW(AR$15),0),
              ROUND(ROUND(OFFSET($P266,0,AR$13),15-13*ORÇAMENTO!$AF$7)*OFFSET(ORÇAMENTO!$W$15,ROW(AR266)-ROW(AR$15),0),15-13*ORÇAMENTO!$AF$11)),
         0)</f>
        <v>0</v>
      </c>
      <c r="AS266" s="453">
        <f ca="1">IF(AND($D266="Serviço",AS$12&lt;&gt;0,$H266&gt;0,OR(AUTOEVENTO&lt;&gt;"manual",$M266&lt;&gt;$A$15)),
        IF(Import.TipoArredondamento&lt;&gt;"TransfereGOV",
              ROUND(OFFSET($P266,0,AS$13),15-13*ORÇAMENTO!$AF$7)/$H266*OFFSET(ORÇAMENTO!$X$15,ROW(AS266)-ROW(AS$15),0),
              ROUND(ROUND(OFFSET($P266,0,AS$13),15-13*ORÇAMENTO!$AF$7)*OFFSET(ORÇAMENTO!$W$15,ROW(AS266)-ROW(AS$15),0),15-13*ORÇAMENTO!$AF$11)),
         0)</f>
        <v>0</v>
      </c>
      <c r="AT266" s="453">
        <f ca="1">IF(AND($D266="Serviço",AT$12&lt;&gt;0,$H266&gt;0,OR(AUTOEVENTO&lt;&gt;"manual",$M266&lt;&gt;$A$15)),
        IF(Import.TipoArredondamento&lt;&gt;"TransfereGOV",
              ROUND(OFFSET($P266,0,AT$13),15-13*ORÇAMENTO!$AF$7)/$H266*OFFSET(ORÇAMENTO!$X$15,ROW(AT266)-ROW(AT$15),0),
              ROUND(ROUND(OFFSET($P266,0,AT$13),15-13*ORÇAMENTO!$AF$7)*OFFSET(ORÇAMENTO!$W$15,ROW(AT266)-ROW(AT$15),0),15-13*ORÇAMENTO!$AF$11)),
         0)</f>
        <v>0</v>
      </c>
      <c r="AU266" s="453">
        <f ca="1">IF(AND($D266="Serviço",AU$12&lt;&gt;0,$H266&gt;0,OR(AUTOEVENTO&lt;&gt;"manual",$M266&lt;&gt;$A$15)),
        IF(Import.TipoArredondamento&lt;&gt;"TransfereGOV",
              ROUND(OFFSET($P266,0,AU$13),15-13*ORÇAMENTO!$AF$7)/$H266*OFFSET(ORÇAMENTO!$X$15,ROW(AU266)-ROW(AU$15),0),
              ROUND(ROUND(OFFSET($P266,0,AU$13),15-13*ORÇAMENTO!$AF$7)*OFFSET(ORÇAMENTO!$W$15,ROW(AU266)-ROW(AU$15),0),15-13*ORÇAMENTO!$AF$11)),
         0)</f>
        <v>0</v>
      </c>
      <c r="AV266" s="453">
        <f ca="1">IF(AND($D266="Serviço",AV$12&lt;&gt;0,$H266&gt;0,OR(AUTOEVENTO&lt;&gt;"manual",$M266&lt;&gt;$A$15)),
        IF(Import.TipoArredondamento&lt;&gt;"TransfereGOV",
              ROUND(OFFSET($P266,0,AV$13),15-13*ORÇAMENTO!$AF$7)/$H266*OFFSET(ORÇAMENTO!$X$15,ROW(AV266)-ROW(AV$15),0),
              ROUND(ROUND(OFFSET($P266,0,AV$13),15-13*ORÇAMENTO!$AF$7)*OFFSET(ORÇAMENTO!$W$15,ROW(AV266)-ROW(AV$15),0),15-13*ORÇAMENTO!$AF$11)),
         0)</f>
        <v>0</v>
      </c>
      <c r="AW266" s="453">
        <f ca="1">IF(AND($D266="Serviço",AW$12&lt;&gt;0,$H266&gt;0,OR(AUTOEVENTO&lt;&gt;"manual",$M266&lt;&gt;$A$15)),
        IF(Import.TipoArredondamento&lt;&gt;"TransfereGOV",
              ROUND(OFFSET($P266,0,AW$13),15-13*ORÇAMENTO!$AF$7)/$H266*OFFSET(ORÇAMENTO!$X$15,ROW(AW266)-ROW(AW$15),0),
              ROUND(ROUND(OFFSET($P266,0,AW$13),15-13*ORÇAMENTO!$AF$7)*OFFSET(ORÇAMENTO!$W$15,ROW(AW266)-ROW(AW$15),0),15-13*ORÇAMENTO!$AF$11)),
         0)</f>
        <v>0</v>
      </c>
      <c r="AX266" s="453">
        <f ca="1">IF(AND($D266="Serviço",AX$12&lt;&gt;0,$H266&gt;0,OR(AUTOEVENTO&lt;&gt;"manual",$M266&lt;&gt;$A$15)),
        IF(Import.TipoArredondamento&lt;&gt;"TransfereGOV",
              ROUND(OFFSET($P266,0,AX$13),15-13*ORÇAMENTO!$AF$7)/$H266*OFFSET(ORÇAMENTO!$X$15,ROW(AX266)-ROW(AX$15),0),
              ROUND(ROUND(OFFSET($P266,0,AX$13),15-13*ORÇAMENTO!$AF$7)*OFFSET(ORÇAMENTO!$W$15,ROW(AX266)-ROW(AX$15),0),15-13*ORÇAMENTO!$AF$11)),
         0)</f>
        <v>0</v>
      </c>
      <c r="AY266" s="453">
        <f ca="1">IF(AND($D266="Serviço",AY$12&lt;&gt;0,$H266&gt;0,OR(AUTOEVENTO&lt;&gt;"manual",$M266&lt;&gt;$A$15)),
        IF(Import.TipoArredondamento&lt;&gt;"TransfereGOV",
              ROUND(OFFSET($P266,0,AY$13),15-13*ORÇAMENTO!$AF$7)/$H266*OFFSET(ORÇAMENTO!$X$15,ROW(AY266)-ROW(AY$15),0),
              ROUND(ROUND(OFFSET($P266,0,AY$13),15-13*ORÇAMENTO!$AF$7)*OFFSET(ORÇAMENTO!$W$15,ROW(AY266)-ROW(AY$15),0),15-13*ORÇAMENTO!$AF$11)),
         0)</f>
        <v>0</v>
      </c>
      <c r="AZ266" s="453">
        <f ca="1">IF(AND($D266="Serviço",AZ$12&lt;&gt;0,$H266&gt;0,OR(AUTOEVENTO&lt;&gt;"manual",$M266&lt;&gt;$A$15)),
        IF(Import.TipoArredondamento&lt;&gt;"TransfereGOV",
              ROUND(OFFSET($P266,0,AZ$13),15-13*ORÇAMENTO!$AF$7)/$H266*OFFSET(ORÇAMENTO!$X$15,ROW(AZ266)-ROW(AZ$15),0),
              ROUND(ROUND(OFFSET($P266,0,AZ$13),15-13*ORÇAMENTO!$AF$7)*OFFSET(ORÇAMENTO!$W$15,ROW(AZ266)-ROW(AZ$15),0),15-13*ORÇAMENTO!$AF$11)),
         0)</f>
        <v>0</v>
      </c>
      <c r="BA266" s="453">
        <f ca="1">IF(AND($D266="Serviço",BA$12&lt;&gt;0,$H266&gt;0,OR(AUTOEVENTO&lt;&gt;"manual",$M266&lt;&gt;$A$15)),
        IF(Import.TipoArredondamento&lt;&gt;"TransfereGOV",
              ROUND(OFFSET($P266,0,BA$13),15-13*ORÇAMENTO!$AF$7)/$H266*OFFSET(ORÇAMENTO!$X$15,ROW(BA266)-ROW(BA$15),0),
              ROUND(ROUND(OFFSET($P266,0,BA$13),15-13*ORÇAMENTO!$AF$7)*OFFSET(ORÇAMENTO!$W$15,ROW(BA266)-ROW(BA$15),0),15-13*ORÇAMENTO!$AF$11)),
         0)</f>
        <v>0</v>
      </c>
      <c r="BC266" s="171">
        <f ca="1">IF(OR($D266&lt;&gt;"Serviço",AND(AUTOEVENTO="Manual",$M266=$A$15)),0,
         IF(OFFSET(CRONOPLE!$F$15,$M266-$A$15,BC$13)=0,10^12,OFFSET(CRONOPLE!$F$15,$M266-$A$15,BC$13)))</f>
        <v>1</v>
      </c>
      <c r="BD266" s="171">
        <f ca="1">IF(OR($D266&lt;&gt;"Serviço",AND(AUTOEVENTO="Manual",$M266=$A$15)),0,
         IF(OFFSET(CRONOPLE!$F$15,$M266-$A$15,BD$13)=0,10^12,OFFSET(CRONOPLE!$F$15,$M266-$A$15,BD$13)))</f>
        <v>2</v>
      </c>
      <c r="BE266" s="171">
        <f ca="1">IF(OR($D266&lt;&gt;"Serviço",AND(AUTOEVENTO="Manual",$M266=$A$15)),0,
         IF(OFFSET(CRONOPLE!$F$15,$M266-$A$15,BE$13)=0,10^12,OFFSET(CRONOPLE!$F$15,$M266-$A$15,BE$13)))</f>
        <v>3</v>
      </c>
      <c r="BF266" s="171">
        <f ca="1">IF(OR($D266&lt;&gt;"Serviço",AND(AUTOEVENTO="Manual",$M266=$A$15)),0,
         IF(OFFSET(CRONOPLE!$F$15,$M266-$A$15,BF$13)=0,10^12,OFFSET(CRONOPLE!$F$15,$M266-$A$15,BF$13)))</f>
        <v>4</v>
      </c>
      <c r="BG266" s="171">
        <f ca="1">IF(OR($D266&lt;&gt;"Serviço",AND(AUTOEVENTO="Manual",$M266=$A$15)),0,
         IF(OFFSET(CRONOPLE!$F$15,$M266-$A$15,BG$13)=0,10^12,OFFSET(CRONOPLE!$F$15,$M266-$A$15,BG$13)))</f>
        <v>5</v>
      </c>
      <c r="BH266" s="171">
        <f ca="1">IF(OR($D266&lt;&gt;"Serviço",AND(AUTOEVENTO="Manual",$M266=$A$15)),0,
         IF(OFFSET(CRONOPLE!$F$15,$M266-$A$15,BH$13)=0,10^12,OFFSET(CRONOPLE!$F$15,$M266-$A$15,BH$13)))</f>
        <v>6</v>
      </c>
      <c r="BI266" s="171">
        <f ca="1">IF(OR($D266&lt;&gt;"Serviço",AND(AUTOEVENTO="Manual",$M266=$A$15)),0,
         IF(OFFSET(CRONOPLE!$F$15,$M266-$A$15,BI$13)=0,10^12,OFFSET(CRONOPLE!$F$15,$M266-$A$15,BI$13)))</f>
        <v>7</v>
      </c>
      <c r="BJ266" s="171">
        <f ca="1">IF(OR($D266&lt;&gt;"Serviço",AND(AUTOEVENTO="Manual",$M266=$A$15)),0,
         IF(OFFSET(CRONOPLE!$F$15,$M266-$A$15,BJ$13)=0,10^12,OFFSET(CRONOPLE!$F$15,$M266-$A$15,BJ$13)))</f>
        <v>8</v>
      </c>
      <c r="BK266" s="171">
        <f ca="1">IF(OR($D266&lt;&gt;"Serviço",AND(AUTOEVENTO="Manual",$M266=$A$15)),0,
         IF(OFFSET(CRONOPLE!$F$15,$M266-$A$15,BK$13)=0,10^12,OFFSET(CRONOPLE!$F$15,$M266-$A$15,BK$13)))</f>
        <v>9</v>
      </c>
      <c r="BL266" s="171">
        <f ca="1">IF(OR($D266&lt;&gt;"Serviço",AND(AUTOEVENTO="Manual",$M266=$A$15)),0,
         IF(OFFSET(CRONOPLE!$F$15,$M266-$A$15,BL$13)=0,10^12,OFFSET(CRONOPLE!$F$15,$M266-$A$15,BL$13)))</f>
        <v>1000000000000</v>
      </c>
      <c r="BM266" s="171">
        <f ca="1">IF(OR($D266&lt;&gt;"Serviço",AND(AUTOEVENTO="Manual",$M266=$A$15)),0,
         IF(OFFSET(CRONOPLE!$F$15,$M266-$A$15,BM$13)=0,10^12,OFFSET(CRONOPLE!$F$15,$M266-$A$15,BM$13)))</f>
        <v>1000000000000</v>
      </c>
      <c r="BN266" s="171">
        <f ca="1">IF(OR($D266&lt;&gt;"Serviço",AND(AUTOEVENTO="Manual",$M266=$A$15)),0,
         IF(OFFSET(CRONOPLE!$F$15,$M266-$A$15,BN$13)=0,10^12,OFFSET(CRONOPLE!$F$15,$M266-$A$15,BN$13)))</f>
        <v>1000000000000</v>
      </c>
      <c r="BO266" s="171">
        <f ca="1">IF(OR($D266&lt;&gt;"Serviço",AND(AUTOEVENTO="Manual",$M266=$A$15)),0,
         IF(OFFSET(CRONOPLE!$F$15,$M266-$A$15,BO$13)=0,10^12,OFFSET(CRONOPLE!$F$15,$M266-$A$15,BO$13)))</f>
        <v>1000000000000</v>
      </c>
      <c r="BP266" s="171">
        <f ca="1">IF(OR($D266&lt;&gt;"Serviço",AND(AUTOEVENTO="Manual",$M266=$A$15)),0,
         IF(OFFSET(CRONOPLE!$F$15,$M266-$A$15,BP$13)=0,10^12,OFFSET(CRONOPLE!$F$15,$M266-$A$15,BP$13)))</f>
        <v>1000000000000</v>
      </c>
      <c r="BQ266" s="171">
        <f ca="1">IF(OR($D266&lt;&gt;"Serviço",AND(AUTOEVENTO="Manual",$M266=$A$15)),0,
         IF(OFFSET(CRONOPLE!$F$15,$M266-$A$15,BQ$13)=0,10^12,OFFSET(CRONOPLE!$F$15,$M266-$A$15,BQ$13)))</f>
        <v>1000000000000</v>
      </c>
      <c r="BR266" s="171">
        <f ca="1">IF(OR($D266&lt;&gt;"Serviço",AND(AUTOEVENTO="Manual",$M266=$A$15)),0,
         IF(OFFSET(CRONOPLE!$F$15,$M266-$A$15,BR$13)=0,10^12,OFFSET(CRONOPLE!$F$15,$M266-$A$15,BR$13)))</f>
        <v>1000000000000</v>
      </c>
      <c r="BS266" s="171">
        <f ca="1">IF(OR($D266&lt;&gt;"Serviço",AND(AUTOEVENTO="Manual",$M266=$A$15)),0,
         IF(OFFSET(CRONOPLE!$F$15,$M266-$A$15,BS$13)=0,10^12,OFFSET(CRONOPLE!$F$15,$M266-$A$15,BS$13)))</f>
        <v>1000000000000</v>
      </c>
      <c r="BT266" s="171">
        <f ca="1">IF(OR($D266&lt;&gt;"Serviço",AND(AUTOEVENTO="Manual",$M266=$A$15)),0,
         IF(OFFSET(CRONOPLE!$F$15,$M266-$A$15,BT$13)=0,10^12,OFFSET(CRONOPLE!$F$15,$M266-$A$15,BT$13)))</f>
        <v>1000000000000</v>
      </c>
      <c r="BV266" s="172">
        <f ca="1">IF(OR($D266&lt;&gt;"Serviço",AND(AUTOEVENTO="Manual",$M266=$A$15),$M266&gt;(ROW(PLE.lastrow)-ROW(PLE.firstrow))),0,
           IF(OFFSET(PLE!$G$15,$M266-$A$15,BV$13)="",10^12,OFFSET(PLE!$G$15,$M266-$A$15,BV$13)))</f>
        <v>1000000000000</v>
      </c>
      <c r="BW266" s="172">
        <f ca="1">IF(OR($D266&lt;&gt;"Serviço",AND(AUTOEVENTO="Manual",$M266=$A$15),$M266&gt;(ROW(PLE.lastrow)-ROW(PLE.firstrow))),0,
           IF(OFFSET(PLE!$G$15,$M266-$A$15,BW$13)="",10^12,OFFSET(PLE!$G$15,$M266-$A$15,BW$13)))</f>
        <v>1000000000000</v>
      </c>
      <c r="BX266" s="172">
        <f ca="1">IF(OR($D266&lt;&gt;"Serviço",AND(AUTOEVENTO="Manual",$M266=$A$15),$M266&gt;(ROW(PLE.lastrow)-ROW(PLE.firstrow))),0,
           IF(OFFSET(PLE!$G$15,$M266-$A$15,BX$13)="",10^12,OFFSET(PLE!$G$15,$M266-$A$15,BX$13)))</f>
        <v>1000000000000</v>
      </c>
      <c r="BY266" s="172">
        <f ca="1">IF(OR($D266&lt;&gt;"Serviço",AND(AUTOEVENTO="Manual",$M266=$A$15),$M266&gt;(ROW(PLE.lastrow)-ROW(PLE.firstrow))),0,
           IF(OFFSET(PLE!$G$15,$M266-$A$15,BY$13)="",10^12,OFFSET(PLE!$G$15,$M266-$A$15,BY$13)))</f>
        <v>1000000000000</v>
      </c>
      <c r="BZ266" s="172">
        <f ca="1">IF(OR($D266&lt;&gt;"Serviço",AND(AUTOEVENTO="Manual",$M266=$A$15),$M266&gt;(ROW(PLE.lastrow)-ROW(PLE.firstrow))),0,
           IF(OFFSET(PLE!$G$15,$M266-$A$15,BZ$13)="",10^12,OFFSET(PLE!$G$15,$M266-$A$15,BZ$13)))</f>
        <v>1000000000000</v>
      </c>
      <c r="CA266" s="172">
        <f ca="1">IF(OR($D266&lt;&gt;"Serviço",AND(AUTOEVENTO="Manual",$M266=$A$15),$M266&gt;(ROW(PLE.lastrow)-ROW(PLE.firstrow))),0,
           IF(OFFSET(PLE!$G$15,$M266-$A$15,CA$13)="",10^12,OFFSET(PLE!$G$15,$M266-$A$15,CA$13)))</f>
        <v>1000000000000</v>
      </c>
      <c r="CB266" s="172">
        <f ca="1">IF(OR($D266&lt;&gt;"Serviço",AND(AUTOEVENTO="Manual",$M266=$A$15),$M266&gt;(ROW(PLE.lastrow)-ROW(PLE.firstrow))),0,
           IF(OFFSET(PLE!$G$15,$M266-$A$15,CB$13)="",10^12,OFFSET(PLE!$G$15,$M266-$A$15,CB$13)))</f>
        <v>1000000000000</v>
      </c>
      <c r="CC266" s="172">
        <f ca="1">IF(OR($D266&lt;&gt;"Serviço",AND(AUTOEVENTO="Manual",$M266=$A$15),$M266&gt;(ROW(PLE.lastrow)-ROW(PLE.firstrow))),0,
           IF(OFFSET(PLE!$G$15,$M266-$A$15,CC$13)="",10^12,OFFSET(PLE!$G$15,$M266-$A$15,CC$13)))</f>
        <v>1000000000000</v>
      </c>
      <c r="CD266" s="172">
        <f ca="1">IF(OR($D266&lt;&gt;"Serviço",AND(AUTOEVENTO="Manual",$M266=$A$15),$M266&gt;(ROW(PLE.lastrow)-ROW(PLE.firstrow))),0,
           IF(OFFSET(PLE!$G$15,$M266-$A$15,CD$13)="",10^12,OFFSET(PLE!$G$15,$M266-$A$15,CD$13)))</f>
        <v>1000000000000</v>
      </c>
      <c r="CE266" s="172">
        <f ca="1">IF(OR($D266&lt;&gt;"Serviço",AND(AUTOEVENTO="Manual",$M266=$A$15),$M266&gt;(ROW(PLE.lastrow)-ROW(PLE.firstrow))),0,
           IF(OFFSET(PLE!$G$15,$M266-$A$15,CE$13)="",10^12,OFFSET(PLE!$G$15,$M266-$A$15,CE$13)))</f>
        <v>1000000000000</v>
      </c>
      <c r="CF266" s="172">
        <f ca="1">IF(OR($D266&lt;&gt;"Serviço",AND(AUTOEVENTO="Manual",$M266=$A$15),$M266&gt;(ROW(PLE.lastrow)-ROW(PLE.firstrow))),0,
           IF(OFFSET(PLE!$G$15,$M266-$A$15,CF$13)="",10^12,OFFSET(PLE!$G$15,$M266-$A$15,CF$13)))</f>
        <v>1000000000000</v>
      </c>
      <c r="CG266" s="172">
        <f ca="1">IF(OR($D266&lt;&gt;"Serviço",AND(AUTOEVENTO="Manual",$M266=$A$15),$M266&gt;(ROW(PLE.lastrow)-ROW(PLE.firstrow))),0,
           IF(OFFSET(PLE!$G$15,$M266-$A$15,CG$13)="",10^12,OFFSET(PLE!$G$15,$M266-$A$15,CG$13)))</f>
        <v>1000000000000</v>
      </c>
      <c r="CH266" s="172">
        <f ca="1">IF(OR($D266&lt;&gt;"Serviço",AND(AUTOEVENTO="Manual",$M266=$A$15),$M266&gt;(ROW(PLE.lastrow)-ROW(PLE.firstrow))),0,
           IF(OFFSET(PLE!$G$15,$M266-$A$15,CH$13)="",10^12,OFFSET(PLE!$G$15,$M266-$A$15,CH$13)))</f>
        <v>1000000000000</v>
      </c>
      <c r="CI266" s="172">
        <f ca="1">IF(OR($D266&lt;&gt;"Serviço",AND(AUTOEVENTO="Manual",$M266=$A$15),$M266&gt;(ROW(PLE.lastrow)-ROW(PLE.firstrow))),0,
           IF(OFFSET(PLE!$G$15,$M266-$A$15,CI$13)="",10^12,OFFSET(PLE!$G$15,$M266-$A$15,CI$13)))</f>
        <v>1000000000000</v>
      </c>
      <c r="CJ266" s="172">
        <f ca="1">IF(OR($D266&lt;&gt;"Serviço",AND(AUTOEVENTO="Manual",$M266=$A$15),$M266&gt;(ROW(PLE.lastrow)-ROW(PLE.firstrow))),0,
           IF(OFFSET(PLE!$G$15,$M266-$A$15,CJ$13)="",10^12,OFFSET(PLE!$G$15,$M266-$A$15,CJ$13)))</f>
        <v>1000000000000</v>
      </c>
      <c r="CK266" s="172">
        <f ca="1">IF(OR($D266&lt;&gt;"Serviço",AND(AUTOEVENTO="Manual",$M266=$A$15),$M266&gt;(ROW(PLE.lastrow)-ROW(PLE.firstrow))),0,
           IF(OFFSET(PLE!$G$15,$M266-$A$15,CK$13)="",10^12,OFFSET(PLE!$G$15,$M266-$A$15,CK$13)))</f>
        <v>1000000000000</v>
      </c>
      <c r="CL266" s="172">
        <f ca="1">IF(OR($D266&lt;&gt;"Serviço",AND(AUTOEVENTO="Manual",$M266=$A$15),$M266&gt;(ROW(PLE.lastrow)-ROW(PLE.firstrow))),0,
           IF(OFFSET(PLE!$G$15,$M266-$A$15,CL$13)="",10^12,OFFSET(PLE!$G$15,$M266-$A$15,CL$13)))</f>
        <v>1000000000000</v>
      </c>
      <c r="CM266" s="172">
        <f ca="1">IF(OR($D266&lt;&gt;"Serviço",AND(AUTOEVENTO="Manual",$M266=$A$15),$M266&gt;(ROW(PLE.lastrow)-ROW(PLE.firstrow))),0,
           IF(OFFSET(PLE!$G$15,$M266-$A$15,CM$13)="",10^12,OFFSET(PLE!$G$15,$M266-$A$15,CM$13)))</f>
        <v>1000000000000</v>
      </c>
    </row>
    <row r="267" spans="1:91" ht="51" x14ac:dyDescent="0.2">
      <c r="A267" s="7">
        <f t="shared" ca="1" si="13"/>
        <v>6</v>
      </c>
      <c r="B267" s="7" t="str">
        <f ca="1">OFFSET(ORÇAMENTO!C$15,ROW(B267)-ROW(B$15),0)</f>
        <v>S</v>
      </c>
      <c r="C267" s="7" t="str">
        <f ca="1">OFFSET(ORÇAMENTO!L$15,ROW(C267)-ROW(C$15),0)</f>
        <v>F</v>
      </c>
      <c r="D267" s="116" t="str">
        <f ca="1">OFFSET(ORÇAMENTO!N$15,ROW(D267)-ROW(D$15),0)</f>
        <v>Serviço</v>
      </c>
      <c r="E267" s="117" t="str">
        <f ca="1">OFFSET(ORÇAMENTO!O$15,ROW(E267)-ROW(E$15),0)</f>
        <v>1.7.2.1.3.</v>
      </c>
      <c r="F267" s="163" t="str">
        <f ca="1">OFFSET(ORÇAMENTO!R$15,ROW(F267)-ROW(F$15),0)</f>
        <v>LUVA COM BOLSAS FoFo - DN 400 MM</v>
      </c>
      <c r="G267" s="164" t="str">
        <f ca="1">IF($D267&lt;&gt;"Serviço","",OFFSET(ORÇAMENTO!S$15,ROW(G267)-ROW(G$15),0))</f>
        <v>UN</v>
      </c>
      <c r="H267" s="122" cm="1">
        <f t="array" aca="1" ref="H267" ca="1">IF($D267&lt;&gt;"Serviço",0,IF(ACOMPANHAMENTO="BM",ROUND(OFFSET(ORÇAMENTO!AJ$15,ROW(H267)-ROW(H$15),0),15-13*ORÇAMENTO!$AF$7),SUMPRODUCT(($Q$1:$AI$1=1)*ROUND($Q267:$AI267,15-13*ORÇAMENTO!$AF$7))))</f>
        <v>1</v>
      </c>
      <c r="I267" s="468" t="s">
        <v>1349</v>
      </c>
      <c r="J267" s="640" t="str" cm="1">
        <f t="array" aca="1" ref="J267" ca="1">IF(OR(B267&lt;&gt;"S",CÁLCULO.FrentesPreenchidas=0),"",IF(AND(ACOMPANHAMENTO="PLE",AUTOEVENTO="Manual",OR(H267&gt;0,ORÇAMENTO!AC267="QUANT."),OR(K267="",M267=0,N267="")),"►E",IF(AND(ACOMPANHAMENTO="PLE",ORÇAMENTO!AC267="QUANT."),"►Q",IF(AND(ACOMPANHAMENTO="PLE",H267&lt;&gt;SUMPRODUCT(($Q$1:$AI$1=1)*ROUND(Q267:AI267,15))),"►S",IF(AND(COUNTIF($P$11:$AI$11,"▼")=0,H267&gt;0,I267=""),"◄M","")))))</f>
        <v/>
      </c>
      <c r="K267" s="641" t="s">
        <v>1385</v>
      </c>
      <c r="L267" s="165" t="s">
        <v>764</v>
      </c>
      <c r="M267" s="166">
        <f ca="1">IF($D267&lt;&gt;"Serviço","",
          IF(AUTOEVENTO="manual",$A267,
                IF(ISERROR(MATCH($A267,$A$15:OFFSET($A267,-1,0),0)),MAX($M$15:OFFSET(M267,-1,0))+1,
                      INDEX($M$15:OFFSET(M267,-1,0),MATCH($A267,$A$15:OFFSET($A267,-1,0),0)))))</f>
        <v>6</v>
      </c>
      <c r="N267" s="167" t="str">
        <f ca="1">IF($D267&lt;&gt;"Serviço","",
         IF(AUTOEVENTO="Manual",
                IF($A267=0,"&lt;-- defina o número do agrupador",
                       OFFSET(EVENTOS!$D$15,$A267-$A$15,0)),
                OFFSET($F$15,$A267,0)))</f>
        <v>Saneamento</v>
      </c>
      <c r="O267" s="168"/>
      <c r="Q267" s="168"/>
      <c r="R267" s="169"/>
      <c r="S267" s="169"/>
      <c r="T267" s="169">
        <v>1</v>
      </c>
      <c r="U267" s="169"/>
      <c r="V267" s="169"/>
      <c r="W267" s="169"/>
      <c r="X267" s="169"/>
      <c r="Y267" s="169"/>
      <c r="Z267" s="170"/>
      <c r="AA267" s="169"/>
      <c r="AB267" s="169"/>
      <c r="AC267" s="169"/>
      <c r="AD267" s="169"/>
      <c r="AE267" s="169"/>
      <c r="AF267" s="169"/>
      <c r="AG267" s="169"/>
      <c r="AH267" s="170"/>
      <c r="AJ267" s="453">
        <f ca="1">IF(AND($D267="Serviço",AJ$12&lt;&gt;0,$H267&gt;0,OR(AUTOEVENTO&lt;&gt;"manual",$M267&lt;&gt;$A$15)),
        IF(Import.TipoArredondamento&lt;&gt;"TransfereGOV",
              ROUND(OFFSET($P267,0,AJ$13),15-13*ORÇAMENTO!$AF$7)/$H267*OFFSET(ORÇAMENTO!$X$15,ROW(AJ267)-ROW(AJ$15),0),
              ROUND(ROUND(OFFSET($P267,0,AJ$13),15-13*ORÇAMENTO!$AF$7)*OFFSET(ORÇAMENTO!$W$15,ROW(AJ267)-ROW(AJ$15),0),15-13*ORÇAMENTO!$AF$11)),
         0)</f>
        <v>0</v>
      </c>
      <c r="AK267" s="453">
        <f ca="1">IF(AND($D267="Serviço",AK$12&lt;&gt;0,$H267&gt;0,OR(AUTOEVENTO&lt;&gt;"manual",$M267&lt;&gt;$A$15)),
        IF(Import.TipoArredondamento&lt;&gt;"TransfereGOV",
              ROUND(OFFSET($P267,0,AK$13),15-13*ORÇAMENTO!$AF$7)/$H267*OFFSET(ORÇAMENTO!$X$15,ROW(AK267)-ROW(AK$15),0),
              ROUND(ROUND(OFFSET($P267,0,AK$13),15-13*ORÇAMENTO!$AF$7)*OFFSET(ORÇAMENTO!$W$15,ROW(AK267)-ROW(AK$15),0),15-13*ORÇAMENTO!$AF$11)),
         0)</f>
        <v>0</v>
      </c>
      <c r="AL267" s="453">
        <f ca="1">IF(AND($D267="Serviço",AL$12&lt;&gt;0,$H267&gt;0,OR(AUTOEVENTO&lt;&gt;"manual",$M267&lt;&gt;$A$15)),
        IF(Import.TipoArredondamento&lt;&gt;"TransfereGOV",
              ROUND(OFFSET($P267,0,AL$13),15-13*ORÇAMENTO!$AF$7)/$H267*OFFSET(ORÇAMENTO!$X$15,ROW(AL267)-ROW(AL$15),0),
              ROUND(ROUND(OFFSET($P267,0,AL$13),15-13*ORÇAMENTO!$AF$7)*OFFSET(ORÇAMENTO!$W$15,ROW(AL267)-ROW(AL$15),0),15-13*ORÇAMENTO!$AF$11)),
         0)</f>
        <v>0</v>
      </c>
      <c r="AM267" s="453">
        <f ca="1">IF(AND($D267="Serviço",AM$12&lt;&gt;0,$H267&gt;0,OR(AUTOEVENTO&lt;&gt;"manual",$M267&lt;&gt;$A$15)),
        IF(Import.TipoArredondamento&lt;&gt;"TransfereGOV",
              ROUND(OFFSET($P267,0,AM$13),15-13*ORÇAMENTO!$AF$7)/$H267*OFFSET(ORÇAMENTO!$X$15,ROW(AM267)-ROW(AM$15),0),
              ROUND(ROUND(OFFSET($P267,0,AM$13),15-13*ORÇAMENTO!$AF$7)*OFFSET(ORÇAMENTO!$W$15,ROW(AM267)-ROW(AM$15),0),15-13*ORÇAMENTO!$AF$11)),
         0)</f>
        <v>0</v>
      </c>
      <c r="AN267" s="453">
        <f ca="1">IF(AND($D267="Serviço",AN$12&lt;&gt;0,$H267&gt;0,OR(AUTOEVENTO&lt;&gt;"manual",$M267&lt;&gt;$A$15)),
        IF(Import.TipoArredondamento&lt;&gt;"TransfereGOV",
              ROUND(OFFSET($P267,0,AN$13),15-13*ORÇAMENTO!$AF$7)/$H267*OFFSET(ORÇAMENTO!$X$15,ROW(AN267)-ROW(AN$15),0),
              ROUND(ROUND(OFFSET($P267,0,AN$13),15-13*ORÇAMENTO!$AF$7)*OFFSET(ORÇAMENTO!$W$15,ROW(AN267)-ROW(AN$15),0),15-13*ORÇAMENTO!$AF$11)),
         0)</f>
        <v>0</v>
      </c>
      <c r="AO267" s="453">
        <f ca="1">IF(AND($D267="Serviço",AO$12&lt;&gt;0,$H267&gt;0,OR(AUTOEVENTO&lt;&gt;"manual",$M267&lt;&gt;$A$15)),
        IF(Import.TipoArredondamento&lt;&gt;"TransfereGOV",
              ROUND(OFFSET($P267,0,AO$13),15-13*ORÇAMENTO!$AF$7)/$H267*OFFSET(ORÇAMENTO!$X$15,ROW(AO267)-ROW(AO$15),0),
              ROUND(ROUND(OFFSET($P267,0,AO$13),15-13*ORÇAMENTO!$AF$7)*OFFSET(ORÇAMENTO!$W$15,ROW(AO267)-ROW(AO$15),0),15-13*ORÇAMENTO!$AF$11)),
         0)</f>
        <v>0</v>
      </c>
      <c r="AP267" s="453">
        <f ca="1">IF(AND($D267="Serviço",AP$12&lt;&gt;0,$H267&gt;0,OR(AUTOEVENTO&lt;&gt;"manual",$M267&lt;&gt;$A$15)),
        IF(Import.TipoArredondamento&lt;&gt;"TransfereGOV",
              ROUND(OFFSET($P267,0,AP$13),15-13*ORÇAMENTO!$AF$7)/$H267*OFFSET(ORÇAMENTO!$X$15,ROW(AP267)-ROW(AP$15),0),
              ROUND(ROUND(OFFSET($P267,0,AP$13),15-13*ORÇAMENTO!$AF$7)*OFFSET(ORÇAMENTO!$W$15,ROW(AP267)-ROW(AP$15),0),15-13*ORÇAMENTO!$AF$11)),
         0)</f>
        <v>0</v>
      </c>
      <c r="AQ267" s="453">
        <f ca="1">IF(AND($D267="Serviço",AQ$12&lt;&gt;0,$H267&gt;0,OR(AUTOEVENTO&lt;&gt;"manual",$M267&lt;&gt;$A$15)),
        IF(Import.TipoArredondamento&lt;&gt;"TransfereGOV",
              ROUND(OFFSET($P267,0,AQ$13),15-13*ORÇAMENTO!$AF$7)/$H267*OFFSET(ORÇAMENTO!$X$15,ROW(AQ267)-ROW(AQ$15),0),
              ROUND(ROUND(OFFSET($P267,0,AQ$13),15-13*ORÇAMENTO!$AF$7)*OFFSET(ORÇAMENTO!$W$15,ROW(AQ267)-ROW(AQ$15),0),15-13*ORÇAMENTO!$AF$11)),
         0)</f>
        <v>0</v>
      </c>
      <c r="AR267" s="453">
        <f ca="1">IF(AND($D267="Serviço",AR$12&lt;&gt;0,$H267&gt;0,OR(AUTOEVENTO&lt;&gt;"manual",$M267&lt;&gt;$A$15)),
        IF(Import.TipoArredondamento&lt;&gt;"TransfereGOV",
              ROUND(OFFSET($P267,0,AR$13),15-13*ORÇAMENTO!$AF$7)/$H267*OFFSET(ORÇAMENTO!$X$15,ROW(AR267)-ROW(AR$15),0),
              ROUND(ROUND(OFFSET($P267,0,AR$13),15-13*ORÇAMENTO!$AF$7)*OFFSET(ORÇAMENTO!$W$15,ROW(AR267)-ROW(AR$15),0),15-13*ORÇAMENTO!$AF$11)),
         0)</f>
        <v>0</v>
      </c>
      <c r="AS267" s="453">
        <f ca="1">IF(AND($D267="Serviço",AS$12&lt;&gt;0,$H267&gt;0,OR(AUTOEVENTO&lt;&gt;"manual",$M267&lt;&gt;$A$15)),
        IF(Import.TipoArredondamento&lt;&gt;"TransfereGOV",
              ROUND(OFFSET($P267,0,AS$13),15-13*ORÇAMENTO!$AF$7)/$H267*OFFSET(ORÇAMENTO!$X$15,ROW(AS267)-ROW(AS$15),0),
              ROUND(ROUND(OFFSET($P267,0,AS$13),15-13*ORÇAMENTO!$AF$7)*OFFSET(ORÇAMENTO!$W$15,ROW(AS267)-ROW(AS$15),0),15-13*ORÇAMENTO!$AF$11)),
         0)</f>
        <v>0</v>
      </c>
      <c r="AT267" s="453">
        <f ca="1">IF(AND($D267="Serviço",AT$12&lt;&gt;0,$H267&gt;0,OR(AUTOEVENTO&lt;&gt;"manual",$M267&lt;&gt;$A$15)),
        IF(Import.TipoArredondamento&lt;&gt;"TransfereGOV",
              ROUND(OFFSET($P267,0,AT$13),15-13*ORÇAMENTO!$AF$7)/$H267*OFFSET(ORÇAMENTO!$X$15,ROW(AT267)-ROW(AT$15),0),
              ROUND(ROUND(OFFSET($P267,0,AT$13),15-13*ORÇAMENTO!$AF$7)*OFFSET(ORÇAMENTO!$W$15,ROW(AT267)-ROW(AT$15),0),15-13*ORÇAMENTO!$AF$11)),
         0)</f>
        <v>0</v>
      </c>
      <c r="AU267" s="453">
        <f ca="1">IF(AND($D267="Serviço",AU$12&lt;&gt;0,$H267&gt;0,OR(AUTOEVENTO&lt;&gt;"manual",$M267&lt;&gt;$A$15)),
        IF(Import.TipoArredondamento&lt;&gt;"TransfereGOV",
              ROUND(OFFSET($P267,0,AU$13),15-13*ORÇAMENTO!$AF$7)/$H267*OFFSET(ORÇAMENTO!$X$15,ROW(AU267)-ROW(AU$15),0),
              ROUND(ROUND(OFFSET($P267,0,AU$13),15-13*ORÇAMENTO!$AF$7)*OFFSET(ORÇAMENTO!$W$15,ROW(AU267)-ROW(AU$15),0),15-13*ORÇAMENTO!$AF$11)),
         0)</f>
        <v>0</v>
      </c>
      <c r="AV267" s="453">
        <f ca="1">IF(AND($D267="Serviço",AV$12&lt;&gt;0,$H267&gt;0,OR(AUTOEVENTO&lt;&gt;"manual",$M267&lt;&gt;$A$15)),
        IF(Import.TipoArredondamento&lt;&gt;"TransfereGOV",
              ROUND(OFFSET($P267,0,AV$13),15-13*ORÇAMENTO!$AF$7)/$H267*OFFSET(ORÇAMENTO!$X$15,ROW(AV267)-ROW(AV$15),0),
              ROUND(ROUND(OFFSET($P267,0,AV$13),15-13*ORÇAMENTO!$AF$7)*OFFSET(ORÇAMENTO!$W$15,ROW(AV267)-ROW(AV$15),0),15-13*ORÇAMENTO!$AF$11)),
         0)</f>
        <v>0</v>
      </c>
      <c r="AW267" s="453">
        <f ca="1">IF(AND($D267="Serviço",AW$12&lt;&gt;0,$H267&gt;0,OR(AUTOEVENTO&lt;&gt;"manual",$M267&lt;&gt;$A$15)),
        IF(Import.TipoArredondamento&lt;&gt;"TransfereGOV",
              ROUND(OFFSET($P267,0,AW$13),15-13*ORÇAMENTO!$AF$7)/$H267*OFFSET(ORÇAMENTO!$X$15,ROW(AW267)-ROW(AW$15),0),
              ROUND(ROUND(OFFSET($P267,0,AW$13),15-13*ORÇAMENTO!$AF$7)*OFFSET(ORÇAMENTO!$W$15,ROW(AW267)-ROW(AW$15),0),15-13*ORÇAMENTO!$AF$11)),
         0)</f>
        <v>0</v>
      </c>
      <c r="AX267" s="453">
        <f ca="1">IF(AND($D267="Serviço",AX$12&lt;&gt;0,$H267&gt;0,OR(AUTOEVENTO&lt;&gt;"manual",$M267&lt;&gt;$A$15)),
        IF(Import.TipoArredondamento&lt;&gt;"TransfereGOV",
              ROUND(OFFSET($P267,0,AX$13),15-13*ORÇAMENTO!$AF$7)/$H267*OFFSET(ORÇAMENTO!$X$15,ROW(AX267)-ROW(AX$15),0),
              ROUND(ROUND(OFFSET($P267,0,AX$13),15-13*ORÇAMENTO!$AF$7)*OFFSET(ORÇAMENTO!$W$15,ROW(AX267)-ROW(AX$15),0),15-13*ORÇAMENTO!$AF$11)),
         0)</f>
        <v>0</v>
      </c>
      <c r="AY267" s="453">
        <f ca="1">IF(AND($D267="Serviço",AY$12&lt;&gt;0,$H267&gt;0,OR(AUTOEVENTO&lt;&gt;"manual",$M267&lt;&gt;$A$15)),
        IF(Import.TipoArredondamento&lt;&gt;"TransfereGOV",
              ROUND(OFFSET($P267,0,AY$13),15-13*ORÇAMENTO!$AF$7)/$H267*OFFSET(ORÇAMENTO!$X$15,ROW(AY267)-ROW(AY$15),0),
              ROUND(ROUND(OFFSET($P267,0,AY$13),15-13*ORÇAMENTO!$AF$7)*OFFSET(ORÇAMENTO!$W$15,ROW(AY267)-ROW(AY$15),0),15-13*ORÇAMENTO!$AF$11)),
         0)</f>
        <v>0</v>
      </c>
      <c r="AZ267" s="453">
        <f ca="1">IF(AND($D267="Serviço",AZ$12&lt;&gt;0,$H267&gt;0,OR(AUTOEVENTO&lt;&gt;"manual",$M267&lt;&gt;$A$15)),
        IF(Import.TipoArredondamento&lt;&gt;"TransfereGOV",
              ROUND(OFFSET($P267,0,AZ$13),15-13*ORÇAMENTO!$AF$7)/$H267*OFFSET(ORÇAMENTO!$X$15,ROW(AZ267)-ROW(AZ$15),0),
              ROUND(ROUND(OFFSET($P267,0,AZ$13),15-13*ORÇAMENTO!$AF$7)*OFFSET(ORÇAMENTO!$W$15,ROW(AZ267)-ROW(AZ$15),0),15-13*ORÇAMENTO!$AF$11)),
         0)</f>
        <v>0</v>
      </c>
      <c r="BA267" s="453">
        <f ca="1">IF(AND($D267="Serviço",BA$12&lt;&gt;0,$H267&gt;0,OR(AUTOEVENTO&lt;&gt;"manual",$M267&lt;&gt;$A$15)),
        IF(Import.TipoArredondamento&lt;&gt;"TransfereGOV",
              ROUND(OFFSET($P267,0,BA$13),15-13*ORÇAMENTO!$AF$7)/$H267*OFFSET(ORÇAMENTO!$X$15,ROW(BA267)-ROW(BA$15),0),
              ROUND(ROUND(OFFSET($P267,0,BA$13),15-13*ORÇAMENTO!$AF$7)*OFFSET(ORÇAMENTO!$W$15,ROW(BA267)-ROW(BA$15),0),15-13*ORÇAMENTO!$AF$11)),
         0)</f>
        <v>0</v>
      </c>
      <c r="BC267" s="171">
        <f ca="1">IF(OR($D267&lt;&gt;"Serviço",AND(AUTOEVENTO="Manual",$M267=$A$15)),0,
         IF(OFFSET(CRONOPLE!$F$15,$M267-$A$15,BC$13)=0,10^12,OFFSET(CRONOPLE!$F$15,$M267-$A$15,BC$13)))</f>
        <v>1</v>
      </c>
      <c r="BD267" s="171">
        <f ca="1">IF(OR($D267&lt;&gt;"Serviço",AND(AUTOEVENTO="Manual",$M267=$A$15)),0,
         IF(OFFSET(CRONOPLE!$F$15,$M267-$A$15,BD$13)=0,10^12,OFFSET(CRONOPLE!$F$15,$M267-$A$15,BD$13)))</f>
        <v>2</v>
      </c>
      <c r="BE267" s="171">
        <f ca="1">IF(OR($D267&lt;&gt;"Serviço",AND(AUTOEVENTO="Manual",$M267=$A$15)),0,
         IF(OFFSET(CRONOPLE!$F$15,$M267-$A$15,BE$13)=0,10^12,OFFSET(CRONOPLE!$F$15,$M267-$A$15,BE$13)))</f>
        <v>3</v>
      </c>
      <c r="BF267" s="171">
        <f ca="1">IF(OR($D267&lt;&gt;"Serviço",AND(AUTOEVENTO="Manual",$M267=$A$15)),0,
         IF(OFFSET(CRONOPLE!$F$15,$M267-$A$15,BF$13)=0,10^12,OFFSET(CRONOPLE!$F$15,$M267-$A$15,BF$13)))</f>
        <v>4</v>
      </c>
      <c r="BG267" s="171">
        <f ca="1">IF(OR($D267&lt;&gt;"Serviço",AND(AUTOEVENTO="Manual",$M267=$A$15)),0,
         IF(OFFSET(CRONOPLE!$F$15,$M267-$A$15,BG$13)=0,10^12,OFFSET(CRONOPLE!$F$15,$M267-$A$15,BG$13)))</f>
        <v>5</v>
      </c>
      <c r="BH267" s="171">
        <f ca="1">IF(OR($D267&lt;&gt;"Serviço",AND(AUTOEVENTO="Manual",$M267=$A$15)),0,
         IF(OFFSET(CRONOPLE!$F$15,$M267-$A$15,BH$13)=0,10^12,OFFSET(CRONOPLE!$F$15,$M267-$A$15,BH$13)))</f>
        <v>6</v>
      </c>
      <c r="BI267" s="171">
        <f ca="1">IF(OR($D267&lt;&gt;"Serviço",AND(AUTOEVENTO="Manual",$M267=$A$15)),0,
         IF(OFFSET(CRONOPLE!$F$15,$M267-$A$15,BI$13)=0,10^12,OFFSET(CRONOPLE!$F$15,$M267-$A$15,BI$13)))</f>
        <v>7</v>
      </c>
      <c r="BJ267" s="171">
        <f ca="1">IF(OR($D267&lt;&gt;"Serviço",AND(AUTOEVENTO="Manual",$M267=$A$15)),0,
         IF(OFFSET(CRONOPLE!$F$15,$M267-$A$15,BJ$13)=0,10^12,OFFSET(CRONOPLE!$F$15,$M267-$A$15,BJ$13)))</f>
        <v>8</v>
      </c>
      <c r="BK267" s="171">
        <f ca="1">IF(OR($D267&lt;&gt;"Serviço",AND(AUTOEVENTO="Manual",$M267=$A$15)),0,
         IF(OFFSET(CRONOPLE!$F$15,$M267-$A$15,BK$13)=0,10^12,OFFSET(CRONOPLE!$F$15,$M267-$A$15,BK$13)))</f>
        <v>9</v>
      </c>
      <c r="BL267" s="171">
        <f ca="1">IF(OR($D267&lt;&gt;"Serviço",AND(AUTOEVENTO="Manual",$M267=$A$15)),0,
         IF(OFFSET(CRONOPLE!$F$15,$M267-$A$15,BL$13)=0,10^12,OFFSET(CRONOPLE!$F$15,$M267-$A$15,BL$13)))</f>
        <v>1000000000000</v>
      </c>
      <c r="BM267" s="171">
        <f ca="1">IF(OR($D267&lt;&gt;"Serviço",AND(AUTOEVENTO="Manual",$M267=$A$15)),0,
         IF(OFFSET(CRONOPLE!$F$15,$M267-$A$15,BM$13)=0,10^12,OFFSET(CRONOPLE!$F$15,$M267-$A$15,BM$13)))</f>
        <v>1000000000000</v>
      </c>
      <c r="BN267" s="171">
        <f ca="1">IF(OR($D267&lt;&gt;"Serviço",AND(AUTOEVENTO="Manual",$M267=$A$15)),0,
         IF(OFFSET(CRONOPLE!$F$15,$M267-$A$15,BN$13)=0,10^12,OFFSET(CRONOPLE!$F$15,$M267-$A$15,BN$13)))</f>
        <v>1000000000000</v>
      </c>
      <c r="BO267" s="171">
        <f ca="1">IF(OR($D267&lt;&gt;"Serviço",AND(AUTOEVENTO="Manual",$M267=$A$15)),0,
         IF(OFFSET(CRONOPLE!$F$15,$M267-$A$15,BO$13)=0,10^12,OFFSET(CRONOPLE!$F$15,$M267-$A$15,BO$13)))</f>
        <v>1000000000000</v>
      </c>
      <c r="BP267" s="171">
        <f ca="1">IF(OR($D267&lt;&gt;"Serviço",AND(AUTOEVENTO="Manual",$M267=$A$15)),0,
         IF(OFFSET(CRONOPLE!$F$15,$M267-$A$15,BP$13)=0,10^12,OFFSET(CRONOPLE!$F$15,$M267-$A$15,BP$13)))</f>
        <v>1000000000000</v>
      </c>
      <c r="BQ267" s="171">
        <f ca="1">IF(OR($D267&lt;&gt;"Serviço",AND(AUTOEVENTO="Manual",$M267=$A$15)),0,
         IF(OFFSET(CRONOPLE!$F$15,$M267-$A$15,BQ$13)=0,10^12,OFFSET(CRONOPLE!$F$15,$M267-$A$15,BQ$13)))</f>
        <v>1000000000000</v>
      </c>
      <c r="BR267" s="171">
        <f ca="1">IF(OR($D267&lt;&gt;"Serviço",AND(AUTOEVENTO="Manual",$M267=$A$15)),0,
         IF(OFFSET(CRONOPLE!$F$15,$M267-$A$15,BR$13)=0,10^12,OFFSET(CRONOPLE!$F$15,$M267-$A$15,BR$13)))</f>
        <v>1000000000000</v>
      </c>
      <c r="BS267" s="171">
        <f ca="1">IF(OR($D267&lt;&gt;"Serviço",AND(AUTOEVENTO="Manual",$M267=$A$15)),0,
         IF(OFFSET(CRONOPLE!$F$15,$M267-$A$15,BS$13)=0,10^12,OFFSET(CRONOPLE!$F$15,$M267-$A$15,BS$13)))</f>
        <v>1000000000000</v>
      </c>
      <c r="BT267" s="171">
        <f ca="1">IF(OR($D267&lt;&gt;"Serviço",AND(AUTOEVENTO="Manual",$M267=$A$15)),0,
         IF(OFFSET(CRONOPLE!$F$15,$M267-$A$15,BT$13)=0,10^12,OFFSET(CRONOPLE!$F$15,$M267-$A$15,BT$13)))</f>
        <v>1000000000000</v>
      </c>
      <c r="BV267" s="172">
        <f ca="1">IF(OR($D267&lt;&gt;"Serviço",AND(AUTOEVENTO="Manual",$M267=$A$15),$M267&gt;(ROW(PLE.lastrow)-ROW(PLE.firstrow))),0,
           IF(OFFSET(PLE!$G$15,$M267-$A$15,BV$13)="",10^12,OFFSET(PLE!$G$15,$M267-$A$15,BV$13)))</f>
        <v>1000000000000</v>
      </c>
      <c r="BW267" s="172">
        <f ca="1">IF(OR($D267&lt;&gt;"Serviço",AND(AUTOEVENTO="Manual",$M267=$A$15),$M267&gt;(ROW(PLE.lastrow)-ROW(PLE.firstrow))),0,
           IF(OFFSET(PLE!$G$15,$M267-$A$15,BW$13)="",10^12,OFFSET(PLE!$G$15,$M267-$A$15,BW$13)))</f>
        <v>1000000000000</v>
      </c>
      <c r="BX267" s="172">
        <f ca="1">IF(OR($D267&lt;&gt;"Serviço",AND(AUTOEVENTO="Manual",$M267=$A$15),$M267&gt;(ROW(PLE.lastrow)-ROW(PLE.firstrow))),0,
           IF(OFFSET(PLE!$G$15,$M267-$A$15,BX$13)="",10^12,OFFSET(PLE!$G$15,$M267-$A$15,BX$13)))</f>
        <v>1000000000000</v>
      </c>
      <c r="BY267" s="172">
        <f ca="1">IF(OR($D267&lt;&gt;"Serviço",AND(AUTOEVENTO="Manual",$M267=$A$15),$M267&gt;(ROW(PLE.lastrow)-ROW(PLE.firstrow))),0,
           IF(OFFSET(PLE!$G$15,$M267-$A$15,BY$13)="",10^12,OFFSET(PLE!$G$15,$M267-$A$15,BY$13)))</f>
        <v>1000000000000</v>
      </c>
      <c r="BZ267" s="172">
        <f ca="1">IF(OR($D267&lt;&gt;"Serviço",AND(AUTOEVENTO="Manual",$M267=$A$15),$M267&gt;(ROW(PLE.lastrow)-ROW(PLE.firstrow))),0,
           IF(OFFSET(PLE!$G$15,$M267-$A$15,BZ$13)="",10^12,OFFSET(PLE!$G$15,$M267-$A$15,BZ$13)))</f>
        <v>1000000000000</v>
      </c>
      <c r="CA267" s="172">
        <f ca="1">IF(OR($D267&lt;&gt;"Serviço",AND(AUTOEVENTO="Manual",$M267=$A$15),$M267&gt;(ROW(PLE.lastrow)-ROW(PLE.firstrow))),0,
           IF(OFFSET(PLE!$G$15,$M267-$A$15,CA$13)="",10^12,OFFSET(PLE!$G$15,$M267-$A$15,CA$13)))</f>
        <v>1000000000000</v>
      </c>
      <c r="CB267" s="172">
        <f ca="1">IF(OR($D267&lt;&gt;"Serviço",AND(AUTOEVENTO="Manual",$M267=$A$15),$M267&gt;(ROW(PLE.lastrow)-ROW(PLE.firstrow))),0,
           IF(OFFSET(PLE!$G$15,$M267-$A$15,CB$13)="",10^12,OFFSET(PLE!$G$15,$M267-$A$15,CB$13)))</f>
        <v>1000000000000</v>
      </c>
      <c r="CC267" s="172">
        <f ca="1">IF(OR($D267&lt;&gt;"Serviço",AND(AUTOEVENTO="Manual",$M267=$A$15),$M267&gt;(ROW(PLE.lastrow)-ROW(PLE.firstrow))),0,
           IF(OFFSET(PLE!$G$15,$M267-$A$15,CC$13)="",10^12,OFFSET(PLE!$G$15,$M267-$A$15,CC$13)))</f>
        <v>1000000000000</v>
      </c>
      <c r="CD267" s="172">
        <f ca="1">IF(OR($D267&lt;&gt;"Serviço",AND(AUTOEVENTO="Manual",$M267=$A$15),$M267&gt;(ROW(PLE.lastrow)-ROW(PLE.firstrow))),0,
           IF(OFFSET(PLE!$G$15,$M267-$A$15,CD$13)="",10^12,OFFSET(PLE!$G$15,$M267-$A$15,CD$13)))</f>
        <v>1000000000000</v>
      </c>
      <c r="CE267" s="172">
        <f ca="1">IF(OR($D267&lt;&gt;"Serviço",AND(AUTOEVENTO="Manual",$M267=$A$15),$M267&gt;(ROW(PLE.lastrow)-ROW(PLE.firstrow))),0,
           IF(OFFSET(PLE!$G$15,$M267-$A$15,CE$13)="",10^12,OFFSET(PLE!$G$15,$M267-$A$15,CE$13)))</f>
        <v>1000000000000</v>
      </c>
      <c r="CF267" s="172">
        <f ca="1">IF(OR($D267&lt;&gt;"Serviço",AND(AUTOEVENTO="Manual",$M267=$A$15),$M267&gt;(ROW(PLE.lastrow)-ROW(PLE.firstrow))),0,
           IF(OFFSET(PLE!$G$15,$M267-$A$15,CF$13)="",10^12,OFFSET(PLE!$G$15,$M267-$A$15,CF$13)))</f>
        <v>1000000000000</v>
      </c>
      <c r="CG267" s="172">
        <f ca="1">IF(OR($D267&lt;&gt;"Serviço",AND(AUTOEVENTO="Manual",$M267=$A$15),$M267&gt;(ROW(PLE.lastrow)-ROW(PLE.firstrow))),0,
           IF(OFFSET(PLE!$G$15,$M267-$A$15,CG$13)="",10^12,OFFSET(PLE!$G$15,$M267-$A$15,CG$13)))</f>
        <v>1000000000000</v>
      </c>
      <c r="CH267" s="172">
        <f ca="1">IF(OR($D267&lt;&gt;"Serviço",AND(AUTOEVENTO="Manual",$M267=$A$15),$M267&gt;(ROW(PLE.lastrow)-ROW(PLE.firstrow))),0,
           IF(OFFSET(PLE!$G$15,$M267-$A$15,CH$13)="",10^12,OFFSET(PLE!$G$15,$M267-$A$15,CH$13)))</f>
        <v>1000000000000</v>
      </c>
      <c r="CI267" s="172">
        <f ca="1">IF(OR($D267&lt;&gt;"Serviço",AND(AUTOEVENTO="Manual",$M267=$A$15),$M267&gt;(ROW(PLE.lastrow)-ROW(PLE.firstrow))),0,
           IF(OFFSET(PLE!$G$15,$M267-$A$15,CI$13)="",10^12,OFFSET(PLE!$G$15,$M267-$A$15,CI$13)))</f>
        <v>1000000000000</v>
      </c>
      <c r="CJ267" s="172">
        <f ca="1">IF(OR($D267&lt;&gt;"Serviço",AND(AUTOEVENTO="Manual",$M267=$A$15),$M267&gt;(ROW(PLE.lastrow)-ROW(PLE.firstrow))),0,
           IF(OFFSET(PLE!$G$15,$M267-$A$15,CJ$13)="",10^12,OFFSET(PLE!$G$15,$M267-$A$15,CJ$13)))</f>
        <v>1000000000000</v>
      </c>
      <c r="CK267" s="172">
        <f ca="1">IF(OR($D267&lt;&gt;"Serviço",AND(AUTOEVENTO="Manual",$M267=$A$15),$M267&gt;(ROW(PLE.lastrow)-ROW(PLE.firstrow))),0,
           IF(OFFSET(PLE!$G$15,$M267-$A$15,CK$13)="",10^12,OFFSET(PLE!$G$15,$M267-$A$15,CK$13)))</f>
        <v>1000000000000</v>
      </c>
      <c r="CL267" s="172">
        <f ca="1">IF(OR($D267&lt;&gt;"Serviço",AND(AUTOEVENTO="Manual",$M267=$A$15),$M267&gt;(ROW(PLE.lastrow)-ROW(PLE.firstrow))),0,
           IF(OFFSET(PLE!$G$15,$M267-$A$15,CL$13)="",10^12,OFFSET(PLE!$G$15,$M267-$A$15,CL$13)))</f>
        <v>1000000000000</v>
      </c>
      <c r="CM267" s="172">
        <f ca="1">IF(OR($D267&lt;&gt;"Serviço",AND(AUTOEVENTO="Manual",$M267=$A$15),$M267&gt;(ROW(PLE.lastrow)-ROW(PLE.firstrow))),0,
           IF(OFFSET(PLE!$G$15,$M267-$A$15,CM$13)="",10^12,OFFSET(PLE!$G$15,$M267-$A$15,CM$13)))</f>
        <v>1000000000000</v>
      </c>
    </row>
    <row r="268" spans="1:91" ht="51" x14ac:dyDescent="0.2">
      <c r="A268" s="7">
        <f t="shared" ca="1" si="13"/>
        <v>6</v>
      </c>
      <c r="B268" s="7" t="str">
        <f ca="1">OFFSET(ORÇAMENTO!C$15,ROW(B268)-ROW(B$15),0)</f>
        <v>S</v>
      </c>
      <c r="C268" s="7" t="str">
        <f ca="1">OFFSET(ORÇAMENTO!L$15,ROW(C268)-ROW(C$15),0)</f>
        <v>F</v>
      </c>
      <c r="D268" s="116" t="str">
        <f ca="1">OFFSET(ORÇAMENTO!N$15,ROW(D268)-ROW(D$15),0)</f>
        <v>Serviço</v>
      </c>
      <c r="E268" s="117" t="str">
        <f ca="1">OFFSET(ORÇAMENTO!O$15,ROW(E268)-ROW(E$15),0)</f>
        <v>1.7.2.1.4.</v>
      </c>
      <c r="F268" s="163" t="str">
        <f ca="1">OFFSET(ORÇAMENTO!R$15,ROW(F268)-ROW(F$15),0)</f>
        <v>TUBO PONTA/BOLSA FoFo - DN 150 MM</v>
      </c>
      <c r="G268" s="164" t="str">
        <f ca="1">IF($D268&lt;&gt;"Serviço","",OFFSET(ORÇAMENTO!S$15,ROW(G268)-ROW(G$15),0))</f>
        <v>M</v>
      </c>
      <c r="H268" s="122" cm="1">
        <f t="array" aca="1" ref="H268" ca="1">IF($D268&lt;&gt;"Serviço",0,IF(ACOMPANHAMENTO="BM",ROUND(OFFSET(ORÇAMENTO!AJ$15,ROW(H268)-ROW(H$15),0),15-13*ORÇAMENTO!$AF$7),SUMPRODUCT(($Q$1:$AI$1=1)*ROUND($Q268:$AI268,15-13*ORÇAMENTO!$AF$7))))</f>
        <v>9.25</v>
      </c>
      <c r="I268" s="468" t="s">
        <v>1349</v>
      </c>
      <c r="J268" s="640" t="str" cm="1">
        <f t="array" aca="1" ref="J268" ca="1">IF(OR(B268&lt;&gt;"S",CÁLCULO.FrentesPreenchidas=0),"",IF(AND(ACOMPANHAMENTO="PLE",AUTOEVENTO="Manual",OR(H268&gt;0,ORÇAMENTO!AC268="QUANT."),OR(K268="",M268=0,N268="")),"►E",IF(AND(ACOMPANHAMENTO="PLE",ORÇAMENTO!AC268="QUANT."),"►Q",IF(AND(ACOMPANHAMENTO="PLE",H268&lt;&gt;SUMPRODUCT(($Q$1:$AI$1=1)*ROUND(Q268:AI268,15))),"►S",IF(AND(COUNTIF($P$11:$AI$11,"▼")=0,H268&gt;0,I268=""),"◄M","")))))</f>
        <v/>
      </c>
      <c r="K268" s="641" t="s">
        <v>1385</v>
      </c>
      <c r="L268" s="165" t="s">
        <v>764</v>
      </c>
      <c r="M268" s="166">
        <f ca="1">IF($D268&lt;&gt;"Serviço","",
          IF(AUTOEVENTO="manual",$A268,
                IF(ISERROR(MATCH($A268,$A$15:OFFSET($A268,-1,0),0)),MAX($M$15:OFFSET(M268,-1,0))+1,
                      INDEX($M$15:OFFSET(M268,-1,0),MATCH($A268,$A$15:OFFSET($A268,-1,0),0)))))</f>
        <v>6</v>
      </c>
      <c r="N268" s="167" t="str">
        <f ca="1">IF($D268&lt;&gt;"Serviço","",
         IF(AUTOEVENTO="Manual",
                IF($A268=0,"&lt;-- defina o número do agrupador",
                       OFFSET(EVENTOS!$D$15,$A268-$A$15,0)),
                OFFSET($F$15,$A268,0)))</f>
        <v>Saneamento</v>
      </c>
      <c r="O268" s="168"/>
      <c r="Q268" s="168"/>
      <c r="R268" s="169"/>
      <c r="S268" s="169"/>
      <c r="T268" s="169">
        <v>9.25</v>
      </c>
      <c r="U268" s="169"/>
      <c r="V268" s="169"/>
      <c r="W268" s="169"/>
      <c r="X268" s="169"/>
      <c r="Y268" s="169"/>
      <c r="Z268" s="170"/>
      <c r="AA268" s="169"/>
      <c r="AB268" s="169"/>
      <c r="AC268" s="169"/>
      <c r="AD268" s="169"/>
      <c r="AE268" s="169"/>
      <c r="AF268" s="169"/>
      <c r="AG268" s="169"/>
      <c r="AH268" s="170"/>
      <c r="AJ268" s="453">
        <f ca="1">IF(AND($D268="Serviço",AJ$12&lt;&gt;0,$H268&gt;0,OR(AUTOEVENTO&lt;&gt;"manual",$M268&lt;&gt;$A$15)),
        IF(Import.TipoArredondamento&lt;&gt;"TransfereGOV",
              ROUND(OFFSET($P268,0,AJ$13),15-13*ORÇAMENTO!$AF$7)/$H268*OFFSET(ORÇAMENTO!$X$15,ROW(AJ268)-ROW(AJ$15),0),
              ROUND(ROUND(OFFSET($P268,0,AJ$13),15-13*ORÇAMENTO!$AF$7)*OFFSET(ORÇAMENTO!$W$15,ROW(AJ268)-ROW(AJ$15),0),15-13*ORÇAMENTO!$AF$11)),
         0)</f>
        <v>0</v>
      </c>
      <c r="AK268" s="453">
        <f ca="1">IF(AND($D268="Serviço",AK$12&lt;&gt;0,$H268&gt;0,OR(AUTOEVENTO&lt;&gt;"manual",$M268&lt;&gt;$A$15)),
        IF(Import.TipoArredondamento&lt;&gt;"TransfereGOV",
              ROUND(OFFSET($P268,0,AK$13),15-13*ORÇAMENTO!$AF$7)/$H268*OFFSET(ORÇAMENTO!$X$15,ROW(AK268)-ROW(AK$15),0),
              ROUND(ROUND(OFFSET($P268,0,AK$13),15-13*ORÇAMENTO!$AF$7)*OFFSET(ORÇAMENTO!$W$15,ROW(AK268)-ROW(AK$15),0),15-13*ORÇAMENTO!$AF$11)),
         0)</f>
        <v>0</v>
      </c>
      <c r="AL268" s="453">
        <f ca="1">IF(AND($D268="Serviço",AL$12&lt;&gt;0,$H268&gt;0,OR(AUTOEVENTO&lt;&gt;"manual",$M268&lt;&gt;$A$15)),
        IF(Import.TipoArredondamento&lt;&gt;"TransfereGOV",
              ROUND(OFFSET($P268,0,AL$13),15-13*ORÇAMENTO!$AF$7)/$H268*OFFSET(ORÇAMENTO!$X$15,ROW(AL268)-ROW(AL$15),0),
              ROUND(ROUND(OFFSET($P268,0,AL$13),15-13*ORÇAMENTO!$AF$7)*OFFSET(ORÇAMENTO!$W$15,ROW(AL268)-ROW(AL$15),0),15-13*ORÇAMENTO!$AF$11)),
         0)</f>
        <v>0</v>
      </c>
      <c r="AM268" s="453">
        <f ca="1">IF(AND($D268="Serviço",AM$12&lt;&gt;0,$H268&gt;0,OR(AUTOEVENTO&lt;&gt;"manual",$M268&lt;&gt;$A$15)),
        IF(Import.TipoArredondamento&lt;&gt;"TransfereGOV",
              ROUND(OFFSET($P268,0,AM$13),15-13*ORÇAMENTO!$AF$7)/$H268*OFFSET(ORÇAMENTO!$X$15,ROW(AM268)-ROW(AM$15),0),
              ROUND(ROUND(OFFSET($P268,0,AM$13),15-13*ORÇAMENTO!$AF$7)*OFFSET(ORÇAMENTO!$W$15,ROW(AM268)-ROW(AM$15),0),15-13*ORÇAMENTO!$AF$11)),
         0)</f>
        <v>0</v>
      </c>
      <c r="AN268" s="453">
        <f ca="1">IF(AND($D268="Serviço",AN$12&lt;&gt;0,$H268&gt;0,OR(AUTOEVENTO&lt;&gt;"manual",$M268&lt;&gt;$A$15)),
        IF(Import.TipoArredondamento&lt;&gt;"TransfereGOV",
              ROUND(OFFSET($P268,0,AN$13),15-13*ORÇAMENTO!$AF$7)/$H268*OFFSET(ORÇAMENTO!$X$15,ROW(AN268)-ROW(AN$15),0),
              ROUND(ROUND(OFFSET($P268,0,AN$13),15-13*ORÇAMENTO!$AF$7)*OFFSET(ORÇAMENTO!$W$15,ROW(AN268)-ROW(AN$15),0),15-13*ORÇAMENTO!$AF$11)),
         0)</f>
        <v>0</v>
      </c>
      <c r="AO268" s="453">
        <f ca="1">IF(AND($D268="Serviço",AO$12&lt;&gt;0,$H268&gt;0,OR(AUTOEVENTO&lt;&gt;"manual",$M268&lt;&gt;$A$15)),
        IF(Import.TipoArredondamento&lt;&gt;"TransfereGOV",
              ROUND(OFFSET($P268,0,AO$13),15-13*ORÇAMENTO!$AF$7)/$H268*OFFSET(ORÇAMENTO!$X$15,ROW(AO268)-ROW(AO$15),0),
              ROUND(ROUND(OFFSET($P268,0,AO$13),15-13*ORÇAMENTO!$AF$7)*OFFSET(ORÇAMENTO!$W$15,ROW(AO268)-ROW(AO$15),0),15-13*ORÇAMENTO!$AF$11)),
         0)</f>
        <v>0</v>
      </c>
      <c r="AP268" s="453">
        <f ca="1">IF(AND($D268="Serviço",AP$12&lt;&gt;0,$H268&gt;0,OR(AUTOEVENTO&lt;&gt;"manual",$M268&lt;&gt;$A$15)),
        IF(Import.TipoArredondamento&lt;&gt;"TransfereGOV",
              ROUND(OFFSET($P268,0,AP$13),15-13*ORÇAMENTO!$AF$7)/$H268*OFFSET(ORÇAMENTO!$X$15,ROW(AP268)-ROW(AP$15),0),
              ROUND(ROUND(OFFSET($P268,0,AP$13),15-13*ORÇAMENTO!$AF$7)*OFFSET(ORÇAMENTO!$W$15,ROW(AP268)-ROW(AP$15),0),15-13*ORÇAMENTO!$AF$11)),
         0)</f>
        <v>0</v>
      </c>
      <c r="AQ268" s="453">
        <f ca="1">IF(AND($D268="Serviço",AQ$12&lt;&gt;0,$H268&gt;0,OR(AUTOEVENTO&lt;&gt;"manual",$M268&lt;&gt;$A$15)),
        IF(Import.TipoArredondamento&lt;&gt;"TransfereGOV",
              ROUND(OFFSET($P268,0,AQ$13),15-13*ORÇAMENTO!$AF$7)/$H268*OFFSET(ORÇAMENTO!$X$15,ROW(AQ268)-ROW(AQ$15),0),
              ROUND(ROUND(OFFSET($P268,0,AQ$13),15-13*ORÇAMENTO!$AF$7)*OFFSET(ORÇAMENTO!$W$15,ROW(AQ268)-ROW(AQ$15),0),15-13*ORÇAMENTO!$AF$11)),
         0)</f>
        <v>0</v>
      </c>
      <c r="AR268" s="453">
        <f ca="1">IF(AND($D268="Serviço",AR$12&lt;&gt;0,$H268&gt;0,OR(AUTOEVENTO&lt;&gt;"manual",$M268&lt;&gt;$A$15)),
        IF(Import.TipoArredondamento&lt;&gt;"TransfereGOV",
              ROUND(OFFSET($P268,0,AR$13),15-13*ORÇAMENTO!$AF$7)/$H268*OFFSET(ORÇAMENTO!$X$15,ROW(AR268)-ROW(AR$15),0),
              ROUND(ROUND(OFFSET($P268,0,AR$13),15-13*ORÇAMENTO!$AF$7)*OFFSET(ORÇAMENTO!$W$15,ROW(AR268)-ROW(AR$15),0),15-13*ORÇAMENTO!$AF$11)),
         0)</f>
        <v>0</v>
      </c>
      <c r="AS268" s="453">
        <f ca="1">IF(AND($D268="Serviço",AS$12&lt;&gt;0,$H268&gt;0,OR(AUTOEVENTO&lt;&gt;"manual",$M268&lt;&gt;$A$15)),
        IF(Import.TipoArredondamento&lt;&gt;"TransfereGOV",
              ROUND(OFFSET($P268,0,AS$13),15-13*ORÇAMENTO!$AF$7)/$H268*OFFSET(ORÇAMENTO!$X$15,ROW(AS268)-ROW(AS$15),0),
              ROUND(ROUND(OFFSET($P268,0,AS$13),15-13*ORÇAMENTO!$AF$7)*OFFSET(ORÇAMENTO!$W$15,ROW(AS268)-ROW(AS$15),0),15-13*ORÇAMENTO!$AF$11)),
         0)</f>
        <v>0</v>
      </c>
      <c r="AT268" s="453">
        <f ca="1">IF(AND($D268="Serviço",AT$12&lt;&gt;0,$H268&gt;0,OR(AUTOEVENTO&lt;&gt;"manual",$M268&lt;&gt;$A$15)),
        IF(Import.TipoArredondamento&lt;&gt;"TransfereGOV",
              ROUND(OFFSET($P268,0,AT$13),15-13*ORÇAMENTO!$AF$7)/$H268*OFFSET(ORÇAMENTO!$X$15,ROW(AT268)-ROW(AT$15),0),
              ROUND(ROUND(OFFSET($P268,0,AT$13),15-13*ORÇAMENTO!$AF$7)*OFFSET(ORÇAMENTO!$W$15,ROW(AT268)-ROW(AT$15),0),15-13*ORÇAMENTO!$AF$11)),
         0)</f>
        <v>0</v>
      </c>
      <c r="AU268" s="453">
        <f ca="1">IF(AND($D268="Serviço",AU$12&lt;&gt;0,$H268&gt;0,OR(AUTOEVENTO&lt;&gt;"manual",$M268&lt;&gt;$A$15)),
        IF(Import.TipoArredondamento&lt;&gt;"TransfereGOV",
              ROUND(OFFSET($P268,0,AU$13),15-13*ORÇAMENTO!$AF$7)/$H268*OFFSET(ORÇAMENTO!$X$15,ROW(AU268)-ROW(AU$15),0),
              ROUND(ROUND(OFFSET($P268,0,AU$13),15-13*ORÇAMENTO!$AF$7)*OFFSET(ORÇAMENTO!$W$15,ROW(AU268)-ROW(AU$15),0),15-13*ORÇAMENTO!$AF$11)),
         0)</f>
        <v>0</v>
      </c>
      <c r="AV268" s="453">
        <f ca="1">IF(AND($D268="Serviço",AV$12&lt;&gt;0,$H268&gt;0,OR(AUTOEVENTO&lt;&gt;"manual",$M268&lt;&gt;$A$15)),
        IF(Import.TipoArredondamento&lt;&gt;"TransfereGOV",
              ROUND(OFFSET($P268,0,AV$13),15-13*ORÇAMENTO!$AF$7)/$H268*OFFSET(ORÇAMENTO!$X$15,ROW(AV268)-ROW(AV$15),0),
              ROUND(ROUND(OFFSET($P268,0,AV$13),15-13*ORÇAMENTO!$AF$7)*OFFSET(ORÇAMENTO!$W$15,ROW(AV268)-ROW(AV$15),0),15-13*ORÇAMENTO!$AF$11)),
         0)</f>
        <v>0</v>
      </c>
      <c r="AW268" s="453">
        <f ca="1">IF(AND($D268="Serviço",AW$12&lt;&gt;0,$H268&gt;0,OR(AUTOEVENTO&lt;&gt;"manual",$M268&lt;&gt;$A$15)),
        IF(Import.TipoArredondamento&lt;&gt;"TransfereGOV",
              ROUND(OFFSET($P268,0,AW$13),15-13*ORÇAMENTO!$AF$7)/$H268*OFFSET(ORÇAMENTO!$X$15,ROW(AW268)-ROW(AW$15),0),
              ROUND(ROUND(OFFSET($P268,0,AW$13),15-13*ORÇAMENTO!$AF$7)*OFFSET(ORÇAMENTO!$W$15,ROW(AW268)-ROW(AW$15),0),15-13*ORÇAMENTO!$AF$11)),
         0)</f>
        <v>0</v>
      </c>
      <c r="AX268" s="453">
        <f ca="1">IF(AND($D268="Serviço",AX$12&lt;&gt;0,$H268&gt;0,OR(AUTOEVENTO&lt;&gt;"manual",$M268&lt;&gt;$A$15)),
        IF(Import.TipoArredondamento&lt;&gt;"TransfereGOV",
              ROUND(OFFSET($P268,0,AX$13),15-13*ORÇAMENTO!$AF$7)/$H268*OFFSET(ORÇAMENTO!$X$15,ROW(AX268)-ROW(AX$15),0),
              ROUND(ROUND(OFFSET($P268,0,AX$13),15-13*ORÇAMENTO!$AF$7)*OFFSET(ORÇAMENTO!$W$15,ROW(AX268)-ROW(AX$15),0),15-13*ORÇAMENTO!$AF$11)),
         0)</f>
        <v>0</v>
      </c>
      <c r="AY268" s="453">
        <f ca="1">IF(AND($D268="Serviço",AY$12&lt;&gt;0,$H268&gt;0,OR(AUTOEVENTO&lt;&gt;"manual",$M268&lt;&gt;$A$15)),
        IF(Import.TipoArredondamento&lt;&gt;"TransfereGOV",
              ROUND(OFFSET($P268,0,AY$13),15-13*ORÇAMENTO!$AF$7)/$H268*OFFSET(ORÇAMENTO!$X$15,ROW(AY268)-ROW(AY$15),0),
              ROUND(ROUND(OFFSET($P268,0,AY$13),15-13*ORÇAMENTO!$AF$7)*OFFSET(ORÇAMENTO!$W$15,ROW(AY268)-ROW(AY$15),0),15-13*ORÇAMENTO!$AF$11)),
         0)</f>
        <v>0</v>
      </c>
      <c r="AZ268" s="453">
        <f ca="1">IF(AND($D268="Serviço",AZ$12&lt;&gt;0,$H268&gt;0,OR(AUTOEVENTO&lt;&gt;"manual",$M268&lt;&gt;$A$15)),
        IF(Import.TipoArredondamento&lt;&gt;"TransfereGOV",
              ROUND(OFFSET($P268,0,AZ$13),15-13*ORÇAMENTO!$AF$7)/$H268*OFFSET(ORÇAMENTO!$X$15,ROW(AZ268)-ROW(AZ$15),0),
              ROUND(ROUND(OFFSET($P268,0,AZ$13),15-13*ORÇAMENTO!$AF$7)*OFFSET(ORÇAMENTO!$W$15,ROW(AZ268)-ROW(AZ$15),0),15-13*ORÇAMENTO!$AF$11)),
         0)</f>
        <v>0</v>
      </c>
      <c r="BA268" s="453">
        <f ca="1">IF(AND($D268="Serviço",BA$12&lt;&gt;0,$H268&gt;0,OR(AUTOEVENTO&lt;&gt;"manual",$M268&lt;&gt;$A$15)),
        IF(Import.TipoArredondamento&lt;&gt;"TransfereGOV",
              ROUND(OFFSET($P268,0,BA$13),15-13*ORÇAMENTO!$AF$7)/$H268*OFFSET(ORÇAMENTO!$X$15,ROW(BA268)-ROW(BA$15),0),
              ROUND(ROUND(OFFSET($P268,0,BA$13),15-13*ORÇAMENTO!$AF$7)*OFFSET(ORÇAMENTO!$W$15,ROW(BA268)-ROW(BA$15),0),15-13*ORÇAMENTO!$AF$11)),
         0)</f>
        <v>0</v>
      </c>
      <c r="BC268" s="171">
        <f ca="1">IF(OR($D268&lt;&gt;"Serviço",AND(AUTOEVENTO="Manual",$M268=$A$15)),0,
         IF(OFFSET(CRONOPLE!$F$15,$M268-$A$15,BC$13)=0,10^12,OFFSET(CRONOPLE!$F$15,$M268-$A$15,BC$13)))</f>
        <v>1</v>
      </c>
      <c r="BD268" s="171">
        <f ca="1">IF(OR($D268&lt;&gt;"Serviço",AND(AUTOEVENTO="Manual",$M268=$A$15)),0,
         IF(OFFSET(CRONOPLE!$F$15,$M268-$A$15,BD$13)=0,10^12,OFFSET(CRONOPLE!$F$15,$M268-$A$15,BD$13)))</f>
        <v>2</v>
      </c>
      <c r="BE268" s="171">
        <f ca="1">IF(OR($D268&lt;&gt;"Serviço",AND(AUTOEVENTO="Manual",$M268=$A$15)),0,
         IF(OFFSET(CRONOPLE!$F$15,$M268-$A$15,BE$13)=0,10^12,OFFSET(CRONOPLE!$F$15,$M268-$A$15,BE$13)))</f>
        <v>3</v>
      </c>
      <c r="BF268" s="171">
        <f ca="1">IF(OR($D268&lt;&gt;"Serviço",AND(AUTOEVENTO="Manual",$M268=$A$15)),0,
         IF(OFFSET(CRONOPLE!$F$15,$M268-$A$15,BF$13)=0,10^12,OFFSET(CRONOPLE!$F$15,$M268-$A$15,BF$13)))</f>
        <v>4</v>
      </c>
      <c r="BG268" s="171">
        <f ca="1">IF(OR($D268&lt;&gt;"Serviço",AND(AUTOEVENTO="Manual",$M268=$A$15)),0,
         IF(OFFSET(CRONOPLE!$F$15,$M268-$A$15,BG$13)=0,10^12,OFFSET(CRONOPLE!$F$15,$M268-$A$15,BG$13)))</f>
        <v>5</v>
      </c>
      <c r="BH268" s="171">
        <f ca="1">IF(OR($D268&lt;&gt;"Serviço",AND(AUTOEVENTO="Manual",$M268=$A$15)),0,
         IF(OFFSET(CRONOPLE!$F$15,$M268-$A$15,BH$13)=0,10^12,OFFSET(CRONOPLE!$F$15,$M268-$A$15,BH$13)))</f>
        <v>6</v>
      </c>
      <c r="BI268" s="171">
        <f ca="1">IF(OR($D268&lt;&gt;"Serviço",AND(AUTOEVENTO="Manual",$M268=$A$15)),0,
         IF(OFFSET(CRONOPLE!$F$15,$M268-$A$15,BI$13)=0,10^12,OFFSET(CRONOPLE!$F$15,$M268-$A$15,BI$13)))</f>
        <v>7</v>
      </c>
      <c r="BJ268" s="171">
        <f ca="1">IF(OR($D268&lt;&gt;"Serviço",AND(AUTOEVENTO="Manual",$M268=$A$15)),0,
         IF(OFFSET(CRONOPLE!$F$15,$M268-$A$15,BJ$13)=0,10^12,OFFSET(CRONOPLE!$F$15,$M268-$A$15,BJ$13)))</f>
        <v>8</v>
      </c>
      <c r="BK268" s="171">
        <f ca="1">IF(OR($D268&lt;&gt;"Serviço",AND(AUTOEVENTO="Manual",$M268=$A$15)),0,
         IF(OFFSET(CRONOPLE!$F$15,$M268-$A$15,BK$13)=0,10^12,OFFSET(CRONOPLE!$F$15,$M268-$A$15,BK$13)))</f>
        <v>9</v>
      </c>
      <c r="BL268" s="171">
        <f ca="1">IF(OR($D268&lt;&gt;"Serviço",AND(AUTOEVENTO="Manual",$M268=$A$15)),0,
         IF(OFFSET(CRONOPLE!$F$15,$M268-$A$15,BL$13)=0,10^12,OFFSET(CRONOPLE!$F$15,$M268-$A$15,BL$13)))</f>
        <v>1000000000000</v>
      </c>
      <c r="BM268" s="171">
        <f ca="1">IF(OR($D268&lt;&gt;"Serviço",AND(AUTOEVENTO="Manual",$M268=$A$15)),0,
         IF(OFFSET(CRONOPLE!$F$15,$M268-$A$15,BM$13)=0,10^12,OFFSET(CRONOPLE!$F$15,$M268-$A$15,BM$13)))</f>
        <v>1000000000000</v>
      </c>
      <c r="BN268" s="171">
        <f ca="1">IF(OR($D268&lt;&gt;"Serviço",AND(AUTOEVENTO="Manual",$M268=$A$15)),0,
         IF(OFFSET(CRONOPLE!$F$15,$M268-$A$15,BN$13)=0,10^12,OFFSET(CRONOPLE!$F$15,$M268-$A$15,BN$13)))</f>
        <v>1000000000000</v>
      </c>
      <c r="BO268" s="171">
        <f ca="1">IF(OR($D268&lt;&gt;"Serviço",AND(AUTOEVENTO="Manual",$M268=$A$15)),0,
         IF(OFFSET(CRONOPLE!$F$15,$M268-$A$15,BO$13)=0,10^12,OFFSET(CRONOPLE!$F$15,$M268-$A$15,BO$13)))</f>
        <v>1000000000000</v>
      </c>
      <c r="BP268" s="171">
        <f ca="1">IF(OR($D268&lt;&gt;"Serviço",AND(AUTOEVENTO="Manual",$M268=$A$15)),0,
         IF(OFFSET(CRONOPLE!$F$15,$M268-$A$15,BP$13)=0,10^12,OFFSET(CRONOPLE!$F$15,$M268-$A$15,BP$13)))</f>
        <v>1000000000000</v>
      </c>
      <c r="BQ268" s="171">
        <f ca="1">IF(OR($D268&lt;&gt;"Serviço",AND(AUTOEVENTO="Manual",$M268=$A$15)),0,
         IF(OFFSET(CRONOPLE!$F$15,$M268-$A$15,BQ$13)=0,10^12,OFFSET(CRONOPLE!$F$15,$M268-$A$15,BQ$13)))</f>
        <v>1000000000000</v>
      </c>
      <c r="BR268" s="171">
        <f ca="1">IF(OR($D268&lt;&gt;"Serviço",AND(AUTOEVENTO="Manual",$M268=$A$15)),0,
         IF(OFFSET(CRONOPLE!$F$15,$M268-$A$15,BR$13)=0,10^12,OFFSET(CRONOPLE!$F$15,$M268-$A$15,BR$13)))</f>
        <v>1000000000000</v>
      </c>
      <c r="BS268" s="171">
        <f ca="1">IF(OR($D268&lt;&gt;"Serviço",AND(AUTOEVENTO="Manual",$M268=$A$15)),0,
         IF(OFFSET(CRONOPLE!$F$15,$M268-$A$15,BS$13)=0,10^12,OFFSET(CRONOPLE!$F$15,$M268-$A$15,BS$13)))</f>
        <v>1000000000000</v>
      </c>
      <c r="BT268" s="171">
        <f ca="1">IF(OR($D268&lt;&gt;"Serviço",AND(AUTOEVENTO="Manual",$M268=$A$15)),0,
         IF(OFFSET(CRONOPLE!$F$15,$M268-$A$15,BT$13)=0,10^12,OFFSET(CRONOPLE!$F$15,$M268-$A$15,BT$13)))</f>
        <v>1000000000000</v>
      </c>
      <c r="BV268" s="172">
        <f ca="1">IF(OR($D268&lt;&gt;"Serviço",AND(AUTOEVENTO="Manual",$M268=$A$15),$M268&gt;(ROW(PLE.lastrow)-ROW(PLE.firstrow))),0,
           IF(OFFSET(PLE!$G$15,$M268-$A$15,BV$13)="",10^12,OFFSET(PLE!$G$15,$M268-$A$15,BV$13)))</f>
        <v>1000000000000</v>
      </c>
      <c r="BW268" s="172">
        <f ca="1">IF(OR($D268&lt;&gt;"Serviço",AND(AUTOEVENTO="Manual",$M268=$A$15),$M268&gt;(ROW(PLE.lastrow)-ROW(PLE.firstrow))),0,
           IF(OFFSET(PLE!$G$15,$M268-$A$15,BW$13)="",10^12,OFFSET(PLE!$G$15,$M268-$A$15,BW$13)))</f>
        <v>1000000000000</v>
      </c>
      <c r="BX268" s="172">
        <f ca="1">IF(OR($D268&lt;&gt;"Serviço",AND(AUTOEVENTO="Manual",$M268=$A$15),$M268&gt;(ROW(PLE.lastrow)-ROW(PLE.firstrow))),0,
           IF(OFFSET(PLE!$G$15,$M268-$A$15,BX$13)="",10^12,OFFSET(PLE!$G$15,$M268-$A$15,BX$13)))</f>
        <v>1000000000000</v>
      </c>
      <c r="BY268" s="172">
        <f ca="1">IF(OR($D268&lt;&gt;"Serviço",AND(AUTOEVENTO="Manual",$M268=$A$15),$M268&gt;(ROW(PLE.lastrow)-ROW(PLE.firstrow))),0,
           IF(OFFSET(PLE!$G$15,$M268-$A$15,BY$13)="",10^12,OFFSET(PLE!$G$15,$M268-$A$15,BY$13)))</f>
        <v>1000000000000</v>
      </c>
      <c r="BZ268" s="172">
        <f ca="1">IF(OR($D268&lt;&gt;"Serviço",AND(AUTOEVENTO="Manual",$M268=$A$15),$M268&gt;(ROW(PLE.lastrow)-ROW(PLE.firstrow))),0,
           IF(OFFSET(PLE!$G$15,$M268-$A$15,BZ$13)="",10^12,OFFSET(PLE!$G$15,$M268-$A$15,BZ$13)))</f>
        <v>1000000000000</v>
      </c>
      <c r="CA268" s="172">
        <f ca="1">IF(OR($D268&lt;&gt;"Serviço",AND(AUTOEVENTO="Manual",$M268=$A$15),$M268&gt;(ROW(PLE.lastrow)-ROW(PLE.firstrow))),0,
           IF(OFFSET(PLE!$G$15,$M268-$A$15,CA$13)="",10^12,OFFSET(PLE!$G$15,$M268-$A$15,CA$13)))</f>
        <v>1000000000000</v>
      </c>
      <c r="CB268" s="172">
        <f ca="1">IF(OR($D268&lt;&gt;"Serviço",AND(AUTOEVENTO="Manual",$M268=$A$15),$M268&gt;(ROW(PLE.lastrow)-ROW(PLE.firstrow))),0,
           IF(OFFSET(PLE!$G$15,$M268-$A$15,CB$13)="",10^12,OFFSET(PLE!$G$15,$M268-$A$15,CB$13)))</f>
        <v>1000000000000</v>
      </c>
      <c r="CC268" s="172">
        <f ca="1">IF(OR($D268&lt;&gt;"Serviço",AND(AUTOEVENTO="Manual",$M268=$A$15),$M268&gt;(ROW(PLE.lastrow)-ROW(PLE.firstrow))),0,
           IF(OFFSET(PLE!$G$15,$M268-$A$15,CC$13)="",10^12,OFFSET(PLE!$G$15,$M268-$A$15,CC$13)))</f>
        <v>1000000000000</v>
      </c>
      <c r="CD268" s="172">
        <f ca="1">IF(OR($D268&lt;&gt;"Serviço",AND(AUTOEVENTO="Manual",$M268=$A$15),$M268&gt;(ROW(PLE.lastrow)-ROW(PLE.firstrow))),0,
           IF(OFFSET(PLE!$G$15,$M268-$A$15,CD$13)="",10^12,OFFSET(PLE!$G$15,$M268-$A$15,CD$13)))</f>
        <v>1000000000000</v>
      </c>
      <c r="CE268" s="172">
        <f ca="1">IF(OR($D268&lt;&gt;"Serviço",AND(AUTOEVENTO="Manual",$M268=$A$15),$M268&gt;(ROW(PLE.lastrow)-ROW(PLE.firstrow))),0,
           IF(OFFSET(PLE!$G$15,$M268-$A$15,CE$13)="",10^12,OFFSET(PLE!$G$15,$M268-$A$15,CE$13)))</f>
        <v>1000000000000</v>
      </c>
      <c r="CF268" s="172">
        <f ca="1">IF(OR($D268&lt;&gt;"Serviço",AND(AUTOEVENTO="Manual",$M268=$A$15),$M268&gt;(ROW(PLE.lastrow)-ROW(PLE.firstrow))),0,
           IF(OFFSET(PLE!$G$15,$M268-$A$15,CF$13)="",10^12,OFFSET(PLE!$G$15,$M268-$A$15,CF$13)))</f>
        <v>1000000000000</v>
      </c>
      <c r="CG268" s="172">
        <f ca="1">IF(OR($D268&lt;&gt;"Serviço",AND(AUTOEVENTO="Manual",$M268=$A$15),$M268&gt;(ROW(PLE.lastrow)-ROW(PLE.firstrow))),0,
           IF(OFFSET(PLE!$G$15,$M268-$A$15,CG$13)="",10^12,OFFSET(PLE!$G$15,$M268-$A$15,CG$13)))</f>
        <v>1000000000000</v>
      </c>
      <c r="CH268" s="172">
        <f ca="1">IF(OR($D268&lt;&gt;"Serviço",AND(AUTOEVENTO="Manual",$M268=$A$15),$M268&gt;(ROW(PLE.lastrow)-ROW(PLE.firstrow))),0,
           IF(OFFSET(PLE!$G$15,$M268-$A$15,CH$13)="",10^12,OFFSET(PLE!$G$15,$M268-$A$15,CH$13)))</f>
        <v>1000000000000</v>
      </c>
      <c r="CI268" s="172">
        <f ca="1">IF(OR($D268&lt;&gt;"Serviço",AND(AUTOEVENTO="Manual",$M268=$A$15),$M268&gt;(ROW(PLE.lastrow)-ROW(PLE.firstrow))),0,
           IF(OFFSET(PLE!$G$15,$M268-$A$15,CI$13)="",10^12,OFFSET(PLE!$G$15,$M268-$A$15,CI$13)))</f>
        <v>1000000000000</v>
      </c>
      <c r="CJ268" s="172">
        <f ca="1">IF(OR($D268&lt;&gt;"Serviço",AND(AUTOEVENTO="Manual",$M268=$A$15),$M268&gt;(ROW(PLE.lastrow)-ROW(PLE.firstrow))),0,
           IF(OFFSET(PLE!$G$15,$M268-$A$15,CJ$13)="",10^12,OFFSET(PLE!$G$15,$M268-$A$15,CJ$13)))</f>
        <v>1000000000000</v>
      </c>
      <c r="CK268" s="172">
        <f ca="1">IF(OR($D268&lt;&gt;"Serviço",AND(AUTOEVENTO="Manual",$M268=$A$15),$M268&gt;(ROW(PLE.lastrow)-ROW(PLE.firstrow))),0,
           IF(OFFSET(PLE!$G$15,$M268-$A$15,CK$13)="",10^12,OFFSET(PLE!$G$15,$M268-$A$15,CK$13)))</f>
        <v>1000000000000</v>
      </c>
      <c r="CL268" s="172">
        <f ca="1">IF(OR($D268&lt;&gt;"Serviço",AND(AUTOEVENTO="Manual",$M268=$A$15),$M268&gt;(ROW(PLE.lastrow)-ROW(PLE.firstrow))),0,
           IF(OFFSET(PLE!$G$15,$M268-$A$15,CL$13)="",10^12,OFFSET(PLE!$G$15,$M268-$A$15,CL$13)))</f>
        <v>1000000000000</v>
      </c>
      <c r="CM268" s="172">
        <f ca="1">IF(OR($D268&lt;&gt;"Serviço",AND(AUTOEVENTO="Manual",$M268=$A$15),$M268&gt;(ROW(PLE.lastrow)-ROW(PLE.firstrow))),0,
           IF(OFFSET(PLE!$G$15,$M268-$A$15,CM$13)="",10^12,OFFSET(PLE!$G$15,$M268-$A$15,CM$13)))</f>
        <v>1000000000000</v>
      </c>
    </row>
    <row r="269" spans="1:91" ht="51" x14ac:dyDescent="0.2">
      <c r="A269" s="7">
        <f t="shared" ca="1" si="13"/>
        <v>6</v>
      </c>
      <c r="B269" s="7" t="str">
        <f ca="1">OFFSET(ORÇAMENTO!C$15,ROW(B269)-ROW(B$15),0)</f>
        <v>S</v>
      </c>
      <c r="C269" s="7" t="str">
        <f ca="1">OFFSET(ORÇAMENTO!L$15,ROW(C269)-ROW(C$15),0)</f>
        <v>F</v>
      </c>
      <c r="D269" s="116" t="str">
        <f ca="1">OFFSET(ORÇAMENTO!N$15,ROW(D269)-ROW(D$15),0)</f>
        <v>Serviço</v>
      </c>
      <c r="E269" s="117" t="str">
        <f ca="1">OFFSET(ORÇAMENTO!O$15,ROW(E269)-ROW(E$15),0)</f>
        <v>1.7.2.1.5.</v>
      </c>
      <c r="F269" s="163" t="str">
        <f ca="1">OFFSET(ORÇAMENTO!R$15,ROW(F269)-ROW(F$15),0)</f>
        <v>CURVA 45 BOLSAS FoFo - DN 150 MM</v>
      </c>
      <c r="G269" s="164" t="str">
        <f ca="1">IF($D269&lt;&gt;"Serviço","",OFFSET(ORÇAMENTO!S$15,ROW(G269)-ROW(G$15),0))</f>
        <v>UN</v>
      </c>
      <c r="H269" s="122" cm="1">
        <f t="array" aca="1" ref="H269" ca="1">IF($D269&lt;&gt;"Serviço",0,IF(ACOMPANHAMENTO="BM",ROUND(OFFSET(ORÇAMENTO!AJ$15,ROW(H269)-ROW(H$15),0),15-13*ORÇAMENTO!$AF$7),SUMPRODUCT(($Q$1:$AI$1=1)*ROUND($Q269:$AI269,15-13*ORÇAMENTO!$AF$7))))</f>
        <v>2</v>
      </c>
      <c r="I269" s="468" t="s">
        <v>1349</v>
      </c>
      <c r="J269" s="640" t="str" cm="1">
        <f t="array" aca="1" ref="J269" ca="1">IF(OR(B269&lt;&gt;"S",CÁLCULO.FrentesPreenchidas=0),"",IF(AND(ACOMPANHAMENTO="PLE",AUTOEVENTO="Manual",OR(H269&gt;0,ORÇAMENTO!AC269="QUANT."),OR(K269="",M269=0,N269="")),"►E",IF(AND(ACOMPANHAMENTO="PLE",ORÇAMENTO!AC269="QUANT."),"►Q",IF(AND(ACOMPANHAMENTO="PLE",H269&lt;&gt;SUMPRODUCT(($Q$1:$AI$1=1)*ROUND(Q269:AI269,15))),"►S",IF(AND(COUNTIF($P$11:$AI$11,"▼")=0,H269&gt;0,I269=""),"◄M","")))))</f>
        <v/>
      </c>
      <c r="K269" s="641" t="s">
        <v>1385</v>
      </c>
      <c r="L269" s="165" t="s">
        <v>764</v>
      </c>
      <c r="M269" s="166">
        <f ca="1">IF($D269&lt;&gt;"Serviço","",
          IF(AUTOEVENTO="manual",$A269,
                IF(ISERROR(MATCH($A269,$A$15:OFFSET($A269,-1,0),0)),MAX($M$15:OFFSET(M269,-1,0))+1,
                      INDEX($M$15:OFFSET(M269,-1,0),MATCH($A269,$A$15:OFFSET($A269,-1,0),0)))))</f>
        <v>6</v>
      </c>
      <c r="N269" s="167" t="str">
        <f ca="1">IF($D269&lt;&gt;"Serviço","",
         IF(AUTOEVENTO="Manual",
                IF($A269=0,"&lt;-- defina o número do agrupador",
                       OFFSET(EVENTOS!$D$15,$A269-$A$15,0)),
                OFFSET($F$15,$A269,0)))</f>
        <v>Saneamento</v>
      </c>
      <c r="O269" s="168"/>
      <c r="Q269" s="168"/>
      <c r="R269" s="169"/>
      <c r="S269" s="169"/>
      <c r="T269" s="169">
        <v>2</v>
      </c>
      <c r="U269" s="169"/>
      <c r="V269" s="169"/>
      <c r="W269" s="169"/>
      <c r="X269" s="169"/>
      <c r="Y269" s="169"/>
      <c r="Z269" s="170"/>
      <c r="AA269" s="169"/>
      <c r="AB269" s="169"/>
      <c r="AC269" s="169"/>
      <c r="AD269" s="169"/>
      <c r="AE269" s="169"/>
      <c r="AF269" s="169"/>
      <c r="AG269" s="169"/>
      <c r="AH269" s="170"/>
      <c r="AJ269" s="453">
        <f ca="1">IF(AND($D269="Serviço",AJ$12&lt;&gt;0,$H269&gt;0,OR(AUTOEVENTO&lt;&gt;"manual",$M269&lt;&gt;$A$15)),
        IF(Import.TipoArredondamento&lt;&gt;"TransfereGOV",
              ROUND(OFFSET($P269,0,AJ$13),15-13*ORÇAMENTO!$AF$7)/$H269*OFFSET(ORÇAMENTO!$X$15,ROW(AJ269)-ROW(AJ$15),0),
              ROUND(ROUND(OFFSET($P269,0,AJ$13),15-13*ORÇAMENTO!$AF$7)*OFFSET(ORÇAMENTO!$W$15,ROW(AJ269)-ROW(AJ$15),0),15-13*ORÇAMENTO!$AF$11)),
         0)</f>
        <v>0</v>
      </c>
      <c r="AK269" s="453">
        <f ca="1">IF(AND($D269="Serviço",AK$12&lt;&gt;0,$H269&gt;0,OR(AUTOEVENTO&lt;&gt;"manual",$M269&lt;&gt;$A$15)),
        IF(Import.TipoArredondamento&lt;&gt;"TransfereGOV",
              ROUND(OFFSET($P269,0,AK$13),15-13*ORÇAMENTO!$AF$7)/$H269*OFFSET(ORÇAMENTO!$X$15,ROW(AK269)-ROW(AK$15),0),
              ROUND(ROUND(OFFSET($P269,0,AK$13),15-13*ORÇAMENTO!$AF$7)*OFFSET(ORÇAMENTO!$W$15,ROW(AK269)-ROW(AK$15),0),15-13*ORÇAMENTO!$AF$11)),
         0)</f>
        <v>0</v>
      </c>
      <c r="AL269" s="453">
        <f ca="1">IF(AND($D269="Serviço",AL$12&lt;&gt;0,$H269&gt;0,OR(AUTOEVENTO&lt;&gt;"manual",$M269&lt;&gt;$A$15)),
        IF(Import.TipoArredondamento&lt;&gt;"TransfereGOV",
              ROUND(OFFSET($P269,0,AL$13),15-13*ORÇAMENTO!$AF$7)/$H269*OFFSET(ORÇAMENTO!$X$15,ROW(AL269)-ROW(AL$15),0),
              ROUND(ROUND(OFFSET($P269,0,AL$13),15-13*ORÇAMENTO!$AF$7)*OFFSET(ORÇAMENTO!$W$15,ROW(AL269)-ROW(AL$15),0),15-13*ORÇAMENTO!$AF$11)),
         0)</f>
        <v>0</v>
      </c>
      <c r="AM269" s="453">
        <f ca="1">IF(AND($D269="Serviço",AM$12&lt;&gt;0,$H269&gt;0,OR(AUTOEVENTO&lt;&gt;"manual",$M269&lt;&gt;$A$15)),
        IF(Import.TipoArredondamento&lt;&gt;"TransfereGOV",
              ROUND(OFFSET($P269,0,AM$13),15-13*ORÇAMENTO!$AF$7)/$H269*OFFSET(ORÇAMENTO!$X$15,ROW(AM269)-ROW(AM$15),0),
              ROUND(ROUND(OFFSET($P269,0,AM$13),15-13*ORÇAMENTO!$AF$7)*OFFSET(ORÇAMENTO!$W$15,ROW(AM269)-ROW(AM$15),0),15-13*ORÇAMENTO!$AF$11)),
         0)</f>
        <v>0</v>
      </c>
      <c r="AN269" s="453">
        <f ca="1">IF(AND($D269="Serviço",AN$12&lt;&gt;0,$H269&gt;0,OR(AUTOEVENTO&lt;&gt;"manual",$M269&lt;&gt;$A$15)),
        IF(Import.TipoArredondamento&lt;&gt;"TransfereGOV",
              ROUND(OFFSET($P269,0,AN$13),15-13*ORÇAMENTO!$AF$7)/$H269*OFFSET(ORÇAMENTO!$X$15,ROW(AN269)-ROW(AN$15),0),
              ROUND(ROUND(OFFSET($P269,0,AN$13),15-13*ORÇAMENTO!$AF$7)*OFFSET(ORÇAMENTO!$W$15,ROW(AN269)-ROW(AN$15),0),15-13*ORÇAMENTO!$AF$11)),
         0)</f>
        <v>0</v>
      </c>
      <c r="AO269" s="453">
        <f ca="1">IF(AND($D269="Serviço",AO$12&lt;&gt;0,$H269&gt;0,OR(AUTOEVENTO&lt;&gt;"manual",$M269&lt;&gt;$A$15)),
        IF(Import.TipoArredondamento&lt;&gt;"TransfereGOV",
              ROUND(OFFSET($P269,0,AO$13),15-13*ORÇAMENTO!$AF$7)/$H269*OFFSET(ORÇAMENTO!$X$15,ROW(AO269)-ROW(AO$15),0),
              ROUND(ROUND(OFFSET($P269,0,AO$13),15-13*ORÇAMENTO!$AF$7)*OFFSET(ORÇAMENTO!$W$15,ROW(AO269)-ROW(AO$15),0),15-13*ORÇAMENTO!$AF$11)),
         0)</f>
        <v>0</v>
      </c>
      <c r="AP269" s="453">
        <f ca="1">IF(AND($D269="Serviço",AP$12&lt;&gt;0,$H269&gt;0,OR(AUTOEVENTO&lt;&gt;"manual",$M269&lt;&gt;$A$15)),
        IF(Import.TipoArredondamento&lt;&gt;"TransfereGOV",
              ROUND(OFFSET($P269,0,AP$13),15-13*ORÇAMENTO!$AF$7)/$H269*OFFSET(ORÇAMENTO!$X$15,ROW(AP269)-ROW(AP$15),0),
              ROUND(ROUND(OFFSET($P269,0,AP$13),15-13*ORÇAMENTO!$AF$7)*OFFSET(ORÇAMENTO!$W$15,ROW(AP269)-ROW(AP$15),0),15-13*ORÇAMENTO!$AF$11)),
         0)</f>
        <v>0</v>
      </c>
      <c r="AQ269" s="453">
        <f ca="1">IF(AND($D269="Serviço",AQ$12&lt;&gt;0,$H269&gt;0,OR(AUTOEVENTO&lt;&gt;"manual",$M269&lt;&gt;$A$15)),
        IF(Import.TipoArredondamento&lt;&gt;"TransfereGOV",
              ROUND(OFFSET($P269,0,AQ$13),15-13*ORÇAMENTO!$AF$7)/$H269*OFFSET(ORÇAMENTO!$X$15,ROW(AQ269)-ROW(AQ$15),0),
              ROUND(ROUND(OFFSET($P269,0,AQ$13),15-13*ORÇAMENTO!$AF$7)*OFFSET(ORÇAMENTO!$W$15,ROW(AQ269)-ROW(AQ$15),0),15-13*ORÇAMENTO!$AF$11)),
         0)</f>
        <v>0</v>
      </c>
      <c r="AR269" s="453">
        <f ca="1">IF(AND($D269="Serviço",AR$12&lt;&gt;0,$H269&gt;0,OR(AUTOEVENTO&lt;&gt;"manual",$M269&lt;&gt;$A$15)),
        IF(Import.TipoArredondamento&lt;&gt;"TransfereGOV",
              ROUND(OFFSET($P269,0,AR$13),15-13*ORÇAMENTO!$AF$7)/$H269*OFFSET(ORÇAMENTO!$X$15,ROW(AR269)-ROW(AR$15),0),
              ROUND(ROUND(OFFSET($P269,0,AR$13),15-13*ORÇAMENTO!$AF$7)*OFFSET(ORÇAMENTO!$W$15,ROW(AR269)-ROW(AR$15),0),15-13*ORÇAMENTO!$AF$11)),
         0)</f>
        <v>0</v>
      </c>
      <c r="AS269" s="453">
        <f ca="1">IF(AND($D269="Serviço",AS$12&lt;&gt;0,$H269&gt;0,OR(AUTOEVENTO&lt;&gt;"manual",$M269&lt;&gt;$A$15)),
        IF(Import.TipoArredondamento&lt;&gt;"TransfereGOV",
              ROUND(OFFSET($P269,0,AS$13),15-13*ORÇAMENTO!$AF$7)/$H269*OFFSET(ORÇAMENTO!$X$15,ROW(AS269)-ROW(AS$15),0),
              ROUND(ROUND(OFFSET($P269,0,AS$13),15-13*ORÇAMENTO!$AF$7)*OFFSET(ORÇAMENTO!$W$15,ROW(AS269)-ROW(AS$15),0),15-13*ORÇAMENTO!$AF$11)),
         0)</f>
        <v>0</v>
      </c>
      <c r="AT269" s="453">
        <f ca="1">IF(AND($D269="Serviço",AT$12&lt;&gt;0,$H269&gt;0,OR(AUTOEVENTO&lt;&gt;"manual",$M269&lt;&gt;$A$15)),
        IF(Import.TipoArredondamento&lt;&gt;"TransfereGOV",
              ROUND(OFFSET($P269,0,AT$13),15-13*ORÇAMENTO!$AF$7)/$H269*OFFSET(ORÇAMENTO!$X$15,ROW(AT269)-ROW(AT$15),0),
              ROUND(ROUND(OFFSET($P269,0,AT$13),15-13*ORÇAMENTO!$AF$7)*OFFSET(ORÇAMENTO!$W$15,ROW(AT269)-ROW(AT$15),0),15-13*ORÇAMENTO!$AF$11)),
         0)</f>
        <v>0</v>
      </c>
      <c r="AU269" s="453">
        <f ca="1">IF(AND($D269="Serviço",AU$12&lt;&gt;0,$H269&gt;0,OR(AUTOEVENTO&lt;&gt;"manual",$M269&lt;&gt;$A$15)),
        IF(Import.TipoArredondamento&lt;&gt;"TransfereGOV",
              ROUND(OFFSET($P269,0,AU$13),15-13*ORÇAMENTO!$AF$7)/$H269*OFFSET(ORÇAMENTO!$X$15,ROW(AU269)-ROW(AU$15),0),
              ROUND(ROUND(OFFSET($P269,0,AU$13),15-13*ORÇAMENTO!$AF$7)*OFFSET(ORÇAMENTO!$W$15,ROW(AU269)-ROW(AU$15),0),15-13*ORÇAMENTO!$AF$11)),
         0)</f>
        <v>0</v>
      </c>
      <c r="AV269" s="453">
        <f ca="1">IF(AND($D269="Serviço",AV$12&lt;&gt;0,$H269&gt;0,OR(AUTOEVENTO&lt;&gt;"manual",$M269&lt;&gt;$A$15)),
        IF(Import.TipoArredondamento&lt;&gt;"TransfereGOV",
              ROUND(OFFSET($P269,0,AV$13),15-13*ORÇAMENTO!$AF$7)/$H269*OFFSET(ORÇAMENTO!$X$15,ROW(AV269)-ROW(AV$15),0),
              ROUND(ROUND(OFFSET($P269,0,AV$13),15-13*ORÇAMENTO!$AF$7)*OFFSET(ORÇAMENTO!$W$15,ROW(AV269)-ROW(AV$15),0),15-13*ORÇAMENTO!$AF$11)),
         0)</f>
        <v>0</v>
      </c>
      <c r="AW269" s="453">
        <f ca="1">IF(AND($D269="Serviço",AW$12&lt;&gt;0,$H269&gt;0,OR(AUTOEVENTO&lt;&gt;"manual",$M269&lt;&gt;$A$15)),
        IF(Import.TipoArredondamento&lt;&gt;"TransfereGOV",
              ROUND(OFFSET($P269,0,AW$13),15-13*ORÇAMENTO!$AF$7)/$H269*OFFSET(ORÇAMENTO!$X$15,ROW(AW269)-ROW(AW$15),0),
              ROUND(ROUND(OFFSET($P269,0,AW$13),15-13*ORÇAMENTO!$AF$7)*OFFSET(ORÇAMENTO!$W$15,ROW(AW269)-ROW(AW$15),0),15-13*ORÇAMENTO!$AF$11)),
         0)</f>
        <v>0</v>
      </c>
      <c r="AX269" s="453">
        <f ca="1">IF(AND($D269="Serviço",AX$12&lt;&gt;0,$H269&gt;0,OR(AUTOEVENTO&lt;&gt;"manual",$M269&lt;&gt;$A$15)),
        IF(Import.TipoArredondamento&lt;&gt;"TransfereGOV",
              ROUND(OFFSET($P269,0,AX$13),15-13*ORÇAMENTO!$AF$7)/$H269*OFFSET(ORÇAMENTO!$X$15,ROW(AX269)-ROW(AX$15),0),
              ROUND(ROUND(OFFSET($P269,0,AX$13),15-13*ORÇAMENTO!$AF$7)*OFFSET(ORÇAMENTO!$W$15,ROW(AX269)-ROW(AX$15),0),15-13*ORÇAMENTO!$AF$11)),
         0)</f>
        <v>0</v>
      </c>
      <c r="AY269" s="453">
        <f ca="1">IF(AND($D269="Serviço",AY$12&lt;&gt;0,$H269&gt;0,OR(AUTOEVENTO&lt;&gt;"manual",$M269&lt;&gt;$A$15)),
        IF(Import.TipoArredondamento&lt;&gt;"TransfereGOV",
              ROUND(OFFSET($P269,0,AY$13),15-13*ORÇAMENTO!$AF$7)/$H269*OFFSET(ORÇAMENTO!$X$15,ROW(AY269)-ROW(AY$15),0),
              ROUND(ROUND(OFFSET($P269,0,AY$13),15-13*ORÇAMENTO!$AF$7)*OFFSET(ORÇAMENTO!$W$15,ROW(AY269)-ROW(AY$15),0),15-13*ORÇAMENTO!$AF$11)),
         0)</f>
        <v>0</v>
      </c>
      <c r="AZ269" s="453">
        <f ca="1">IF(AND($D269="Serviço",AZ$12&lt;&gt;0,$H269&gt;0,OR(AUTOEVENTO&lt;&gt;"manual",$M269&lt;&gt;$A$15)),
        IF(Import.TipoArredondamento&lt;&gt;"TransfereGOV",
              ROUND(OFFSET($P269,0,AZ$13),15-13*ORÇAMENTO!$AF$7)/$H269*OFFSET(ORÇAMENTO!$X$15,ROW(AZ269)-ROW(AZ$15),0),
              ROUND(ROUND(OFFSET($P269,0,AZ$13),15-13*ORÇAMENTO!$AF$7)*OFFSET(ORÇAMENTO!$W$15,ROW(AZ269)-ROW(AZ$15),0),15-13*ORÇAMENTO!$AF$11)),
         0)</f>
        <v>0</v>
      </c>
      <c r="BA269" s="453">
        <f ca="1">IF(AND($D269="Serviço",BA$12&lt;&gt;0,$H269&gt;0,OR(AUTOEVENTO&lt;&gt;"manual",$M269&lt;&gt;$A$15)),
        IF(Import.TipoArredondamento&lt;&gt;"TransfereGOV",
              ROUND(OFFSET($P269,0,BA$13),15-13*ORÇAMENTO!$AF$7)/$H269*OFFSET(ORÇAMENTO!$X$15,ROW(BA269)-ROW(BA$15),0),
              ROUND(ROUND(OFFSET($P269,0,BA$13),15-13*ORÇAMENTO!$AF$7)*OFFSET(ORÇAMENTO!$W$15,ROW(BA269)-ROW(BA$15),0),15-13*ORÇAMENTO!$AF$11)),
         0)</f>
        <v>0</v>
      </c>
      <c r="BC269" s="171">
        <f ca="1">IF(OR($D269&lt;&gt;"Serviço",AND(AUTOEVENTO="Manual",$M269=$A$15)),0,
         IF(OFFSET(CRONOPLE!$F$15,$M269-$A$15,BC$13)=0,10^12,OFFSET(CRONOPLE!$F$15,$M269-$A$15,BC$13)))</f>
        <v>1</v>
      </c>
      <c r="BD269" s="171">
        <f ca="1">IF(OR($D269&lt;&gt;"Serviço",AND(AUTOEVENTO="Manual",$M269=$A$15)),0,
         IF(OFFSET(CRONOPLE!$F$15,$M269-$A$15,BD$13)=0,10^12,OFFSET(CRONOPLE!$F$15,$M269-$A$15,BD$13)))</f>
        <v>2</v>
      </c>
      <c r="BE269" s="171">
        <f ca="1">IF(OR($D269&lt;&gt;"Serviço",AND(AUTOEVENTO="Manual",$M269=$A$15)),0,
         IF(OFFSET(CRONOPLE!$F$15,$M269-$A$15,BE$13)=0,10^12,OFFSET(CRONOPLE!$F$15,$M269-$A$15,BE$13)))</f>
        <v>3</v>
      </c>
      <c r="BF269" s="171">
        <f ca="1">IF(OR($D269&lt;&gt;"Serviço",AND(AUTOEVENTO="Manual",$M269=$A$15)),0,
         IF(OFFSET(CRONOPLE!$F$15,$M269-$A$15,BF$13)=0,10^12,OFFSET(CRONOPLE!$F$15,$M269-$A$15,BF$13)))</f>
        <v>4</v>
      </c>
      <c r="BG269" s="171">
        <f ca="1">IF(OR($D269&lt;&gt;"Serviço",AND(AUTOEVENTO="Manual",$M269=$A$15)),0,
         IF(OFFSET(CRONOPLE!$F$15,$M269-$A$15,BG$13)=0,10^12,OFFSET(CRONOPLE!$F$15,$M269-$A$15,BG$13)))</f>
        <v>5</v>
      </c>
      <c r="BH269" s="171">
        <f ca="1">IF(OR($D269&lt;&gt;"Serviço",AND(AUTOEVENTO="Manual",$M269=$A$15)),0,
         IF(OFFSET(CRONOPLE!$F$15,$M269-$A$15,BH$13)=0,10^12,OFFSET(CRONOPLE!$F$15,$M269-$A$15,BH$13)))</f>
        <v>6</v>
      </c>
      <c r="BI269" s="171">
        <f ca="1">IF(OR($D269&lt;&gt;"Serviço",AND(AUTOEVENTO="Manual",$M269=$A$15)),0,
         IF(OFFSET(CRONOPLE!$F$15,$M269-$A$15,BI$13)=0,10^12,OFFSET(CRONOPLE!$F$15,$M269-$A$15,BI$13)))</f>
        <v>7</v>
      </c>
      <c r="BJ269" s="171">
        <f ca="1">IF(OR($D269&lt;&gt;"Serviço",AND(AUTOEVENTO="Manual",$M269=$A$15)),0,
         IF(OFFSET(CRONOPLE!$F$15,$M269-$A$15,BJ$13)=0,10^12,OFFSET(CRONOPLE!$F$15,$M269-$A$15,BJ$13)))</f>
        <v>8</v>
      </c>
      <c r="BK269" s="171">
        <f ca="1">IF(OR($D269&lt;&gt;"Serviço",AND(AUTOEVENTO="Manual",$M269=$A$15)),0,
         IF(OFFSET(CRONOPLE!$F$15,$M269-$A$15,BK$13)=0,10^12,OFFSET(CRONOPLE!$F$15,$M269-$A$15,BK$13)))</f>
        <v>9</v>
      </c>
      <c r="BL269" s="171">
        <f ca="1">IF(OR($D269&lt;&gt;"Serviço",AND(AUTOEVENTO="Manual",$M269=$A$15)),0,
         IF(OFFSET(CRONOPLE!$F$15,$M269-$A$15,BL$13)=0,10^12,OFFSET(CRONOPLE!$F$15,$M269-$A$15,BL$13)))</f>
        <v>1000000000000</v>
      </c>
      <c r="BM269" s="171">
        <f ca="1">IF(OR($D269&lt;&gt;"Serviço",AND(AUTOEVENTO="Manual",$M269=$A$15)),0,
         IF(OFFSET(CRONOPLE!$F$15,$M269-$A$15,BM$13)=0,10^12,OFFSET(CRONOPLE!$F$15,$M269-$A$15,BM$13)))</f>
        <v>1000000000000</v>
      </c>
      <c r="BN269" s="171">
        <f ca="1">IF(OR($D269&lt;&gt;"Serviço",AND(AUTOEVENTO="Manual",$M269=$A$15)),0,
         IF(OFFSET(CRONOPLE!$F$15,$M269-$A$15,BN$13)=0,10^12,OFFSET(CRONOPLE!$F$15,$M269-$A$15,BN$13)))</f>
        <v>1000000000000</v>
      </c>
      <c r="BO269" s="171">
        <f ca="1">IF(OR($D269&lt;&gt;"Serviço",AND(AUTOEVENTO="Manual",$M269=$A$15)),0,
         IF(OFFSET(CRONOPLE!$F$15,$M269-$A$15,BO$13)=0,10^12,OFFSET(CRONOPLE!$F$15,$M269-$A$15,BO$13)))</f>
        <v>1000000000000</v>
      </c>
      <c r="BP269" s="171">
        <f ca="1">IF(OR($D269&lt;&gt;"Serviço",AND(AUTOEVENTO="Manual",$M269=$A$15)),0,
         IF(OFFSET(CRONOPLE!$F$15,$M269-$A$15,BP$13)=0,10^12,OFFSET(CRONOPLE!$F$15,$M269-$A$15,BP$13)))</f>
        <v>1000000000000</v>
      </c>
      <c r="BQ269" s="171">
        <f ca="1">IF(OR($D269&lt;&gt;"Serviço",AND(AUTOEVENTO="Manual",$M269=$A$15)),0,
         IF(OFFSET(CRONOPLE!$F$15,$M269-$A$15,BQ$13)=0,10^12,OFFSET(CRONOPLE!$F$15,$M269-$A$15,BQ$13)))</f>
        <v>1000000000000</v>
      </c>
      <c r="BR269" s="171">
        <f ca="1">IF(OR($D269&lt;&gt;"Serviço",AND(AUTOEVENTO="Manual",$M269=$A$15)),0,
         IF(OFFSET(CRONOPLE!$F$15,$M269-$A$15,BR$13)=0,10^12,OFFSET(CRONOPLE!$F$15,$M269-$A$15,BR$13)))</f>
        <v>1000000000000</v>
      </c>
      <c r="BS269" s="171">
        <f ca="1">IF(OR($D269&lt;&gt;"Serviço",AND(AUTOEVENTO="Manual",$M269=$A$15)),0,
         IF(OFFSET(CRONOPLE!$F$15,$M269-$A$15,BS$13)=0,10^12,OFFSET(CRONOPLE!$F$15,$M269-$A$15,BS$13)))</f>
        <v>1000000000000</v>
      </c>
      <c r="BT269" s="171">
        <f ca="1">IF(OR($D269&lt;&gt;"Serviço",AND(AUTOEVENTO="Manual",$M269=$A$15)),0,
         IF(OFFSET(CRONOPLE!$F$15,$M269-$A$15,BT$13)=0,10^12,OFFSET(CRONOPLE!$F$15,$M269-$A$15,BT$13)))</f>
        <v>1000000000000</v>
      </c>
      <c r="BV269" s="172">
        <f ca="1">IF(OR($D269&lt;&gt;"Serviço",AND(AUTOEVENTO="Manual",$M269=$A$15),$M269&gt;(ROW(PLE.lastrow)-ROW(PLE.firstrow))),0,
           IF(OFFSET(PLE!$G$15,$M269-$A$15,BV$13)="",10^12,OFFSET(PLE!$G$15,$M269-$A$15,BV$13)))</f>
        <v>1000000000000</v>
      </c>
      <c r="BW269" s="172">
        <f ca="1">IF(OR($D269&lt;&gt;"Serviço",AND(AUTOEVENTO="Manual",$M269=$A$15),$M269&gt;(ROW(PLE.lastrow)-ROW(PLE.firstrow))),0,
           IF(OFFSET(PLE!$G$15,$M269-$A$15,BW$13)="",10^12,OFFSET(PLE!$G$15,$M269-$A$15,BW$13)))</f>
        <v>1000000000000</v>
      </c>
      <c r="BX269" s="172">
        <f ca="1">IF(OR($D269&lt;&gt;"Serviço",AND(AUTOEVENTO="Manual",$M269=$A$15),$M269&gt;(ROW(PLE.lastrow)-ROW(PLE.firstrow))),0,
           IF(OFFSET(PLE!$G$15,$M269-$A$15,BX$13)="",10^12,OFFSET(PLE!$G$15,$M269-$A$15,BX$13)))</f>
        <v>1000000000000</v>
      </c>
      <c r="BY269" s="172">
        <f ca="1">IF(OR($D269&lt;&gt;"Serviço",AND(AUTOEVENTO="Manual",$M269=$A$15),$M269&gt;(ROW(PLE.lastrow)-ROW(PLE.firstrow))),0,
           IF(OFFSET(PLE!$G$15,$M269-$A$15,BY$13)="",10^12,OFFSET(PLE!$G$15,$M269-$A$15,BY$13)))</f>
        <v>1000000000000</v>
      </c>
      <c r="BZ269" s="172">
        <f ca="1">IF(OR($D269&lt;&gt;"Serviço",AND(AUTOEVENTO="Manual",$M269=$A$15),$M269&gt;(ROW(PLE.lastrow)-ROW(PLE.firstrow))),0,
           IF(OFFSET(PLE!$G$15,$M269-$A$15,BZ$13)="",10^12,OFFSET(PLE!$G$15,$M269-$A$15,BZ$13)))</f>
        <v>1000000000000</v>
      </c>
      <c r="CA269" s="172">
        <f ca="1">IF(OR($D269&lt;&gt;"Serviço",AND(AUTOEVENTO="Manual",$M269=$A$15),$M269&gt;(ROW(PLE.lastrow)-ROW(PLE.firstrow))),0,
           IF(OFFSET(PLE!$G$15,$M269-$A$15,CA$13)="",10^12,OFFSET(PLE!$G$15,$M269-$A$15,CA$13)))</f>
        <v>1000000000000</v>
      </c>
      <c r="CB269" s="172">
        <f ca="1">IF(OR($D269&lt;&gt;"Serviço",AND(AUTOEVENTO="Manual",$M269=$A$15),$M269&gt;(ROW(PLE.lastrow)-ROW(PLE.firstrow))),0,
           IF(OFFSET(PLE!$G$15,$M269-$A$15,CB$13)="",10^12,OFFSET(PLE!$G$15,$M269-$A$15,CB$13)))</f>
        <v>1000000000000</v>
      </c>
      <c r="CC269" s="172">
        <f ca="1">IF(OR($D269&lt;&gt;"Serviço",AND(AUTOEVENTO="Manual",$M269=$A$15),$M269&gt;(ROW(PLE.lastrow)-ROW(PLE.firstrow))),0,
           IF(OFFSET(PLE!$G$15,$M269-$A$15,CC$13)="",10^12,OFFSET(PLE!$G$15,$M269-$A$15,CC$13)))</f>
        <v>1000000000000</v>
      </c>
      <c r="CD269" s="172">
        <f ca="1">IF(OR($D269&lt;&gt;"Serviço",AND(AUTOEVENTO="Manual",$M269=$A$15),$M269&gt;(ROW(PLE.lastrow)-ROW(PLE.firstrow))),0,
           IF(OFFSET(PLE!$G$15,$M269-$A$15,CD$13)="",10^12,OFFSET(PLE!$G$15,$M269-$A$15,CD$13)))</f>
        <v>1000000000000</v>
      </c>
      <c r="CE269" s="172">
        <f ca="1">IF(OR($D269&lt;&gt;"Serviço",AND(AUTOEVENTO="Manual",$M269=$A$15),$M269&gt;(ROW(PLE.lastrow)-ROW(PLE.firstrow))),0,
           IF(OFFSET(PLE!$G$15,$M269-$A$15,CE$13)="",10^12,OFFSET(PLE!$G$15,$M269-$A$15,CE$13)))</f>
        <v>1000000000000</v>
      </c>
      <c r="CF269" s="172">
        <f ca="1">IF(OR($D269&lt;&gt;"Serviço",AND(AUTOEVENTO="Manual",$M269=$A$15),$M269&gt;(ROW(PLE.lastrow)-ROW(PLE.firstrow))),0,
           IF(OFFSET(PLE!$G$15,$M269-$A$15,CF$13)="",10^12,OFFSET(PLE!$G$15,$M269-$A$15,CF$13)))</f>
        <v>1000000000000</v>
      </c>
      <c r="CG269" s="172">
        <f ca="1">IF(OR($D269&lt;&gt;"Serviço",AND(AUTOEVENTO="Manual",$M269=$A$15),$M269&gt;(ROW(PLE.lastrow)-ROW(PLE.firstrow))),0,
           IF(OFFSET(PLE!$G$15,$M269-$A$15,CG$13)="",10^12,OFFSET(PLE!$G$15,$M269-$A$15,CG$13)))</f>
        <v>1000000000000</v>
      </c>
      <c r="CH269" s="172">
        <f ca="1">IF(OR($D269&lt;&gt;"Serviço",AND(AUTOEVENTO="Manual",$M269=$A$15),$M269&gt;(ROW(PLE.lastrow)-ROW(PLE.firstrow))),0,
           IF(OFFSET(PLE!$G$15,$M269-$A$15,CH$13)="",10^12,OFFSET(PLE!$G$15,$M269-$A$15,CH$13)))</f>
        <v>1000000000000</v>
      </c>
      <c r="CI269" s="172">
        <f ca="1">IF(OR($D269&lt;&gt;"Serviço",AND(AUTOEVENTO="Manual",$M269=$A$15),$M269&gt;(ROW(PLE.lastrow)-ROW(PLE.firstrow))),0,
           IF(OFFSET(PLE!$G$15,$M269-$A$15,CI$13)="",10^12,OFFSET(PLE!$G$15,$M269-$A$15,CI$13)))</f>
        <v>1000000000000</v>
      </c>
      <c r="CJ269" s="172">
        <f ca="1">IF(OR($D269&lt;&gt;"Serviço",AND(AUTOEVENTO="Manual",$M269=$A$15),$M269&gt;(ROW(PLE.lastrow)-ROW(PLE.firstrow))),0,
           IF(OFFSET(PLE!$G$15,$M269-$A$15,CJ$13)="",10^12,OFFSET(PLE!$G$15,$M269-$A$15,CJ$13)))</f>
        <v>1000000000000</v>
      </c>
      <c r="CK269" s="172">
        <f ca="1">IF(OR($D269&lt;&gt;"Serviço",AND(AUTOEVENTO="Manual",$M269=$A$15),$M269&gt;(ROW(PLE.lastrow)-ROW(PLE.firstrow))),0,
           IF(OFFSET(PLE!$G$15,$M269-$A$15,CK$13)="",10^12,OFFSET(PLE!$G$15,$M269-$A$15,CK$13)))</f>
        <v>1000000000000</v>
      </c>
      <c r="CL269" s="172">
        <f ca="1">IF(OR($D269&lt;&gt;"Serviço",AND(AUTOEVENTO="Manual",$M269=$A$15),$M269&gt;(ROW(PLE.lastrow)-ROW(PLE.firstrow))),0,
           IF(OFFSET(PLE!$G$15,$M269-$A$15,CL$13)="",10^12,OFFSET(PLE!$G$15,$M269-$A$15,CL$13)))</f>
        <v>1000000000000</v>
      </c>
      <c r="CM269" s="172">
        <f ca="1">IF(OR($D269&lt;&gt;"Serviço",AND(AUTOEVENTO="Manual",$M269=$A$15),$M269&gt;(ROW(PLE.lastrow)-ROW(PLE.firstrow))),0,
           IF(OFFSET(PLE!$G$15,$M269-$A$15,CM$13)="",10^12,OFFSET(PLE!$G$15,$M269-$A$15,CM$13)))</f>
        <v>1000000000000</v>
      </c>
    </row>
    <row r="270" spans="1:91" ht="51" x14ac:dyDescent="0.2">
      <c r="A270" s="7">
        <f t="shared" ca="1" si="13"/>
        <v>6</v>
      </c>
      <c r="B270" s="7" t="str">
        <f ca="1">OFFSET(ORÇAMENTO!C$15,ROW(B270)-ROW(B$15),0)</f>
        <v>S</v>
      </c>
      <c r="C270" s="7" t="str">
        <f ca="1">OFFSET(ORÇAMENTO!L$15,ROW(C270)-ROW(C$15),0)</f>
        <v>F</v>
      </c>
      <c r="D270" s="116" t="str">
        <f ca="1">OFFSET(ORÇAMENTO!N$15,ROW(D270)-ROW(D$15),0)</f>
        <v>Serviço</v>
      </c>
      <c r="E270" s="117" t="str">
        <f ca="1">OFFSET(ORÇAMENTO!O$15,ROW(E270)-ROW(E$15),0)</f>
        <v>1.7.2.1.6.</v>
      </c>
      <c r="F270" s="163" t="str">
        <f ca="1">OFFSET(ORÇAMENTO!R$15,ROW(F270)-ROW(F$15),0)</f>
        <v>TUBO PONTA/FLANGE FoFo L = 0,80 M - DN 150 MM</v>
      </c>
      <c r="G270" s="164" t="str">
        <f ca="1">IF($D270&lt;&gt;"Serviço","",OFFSET(ORÇAMENTO!S$15,ROW(G270)-ROW(G$15),0))</f>
        <v>UN</v>
      </c>
      <c r="H270" s="122" cm="1">
        <f t="array" aca="1" ref="H270" ca="1">IF($D270&lt;&gt;"Serviço",0,IF(ACOMPANHAMENTO="BM",ROUND(OFFSET(ORÇAMENTO!AJ$15,ROW(H270)-ROW(H$15),0),15-13*ORÇAMENTO!$AF$7),SUMPRODUCT(($Q$1:$AI$1=1)*ROUND($Q270:$AI270,15-13*ORÇAMENTO!$AF$7))))</f>
        <v>1</v>
      </c>
      <c r="I270" s="468" t="s">
        <v>1349</v>
      </c>
      <c r="J270" s="640" t="str" cm="1">
        <f t="array" aca="1" ref="J270" ca="1">IF(OR(B270&lt;&gt;"S",CÁLCULO.FrentesPreenchidas=0),"",IF(AND(ACOMPANHAMENTO="PLE",AUTOEVENTO="Manual",OR(H270&gt;0,ORÇAMENTO!AC270="QUANT."),OR(K270="",M270=0,N270="")),"►E",IF(AND(ACOMPANHAMENTO="PLE",ORÇAMENTO!AC270="QUANT."),"►Q",IF(AND(ACOMPANHAMENTO="PLE",H270&lt;&gt;SUMPRODUCT(($Q$1:$AI$1=1)*ROUND(Q270:AI270,15))),"►S",IF(AND(COUNTIF($P$11:$AI$11,"▼")=0,H270&gt;0,I270=""),"◄M","")))))</f>
        <v/>
      </c>
      <c r="K270" s="641" t="s">
        <v>1385</v>
      </c>
      <c r="L270" s="165" t="s">
        <v>764</v>
      </c>
      <c r="M270" s="166">
        <f ca="1">IF($D270&lt;&gt;"Serviço","",
          IF(AUTOEVENTO="manual",$A270,
                IF(ISERROR(MATCH($A270,$A$15:OFFSET($A270,-1,0),0)),MAX($M$15:OFFSET(M270,-1,0))+1,
                      INDEX($M$15:OFFSET(M270,-1,0),MATCH($A270,$A$15:OFFSET($A270,-1,0),0)))))</f>
        <v>6</v>
      </c>
      <c r="N270" s="167" t="str">
        <f ca="1">IF($D270&lt;&gt;"Serviço","",
         IF(AUTOEVENTO="Manual",
                IF($A270=0,"&lt;-- defina o número do agrupador",
                       OFFSET(EVENTOS!$D$15,$A270-$A$15,0)),
                OFFSET($F$15,$A270,0)))</f>
        <v>Saneamento</v>
      </c>
      <c r="O270" s="168"/>
      <c r="Q270" s="168"/>
      <c r="R270" s="169"/>
      <c r="S270" s="169"/>
      <c r="T270" s="169">
        <v>1</v>
      </c>
      <c r="U270" s="169"/>
      <c r="V270" s="169"/>
      <c r="W270" s="169"/>
      <c r="X270" s="169"/>
      <c r="Y270" s="169"/>
      <c r="Z270" s="170"/>
      <c r="AA270" s="169"/>
      <c r="AB270" s="169"/>
      <c r="AC270" s="169"/>
      <c r="AD270" s="169"/>
      <c r="AE270" s="169"/>
      <c r="AF270" s="169"/>
      <c r="AG270" s="169"/>
      <c r="AH270" s="170"/>
      <c r="AJ270" s="453">
        <f ca="1">IF(AND($D270="Serviço",AJ$12&lt;&gt;0,$H270&gt;0,OR(AUTOEVENTO&lt;&gt;"manual",$M270&lt;&gt;$A$15)),
        IF(Import.TipoArredondamento&lt;&gt;"TransfereGOV",
              ROUND(OFFSET($P270,0,AJ$13),15-13*ORÇAMENTO!$AF$7)/$H270*OFFSET(ORÇAMENTO!$X$15,ROW(AJ270)-ROW(AJ$15),0),
              ROUND(ROUND(OFFSET($P270,0,AJ$13),15-13*ORÇAMENTO!$AF$7)*OFFSET(ORÇAMENTO!$W$15,ROW(AJ270)-ROW(AJ$15),0),15-13*ORÇAMENTO!$AF$11)),
         0)</f>
        <v>0</v>
      </c>
      <c r="AK270" s="453">
        <f ca="1">IF(AND($D270="Serviço",AK$12&lt;&gt;0,$H270&gt;0,OR(AUTOEVENTO&lt;&gt;"manual",$M270&lt;&gt;$A$15)),
        IF(Import.TipoArredondamento&lt;&gt;"TransfereGOV",
              ROUND(OFFSET($P270,0,AK$13),15-13*ORÇAMENTO!$AF$7)/$H270*OFFSET(ORÇAMENTO!$X$15,ROW(AK270)-ROW(AK$15),0),
              ROUND(ROUND(OFFSET($P270,0,AK$13),15-13*ORÇAMENTO!$AF$7)*OFFSET(ORÇAMENTO!$W$15,ROW(AK270)-ROW(AK$15),0),15-13*ORÇAMENTO!$AF$11)),
         0)</f>
        <v>0</v>
      </c>
      <c r="AL270" s="453">
        <f ca="1">IF(AND($D270="Serviço",AL$12&lt;&gt;0,$H270&gt;0,OR(AUTOEVENTO&lt;&gt;"manual",$M270&lt;&gt;$A$15)),
        IF(Import.TipoArredondamento&lt;&gt;"TransfereGOV",
              ROUND(OFFSET($P270,0,AL$13),15-13*ORÇAMENTO!$AF$7)/$H270*OFFSET(ORÇAMENTO!$X$15,ROW(AL270)-ROW(AL$15),0),
              ROUND(ROUND(OFFSET($P270,0,AL$13),15-13*ORÇAMENTO!$AF$7)*OFFSET(ORÇAMENTO!$W$15,ROW(AL270)-ROW(AL$15),0),15-13*ORÇAMENTO!$AF$11)),
         0)</f>
        <v>0</v>
      </c>
      <c r="AM270" s="453">
        <f ca="1">IF(AND($D270="Serviço",AM$12&lt;&gt;0,$H270&gt;0,OR(AUTOEVENTO&lt;&gt;"manual",$M270&lt;&gt;$A$15)),
        IF(Import.TipoArredondamento&lt;&gt;"TransfereGOV",
              ROUND(OFFSET($P270,0,AM$13),15-13*ORÇAMENTO!$AF$7)/$H270*OFFSET(ORÇAMENTO!$X$15,ROW(AM270)-ROW(AM$15),0),
              ROUND(ROUND(OFFSET($P270,0,AM$13),15-13*ORÇAMENTO!$AF$7)*OFFSET(ORÇAMENTO!$W$15,ROW(AM270)-ROW(AM$15),0),15-13*ORÇAMENTO!$AF$11)),
         0)</f>
        <v>0</v>
      </c>
      <c r="AN270" s="453">
        <f ca="1">IF(AND($D270="Serviço",AN$12&lt;&gt;0,$H270&gt;0,OR(AUTOEVENTO&lt;&gt;"manual",$M270&lt;&gt;$A$15)),
        IF(Import.TipoArredondamento&lt;&gt;"TransfereGOV",
              ROUND(OFFSET($P270,0,AN$13),15-13*ORÇAMENTO!$AF$7)/$H270*OFFSET(ORÇAMENTO!$X$15,ROW(AN270)-ROW(AN$15),0),
              ROUND(ROUND(OFFSET($P270,0,AN$13),15-13*ORÇAMENTO!$AF$7)*OFFSET(ORÇAMENTO!$W$15,ROW(AN270)-ROW(AN$15),0),15-13*ORÇAMENTO!$AF$11)),
         0)</f>
        <v>0</v>
      </c>
      <c r="AO270" s="453">
        <f ca="1">IF(AND($D270="Serviço",AO$12&lt;&gt;0,$H270&gt;0,OR(AUTOEVENTO&lt;&gt;"manual",$M270&lt;&gt;$A$15)),
        IF(Import.TipoArredondamento&lt;&gt;"TransfereGOV",
              ROUND(OFFSET($P270,0,AO$13),15-13*ORÇAMENTO!$AF$7)/$H270*OFFSET(ORÇAMENTO!$X$15,ROW(AO270)-ROW(AO$15),0),
              ROUND(ROUND(OFFSET($P270,0,AO$13),15-13*ORÇAMENTO!$AF$7)*OFFSET(ORÇAMENTO!$W$15,ROW(AO270)-ROW(AO$15),0),15-13*ORÇAMENTO!$AF$11)),
         0)</f>
        <v>0</v>
      </c>
      <c r="AP270" s="453">
        <f ca="1">IF(AND($D270="Serviço",AP$12&lt;&gt;0,$H270&gt;0,OR(AUTOEVENTO&lt;&gt;"manual",$M270&lt;&gt;$A$15)),
        IF(Import.TipoArredondamento&lt;&gt;"TransfereGOV",
              ROUND(OFFSET($P270,0,AP$13),15-13*ORÇAMENTO!$AF$7)/$H270*OFFSET(ORÇAMENTO!$X$15,ROW(AP270)-ROW(AP$15),0),
              ROUND(ROUND(OFFSET($P270,0,AP$13),15-13*ORÇAMENTO!$AF$7)*OFFSET(ORÇAMENTO!$W$15,ROW(AP270)-ROW(AP$15),0),15-13*ORÇAMENTO!$AF$11)),
         0)</f>
        <v>0</v>
      </c>
      <c r="AQ270" s="453">
        <f ca="1">IF(AND($D270="Serviço",AQ$12&lt;&gt;0,$H270&gt;0,OR(AUTOEVENTO&lt;&gt;"manual",$M270&lt;&gt;$A$15)),
        IF(Import.TipoArredondamento&lt;&gt;"TransfereGOV",
              ROUND(OFFSET($P270,0,AQ$13),15-13*ORÇAMENTO!$AF$7)/$H270*OFFSET(ORÇAMENTO!$X$15,ROW(AQ270)-ROW(AQ$15),0),
              ROUND(ROUND(OFFSET($P270,0,AQ$13),15-13*ORÇAMENTO!$AF$7)*OFFSET(ORÇAMENTO!$W$15,ROW(AQ270)-ROW(AQ$15),0),15-13*ORÇAMENTO!$AF$11)),
         0)</f>
        <v>0</v>
      </c>
      <c r="AR270" s="453">
        <f ca="1">IF(AND($D270="Serviço",AR$12&lt;&gt;0,$H270&gt;0,OR(AUTOEVENTO&lt;&gt;"manual",$M270&lt;&gt;$A$15)),
        IF(Import.TipoArredondamento&lt;&gt;"TransfereGOV",
              ROUND(OFFSET($P270,0,AR$13),15-13*ORÇAMENTO!$AF$7)/$H270*OFFSET(ORÇAMENTO!$X$15,ROW(AR270)-ROW(AR$15),0),
              ROUND(ROUND(OFFSET($P270,0,AR$13),15-13*ORÇAMENTO!$AF$7)*OFFSET(ORÇAMENTO!$W$15,ROW(AR270)-ROW(AR$15),0),15-13*ORÇAMENTO!$AF$11)),
         0)</f>
        <v>0</v>
      </c>
      <c r="AS270" s="453">
        <f ca="1">IF(AND($D270="Serviço",AS$12&lt;&gt;0,$H270&gt;0,OR(AUTOEVENTO&lt;&gt;"manual",$M270&lt;&gt;$A$15)),
        IF(Import.TipoArredondamento&lt;&gt;"TransfereGOV",
              ROUND(OFFSET($P270,0,AS$13),15-13*ORÇAMENTO!$AF$7)/$H270*OFFSET(ORÇAMENTO!$X$15,ROW(AS270)-ROW(AS$15),0),
              ROUND(ROUND(OFFSET($P270,0,AS$13),15-13*ORÇAMENTO!$AF$7)*OFFSET(ORÇAMENTO!$W$15,ROW(AS270)-ROW(AS$15),0),15-13*ORÇAMENTO!$AF$11)),
         0)</f>
        <v>0</v>
      </c>
      <c r="AT270" s="453">
        <f ca="1">IF(AND($D270="Serviço",AT$12&lt;&gt;0,$H270&gt;0,OR(AUTOEVENTO&lt;&gt;"manual",$M270&lt;&gt;$A$15)),
        IF(Import.TipoArredondamento&lt;&gt;"TransfereGOV",
              ROUND(OFFSET($P270,0,AT$13),15-13*ORÇAMENTO!$AF$7)/$H270*OFFSET(ORÇAMENTO!$X$15,ROW(AT270)-ROW(AT$15),0),
              ROUND(ROUND(OFFSET($P270,0,AT$13),15-13*ORÇAMENTO!$AF$7)*OFFSET(ORÇAMENTO!$W$15,ROW(AT270)-ROW(AT$15),0),15-13*ORÇAMENTO!$AF$11)),
         0)</f>
        <v>0</v>
      </c>
      <c r="AU270" s="453">
        <f ca="1">IF(AND($D270="Serviço",AU$12&lt;&gt;0,$H270&gt;0,OR(AUTOEVENTO&lt;&gt;"manual",$M270&lt;&gt;$A$15)),
        IF(Import.TipoArredondamento&lt;&gt;"TransfereGOV",
              ROUND(OFFSET($P270,0,AU$13),15-13*ORÇAMENTO!$AF$7)/$H270*OFFSET(ORÇAMENTO!$X$15,ROW(AU270)-ROW(AU$15),0),
              ROUND(ROUND(OFFSET($P270,0,AU$13),15-13*ORÇAMENTO!$AF$7)*OFFSET(ORÇAMENTO!$W$15,ROW(AU270)-ROW(AU$15),0),15-13*ORÇAMENTO!$AF$11)),
         0)</f>
        <v>0</v>
      </c>
      <c r="AV270" s="453">
        <f ca="1">IF(AND($D270="Serviço",AV$12&lt;&gt;0,$H270&gt;0,OR(AUTOEVENTO&lt;&gt;"manual",$M270&lt;&gt;$A$15)),
        IF(Import.TipoArredondamento&lt;&gt;"TransfereGOV",
              ROUND(OFFSET($P270,0,AV$13),15-13*ORÇAMENTO!$AF$7)/$H270*OFFSET(ORÇAMENTO!$X$15,ROW(AV270)-ROW(AV$15),0),
              ROUND(ROUND(OFFSET($P270,0,AV$13),15-13*ORÇAMENTO!$AF$7)*OFFSET(ORÇAMENTO!$W$15,ROW(AV270)-ROW(AV$15),0),15-13*ORÇAMENTO!$AF$11)),
         0)</f>
        <v>0</v>
      </c>
      <c r="AW270" s="453">
        <f ca="1">IF(AND($D270="Serviço",AW$12&lt;&gt;0,$H270&gt;0,OR(AUTOEVENTO&lt;&gt;"manual",$M270&lt;&gt;$A$15)),
        IF(Import.TipoArredondamento&lt;&gt;"TransfereGOV",
              ROUND(OFFSET($P270,0,AW$13),15-13*ORÇAMENTO!$AF$7)/$H270*OFFSET(ORÇAMENTO!$X$15,ROW(AW270)-ROW(AW$15),0),
              ROUND(ROUND(OFFSET($P270,0,AW$13),15-13*ORÇAMENTO!$AF$7)*OFFSET(ORÇAMENTO!$W$15,ROW(AW270)-ROW(AW$15),0),15-13*ORÇAMENTO!$AF$11)),
         0)</f>
        <v>0</v>
      </c>
      <c r="AX270" s="453">
        <f ca="1">IF(AND($D270="Serviço",AX$12&lt;&gt;0,$H270&gt;0,OR(AUTOEVENTO&lt;&gt;"manual",$M270&lt;&gt;$A$15)),
        IF(Import.TipoArredondamento&lt;&gt;"TransfereGOV",
              ROUND(OFFSET($P270,0,AX$13),15-13*ORÇAMENTO!$AF$7)/$H270*OFFSET(ORÇAMENTO!$X$15,ROW(AX270)-ROW(AX$15),0),
              ROUND(ROUND(OFFSET($P270,0,AX$13),15-13*ORÇAMENTO!$AF$7)*OFFSET(ORÇAMENTO!$W$15,ROW(AX270)-ROW(AX$15),0),15-13*ORÇAMENTO!$AF$11)),
         0)</f>
        <v>0</v>
      </c>
      <c r="AY270" s="453">
        <f ca="1">IF(AND($D270="Serviço",AY$12&lt;&gt;0,$H270&gt;0,OR(AUTOEVENTO&lt;&gt;"manual",$M270&lt;&gt;$A$15)),
        IF(Import.TipoArredondamento&lt;&gt;"TransfereGOV",
              ROUND(OFFSET($P270,0,AY$13),15-13*ORÇAMENTO!$AF$7)/$H270*OFFSET(ORÇAMENTO!$X$15,ROW(AY270)-ROW(AY$15),0),
              ROUND(ROUND(OFFSET($P270,0,AY$13),15-13*ORÇAMENTO!$AF$7)*OFFSET(ORÇAMENTO!$W$15,ROW(AY270)-ROW(AY$15),0),15-13*ORÇAMENTO!$AF$11)),
         0)</f>
        <v>0</v>
      </c>
      <c r="AZ270" s="453">
        <f ca="1">IF(AND($D270="Serviço",AZ$12&lt;&gt;0,$H270&gt;0,OR(AUTOEVENTO&lt;&gt;"manual",$M270&lt;&gt;$A$15)),
        IF(Import.TipoArredondamento&lt;&gt;"TransfereGOV",
              ROUND(OFFSET($P270,0,AZ$13),15-13*ORÇAMENTO!$AF$7)/$H270*OFFSET(ORÇAMENTO!$X$15,ROW(AZ270)-ROW(AZ$15),0),
              ROUND(ROUND(OFFSET($P270,0,AZ$13),15-13*ORÇAMENTO!$AF$7)*OFFSET(ORÇAMENTO!$W$15,ROW(AZ270)-ROW(AZ$15),0),15-13*ORÇAMENTO!$AF$11)),
         0)</f>
        <v>0</v>
      </c>
      <c r="BA270" s="453">
        <f ca="1">IF(AND($D270="Serviço",BA$12&lt;&gt;0,$H270&gt;0,OR(AUTOEVENTO&lt;&gt;"manual",$M270&lt;&gt;$A$15)),
        IF(Import.TipoArredondamento&lt;&gt;"TransfereGOV",
              ROUND(OFFSET($P270,0,BA$13),15-13*ORÇAMENTO!$AF$7)/$H270*OFFSET(ORÇAMENTO!$X$15,ROW(BA270)-ROW(BA$15),0),
              ROUND(ROUND(OFFSET($P270,0,BA$13),15-13*ORÇAMENTO!$AF$7)*OFFSET(ORÇAMENTO!$W$15,ROW(BA270)-ROW(BA$15),0),15-13*ORÇAMENTO!$AF$11)),
         0)</f>
        <v>0</v>
      </c>
      <c r="BC270" s="171">
        <f ca="1">IF(OR($D270&lt;&gt;"Serviço",AND(AUTOEVENTO="Manual",$M270=$A$15)),0,
         IF(OFFSET(CRONOPLE!$F$15,$M270-$A$15,BC$13)=0,10^12,OFFSET(CRONOPLE!$F$15,$M270-$A$15,BC$13)))</f>
        <v>1</v>
      </c>
      <c r="BD270" s="171">
        <f ca="1">IF(OR($D270&lt;&gt;"Serviço",AND(AUTOEVENTO="Manual",$M270=$A$15)),0,
         IF(OFFSET(CRONOPLE!$F$15,$M270-$A$15,BD$13)=0,10^12,OFFSET(CRONOPLE!$F$15,$M270-$A$15,BD$13)))</f>
        <v>2</v>
      </c>
      <c r="BE270" s="171">
        <f ca="1">IF(OR($D270&lt;&gt;"Serviço",AND(AUTOEVENTO="Manual",$M270=$A$15)),0,
         IF(OFFSET(CRONOPLE!$F$15,$M270-$A$15,BE$13)=0,10^12,OFFSET(CRONOPLE!$F$15,$M270-$A$15,BE$13)))</f>
        <v>3</v>
      </c>
      <c r="BF270" s="171">
        <f ca="1">IF(OR($D270&lt;&gt;"Serviço",AND(AUTOEVENTO="Manual",$M270=$A$15)),0,
         IF(OFFSET(CRONOPLE!$F$15,$M270-$A$15,BF$13)=0,10^12,OFFSET(CRONOPLE!$F$15,$M270-$A$15,BF$13)))</f>
        <v>4</v>
      </c>
      <c r="BG270" s="171">
        <f ca="1">IF(OR($D270&lt;&gt;"Serviço",AND(AUTOEVENTO="Manual",$M270=$A$15)),0,
         IF(OFFSET(CRONOPLE!$F$15,$M270-$A$15,BG$13)=0,10^12,OFFSET(CRONOPLE!$F$15,$M270-$A$15,BG$13)))</f>
        <v>5</v>
      </c>
      <c r="BH270" s="171">
        <f ca="1">IF(OR($D270&lt;&gt;"Serviço",AND(AUTOEVENTO="Manual",$M270=$A$15)),0,
         IF(OFFSET(CRONOPLE!$F$15,$M270-$A$15,BH$13)=0,10^12,OFFSET(CRONOPLE!$F$15,$M270-$A$15,BH$13)))</f>
        <v>6</v>
      </c>
      <c r="BI270" s="171">
        <f ca="1">IF(OR($D270&lt;&gt;"Serviço",AND(AUTOEVENTO="Manual",$M270=$A$15)),0,
         IF(OFFSET(CRONOPLE!$F$15,$M270-$A$15,BI$13)=0,10^12,OFFSET(CRONOPLE!$F$15,$M270-$A$15,BI$13)))</f>
        <v>7</v>
      </c>
      <c r="BJ270" s="171">
        <f ca="1">IF(OR($D270&lt;&gt;"Serviço",AND(AUTOEVENTO="Manual",$M270=$A$15)),0,
         IF(OFFSET(CRONOPLE!$F$15,$M270-$A$15,BJ$13)=0,10^12,OFFSET(CRONOPLE!$F$15,$M270-$A$15,BJ$13)))</f>
        <v>8</v>
      </c>
      <c r="BK270" s="171">
        <f ca="1">IF(OR($D270&lt;&gt;"Serviço",AND(AUTOEVENTO="Manual",$M270=$A$15)),0,
         IF(OFFSET(CRONOPLE!$F$15,$M270-$A$15,BK$13)=0,10^12,OFFSET(CRONOPLE!$F$15,$M270-$A$15,BK$13)))</f>
        <v>9</v>
      </c>
      <c r="BL270" s="171">
        <f ca="1">IF(OR($D270&lt;&gt;"Serviço",AND(AUTOEVENTO="Manual",$M270=$A$15)),0,
         IF(OFFSET(CRONOPLE!$F$15,$M270-$A$15,BL$13)=0,10^12,OFFSET(CRONOPLE!$F$15,$M270-$A$15,BL$13)))</f>
        <v>1000000000000</v>
      </c>
      <c r="BM270" s="171">
        <f ca="1">IF(OR($D270&lt;&gt;"Serviço",AND(AUTOEVENTO="Manual",$M270=$A$15)),0,
         IF(OFFSET(CRONOPLE!$F$15,$M270-$A$15,BM$13)=0,10^12,OFFSET(CRONOPLE!$F$15,$M270-$A$15,BM$13)))</f>
        <v>1000000000000</v>
      </c>
      <c r="BN270" s="171">
        <f ca="1">IF(OR($D270&lt;&gt;"Serviço",AND(AUTOEVENTO="Manual",$M270=$A$15)),0,
         IF(OFFSET(CRONOPLE!$F$15,$M270-$A$15,BN$13)=0,10^12,OFFSET(CRONOPLE!$F$15,$M270-$A$15,BN$13)))</f>
        <v>1000000000000</v>
      </c>
      <c r="BO270" s="171">
        <f ca="1">IF(OR($D270&lt;&gt;"Serviço",AND(AUTOEVENTO="Manual",$M270=$A$15)),0,
         IF(OFFSET(CRONOPLE!$F$15,$M270-$A$15,BO$13)=0,10^12,OFFSET(CRONOPLE!$F$15,$M270-$A$15,BO$13)))</f>
        <v>1000000000000</v>
      </c>
      <c r="BP270" s="171">
        <f ca="1">IF(OR($D270&lt;&gt;"Serviço",AND(AUTOEVENTO="Manual",$M270=$A$15)),0,
         IF(OFFSET(CRONOPLE!$F$15,$M270-$A$15,BP$13)=0,10^12,OFFSET(CRONOPLE!$F$15,$M270-$A$15,BP$13)))</f>
        <v>1000000000000</v>
      </c>
      <c r="BQ270" s="171">
        <f ca="1">IF(OR($D270&lt;&gt;"Serviço",AND(AUTOEVENTO="Manual",$M270=$A$15)),0,
         IF(OFFSET(CRONOPLE!$F$15,$M270-$A$15,BQ$13)=0,10^12,OFFSET(CRONOPLE!$F$15,$M270-$A$15,BQ$13)))</f>
        <v>1000000000000</v>
      </c>
      <c r="BR270" s="171">
        <f ca="1">IF(OR($D270&lt;&gt;"Serviço",AND(AUTOEVENTO="Manual",$M270=$A$15)),0,
         IF(OFFSET(CRONOPLE!$F$15,$M270-$A$15,BR$13)=0,10^12,OFFSET(CRONOPLE!$F$15,$M270-$A$15,BR$13)))</f>
        <v>1000000000000</v>
      </c>
      <c r="BS270" s="171">
        <f ca="1">IF(OR($D270&lt;&gt;"Serviço",AND(AUTOEVENTO="Manual",$M270=$A$15)),0,
         IF(OFFSET(CRONOPLE!$F$15,$M270-$A$15,BS$13)=0,10^12,OFFSET(CRONOPLE!$F$15,$M270-$A$15,BS$13)))</f>
        <v>1000000000000</v>
      </c>
      <c r="BT270" s="171">
        <f ca="1">IF(OR($D270&lt;&gt;"Serviço",AND(AUTOEVENTO="Manual",$M270=$A$15)),0,
         IF(OFFSET(CRONOPLE!$F$15,$M270-$A$15,BT$13)=0,10^12,OFFSET(CRONOPLE!$F$15,$M270-$A$15,BT$13)))</f>
        <v>1000000000000</v>
      </c>
      <c r="BV270" s="172">
        <f ca="1">IF(OR($D270&lt;&gt;"Serviço",AND(AUTOEVENTO="Manual",$M270=$A$15),$M270&gt;(ROW(PLE.lastrow)-ROW(PLE.firstrow))),0,
           IF(OFFSET(PLE!$G$15,$M270-$A$15,BV$13)="",10^12,OFFSET(PLE!$G$15,$M270-$A$15,BV$13)))</f>
        <v>1000000000000</v>
      </c>
      <c r="BW270" s="172">
        <f ca="1">IF(OR($D270&lt;&gt;"Serviço",AND(AUTOEVENTO="Manual",$M270=$A$15),$M270&gt;(ROW(PLE.lastrow)-ROW(PLE.firstrow))),0,
           IF(OFFSET(PLE!$G$15,$M270-$A$15,BW$13)="",10^12,OFFSET(PLE!$G$15,$M270-$A$15,BW$13)))</f>
        <v>1000000000000</v>
      </c>
      <c r="BX270" s="172">
        <f ca="1">IF(OR($D270&lt;&gt;"Serviço",AND(AUTOEVENTO="Manual",$M270=$A$15),$M270&gt;(ROW(PLE.lastrow)-ROW(PLE.firstrow))),0,
           IF(OFFSET(PLE!$G$15,$M270-$A$15,BX$13)="",10^12,OFFSET(PLE!$G$15,$M270-$A$15,BX$13)))</f>
        <v>1000000000000</v>
      </c>
      <c r="BY270" s="172">
        <f ca="1">IF(OR($D270&lt;&gt;"Serviço",AND(AUTOEVENTO="Manual",$M270=$A$15),$M270&gt;(ROW(PLE.lastrow)-ROW(PLE.firstrow))),0,
           IF(OFFSET(PLE!$G$15,$M270-$A$15,BY$13)="",10^12,OFFSET(PLE!$G$15,$M270-$A$15,BY$13)))</f>
        <v>1000000000000</v>
      </c>
      <c r="BZ270" s="172">
        <f ca="1">IF(OR($D270&lt;&gt;"Serviço",AND(AUTOEVENTO="Manual",$M270=$A$15),$M270&gt;(ROW(PLE.lastrow)-ROW(PLE.firstrow))),0,
           IF(OFFSET(PLE!$G$15,$M270-$A$15,BZ$13)="",10^12,OFFSET(PLE!$G$15,$M270-$A$15,BZ$13)))</f>
        <v>1000000000000</v>
      </c>
      <c r="CA270" s="172">
        <f ca="1">IF(OR($D270&lt;&gt;"Serviço",AND(AUTOEVENTO="Manual",$M270=$A$15),$M270&gt;(ROW(PLE.lastrow)-ROW(PLE.firstrow))),0,
           IF(OFFSET(PLE!$G$15,$M270-$A$15,CA$13)="",10^12,OFFSET(PLE!$G$15,$M270-$A$15,CA$13)))</f>
        <v>1000000000000</v>
      </c>
      <c r="CB270" s="172">
        <f ca="1">IF(OR($D270&lt;&gt;"Serviço",AND(AUTOEVENTO="Manual",$M270=$A$15),$M270&gt;(ROW(PLE.lastrow)-ROW(PLE.firstrow))),0,
           IF(OFFSET(PLE!$G$15,$M270-$A$15,CB$13)="",10^12,OFFSET(PLE!$G$15,$M270-$A$15,CB$13)))</f>
        <v>1000000000000</v>
      </c>
      <c r="CC270" s="172">
        <f ca="1">IF(OR($D270&lt;&gt;"Serviço",AND(AUTOEVENTO="Manual",$M270=$A$15),$M270&gt;(ROW(PLE.lastrow)-ROW(PLE.firstrow))),0,
           IF(OFFSET(PLE!$G$15,$M270-$A$15,CC$13)="",10^12,OFFSET(PLE!$G$15,$M270-$A$15,CC$13)))</f>
        <v>1000000000000</v>
      </c>
      <c r="CD270" s="172">
        <f ca="1">IF(OR($D270&lt;&gt;"Serviço",AND(AUTOEVENTO="Manual",$M270=$A$15),$M270&gt;(ROW(PLE.lastrow)-ROW(PLE.firstrow))),0,
           IF(OFFSET(PLE!$G$15,$M270-$A$15,CD$13)="",10^12,OFFSET(PLE!$G$15,$M270-$A$15,CD$13)))</f>
        <v>1000000000000</v>
      </c>
      <c r="CE270" s="172">
        <f ca="1">IF(OR($D270&lt;&gt;"Serviço",AND(AUTOEVENTO="Manual",$M270=$A$15),$M270&gt;(ROW(PLE.lastrow)-ROW(PLE.firstrow))),0,
           IF(OFFSET(PLE!$G$15,$M270-$A$15,CE$13)="",10^12,OFFSET(PLE!$G$15,$M270-$A$15,CE$13)))</f>
        <v>1000000000000</v>
      </c>
      <c r="CF270" s="172">
        <f ca="1">IF(OR($D270&lt;&gt;"Serviço",AND(AUTOEVENTO="Manual",$M270=$A$15),$M270&gt;(ROW(PLE.lastrow)-ROW(PLE.firstrow))),0,
           IF(OFFSET(PLE!$G$15,$M270-$A$15,CF$13)="",10^12,OFFSET(PLE!$G$15,$M270-$A$15,CF$13)))</f>
        <v>1000000000000</v>
      </c>
      <c r="CG270" s="172">
        <f ca="1">IF(OR($D270&lt;&gt;"Serviço",AND(AUTOEVENTO="Manual",$M270=$A$15),$M270&gt;(ROW(PLE.lastrow)-ROW(PLE.firstrow))),0,
           IF(OFFSET(PLE!$G$15,$M270-$A$15,CG$13)="",10^12,OFFSET(PLE!$G$15,$M270-$A$15,CG$13)))</f>
        <v>1000000000000</v>
      </c>
      <c r="CH270" s="172">
        <f ca="1">IF(OR($D270&lt;&gt;"Serviço",AND(AUTOEVENTO="Manual",$M270=$A$15),$M270&gt;(ROW(PLE.lastrow)-ROW(PLE.firstrow))),0,
           IF(OFFSET(PLE!$G$15,$M270-$A$15,CH$13)="",10^12,OFFSET(PLE!$G$15,$M270-$A$15,CH$13)))</f>
        <v>1000000000000</v>
      </c>
      <c r="CI270" s="172">
        <f ca="1">IF(OR($D270&lt;&gt;"Serviço",AND(AUTOEVENTO="Manual",$M270=$A$15),$M270&gt;(ROW(PLE.lastrow)-ROW(PLE.firstrow))),0,
           IF(OFFSET(PLE!$G$15,$M270-$A$15,CI$13)="",10^12,OFFSET(PLE!$G$15,$M270-$A$15,CI$13)))</f>
        <v>1000000000000</v>
      </c>
      <c r="CJ270" s="172">
        <f ca="1">IF(OR($D270&lt;&gt;"Serviço",AND(AUTOEVENTO="Manual",$M270=$A$15),$M270&gt;(ROW(PLE.lastrow)-ROW(PLE.firstrow))),0,
           IF(OFFSET(PLE!$G$15,$M270-$A$15,CJ$13)="",10^12,OFFSET(PLE!$G$15,$M270-$A$15,CJ$13)))</f>
        <v>1000000000000</v>
      </c>
      <c r="CK270" s="172">
        <f ca="1">IF(OR($D270&lt;&gt;"Serviço",AND(AUTOEVENTO="Manual",$M270=$A$15),$M270&gt;(ROW(PLE.lastrow)-ROW(PLE.firstrow))),0,
           IF(OFFSET(PLE!$G$15,$M270-$A$15,CK$13)="",10^12,OFFSET(PLE!$G$15,$M270-$A$15,CK$13)))</f>
        <v>1000000000000</v>
      </c>
      <c r="CL270" s="172">
        <f ca="1">IF(OR($D270&lt;&gt;"Serviço",AND(AUTOEVENTO="Manual",$M270=$A$15),$M270&gt;(ROW(PLE.lastrow)-ROW(PLE.firstrow))),0,
           IF(OFFSET(PLE!$G$15,$M270-$A$15,CL$13)="",10^12,OFFSET(PLE!$G$15,$M270-$A$15,CL$13)))</f>
        <v>1000000000000</v>
      </c>
      <c r="CM270" s="172">
        <f ca="1">IF(OR($D270&lt;&gt;"Serviço",AND(AUTOEVENTO="Manual",$M270=$A$15),$M270&gt;(ROW(PLE.lastrow)-ROW(PLE.firstrow))),0,
           IF(OFFSET(PLE!$G$15,$M270-$A$15,CM$13)="",10^12,OFFSET(PLE!$G$15,$M270-$A$15,CM$13)))</f>
        <v>1000000000000</v>
      </c>
    </row>
    <row r="271" spans="1:91" ht="51" x14ac:dyDescent="0.2">
      <c r="A271" s="7">
        <f t="shared" ca="1" si="13"/>
        <v>6</v>
      </c>
      <c r="B271" s="7" t="str">
        <f ca="1">OFFSET(ORÇAMENTO!C$15,ROW(B271)-ROW(B$15),0)</f>
        <v>S</v>
      </c>
      <c r="C271" s="7" t="str">
        <f ca="1">OFFSET(ORÇAMENTO!L$15,ROW(C271)-ROW(C$15),0)</f>
        <v>F</v>
      </c>
      <c r="D271" s="116" t="str">
        <f ca="1">OFFSET(ORÇAMENTO!N$15,ROW(D271)-ROW(D$15),0)</f>
        <v>Serviço</v>
      </c>
      <c r="E271" s="117" t="str">
        <f ca="1">OFFSET(ORÇAMENTO!O$15,ROW(E271)-ROW(E$15),0)</f>
        <v>1.7.2.1.7.</v>
      </c>
      <c r="F271" s="163" t="str">
        <f ca="1">OFFSET(ORÇAMENTO!R$15,ROW(F271)-ROW(F$15),0)</f>
        <v>REGISTRO GAVETA FLANGE E CABEÇOTE PN10 DN150MM</v>
      </c>
      <c r="G271" s="164" t="str">
        <f ca="1">IF($D271&lt;&gt;"Serviço","",OFFSET(ORÇAMENTO!S$15,ROW(G271)-ROW(G$15),0))</f>
        <v>UN</v>
      </c>
      <c r="H271" s="122" cm="1">
        <f t="array" aca="1" ref="H271" ca="1">IF($D271&lt;&gt;"Serviço",0,IF(ACOMPANHAMENTO="BM",ROUND(OFFSET(ORÇAMENTO!AJ$15,ROW(H271)-ROW(H$15),0),15-13*ORÇAMENTO!$AF$7),SUMPRODUCT(($Q$1:$AI$1=1)*ROUND($Q271:$AI271,15-13*ORÇAMENTO!$AF$7))))</f>
        <v>1</v>
      </c>
      <c r="I271" s="468" t="s">
        <v>1349</v>
      </c>
      <c r="J271" s="640" t="str" cm="1">
        <f t="array" aca="1" ref="J271" ca="1">IF(OR(B271&lt;&gt;"S",CÁLCULO.FrentesPreenchidas=0),"",IF(AND(ACOMPANHAMENTO="PLE",AUTOEVENTO="Manual",OR(H271&gt;0,ORÇAMENTO!AC271="QUANT."),OR(K271="",M271=0,N271="")),"►E",IF(AND(ACOMPANHAMENTO="PLE",ORÇAMENTO!AC271="QUANT."),"►Q",IF(AND(ACOMPANHAMENTO="PLE",H271&lt;&gt;SUMPRODUCT(($Q$1:$AI$1=1)*ROUND(Q271:AI271,15))),"►S",IF(AND(COUNTIF($P$11:$AI$11,"▼")=0,H271&gt;0,I271=""),"◄M","")))))</f>
        <v/>
      </c>
      <c r="K271" s="641" t="s">
        <v>1385</v>
      </c>
      <c r="L271" s="165" t="s">
        <v>764</v>
      </c>
      <c r="M271" s="166">
        <f ca="1">IF($D271&lt;&gt;"Serviço","",
          IF(AUTOEVENTO="manual",$A271,
                IF(ISERROR(MATCH($A271,$A$15:OFFSET($A271,-1,0),0)),MAX($M$15:OFFSET(M271,-1,0))+1,
                      INDEX($M$15:OFFSET(M271,-1,0),MATCH($A271,$A$15:OFFSET($A271,-1,0),0)))))</f>
        <v>6</v>
      </c>
      <c r="N271" s="167" t="str">
        <f ca="1">IF($D271&lt;&gt;"Serviço","",
         IF(AUTOEVENTO="Manual",
                IF($A271=0,"&lt;-- defina o número do agrupador",
                       OFFSET(EVENTOS!$D$15,$A271-$A$15,0)),
                OFFSET($F$15,$A271,0)))</f>
        <v>Saneamento</v>
      </c>
      <c r="O271" s="168"/>
      <c r="Q271" s="168"/>
      <c r="R271" s="169"/>
      <c r="S271" s="169"/>
      <c r="T271" s="169">
        <v>1</v>
      </c>
      <c r="U271" s="169"/>
      <c r="V271" s="169"/>
      <c r="W271" s="169"/>
      <c r="X271" s="169"/>
      <c r="Y271" s="169"/>
      <c r="Z271" s="170"/>
      <c r="AA271" s="169"/>
      <c r="AB271" s="169"/>
      <c r="AC271" s="169"/>
      <c r="AD271" s="169"/>
      <c r="AE271" s="169"/>
      <c r="AF271" s="169"/>
      <c r="AG271" s="169"/>
      <c r="AH271" s="170"/>
      <c r="AJ271" s="453">
        <f ca="1">IF(AND($D271="Serviço",AJ$12&lt;&gt;0,$H271&gt;0,OR(AUTOEVENTO&lt;&gt;"manual",$M271&lt;&gt;$A$15)),
        IF(Import.TipoArredondamento&lt;&gt;"TransfereGOV",
              ROUND(OFFSET($P271,0,AJ$13),15-13*ORÇAMENTO!$AF$7)/$H271*OFFSET(ORÇAMENTO!$X$15,ROW(AJ271)-ROW(AJ$15),0),
              ROUND(ROUND(OFFSET($P271,0,AJ$13),15-13*ORÇAMENTO!$AF$7)*OFFSET(ORÇAMENTO!$W$15,ROW(AJ271)-ROW(AJ$15),0),15-13*ORÇAMENTO!$AF$11)),
         0)</f>
        <v>0</v>
      </c>
      <c r="AK271" s="453">
        <f ca="1">IF(AND($D271="Serviço",AK$12&lt;&gt;0,$H271&gt;0,OR(AUTOEVENTO&lt;&gt;"manual",$M271&lt;&gt;$A$15)),
        IF(Import.TipoArredondamento&lt;&gt;"TransfereGOV",
              ROUND(OFFSET($P271,0,AK$13),15-13*ORÇAMENTO!$AF$7)/$H271*OFFSET(ORÇAMENTO!$X$15,ROW(AK271)-ROW(AK$15),0),
              ROUND(ROUND(OFFSET($P271,0,AK$13),15-13*ORÇAMENTO!$AF$7)*OFFSET(ORÇAMENTO!$W$15,ROW(AK271)-ROW(AK$15),0),15-13*ORÇAMENTO!$AF$11)),
         0)</f>
        <v>0</v>
      </c>
      <c r="AL271" s="453">
        <f ca="1">IF(AND($D271="Serviço",AL$12&lt;&gt;0,$H271&gt;0,OR(AUTOEVENTO&lt;&gt;"manual",$M271&lt;&gt;$A$15)),
        IF(Import.TipoArredondamento&lt;&gt;"TransfereGOV",
              ROUND(OFFSET($P271,0,AL$13),15-13*ORÇAMENTO!$AF$7)/$H271*OFFSET(ORÇAMENTO!$X$15,ROW(AL271)-ROW(AL$15),0),
              ROUND(ROUND(OFFSET($P271,0,AL$13),15-13*ORÇAMENTO!$AF$7)*OFFSET(ORÇAMENTO!$W$15,ROW(AL271)-ROW(AL$15),0),15-13*ORÇAMENTO!$AF$11)),
         0)</f>
        <v>0</v>
      </c>
      <c r="AM271" s="453">
        <f ca="1">IF(AND($D271="Serviço",AM$12&lt;&gt;0,$H271&gt;0,OR(AUTOEVENTO&lt;&gt;"manual",$M271&lt;&gt;$A$15)),
        IF(Import.TipoArredondamento&lt;&gt;"TransfereGOV",
              ROUND(OFFSET($P271,0,AM$13),15-13*ORÇAMENTO!$AF$7)/$H271*OFFSET(ORÇAMENTO!$X$15,ROW(AM271)-ROW(AM$15),0),
              ROUND(ROUND(OFFSET($P271,0,AM$13),15-13*ORÇAMENTO!$AF$7)*OFFSET(ORÇAMENTO!$W$15,ROW(AM271)-ROW(AM$15),0),15-13*ORÇAMENTO!$AF$11)),
         0)</f>
        <v>0</v>
      </c>
      <c r="AN271" s="453">
        <f ca="1">IF(AND($D271="Serviço",AN$12&lt;&gt;0,$H271&gt;0,OR(AUTOEVENTO&lt;&gt;"manual",$M271&lt;&gt;$A$15)),
        IF(Import.TipoArredondamento&lt;&gt;"TransfereGOV",
              ROUND(OFFSET($P271,0,AN$13),15-13*ORÇAMENTO!$AF$7)/$H271*OFFSET(ORÇAMENTO!$X$15,ROW(AN271)-ROW(AN$15),0),
              ROUND(ROUND(OFFSET($P271,0,AN$13),15-13*ORÇAMENTO!$AF$7)*OFFSET(ORÇAMENTO!$W$15,ROW(AN271)-ROW(AN$15),0),15-13*ORÇAMENTO!$AF$11)),
         0)</f>
        <v>0</v>
      </c>
      <c r="AO271" s="453">
        <f ca="1">IF(AND($D271="Serviço",AO$12&lt;&gt;0,$H271&gt;0,OR(AUTOEVENTO&lt;&gt;"manual",$M271&lt;&gt;$A$15)),
        IF(Import.TipoArredondamento&lt;&gt;"TransfereGOV",
              ROUND(OFFSET($P271,0,AO$13),15-13*ORÇAMENTO!$AF$7)/$H271*OFFSET(ORÇAMENTO!$X$15,ROW(AO271)-ROW(AO$15),0),
              ROUND(ROUND(OFFSET($P271,0,AO$13),15-13*ORÇAMENTO!$AF$7)*OFFSET(ORÇAMENTO!$W$15,ROW(AO271)-ROW(AO$15),0),15-13*ORÇAMENTO!$AF$11)),
         0)</f>
        <v>0</v>
      </c>
      <c r="AP271" s="453">
        <f ca="1">IF(AND($D271="Serviço",AP$12&lt;&gt;0,$H271&gt;0,OR(AUTOEVENTO&lt;&gt;"manual",$M271&lt;&gt;$A$15)),
        IF(Import.TipoArredondamento&lt;&gt;"TransfereGOV",
              ROUND(OFFSET($P271,0,AP$13),15-13*ORÇAMENTO!$AF$7)/$H271*OFFSET(ORÇAMENTO!$X$15,ROW(AP271)-ROW(AP$15),0),
              ROUND(ROUND(OFFSET($P271,0,AP$13),15-13*ORÇAMENTO!$AF$7)*OFFSET(ORÇAMENTO!$W$15,ROW(AP271)-ROW(AP$15),0),15-13*ORÇAMENTO!$AF$11)),
         0)</f>
        <v>0</v>
      </c>
      <c r="AQ271" s="453">
        <f ca="1">IF(AND($D271="Serviço",AQ$12&lt;&gt;0,$H271&gt;0,OR(AUTOEVENTO&lt;&gt;"manual",$M271&lt;&gt;$A$15)),
        IF(Import.TipoArredondamento&lt;&gt;"TransfereGOV",
              ROUND(OFFSET($P271,0,AQ$13),15-13*ORÇAMENTO!$AF$7)/$H271*OFFSET(ORÇAMENTO!$X$15,ROW(AQ271)-ROW(AQ$15),0),
              ROUND(ROUND(OFFSET($P271,0,AQ$13),15-13*ORÇAMENTO!$AF$7)*OFFSET(ORÇAMENTO!$W$15,ROW(AQ271)-ROW(AQ$15),0),15-13*ORÇAMENTO!$AF$11)),
         0)</f>
        <v>0</v>
      </c>
      <c r="AR271" s="453">
        <f ca="1">IF(AND($D271="Serviço",AR$12&lt;&gt;0,$H271&gt;0,OR(AUTOEVENTO&lt;&gt;"manual",$M271&lt;&gt;$A$15)),
        IF(Import.TipoArredondamento&lt;&gt;"TransfereGOV",
              ROUND(OFFSET($P271,0,AR$13),15-13*ORÇAMENTO!$AF$7)/$H271*OFFSET(ORÇAMENTO!$X$15,ROW(AR271)-ROW(AR$15),0),
              ROUND(ROUND(OFFSET($P271,0,AR$13),15-13*ORÇAMENTO!$AF$7)*OFFSET(ORÇAMENTO!$W$15,ROW(AR271)-ROW(AR$15),0),15-13*ORÇAMENTO!$AF$11)),
         0)</f>
        <v>0</v>
      </c>
      <c r="AS271" s="453">
        <f ca="1">IF(AND($D271="Serviço",AS$12&lt;&gt;0,$H271&gt;0,OR(AUTOEVENTO&lt;&gt;"manual",$M271&lt;&gt;$A$15)),
        IF(Import.TipoArredondamento&lt;&gt;"TransfereGOV",
              ROUND(OFFSET($P271,0,AS$13),15-13*ORÇAMENTO!$AF$7)/$H271*OFFSET(ORÇAMENTO!$X$15,ROW(AS271)-ROW(AS$15),0),
              ROUND(ROUND(OFFSET($P271,0,AS$13),15-13*ORÇAMENTO!$AF$7)*OFFSET(ORÇAMENTO!$W$15,ROW(AS271)-ROW(AS$15),0),15-13*ORÇAMENTO!$AF$11)),
         0)</f>
        <v>0</v>
      </c>
      <c r="AT271" s="453">
        <f ca="1">IF(AND($D271="Serviço",AT$12&lt;&gt;0,$H271&gt;0,OR(AUTOEVENTO&lt;&gt;"manual",$M271&lt;&gt;$A$15)),
        IF(Import.TipoArredondamento&lt;&gt;"TransfereGOV",
              ROUND(OFFSET($P271,0,AT$13),15-13*ORÇAMENTO!$AF$7)/$H271*OFFSET(ORÇAMENTO!$X$15,ROW(AT271)-ROW(AT$15),0),
              ROUND(ROUND(OFFSET($P271,0,AT$13),15-13*ORÇAMENTO!$AF$7)*OFFSET(ORÇAMENTO!$W$15,ROW(AT271)-ROW(AT$15),0),15-13*ORÇAMENTO!$AF$11)),
         0)</f>
        <v>0</v>
      </c>
      <c r="AU271" s="453">
        <f ca="1">IF(AND($D271="Serviço",AU$12&lt;&gt;0,$H271&gt;0,OR(AUTOEVENTO&lt;&gt;"manual",$M271&lt;&gt;$A$15)),
        IF(Import.TipoArredondamento&lt;&gt;"TransfereGOV",
              ROUND(OFFSET($P271,0,AU$13),15-13*ORÇAMENTO!$AF$7)/$H271*OFFSET(ORÇAMENTO!$X$15,ROW(AU271)-ROW(AU$15),0),
              ROUND(ROUND(OFFSET($P271,0,AU$13),15-13*ORÇAMENTO!$AF$7)*OFFSET(ORÇAMENTO!$W$15,ROW(AU271)-ROW(AU$15),0),15-13*ORÇAMENTO!$AF$11)),
         0)</f>
        <v>0</v>
      </c>
      <c r="AV271" s="453">
        <f ca="1">IF(AND($D271="Serviço",AV$12&lt;&gt;0,$H271&gt;0,OR(AUTOEVENTO&lt;&gt;"manual",$M271&lt;&gt;$A$15)),
        IF(Import.TipoArredondamento&lt;&gt;"TransfereGOV",
              ROUND(OFFSET($P271,0,AV$13),15-13*ORÇAMENTO!$AF$7)/$H271*OFFSET(ORÇAMENTO!$X$15,ROW(AV271)-ROW(AV$15),0),
              ROUND(ROUND(OFFSET($P271,0,AV$13),15-13*ORÇAMENTO!$AF$7)*OFFSET(ORÇAMENTO!$W$15,ROW(AV271)-ROW(AV$15),0),15-13*ORÇAMENTO!$AF$11)),
         0)</f>
        <v>0</v>
      </c>
      <c r="AW271" s="453">
        <f ca="1">IF(AND($D271="Serviço",AW$12&lt;&gt;0,$H271&gt;0,OR(AUTOEVENTO&lt;&gt;"manual",$M271&lt;&gt;$A$15)),
        IF(Import.TipoArredondamento&lt;&gt;"TransfereGOV",
              ROUND(OFFSET($P271,0,AW$13),15-13*ORÇAMENTO!$AF$7)/$H271*OFFSET(ORÇAMENTO!$X$15,ROW(AW271)-ROW(AW$15),0),
              ROUND(ROUND(OFFSET($P271,0,AW$13),15-13*ORÇAMENTO!$AF$7)*OFFSET(ORÇAMENTO!$W$15,ROW(AW271)-ROW(AW$15),0),15-13*ORÇAMENTO!$AF$11)),
         0)</f>
        <v>0</v>
      </c>
      <c r="AX271" s="453">
        <f ca="1">IF(AND($D271="Serviço",AX$12&lt;&gt;0,$H271&gt;0,OR(AUTOEVENTO&lt;&gt;"manual",$M271&lt;&gt;$A$15)),
        IF(Import.TipoArredondamento&lt;&gt;"TransfereGOV",
              ROUND(OFFSET($P271,0,AX$13),15-13*ORÇAMENTO!$AF$7)/$H271*OFFSET(ORÇAMENTO!$X$15,ROW(AX271)-ROW(AX$15),0),
              ROUND(ROUND(OFFSET($P271,0,AX$13),15-13*ORÇAMENTO!$AF$7)*OFFSET(ORÇAMENTO!$W$15,ROW(AX271)-ROW(AX$15),0),15-13*ORÇAMENTO!$AF$11)),
         0)</f>
        <v>0</v>
      </c>
      <c r="AY271" s="453">
        <f ca="1">IF(AND($D271="Serviço",AY$12&lt;&gt;0,$H271&gt;0,OR(AUTOEVENTO&lt;&gt;"manual",$M271&lt;&gt;$A$15)),
        IF(Import.TipoArredondamento&lt;&gt;"TransfereGOV",
              ROUND(OFFSET($P271,0,AY$13),15-13*ORÇAMENTO!$AF$7)/$H271*OFFSET(ORÇAMENTO!$X$15,ROW(AY271)-ROW(AY$15),0),
              ROUND(ROUND(OFFSET($P271,0,AY$13),15-13*ORÇAMENTO!$AF$7)*OFFSET(ORÇAMENTO!$W$15,ROW(AY271)-ROW(AY$15),0),15-13*ORÇAMENTO!$AF$11)),
         0)</f>
        <v>0</v>
      </c>
      <c r="AZ271" s="453">
        <f ca="1">IF(AND($D271="Serviço",AZ$12&lt;&gt;0,$H271&gt;0,OR(AUTOEVENTO&lt;&gt;"manual",$M271&lt;&gt;$A$15)),
        IF(Import.TipoArredondamento&lt;&gt;"TransfereGOV",
              ROUND(OFFSET($P271,0,AZ$13),15-13*ORÇAMENTO!$AF$7)/$H271*OFFSET(ORÇAMENTO!$X$15,ROW(AZ271)-ROW(AZ$15),0),
              ROUND(ROUND(OFFSET($P271,0,AZ$13),15-13*ORÇAMENTO!$AF$7)*OFFSET(ORÇAMENTO!$W$15,ROW(AZ271)-ROW(AZ$15),0),15-13*ORÇAMENTO!$AF$11)),
         0)</f>
        <v>0</v>
      </c>
      <c r="BA271" s="453">
        <f ca="1">IF(AND($D271="Serviço",BA$12&lt;&gt;0,$H271&gt;0,OR(AUTOEVENTO&lt;&gt;"manual",$M271&lt;&gt;$A$15)),
        IF(Import.TipoArredondamento&lt;&gt;"TransfereGOV",
              ROUND(OFFSET($P271,0,BA$13),15-13*ORÇAMENTO!$AF$7)/$H271*OFFSET(ORÇAMENTO!$X$15,ROW(BA271)-ROW(BA$15),0),
              ROUND(ROUND(OFFSET($P271,0,BA$13),15-13*ORÇAMENTO!$AF$7)*OFFSET(ORÇAMENTO!$W$15,ROW(BA271)-ROW(BA$15),0),15-13*ORÇAMENTO!$AF$11)),
         0)</f>
        <v>0</v>
      </c>
      <c r="BC271" s="171">
        <f ca="1">IF(OR($D271&lt;&gt;"Serviço",AND(AUTOEVENTO="Manual",$M271=$A$15)),0,
         IF(OFFSET(CRONOPLE!$F$15,$M271-$A$15,BC$13)=0,10^12,OFFSET(CRONOPLE!$F$15,$M271-$A$15,BC$13)))</f>
        <v>1</v>
      </c>
      <c r="BD271" s="171">
        <f ca="1">IF(OR($D271&lt;&gt;"Serviço",AND(AUTOEVENTO="Manual",$M271=$A$15)),0,
         IF(OFFSET(CRONOPLE!$F$15,$M271-$A$15,BD$13)=0,10^12,OFFSET(CRONOPLE!$F$15,$M271-$A$15,BD$13)))</f>
        <v>2</v>
      </c>
      <c r="BE271" s="171">
        <f ca="1">IF(OR($D271&lt;&gt;"Serviço",AND(AUTOEVENTO="Manual",$M271=$A$15)),0,
         IF(OFFSET(CRONOPLE!$F$15,$M271-$A$15,BE$13)=0,10^12,OFFSET(CRONOPLE!$F$15,$M271-$A$15,BE$13)))</f>
        <v>3</v>
      </c>
      <c r="BF271" s="171">
        <f ca="1">IF(OR($D271&lt;&gt;"Serviço",AND(AUTOEVENTO="Manual",$M271=$A$15)),0,
         IF(OFFSET(CRONOPLE!$F$15,$M271-$A$15,BF$13)=0,10^12,OFFSET(CRONOPLE!$F$15,$M271-$A$15,BF$13)))</f>
        <v>4</v>
      </c>
      <c r="BG271" s="171">
        <f ca="1">IF(OR($D271&lt;&gt;"Serviço",AND(AUTOEVENTO="Manual",$M271=$A$15)),0,
         IF(OFFSET(CRONOPLE!$F$15,$M271-$A$15,BG$13)=0,10^12,OFFSET(CRONOPLE!$F$15,$M271-$A$15,BG$13)))</f>
        <v>5</v>
      </c>
      <c r="BH271" s="171">
        <f ca="1">IF(OR($D271&lt;&gt;"Serviço",AND(AUTOEVENTO="Manual",$M271=$A$15)),0,
         IF(OFFSET(CRONOPLE!$F$15,$M271-$A$15,BH$13)=0,10^12,OFFSET(CRONOPLE!$F$15,$M271-$A$15,BH$13)))</f>
        <v>6</v>
      </c>
      <c r="BI271" s="171">
        <f ca="1">IF(OR($D271&lt;&gt;"Serviço",AND(AUTOEVENTO="Manual",$M271=$A$15)),0,
         IF(OFFSET(CRONOPLE!$F$15,$M271-$A$15,BI$13)=0,10^12,OFFSET(CRONOPLE!$F$15,$M271-$A$15,BI$13)))</f>
        <v>7</v>
      </c>
      <c r="BJ271" s="171">
        <f ca="1">IF(OR($D271&lt;&gt;"Serviço",AND(AUTOEVENTO="Manual",$M271=$A$15)),0,
         IF(OFFSET(CRONOPLE!$F$15,$M271-$A$15,BJ$13)=0,10^12,OFFSET(CRONOPLE!$F$15,$M271-$A$15,BJ$13)))</f>
        <v>8</v>
      </c>
      <c r="BK271" s="171">
        <f ca="1">IF(OR($D271&lt;&gt;"Serviço",AND(AUTOEVENTO="Manual",$M271=$A$15)),0,
         IF(OFFSET(CRONOPLE!$F$15,$M271-$A$15,BK$13)=0,10^12,OFFSET(CRONOPLE!$F$15,$M271-$A$15,BK$13)))</f>
        <v>9</v>
      </c>
      <c r="BL271" s="171">
        <f ca="1">IF(OR($D271&lt;&gt;"Serviço",AND(AUTOEVENTO="Manual",$M271=$A$15)),0,
         IF(OFFSET(CRONOPLE!$F$15,$M271-$A$15,BL$13)=0,10^12,OFFSET(CRONOPLE!$F$15,$M271-$A$15,BL$13)))</f>
        <v>1000000000000</v>
      </c>
      <c r="BM271" s="171">
        <f ca="1">IF(OR($D271&lt;&gt;"Serviço",AND(AUTOEVENTO="Manual",$M271=$A$15)),0,
         IF(OFFSET(CRONOPLE!$F$15,$M271-$A$15,BM$13)=0,10^12,OFFSET(CRONOPLE!$F$15,$M271-$A$15,BM$13)))</f>
        <v>1000000000000</v>
      </c>
      <c r="BN271" s="171">
        <f ca="1">IF(OR($D271&lt;&gt;"Serviço",AND(AUTOEVENTO="Manual",$M271=$A$15)),0,
         IF(OFFSET(CRONOPLE!$F$15,$M271-$A$15,BN$13)=0,10^12,OFFSET(CRONOPLE!$F$15,$M271-$A$15,BN$13)))</f>
        <v>1000000000000</v>
      </c>
      <c r="BO271" s="171">
        <f ca="1">IF(OR($D271&lt;&gt;"Serviço",AND(AUTOEVENTO="Manual",$M271=$A$15)),0,
         IF(OFFSET(CRONOPLE!$F$15,$M271-$A$15,BO$13)=0,10^12,OFFSET(CRONOPLE!$F$15,$M271-$A$15,BO$13)))</f>
        <v>1000000000000</v>
      </c>
      <c r="BP271" s="171">
        <f ca="1">IF(OR($D271&lt;&gt;"Serviço",AND(AUTOEVENTO="Manual",$M271=$A$15)),0,
         IF(OFFSET(CRONOPLE!$F$15,$M271-$A$15,BP$13)=0,10^12,OFFSET(CRONOPLE!$F$15,$M271-$A$15,BP$13)))</f>
        <v>1000000000000</v>
      </c>
      <c r="BQ271" s="171">
        <f ca="1">IF(OR($D271&lt;&gt;"Serviço",AND(AUTOEVENTO="Manual",$M271=$A$15)),0,
         IF(OFFSET(CRONOPLE!$F$15,$M271-$A$15,BQ$13)=0,10^12,OFFSET(CRONOPLE!$F$15,$M271-$A$15,BQ$13)))</f>
        <v>1000000000000</v>
      </c>
      <c r="BR271" s="171">
        <f ca="1">IF(OR($D271&lt;&gt;"Serviço",AND(AUTOEVENTO="Manual",$M271=$A$15)),0,
         IF(OFFSET(CRONOPLE!$F$15,$M271-$A$15,BR$13)=0,10^12,OFFSET(CRONOPLE!$F$15,$M271-$A$15,BR$13)))</f>
        <v>1000000000000</v>
      </c>
      <c r="BS271" s="171">
        <f ca="1">IF(OR($D271&lt;&gt;"Serviço",AND(AUTOEVENTO="Manual",$M271=$A$15)),0,
         IF(OFFSET(CRONOPLE!$F$15,$M271-$A$15,BS$13)=0,10^12,OFFSET(CRONOPLE!$F$15,$M271-$A$15,BS$13)))</f>
        <v>1000000000000</v>
      </c>
      <c r="BT271" s="171">
        <f ca="1">IF(OR($D271&lt;&gt;"Serviço",AND(AUTOEVENTO="Manual",$M271=$A$15)),0,
         IF(OFFSET(CRONOPLE!$F$15,$M271-$A$15,BT$13)=0,10^12,OFFSET(CRONOPLE!$F$15,$M271-$A$15,BT$13)))</f>
        <v>1000000000000</v>
      </c>
      <c r="BV271" s="172">
        <f ca="1">IF(OR($D271&lt;&gt;"Serviço",AND(AUTOEVENTO="Manual",$M271=$A$15),$M271&gt;(ROW(PLE.lastrow)-ROW(PLE.firstrow))),0,
           IF(OFFSET(PLE!$G$15,$M271-$A$15,BV$13)="",10^12,OFFSET(PLE!$G$15,$M271-$A$15,BV$13)))</f>
        <v>1000000000000</v>
      </c>
      <c r="BW271" s="172">
        <f ca="1">IF(OR($D271&lt;&gt;"Serviço",AND(AUTOEVENTO="Manual",$M271=$A$15),$M271&gt;(ROW(PLE.lastrow)-ROW(PLE.firstrow))),0,
           IF(OFFSET(PLE!$G$15,$M271-$A$15,BW$13)="",10^12,OFFSET(PLE!$G$15,$M271-$A$15,BW$13)))</f>
        <v>1000000000000</v>
      </c>
      <c r="BX271" s="172">
        <f ca="1">IF(OR($D271&lt;&gt;"Serviço",AND(AUTOEVENTO="Manual",$M271=$A$15),$M271&gt;(ROW(PLE.lastrow)-ROW(PLE.firstrow))),0,
           IF(OFFSET(PLE!$G$15,$M271-$A$15,BX$13)="",10^12,OFFSET(PLE!$G$15,$M271-$A$15,BX$13)))</f>
        <v>1000000000000</v>
      </c>
      <c r="BY271" s="172">
        <f ca="1">IF(OR($D271&lt;&gt;"Serviço",AND(AUTOEVENTO="Manual",$M271=$A$15),$M271&gt;(ROW(PLE.lastrow)-ROW(PLE.firstrow))),0,
           IF(OFFSET(PLE!$G$15,$M271-$A$15,BY$13)="",10^12,OFFSET(PLE!$G$15,$M271-$A$15,BY$13)))</f>
        <v>1000000000000</v>
      </c>
      <c r="BZ271" s="172">
        <f ca="1">IF(OR($D271&lt;&gt;"Serviço",AND(AUTOEVENTO="Manual",$M271=$A$15),$M271&gt;(ROW(PLE.lastrow)-ROW(PLE.firstrow))),0,
           IF(OFFSET(PLE!$G$15,$M271-$A$15,BZ$13)="",10^12,OFFSET(PLE!$G$15,$M271-$A$15,BZ$13)))</f>
        <v>1000000000000</v>
      </c>
      <c r="CA271" s="172">
        <f ca="1">IF(OR($D271&lt;&gt;"Serviço",AND(AUTOEVENTO="Manual",$M271=$A$15),$M271&gt;(ROW(PLE.lastrow)-ROW(PLE.firstrow))),0,
           IF(OFFSET(PLE!$G$15,$M271-$A$15,CA$13)="",10^12,OFFSET(PLE!$G$15,$M271-$A$15,CA$13)))</f>
        <v>1000000000000</v>
      </c>
      <c r="CB271" s="172">
        <f ca="1">IF(OR($D271&lt;&gt;"Serviço",AND(AUTOEVENTO="Manual",$M271=$A$15),$M271&gt;(ROW(PLE.lastrow)-ROW(PLE.firstrow))),0,
           IF(OFFSET(PLE!$G$15,$M271-$A$15,CB$13)="",10^12,OFFSET(PLE!$G$15,$M271-$A$15,CB$13)))</f>
        <v>1000000000000</v>
      </c>
      <c r="CC271" s="172">
        <f ca="1">IF(OR($D271&lt;&gt;"Serviço",AND(AUTOEVENTO="Manual",$M271=$A$15),$M271&gt;(ROW(PLE.lastrow)-ROW(PLE.firstrow))),0,
           IF(OFFSET(PLE!$G$15,$M271-$A$15,CC$13)="",10^12,OFFSET(PLE!$G$15,$M271-$A$15,CC$13)))</f>
        <v>1000000000000</v>
      </c>
      <c r="CD271" s="172">
        <f ca="1">IF(OR($D271&lt;&gt;"Serviço",AND(AUTOEVENTO="Manual",$M271=$A$15),$M271&gt;(ROW(PLE.lastrow)-ROW(PLE.firstrow))),0,
           IF(OFFSET(PLE!$G$15,$M271-$A$15,CD$13)="",10^12,OFFSET(PLE!$G$15,$M271-$A$15,CD$13)))</f>
        <v>1000000000000</v>
      </c>
      <c r="CE271" s="172">
        <f ca="1">IF(OR($D271&lt;&gt;"Serviço",AND(AUTOEVENTO="Manual",$M271=$A$15),$M271&gt;(ROW(PLE.lastrow)-ROW(PLE.firstrow))),0,
           IF(OFFSET(PLE!$G$15,$M271-$A$15,CE$13)="",10^12,OFFSET(PLE!$G$15,$M271-$A$15,CE$13)))</f>
        <v>1000000000000</v>
      </c>
      <c r="CF271" s="172">
        <f ca="1">IF(OR($D271&lt;&gt;"Serviço",AND(AUTOEVENTO="Manual",$M271=$A$15),$M271&gt;(ROW(PLE.lastrow)-ROW(PLE.firstrow))),0,
           IF(OFFSET(PLE!$G$15,$M271-$A$15,CF$13)="",10^12,OFFSET(PLE!$G$15,$M271-$A$15,CF$13)))</f>
        <v>1000000000000</v>
      </c>
      <c r="CG271" s="172">
        <f ca="1">IF(OR($D271&lt;&gt;"Serviço",AND(AUTOEVENTO="Manual",$M271=$A$15),$M271&gt;(ROW(PLE.lastrow)-ROW(PLE.firstrow))),0,
           IF(OFFSET(PLE!$G$15,$M271-$A$15,CG$13)="",10^12,OFFSET(PLE!$G$15,$M271-$A$15,CG$13)))</f>
        <v>1000000000000</v>
      </c>
      <c r="CH271" s="172">
        <f ca="1">IF(OR($D271&lt;&gt;"Serviço",AND(AUTOEVENTO="Manual",$M271=$A$15),$M271&gt;(ROW(PLE.lastrow)-ROW(PLE.firstrow))),0,
           IF(OFFSET(PLE!$G$15,$M271-$A$15,CH$13)="",10^12,OFFSET(PLE!$G$15,$M271-$A$15,CH$13)))</f>
        <v>1000000000000</v>
      </c>
      <c r="CI271" s="172">
        <f ca="1">IF(OR($D271&lt;&gt;"Serviço",AND(AUTOEVENTO="Manual",$M271=$A$15),$M271&gt;(ROW(PLE.lastrow)-ROW(PLE.firstrow))),0,
           IF(OFFSET(PLE!$G$15,$M271-$A$15,CI$13)="",10^12,OFFSET(PLE!$G$15,$M271-$A$15,CI$13)))</f>
        <v>1000000000000</v>
      </c>
      <c r="CJ271" s="172">
        <f ca="1">IF(OR($D271&lt;&gt;"Serviço",AND(AUTOEVENTO="Manual",$M271=$A$15),$M271&gt;(ROW(PLE.lastrow)-ROW(PLE.firstrow))),0,
           IF(OFFSET(PLE!$G$15,$M271-$A$15,CJ$13)="",10^12,OFFSET(PLE!$G$15,$M271-$A$15,CJ$13)))</f>
        <v>1000000000000</v>
      </c>
      <c r="CK271" s="172">
        <f ca="1">IF(OR($D271&lt;&gt;"Serviço",AND(AUTOEVENTO="Manual",$M271=$A$15),$M271&gt;(ROW(PLE.lastrow)-ROW(PLE.firstrow))),0,
           IF(OFFSET(PLE!$G$15,$M271-$A$15,CK$13)="",10^12,OFFSET(PLE!$G$15,$M271-$A$15,CK$13)))</f>
        <v>1000000000000</v>
      </c>
      <c r="CL271" s="172">
        <f ca="1">IF(OR($D271&lt;&gt;"Serviço",AND(AUTOEVENTO="Manual",$M271=$A$15),$M271&gt;(ROW(PLE.lastrow)-ROW(PLE.firstrow))),0,
           IF(OFFSET(PLE!$G$15,$M271-$A$15,CL$13)="",10^12,OFFSET(PLE!$G$15,$M271-$A$15,CL$13)))</f>
        <v>1000000000000</v>
      </c>
      <c r="CM271" s="172">
        <f ca="1">IF(OR($D271&lt;&gt;"Serviço",AND(AUTOEVENTO="Manual",$M271=$A$15),$M271&gt;(ROW(PLE.lastrow)-ROW(PLE.firstrow))),0,
           IF(OFFSET(PLE!$G$15,$M271-$A$15,CM$13)="",10^12,OFFSET(PLE!$G$15,$M271-$A$15,CM$13)))</f>
        <v>1000000000000</v>
      </c>
    </row>
    <row r="272" spans="1:91" ht="12.75" x14ac:dyDescent="0.2">
      <c r="A272" s="7">
        <f t="shared" ca="1" si="13"/>
        <v>7</v>
      </c>
      <c r="B272" s="7">
        <f ca="1">OFFSET(ORÇAMENTO!C$15,ROW(B272)-ROW(B$15),0)</f>
        <v>4</v>
      </c>
      <c r="C272" s="7" t="str">
        <f ca="1">OFFSET(ORÇAMENTO!L$15,ROW(C272)-ROW(C$15),0)</f>
        <v>F</v>
      </c>
      <c r="D272" s="116" t="str">
        <f ca="1">OFFSET(ORÇAMENTO!N$15,ROW(D272)-ROW(D$15),0)</f>
        <v>Nível 4</v>
      </c>
      <c r="E272" s="117" t="str">
        <f ca="1">OFFSET(ORÇAMENTO!O$15,ROW(E272)-ROW(E$15),0)</f>
        <v>1.7.2.2.</v>
      </c>
      <c r="F272" s="163" t="str">
        <f ca="1">OFFSET(ORÇAMENTO!R$15,ROW(F272)-ROW(F$15),0)</f>
        <v>INSTALAÇÃO DE MATERIAIS E EQUIPAMENTOS</v>
      </c>
      <c r="G272" s="164" t="str">
        <f ca="1">IF($D272&lt;&gt;"Serviço","",OFFSET(ORÇAMENTO!S$15,ROW(G272)-ROW(G$15),0))</f>
        <v/>
      </c>
      <c r="H272" s="122" cm="1">
        <f t="array" aca="1" ref="H272" ca="1">IF($D272&lt;&gt;"Serviço",0,IF(ACOMPANHAMENTO="BM",ROUND(OFFSET(ORÇAMENTO!AJ$15,ROW(H272)-ROW(H$15),0),15-13*ORÇAMENTO!$AF$7),SUMPRODUCT(($Q$1:$AI$1=1)*ROUND($Q272:$AI272,15-13*ORÇAMENTO!$AF$7))))</f>
        <v>0</v>
      </c>
      <c r="I272" s="468"/>
      <c r="J272" s="640" t="str" cm="1">
        <f t="array" aca="1" ref="J272" ca="1">IF(OR(B272&lt;&gt;"S",CÁLCULO.FrentesPreenchidas=0),"",IF(AND(ACOMPANHAMENTO="PLE",AUTOEVENTO="Manual",OR(H272&gt;0,ORÇAMENTO!AC272="QUANT."),OR(K272="",M272=0,N272="")),"►E",IF(AND(ACOMPANHAMENTO="PLE",ORÇAMENTO!AC272="QUANT."),"►Q",IF(AND(ACOMPANHAMENTO="PLE",H272&lt;&gt;SUMPRODUCT(($Q$1:$AI$1=1)*ROUND(Q272:AI272,15))),"►S",IF(AND(COUNTIF($P$11:$AI$11,"▼")=0,H272&gt;0,I272=""),"◄M","")))))</f>
        <v/>
      </c>
      <c r="K272" s="641" t="s">
        <v>1365</v>
      </c>
      <c r="L272" s="165" t="s">
        <v>764</v>
      </c>
      <c r="M272" s="166" t="str">
        <f ca="1">IF($D272&lt;&gt;"Serviço","",
          IF(AUTOEVENTO="manual",$A272,
                IF(ISERROR(MATCH($A272,$A$15:OFFSET($A272,-1,0),0)),MAX($M$15:OFFSET(M272,-1,0))+1,
                      INDEX($M$15:OFFSET(M272,-1,0),MATCH($A272,$A$15:OFFSET($A272,-1,0),0)))))</f>
        <v/>
      </c>
      <c r="N272" s="167" t="str">
        <f ca="1">IF($D272&lt;&gt;"Serviço","",
         IF(AUTOEVENTO="Manual",
                IF($A272=0,"&lt;-- defina o número do agrupador",
                       OFFSET(EVENTOS!$D$15,$A272-$A$15,0)),
                OFFSET($F$15,$A272,0)))</f>
        <v/>
      </c>
      <c r="O272" s="168"/>
      <c r="Q272" s="168"/>
      <c r="R272" s="169"/>
      <c r="S272" s="169"/>
      <c r="T272" s="169"/>
      <c r="U272" s="169"/>
      <c r="V272" s="169"/>
      <c r="W272" s="169"/>
      <c r="X272" s="169"/>
      <c r="Y272" s="169"/>
      <c r="Z272" s="170"/>
      <c r="AA272" s="169"/>
      <c r="AB272" s="169"/>
      <c r="AC272" s="169"/>
      <c r="AD272" s="169"/>
      <c r="AE272" s="169"/>
      <c r="AF272" s="169"/>
      <c r="AG272" s="169"/>
      <c r="AH272" s="170"/>
      <c r="AJ272" s="453">
        <f ca="1">IF(AND($D272="Serviço",AJ$12&lt;&gt;0,$H272&gt;0,OR(AUTOEVENTO&lt;&gt;"manual",$M272&lt;&gt;$A$15)),
        IF(Import.TipoArredondamento&lt;&gt;"TransfereGOV",
              ROUND(OFFSET($P272,0,AJ$13),15-13*ORÇAMENTO!$AF$7)/$H272*OFFSET(ORÇAMENTO!$X$15,ROW(AJ272)-ROW(AJ$15),0),
              ROUND(ROUND(OFFSET($P272,0,AJ$13),15-13*ORÇAMENTO!$AF$7)*OFFSET(ORÇAMENTO!$W$15,ROW(AJ272)-ROW(AJ$15),0),15-13*ORÇAMENTO!$AF$11)),
         0)</f>
        <v>0</v>
      </c>
      <c r="AK272" s="453">
        <f ca="1">IF(AND($D272="Serviço",AK$12&lt;&gt;0,$H272&gt;0,OR(AUTOEVENTO&lt;&gt;"manual",$M272&lt;&gt;$A$15)),
        IF(Import.TipoArredondamento&lt;&gt;"TransfereGOV",
              ROUND(OFFSET($P272,0,AK$13),15-13*ORÇAMENTO!$AF$7)/$H272*OFFSET(ORÇAMENTO!$X$15,ROW(AK272)-ROW(AK$15),0),
              ROUND(ROUND(OFFSET($P272,0,AK$13),15-13*ORÇAMENTO!$AF$7)*OFFSET(ORÇAMENTO!$W$15,ROW(AK272)-ROW(AK$15),0),15-13*ORÇAMENTO!$AF$11)),
         0)</f>
        <v>0</v>
      </c>
      <c r="AL272" s="453">
        <f ca="1">IF(AND($D272="Serviço",AL$12&lt;&gt;0,$H272&gt;0,OR(AUTOEVENTO&lt;&gt;"manual",$M272&lt;&gt;$A$15)),
        IF(Import.TipoArredondamento&lt;&gt;"TransfereGOV",
              ROUND(OFFSET($P272,0,AL$13),15-13*ORÇAMENTO!$AF$7)/$H272*OFFSET(ORÇAMENTO!$X$15,ROW(AL272)-ROW(AL$15),0),
              ROUND(ROUND(OFFSET($P272,0,AL$13),15-13*ORÇAMENTO!$AF$7)*OFFSET(ORÇAMENTO!$W$15,ROW(AL272)-ROW(AL$15),0),15-13*ORÇAMENTO!$AF$11)),
         0)</f>
        <v>0</v>
      </c>
      <c r="AM272" s="453">
        <f ca="1">IF(AND($D272="Serviço",AM$12&lt;&gt;0,$H272&gt;0,OR(AUTOEVENTO&lt;&gt;"manual",$M272&lt;&gt;$A$15)),
        IF(Import.TipoArredondamento&lt;&gt;"TransfereGOV",
              ROUND(OFFSET($P272,0,AM$13),15-13*ORÇAMENTO!$AF$7)/$H272*OFFSET(ORÇAMENTO!$X$15,ROW(AM272)-ROW(AM$15),0),
              ROUND(ROUND(OFFSET($P272,0,AM$13),15-13*ORÇAMENTO!$AF$7)*OFFSET(ORÇAMENTO!$W$15,ROW(AM272)-ROW(AM$15),0),15-13*ORÇAMENTO!$AF$11)),
         0)</f>
        <v>0</v>
      </c>
      <c r="AN272" s="453">
        <f ca="1">IF(AND($D272="Serviço",AN$12&lt;&gt;0,$H272&gt;0,OR(AUTOEVENTO&lt;&gt;"manual",$M272&lt;&gt;$A$15)),
        IF(Import.TipoArredondamento&lt;&gt;"TransfereGOV",
              ROUND(OFFSET($P272,0,AN$13),15-13*ORÇAMENTO!$AF$7)/$H272*OFFSET(ORÇAMENTO!$X$15,ROW(AN272)-ROW(AN$15),0),
              ROUND(ROUND(OFFSET($P272,0,AN$13),15-13*ORÇAMENTO!$AF$7)*OFFSET(ORÇAMENTO!$W$15,ROW(AN272)-ROW(AN$15),0),15-13*ORÇAMENTO!$AF$11)),
         0)</f>
        <v>0</v>
      </c>
      <c r="AO272" s="453">
        <f ca="1">IF(AND($D272="Serviço",AO$12&lt;&gt;0,$H272&gt;0,OR(AUTOEVENTO&lt;&gt;"manual",$M272&lt;&gt;$A$15)),
        IF(Import.TipoArredondamento&lt;&gt;"TransfereGOV",
              ROUND(OFFSET($P272,0,AO$13),15-13*ORÇAMENTO!$AF$7)/$H272*OFFSET(ORÇAMENTO!$X$15,ROW(AO272)-ROW(AO$15),0),
              ROUND(ROUND(OFFSET($P272,0,AO$13),15-13*ORÇAMENTO!$AF$7)*OFFSET(ORÇAMENTO!$W$15,ROW(AO272)-ROW(AO$15),0),15-13*ORÇAMENTO!$AF$11)),
         0)</f>
        <v>0</v>
      </c>
      <c r="AP272" s="453">
        <f ca="1">IF(AND($D272="Serviço",AP$12&lt;&gt;0,$H272&gt;0,OR(AUTOEVENTO&lt;&gt;"manual",$M272&lt;&gt;$A$15)),
        IF(Import.TipoArredondamento&lt;&gt;"TransfereGOV",
              ROUND(OFFSET($P272,0,AP$13),15-13*ORÇAMENTO!$AF$7)/$H272*OFFSET(ORÇAMENTO!$X$15,ROW(AP272)-ROW(AP$15),0),
              ROUND(ROUND(OFFSET($P272,0,AP$13),15-13*ORÇAMENTO!$AF$7)*OFFSET(ORÇAMENTO!$W$15,ROW(AP272)-ROW(AP$15),0),15-13*ORÇAMENTO!$AF$11)),
         0)</f>
        <v>0</v>
      </c>
      <c r="AQ272" s="453">
        <f ca="1">IF(AND($D272="Serviço",AQ$12&lt;&gt;0,$H272&gt;0,OR(AUTOEVENTO&lt;&gt;"manual",$M272&lt;&gt;$A$15)),
        IF(Import.TipoArredondamento&lt;&gt;"TransfereGOV",
              ROUND(OFFSET($P272,0,AQ$13),15-13*ORÇAMENTO!$AF$7)/$H272*OFFSET(ORÇAMENTO!$X$15,ROW(AQ272)-ROW(AQ$15),0),
              ROUND(ROUND(OFFSET($P272,0,AQ$13),15-13*ORÇAMENTO!$AF$7)*OFFSET(ORÇAMENTO!$W$15,ROW(AQ272)-ROW(AQ$15),0),15-13*ORÇAMENTO!$AF$11)),
         0)</f>
        <v>0</v>
      </c>
      <c r="AR272" s="453">
        <f ca="1">IF(AND($D272="Serviço",AR$12&lt;&gt;0,$H272&gt;0,OR(AUTOEVENTO&lt;&gt;"manual",$M272&lt;&gt;$A$15)),
        IF(Import.TipoArredondamento&lt;&gt;"TransfereGOV",
              ROUND(OFFSET($P272,0,AR$13),15-13*ORÇAMENTO!$AF$7)/$H272*OFFSET(ORÇAMENTO!$X$15,ROW(AR272)-ROW(AR$15),0),
              ROUND(ROUND(OFFSET($P272,0,AR$13),15-13*ORÇAMENTO!$AF$7)*OFFSET(ORÇAMENTO!$W$15,ROW(AR272)-ROW(AR$15),0),15-13*ORÇAMENTO!$AF$11)),
         0)</f>
        <v>0</v>
      </c>
      <c r="AS272" s="453">
        <f ca="1">IF(AND($D272="Serviço",AS$12&lt;&gt;0,$H272&gt;0,OR(AUTOEVENTO&lt;&gt;"manual",$M272&lt;&gt;$A$15)),
        IF(Import.TipoArredondamento&lt;&gt;"TransfereGOV",
              ROUND(OFFSET($P272,0,AS$13),15-13*ORÇAMENTO!$AF$7)/$H272*OFFSET(ORÇAMENTO!$X$15,ROW(AS272)-ROW(AS$15),0),
              ROUND(ROUND(OFFSET($P272,0,AS$13),15-13*ORÇAMENTO!$AF$7)*OFFSET(ORÇAMENTO!$W$15,ROW(AS272)-ROW(AS$15),0),15-13*ORÇAMENTO!$AF$11)),
         0)</f>
        <v>0</v>
      </c>
      <c r="AT272" s="453">
        <f ca="1">IF(AND($D272="Serviço",AT$12&lt;&gt;0,$H272&gt;0,OR(AUTOEVENTO&lt;&gt;"manual",$M272&lt;&gt;$A$15)),
        IF(Import.TipoArredondamento&lt;&gt;"TransfereGOV",
              ROUND(OFFSET($P272,0,AT$13),15-13*ORÇAMENTO!$AF$7)/$H272*OFFSET(ORÇAMENTO!$X$15,ROW(AT272)-ROW(AT$15),0),
              ROUND(ROUND(OFFSET($P272,0,AT$13),15-13*ORÇAMENTO!$AF$7)*OFFSET(ORÇAMENTO!$W$15,ROW(AT272)-ROW(AT$15),0),15-13*ORÇAMENTO!$AF$11)),
         0)</f>
        <v>0</v>
      </c>
      <c r="AU272" s="453">
        <f ca="1">IF(AND($D272="Serviço",AU$12&lt;&gt;0,$H272&gt;0,OR(AUTOEVENTO&lt;&gt;"manual",$M272&lt;&gt;$A$15)),
        IF(Import.TipoArredondamento&lt;&gt;"TransfereGOV",
              ROUND(OFFSET($P272,0,AU$13),15-13*ORÇAMENTO!$AF$7)/$H272*OFFSET(ORÇAMENTO!$X$15,ROW(AU272)-ROW(AU$15),0),
              ROUND(ROUND(OFFSET($P272,0,AU$13),15-13*ORÇAMENTO!$AF$7)*OFFSET(ORÇAMENTO!$W$15,ROW(AU272)-ROW(AU$15),0),15-13*ORÇAMENTO!$AF$11)),
         0)</f>
        <v>0</v>
      </c>
      <c r="AV272" s="453">
        <f ca="1">IF(AND($D272="Serviço",AV$12&lt;&gt;0,$H272&gt;0,OR(AUTOEVENTO&lt;&gt;"manual",$M272&lt;&gt;$A$15)),
        IF(Import.TipoArredondamento&lt;&gt;"TransfereGOV",
              ROUND(OFFSET($P272,0,AV$13),15-13*ORÇAMENTO!$AF$7)/$H272*OFFSET(ORÇAMENTO!$X$15,ROW(AV272)-ROW(AV$15),0),
              ROUND(ROUND(OFFSET($P272,0,AV$13),15-13*ORÇAMENTO!$AF$7)*OFFSET(ORÇAMENTO!$W$15,ROW(AV272)-ROW(AV$15),0),15-13*ORÇAMENTO!$AF$11)),
         0)</f>
        <v>0</v>
      </c>
      <c r="AW272" s="453">
        <f ca="1">IF(AND($D272="Serviço",AW$12&lt;&gt;0,$H272&gt;0,OR(AUTOEVENTO&lt;&gt;"manual",$M272&lt;&gt;$A$15)),
        IF(Import.TipoArredondamento&lt;&gt;"TransfereGOV",
              ROUND(OFFSET($P272,0,AW$13),15-13*ORÇAMENTO!$AF$7)/$H272*OFFSET(ORÇAMENTO!$X$15,ROW(AW272)-ROW(AW$15),0),
              ROUND(ROUND(OFFSET($P272,0,AW$13),15-13*ORÇAMENTO!$AF$7)*OFFSET(ORÇAMENTO!$W$15,ROW(AW272)-ROW(AW$15),0),15-13*ORÇAMENTO!$AF$11)),
         0)</f>
        <v>0</v>
      </c>
      <c r="AX272" s="453">
        <f ca="1">IF(AND($D272="Serviço",AX$12&lt;&gt;0,$H272&gt;0,OR(AUTOEVENTO&lt;&gt;"manual",$M272&lt;&gt;$A$15)),
        IF(Import.TipoArredondamento&lt;&gt;"TransfereGOV",
              ROUND(OFFSET($P272,0,AX$13),15-13*ORÇAMENTO!$AF$7)/$H272*OFFSET(ORÇAMENTO!$X$15,ROW(AX272)-ROW(AX$15),0),
              ROUND(ROUND(OFFSET($P272,0,AX$13),15-13*ORÇAMENTO!$AF$7)*OFFSET(ORÇAMENTO!$W$15,ROW(AX272)-ROW(AX$15),0),15-13*ORÇAMENTO!$AF$11)),
         0)</f>
        <v>0</v>
      </c>
      <c r="AY272" s="453">
        <f ca="1">IF(AND($D272="Serviço",AY$12&lt;&gt;0,$H272&gt;0,OR(AUTOEVENTO&lt;&gt;"manual",$M272&lt;&gt;$A$15)),
        IF(Import.TipoArredondamento&lt;&gt;"TransfereGOV",
              ROUND(OFFSET($P272,0,AY$13),15-13*ORÇAMENTO!$AF$7)/$H272*OFFSET(ORÇAMENTO!$X$15,ROW(AY272)-ROW(AY$15),0),
              ROUND(ROUND(OFFSET($P272,0,AY$13),15-13*ORÇAMENTO!$AF$7)*OFFSET(ORÇAMENTO!$W$15,ROW(AY272)-ROW(AY$15),0),15-13*ORÇAMENTO!$AF$11)),
         0)</f>
        <v>0</v>
      </c>
      <c r="AZ272" s="453">
        <f ca="1">IF(AND($D272="Serviço",AZ$12&lt;&gt;0,$H272&gt;0,OR(AUTOEVENTO&lt;&gt;"manual",$M272&lt;&gt;$A$15)),
        IF(Import.TipoArredondamento&lt;&gt;"TransfereGOV",
              ROUND(OFFSET($P272,0,AZ$13),15-13*ORÇAMENTO!$AF$7)/$H272*OFFSET(ORÇAMENTO!$X$15,ROW(AZ272)-ROW(AZ$15),0),
              ROUND(ROUND(OFFSET($P272,0,AZ$13),15-13*ORÇAMENTO!$AF$7)*OFFSET(ORÇAMENTO!$W$15,ROW(AZ272)-ROW(AZ$15),0),15-13*ORÇAMENTO!$AF$11)),
         0)</f>
        <v>0</v>
      </c>
      <c r="BA272" s="453">
        <f ca="1">IF(AND($D272="Serviço",BA$12&lt;&gt;0,$H272&gt;0,OR(AUTOEVENTO&lt;&gt;"manual",$M272&lt;&gt;$A$15)),
        IF(Import.TipoArredondamento&lt;&gt;"TransfereGOV",
              ROUND(OFFSET($P272,0,BA$13),15-13*ORÇAMENTO!$AF$7)/$H272*OFFSET(ORÇAMENTO!$X$15,ROW(BA272)-ROW(BA$15),0),
              ROUND(ROUND(OFFSET($P272,0,BA$13),15-13*ORÇAMENTO!$AF$7)*OFFSET(ORÇAMENTO!$W$15,ROW(BA272)-ROW(BA$15),0),15-13*ORÇAMENTO!$AF$11)),
         0)</f>
        <v>0</v>
      </c>
      <c r="BC272" s="171">
        <f ca="1">IF(OR($D272&lt;&gt;"Serviço",AND(AUTOEVENTO="Manual",$M272=$A$15)),0,
         IF(OFFSET(CRONOPLE!$F$15,$M272-$A$15,BC$13)=0,10^12,OFFSET(CRONOPLE!$F$15,$M272-$A$15,BC$13)))</f>
        <v>0</v>
      </c>
      <c r="BD272" s="171">
        <f ca="1">IF(OR($D272&lt;&gt;"Serviço",AND(AUTOEVENTO="Manual",$M272=$A$15)),0,
         IF(OFFSET(CRONOPLE!$F$15,$M272-$A$15,BD$13)=0,10^12,OFFSET(CRONOPLE!$F$15,$M272-$A$15,BD$13)))</f>
        <v>0</v>
      </c>
      <c r="BE272" s="171">
        <f ca="1">IF(OR($D272&lt;&gt;"Serviço",AND(AUTOEVENTO="Manual",$M272=$A$15)),0,
         IF(OFFSET(CRONOPLE!$F$15,$M272-$A$15,BE$13)=0,10^12,OFFSET(CRONOPLE!$F$15,$M272-$A$15,BE$13)))</f>
        <v>0</v>
      </c>
      <c r="BF272" s="171">
        <f ca="1">IF(OR($D272&lt;&gt;"Serviço",AND(AUTOEVENTO="Manual",$M272=$A$15)),0,
         IF(OFFSET(CRONOPLE!$F$15,$M272-$A$15,BF$13)=0,10^12,OFFSET(CRONOPLE!$F$15,$M272-$A$15,BF$13)))</f>
        <v>0</v>
      </c>
      <c r="BG272" s="171">
        <f ca="1">IF(OR($D272&lt;&gt;"Serviço",AND(AUTOEVENTO="Manual",$M272=$A$15)),0,
         IF(OFFSET(CRONOPLE!$F$15,$M272-$A$15,BG$13)=0,10^12,OFFSET(CRONOPLE!$F$15,$M272-$A$15,BG$13)))</f>
        <v>0</v>
      </c>
      <c r="BH272" s="171">
        <f ca="1">IF(OR($D272&lt;&gt;"Serviço",AND(AUTOEVENTO="Manual",$M272=$A$15)),0,
         IF(OFFSET(CRONOPLE!$F$15,$M272-$A$15,BH$13)=0,10^12,OFFSET(CRONOPLE!$F$15,$M272-$A$15,BH$13)))</f>
        <v>0</v>
      </c>
      <c r="BI272" s="171">
        <f ca="1">IF(OR($D272&lt;&gt;"Serviço",AND(AUTOEVENTO="Manual",$M272=$A$15)),0,
         IF(OFFSET(CRONOPLE!$F$15,$M272-$A$15,BI$13)=0,10^12,OFFSET(CRONOPLE!$F$15,$M272-$A$15,BI$13)))</f>
        <v>0</v>
      </c>
      <c r="BJ272" s="171">
        <f ca="1">IF(OR($D272&lt;&gt;"Serviço",AND(AUTOEVENTO="Manual",$M272=$A$15)),0,
         IF(OFFSET(CRONOPLE!$F$15,$M272-$A$15,BJ$13)=0,10^12,OFFSET(CRONOPLE!$F$15,$M272-$A$15,BJ$13)))</f>
        <v>0</v>
      </c>
      <c r="BK272" s="171">
        <f ca="1">IF(OR($D272&lt;&gt;"Serviço",AND(AUTOEVENTO="Manual",$M272=$A$15)),0,
         IF(OFFSET(CRONOPLE!$F$15,$M272-$A$15,BK$13)=0,10^12,OFFSET(CRONOPLE!$F$15,$M272-$A$15,BK$13)))</f>
        <v>0</v>
      </c>
      <c r="BL272" s="171">
        <f ca="1">IF(OR($D272&lt;&gt;"Serviço",AND(AUTOEVENTO="Manual",$M272=$A$15)),0,
         IF(OFFSET(CRONOPLE!$F$15,$M272-$A$15,BL$13)=0,10^12,OFFSET(CRONOPLE!$F$15,$M272-$A$15,BL$13)))</f>
        <v>0</v>
      </c>
      <c r="BM272" s="171">
        <f ca="1">IF(OR($D272&lt;&gt;"Serviço",AND(AUTOEVENTO="Manual",$M272=$A$15)),0,
         IF(OFFSET(CRONOPLE!$F$15,$M272-$A$15,BM$13)=0,10^12,OFFSET(CRONOPLE!$F$15,$M272-$A$15,BM$13)))</f>
        <v>0</v>
      </c>
      <c r="BN272" s="171">
        <f ca="1">IF(OR($D272&lt;&gt;"Serviço",AND(AUTOEVENTO="Manual",$M272=$A$15)),0,
         IF(OFFSET(CRONOPLE!$F$15,$M272-$A$15,BN$13)=0,10^12,OFFSET(CRONOPLE!$F$15,$M272-$A$15,BN$13)))</f>
        <v>0</v>
      </c>
      <c r="BO272" s="171">
        <f ca="1">IF(OR($D272&lt;&gt;"Serviço",AND(AUTOEVENTO="Manual",$M272=$A$15)),0,
         IF(OFFSET(CRONOPLE!$F$15,$M272-$A$15,BO$13)=0,10^12,OFFSET(CRONOPLE!$F$15,$M272-$A$15,BO$13)))</f>
        <v>0</v>
      </c>
      <c r="BP272" s="171">
        <f ca="1">IF(OR($D272&lt;&gt;"Serviço",AND(AUTOEVENTO="Manual",$M272=$A$15)),0,
         IF(OFFSET(CRONOPLE!$F$15,$M272-$A$15,BP$13)=0,10^12,OFFSET(CRONOPLE!$F$15,$M272-$A$15,BP$13)))</f>
        <v>0</v>
      </c>
      <c r="BQ272" s="171">
        <f ca="1">IF(OR($D272&lt;&gt;"Serviço",AND(AUTOEVENTO="Manual",$M272=$A$15)),0,
         IF(OFFSET(CRONOPLE!$F$15,$M272-$A$15,BQ$13)=0,10^12,OFFSET(CRONOPLE!$F$15,$M272-$A$15,BQ$13)))</f>
        <v>0</v>
      </c>
      <c r="BR272" s="171">
        <f ca="1">IF(OR($D272&lt;&gt;"Serviço",AND(AUTOEVENTO="Manual",$M272=$A$15)),0,
         IF(OFFSET(CRONOPLE!$F$15,$M272-$A$15,BR$13)=0,10^12,OFFSET(CRONOPLE!$F$15,$M272-$A$15,BR$13)))</f>
        <v>0</v>
      </c>
      <c r="BS272" s="171">
        <f ca="1">IF(OR($D272&lt;&gt;"Serviço",AND(AUTOEVENTO="Manual",$M272=$A$15)),0,
         IF(OFFSET(CRONOPLE!$F$15,$M272-$A$15,BS$13)=0,10^12,OFFSET(CRONOPLE!$F$15,$M272-$A$15,BS$13)))</f>
        <v>0</v>
      </c>
      <c r="BT272" s="171">
        <f ca="1">IF(OR($D272&lt;&gt;"Serviço",AND(AUTOEVENTO="Manual",$M272=$A$15)),0,
         IF(OFFSET(CRONOPLE!$F$15,$M272-$A$15,BT$13)=0,10^12,OFFSET(CRONOPLE!$F$15,$M272-$A$15,BT$13)))</f>
        <v>0</v>
      </c>
      <c r="BV272" s="172">
        <f ca="1">IF(OR($D272&lt;&gt;"Serviço",AND(AUTOEVENTO="Manual",$M272=$A$15),$M272&gt;(ROW(PLE.lastrow)-ROW(PLE.firstrow))),0,
           IF(OFFSET(PLE!$G$15,$M272-$A$15,BV$13)="",10^12,OFFSET(PLE!$G$15,$M272-$A$15,BV$13)))</f>
        <v>0</v>
      </c>
      <c r="BW272" s="172">
        <f ca="1">IF(OR($D272&lt;&gt;"Serviço",AND(AUTOEVENTO="Manual",$M272=$A$15),$M272&gt;(ROW(PLE.lastrow)-ROW(PLE.firstrow))),0,
           IF(OFFSET(PLE!$G$15,$M272-$A$15,BW$13)="",10^12,OFFSET(PLE!$G$15,$M272-$A$15,BW$13)))</f>
        <v>0</v>
      </c>
      <c r="BX272" s="172">
        <f ca="1">IF(OR($D272&lt;&gt;"Serviço",AND(AUTOEVENTO="Manual",$M272=$A$15),$M272&gt;(ROW(PLE.lastrow)-ROW(PLE.firstrow))),0,
           IF(OFFSET(PLE!$G$15,$M272-$A$15,BX$13)="",10^12,OFFSET(PLE!$G$15,$M272-$A$15,BX$13)))</f>
        <v>0</v>
      </c>
      <c r="BY272" s="172">
        <f ca="1">IF(OR($D272&lt;&gt;"Serviço",AND(AUTOEVENTO="Manual",$M272=$A$15),$M272&gt;(ROW(PLE.lastrow)-ROW(PLE.firstrow))),0,
           IF(OFFSET(PLE!$G$15,$M272-$A$15,BY$13)="",10^12,OFFSET(PLE!$G$15,$M272-$A$15,BY$13)))</f>
        <v>0</v>
      </c>
      <c r="BZ272" s="172">
        <f ca="1">IF(OR($D272&lt;&gt;"Serviço",AND(AUTOEVENTO="Manual",$M272=$A$15),$M272&gt;(ROW(PLE.lastrow)-ROW(PLE.firstrow))),0,
           IF(OFFSET(PLE!$G$15,$M272-$A$15,BZ$13)="",10^12,OFFSET(PLE!$G$15,$M272-$A$15,BZ$13)))</f>
        <v>0</v>
      </c>
      <c r="CA272" s="172">
        <f ca="1">IF(OR($D272&lt;&gt;"Serviço",AND(AUTOEVENTO="Manual",$M272=$A$15),$M272&gt;(ROW(PLE.lastrow)-ROW(PLE.firstrow))),0,
           IF(OFFSET(PLE!$G$15,$M272-$A$15,CA$13)="",10^12,OFFSET(PLE!$G$15,$M272-$A$15,CA$13)))</f>
        <v>0</v>
      </c>
      <c r="CB272" s="172">
        <f ca="1">IF(OR($D272&lt;&gt;"Serviço",AND(AUTOEVENTO="Manual",$M272=$A$15),$M272&gt;(ROW(PLE.lastrow)-ROW(PLE.firstrow))),0,
           IF(OFFSET(PLE!$G$15,$M272-$A$15,CB$13)="",10^12,OFFSET(PLE!$G$15,$M272-$A$15,CB$13)))</f>
        <v>0</v>
      </c>
      <c r="CC272" s="172">
        <f ca="1">IF(OR($D272&lt;&gt;"Serviço",AND(AUTOEVENTO="Manual",$M272=$A$15),$M272&gt;(ROW(PLE.lastrow)-ROW(PLE.firstrow))),0,
           IF(OFFSET(PLE!$G$15,$M272-$A$15,CC$13)="",10^12,OFFSET(PLE!$G$15,$M272-$A$15,CC$13)))</f>
        <v>0</v>
      </c>
      <c r="CD272" s="172">
        <f ca="1">IF(OR($D272&lt;&gt;"Serviço",AND(AUTOEVENTO="Manual",$M272=$A$15),$M272&gt;(ROW(PLE.lastrow)-ROW(PLE.firstrow))),0,
           IF(OFFSET(PLE!$G$15,$M272-$A$15,CD$13)="",10^12,OFFSET(PLE!$G$15,$M272-$A$15,CD$13)))</f>
        <v>0</v>
      </c>
      <c r="CE272" s="172">
        <f ca="1">IF(OR($D272&lt;&gt;"Serviço",AND(AUTOEVENTO="Manual",$M272=$A$15),$M272&gt;(ROW(PLE.lastrow)-ROW(PLE.firstrow))),0,
           IF(OFFSET(PLE!$G$15,$M272-$A$15,CE$13)="",10^12,OFFSET(PLE!$G$15,$M272-$A$15,CE$13)))</f>
        <v>0</v>
      </c>
      <c r="CF272" s="172">
        <f ca="1">IF(OR($D272&lt;&gt;"Serviço",AND(AUTOEVENTO="Manual",$M272=$A$15),$M272&gt;(ROW(PLE.lastrow)-ROW(PLE.firstrow))),0,
           IF(OFFSET(PLE!$G$15,$M272-$A$15,CF$13)="",10^12,OFFSET(PLE!$G$15,$M272-$A$15,CF$13)))</f>
        <v>0</v>
      </c>
      <c r="CG272" s="172">
        <f ca="1">IF(OR($D272&lt;&gt;"Serviço",AND(AUTOEVENTO="Manual",$M272=$A$15),$M272&gt;(ROW(PLE.lastrow)-ROW(PLE.firstrow))),0,
           IF(OFFSET(PLE!$G$15,$M272-$A$15,CG$13)="",10^12,OFFSET(PLE!$G$15,$M272-$A$15,CG$13)))</f>
        <v>0</v>
      </c>
      <c r="CH272" s="172">
        <f ca="1">IF(OR($D272&lt;&gt;"Serviço",AND(AUTOEVENTO="Manual",$M272=$A$15),$M272&gt;(ROW(PLE.lastrow)-ROW(PLE.firstrow))),0,
           IF(OFFSET(PLE!$G$15,$M272-$A$15,CH$13)="",10^12,OFFSET(PLE!$G$15,$M272-$A$15,CH$13)))</f>
        <v>0</v>
      </c>
      <c r="CI272" s="172">
        <f ca="1">IF(OR($D272&lt;&gt;"Serviço",AND(AUTOEVENTO="Manual",$M272=$A$15),$M272&gt;(ROW(PLE.lastrow)-ROW(PLE.firstrow))),0,
           IF(OFFSET(PLE!$G$15,$M272-$A$15,CI$13)="",10^12,OFFSET(PLE!$G$15,$M272-$A$15,CI$13)))</f>
        <v>0</v>
      </c>
      <c r="CJ272" s="172">
        <f ca="1">IF(OR($D272&lt;&gt;"Serviço",AND(AUTOEVENTO="Manual",$M272=$A$15),$M272&gt;(ROW(PLE.lastrow)-ROW(PLE.firstrow))),0,
           IF(OFFSET(PLE!$G$15,$M272-$A$15,CJ$13)="",10^12,OFFSET(PLE!$G$15,$M272-$A$15,CJ$13)))</f>
        <v>0</v>
      </c>
      <c r="CK272" s="172">
        <f ca="1">IF(OR($D272&lt;&gt;"Serviço",AND(AUTOEVENTO="Manual",$M272=$A$15),$M272&gt;(ROW(PLE.lastrow)-ROW(PLE.firstrow))),0,
           IF(OFFSET(PLE!$G$15,$M272-$A$15,CK$13)="",10^12,OFFSET(PLE!$G$15,$M272-$A$15,CK$13)))</f>
        <v>0</v>
      </c>
      <c r="CL272" s="172">
        <f ca="1">IF(OR($D272&lt;&gt;"Serviço",AND(AUTOEVENTO="Manual",$M272=$A$15),$M272&gt;(ROW(PLE.lastrow)-ROW(PLE.firstrow))),0,
           IF(OFFSET(PLE!$G$15,$M272-$A$15,CL$13)="",10^12,OFFSET(PLE!$G$15,$M272-$A$15,CL$13)))</f>
        <v>0</v>
      </c>
      <c r="CM272" s="172">
        <f ca="1">IF(OR($D272&lt;&gt;"Serviço",AND(AUTOEVENTO="Manual",$M272=$A$15),$M272&gt;(ROW(PLE.lastrow)-ROW(PLE.firstrow))),0,
           IF(OFFSET(PLE!$G$15,$M272-$A$15,CM$13)="",10^12,OFFSET(PLE!$G$15,$M272-$A$15,CM$13)))</f>
        <v>0</v>
      </c>
    </row>
    <row r="273" spans="1:91" ht="25.5" x14ac:dyDescent="0.2">
      <c r="A273" s="7">
        <f t="shared" ca="1" si="13"/>
        <v>6</v>
      </c>
      <c r="B273" s="7" t="str">
        <f ca="1">OFFSET(ORÇAMENTO!C$15,ROW(B273)-ROW(B$15),0)</f>
        <v>S</v>
      </c>
      <c r="C273" s="7" t="str">
        <f ca="1">OFFSET(ORÇAMENTO!L$15,ROW(C273)-ROW(C$15),0)</f>
        <v>F</v>
      </c>
      <c r="D273" s="116" t="str">
        <f ca="1">OFFSET(ORÇAMENTO!N$15,ROW(D273)-ROW(D$15),0)</f>
        <v>Serviço</v>
      </c>
      <c r="E273" s="117" t="str">
        <f ca="1">OFFSET(ORÇAMENTO!O$15,ROW(E273)-ROW(E$15),0)</f>
        <v>1.7.2.2.1.</v>
      </c>
      <c r="F273" s="163" t="str">
        <f ca="1">OFFSET(ORÇAMENTO!R$15,ROW(F273)-ROW(F$15),0)</f>
        <v>MECANISMO PRA REMOÇÃO DE LODO - MONTAGEM - BASEADO EM SETOP (ED-20568)</v>
      </c>
      <c r="G273" s="164" t="str">
        <f ca="1">IF($D273&lt;&gt;"Serviço","",OFFSET(ORÇAMENTO!S$15,ROW(G273)-ROW(G$15),0))</f>
        <v>KG</v>
      </c>
      <c r="H273" s="122" cm="1">
        <f t="array" aca="1" ref="H273" ca="1">IF($D273&lt;&gt;"Serviço",0,IF(ACOMPANHAMENTO="BM",ROUND(OFFSET(ORÇAMENTO!AJ$15,ROW(H273)-ROW(H$15),0),15-13*ORÇAMENTO!$AF$7),SUMPRODUCT(($Q$1:$AI$1=1)*ROUND($Q273:$AI273,15-13*ORÇAMENTO!$AF$7))))</f>
        <v>9000</v>
      </c>
      <c r="I273" s="468" t="s">
        <v>1348</v>
      </c>
      <c r="J273" s="640" t="str" cm="1">
        <f t="array" aca="1" ref="J273" ca="1">IF(OR(B273&lt;&gt;"S",CÁLCULO.FrentesPreenchidas=0),"",IF(AND(ACOMPANHAMENTO="PLE",AUTOEVENTO="Manual",OR(H273&gt;0,ORÇAMENTO!AC273="QUANT."),OR(K273="",M273=0,N273="")),"►E",IF(AND(ACOMPANHAMENTO="PLE",ORÇAMENTO!AC273="QUANT."),"►Q",IF(AND(ACOMPANHAMENTO="PLE",H273&lt;&gt;SUMPRODUCT(($Q$1:$AI$1=1)*ROUND(Q273:AI273,15))),"►S",IF(AND(COUNTIF($P$11:$AI$11,"▼")=0,H273&gt;0,I273=""),"◄M","")))))</f>
        <v/>
      </c>
      <c r="K273" s="641" t="s">
        <v>1385</v>
      </c>
      <c r="L273" s="165" t="s">
        <v>764</v>
      </c>
      <c r="M273" s="166">
        <f ca="1">IF($D273&lt;&gt;"Serviço","",
          IF(AUTOEVENTO="manual",$A273,
                IF(ISERROR(MATCH($A273,$A$15:OFFSET($A273,-1,0),0)),MAX($M$15:OFFSET(M273,-1,0))+1,
                      INDEX($M$15:OFFSET(M273,-1,0),MATCH($A273,$A$15:OFFSET($A273,-1,0),0)))))</f>
        <v>6</v>
      </c>
      <c r="N273" s="167" t="str">
        <f ca="1">IF($D273&lt;&gt;"Serviço","",
         IF(AUTOEVENTO="Manual",
                IF($A273=0,"&lt;-- defina o número do agrupador",
                       OFFSET(EVENTOS!$D$15,$A273-$A$15,0)),
                OFFSET($F$15,$A273,0)))</f>
        <v>Saneamento</v>
      </c>
      <c r="O273" s="168"/>
      <c r="Q273" s="168"/>
      <c r="R273" s="169"/>
      <c r="S273" s="169"/>
      <c r="T273" s="169">
        <v>4000</v>
      </c>
      <c r="U273" s="169"/>
      <c r="V273" s="169"/>
      <c r="W273" s="169"/>
      <c r="X273" s="169"/>
      <c r="Y273" s="169"/>
      <c r="Z273" s="170"/>
      <c r="AA273" s="169"/>
      <c r="AB273" s="169"/>
      <c r="AC273" s="169"/>
      <c r="AD273" s="169"/>
      <c r="AE273" s="169"/>
      <c r="AF273" s="169"/>
      <c r="AG273" s="169"/>
      <c r="AH273" s="170"/>
      <c r="AJ273" s="453">
        <f ca="1">IF(AND($D273="Serviço",AJ$12&lt;&gt;0,$H273&gt;0,OR(AUTOEVENTO&lt;&gt;"manual",$M273&lt;&gt;$A$15)),
        IF(Import.TipoArredondamento&lt;&gt;"TransfereGOV",
              ROUND(OFFSET($P273,0,AJ$13),15-13*ORÇAMENTO!$AF$7)/$H273*OFFSET(ORÇAMENTO!$X$15,ROW(AJ273)-ROW(AJ$15),0),
              ROUND(ROUND(OFFSET($P273,0,AJ$13),15-13*ORÇAMENTO!$AF$7)*OFFSET(ORÇAMENTO!$W$15,ROW(AJ273)-ROW(AJ$15),0),15-13*ORÇAMENTO!$AF$11)),
         0)</f>
        <v>0</v>
      </c>
      <c r="AK273" s="453">
        <f ca="1">IF(AND($D273="Serviço",AK$12&lt;&gt;0,$H273&gt;0,OR(AUTOEVENTO&lt;&gt;"manual",$M273&lt;&gt;$A$15)),
        IF(Import.TipoArredondamento&lt;&gt;"TransfereGOV",
              ROUND(OFFSET($P273,0,AK$13),15-13*ORÇAMENTO!$AF$7)/$H273*OFFSET(ORÇAMENTO!$X$15,ROW(AK273)-ROW(AK$15),0),
              ROUND(ROUND(OFFSET($P273,0,AK$13),15-13*ORÇAMENTO!$AF$7)*OFFSET(ORÇAMENTO!$W$15,ROW(AK273)-ROW(AK$15),0),15-13*ORÇAMENTO!$AF$11)),
         0)</f>
        <v>0</v>
      </c>
      <c r="AL273" s="453">
        <f ca="1">IF(AND($D273="Serviço",AL$12&lt;&gt;0,$H273&gt;0,OR(AUTOEVENTO&lt;&gt;"manual",$M273&lt;&gt;$A$15)),
        IF(Import.TipoArredondamento&lt;&gt;"TransfereGOV",
              ROUND(OFFSET($P273,0,AL$13),15-13*ORÇAMENTO!$AF$7)/$H273*OFFSET(ORÇAMENTO!$X$15,ROW(AL273)-ROW(AL$15),0),
              ROUND(ROUND(OFFSET($P273,0,AL$13),15-13*ORÇAMENTO!$AF$7)*OFFSET(ORÇAMENTO!$W$15,ROW(AL273)-ROW(AL$15),0),15-13*ORÇAMENTO!$AF$11)),
         0)</f>
        <v>0</v>
      </c>
      <c r="AM273" s="453">
        <f ca="1">IF(AND($D273="Serviço",AM$12&lt;&gt;0,$H273&gt;0,OR(AUTOEVENTO&lt;&gt;"manual",$M273&lt;&gt;$A$15)),
        IF(Import.TipoArredondamento&lt;&gt;"TransfereGOV",
              ROUND(OFFSET($P273,0,AM$13),15-13*ORÇAMENTO!$AF$7)/$H273*OFFSET(ORÇAMENTO!$X$15,ROW(AM273)-ROW(AM$15),0),
              ROUND(ROUND(OFFSET($P273,0,AM$13),15-13*ORÇAMENTO!$AF$7)*OFFSET(ORÇAMENTO!$W$15,ROW(AM273)-ROW(AM$15),0),15-13*ORÇAMENTO!$AF$11)),
         0)</f>
        <v>0</v>
      </c>
      <c r="AN273" s="453">
        <f ca="1">IF(AND($D273="Serviço",AN$12&lt;&gt;0,$H273&gt;0,OR(AUTOEVENTO&lt;&gt;"manual",$M273&lt;&gt;$A$15)),
        IF(Import.TipoArredondamento&lt;&gt;"TransfereGOV",
              ROUND(OFFSET($P273,0,AN$13),15-13*ORÇAMENTO!$AF$7)/$H273*OFFSET(ORÇAMENTO!$X$15,ROW(AN273)-ROW(AN$15),0),
              ROUND(ROUND(OFFSET($P273,0,AN$13),15-13*ORÇAMENTO!$AF$7)*OFFSET(ORÇAMENTO!$W$15,ROW(AN273)-ROW(AN$15),0),15-13*ORÇAMENTO!$AF$11)),
         0)</f>
        <v>0</v>
      </c>
      <c r="AO273" s="453">
        <f ca="1">IF(AND($D273="Serviço",AO$12&lt;&gt;0,$H273&gt;0,OR(AUTOEVENTO&lt;&gt;"manual",$M273&lt;&gt;$A$15)),
        IF(Import.TipoArredondamento&lt;&gt;"TransfereGOV",
              ROUND(OFFSET($P273,0,AO$13),15-13*ORÇAMENTO!$AF$7)/$H273*OFFSET(ORÇAMENTO!$X$15,ROW(AO273)-ROW(AO$15),0),
              ROUND(ROUND(OFFSET($P273,0,AO$13),15-13*ORÇAMENTO!$AF$7)*OFFSET(ORÇAMENTO!$W$15,ROW(AO273)-ROW(AO$15),0),15-13*ORÇAMENTO!$AF$11)),
         0)</f>
        <v>0</v>
      </c>
      <c r="AP273" s="453">
        <f ca="1">IF(AND($D273="Serviço",AP$12&lt;&gt;0,$H273&gt;0,OR(AUTOEVENTO&lt;&gt;"manual",$M273&lt;&gt;$A$15)),
        IF(Import.TipoArredondamento&lt;&gt;"TransfereGOV",
              ROUND(OFFSET($P273,0,AP$13),15-13*ORÇAMENTO!$AF$7)/$H273*OFFSET(ORÇAMENTO!$X$15,ROW(AP273)-ROW(AP$15),0),
              ROUND(ROUND(OFFSET($P273,0,AP$13),15-13*ORÇAMENTO!$AF$7)*OFFSET(ORÇAMENTO!$W$15,ROW(AP273)-ROW(AP$15),0),15-13*ORÇAMENTO!$AF$11)),
         0)</f>
        <v>0</v>
      </c>
      <c r="AQ273" s="453">
        <f ca="1">IF(AND($D273="Serviço",AQ$12&lt;&gt;0,$H273&gt;0,OR(AUTOEVENTO&lt;&gt;"manual",$M273&lt;&gt;$A$15)),
        IF(Import.TipoArredondamento&lt;&gt;"TransfereGOV",
              ROUND(OFFSET($P273,0,AQ$13),15-13*ORÇAMENTO!$AF$7)/$H273*OFFSET(ORÇAMENTO!$X$15,ROW(AQ273)-ROW(AQ$15),0),
              ROUND(ROUND(OFFSET($P273,0,AQ$13),15-13*ORÇAMENTO!$AF$7)*OFFSET(ORÇAMENTO!$W$15,ROW(AQ273)-ROW(AQ$15),0),15-13*ORÇAMENTO!$AF$11)),
         0)</f>
        <v>0</v>
      </c>
      <c r="AR273" s="453">
        <f ca="1">IF(AND($D273="Serviço",AR$12&lt;&gt;0,$H273&gt;0,OR(AUTOEVENTO&lt;&gt;"manual",$M273&lt;&gt;$A$15)),
        IF(Import.TipoArredondamento&lt;&gt;"TransfereGOV",
              ROUND(OFFSET($P273,0,AR$13),15-13*ORÇAMENTO!$AF$7)/$H273*OFFSET(ORÇAMENTO!$X$15,ROW(AR273)-ROW(AR$15),0),
              ROUND(ROUND(OFFSET($P273,0,AR$13),15-13*ORÇAMENTO!$AF$7)*OFFSET(ORÇAMENTO!$W$15,ROW(AR273)-ROW(AR$15),0),15-13*ORÇAMENTO!$AF$11)),
         0)</f>
        <v>0</v>
      </c>
      <c r="AS273" s="453">
        <f ca="1">IF(AND($D273="Serviço",AS$12&lt;&gt;0,$H273&gt;0,OR(AUTOEVENTO&lt;&gt;"manual",$M273&lt;&gt;$A$15)),
        IF(Import.TipoArredondamento&lt;&gt;"TransfereGOV",
              ROUND(OFFSET($P273,0,AS$13),15-13*ORÇAMENTO!$AF$7)/$H273*OFFSET(ORÇAMENTO!$X$15,ROW(AS273)-ROW(AS$15),0),
              ROUND(ROUND(OFFSET($P273,0,AS$13),15-13*ORÇAMENTO!$AF$7)*OFFSET(ORÇAMENTO!$W$15,ROW(AS273)-ROW(AS$15),0),15-13*ORÇAMENTO!$AF$11)),
         0)</f>
        <v>0</v>
      </c>
      <c r="AT273" s="453">
        <f ca="1">IF(AND($D273="Serviço",AT$12&lt;&gt;0,$H273&gt;0,OR(AUTOEVENTO&lt;&gt;"manual",$M273&lt;&gt;$A$15)),
        IF(Import.TipoArredondamento&lt;&gt;"TransfereGOV",
              ROUND(OFFSET($P273,0,AT$13),15-13*ORÇAMENTO!$AF$7)/$H273*OFFSET(ORÇAMENTO!$X$15,ROW(AT273)-ROW(AT$15),0),
              ROUND(ROUND(OFFSET($P273,0,AT$13),15-13*ORÇAMENTO!$AF$7)*OFFSET(ORÇAMENTO!$W$15,ROW(AT273)-ROW(AT$15),0),15-13*ORÇAMENTO!$AF$11)),
         0)</f>
        <v>0</v>
      </c>
      <c r="AU273" s="453">
        <f ca="1">IF(AND($D273="Serviço",AU$12&lt;&gt;0,$H273&gt;0,OR(AUTOEVENTO&lt;&gt;"manual",$M273&lt;&gt;$A$15)),
        IF(Import.TipoArredondamento&lt;&gt;"TransfereGOV",
              ROUND(OFFSET($P273,0,AU$13),15-13*ORÇAMENTO!$AF$7)/$H273*OFFSET(ORÇAMENTO!$X$15,ROW(AU273)-ROW(AU$15),0),
              ROUND(ROUND(OFFSET($P273,0,AU$13),15-13*ORÇAMENTO!$AF$7)*OFFSET(ORÇAMENTO!$W$15,ROW(AU273)-ROW(AU$15),0),15-13*ORÇAMENTO!$AF$11)),
         0)</f>
        <v>0</v>
      </c>
      <c r="AV273" s="453">
        <f ca="1">IF(AND($D273="Serviço",AV$12&lt;&gt;0,$H273&gt;0,OR(AUTOEVENTO&lt;&gt;"manual",$M273&lt;&gt;$A$15)),
        IF(Import.TipoArredondamento&lt;&gt;"TransfereGOV",
              ROUND(OFFSET($P273,0,AV$13),15-13*ORÇAMENTO!$AF$7)/$H273*OFFSET(ORÇAMENTO!$X$15,ROW(AV273)-ROW(AV$15),0),
              ROUND(ROUND(OFFSET($P273,0,AV$13),15-13*ORÇAMENTO!$AF$7)*OFFSET(ORÇAMENTO!$W$15,ROW(AV273)-ROW(AV$15),0),15-13*ORÇAMENTO!$AF$11)),
         0)</f>
        <v>0</v>
      </c>
      <c r="AW273" s="453">
        <f ca="1">IF(AND($D273="Serviço",AW$12&lt;&gt;0,$H273&gt;0,OR(AUTOEVENTO&lt;&gt;"manual",$M273&lt;&gt;$A$15)),
        IF(Import.TipoArredondamento&lt;&gt;"TransfereGOV",
              ROUND(OFFSET($P273,0,AW$13),15-13*ORÇAMENTO!$AF$7)/$H273*OFFSET(ORÇAMENTO!$X$15,ROW(AW273)-ROW(AW$15),0),
              ROUND(ROUND(OFFSET($P273,0,AW$13),15-13*ORÇAMENTO!$AF$7)*OFFSET(ORÇAMENTO!$W$15,ROW(AW273)-ROW(AW$15),0),15-13*ORÇAMENTO!$AF$11)),
         0)</f>
        <v>0</v>
      </c>
      <c r="AX273" s="453">
        <f ca="1">IF(AND($D273="Serviço",AX$12&lt;&gt;0,$H273&gt;0,OR(AUTOEVENTO&lt;&gt;"manual",$M273&lt;&gt;$A$15)),
        IF(Import.TipoArredondamento&lt;&gt;"TransfereGOV",
              ROUND(OFFSET($P273,0,AX$13),15-13*ORÇAMENTO!$AF$7)/$H273*OFFSET(ORÇAMENTO!$X$15,ROW(AX273)-ROW(AX$15),0),
              ROUND(ROUND(OFFSET($P273,0,AX$13),15-13*ORÇAMENTO!$AF$7)*OFFSET(ORÇAMENTO!$W$15,ROW(AX273)-ROW(AX$15),0),15-13*ORÇAMENTO!$AF$11)),
         0)</f>
        <v>0</v>
      </c>
      <c r="AY273" s="453">
        <f ca="1">IF(AND($D273="Serviço",AY$12&lt;&gt;0,$H273&gt;0,OR(AUTOEVENTO&lt;&gt;"manual",$M273&lt;&gt;$A$15)),
        IF(Import.TipoArredondamento&lt;&gt;"TransfereGOV",
              ROUND(OFFSET($P273,0,AY$13),15-13*ORÇAMENTO!$AF$7)/$H273*OFFSET(ORÇAMENTO!$X$15,ROW(AY273)-ROW(AY$15),0),
              ROUND(ROUND(OFFSET($P273,0,AY$13),15-13*ORÇAMENTO!$AF$7)*OFFSET(ORÇAMENTO!$W$15,ROW(AY273)-ROW(AY$15),0),15-13*ORÇAMENTO!$AF$11)),
         0)</f>
        <v>0</v>
      </c>
      <c r="AZ273" s="453">
        <f ca="1">IF(AND($D273="Serviço",AZ$12&lt;&gt;0,$H273&gt;0,OR(AUTOEVENTO&lt;&gt;"manual",$M273&lt;&gt;$A$15)),
        IF(Import.TipoArredondamento&lt;&gt;"TransfereGOV",
              ROUND(OFFSET($P273,0,AZ$13),15-13*ORÇAMENTO!$AF$7)/$H273*OFFSET(ORÇAMENTO!$X$15,ROW(AZ273)-ROW(AZ$15),0),
              ROUND(ROUND(OFFSET($P273,0,AZ$13),15-13*ORÇAMENTO!$AF$7)*OFFSET(ORÇAMENTO!$W$15,ROW(AZ273)-ROW(AZ$15),0),15-13*ORÇAMENTO!$AF$11)),
         0)</f>
        <v>0</v>
      </c>
      <c r="BA273" s="453">
        <f ca="1">IF(AND($D273="Serviço",BA$12&lt;&gt;0,$H273&gt;0,OR(AUTOEVENTO&lt;&gt;"manual",$M273&lt;&gt;$A$15)),
        IF(Import.TipoArredondamento&lt;&gt;"TransfereGOV",
              ROUND(OFFSET($P273,0,BA$13),15-13*ORÇAMENTO!$AF$7)/$H273*OFFSET(ORÇAMENTO!$X$15,ROW(BA273)-ROW(BA$15),0),
              ROUND(ROUND(OFFSET($P273,0,BA$13),15-13*ORÇAMENTO!$AF$7)*OFFSET(ORÇAMENTO!$W$15,ROW(BA273)-ROW(BA$15),0),15-13*ORÇAMENTO!$AF$11)),
         0)</f>
        <v>0</v>
      </c>
      <c r="BC273" s="171">
        <f ca="1">IF(OR($D273&lt;&gt;"Serviço",AND(AUTOEVENTO="Manual",$M273=$A$15)),0,
         IF(OFFSET(CRONOPLE!$F$15,$M273-$A$15,BC$13)=0,10^12,OFFSET(CRONOPLE!$F$15,$M273-$A$15,BC$13)))</f>
        <v>1</v>
      </c>
      <c r="BD273" s="171">
        <f ca="1">IF(OR($D273&lt;&gt;"Serviço",AND(AUTOEVENTO="Manual",$M273=$A$15)),0,
         IF(OFFSET(CRONOPLE!$F$15,$M273-$A$15,BD$13)=0,10^12,OFFSET(CRONOPLE!$F$15,$M273-$A$15,BD$13)))</f>
        <v>2</v>
      </c>
      <c r="BE273" s="171">
        <f ca="1">IF(OR($D273&lt;&gt;"Serviço",AND(AUTOEVENTO="Manual",$M273=$A$15)),0,
         IF(OFFSET(CRONOPLE!$F$15,$M273-$A$15,BE$13)=0,10^12,OFFSET(CRONOPLE!$F$15,$M273-$A$15,BE$13)))</f>
        <v>3</v>
      </c>
      <c r="BF273" s="171">
        <f ca="1">IF(OR($D273&lt;&gt;"Serviço",AND(AUTOEVENTO="Manual",$M273=$A$15)),0,
         IF(OFFSET(CRONOPLE!$F$15,$M273-$A$15,BF$13)=0,10^12,OFFSET(CRONOPLE!$F$15,$M273-$A$15,BF$13)))</f>
        <v>4</v>
      </c>
      <c r="BG273" s="171">
        <f ca="1">IF(OR($D273&lt;&gt;"Serviço",AND(AUTOEVENTO="Manual",$M273=$A$15)),0,
         IF(OFFSET(CRONOPLE!$F$15,$M273-$A$15,BG$13)=0,10^12,OFFSET(CRONOPLE!$F$15,$M273-$A$15,BG$13)))</f>
        <v>5</v>
      </c>
      <c r="BH273" s="171">
        <f ca="1">IF(OR($D273&lt;&gt;"Serviço",AND(AUTOEVENTO="Manual",$M273=$A$15)),0,
         IF(OFFSET(CRONOPLE!$F$15,$M273-$A$15,BH$13)=0,10^12,OFFSET(CRONOPLE!$F$15,$M273-$A$15,BH$13)))</f>
        <v>6</v>
      </c>
      <c r="BI273" s="171">
        <f ca="1">IF(OR($D273&lt;&gt;"Serviço",AND(AUTOEVENTO="Manual",$M273=$A$15)),0,
         IF(OFFSET(CRONOPLE!$F$15,$M273-$A$15,BI$13)=0,10^12,OFFSET(CRONOPLE!$F$15,$M273-$A$15,BI$13)))</f>
        <v>7</v>
      </c>
      <c r="BJ273" s="171">
        <f ca="1">IF(OR($D273&lt;&gt;"Serviço",AND(AUTOEVENTO="Manual",$M273=$A$15)),0,
         IF(OFFSET(CRONOPLE!$F$15,$M273-$A$15,BJ$13)=0,10^12,OFFSET(CRONOPLE!$F$15,$M273-$A$15,BJ$13)))</f>
        <v>8</v>
      </c>
      <c r="BK273" s="171">
        <f ca="1">IF(OR($D273&lt;&gt;"Serviço",AND(AUTOEVENTO="Manual",$M273=$A$15)),0,
         IF(OFFSET(CRONOPLE!$F$15,$M273-$A$15,BK$13)=0,10^12,OFFSET(CRONOPLE!$F$15,$M273-$A$15,BK$13)))</f>
        <v>9</v>
      </c>
      <c r="BL273" s="171">
        <f ca="1">IF(OR($D273&lt;&gt;"Serviço",AND(AUTOEVENTO="Manual",$M273=$A$15)),0,
         IF(OFFSET(CRONOPLE!$F$15,$M273-$A$15,BL$13)=0,10^12,OFFSET(CRONOPLE!$F$15,$M273-$A$15,BL$13)))</f>
        <v>1000000000000</v>
      </c>
      <c r="BM273" s="171">
        <f ca="1">IF(OR($D273&lt;&gt;"Serviço",AND(AUTOEVENTO="Manual",$M273=$A$15)),0,
         IF(OFFSET(CRONOPLE!$F$15,$M273-$A$15,BM$13)=0,10^12,OFFSET(CRONOPLE!$F$15,$M273-$A$15,BM$13)))</f>
        <v>1000000000000</v>
      </c>
      <c r="BN273" s="171">
        <f ca="1">IF(OR($D273&lt;&gt;"Serviço",AND(AUTOEVENTO="Manual",$M273=$A$15)),0,
         IF(OFFSET(CRONOPLE!$F$15,$M273-$A$15,BN$13)=0,10^12,OFFSET(CRONOPLE!$F$15,$M273-$A$15,BN$13)))</f>
        <v>1000000000000</v>
      </c>
      <c r="BO273" s="171">
        <f ca="1">IF(OR($D273&lt;&gt;"Serviço",AND(AUTOEVENTO="Manual",$M273=$A$15)),0,
         IF(OFFSET(CRONOPLE!$F$15,$M273-$A$15,BO$13)=0,10^12,OFFSET(CRONOPLE!$F$15,$M273-$A$15,BO$13)))</f>
        <v>1000000000000</v>
      </c>
      <c r="BP273" s="171">
        <f ca="1">IF(OR($D273&lt;&gt;"Serviço",AND(AUTOEVENTO="Manual",$M273=$A$15)),0,
         IF(OFFSET(CRONOPLE!$F$15,$M273-$A$15,BP$13)=0,10^12,OFFSET(CRONOPLE!$F$15,$M273-$A$15,BP$13)))</f>
        <v>1000000000000</v>
      </c>
      <c r="BQ273" s="171">
        <f ca="1">IF(OR($D273&lt;&gt;"Serviço",AND(AUTOEVENTO="Manual",$M273=$A$15)),0,
         IF(OFFSET(CRONOPLE!$F$15,$M273-$A$15,BQ$13)=0,10^12,OFFSET(CRONOPLE!$F$15,$M273-$A$15,BQ$13)))</f>
        <v>1000000000000</v>
      </c>
      <c r="BR273" s="171">
        <f ca="1">IF(OR($D273&lt;&gt;"Serviço",AND(AUTOEVENTO="Manual",$M273=$A$15)),0,
         IF(OFFSET(CRONOPLE!$F$15,$M273-$A$15,BR$13)=0,10^12,OFFSET(CRONOPLE!$F$15,$M273-$A$15,BR$13)))</f>
        <v>1000000000000</v>
      </c>
      <c r="BS273" s="171">
        <f ca="1">IF(OR($D273&lt;&gt;"Serviço",AND(AUTOEVENTO="Manual",$M273=$A$15)),0,
         IF(OFFSET(CRONOPLE!$F$15,$M273-$A$15,BS$13)=0,10^12,OFFSET(CRONOPLE!$F$15,$M273-$A$15,BS$13)))</f>
        <v>1000000000000</v>
      </c>
      <c r="BT273" s="171">
        <f ca="1">IF(OR($D273&lt;&gt;"Serviço",AND(AUTOEVENTO="Manual",$M273=$A$15)),0,
         IF(OFFSET(CRONOPLE!$F$15,$M273-$A$15,BT$13)=0,10^12,OFFSET(CRONOPLE!$F$15,$M273-$A$15,BT$13)))</f>
        <v>1000000000000</v>
      </c>
      <c r="BV273" s="172">
        <f ca="1">IF(OR($D273&lt;&gt;"Serviço",AND(AUTOEVENTO="Manual",$M273=$A$15),$M273&gt;(ROW(PLE.lastrow)-ROW(PLE.firstrow))),0,
           IF(OFFSET(PLE!$G$15,$M273-$A$15,BV$13)="",10^12,OFFSET(PLE!$G$15,$M273-$A$15,BV$13)))</f>
        <v>1000000000000</v>
      </c>
      <c r="BW273" s="172">
        <f ca="1">IF(OR($D273&lt;&gt;"Serviço",AND(AUTOEVENTO="Manual",$M273=$A$15),$M273&gt;(ROW(PLE.lastrow)-ROW(PLE.firstrow))),0,
           IF(OFFSET(PLE!$G$15,$M273-$A$15,BW$13)="",10^12,OFFSET(PLE!$G$15,$M273-$A$15,BW$13)))</f>
        <v>1000000000000</v>
      </c>
      <c r="BX273" s="172">
        <f ca="1">IF(OR($D273&lt;&gt;"Serviço",AND(AUTOEVENTO="Manual",$M273=$A$15),$M273&gt;(ROW(PLE.lastrow)-ROW(PLE.firstrow))),0,
           IF(OFFSET(PLE!$G$15,$M273-$A$15,BX$13)="",10^12,OFFSET(PLE!$G$15,$M273-$A$15,BX$13)))</f>
        <v>1000000000000</v>
      </c>
      <c r="BY273" s="172">
        <f ca="1">IF(OR($D273&lt;&gt;"Serviço",AND(AUTOEVENTO="Manual",$M273=$A$15),$M273&gt;(ROW(PLE.lastrow)-ROW(PLE.firstrow))),0,
           IF(OFFSET(PLE!$G$15,$M273-$A$15,BY$13)="",10^12,OFFSET(PLE!$G$15,$M273-$A$15,BY$13)))</f>
        <v>1000000000000</v>
      </c>
      <c r="BZ273" s="172">
        <f ca="1">IF(OR($D273&lt;&gt;"Serviço",AND(AUTOEVENTO="Manual",$M273=$A$15),$M273&gt;(ROW(PLE.lastrow)-ROW(PLE.firstrow))),0,
           IF(OFFSET(PLE!$G$15,$M273-$A$15,BZ$13)="",10^12,OFFSET(PLE!$G$15,$M273-$A$15,BZ$13)))</f>
        <v>1000000000000</v>
      </c>
      <c r="CA273" s="172">
        <f ca="1">IF(OR($D273&lt;&gt;"Serviço",AND(AUTOEVENTO="Manual",$M273=$A$15),$M273&gt;(ROW(PLE.lastrow)-ROW(PLE.firstrow))),0,
           IF(OFFSET(PLE!$G$15,$M273-$A$15,CA$13)="",10^12,OFFSET(PLE!$G$15,$M273-$A$15,CA$13)))</f>
        <v>1000000000000</v>
      </c>
      <c r="CB273" s="172">
        <f ca="1">IF(OR($D273&lt;&gt;"Serviço",AND(AUTOEVENTO="Manual",$M273=$A$15),$M273&gt;(ROW(PLE.lastrow)-ROW(PLE.firstrow))),0,
           IF(OFFSET(PLE!$G$15,$M273-$A$15,CB$13)="",10^12,OFFSET(PLE!$G$15,$M273-$A$15,CB$13)))</f>
        <v>1000000000000</v>
      </c>
      <c r="CC273" s="172">
        <f ca="1">IF(OR($D273&lt;&gt;"Serviço",AND(AUTOEVENTO="Manual",$M273=$A$15),$M273&gt;(ROW(PLE.lastrow)-ROW(PLE.firstrow))),0,
           IF(OFFSET(PLE!$G$15,$M273-$A$15,CC$13)="",10^12,OFFSET(PLE!$G$15,$M273-$A$15,CC$13)))</f>
        <v>1000000000000</v>
      </c>
      <c r="CD273" s="172">
        <f ca="1">IF(OR($D273&lt;&gt;"Serviço",AND(AUTOEVENTO="Manual",$M273=$A$15),$M273&gt;(ROW(PLE.lastrow)-ROW(PLE.firstrow))),0,
           IF(OFFSET(PLE!$G$15,$M273-$A$15,CD$13)="",10^12,OFFSET(PLE!$G$15,$M273-$A$15,CD$13)))</f>
        <v>1000000000000</v>
      </c>
      <c r="CE273" s="172">
        <f ca="1">IF(OR($D273&lt;&gt;"Serviço",AND(AUTOEVENTO="Manual",$M273=$A$15),$M273&gt;(ROW(PLE.lastrow)-ROW(PLE.firstrow))),0,
           IF(OFFSET(PLE!$G$15,$M273-$A$15,CE$13)="",10^12,OFFSET(PLE!$G$15,$M273-$A$15,CE$13)))</f>
        <v>1000000000000</v>
      </c>
      <c r="CF273" s="172">
        <f ca="1">IF(OR($D273&lt;&gt;"Serviço",AND(AUTOEVENTO="Manual",$M273=$A$15),$M273&gt;(ROW(PLE.lastrow)-ROW(PLE.firstrow))),0,
           IF(OFFSET(PLE!$G$15,$M273-$A$15,CF$13)="",10^12,OFFSET(PLE!$G$15,$M273-$A$15,CF$13)))</f>
        <v>1000000000000</v>
      </c>
      <c r="CG273" s="172">
        <f ca="1">IF(OR($D273&lt;&gt;"Serviço",AND(AUTOEVENTO="Manual",$M273=$A$15),$M273&gt;(ROW(PLE.lastrow)-ROW(PLE.firstrow))),0,
           IF(OFFSET(PLE!$G$15,$M273-$A$15,CG$13)="",10^12,OFFSET(PLE!$G$15,$M273-$A$15,CG$13)))</f>
        <v>1000000000000</v>
      </c>
      <c r="CH273" s="172">
        <f ca="1">IF(OR($D273&lt;&gt;"Serviço",AND(AUTOEVENTO="Manual",$M273=$A$15),$M273&gt;(ROW(PLE.lastrow)-ROW(PLE.firstrow))),0,
           IF(OFFSET(PLE!$G$15,$M273-$A$15,CH$13)="",10^12,OFFSET(PLE!$G$15,$M273-$A$15,CH$13)))</f>
        <v>1000000000000</v>
      </c>
      <c r="CI273" s="172">
        <f ca="1">IF(OR($D273&lt;&gt;"Serviço",AND(AUTOEVENTO="Manual",$M273=$A$15),$M273&gt;(ROW(PLE.lastrow)-ROW(PLE.firstrow))),0,
           IF(OFFSET(PLE!$G$15,$M273-$A$15,CI$13)="",10^12,OFFSET(PLE!$G$15,$M273-$A$15,CI$13)))</f>
        <v>1000000000000</v>
      </c>
      <c r="CJ273" s="172">
        <f ca="1">IF(OR($D273&lt;&gt;"Serviço",AND(AUTOEVENTO="Manual",$M273=$A$15),$M273&gt;(ROW(PLE.lastrow)-ROW(PLE.firstrow))),0,
           IF(OFFSET(PLE!$G$15,$M273-$A$15,CJ$13)="",10^12,OFFSET(PLE!$G$15,$M273-$A$15,CJ$13)))</f>
        <v>1000000000000</v>
      </c>
      <c r="CK273" s="172">
        <f ca="1">IF(OR($D273&lt;&gt;"Serviço",AND(AUTOEVENTO="Manual",$M273=$A$15),$M273&gt;(ROW(PLE.lastrow)-ROW(PLE.firstrow))),0,
           IF(OFFSET(PLE!$G$15,$M273-$A$15,CK$13)="",10^12,OFFSET(PLE!$G$15,$M273-$A$15,CK$13)))</f>
        <v>1000000000000</v>
      </c>
      <c r="CL273" s="172">
        <f ca="1">IF(OR($D273&lt;&gt;"Serviço",AND(AUTOEVENTO="Manual",$M273=$A$15),$M273&gt;(ROW(PLE.lastrow)-ROW(PLE.firstrow))),0,
           IF(OFFSET(PLE!$G$15,$M273-$A$15,CL$13)="",10^12,OFFSET(PLE!$G$15,$M273-$A$15,CL$13)))</f>
        <v>1000000000000</v>
      </c>
      <c r="CM273" s="172">
        <f ca="1">IF(OR($D273&lt;&gt;"Serviço",AND(AUTOEVENTO="Manual",$M273=$A$15),$M273&gt;(ROW(PLE.lastrow)-ROW(PLE.firstrow))),0,
           IF(OFFSET(PLE!$G$15,$M273-$A$15,CM$13)="",10^12,OFFSET(PLE!$G$15,$M273-$A$15,CM$13)))</f>
        <v>1000000000000</v>
      </c>
    </row>
    <row r="274" spans="1:91" ht="25.5" x14ac:dyDescent="0.2">
      <c r="A274" s="7">
        <f t="shared" ca="1" si="13"/>
        <v>6</v>
      </c>
      <c r="B274" s="7" t="str">
        <f ca="1">OFFSET(ORÇAMENTO!C$15,ROW(B274)-ROW(B$15),0)</f>
        <v>S</v>
      </c>
      <c r="C274" s="7" t="str">
        <f ca="1">OFFSET(ORÇAMENTO!L$15,ROW(C274)-ROW(C$15),0)</f>
        <v>F</v>
      </c>
      <c r="D274" s="116" t="str">
        <f ca="1">OFFSET(ORÇAMENTO!N$15,ROW(D274)-ROW(D$15),0)</f>
        <v>Serviço</v>
      </c>
      <c r="E274" s="117" t="str">
        <f ca="1">OFFSET(ORÇAMENTO!O$15,ROW(E274)-ROW(E$15),0)</f>
        <v>1.7.2.2.2.</v>
      </c>
      <c r="F274" s="163" t="str">
        <f ca="1">OFFSET(ORÇAMENTO!R$15,ROW(F274)-ROW(F$15),0)</f>
        <v>ASSENTAMENTO DE CONEXÕES EM FERRO FUNDIDO, JUNTA ELÁSTICA, DN = 400 MM - BASEADO EM ORSE (5288)</v>
      </c>
      <c r="G274" s="164" t="str">
        <f ca="1">IF($D274&lt;&gt;"Serviço","",OFFSET(ORÇAMENTO!S$15,ROW(G274)-ROW(G$15),0))</f>
        <v>UN</v>
      </c>
      <c r="H274" s="122" cm="1">
        <f t="array" aca="1" ref="H274" ca="1">IF($D274&lt;&gt;"Serviço",0,IF(ACOMPANHAMENTO="BM",ROUND(OFFSET(ORÇAMENTO!AJ$15,ROW(H274)-ROW(H$15),0),15-13*ORÇAMENTO!$AF$7),SUMPRODUCT(($Q$1:$AI$1=1)*ROUND($Q274:$AI274,15-13*ORÇAMENTO!$AF$7))))</f>
        <v>2</v>
      </c>
      <c r="I274" s="468" t="s">
        <v>1347</v>
      </c>
      <c r="J274" s="640" t="str" cm="1">
        <f t="array" aca="1" ref="J274" ca="1">IF(OR(B274&lt;&gt;"S",CÁLCULO.FrentesPreenchidas=0),"",IF(AND(ACOMPANHAMENTO="PLE",AUTOEVENTO="Manual",OR(H274&gt;0,ORÇAMENTO!AC274="QUANT."),OR(K274="",M274=0,N274="")),"►E",IF(AND(ACOMPANHAMENTO="PLE",ORÇAMENTO!AC274="QUANT."),"►Q",IF(AND(ACOMPANHAMENTO="PLE",H274&lt;&gt;SUMPRODUCT(($Q$1:$AI$1=1)*ROUND(Q274:AI274,15))),"►S",IF(AND(COUNTIF($P$11:$AI$11,"▼")=0,H274&gt;0,I274=""),"◄M","")))))</f>
        <v/>
      </c>
      <c r="K274" s="641" t="s">
        <v>1385</v>
      </c>
      <c r="L274" s="165" t="s">
        <v>764</v>
      </c>
      <c r="M274" s="166">
        <f ca="1">IF($D274&lt;&gt;"Serviço","",
          IF(AUTOEVENTO="manual",$A274,
                IF(ISERROR(MATCH($A274,$A$15:OFFSET($A274,-1,0),0)),MAX($M$15:OFFSET(M274,-1,0))+1,
                      INDEX($M$15:OFFSET(M274,-1,0),MATCH($A274,$A$15:OFFSET($A274,-1,0),0)))))</f>
        <v>6</v>
      </c>
      <c r="N274" s="167" t="str">
        <f ca="1">IF($D274&lt;&gt;"Serviço","",
         IF(AUTOEVENTO="Manual",
                IF($A274=0,"&lt;-- defina o número do agrupador",
                       OFFSET(EVENTOS!$D$15,$A274-$A$15,0)),
                OFFSET($F$15,$A274,0)))</f>
        <v>Saneamento</v>
      </c>
      <c r="O274" s="168"/>
      <c r="Q274" s="168"/>
      <c r="R274" s="169"/>
      <c r="S274" s="169"/>
      <c r="T274" s="169">
        <f>T266+T267</f>
        <v>2</v>
      </c>
      <c r="U274" s="169"/>
      <c r="V274" s="169"/>
      <c r="W274" s="169"/>
      <c r="X274" s="169"/>
      <c r="Y274" s="169"/>
      <c r="Z274" s="170"/>
      <c r="AA274" s="169"/>
      <c r="AB274" s="169"/>
      <c r="AC274" s="169"/>
      <c r="AD274" s="169"/>
      <c r="AE274" s="169"/>
      <c r="AF274" s="169"/>
      <c r="AG274" s="169"/>
      <c r="AH274" s="170"/>
      <c r="AJ274" s="453">
        <f ca="1">IF(AND($D274="Serviço",AJ$12&lt;&gt;0,$H274&gt;0,OR(AUTOEVENTO&lt;&gt;"manual",$M274&lt;&gt;$A$15)),
        IF(Import.TipoArredondamento&lt;&gt;"TransfereGOV",
              ROUND(OFFSET($P274,0,AJ$13),15-13*ORÇAMENTO!$AF$7)/$H274*OFFSET(ORÇAMENTO!$X$15,ROW(AJ274)-ROW(AJ$15),0),
              ROUND(ROUND(OFFSET($P274,0,AJ$13),15-13*ORÇAMENTO!$AF$7)*OFFSET(ORÇAMENTO!$W$15,ROW(AJ274)-ROW(AJ$15),0),15-13*ORÇAMENTO!$AF$11)),
         0)</f>
        <v>0</v>
      </c>
      <c r="AK274" s="453">
        <f ca="1">IF(AND($D274="Serviço",AK$12&lt;&gt;0,$H274&gt;0,OR(AUTOEVENTO&lt;&gt;"manual",$M274&lt;&gt;$A$15)),
        IF(Import.TipoArredondamento&lt;&gt;"TransfereGOV",
              ROUND(OFFSET($P274,0,AK$13),15-13*ORÇAMENTO!$AF$7)/$H274*OFFSET(ORÇAMENTO!$X$15,ROW(AK274)-ROW(AK$15),0),
              ROUND(ROUND(OFFSET($P274,0,AK$13),15-13*ORÇAMENTO!$AF$7)*OFFSET(ORÇAMENTO!$W$15,ROW(AK274)-ROW(AK$15),0),15-13*ORÇAMENTO!$AF$11)),
         0)</f>
        <v>0</v>
      </c>
      <c r="AL274" s="453">
        <f ca="1">IF(AND($D274="Serviço",AL$12&lt;&gt;0,$H274&gt;0,OR(AUTOEVENTO&lt;&gt;"manual",$M274&lt;&gt;$A$15)),
        IF(Import.TipoArredondamento&lt;&gt;"TransfereGOV",
              ROUND(OFFSET($P274,0,AL$13),15-13*ORÇAMENTO!$AF$7)/$H274*OFFSET(ORÇAMENTO!$X$15,ROW(AL274)-ROW(AL$15),0),
              ROUND(ROUND(OFFSET($P274,0,AL$13),15-13*ORÇAMENTO!$AF$7)*OFFSET(ORÇAMENTO!$W$15,ROW(AL274)-ROW(AL$15),0),15-13*ORÇAMENTO!$AF$11)),
         0)</f>
        <v>0</v>
      </c>
      <c r="AM274" s="453">
        <f ca="1">IF(AND($D274="Serviço",AM$12&lt;&gt;0,$H274&gt;0,OR(AUTOEVENTO&lt;&gt;"manual",$M274&lt;&gt;$A$15)),
        IF(Import.TipoArredondamento&lt;&gt;"TransfereGOV",
              ROUND(OFFSET($P274,0,AM$13),15-13*ORÇAMENTO!$AF$7)/$H274*OFFSET(ORÇAMENTO!$X$15,ROW(AM274)-ROW(AM$15),0),
              ROUND(ROUND(OFFSET($P274,0,AM$13),15-13*ORÇAMENTO!$AF$7)*OFFSET(ORÇAMENTO!$W$15,ROW(AM274)-ROW(AM$15),0),15-13*ORÇAMENTO!$AF$11)),
         0)</f>
        <v>0</v>
      </c>
      <c r="AN274" s="453">
        <f ca="1">IF(AND($D274="Serviço",AN$12&lt;&gt;0,$H274&gt;0,OR(AUTOEVENTO&lt;&gt;"manual",$M274&lt;&gt;$A$15)),
        IF(Import.TipoArredondamento&lt;&gt;"TransfereGOV",
              ROUND(OFFSET($P274,0,AN$13),15-13*ORÇAMENTO!$AF$7)/$H274*OFFSET(ORÇAMENTO!$X$15,ROW(AN274)-ROW(AN$15),0),
              ROUND(ROUND(OFFSET($P274,0,AN$13),15-13*ORÇAMENTO!$AF$7)*OFFSET(ORÇAMENTO!$W$15,ROW(AN274)-ROW(AN$15),0),15-13*ORÇAMENTO!$AF$11)),
         0)</f>
        <v>0</v>
      </c>
      <c r="AO274" s="453">
        <f ca="1">IF(AND($D274="Serviço",AO$12&lt;&gt;0,$H274&gt;0,OR(AUTOEVENTO&lt;&gt;"manual",$M274&lt;&gt;$A$15)),
        IF(Import.TipoArredondamento&lt;&gt;"TransfereGOV",
              ROUND(OFFSET($P274,0,AO$13),15-13*ORÇAMENTO!$AF$7)/$H274*OFFSET(ORÇAMENTO!$X$15,ROW(AO274)-ROW(AO$15),0),
              ROUND(ROUND(OFFSET($P274,0,AO$13),15-13*ORÇAMENTO!$AF$7)*OFFSET(ORÇAMENTO!$W$15,ROW(AO274)-ROW(AO$15),0),15-13*ORÇAMENTO!$AF$11)),
         0)</f>
        <v>0</v>
      </c>
      <c r="AP274" s="453">
        <f ca="1">IF(AND($D274="Serviço",AP$12&lt;&gt;0,$H274&gt;0,OR(AUTOEVENTO&lt;&gt;"manual",$M274&lt;&gt;$A$15)),
        IF(Import.TipoArredondamento&lt;&gt;"TransfereGOV",
              ROUND(OFFSET($P274,0,AP$13),15-13*ORÇAMENTO!$AF$7)/$H274*OFFSET(ORÇAMENTO!$X$15,ROW(AP274)-ROW(AP$15),0),
              ROUND(ROUND(OFFSET($P274,0,AP$13),15-13*ORÇAMENTO!$AF$7)*OFFSET(ORÇAMENTO!$W$15,ROW(AP274)-ROW(AP$15),0),15-13*ORÇAMENTO!$AF$11)),
         0)</f>
        <v>0</v>
      </c>
      <c r="AQ274" s="453">
        <f ca="1">IF(AND($D274="Serviço",AQ$12&lt;&gt;0,$H274&gt;0,OR(AUTOEVENTO&lt;&gt;"manual",$M274&lt;&gt;$A$15)),
        IF(Import.TipoArredondamento&lt;&gt;"TransfereGOV",
              ROUND(OFFSET($P274,0,AQ$13),15-13*ORÇAMENTO!$AF$7)/$H274*OFFSET(ORÇAMENTO!$X$15,ROW(AQ274)-ROW(AQ$15),0),
              ROUND(ROUND(OFFSET($P274,0,AQ$13),15-13*ORÇAMENTO!$AF$7)*OFFSET(ORÇAMENTO!$W$15,ROW(AQ274)-ROW(AQ$15),0),15-13*ORÇAMENTO!$AF$11)),
         0)</f>
        <v>0</v>
      </c>
      <c r="AR274" s="453">
        <f ca="1">IF(AND($D274="Serviço",AR$12&lt;&gt;0,$H274&gt;0,OR(AUTOEVENTO&lt;&gt;"manual",$M274&lt;&gt;$A$15)),
        IF(Import.TipoArredondamento&lt;&gt;"TransfereGOV",
              ROUND(OFFSET($P274,0,AR$13),15-13*ORÇAMENTO!$AF$7)/$H274*OFFSET(ORÇAMENTO!$X$15,ROW(AR274)-ROW(AR$15),0),
              ROUND(ROUND(OFFSET($P274,0,AR$13),15-13*ORÇAMENTO!$AF$7)*OFFSET(ORÇAMENTO!$W$15,ROW(AR274)-ROW(AR$15),0),15-13*ORÇAMENTO!$AF$11)),
         0)</f>
        <v>0</v>
      </c>
      <c r="AS274" s="453">
        <f ca="1">IF(AND($D274="Serviço",AS$12&lt;&gt;0,$H274&gt;0,OR(AUTOEVENTO&lt;&gt;"manual",$M274&lt;&gt;$A$15)),
        IF(Import.TipoArredondamento&lt;&gt;"TransfereGOV",
              ROUND(OFFSET($P274,0,AS$13),15-13*ORÇAMENTO!$AF$7)/$H274*OFFSET(ORÇAMENTO!$X$15,ROW(AS274)-ROW(AS$15),0),
              ROUND(ROUND(OFFSET($P274,0,AS$13),15-13*ORÇAMENTO!$AF$7)*OFFSET(ORÇAMENTO!$W$15,ROW(AS274)-ROW(AS$15),0),15-13*ORÇAMENTO!$AF$11)),
         0)</f>
        <v>0</v>
      </c>
      <c r="AT274" s="453">
        <f ca="1">IF(AND($D274="Serviço",AT$12&lt;&gt;0,$H274&gt;0,OR(AUTOEVENTO&lt;&gt;"manual",$M274&lt;&gt;$A$15)),
        IF(Import.TipoArredondamento&lt;&gt;"TransfereGOV",
              ROUND(OFFSET($P274,0,AT$13),15-13*ORÇAMENTO!$AF$7)/$H274*OFFSET(ORÇAMENTO!$X$15,ROW(AT274)-ROW(AT$15),0),
              ROUND(ROUND(OFFSET($P274,0,AT$13),15-13*ORÇAMENTO!$AF$7)*OFFSET(ORÇAMENTO!$W$15,ROW(AT274)-ROW(AT$15),0),15-13*ORÇAMENTO!$AF$11)),
         0)</f>
        <v>0</v>
      </c>
      <c r="AU274" s="453">
        <f ca="1">IF(AND($D274="Serviço",AU$12&lt;&gt;0,$H274&gt;0,OR(AUTOEVENTO&lt;&gt;"manual",$M274&lt;&gt;$A$15)),
        IF(Import.TipoArredondamento&lt;&gt;"TransfereGOV",
              ROUND(OFFSET($P274,0,AU$13),15-13*ORÇAMENTO!$AF$7)/$H274*OFFSET(ORÇAMENTO!$X$15,ROW(AU274)-ROW(AU$15),0),
              ROUND(ROUND(OFFSET($P274,0,AU$13),15-13*ORÇAMENTO!$AF$7)*OFFSET(ORÇAMENTO!$W$15,ROW(AU274)-ROW(AU$15),0),15-13*ORÇAMENTO!$AF$11)),
         0)</f>
        <v>0</v>
      </c>
      <c r="AV274" s="453">
        <f ca="1">IF(AND($D274="Serviço",AV$12&lt;&gt;0,$H274&gt;0,OR(AUTOEVENTO&lt;&gt;"manual",$M274&lt;&gt;$A$15)),
        IF(Import.TipoArredondamento&lt;&gt;"TransfereGOV",
              ROUND(OFFSET($P274,0,AV$13),15-13*ORÇAMENTO!$AF$7)/$H274*OFFSET(ORÇAMENTO!$X$15,ROW(AV274)-ROW(AV$15),0),
              ROUND(ROUND(OFFSET($P274,0,AV$13),15-13*ORÇAMENTO!$AF$7)*OFFSET(ORÇAMENTO!$W$15,ROW(AV274)-ROW(AV$15),0),15-13*ORÇAMENTO!$AF$11)),
         0)</f>
        <v>0</v>
      </c>
      <c r="AW274" s="453">
        <f ca="1">IF(AND($D274="Serviço",AW$12&lt;&gt;0,$H274&gt;0,OR(AUTOEVENTO&lt;&gt;"manual",$M274&lt;&gt;$A$15)),
        IF(Import.TipoArredondamento&lt;&gt;"TransfereGOV",
              ROUND(OFFSET($P274,0,AW$13),15-13*ORÇAMENTO!$AF$7)/$H274*OFFSET(ORÇAMENTO!$X$15,ROW(AW274)-ROW(AW$15),0),
              ROUND(ROUND(OFFSET($P274,0,AW$13),15-13*ORÇAMENTO!$AF$7)*OFFSET(ORÇAMENTO!$W$15,ROW(AW274)-ROW(AW$15),0),15-13*ORÇAMENTO!$AF$11)),
         0)</f>
        <v>0</v>
      </c>
      <c r="AX274" s="453">
        <f ca="1">IF(AND($D274="Serviço",AX$12&lt;&gt;0,$H274&gt;0,OR(AUTOEVENTO&lt;&gt;"manual",$M274&lt;&gt;$A$15)),
        IF(Import.TipoArredondamento&lt;&gt;"TransfereGOV",
              ROUND(OFFSET($P274,0,AX$13),15-13*ORÇAMENTO!$AF$7)/$H274*OFFSET(ORÇAMENTO!$X$15,ROW(AX274)-ROW(AX$15),0),
              ROUND(ROUND(OFFSET($P274,0,AX$13),15-13*ORÇAMENTO!$AF$7)*OFFSET(ORÇAMENTO!$W$15,ROW(AX274)-ROW(AX$15),0),15-13*ORÇAMENTO!$AF$11)),
         0)</f>
        <v>0</v>
      </c>
      <c r="AY274" s="453">
        <f ca="1">IF(AND($D274="Serviço",AY$12&lt;&gt;0,$H274&gt;0,OR(AUTOEVENTO&lt;&gt;"manual",$M274&lt;&gt;$A$15)),
        IF(Import.TipoArredondamento&lt;&gt;"TransfereGOV",
              ROUND(OFFSET($P274,0,AY$13),15-13*ORÇAMENTO!$AF$7)/$H274*OFFSET(ORÇAMENTO!$X$15,ROW(AY274)-ROW(AY$15),0),
              ROUND(ROUND(OFFSET($P274,0,AY$13),15-13*ORÇAMENTO!$AF$7)*OFFSET(ORÇAMENTO!$W$15,ROW(AY274)-ROW(AY$15),0),15-13*ORÇAMENTO!$AF$11)),
         0)</f>
        <v>0</v>
      </c>
      <c r="AZ274" s="453">
        <f ca="1">IF(AND($D274="Serviço",AZ$12&lt;&gt;0,$H274&gt;0,OR(AUTOEVENTO&lt;&gt;"manual",$M274&lt;&gt;$A$15)),
        IF(Import.TipoArredondamento&lt;&gt;"TransfereGOV",
              ROUND(OFFSET($P274,0,AZ$13),15-13*ORÇAMENTO!$AF$7)/$H274*OFFSET(ORÇAMENTO!$X$15,ROW(AZ274)-ROW(AZ$15),0),
              ROUND(ROUND(OFFSET($P274,0,AZ$13),15-13*ORÇAMENTO!$AF$7)*OFFSET(ORÇAMENTO!$W$15,ROW(AZ274)-ROW(AZ$15),0),15-13*ORÇAMENTO!$AF$11)),
         0)</f>
        <v>0</v>
      </c>
      <c r="BA274" s="453">
        <f ca="1">IF(AND($D274="Serviço",BA$12&lt;&gt;0,$H274&gt;0,OR(AUTOEVENTO&lt;&gt;"manual",$M274&lt;&gt;$A$15)),
        IF(Import.TipoArredondamento&lt;&gt;"TransfereGOV",
              ROUND(OFFSET($P274,0,BA$13),15-13*ORÇAMENTO!$AF$7)/$H274*OFFSET(ORÇAMENTO!$X$15,ROW(BA274)-ROW(BA$15),0),
              ROUND(ROUND(OFFSET($P274,0,BA$13),15-13*ORÇAMENTO!$AF$7)*OFFSET(ORÇAMENTO!$W$15,ROW(BA274)-ROW(BA$15),0),15-13*ORÇAMENTO!$AF$11)),
         0)</f>
        <v>0</v>
      </c>
      <c r="BC274" s="171">
        <f ca="1">IF(OR($D274&lt;&gt;"Serviço",AND(AUTOEVENTO="Manual",$M274=$A$15)),0,
         IF(OFFSET(CRONOPLE!$F$15,$M274-$A$15,BC$13)=0,10^12,OFFSET(CRONOPLE!$F$15,$M274-$A$15,BC$13)))</f>
        <v>1</v>
      </c>
      <c r="BD274" s="171">
        <f ca="1">IF(OR($D274&lt;&gt;"Serviço",AND(AUTOEVENTO="Manual",$M274=$A$15)),0,
         IF(OFFSET(CRONOPLE!$F$15,$M274-$A$15,BD$13)=0,10^12,OFFSET(CRONOPLE!$F$15,$M274-$A$15,BD$13)))</f>
        <v>2</v>
      </c>
      <c r="BE274" s="171">
        <f ca="1">IF(OR($D274&lt;&gt;"Serviço",AND(AUTOEVENTO="Manual",$M274=$A$15)),0,
         IF(OFFSET(CRONOPLE!$F$15,$M274-$A$15,BE$13)=0,10^12,OFFSET(CRONOPLE!$F$15,$M274-$A$15,BE$13)))</f>
        <v>3</v>
      </c>
      <c r="BF274" s="171">
        <f ca="1">IF(OR($D274&lt;&gt;"Serviço",AND(AUTOEVENTO="Manual",$M274=$A$15)),0,
         IF(OFFSET(CRONOPLE!$F$15,$M274-$A$15,BF$13)=0,10^12,OFFSET(CRONOPLE!$F$15,$M274-$A$15,BF$13)))</f>
        <v>4</v>
      </c>
      <c r="BG274" s="171">
        <f ca="1">IF(OR($D274&lt;&gt;"Serviço",AND(AUTOEVENTO="Manual",$M274=$A$15)),0,
         IF(OFFSET(CRONOPLE!$F$15,$M274-$A$15,BG$13)=0,10^12,OFFSET(CRONOPLE!$F$15,$M274-$A$15,BG$13)))</f>
        <v>5</v>
      </c>
      <c r="BH274" s="171">
        <f ca="1">IF(OR($D274&lt;&gt;"Serviço",AND(AUTOEVENTO="Manual",$M274=$A$15)),0,
         IF(OFFSET(CRONOPLE!$F$15,$M274-$A$15,BH$13)=0,10^12,OFFSET(CRONOPLE!$F$15,$M274-$A$15,BH$13)))</f>
        <v>6</v>
      </c>
      <c r="BI274" s="171">
        <f ca="1">IF(OR($D274&lt;&gt;"Serviço",AND(AUTOEVENTO="Manual",$M274=$A$15)),0,
         IF(OFFSET(CRONOPLE!$F$15,$M274-$A$15,BI$13)=0,10^12,OFFSET(CRONOPLE!$F$15,$M274-$A$15,BI$13)))</f>
        <v>7</v>
      </c>
      <c r="BJ274" s="171">
        <f ca="1">IF(OR($D274&lt;&gt;"Serviço",AND(AUTOEVENTO="Manual",$M274=$A$15)),0,
         IF(OFFSET(CRONOPLE!$F$15,$M274-$A$15,BJ$13)=0,10^12,OFFSET(CRONOPLE!$F$15,$M274-$A$15,BJ$13)))</f>
        <v>8</v>
      </c>
      <c r="BK274" s="171">
        <f ca="1">IF(OR($D274&lt;&gt;"Serviço",AND(AUTOEVENTO="Manual",$M274=$A$15)),0,
         IF(OFFSET(CRONOPLE!$F$15,$M274-$A$15,BK$13)=0,10^12,OFFSET(CRONOPLE!$F$15,$M274-$A$15,BK$13)))</f>
        <v>9</v>
      </c>
      <c r="BL274" s="171">
        <f ca="1">IF(OR($D274&lt;&gt;"Serviço",AND(AUTOEVENTO="Manual",$M274=$A$15)),0,
         IF(OFFSET(CRONOPLE!$F$15,$M274-$A$15,BL$13)=0,10^12,OFFSET(CRONOPLE!$F$15,$M274-$A$15,BL$13)))</f>
        <v>1000000000000</v>
      </c>
      <c r="BM274" s="171">
        <f ca="1">IF(OR($D274&lt;&gt;"Serviço",AND(AUTOEVENTO="Manual",$M274=$A$15)),0,
         IF(OFFSET(CRONOPLE!$F$15,$M274-$A$15,BM$13)=0,10^12,OFFSET(CRONOPLE!$F$15,$M274-$A$15,BM$13)))</f>
        <v>1000000000000</v>
      </c>
      <c r="BN274" s="171">
        <f ca="1">IF(OR($D274&lt;&gt;"Serviço",AND(AUTOEVENTO="Manual",$M274=$A$15)),0,
         IF(OFFSET(CRONOPLE!$F$15,$M274-$A$15,BN$13)=0,10^12,OFFSET(CRONOPLE!$F$15,$M274-$A$15,BN$13)))</f>
        <v>1000000000000</v>
      </c>
      <c r="BO274" s="171">
        <f ca="1">IF(OR($D274&lt;&gt;"Serviço",AND(AUTOEVENTO="Manual",$M274=$A$15)),0,
         IF(OFFSET(CRONOPLE!$F$15,$M274-$A$15,BO$13)=0,10^12,OFFSET(CRONOPLE!$F$15,$M274-$A$15,BO$13)))</f>
        <v>1000000000000</v>
      </c>
      <c r="BP274" s="171">
        <f ca="1">IF(OR($D274&lt;&gt;"Serviço",AND(AUTOEVENTO="Manual",$M274=$A$15)),0,
         IF(OFFSET(CRONOPLE!$F$15,$M274-$A$15,BP$13)=0,10^12,OFFSET(CRONOPLE!$F$15,$M274-$A$15,BP$13)))</f>
        <v>1000000000000</v>
      </c>
      <c r="BQ274" s="171">
        <f ca="1">IF(OR($D274&lt;&gt;"Serviço",AND(AUTOEVENTO="Manual",$M274=$A$15)),0,
         IF(OFFSET(CRONOPLE!$F$15,$M274-$A$15,BQ$13)=0,10^12,OFFSET(CRONOPLE!$F$15,$M274-$A$15,BQ$13)))</f>
        <v>1000000000000</v>
      </c>
      <c r="BR274" s="171">
        <f ca="1">IF(OR($D274&lt;&gt;"Serviço",AND(AUTOEVENTO="Manual",$M274=$A$15)),0,
         IF(OFFSET(CRONOPLE!$F$15,$M274-$A$15,BR$13)=0,10^12,OFFSET(CRONOPLE!$F$15,$M274-$A$15,BR$13)))</f>
        <v>1000000000000</v>
      </c>
      <c r="BS274" s="171">
        <f ca="1">IF(OR($D274&lt;&gt;"Serviço",AND(AUTOEVENTO="Manual",$M274=$A$15)),0,
         IF(OFFSET(CRONOPLE!$F$15,$M274-$A$15,BS$13)=0,10^12,OFFSET(CRONOPLE!$F$15,$M274-$A$15,BS$13)))</f>
        <v>1000000000000</v>
      </c>
      <c r="BT274" s="171">
        <f ca="1">IF(OR($D274&lt;&gt;"Serviço",AND(AUTOEVENTO="Manual",$M274=$A$15)),0,
         IF(OFFSET(CRONOPLE!$F$15,$M274-$A$15,BT$13)=0,10^12,OFFSET(CRONOPLE!$F$15,$M274-$A$15,BT$13)))</f>
        <v>1000000000000</v>
      </c>
      <c r="BV274" s="172">
        <f ca="1">IF(OR($D274&lt;&gt;"Serviço",AND(AUTOEVENTO="Manual",$M274=$A$15),$M274&gt;(ROW(PLE.lastrow)-ROW(PLE.firstrow))),0,
           IF(OFFSET(PLE!$G$15,$M274-$A$15,BV$13)="",10^12,OFFSET(PLE!$G$15,$M274-$A$15,BV$13)))</f>
        <v>1000000000000</v>
      </c>
      <c r="BW274" s="172">
        <f ca="1">IF(OR($D274&lt;&gt;"Serviço",AND(AUTOEVENTO="Manual",$M274=$A$15),$M274&gt;(ROW(PLE.lastrow)-ROW(PLE.firstrow))),0,
           IF(OFFSET(PLE!$G$15,$M274-$A$15,BW$13)="",10^12,OFFSET(PLE!$G$15,$M274-$A$15,BW$13)))</f>
        <v>1000000000000</v>
      </c>
      <c r="BX274" s="172">
        <f ca="1">IF(OR($D274&lt;&gt;"Serviço",AND(AUTOEVENTO="Manual",$M274=$A$15),$M274&gt;(ROW(PLE.lastrow)-ROW(PLE.firstrow))),0,
           IF(OFFSET(PLE!$G$15,$M274-$A$15,BX$13)="",10^12,OFFSET(PLE!$G$15,$M274-$A$15,BX$13)))</f>
        <v>1000000000000</v>
      </c>
      <c r="BY274" s="172">
        <f ca="1">IF(OR($D274&lt;&gt;"Serviço",AND(AUTOEVENTO="Manual",$M274=$A$15),$M274&gt;(ROW(PLE.lastrow)-ROW(PLE.firstrow))),0,
           IF(OFFSET(PLE!$G$15,$M274-$A$15,BY$13)="",10^12,OFFSET(PLE!$G$15,$M274-$A$15,BY$13)))</f>
        <v>1000000000000</v>
      </c>
      <c r="BZ274" s="172">
        <f ca="1">IF(OR($D274&lt;&gt;"Serviço",AND(AUTOEVENTO="Manual",$M274=$A$15),$M274&gt;(ROW(PLE.lastrow)-ROW(PLE.firstrow))),0,
           IF(OFFSET(PLE!$G$15,$M274-$A$15,BZ$13)="",10^12,OFFSET(PLE!$G$15,$M274-$A$15,BZ$13)))</f>
        <v>1000000000000</v>
      </c>
      <c r="CA274" s="172">
        <f ca="1">IF(OR($D274&lt;&gt;"Serviço",AND(AUTOEVENTO="Manual",$M274=$A$15),$M274&gt;(ROW(PLE.lastrow)-ROW(PLE.firstrow))),0,
           IF(OFFSET(PLE!$G$15,$M274-$A$15,CA$13)="",10^12,OFFSET(PLE!$G$15,$M274-$A$15,CA$13)))</f>
        <v>1000000000000</v>
      </c>
      <c r="CB274" s="172">
        <f ca="1">IF(OR($D274&lt;&gt;"Serviço",AND(AUTOEVENTO="Manual",$M274=$A$15),$M274&gt;(ROW(PLE.lastrow)-ROW(PLE.firstrow))),0,
           IF(OFFSET(PLE!$G$15,$M274-$A$15,CB$13)="",10^12,OFFSET(PLE!$G$15,$M274-$A$15,CB$13)))</f>
        <v>1000000000000</v>
      </c>
      <c r="CC274" s="172">
        <f ca="1">IF(OR($D274&lt;&gt;"Serviço",AND(AUTOEVENTO="Manual",$M274=$A$15),$M274&gt;(ROW(PLE.lastrow)-ROW(PLE.firstrow))),0,
           IF(OFFSET(PLE!$G$15,$M274-$A$15,CC$13)="",10^12,OFFSET(PLE!$G$15,$M274-$A$15,CC$13)))</f>
        <v>1000000000000</v>
      </c>
      <c r="CD274" s="172">
        <f ca="1">IF(OR($D274&lt;&gt;"Serviço",AND(AUTOEVENTO="Manual",$M274=$A$15),$M274&gt;(ROW(PLE.lastrow)-ROW(PLE.firstrow))),0,
           IF(OFFSET(PLE!$G$15,$M274-$A$15,CD$13)="",10^12,OFFSET(PLE!$G$15,$M274-$A$15,CD$13)))</f>
        <v>1000000000000</v>
      </c>
      <c r="CE274" s="172">
        <f ca="1">IF(OR($D274&lt;&gt;"Serviço",AND(AUTOEVENTO="Manual",$M274=$A$15),$M274&gt;(ROW(PLE.lastrow)-ROW(PLE.firstrow))),0,
           IF(OFFSET(PLE!$G$15,$M274-$A$15,CE$13)="",10^12,OFFSET(PLE!$G$15,$M274-$A$15,CE$13)))</f>
        <v>1000000000000</v>
      </c>
      <c r="CF274" s="172">
        <f ca="1">IF(OR($D274&lt;&gt;"Serviço",AND(AUTOEVENTO="Manual",$M274=$A$15),$M274&gt;(ROW(PLE.lastrow)-ROW(PLE.firstrow))),0,
           IF(OFFSET(PLE!$G$15,$M274-$A$15,CF$13)="",10^12,OFFSET(PLE!$G$15,$M274-$A$15,CF$13)))</f>
        <v>1000000000000</v>
      </c>
      <c r="CG274" s="172">
        <f ca="1">IF(OR($D274&lt;&gt;"Serviço",AND(AUTOEVENTO="Manual",$M274=$A$15),$M274&gt;(ROW(PLE.lastrow)-ROW(PLE.firstrow))),0,
           IF(OFFSET(PLE!$G$15,$M274-$A$15,CG$13)="",10^12,OFFSET(PLE!$G$15,$M274-$A$15,CG$13)))</f>
        <v>1000000000000</v>
      </c>
      <c r="CH274" s="172">
        <f ca="1">IF(OR($D274&lt;&gt;"Serviço",AND(AUTOEVENTO="Manual",$M274=$A$15),$M274&gt;(ROW(PLE.lastrow)-ROW(PLE.firstrow))),0,
           IF(OFFSET(PLE!$G$15,$M274-$A$15,CH$13)="",10^12,OFFSET(PLE!$G$15,$M274-$A$15,CH$13)))</f>
        <v>1000000000000</v>
      </c>
      <c r="CI274" s="172">
        <f ca="1">IF(OR($D274&lt;&gt;"Serviço",AND(AUTOEVENTO="Manual",$M274=$A$15),$M274&gt;(ROW(PLE.lastrow)-ROW(PLE.firstrow))),0,
           IF(OFFSET(PLE!$G$15,$M274-$A$15,CI$13)="",10^12,OFFSET(PLE!$G$15,$M274-$A$15,CI$13)))</f>
        <v>1000000000000</v>
      </c>
      <c r="CJ274" s="172">
        <f ca="1">IF(OR($D274&lt;&gt;"Serviço",AND(AUTOEVENTO="Manual",$M274=$A$15),$M274&gt;(ROW(PLE.lastrow)-ROW(PLE.firstrow))),0,
           IF(OFFSET(PLE!$G$15,$M274-$A$15,CJ$13)="",10^12,OFFSET(PLE!$G$15,$M274-$A$15,CJ$13)))</f>
        <v>1000000000000</v>
      </c>
      <c r="CK274" s="172">
        <f ca="1">IF(OR($D274&lt;&gt;"Serviço",AND(AUTOEVENTO="Manual",$M274=$A$15),$M274&gt;(ROW(PLE.lastrow)-ROW(PLE.firstrow))),0,
           IF(OFFSET(PLE!$G$15,$M274-$A$15,CK$13)="",10^12,OFFSET(PLE!$G$15,$M274-$A$15,CK$13)))</f>
        <v>1000000000000</v>
      </c>
      <c r="CL274" s="172">
        <f ca="1">IF(OR($D274&lt;&gt;"Serviço",AND(AUTOEVENTO="Manual",$M274=$A$15),$M274&gt;(ROW(PLE.lastrow)-ROW(PLE.firstrow))),0,
           IF(OFFSET(PLE!$G$15,$M274-$A$15,CL$13)="",10^12,OFFSET(PLE!$G$15,$M274-$A$15,CL$13)))</f>
        <v>1000000000000</v>
      </c>
      <c r="CM274" s="172">
        <f ca="1">IF(OR($D274&lt;&gt;"Serviço",AND(AUTOEVENTO="Manual",$M274=$A$15),$M274&gt;(ROW(PLE.lastrow)-ROW(PLE.firstrow))),0,
           IF(OFFSET(PLE!$G$15,$M274-$A$15,CM$13)="",10^12,OFFSET(PLE!$G$15,$M274-$A$15,CM$13)))</f>
        <v>1000000000000</v>
      </c>
    </row>
    <row r="275" spans="1:91" ht="25.5" x14ac:dyDescent="0.2">
      <c r="A275" s="7">
        <f t="shared" ca="1" si="13"/>
        <v>6</v>
      </c>
      <c r="B275" s="7" t="str">
        <f ca="1">OFFSET(ORÇAMENTO!C$15,ROW(B275)-ROW(B$15),0)</f>
        <v>S</v>
      </c>
      <c r="C275" s="7" t="str">
        <f ca="1">OFFSET(ORÇAMENTO!L$15,ROW(C275)-ROW(C$15),0)</f>
        <v>F</v>
      </c>
      <c r="D275" s="116" t="str">
        <f ca="1">OFFSET(ORÇAMENTO!N$15,ROW(D275)-ROW(D$15),0)</f>
        <v>Serviço</v>
      </c>
      <c r="E275" s="117" t="str">
        <f ca="1">OFFSET(ORÇAMENTO!O$15,ROW(E275)-ROW(E$15),0)</f>
        <v>1.7.2.2.3.</v>
      </c>
      <c r="F275" s="163" t="str">
        <f ca="1">OFFSET(ORÇAMENTO!R$15,ROW(F275)-ROW(F$15),0)</f>
        <v>ASSENTAMENTO DE CONEXÕES EM FERRO FUNDIDO, JUNTA ELÁSTICA, DN = 150 MM - BASEADO EM ORSE (5283)</v>
      </c>
      <c r="G275" s="164" t="str">
        <f ca="1">IF($D275&lt;&gt;"Serviço","",OFFSET(ORÇAMENTO!S$15,ROW(G275)-ROW(G$15),0))</f>
        <v>UN</v>
      </c>
      <c r="H275" s="122" cm="1">
        <f t="array" aca="1" ref="H275" ca="1">IF($D275&lt;&gt;"Serviço",0,IF(ACOMPANHAMENTO="BM",ROUND(OFFSET(ORÇAMENTO!AJ$15,ROW(H275)-ROW(H$15),0),15-13*ORÇAMENTO!$AF$7),SUMPRODUCT(($Q$1:$AI$1=1)*ROUND($Q275:$AI275,15-13*ORÇAMENTO!$AF$7))))</f>
        <v>3</v>
      </c>
      <c r="I275" s="468" t="s">
        <v>1347</v>
      </c>
      <c r="J275" s="640" t="str" cm="1">
        <f t="array" aca="1" ref="J275" ca="1">IF(OR(B275&lt;&gt;"S",CÁLCULO.FrentesPreenchidas=0),"",IF(AND(ACOMPANHAMENTO="PLE",AUTOEVENTO="Manual",OR(H275&gt;0,ORÇAMENTO!AC275="QUANT."),OR(K275="",M275=0,N275="")),"►E",IF(AND(ACOMPANHAMENTO="PLE",ORÇAMENTO!AC275="QUANT."),"►Q",IF(AND(ACOMPANHAMENTO="PLE",H275&lt;&gt;SUMPRODUCT(($Q$1:$AI$1=1)*ROUND(Q275:AI275,15))),"►S",IF(AND(COUNTIF($P$11:$AI$11,"▼")=0,H275&gt;0,I275=""),"◄M","")))))</f>
        <v/>
      </c>
      <c r="K275" s="641" t="s">
        <v>1385</v>
      </c>
      <c r="L275" s="165" t="s">
        <v>764</v>
      </c>
      <c r="M275" s="166">
        <f ca="1">IF($D275&lt;&gt;"Serviço","",
          IF(AUTOEVENTO="manual",$A275,
                IF(ISERROR(MATCH($A275,$A$15:OFFSET($A275,-1,0),0)),MAX($M$15:OFFSET(M275,-1,0))+1,
                      INDEX($M$15:OFFSET(M275,-1,0),MATCH($A275,$A$15:OFFSET($A275,-1,0),0)))))</f>
        <v>6</v>
      </c>
      <c r="N275" s="167" t="str">
        <f ca="1">IF($D275&lt;&gt;"Serviço","",
         IF(AUTOEVENTO="Manual",
                IF($A275=0,"&lt;-- defina o número do agrupador",
                       OFFSET(EVENTOS!$D$15,$A275-$A$15,0)),
                OFFSET($F$15,$A275,0)))</f>
        <v>Saneamento</v>
      </c>
      <c r="O275" s="168"/>
      <c r="Q275" s="168"/>
      <c r="R275" s="169"/>
      <c r="S275" s="169"/>
      <c r="T275" s="169">
        <f>T269+T271</f>
        <v>3</v>
      </c>
      <c r="U275" s="169"/>
      <c r="V275" s="169"/>
      <c r="W275" s="169"/>
      <c r="X275" s="169"/>
      <c r="Y275" s="169"/>
      <c r="Z275" s="170"/>
      <c r="AA275" s="169"/>
      <c r="AB275" s="169"/>
      <c r="AC275" s="169"/>
      <c r="AD275" s="169"/>
      <c r="AE275" s="169"/>
      <c r="AF275" s="169"/>
      <c r="AG275" s="169"/>
      <c r="AH275" s="170"/>
      <c r="AJ275" s="453">
        <f ca="1">IF(AND($D275="Serviço",AJ$12&lt;&gt;0,$H275&gt;0,OR(AUTOEVENTO&lt;&gt;"manual",$M275&lt;&gt;$A$15)),
        IF(Import.TipoArredondamento&lt;&gt;"TransfereGOV",
              ROUND(OFFSET($P275,0,AJ$13),15-13*ORÇAMENTO!$AF$7)/$H275*OFFSET(ORÇAMENTO!$X$15,ROW(AJ275)-ROW(AJ$15),0),
              ROUND(ROUND(OFFSET($P275,0,AJ$13),15-13*ORÇAMENTO!$AF$7)*OFFSET(ORÇAMENTO!$W$15,ROW(AJ275)-ROW(AJ$15),0),15-13*ORÇAMENTO!$AF$11)),
         0)</f>
        <v>0</v>
      </c>
      <c r="AK275" s="453">
        <f ca="1">IF(AND($D275="Serviço",AK$12&lt;&gt;0,$H275&gt;0,OR(AUTOEVENTO&lt;&gt;"manual",$M275&lt;&gt;$A$15)),
        IF(Import.TipoArredondamento&lt;&gt;"TransfereGOV",
              ROUND(OFFSET($P275,0,AK$13),15-13*ORÇAMENTO!$AF$7)/$H275*OFFSET(ORÇAMENTO!$X$15,ROW(AK275)-ROW(AK$15),0),
              ROUND(ROUND(OFFSET($P275,0,AK$13),15-13*ORÇAMENTO!$AF$7)*OFFSET(ORÇAMENTO!$W$15,ROW(AK275)-ROW(AK$15),0),15-13*ORÇAMENTO!$AF$11)),
         0)</f>
        <v>0</v>
      </c>
      <c r="AL275" s="453">
        <f ca="1">IF(AND($D275="Serviço",AL$12&lt;&gt;0,$H275&gt;0,OR(AUTOEVENTO&lt;&gt;"manual",$M275&lt;&gt;$A$15)),
        IF(Import.TipoArredondamento&lt;&gt;"TransfereGOV",
              ROUND(OFFSET($P275,0,AL$13),15-13*ORÇAMENTO!$AF$7)/$H275*OFFSET(ORÇAMENTO!$X$15,ROW(AL275)-ROW(AL$15),0),
              ROUND(ROUND(OFFSET($P275,0,AL$13),15-13*ORÇAMENTO!$AF$7)*OFFSET(ORÇAMENTO!$W$15,ROW(AL275)-ROW(AL$15),0),15-13*ORÇAMENTO!$AF$11)),
         0)</f>
        <v>0</v>
      </c>
      <c r="AM275" s="453">
        <f ca="1">IF(AND($D275="Serviço",AM$12&lt;&gt;0,$H275&gt;0,OR(AUTOEVENTO&lt;&gt;"manual",$M275&lt;&gt;$A$15)),
        IF(Import.TipoArredondamento&lt;&gt;"TransfereGOV",
              ROUND(OFFSET($P275,0,AM$13),15-13*ORÇAMENTO!$AF$7)/$H275*OFFSET(ORÇAMENTO!$X$15,ROW(AM275)-ROW(AM$15),0),
              ROUND(ROUND(OFFSET($P275,0,AM$13),15-13*ORÇAMENTO!$AF$7)*OFFSET(ORÇAMENTO!$W$15,ROW(AM275)-ROW(AM$15),0),15-13*ORÇAMENTO!$AF$11)),
         0)</f>
        <v>0</v>
      </c>
      <c r="AN275" s="453">
        <f ca="1">IF(AND($D275="Serviço",AN$12&lt;&gt;0,$H275&gt;0,OR(AUTOEVENTO&lt;&gt;"manual",$M275&lt;&gt;$A$15)),
        IF(Import.TipoArredondamento&lt;&gt;"TransfereGOV",
              ROUND(OFFSET($P275,0,AN$13),15-13*ORÇAMENTO!$AF$7)/$H275*OFFSET(ORÇAMENTO!$X$15,ROW(AN275)-ROW(AN$15),0),
              ROUND(ROUND(OFFSET($P275,0,AN$13),15-13*ORÇAMENTO!$AF$7)*OFFSET(ORÇAMENTO!$W$15,ROW(AN275)-ROW(AN$15),0),15-13*ORÇAMENTO!$AF$11)),
         0)</f>
        <v>0</v>
      </c>
      <c r="AO275" s="453">
        <f ca="1">IF(AND($D275="Serviço",AO$12&lt;&gt;0,$H275&gt;0,OR(AUTOEVENTO&lt;&gt;"manual",$M275&lt;&gt;$A$15)),
        IF(Import.TipoArredondamento&lt;&gt;"TransfereGOV",
              ROUND(OFFSET($P275,0,AO$13),15-13*ORÇAMENTO!$AF$7)/$H275*OFFSET(ORÇAMENTO!$X$15,ROW(AO275)-ROW(AO$15),0),
              ROUND(ROUND(OFFSET($P275,0,AO$13),15-13*ORÇAMENTO!$AF$7)*OFFSET(ORÇAMENTO!$W$15,ROW(AO275)-ROW(AO$15),0),15-13*ORÇAMENTO!$AF$11)),
         0)</f>
        <v>0</v>
      </c>
      <c r="AP275" s="453">
        <f ca="1">IF(AND($D275="Serviço",AP$12&lt;&gt;0,$H275&gt;0,OR(AUTOEVENTO&lt;&gt;"manual",$M275&lt;&gt;$A$15)),
        IF(Import.TipoArredondamento&lt;&gt;"TransfereGOV",
              ROUND(OFFSET($P275,0,AP$13),15-13*ORÇAMENTO!$AF$7)/$H275*OFFSET(ORÇAMENTO!$X$15,ROW(AP275)-ROW(AP$15),0),
              ROUND(ROUND(OFFSET($P275,0,AP$13),15-13*ORÇAMENTO!$AF$7)*OFFSET(ORÇAMENTO!$W$15,ROW(AP275)-ROW(AP$15),0),15-13*ORÇAMENTO!$AF$11)),
         0)</f>
        <v>0</v>
      </c>
      <c r="AQ275" s="453">
        <f ca="1">IF(AND($D275="Serviço",AQ$12&lt;&gt;0,$H275&gt;0,OR(AUTOEVENTO&lt;&gt;"manual",$M275&lt;&gt;$A$15)),
        IF(Import.TipoArredondamento&lt;&gt;"TransfereGOV",
              ROUND(OFFSET($P275,0,AQ$13),15-13*ORÇAMENTO!$AF$7)/$H275*OFFSET(ORÇAMENTO!$X$15,ROW(AQ275)-ROW(AQ$15),0),
              ROUND(ROUND(OFFSET($P275,0,AQ$13),15-13*ORÇAMENTO!$AF$7)*OFFSET(ORÇAMENTO!$W$15,ROW(AQ275)-ROW(AQ$15),0),15-13*ORÇAMENTO!$AF$11)),
         0)</f>
        <v>0</v>
      </c>
      <c r="AR275" s="453">
        <f ca="1">IF(AND($D275="Serviço",AR$12&lt;&gt;0,$H275&gt;0,OR(AUTOEVENTO&lt;&gt;"manual",$M275&lt;&gt;$A$15)),
        IF(Import.TipoArredondamento&lt;&gt;"TransfereGOV",
              ROUND(OFFSET($P275,0,AR$13),15-13*ORÇAMENTO!$AF$7)/$H275*OFFSET(ORÇAMENTO!$X$15,ROW(AR275)-ROW(AR$15),0),
              ROUND(ROUND(OFFSET($P275,0,AR$13),15-13*ORÇAMENTO!$AF$7)*OFFSET(ORÇAMENTO!$W$15,ROW(AR275)-ROW(AR$15),0),15-13*ORÇAMENTO!$AF$11)),
         0)</f>
        <v>0</v>
      </c>
      <c r="AS275" s="453">
        <f ca="1">IF(AND($D275="Serviço",AS$12&lt;&gt;0,$H275&gt;0,OR(AUTOEVENTO&lt;&gt;"manual",$M275&lt;&gt;$A$15)),
        IF(Import.TipoArredondamento&lt;&gt;"TransfereGOV",
              ROUND(OFFSET($P275,0,AS$13),15-13*ORÇAMENTO!$AF$7)/$H275*OFFSET(ORÇAMENTO!$X$15,ROW(AS275)-ROW(AS$15),0),
              ROUND(ROUND(OFFSET($P275,0,AS$13),15-13*ORÇAMENTO!$AF$7)*OFFSET(ORÇAMENTO!$W$15,ROW(AS275)-ROW(AS$15),0),15-13*ORÇAMENTO!$AF$11)),
         0)</f>
        <v>0</v>
      </c>
      <c r="AT275" s="453">
        <f ca="1">IF(AND($D275="Serviço",AT$12&lt;&gt;0,$H275&gt;0,OR(AUTOEVENTO&lt;&gt;"manual",$M275&lt;&gt;$A$15)),
        IF(Import.TipoArredondamento&lt;&gt;"TransfereGOV",
              ROUND(OFFSET($P275,0,AT$13),15-13*ORÇAMENTO!$AF$7)/$H275*OFFSET(ORÇAMENTO!$X$15,ROW(AT275)-ROW(AT$15),0),
              ROUND(ROUND(OFFSET($P275,0,AT$13),15-13*ORÇAMENTO!$AF$7)*OFFSET(ORÇAMENTO!$W$15,ROW(AT275)-ROW(AT$15),0),15-13*ORÇAMENTO!$AF$11)),
         0)</f>
        <v>0</v>
      </c>
      <c r="AU275" s="453">
        <f ca="1">IF(AND($D275="Serviço",AU$12&lt;&gt;0,$H275&gt;0,OR(AUTOEVENTO&lt;&gt;"manual",$M275&lt;&gt;$A$15)),
        IF(Import.TipoArredondamento&lt;&gt;"TransfereGOV",
              ROUND(OFFSET($P275,0,AU$13),15-13*ORÇAMENTO!$AF$7)/$H275*OFFSET(ORÇAMENTO!$X$15,ROW(AU275)-ROW(AU$15),0),
              ROUND(ROUND(OFFSET($P275,0,AU$13),15-13*ORÇAMENTO!$AF$7)*OFFSET(ORÇAMENTO!$W$15,ROW(AU275)-ROW(AU$15),0),15-13*ORÇAMENTO!$AF$11)),
         0)</f>
        <v>0</v>
      </c>
      <c r="AV275" s="453">
        <f ca="1">IF(AND($D275="Serviço",AV$12&lt;&gt;0,$H275&gt;0,OR(AUTOEVENTO&lt;&gt;"manual",$M275&lt;&gt;$A$15)),
        IF(Import.TipoArredondamento&lt;&gt;"TransfereGOV",
              ROUND(OFFSET($P275,0,AV$13),15-13*ORÇAMENTO!$AF$7)/$H275*OFFSET(ORÇAMENTO!$X$15,ROW(AV275)-ROW(AV$15),0),
              ROUND(ROUND(OFFSET($P275,0,AV$13),15-13*ORÇAMENTO!$AF$7)*OFFSET(ORÇAMENTO!$W$15,ROW(AV275)-ROW(AV$15),0),15-13*ORÇAMENTO!$AF$11)),
         0)</f>
        <v>0</v>
      </c>
      <c r="AW275" s="453">
        <f ca="1">IF(AND($D275="Serviço",AW$12&lt;&gt;0,$H275&gt;0,OR(AUTOEVENTO&lt;&gt;"manual",$M275&lt;&gt;$A$15)),
        IF(Import.TipoArredondamento&lt;&gt;"TransfereGOV",
              ROUND(OFFSET($P275,0,AW$13),15-13*ORÇAMENTO!$AF$7)/$H275*OFFSET(ORÇAMENTO!$X$15,ROW(AW275)-ROW(AW$15),0),
              ROUND(ROUND(OFFSET($P275,0,AW$13),15-13*ORÇAMENTO!$AF$7)*OFFSET(ORÇAMENTO!$W$15,ROW(AW275)-ROW(AW$15),0),15-13*ORÇAMENTO!$AF$11)),
         0)</f>
        <v>0</v>
      </c>
      <c r="AX275" s="453">
        <f ca="1">IF(AND($D275="Serviço",AX$12&lt;&gt;0,$H275&gt;0,OR(AUTOEVENTO&lt;&gt;"manual",$M275&lt;&gt;$A$15)),
        IF(Import.TipoArredondamento&lt;&gt;"TransfereGOV",
              ROUND(OFFSET($P275,0,AX$13),15-13*ORÇAMENTO!$AF$7)/$H275*OFFSET(ORÇAMENTO!$X$15,ROW(AX275)-ROW(AX$15),0),
              ROUND(ROUND(OFFSET($P275,0,AX$13),15-13*ORÇAMENTO!$AF$7)*OFFSET(ORÇAMENTO!$W$15,ROW(AX275)-ROW(AX$15),0),15-13*ORÇAMENTO!$AF$11)),
         0)</f>
        <v>0</v>
      </c>
      <c r="AY275" s="453">
        <f ca="1">IF(AND($D275="Serviço",AY$12&lt;&gt;0,$H275&gt;0,OR(AUTOEVENTO&lt;&gt;"manual",$M275&lt;&gt;$A$15)),
        IF(Import.TipoArredondamento&lt;&gt;"TransfereGOV",
              ROUND(OFFSET($P275,0,AY$13),15-13*ORÇAMENTO!$AF$7)/$H275*OFFSET(ORÇAMENTO!$X$15,ROW(AY275)-ROW(AY$15),0),
              ROUND(ROUND(OFFSET($P275,0,AY$13),15-13*ORÇAMENTO!$AF$7)*OFFSET(ORÇAMENTO!$W$15,ROW(AY275)-ROW(AY$15),0),15-13*ORÇAMENTO!$AF$11)),
         0)</f>
        <v>0</v>
      </c>
      <c r="AZ275" s="453">
        <f ca="1">IF(AND($D275="Serviço",AZ$12&lt;&gt;0,$H275&gt;0,OR(AUTOEVENTO&lt;&gt;"manual",$M275&lt;&gt;$A$15)),
        IF(Import.TipoArredondamento&lt;&gt;"TransfereGOV",
              ROUND(OFFSET($P275,0,AZ$13),15-13*ORÇAMENTO!$AF$7)/$H275*OFFSET(ORÇAMENTO!$X$15,ROW(AZ275)-ROW(AZ$15),0),
              ROUND(ROUND(OFFSET($P275,0,AZ$13),15-13*ORÇAMENTO!$AF$7)*OFFSET(ORÇAMENTO!$W$15,ROW(AZ275)-ROW(AZ$15),0),15-13*ORÇAMENTO!$AF$11)),
         0)</f>
        <v>0</v>
      </c>
      <c r="BA275" s="453">
        <f ca="1">IF(AND($D275="Serviço",BA$12&lt;&gt;0,$H275&gt;0,OR(AUTOEVENTO&lt;&gt;"manual",$M275&lt;&gt;$A$15)),
        IF(Import.TipoArredondamento&lt;&gt;"TransfereGOV",
              ROUND(OFFSET($P275,0,BA$13),15-13*ORÇAMENTO!$AF$7)/$H275*OFFSET(ORÇAMENTO!$X$15,ROW(BA275)-ROW(BA$15),0),
              ROUND(ROUND(OFFSET($P275,0,BA$13),15-13*ORÇAMENTO!$AF$7)*OFFSET(ORÇAMENTO!$W$15,ROW(BA275)-ROW(BA$15),0),15-13*ORÇAMENTO!$AF$11)),
         0)</f>
        <v>0</v>
      </c>
      <c r="BC275" s="171">
        <f ca="1">IF(OR($D275&lt;&gt;"Serviço",AND(AUTOEVENTO="Manual",$M275=$A$15)),0,
         IF(OFFSET(CRONOPLE!$F$15,$M275-$A$15,BC$13)=0,10^12,OFFSET(CRONOPLE!$F$15,$M275-$A$15,BC$13)))</f>
        <v>1</v>
      </c>
      <c r="BD275" s="171">
        <f ca="1">IF(OR($D275&lt;&gt;"Serviço",AND(AUTOEVENTO="Manual",$M275=$A$15)),0,
         IF(OFFSET(CRONOPLE!$F$15,$M275-$A$15,BD$13)=0,10^12,OFFSET(CRONOPLE!$F$15,$M275-$A$15,BD$13)))</f>
        <v>2</v>
      </c>
      <c r="BE275" s="171">
        <f ca="1">IF(OR($D275&lt;&gt;"Serviço",AND(AUTOEVENTO="Manual",$M275=$A$15)),0,
         IF(OFFSET(CRONOPLE!$F$15,$M275-$A$15,BE$13)=0,10^12,OFFSET(CRONOPLE!$F$15,$M275-$A$15,BE$13)))</f>
        <v>3</v>
      </c>
      <c r="BF275" s="171">
        <f ca="1">IF(OR($D275&lt;&gt;"Serviço",AND(AUTOEVENTO="Manual",$M275=$A$15)),0,
         IF(OFFSET(CRONOPLE!$F$15,$M275-$A$15,BF$13)=0,10^12,OFFSET(CRONOPLE!$F$15,$M275-$A$15,BF$13)))</f>
        <v>4</v>
      </c>
      <c r="BG275" s="171">
        <f ca="1">IF(OR($D275&lt;&gt;"Serviço",AND(AUTOEVENTO="Manual",$M275=$A$15)),0,
         IF(OFFSET(CRONOPLE!$F$15,$M275-$A$15,BG$13)=0,10^12,OFFSET(CRONOPLE!$F$15,$M275-$A$15,BG$13)))</f>
        <v>5</v>
      </c>
      <c r="BH275" s="171">
        <f ca="1">IF(OR($D275&lt;&gt;"Serviço",AND(AUTOEVENTO="Manual",$M275=$A$15)),0,
         IF(OFFSET(CRONOPLE!$F$15,$M275-$A$15,BH$13)=0,10^12,OFFSET(CRONOPLE!$F$15,$M275-$A$15,BH$13)))</f>
        <v>6</v>
      </c>
      <c r="BI275" s="171">
        <f ca="1">IF(OR($D275&lt;&gt;"Serviço",AND(AUTOEVENTO="Manual",$M275=$A$15)),0,
         IF(OFFSET(CRONOPLE!$F$15,$M275-$A$15,BI$13)=0,10^12,OFFSET(CRONOPLE!$F$15,$M275-$A$15,BI$13)))</f>
        <v>7</v>
      </c>
      <c r="BJ275" s="171">
        <f ca="1">IF(OR($D275&lt;&gt;"Serviço",AND(AUTOEVENTO="Manual",$M275=$A$15)),0,
         IF(OFFSET(CRONOPLE!$F$15,$M275-$A$15,BJ$13)=0,10^12,OFFSET(CRONOPLE!$F$15,$M275-$A$15,BJ$13)))</f>
        <v>8</v>
      </c>
      <c r="BK275" s="171">
        <f ca="1">IF(OR($D275&lt;&gt;"Serviço",AND(AUTOEVENTO="Manual",$M275=$A$15)),0,
         IF(OFFSET(CRONOPLE!$F$15,$M275-$A$15,BK$13)=0,10^12,OFFSET(CRONOPLE!$F$15,$M275-$A$15,BK$13)))</f>
        <v>9</v>
      </c>
      <c r="BL275" s="171">
        <f ca="1">IF(OR($D275&lt;&gt;"Serviço",AND(AUTOEVENTO="Manual",$M275=$A$15)),0,
         IF(OFFSET(CRONOPLE!$F$15,$M275-$A$15,BL$13)=0,10^12,OFFSET(CRONOPLE!$F$15,$M275-$A$15,BL$13)))</f>
        <v>1000000000000</v>
      </c>
      <c r="BM275" s="171">
        <f ca="1">IF(OR($D275&lt;&gt;"Serviço",AND(AUTOEVENTO="Manual",$M275=$A$15)),0,
         IF(OFFSET(CRONOPLE!$F$15,$M275-$A$15,BM$13)=0,10^12,OFFSET(CRONOPLE!$F$15,$M275-$A$15,BM$13)))</f>
        <v>1000000000000</v>
      </c>
      <c r="BN275" s="171">
        <f ca="1">IF(OR($D275&lt;&gt;"Serviço",AND(AUTOEVENTO="Manual",$M275=$A$15)),0,
         IF(OFFSET(CRONOPLE!$F$15,$M275-$A$15,BN$13)=0,10^12,OFFSET(CRONOPLE!$F$15,$M275-$A$15,BN$13)))</f>
        <v>1000000000000</v>
      </c>
      <c r="BO275" s="171">
        <f ca="1">IF(OR($D275&lt;&gt;"Serviço",AND(AUTOEVENTO="Manual",$M275=$A$15)),0,
         IF(OFFSET(CRONOPLE!$F$15,$M275-$A$15,BO$13)=0,10^12,OFFSET(CRONOPLE!$F$15,$M275-$A$15,BO$13)))</f>
        <v>1000000000000</v>
      </c>
      <c r="BP275" s="171">
        <f ca="1">IF(OR($D275&lt;&gt;"Serviço",AND(AUTOEVENTO="Manual",$M275=$A$15)),0,
         IF(OFFSET(CRONOPLE!$F$15,$M275-$A$15,BP$13)=0,10^12,OFFSET(CRONOPLE!$F$15,$M275-$A$15,BP$13)))</f>
        <v>1000000000000</v>
      </c>
      <c r="BQ275" s="171">
        <f ca="1">IF(OR($D275&lt;&gt;"Serviço",AND(AUTOEVENTO="Manual",$M275=$A$15)),0,
         IF(OFFSET(CRONOPLE!$F$15,$M275-$A$15,BQ$13)=0,10^12,OFFSET(CRONOPLE!$F$15,$M275-$A$15,BQ$13)))</f>
        <v>1000000000000</v>
      </c>
      <c r="BR275" s="171">
        <f ca="1">IF(OR($D275&lt;&gt;"Serviço",AND(AUTOEVENTO="Manual",$M275=$A$15)),0,
         IF(OFFSET(CRONOPLE!$F$15,$M275-$A$15,BR$13)=0,10^12,OFFSET(CRONOPLE!$F$15,$M275-$A$15,BR$13)))</f>
        <v>1000000000000</v>
      </c>
      <c r="BS275" s="171">
        <f ca="1">IF(OR($D275&lt;&gt;"Serviço",AND(AUTOEVENTO="Manual",$M275=$A$15)),0,
         IF(OFFSET(CRONOPLE!$F$15,$M275-$A$15,BS$13)=0,10^12,OFFSET(CRONOPLE!$F$15,$M275-$A$15,BS$13)))</f>
        <v>1000000000000</v>
      </c>
      <c r="BT275" s="171">
        <f ca="1">IF(OR($D275&lt;&gt;"Serviço",AND(AUTOEVENTO="Manual",$M275=$A$15)),0,
         IF(OFFSET(CRONOPLE!$F$15,$M275-$A$15,BT$13)=0,10^12,OFFSET(CRONOPLE!$F$15,$M275-$A$15,BT$13)))</f>
        <v>1000000000000</v>
      </c>
      <c r="BV275" s="172">
        <f ca="1">IF(OR($D275&lt;&gt;"Serviço",AND(AUTOEVENTO="Manual",$M275=$A$15),$M275&gt;(ROW(PLE.lastrow)-ROW(PLE.firstrow))),0,
           IF(OFFSET(PLE!$G$15,$M275-$A$15,BV$13)="",10^12,OFFSET(PLE!$G$15,$M275-$A$15,BV$13)))</f>
        <v>1000000000000</v>
      </c>
      <c r="BW275" s="172">
        <f ca="1">IF(OR($D275&lt;&gt;"Serviço",AND(AUTOEVENTO="Manual",$M275=$A$15),$M275&gt;(ROW(PLE.lastrow)-ROW(PLE.firstrow))),0,
           IF(OFFSET(PLE!$G$15,$M275-$A$15,BW$13)="",10^12,OFFSET(PLE!$G$15,$M275-$A$15,BW$13)))</f>
        <v>1000000000000</v>
      </c>
      <c r="BX275" s="172">
        <f ca="1">IF(OR($D275&lt;&gt;"Serviço",AND(AUTOEVENTO="Manual",$M275=$A$15),$M275&gt;(ROW(PLE.lastrow)-ROW(PLE.firstrow))),0,
           IF(OFFSET(PLE!$G$15,$M275-$A$15,BX$13)="",10^12,OFFSET(PLE!$G$15,$M275-$A$15,BX$13)))</f>
        <v>1000000000000</v>
      </c>
      <c r="BY275" s="172">
        <f ca="1">IF(OR($D275&lt;&gt;"Serviço",AND(AUTOEVENTO="Manual",$M275=$A$15),$M275&gt;(ROW(PLE.lastrow)-ROW(PLE.firstrow))),0,
           IF(OFFSET(PLE!$G$15,$M275-$A$15,BY$13)="",10^12,OFFSET(PLE!$G$15,$M275-$A$15,BY$13)))</f>
        <v>1000000000000</v>
      </c>
      <c r="BZ275" s="172">
        <f ca="1">IF(OR($D275&lt;&gt;"Serviço",AND(AUTOEVENTO="Manual",$M275=$A$15),$M275&gt;(ROW(PLE.lastrow)-ROW(PLE.firstrow))),0,
           IF(OFFSET(PLE!$G$15,$M275-$A$15,BZ$13)="",10^12,OFFSET(PLE!$G$15,$M275-$A$15,BZ$13)))</f>
        <v>1000000000000</v>
      </c>
      <c r="CA275" s="172">
        <f ca="1">IF(OR($D275&lt;&gt;"Serviço",AND(AUTOEVENTO="Manual",$M275=$A$15),$M275&gt;(ROW(PLE.lastrow)-ROW(PLE.firstrow))),0,
           IF(OFFSET(PLE!$G$15,$M275-$A$15,CA$13)="",10^12,OFFSET(PLE!$G$15,$M275-$A$15,CA$13)))</f>
        <v>1000000000000</v>
      </c>
      <c r="CB275" s="172">
        <f ca="1">IF(OR($D275&lt;&gt;"Serviço",AND(AUTOEVENTO="Manual",$M275=$A$15),$M275&gt;(ROW(PLE.lastrow)-ROW(PLE.firstrow))),0,
           IF(OFFSET(PLE!$G$15,$M275-$A$15,CB$13)="",10^12,OFFSET(PLE!$G$15,$M275-$A$15,CB$13)))</f>
        <v>1000000000000</v>
      </c>
      <c r="CC275" s="172">
        <f ca="1">IF(OR($D275&lt;&gt;"Serviço",AND(AUTOEVENTO="Manual",$M275=$A$15),$M275&gt;(ROW(PLE.lastrow)-ROW(PLE.firstrow))),0,
           IF(OFFSET(PLE!$G$15,$M275-$A$15,CC$13)="",10^12,OFFSET(PLE!$G$15,$M275-$A$15,CC$13)))</f>
        <v>1000000000000</v>
      </c>
      <c r="CD275" s="172">
        <f ca="1">IF(OR($D275&lt;&gt;"Serviço",AND(AUTOEVENTO="Manual",$M275=$A$15),$M275&gt;(ROW(PLE.lastrow)-ROW(PLE.firstrow))),0,
           IF(OFFSET(PLE!$G$15,$M275-$A$15,CD$13)="",10^12,OFFSET(PLE!$G$15,$M275-$A$15,CD$13)))</f>
        <v>1000000000000</v>
      </c>
      <c r="CE275" s="172">
        <f ca="1">IF(OR($D275&lt;&gt;"Serviço",AND(AUTOEVENTO="Manual",$M275=$A$15),$M275&gt;(ROW(PLE.lastrow)-ROW(PLE.firstrow))),0,
           IF(OFFSET(PLE!$G$15,$M275-$A$15,CE$13)="",10^12,OFFSET(PLE!$G$15,$M275-$A$15,CE$13)))</f>
        <v>1000000000000</v>
      </c>
      <c r="CF275" s="172">
        <f ca="1">IF(OR($D275&lt;&gt;"Serviço",AND(AUTOEVENTO="Manual",$M275=$A$15),$M275&gt;(ROW(PLE.lastrow)-ROW(PLE.firstrow))),0,
           IF(OFFSET(PLE!$G$15,$M275-$A$15,CF$13)="",10^12,OFFSET(PLE!$G$15,$M275-$A$15,CF$13)))</f>
        <v>1000000000000</v>
      </c>
      <c r="CG275" s="172">
        <f ca="1">IF(OR($D275&lt;&gt;"Serviço",AND(AUTOEVENTO="Manual",$M275=$A$15),$M275&gt;(ROW(PLE.lastrow)-ROW(PLE.firstrow))),0,
           IF(OFFSET(PLE!$G$15,$M275-$A$15,CG$13)="",10^12,OFFSET(PLE!$G$15,$M275-$A$15,CG$13)))</f>
        <v>1000000000000</v>
      </c>
      <c r="CH275" s="172">
        <f ca="1">IF(OR($D275&lt;&gt;"Serviço",AND(AUTOEVENTO="Manual",$M275=$A$15),$M275&gt;(ROW(PLE.lastrow)-ROW(PLE.firstrow))),0,
           IF(OFFSET(PLE!$G$15,$M275-$A$15,CH$13)="",10^12,OFFSET(PLE!$G$15,$M275-$A$15,CH$13)))</f>
        <v>1000000000000</v>
      </c>
      <c r="CI275" s="172">
        <f ca="1">IF(OR($D275&lt;&gt;"Serviço",AND(AUTOEVENTO="Manual",$M275=$A$15),$M275&gt;(ROW(PLE.lastrow)-ROW(PLE.firstrow))),0,
           IF(OFFSET(PLE!$G$15,$M275-$A$15,CI$13)="",10^12,OFFSET(PLE!$G$15,$M275-$A$15,CI$13)))</f>
        <v>1000000000000</v>
      </c>
      <c r="CJ275" s="172">
        <f ca="1">IF(OR($D275&lt;&gt;"Serviço",AND(AUTOEVENTO="Manual",$M275=$A$15),$M275&gt;(ROW(PLE.lastrow)-ROW(PLE.firstrow))),0,
           IF(OFFSET(PLE!$G$15,$M275-$A$15,CJ$13)="",10^12,OFFSET(PLE!$G$15,$M275-$A$15,CJ$13)))</f>
        <v>1000000000000</v>
      </c>
      <c r="CK275" s="172">
        <f ca="1">IF(OR($D275&lt;&gt;"Serviço",AND(AUTOEVENTO="Manual",$M275=$A$15),$M275&gt;(ROW(PLE.lastrow)-ROW(PLE.firstrow))),0,
           IF(OFFSET(PLE!$G$15,$M275-$A$15,CK$13)="",10^12,OFFSET(PLE!$G$15,$M275-$A$15,CK$13)))</f>
        <v>1000000000000</v>
      </c>
      <c r="CL275" s="172">
        <f ca="1">IF(OR($D275&lt;&gt;"Serviço",AND(AUTOEVENTO="Manual",$M275=$A$15),$M275&gt;(ROW(PLE.lastrow)-ROW(PLE.firstrow))),0,
           IF(OFFSET(PLE!$G$15,$M275-$A$15,CL$13)="",10^12,OFFSET(PLE!$G$15,$M275-$A$15,CL$13)))</f>
        <v>1000000000000</v>
      </c>
      <c r="CM275" s="172">
        <f ca="1">IF(OR($D275&lt;&gt;"Serviço",AND(AUTOEVENTO="Manual",$M275=$A$15),$M275&gt;(ROW(PLE.lastrow)-ROW(PLE.firstrow))),0,
           IF(OFFSET(PLE!$G$15,$M275-$A$15,CM$13)="",10^12,OFFSET(PLE!$G$15,$M275-$A$15,CM$13)))</f>
        <v>1000000000000</v>
      </c>
    </row>
    <row r="276" spans="1:91" ht="51" x14ac:dyDescent="0.2">
      <c r="A276" s="7">
        <f t="shared" ca="1" si="13"/>
        <v>6</v>
      </c>
      <c r="B276" s="7" t="str">
        <f ca="1">OFFSET(ORÇAMENTO!C$15,ROW(B276)-ROW(B$15),0)</f>
        <v>S</v>
      </c>
      <c r="C276" s="7" t="str">
        <f ca="1">OFFSET(ORÇAMENTO!L$15,ROW(C276)-ROW(C$15),0)</f>
        <v>F</v>
      </c>
      <c r="D276" s="116" t="str">
        <f ca="1">OFFSET(ORÇAMENTO!N$15,ROW(D276)-ROW(D$15),0)</f>
        <v>Serviço</v>
      </c>
      <c r="E276" s="117" t="str">
        <f ca="1">OFFSET(ORÇAMENTO!O$15,ROW(E276)-ROW(E$15),0)</f>
        <v>1.7.2.2.4.</v>
      </c>
      <c r="F276" s="163" t="str">
        <f ca="1">OFFSET(ORÇAMENTO!R$15,ROW(F276)-ROW(F$15),0)</f>
        <v>ASSENTAMENTO DE TUBO DE FERRO FUNDIDO PARA REDE DE ÁGUA, DN 150 MM, JUNTA ELÁSTICA, INSTALADO EM LOCAL COM NÍVEL BAIXO DE INTERFERÊNCIAS (NÃO INCLUI FORNECIMENTO). AF_05/2024</v>
      </c>
      <c r="G276" s="164" t="str">
        <f ca="1">IF($D276&lt;&gt;"Serviço","",OFFSET(ORÇAMENTO!S$15,ROW(G276)-ROW(G$15),0))</f>
        <v>M</v>
      </c>
      <c r="H276" s="122" cm="1">
        <f t="array" aca="1" ref="H276" ca="1">IF($D276&lt;&gt;"Serviço",0,IF(ACOMPANHAMENTO="BM",ROUND(OFFSET(ORÇAMENTO!AJ$15,ROW(H276)-ROW(H$15),0),15-13*ORÇAMENTO!$AF$7),SUMPRODUCT(($Q$1:$AI$1=1)*ROUND($Q276:$AI276,15-13*ORÇAMENTO!$AF$7))))</f>
        <v>10.050000000000001</v>
      </c>
      <c r="I276" s="468" t="s">
        <v>1347</v>
      </c>
      <c r="J276" s="640" t="str" cm="1">
        <f t="array" aca="1" ref="J276" ca="1">IF(OR(B276&lt;&gt;"S",CÁLCULO.FrentesPreenchidas=0),"",IF(AND(ACOMPANHAMENTO="PLE",AUTOEVENTO="Manual",OR(H276&gt;0,ORÇAMENTO!AC276="QUANT."),OR(K276="",M276=0,N276="")),"►E",IF(AND(ACOMPANHAMENTO="PLE",ORÇAMENTO!AC276="QUANT."),"►Q",IF(AND(ACOMPANHAMENTO="PLE",H276&lt;&gt;SUMPRODUCT(($Q$1:$AI$1=1)*ROUND(Q276:AI276,15))),"►S",IF(AND(COUNTIF($P$11:$AI$11,"▼")=0,H276&gt;0,I276=""),"◄M","")))))</f>
        <v/>
      </c>
      <c r="K276" s="641" t="s">
        <v>1385</v>
      </c>
      <c r="L276" s="165" t="s">
        <v>764</v>
      </c>
      <c r="M276" s="166">
        <f ca="1">IF($D276&lt;&gt;"Serviço","",
          IF(AUTOEVENTO="manual",$A276,
                IF(ISERROR(MATCH($A276,$A$15:OFFSET($A276,-1,0),0)),MAX($M$15:OFFSET(M276,-1,0))+1,
                      INDEX($M$15:OFFSET(M276,-1,0),MATCH($A276,$A$15:OFFSET($A276,-1,0),0)))))</f>
        <v>6</v>
      </c>
      <c r="N276" s="167" t="str">
        <f ca="1">IF($D276&lt;&gt;"Serviço","",
         IF(AUTOEVENTO="Manual",
                IF($A276=0,"&lt;-- defina o número do agrupador",
                       OFFSET(EVENTOS!$D$15,$A276-$A$15,0)),
                OFFSET($F$15,$A276,0)))</f>
        <v>Saneamento</v>
      </c>
      <c r="O276" s="168"/>
      <c r="Q276" s="168"/>
      <c r="R276" s="169"/>
      <c r="S276" s="169"/>
      <c r="T276" s="169">
        <f>T268+T270*0.8</f>
        <v>10.050000000000001</v>
      </c>
      <c r="U276" s="169"/>
      <c r="V276" s="169"/>
      <c r="W276" s="169"/>
      <c r="X276" s="169"/>
      <c r="Y276" s="169"/>
      <c r="Z276" s="170"/>
      <c r="AA276" s="169"/>
      <c r="AB276" s="169"/>
      <c r="AC276" s="169"/>
      <c r="AD276" s="169"/>
      <c r="AE276" s="169"/>
      <c r="AF276" s="169"/>
      <c r="AG276" s="169"/>
      <c r="AH276" s="170"/>
      <c r="AJ276" s="453">
        <f ca="1">IF(AND($D276="Serviço",AJ$12&lt;&gt;0,$H276&gt;0,OR(AUTOEVENTO&lt;&gt;"manual",$M276&lt;&gt;$A$15)),
        IF(Import.TipoArredondamento&lt;&gt;"TransfereGOV",
              ROUND(OFFSET($P276,0,AJ$13),15-13*ORÇAMENTO!$AF$7)/$H276*OFFSET(ORÇAMENTO!$X$15,ROW(AJ276)-ROW(AJ$15),0),
              ROUND(ROUND(OFFSET($P276,0,AJ$13),15-13*ORÇAMENTO!$AF$7)*OFFSET(ORÇAMENTO!$W$15,ROW(AJ276)-ROW(AJ$15),0),15-13*ORÇAMENTO!$AF$11)),
         0)</f>
        <v>0</v>
      </c>
      <c r="AK276" s="453">
        <f ca="1">IF(AND($D276="Serviço",AK$12&lt;&gt;0,$H276&gt;0,OR(AUTOEVENTO&lt;&gt;"manual",$M276&lt;&gt;$A$15)),
        IF(Import.TipoArredondamento&lt;&gt;"TransfereGOV",
              ROUND(OFFSET($P276,0,AK$13),15-13*ORÇAMENTO!$AF$7)/$H276*OFFSET(ORÇAMENTO!$X$15,ROW(AK276)-ROW(AK$15),0),
              ROUND(ROUND(OFFSET($P276,0,AK$13),15-13*ORÇAMENTO!$AF$7)*OFFSET(ORÇAMENTO!$W$15,ROW(AK276)-ROW(AK$15),0),15-13*ORÇAMENTO!$AF$11)),
         0)</f>
        <v>0</v>
      </c>
      <c r="AL276" s="453">
        <f ca="1">IF(AND($D276="Serviço",AL$12&lt;&gt;0,$H276&gt;0,OR(AUTOEVENTO&lt;&gt;"manual",$M276&lt;&gt;$A$15)),
        IF(Import.TipoArredondamento&lt;&gt;"TransfereGOV",
              ROUND(OFFSET($P276,0,AL$13),15-13*ORÇAMENTO!$AF$7)/$H276*OFFSET(ORÇAMENTO!$X$15,ROW(AL276)-ROW(AL$15),0),
              ROUND(ROUND(OFFSET($P276,0,AL$13),15-13*ORÇAMENTO!$AF$7)*OFFSET(ORÇAMENTO!$W$15,ROW(AL276)-ROW(AL$15),0),15-13*ORÇAMENTO!$AF$11)),
         0)</f>
        <v>0</v>
      </c>
      <c r="AM276" s="453">
        <f ca="1">IF(AND($D276="Serviço",AM$12&lt;&gt;0,$H276&gt;0,OR(AUTOEVENTO&lt;&gt;"manual",$M276&lt;&gt;$A$15)),
        IF(Import.TipoArredondamento&lt;&gt;"TransfereGOV",
              ROUND(OFFSET($P276,0,AM$13),15-13*ORÇAMENTO!$AF$7)/$H276*OFFSET(ORÇAMENTO!$X$15,ROW(AM276)-ROW(AM$15),0),
              ROUND(ROUND(OFFSET($P276,0,AM$13),15-13*ORÇAMENTO!$AF$7)*OFFSET(ORÇAMENTO!$W$15,ROW(AM276)-ROW(AM$15),0),15-13*ORÇAMENTO!$AF$11)),
         0)</f>
        <v>0</v>
      </c>
      <c r="AN276" s="453">
        <f ca="1">IF(AND($D276="Serviço",AN$12&lt;&gt;0,$H276&gt;0,OR(AUTOEVENTO&lt;&gt;"manual",$M276&lt;&gt;$A$15)),
        IF(Import.TipoArredondamento&lt;&gt;"TransfereGOV",
              ROUND(OFFSET($P276,0,AN$13),15-13*ORÇAMENTO!$AF$7)/$H276*OFFSET(ORÇAMENTO!$X$15,ROW(AN276)-ROW(AN$15),0),
              ROUND(ROUND(OFFSET($P276,0,AN$13),15-13*ORÇAMENTO!$AF$7)*OFFSET(ORÇAMENTO!$W$15,ROW(AN276)-ROW(AN$15),0),15-13*ORÇAMENTO!$AF$11)),
         0)</f>
        <v>0</v>
      </c>
      <c r="AO276" s="453">
        <f ca="1">IF(AND($D276="Serviço",AO$12&lt;&gt;0,$H276&gt;0,OR(AUTOEVENTO&lt;&gt;"manual",$M276&lt;&gt;$A$15)),
        IF(Import.TipoArredondamento&lt;&gt;"TransfereGOV",
              ROUND(OFFSET($P276,0,AO$13),15-13*ORÇAMENTO!$AF$7)/$H276*OFFSET(ORÇAMENTO!$X$15,ROW(AO276)-ROW(AO$15),0),
              ROUND(ROUND(OFFSET($P276,0,AO$13),15-13*ORÇAMENTO!$AF$7)*OFFSET(ORÇAMENTO!$W$15,ROW(AO276)-ROW(AO$15),0),15-13*ORÇAMENTO!$AF$11)),
         0)</f>
        <v>0</v>
      </c>
      <c r="AP276" s="453">
        <f ca="1">IF(AND($D276="Serviço",AP$12&lt;&gt;0,$H276&gt;0,OR(AUTOEVENTO&lt;&gt;"manual",$M276&lt;&gt;$A$15)),
        IF(Import.TipoArredondamento&lt;&gt;"TransfereGOV",
              ROUND(OFFSET($P276,0,AP$13),15-13*ORÇAMENTO!$AF$7)/$H276*OFFSET(ORÇAMENTO!$X$15,ROW(AP276)-ROW(AP$15),0),
              ROUND(ROUND(OFFSET($P276,0,AP$13),15-13*ORÇAMENTO!$AF$7)*OFFSET(ORÇAMENTO!$W$15,ROW(AP276)-ROW(AP$15),0),15-13*ORÇAMENTO!$AF$11)),
         0)</f>
        <v>0</v>
      </c>
      <c r="AQ276" s="453">
        <f ca="1">IF(AND($D276="Serviço",AQ$12&lt;&gt;0,$H276&gt;0,OR(AUTOEVENTO&lt;&gt;"manual",$M276&lt;&gt;$A$15)),
        IF(Import.TipoArredondamento&lt;&gt;"TransfereGOV",
              ROUND(OFFSET($P276,0,AQ$13),15-13*ORÇAMENTO!$AF$7)/$H276*OFFSET(ORÇAMENTO!$X$15,ROW(AQ276)-ROW(AQ$15),0),
              ROUND(ROUND(OFFSET($P276,0,AQ$13),15-13*ORÇAMENTO!$AF$7)*OFFSET(ORÇAMENTO!$W$15,ROW(AQ276)-ROW(AQ$15),0),15-13*ORÇAMENTO!$AF$11)),
         0)</f>
        <v>0</v>
      </c>
      <c r="AR276" s="453">
        <f ca="1">IF(AND($D276="Serviço",AR$12&lt;&gt;0,$H276&gt;0,OR(AUTOEVENTO&lt;&gt;"manual",$M276&lt;&gt;$A$15)),
        IF(Import.TipoArredondamento&lt;&gt;"TransfereGOV",
              ROUND(OFFSET($P276,0,AR$13),15-13*ORÇAMENTO!$AF$7)/$H276*OFFSET(ORÇAMENTO!$X$15,ROW(AR276)-ROW(AR$15),0),
              ROUND(ROUND(OFFSET($P276,0,AR$13),15-13*ORÇAMENTO!$AF$7)*OFFSET(ORÇAMENTO!$W$15,ROW(AR276)-ROW(AR$15),0),15-13*ORÇAMENTO!$AF$11)),
         0)</f>
        <v>0</v>
      </c>
      <c r="AS276" s="453">
        <f ca="1">IF(AND($D276="Serviço",AS$12&lt;&gt;0,$H276&gt;0,OR(AUTOEVENTO&lt;&gt;"manual",$M276&lt;&gt;$A$15)),
        IF(Import.TipoArredondamento&lt;&gt;"TransfereGOV",
              ROUND(OFFSET($P276,0,AS$13),15-13*ORÇAMENTO!$AF$7)/$H276*OFFSET(ORÇAMENTO!$X$15,ROW(AS276)-ROW(AS$15),0),
              ROUND(ROUND(OFFSET($P276,0,AS$13),15-13*ORÇAMENTO!$AF$7)*OFFSET(ORÇAMENTO!$W$15,ROW(AS276)-ROW(AS$15),0),15-13*ORÇAMENTO!$AF$11)),
         0)</f>
        <v>0</v>
      </c>
      <c r="AT276" s="453">
        <f ca="1">IF(AND($D276="Serviço",AT$12&lt;&gt;0,$H276&gt;0,OR(AUTOEVENTO&lt;&gt;"manual",$M276&lt;&gt;$A$15)),
        IF(Import.TipoArredondamento&lt;&gt;"TransfereGOV",
              ROUND(OFFSET($P276,0,AT$13),15-13*ORÇAMENTO!$AF$7)/$H276*OFFSET(ORÇAMENTO!$X$15,ROW(AT276)-ROW(AT$15),0),
              ROUND(ROUND(OFFSET($P276,0,AT$13),15-13*ORÇAMENTO!$AF$7)*OFFSET(ORÇAMENTO!$W$15,ROW(AT276)-ROW(AT$15),0),15-13*ORÇAMENTO!$AF$11)),
         0)</f>
        <v>0</v>
      </c>
      <c r="AU276" s="453">
        <f ca="1">IF(AND($D276="Serviço",AU$12&lt;&gt;0,$H276&gt;0,OR(AUTOEVENTO&lt;&gt;"manual",$M276&lt;&gt;$A$15)),
        IF(Import.TipoArredondamento&lt;&gt;"TransfereGOV",
              ROUND(OFFSET($P276,0,AU$13),15-13*ORÇAMENTO!$AF$7)/$H276*OFFSET(ORÇAMENTO!$X$15,ROW(AU276)-ROW(AU$15),0),
              ROUND(ROUND(OFFSET($P276,0,AU$13),15-13*ORÇAMENTO!$AF$7)*OFFSET(ORÇAMENTO!$W$15,ROW(AU276)-ROW(AU$15),0),15-13*ORÇAMENTO!$AF$11)),
         0)</f>
        <v>0</v>
      </c>
      <c r="AV276" s="453">
        <f ca="1">IF(AND($D276="Serviço",AV$12&lt;&gt;0,$H276&gt;0,OR(AUTOEVENTO&lt;&gt;"manual",$M276&lt;&gt;$A$15)),
        IF(Import.TipoArredondamento&lt;&gt;"TransfereGOV",
              ROUND(OFFSET($P276,0,AV$13),15-13*ORÇAMENTO!$AF$7)/$H276*OFFSET(ORÇAMENTO!$X$15,ROW(AV276)-ROW(AV$15),0),
              ROUND(ROUND(OFFSET($P276,0,AV$13),15-13*ORÇAMENTO!$AF$7)*OFFSET(ORÇAMENTO!$W$15,ROW(AV276)-ROW(AV$15),0),15-13*ORÇAMENTO!$AF$11)),
         0)</f>
        <v>0</v>
      </c>
      <c r="AW276" s="453">
        <f ca="1">IF(AND($D276="Serviço",AW$12&lt;&gt;0,$H276&gt;0,OR(AUTOEVENTO&lt;&gt;"manual",$M276&lt;&gt;$A$15)),
        IF(Import.TipoArredondamento&lt;&gt;"TransfereGOV",
              ROUND(OFFSET($P276,0,AW$13),15-13*ORÇAMENTO!$AF$7)/$H276*OFFSET(ORÇAMENTO!$X$15,ROW(AW276)-ROW(AW$15),0),
              ROUND(ROUND(OFFSET($P276,0,AW$13),15-13*ORÇAMENTO!$AF$7)*OFFSET(ORÇAMENTO!$W$15,ROW(AW276)-ROW(AW$15),0),15-13*ORÇAMENTO!$AF$11)),
         0)</f>
        <v>0</v>
      </c>
      <c r="AX276" s="453">
        <f ca="1">IF(AND($D276="Serviço",AX$12&lt;&gt;0,$H276&gt;0,OR(AUTOEVENTO&lt;&gt;"manual",$M276&lt;&gt;$A$15)),
        IF(Import.TipoArredondamento&lt;&gt;"TransfereGOV",
              ROUND(OFFSET($P276,0,AX$13),15-13*ORÇAMENTO!$AF$7)/$H276*OFFSET(ORÇAMENTO!$X$15,ROW(AX276)-ROW(AX$15),0),
              ROUND(ROUND(OFFSET($P276,0,AX$13),15-13*ORÇAMENTO!$AF$7)*OFFSET(ORÇAMENTO!$W$15,ROW(AX276)-ROW(AX$15),0),15-13*ORÇAMENTO!$AF$11)),
         0)</f>
        <v>0</v>
      </c>
      <c r="AY276" s="453">
        <f ca="1">IF(AND($D276="Serviço",AY$12&lt;&gt;0,$H276&gt;0,OR(AUTOEVENTO&lt;&gt;"manual",$M276&lt;&gt;$A$15)),
        IF(Import.TipoArredondamento&lt;&gt;"TransfereGOV",
              ROUND(OFFSET($P276,0,AY$13),15-13*ORÇAMENTO!$AF$7)/$H276*OFFSET(ORÇAMENTO!$X$15,ROW(AY276)-ROW(AY$15),0),
              ROUND(ROUND(OFFSET($P276,0,AY$13),15-13*ORÇAMENTO!$AF$7)*OFFSET(ORÇAMENTO!$W$15,ROW(AY276)-ROW(AY$15),0),15-13*ORÇAMENTO!$AF$11)),
         0)</f>
        <v>0</v>
      </c>
      <c r="AZ276" s="453">
        <f ca="1">IF(AND($D276="Serviço",AZ$12&lt;&gt;0,$H276&gt;0,OR(AUTOEVENTO&lt;&gt;"manual",$M276&lt;&gt;$A$15)),
        IF(Import.TipoArredondamento&lt;&gt;"TransfereGOV",
              ROUND(OFFSET($P276,0,AZ$13),15-13*ORÇAMENTO!$AF$7)/$H276*OFFSET(ORÇAMENTO!$X$15,ROW(AZ276)-ROW(AZ$15),0),
              ROUND(ROUND(OFFSET($P276,0,AZ$13),15-13*ORÇAMENTO!$AF$7)*OFFSET(ORÇAMENTO!$W$15,ROW(AZ276)-ROW(AZ$15),0),15-13*ORÇAMENTO!$AF$11)),
         0)</f>
        <v>0</v>
      </c>
      <c r="BA276" s="453">
        <f ca="1">IF(AND($D276="Serviço",BA$12&lt;&gt;0,$H276&gt;0,OR(AUTOEVENTO&lt;&gt;"manual",$M276&lt;&gt;$A$15)),
        IF(Import.TipoArredondamento&lt;&gt;"TransfereGOV",
              ROUND(OFFSET($P276,0,BA$13),15-13*ORÇAMENTO!$AF$7)/$H276*OFFSET(ORÇAMENTO!$X$15,ROW(BA276)-ROW(BA$15),0),
              ROUND(ROUND(OFFSET($P276,0,BA$13),15-13*ORÇAMENTO!$AF$7)*OFFSET(ORÇAMENTO!$W$15,ROW(BA276)-ROW(BA$15),0),15-13*ORÇAMENTO!$AF$11)),
         0)</f>
        <v>0</v>
      </c>
      <c r="BC276" s="171">
        <f ca="1">IF(OR($D276&lt;&gt;"Serviço",AND(AUTOEVENTO="Manual",$M276=$A$15)),0,
         IF(OFFSET(CRONOPLE!$F$15,$M276-$A$15,BC$13)=0,10^12,OFFSET(CRONOPLE!$F$15,$M276-$A$15,BC$13)))</f>
        <v>1</v>
      </c>
      <c r="BD276" s="171">
        <f ca="1">IF(OR($D276&lt;&gt;"Serviço",AND(AUTOEVENTO="Manual",$M276=$A$15)),0,
         IF(OFFSET(CRONOPLE!$F$15,$M276-$A$15,BD$13)=0,10^12,OFFSET(CRONOPLE!$F$15,$M276-$A$15,BD$13)))</f>
        <v>2</v>
      </c>
      <c r="BE276" s="171">
        <f ca="1">IF(OR($D276&lt;&gt;"Serviço",AND(AUTOEVENTO="Manual",$M276=$A$15)),0,
         IF(OFFSET(CRONOPLE!$F$15,$M276-$A$15,BE$13)=0,10^12,OFFSET(CRONOPLE!$F$15,$M276-$A$15,BE$13)))</f>
        <v>3</v>
      </c>
      <c r="BF276" s="171">
        <f ca="1">IF(OR($D276&lt;&gt;"Serviço",AND(AUTOEVENTO="Manual",$M276=$A$15)),0,
         IF(OFFSET(CRONOPLE!$F$15,$M276-$A$15,BF$13)=0,10^12,OFFSET(CRONOPLE!$F$15,$M276-$A$15,BF$13)))</f>
        <v>4</v>
      </c>
      <c r="BG276" s="171">
        <f ca="1">IF(OR($D276&lt;&gt;"Serviço",AND(AUTOEVENTO="Manual",$M276=$A$15)),0,
         IF(OFFSET(CRONOPLE!$F$15,$M276-$A$15,BG$13)=0,10^12,OFFSET(CRONOPLE!$F$15,$M276-$A$15,BG$13)))</f>
        <v>5</v>
      </c>
      <c r="BH276" s="171">
        <f ca="1">IF(OR($D276&lt;&gt;"Serviço",AND(AUTOEVENTO="Manual",$M276=$A$15)),0,
         IF(OFFSET(CRONOPLE!$F$15,$M276-$A$15,BH$13)=0,10^12,OFFSET(CRONOPLE!$F$15,$M276-$A$15,BH$13)))</f>
        <v>6</v>
      </c>
      <c r="BI276" s="171">
        <f ca="1">IF(OR($D276&lt;&gt;"Serviço",AND(AUTOEVENTO="Manual",$M276=$A$15)),0,
         IF(OFFSET(CRONOPLE!$F$15,$M276-$A$15,BI$13)=0,10^12,OFFSET(CRONOPLE!$F$15,$M276-$A$15,BI$13)))</f>
        <v>7</v>
      </c>
      <c r="BJ276" s="171">
        <f ca="1">IF(OR($D276&lt;&gt;"Serviço",AND(AUTOEVENTO="Manual",$M276=$A$15)),0,
         IF(OFFSET(CRONOPLE!$F$15,$M276-$A$15,BJ$13)=0,10^12,OFFSET(CRONOPLE!$F$15,$M276-$A$15,BJ$13)))</f>
        <v>8</v>
      </c>
      <c r="BK276" s="171">
        <f ca="1">IF(OR($D276&lt;&gt;"Serviço",AND(AUTOEVENTO="Manual",$M276=$A$15)),0,
         IF(OFFSET(CRONOPLE!$F$15,$M276-$A$15,BK$13)=0,10^12,OFFSET(CRONOPLE!$F$15,$M276-$A$15,BK$13)))</f>
        <v>9</v>
      </c>
      <c r="BL276" s="171">
        <f ca="1">IF(OR($D276&lt;&gt;"Serviço",AND(AUTOEVENTO="Manual",$M276=$A$15)),0,
         IF(OFFSET(CRONOPLE!$F$15,$M276-$A$15,BL$13)=0,10^12,OFFSET(CRONOPLE!$F$15,$M276-$A$15,BL$13)))</f>
        <v>1000000000000</v>
      </c>
      <c r="BM276" s="171">
        <f ca="1">IF(OR($D276&lt;&gt;"Serviço",AND(AUTOEVENTO="Manual",$M276=$A$15)),0,
         IF(OFFSET(CRONOPLE!$F$15,$M276-$A$15,BM$13)=0,10^12,OFFSET(CRONOPLE!$F$15,$M276-$A$15,BM$13)))</f>
        <v>1000000000000</v>
      </c>
      <c r="BN276" s="171">
        <f ca="1">IF(OR($D276&lt;&gt;"Serviço",AND(AUTOEVENTO="Manual",$M276=$A$15)),0,
         IF(OFFSET(CRONOPLE!$F$15,$M276-$A$15,BN$13)=0,10^12,OFFSET(CRONOPLE!$F$15,$M276-$A$15,BN$13)))</f>
        <v>1000000000000</v>
      </c>
      <c r="BO276" s="171">
        <f ca="1">IF(OR($D276&lt;&gt;"Serviço",AND(AUTOEVENTO="Manual",$M276=$A$15)),0,
         IF(OFFSET(CRONOPLE!$F$15,$M276-$A$15,BO$13)=0,10^12,OFFSET(CRONOPLE!$F$15,$M276-$A$15,BO$13)))</f>
        <v>1000000000000</v>
      </c>
      <c r="BP276" s="171">
        <f ca="1">IF(OR($D276&lt;&gt;"Serviço",AND(AUTOEVENTO="Manual",$M276=$A$15)),0,
         IF(OFFSET(CRONOPLE!$F$15,$M276-$A$15,BP$13)=0,10^12,OFFSET(CRONOPLE!$F$15,$M276-$A$15,BP$13)))</f>
        <v>1000000000000</v>
      </c>
      <c r="BQ276" s="171">
        <f ca="1">IF(OR($D276&lt;&gt;"Serviço",AND(AUTOEVENTO="Manual",$M276=$A$15)),0,
         IF(OFFSET(CRONOPLE!$F$15,$M276-$A$15,BQ$13)=0,10^12,OFFSET(CRONOPLE!$F$15,$M276-$A$15,BQ$13)))</f>
        <v>1000000000000</v>
      </c>
      <c r="BR276" s="171">
        <f ca="1">IF(OR($D276&lt;&gt;"Serviço",AND(AUTOEVENTO="Manual",$M276=$A$15)),0,
         IF(OFFSET(CRONOPLE!$F$15,$M276-$A$15,BR$13)=0,10^12,OFFSET(CRONOPLE!$F$15,$M276-$A$15,BR$13)))</f>
        <v>1000000000000</v>
      </c>
      <c r="BS276" s="171">
        <f ca="1">IF(OR($D276&lt;&gt;"Serviço",AND(AUTOEVENTO="Manual",$M276=$A$15)),0,
         IF(OFFSET(CRONOPLE!$F$15,$M276-$A$15,BS$13)=0,10^12,OFFSET(CRONOPLE!$F$15,$M276-$A$15,BS$13)))</f>
        <v>1000000000000</v>
      </c>
      <c r="BT276" s="171">
        <f ca="1">IF(OR($D276&lt;&gt;"Serviço",AND(AUTOEVENTO="Manual",$M276=$A$15)),0,
         IF(OFFSET(CRONOPLE!$F$15,$M276-$A$15,BT$13)=0,10^12,OFFSET(CRONOPLE!$F$15,$M276-$A$15,BT$13)))</f>
        <v>1000000000000</v>
      </c>
      <c r="BV276" s="172">
        <f ca="1">IF(OR($D276&lt;&gt;"Serviço",AND(AUTOEVENTO="Manual",$M276=$A$15),$M276&gt;(ROW(PLE.lastrow)-ROW(PLE.firstrow))),0,
           IF(OFFSET(PLE!$G$15,$M276-$A$15,BV$13)="",10^12,OFFSET(PLE!$G$15,$M276-$A$15,BV$13)))</f>
        <v>1000000000000</v>
      </c>
      <c r="BW276" s="172">
        <f ca="1">IF(OR($D276&lt;&gt;"Serviço",AND(AUTOEVENTO="Manual",$M276=$A$15),$M276&gt;(ROW(PLE.lastrow)-ROW(PLE.firstrow))),0,
           IF(OFFSET(PLE!$G$15,$M276-$A$15,BW$13)="",10^12,OFFSET(PLE!$G$15,$M276-$A$15,BW$13)))</f>
        <v>1000000000000</v>
      </c>
      <c r="BX276" s="172">
        <f ca="1">IF(OR($D276&lt;&gt;"Serviço",AND(AUTOEVENTO="Manual",$M276=$A$15),$M276&gt;(ROW(PLE.lastrow)-ROW(PLE.firstrow))),0,
           IF(OFFSET(PLE!$G$15,$M276-$A$15,BX$13)="",10^12,OFFSET(PLE!$G$15,$M276-$A$15,BX$13)))</f>
        <v>1000000000000</v>
      </c>
      <c r="BY276" s="172">
        <f ca="1">IF(OR($D276&lt;&gt;"Serviço",AND(AUTOEVENTO="Manual",$M276=$A$15),$M276&gt;(ROW(PLE.lastrow)-ROW(PLE.firstrow))),0,
           IF(OFFSET(PLE!$G$15,$M276-$A$15,BY$13)="",10^12,OFFSET(PLE!$G$15,$M276-$A$15,BY$13)))</f>
        <v>1000000000000</v>
      </c>
      <c r="BZ276" s="172">
        <f ca="1">IF(OR($D276&lt;&gt;"Serviço",AND(AUTOEVENTO="Manual",$M276=$A$15),$M276&gt;(ROW(PLE.lastrow)-ROW(PLE.firstrow))),0,
           IF(OFFSET(PLE!$G$15,$M276-$A$15,BZ$13)="",10^12,OFFSET(PLE!$G$15,$M276-$A$15,BZ$13)))</f>
        <v>1000000000000</v>
      </c>
      <c r="CA276" s="172">
        <f ca="1">IF(OR($D276&lt;&gt;"Serviço",AND(AUTOEVENTO="Manual",$M276=$A$15),$M276&gt;(ROW(PLE.lastrow)-ROW(PLE.firstrow))),0,
           IF(OFFSET(PLE!$G$15,$M276-$A$15,CA$13)="",10^12,OFFSET(PLE!$G$15,$M276-$A$15,CA$13)))</f>
        <v>1000000000000</v>
      </c>
      <c r="CB276" s="172">
        <f ca="1">IF(OR($D276&lt;&gt;"Serviço",AND(AUTOEVENTO="Manual",$M276=$A$15),$M276&gt;(ROW(PLE.lastrow)-ROW(PLE.firstrow))),0,
           IF(OFFSET(PLE!$G$15,$M276-$A$15,CB$13)="",10^12,OFFSET(PLE!$G$15,$M276-$A$15,CB$13)))</f>
        <v>1000000000000</v>
      </c>
      <c r="CC276" s="172">
        <f ca="1">IF(OR($D276&lt;&gt;"Serviço",AND(AUTOEVENTO="Manual",$M276=$A$15),$M276&gt;(ROW(PLE.lastrow)-ROW(PLE.firstrow))),0,
           IF(OFFSET(PLE!$G$15,$M276-$A$15,CC$13)="",10^12,OFFSET(PLE!$G$15,$M276-$A$15,CC$13)))</f>
        <v>1000000000000</v>
      </c>
      <c r="CD276" s="172">
        <f ca="1">IF(OR($D276&lt;&gt;"Serviço",AND(AUTOEVENTO="Manual",$M276=$A$15),$M276&gt;(ROW(PLE.lastrow)-ROW(PLE.firstrow))),0,
           IF(OFFSET(PLE!$G$15,$M276-$A$15,CD$13)="",10^12,OFFSET(PLE!$G$15,$M276-$A$15,CD$13)))</f>
        <v>1000000000000</v>
      </c>
      <c r="CE276" s="172">
        <f ca="1">IF(OR($D276&lt;&gt;"Serviço",AND(AUTOEVENTO="Manual",$M276=$A$15),$M276&gt;(ROW(PLE.lastrow)-ROW(PLE.firstrow))),0,
           IF(OFFSET(PLE!$G$15,$M276-$A$15,CE$13)="",10^12,OFFSET(PLE!$G$15,$M276-$A$15,CE$13)))</f>
        <v>1000000000000</v>
      </c>
      <c r="CF276" s="172">
        <f ca="1">IF(OR($D276&lt;&gt;"Serviço",AND(AUTOEVENTO="Manual",$M276=$A$15),$M276&gt;(ROW(PLE.lastrow)-ROW(PLE.firstrow))),0,
           IF(OFFSET(PLE!$G$15,$M276-$A$15,CF$13)="",10^12,OFFSET(PLE!$G$15,$M276-$A$15,CF$13)))</f>
        <v>1000000000000</v>
      </c>
      <c r="CG276" s="172">
        <f ca="1">IF(OR($D276&lt;&gt;"Serviço",AND(AUTOEVENTO="Manual",$M276=$A$15),$M276&gt;(ROW(PLE.lastrow)-ROW(PLE.firstrow))),0,
           IF(OFFSET(PLE!$G$15,$M276-$A$15,CG$13)="",10^12,OFFSET(PLE!$G$15,$M276-$A$15,CG$13)))</f>
        <v>1000000000000</v>
      </c>
      <c r="CH276" s="172">
        <f ca="1">IF(OR($D276&lt;&gt;"Serviço",AND(AUTOEVENTO="Manual",$M276=$A$15),$M276&gt;(ROW(PLE.lastrow)-ROW(PLE.firstrow))),0,
           IF(OFFSET(PLE!$G$15,$M276-$A$15,CH$13)="",10^12,OFFSET(PLE!$G$15,$M276-$A$15,CH$13)))</f>
        <v>1000000000000</v>
      </c>
      <c r="CI276" s="172">
        <f ca="1">IF(OR($D276&lt;&gt;"Serviço",AND(AUTOEVENTO="Manual",$M276=$A$15),$M276&gt;(ROW(PLE.lastrow)-ROW(PLE.firstrow))),0,
           IF(OFFSET(PLE!$G$15,$M276-$A$15,CI$13)="",10^12,OFFSET(PLE!$G$15,$M276-$A$15,CI$13)))</f>
        <v>1000000000000</v>
      </c>
      <c r="CJ276" s="172">
        <f ca="1">IF(OR($D276&lt;&gt;"Serviço",AND(AUTOEVENTO="Manual",$M276=$A$15),$M276&gt;(ROW(PLE.lastrow)-ROW(PLE.firstrow))),0,
           IF(OFFSET(PLE!$G$15,$M276-$A$15,CJ$13)="",10^12,OFFSET(PLE!$G$15,$M276-$A$15,CJ$13)))</f>
        <v>1000000000000</v>
      </c>
      <c r="CK276" s="172">
        <f ca="1">IF(OR($D276&lt;&gt;"Serviço",AND(AUTOEVENTO="Manual",$M276=$A$15),$M276&gt;(ROW(PLE.lastrow)-ROW(PLE.firstrow))),0,
           IF(OFFSET(PLE!$G$15,$M276-$A$15,CK$13)="",10^12,OFFSET(PLE!$G$15,$M276-$A$15,CK$13)))</f>
        <v>1000000000000</v>
      </c>
      <c r="CL276" s="172">
        <f ca="1">IF(OR($D276&lt;&gt;"Serviço",AND(AUTOEVENTO="Manual",$M276=$A$15),$M276&gt;(ROW(PLE.lastrow)-ROW(PLE.firstrow))),0,
           IF(OFFSET(PLE!$G$15,$M276-$A$15,CL$13)="",10^12,OFFSET(PLE!$G$15,$M276-$A$15,CL$13)))</f>
        <v>1000000000000</v>
      </c>
      <c r="CM276" s="172">
        <f ca="1">IF(OR($D276&lt;&gt;"Serviço",AND(AUTOEVENTO="Manual",$M276=$A$15),$M276&gt;(ROW(PLE.lastrow)-ROW(PLE.firstrow))),0,
           IF(OFFSET(PLE!$G$15,$M276-$A$15,CM$13)="",10^12,OFFSET(PLE!$G$15,$M276-$A$15,CM$13)))</f>
        <v>1000000000000</v>
      </c>
    </row>
    <row r="277" spans="1:91" ht="12.75" x14ac:dyDescent="0.2">
      <c r="A277" s="7">
        <f t="shared" ref="A277:A338" ca="1" si="14">IFERROR(IF(AUTOEVENTO="Manual",IF(K277&lt;&gt;"",MIN(VALUE(LEFT(K277,FIND(".",K277)-1)),COUNTA(EVENTOS.Lista)),0),IF(OR($B277&gt;AUTOEVENTO,$B277="S",$B277=0),SUBSTITUTE(OFFSET($A277,-1,0),IF($D277="Serviço",".",""),""),ROW(A277)-ROW($A$15)&amp;".")),0)</f>
        <v>7</v>
      </c>
      <c r="B277" s="7">
        <f ca="1">OFFSET(ORÇAMENTO!C$15,ROW(B277)-ROW(B$15),0)</f>
        <v>3</v>
      </c>
      <c r="C277" s="7" t="str">
        <f ca="1">OFFSET(ORÇAMENTO!L$15,ROW(C277)-ROW(C$15),0)</f>
        <v>F</v>
      </c>
      <c r="D277" s="116" t="str">
        <f ca="1">OFFSET(ORÇAMENTO!N$15,ROW(D277)-ROW(D$15),0)</f>
        <v>Nível 3</v>
      </c>
      <c r="E277" s="117" t="str">
        <f ca="1">OFFSET(ORÇAMENTO!O$15,ROW(E277)-ROW(E$15),0)</f>
        <v>1.7.3.</v>
      </c>
      <c r="F277" s="163" t="str">
        <f ca="1">OFFSET(ORÇAMENTO!R$15,ROW(F277)-ROW(F$15),0)</f>
        <v>LEITO DE SECAGEM DE ESCUMA</v>
      </c>
      <c r="G277" s="164" t="str">
        <f ca="1">IF($D277&lt;&gt;"Serviço","",OFFSET(ORÇAMENTO!S$15,ROW(G277)-ROW(G$15),0))</f>
        <v/>
      </c>
      <c r="H277" s="122" cm="1">
        <f t="array" aca="1" ref="H277" ca="1">IF($D277&lt;&gt;"Serviço",0,IF(ACOMPANHAMENTO="BM",ROUND(OFFSET(ORÇAMENTO!AJ$15,ROW(H277)-ROW(H$15),0),15-13*ORÇAMENTO!$AF$7),SUMPRODUCT(($Q$1:$AI$1=1)*ROUND($Q277:$AI277,15-13*ORÇAMENTO!$AF$7))))</f>
        <v>0</v>
      </c>
      <c r="I277" s="468"/>
      <c r="J277" s="640" t="str" cm="1">
        <f t="array" aca="1" ref="J277" ca="1">IF(OR(B277&lt;&gt;"S",CÁLCULO.FrentesPreenchidas=0),"",IF(AND(ACOMPANHAMENTO="PLE",AUTOEVENTO="Manual",OR(H277&gt;0,ORÇAMENTO!AC277="QUANT."),OR(K277="",M277=0,N277="")),"►E",IF(AND(ACOMPANHAMENTO="PLE",ORÇAMENTO!AC277="QUANT."),"►Q",IF(AND(ACOMPANHAMENTO="PLE",H277&lt;&gt;SUMPRODUCT(($Q$1:$AI$1=1)*ROUND(Q277:AI277,15))),"►S",IF(AND(COUNTIF($P$11:$AI$11,"▼")=0,H277&gt;0,I277=""),"◄M","")))))</f>
        <v/>
      </c>
      <c r="K277" s="641" t="s">
        <v>1365</v>
      </c>
      <c r="L277" s="165" t="s">
        <v>764</v>
      </c>
      <c r="M277" s="166" t="str">
        <f ca="1">IF($D277&lt;&gt;"Serviço","",
          IF(AUTOEVENTO="manual",$A277,
                IF(ISERROR(MATCH($A277,$A$15:OFFSET($A277,-1,0),0)),MAX($M$15:OFFSET(M277,-1,0))+1,
                      INDEX($M$15:OFFSET(M277,-1,0),MATCH($A277,$A$15:OFFSET($A277,-1,0),0)))))</f>
        <v/>
      </c>
      <c r="N277" s="167" t="str">
        <f ca="1">IF($D277&lt;&gt;"Serviço","",
         IF(AUTOEVENTO="Manual",
                IF($A277=0,"&lt;-- defina o número do agrupador",
                       OFFSET(EVENTOS!$D$15,$A277-$A$15,0)),
                OFFSET($F$15,$A277,0)))</f>
        <v/>
      </c>
      <c r="O277" s="168"/>
      <c r="Q277" s="168"/>
      <c r="R277" s="169"/>
      <c r="S277" s="169"/>
      <c r="T277" s="169"/>
      <c r="U277" s="169"/>
      <c r="V277" s="169"/>
      <c r="W277" s="169"/>
      <c r="X277" s="169"/>
      <c r="Y277" s="169"/>
      <c r="Z277" s="170"/>
      <c r="AA277" s="169"/>
      <c r="AB277" s="169"/>
      <c r="AC277" s="169"/>
      <c r="AD277" s="169"/>
      <c r="AE277" s="169"/>
      <c r="AF277" s="169"/>
      <c r="AG277" s="169"/>
      <c r="AH277" s="170"/>
      <c r="AJ277" s="453">
        <f ca="1">IF(AND($D277="Serviço",AJ$12&lt;&gt;0,$H277&gt;0,OR(AUTOEVENTO&lt;&gt;"manual",$M277&lt;&gt;$A$15)),
        IF(Import.TipoArredondamento&lt;&gt;"TransfereGOV",
              ROUND(OFFSET($P277,0,AJ$13),15-13*ORÇAMENTO!$AF$7)/$H277*OFFSET(ORÇAMENTO!$X$15,ROW(AJ277)-ROW(AJ$15),0),
              ROUND(ROUND(OFFSET($P277,0,AJ$13),15-13*ORÇAMENTO!$AF$7)*OFFSET(ORÇAMENTO!$W$15,ROW(AJ277)-ROW(AJ$15),0),15-13*ORÇAMENTO!$AF$11)),
         0)</f>
        <v>0</v>
      </c>
      <c r="AK277" s="453">
        <f ca="1">IF(AND($D277="Serviço",AK$12&lt;&gt;0,$H277&gt;0,OR(AUTOEVENTO&lt;&gt;"manual",$M277&lt;&gt;$A$15)),
        IF(Import.TipoArredondamento&lt;&gt;"TransfereGOV",
              ROUND(OFFSET($P277,0,AK$13),15-13*ORÇAMENTO!$AF$7)/$H277*OFFSET(ORÇAMENTO!$X$15,ROW(AK277)-ROW(AK$15),0),
              ROUND(ROUND(OFFSET($P277,0,AK$13),15-13*ORÇAMENTO!$AF$7)*OFFSET(ORÇAMENTO!$W$15,ROW(AK277)-ROW(AK$15),0),15-13*ORÇAMENTO!$AF$11)),
         0)</f>
        <v>0</v>
      </c>
      <c r="AL277" s="453">
        <f ca="1">IF(AND($D277="Serviço",AL$12&lt;&gt;0,$H277&gt;0,OR(AUTOEVENTO&lt;&gt;"manual",$M277&lt;&gt;$A$15)),
        IF(Import.TipoArredondamento&lt;&gt;"TransfereGOV",
              ROUND(OFFSET($P277,0,AL$13),15-13*ORÇAMENTO!$AF$7)/$H277*OFFSET(ORÇAMENTO!$X$15,ROW(AL277)-ROW(AL$15),0),
              ROUND(ROUND(OFFSET($P277,0,AL$13),15-13*ORÇAMENTO!$AF$7)*OFFSET(ORÇAMENTO!$W$15,ROW(AL277)-ROW(AL$15),0),15-13*ORÇAMENTO!$AF$11)),
         0)</f>
        <v>0</v>
      </c>
      <c r="AM277" s="453">
        <f ca="1">IF(AND($D277="Serviço",AM$12&lt;&gt;0,$H277&gt;0,OR(AUTOEVENTO&lt;&gt;"manual",$M277&lt;&gt;$A$15)),
        IF(Import.TipoArredondamento&lt;&gt;"TransfereGOV",
              ROUND(OFFSET($P277,0,AM$13),15-13*ORÇAMENTO!$AF$7)/$H277*OFFSET(ORÇAMENTO!$X$15,ROW(AM277)-ROW(AM$15),0),
              ROUND(ROUND(OFFSET($P277,0,AM$13),15-13*ORÇAMENTO!$AF$7)*OFFSET(ORÇAMENTO!$W$15,ROW(AM277)-ROW(AM$15),0),15-13*ORÇAMENTO!$AF$11)),
         0)</f>
        <v>0</v>
      </c>
      <c r="AN277" s="453">
        <f ca="1">IF(AND($D277="Serviço",AN$12&lt;&gt;0,$H277&gt;0,OR(AUTOEVENTO&lt;&gt;"manual",$M277&lt;&gt;$A$15)),
        IF(Import.TipoArredondamento&lt;&gt;"TransfereGOV",
              ROUND(OFFSET($P277,0,AN$13),15-13*ORÇAMENTO!$AF$7)/$H277*OFFSET(ORÇAMENTO!$X$15,ROW(AN277)-ROW(AN$15),0),
              ROUND(ROUND(OFFSET($P277,0,AN$13),15-13*ORÇAMENTO!$AF$7)*OFFSET(ORÇAMENTO!$W$15,ROW(AN277)-ROW(AN$15),0),15-13*ORÇAMENTO!$AF$11)),
         0)</f>
        <v>0</v>
      </c>
      <c r="AO277" s="453">
        <f ca="1">IF(AND($D277="Serviço",AO$12&lt;&gt;0,$H277&gt;0,OR(AUTOEVENTO&lt;&gt;"manual",$M277&lt;&gt;$A$15)),
        IF(Import.TipoArredondamento&lt;&gt;"TransfereGOV",
              ROUND(OFFSET($P277,0,AO$13),15-13*ORÇAMENTO!$AF$7)/$H277*OFFSET(ORÇAMENTO!$X$15,ROW(AO277)-ROW(AO$15),0),
              ROUND(ROUND(OFFSET($P277,0,AO$13),15-13*ORÇAMENTO!$AF$7)*OFFSET(ORÇAMENTO!$W$15,ROW(AO277)-ROW(AO$15),0),15-13*ORÇAMENTO!$AF$11)),
         0)</f>
        <v>0</v>
      </c>
      <c r="AP277" s="453">
        <f ca="1">IF(AND($D277="Serviço",AP$12&lt;&gt;0,$H277&gt;0,OR(AUTOEVENTO&lt;&gt;"manual",$M277&lt;&gt;$A$15)),
        IF(Import.TipoArredondamento&lt;&gt;"TransfereGOV",
              ROUND(OFFSET($P277,0,AP$13),15-13*ORÇAMENTO!$AF$7)/$H277*OFFSET(ORÇAMENTO!$X$15,ROW(AP277)-ROW(AP$15),0),
              ROUND(ROUND(OFFSET($P277,0,AP$13),15-13*ORÇAMENTO!$AF$7)*OFFSET(ORÇAMENTO!$W$15,ROW(AP277)-ROW(AP$15),0),15-13*ORÇAMENTO!$AF$11)),
         0)</f>
        <v>0</v>
      </c>
      <c r="AQ277" s="453">
        <f ca="1">IF(AND($D277="Serviço",AQ$12&lt;&gt;0,$H277&gt;0,OR(AUTOEVENTO&lt;&gt;"manual",$M277&lt;&gt;$A$15)),
        IF(Import.TipoArredondamento&lt;&gt;"TransfereGOV",
              ROUND(OFFSET($P277,0,AQ$13),15-13*ORÇAMENTO!$AF$7)/$H277*OFFSET(ORÇAMENTO!$X$15,ROW(AQ277)-ROW(AQ$15),0),
              ROUND(ROUND(OFFSET($P277,0,AQ$13),15-13*ORÇAMENTO!$AF$7)*OFFSET(ORÇAMENTO!$W$15,ROW(AQ277)-ROW(AQ$15),0),15-13*ORÇAMENTO!$AF$11)),
         0)</f>
        <v>0</v>
      </c>
      <c r="AR277" s="453">
        <f ca="1">IF(AND($D277="Serviço",AR$12&lt;&gt;0,$H277&gt;0,OR(AUTOEVENTO&lt;&gt;"manual",$M277&lt;&gt;$A$15)),
        IF(Import.TipoArredondamento&lt;&gt;"TransfereGOV",
              ROUND(OFFSET($P277,0,AR$13),15-13*ORÇAMENTO!$AF$7)/$H277*OFFSET(ORÇAMENTO!$X$15,ROW(AR277)-ROW(AR$15),0),
              ROUND(ROUND(OFFSET($P277,0,AR$13),15-13*ORÇAMENTO!$AF$7)*OFFSET(ORÇAMENTO!$W$15,ROW(AR277)-ROW(AR$15),0),15-13*ORÇAMENTO!$AF$11)),
         0)</f>
        <v>0</v>
      </c>
      <c r="AS277" s="453">
        <f ca="1">IF(AND($D277="Serviço",AS$12&lt;&gt;0,$H277&gt;0,OR(AUTOEVENTO&lt;&gt;"manual",$M277&lt;&gt;$A$15)),
        IF(Import.TipoArredondamento&lt;&gt;"TransfereGOV",
              ROUND(OFFSET($P277,0,AS$13),15-13*ORÇAMENTO!$AF$7)/$H277*OFFSET(ORÇAMENTO!$X$15,ROW(AS277)-ROW(AS$15),0),
              ROUND(ROUND(OFFSET($P277,0,AS$13),15-13*ORÇAMENTO!$AF$7)*OFFSET(ORÇAMENTO!$W$15,ROW(AS277)-ROW(AS$15),0),15-13*ORÇAMENTO!$AF$11)),
         0)</f>
        <v>0</v>
      </c>
      <c r="AT277" s="453">
        <f ca="1">IF(AND($D277="Serviço",AT$12&lt;&gt;0,$H277&gt;0,OR(AUTOEVENTO&lt;&gt;"manual",$M277&lt;&gt;$A$15)),
        IF(Import.TipoArredondamento&lt;&gt;"TransfereGOV",
              ROUND(OFFSET($P277,0,AT$13),15-13*ORÇAMENTO!$AF$7)/$H277*OFFSET(ORÇAMENTO!$X$15,ROW(AT277)-ROW(AT$15),0),
              ROUND(ROUND(OFFSET($P277,0,AT$13),15-13*ORÇAMENTO!$AF$7)*OFFSET(ORÇAMENTO!$W$15,ROW(AT277)-ROW(AT$15),0),15-13*ORÇAMENTO!$AF$11)),
         0)</f>
        <v>0</v>
      </c>
      <c r="AU277" s="453">
        <f ca="1">IF(AND($D277="Serviço",AU$12&lt;&gt;0,$H277&gt;0,OR(AUTOEVENTO&lt;&gt;"manual",$M277&lt;&gt;$A$15)),
        IF(Import.TipoArredondamento&lt;&gt;"TransfereGOV",
              ROUND(OFFSET($P277,0,AU$13),15-13*ORÇAMENTO!$AF$7)/$H277*OFFSET(ORÇAMENTO!$X$15,ROW(AU277)-ROW(AU$15),0),
              ROUND(ROUND(OFFSET($P277,0,AU$13),15-13*ORÇAMENTO!$AF$7)*OFFSET(ORÇAMENTO!$W$15,ROW(AU277)-ROW(AU$15),0),15-13*ORÇAMENTO!$AF$11)),
         0)</f>
        <v>0</v>
      </c>
      <c r="AV277" s="453">
        <f ca="1">IF(AND($D277="Serviço",AV$12&lt;&gt;0,$H277&gt;0,OR(AUTOEVENTO&lt;&gt;"manual",$M277&lt;&gt;$A$15)),
        IF(Import.TipoArredondamento&lt;&gt;"TransfereGOV",
              ROUND(OFFSET($P277,0,AV$13),15-13*ORÇAMENTO!$AF$7)/$H277*OFFSET(ORÇAMENTO!$X$15,ROW(AV277)-ROW(AV$15),0),
              ROUND(ROUND(OFFSET($P277,0,AV$13),15-13*ORÇAMENTO!$AF$7)*OFFSET(ORÇAMENTO!$W$15,ROW(AV277)-ROW(AV$15),0),15-13*ORÇAMENTO!$AF$11)),
         0)</f>
        <v>0</v>
      </c>
      <c r="AW277" s="453">
        <f ca="1">IF(AND($D277="Serviço",AW$12&lt;&gt;0,$H277&gt;0,OR(AUTOEVENTO&lt;&gt;"manual",$M277&lt;&gt;$A$15)),
        IF(Import.TipoArredondamento&lt;&gt;"TransfereGOV",
              ROUND(OFFSET($P277,0,AW$13),15-13*ORÇAMENTO!$AF$7)/$H277*OFFSET(ORÇAMENTO!$X$15,ROW(AW277)-ROW(AW$15),0),
              ROUND(ROUND(OFFSET($P277,0,AW$13),15-13*ORÇAMENTO!$AF$7)*OFFSET(ORÇAMENTO!$W$15,ROW(AW277)-ROW(AW$15),0),15-13*ORÇAMENTO!$AF$11)),
         0)</f>
        <v>0</v>
      </c>
      <c r="AX277" s="453">
        <f ca="1">IF(AND($D277="Serviço",AX$12&lt;&gt;0,$H277&gt;0,OR(AUTOEVENTO&lt;&gt;"manual",$M277&lt;&gt;$A$15)),
        IF(Import.TipoArredondamento&lt;&gt;"TransfereGOV",
              ROUND(OFFSET($P277,0,AX$13),15-13*ORÇAMENTO!$AF$7)/$H277*OFFSET(ORÇAMENTO!$X$15,ROW(AX277)-ROW(AX$15),0),
              ROUND(ROUND(OFFSET($P277,0,AX$13),15-13*ORÇAMENTO!$AF$7)*OFFSET(ORÇAMENTO!$W$15,ROW(AX277)-ROW(AX$15),0),15-13*ORÇAMENTO!$AF$11)),
         0)</f>
        <v>0</v>
      </c>
      <c r="AY277" s="453">
        <f ca="1">IF(AND($D277="Serviço",AY$12&lt;&gt;0,$H277&gt;0,OR(AUTOEVENTO&lt;&gt;"manual",$M277&lt;&gt;$A$15)),
        IF(Import.TipoArredondamento&lt;&gt;"TransfereGOV",
              ROUND(OFFSET($P277,0,AY$13),15-13*ORÇAMENTO!$AF$7)/$H277*OFFSET(ORÇAMENTO!$X$15,ROW(AY277)-ROW(AY$15),0),
              ROUND(ROUND(OFFSET($P277,0,AY$13),15-13*ORÇAMENTO!$AF$7)*OFFSET(ORÇAMENTO!$W$15,ROW(AY277)-ROW(AY$15),0),15-13*ORÇAMENTO!$AF$11)),
         0)</f>
        <v>0</v>
      </c>
      <c r="AZ277" s="453">
        <f ca="1">IF(AND($D277="Serviço",AZ$12&lt;&gt;0,$H277&gt;0,OR(AUTOEVENTO&lt;&gt;"manual",$M277&lt;&gt;$A$15)),
        IF(Import.TipoArredondamento&lt;&gt;"TransfereGOV",
              ROUND(OFFSET($P277,0,AZ$13),15-13*ORÇAMENTO!$AF$7)/$H277*OFFSET(ORÇAMENTO!$X$15,ROW(AZ277)-ROW(AZ$15),0),
              ROUND(ROUND(OFFSET($P277,0,AZ$13),15-13*ORÇAMENTO!$AF$7)*OFFSET(ORÇAMENTO!$W$15,ROW(AZ277)-ROW(AZ$15),0),15-13*ORÇAMENTO!$AF$11)),
         0)</f>
        <v>0</v>
      </c>
      <c r="BA277" s="453">
        <f ca="1">IF(AND($D277="Serviço",BA$12&lt;&gt;0,$H277&gt;0,OR(AUTOEVENTO&lt;&gt;"manual",$M277&lt;&gt;$A$15)),
        IF(Import.TipoArredondamento&lt;&gt;"TransfereGOV",
              ROUND(OFFSET($P277,0,BA$13),15-13*ORÇAMENTO!$AF$7)/$H277*OFFSET(ORÇAMENTO!$X$15,ROW(BA277)-ROW(BA$15),0),
              ROUND(ROUND(OFFSET($P277,0,BA$13),15-13*ORÇAMENTO!$AF$7)*OFFSET(ORÇAMENTO!$W$15,ROW(BA277)-ROW(BA$15),0),15-13*ORÇAMENTO!$AF$11)),
         0)</f>
        <v>0</v>
      </c>
      <c r="BC277" s="171">
        <f ca="1">IF(OR($D277&lt;&gt;"Serviço",AND(AUTOEVENTO="Manual",$M277=$A$15)),0,
         IF(OFFSET(CRONOPLE!$F$15,$M277-$A$15,BC$13)=0,10^12,OFFSET(CRONOPLE!$F$15,$M277-$A$15,BC$13)))</f>
        <v>0</v>
      </c>
      <c r="BD277" s="171">
        <f ca="1">IF(OR($D277&lt;&gt;"Serviço",AND(AUTOEVENTO="Manual",$M277=$A$15)),0,
         IF(OFFSET(CRONOPLE!$F$15,$M277-$A$15,BD$13)=0,10^12,OFFSET(CRONOPLE!$F$15,$M277-$A$15,BD$13)))</f>
        <v>0</v>
      </c>
      <c r="BE277" s="171">
        <f ca="1">IF(OR($D277&lt;&gt;"Serviço",AND(AUTOEVENTO="Manual",$M277=$A$15)),0,
         IF(OFFSET(CRONOPLE!$F$15,$M277-$A$15,BE$13)=0,10^12,OFFSET(CRONOPLE!$F$15,$M277-$A$15,BE$13)))</f>
        <v>0</v>
      </c>
      <c r="BF277" s="171">
        <f ca="1">IF(OR($D277&lt;&gt;"Serviço",AND(AUTOEVENTO="Manual",$M277=$A$15)),0,
         IF(OFFSET(CRONOPLE!$F$15,$M277-$A$15,BF$13)=0,10^12,OFFSET(CRONOPLE!$F$15,$M277-$A$15,BF$13)))</f>
        <v>0</v>
      </c>
      <c r="BG277" s="171">
        <f ca="1">IF(OR($D277&lt;&gt;"Serviço",AND(AUTOEVENTO="Manual",$M277=$A$15)),0,
         IF(OFFSET(CRONOPLE!$F$15,$M277-$A$15,BG$13)=0,10^12,OFFSET(CRONOPLE!$F$15,$M277-$A$15,BG$13)))</f>
        <v>0</v>
      </c>
      <c r="BH277" s="171">
        <f ca="1">IF(OR($D277&lt;&gt;"Serviço",AND(AUTOEVENTO="Manual",$M277=$A$15)),0,
         IF(OFFSET(CRONOPLE!$F$15,$M277-$A$15,BH$13)=0,10^12,OFFSET(CRONOPLE!$F$15,$M277-$A$15,BH$13)))</f>
        <v>0</v>
      </c>
      <c r="BI277" s="171">
        <f ca="1">IF(OR($D277&lt;&gt;"Serviço",AND(AUTOEVENTO="Manual",$M277=$A$15)),0,
         IF(OFFSET(CRONOPLE!$F$15,$M277-$A$15,BI$13)=0,10^12,OFFSET(CRONOPLE!$F$15,$M277-$A$15,BI$13)))</f>
        <v>0</v>
      </c>
      <c r="BJ277" s="171">
        <f ca="1">IF(OR($D277&lt;&gt;"Serviço",AND(AUTOEVENTO="Manual",$M277=$A$15)),0,
         IF(OFFSET(CRONOPLE!$F$15,$M277-$A$15,BJ$13)=0,10^12,OFFSET(CRONOPLE!$F$15,$M277-$A$15,BJ$13)))</f>
        <v>0</v>
      </c>
      <c r="BK277" s="171">
        <f ca="1">IF(OR($D277&lt;&gt;"Serviço",AND(AUTOEVENTO="Manual",$M277=$A$15)),0,
         IF(OFFSET(CRONOPLE!$F$15,$M277-$A$15,BK$13)=0,10^12,OFFSET(CRONOPLE!$F$15,$M277-$A$15,BK$13)))</f>
        <v>0</v>
      </c>
      <c r="BL277" s="171">
        <f ca="1">IF(OR($D277&lt;&gt;"Serviço",AND(AUTOEVENTO="Manual",$M277=$A$15)),0,
         IF(OFFSET(CRONOPLE!$F$15,$M277-$A$15,BL$13)=0,10^12,OFFSET(CRONOPLE!$F$15,$M277-$A$15,BL$13)))</f>
        <v>0</v>
      </c>
      <c r="BM277" s="171">
        <f ca="1">IF(OR($D277&lt;&gt;"Serviço",AND(AUTOEVENTO="Manual",$M277=$A$15)),0,
         IF(OFFSET(CRONOPLE!$F$15,$M277-$A$15,BM$13)=0,10^12,OFFSET(CRONOPLE!$F$15,$M277-$A$15,BM$13)))</f>
        <v>0</v>
      </c>
      <c r="BN277" s="171">
        <f ca="1">IF(OR($D277&lt;&gt;"Serviço",AND(AUTOEVENTO="Manual",$M277=$A$15)),0,
         IF(OFFSET(CRONOPLE!$F$15,$M277-$A$15,BN$13)=0,10^12,OFFSET(CRONOPLE!$F$15,$M277-$A$15,BN$13)))</f>
        <v>0</v>
      </c>
      <c r="BO277" s="171">
        <f ca="1">IF(OR($D277&lt;&gt;"Serviço",AND(AUTOEVENTO="Manual",$M277=$A$15)),0,
         IF(OFFSET(CRONOPLE!$F$15,$M277-$A$15,BO$13)=0,10^12,OFFSET(CRONOPLE!$F$15,$M277-$A$15,BO$13)))</f>
        <v>0</v>
      </c>
      <c r="BP277" s="171">
        <f ca="1">IF(OR($D277&lt;&gt;"Serviço",AND(AUTOEVENTO="Manual",$M277=$A$15)),0,
         IF(OFFSET(CRONOPLE!$F$15,$M277-$A$15,BP$13)=0,10^12,OFFSET(CRONOPLE!$F$15,$M277-$A$15,BP$13)))</f>
        <v>0</v>
      </c>
      <c r="BQ277" s="171">
        <f ca="1">IF(OR($D277&lt;&gt;"Serviço",AND(AUTOEVENTO="Manual",$M277=$A$15)),0,
         IF(OFFSET(CRONOPLE!$F$15,$M277-$A$15,BQ$13)=0,10^12,OFFSET(CRONOPLE!$F$15,$M277-$A$15,BQ$13)))</f>
        <v>0</v>
      </c>
      <c r="BR277" s="171">
        <f ca="1">IF(OR($D277&lt;&gt;"Serviço",AND(AUTOEVENTO="Manual",$M277=$A$15)),0,
         IF(OFFSET(CRONOPLE!$F$15,$M277-$A$15,BR$13)=0,10^12,OFFSET(CRONOPLE!$F$15,$M277-$A$15,BR$13)))</f>
        <v>0</v>
      </c>
      <c r="BS277" s="171">
        <f ca="1">IF(OR($D277&lt;&gt;"Serviço",AND(AUTOEVENTO="Manual",$M277=$A$15)),0,
         IF(OFFSET(CRONOPLE!$F$15,$M277-$A$15,BS$13)=0,10^12,OFFSET(CRONOPLE!$F$15,$M277-$A$15,BS$13)))</f>
        <v>0</v>
      </c>
      <c r="BT277" s="171">
        <f ca="1">IF(OR($D277&lt;&gt;"Serviço",AND(AUTOEVENTO="Manual",$M277=$A$15)),0,
         IF(OFFSET(CRONOPLE!$F$15,$M277-$A$15,BT$13)=0,10^12,OFFSET(CRONOPLE!$F$15,$M277-$A$15,BT$13)))</f>
        <v>0</v>
      </c>
      <c r="BV277" s="172">
        <f ca="1">IF(OR($D277&lt;&gt;"Serviço",AND(AUTOEVENTO="Manual",$M277=$A$15),$M277&gt;(ROW(PLE.lastrow)-ROW(PLE.firstrow))),0,
           IF(OFFSET(PLE!$G$15,$M277-$A$15,BV$13)="",10^12,OFFSET(PLE!$G$15,$M277-$A$15,BV$13)))</f>
        <v>0</v>
      </c>
      <c r="BW277" s="172">
        <f ca="1">IF(OR($D277&lt;&gt;"Serviço",AND(AUTOEVENTO="Manual",$M277=$A$15),$M277&gt;(ROW(PLE.lastrow)-ROW(PLE.firstrow))),0,
           IF(OFFSET(PLE!$G$15,$M277-$A$15,BW$13)="",10^12,OFFSET(PLE!$G$15,$M277-$A$15,BW$13)))</f>
        <v>0</v>
      </c>
      <c r="BX277" s="172">
        <f ca="1">IF(OR($D277&lt;&gt;"Serviço",AND(AUTOEVENTO="Manual",$M277=$A$15),$M277&gt;(ROW(PLE.lastrow)-ROW(PLE.firstrow))),0,
           IF(OFFSET(PLE!$G$15,$M277-$A$15,BX$13)="",10^12,OFFSET(PLE!$G$15,$M277-$A$15,BX$13)))</f>
        <v>0</v>
      </c>
      <c r="BY277" s="172">
        <f ca="1">IF(OR($D277&lt;&gt;"Serviço",AND(AUTOEVENTO="Manual",$M277=$A$15),$M277&gt;(ROW(PLE.lastrow)-ROW(PLE.firstrow))),0,
           IF(OFFSET(PLE!$G$15,$M277-$A$15,BY$13)="",10^12,OFFSET(PLE!$G$15,$M277-$A$15,BY$13)))</f>
        <v>0</v>
      </c>
      <c r="BZ277" s="172">
        <f ca="1">IF(OR($D277&lt;&gt;"Serviço",AND(AUTOEVENTO="Manual",$M277=$A$15),$M277&gt;(ROW(PLE.lastrow)-ROW(PLE.firstrow))),0,
           IF(OFFSET(PLE!$G$15,$M277-$A$15,BZ$13)="",10^12,OFFSET(PLE!$G$15,$M277-$A$15,BZ$13)))</f>
        <v>0</v>
      </c>
      <c r="CA277" s="172">
        <f ca="1">IF(OR($D277&lt;&gt;"Serviço",AND(AUTOEVENTO="Manual",$M277=$A$15),$M277&gt;(ROW(PLE.lastrow)-ROW(PLE.firstrow))),0,
           IF(OFFSET(PLE!$G$15,$M277-$A$15,CA$13)="",10^12,OFFSET(PLE!$G$15,$M277-$A$15,CA$13)))</f>
        <v>0</v>
      </c>
      <c r="CB277" s="172">
        <f ca="1">IF(OR($D277&lt;&gt;"Serviço",AND(AUTOEVENTO="Manual",$M277=$A$15),$M277&gt;(ROW(PLE.lastrow)-ROW(PLE.firstrow))),0,
           IF(OFFSET(PLE!$G$15,$M277-$A$15,CB$13)="",10^12,OFFSET(PLE!$G$15,$M277-$A$15,CB$13)))</f>
        <v>0</v>
      </c>
      <c r="CC277" s="172">
        <f ca="1">IF(OR($D277&lt;&gt;"Serviço",AND(AUTOEVENTO="Manual",$M277=$A$15),$M277&gt;(ROW(PLE.lastrow)-ROW(PLE.firstrow))),0,
           IF(OFFSET(PLE!$G$15,$M277-$A$15,CC$13)="",10^12,OFFSET(PLE!$G$15,$M277-$A$15,CC$13)))</f>
        <v>0</v>
      </c>
      <c r="CD277" s="172">
        <f ca="1">IF(OR($D277&lt;&gt;"Serviço",AND(AUTOEVENTO="Manual",$M277=$A$15),$M277&gt;(ROW(PLE.lastrow)-ROW(PLE.firstrow))),0,
           IF(OFFSET(PLE!$G$15,$M277-$A$15,CD$13)="",10^12,OFFSET(PLE!$G$15,$M277-$A$15,CD$13)))</f>
        <v>0</v>
      </c>
      <c r="CE277" s="172">
        <f ca="1">IF(OR($D277&lt;&gt;"Serviço",AND(AUTOEVENTO="Manual",$M277=$A$15),$M277&gt;(ROW(PLE.lastrow)-ROW(PLE.firstrow))),0,
           IF(OFFSET(PLE!$G$15,$M277-$A$15,CE$13)="",10^12,OFFSET(PLE!$G$15,$M277-$A$15,CE$13)))</f>
        <v>0</v>
      </c>
      <c r="CF277" s="172">
        <f ca="1">IF(OR($D277&lt;&gt;"Serviço",AND(AUTOEVENTO="Manual",$M277=$A$15),$M277&gt;(ROW(PLE.lastrow)-ROW(PLE.firstrow))),0,
           IF(OFFSET(PLE!$G$15,$M277-$A$15,CF$13)="",10^12,OFFSET(PLE!$G$15,$M277-$A$15,CF$13)))</f>
        <v>0</v>
      </c>
      <c r="CG277" s="172">
        <f ca="1">IF(OR($D277&lt;&gt;"Serviço",AND(AUTOEVENTO="Manual",$M277=$A$15),$M277&gt;(ROW(PLE.lastrow)-ROW(PLE.firstrow))),0,
           IF(OFFSET(PLE!$G$15,$M277-$A$15,CG$13)="",10^12,OFFSET(PLE!$G$15,$M277-$A$15,CG$13)))</f>
        <v>0</v>
      </c>
      <c r="CH277" s="172">
        <f ca="1">IF(OR($D277&lt;&gt;"Serviço",AND(AUTOEVENTO="Manual",$M277=$A$15),$M277&gt;(ROW(PLE.lastrow)-ROW(PLE.firstrow))),0,
           IF(OFFSET(PLE!$G$15,$M277-$A$15,CH$13)="",10^12,OFFSET(PLE!$G$15,$M277-$A$15,CH$13)))</f>
        <v>0</v>
      </c>
      <c r="CI277" s="172">
        <f ca="1">IF(OR($D277&lt;&gt;"Serviço",AND(AUTOEVENTO="Manual",$M277=$A$15),$M277&gt;(ROW(PLE.lastrow)-ROW(PLE.firstrow))),0,
           IF(OFFSET(PLE!$G$15,$M277-$A$15,CI$13)="",10^12,OFFSET(PLE!$G$15,$M277-$A$15,CI$13)))</f>
        <v>0</v>
      </c>
      <c r="CJ277" s="172">
        <f ca="1">IF(OR($D277&lt;&gt;"Serviço",AND(AUTOEVENTO="Manual",$M277=$A$15),$M277&gt;(ROW(PLE.lastrow)-ROW(PLE.firstrow))),0,
           IF(OFFSET(PLE!$G$15,$M277-$A$15,CJ$13)="",10^12,OFFSET(PLE!$G$15,$M277-$A$15,CJ$13)))</f>
        <v>0</v>
      </c>
      <c r="CK277" s="172">
        <f ca="1">IF(OR($D277&lt;&gt;"Serviço",AND(AUTOEVENTO="Manual",$M277=$A$15),$M277&gt;(ROW(PLE.lastrow)-ROW(PLE.firstrow))),0,
           IF(OFFSET(PLE!$G$15,$M277-$A$15,CK$13)="",10^12,OFFSET(PLE!$G$15,$M277-$A$15,CK$13)))</f>
        <v>0</v>
      </c>
      <c r="CL277" s="172">
        <f ca="1">IF(OR($D277&lt;&gt;"Serviço",AND(AUTOEVENTO="Manual",$M277=$A$15),$M277&gt;(ROW(PLE.lastrow)-ROW(PLE.firstrow))),0,
           IF(OFFSET(PLE!$G$15,$M277-$A$15,CL$13)="",10^12,OFFSET(PLE!$G$15,$M277-$A$15,CL$13)))</f>
        <v>0</v>
      </c>
      <c r="CM277" s="172">
        <f ca="1">IF(OR($D277&lt;&gt;"Serviço",AND(AUTOEVENTO="Manual",$M277=$A$15),$M277&gt;(ROW(PLE.lastrow)-ROW(PLE.firstrow))),0,
           IF(OFFSET(PLE!$G$15,$M277-$A$15,CM$13)="",10^12,OFFSET(PLE!$G$15,$M277-$A$15,CM$13)))</f>
        <v>0</v>
      </c>
    </row>
    <row r="278" spans="1:91" ht="12.75" x14ac:dyDescent="0.2">
      <c r="A278" s="7">
        <f t="shared" ca="1" si="14"/>
        <v>7</v>
      </c>
      <c r="B278" s="7">
        <f ca="1">OFFSET(ORÇAMENTO!C$15,ROW(B278)-ROW(B$15),0)</f>
        <v>4</v>
      </c>
      <c r="C278" s="7" t="str">
        <f ca="1">OFFSET(ORÇAMENTO!L$15,ROW(C278)-ROW(C$15),0)</f>
        <v>F</v>
      </c>
      <c r="D278" s="116" t="str">
        <f ca="1">OFFSET(ORÇAMENTO!N$15,ROW(D278)-ROW(D$15),0)</f>
        <v>Nível 4</v>
      </c>
      <c r="E278" s="117" t="str">
        <f ca="1">OFFSET(ORÇAMENTO!O$15,ROW(E278)-ROW(E$15),0)</f>
        <v>1.7.3.1.</v>
      </c>
      <c r="F278" s="163" t="str">
        <f ca="1">OFFSET(ORÇAMENTO!R$15,ROW(F278)-ROW(F$15),0)</f>
        <v>FORNECIMENTO DE MATERIAIS</v>
      </c>
      <c r="G278" s="164" t="str">
        <f ca="1">IF($D278&lt;&gt;"Serviço","",OFFSET(ORÇAMENTO!S$15,ROW(G278)-ROW(G$15),0))</f>
        <v/>
      </c>
      <c r="H278" s="122" cm="1">
        <f t="array" aca="1" ref="H278" ca="1">IF($D278&lt;&gt;"Serviço",0,IF(ACOMPANHAMENTO="BM",ROUND(OFFSET(ORÇAMENTO!AJ$15,ROW(H278)-ROW(H$15),0),15-13*ORÇAMENTO!$AF$7),SUMPRODUCT(($Q$1:$AI$1=1)*ROUND($Q278:$AI278,15-13*ORÇAMENTO!$AF$7))))</f>
        <v>0</v>
      </c>
      <c r="I278" s="468"/>
      <c r="J278" s="640" t="str" cm="1">
        <f t="array" aca="1" ref="J278" ca="1">IF(OR(B278&lt;&gt;"S",CÁLCULO.FrentesPreenchidas=0),"",IF(AND(ACOMPANHAMENTO="PLE",AUTOEVENTO="Manual",OR(H278&gt;0,ORÇAMENTO!AC278="QUANT."),OR(K278="",M278=0,N278="")),"►E",IF(AND(ACOMPANHAMENTO="PLE",ORÇAMENTO!AC278="QUANT."),"►Q",IF(AND(ACOMPANHAMENTO="PLE",H278&lt;&gt;SUMPRODUCT(($Q$1:$AI$1=1)*ROUND(Q278:AI278,15))),"►S",IF(AND(COUNTIF($P$11:$AI$11,"▼")=0,H278&gt;0,I278=""),"◄M","")))))</f>
        <v/>
      </c>
      <c r="K278" s="641" t="s">
        <v>1365</v>
      </c>
      <c r="L278" s="165" t="s">
        <v>764</v>
      </c>
      <c r="M278" s="166" t="str">
        <f ca="1">IF($D278&lt;&gt;"Serviço","",
          IF(AUTOEVENTO="manual",$A278,
                IF(ISERROR(MATCH($A278,$A$15:OFFSET($A278,-1,0),0)),MAX($M$15:OFFSET(M278,-1,0))+1,
                      INDEX($M$15:OFFSET(M278,-1,0),MATCH($A278,$A$15:OFFSET($A278,-1,0),0)))))</f>
        <v/>
      </c>
      <c r="N278" s="167" t="str">
        <f ca="1">IF($D278&lt;&gt;"Serviço","",
         IF(AUTOEVENTO="Manual",
                IF($A278=0,"&lt;-- defina o número do agrupador",
                       OFFSET(EVENTOS!$D$15,$A278-$A$15,0)),
                OFFSET($F$15,$A278,0)))</f>
        <v/>
      </c>
      <c r="O278" s="168"/>
      <c r="Q278" s="168"/>
      <c r="R278" s="169"/>
      <c r="S278" s="169"/>
      <c r="T278" s="169"/>
      <c r="U278" s="169"/>
      <c r="V278" s="169"/>
      <c r="W278" s="169"/>
      <c r="X278" s="169"/>
      <c r="Y278" s="169"/>
      <c r="Z278" s="170"/>
      <c r="AA278" s="169"/>
      <c r="AB278" s="169"/>
      <c r="AC278" s="169"/>
      <c r="AD278" s="169"/>
      <c r="AE278" s="169"/>
      <c r="AF278" s="169"/>
      <c r="AG278" s="169"/>
      <c r="AH278" s="170"/>
      <c r="AJ278" s="453">
        <f ca="1">IF(AND($D278="Serviço",AJ$12&lt;&gt;0,$H278&gt;0,OR(AUTOEVENTO&lt;&gt;"manual",$M278&lt;&gt;$A$15)),
        IF(Import.TipoArredondamento&lt;&gt;"TransfereGOV",
              ROUND(OFFSET($P278,0,AJ$13),15-13*ORÇAMENTO!$AF$7)/$H278*OFFSET(ORÇAMENTO!$X$15,ROW(AJ278)-ROW(AJ$15),0),
              ROUND(ROUND(OFFSET($P278,0,AJ$13),15-13*ORÇAMENTO!$AF$7)*OFFSET(ORÇAMENTO!$W$15,ROW(AJ278)-ROW(AJ$15),0),15-13*ORÇAMENTO!$AF$11)),
         0)</f>
        <v>0</v>
      </c>
      <c r="AK278" s="453">
        <f ca="1">IF(AND($D278="Serviço",AK$12&lt;&gt;0,$H278&gt;0,OR(AUTOEVENTO&lt;&gt;"manual",$M278&lt;&gt;$A$15)),
        IF(Import.TipoArredondamento&lt;&gt;"TransfereGOV",
              ROUND(OFFSET($P278,0,AK$13),15-13*ORÇAMENTO!$AF$7)/$H278*OFFSET(ORÇAMENTO!$X$15,ROW(AK278)-ROW(AK$15),0),
              ROUND(ROUND(OFFSET($P278,0,AK$13),15-13*ORÇAMENTO!$AF$7)*OFFSET(ORÇAMENTO!$W$15,ROW(AK278)-ROW(AK$15),0),15-13*ORÇAMENTO!$AF$11)),
         0)</f>
        <v>0</v>
      </c>
      <c r="AL278" s="453">
        <f ca="1">IF(AND($D278="Serviço",AL$12&lt;&gt;0,$H278&gt;0,OR(AUTOEVENTO&lt;&gt;"manual",$M278&lt;&gt;$A$15)),
        IF(Import.TipoArredondamento&lt;&gt;"TransfereGOV",
              ROUND(OFFSET($P278,0,AL$13),15-13*ORÇAMENTO!$AF$7)/$H278*OFFSET(ORÇAMENTO!$X$15,ROW(AL278)-ROW(AL$15),0),
              ROUND(ROUND(OFFSET($P278,0,AL$13),15-13*ORÇAMENTO!$AF$7)*OFFSET(ORÇAMENTO!$W$15,ROW(AL278)-ROW(AL$15),0),15-13*ORÇAMENTO!$AF$11)),
         0)</f>
        <v>0</v>
      </c>
      <c r="AM278" s="453">
        <f ca="1">IF(AND($D278="Serviço",AM$12&lt;&gt;0,$H278&gt;0,OR(AUTOEVENTO&lt;&gt;"manual",$M278&lt;&gt;$A$15)),
        IF(Import.TipoArredondamento&lt;&gt;"TransfereGOV",
              ROUND(OFFSET($P278,0,AM$13),15-13*ORÇAMENTO!$AF$7)/$H278*OFFSET(ORÇAMENTO!$X$15,ROW(AM278)-ROW(AM$15),0),
              ROUND(ROUND(OFFSET($P278,0,AM$13),15-13*ORÇAMENTO!$AF$7)*OFFSET(ORÇAMENTO!$W$15,ROW(AM278)-ROW(AM$15),0),15-13*ORÇAMENTO!$AF$11)),
         0)</f>
        <v>0</v>
      </c>
      <c r="AN278" s="453">
        <f ca="1">IF(AND($D278="Serviço",AN$12&lt;&gt;0,$H278&gt;0,OR(AUTOEVENTO&lt;&gt;"manual",$M278&lt;&gt;$A$15)),
        IF(Import.TipoArredondamento&lt;&gt;"TransfereGOV",
              ROUND(OFFSET($P278,0,AN$13),15-13*ORÇAMENTO!$AF$7)/$H278*OFFSET(ORÇAMENTO!$X$15,ROW(AN278)-ROW(AN$15),0),
              ROUND(ROUND(OFFSET($P278,0,AN$13),15-13*ORÇAMENTO!$AF$7)*OFFSET(ORÇAMENTO!$W$15,ROW(AN278)-ROW(AN$15),0),15-13*ORÇAMENTO!$AF$11)),
         0)</f>
        <v>0</v>
      </c>
      <c r="AO278" s="453">
        <f ca="1">IF(AND($D278="Serviço",AO$12&lt;&gt;0,$H278&gt;0,OR(AUTOEVENTO&lt;&gt;"manual",$M278&lt;&gt;$A$15)),
        IF(Import.TipoArredondamento&lt;&gt;"TransfereGOV",
              ROUND(OFFSET($P278,0,AO$13),15-13*ORÇAMENTO!$AF$7)/$H278*OFFSET(ORÇAMENTO!$X$15,ROW(AO278)-ROW(AO$15),0),
              ROUND(ROUND(OFFSET($P278,0,AO$13),15-13*ORÇAMENTO!$AF$7)*OFFSET(ORÇAMENTO!$W$15,ROW(AO278)-ROW(AO$15),0),15-13*ORÇAMENTO!$AF$11)),
         0)</f>
        <v>0</v>
      </c>
      <c r="AP278" s="453">
        <f ca="1">IF(AND($D278="Serviço",AP$12&lt;&gt;0,$H278&gt;0,OR(AUTOEVENTO&lt;&gt;"manual",$M278&lt;&gt;$A$15)),
        IF(Import.TipoArredondamento&lt;&gt;"TransfereGOV",
              ROUND(OFFSET($P278,0,AP$13),15-13*ORÇAMENTO!$AF$7)/$H278*OFFSET(ORÇAMENTO!$X$15,ROW(AP278)-ROW(AP$15),0),
              ROUND(ROUND(OFFSET($P278,0,AP$13),15-13*ORÇAMENTO!$AF$7)*OFFSET(ORÇAMENTO!$W$15,ROW(AP278)-ROW(AP$15),0),15-13*ORÇAMENTO!$AF$11)),
         0)</f>
        <v>0</v>
      </c>
      <c r="AQ278" s="453">
        <f ca="1">IF(AND($D278="Serviço",AQ$12&lt;&gt;0,$H278&gt;0,OR(AUTOEVENTO&lt;&gt;"manual",$M278&lt;&gt;$A$15)),
        IF(Import.TipoArredondamento&lt;&gt;"TransfereGOV",
              ROUND(OFFSET($P278,0,AQ$13),15-13*ORÇAMENTO!$AF$7)/$H278*OFFSET(ORÇAMENTO!$X$15,ROW(AQ278)-ROW(AQ$15),0),
              ROUND(ROUND(OFFSET($P278,0,AQ$13),15-13*ORÇAMENTO!$AF$7)*OFFSET(ORÇAMENTO!$W$15,ROW(AQ278)-ROW(AQ$15),0),15-13*ORÇAMENTO!$AF$11)),
         0)</f>
        <v>0</v>
      </c>
      <c r="AR278" s="453">
        <f ca="1">IF(AND($D278="Serviço",AR$12&lt;&gt;0,$H278&gt;0,OR(AUTOEVENTO&lt;&gt;"manual",$M278&lt;&gt;$A$15)),
        IF(Import.TipoArredondamento&lt;&gt;"TransfereGOV",
              ROUND(OFFSET($P278,0,AR$13),15-13*ORÇAMENTO!$AF$7)/$H278*OFFSET(ORÇAMENTO!$X$15,ROW(AR278)-ROW(AR$15),0),
              ROUND(ROUND(OFFSET($P278,0,AR$13),15-13*ORÇAMENTO!$AF$7)*OFFSET(ORÇAMENTO!$W$15,ROW(AR278)-ROW(AR$15),0),15-13*ORÇAMENTO!$AF$11)),
         0)</f>
        <v>0</v>
      </c>
      <c r="AS278" s="453">
        <f ca="1">IF(AND($D278="Serviço",AS$12&lt;&gt;0,$H278&gt;0,OR(AUTOEVENTO&lt;&gt;"manual",$M278&lt;&gt;$A$15)),
        IF(Import.TipoArredondamento&lt;&gt;"TransfereGOV",
              ROUND(OFFSET($P278,0,AS$13),15-13*ORÇAMENTO!$AF$7)/$H278*OFFSET(ORÇAMENTO!$X$15,ROW(AS278)-ROW(AS$15),0),
              ROUND(ROUND(OFFSET($P278,0,AS$13),15-13*ORÇAMENTO!$AF$7)*OFFSET(ORÇAMENTO!$W$15,ROW(AS278)-ROW(AS$15),0),15-13*ORÇAMENTO!$AF$11)),
         0)</f>
        <v>0</v>
      </c>
      <c r="AT278" s="453">
        <f ca="1">IF(AND($D278="Serviço",AT$12&lt;&gt;0,$H278&gt;0,OR(AUTOEVENTO&lt;&gt;"manual",$M278&lt;&gt;$A$15)),
        IF(Import.TipoArredondamento&lt;&gt;"TransfereGOV",
              ROUND(OFFSET($P278,0,AT$13),15-13*ORÇAMENTO!$AF$7)/$H278*OFFSET(ORÇAMENTO!$X$15,ROW(AT278)-ROW(AT$15),0),
              ROUND(ROUND(OFFSET($P278,0,AT$13),15-13*ORÇAMENTO!$AF$7)*OFFSET(ORÇAMENTO!$W$15,ROW(AT278)-ROW(AT$15),0),15-13*ORÇAMENTO!$AF$11)),
         0)</f>
        <v>0</v>
      </c>
      <c r="AU278" s="453">
        <f ca="1">IF(AND($D278="Serviço",AU$12&lt;&gt;0,$H278&gt;0,OR(AUTOEVENTO&lt;&gt;"manual",$M278&lt;&gt;$A$15)),
        IF(Import.TipoArredondamento&lt;&gt;"TransfereGOV",
              ROUND(OFFSET($P278,0,AU$13),15-13*ORÇAMENTO!$AF$7)/$H278*OFFSET(ORÇAMENTO!$X$15,ROW(AU278)-ROW(AU$15),0),
              ROUND(ROUND(OFFSET($P278,0,AU$13),15-13*ORÇAMENTO!$AF$7)*OFFSET(ORÇAMENTO!$W$15,ROW(AU278)-ROW(AU$15),0),15-13*ORÇAMENTO!$AF$11)),
         0)</f>
        <v>0</v>
      </c>
      <c r="AV278" s="453">
        <f ca="1">IF(AND($D278="Serviço",AV$12&lt;&gt;0,$H278&gt;0,OR(AUTOEVENTO&lt;&gt;"manual",$M278&lt;&gt;$A$15)),
        IF(Import.TipoArredondamento&lt;&gt;"TransfereGOV",
              ROUND(OFFSET($P278,0,AV$13),15-13*ORÇAMENTO!$AF$7)/$H278*OFFSET(ORÇAMENTO!$X$15,ROW(AV278)-ROW(AV$15),0),
              ROUND(ROUND(OFFSET($P278,0,AV$13),15-13*ORÇAMENTO!$AF$7)*OFFSET(ORÇAMENTO!$W$15,ROW(AV278)-ROW(AV$15),0),15-13*ORÇAMENTO!$AF$11)),
         0)</f>
        <v>0</v>
      </c>
      <c r="AW278" s="453">
        <f ca="1">IF(AND($D278="Serviço",AW$12&lt;&gt;0,$H278&gt;0,OR(AUTOEVENTO&lt;&gt;"manual",$M278&lt;&gt;$A$15)),
        IF(Import.TipoArredondamento&lt;&gt;"TransfereGOV",
              ROUND(OFFSET($P278,0,AW$13),15-13*ORÇAMENTO!$AF$7)/$H278*OFFSET(ORÇAMENTO!$X$15,ROW(AW278)-ROW(AW$15),0),
              ROUND(ROUND(OFFSET($P278,0,AW$13),15-13*ORÇAMENTO!$AF$7)*OFFSET(ORÇAMENTO!$W$15,ROW(AW278)-ROW(AW$15),0),15-13*ORÇAMENTO!$AF$11)),
         0)</f>
        <v>0</v>
      </c>
      <c r="AX278" s="453">
        <f ca="1">IF(AND($D278="Serviço",AX$12&lt;&gt;0,$H278&gt;0,OR(AUTOEVENTO&lt;&gt;"manual",$M278&lt;&gt;$A$15)),
        IF(Import.TipoArredondamento&lt;&gt;"TransfereGOV",
              ROUND(OFFSET($P278,0,AX$13),15-13*ORÇAMENTO!$AF$7)/$H278*OFFSET(ORÇAMENTO!$X$15,ROW(AX278)-ROW(AX$15),0),
              ROUND(ROUND(OFFSET($P278,0,AX$13),15-13*ORÇAMENTO!$AF$7)*OFFSET(ORÇAMENTO!$W$15,ROW(AX278)-ROW(AX$15),0),15-13*ORÇAMENTO!$AF$11)),
         0)</f>
        <v>0</v>
      </c>
      <c r="AY278" s="453">
        <f ca="1">IF(AND($D278="Serviço",AY$12&lt;&gt;0,$H278&gt;0,OR(AUTOEVENTO&lt;&gt;"manual",$M278&lt;&gt;$A$15)),
        IF(Import.TipoArredondamento&lt;&gt;"TransfereGOV",
              ROUND(OFFSET($P278,0,AY$13),15-13*ORÇAMENTO!$AF$7)/$H278*OFFSET(ORÇAMENTO!$X$15,ROW(AY278)-ROW(AY$15),0),
              ROUND(ROUND(OFFSET($P278,0,AY$13),15-13*ORÇAMENTO!$AF$7)*OFFSET(ORÇAMENTO!$W$15,ROW(AY278)-ROW(AY$15),0),15-13*ORÇAMENTO!$AF$11)),
         0)</f>
        <v>0</v>
      </c>
      <c r="AZ278" s="453">
        <f ca="1">IF(AND($D278="Serviço",AZ$12&lt;&gt;0,$H278&gt;0,OR(AUTOEVENTO&lt;&gt;"manual",$M278&lt;&gt;$A$15)),
        IF(Import.TipoArredondamento&lt;&gt;"TransfereGOV",
              ROUND(OFFSET($P278,0,AZ$13),15-13*ORÇAMENTO!$AF$7)/$H278*OFFSET(ORÇAMENTO!$X$15,ROW(AZ278)-ROW(AZ$15),0),
              ROUND(ROUND(OFFSET($P278,0,AZ$13),15-13*ORÇAMENTO!$AF$7)*OFFSET(ORÇAMENTO!$W$15,ROW(AZ278)-ROW(AZ$15),0),15-13*ORÇAMENTO!$AF$11)),
         0)</f>
        <v>0</v>
      </c>
      <c r="BA278" s="453">
        <f ca="1">IF(AND($D278="Serviço",BA$12&lt;&gt;0,$H278&gt;0,OR(AUTOEVENTO&lt;&gt;"manual",$M278&lt;&gt;$A$15)),
        IF(Import.TipoArredondamento&lt;&gt;"TransfereGOV",
              ROUND(OFFSET($P278,0,BA$13),15-13*ORÇAMENTO!$AF$7)/$H278*OFFSET(ORÇAMENTO!$X$15,ROW(BA278)-ROW(BA$15),0),
              ROUND(ROUND(OFFSET($P278,0,BA$13),15-13*ORÇAMENTO!$AF$7)*OFFSET(ORÇAMENTO!$W$15,ROW(BA278)-ROW(BA$15),0),15-13*ORÇAMENTO!$AF$11)),
         0)</f>
        <v>0</v>
      </c>
      <c r="BC278" s="171">
        <f ca="1">IF(OR($D278&lt;&gt;"Serviço",AND(AUTOEVENTO="Manual",$M278=$A$15)),0,
         IF(OFFSET(CRONOPLE!$F$15,$M278-$A$15,BC$13)=0,10^12,OFFSET(CRONOPLE!$F$15,$M278-$A$15,BC$13)))</f>
        <v>0</v>
      </c>
      <c r="BD278" s="171">
        <f ca="1">IF(OR($D278&lt;&gt;"Serviço",AND(AUTOEVENTO="Manual",$M278=$A$15)),0,
         IF(OFFSET(CRONOPLE!$F$15,$M278-$A$15,BD$13)=0,10^12,OFFSET(CRONOPLE!$F$15,$M278-$A$15,BD$13)))</f>
        <v>0</v>
      </c>
      <c r="BE278" s="171">
        <f ca="1">IF(OR($D278&lt;&gt;"Serviço",AND(AUTOEVENTO="Manual",$M278=$A$15)),0,
         IF(OFFSET(CRONOPLE!$F$15,$M278-$A$15,BE$13)=0,10^12,OFFSET(CRONOPLE!$F$15,$M278-$A$15,BE$13)))</f>
        <v>0</v>
      </c>
      <c r="BF278" s="171">
        <f ca="1">IF(OR($D278&lt;&gt;"Serviço",AND(AUTOEVENTO="Manual",$M278=$A$15)),0,
         IF(OFFSET(CRONOPLE!$F$15,$M278-$A$15,BF$13)=0,10^12,OFFSET(CRONOPLE!$F$15,$M278-$A$15,BF$13)))</f>
        <v>0</v>
      </c>
      <c r="BG278" s="171">
        <f ca="1">IF(OR($D278&lt;&gt;"Serviço",AND(AUTOEVENTO="Manual",$M278=$A$15)),0,
         IF(OFFSET(CRONOPLE!$F$15,$M278-$A$15,BG$13)=0,10^12,OFFSET(CRONOPLE!$F$15,$M278-$A$15,BG$13)))</f>
        <v>0</v>
      </c>
      <c r="BH278" s="171">
        <f ca="1">IF(OR($D278&lt;&gt;"Serviço",AND(AUTOEVENTO="Manual",$M278=$A$15)),0,
         IF(OFFSET(CRONOPLE!$F$15,$M278-$A$15,BH$13)=0,10^12,OFFSET(CRONOPLE!$F$15,$M278-$A$15,BH$13)))</f>
        <v>0</v>
      </c>
      <c r="BI278" s="171">
        <f ca="1">IF(OR($D278&lt;&gt;"Serviço",AND(AUTOEVENTO="Manual",$M278=$A$15)),0,
         IF(OFFSET(CRONOPLE!$F$15,$M278-$A$15,BI$13)=0,10^12,OFFSET(CRONOPLE!$F$15,$M278-$A$15,BI$13)))</f>
        <v>0</v>
      </c>
      <c r="BJ278" s="171">
        <f ca="1">IF(OR($D278&lt;&gt;"Serviço",AND(AUTOEVENTO="Manual",$M278=$A$15)),0,
         IF(OFFSET(CRONOPLE!$F$15,$M278-$A$15,BJ$13)=0,10^12,OFFSET(CRONOPLE!$F$15,$M278-$A$15,BJ$13)))</f>
        <v>0</v>
      </c>
      <c r="BK278" s="171">
        <f ca="1">IF(OR($D278&lt;&gt;"Serviço",AND(AUTOEVENTO="Manual",$M278=$A$15)),0,
         IF(OFFSET(CRONOPLE!$F$15,$M278-$A$15,BK$13)=0,10^12,OFFSET(CRONOPLE!$F$15,$M278-$A$15,BK$13)))</f>
        <v>0</v>
      </c>
      <c r="BL278" s="171">
        <f ca="1">IF(OR($D278&lt;&gt;"Serviço",AND(AUTOEVENTO="Manual",$M278=$A$15)),0,
         IF(OFFSET(CRONOPLE!$F$15,$M278-$A$15,BL$13)=0,10^12,OFFSET(CRONOPLE!$F$15,$M278-$A$15,BL$13)))</f>
        <v>0</v>
      </c>
      <c r="BM278" s="171">
        <f ca="1">IF(OR($D278&lt;&gt;"Serviço",AND(AUTOEVENTO="Manual",$M278=$A$15)),0,
         IF(OFFSET(CRONOPLE!$F$15,$M278-$A$15,BM$13)=0,10^12,OFFSET(CRONOPLE!$F$15,$M278-$A$15,BM$13)))</f>
        <v>0</v>
      </c>
      <c r="BN278" s="171">
        <f ca="1">IF(OR($D278&lt;&gt;"Serviço",AND(AUTOEVENTO="Manual",$M278=$A$15)),0,
         IF(OFFSET(CRONOPLE!$F$15,$M278-$A$15,BN$13)=0,10^12,OFFSET(CRONOPLE!$F$15,$M278-$A$15,BN$13)))</f>
        <v>0</v>
      </c>
      <c r="BO278" s="171">
        <f ca="1">IF(OR($D278&lt;&gt;"Serviço",AND(AUTOEVENTO="Manual",$M278=$A$15)),0,
         IF(OFFSET(CRONOPLE!$F$15,$M278-$A$15,BO$13)=0,10^12,OFFSET(CRONOPLE!$F$15,$M278-$A$15,BO$13)))</f>
        <v>0</v>
      </c>
      <c r="BP278" s="171">
        <f ca="1">IF(OR($D278&lt;&gt;"Serviço",AND(AUTOEVENTO="Manual",$M278=$A$15)),0,
         IF(OFFSET(CRONOPLE!$F$15,$M278-$A$15,BP$13)=0,10^12,OFFSET(CRONOPLE!$F$15,$M278-$A$15,BP$13)))</f>
        <v>0</v>
      </c>
      <c r="BQ278" s="171">
        <f ca="1">IF(OR($D278&lt;&gt;"Serviço",AND(AUTOEVENTO="Manual",$M278=$A$15)),0,
         IF(OFFSET(CRONOPLE!$F$15,$M278-$A$15,BQ$13)=0,10^12,OFFSET(CRONOPLE!$F$15,$M278-$A$15,BQ$13)))</f>
        <v>0</v>
      </c>
      <c r="BR278" s="171">
        <f ca="1">IF(OR($D278&lt;&gt;"Serviço",AND(AUTOEVENTO="Manual",$M278=$A$15)),0,
         IF(OFFSET(CRONOPLE!$F$15,$M278-$A$15,BR$13)=0,10^12,OFFSET(CRONOPLE!$F$15,$M278-$A$15,BR$13)))</f>
        <v>0</v>
      </c>
      <c r="BS278" s="171">
        <f ca="1">IF(OR($D278&lt;&gt;"Serviço",AND(AUTOEVENTO="Manual",$M278=$A$15)),0,
         IF(OFFSET(CRONOPLE!$F$15,$M278-$A$15,BS$13)=0,10^12,OFFSET(CRONOPLE!$F$15,$M278-$A$15,BS$13)))</f>
        <v>0</v>
      </c>
      <c r="BT278" s="171">
        <f ca="1">IF(OR($D278&lt;&gt;"Serviço",AND(AUTOEVENTO="Manual",$M278=$A$15)),0,
         IF(OFFSET(CRONOPLE!$F$15,$M278-$A$15,BT$13)=0,10^12,OFFSET(CRONOPLE!$F$15,$M278-$A$15,BT$13)))</f>
        <v>0</v>
      </c>
      <c r="BV278" s="172">
        <f ca="1">IF(OR($D278&lt;&gt;"Serviço",AND(AUTOEVENTO="Manual",$M278=$A$15),$M278&gt;(ROW(PLE.lastrow)-ROW(PLE.firstrow))),0,
           IF(OFFSET(PLE!$G$15,$M278-$A$15,BV$13)="",10^12,OFFSET(PLE!$G$15,$M278-$A$15,BV$13)))</f>
        <v>0</v>
      </c>
      <c r="BW278" s="172">
        <f ca="1">IF(OR($D278&lt;&gt;"Serviço",AND(AUTOEVENTO="Manual",$M278=$A$15),$M278&gt;(ROW(PLE.lastrow)-ROW(PLE.firstrow))),0,
           IF(OFFSET(PLE!$G$15,$M278-$A$15,BW$13)="",10^12,OFFSET(PLE!$G$15,$M278-$A$15,BW$13)))</f>
        <v>0</v>
      </c>
      <c r="BX278" s="172">
        <f ca="1">IF(OR($D278&lt;&gt;"Serviço",AND(AUTOEVENTO="Manual",$M278=$A$15),$M278&gt;(ROW(PLE.lastrow)-ROW(PLE.firstrow))),0,
           IF(OFFSET(PLE!$G$15,$M278-$A$15,BX$13)="",10^12,OFFSET(PLE!$G$15,$M278-$A$15,BX$13)))</f>
        <v>0</v>
      </c>
      <c r="BY278" s="172">
        <f ca="1">IF(OR($D278&lt;&gt;"Serviço",AND(AUTOEVENTO="Manual",$M278=$A$15),$M278&gt;(ROW(PLE.lastrow)-ROW(PLE.firstrow))),0,
           IF(OFFSET(PLE!$G$15,$M278-$A$15,BY$13)="",10^12,OFFSET(PLE!$G$15,$M278-$A$15,BY$13)))</f>
        <v>0</v>
      </c>
      <c r="BZ278" s="172">
        <f ca="1">IF(OR($D278&lt;&gt;"Serviço",AND(AUTOEVENTO="Manual",$M278=$A$15),$M278&gt;(ROW(PLE.lastrow)-ROW(PLE.firstrow))),0,
           IF(OFFSET(PLE!$G$15,$M278-$A$15,BZ$13)="",10^12,OFFSET(PLE!$G$15,$M278-$A$15,BZ$13)))</f>
        <v>0</v>
      </c>
      <c r="CA278" s="172">
        <f ca="1">IF(OR($D278&lt;&gt;"Serviço",AND(AUTOEVENTO="Manual",$M278=$A$15),$M278&gt;(ROW(PLE.lastrow)-ROW(PLE.firstrow))),0,
           IF(OFFSET(PLE!$G$15,$M278-$A$15,CA$13)="",10^12,OFFSET(PLE!$G$15,$M278-$A$15,CA$13)))</f>
        <v>0</v>
      </c>
      <c r="CB278" s="172">
        <f ca="1">IF(OR($D278&lt;&gt;"Serviço",AND(AUTOEVENTO="Manual",$M278=$A$15),$M278&gt;(ROW(PLE.lastrow)-ROW(PLE.firstrow))),0,
           IF(OFFSET(PLE!$G$15,$M278-$A$15,CB$13)="",10^12,OFFSET(PLE!$G$15,$M278-$A$15,CB$13)))</f>
        <v>0</v>
      </c>
      <c r="CC278" s="172">
        <f ca="1">IF(OR($D278&lt;&gt;"Serviço",AND(AUTOEVENTO="Manual",$M278=$A$15),$M278&gt;(ROW(PLE.lastrow)-ROW(PLE.firstrow))),0,
           IF(OFFSET(PLE!$G$15,$M278-$A$15,CC$13)="",10^12,OFFSET(PLE!$G$15,$M278-$A$15,CC$13)))</f>
        <v>0</v>
      </c>
      <c r="CD278" s="172">
        <f ca="1">IF(OR($D278&lt;&gt;"Serviço",AND(AUTOEVENTO="Manual",$M278=$A$15),$M278&gt;(ROW(PLE.lastrow)-ROW(PLE.firstrow))),0,
           IF(OFFSET(PLE!$G$15,$M278-$A$15,CD$13)="",10^12,OFFSET(PLE!$G$15,$M278-$A$15,CD$13)))</f>
        <v>0</v>
      </c>
      <c r="CE278" s="172">
        <f ca="1">IF(OR($D278&lt;&gt;"Serviço",AND(AUTOEVENTO="Manual",$M278=$A$15),$M278&gt;(ROW(PLE.lastrow)-ROW(PLE.firstrow))),0,
           IF(OFFSET(PLE!$G$15,$M278-$A$15,CE$13)="",10^12,OFFSET(PLE!$G$15,$M278-$A$15,CE$13)))</f>
        <v>0</v>
      </c>
      <c r="CF278" s="172">
        <f ca="1">IF(OR($D278&lt;&gt;"Serviço",AND(AUTOEVENTO="Manual",$M278=$A$15),$M278&gt;(ROW(PLE.lastrow)-ROW(PLE.firstrow))),0,
           IF(OFFSET(PLE!$G$15,$M278-$A$15,CF$13)="",10^12,OFFSET(PLE!$G$15,$M278-$A$15,CF$13)))</f>
        <v>0</v>
      </c>
      <c r="CG278" s="172">
        <f ca="1">IF(OR($D278&lt;&gt;"Serviço",AND(AUTOEVENTO="Manual",$M278=$A$15),$M278&gt;(ROW(PLE.lastrow)-ROW(PLE.firstrow))),0,
           IF(OFFSET(PLE!$G$15,$M278-$A$15,CG$13)="",10^12,OFFSET(PLE!$G$15,$M278-$A$15,CG$13)))</f>
        <v>0</v>
      </c>
      <c r="CH278" s="172">
        <f ca="1">IF(OR($D278&lt;&gt;"Serviço",AND(AUTOEVENTO="Manual",$M278=$A$15),$M278&gt;(ROW(PLE.lastrow)-ROW(PLE.firstrow))),0,
           IF(OFFSET(PLE!$G$15,$M278-$A$15,CH$13)="",10^12,OFFSET(PLE!$G$15,$M278-$A$15,CH$13)))</f>
        <v>0</v>
      </c>
      <c r="CI278" s="172">
        <f ca="1">IF(OR($D278&lt;&gt;"Serviço",AND(AUTOEVENTO="Manual",$M278=$A$15),$M278&gt;(ROW(PLE.lastrow)-ROW(PLE.firstrow))),0,
           IF(OFFSET(PLE!$G$15,$M278-$A$15,CI$13)="",10^12,OFFSET(PLE!$G$15,$M278-$A$15,CI$13)))</f>
        <v>0</v>
      </c>
      <c r="CJ278" s="172">
        <f ca="1">IF(OR($D278&lt;&gt;"Serviço",AND(AUTOEVENTO="Manual",$M278=$A$15),$M278&gt;(ROW(PLE.lastrow)-ROW(PLE.firstrow))),0,
           IF(OFFSET(PLE!$G$15,$M278-$A$15,CJ$13)="",10^12,OFFSET(PLE!$G$15,$M278-$A$15,CJ$13)))</f>
        <v>0</v>
      </c>
      <c r="CK278" s="172">
        <f ca="1">IF(OR($D278&lt;&gt;"Serviço",AND(AUTOEVENTO="Manual",$M278=$A$15),$M278&gt;(ROW(PLE.lastrow)-ROW(PLE.firstrow))),0,
           IF(OFFSET(PLE!$G$15,$M278-$A$15,CK$13)="",10^12,OFFSET(PLE!$G$15,$M278-$A$15,CK$13)))</f>
        <v>0</v>
      </c>
      <c r="CL278" s="172">
        <f ca="1">IF(OR($D278&lt;&gt;"Serviço",AND(AUTOEVENTO="Manual",$M278=$A$15),$M278&gt;(ROW(PLE.lastrow)-ROW(PLE.firstrow))),0,
           IF(OFFSET(PLE!$G$15,$M278-$A$15,CL$13)="",10^12,OFFSET(PLE!$G$15,$M278-$A$15,CL$13)))</f>
        <v>0</v>
      </c>
      <c r="CM278" s="172">
        <f ca="1">IF(OR($D278&lt;&gt;"Serviço",AND(AUTOEVENTO="Manual",$M278=$A$15),$M278&gt;(ROW(PLE.lastrow)-ROW(PLE.firstrow))),0,
           IF(OFFSET(PLE!$G$15,$M278-$A$15,CM$13)="",10^12,OFFSET(PLE!$G$15,$M278-$A$15,CM$13)))</f>
        <v>0</v>
      </c>
    </row>
    <row r="279" spans="1:91" ht="76.5" x14ac:dyDescent="0.2">
      <c r="A279" s="7">
        <f t="shared" ca="1" si="14"/>
        <v>6</v>
      </c>
      <c r="B279" s="7" t="str">
        <f ca="1">OFFSET(ORÇAMENTO!C$15,ROW(B279)-ROW(B$15),0)</f>
        <v>S</v>
      </c>
      <c r="C279" s="7" t="str">
        <f ca="1">OFFSET(ORÇAMENTO!L$15,ROW(C279)-ROW(C$15),0)</f>
        <v>F</v>
      </c>
      <c r="D279" s="116" t="str">
        <f ca="1">OFFSET(ORÇAMENTO!N$15,ROW(D279)-ROW(D$15),0)</f>
        <v>Serviço</v>
      </c>
      <c r="E279" s="117" t="str">
        <f ca="1">OFFSET(ORÇAMENTO!O$15,ROW(E279)-ROW(E$15),0)</f>
        <v>1.7.3.1.1.</v>
      </c>
      <c r="F279" s="163" t="str">
        <f ca="1">OFFSET(ORÇAMENTO!R$15,ROW(F279)-ROW(F$15),0)</f>
        <v>TÊ COM BOLSAS FoFo - DN 150 MM</v>
      </c>
      <c r="G279" s="164" t="str">
        <f ca="1">IF($D279&lt;&gt;"Serviço","",OFFSET(ORÇAMENTO!S$15,ROW(G279)-ROW(G$15),0))</f>
        <v>UN</v>
      </c>
      <c r="H279" s="122" cm="1">
        <f t="array" aca="1" ref="H279" ca="1">IF($D279&lt;&gt;"Serviço",0,IF(ACOMPANHAMENTO="BM",ROUND(OFFSET(ORÇAMENTO!AJ$15,ROW(H279)-ROW(H$15),0),15-13*ORÇAMENTO!$AF$7),SUMPRODUCT(($Q$1:$AI$1=1)*ROUND($Q279:$AI279,15-13*ORÇAMENTO!$AF$7))))</f>
        <v>10</v>
      </c>
      <c r="I279" s="468" t="s">
        <v>1350</v>
      </c>
      <c r="J279" s="640" t="str" cm="1">
        <f t="array" aca="1" ref="J279" ca="1">IF(OR(B279&lt;&gt;"S",CÁLCULO.FrentesPreenchidas=0),"",IF(AND(ACOMPANHAMENTO="PLE",AUTOEVENTO="Manual",OR(H279&gt;0,ORÇAMENTO!AC279="QUANT."),OR(K279="",M279=0,N279="")),"►E",IF(AND(ACOMPANHAMENTO="PLE",ORÇAMENTO!AC279="QUANT."),"►Q",IF(AND(ACOMPANHAMENTO="PLE",H279&lt;&gt;SUMPRODUCT(($Q$1:$AI$1=1)*ROUND(Q279:AI279,15))),"►S",IF(AND(COUNTIF($P$11:$AI$11,"▼")=0,H279&gt;0,I279=""),"◄M","")))))</f>
        <v/>
      </c>
      <c r="K279" s="641" t="s">
        <v>1385</v>
      </c>
      <c r="L279" s="165" t="s">
        <v>764</v>
      </c>
      <c r="M279" s="166">
        <f ca="1">IF($D279&lt;&gt;"Serviço","",
          IF(AUTOEVENTO="manual",$A279,
                IF(ISERROR(MATCH($A279,$A$15:OFFSET($A279,-1,0),0)),MAX($M$15:OFFSET(M279,-1,0))+1,
                      INDEX($M$15:OFFSET(M279,-1,0),MATCH($A279,$A$15:OFFSET($A279,-1,0),0)))))</f>
        <v>6</v>
      </c>
      <c r="N279" s="167" t="str">
        <f ca="1">IF($D279&lt;&gt;"Serviço","",
         IF(AUTOEVENTO="Manual",
                IF($A279=0,"&lt;-- defina o número do agrupador",
                       OFFSET(EVENTOS!$D$15,$A279-$A$15,0)),
                OFFSET($F$15,$A279,0)))</f>
        <v>Saneamento</v>
      </c>
      <c r="O279" s="168"/>
      <c r="Q279" s="168"/>
      <c r="R279" s="169"/>
      <c r="S279" s="169"/>
      <c r="T279" s="169"/>
      <c r="U279" s="169">
        <v>10</v>
      </c>
      <c r="V279" s="169"/>
      <c r="W279" s="169"/>
      <c r="X279" s="169"/>
      <c r="Y279" s="169"/>
      <c r="Z279" s="170"/>
      <c r="AA279" s="169"/>
      <c r="AB279" s="169"/>
      <c r="AC279" s="169"/>
      <c r="AD279" s="169"/>
      <c r="AE279" s="169"/>
      <c r="AF279" s="169"/>
      <c r="AG279" s="169"/>
      <c r="AH279" s="170"/>
      <c r="AJ279" s="453">
        <f ca="1">IF(AND($D279="Serviço",AJ$12&lt;&gt;0,$H279&gt;0,OR(AUTOEVENTO&lt;&gt;"manual",$M279&lt;&gt;$A$15)),
        IF(Import.TipoArredondamento&lt;&gt;"TransfereGOV",
              ROUND(OFFSET($P279,0,AJ$13),15-13*ORÇAMENTO!$AF$7)/$H279*OFFSET(ORÇAMENTO!$X$15,ROW(AJ279)-ROW(AJ$15),0),
              ROUND(ROUND(OFFSET($P279,0,AJ$13),15-13*ORÇAMENTO!$AF$7)*OFFSET(ORÇAMENTO!$W$15,ROW(AJ279)-ROW(AJ$15),0),15-13*ORÇAMENTO!$AF$11)),
         0)</f>
        <v>0</v>
      </c>
      <c r="AK279" s="453">
        <f ca="1">IF(AND($D279="Serviço",AK$12&lt;&gt;0,$H279&gt;0,OR(AUTOEVENTO&lt;&gt;"manual",$M279&lt;&gt;$A$15)),
        IF(Import.TipoArredondamento&lt;&gt;"TransfereGOV",
              ROUND(OFFSET($P279,0,AK$13),15-13*ORÇAMENTO!$AF$7)/$H279*OFFSET(ORÇAMENTO!$X$15,ROW(AK279)-ROW(AK$15),0),
              ROUND(ROUND(OFFSET($P279,0,AK$13),15-13*ORÇAMENTO!$AF$7)*OFFSET(ORÇAMENTO!$W$15,ROW(AK279)-ROW(AK$15),0),15-13*ORÇAMENTO!$AF$11)),
         0)</f>
        <v>0</v>
      </c>
      <c r="AL279" s="453">
        <f ca="1">IF(AND($D279="Serviço",AL$12&lt;&gt;0,$H279&gt;0,OR(AUTOEVENTO&lt;&gt;"manual",$M279&lt;&gt;$A$15)),
        IF(Import.TipoArredondamento&lt;&gt;"TransfereGOV",
              ROUND(OFFSET($P279,0,AL$13),15-13*ORÇAMENTO!$AF$7)/$H279*OFFSET(ORÇAMENTO!$X$15,ROW(AL279)-ROW(AL$15),0),
              ROUND(ROUND(OFFSET($P279,0,AL$13),15-13*ORÇAMENTO!$AF$7)*OFFSET(ORÇAMENTO!$W$15,ROW(AL279)-ROW(AL$15),0),15-13*ORÇAMENTO!$AF$11)),
         0)</f>
        <v>0</v>
      </c>
      <c r="AM279" s="453">
        <f ca="1">IF(AND($D279="Serviço",AM$12&lt;&gt;0,$H279&gt;0,OR(AUTOEVENTO&lt;&gt;"manual",$M279&lt;&gt;$A$15)),
        IF(Import.TipoArredondamento&lt;&gt;"TransfereGOV",
              ROUND(OFFSET($P279,0,AM$13),15-13*ORÇAMENTO!$AF$7)/$H279*OFFSET(ORÇAMENTO!$X$15,ROW(AM279)-ROW(AM$15),0),
              ROUND(ROUND(OFFSET($P279,0,AM$13),15-13*ORÇAMENTO!$AF$7)*OFFSET(ORÇAMENTO!$W$15,ROW(AM279)-ROW(AM$15),0),15-13*ORÇAMENTO!$AF$11)),
         0)</f>
        <v>0</v>
      </c>
      <c r="AN279" s="453">
        <f ca="1">IF(AND($D279="Serviço",AN$12&lt;&gt;0,$H279&gt;0,OR(AUTOEVENTO&lt;&gt;"manual",$M279&lt;&gt;$A$15)),
        IF(Import.TipoArredondamento&lt;&gt;"TransfereGOV",
              ROUND(OFFSET($P279,0,AN$13),15-13*ORÇAMENTO!$AF$7)/$H279*OFFSET(ORÇAMENTO!$X$15,ROW(AN279)-ROW(AN$15),0),
              ROUND(ROUND(OFFSET($P279,0,AN$13),15-13*ORÇAMENTO!$AF$7)*OFFSET(ORÇAMENTO!$W$15,ROW(AN279)-ROW(AN$15),0),15-13*ORÇAMENTO!$AF$11)),
         0)</f>
        <v>0</v>
      </c>
      <c r="AO279" s="453">
        <f ca="1">IF(AND($D279="Serviço",AO$12&lt;&gt;0,$H279&gt;0,OR(AUTOEVENTO&lt;&gt;"manual",$M279&lt;&gt;$A$15)),
        IF(Import.TipoArredondamento&lt;&gt;"TransfereGOV",
              ROUND(OFFSET($P279,0,AO$13),15-13*ORÇAMENTO!$AF$7)/$H279*OFFSET(ORÇAMENTO!$X$15,ROW(AO279)-ROW(AO$15),0),
              ROUND(ROUND(OFFSET($P279,0,AO$13),15-13*ORÇAMENTO!$AF$7)*OFFSET(ORÇAMENTO!$W$15,ROW(AO279)-ROW(AO$15),0),15-13*ORÇAMENTO!$AF$11)),
         0)</f>
        <v>0</v>
      </c>
      <c r="AP279" s="453">
        <f ca="1">IF(AND($D279="Serviço",AP$12&lt;&gt;0,$H279&gt;0,OR(AUTOEVENTO&lt;&gt;"manual",$M279&lt;&gt;$A$15)),
        IF(Import.TipoArredondamento&lt;&gt;"TransfereGOV",
              ROUND(OFFSET($P279,0,AP$13),15-13*ORÇAMENTO!$AF$7)/$H279*OFFSET(ORÇAMENTO!$X$15,ROW(AP279)-ROW(AP$15),0),
              ROUND(ROUND(OFFSET($P279,0,AP$13),15-13*ORÇAMENTO!$AF$7)*OFFSET(ORÇAMENTO!$W$15,ROW(AP279)-ROW(AP$15),0),15-13*ORÇAMENTO!$AF$11)),
         0)</f>
        <v>0</v>
      </c>
      <c r="AQ279" s="453">
        <f ca="1">IF(AND($D279="Serviço",AQ$12&lt;&gt;0,$H279&gt;0,OR(AUTOEVENTO&lt;&gt;"manual",$M279&lt;&gt;$A$15)),
        IF(Import.TipoArredondamento&lt;&gt;"TransfereGOV",
              ROUND(OFFSET($P279,0,AQ$13),15-13*ORÇAMENTO!$AF$7)/$H279*OFFSET(ORÇAMENTO!$X$15,ROW(AQ279)-ROW(AQ$15),0),
              ROUND(ROUND(OFFSET($P279,0,AQ$13),15-13*ORÇAMENTO!$AF$7)*OFFSET(ORÇAMENTO!$W$15,ROW(AQ279)-ROW(AQ$15),0),15-13*ORÇAMENTO!$AF$11)),
         0)</f>
        <v>0</v>
      </c>
      <c r="AR279" s="453">
        <f ca="1">IF(AND($D279="Serviço",AR$12&lt;&gt;0,$H279&gt;0,OR(AUTOEVENTO&lt;&gt;"manual",$M279&lt;&gt;$A$15)),
        IF(Import.TipoArredondamento&lt;&gt;"TransfereGOV",
              ROUND(OFFSET($P279,0,AR$13),15-13*ORÇAMENTO!$AF$7)/$H279*OFFSET(ORÇAMENTO!$X$15,ROW(AR279)-ROW(AR$15),0),
              ROUND(ROUND(OFFSET($P279,0,AR$13),15-13*ORÇAMENTO!$AF$7)*OFFSET(ORÇAMENTO!$W$15,ROW(AR279)-ROW(AR$15),0),15-13*ORÇAMENTO!$AF$11)),
         0)</f>
        <v>0</v>
      </c>
      <c r="AS279" s="453">
        <f ca="1">IF(AND($D279="Serviço",AS$12&lt;&gt;0,$H279&gt;0,OR(AUTOEVENTO&lt;&gt;"manual",$M279&lt;&gt;$A$15)),
        IF(Import.TipoArredondamento&lt;&gt;"TransfereGOV",
              ROUND(OFFSET($P279,0,AS$13),15-13*ORÇAMENTO!$AF$7)/$H279*OFFSET(ORÇAMENTO!$X$15,ROW(AS279)-ROW(AS$15),0),
              ROUND(ROUND(OFFSET($P279,0,AS$13),15-13*ORÇAMENTO!$AF$7)*OFFSET(ORÇAMENTO!$W$15,ROW(AS279)-ROW(AS$15),0),15-13*ORÇAMENTO!$AF$11)),
         0)</f>
        <v>0</v>
      </c>
      <c r="AT279" s="453">
        <f ca="1">IF(AND($D279="Serviço",AT$12&lt;&gt;0,$H279&gt;0,OR(AUTOEVENTO&lt;&gt;"manual",$M279&lt;&gt;$A$15)),
        IF(Import.TipoArredondamento&lt;&gt;"TransfereGOV",
              ROUND(OFFSET($P279,0,AT$13),15-13*ORÇAMENTO!$AF$7)/$H279*OFFSET(ORÇAMENTO!$X$15,ROW(AT279)-ROW(AT$15),0),
              ROUND(ROUND(OFFSET($P279,0,AT$13),15-13*ORÇAMENTO!$AF$7)*OFFSET(ORÇAMENTO!$W$15,ROW(AT279)-ROW(AT$15),0),15-13*ORÇAMENTO!$AF$11)),
         0)</f>
        <v>0</v>
      </c>
      <c r="AU279" s="453">
        <f ca="1">IF(AND($D279="Serviço",AU$12&lt;&gt;0,$H279&gt;0,OR(AUTOEVENTO&lt;&gt;"manual",$M279&lt;&gt;$A$15)),
        IF(Import.TipoArredondamento&lt;&gt;"TransfereGOV",
              ROUND(OFFSET($P279,0,AU$13),15-13*ORÇAMENTO!$AF$7)/$H279*OFFSET(ORÇAMENTO!$X$15,ROW(AU279)-ROW(AU$15),0),
              ROUND(ROUND(OFFSET($P279,0,AU$13),15-13*ORÇAMENTO!$AF$7)*OFFSET(ORÇAMENTO!$W$15,ROW(AU279)-ROW(AU$15),0),15-13*ORÇAMENTO!$AF$11)),
         0)</f>
        <v>0</v>
      </c>
      <c r="AV279" s="453">
        <f ca="1">IF(AND($D279="Serviço",AV$12&lt;&gt;0,$H279&gt;0,OR(AUTOEVENTO&lt;&gt;"manual",$M279&lt;&gt;$A$15)),
        IF(Import.TipoArredondamento&lt;&gt;"TransfereGOV",
              ROUND(OFFSET($P279,0,AV$13),15-13*ORÇAMENTO!$AF$7)/$H279*OFFSET(ORÇAMENTO!$X$15,ROW(AV279)-ROW(AV$15),0),
              ROUND(ROUND(OFFSET($P279,0,AV$13),15-13*ORÇAMENTO!$AF$7)*OFFSET(ORÇAMENTO!$W$15,ROW(AV279)-ROW(AV$15),0),15-13*ORÇAMENTO!$AF$11)),
         0)</f>
        <v>0</v>
      </c>
      <c r="AW279" s="453">
        <f ca="1">IF(AND($D279="Serviço",AW$12&lt;&gt;0,$H279&gt;0,OR(AUTOEVENTO&lt;&gt;"manual",$M279&lt;&gt;$A$15)),
        IF(Import.TipoArredondamento&lt;&gt;"TransfereGOV",
              ROUND(OFFSET($P279,0,AW$13),15-13*ORÇAMENTO!$AF$7)/$H279*OFFSET(ORÇAMENTO!$X$15,ROW(AW279)-ROW(AW$15),0),
              ROUND(ROUND(OFFSET($P279,0,AW$13),15-13*ORÇAMENTO!$AF$7)*OFFSET(ORÇAMENTO!$W$15,ROW(AW279)-ROW(AW$15),0),15-13*ORÇAMENTO!$AF$11)),
         0)</f>
        <v>0</v>
      </c>
      <c r="AX279" s="453">
        <f ca="1">IF(AND($D279="Serviço",AX$12&lt;&gt;0,$H279&gt;0,OR(AUTOEVENTO&lt;&gt;"manual",$M279&lt;&gt;$A$15)),
        IF(Import.TipoArredondamento&lt;&gt;"TransfereGOV",
              ROUND(OFFSET($P279,0,AX$13),15-13*ORÇAMENTO!$AF$7)/$H279*OFFSET(ORÇAMENTO!$X$15,ROW(AX279)-ROW(AX$15),0),
              ROUND(ROUND(OFFSET($P279,0,AX$13),15-13*ORÇAMENTO!$AF$7)*OFFSET(ORÇAMENTO!$W$15,ROW(AX279)-ROW(AX$15),0),15-13*ORÇAMENTO!$AF$11)),
         0)</f>
        <v>0</v>
      </c>
      <c r="AY279" s="453">
        <f ca="1">IF(AND($D279="Serviço",AY$12&lt;&gt;0,$H279&gt;0,OR(AUTOEVENTO&lt;&gt;"manual",$M279&lt;&gt;$A$15)),
        IF(Import.TipoArredondamento&lt;&gt;"TransfereGOV",
              ROUND(OFFSET($P279,0,AY$13),15-13*ORÇAMENTO!$AF$7)/$H279*OFFSET(ORÇAMENTO!$X$15,ROW(AY279)-ROW(AY$15),0),
              ROUND(ROUND(OFFSET($P279,0,AY$13),15-13*ORÇAMENTO!$AF$7)*OFFSET(ORÇAMENTO!$W$15,ROW(AY279)-ROW(AY$15),0),15-13*ORÇAMENTO!$AF$11)),
         0)</f>
        <v>0</v>
      </c>
      <c r="AZ279" s="453">
        <f ca="1">IF(AND($D279="Serviço",AZ$12&lt;&gt;0,$H279&gt;0,OR(AUTOEVENTO&lt;&gt;"manual",$M279&lt;&gt;$A$15)),
        IF(Import.TipoArredondamento&lt;&gt;"TransfereGOV",
              ROUND(OFFSET($P279,0,AZ$13),15-13*ORÇAMENTO!$AF$7)/$H279*OFFSET(ORÇAMENTO!$X$15,ROW(AZ279)-ROW(AZ$15),0),
              ROUND(ROUND(OFFSET($P279,0,AZ$13),15-13*ORÇAMENTO!$AF$7)*OFFSET(ORÇAMENTO!$W$15,ROW(AZ279)-ROW(AZ$15),0),15-13*ORÇAMENTO!$AF$11)),
         0)</f>
        <v>0</v>
      </c>
      <c r="BA279" s="453">
        <f ca="1">IF(AND($D279="Serviço",BA$12&lt;&gt;0,$H279&gt;0,OR(AUTOEVENTO&lt;&gt;"manual",$M279&lt;&gt;$A$15)),
        IF(Import.TipoArredondamento&lt;&gt;"TransfereGOV",
              ROUND(OFFSET($P279,0,BA$13),15-13*ORÇAMENTO!$AF$7)/$H279*OFFSET(ORÇAMENTO!$X$15,ROW(BA279)-ROW(BA$15),0),
              ROUND(ROUND(OFFSET($P279,0,BA$13),15-13*ORÇAMENTO!$AF$7)*OFFSET(ORÇAMENTO!$W$15,ROW(BA279)-ROW(BA$15),0),15-13*ORÇAMENTO!$AF$11)),
         0)</f>
        <v>0</v>
      </c>
      <c r="BC279" s="171">
        <f ca="1">IF(OR($D279&lt;&gt;"Serviço",AND(AUTOEVENTO="Manual",$M279=$A$15)),0,
         IF(OFFSET(CRONOPLE!$F$15,$M279-$A$15,BC$13)=0,10^12,OFFSET(CRONOPLE!$F$15,$M279-$A$15,BC$13)))</f>
        <v>1</v>
      </c>
      <c r="BD279" s="171">
        <f ca="1">IF(OR($D279&lt;&gt;"Serviço",AND(AUTOEVENTO="Manual",$M279=$A$15)),0,
         IF(OFFSET(CRONOPLE!$F$15,$M279-$A$15,BD$13)=0,10^12,OFFSET(CRONOPLE!$F$15,$M279-$A$15,BD$13)))</f>
        <v>2</v>
      </c>
      <c r="BE279" s="171">
        <f ca="1">IF(OR($D279&lt;&gt;"Serviço",AND(AUTOEVENTO="Manual",$M279=$A$15)),0,
         IF(OFFSET(CRONOPLE!$F$15,$M279-$A$15,BE$13)=0,10^12,OFFSET(CRONOPLE!$F$15,$M279-$A$15,BE$13)))</f>
        <v>3</v>
      </c>
      <c r="BF279" s="171">
        <f ca="1">IF(OR($D279&lt;&gt;"Serviço",AND(AUTOEVENTO="Manual",$M279=$A$15)),0,
         IF(OFFSET(CRONOPLE!$F$15,$M279-$A$15,BF$13)=0,10^12,OFFSET(CRONOPLE!$F$15,$M279-$A$15,BF$13)))</f>
        <v>4</v>
      </c>
      <c r="BG279" s="171">
        <f ca="1">IF(OR($D279&lt;&gt;"Serviço",AND(AUTOEVENTO="Manual",$M279=$A$15)),0,
         IF(OFFSET(CRONOPLE!$F$15,$M279-$A$15,BG$13)=0,10^12,OFFSET(CRONOPLE!$F$15,$M279-$A$15,BG$13)))</f>
        <v>5</v>
      </c>
      <c r="BH279" s="171">
        <f ca="1">IF(OR($D279&lt;&gt;"Serviço",AND(AUTOEVENTO="Manual",$M279=$A$15)),0,
         IF(OFFSET(CRONOPLE!$F$15,$M279-$A$15,BH$13)=0,10^12,OFFSET(CRONOPLE!$F$15,$M279-$A$15,BH$13)))</f>
        <v>6</v>
      </c>
      <c r="BI279" s="171">
        <f ca="1">IF(OR($D279&lt;&gt;"Serviço",AND(AUTOEVENTO="Manual",$M279=$A$15)),0,
         IF(OFFSET(CRONOPLE!$F$15,$M279-$A$15,BI$13)=0,10^12,OFFSET(CRONOPLE!$F$15,$M279-$A$15,BI$13)))</f>
        <v>7</v>
      </c>
      <c r="BJ279" s="171">
        <f ca="1">IF(OR($D279&lt;&gt;"Serviço",AND(AUTOEVENTO="Manual",$M279=$A$15)),0,
         IF(OFFSET(CRONOPLE!$F$15,$M279-$A$15,BJ$13)=0,10^12,OFFSET(CRONOPLE!$F$15,$M279-$A$15,BJ$13)))</f>
        <v>8</v>
      </c>
      <c r="BK279" s="171">
        <f ca="1">IF(OR($D279&lt;&gt;"Serviço",AND(AUTOEVENTO="Manual",$M279=$A$15)),0,
         IF(OFFSET(CRONOPLE!$F$15,$M279-$A$15,BK$13)=0,10^12,OFFSET(CRONOPLE!$F$15,$M279-$A$15,BK$13)))</f>
        <v>9</v>
      </c>
      <c r="BL279" s="171">
        <f ca="1">IF(OR($D279&lt;&gt;"Serviço",AND(AUTOEVENTO="Manual",$M279=$A$15)),0,
         IF(OFFSET(CRONOPLE!$F$15,$M279-$A$15,BL$13)=0,10^12,OFFSET(CRONOPLE!$F$15,$M279-$A$15,BL$13)))</f>
        <v>1000000000000</v>
      </c>
      <c r="BM279" s="171">
        <f ca="1">IF(OR($D279&lt;&gt;"Serviço",AND(AUTOEVENTO="Manual",$M279=$A$15)),0,
         IF(OFFSET(CRONOPLE!$F$15,$M279-$A$15,BM$13)=0,10^12,OFFSET(CRONOPLE!$F$15,$M279-$A$15,BM$13)))</f>
        <v>1000000000000</v>
      </c>
      <c r="BN279" s="171">
        <f ca="1">IF(OR($D279&lt;&gt;"Serviço",AND(AUTOEVENTO="Manual",$M279=$A$15)),0,
         IF(OFFSET(CRONOPLE!$F$15,$M279-$A$15,BN$13)=0,10^12,OFFSET(CRONOPLE!$F$15,$M279-$A$15,BN$13)))</f>
        <v>1000000000000</v>
      </c>
      <c r="BO279" s="171">
        <f ca="1">IF(OR($D279&lt;&gt;"Serviço",AND(AUTOEVENTO="Manual",$M279=$A$15)),0,
         IF(OFFSET(CRONOPLE!$F$15,$M279-$A$15,BO$13)=0,10^12,OFFSET(CRONOPLE!$F$15,$M279-$A$15,BO$13)))</f>
        <v>1000000000000</v>
      </c>
      <c r="BP279" s="171">
        <f ca="1">IF(OR($D279&lt;&gt;"Serviço",AND(AUTOEVENTO="Manual",$M279=$A$15)),0,
         IF(OFFSET(CRONOPLE!$F$15,$M279-$A$15,BP$13)=0,10^12,OFFSET(CRONOPLE!$F$15,$M279-$A$15,BP$13)))</f>
        <v>1000000000000</v>
      </c>
      <c r="BQ279" s="171">
        <f ca="1">IF(OR($D279&lt;&gt;"Serviço",AND(AUTOEVENTO="Manual",$M279=$A$15)),0,
         IF(OFFSET(CRONOPLE!$F$15,$M279-$A$15,BQ$13)=0,10^12,OFFSET(CRONOPLE!$F$15,$M279-$A$15,BQ$13)))</f>
        <v>1000000000000</v>
      </c>
      <c r="BR279" s="171">
        <f ca="1">IF(OR($D279&lt;&gt;"Serviço",AND(AUTOEVENTO="Manual",$M279=$A$15)),0,
         IF(OFFSET(CRONOPLE!$F$15,$M279-$A$15,BR$13)=0,10^12,OFFSET(CRONOPLE!$F$15,$M279-$A$15,BR$13)))</f>
        <v>1000000000000</v>
      </c>
      <c r="BS279" s="171">
        <f ca="1">IF(OR($D279&lt;&gt;"Serviço",AND(AUTOEVENTO="Manual",$M279=$A$15)),0,
         IF(OFFSET(CRONOPLE!$F$15,$M279-$A$15,BS$13)=0,10^12,OFFSET(CRONOPLE!$F$15,$M279-$A$15,BS$13)))</f>
        <v>1000000000000</v>
      </c>
      <c r="BT279" s="171">
        <f ca="1">IF(OR($D279&lt;&gt;"Serviço",AND(AUTOEVENTO="Manual",$M279=$A$15)),0,
         IF(OFFSET(CRONOPLE!$F$15,$M279-$A$15,BT$13)=0,10^12,OFFSET(CRONOPLE!$F$15,$M279-$A$15,BT$13)))</f>
        <v>1000000000000</v>
      </c>
      <c r="BV279" s="172">
        <f ca="1">IF(OR($D279&lt;&gt;"Serviço",AND(AUTOEVENTO="Manual",$M279=$A$15),$M279&gt;(ROW(PLE.lastrow)-ROW(PLE.firstrow))),0,
           IF(OFFSET(PLE!$G$15,$M279-$A$15,BV$13)="",10^12,OFFSET(PLE!$G$15,$M279-$A$15,BV$13)))</f>
        <v>1000000000000</v>
      </c>
      <c r="BW279" s="172">
        <f ca="1">IF(OR($D279&lt;&gt;"Serviço",AND(AUTOEVENTO="Manual",$M279=$A$15),$M279&gt;(ROW(PLE.lastrow)-ROW(PLE.firstrow))),0,
           IF(OFFSET(PLE!$G$15,$M279-$A$15,BW$13)="",10^12,OFFSET(PLE!$G$15,$M279-$A$15,BW$13)))</f>
        <v>1000000000000</v>
      </c>
      <c r="BX279" s="172">
        <f ca="1">IF(OR($D279&lt;&gt;"Serviço",AND(AUTOEVENTO="Manual",$M279=$A$15),$M279&gt;(ROW(PLE.lastrow)-ROW(PLE.firstrow))),0,
           IF(OFFSET(PLE!$G$15,$M279-$A$15,BX$13)="",10^12,OFFSET(PLE!$G$15,$M279-$A$15,BX$13)))</f>
        <v>1000000000000</v>
      </c>
      <c r="BY279" s="172">
        <f ca="1">IF(OR($D279&lt;&gt;"Serviço",AND(AUTOEVENTO="Manual",$M279=$A$15),$M279&gt;(ROW(PLE.lastrow)-ROW(PLE.firstrow))),0,
           IF(OFFSET(PLE!$G$15,$M279-$A$15,BY$13)="",10^12,OFFSET(PLE!$G$15,$M279-$A$15,BY$13)))</f>
        <v>1000000000000</v>
      </c>
      <c r="BZ279" s="172">
        <f ca="1">IF(OR($D279&lt;&gt;"Serviço",AND(AUTOEVENTO="Manual",$M279=$A$15),$M279&gt;(ROW(PLE.lastrow)-ROW(PLE.firstrow))),0,
           IF(OFFSET(PLE!$G$15,$M279-$A$15,BZ$13)="",10^12,OFFSET(PLE!$G$15,$M279-$A$15,BZ$13)))</f>
        <v>1000000000000</v>
      </c>
      <c r="CA279" s="172">
        <f ca="1">IF(OR($D279&lt;&gt;"Serviço",AND(AUTOEVENTO="Manual",$M279=$A$15),$M279&gt;(ROW(PLE.lastrow)-ROW(PLE.firstrow))),0,
           IF(OFFSET(PLE!$G$15,$M279-$A$15,CA$13)="",10^12,OFFSET(PLE!$G$15,$M279-$A$15,CA$13)))</f>
        <v>1000000000000</v>
      </c>
      <c r="CB279" s="172">
        <f ca="1">IF(OR($D279&lt;&gt;"Serviço",AND(AUTOEVENTO="Manual",$M279=$A$15),$M279&gt;(ROW(PLE.lastrow)-ROW(PLE.firstrow))),0,
           IF(OFFSET(PLE!$G$15,$M279-$A$15,CB$13)="",10^12,OFFSET(PLE!$G$15,$M279-$A$15,CB$13)))</f>
        <v>1000000000000</v>
      </c>
      <c r="CC279" s="172">
        <f ca="1">IF(OR($D279&lt;&gt;"Serviço",AND(AUTOEVENTO="Manual",$M279=$A$15),$M279&gt;(ROW(PLE.lastrow)-ROW(PLE.firstrow))),0,
           IF(OFFSET(PLE!$G$15,$M279-$A$15,CC$13)="",10^12,OFFSET(PLE!$G$15,$M279-$A$15,CC$13)))</f>
        <v>1000000000000</v>
      </c>
      <c r="CD279" s="172">
        <f ca="1">IF(OR($D279&lt;&gt;"Serviço",AND(AUTOEVENTO="Manual",$M279=$A$15),$M279&gt;(ROW(PLE.lastrow)-ROW(PLE.firstrow))),0,
           IF(OFFSET(PLE!$G$15,$M279-$A$15,CD$13)="",10^12,OFFSET(PLE!$G$15,$M279-$A$15,CD$13)))</f>
        <v>1000000000000</v>
      </c>
      <c r="CE279" s="172">
        <f ca="1">IF(OR($D279&lt;&gt;"Serviço",AND(AUTOEVENTO="Manual",$M279=$A$15),$M279&gt;(ROW(PLE.lastrow)-ROW(PLE.firstrow))),0,
           IF(OFFSET(PLE!$G$15,$M279-$A$15,CE$13)="",10^12,OFFSET(PLE!$G$15,$M279-$A$15,CE$13)))</f>
        <v>1000000000000</v>
      </c>
      <c r="CF279" s="172">
        <f ca="1">IF(OR($D279&lt;&gt;"Serviço",AND(AUTOEVENTO="Manual",$M279=$A$15),$M279&gt;(ROW(PLE.lastrow)-ROW(PLE.firstrow))),0,
           IF(OFFSET(PLE!$G$15,$M279-$A$15,CF$13)="",10^12,OFFSET(PLE!$G$15,$M279-$A$15,CF$13)))</f>
        <v>1000000000000</v>
      </c>
      <c r="CG279" s="172">
        <f ca="1">IF(OR($D279&lt;&gt;"Serviço",AND(AUTOEVENTO="Manual",$M279=$A$15),$M279&gt;(ROW(PLE.lastrow)-ROW(PLE.firstrow))),0,
           IF(OFFSET(PLE!$G$15,$M279-$A$15,CG$13)="",10^12,OFFSET(PLE!$G$15,$M279-$A$15,CG$13)))</f>
        <v>1000000000000</v>
      </c>
      <c r="CH279" s="172">
        <f ca="1">IF(OR($D279&lt;&gt;"Serviço",AND(AUTOEVENTO="Manual",$M279=$A$15),$M279&gt;(ROW(PLE.lastrow)-ROW(PLE.firstrow))),0,
           IF(OFFSET(PLE!$G$15,$M279-$A$15,CH$13)="",10^12,OFFSET(PLE!$G$15,$M279-$A$15,CH$13)))</f>
        <v>1000000000000</v>
      </c>
      <c r="CI279" s="172">
        <f ca="1">IF(OR($D279&lt;&gt;"Serviço",AND(AUTOEVENTO="Manual",$M279=$A$15),$M279&gt;(ROW(PLE.lastrow)-ROW(PLE.firstrow))),0,
           IF(OFFSET(PLE!$G$15,$M279-$A$15,CI$13)="",10^12,OFFSET(PLE!$G$15,$M279-$A$15,CI$13)))</f>
        <v>1000000000000</v>
      </c>
      <c r="CJ279" s="172">
        <f ca="1">IF(OR($D279&lt;&gt;"Serviço",AND(AUTOEVENTO="Manual",$M279=$A$15),$M279&gt;(ROW(PLE.lastrow)-ROW(PLE.firstrow))),0,
           IF(OFFSET(PLE!$G$15,$M279-$A$15,CJ$13)="",10^12,OFFSET(PLE!$G$15,$M279-$A$15,CJ$13)))</f>
        <v>1000000000000</v>
      </c>
      <c r="CK279" s="172">
        <f ca="1">IF(OR($D279&lt;&gt;"Serviço",AND(AUTOEVENTO="Manual",$M279=$A$15),$M279&gt;(ROW(PLE.lastrow)-ROW(PLE.firstrow))),0,
           IF(OFFSET(PLE!$G$15,$M279-$A$15,CK$13)="",10^12,OFFSET(PLE!$G$15,$M279-$A$15,CK$13)))</f>
        <v>1000000000000</v>
      </c>
      <c r="CL279" s="172">
        <f ca="1">IF(OR($D279&lt;&gt;"Serviço",AND(AUTOEVENTO="Manual",$M279=$A$15),$M279&gt;(ROW(PLE.lastrow)-ROW(PLE.firstrow))),0,
           IF(OFFSET(PLE!$G$15,$M279-$A$15,CL$13)="",10^12,OFFSET(PLE!$G$15,$M279-$A$15,CL$13)))</f>
        <v>1000000000000</v>
      </c>
      <c r="CM279" s="172">
        <f ca="1">IF(OR($D279&lt;&gt;"Serviço",AND(AUTOEVENTO="Manual",$M279=$A$15),$M279&gt;(ROW(PLE.lastrow)-ROW(PLE.firstrow))),0,
           IF(OFFSET(PLE!$G$15,$M279-$A$15,CM$13)="",10^12,OFFSET(PLE!$G$15,$M279-$A$15,CM$13)))</f>
        <v>1000000000000</v>
      </c>
    </row>
    <row r="280" spans="1:91" ht="76.5" x14ac:dyDescent="0.2">
      <c r="A280" s="7">
        <f t="shared" ca="1" si="14"/>
        <v>6</v>
      </c>
      <c r="B280" s="7" t="str">
        <f ca="1">OFFSET(ORÇAMENTO!C$15,ROW(B280)-ROW(B$15),0)</f>
        <v>S</v>
      </c>
      <c r="C280" s="7" t="str">
        <f ca="1">OFFSET(ORÇAMENTO!L$15,ROW(C280)-ROW(C$15),0)</f>
        <v>F</v>
      </c>
      <c r="D280" s="116" t="str">
        <f ca="1">OFFSET(ORÇAMENTO!N$15,ROW(D280)-ROW(D$15),0)</f>
        <v>Serviço</v>
      </c>
      <c r="E280" s="117" t="str">
        <f ca="1">OFFSET(ORÇAMENTO!O$15,ROW(E280)-ROW(E$15),0)</f>
        <v>1.7.3.1.2.</v>
      </c>
      <c r="F280" s="163" t="str">
        <f ca="1">OFFSET(ORÇAMENTO!R$15,ROW(F280)-ROW(F$15),0)</f>
        <v>TUBO PONTA/FLANGE FoFo L = 1,00 M - DN 150 MM - FORNECIMENTO</v>
      </c>
      <c r="G280" s="164" t="str">
        <f ca="1">IF($D280&lt;&gt;"Serviço","",OFFSET(ORÇAMENTO!S$15,ROW(G280)-ROW(G$15),0))</f>
        <v>UN</v>
      </c>
      <c r="H280" s="122" cm="1">
        <f t="array" aca="1" ref="H280" ca="1">IF($D280&lt;&gt;"Serviço",0,IF(ACOMPANHAMENTO="BM",ROUND(OFFSET(ORÇAMENTO!AJ$15,ROW(H280)-ROW(H$15),0),15-13*ORÇAMENTO!$AF$7),SUMPRODUCT(($Q$1:$AI$1=1)*ROUND($Q280:$AI280,15-13*ORÇAMENTO!$AF$7))))</f>
        <v>10</v>
      </c>
      <c r="I280" s="468" t="s">
        <v>1350</v>
      </c>
      <c r="J280" s="640" t="str" cm="1">
        <f t="array" aca="1" ref="J280" ca="1">IF(OR(B280&lt;&gt;"S",CÁLCULO.FrentesPreenchidas=0),"",IF(AND(ACOMPANHAMENTO="PLE",AUTOEVENTO="Manual",OR(H280&gt;0,ORÇAMENTO!AC280="QUANT."),OR(K280="",M280=0,N280="")),"►E",IF(AND(ACOMPANHAMENTO="PLE",ORÇAMENTO!AC280="QUANT."),"►Q",IF(AND(ACOMPANHAMENTO="PLE",H280&lt;&gt;SUMPRODUCT(($Q$1:$AI$1=1)*ROUND(Q280:AI280,15))),"►S",IF(AND(COUNTIF($P$11:$AI$11,"▼")=0,H280&gt;0,I280=""),"◄M","")))))</f>
        <v/>
      </c>
      <c r="K280" s="641" t="s">
        <v>1385</v>
      </c>
      <c r="L280" s="165" t="s">
        <v>764</v>
      </c>
      <c r="M280" s="166">
        <f ca="1">IF($D280&lt;&gt;"Serviço","",
          IF(AUTOEVENTO="manual",$A280,
                IF(ISERROR(MATCH($A280,$A$15:OFFSET($A280,-1,0),0)),MAX($M$15:OFFSET(M280,-1,0))+1,
                      INDEX($M$15:OFFSET(M280,-1,0),MATCH($A280,$A$15:OFFSET($A280,-1,0),0)))))</f>
        <v>6</v>
      </c>
      <c r="N280" s="167" t="str">
        <f ca="1">IF($D280&lt;&gt;"Serviço","",
         IF(AUTOEVENTO="Manual",
                IF($A280=0,"&lt;-- defina o número do agrupador",
                       OFFSET(EVENTOS!$D$15,$A280-$A$15,0)),
                OFFSET($F$15,$A280,0)))</f>
        <v>Saneamento</v>
      </c>
      <c r="O280" s="168"/>
      <c r="Q280" s="168"/>
      <c r="R280" s="169"/>
      <c r="S280" s="169"/>
      <c r="T280" s="169"/>
      <c r="U280" s="169">
        <v>10</v>
      </c>
      <c r="V280" s="169"/>
      <c r="W280" s="169"/>
      <c r="X280" s="169"/>
      <c r="Y280" s="169"/>
      <c r="Z280" s="170"/>
      <c r="AA280" s="169"/>
      <c r="AB280" s="169"/>
      <c r="AC280" s="169"/>
      <c r="AD280" s="169"/>
      <c r="AE280" s="169"/>
      <c r="AF280" s="169"/>
      <c r="AG280" s="169"/>
      <c r="AH280" s="170"/>
      <c r="AJ280" s="453">
        <f ca="1">IF(AND($D280="Serviço",AJ$12&lt;&gt;0,$H280&gt;0,OR(AUTOEVENTO&lt;&gt;"manual",$M280&lt;&gt;$A$15)),
        IF(Import.TipoArredondamento&lt;&gt;"TransfereGOV",
              ROUND(OFFSET($P280,0,AJ$13),15-13*ORÇAMENTO!$AF$7)/$H280*OFFSET(ORÇAMENTO!$X$15,ROW(AJ280)-ROW(AJ$15),0),
              ROUND(ROUND(OFFSET($P280,0,AJ$13),15-13*ORÇAMENTO!$AF$7)*OFFSET(ORÇAMENTO!$W$15,ROW(AJ280)-ROW(AJ$15),0),15-13*ORÇAMENTO!$AF$11)),
         0)</f>
        <v>0</v>
      </c>
      <c r="AK280" s="453">
        <f ca="1">IF(AND($D280="Serviço",AK$12&lt;&gt;0,$H280&gt;0,OR(AUTOEVENTO&lt;&gt;"manual",$M280&lt;&gt;$A$15)),
        IF(Import.TipoArredondamento&lt;&gt;"TransfereGOV",
              ROUND(OFFSET($P280,0,AK$13),15-13*ORÇAMENTO!$AF$7)/$H280*OFFSET(ORÇAMENTO!$X$15,ROW(AK280)-ROW(AK$15),0),
              ROUND(ROUND(OFFSET($P280,0,AK$13),15-13*ORÇAMENTO!$AF$7)*OFFSET(ORÇAMENTO!$W$15,ROW(AK280)-ROW(AK$15),0),15-13*ORÇAMENTO!$AF$11)),
         0)</f>
        <v>0</v>
      </c>
      <c r="AL280" s="453">
        <f ca="1">IF(AND($D280="Serviço",AL$12&lt;&gt;0,$H280&gt;0,OR(AUTOEVENTO&lt;&gt;"manual",$M280&lt;&gt;$A$15)),
        IF(Import.TipoArredondamento&lt;&gt;"TransfereGOV",
              ROUND(OFFSET($P280,0,AL$13),15-13*ORÇAMENTO!$AF$7)/$H280*OFFSET(ORÇAMENTO!$X$15,ROW(AL280)-ROW(AL$15),0),
              ROUND(ROUND(OFFSET($P280,0,AL$13),15-13*ORÇAMENTO!$AF$7)*OFFSET(ORÇAMENTO!$W$15,ROW(AL280)-ROW(AL$15),0),15-13*ORÇAMENTO!$AF$11)),
         0)</f>
        <v>0</v>
      </c>
      <c r="AM280" s="453">
        <f ca="1">IF(AND($D280="Serviço",AM$12&lt;&gt;0,$H280&gt;0,OR(AUTOEVENTO&lt;&gt;"manual",$M280&lt;&gt;$A$15)),
        IF(Import.TipoArredondamento&lt;&gt;"TransfereGOV",
              ROUND(OFFSET($P280,0,AM$13),15-13*ORÇAMENTO!$AF$7)/$H280*OFFSET(ORÇAMENTO!$X$15,ROW(AM280)-ROW(AM$15),0),
              ROUND(ROUND(OFFSET($P280,0,AM$13),15-13*ORÇAMENTO!$AF$7)*OFFSET(ORÇAMENTO!$W$15,ROW(AM280)-ROW(AM$15),0),15-13*ORÇAMENTO!$AF$11)),
         0)</f>
        <v>0</v>
      </c>
      <c r="AN280" s="453">
        <f ca="1">IF(AND($D280="Serviço",AN$12&lt;&gt;0,$H280&gt;0,OR(AUTOEVENTO&lt;&gt;"manual",$M280&lt;&gt;$A$15)),
        IF(Import.TipoArredondamento&lt;&gt;"TransfereGOV",
              ROUND(OFFSET($P280,0,AN$13),15-13*ORÇAMENTO!$AF$7)/$H280*OFFSET(ORÇAMENTO!$X$15,ROW(AN280)-ROW(AN$15),0),
              ROUND(ROUND(OFFSET($P280,0,AN$13),15-13*ORÇAMENTO!$AF$7)*OFFSET(ORÇAMENTO!$W$15,ROW(AN280)-ROW(AN$15),0),15-13*ORÇAMENTO!$AF$11)),
         0)</f>
        <v>0</v>
      </c>
      <c r="AO280" s="453">
        <f ca="1">IF(AND($D280="Serviço",AO$12&lt;&gt;0,$H280&gt;0,OR(AUTOEVENTO&lt;&gt;"manual",$M280&lt;&gt;$A$15)),
        IF(Import.TipoArredondamento&lt;&gt;"TransfereGOV",
              ROUND(OFFSET($P280,0,AO$13),15-13*ORÇAMENTO!$AF$7)/$H280*OFFSET(ORÇAMENTO!$X$15,ROW(AO280)-ROW(AO$15),0),
              ROUND(ROUND(OFFSET($P280,0,AO$13),15-13*ORÇAMENTO!$AF$7)*OFFSET(ORÇAMENTO!$W$15,ROW(AO280)-ROW(AO$15),0),15-13*ORÇAMENTO!$AF$11)),
         0)</f>
        <v>0</v>
      </c>
      <c r="AP280" s="453">
        <f ca="1">IF(AND($D280="Serviço",AP$12&lt;&gt;0,$H280&gt;0,OR(AUTOEVENTO&lt;&gt;"manual",$M280&lt;&gt;$A$15)),
        IF(Import.TipoArredondamento&lt;&gt;"TransfereGOV",
              ROUND(OFFSET($P280,0,AP$13),15-13*ORÇAMENTO!$AF$7)/$H280*OFFSET(ORÇAMENTO!$X$15,ROW(AP280)-ROW(AP$15),0),
              ROUND(ROUND(OFFSET($P280,0,AP$13),15-13*ORÇAMENTO!$AF$7)*OFFSET(ORÇAMENTO!$W$15,ROW(AP280)-ROW(AP$15),0),15-13*ORÇAMENTO!$AF$11)),
         0)</f>
        <v>0</v>
      </c>
      <c r="AQ280" s="453">
        <f ca="1">IF(AND($D280="Serviço",AQ$12&lt;&gt;0,$H280&gt;0,OR(AUTOEVENTO&lt;&gt;"manual",$M280&lt;&gt;$A$15)),
        IF(Import.TipoArredondamento&lt;&gt;"TransfereGOV",
              ROUND(OFFSET($P280,0,AQ$13),15-13*ORÇAMENTO!$AF$7)/$H280*OFFSET(ORÇAMENTO!$X$15,ROW(AQ280)-ROW(AQ$15),0),
              ROUND(ROUND(OFFSET($P280,0,AQ$13),15-13*ORÇAMENTO!$AF$7)*OFFSET(ORÇAMENTO!$W$15,ROW(AQ280)-ROW(AQ$15),0),15-13*ORÇAMENTO!$AF$11)),
         0)</f>
        <v>0</v>
      </c>
      <c r="AR280" s="453">
        <f ca="1">IF(AND($D280="Serviço",AR$12&lt;&gt;0,$H280&gt;0,OR(AUTOEVENTO&lt;&gt;"manual",$M280&lt;&gt;$A$15)),
        IF(Import.TipoArredondamento&lt;&gt;"TransfereGOV",
              ROUND(OFFSET($P280,0,AR$13),15-13*ORÇAMENTO!$AF$7)/$H280*OFFSET(ORÇAMENTO!$X$15,ROW(AR280)-ROW(AR$15),0),
              ROUND(ROUND(OFFSET($P280,0,AR$13),15-13*ORÇAMENTO!$AF$7)*OFFSET(ORÇAMENTO!$W$15,ROW(AR280)-ROW(AR$15),0),15-13*ORÇAMENTO!$AF$11)),
         0)</f>
        <v>0</v>
      </c>
      <c r="AS280" s="453">
        <f ca="1">IF(AND($D280="Serviço",AS$12&lt;&gt;0,$H280&gt;0,OR(AUTOEVENTO&lt;&gt;"manual",$M280&lt;&gt;$A$15)),
        IF(Import.TipoArredondamento&lt;&gt;"TransfereGOV",
              ROUND(OFFSET($P280,0,AS$13),15-13*ORÇAMENTO!$AF$7)/$H280*OFFSET(ORÇAMENTO!$X$15,ROW(AS280)-ROW(AS$15),0),
              ROUND(ROUND(OFFSET($P280,0,AS$13),15-13*ORÇAMENTO!$AF$7)*OFFSET(ORÇAMENTO!$W$15,ROW(AS280)-ROW(AS$15),0),15-13*ORÇAMENTO!$AF$11)),
         0)</f>
        <v>0</v>
      </c>
      <c r="AT280" s="453">
        <f ca="1">IF(AND($D280="Serviço",AT$12&lt;&gt;0,$H280&gt;0,OR(AUTOEVENTO&lt;&gt;"manual",$M280&lt;&gt;$A$15)),
        IF(Import.TipoArredondamento&lt;&gt;"TransfereGOV",
              ROUND(OFFSET($P280,0,AT$13),15-13*ORÇAMENTO!$AF$7)/$H280*OFFSET(ORÇAMENTO!$X$15,ROW(AT280)-ROW(AT$15),0),
              ROUND(ROUND(OFFSET($P280,0,AT$13),15-13*ORÇAMENTO!$AF$7)*OFFSET(ORÇAMENTO!$W$15,ROW(AT280)-ROW(AT$15),0),15-13*ORÇAMENTO!$AF$11)),
         0)</f>
        <v>0</v>
      </c>
      <c r="AU280" s="453">
        <f ca="1">IF(AND($D280="Serviço",AU$12&lt;&gt;0,$H280&gt;0,OR(AUTOEVENTO&lt;&gt;"manual",$M280&lt;&gt;$A$15)),
        IF(Import.TipoArredondamento&lt;&gt;"TransfereGOV",
              ROUND(OFFSET($P280,0,AU$13),15-13*ORÇAMENTO!$AF$7)/$H280*OFFSET(ORÇAMENTO!$X$15,ROW(AU280)-ROW(AU$15),0),
              ROUND(ROUND(OFFSET($P280,0,AU$13),15-13*ORÇAMENTO!$AF$7)*OFFSET(ORÇAMENTO!$W$15,ROW(AU280)-ROW(AU$15),0),15-13*ORÇAMENTO!$AF$11)),
         0)</f>
        <v>0</v>
      </c>
      <c r="AV280" s="453">
        <f ca="1">IF(AND($D280="Serviço",AV$12&lt;&gt;0,$H280&gt;0,OR(AUTOEVENTO&lt;&gt;"manual",$M280&lt;&gt;$A$15)),
        IF(Import.TipoArredondamento&lt;&gt;"TransfereGOV",
              ROUND(OFFSET($P280,0,AV$13),15-13*ORÇAMENTO!$AF$7)/$H280*OFFSET(ORÇAMENTO!$X$15,ROW(AV280)-ROW(AV$15),0),
              ROUND(ROUND(OFFSET($P280,0,AV$13),15-13*ORÇAMENTO!$AF$7)*OFFSET(ORÇAMENTO!$W$15,ROW(AV280)-ROW(AV$15),0),15-13*ORÇAMENTO!$AF$11)),
         0)</f>
        <v>0</v>
      </c>
      <c r="AW280" s="453">
        <f ca="1">IF(AND($D280="Serviço",AW$12&lt;&gt;0,$H280&gt;0,OR(AUTOEVENTO&lt;&gt;"manual",$M280&lt;&gt;$A$15)),
        IF(Import.TipoArredondamento&lt;&gt;"TransfereGOV",
              ROUND(OFFSET($P280,0,AW$13),15-13*ORÇAMENTO!$AF$7)/$H280*OFFSET(ORÇAMENTO!$X$15,ROW(AW280)-ROW(AW$15),0),
              ROUND(ROUND(OFFSET($P280,0,AW$13),15-13*ORÇAMENTO!$AF$7)*OFFSET(ORÇAMENTO!$W$15,ROW(AW280)-ROW(AW$15),0),15-13*ORÇAMENTO!$AF$11)),
         0)</f>
        <v>0</v>
      </c>
      <c r="AX280" s="453">
        <f ca="1">IF(AND($D280="Serviço",AX$12&lt;&gt;0,$H280&gt;0,OR(AUTOEVENTO&lt;&gt;"manual",$M280&lt;&gt;$A$15)),
        IF(Import.TipoArredondamento&lt;&gt;"TransfereGOV",
              ROUND(OFFSET($P280,0,AX$13),15-13*ORÇAMENTO!$AF$7)/$H280*OFFSET(ORÇAMENTO!$X$15,ROW(AX280)-ROW(AX$15),0),
              ROUND(ROUND(OFFSET($P280,0,AX$13),15-13*ORÇAMENTO!$AF$7)*OFFSET(ORÇAMENTO!$W$15,ROW(AX280)-ROW(AX$15),0),15-13*ORÇAMENTO!$AF$11)),
         0)</f>
        <v>0</v>
      </c>
      <c r="AY280" s="453">
        <f ca="1">IF(AND($D280="Serviço",AY$12&lt;&gt;0,$H280&gt;0,OR(AUTOEVENTO&lt;&gt;"manual",$M280&lt;&gt;$A$15)),
        IF(Import.TipoArredondamento&lt;&gt;"TransfereGOV",
              ROUND(OFFSET($P280,0,AY$13),15-13*ORÇAMENTO!$AF$7)/$H280*OFFSET(ORÇAMENTO!$X$15,ROW(AY280)-ROW(AY$15),0),
              ROUND(ROUND(OFFSET($P280,0,AY$13),15-13*ORÇAMENTO!$AF$7)*OFFSET(ORÇAMENTO!$W$15,ROW(AY280)-ROW(AY$15),0),15-13*ORÇAMENTO!$AF$11)),
         0)</f>
        <v>0</v>
      </c>
      <c r="AZ280" s="453">
        <f ca="1">IF(AND($D280="Serviço",AZ$12&lt;&gt;0,$H280&gt;0,OR(AUTOEVENTO&lt;&gt;"manual",$M280&lt;&gt;$A$15)),
        IF(Import.TipoArredondamento&lt;&gt;"TransfereGOV",
              ROUND(OFFSET($P280,0,AZ$13),15-13*ORÇAMENTO!$AF$7)/$H280*OFFSET(ORÇAMENTO!$X$15,ROW(AZ280)-ROW(AZ$15),0),
              ROUND(ROUND(OFFSET($P280,0,AZ$13),15-13*ORÇAMENTO!$AF$7)*OFFSET(ORÇAMENTO!$W$15,ROW(AZ280)-ROW(AZ$15),0),15-13*ORÇAMENTO!$AF$11)),
         0)</f>
        <v>0</v>
      </c>
      <c r="BA280" s="453">
        <f ca="1">IF(AND($D280="Serviço",BA$12&lt;&gt;0,$H280&gt;0,OR(AUTOEVENTO&lt;&gt;"manual",$M280&lt;&gt;$A$15)),
        IF(Import.TipoArredondamento&lt;&gt;"TransfereGOV",
              ROUND(OFFSET($P280,0,BA$13),15-13*ORÇAMENTO!$AF$7)/$H280*OFFSET(ORÇAMENTO!$X$15,ROW(BA280)-ROW(BA$15),0),
              ROUND(ROUND(OFFSET($P280,0,BA$13),15-13*ORÇAMENTO!$AF$7)*OFFSET(ORÇAMENTO!$W$15,ROW(BA280)-ROW(BA$15),0),15-13*ORÇAMENTO!$AF$11)),
         0)</f>
        <v>0</v>
      </c>
      <c r="BC280" s="171">
        <f ca="1">IF(OR($D280&lt;&gt;"Serviço",AND(AUTOEVENTO="Manual",$M280=$A$15)),0,
         IF(OFFSET(CRONOPLE!$F$15,$M280-$A$15,BC$13)=0,10^12,OFFSET(CRONOPLE!$F$15,$M280-$A$15,BC$13)))</f>
        <v>1</v>
      </c>
      <c r="BD280" s="171">
        <f ca="1">IF(OR($D280&lt;&gt;"Serviço",AND(AUTOEVENTO="Manual",$M280=$A$15)),0,
         IF(OFFSET(CRONOPLE!$F$15,$M280-$A$15,BD$13)=0,10^12,OFFSET(CRONOPLE!$F$15,$M280-$A$15,BD$13)))</f>
        <v>2</v>
      </c>
      <c r="BE280" s="171">
        <f ca="1">IF(OR($D280&lt;&gt;"Serviço",AND(AUTOEVENTO="Manual",$M280=$A$15)),0,
         IF(OFFSET(CRONOPLE!$F$15,$M280-$A$15,BE$13)=0,10^12,OFFSET(CRONOPLE!$F$15,$M280-$A$15,BE$13)))</f>
        <v>3</v>
      </c>
      <c r="BF280" s="171">
        <f ca="1">IF(OR($D280&lt;&gt;"Serviço",AND(AUTOEVENTO="Manual",$M280=$A$15)),0,
         IF(OFFSET(CRONOPLE!$F$15,$M280-$A$15,BF$13)=0,10^12,OFFSET(CRONOPLE!$F$15,$M280-$A$15,BF$13)))</f>
        <v>4</v>
      </c>
      <c r="BG280" s="171">
        <f ca="1">IF(OR($D280&lt;&gt;"Serviço",AND(AUTOEVENTO="Manual",$M280=$A$15)),0,
         IF(OFFSET(CRONOPLE!$F$15,$M280-$A$15,BG$13)=0,10^12,OFFSET(CRONOPLE!$F$15,$M280-$A$15,BG$13)))</f>
        <v>5</v>
      </c>
      <c r="BH280" s="171">
        <f ca="1">IF(OR($D280&lt;&gt;"Serviço",AND(AUTOEVENTO="Manual",$M280=$A$15)),0,
         IF(OFFSET(CRONOPLE!$F$15,$M280-$A$15,BH$13)=0,10^12,OFFSET(CRONOPLE!$F$15,$M280-$A$15,BH$13)))</f>
        <v>6</v>
      </c>
      <c r="BI280" s="171">
        <f ca="1">IF(OR($D280&lt;&gt;"Serviço",AND(AUTOEVENTO="Manual",$M280=$A$15)),0,
         IF(OFFSET(CRONOPLE!$F$15,$M280-$A$15,BI$13)=0,10^12,OFFSET(CRONOPLE!$F$15,$M280-$A$15,BI$13)))</f>
        <v>7</v>
      </c>
      <c r="BJ280" s="171">
        <f ca="1">IF(OR($D280&lt;&gt;"Serviço",AND(AUTOEVENTO="Manual",$M280=$A$15)),0,
         IF(OFFSET(CRONOPLE!$F$15,$M280-$A$15,BJ$13)=0,10^12,OFFSET(CRONOPLE!$F$15,$M280-$A$15,BJ$13)))</f>
        <v>8</v>
      </c>
      <c r="BK280" s="171">
        <f ca="1">IF(OR($D280&lt;&gt;"Serviço",AND(AUTOEVENTO="Manual",$M280=$A$15)),0,
         IF(OFFSET(CRONOPLE!$F$15,$M280-$A$15,BK$13)=0,10^12,OFFSET(CRONOPLE!$F$15,$M280-$A$15,BK$13)))</f>
        <v>9</v>
      </c>
      <c r="BL280" s="171">
        <f ca="1">IF(OR($D280&lt;&gt;"Serviço",AND(AUTOEVENTO="Manual",$M280=$A$15)),0,
         IF(OFFSET(CRONOPLE!$F$15,$M280-$A$15,BL$13)=0,10^12,OFFSET(CRONOPLE!$F$15,$M280-$A$15,BL$13)))</f>
        <v>1000000000000</v>
      </c>
      <c r="BM280" s="171">
        <f ca="1">IF(OR($D280&lt;&gt;"Serviço",AND(AUTOEVENTO="Manual",$M280=$A$15)),0,
         IF(OFFSET(CRONOPLE!$F$15,$M280-$A$15,BM$13)=0,10^12,OFFSET(CRONOPLE!$F$15,$M280-$A$15,BM$13)))</f>
        <v>1000000000000</v>
      </c>
      <c r="BN280" s="171">
        <f ca="1">IF(OR($D280&lt;&gt;"Serviço",AND(AUTOEVENTO="Manual",$M280=$A$15)),0,
         IF(OFFSET(CRONOPLE!$F$15,$M280-$A$15,BN$13)=0,10^12,OFFSET(CRONOPLE!$F$15,$M280-$A$15,BN$13)))</f>
        <v>1000000000000</v>
      </c>
      <c r="BO280" s="171">
        <f ca="1">IF(OR($D280&lt;&gt;"Serviço",AND(AUTOEVENTO="Manual",$M280=$A$15)),0,
         IF(OFFSET(CRONOPLE!$F$15,$M280-$A$15,BO$13)=0,10^12,OFFSET(CRONOPLE!$F$15,$M280-$A$15,BO$13)))</f>
        <v>1000000000000</v>
      </c>
      <c r="BP280" s="171">
        <f ca="1">IF(OR($D280&lt;&gt;"Serviço",AND(AUTOEVENTO="Manual",$M280=$A$15)),0,
         IF(OFFSET(CRONOPLE!$F$15,$M280-$A$15,BP$13)=0,10^12,OFFSET(CRONOPLE!$F$15,$M280-$A$15,BP$13)))</f>
        <v>1000000000000</v>
      </c>
      <c r="BQ280" s="171">
        <f ca="1">IF(OR($D280&lt;&gt;"Serviço",AND(AUTOEVENTO="Manual",$M280=$A$15)),0,
         IF(OFFSET(CRONOPLE!$F$15,$M280-$A$15,BQ$13)=0,10^12,OFFSET(CRONOPLE!$F$15,$M280-$A$15,BQ$13)))</f>
        <v>1000000000000</v>
      </c>
      <c r="BR280" s="171">
        <f ca="1">IF(OR($D280&lt;&gt;"Serviço",AND(AUTOEVENTO="Manual",$M280=$A$15)),0,
         IF(OFFSET(CRONOPLE!$F$15,$M280-$A$15,BR$13)=0,10^12,OFFSET(CRONOPLE!$F$15,$M280-$A$15,BR$13)))</f>
        <v>1000000000000</v>
      </c>
      <c r="BS280" s="171">
        <f ca="1">IF(OR($D280&lt;&gt;"Serviço",AND(AUTOEVENTO="Manual",$M280=$A$15)),0,
         IF(OFFSET(CRONOPLE!$F$15,$M280-$A$15,BS$13)=0,10^12,OFFSET(CRONOPLE!$F$15,$M280-$A$15,BS$13)))</f>
        <v>1000000000000</v>
      </c>
      <c r="BT280" s="171">
        <f ca="1">IF(OR($D280&lt;&gt;"Serviço",AND(AUTOEVENTO="Manual",$M280=$A$15)),0,
         IF(OFFSET(CRONOPLE!$F$15,$M280-$A$15,BT$13)=0,10^12,OFFSET(CRONOPLE!$F$15,$M280-$A$15,BT$13)))</f>
        <v>1000000000000</v>
      </c>
      <c r="BV280" s="172">
        <f ca="1">IF(OR($D280&lt;&gt;"Serviço",AND(AUTOEVENTO="Manual",$M280=$A$15),$M280&gt;(ROW(PLE.lastrow)-ROW(PLE.firstrow))),0,
           IF(OFFSET(PLE!$G$15,$M280-$A$15,BV$13)="",10^12,OFFSET(PLE!$G$15,$M280-$A$15,BV$13)))</f>
        <v>1000000000000</v>
      </c>
      <c r="BW280" s="172">
        <f ca="1">IF(OR($D280&lt;&gt;"Serviço",AND(AUTOEVENTO="Manual",$M280=$A$15),$M280&gt;(ROW(PLE.lastrow)-ROW(PLE.firstrow))),0,
           IF(OFFSET(PLE!$G$15,$M280-$A$15,BW$13)="",10^12,OFFSET(PLE!$G$15,$M280-$A$15,BW$13)))</f>
        <v>1000000000000</v>
      </c>
      <c r="BX280" s="172">
        <f ca="1">IF(OR($D280&lt;&gt;"Serviço",AND(AUTOEVENTO="Manual",$M280=$A$15),$M280&gt;(ROW(PLE.lastrow)-ROW(PLE.firstrow))),0,
           IF(OFFSET(PLE!$G$15,$M280-$A$15,BX$13)="",10^12,OFFSET(PLE!$G$15,$M280-$A$15,BX$13)))</f>
        <v>1000000000000</v>
      </c>
      <c r="BY280" s="172">
        <f ca="1">IF(OR($D280&lt;&gt;"Serviço",AND(AUTOEVENTO="Manual",$M280=$A$15),$M280&gt;(ROW(PLE.lastrow)-ROW(PLE.firstrow))),0,
           IF(OFFSET(PLE!$G$15,$M280-$A$15,BY$13)="",10^12,OFFSET(PLE!$G$15,$M280-$A$15,BY$13)))</f>
        <v>1000000000000</v>
      </c>
      <c r="BZ280" s="172">
        <f ca="1">IF(OR($D280&lt;&gt;"Serviço",AND(AUTOEVENTO="Manual",$M280=$A$15),$M280&gt;(ROW(PLE.lastrow)-ROW(PLE.firstrow))),0,
           IF(OFFSET(PLE!$G$15,$M280-$A$15,BZ$13)="",10^12,OFFSET(PLE!$G$15,$M280-$A$15,BZ$13)))</f>
        <v>1000000000000</v>
      </c>
      <c r="CA280" s="172">
        <f ca="1">IF(OR($D280&lt;&gt;"Serviço",AND(AUTOEVENTO="Manual",$M280=$A$15),$M280&gt;(ROW(PLE.lastrow)-ROW(PLE.firstrow))),0,
           IF(OFFSET(PLE!$G$15,$M280-$A$15,CA$13)="",10^12,OFFSET(PLE!$G$15,$M280-$A$15,CA$13)))</f>
        <v>1000000000000</v>
      </c>
      <c r="CB280" s="172">
        <f ca="1">IF(OR($D280&lt;&gt;"Serviço",AND(AUTOEVENTO="Manual",$M280=$A$15),$M280&gt;(ROW(PLE.lastrow)-ROW(PLE.firstrow))),0,
           IF(OFFSET(PLE!$G$15,$M280-$A$15,CB$13)="",10^12,OFFSET(PLE!$G$15,$M280-$A$15,CB$13)))</f>
        <v>1000000000000</v>
      </c>
      <c r="CC280" s="172">
        <f ca="1">IF(OR($D280&lt;&gt;"Serviço",AND(AUTOEVENTO="Manual",$M280=$A$15),$M280&gt;(ROW(PLE.lastrow)-ROW(PLE.firstrow))),0,
           IF(OFFSET(PLE!$G$15,$M280-$A$15,CC$13)="",10^12,OFFSET(PLE!$G$15,$M280-$A$15,CC$13)))</f>
        <v>1000000000000</v>
      </c>
      <c r="CD280" s="172">
        <f ca="1">IF(OR($D280&lt;&gt;"Serviço",AND(AUTOEVENTO="Manual",$M280=$A$15),$M280&gt;(ROW(PLE.lastrow)-ROW(PLE.firstrow))),0,
           IF(OFFSET(PLE!$G$15,$M280-$A$15,CD$13)="",10^12,OFFSET(PLE!$G$15,$M280-$A$15,CD$13)))</f>
        <v>1000000000000</v>
      </c>
      <c r="CE280" s="172">
        <f ca="1">IF(OR($D280&lt;&gt;"Serviço",AND(AUTOEVENTO="Manual",$M280=$A$15),$M280&gt;(ROW(PLE.lastrow)-ROW(PLE.firstrow))),0,
           IF(OFFSET(PLE!$G$15,$M280-$A$15,CE$13)="",10^12,OFFSET(PLE!$G$15,$M280-$A$15,CE$13)))</f>
        <v>1000000000000</v>
      </c>
      <c r="CF280" s="172">
        <f ca="1">IF(OR($D280&lt;&gt;"Serviço",AND(AUTOEVENTO="Manual",$M280=$A$15),$M280&gt;(ROW(PLE.lastrow)-ROW(PLE.firstrow))),0,
           IF(OFFSET(PLE!$G$15,$M280-$A$15,CF$13)="",10^12,OFFSET(PLE!$G$15,$M280-$A$15,CF$13)))</f>
        <v>1000000000000</v>
      </c>
      <c r="CG280" s="172">
        <f ca="1">IF(OR($D280&lt;&gt;"Serviço",AND(AUTOEVENTO="Manual",$M280=$A$15),$M280&gt;(ROW(PLE.lastrow)-ROW(PLE.firstrow))),0,
           IF(OFFSET(PLE!$G$15,$M280-$A$15,CG$13)="",10^12,OFFSET(PLE!$G$15,$M280-$A$15,CG$13)))</f>
        <v>1000000000000</v>
      </c>
      <c r="CH280" s="172">
        <f ca="1">IF(OR($D280&lt;&gt;"Serviço",AND(AUTOEVENTO="Manual",$M280=$A$15),$M280&gt;(ROW(PLE.lastrow)-ROW(PLE.firstrow))),0,
           IF(OFFSET(PLE!$G$15,$M280-$A$15,CH$13)="",10^12,OFFSET(PLE!$G$15,$M280-$A$15,CH$13)))</f>
        <v>1000000000000</v>
      </c>
      <c r="CI280" s="172">
        <f ca="1">IF(OR($D280&lt;&gt;"Serviço",AND(AUTOEVENTO="Manual",$M280=$A$15),$M280&gt;(ROW(PLE.lastrow)-ROW(PLE.firstrow))),0,
           IF(OFFSET(PLE!$G$15,$M280-$A$15,CI$13)="",10^12,OFFSET(PLE!$G$15,$M280-$A$15,CI$13)))</f>
        <v>1000000000000</v>
      </c>
      <c r="CJ280" s="172">
        <f ca="1">IF(OR($D280&lt;&gt;"Serviço",AND(AUTOEVENTO="Manual",$M280=$A$15),$M280&gt;(ROW(PLE.lastrow)-ROW(PLE.firstrow))),0,
           IF(OFFSET(PLE!$G$15,$M280-$A$15,CJ$13)="",10^12,OFFSET(PLE!$G$15,$M280-$A$15,CJ$13)))</f>
        <v>1000000000000</v>
      </c>
      <c r="CK280" s="172">
        <f ca="1">IF(OR($D280&lt;&gt;"Serviço",AND(AUTOEVENTO="Manual",$M280=$A$15),$M280&gt;(ROW(PLE.lastrow)-ROW(PLE.firstrow))),0,
           IF(OFFSET(PLE!$G$15,$M280-$A$15,CK$13)="",10^12,OFFSET(PLE!$G$15,$M280-$A$15,CK$13)))</f>
        <v>1000000000000</v>
      </c>
      <c r="CL280" s="172">
        <f ca="1">IF(OR($D280&lt;&gt;"Serviço",AND(AUTOEVENTO="Manual",$M280=$A$15),$M280&gt;(ROW(PLE.lastrow)-ROW(PLE.firstrow))),0,
           IF(OFFSET(PLE!$G$15,$M280-$A$15,CL$13)="",10^12,OFFSET(PLE!$G$15,$M280-$A$15,CL$13)))</f>
        <v>1000000000000</v>
      </c>
      <c r="CM280" s="172">
        <f ca="1">IF(OR($D280&lt;&gt;"Serviço",AND(AUTOEVENTO="Manual",$M280=$A$15),$M280&gt;(ROW(PLE.lastrow)-ROW(PLE.firstrow))),0,
           IF(OFFSET(PLE!$G$15,$M280-$A$15,CM$13)="",10^12,OFFSET(PLE!$G$15,$M280-$A$15,CM$13)))</f>
        <v>1000000000000</v>
      </c>
    </row>
    <row r="281" spans="1:91" ht="76.5" x14ac:dyDescent="0.2">
      <c r="A281" s="7">
        <f t="shared" ca="1" si="14"/>
        <v>6</v>
      </c>
      <c r="B281" s="7" t="str">
        <f ca="1">OFFSET(ORÇAMENTO!C$15,ROW(B281)-ROW(B$15),0)</f>
        <v>S</v>
      </c>
      <c r="C281" s="7" t="str">
        <f ca="1">OFFSET(ORÇAMENTO!L$15,ROW(C281)-ROW(C$15),0)</f>
        <v>F</v>
      </c>
      <c r="D281" s="116" t="str">
        <f ca="1">OFFSET(ORÇAMENTO!N$15,ROW(D281)-ROW(D$15),0)</f>
        <v>Serviço</v>
      </c>
      <c r="E281" s="117" t="str">
        <f ca="1">OFFSET(ORÇAMENTO!O$15,ROW(E281)-ROW(E$15),0)</f>
        <v>1.7.3.1.3.</v>
      </c>
      <c r="F281" s="163" t="str">
        <f ca="1">OFFSET(ORÇAMENTO!R$15,ROW(F281)-ROW(F$15),0)</f>
        <v>CURVA 90 FLANGEADA FoFo - DN 150 MM - FORNECIMENTO</v>
      </c>
      <c r="G281" s="164" t="str">
        <f ca="1">IF($D281&lt;&gt;"Serviço","",OFFSET(ORÇAMENTO!S$15,ROW(G281)-ROW(G$15),0))</f>
        <v>UN</v>
      </c>
      <c r="H281" s="122" cm="1">
        <f t="array" aca="1" ref="H281" ca="1">IF($D281&lt;&gt;"Serviço",0,IF(ACOMPANHAMENTO="BM",ROUND(OFFSET(ORÇAMENTO!AJ$15,ROW(H281)-ROW(H$15),0),15-13*ORÇAMENTO!$AF$7),SUMPRODUCT(($Q$1:$AI$1=1)*ROUND($Q281:$AI281,15-13*ORÇAMENTO!$AF$7))))</f>
        <v>10</v>
      </c>
      <c r="I281" s="468" t="s">
        <v>1350</v>
      </c>
      <c r="J281" s="640" t="str" cm="1">
        <f t="array" aca="1" ref="J281" ca="1">IF(OR(B281&lt;&gt;"S",CÁLCULO.FrentesPreenchidas=0),"",IF(AND(ACOMPANHAMENTO="PLE",AUTOEVENTO="Manual",OR(H281&gt;0,ORÇAMENTO!AC281="QUANT."),OR(K281="",M281=0,N281="")),"►E",IF(AND(ACOMPANHAMENTO="PLE",ORÇAMENTO!AC281="QUANT."),"►Q",IF(AND(ACOMPANHAMENTO="PLE",H281&lt;&gt;SUMPRODUCT(($Q$1:$AI$1=1)*ROUND(Q281:AI281,15))),"►S",IF(AND(COUNTIF($P$11:$AI$11,"▼")=0,H281&gt;0,I281=""),"◄M","")))))</f>
        <v/>
      </c>
      <c r="K281" s="641" t="s">
        <v>1385</v>
      </c>
      <c r="L281" s="165" t="s">
        <v>764</v>
      </c>
      <c r="M281" s="166">
        <f ca="1">IF($D281&lt;&gt;"Serviço","",
          IF(AUTOEVENTO="manual",$A281,
                IF(ISERROR(MATCH($A281,$A$15:OFFSET($A281,-1,0),0)),MAX($M$15:OFFSET(M281,-1,0))+1,
                      INDEX($M$15:OFFSET(M281,-1,0),MATCH($A281,$A$15:OFFSET($A281,-1,0),0)))))</f>
        <v>6</v>
      </c>
      <c r="N281" s="167" t="str">
        <f ca="1">IF($D281&lt;&gt;"Serviço","",
         IF(AUTOEVENTO="Manual",
                IF($A281=0,"&lt;-- defina o número do agrupador",
                       OFFSET(EVENTOS!$D$15,$A281-$A$15,0)),
                OFFSET($F$15,$A281,0)))</f>
        <v>Saneamento</v>
      </c>
      <c r="O281" s="168"/>
      <c r="Q281" s="168"/>
      <c r="R281" s="169"/>
      <c r="S281" s="169"/>
      <c r="T281" s="169"/>
      <c r="U281" s="169">
        <v>10</v>
      </c>
      <c r="V281" s="169"/>
      <c r="W281" s="169"/>
      <c r="X281" s="169"/>
      <c r="Y281" s="169"/>
      <c r="Z281" s="170"/>
      <c r="AA281" s="169"/>
      <c r="AB281" s="169"/>
      <c r="AC281" s="169"/>
      <c r="AD281" s="169"/>
      <c r="AE281" s="169"/>
      <c r="AF281" s="169"/>
      <c r="AG281" s="169"/>
      <c r="AH281" s="170"/>
      <c r="AJ281" s="453">
        <f ca="1">IF(AND($D281="Serviço",AJ$12&lt;&gt;0,$H281&gt;0,OR(AUTOEVENTO&lt;&gt;"manual",$M281&lt;&gt;$A$15)),
        IF(Import.TipoArredondamento&lt;&gt;"TransfereGOV",
              ROUND(OFFSET($P281,0,AJ$13),15-13*ORÇAMENTO!$AF$7)/$H281*OFFSET(ORÇAMENTO!$X$15,ROW(AJ281)-ROW(AJ$15),0),
              ROUND(ROUND(OFFSET($P281,0,AJ$13),15-13*ORÇAMENTO!$AF$7)*OFFSET(ORÇAMENTO!$W$15,ROW(AJ281)-ROW(AJ$15),0),15-13*ORÇAMENTO!$AF$11)),
         0)</f>
        <v>0</v>
      </c>
      <c r="AK281" s="453">
        <f ca="1">IF(AND($D281="Serviço",AK$12&lt;&gt;0,$H281&gt;0,OR(AUTOEVENTO&lt;&gt;"manual",$M281&lt;&gt;$A$15)),
        IF(Import.TipoArredondamento&lt;&gt;"TransfereGOV",
              ROUND(OFFSET($P281,0,AK$13),15-13*ORÇAMENTO!$AF$7)/$H281*OFFSET(ORÇAMENTO!$X$15,ROW(AK281)-ROW(AK$15),0),
              ROUND(ROUND(OFFSET($P281,0,AK$13),15-13*ORÇAMENTO!$AF$7)*OFFSET(ORÇAMENTO!$W$15,ROW(AK281)-ROW(AK$15),0),15-13*ORÇAMENTO!$AF$11)),
         0)</f>
        <v>0</v>
      </c>
      <c r="AL281" s="453">
        <f ca="1">IF(AND($D281="Serviço",AL$12&lt;&gt;0,$H281&gt;0,OR(AUTOEVENTO&lt;&gt;"manual",$M281&lt;&gt;$A$15)),
        IF(Import.TipoArredondamento&lt;&gt;"TransfereGOV",
              ROUND(OFFSET($P281,0,AL$13),15-13*ORÇAMENTO!$AF$7)/$H281*OFFSET(ORÇAMENTO!$X$15,ROW(AL281)-ROW(AL$15),0),
              ROUND(ROUND(OFFSET($P281,0,AL$13),15-13*ORÇAMENTO!$AF$7)*OFFSET(ORÇAMENTO!$W$15,ROW(AL281)-ROW(AL$15),0),15-13*ORÇAMENTO!$AF$11)),
         0)</f>
        <v>0</v>
      </c>
      <c r="AM281" s="453">
        <f ca="1">IF(AND($D281="Serviço",AM$12&lt;&gt;0,$H281&gt;0,OR(AUTOEVENTO&lt;&gt;"manual",$M281&lt;&gt;$A$15)),
        IF(Import.TipoArredondamento&lt;&gt;"TransfereGOV",
              ROUND(OFFSET($P281,0,AM$13),15-13*ORÇAMENTO!$AF$7)/$H281*OFFSET(ORÇAMENTO!$X$15,ROW(AM281)-ROW(AM$15),0),
              ROUND(ROUND(OFFSET($P281,0,AM$13),15-13*ORÇAMENTO!$AF$7)*OFFSET(ORÇAMENTO!$W$15,ROW(AM281)-ROW(AM$15),0),15-13*ORÇAMENTO!$AF$11)),
         0)</f>
        <v>0</v>
      </c>
      <c r="AN281" s="453">
        <f ca="1">IF(AND($D281="Serviço",AN$12&lt;&gt;0,$H281&gt;0,OR(AUTOEVENTO&lt;&gt;"manual",$M281&lt;&gt;$A$15)),
        IF(Import.TipoArredondamento&lt;&gt;"TransfereGOV",
              ROUND(OFFSET($P281,0,AN$13),15-13*ORÇAMENTO!$AF$7)/$H281*OFFSET(ORÇAMENTO!$X$15,ROW(AN281)-ROW(AN$15),0),
              ROUND(ROUND(OFFSET($P281,0,AN$13),15-13*ORÇAMENTO!$AF$7)*OFFSET(ORÇAMENTO!$W$15,ROW(AN281)-ROW(AN$15),0),15-13*ORÇAMENTO!$AF$11)),
         0)</f>
        <v>0</v>
      </c>
      <c r="AO281" s="453">
        <f ca="1">IF(AND($D281="Serviço",AO$12&lt;&gt;0,$H281&gt;0,OR(AUTOEVENTO&lt;&gt;"manual",$M281&lt;&gt;$A$15)),
        IF(Import.TipoArredondamento&lt;&gt;"TransfereGOV",
              ROUND(OFFSET($P281,0,AO$13),15-13*ORÇAMENTO!$AF$7)/$H281*OFFSET(ORÇAMENTO!$X$15,ROW(AO281)-ROW(AO$15),0),
              ROUND(ROUND(OFFSET($P281,0,AO$13),15-13*ORÇAMENTO!$AF$7)*OFFSET(ORÇAMENTO!$W$15,ROW(AO281)-ROW(AO$15),0),15-13*ORÇAMENTO!$AF$11)),
         0)</f>
        <v>0</v>
      </c>
      <c r="AP281" s="453">
        <f ca="1">IF(AND($D281="Serviço",AP$12&lt;&gt;0,$H281&gt;0,OR(AUTOEVENTO&lt;&gt;"manual",$M281&lt;&gt;$A$15)),
        IF(Import.TipoArredondamento&lt;&gt;"TransfereGOV",
              ROUND(OFFSET($P281,0,AP$13),15-13*ORÇAMENTO!$AF$7)/$H281*OFFSET(ORÇAMENTO!$X$15,ROW(AP281)-ROW(AP$15),0),
              ROUND(ROUND(OFFSET($P281,0,AP$13),15-13*ORÇAMENTO!$AF$7)*OFFSET(ORÇAMENTO!$W$15,ROW(AP281)-ROW(AP$15),0),15-13*ORÇAMENTO!$AF$11)),
         0)</f>
        <v>0</v>
      </c>
      <c r="AQ281" s="453">
        <f ca="1">IF(AND($D281="Serviço",AQ$12&lt;&gt;0,$H281&gt;0,OR(AUTOEVENTO&lt;&gt;"manual",$M281&lt;&gt;$A$15)),
        IF(Import.TipoArredondamento&lt;&gt;"TransfereGOV",
              ROUND(OFFSET($P281,0,AQ$13),15-13*ORÇAMENTO!$AF$7)/$H281*OFFSET(ORÇAMENTO!$X$15,ROW(AQ281)-ROW(AQ$15),0),
              ROUND(ROUND(OFFSET($P281,0,AQ$13),15-13*ORÇAMENTO!$AF$7)*OFFSET(ORÇAMENTO!$W$15,ROW(AQ281)-ROW(AQ$15),0),15-13*ORÇAMENTO!$AF$11)),
         0)</f>
        <v>0</v>
      </c>
      <c r="AR281" s="453">
        <f ca="1">IF(AND($D281="Serviço",AR$12&lt;&gt;0,$H281&gt;0,OR(AUTOEVENTO&lt;&gt;"manual",$M281&lt;&gt;$A$15)),
        IF(Import.TipoArredondamento&lt;&gt;"TransfereGOV",
              ROUND(OFFSET($P281,0,AR$13),15-13*ORÇAMENTO!$AF$7)/$H281*OFFSET(ORÇAMENTO!$X$15,ROW(AR281)-ROW(AR$15),0),
              ROUND(ROUND(OFFSET($P281,0,AR$13),15-13*ORÇAMENTO!$AF$7)*OFFSET(ORÇAMENTO!$W$15,ROW(AR281)-ROW(AR$15),0),15-13*ORÇAMENTO!$AF$11)),
         0)</f>
        <v>0</v>
      </c>
      <c r="AS281" s="453">
        <f ca="1">IF(AND($D281="Serviço",AS$12&lt;&gt;0,$H281&gt;0,OR(AUTOEVENTO&lt;&gt;"manual",$M281&lt;&gt;$A$15)),
        IF(Import.TipoArredondamento&lt;&gt;"TransfereGOV",
              ROUND(OFFSET($P281,0,AS$13),15-13*ORÇAMENTO!$AF$7)/$H281*OFFSET(ORÇAMENTO!$X$15,ROW(AS281)-ROW(AS$15),0),
              ROUND(ROUND(OFFSET($P281,0,AS$13),15-13*ORÇAMENTO!$AF$7)*OFFSET(ORÇAMENTO!$W$15,ROW(AS281)-ROW(AS$15),0),15-13*ORÇAMENTO!$AF$11)),
         0)</f>
        <v>0</v>
      </c>
      <c r="AT281" s="453">
        <f ca="1">IF(AND($D281="Serviço",AT$12&lt;&gt;0,$H281&gt;0,OR(AUTOEVENTO&lt;&gt;"manual",$M281&lt;&gt;$A$15)),
        IF(Import.TipoArredondamento&lt;&gt;"TransfereGOV",
              ROUND(OFFSET($P281,0,AT$13),15-13*ORÇAMENTO!$AF$7)/$H281*OFFSET(ORÇAMENTO!$X$15,ROW(AT281)-ROW(AT$15),0),
              ROUND(ROUND(OFFSET($P281,0,AT$13),15-13*ORÇAMENTO!$AF$7)*OFFSET(ORÇAMENTO!$W$15,ROW(AT281)-ROW(AT$15),0),15-13*ORÇAMENTO!$AF$11)),
         0)</f>
        <v>0</v>
      </c>
      <c r="AU281" s="453">
        <f ca="1">IF(AND($D281="Serviço",AU$12&lt;&gt;0,$H281&gt;0,OR(AUTOEVENTO&lt;&gt;"manual",$M281&lt;&gt;$A$15)),
        IF(Import.TipoArredondamento&lt;&gt;"TransfereGOV",
              ROUND(OFFSET($P281,0,AU$13),15-13*ORÇAMENTO!$AF$7)/$H281*OFFSET(ORÇAMENTO!$X$15,ROW(AU281)-ROW(AU$15),0),
              ROUND(ROUND(OFFSET($P281,0,AU$13),15-13*ORÇAMENTO!$AF$7)*OFFSET(ORÇAMENTO!$W$15,ROW(AU281)-ROW(AU$15),0),15-13*ORÇAMENTO!$AF$11)),
         0)</f>
        <v>0</v>
      </c>
      <c r="AV281" s="453">
        <f ca="1">IF(AND($D281="Serviço",AV$12&lt;&gt;0,$H281&gt;0,OR(AUTOEVENTO&lt;&gt;"manual",$M281&lt;&gt;$A$15)),
        IF(Import.TipoArredondamento&lt;&gt;"TransfereGOV",
              ROUND(OFFSET($P281,0,AV$13),15-13*ORÇAMENTO!$AF$7)/$H281*OFFSET(ORÇAMENTO!$X$15,ROW(AV281)-ROW(AV$15),0),
              ROUND(ROUND(OFFSET($P281,0,AV$13),15-13*ORÇAMENTO!$AF$7)*OFFSET(ORÇAMENTO!$W$15,ROW(AV281)-ROW(AV$15),0),15-13*ORÇAMENTO!$AF$11)),
         0)</f>
        <v>0</v>
      </c>
      <c r="AW281" s="453">
        <f ca="1">IF(AND($D281="Serviço",AW$12&lt;&gt;0,$H281&gt;0,OR(AUTOEVENTO&lt;&gt;"manual",$M281&lt;&gt;$A$15)),
        IF(Import.TipoArredondamento&lt;&gt;"TransfereGOV",
              ROUND(OFFSET($P281,0,AW$13),15-13*ORÇAMENTO!$AF$7)/$H281*OFFSET(ORÇAMENTO!$X$15,ROW(AW281)-ROW(AW$15),0),
              ROUND(ROUND(OFFSET($P281,0,AW$13),15-13*ORÇAMENTO!$AF$7)*OFFSET(ORÇAMENTO!$W$15,ROW(AW281)-ROW(AW$15),0),15-13*ORÇAMENTO!$AF$11)),
         0)</f>
        <v>0</v>
      </c>
      <c r="AX281" s="453">
        <f ca="1">IF(AND($D281="Serviço",AX$12&lt;&gt;0,$H281&gt;0,OR(AUTOEVENTO&lt;&gt;"manual",$M281&lt;&gt;$A$15)),
        IF(Import.TipoArredondamento&lt;&gt;"TransfereGOV",
              ROUND(OFFSET($P281,0,AX$13),15-13*ORÇAMENTO!$AF$7)/$H281*OFFSET(ORÇAMENTO!$X$15,ROW(AX281)-ROW(AX$15),0),
              ROUND(ROUND(OFFSET($P281,0,AX$13),15-13*ORÇAMENTO!$AF$7)*OFFSET(ORÇAMENTO!$W$15,ROW(AX281)-ROW(AX$15),0),15-13*ORÇAMENTO!$AF$11)),
         0)</f>
        <v>0</v>
      </c>
      <c r="AY281" s="453">
        <f ca="1">IF(AND($D281="Serviço",AY$12&lt;&gt;0,$H281&gt;0,OR(AUTOEVENTO&lt;&gt;"manual",$M281&lt;&gt;$A$15)),
        IF(Import.TipoArredondamento&lt;&gt;"TransfereGOV",
              ROUND(OFFSET($P281,0,AY$13),15-13*ORÇAMENTO!$AF$7)/$H281*OFFSET(ORÇAMENTO!$X$15,ROW(AY281)-ROW(AY$15),0),
              ROUND(ROUND(OFFSET($P281,0,AY$13),15-13*ORÇAMENTO!$AF$7)*OFFSET(ORÇAMENTO!$W$15,ROW(AY281)-ROW(AY$15),0),15-13*ORÇAMENTO!$AF$11)),
         0)</f>
        <v>0</v>
      </c>
      <c r="AZ281" s="453">
        <f ca="1">IF(AND($D281="Serviço",AZ$12&lt;&gt;0,$H281&gt;0,OR(AUTOEVENTO&lt;&gt;"manual",$M281&lt;&gt;$A$15)),
        IF(Import.TipoArredondamento&lt;&gt;"TransfereGOV",
              ROUND(OFFSET($P281,0,AZ$13),15-13*ORÇAMENTO!$AF$7)/$H281*OFFSET(ORÇAMENTO!$X$15,ROW(AZ281)-ROW(AZ$15),0),
              ROUND(ROUND(OFFSET($P281,0,AZ$13),15-13*ORÇAMENTO!$AF$7)*OFFSET(ORÇAMENTO!$W$15,ROW(AZ281)-ROW(AZ$15),0),15-13*ORÇAMENTO!$AF$11)),
         0)</f>
        <v>0</v>
      </c>
      <c r="BA281" s="453">
        <f ca="1">IF(AND($D281="Serviço",BA$12&lt;&gt;0,$H281&gt;0,OR(AUTOEVENTO&lt;&gt;"manual",$M281&lt;&gt;$A$15)),
        IF(Import.TipoArredondamento&lt;&gt;"TransfereGOV",
              ROUND(OFFSET($P281,0,BA$13),15-13*ORÇAMENTO!$AF$7)/$H281*OFFSET(ORÇAMENTO!$X$15,ROW(BA281)-ROW(BA$15),0),
              ROUND(ROUND(OFFSET($P281,0,BA$13),15-13*ORÇAMENTO!$AF$7)*OFFSET(ORÇAMENTO!$W$15,ROW(BA281)-ROW(BA$15),0),15-13*ORÇAMENTO!$AF$11)),
         0)</f>
        <v>0</v>
      </c>
      <c r="BC281" s="171">
        <f ca="1">IF(OR($D281&lt;&gt;"Serviço",AND(AUTOEVENTO="Manual",$M281=$A$15)),0,
         IF(OFFSET(CRONOPLE!$F$15,$M281-$A$15,BC$13)=0,10^12,OFFSET(CRONOPLE!$F$15,$M281-$A$15,BC$13)))</f>
        <v>1</v>
      </c>
      <c r="BD281" s="171">
        <f ca="1">IF(OR($D281&lt;&gt;"Serviço",AND(AUTOEVENTO="Manual",$M281=$A$15)),0,
         IF(OFFSET(CRONOPLE!$F$15,$M281-$A$15,BD$13)=0,10^12,OFFSET(CRONOPLE!$F$15,$M281-$A$15,BD$13)))</f>
        <v>2</v>
      </c>
      <c r="BE281" s="171">
        <f ca="1">IF(OR($D281&lt;&gt;"Serviço",AND(AUTOEVENTO="Manual",$M281=$A$15)),0,
         IF(OFFSET(CRONOPLE!$F$15,$M281-$A$15,BE$13)=0,10^12,OFFSET(CRONOPLE!$F$15,$M281-$A$15,BE$13)))</f>
        <v>3</v>
      </c>
      <c r="BF281" s="171">
        <f ca="1">IF(OR($D281&lt;&gt;"Serviço",AND(AUTOEVENTO="Manual",$M281=$A$15)),0,
         IF(OFFSET(CRONOPLE!$F$15,$M281-$A$15,BF$13)=0,10^12,OFFSET(CRONOPLE!$F$15,$M281-$A$15,BF$13)))</f>
        <v>4</v>
      </c>
      <c r="BG281" s="171">
        <f ca="1">IF(OR($D281&lt;&gt;"Serviço",AND(AUTOEVENTO="Manual",$M281=$A$15)),0,
         IF(OFFSET(CRONOPLE!$F$15,$M281-$A$15,BG$13)=0,10^12,OFFSET(CRONOPLE!$F$15,$M281-$A$15,BG$13)))</f>
        <v>5</v>
      </c>
      <c r="BH281" s="171">
        <f ca="1">IF(OR($D281&lt;&gt;"Serviço",AND(AUTOEVENTO="Manual",$M281=$A$15)),0,
         IF(OFFSET(CRONOPLE!$F$15,$M281-$A$15,BH$13)=0,10^12,OFFSET(CRONOPLE!$F$15,$M281-$A$15,BH$13)))</f>
        <v>6</v>
      </c>
      <c r="BI281" s="171">
        <f ca="1">IF(OR($D281&lt;&gt;"Serviço",AND(AUTOEVENTO="Manual",$M281=$A$15)),0,
         IF(OFFSET(CRONOPLE!$F$15,$M281-$A$15,BI$13)=0,10^12,OFFSET(CRONOPLE!$F$15,$M281-$A$15,BI$13)))</f>
        <v>7</v>
      </c>
      <c r="BJ281" s="171">
        <f ca="1">IF(OR($D281&lt;&gt;"Serviço",AND(AUTOEVENTO="Manual",$M281=$A$15)),0,
         IF(OFFSET(CRONOPLE!$F$15,$M281-$A$15,BJ$13)=0,10^12,OFFSET(CRONOPLE!$F$15,$M281-$A$15,BJ$13)))</f>
        <v>8</v>
      </c>
      <c r="BK281" s="171">
        <f ca="1">IF(OR($D281&lt;&gt;"Serviço",AND(AUTOEVENTO="Manual",$M281=$A$15)),0,
         IF(OFFSET(CRONOPLE!$F$15,$M281-$A$15,BK$13)=0,10^12,OFFSET(CRONOPLE!$F$15,$M281-$A$15,BK$13)))</f>
        <v>9</v>
      </c>
      <c r="BL281" s="171">
        <f ca="1">IF(OR($D281&lt;&gt;"Serviço",AND(AUTOEVENTO="Manual",$M281=$A$15)),0,
         IF(OFFSET(CRONOPLE!$F$15,$M281-$A$15,BL$13)=0,10^12,OFFSET(CRONOPLE!$F$15,$M281-$A$15,BL$13)))</f>
        <v>1000000000000</v>
      </c>
      <c r="BM281" s="171">
        <f ca="1">IF(OR($D281&lt;&gt;"Serviço",AND(AUTOEVENTO="Manual",$M281=$A$15)),0,
         IF(OFFSET(CRONOPLE!$F$15,$M281-$A$15,BM$13)=0,10^12,OFFSET(CRONOPLE!$F$15,$M281-$A$15,BM$13)))</f>
        <v>1000000000000</v>
      </c>
      <c r="BN281" s="171">
        <f ca="1">IF(OR($D281&lt;&gt;"Serviço",AND(AUTOEVENTO="Manual",$M281=$A$15)),0,
         IF(OFFSET(CRONOPLE!$F$15,$M281-$A$15,BN$13)=0,10^12,OFFSET(CRONOPLE!$F$15,$M281-$A$15,BN$13)))</f>
        <v>1000000000000</v>
      </c>
      <c r="BO281" s="171">
        <f ca="1">IF(OR($D281&lt;&gt;"Serviço",AND(AUTOEVENTO="Manual",$M281=$A$15)),0,
         IF(OFFSET(CRONOPLE!$F$15,$M281-$A$15,BO$13)=0,10^12,OFFSET(CRONOPLE!$F$15,$M281-$A$15,BO$13)))</f>
        <v>1000000000000</v>
      </c>
      <c r="BP281" s="171">
        <f ca="1">IF(OR($D281&lt;&gt;"Serviço",AND(AUTOEVENTO="Manual",$M281=$A$15)),0,
         IF(OFFSET(CRONOPLE!$F$15,$M281-$A$15,BP$13)=0,10^12,OFFSET(CRONOPLE!$F$15,$M281-$A$15,BP$13)))</f>
        <v>1000000000000</v>
      </c>
      <c r="BQ281" s="171">
        <f ca="1">IF(OR($D281&lt;&gt;"Serviço",AND(AUTOEVENTO="Manual",$M281=$A$15)),0,
         IF(OFFSET(CRONOPLE!$F$15,$M281-$A$15,BQ$13)=0,10^12,OFFSET(CRONOPLE!$F$15,$M281-$A$15,BQ$13)))</f>
        <v>1000000000000</v>
      </c>
      <c r="BR281" s="171">
        <f ca="1">IF(OR($D281&lt;&gt;"Serviço",AND(AUTOEVENTO="Manual",$M281=$A$15)),0,
         IF(OFFSET(CRONOPLE!$F$15,$M281-$A$15,BR$13)=0,10^12,OFFSET(CRONOPLE!$F$15,$M281-$A$15,BR$13)))</f>
        <v>1000000000000</v>
      </c>
      <c r="BS281" s="171">
        <f ca="1">IF(OR($D281&lt;&gt;"Serviço",AND(AUTOEVENTO="Manual",$M281=$A$15)),0,
         IF(OFFSET(CRONOPLE!$F$15,$M281-$A$15,BS$13)=0,10^12,OFFSET(CRONOPLE!$F$15,$M281-$A$15,BS$13)))</f>
        <v>1000000000000</v>
      </c>
      <c r="BT281" s="171">
        <f ca="1">IF(OR($D281&lt;&gt;"Serviço",AND(AUTOEVENTO="Manual",$M281=$A$15)),0,
         IF(OFFSET(CRONOPLE!$F$15,$M281-$A$15,BT$13)=0,10^12,OFFSET(CRONOPLE!$F$15,$M281-$A$15,BT$13)))</f>
        <v>1000000000000</v>
      </c>
      <c r="BV281" s="172">
        <f ca="1">IF(OR($D281&lt;&gt;"Serviço",AND(AUTOEVENTO="Manual",$M281=$A$15),$M281&gt;(ROW(PLE.lastrow)-ROW(PLE.firstrow))),0,
           IF(OFFSET(PLE!$G$15,$M281-$A$15,BV$13)="",10^12,OFFSET(PLE!$G$15,$M281-$A$15,BV$13)))</f>
        <v>1000000000000</v>
      </c>
      <c r="BW281" s="172">
        <f ca="1">IF(OR($D281&lt;&gt;"Serviço",AND(AUTOEVENTO="Manual",$M281=$A$15),$M281&gt;(ROW(PLE.lastrow)-ROW(PLE.firstrow))),0,
           IF(OFFSET(PLE!$G$15,$M281-$A$15,BW$13)="",10^12,OFFSET(PLE!$G$15,$M281-$A$15,BW$13)))</f>
        <v>1000000000000</v>
      </c>
      <c r="BX281" s="172">
        <f ca="1">IF(OR($D281&lt;&gt;"Serviço",AND(AUTOEVENTO="Manual",$M281=$A$15),$M281&gt;(ROW(PLE.lastrow)-ROW(PLE.firstrow))),0,
           IF(OFFSET(PLE!$G$15,$M281-$A$15,BX$13)="",10^12,OFFSET(PLE!$G$15,$M281-$A$15,BX$13)))</f>
        <v>1000000000000</v>
      </c>
      <c r="BY281" s="172">
        <f ca="1">IF(OR($D281&lt;&gt;"Serviço",AND(AUTOEVENTO="Manual",$M281=$A$15),$M281&gt;(ROW(PLE.lastrow)-ROW(PLE.firstrow))),0,
           IF(OFFSET(PLE!$G$15,$M281-$A$15,BY$13)="",10^12,OFFSET(PLE!$G$15,$M281-$A$15,BY$13)))</f>
        <v>1000000000000</v>
      </c>
      <c r="BZ281" s="172">
        <f ca="1">IF(OR($D281&lt;&gt;"Serviço",AND(AUTOEVENTO="Manual",$M281=$A$15),$M281&gt;(ROW(PLE.lastrow)-ROW(PLE.firstrow))),0,
           IF(OFFSET(PLE!$G$15,$M281-$A$15,BZ$13)="",10^12,OFFSET(PLE!$G$15,$M281-$A$15,BZ$13)))</f>
        <v>1000000000000</v>
      </c>
      <c r="CA281" s="172">
        <f ca="1">IF(OR($D281&lt;&gt;"Serviço",AND(AUTOEVENTO="Manual",$M281=$A$15),$M281&gt;(ROW(PLE.lastrow)-ROW(PLE.firstrow))),0,
           IF(OFFSET(PLE!$G$15,$M281-$A$15,CA$13)="",10^12,OFFSET(PLE!$G$15,$M281-$A$15,CA$13)))</f>
        <v>1000000000000</v>
      </c>
      <c r="CB281" s="172">
        <f ca="1">IF(OR($D281&lt;&gt;"Serviço",AND(AUTOEVENTO="Manual",$M281=$A$15),$M281&gt;(ROW(PLE.lastrow)-ROW(PLE.firstrow))),0,
           IF(OFFSET(PLE!$G$15,$M281-$A$15,CB$13)="",10^12,OFFSET(PLE!$G$15,$M281-$A$15,CB$13)))</f>
        <v>1000000000000</v>
      </c>
      <c r="CC281" s="172">
        <f ca="1">IF(OR($D281&lt;&gt;"Serviço",AND(AUTOEVENTO="Manual",$M281=$A$15),$M281&gt;(ROW(PLE.lastrow)-ROW(PLE.firstrow))),0,
           IF(OFFSET(PLE!$G$15,$M281-$A$15,CC$13)="",10^12,OFFSET(PLE!$G$15,$M281-$A$15,CC$13)))</f>
        <v>1000000000000</v>
      </c>
      <c r="CD281" s="172">
        <f ca="1">IF(OR($D281&lt;&gt;"Serviço",AND(AUTOEVENTO="Manual",$M281=$A$15),$M281&gt;(ROW(PLE.lastrow)-ROW(PLE.firstrow))),0,
           IF(OFFSET(PLE!$G$15,$M281-$A$15,CD$13)="",10^12,OFFSET(PLE!$G$15,$M281-$A$15,CD$13)))</f>
        <v>1000000000000</v>
      </c>
      <c r="CE281" s="172">
        <f ca="1">IF(OR($D281&lt;&gt;"Serviço",AND(AUTOEVENTO="Manual",$M281=$A$15),$M281&gt;(ROW(PLE.lastrow)-ROW(PLE.firstrow))),0,
           IF(OFFSET(PLE!$G$15,$M281-$A$15,CE$13)="",10^12,OFFSET(PLE!$G$15,$M281-$A$15,CE$13)))</f>
        <v>1000000000000</v>
      </c>
      <c r="CF281" s="172">
        <f ca="1">IF(OR($D281&lt;&gt;"Serviço",AND(AUTOEVENTO="Manual",$M281=$A$15),$M281&gt;(ROW(PLE.lastrow)-ROW(PLE.firstrow))),0,
           IF(OFFSET(PLE!$G$15,$M281-$A$15,CF$13)="",10^12,OFFSET(PLE!$G$15,$M281-$A$15,CF$13)))</f>
        <v>1000000000000</v>
      </c>
      <c r="CG281" s="172">
        <f ca="1">IF(OR($D281&lt;&gt;"Serviço",AND(AUTOEVENTO="Manual",$M281=$A$15),$M281&gt;(ROW(PLE.lastrow)-ROW(PLE.firstrow))),0,
           IF(OFFSET(PLE!$G$15,$M281-$A$15,CG$13)="",10^12,OFFSET(PLE!$G$15,$M281-$A$15,CG$13)))</f>
        <v>1000000000000</v>
      </c>
      <c r="CH281" s="172">
        <f ca="1">IF(OR($D281&lt;&gt;"Serviço",AND(AUTOEVENTO="Manual",$M281=$A$15),$M281&gt;(ROW(PLE.lastrow)-ROW(PLE.firstrow))),0,
           IF(OFFSET(PLE!$G$15,$M281-$A$15,CH$13)="",10^12,OFFSET(PLE!$G$15,$M281-$A$15,CH$13)))</f>
        <v>1000000000000</v>
      </c>
      <c r="CI281" s="172">
        <f ca="1">IF(OR($D281&lt;&gt;"Serviço",AND(AUTOEVENTO="Manual",$M281=$A$15),$M281&gt;(ROW(PLE.lastrow)-ROW(PLE.firstrow))),0,
           IF(OFFSET(PLE!$G$15,$M281-$A$15,CI$13)="",10^12,OFFSET(PLE!$G$15,$M281-$A$15,CI$13)))</f>
        <v>1000000000000</v>
      </c>
      <c r="CJ281" s="172">
        <f ca="1">IF(OR($D281&lt;&gt;"Serviço",AND(AUTOEVENTO="Manual",$M281=$A$15),$M281&gt;(ROW(PLE.lastrow)-ROW(PLE.firstrow))),0,
           IF(OFFSET(PLE!$G$15,$M281-$A$15,CJ$13)="",10^12,OFFSET(PLE!$G$15,$M281-$A$15,CJ$13)))</f>
        <v>1000000000000</v>
      </c>
      <c r="CK281" s="172">
        <f ca="1">IF(OR($D281&lt;&gt;"Serviço",AND(AUTOEVENTO="Manual",$M281=$A$15),$M281&gt;(ROW(PLE.lastrow)-ROW(PLE.firstrow))),0,
           IF(OFFSET(PLE!$G$15,$M281-$A$15,CK$13)="",10^12,OFFSET(PLE!$G$15,$M281-$A$15,CK$13)))</f>
        <v>1000000000000</v>
      </c>
      <c r="CL281" s="172">
        <f ca="1">IF(OR($D281&lt;&gt;"Serviço",AND(AUTOEVENTO="Manual",$M281=$A$15),$M281&gt;(ROW(PLE.lastrow)-ROW(PLE.firstrow))),0,
           IF(OFFSET(PLE!$G$15,$M281-$A$15,CL$13)="",10^12,OFFSET(PLE!$G$15,$M281-$A$15,CL$13)))</f>
        <v>1000000000000</v>
      </c>
      <c r="CM281" s="172">
        <f ca="1">IF(OR($D281&lt;&gt;"Serviço",AND(AUTOEVENTO="Manual",$M281=$A$15),$M281&gt;(ROW(PLE.lastrow)-ROW(PLE.firstrow))),0,
           IF(OFFSET(PLE!$G$15,$M281-$A$15,CM$13)="",10^12,OFFSET(PLE!$G$15,$M281-$A$15,CM$13)))</f>
        <v>1000000000000</v>
      </c>
    </row>
    <row r="282" spans="1:91" ht="76.5" x14ac:dyDescent="0.2">
      <c r="A282" s="7">
        <f t="shared" ca="1" si="14"/>
        <v>6</v>
      </c>
      <c r="B282" s="7" t="str">
        <f ca="1">OFFSET(ORÇAMENTO!C$15,ROW(B282)-ROW(B$15),0)</f>
        <v>S</v>
      </c>
      <c r="C282" s="7" t="str">
        <f ca="1">OFFSET(ORÇAMENTO!L$15,ROW(C282)-ROW(C$15),0)</f>
        <v>F</v>
      </c>
      <c r="D282" s="116" t="str">
        <f ca="1">OFFSET(ORÇAMENTO!N$15,ROW(D282)-ROW(D$15),0)</f>
        <v>Serviço</v>
      </c>
      <c r="E282" s="117" t="str">
        <f ca="1">OFFSET(ORÇAMENTO!O$15,ROW(E282)-ROW(E$15),0)</f>
        <v>1.7.3.1.4.</v>
      </c>
      <c r="F282" s="163" t="str">
        <f ca="1">OFFSET(ORÇAMENTO!R$15,ROW(F282)-ROW(F$15),0)</f>
        <v>REGISTRO GAVETA FLANGE E CABEÇOTE PN10 DN150MM</v>
      </c>
      <c r="G282" s="164" t="str">
        <f ca="1">IF($D282&lt;&gt;"Serviço","",OFFSET(ORÇAMENTO!S$15,ROW(G282)-ROW(G$15),0))</f>
        <v>UN</v>
      </c>
      <c r="H282" s="122" cm="1">
        <f t="array" aca="1" ref="H282" ca="1">IF($D282&lt;&gt;"Serviço",0,IF(ACOMPANHAMENTO="BM",ROUND(OFFSET(ORÇAMENTO!AJ$15,ROW(H282)-ROW(H$15),0),15-13*ORÇAMENTO!$AF$7),SUMPRODUCT(($Q$1:$AI$1=1)*ROUND($Q282:$AI282,15-13*ORÇAMENTO!$AF$7))))</f>
        <v>10</v>
      </c>
      <c r="I282" s="468" t="s">
        <v>1350</v>
      </c>
      <c r="J282" s="640" t="str" cm="1">
        <f t="array" aca="1" ref="J282" ca="1">IF(OR(B282&lt;&gt;"S",CÁLCULO.FrentesPreenchidas=0),"",IF(AND(ACOMPANHAMENTO="PLE",AUTOEVENTO="Manual",OR(H282&gt;0,ORÇAMENTO!AC282="QUANT."),OR(K282="",M282=0,N282="")),"►E",IF(AND(ACOMPANHAMENTO="PLE",ORÇAMENTO!AC282="QUANT."),"►Q",IF(AND(ACOMPANHAMENTO="PLE",H282&lt;&gt;SUMPRODUCT(($Q$1:$AI$1=1)*ROUND(Q282:AI282,15))),"►S",IF(AND(COUNTIF($P$11:$AI$11,"▼")=0,H282&gt;0,I282=""),"◄M","")))))</f>
        <v/>
      </c>
      <c r="K282" s="641" t="s">
        <v>1385</v>
      </c>
      <c r="L282" s="165" t="s">
        <v>764</v>
      </c>
      <c r="M282" s="166">
        <f ca="1">IF($D282&lt;&gt;"Serviço","",
          IF(AUTOEVENTO="manual",$A282,
                IF(ISERROR(MATCH($A282,$A$15:OFFSET($A282,-1,0),0)),MAX($M$15:OFFSET(M282,-1,0))+1,
                      INDEX($M$15:OFFSET(M282,-1,0),MATCH($A282,$A$15:OFFSET($A282,-1,0),0)))))</f>
        <v>6</v>
      </c>
      <c r="N282" s="167" t="str">
        <f ca="1">IF($D282&lt;&gt;"Serviço","",
         IF(AUTOEVENTO="Manual",
                IF($A282=0,"&lt;-- defina o número do agrupador",
                       OFFSET(EVENTOS!$D$15,$A282-$A$15,0)),
                OFFSET($F$15,$A282,0)))</f>
        <v>Saneamento</v>
      </c>
      <c r="O282" s="168"/>
      <c r="Q282" s="168"/>
      <c r="R282" s="169"/>
      <c r="S282" s="169"/>
      <c r="T282" s="169"/>
      <c r="U282" s="169">
        <v>10</v>
      </c>
      <c r="V282" s="169"/>
      <c r="W282" s="169"/>
      <c r="X282" s="169"/>
      <c r="Y282" s="169"/>
      <c r="Z282" s="170"/>
      <c r="AA282" s="169"/>
      <c r="AB282" s="169"/>
      <c r="AC282" s="169"/>
      <c r="AD282" s="169"/>
      <c r="AE282" s="169"/>
      <c r="AF282" s="169"/>
      <c r="AG282" s="169"/>
      <c r="AH282" s="170"/>
      <c r="AJ282" s="453">
        <f ca="1">IF(AND($D282="Serviço",AJ$12&lt;&gt;0,$H282&gt;0,OR(AUTOEVENTO&lt;&gt;"manual",$M282&lt;&gt;$A$15)),
        IF(Import.TipoArredondamento&lt;&gt;"TransfereGOV",
              ROUND(OFFSET($P282,0,AJ$13),15-13*ORÇAMENTO!$AF$7)/$H282*OFFSET(ORÇAMENTO!$X$15,ROW(AJ282)-ROW(AJ$15),0),
              ROUND(ROUND(OFFSET($P282,0,AJ$13),15-13*ORÇAMENTO!$AF$7)*OFFSET(ORÇAMENTO!$W$15,ROW(AJ282)-ROW(AJ$15),0),15-13*ORÇAMENTO!$AF$11)),
         0)</f>
        <v>0</v>
      </c>
      <c r="AK282" s="453">
        <f ca="1">IF(AND($D282="Serviço",AK$12&lt;&gt;0,$H282&gt;0,OR(AUTOEVENTO&lt;&gt;"manual",$M282&lt;&gt;$A$15)),
        IF(Import.TipoArredondamento&lt;&gt;"TransfereGOV",
              ROUND(OFFSET($P282,0,AK$13),15-13*ORÇAMENTO!$AF$7)/$H282*OFFSET(ORÇAMENTO!$X$15,ROW(AK282)-ROW(AK$15),0),
              ROUND(ROUND(OFFSET($P282,0,AK$13),15-13*ORÇAMENTO!$AF$7)*OFFSET(ORÇAMENTO!$W$15,ROW(AK282)-ROW(AK$15),0),15-13*ORÇAMENTO!$AF$11)),
         0)</f>
        <v>0</v>
      </c>
      <c r="AL282" s="453">
        <f ca="1">IF(AND($D282="Serviço",AL$12&lt;&gt;0,$H282&gt;0,OR(AUTOEVENTO&lt;&gt;"manual",$M282&lt;&gt;$A$15)),
        IF(Import.TipoArredondamento&lt;&gt;"TransfereGOV",
              ROUND(OFFSET($P282,0,AL$13),15-13*ORÇAMENTO!$AF$7)/$H282*OFFSET(ORÇAMENTO!$X$15,ROW(AL282)-ROW(AL$15),0),
              ROUND(ROUND(OFFSET($P282,0,AL$13),15-13*ORÇAMENTO!$AF$7)*OFFSET(ORÇAMENTO!$W$15,ROW(AL282)-ROW(AL$15),0),15-13*ORÇAMENTO!$AF$11)),
         0)</f>
        <v>0</v>
      </c>
      <c r="AM282" s="453">
        <f ca="1">IF(AND($D282="Serviço",AM$12&lt;&gt;0,$H282&gt;0,OR(AUTOEVENTO&lt;&gt;"manual",$M282&lt;&gt;$A$15)),
        IF(Import.TipoArredondamento&lt;&gt;"TransfereGOV",
              ROUND(OFFSET($P282,0,AM$13),15-13*ORÇAMENTO!$AF$7)/$H282*OFFSET(ORÇAMENTO!$X$15,ROW(AM282)-ROW(AM$15),0),
              ROUND(ROUND(OFFSET($P282,0,AM$13),15-13*ORÇAMENTO!$AF$7)*OFFSET(ORÇAMENTO!$W$15,ROW(AM282)-ROW(AM$15),0),15-13*ORÇAMENTO!$AF$11)),
         0)</f>
        <v>0</v>
      </c>
      <c r="AN282" s="453">
        <f ca="1">IF(AND($D282="Serviço",AN$12&lt;&gt;0,$H282&gt;0,OR(AUTOEVENTO&lt;&gt;"manual",$M282&lt;&gt;$A$15)),
        IF(Import.TipoArredondamento&lt;&gt;"TransfereGOV",
              ROUND(OFFSET($P282,0,AN$13),15-13*ORÇAMENTO!$AF$7)/$H282*OFFSET(ORÇAMENTO!$X$15,ROW(AN282)-ROW(AN$15),0),
              ROUND(ROUND(OFFSET($P282,0,AN$13),15-13*ORÇAMENTO!$AF$7)*OFFSET(ORÇAMENTO!$W$15,ROW(AN282)-ROW(AN$15),0),15-13*ORÇAMENTO!$AF$11)),
         0)</f>
        <v>0</v>
      </c>
      <c r="AO282" s="453">
        <f ca="1">IF(AND($D282="Serviço",AO$12&lt;&gt;0,$H282&gt;0,OR(AUTOEVENTO&lt;&gt;"manual",$M282&lt;&gt;$A$15)),
        IF(Import.TipoArredondamento&lt;&gt;"TransfereGOV",
              ROUND(OFFSET($P282,0,AO$13),15-13*ORÇAMENTO!$AF$7)/$H282*OFFSET(ORÇAMENTO!$X$15,ROW(AO282)-ROW(AO$15),0),
              ROUND(ROUND(OFFSET($P282,0,AO$13),15-13*ORÇAMENTO!$AF$7)*OFFSET(ORÇAMENTO!$W$15,ROW(AO282)-ROW(AO$15),0),15-13*ORÇAMENTO!$AF$11)),
         0)</f>
        <v>0</v>
      </c>
      <c r="AP282" s="453">
        <f ca="1">IF(AND($D282="Serviço",AP$12&lt;&gt;0,$H282&gt;0,OR(AUTOEVENTO&lt;&gt;"manual",$M282&lt;&gt;$A$15)),
        IF(Import.TipoArredondamento&lt;&gt;"TransfereGOV",
              ROUND(OFFSET($P282,0,AP$13),15-13*ORÇAMENTO!$AF$7)/$H282*OFFSET(ORÇAMENTO!$X$15,ROW(AP282)-ROW(AP$15),0),
              ROUND(ROUND(OFFSET($P282,0,AP$13),15-13*ORÇAMENTO!$AF$7)*OFFSET(ORÇAMENTO!$W$15,ROW(AP282)-ROW(AP$15),0),15-13*ORÇAMENTO!$AF$11)),
         0)</f>
        <v>0</v>
      </c>
      <c r="AQ282" s="453">
        <f ca="1">IF(AND($D282="Serviço",AQ$12&lt;&gt;0,$H282&gt;0,OR(AUTOEVENTO&lt;&gt;"manual",$M282&lt;&gt;$A$15)),
        IF(Import.TipoArredondamento&lt;&gt;"TransfereGOV",
              ROUND(OFFSET($P282,0,AQ$13),15-13*ORÇAMENTO!$AF$7)/$H282*OFFSET(ORÇAMENTO!$X$15,ROW(AQ282)-ROW(AQ$15),0),
              ROUND(ROUND(OFFSET($P282,0,AQ$13),15-13*ORÇAMENTO!$AF$7)*OFFSET(ORÇAMENTO!$W$15,ROW(AQ282)-ROW(AQ$15),0),15-13*ORÇAMENTO!$AF$11)),
         0)</f>
        <v>0</v>
      </c>
      <c r="AR282" s="453">
        <f ca="1">IF(AND($D282="Serviço",AR$12&lt;&gt;0,$H282&gt;0,OR(AUTOEVENTO&lt;&gt;"manual",$M282&lt;&gt;$A$15)),
        IF(Import.TipoArredondamento&lt;&gt;"TransfereGOV",
              ROUND(OFFSET($P282,0,AR$13),15-13*ORÇAMENTO!$AF$7)/$H282*OFFSET(ORÇAMENTO!$X$15,ROW(AR282)-ROW(AR$15),0),
              ROUND(ROUND(OFFSET($P282,0,AR$13),15-13*ORÇAMENTO!$AF$7)*OFFSET(ORÇAMENTO!$W$15,ROW(AR282)-ROW(AR$15),0),15-13*ORÇAMENTO!$AF$11)),
         0)</f>
        <v>0</v>
      </c>
      <c r="AS282" s="453">
        <f ca="1">IF(AND($D282="Serviço",AS$12&lt;&gt;0,$H282&gt;0,OR(AUTOEVENTO&lt;&gt;"manual",$M282&lt;&gt;$A$15)),
        IF(Import.TipoArredondamento&lt;&gt;"TransfereGOV",
              ROUND(OFFSET($P282,0,AS$13),15-13*ORÇAMENTO!$AF$7)/$H282*OFFSET(ORÇAMENTO!$X$15,ROW(AS282)-ROW(AS$15),0),
              ROUND(ROUND(OFFSET($P282,0,AS$13),15-13*ORÇAMENTO!$AF$7)*OFFSET(ORÇAMENTO!$W$15,ROW(AS282)-ROW(AS$15),0),15-13*ORÇAMENTO!$AF$11)),
         0)</f>
        <v>0</v>
      </c>
      <c r="AT282" s="453">
        <f ca="1">IF(AND($D282="Serviço",AT$12&lt;&gt;0,$H282&gt;0,OR(AUTOEVENTO&lt;&gt;"manual",$M282&lt;&gt;$A$15)),
        IF(Import.TipoArredondamento&lt;&gt;"TransfereGOV",
              ROUND(OFFSET($P282,0,AT$13),15-13*ORÇAMENTO!$AF$7)/$H282*OFFSET(ORÇAMENTO!$X$15,ROW(AT282)-ROW(AT$15),0),
              ROUND(ROUND(OFFSET($P282,0,AT$13),15-13*ORÇAMENTO!$AF$7)*OFFSET(ORÇAMENTO!$W$15,ROW(AT282)-ROW(AT$15),0),15-13*ORÇAMENTO!$AF$11)),
         0)</f>
        <v>0</v>
      </c>
      <c r="AU282" s="453">
        <f ca="1">IF(AND($D282="Serviço",AU$12&lt;&gt;0,$H282&gt;0,OR(AUTOEVENTO&lt;&gt;"manual",$M282&lt;&gt;$A$15)),
        IF(Import.TipoArredondamento&lt;&gt;"TransfereGOV",
              ROUND(OFFSET($P282,0,AU$13),15-13*ORÇAMENTO!$AF$7)/$H282*OFFSET(ORÇAMENTO!$X$15,ROW(AU282)-ROW(AU$15),0),
              ROUND(ROUND(OFFSET($P282,0,AU$13),15-13*ORÇAMENTO!$AF$7)*OFFSET(ORÇAMENTO!$W$15,ROW(AU282)-ROW(AU$15),0),15-13*ORÇAMENTO!$AF$11)),
         0)</f>
        <v>0</v>
      </c>
      <c r="AV282" s="453">
        <f ca="1">IF(AND($D282="Serviço",AV$12&lt;&gt;0,$H282&gt;0,OR(AUTOEVENTO&lt;&gt;"manual",$M282&lt;&gt;$A$15)),
        IF(Import.TipoArredondamento&lt;&gt;"TransfereGOV",
              ROUND(OFFSET($P282,0,AV$13),15-13*ORÇAMENTO!$AF$7)/$H282*OFFSET(ORÇAMENTO!$X$15,ROW(AV282)-ROW(AV$15),0),
              ROUND(ROUND(OFFSET($P282,0,AV$13),15-13*ORÇAMENTO!$AF$7)*OFFSET(ORÇAMENTO!$W$15,ROW(AV282)-ROW(AV$15),0),15-13*ORÇAMENTO!$AF$11)),
         0)</f>
        <v>0</v>
      </c>
      <c r="AW282" s="453">
        <f ca="1">IF(AND($D282="Serviço",AW$12&lt;&gt;0,$H282&gt;0,OR(AUTOEVENTO&lt;&gt;"manual",$M282&lt;&gt;$A$15)),
        IF(Import.TipoArredondamento&lt;&gt;"TransfereGOV",
              ROUND(OFFSET($P282,0,AW$13),15-13*ORÇAMENTO!$AF$7)/$H282*OFFSET(ORÇAMENTO!$X$15,ROW(AW282)-ROW(AW$15),0),
              ROUND(ROUND(OFFSET($P282,0,AW$13),15-13*ORÇAMENTO!$AF$7)*OFFSET(ORÇAMENTO!$W$15,ROW(AW282)-ROW(AW$15),0),15-13*ORÇAMENTO!$AF$11)),
         0)</f>
        <v>0</v>
      </c>
      <c r="AX282" s="453">
        <f ca="1">IF(AND($D282="Serviço",AX$12&lt;&gt;0,$H282&gt;0,OR(AUTOEVENTO&lt;&gt;"manual",$M282&lt;&gt;$A$15)),
        IF(Import.TipoArredondamento&lt;&gt;"TransfereGOV",
              ROUND(OFFSET($P282,0,AX$13),15-13*ORÇAMENTO!$AF$7)/$H282*OFFSET(ORÇAMENTO!$X$15,ROW(AX282)-ROW(AX$15),0),
              ROUND(ROUND(OFFSET($P282,0,AX$13),15-13*ORÇAMENTO!$AF$7)*OFFSET(ORÇAMENTO!$W$15,ROW(AX282)-ROW(AX$15),0),15-13*ORÇAMENTO!$AF$11)),
         0)</f>
        <v>0</v>
      </c>
      <c r="AY282" s="453">
        <f ca="1">IF(AND($D282="Serviço",AY$12&lt;&gt;0,$H282&gt;0,OR(AUTOEVENTO&lt;&gt;"manual",$M282&lt;&gt;$A$15)),
        IF(Import.TipoArredondamento&lt;&gt;"TransfereGOV",
              ROUND(OFFSET($P282,0,AY$13),15-13*ORÇAMENTO!$AF$7)/$H282*OFFSET(ORÇAMENTO!$X$15,ROW(AY282)-ROW(AY$15),0),
              ROUND(ROUND(OFFSET($P282,0,AY$13),15-13*ORÇAMENTO!$AF$7)*OFFSET(ORÇAMENTO!$W$15,ROW(AY282)-ROW(AY$15),0),15-13*ORÇAMENTO!$AF$11)),
         0)</f>
        <v>0</v>
      </c>
      <c r="AZ282" s="453">
        <f ca="1">IF(AND($D282="Serviço",AZ$12&lt;&gt;0,$H282&gt;0,OR(AUTOEVENTO&lt;&gt;"manual",$M282&lt;&gt;$A$15)),
        IF(Import.TipoArredondamento&lt;&gt;"TransfereGOV",
              ROUND(OFFSET($P282,0,AZ$13),15-13*ORÇAMENTO!$AF$7)/$H282*OFFSET(ORÇAMENTO!$X$15,ROW(AZ282)-ROW(AZ$15),0),
              ROUND(ROUND(OFFSET($P282,0,AZ$13),15-13*ORÇAMENTO!$AF$7)*OFFSET(ORÇAMENTO!$W$15,ROW(AZ282)-ROW(AZ$15),0),15-13*ORÇAMENTO!$AF$11)),
         0)</f>
        <v>0</v>
      </c>
      <c r="BA282" s="453">
        <f ca="1">IF(AND($D282="Serviço",BA$12&lt;&gt;0,$H282&gt;0,OR(AUTOEVENTO&lt;&gt;"manual",$M282&lt;&gt;$A$15)),
        IF(Import.TipoArredondamento&lt;&gt;"TransfereGOV",
              ROUND(OFFSET($P282,0,BA$13),15-13*ORÇAMENTO!$AF$7)/$H282*OFFSET(ORÇAMENTO!$X$15,ROW(BA282)-ROW(BA$15),0),
              ROUND(ROUND(OFFSET($P282,0,BA$13),15-13*ORÇAMENTO!$AF$7)*OFFSET(ORÇAMENTO!$W$15,ROW(BA282)-ROW(BA$15),0),15-13*ORÇAMENTO!$AF$11)),
         0)</f>
        <v>0</v>
      </c>
      <c r="BC282" s="171">
        <f ca="1">IF(OR($D282&lt;&gt;"Serviço",AND(AUTOEVENTO="Manual",$M282=$A$15)),0,
         IF(OFFSET(CRONOPLE!$F$15,$M282-$A$15,BC$13)=0,10^12,OFFSET(CRONOPLE!$F$15,$M282-$A$15,BC$13)))</f>
        <v>1</v>
      </c>
      <c r="BD282" s="171">
        <f ca="1">IF(OR($D282&lt;&gt;"Serviço",AND(AUTOEVENTO="Manual",$M282=$A$15)),0,
         IF(OFFSET(CRONOPLE!$F$15,$M282-$A$15,BD$13)=0,10^12,OFFSET(CRONOPLE!$F$15,$M282-$A$15,BD$13)))</f>
        <v>2</v>
      </c>
      <c r="BE282" s="171">
        <f ca="1">IF(OR($D282&lt;&gt;"Serviço",AND(AUTOEVENTO="Manual",$M282=$A$15)),0,
         IF(OFFSET(CRONOPLE!$F$15,$M282-$A$15,BE$13)=0,10^12,OFFSET(CRONOPLE!$F$15,$M282-$A$15,BE$13)))</f>
        <v>3</v>
      </c>
      <c r="BF282" s="171">
        <f ca="1">IF(OR($D282&lt;&gt;"Serviço",AND(AUTOEVENTO="Manual",$M282=$A$15)),0,
         IF(OFFSET(CRONOPLE!$F$15,$M282-$A$15,BF$13)=0,10^12,OFFSET(CRONOPLE!$F$15,$M282-$A$15,BF$13)))</f>
        <v>4</v>
      </c>
      <c r="BG282" s="171">
        <f ca="1">IF(OR($D282&lt;&gt;"Serviço",AND(AUTOEVENTO="Manual",$M282=$A$15)),0,
         IF(OFFSET(CRONOPLE!$F$15,$M282-$A$15,BG$13)=0,10^12,OFFSET(CRONOPLE!$F$15,$M282-$A$15,BG$13)))</f>
        <v>5</v>
      </c>
      <c r="BH282" s="171">
        <f ca="1">IF(OR($D282&lt;&gt;"Serviço",AND(AUTOEVENTO="Manual",$M282=$A$15)),0,
         IF(OFFSET(CRONOPLE!$F$15,$M282-$A$15,BH$13)=0,10^12,OFFSET(CRONOPLE!$F$15,$M282-$A$15,BH$13)))</f>
        <v>6</v>
      </c>
      <c r="BI282" s="171">
        <f ca="1">IF(OR($D282&lt;&gt;"Serviço",AND(AUTOEVENTO="Manual",$M282=$A$15)),0,
         IF(OFFSET(CRONOPLE!$F$15,$M282-$A$15,BI$13)=0,10^12,OFFSET(CRONOPLE!$F$15,$M282-$A$15,BI$13)))</f>
        <v>7</v>
      </c>
      <c r="BJ282" s="171">
        <f ca="1">IF(OR($D282&lt;&gt;"Serviço",AND(AUTOEVENTO="Manual",$M282=$A$15)),0,
         IF(OFFSET(CRONOPLE!$F$15,$M282-$A$15,BJ$13)=0,10^12,OFFSET(CRONOPLE!$F$15,$M282-$A$15,BJ$13)))</f>
        <v>8</v>
      </c>
      <c r="BK282" s="171">
        <f ca="1">IF(OR($D282&lt;&gt;"Serviço",AND(AUTOEVENTO="Manual",$M282=$A$15)),0,
         IF(OFFSET(CRONOPLE!$F$15,$M282-$A$15,BK$13)=0,10^12,OFFSET(CRONOPLE!$F$15,$M282-$A$15,BK$13)))</f>
        <v>9</v>
      </c>
      <c r="BL282" s="171">
        <f ca="1">IF(OR($D282&lt;&gt;"Serviço",AND(AUTOEVENTO="Manual",$M282=$A$15)),0,
         IF(OFFSET(CRONOPLE!$F$15,$M282-$A$15,BL$13)=0,10^12,OFFSET(CRONOPLE!$F$15,$M282-$A$15,BL$13)))</f>
        <v>1000000000000</v>
      </c>
      <c r="BM282" s="171">
        <f ca="1">IF(OR($D282&lt;&gt;"Serviço",AND(AUTOEVENTO="Manual",$M282=$A$15)),0,
         IF(OFFSET(CRONOPLE!$F$15,$M282-$A$15,BM$13)=0,10^12,OFFSET(CRONOPLE!$F$15,$M282-$A$15,BM$13)))</f>
        <v>1000000000000</v>
      </c>
      <c r="BN282" s="171">
        <f ca="1">IF(OR($D282&lt;&gt;"Serviço",AND(AUTOEVENTO="Manual",$M282=$A$15)),0,
         IF(OFFSET(CRONOPLE!$F$15,$M282-$A$15,BN$13)=0,10^12,OFFSET(CRONOPLE!$F$15,$M282-$A$15,BN$13)))</f>
        <v>1000000000000</v>
      </c>
      <c r="BO282" s="171">
        <f ca="1">IF(OR($D282&lt;&gt;"Serviço",AND(AUTOEVENTO="Manual",$M282=$A$15)),0,
         IF(OFFSET(CRONOPLE!$F$15,$M282-$A$15,BO$13)=0,10^12,OFFSET(CRONOPLE!$F$15,$M282-$A$15,BO$13)))</f>
        <v>1000000000000</v>
      </c>
      <c r="BP282" s="171">
        <f ca="1">IF(OR($D282&lt;&gt;"Serviço",AND(AUTOEVENTO="Manual",$M282=$A$15)),0,
         IF(OFFSET(CRONOPLE!$F$15,$M282-$A$15,BP$13)=0,10^12,OFFSET(CRONOPLE!$F$15,$M282-$A$15,BP$13)))</f>
        <v>1000000000000</v>
      </c>
      <c r="BQ282" s="171">
        <f ca="1">IF(OR($D282&lt;&gt;"Serviço",AND(AUTOEVENTO="Manual",$M282=$A$15)),0,
         IF(OFFSET(CRONOPLE!$F$15,$M282-$A$15,BQ$13)=0,10^12,OFFSET(CRONOPLE!$F$15,$M282-$A$15,BQ$13)))</f>
        <v>1000000000000</v>
      </c>
      <c r="BR282" s="171">
        <f ca="1">IF(OR($D282&lt;&gt;"Serviço",AND(AUTOEVENTO="Manual",$M282=$A$15)),0,
         IF(OFFSET(CRONOPLE!$F$15,$M282-$A$15,BR$13)=0,10^12,OFFSET(CRONOPLE!$F$15,$M282-$A$15,BR$13)))</f>
        <v>1000000000000</v>
      </c>
      <c r="BS282" s="171">
        <f ca="1">IF(OR($D282&lt;&gt;"Serviço",AND(AUTOEVENTO="Manual",$M282=$A$15)),0,
         IF(OFFSET(CRONOPLE!$F$15,$M282-$A$15,BS$13)=0,10^12,OFFSET(CRONOPLE!$F$15,$M282-$A$15,BS$13)))</f>
        <v>1000000000000</v>
      </c>
      <c r="BT282" s="171">
        <f ca="1">IF(OR($D282&lt;&gt;"Serviço",AND(AUTOEVENTO="Manual",$M282=$A$15)),0,
         IF(OFFSET(CRONOPLE!$F$15,$M282-$A$15,BT$13)=0,10^12,OFFSET(CRONOPLE!$F$15,$M282-$A$15,BT$13)))</f>
        <v>1000000000000</v>
      </c>
      <c r="BV282" s="172">
        <f ca="1">IF(OR($D282&lt;&gt;"Serviço",AND(AUTOEVENTO="Manual",$M282=$A$15),$M282&gt;(ROW(PLE.lastrow)-ROW(PLE.firstrow))),0,
           IF(OFFSET(PLE!$G$15,$M282-$A$15,BV$13)="",10^12,OFFSET(PLE!$G$15,$M282-$A$15,BV$13)))</f>
        <v>1000000000000</v>
      </c>
      <c r="BW282" s="172">
        <f ca="1">IF(OR($D282&lt;&gt;"Serviço",AND(AUTOEVENTO="Manual",$M282=$A$15),$M282&gt;(ROW(PLE.lastrow)-ROW(PLE.firstrow))),0,
           IF(OFFSET(PLE!$G$15,$M282-$A$15,BW$13)="",10^12,OFFSET(PLE!$G$15,$M282-$A$15,BW$13)))</f>
        <v>1000000000000</v>
      </c>
      <c r="BX282" s="172">
        <f ca="1">IF(OR($D282&lt;&gt;"Serviço",AND(AUTOEVENTO="Manual",$M282=$A$15),$M282&gt;(ROW(PLE.lastrow)-ROW(PLE.firstrow))),0,
           IF(OFFSET(PLE!$G$15,$M282-$A$15,BX$13)="",10^12,OFFSET(PLE!$G$15,$M282-$A$15,BX$13)))</f>
        <v>1000000000000</v>
      </c>
      <c r="BY282" s="172">
        <f ca="1">IF(OR($D282&lt;&gt;"Serviço",AND(AUTOEVENTO="Manual",$M282=$A$15),$M282&gt;(ROW(PLE.lastrow)-ROW(PLE.firstrow))),0,
           IF(OFFSET(PLE!$G$15,$M282-$A$15,BY$13)="",10^12,OFFSET(PLE!$G$15,$M282-$A$15,BY$13)))</f>
        <v>1000000000000</v>
      </c>
      <c r="BZ282" s="172">
        <f ca="1">IF(OR($D282&lt;&gt;"Serviço",AND(AUTOEVENTO="Manual",$M282=$A$15),$M282&gt;(ROW(PLE.lastrow)-ROW(PLE.firstrow))),0,
           IF(OFFSET(PLE!$G$15,$M282-$A$15,BZ$13)="",10^12,OFFSET(PLE!$G$15,$M282-$A$15,BZ$13)))</f>
        <v>1000000000000</v>
      </c>
      <c r="CA282" s="172">
        <f ca="1">IF(OR($D282&lt;&gt;"Serviço",AND(AUTOEVENTO="Manual",$M282=$A$15),$M282&gt;(ROW(PLE.lastrow)-ROW(PLE.firstrow))),0,
           IF(OFFSET(PLE!$G$15,$M282-$A$15,CA$13)="",10^12,OFFSET(PLE!$G$15,$M282-$A$15,CA$13)))</f>
        <v>1000000000000</v>
      </c>
      <c r="CB282" s="172">
        <f ca="1">IF(OR($D282&lt;&gt;"Serviço",AND(AUTOEVENTO="Manual",$M282=$A$15),$M282&gt;(ROW(PLE.lastrow)-ROW(PLE.firstrow))),0,
           IF(OFFSET(PLE!$G$15,$M282-$A$15,CB$13)="",10^12,OFFSET(PLE!$G$15,$M282-$A$15,CB$13)))</f>
        <v>1000000000000</v>
      </c>
      <c r="CC282" s="172">
        <f ca="1">IF(OR($D282&lt;&gt;"Serviço",AND(AUTOEVENTO="Manual",$M282=$A$15),$M282&gt;(ROW(PLE.lastrow)-ROW(PLE.firstrow))),0,
           IF(OFFSET(PLE!$G$15,$M282-$A$15,CC$13)="",10^12,OFFSET(PLE!$G$15,$M282-$A$15,CC$13)))</f>
        <v>1000000000000</v>
      </c>
      <c r="CD282" s="172">
        <f ca="1">IF(OR($D282&lt;&gt;"Serviço",AND(AUTOEVENTO="Manual",$M282=$A$15),$M282&gt;(ROW(PLE.lastrow)-ROW(PLE.firstrow))),0,
           IF(OFFSET(PLE!$G$15,$M282-$A$15,CD$13)="",10^12,OFFSET(PLE!$G$15,$M282-$A$15,CD$13)))</f>
        <v>1000000000000</v>
      </c>
      <c r="CE282" s="172">
        <f ca="1">IF(OR($D282&lt;&gt;"Serviço",AND(AUTOEVENTO="Manual",$M282=$A$15),$M282&gt;(ROW(PLE.lastrow)-ROW(PLE.firstrow))),0,
           IF(OFFSET(PLE!$G$15,$M282-$A$15,CE$13)="",10^12,OFFSET(PLE!$G$15,$M282-$A$15,CE$13)))</f>
        <v>1000000000000</v>
      </c>
      <c r="CF282" s="172">
        <f ca="1">IF(OR($D282&lt;&gt;"Serviço",AND(AUTOEVENTO="Manual",$M282=$A$15),$M282&gt;(ROW(PLE.lastrow)-ROW(PLE.firstrow))),0,
           IF(OFFSET(PLE!$G$15,$M282-$A$15,CF$13)="",10^12,OFFSET(PLE!$G$15,$M282-$A$15,CF$13)))</f>
        <v>1000000000000</v>
      </c>
      <c r="CG282" s="172">
        <f ca="1">IF(OR($D282&lt;&gt;"Serviço",AND(AUTOEVENTO="Manual",$M282=$A$15),$M282&gt;(ROW(PLE.lastrow)-ROW(PLE.firstrow))),0,
           IF(OFFSET(PLE!$G$15,$M282-$A$15,CG$13)="",10^12,OFFSET(PLE!$G$15,$M282-$A$15,CG$13)))</f>
        <v>1000000000000</v>
      </c>
      <c r="CH282" s="172">
        <f ca="1">IF(OR($D282&lt;&gt;"Serviço",AND(AUTOEVENTO="Manual",$M282=$A$15),$M282&gt;(ROW(PLE.lastrow)-ROW(PLE.firstrow))),0,
           IF(OFFSET(PLE!$G$15,$M282-$A$15,CH$13)="",10^12,OFFSET(PLE!$G$15,$M282-$A$15,CH$13)))</f>
        <v>1000000000000</v>
      </c>
      <c r="CI282" s="172">
        <f ca="1">IF(OR($D282&lt;&gt;"Serviço",AND(AUTOEVENTO="Manual",$M282=$A$15),$M282&gt;(ROW(PLE.lastrow)-ROW(PLE.firstrow))),0,
           IF(OFFSET(PLE!$G$15,$M282-$A$15,CI$13)="",10^12,OFFSET(PLE!$G$15,$M282-$A$15,CI$13)))</f>
        <v>1000000000000</v>
      </c>
      <c r="CJ282" s="172">
        <f ca="1">IF(OR($D282&lt;&gt;"Serviço",AND(AUTOEVENTO="Manual",$M282=$A$15),$M282&gt;(ROW(PLE.lastrow)-ROW(PLE.firstrow))),0,
           IF(OFFSET(PLE!$G$15,$M282-$A$15,CJ$13)="",10^12,OFFSET(PLE!$G$15,$M282-$A$15,CJ$13)))</f>
        <v>1000000000000</v>
      </c>
      <c r="CK282" s="172">
        <f ca="1">IF(OR($D282&lt;&gt;"Serviço",AND(AUTOEVENTO="Manual",$M282=$A$15),$M282&gt;(ROW(PLE.lastrow)-ROW(PLE.firstrow))),0,
           IF(OFFSET(PLE!$G$15,$M282-$A$15,CK$13)="",10^12,OFFSET(PLE!$G$15,$M282-$A$15,CK$13)))</f>
        <v>1000000000000</v>
      </c>
      <c r="CL282" s="172">
        <f ca="1">IF(OR($D282&lt;&gt;"Serviço",AND(AUTOEVENTO="Manual",$M282=$A$15),$M282&gt;(ROW(PLE.lastrow)-ROW(PLE.firstrow))),0,
           IF(OFFSET(PLE!$G$15,$M282-$A$15,CL$13)="",10^12,OFFSET(PLE!$G$15,$M282-$A$15,CL$13)))</f>
        <v>1000000000000</v>
      </c>
      <c r="CM282" s="172">
        <f ca="1">IF(OR($D282&lt;&gt;"Serviço",AND(AUTOEVENTO="Manual",$M282=$A$15),$M282&gt;(ROW(PLE.lastrow)-ROW(PLE.firstrow))),0,
           IF(OFFSET(PLE!$G$15,$M282-$A$15,CM$13)="",10^12,OFFSET(PLE!$G$15,$M282-$A$15,CM$13)))</f>
        <v>1000000000000</v>
      </c>
    </row>
    <row r="283" spans="1:91" ht="76.5" x14ac:dyDescent="0.2">
      <c r="A283" s="7">
        <f t="shared" ca="1" si="14"/>
        <v>6</v>
      </c>
      <c r="B283" s="7" t="str">
        <f ca="1">OFFSET(ORÇAMENTO!C$15,ROW(B283)-ROW(B$15),0)</f>
        <v>S</v>
      </c>
      <c r="C283" s="7" t="str">
        <f ca="1">OFFSET(ORÇAMENTO!L$15,ROW(C283)-ROW(C$15),0)</f>
        <v>F</v>
      </c>
      <c r="D283" s="116" t="str">
        <f ca="1">OFFSET(ORÇAMENTO!N$15,ROW(D283)-ROW(D$15),0)</f>
        <v>Serviço</v>
      </c>
      <c r="E283" s="117" t="str">
        <f ca="1">OFFSET(ORÇAMENTO!O$15,ROW(E283)-ROW(E$15),0)</f>
        <v>1.7.3.1.5.</v>
      </c>
      <c r="F283" s="163" t="str">
        <f ca="1">OFFSET(ORÇAMENTO!R$15,ROW(F283)-ROW(F$15),0)</f>
        <v>TUBO FLANGEADO FoFo L = 0,75 M - DN 150 MM - FORNECIMENTO</v>
      </c>
      <c r="G283" s="164" t="str">
        <f ca="1">IF($D283&lt;&gt;"Serviço","",OFFSET(ORÇAMENTO!S$15,ROW(G283)-ROW(G$15),0))</f>
        <v>UN</v>
      </c>
      <c r="H283" s="122" cm="1">
        <f t="array" aca="1" ref="H283" ca="1">IF($D283&lt;&gt;"Serviço",0,IF(ACOMPANHAMENTO="BM",ROUND(OFFSET(ORÇAMENTO!AJ$15,ROW(H283)-ROW(H$15),0),15-13*ORÇAMENTO!$AF$7),SUMPRODUCT(($Q$1:$AI$1=1)*ROUND($Q283:$AI283,15-13*ORÇAMENTO!$AF$7))))</f>
        <v>10</v>
      </c>
      <c r="I283" s="468" t="s">
        <v>1350</v>
      </c>
      <c r="J283" s="640" t="str" cm="1">
        <f t="array" aca="1" ref="J283" ca="1">IF(OR(B283&lt;&gt;"S",CÁLCULO.FrentesPreenchidas=0),"",IF(AND(ACOMPANHAMENTO="PLE",AUTOEVENTO="Manual",OR(H283&gt;0,ORÇAMENTO!AC283="QUANT."),OR(K283="",M283=0,N283="")),"►E",IF(AND(ACOMPANHAMENTO="PLE",ORÇAMENTO!AC283="QUANT."),"►Q",IF(AND(ACOMPANHAMENTO="PLE",H283&lt;&gt;SUMPRODUCT(($Q$1:$AI$1=1)*ROUND(Q283:AI283,15))),"►S",IF(AND(COUNTIF($P$11:$AI$11,"▼")=0,H283&gt;0,I283=""),"◄M","")))))</f>
        <v/>
      </c>
      <c r="K283" s="641" t="s">
        <v>1385</v>
      </c>
      <c r="L283" s="165" t="s">
        <v>764</v>
      </c>
      <c r="M283" s="166">
        <f ca="1">IF($D283&lt;&gt;"Serviço","",
          IF(AUTOEVENTO="manual",$A283,
                IF(ISERROR(MATCH($A283,$A$15:OFFSET($A283,-1,0),0)),MAX($M$15:OFFSET(M283,-1,0))+1,
                      INDEX($M$15:OFFSET(M283,-1,0),MATCH($A283,$A$15:OFFSET($A283,-1,0),0)))))</f>
        <v>6</v>
      </c>
      <c r="N283" s="167" t="str">
        <f ca="1">IF($D283&lt;&gt;"Serviço","",
         IF(AUTOEVENTO="Manual",
                IF($A283=0,"&lt;-- defina o número do agrupador",
                       OFFSET(EVENTOS!$D$15,$A283-$A$15,0)),
                OFFSET($F$15,$A283,0)))</f>
        <v>Saneamento</v>
      </c>
      <c r="O283" s="168"/>
      <c r="Q283" s="168"/>
      <c r="R283" s="169"/>
      <c r="S283" s="169"/>
      <c r="T283" s="169"/>
      <c r="U283" s="169">
        <v>10</v>
      </c>
      <c r="V283" s="169"/>
      <c r="W283" s="169"/>
      <c r="X283" s="169"/>
      <c r="Y283" s="169"/>
      <c r="Z283" s="170"/>
      <c r="AA283" s="169"/>
      <c r="AB283" s="169"/>
      <c r="AC283" s="169"/>
      <c r="AD283" s="169"/>
      <c r="AE283" s="169"/>
      <c r="AF283" s="169"/>
      <c r="AG283" s="169"/>
      <c r="AH283" s="170"/>
      <c r="AJ283" s="453">
        <f ca="1">IF(AND($D283="Serviço",AJ$12&lt;&gt;0,$H283&gt;0,OR(AUTOEVENTO&lt;&gt;"manual",$M283&lt;&gt;$A$15)),
        IF(Import.TipoArredondamento&lt;&gt;"TransfereGOV",
              ROUND(OFFSET($P283,0,AJ$13),15-13*ORÇAMENTO!$AF$7)/$H283*OFFSET(ORÇAMENTO!$X$15,ROW(AJ283)-ROW(AJ$15),0),
              ROUND(ROUND(OFFSET($P283,0,AJ$13),15-13*ORÇAMENTO!$AF$7)*OFFSET(ORÇAMENTO!$W$15,ROW(AJ283)-ROW(AJ$15),0),15-13*ORÇAMENTO!$AF$11)),
         0)</f>
        <v>0</v>
      </c>
      <c r="AK283" s="453">
        <f ca="1">IF(AND($D283="Serviço",AK$12&lt;&gt;0,$H283&gt;0,OR(AUTOEVENTO&lt;&gt;"manual",$M283&lt;&gt;$A$15)),
        IF(Import.TipoArredondamento&lt;&gt;"TransfereGOV",
              ROUND(OFFSET($P283,0,AK$13),15-13*ORÇAMENTO!$AF$7)/$H283*OFFSET(ORÇAMENTO!$X$15,ROW(AK283)-ROW(AK$15),0),
              ROUND(ROUND(OFFSET($P283,0,AK$13),15-13*ORÇAMENTO!$AF$7)*OFFSET(ORÇAMENTO!$W$15,ROW(AK283)-ROW(AK$15),0),15-13*ORÇAMENTO!$AF$11)),
         0)</f>
        <v>0</v>
      </c>
      <c r="AL283" s="453">
        <f ca="1">IF(AND($D283="Serviço",AL$12&lt;&gt;0,$H283&gt;0,OR(AUTOEVENTO&lt;&gt;"manual",$M283&lt;&gt;$A$15)),
        IF(Import.TipoArredondamento&lt;&gt;"TransfereGOV",
              ROUND(OFFSET($P283,0,AL$13),15-13*ORÇAMENTO!$AF$7)/$H283*OFFSET(ORÇAMENTO!$X$15,ROW(AL283)-ROW(AL$15),0),
              ROUND(ROUND(OFFSET($P283,0,AL$13),15-13*ORÇAMENTO!$AF$7)*OFFSET(ORÇAMENTO!$W$15,ROW(AL283)-ROW(AL$15),0),15-13*ORÇAMENTO!$AF$11)),
         0)</f>
        <v>0</v>
      </c>
      <c r="AM283" s="453">
        <f ca="1">IF(AND($D283="Serviço",AM$12&lt;&gt;0,$H283&gt;0,OR(AUTOEVENTO&lt;&gt;"manual",$M283&lt;&gt;$A$15)),
        IF(Import.TipoArredondamento&lt;&gt;"TransfereGOV",
              ROUND(OFFSET($P283,0,AM$13),15-13*ORÇAMENTO!$AF$7)/$H283*OFFSET(ORÇAMENTO!$X$15,ROW(AM283)-ROW(AM$15),0),
              ROUND(ROUND(OFFSET($P283,0,AM$13),15-13*ORÇAMENTO!$AF$7)*OFFSET(ORÇAMENTO!$W$15,ROW(AM283)-ROW(AM$15),0),15-13*ORÇAMENTO!$AF$11)),
         0)</f>
        <v>0</v>
      </c>
      <c r="AN283" s="453">
        <f ca="1">IF(AND($D283="Serviço",AN$12&lt;&gt;0,$H283&gt;0,OR(AUTOEVENTO&lt;&gt;"manual",$M283&lt;&gt;$A$15)),
        IF(Import.TipoArredondamento&lt;&gt;"TransfereGOV",
              ROUND(OFFSET($P283,0,AN$13),15-13*ORÇAMENTO!$AF$7)/$H283*OFFSET(ORÇAMENTO!$X$15,ROW(AN283)-ROW(AN$15),0),
              ROUND(ROUND(OFFSET($P283,0,AN$13),15-13*ORÇAMENTO!$AF$7)*OFFSET(ORÇAMENTO!$W$15,ROW(AN283)-ROW(AN$15),0),15-13*ORÇAMENTO!$AF$11)),
         0)</f>
        <v>0</v>
      </c>
      <c r="AO283" s="453">
        <f ca="1">IF(AND($D283="Serviço",AO$12&lt;&gt;0,$H283&gt;0,OR(AUTOEVENTO&lt;&gt;"manual",$M283&lt;&gt;$A$15)),
        IF(Import.TipoArredondamento&lt;&gt;"TransfereGOV",
              ROUND(OFFSET($P283,0,AO$13),15-13*ORÇAMENTO!$AF$7)/$H283*OFFSET(ORÇAMENTO!$X$15,ROW(AO283)-ROW(AO$15),0),
              ROUND(ROUND(OFFSET($P283,0,AO$13),15-13*ORÇAMENTO!$AF$7)*OFFSET(ORÇAMENTO!$W$15,ROW(AO283)-ROW(AO$15),0),15-13*ORÇAMENTO!$AF$11)),
         0)</f>
        <v>0</v>
      </c>
      <c r="AP283" s="453">
        <f ca="1">IF(AND($D283="Serviço",AP$12&lt;&gt;0,$H283&gt;0,OR(AUTOEVENTO&lt;&gt;"manual",$M283&lt;&gt;$A$15)),
        IF(Import.TipoArredondamento&lt;&gt;"TransfereGOV",
              ROUND(OFFSET($P283,0,AP$13),15-13*ORÇAMENTO!$AF$7)/$H283*OFFSET(ORÇAMENTO!$X$15,ROW(AP283)-ROW(AP$15),0),
              ROUND(ROUND(OFFSET($P283,0,AP$13),15-13*ORÇAMENTO!$AF$7)*OFFSET(ORÇAMENTO!$W$15,ROW(AP283)-ROW(AP$15),0),15-13*ORÇAMENTO!$AF$11)),
         0)</f>
        <v>0</v>
      </c>
      <c r="AQ283" s="453">
        <f ca="1">IF(AND($D283="Serviço",AQ$12&lt;&gt;0,$H283&gt;0,OR(AUTOEVENTO&lt;&gt;"manual",$M283&lt;&gt;$A$15)),
        IF(Import.TipoArredondamento&lt;&gt;"TransfereGOV",
              ROUND(OFFSET($P283,0,AQ$13),15-13*ORÇAMENTO!$AF$7)/$H283*OFFSET(ORÇAMENTO!$X$15,ROW(AQ283)-ROW(AQ$15),0),
              ROUND(ROUND(OFFSET($P283,0,AQ$13),15-13*ORÇAMENTO!$AF$7)*OFFSET(ORÇAMENTO!$W$15,ROW(AQ283)-ROW(AQ$15),0),15-13*ORÇAMENTO!$AF$11)),
         0)</f>
        <v>0</v>
      </c>
      <c r="AR283" s="453">
        <f ca="1">IF(AND($D283="Serviço",AR$12&lt;&gt;0,$H283&gt;0,OR(AUTOEVENTO&lt;&gt;"manual",$M283&lt;&gt;$A$15)),
        IF(Import.TipoArredondamento&lt;&gt;"TransfereGOV",
              ROUND(OFFSET($P283,0,AR$13),15-13*ORÇAMENTO!$AF$7)/$H283*OFFSET(ORÇAMENTO!$X$15,ROW(AR283)-ROW(AR$15),0),
              ROUND(ROUND(OFFSET($P283,0,AR$13),15-13*ORÇAMENTO!$AF$7)*OFFSET(ORÇAMENTO!$W$15,ROW(AR283)-ROW(AR$15),0),15-13*ORÇAMENTO!$AF$11)),
         0)</f>
        <v>0</v>
      </c>
      <c r="AS283" s="453">
        <f ca="1">IF(AND($D283="Serviço",AS$12&lt;&gt;0,$H283&gt;0,OR(AUTOEVENTO&lt;&gt;"manual",$M283&lt;&gt;$A$15)),
        IF(Import.TipoArredondamento&lt;&gt;"TransfereGOV",
              ROUND(OFFSET($P283,0,AS$13),15-13*ORÇAMENTO!$AF$7)/$H283*OFFSET(ORÇAMENTO!$X$15,ROW(AS283)-ROW(AS$15),0),
              ROUND(ROUND(OFFSET($P283,0,AS$13),15-13*ORÇAMENTO!$AF$7)*OFFSET(ORÇAMENTO!$W$15,ROW(AS283)-ROW(AS$15),0),15-13*ORÇAMENTO!$AF$11)),
         0)</f>
        <v>0</v>
      </c>
      <c r="AT283" s="453">
        <f ca="1">IF(AND($D283="Serviço",AT$12&lt;&gt;0,$H283&gt;0,OR(AUTOEVENTO&lt;&gt;"manual",$M283&lt;&gt;$A$15)),
        IF(Import.TipoArredondamento&lt;&gt;"TransfereGOV",
              ROUND(OFFSET($P283,0,AT$13),15-13*ORÇAMENTO!$AF$7)/$H283*OFFSET(ORÇAMENTO!$X$15,ROW(AT283)-ROW(AT$15),0),
              ROUND(ROUND(OFFSET($P283,0,AT$13),15-13*ORÇAMENTO!$AF$7)*OFFSET(ORÇAMENTO!$W$15,ROW(AT283)-ROW(AT$15),0),15-13*ORÇAMENTO!$AF$11)),
         0)</f>
        <v>0</v>
      </c>
      <c r="AU283" s="453">
        <f ca="1">IF(AND($D283="Serviço",AU$12&lt;&gt;0,$H283&gt;0,OR(AUTOEVENTO&lt;&gt;"manual",$M283&lt;&gt;$A$15)),
        IF(Import.TipoArredondamento&lt;&gt;"TransfereGOV",
              ROUND(OFFSET($P283,0,AU$13),15-13*ORÇAMENTO!$AF$7)/$H283*OFFSET(ORÇAMENTO!$X$15,ROW(AU283)-ROW(AU$15),0),
              ROUND(ROUND(OFFSET($P283,0,AU$13),15-13*ORÇAMENTO!$AF$7)*OFFSET(ORÇAMENTO!$W$15,ROW(AU283)-ROW(AU$15),0),15-13*ORÇAMENTO!$AF$11)),
         0)</f>
        <v>0</v>
      </c>
      <c r="AV283" s="453">
        <f ca="1">IF(AND($D283="Serviço",AV$12&lt;&gt;0,$H283&gt;0,OR(AUTOEVENTO&lt;&gt;"manual",$M283&lt;&gt;$A$15)),
        IF(Import.TipoArredondamento&lt;&gt;"TransfereGOV",
              ROUND(OFFSET($P283,0,AV$13),15-13*ORÇAMENTO!$AF$7)/$H283*OFFSET(ORÇAMENTO!$X$15,ROW(AV283)-ROW(AV$15),0),
              ROUND(ROUND(OFFSET($P283,0,AV$13),15-13*ORÇAMENTO!$AF$7)*OFFSET(ORÇAMENTO!$W$15,ROW(AV283)-ROW(AV$15),0),15-13*ORÇAMENTO!$AF$11)),
         0)</f>
        <v>0</v>
      </c>
      <c r="AW283" s="453">
        <f ca="1">IF(AND($D283="Serviço",AW$12&lt;&gt;0,$H283&gt;0,OR(AUTOEVENTO&lt;&gt;"manual",$M283&lt;&gt;$A$15)),
        IF(Import.TipoArredondamento&lt;&gt;"TransfereGOV",
              ROUND(OFFSET($P283,0,AW$13),15-13*ORÇAMENTO!$AF$7)/$H283*OFFSET(ORÇAMENTO!$X$15,ROW(AW283)-ROW(AW$15),0),
              ROUND(ROUND(OFFSET($P283,0,AW$13),15-13*ORÇAMENTO!$AF$7)*OFFSET(ORÇAMENTO!$W$15,ROW(AW283)-ROW(AW$15),0),15-13*ORÇAMENTO!$AF$11)),
         0)</f>
        <v>0</v>
      </c>
      <c r="AX283" s="453">
        <f ca="1">IF(AND($D283="Serviço",AX$12&lt;&gt;0,$H283&gt;0,OR(AUTOEVENTO&lt;&gt;"manual",$M283&lt;&gt;$A$15)),
        IF(Import.TipoArredondamento&lt;&gt;"TransfereGOV",
              ROUND(OFFSET($P283,0,AX$13),15-13*ORÇAMENTO!$AF$7)/$H283*OFFSET(ORÇAMENTO!$X$15,ROW(AX283)-ROW(AX$15),0),
              ROUND(ROUND(OFFSET($P283,0,AX$13),15-13*ORÇAMENTO!$AF$7)*OFFSET(ORÇAMENTO!$W$15,ROW(AX283)-ROW(AX$15),0),15-13*ORÇAMENTO!$AF$11)),
         0)</f>
        <v>0</v>
      </c>
      <c r="AY283" s="453">
        <f ca="1">IF(AND($D283="Serviço",AY$12&lt;&gt;0,$H283&gt;0,OR(AUTOEVENTO&lt;&gt;"manual",$M283&lt;&gt;$A$15)),
        IF(Import.TipoArredondamento&lt;&gt;"TransfereGOV",
              ROUND(OFFSET($P283,0,AY$13),15-13*ORÇAMENTO!$AF$7)/$H283*OFFSET(ORÇAMENTO!$X$15,ROW(AY283)-ROW(AY$15),0),
              ROUND(ROUND(OFFSET($P283,0,AY$13),15-13*ORÇAMENTO!$AF$7)*OFFSET(ORÇAMENTO!$W$15,ROW(AY283)-ROW(AY$15),0),15-13*ORÇAMENTO!$AF$11)),
         0)</f>
        <v>0</v>
      </c>
      <c r="AZ283" s="453">
        <f ca="1">IF(AND($D283="Serviço",AZ$12&lt;&gt;0,$H283&gt;0,OR(AUTOEVENTO&lt;&gt;"manual",$M283&lt;&gt;$A$15)),
        IF(Import.TipoArredondamento&lt;&gt;"TransfereGOV",
              ROUND(OFFSET($P283,0,AZ$13),15-13*ORÇAMENTO!$AF$7)/$H283*OFFSET(ORÇAMENTO!$X$15,ROW(AZ283)-ROW(AZ$15),0),
              ROUND(ROUND(OFFSET($P283,0,AZ$13),15-13*ORÇAMENTO!$AF$7)*OFFSET(ORÇAMENTO!$W$15,ROW(AZ283)-ROW(AZ$15),0),15-13*ORÇAMENTO!$AF$11)),
         0)</f>
        <v>0</v>
      </c>
      <c r="BA283" s="453">
        <f ca="1">IF(AND($D283="Serviço",BA$12&lt;&gt;0,$H283&gt;0,OR(AUTOEVENTO&lt;&gt;"manual",$M283&lt;&gt;$A$15)),
        IF(Import.TipoArredondamento&lt;&gt;"TransfereGOV",
              ROUND(OFFSET($P283,0,BA$13),15-13*ORÇAMENTO!$AF$7)/$H283*OFFSET(ORÇAMENTO!$X$15,ROW(BA283)-ROW(BA$15),0),
              ROUND(ROUND(OFFSET($P283,0,BA$13),15-13*ORÇAMENTO!$AF$7)*OFFSET(ORÇAMENTO!$W$15,ROW(BA283)-ROW(BA$15),0),15-13*ORÇAMENTO!$AF$11)),
         0)</f>
        <v>0</v>
      </c>
      <c r="BC283" s="171">
        <f ca="1">IF(OR($D283&lt;&gt;"Serviço",AND(AUTOEVENTO="Manual",$M283=$A$15)),0,
         IF(OFFSET(CRONOPLE!$F$15,$M283-$A$15,BC$13)=0,10^12,OFFSET(CRONOPLE!$F$15,$M283-$A$15,BC$13)))</f>
        <v>1</v>
      </c>
      <c r="BD283" s="171">
        <f ca="1">IF(OR($D283&lt;&gt;"Serviço",AND(AUTOEVENTO="Manual",$M283=$A$15)),0,
         IF(OFFSET(CRONOPLE!$F$15,$M283-$A$15,BD$13)=0,10^12,OFFSET(CRONOPLE!$F$15,$M283-$A$15,BD$13)))</f>
        <v>2</v>
      </c>
      <c r="BE283" s="171">
        <f ca="1">IF(OR($D283&lt;&gt;"Serviço",AND(AUTOEVENTO="Manual",$M283=$A$15)),0,
         IF(OFFSET(CRONOPLE!$F$15,$M283-$A$15,BE$13)=0,10^12,OFFSET(CRONOPLE!$F$15,$M283-$A$15,BE$13)))</f>
        <v>3</v>
      </c>
      <c r="BF283" s="171">
        <f ca="1">IF(OR($D283&lt;&gt;"Serviço",AND(AUTOEVENTO="Manual",$M283=$A$15)),0,
         IF(OFFSET(CRONOPLE!$F$15,$M283-$A$15,BF$13)=0,10^12,OFFSET(CRONOPLE!$F$15,$M283-$A$15,BF$13)))</f>
        <v>4</v>
      </c>
      <c r="BG283" s="171">
        <f ca="1">IF(OR($D283&lt;&gt;"Serviço",AND(AUTOEVENTO="Manual",$M283=$A$15)),0,
         IF(OFFSET(CRONOPLE!$F$15,$M283-$A$15,BG$13)=0,10^12,OFFSET(CRONOPLE!$F$15,$M283-$A$15,BG$13)))</f>
        <v>5</v>
      </c>
      <c r="BH283" s="171">
        <f ca="1">IF(OR($D283&lt;&gt;"Serviço",AND(AUTOEVENTO="Manual",$M283=$A$15)),0,
         IF(OFFSET(CRONOPLE!$F$15,$M283-$A$15,BH$13)=0,10^12,OFFSET(CRONOPLE!$F$15,$M283-$A$15,BH$13)))</f>
        <v>6</v>
      </c>
      <c r="BI283" s="171">
        <f ca="1">IF(OR($D283&lt;&gt;"Serviço",AND(AUTOEVENTO="Manual",$M283=$A$15)),0,
         IF(OFFSET(CRONOPLE!$F$15,$M283-$A$15,BI$13)=0,10^12,OFFSET(CRONOPLE!$F$15,$M283-$A$15,BI$13)))</f>
        <v>7</v>
      </c>
      <c r="BJ283" s="171">
        <f ca="1">IF(OR($D283&lt;&gt;"Serviço",AND(AUTOEVENTO="Manual",$M283=$A$15)),0,
         IF(OFFSET(CRONOPLE!$F$15,$M283-$A$15,BJ$13)=0,10^12,OFFSET(CRONOPLE!$F$15,$M283-$A$15,BJ$13)))</f>
        <v>8</v>
      </c>
      <c r="BK283" s="171">
        <f ca="1">IF(OR($D283&lt;&gt;"Serviço",AND(AUTOEVENTO="Manual",$M283=$A$15)),0,
         IF(OFFSET(CRONOPLE!$F$15,$M283-$A$15,BK$13)=0,10^12,OFFSET(CRONOPLE!$F$15,$M283-$A$15,BK$13)))</f>
        <v>9</v>
      </c>
      <c r="BL283" s="171">
        <f ca="1">IF(OR($D283&lt;&gt;"Serviço",AND(AUTOEVENTO="Manual",$M283=$A$15)),0,
         IF(OFFSET(CRONOPLE!$F$15,$M283-$A$15,BL$13)=0,10^12,OFFSET(CRONOPLE!$F$15,$M283-$A$15,BL$13)))</f>
        <v>1000000000000</v>
      </c>
      <c r="BM283" s="171">
        <f ca="1">IF(OR($D283&lt;&gt;"Serviço",AND(AUTOEVENTO="Manual",$M283=$A$15)),0,
         IF(OFFSET(CRONOPLE!$F$15,$M283-$A$15,BM$13)=0,10^12,OFFSET(CRONOPLE!$F$15,$M283-$A$15,BM$13)))</f>
        <v>1000000000000</v>
      </c>
      <c r="BN283" s="171">
        <f ca="1">IF(OR($D283&lt;&gt;"Serviço",AND(AUTOEVENTO="Manual",$M283=$A$15)),0,
         IF(OFFSET(CRONOPLE!$F$15,$M283-$A$15,BN$13)=0,10^12,OFFSET(CRONOPLE!$F$15,$M283-$A$15,BN$13)))</f>
        <v>1000000000000</v>
      </c>
      <c r="BO283" s="171">
        <f ca="1">IF(OR($D283&lt;&gt;"Serviço",AND(AUTOEVENTO="Manual",$M283=$A$15)),0,
         IF(OFFSET(CRONOPLE!$F$15,$M283-$A$15,BO$13)=0,10^12,OFFSET(CRONOPLE!$F$15,$M283-$A$15,BO$13)))</f>
        <v>1000000000000</v>
      </c>
      <c r="BP283" s="171">
        <f ca="1">IF(OR($D283&lt;&gt;"Serviço",AND(AUTOEVENTO="Manual",$M283=$A$15)),0,
         IF(OFFSET(CRONOPLE!$F$15,$M283-$A$15,BP$13)=0,10^12,OFFSET(CRONOPLE!$F$15,$M283-$A$15,BP$13)))</f>
        <v>1000000000000</v>
      </c>
      <c r="BQ283" s="171">
        <f ca="1">IF(OR($D283&lt;&gt;"Serviço",AND(AUTOEVENTO="Manual",$M283=$A$15)),0,
         IF(OFFSET(CRONOPLE!$F$15,$M283-$A$15,BQ$13)=0,10^12,OFFSET(CRONOPLE!$F$15,$M283-$A$15,BQ$13)))</f>
        <v>1000000000000</v>
      </c>
      <c r="BR283" s="171">
        <f ca="1">IF(OR($D283&lt;&gt;"Serviço",AND(AUTOEVENTO="Manual",$M283=$A$15)),0,
         IF(OFFSET(CRONOPLE!$F$15,$M283-$A$15,BR$13)=0,10^12,OFFSET(CRONOPLE!$F$15,$M283-$A$15,BR$13)))</f>
        <v>1000000000000</v>
      </c>
      <c r="BS283" s="171">
        <f ca="1">IF(OR($D283&lt;&gt;"Serviço",AND(AUTOEVENTO="Manual",$M283=$A$15)),0,
         IF(OFFSET(CRONOPLE!$F$15,$M283-$A$15,BS$13)=0,10^12,OFFSET(CRONOPLE!$F$15,$M283-$A$15,BS$13)))</f>
        <v>1000000000000</v>
      </c>
      <c r="BT283" s="171">
        <f ca="1">IF(OR($D283&lt;&gt;"Serviço",AND(AUTOEVENTO="Manual",$M283=$A$15)),0,
         IF(OFFSET(CRONOPLE!$F$15,$M283-$A$15,BT$13)=0,10^12,OFFSET(CRONOPLE!$F$15,$M283-$A$15,BT$13)))</f>
        <v>1000000000000</v>
      </c>
      <c r="BV283" s="172">
        <f ca="1">IF(OR($D283&lt;&gt;"Serviço",AND(AUTOEVENTO="Manual",$M283=$A$15),$M283&gt;(ROW(PLE.lastrow)-ROW(PLE.firstrow))),0,
           IF(OFFSET(PLE!$G$15,$M283-$A$15,BV$13)="",10^12,OFFSET(PLE!$G$15,$M283-$A$15,BV$13)))</f>
        <v>1000000000000</v>
      </c>
      <c r="BW283" s="172">
        <f ca="1">IF(OR($D283&lt;&gt;"Serviço",AND(AUTOEVENTO="Manual",$M283=$A$15),$M283&gt;(ROW(PLE.lastrow)-ROW(PLE.firstrow))),0,
           IF(OFFSET(PLE!$G$15,$M283-$A$15,BW$13)="",10^12,OFFSET(PLE!$G$15,$M283-$A$15,BW$13)))</f>
        <v>1000000000000</v>
      </c>
      <c r="BX283" s="172">
        <f ca="1">IF(OR($D283&lt;&gt;"Serviço",AND(AUTOEVENTO="Manual",$M283=$A$15),$M283&gt;(ROW(PLE.lastrow)-ROW(PLE.firstrow))),0,
           IF(OFFSET(PLE!$G$15,$M283-$A$15,BX$13)="",10^12,OFFSET(PLE!$G$15,$M283-$A$15,BX$13)))</f>
        <v>1000000000000</v>
      </c>
      <c r="BY283" s="172">
        <f ca="1">IF(OR($D283&lt;&gt;"Serviço",AND(AUTOEVENTO="Manual",$M283=$A$15),$M283&gt;(ROW(PLE.lastrow)-ROW(PLE.firstrow))),0,
           IF(OFFSET(PLE!$G$15,$M283-$A$15,BY$13)="",10^12,OFFSET(PLE!$G$15,$M283-$A$15,BY$13)))</f>
        <v>1000000000000</v>
      </c>
      <c r="BZ283" s="172">
        <f ca="1">IF(OR($D283&lt;&gt;"Serviço",AND(AUTOEVENTO="Manual",$M283=$A$15),$M283&gt;(ROW(PLE.lastrow)-ROW(PLE.firstrow))),0,
           IF(OFFSET(PLE!$G$15,$M283-$A$15,BZ$13)="",10^12,OFFSET(PLE!$G$15,$M283-$A$15,BZ$13)))</f>
        <v>1000000000000</v>
      </c>
      <c r="CA283" s="172">
        <f ca="1">IF(OR($D283&lt;&gt;"Serviço",AND(AUTOEVENTO="Manual",$M283=$A$15),$M283&gt;(ROW(PLE.lastrow)-ROW(PLE.firstrow))),0,
           IF(OFFSET(PLE!$G$15,$M283-$A$15,CA$13)="",10^12,OFFSET(PLE!$G$15,$M283-$A$15,CA$13)))</f>
        <v>1000000000000</v>
      </c>
      <c r="CB283" s="172">
        <f ca="1">IF(OR($D283&lt;&gt;"Serviço",AND(AUTOEVENTO="Manual",$M283=$A$15),$M283&gt;(ROW(PLE.lastrow)-ROW(PLE.firstrow))),0,
           IF(OFFSET(PLE!$G$15,$M283-$A$15,CB$13)="",10^12,OFFSET(PLE!$G$15,$M283-$A$15,CB$13)))</f>
        <v>1000000000000</v>
      </c>
      <c r="CC283" s="172">
        <f ca="1">IF(OR($D283&lt;&gt;"Serviço",AND(AUTOEVENTO="Manual",$M283=$A$15),$M283&gt;(ROW(PLE.lastrow)-ROW(PLE.firstrow))),0,
           IF(OFFSET(PLE!$G$15,$M283-$A$15,CC$13)="",10^12,OFFSET(PLE!$G$15,$M283-$A$15,CC$13)))</f>
        <v>1000000000000</v>
      </c>
      <c r="CD283" s="172">
        <f ca="1">IF(OR($D283&lt;&gt;"Serviço",AND(AUTOEVENTO="Manual",$M283=$A$15),$M283&gt;(ROW(PLE.lastrow)-ROW(PLE.firstrow))),0,
           IF(OFFSET(PLE!$G$15,$M283-$A$15,CD$13)="",10^12,OFFSET(PLE!$G$15,$M283-$A$15,CD$13)))</f>
        <v>1000000000000</v>
      </c>
      <c r="CE283" s="172">
        <f ca="1">IF(OR($D283&lt;&gt;"Serviço",AND(AUTOEVENTO="Manual",$M283=$A$15),$M283&gt;(ROW(PLE.lastrow)-ROW(PLE.firstrow))),0,
           IF(OFFSET(PLE!$G$15,$M283-$A$15,CE$13)="",10^12,OFFSET(PLE!$G$15,$M283-$A$15,CE$13)))</f>
        <v>1000000000000</v>
      </c>
      <c r="CF283" s="172">
        <f ca="1">IF(OR($D283&lt;&gt;"Serviço",AND(AUTOEVENTO="Manual",$M283=$A$15),$M283&gt;(ROW(PLE.lastrow)-ROW(PLE.firstrow))),0,
           IF(OFFSET(PLE!$G$15,$M283-$A$15,CF$13)="",10^12,OFFSET(PLE!$G$15,$M283-$A$15,CF$13)))</f>
        <v>1000000000000</v>
      </c>
      <c r="CG283" s="172">
        <f ca="1">IF(OR($D283&lt;&gt;"Serviço",AND(AUTOEVENTO="Manual",$M283=$A$15),$M283&gt;(ROW(PLE.lastrow)-ROW(PLE.firstrow))),0,
           IF(OFFSET(PLE!$G$15,$M283-$A$15,CG$13)="",10^12,OFFSET(PLE!$G$15,$M283-$A$15,CG$13)))</f>
        <v>1000000000000</v>
      </c>
      <c r="CH283" s="172">
        <f ca="1">IF(OR($D283&lt;&gt;"Serviço",AND(AUTOEVENTO="Manual",$M283=$A$15),$M283&gt;(ROW(PLE.lastrow)-ROW(PLE.firstrow))),0,
           IF(OFFSET(PLE!$G$15,$M283-$A$15,CH$13)="",10^12,OFFSET(PLE!$G$15,$M283-$A$15,CH$13)))</f>
        <v>1000000000000</v>
      </c>
      <c r="CI283" s="172">
        <f ca="1">IF(OR($D283&lt;&gt;"Serviço",AND(AUTOEVENTO="Manual",$M283=$A$15),$M283&gt;(ROW(PLE.lastrow)-ROW(PLE.firstrow))),0,
           IF(OFFSET(PLE!$G$15,$M283-$A$15,CI$13)="",10^12,OFFSET(PLE!$G$15,$M283-$A$15,CI$13)))</f>
        <v>1000000000000</v>
      </c>
      <c r="CJ283" s="172">
        <f ca="1">IF(OR($D283&lt;&gt;"Serviço",AND(AUTOEVENTO="Manual",$M283=$A$15),$M283&gt;(ROW(PLE.lastrow)-ROW(PLE.firstrow))),0,
           IF(OFFSET(PLE!$G$15,$M283-$A$15,CJ$13)="",10^12,OFFSET(PLE!$G$15,$M283-$A$15,CJ$13)))</f>
        <v>1000000000000</v>
      </c>
      <c r="CK283" s="172">
        <f ca="1">IF(OR($D283&lt;&gt;"Serviço",AND(AUTOEVENTO="Manual",$M283=$A$15),$M283&gt;(ROW(PLE.lastrow)-ROW(PLE.firstrow))),0,
           IF(OFFSET(PLE!$G$15,$M283-$A$15,CK$13)="",10^12,OFFSET(PLE!$G$15,$M283-$A$15,CK$13)))</f>
        <v>1000000000000</v>
      </c>
      <c r="CL283" s="172">
        <f ca="1">IF(OR($D283&lt;&gt;"Serviço",AND(AUTOEVENTO="Manual",$M283=$A$15),$M283&gt;(ROW(PLE.lastrow)-ROW(PLE.firstrow))),0,
           IF(OFFSET(PLE!$G$15,$M283-$A$15,CL$13)="",10^12,OFFSET(PLE!$G$15,$M283-$A$15,CL$13)))</f>
        <v>1000000000000</v>
      </c>
      <c r="CM283" s="172">
        <f ca="1">IF(OR($D283&lt;&gt;"Serviço",AND(AUTOEVENTO="Manual",$M283=$A$15),$M283&gt;(ROW(PLE.lastrow)-ROW(PLE.firstrow))),0,
           IF(OFFSET(PLE!$G$15,$M283-$A$15,CM$13)="",10^12,OFFSET(PLE!$G$15,$M283-$A$15,CM$13)))</f>
        <v>1000000000000</v>
      </c>
    </row>
    <row r="284" spans="1:91" ht="63.75" x14ac:dyDescent="0.2">
      <c r="A284" s="7">
        <f t="shared" ca="1" si="14"/>
        <v>6</v>
      </c>
      <c r="B284" s="7" t="str">
        <f ca="1">OFFSET(ORÇAMENTO!C$15,ROW(B284)-ROW(B$15),0)</f>
        <v>S</v>
      </c>
      <c r="C284" s="7" t="str">
        <f ca="1">OFFSET(ORÇAMENTO!L$15,ROW(C284)-ROW(C$15),0)</f>
        <v>F</v>
      </c>
      <c r="D284" s="116" t="str">
        <f ca="1">OFFSET(ORÇAMENTO!N$15,ROW(D284)-ROW(D$15),0)</f>
        <v>Serviço</v>
      </c>
      <c r="E284" s="117" t="str">
        <f ca="1">OFFSET(ORÇAMENTO!O$15,ROW(E284)-ROW(E$15),0)</f>
        <v>1.7.3.1.6.</v>
      </c>
      <c r="F284" s="163" t="str">
        <f ca="1">OFFSET(ORÇAMENTO!R$15,ROW(F284)-ROW(F$15),0)</f>
        <v>ARRUELA BORRACHA PARA FLANGE - DN 150 MM</v>
      </c>
      <c r="G284" s="164" t="str">
        <f ca="1">IF($D284&lt;&gt;"Serviço","",OFFSET(ORÇAMENTO!S$15,ROW(G284)-ROW(G$15),0))</f>
        <v>UN</v>
      </c>
      <c r="H284" s="122" cm="1">
        <f t="array" aca="1" ref="H284" ca="1">IF($D284&lt;&gt;"Serviço",0,IF(ACOMPANHAMENTO="BM",ROUND(OFFSET(ORÇAMENTO!AJ$15,ROW(H284)-ROW(H$15),0),15-13*ORÇAMENTO!$AF$7),SUMPRODUCT(($Q$1:$AI$1=1)*ROUND($Q284:$AI284,15-13*ORÇAMENTO!$AF$7))))</f>
        <v>40</v>
      </c>
      <c r="I284" s="468" t="s">
        <v>1351</v>
      </c>
      <c r="J284" s="640" t="str" cm="1">
        <f t="array" aca="1" ref="J284" ca="1">IF(OR(B284&lt;&gt;"S",CÁLCULO.FrentesPreenchidas=0),"",IF(AND(ACOMPANHAMENTO="PLE",AUTOEVENTO="Manual",OR(H284&gt;0,ORÇAMENTO!AC284="QUANT."),OR(K284="",M284=0,N284="")),"►E",IF(AND(ACOMPANHAMENTO="PLE",ORÇAMENTO!AC284="QUANT."),"►Q",IF(AND(ACOMPANHAMENTO="PLE",H284&lt;&gt;SUMPRODUCT(($Q$1:$AI$1=1)*ROUND(Q284:AI284,15))),"►S",IF(AND(COUNTIF($P$11:$AI$11,"▼")=0,H284&gt;0,I284=""),"◄M","")))))</f>
        <v/>
      </c>
      <c r="K284" s="641" t="s">
        <v>1385</v>
      </c>
      <c r="L284" s="165" t="s">
        <v>764</v>
      </c>
      <c r="M284" s="166">
        <f ca="1">IF($D284&lt;&gt;"Serviço","",
          IF(AUTOEVENTO="manual",$A284,
                IF(ISERROR(MATCH($A284,$A$15:OFFSET($A284,-1,0),0)),MAX($M$15:OFFSET(M284,-1,0))+1,
                      INDEX($M$15:OFFSET(M284,-1,0),MATCH($A284,$A$15:OFFSET($A284,-1,0),0)))))</f>
        <v>6</v>
      </c>
      <c r="N284" s="167" t="str">
        <f ca="1">IF($D284&lt;&gt;"Serviço","",
         IF(AUTOEVENTO="Manual",
                IF($A284=0,"&lt;-- defina o número do agrupador",
                       OFFSET(EVENTOS!$D$15,$A284-$A$15,0)),
                OFFSET($F$15,$A284,0)))</f>
        <v>Saneamento</v>
      </c>
      <c r="O284" s="168"/>
      <c r="Q284" s="168"/>
      <c r="R284" s="169"/>
      <c r="S284" s="169"/>
      <c r="T284" s="169"/>
      <c r="U284" s="169">
        <v>40</v>
      </c>
      <c r="V284" s="169"/>
      <c r="W284" s="169"/>
      <c r="X284" s="169"/>
      <c r="Y284" s="169"/>
      <c r="Z284" s="170"/>
      <c r="AA284" s="169"/>
      <c r="AB284" s="169"/>
      <c r="AC284" s="169"/>
      <c r="AD284" s="169"/>
      <c r="AE284" s="169"/>
      <c r="AF284" s="169"/>
      <c r="AG284" s="169"/>
      <c r="AH284" s="170"/>
      <c r="AJ284" s="453">
        <f ca="1">IF(AND($D284="Serviço",AJ$12&lt;&gt;0,$H284&gt;0,OR(AUTOEVENTO&lt;&gt;"manual",$M284&lt;&gt;$A$15)),
        IF(Import.TipoArredondamento&lt;&gt;"TransfereGOV",
              ROUND(OFFSET($P284,0,AJ$13),15-13*ORÇAMENTO!$AF$7)/$H284*OFFSET(ORÇAMENTO!$X$15,ROW(AJ284)-ROW(AJ$15),0),
              ROUND(ROUND(OFFSET($P284,0,AJ$13),15-13*ORÇAMENTO!$AF$7)*OFFSET(ORÇAMENTO!$W$15,ROW(AJ284)-ROW(AJ$15),0),15-13*ORÇAMENTO!$AF$11)),
         0)</f>
        <v>0</v>
      </c>
      <c r="AK284" s="453">
        <f ca="1">IF(AND($D284="Serviço",AK$12&lt;&gt;0,$H284&gt;0,OR(AUTOEVENTO&lt;&gt;"manual",$M284&lt;&gt;$A$15)),
        IF(Import.TipoArredondamento&lt;&gt;"TransfereGOV",
              ROUND(OFFSET($P284,0,AK$13),15-13*ORÇAMENTO!$AF$7)/$H284*OFFSET(ORÇAMENTO!$X$15,ROW(AK284)-ROW(AK$15),0),
              ROUND(ROUND(OFFSET($P284,0,AK$13),15-13*ORÇAMENTO!$AF$7)*OFFSET(ORÇAMENTO!$W$15,ROW(AK284)-ROW(AK$15),0),15-13*ORÇAMENTO!$AF$11)),
         0)</f>
        <v>0</v>
      </c>
      <c r="AL284" s="453">
        <f ca="1">IF(AND($D284="Serviço",AL$12&lt;&gt;0,$H284&gt;0,OR(AUTOEVENTO&lt;&gt;"manual",$M284&lt;&gt;$A$15)),
        IF(Import.TipoArredondamento&lt;&gt;"TransfereGOV",
              ROUND(OFFSET($P284,0,AL$13),15-13*ORÇAMENTO!$AF$7)/$H284*OFFSET(ORÇAMENTO!$X$15,ROW(AL284)-ROW(AL$15),0),
              ROUND(ROUND(OFFSET($P284,0,AL$13),15-13*ORÇAMENTO!$AF$7)*OFFSET(ORÇAMENTO!$W$15,ROW(AL284)-ROW(AL$15),0),15-13*ORÇAMENTO!$AF$11)),
         0)</f>
        <v>0</v>
      </c>
      <c r="AM284" s="453">
        <f ca="1">IF(AND($D284="Serviço",AM$12&lt;&gt;0,$H284&gt;0,OR(AUTOEVENTO&lt;&gt;"manual",$M284&lt;&gt;$A$15)),
        IF(Import.TipoArredondamento&lt;&gt;"TransfereGOV",
              ROUND(OFFSET($P284,0,AM$13),15-13*ORÇAMENTO!$AF$7)/$H284*OFFSET(ORÇAMENTO!$X$15,ROW(AM284)-ROW(AM$15),0),
              ROUND(ROUND(OFFSET($P284,0,AM$13),15-13*ORÇAMENTO!$AF$7)*OFFSET(ORÇAMENTO!$W$15,ROW(AM284)-ROW(AM$15),0),15-13*ORÇAMENTO!$AF$11)),
         0)</f>
        <v>0</v>
      </c>
      <c r="AN284" s="453">
        <f ca="1">IF(AND($D284="Serviço",AN$12&lt;&gt;0,$H284&gt;0,OR(AUTOEVENTO&lt;&gt;"manual",$M284&lt;&gt;$A$15)),
        IF(Import.TipoArredondamento&lt;&gt;"TransfereGOV",
              ROUND(OFFSET($P284,0,AN$13),15-13*ORÇAMENTO!$AF$7)/$H284*OFFSET(ORÇAMENTO!$X$15,ROW(AN284)-ROW(AN$15),0),
              ROUND(ROUND(OFFSET($P284,0,AN$13),15-13*ORÇAMENTO!$AF$7)*OFFSET(ORÇAMENTO!$W$15,ROW(AN284)-ROW(AN$15),0),15-13*ORÇAMENTO!$AF$11)),
         0)</f>
        <v>0</v>
      </c>
      <c r="AO284" s="453">
        <f ca="1">IF(AND($D284="Serviço",AO$12&lt;&gt;0,$H284&gt;0,OR(AUTOEVENTO&lt;&gt;"manual",$M284&lt;&gt;$A$15)),
        IF(Import.TipoArredondamento&lt;&gt;"TransfereGOV",
              ROUND(OFFSET($P284,0,AO$13),15-13*ORÇAMENTO!$AF$7)/$H284*OFFSET(ORÇAMENTO!$X$15,ROW(AO284)-ROW(AO$15),0),
              ROUND(ROUND(OFFSET($P284,0,AO$13),15-13*ORÇAMENTO!$AF$7)*OFFSET(ORÇAMENTO!$W$15,ROW(AO284)-ROW(AO$15),0),15-13*ORÇAMENTO!$AF$11)),
         0)</f>
        <v>0</v>
      </c>
      <c r="AP284" s="453">
        <f ca="1">IF(AND($D284="Serviço",AP$12&lt;&gt;0,$H284&gt;0,OR(AUTOEVENTO&lt;&gt;"manual",$M284&lt;&gt;$A$15)),
        IF(Import.TipoArredondamento&lt;&gt;"TransfereGOV",
              ROUND(OFFSET($P284,0,AP$13),15-13*ORÇAMENTO!$AF$7)/$H284*OFFSET(ORÇAMENTO!$X$15,ROW(AP284)-ROW(AP$15),0),
              ROUND(ROUND(OFFSET($P284,0,AP$13),15-13*ORÇAMENTO!$AF$7)*OFFSET(ORÇAMENTO!$W$15,ROW(AP284)-ROW(AP$15),0),15-13*ORÇAMENTO!$AF$11)),
         0)</f>
        <v>0</v>
      </c>
      <c r="AQ284" s="453">
        <f ca="1">IF(AND($D284="Serviço",AQ$12&lt;&gt;0,$H284&gt;0,OR(AUTOEVENTO&lt;&gt;"manual",$M284&lt;&gt;$A$15)),
        IF(Import.TipoArredondamento&lt;&gt;"TransfereGOV",
              ROUND(OFFSET($P284,0,AQ$13),15-13*ORÇAMENTO!$AF$7)/$H284*OFFSET(ORÇAMENTO!$X$15,ROW(AQ284)-ROW(AQ$15),0),
              ROUND(ROUND(OFFSET($P284,0,AQ$13),15-13*ORÇAMENTO!$AF$7)*OFFSET(ORÇAMENTO!$W$15,ROW(AQ284)-ROW(AQ$15),0),15-13*ORÇAMENTO!$AF$11)),
         0)</f>
        <v>0</v>
      </c>
      <c r="AR284" s="453">
        <f ca="1">IF(AND($D284="Serviço",AR$12&lt;&gt;0,$H284&gt;0,OR(AUTOEVENTO&lt;&gt;"manual",$M284&lt;&gt;$A$15)),
        IF(Import.TipoArredondamento&lt;&gt;"TransfereGOV",
              ROUND(OFFSET($P284,0,AR$13),15-13*ORÇAMENTO!$AF$7)/$H284*OFFSET(ORÇAMENTO!$X$15,ROW(AR284)-ROW(AR$15),0),
              ROUND(ROUND(OFFSET($P284,0,AR$13),15-13*ORÇAMENTO!$AF$7)*OFFSET(ORÇAMENTO!$W$15,ROW(AR284)-ROW(AR$15),0),15-13*ORÇAMENTO!$AF$11)),
         0)</f>
        <v>0</v>
      </c>
      <c r="AS284" s="453">
        <f ca="1">IF(AND($D284="Serviço",AS$12&lt;&gt;0,$H284&gt;0,OR(AUTOEVENTO&lt;&gt;"manual",$M284&lt;&gt;$A$15)),
        IF(Import.TipoArredondamento&lt;&gt;"TransfereGOV",
              ROUND(OFFSET($P284,0,AS$13),15-13*ORÇAMENTO!$AF$7)/$H284*OFFSET(ORÇAMENTO!$X$15,ROW(AS284)-ROW(AS$15),0),
              ROUND(ROUND(OFFSET($P284,0,AS$13),15-13*ORÇAMENTO!$AF$7)*OFFSET(ORÇAMENTO!$W$15,ROW(AS284)-ROW(AS$15),0),15-13*ORÇAMENTO!$AF$11)),
         0)</f>
        <v>0</v>
      </c>
      <c r="AT284" s="453">
        <f ca="1">IF(AND($D284="Serviço",AT$12&lt;&gt;0,$H284&gt;0,OR(AUTOEVENTO&lt;&gt;"manual",$M284&lt;&gt;$A$15)),
        IF(Import.TipoArredondamento&lt;&gt;"TransfereGOV",
              ROUND(OFFSET($P284,0,AT$13),15-13*ORÇAMENTO!$AF$7)/$H284*OFFSET(ORÇAMENTO!$X$15,ROW(AT284)-ROW(AT$15),0),
              ROUND(ROUND(OFFSET($P284,0,AT$13),15-13*ORÇAMENTO!$AF$7)*OFFSET(ORÇAMENTO!$W$15,ROW(AT284)-ROW(AT$15),0),15-13*ORÇAMENTO!$AF$11)),
         0)</f>
        <v>0</v>
      </c>
      <c r="AU284" s="453">
        <f ca="1">IF(AND($D284="Serviço",AU$12&lt;&gt;0,$H284&gt;0,OR(AUTOEVENTO&lt;&gt;"manual",$M284&lt;&gt;$A$15)),
        IF(Import.TipoArredondamento&lt;&gt;"TransfereGOV",
              ROUND(OFFSET($P284,0,AU$13),15-13*ORÇAMENTO!$AF$7)/$H284*OFFSET(ORÇAMENTO!$X$15,ROW(AU284)-ROW(AU$15),0),
              ROUND(ROUND(OFFSET($P284,0,AU$13),15-13*ORÇAMENTO!$AF$7)*OFFSET(ORÇAMENTO!$W$15,ROW(AU284)-ROW(AU$15),0),15-13*ORÇAMENTO!$AF$11)),
         0)</f>
        <v>0</v>
      </c>
      <c r="AV284" s="453">
        <f ca="1">IF(AND($D284="Serviço",AV$12&lt;&gt;0,$H284&gt;0,OR(AUTOEVENTO&lt;&gt;"manual",$M284&lt;&gt;$A$15)),
        IF(Import.TipoArredondamento&lt;&gt;"TransfereGOV",
              ROUND(OFFSET($P284,0,AV$13),15-13*ORÇAMENTO!$AF$7)/$H284*OFFSET(ORÇAMENTO!$X$15,ROW(AV284)-ROW(AV$15),0),
              ROUND(ROUND(OFFSET($P284,0,AV$13),15-13*ORÇAMENTO!$AF$7)*OFFSET(ORÇAMENTO!$W$15,ROW(AV284)-ROW(AV$15),0),15-13*ORÇAMENTO!$AF$11)),
         0)</f>
        <v>0</v>
      </c>
      <c r="AW284" s="453">
        <f ca="1">IF(AND($D284="Serviço",AW$12&lt;&gt;0,$H284&gt;0,OR(AUTOEVENTO&lt;&gt;"manual",$M284&lt;&gt;$A$15)),
        IF(Import.TipoArredondamento&lt;&gt;"TransfereGOV",
              ROUND(OFFSET($P284,0,AW$13),15-13*ORÇAMENTO!$AF$7)/$H284*OFFSET(ORÇAMENTO!$X$15,ROW(AW284)-ROW(AW$15),0),
              ROUND(ROUND(OFFSET($P284,0,AW$13),15-13*ORÇAMENTO!$AF$7)*OFFSET(ORÇAMENTO!$W$15,ROW(AW284)-ROW(AW$15),0),15-13*ORÇAMENTO!$AF$11)),
         0)</f>
        <v>0</v>
      </c>
      <c r="AX284" s="453">
        <f ca="1">IF(AND($D284="Serviço",AX$12&lt;&gt;0,$H284&gt;0,OR(AUTOEVENTO&lt;&gt;"manual",$M284&lt;&gt;$A$15)),
        IF(Import.TipoArredondamento&lt;&gt;"TransfereGOV",
              ROUND(OFFSET($P284,0,AX$13),15-13*ORÇAMENTO!$AF$7)/$H284*OFFSET(ORÇAMENTO!$X$15,ROW(AX284)-ROW(AX$15),0),
              ROUND(ROUND(OFFSET($P284,0,AX$13),15-13*ORÇAMENTO!$AF$7)*OFFSET(ORÇAMENTO!$W$15,ROW(AX284)-ROW(AX$15),0),15-13*ORÇAMENTO!$AF$11)),
         0)</f>
        <v>0</v>
      </c>
      <c r="AY284" s="453">
        <f ca="1">IF(AND($D284="Serviço",AY$12&lt;&gt;0,$H284&gt;0,OR(AUTOEVENTO&lt;&gt;"manual",$M284&lt;&gt;$A$15)),
        IF(Import.TipoArredondamento&lt;&gt;"TransfereGOV",
              ROUND(OFFSET($P284,0,AY$13),15-13*ORÇAMENTO!$AF$7)/$H284*OFFSET(ORÇAMENTO!$X$15,ROW(AY284)-ROW(AY$15),0),
              ROUND(ROUND(OFFSET($P284,0,AY$13),15-13*ORÇAMENTO!$AF$7)*OFFSET(ORÇAMENTO!$W$15,ROW(AY284)-ROW(AY$15),0),15-13*ORÇAMENTO!$AF$11)),
         0)</f>
        <v>0</v>
      </c>
      <c r="AZ284" s="453">
        <f ca="1">IF(AND($D284="Serviço",AZ$12&lt;&gt;0,$H284&gt;0,OR(AUTOEVENTO&lt;&gt;"manual",$M284&lt;&gt;$A$15)),
        IF(Import.TipoArredondamento&lt;&gt;"TransfereGOV",
              ROUND(OFFSET($P284,0,AZ$13),15-13*ORÇAMENTO!$AF$7)/$H284*OFFSET(ORÇAMENTO!$X$15,ROW(AZ284)-ROW(AZ$15),0),
              ROUND(ROUND(OFFSET($P284,0,AZ$13),15-13*ORÇAMENTO!$AF$7)*OFFSET(ORÇAMENTO!$W$15,ROW(AZ284)-ROW(AZ$15),0),15-13*ORÇAMENTO!$AF$11)),
         0)</f>
        <v>0</v>
      </c>
      <c r="BA284" s="453">
        <f ca="1">IF(AND($D284="Serviço",BA$12&lt;&gt;0,$H284&gt;0,OR(AUTOEVENTO&lt;&gt;"manual",$M284&lt;&gt;$A$15)),
        IF(Import.TipoArredondamento&lt;&gt;"TransfereGOV",
              ROUND(OFFSET($P284,0,BA$13),15-13*ORÇAMENTO!$AF$7)/$H284*OFFSET(ORÇAMENTO!$X$15,ROW(BA284)-ROW(BA$15),0),
              ROUND(ROUND(OFFSET($P284,0,BA$13),15-13*ORÇAMENTO!$AF$7)*OFFSET(ORÇAMENTO!$W$15,ROW(BA284)-ROW(BA$15),0),15-13*ORÇAMENTO!$AF$11)),
         0)</f>
        <v>0</v>
      </c>
      <c r="BC284" s="171">
        <f ca="1">IF(OR($D284&lt;&gt;"Serviço",AND(AUTOEVENTO="Manual",$M284=$A$15)),0,
         IF(OFFSET(CRONOPLE!$F$15,$M284-$A$15,BC$13)=0,10^12,OFFSET(CRONOPLE!$F$15,$M284-$A$15,BC$13)))</f>
        <v>1</v>
      </c>
      <c r="BD284" s="171">
        <f ca="1">IF(OR($D284&lt;&gt;"Serviço",AND(AUTOEVENTO="Manual",$M284=$A$15)),0,
         IF(OFFSET(CRONOPLE!$F$15,$M284-$A$15,BD$13)=0,10^12,OFFSET(CRONOPLE!$F$15,$M284-$A$15,BD$13)))</f>
        <v>2</v>
      </c>
      <c r="BE284" s="171">
        <f ca="1">IF(OR($D284&lt;&gt;"Serviço",AND(AUTOEVENTO="Manual",$M284=$A$15)),0,
         IF(OFFSET(CRONOPLE!$F$15,$M284-$A$15,BE$13)=0,10^12,OFFSET(CRONOPLE!$F$15,$M284-$A$15,BE$13)))</f>
        <v>3</v>
      </c>
      <c r="BF284" s="171">
        <f ca="1">IF(OR($D284&lt;&gt;"Serviço",AND(AUTOEVENTO="Manual",$M284=$A$15)),0,
         IF(OFFSET(CRONOPLE!$F$15,$M284-$A$15,BF$13)=0,10^12,OFFSET(CRONOPLE!$F$15,$M284-$A$15,BF$13)))</f>
        <v>4</v>
      </c>
      <c r="BG284" s="171">
        <f ca="1">IF(OR($D284&lt;&gt;"Serviço",AND(AUTOEVENTO="Manual",$M284=$A$15)),0,
         IF(OFFSET(CRONOPLE!$F$15,$M284-$A$15,BG$13)=0,10^12,OFFSET(CRONOPLE!$F$15,$M284-$A$15,BG$13)))</f>
        <v>5</v>
      </c>
      <c r="BH284" s="171">
        <f ca="1">IF(OR($D284&lt;&gt;"Serviço",AND(AUTOEVENTO="Manual",$M284=$A$15)),0,
         IF(OFFSET(CRONOPLE!$F$15,$M284-$A$15,BH$13)=0,10^12,OFFSET(CRONOPLE!$F$15,$M284-$A$15,BH$13)))</f>
        <v>6</v>
      </c>
      <c r="BI284" s="171">
        <f ca="1">IF(OR($D284&lt;&gt;"Serviço",AND(AUTOEVENTO="Manual",$M284=$A$15)),0,
         IF(OFFSET(CRONOPLE!$F$15,$M284-$A$15,BI$13)=0,10^12,OFFSET(CRONOPLE!$F$15,$M284-$A$15,BI$13)))</f>
        <v>7</v>
      </c>
      <c r="BJ284" s="171">
        <f ca="1">IF(OR($D284&lt;&gt;"Serviço",AND(AUTOEVENTO="Manual",$M284=$A$15)),0,
         IF(OFFSET(CRONOPLE!$F$15,$M284-$A$15,BJ$13)=0,10^12,OFFSET(CRONOPLE!$F$15,$M284-$A$15,BJ$13)))</f>
        <v>8</v>
      </c>
      <c r="BK284" s="171">
        <f ca="1">IF(OR($D284&lt;&gt;"Serviço",AND(AUTOEVENTO="Manual",$M284=$A$15)),0,
         IF(OFFSET(CRONOPLE!$F$15,$M284-$A$15,BK$13)=0,10^12,OFFSET(CRONOPLE!$F$15,$M284-$A$15,BK$13)))</f>
        <v>9</v>
      </c>
      <c r="BL284" s="171">
        <f ca="1">IF(OR($D284&lt;&gt;"Serviço",AND(AUTOEVENTO="Manual",$M284=$A$15)),0,
         IF(OFFSET(CRONOPLE!$F$15,$M284-$A$15,BL$13)=0,10^12,OFFSET(CRONOPLE!$F$15,$M284-$A$15,BL$13)))</f>
        <v>1000000000000</v>
      </c>
      <c r="BM284" s="171">
        <f ca="1">IF(OR($D284&lt;&gt;"Serviço",AND(AUTOEVENTO="Manual",$M284=$A$15)),0,
         IF(OFFSET(CRONOPLE!$F$15,$M284-$A$15,BM$13)=0,10^12,OFFSET(CRONOPLE!$F$15,$M284-$A$15,BM$13)))</f>
        <v>1000000000000</v>
      </c>
      <c r="BN284" s="171">
        <f ca="1">IF(OR($D284&lt;&gt;"Serviço",AND(AUTOEVENTO="Manual",$M284=$A$15)),0,
         IF(OFFSET(CRONOPLE!$F$15,$M284-$A$15,BN$13)=0,10^12,OFFSET(CRONOPLE!$F$15,$M284-$A$15,BN$13)))</f>
        <v>1000000000000</v>
      </c>
      <c r="BO284" s="171">
        <f ca="1">IF(OR($D284&lt;&gt;"Serviço",AND(AUTOEVENTO="Manual",$M284=$A$15)),0,
         IF(OFFSET(CRONOPLE!$F$15,$M284-$A$15,BO$13)=0,10^12,OFFSET(CRONOPLE!$F$15,$M284-$A$15,BO$13)))</f>
        <v>1000000000000</v>
      </c>
      <c r="BP284" s="171">
        <f ca="1">IF(OR($D284&lt;&gt;"Serviço",AND(AUTOEVENTO="Manual",$M284=$A$15)),0,
         IF(OFFSET(CRONOPLE!$F$15,$M284-$A$15,BP$13)=0,10^12,OFFSET(CRONOPLE!$F$15,$M284-$A$15,BP$13)))</f>
        <v>1000000000000</v>
      </c>
      <c r="BQ284" s="171">
        <f ca="1">IF(OR($D284&lt;&gt;"Serviço",AND(AUTOEVENTO="Manual",$M284=$A$15)),0,
         IF(OFFSET(CRONOPLE!$F$15,$M284-$A$15,BQ$13)=0,10^12,OFFSET(CRONOPLE!$F$15,$M284-$A$15,BQ$13)))</f>
        <v>1000000000000</v>
      </c>
      <c r="BR284" s="171">
        <f ca="1">IF(OR($D284&lt;&gt;"Serviço",AND(AUTOEVENTO="Manual",$M284=$A$15)),0,
         IF(OFFSET(CRONOPLE!$F$15,$M284-$A$15,BR$13)=0,10^12,OFFSET(CRONOPLE!$F$15,$M284-$A$15,BR$13)))</f>
        <v>1000000000000</v>
      </c>
      <c r="BS284" s="171">
        <f ca="1">IF(OR($D284&lt;&gt;"Serviço",AND(AUTOEVENTO="Manual",$M284=$A$15)),0,
         IF(OFFSET(CRONOPLE!$F$15,$M284-$A$15,BS$13)=0,10^12,OFFSET(CRONOPLE!$F$15,$M284-$A$15,BS$13)))</f>
        <v>1000000000000</v>
      </c>
      <c r="BT284" s="171">
        <f ca="1">IF(OR($D284&lt;&gt;"Serviço",AND(AUTOEVENTO="Manual",$M284=$A$15)),0,
         IF(OFFSET(CRONOPLE!$F$15,$M284-$A$15,BT$13)=0,10^12,OFFSET(CRONOPLE!$F$15,$M284-$A$15,BT$13)))</f>
        <v>1000000000000</v>
      </c>
      <c r="BV284" s="172">
        <f ca="1">IF(OR($D284&lt;&gt;"Serviço",AND(AUTOEVENTO="Manual",$M284=$A$15),$M284&gt;(ROW(PLE.lastrow)-ROW(PLE.firstrow))),0,
           IF(OFFSET(PLE!$G$15,$M284-$A$15,BV$13)="",10^12,OFFSET(PLE!$G$15,$M284-$A$15,BV$13)))</f>
        <v>1000000000000</v>
      </c>
      <c r="BW284" s="172">
        <f ca="1">IF(OR($D284&lt;&gt;"Serviço",AND(AUTOEVENTO="Manual",$M284=$A$15),$M284&gt;(ROW(PLE.lastrow)-ROW(PLE.firstrow))),0,
           IF(OFFSET(PLE!$G$15,$M284-$A$15,BW$13)="",10^12,OFFSET(PLE!$G$15,$M284-$A$15,BW$13)))</f>
        <v>1000000000000</v>
      </c>
      <c r="BX284" s="172">
        <f ca="1">IF(OR($D284&lt;&gt;"Serviço",AND(AUTOEVENTO="Manual",$M284=$A$15),$M284&gt;(ROW(PLE.lastrow)-ROW(PLE.firstrow))),0,
           IF(OFFSET(PLE!$G$15,$M284-$A$15,BX$13)="",10^12,OFFSET(PLE!$G$15,$M284-$A$15,BX$13)))</f>
        <v>1000000000000</v>
      </c>
      <c r="BY284" s="172">
        <f ca="1">IF(OR($D284&lt;&gt;"Serviço",AND(AUTOEVENTO="Manual",$M284=$A$15),$M284&gt;(ROW(PLE.lastrow)-ROW(PLE.firstrow))),0,
           IF(OFFSET(PLE!$G$15,$M284-$A$15,BY$13)="",10^12,OFFSET(PLE!$G$15,$M284-$A$15,BY$13)))</f>
        <v>1000000000000</v>
      </c>
      <c r="BZ284" s="172">
        <f ca="1">IF(OR($D284&lt;&gt;"Serviço",AND(AUTOEVENTO="Manual",$M284=$A$15),$M284&gt;(ROW(PLE.lastrow)-ROW(PLE.firstrow))),0,
           IF(OFFSET(PLE!$G$15,$M284-$A$15,BZ$13)="",10^12,OFFSET(PLE!$G$15,$M284-$A$15,BZ$13)))</f>
        <v>1000000000000</v>
      </c>
      <c r="CA284" s="172">
        <f ca="1">IF(OR($D284&lt;&gt;"Serviço",AND(AUTOEVENTO="Manual",$M284=$A$15),$M284&gt;(ROW(PLE.lastrow)-ROW(PLE.firstrow))),0,
           IF(OFFSET(PLE!$G$15,$M284-$A$15,CA$13)="",10^12,OFFSET(PLE!$G$15,$M284-$A$15,CA$13)))</f>
        <v>1000000000000</v>
      </c>
      <c r="CB284" s="172">
        <f ca="1">IF(OR($D284&lt;&gt;"Serviço",AND(AUTOEVENTO="Manual",$M284=$A$15),$M284&gt;(ROW(PLE.lastrow)-ROW(PLE.firstrow))),0,
           IF(OFFSET(PLE!$G$15,$M284-$A$15,CB$13)="",10^12,OFFSET(PLE!$G$15,$M284-$A$15,CB$13)))</f>
        <v>1000000000000</v>
      </c>
      <c r="CC284" s="172">
        <f ca="1">IF(OR($D284&lt;&gt;"Serviço",AND(AUTOEVENTO="Manual",$M284=$A$15),$M284&gt;(ROW(PLE.lastrow)-ROW(PLE.firstrow))),0,
           IF(OFFSET(PLE!$G$15,$M284-$A$15,CC$13)="",10^12,OFFSET(PLE!$G$15,$M284-$A$15,CC$13)))</f>
        <v>1000000000000</v>
      </c>
      <c r="CD284" s="172">
        <f ca="1">IF(OR($D284&lt;&gt;"Serviço",AND(AUTOEVENTO="Manual",$M284=$A$15),$M284&gt;(ROW(PLE.lastrow)-ROW(PLE.firstrow))),0,
           IF(OFFSET(PLE!$G$15,$M284-$A$15,CD$13)="",10^12,OFFSET(PLE!$G$15,$M284-$A$15,CD$13)))</f>
        <v>1000000000000</v>
      </c>
      <c r="CE284" s="172">
        <f ca="1">IF(OR($D284&lt;&gt;"Serviço",AND(AUTOEVENTO="Manual",$M284=$A$15),$M284&gt;(ROW(PLE.lastrow)-ROW(PLE.firstrow))),0,
           IF(OFFSET(PLE!$G$15,$M284-$A$15,CE$13)="",10^12,OFFSET(PLE!$G$15,$M284-$A$15,CE$13)))</f>
        <v>1000000000000</v>
      </c>
      <c r="CF284" s="172">
        <f ca="1">IF(OR($D284&lt;&gt;"Serviço",AND(AUTOEVENTO="Manual",$M284=$A$15),$M284&gt;(ROW(PLE.lastrow)-ROW(PLE.firstrow))),0,
           IF(OFFSET(PLE!$G$15,$M284-$A$15,CF$13)="",10^12,OFFSET(PLE!$G$15,$M284-$A$15,CF$13)))</f>
        <v>1000000000000</v>
      </c>
      <c r="CG284" s="172">
        <f ca="1">IF(OR($D284&lt;&gt;"Serviço",AND(AUTOEVENTO="Manual",$M284=$A$15),$M284&gt;(ROW(PLE.lastrow)-ROW(PLE.firstrow))),0,
           IF(OFFSET(PLE!$G$15,$M284-$A$15,CG$13)="",10^12,OFFSET(PLE!$G$15,$M284-$A$15,CG$13)))</f>
        <v>1000000000000</v>
      </c>
      <c r="CH284" s="172">
        <f ca="1">IF(OR($D284&lt;&gt;"Serviço",AND(AUTOEVENTO="Manual",$M284=$A$15),$M284&gt;(ROW(PLE.lastrow)-ROW(PLE.firstrow))),0,
           IF(OFFSET(PLE!$G$15,$M284-$A$15,CH$13)="",10^12,OFFSET(PLE!$G$15,$M284-$A$15,CH$13)))</f>
        <v>1000000000000</v>
      </c>
      <c r="CI284" s="172">
        <f ca="1">IF(OR($D284&lt;&gt;"Serviço",AND(AUTOEVENTO="Manual",$M284=$A$15),$M284&gt;(ROW(PLE.lastrow)-ROW(PLE.firstrow))),0,
           IF(OFFSET(PLE!$G$15,$M284-$A$15,CI$13)="",10^12,OFFSET(PLE!$G$15,$M284-$A$15,CI$13)))</f>
        <v>1000000000000</v>
      </c>
      <c r="CJ284" s="172">
        <f ca="1">IF(OR($D284&lt;&gt;"Serviço",AND(AUTOEVENTO="Manual",$M284=$A$15),$M284&gt;(ROW(PLE.lastrow)-ROW(PLE.firstrow))),0,
           IF(OFFSET(PLE!$G$15,$M284-$A$15,CJ$13)="",10^12,OFFSET(PLE!$G$15,$M284-$A$15,CJ$13)))</f>
        <v>1000000000000</v>
      </c>
      <c r="CK284" s="172">
        <f ca="1">IF(OR($D284&lt;&gt;"Serviço",AND(AUTOEVENTO="Manual",$M284=$A$15),$M284&gt;(ROW(PLE.lastrow)-ROW(PLE.firstrow))),0,
           IF(OFFSET(PLE!$G$15,$M284-$A$15,CK$13)="",10^12,OFFSET(PLE!$G$15,$M284-$A$15,CK$13)))</f>
        <v>1000000000000</v>
      </c>
      <c r="CL284" s="172">
        <f ca="1">IF(OR($D284&lt;&gt;"Serviço",AND(AUTOEVENTO="Manual",$M284=$A$15),$M284&gt;(ROW(PLE.lastrow)-ROW(PLE.firstrow))),0,
           IF(OFFSET(PLE!$G$15,$M284-$A$15,CL$13)="",10^12,OFFSET(PLE!$G$15,$M284-$A$15,CL$13)))</f>
        <v>1000000000000</v>
      </c>
      <c r="CM284" s="172">
        <f ca="1">IF(OR($D284&lt;&gt;"Serviço",AND(AUTOEVENTO="Manual",$M284=$A$15),$M284&gt;(ROW(PLE.lastrow)-ROW(PLE.firstrow))),0,
           IF(OFFSET(PLE!$G$15,$M284-$A$15,CM$13)="",10^12,OFFSET(PLE!$G$15,$M284-$A$15,CM$13)))</f>
        <v>1000000000000</v>
      </c>
    </row>
    <row r="285" spans="1:91" ht="63.75" x14ac:dyDescent="0.2">
      <c r="A285" s="7">
        <f t="shared" ca="1" si="14"/>
        <v>6</v>
      </c>
      <c r="B285" s="7" t="str">
        <f ca="1">OFFSET(ORÇAMENTO!C$15,ROW(B285)-ROW(B$15),0)</f>
        <v>S</v>
      </c>
      <c r="C285" s="7" t="str">
        <f ca="1">OFFSET(ORÇAMENTO!L$15,ROW(C285)-ROW(C$15),0)</f>
        <v>F</v>
      </c>
      <c r="D285" s="116" t="str">
        <f ca="1">OFFSET(ORÇAMENTO!N$15,ROW(D285)-ROW(D$15),0)</f>
        <v>Serviço</v>
      </c>
      <c r="E285" s="117" t="str">
        <f ca="1">OFFSET(ORÇAMENTO!O$15,ROW(E285)-ROW(E$15),0)</f>
        <v>1.7.3.1.7.</v>
      </c>
      <c r="F285" s="163" t="str">
        <f ca="1">OFFSET(ORÇAMENTO!R$15,ROW(F285)-ROW(F$15),0)</f>
        <v>PARAFUSO PARA FLANGE - 16 X 80 MM</v>
      </c>
      <c r="G285" s="164" t="str">
        <f ca="1">IF($D285&lt;&gt;"Serviço","",OFFSET(ORÇAMENTO!S$15,ROW(G285)-ROW(G$15),0))</f>
        <v>UN</v>
      </c>
      <c r="H285" s="122" cm="1">
        <f t="array" aca="1" ref="H285" ca="1">IF($D285&lt;&gt;"Serviço",0,IF(ACOMPANHAMENTO="BM",ROUND(OFFSET(ORÇAMENTO!AJ$15,ROW(H285)-ROW(H$15),0),15-13*ORÇAMENTO!$AF$7),SUMPRODUCT(($Q$1:$AI$1=1)*ROUND($Q285:$AI285,15-13*ORÇAMENTO!$AF$7))))</f>
        <v>320</v>
      </c>
      <c r="I285" s="468" t="s">
        <v>1351</v>
      </c>
      <c r="J285" s="640" t="str" cm="1">
        <f t="array" aca="1" ref="J285" ca="1">IF(OR(B285&lt;&gt;"S",CÁLCULO.FrentesPreenchidas=0),"",IF(AND(ACOMPANHAMENTO="PLE",AUTOEVENTO="Manual",OR(H285&gt;0,ORÇAMENTO!AC285="QUANT."),OR(K285="",M285=0,N285="")),"►E",IF(AND(ACOMPANHAMENTO="PLE",ORÇAMENTO!AC285="QUANT."),"►Q",IF(AND(ACOMPANHAMENTO="PLE",H285&lt;&gt;SUMPRODUCT(($Q$1:$AI$1=1)*ROUND(Q285:AI285,15))),"►S",IF(AND(COUNTIF($P$11:$AI$11,"▼")=0,H285&gt;0,I285=""),"◄M","")))))</f>
        <v/>
      </c>
      <c r="K285" s="641" t="s">
        <v>1385</v>
      </c>
      <c r="L285" s="165" t="s">
        <v>764</v>
      </c>
      <c r="M285" s="166">
        <f ca="1">IF($D285&lt;&gt;"Serviço","",
          IF(AUTOEVENTO="manual",$A285,
                IF(ISERROR(MATCH($A285,$A$15:OFFSET($A285,-1,0),0)),MAX($M$15:OFFSET(M285,-1,0))+1,
                      INDEX($M$15:OFFSET(M285,-1,0),MATCH($A285,$A$15:OFFSET($A285,-1,0),0)))))</f>
        <v>6</v>
      </c>
      <c r="N285" s="167" t="str">
        <f ca="1">IF($D285&lt;&gt;"Serviço","",
         IF(AUTOEVENTO="Manual",
                IF($A285=0,"&lt;-- defina o número do agrupador",
                       OFFSET(EVENTOS!$D$15,$A285-$A$15,0)),
                OFFSET($F$15,$A285,0)))</f>
        <v>Saneamento</v>
      </c>
      <c r="O285" s="168"/>
      <c r="Q285" s="168"/>
      <c r="R285" s="169"/>
      <c r="S285" s="169"/>
      <c r="T285" s="169"/>
      <c r="U285" s="169">
        <v>320</v>
      </c>
      <c r="V285" s="169"/>
      <c r="W285" s="169"/>
      <c r="X285" s="169"/>
      <c r="Y285" s="169"/>
      <c r="Z285" s="170"/>
      <c r="AA285" s="169"/>
      <c r="AB285" s="169"/>
      <c r="AC285" s="169"/>
      <c r="AD285" s="169"/>
      <c r="AE285" s="169"/>
      <c r="AF285" s="169"/>
      <c r="AG285" s="169"/>
      <c r="AH285" s="170"/>
      <c r="AJ285" s="453">
        <f ca="1">IF(AND($D285="Serviço",AJ$12&lt;&gt;0,$H285&gt;0,OR(AUTOEVENTO&lt;&gt;"manual",$M285&lt;&gt;$A$15)),
        IF(Import.TipoArredondamento&lt;&gt;"TransfereGOV",
              ROUND(OFFSET($P285,0,AJ$13),15-13*ORÇAMENTO!$AF$7)/$H285*OFFSET(ORÇAMENTO!$X$15,ROW(AJ285)-ROW(AJ$15),0),
              ROUND(ROUND(OFFSET($P285,0,AJ$13),15-13*ORÇAMENTO!$AF$7)*OFFSET(ORÇAMENTO!$W$15,ROW(AJ285)-ROW(AJ$15),0),15-13*ORÇAMENTO!$AF$11)),
         0)</f>
        <v>0</v>
      </c>
      <c r="AK285" s="453">
        <f ca="1">IF(AND($D285="Serviço",AK$12&lt;&gt;0,$H285&gt;0,OR(AUTOEVENTO&lt;&gt;"manual",$M285&lt;&gt;$A$15)),
        IF(Import.TipoArredondamento&lt;&gt;"TransfereGOV",
              ROUND(OFFSET($P285,0,AK$13),15-13*ORÇAMENTO!$AF$7)/$H285*OFFSET(ORÇAMENTO!$X$15,ROW(AK285)-ROW(AK$15),0),
              ROUND(ROUND(OFFSET($P285,0,AK$13),15-13*ORÇAMENTO!$AF$7)*OFFSET(ORÇAMENTO!$W$15,ROW(AK285)-ROW(AK$15),0),15-13*ORÇAMENTO!$AF$11)),
         0)</f>
        <v>0</v>
      </c>
      <c r="AL285" s="453">
        <f ca="1">IF(AND($D285="Serviço",AL$12&lt;&gt;0,$H285&gt;0,OR(AUTOEVENTO&lt;&gt;"manual",$M285&lt;&gt;$A$15)),
        IF(Import.TipoArredondamento&lt;&gt;"TransfereGOV",
              ROUND(OFFSET($P285,0,AL$13),15-13*ORÇAMENTO!$AF$7)/$H285*OFFSET(ORÇAMENTO!$X$15,ROW(AL285)-ROW(AL$15),0),
              ROUND(ROUND(OFFSET($P285,0,AL$13),15-13*ORÇAMENTO!$AF$7)*OFFSET(ORÇAMENTO!$W$15,ROW(AL285)-ROW(AL$15),0),15-13*ORÇAMENTO!$AF$11)),
         0)</f>
        <v>0</v>
      </c>
      <c r="AM285" s="453">
        <f ca="1">IF(AND($D285="Serviço",AM$12&lt;&gt;0,$H285&gt;0,OR(AUTOEVENTO&lt;&gt;"manual",$M285&lt;&gt;$A$15)),
        IF(Import.TipoArredondamento&lt;&gt;"TransfereGOV",
              ROUND(OFFSET($P285,0,AM$13),15-13*ORÇAMENTO!$AF$7)/$H285*OFFSET(ORÇAMENTO!$X$15,ROW(AM285)-ROW(AM$15),0),
              ROUND(ROUND(OFFSET($P285,0,AM$13),15-13*ORÇAMENTO!$AF$7)*OFFSET(ORÇAMENTO!$W$15,ROW(AM285)-ROW(AM$15),0),15-13*ORÇAMENTO!$AF$11)),
         0)</f>
        <v>0</v>
      </c>
      <c r="AN285" s="453">
        <f ca="1">IF(AND($D285="Serviço",AN$12&lt;&gt;0,$H285&gt;0,OR(AUTOEVENTO&lt;&gt;"manual",$M285&lt;&gt;$A$15)),
        IF(Import.TipoArredondamento&lt;&gt;"TransfereGOV",
              ROUND(OFFSET($P285,0,AN$13),15-13*ORÇAMENTO!$AF$7)/$H285*OFFSET(ORÇAMENTO!$X$15,ROW(AN285)-ROW(AN$15),0),
              ROUND(ROUND(OFFSET($P285,0,AN$13),15-13*ORÇAMENTO!$AF$7)*OFFSET(ORÇAMENTO!$W$15,ROW(AN285)-ROW(AN$15),0),15-13*ORÇAMENTO!$AF$11)),
         0)</f>
        <v>0</v>
      </c>
      <c r="AO285" s="453">
        <f ca="1">IF(AND($D285="Serviço",AO$12&lt;&gt;0,$H285&gt;0,OR(AUTOEVENTO&lt;&gt;"manual",$M285&lt;&gt;$A$15)),
        IF(Import.TipoArredondamento&lt;&gt;"TransfereGOV",
              ROUND(OFFSET($P285,0,AO$13),15-13*ORÇAMENTO!$AF$7)/$H285*OFFSET(ORÇAMENTO!$X$15,ROW(AO285)-ROW(AO$15),0),
              ROUND(ROUND(OFFSET($P285,0,AO$13),15-13*ORÇAMENTO!$AF$7)*OFFSET(ORÇAMENTO!$W$15,ROW(AO285)-ROW(AO$15),0),15-13*ORÇAMENTO!$AF$11)),
         0)</f>
        <v>0</v>
      </c>
      <c r="AP285" s="453">
        <f ca="1">IF(AND($D285="Serviço",AP$12&lt;&gt;0,$H285&gt;0,OR(AUTOEVENTO&lt;&gt;"manual",$M285&lt;&gt;$A$15)),
        IF(Import.TipoArredondamento&lt;&gt;"TransfereGOV",
              ROUND(OFFSET($P285,0,AP$13),15-13*ORÇAMENTO!$AF$7)/$H285*OFFSET(ORÇAMENTO!$X$15,ROW(AP285)-ROW(AP$15),0),
              ROUND(ROUND(OFFSET($P285,0,AP$13),15-13*ORÇAMENTO!$AF$7)*OFFSET(ORÇAMENTO!$W$15,ROW(AP285)-ROW(AP$15),0),15-13*ORÇAMENTO!$AF$11)),
         0)</f>
        <v>0</v>
      </c>
      <c r="AQ285" s="453">
        <f ca="1">IF(AND($D285="Serviço",AQ$12&lt;&gt;0,$H285&gt;0,OR(AUTOEVENTO&lt;&gt;"manual",$M285&lt;&gt;$A$15)),
        IF(Import.TipoArredondamento&lt;&gt;"TransfereGOV",
              ROUND(OFFSET($P285,0,AQ$13),15-13*ORÇAMENTO!$AF$7)/$H285*OFFSET(ORÇAMENTO!$X$15,ROW(AQ285)-ROW(AQ$15),0),
              ROUND(ROUND(OFFSET($P285,0,AQ$13),15-13*ORÇAMENTO!$AF$7)*OFFSET(ORÇAMENTO!$W$15,ROW(AQ285)-ROW(AQ$15),0),15-13*ORÇAMENTO!$AF$11)),
         0)</f>
        <v>0</v>
      </c>
      <c r="AR285" s="453">
        <f ca="1">IF(AND($D285="Serviço",AR$12&lt;&gt;0,$H285&gt;0,OR(AUTOEVENTO&lt;&gt;"manual",$M285&lt;&gt;$A$15)),
        IF(Import.TipoArredondamento&lt;&gt;"TransfereGOV",
              ROUND(OFFSET($P285,0,AR$13),15-13*ORÇAMENTO!$AF$7)/$H285*OFFSET(ORÇAMENTO!$X$15,ROW(AR285)-ROW(AR$15),0),
              ROUND(ROUND(OFFSET($P285,0,AR$13),15-13*ORÇAMENTO!$AF$7)*OFFSET(ORÇAMENTO!$W$15,ROW(AR285)-ROW(AR$15),0),15-13*ORÇAMENTO!$AF$11)),
         0)</f>
        <v>0</v>
      </c>
      <c r="AS285" s="453">
        <f ca="1">IF(AND($D285="Serviço",AS$12&lt;&gt;0,$H285&gt;0,OR(AUTOEVENTO&lt;&gt;"manual",$M285&lt;&gt;$A$15)),
        IF(Import.TipoArredondamento&lt;&gt;"TransfereGOV",
              ROUND(OFFSET($P285,0,AS$13),15-13*ORÇAMENTO!$AF$7)/$H285*OFFSET(ORÇAMENTO!$X$15,ROW(AS285)-ROW(AS$15),0),
              ROUND(ROUND(OFFSET($P285,0,AS$13),15-13*ORÇAMENTO!$AF$7)*OFFSET(ORÇAMENTO!$W$15,ROW(AS285)-ROW(AS$15),0),15-13*ORÇAMENTO!$AF$11)),
         0)</f>
        <v>0</v>
      </c>
      <c r="AT285" s="453">
        <f ca="1">IF(AND($D285="Serviço",AT$12&lt;&gt;0,$H285&gt;0,OR(AUTOEVENTO&lt;&gt;"manual",$M285&lt;&gt;$A$15)),
        IF(Import.TipoArredondamento&lt;&gt;"TransfereGOV",
              ROUND(OFFSET($P285,0,AT$13),15-13*ORÇAMENTO!$AF$7)/$H285*OFFSET(ORÇAMENTO!$X$15,ROW(AT285)-ROW(AT$15),0),
              ROUND(ROUND(OFFSET($P285,0,AT$13),15-13*ORÇAMENTO!$AF$7)*OFFSET(ORÇAMENTO!$W$15,ROW(AT285)-ROW(AT$15),0),15-13*ORÇAMENTO!$AF$11)),
         0)</f>
        <v>0</v>
      </c>
      <c r="AU285" s="453">
        <f ca="1">IF(AND($D285="Serviço",AU$12&lt;&gt;0,$H285&gt;0,OR(AUTOEVENTO&lt;&gt;"manual",$M285&lt;&gt;$A$15)),
        IF(Import.TipoArredondamento&lt;&gt;"TransfereGOV",
              ROUND(OFFSET($P285,0,AU$13),15-13*ORÇAMENTO!$AF$7)/$H285*OFFSET(ORÇAMENTO!$X$15,ROW(AU285)-ROW(AU$15),0),
              ROUND(ROUND(OFFSET($P285,0,AU$13),15-13*ORÇAMENTO!$AF$7)*OFFSET(ORÇAMENTO!$W$15,ROW(AU285)-ROW(AU$15),0),15-13*ORÇAMENTO!$AF$11)),
         0)</f>
        <v>0</v>
      </c>
      <c r="AV285" s="453">
        <f ca="1">IF(AND($D285="Serviço",AV$12&lt;&gt;0,$H285&gt;0,OR(AUTOEVENTO&lt;&gt;"manual",$M285&lt;&gt;$A$15)),
        IF(Import.TipoArredondamento&lt;&gt;"TransfereGOV",
              ROUND(OFFSET($P285,0,AV$13),15-13*ORÇAMENTO!$AF$7)/$H285*OFFSET(ORÇAMENTO!$X$15,ROW(AV285)-ROW(AV$15),0),
              ROUND(ROUND(OFFSET($P285,0,AV$13),15-13*ORÇAMENTO!$AF$7)*OFFSET(ORÇAMENTO!$W$15,ROW(AV285)-ROW(AV$15),0),15-13*ORÇAMENTO!$AF$11)),
         0)</f>
        <v>0</v>
      </c>
      <c r="AW285" s="453">
        <f ca="1">IF(AND($D285="Serviço",AW$12&lt;&gt;0,$H285&gt;0,OR(AUTOEVENTO&lt;&gt;"manual",$M285&lt;&gt;$A$15)),
        IF(Import.TipoArredondamento&lt;&gt;"TransfereGOV",
              ROUND(OFFSET($P285,0,AW$13),15-13*ORÇAMENTO!$AF$7)/$H285*OFFSET(ORÇAMENTO!$X$15,ROW(AW285)-ROW(AW$15),0),
              ROUND(ROUND(OFFSET($P285,0,AW$13),15-13*ORÇAMENTO!$AF$7)*OFFSET(ORÇAMENTO!$W$15,ROW(AW285)-ROW(AW$15),0),15-13*ORÇAMENTO!$AF$11)),
         0)</f>
        <v>0</v>
      </c>
      <c r="AX285" s="453">
        <f ca="1">IF(AND($D285="Serviço",AX$12&lt;&gt;0,$H285&gt;0,OR(AUTOEVENTO&lt;&gt;"manual",$M285&lt;&gt;$A$15)),
        IF(Import.TipoArredondamento&lt;&gt;"TransfereGOV",
              ROUND(OFFSET($P285,0,AX$13),15-13*ORÇAMENTO!$AF$7)/$H285*OFFSET(ORÇAMENTO!$X$15,ROW(AX285)-ROW(AX$15),0),
              ROUND(ROUND(OFFSET($P285,0,AX$13),15-13*ORÇAMENTO!$AF$7)*OFFSET(ORÇAMENTO!$W$15,ROW(AX285)-ROW(AX$15),0),15-13*ORÇAMENTO!$AF$11)),
         0)</f>
        <v>0</v>
      </c>
      <c r="AY285" s="453">
        <f ca="1">IF(AND($D285="Serviço",AY$12&lt;&gt;0,$H285&gt;0,OR(AUTOEVENTO&lt;&gt;"manual",$M285&lt;&gt;$A$15)),
        IF(Import.TipoArredondamento&lt;&gt;"TransfereGOV",
              ROUND(OFFSET($P285,0,AY$13),15-13*ORÇAMENTO!$AF$7)/$H285*OFFSET(ORÇAMENTO!$X$15,ROW(AY285)-ROW(AY$15),0),
              ROUND(ROUND(OFFSET($P285,0,AY$13),15-13*ORÇAMENTO!$AF$7)*OFFSET(ORÇAMENTO!$W$15,ROW(AY285)-ROW(AY$15),0),15-13*ORÇAMENTO!$AF$11)),
         0)</f>
        <v>0</v>
      </c>
      <c r="AZ285" s="453">
        <f ca="1">IF(AND($D285="Serviço",AZ$12&lt;&gt;0,$H285&gt;0,OR(AUTOEVENTO&lt;&gt;"manual",$M285&lt;&gt;$A$15)),
        IF(Import.TipoArredondamento&lt;&gt;"TransfereGOV",
              ROUND(OFFSET($P285,0,AZ$13),15-13*ORÇAMENTO!$AF$7)/$H285*OFFSET(ORÇAMENTO!$X$15,ROW(AZ285)-ROW(AZ$15),0),
              ROUND(ROUND(OFFSET($P285,0,AZ$13),15-13*ORÇAMENTO!$AF$7)*OFFSET(ORÇAMENTO!$W$15,ROW(AZ285)-ROW(AZ$15),0),15-13*ORÇAMENTO!$AF$11)),
         0)</f>
        <v>0</v>
      </c>
      <c r="BA285" s="453">
        <f ca="1">IF(AND($D285="Serviço",BA$12&lt;&gt;0,$H285&gt;0,OR(AUTOEVENTO&lt;&gt;"manual",$M285&lt;&gt;$A$15)),
        IF(Import.TipoArredondamento&lt;&gt;"TransfereGOV",
              ROUND(OFFSET($P285,0,BA$13),15-13*ORÇAMENTO!$AF$7)/$H285*OFFSET(ORÇAMENTO!$X$15,ROW(BA285)-ROW(BA$15),0),
              ROUND(ROUND(OFFSET($P285,0,BA$13),15-13*ORÇAMENTO!$AF$7)*OFFSET(ORÇAMENTO!$W$15,ROW(BA285)-ROW(BA$15),0),15-13*ORÇAMENTO!$AF$11)),
         0)</f>
        <v>0</v>
      </c>
      <c r="BC285" s="171">
        <f ca="1">IF(OR($D285&lt;&gt;"Serviço",AND(AUTOEVENTO="Manual",$M285=$A$15)),0,
         IF(OFFSET(CRONOPLE!$F$15,$M285-$A$15,BC$13)=0,10^12,OFFSET(CRONOPLE!$F$15,$M285-$A$15,BC$13)))</f>
        <v>1</v>
      </c>
      <c r="BD285" s="171">
        <f ca="1">IF(OR($D285&lt;&gt;"Serviço",AND(AUTOEVENTO="Manual",$M285=$A$15)),0,
         IF(OFFSET(CRONOPLE!$F$15,$M285-$A$15,BD$13)=0,10^12,OFFSET(CRONOPLE!$F$15,$M285-$A$15,BD$13)))</f>
        <v>2</v>
      </c>
      <c r="BE285" s="171">
        <f ca="1">IF(OR($D285&lt;&gt;"Serviço",AND(AUTOEVENTO="Manual",$M285=$A$15)),0,
         IF(OFFSET(CRONOPLE!$F$15,$M285-$A$15,BE$13)=0,10^12,OFFSET(CRONOPLE!$F$15,$M285-$A$15,BE$13)))</f>
        <v>3</v>
      </c>
      <c r="BF285" s="171">
        <f ca="1">IF(OR($D285&lt;&gt;"Serviço",AND(AUTOEVENTO="Manual",$M285=$A$15)),0,
         IF(OFFSET(CRONOPLE!$F$15,$M285-$A$15,BF$13)=0,10^12,OFFSET(CRONOPLE!$F$15,$M285-$A$15,BF$13)))</f>
        <v>4</v>
      </c>
      <c r="BG285" s="171">
        <f ca="1">IF(OR($D285&lt;&gt;"Serviço",AND(AUTOEVENTO="Manual",$M285=$A$15)),0,
         IF(OFFSET(CRONOPLE!$F$15,$M285-$A$15,BG$13)=0,10^12,OFFSET(CRONOPLE!$F$15,$M285-$A$15,BG$13)))</f>
        <v>5</v>
      </c>
      <c r="BH285" s="171">
        <f ca="1">IF(OR($D285&lt;&gt;"Serviço",AND(AUTOEVENTO="Manual",$M285=$A$15)),0,
         IF(OFFSET(CRONOPLE!$F$15,$M285-$A$15,BH$13)=0,10^12,OFFSET(CRONOPLE!$F$15,$M285-$A$15,BH$13)))</f>
        <v>6</v>
      </c>
      <c r="BI285" s="171">
        <f ca="1">IF(OR($D285&lt;&gt;"Serviço",AND(AUTOEVENTO="Manual",$M285=$A$15)),0,
         IF(OFFSET(CRONOPLE!$F$15,$M285-$A$15,BI$13)=0,10^12,OFFSET(CRONOPLE!$F$15,$M285-$A$15,BI$13)))</f>
        <v>7</v>
      </c>
      <c r="BJ285" s="171">
        <f ca="1">IF(OR($D285&lt;&gt;"Serviço",AND(AUTOEVENTO="Manual",$M285=$A$15)),0,
         IF(OFFSET(CRONOPLE!$F$15,$M285-$A$15,BJ$13)=0,10^12,OFFSET(CRONOPLE!$F$15,$M285-$A$15,BJ$13)))</f>
        <v>8</v>
      </c>
      <c r="BK285" s="171">
        <f ca="1">IF(OR($D285&lt;&gt;"Serviço",AND(AUTOEVENTO="Manual",$M285=$A$15)),0,
         IF(OFFSET(CRONOPLE!$F$15,$M285-$A$15,BK$13)=0,10^12,OFFSET(CRONOPLE!$F$15,$M285-$A$15,BK$13)))</f>
        <v>9</v>
      </c>
      <c r="BL285" s="171">
        <f ca="1">IF(OR($D285&lt;&gt;"Serviço",AND(AUTOEVENTO="Manual",$M285=$A$15)),0,
         IF(OFFSET(CRONOPLE!$F$15,$M285-$A$15,BL$13)=0,10^12,OFFSET(CRONOPLE!$F$15,$M285-$A$15,BL$13)))</f>
        <v>1000000000000</v>
      </c>
      <c r="BM285" s="171">
        <f ca="1">IF(OR($D285&lt;&gt;"Serviço",AND(AUTOEVENTO="Manual",$M285=$A$15)),0,
         IF(OFFSET(CRONOPLE!$F$15,$M285-$A$15,BM$13)=0,10^12,OFFSET(CRONOPLE!$F$15,$M285-$A$15,BM$13)))</f>
        <v>1000000000000</v>
      </c>
      <c r="BN285" s="171">
        <f ca="1">IF(OR($D285&lt;&gt;"Serviço",AND(AUTOEVENTO="Manual",$M285=$A$15)),0,
         IF(OFFSET(CRONOPLE!$F$15,$M285-$A$15,BN$13)=0,10^12,OFFSET(CRONOPLE!$F$15,$M285-$A$15,BN$13)))</f>
        <v>1000000000000</v>
      </c>
      <c r="BO285" s="171">
        <f ca="1">IF(OR($D285&lt;&gt;"Serviço",AND(AUTOEVENTO="Manual",$M285=$A$15)),0,
         IF(OFFSET(CRONOPLE!$F$15,$M285-$A$15,BO$13)=0,10^12,OFFSET(CRONOPLE!$F$15,$M285-$A$15,BO$13)))</f>
        <v>1000000000000</v>
      </c>
      <c r="BP285" s="171">
        <f ca="1">IF(OR($D285&lt;&gt;"Serviço",AND(AUTOEVENTO="Manual",$M285=$A$15)),0,
         IF(OFFSET(CRONOPLE!$F$15,$M285-$A$15,BP$13)=0,10^12,OFFSET(CRONOPLE!$F$15,$M285-$A$15,BP$13)))</f>
        <v>1000000000000</v>
      </c>
      <c r="BQ285" s="171">
        <f ca="1">IF(OR($D285&lt;&gt;"Serviço",AND(AUTOEVENTO="Manual",$M285=$A$15)),0,
         IF(OFFSET(CRONOPLE!$F$15,$M285-$A$15,BQ$13)=0,10^12,OFFSET(CRONOPLE!$F$15,$M285-$A$15,BQ$13)))</f>
        <v>1000000000000</v>
      </c>
      <c r="BR285" s="171">
        <f ca="1">IF(OR($D285&lt;&gt;"Serviço",AND(AUTOEVENTO="Manual",$M285=$A$15)),0,
         IF(OFFSET(CRONOPLE!$F$15,$M285-$A$15,BR$13)=0,10^12,OFFSET(CRONOPLE!$F$15,$M285-$A$15,BR$13)))</f>
        <v>1000000000000</v>
      </c>
      <c r="BS285" s="171">
        <f ca="1">IF(OR($D285&lt;&gt;"Serviço",AND(AUTOEVENTO="Manual",$M285=$A$15)),0,
         IF(OFFSET(CRONOPLE!$F$15,$M285-$A$15,BS$13)=0,10^12,OFFSET(CRONOPLE!$F$15,$M285-$A$15,BS$13)))</f>
        <v>1000000000000</v>
      </c>
      <c r="BT285" s="171">
        <f ca="1">IF(OR($D285&lt;&gt;"Serviço",AND(AUTOEVENTO="Manual",$M285=$A$15)),0,
         IF(OFFSET(CRONOPLE!$F$15,$M285-$A$15,BT$13)=0,10^12,OFFSET(CRONOPLE!$F$15,$M285-$A$15,BT$13)))</f>
        <v>1000000000000</v>
      </c>
      <c r="BV285" s="172">
        <f ca="1">IF(OR($D285&lt;&gt;"Serviço",AND(AUTOEVENTO="Manual",$M285=$A$15),$M285&gt;(ROW(PLE.lastrow)-ROW(PLE.firstrow))),0,
           IF(OFFSET(PLE!$G$15,$M285-$A$15,BV$13)="",10^12,OFFSET(PLE!$G$15,$M285-$A$15,BV$13)))</f>
        <v>1000000000000</v>
      </c>
      <c r="BW285" s="172">
        <f ca="1">IF(OR($D285&lt;&gt;"Serviço",AND(AUTOEVENTO="Manual",$M285=$A$15),$M285&gt;(ROW(PLE.lastrow)-ROW(PLE.firstrow))),0,
           IF(OFFSET(PLE!$G$15,$M285-$A$15,BW$13)="",10^12,OFFSET(PLE!$G$15,$M285-$A$15,BW$13)))</f>
        <v>1000000000000</v>
      </c>
      <c r="BX285" s="172">
        <f ca="1">IF(OR($D285&lt;&gt;"Serviço",AND(AUTOEVENTO="Manual",$M285=$A$15),$M285&gt;(ROW(PLE.lastrow)-ROW(PLE.firstrow))),0,
           IF(OFFSET(PLE!$G$15,$M285-$A$15,BX$13)="",10^12,OFFSET(PLE!$G$15,$M285-$A$15,BX$13)))</f>
        <v>1000000000000</v>
      </c>
      <c r="BY285" s="172">
        <f ca="1">IF(OR($D285&lt;&gt;"Serviço",AND(AUTOEVENTO="Manual",$M285=$A$15),$M285&gt;(ROW(PLE.lastrow)-ROW(PLE.firstrow))),0,
           IF(OFFSET(PLE!$G$15,$M285-$A$15,BY$13)="",10^12,OFFSET(PLE!$G$15,$M285-$A$15,BY$13)))</f>
        <v>1000000000000</v>
      </c>
      <c r="BZ285" s="172">
        <f ca="1">IF(OR($D285&lt;&gt;"Serviço",AND(AUTOEVENTO="Manual",$M285=$A$15),$M285&gt;(ROW(PLE.lastrow)-ROW(PLE.firstrow))),0,
           IF(OFFSET(PLE!$G$15,$M285-$A$15,BZ$13)="",10^12,OFFSET(PLE!$G$15,$M285-$A$15,BZ$13)))</f>
        <v>1000000000000</v>
      </c>
      <c r="CA285" s="172">
        <f ca="1">IF(OR($D285&lt;&gt;"Serviço",AND(AUTOEVENTO="Manual",$M285=$A$15),$M285&gt;(ROW(PLE.lastrow)-ROW(PLE.firstrow))),0,
           IF(OFFSET(PLE!$G$15,$M285-$A$15,CA$13)="",10^12,OFFSET(PLE!$G$15,$M285-$A$15,CA$13)))</f>
        <v>1000000000000</v>
      </c>
      <c r="CB285" s="172">
        <f ca="1">IF(OR($D285&lt;&gt;"Serviço",AND(AUTOEVENTO="Manual",$M285=$A$15),$M285&gt;(ROW(PLE.lastrow)-ROW(PLE.firstrow))),0,
           IF(OFFSET(PLE!$G$15,$M285-$A$15,CB$13)="",10^12,OFFSET(PLE!$G$15,$M285-$A$15,CB$13)))</f>
        <v>1000000000000</v>
      </c>
      <c r="CC285" s="172">
        <f ca="1">IF(OR($D285&lt;&gt;"Serviço",AND(AUTOEVENTO="Manual",$M285=$A$15),$M285&gt;(ROW(PLE.lastrow)-ROW(PLE.firstrow))),0,
           IF(OFFSET(PLE!$G$15,$M285-$A$15,CC$13)="",10^12,OFFSET(PLE!$G$15,$M285-$A$15,CC$13)))</f>
        <v>1000000000000</v>
      </c>
      <c r="CD285" s="172">
        <f ca="1">IF(OR($D285&lt;&gt;"Serviço",AND(AUTOEVENTO="Manual",$M285=$A$15),$M285&gt;(ROW(PLE.lastrow)-ROW(PLE.firstrow))),0,
           IF(OFFSET(PLE!$G$15,$M285-$A$15,CD$13)="",10^12,OFFSET(PLE!$G$15,$M285-$A$15,CD$13)))</f>
        <v>1000000000000</v>
      </c>
      <c r="CE285" s="172">
        <f ca="1">IF(OR($D285&lt;&gt;"Serviço",AND(AUTOEVENTO="Manual",$M285=$A$15),$M285&gt;(ROW(PLE.lastrow)-ROW(PLE.firstrow))),0,
           IF(OFFSET(PLE!$G$15,$M285-$A$15,CE$13)="",10^12,OFFSET(PLE!$G$15,$M285-$A$15,CE$13)))</f>
        <v>1000000000000</v>
      </c>
      <c r="CF285" s="172">
        <f ca="1">IF(OR($D285&lt;&gt;"Serviço",AND(AUTOEVENTO="Manual",$M285=$A$15),$M285&gt;(ROW(PLE.lastrow)-ROW(PLE.firstrow))),0,
           IF(OFFSET(PLE!$G$15,$M285-$A$15,CF$13)="",10^12,OFFSET(PLE!$G$15,$M285-$A$15,CF$13)))</f>
        <v>1000000000000</v>
      </c>
      <c r="CG285" s="172">
        <f ca="1">IF(OR($D285&lt;&gt;"Serviço",AND(AUTOEVENTO="Manual",$M285=$A$15),$M285&gt;(ROW(PLE.lastrow)-ROW(PLE.firstrow))),0,
           IF(OFFSET(PLE!$G$15,$M285-$A$15,CG$13)="",10^12,OFFSET(PLE!$G$15,$M285-$A$15,CG$13)))</f>
        <v>1000000000000</v>
      </c>
      <c r="CH285" s="172">
        <f ca="1">IF(OR($D285&lt;&gt;"Serviço",AND(AUTOEVENTO="Manual",$M285=$A$15),$M285&gt;(ROW(PLE.lastrow)-ROW(PLE.firstrow))),0,
           IF(OFFSET(PLE!$G$15,$M285-$A$15,CH$13)="",10^12,OFFSET(PLE!$G$15,$M285-$A$15,CH$13)))</f>
        <v>1000000000000</v>
      </c>
      <c r="CI285" s="172">
        <f ca="1">IF(OR($D285&lt;&gt;"Serviço",AND(AUTOEVENTO="Manual",$M285=$A$15),$M285&gt;(ROW(PLE.lastrow)-ROW(PLE.firstrow))),0,
           IF(OFFSET(PLE!$G$15,$M285-$A$15,CI$13)="",10^12,OFFSET(PLE!$G$15,$M285-$A$15,CI$13)))</f>
        <v>1000000000000</v>
      </c>
      <c r="CJ285" s="172">
        <f ca="1">IF(OR($D285&lt;&gt;"Serviço",AND(AUTOEVENTO="Manual",$M285=$A$15),$M285&gt;(ROW(PLE.lastrow)-ROW(PLE.firstrow))),0,
           IF(OFFSET(PLE!$G$15,$M285-$A$15,CJ$13)="",10^12,OFFSET(PLE!$G$15,$M285-$A$15,CJ$13)))</f>
        <v>1000000000000</v>
      </c>
      <c r="CK285" s="172">
        <f ca="1">IF(OR($D285&lt;&gt;"Serviço",AND(AUTOEVENTO="Manual",$M285=$A$15),$M285&gt;(ROW(PLE.lastrow)-ROW(PLE.firstrow))),0,
           IF(OFFSET(PLE!$G$15,$M285-$A$15,CK$13)="",10^12,OFFSET(PLE!$G$15,$M285-$A$15,CK$13)))</f>
        <v>1000000000000</v>
      </c>
      <c r="CL285" s="172">
        <f ca="1">IF(OR($D285&lt;&gt;"Serviço",AND(AUTOEVENTO="Manual",$M285=$A$15),$M285&gt;(ROW(PLE.lastrow)-ROW(PLE.firstrow))),0,
           IF(OFFSET(PLE!$G$15,$M285-$A$15,CL$13)="",10^12,OFFSET(PLE!$G$15,$M285-$A$15,CL$13)))</f>
        <v>1000000000000</v>
      </c>
      <c r="CM285" s="172">
        <f ca="1">IF(OR($D285&lt;&gt;"Serviço",AND(AUTOEVENTO="Manual",$M285=$A$15),$M285&gt;(ROW(PLE.lastrow)-ROW(PLE.firstrow))),0,
           IF(OFFSET(PLE!$G$15,$M285-$A$15,CM$13)="",10^12,OFFSET(PLE!$G$15,$M285-$A$15,CM$13)))</f>
        <v>1000000000000</v>
      </c>
    </row>
    <row r="286" spans="1:91" ht="12.75" x14ac:dyDescent="0.2">
      <c r="A286" s="7">
        <f t="shared" ca="1" si="14"/>
        <v>7</v>
      </c>
      <c r="B286" s="7">
        <f ca="1">OFFSET(ORÇAMENTO!C$15,ROW(B286)-ROW(B$15),0)</f>
        <v>4</v>
      </c>
      <c r="C286" s="7" t="str">
        <f ca="1">OFFSET(ORÇAMENTO!L$15,ROW(C286)-ROW(C$15),0)</f>
        <v>F</v>
      </c>
      <c r="D286" s="116" t="str">
        <f ca="1">OFFSET(ORÇAMENTO!N$15,ROW(D286)-ROW(D$15),0)</f>
        <v>Nível 4</v>
      </c>
      <c r="E286" s="117" t="str">
        <f ca="1">OFFSET(ORÇAMENTO!O$15,ROW(E286)-ROW(E$15),0)</f>
        <v>1.7.3.2.</v>
      </c>
      <c r="F286" s="163" t="str">
        <f ca="1">OFFSET(ORÇAMENTO!R$15,ROW(F286)-ROW(F$15),0)</f>
        <v>INSTALAÇÃO DE MATERIAIS</v>
      </c>
      <c r="G286" s="164" t="str">
        <f ca="1">IF($D286&lt;&gt;"Serviço","",OFFSET(ORÇAMENTO!S$15,ROW(G286)-ROW(G$15),0))</f>
        <v/>
      </c>
      <c r="H286" s="122" cm="1">
        <f t="array" aca="1" ref="H286" ca="1">IF($D286&lt;&gt;"Serviço",0,IF(ACOMPANHAMENTO="BM",ROUND(OFFSET(ORÇAMENTO!AJ$15,ROW(H286)-ROW(H$15),0),15-13*ORÇAMENTO!$AF$7),SUMPRODUCT(($Q$1:$AI$1=1)*ROUND($Q286:$AI286,15-13*ORÇAMENTO!$AF$7))))</f>
        <v>0</v>
      </c>
      <c r="I286" s="468"/>
      <c r="J286" s="640" t="str" cm="1">
        <f t="array" aca="1" ref="J286" ca="1">IF(OR(B286&lt;&gt;"S",CÁLCULO.FrentesPreenchidas=0),"",IF(AND(ACOMPANHAMENTO="PLE",AUTOEVENTO="Manual",OR(H286&gt;0,ORÇAMENTO!AC286="QUANT."),OR(K286="",M286=0,N286="")),"►E",IF(AND(ACOMPANHAMENTO="PLE",ORÇAMENTO!AC286="QUANT."),"►Q",IF(AND(ACOMPANHAMENTO="PLE",H286&lt;&gt;SUMPRODUCT(($Q$1:$AI$1=1)*ROUND(Q286:AI286,15))),"►S",IF(AND(COUNTIF($P$11:$AI$11,"▼")=0,H286&gt;0,I286=""),"◄M","")))))</f>
        <v/>
      </c>
      <c r="K286" s="641" t="s">
        <v>1365</v>
      </c>
      <c r="L286" s="165" t="s">
        <v>764</v>
      </c>
      <c r="M286" s="166" t="str">
        <f ca="1">IF($D286&lt;&gt;"Serviço","",
          IF(AUTOEVENTO="manual",$A286,
                IF(ISERROR(MATCH($A286,$A$15:OFFSET($A286,-1,0),0)),MAX($M$15:OFFSET(M286,-1,0))+1,
                      INDEX($M$15:OFFSET(M286,-1,0),MATCH($A286,$A$15:OFFSET($A286,-1,0),0)))))</f>
        <v/>
      </c>
      <c r="N286" s="167" t="str">
        <f ca="1">IF($D286&lt;&gt;"Serviço","",
         IF(AUTOEVENTO="Manual",
                IF($A286=0,"&lt;-- defina o número do agrupador",
                       OFFSET(EVENTOS!$D$15,$A286-$A$15,0)),
                OFFSET($F$15,$A286,0)))</f>
        <v/>
      </c>
      <c r="O286" s="168"/>
      <c r="Q286" s="168"/>
      <c r="R286" s="169"/>
      <c r="S286" s="169"/>
      <c r="T286" s="169"/>
      <c r="U286" s="169"/>
      <c r="V286" s="169"/>
      <c r="W286" s="169"/>
      <c r="X286" s="169"/>
      <c r="Y286" s="169"/>
      <c r="Z286" s="170"/>
      <c r="AA286" s="169"/>
      <c r="AB286" s="169"/>
      <c r="AC286" s="169"/>
      <c r="AD286" s="169"/>
      <c r="AE286" s="169"/>
      <c r="AF286" s="169"/>
      <c r="AG286" s="169"/>
      <c r="AH286" s="170"/>
      <c r="AJ286" s="453">
        <f ca="1">IF(AND($D286="Serviço",AJ$12&lt;&gt;0,$H286&gt;0,OR(AUTOEVENTO&lt;&gt;"manual",$M286&lt;&gt;$A$15)),
        IF(Import.TipoArredondamento&lt;&gt;"TransfereGOV",
              ROUND(OFFSET($P286,0,AJ$13),15-13*ORÇAMENTO!$AF$7)/$H286*OFFSET(ORÇAMENTO!$X$15,ROW(AJ286)-ROW(AJ$15),0),
              ROUND(ROUND(OFFSET($P286,0,AJ$13),15-13*ORÇAMENTO!$AF$7)*OFFSET(ORÇAMENTO!$W$15,ROW(AJ286)-ROW(AJ$15),0),15-13*ORÇAMENTO!$AF$11)),
         0)</f>
        <v>0</v>
      </c>
      <c r="AK286" s="453">
        <f ca="1">IF(AND($D286="Serviço",AK$12&lt;&gt;0,$H286&gt;0,OR(AUTOEVENTO&lt;&gt;"manual",$M286&lt;&gt;$A$15)),
        IF(Import.TipoArredondamento&lt;&gt;"TransfereGOV",
              ROUND(OFFSET($P286,0,AK$13),15-13*ORÇAMENTO!$AF$7)/$H286*OFFSET(ORÇAMENTO!$X$15,ROW(AK286)-ROW(AK$15),0),
              ROUND(ROUND(OFFSET($P286,0,AK$13),15-13*ORÇAMENTO!$AF$7)*OFFSET(ORÇAMENTO!$W$15,ROW(AK286)-ROW(AK$15),0),15-13*ORÇAMENTO!$AF$11)),
         0)</f>
        <v>0</v>
      </c>
      <c r="AL286" s="453">
        <f ca="1">IF(AND($D286="Serviço",AL$12&lt;&gt;0,$H286&gt;0,OR(AUTOEVENTO&lt;&gt;"manual",$M286&lt;&gt;$A$15)),
        IF(Import.TipoArredondamento&lt;&gt;"TransfereGOV",
              ROUND(OFFSET($P286,0,AL$13),15-13*ORÇAMENTO!$AF$7)/$H286*OFFSET(ORÇAMENTO!$X$15,ROW(AL286)-ROW(AL$15),0),
              ROUND(ROUND(OFFSET($P286,0,AL$13),15-13*ORÇAMENTO!$AF$7)*OFFSET(ORÇAMENTO!$W$15,ROW(AL286)-ROW(AL$15),0),15-13*ORÇAMENTO!$AF$11)),
         0)</f>
        <v>0</v>
      </c>
      <c r="AM286" s="453">
        <f ca="1">IF(AND($D286="Serviço",AM$12&lt;&gt;0,$H286&gt;0,OR(AUTOEVENTO&lt;&gt;"manual",$M286&lt;&gt;$A$15)),
        IF(Import.TipoArredondamento&lt;&gt;"TransfereGOV",
              ROUND(OFFSET($P286,0,AM$13),15-13*ORÇAMENTO!$AF$7)/$H286*OFFSET(ORÇAMENTO!$X$15,ROW(AM286)-ROW(AM$15),0),
              ROUND(ROUND(OFFSET($P286,0,AM$13),15-13*ORÇAMENTO!$AF$7)*OFFSET(ORÇAMENTO!$W$15,ROW(AM286)-ROW(AM$15),0),15-13*ORÇAMENTO!$AF$11)),
         0)</f>
        <v>0</v>
      </c>
      <c r="AN286" s="453">
        <f ca="1">IF(AND($D286="Serviço",AN$12&lt;&gt;0,$H286&gt;0,OR(AUTOEVENTO&lt;&gt;"manual",$M286&lt;&gt;$A$15)),
        IF(Import.TipoArredondamento&lt;&gt;"TransfereGOV",
              ROUND(OFFSET($P286,0,AN$13),15-13*ORÇAMENTO!$AF$7)/$H286*OFFSET(ORÇAMENTO!$X$15,ROW(AN286)-ROW(AN$15),0),
              ROUND(ROUND(OFFSET($P286,0,AN$13),15-13*ORÇAMENTO!$AF$7)*OFFSET(ORÇAMENTO!$W$15,ROW(AN286)-ROW(AN$15),0),15-13*ORÇAMENTO!$AF$11)),
         0)</f>
        <v>0</v>
      </c>
      <c r="AO286" s="453">
        <f ca="1">IF(AND($D286="Serviço",AO$12&lt;&gt;0,$H286&gt;0,OR(AUTOEVENTO&lt;&gt;"manual",$M286&lt;&gt;$A$15)),
        IF(Import.TipoArredondamento&lt;&gt;"TransfereGOV",
              ROUND(OFFSET($P286,0,AO$13),15-13*ORÇAMENTO!$AF$7)/$H286*OFFSET(ORÇAMENTO!$X$15,ROW(AO286)-ROW(AO$15),0),
              ROUND(ROUND(OFFSET($P286,0,AO$13),15-13*ORÇAMENTO!$AF$7)*OFFSET(ORÇAMENTO!$W$15,ROW(AO286)-ROW(AO$15),0),15-13*ORÇAMENTO!$AF$11)),
         0)</f>
        <v>0</v>
      </c>
      <c r="AP286" s="453">
        <f ca="1">IF(AND($D286="Serviço",AP$12&lt;&gt;0,$H286&gt;0,OR(AUTOEVENTO&lt;&gt;"manual",$M286&lt;&gt;$A$15)),
        IF(Import.TipoArredondamento&lt;&gt;"TransfereGOV",
              ROUND(OFFSET($P286,0,AP$13),15-13*ORÇAMENTO!$AF$7)/$H286*OFFSET(ORÇAMENTO!$X$15,ROW(AP286)-ROW(AP$15),0),
              ROUND(ROUND(OFFSET($P286,0,AP$13),15-13*ORÇAMENTO!$AF$7)*OFFSET(ORÇAMENTO!$W$15,ROW(AP286)-ROW(AP$15),0),15-13*ORÇAMENTO!$AF$11)),
         0)</f>
        <v>0</v>
      </c>
      <c r="AQ286" s="453">
        <f ca="1">IF(AND($D286="Serviço",AQ$12&lt;&gt;0,$H286&gt;0,OR(AUTOEVENTO&lt;&gt;"manual",$M286&lt;&gt;$A$15)),
        IF(Import.TipoArredondamento&lt;&gt;"TransfereGOV",
              ROUND(OFFSET($P286,0,AQ$13),15-13*ORÇAMENTO!$AF$7)/$H286*OFFSET(ORÇAMENTO!$X$15,ROW(AQ286)-ROW(AQ$15),0),
              ROUND(ROUND(OFFSET($P286,0,AQ$13),15-13*ORÇAMENTO!$AF$7)*OFFSET(ORÇAMENTO!$W$15,ROW(AQ286)-ROW(AQ$15),0),15-13*ORÇAMENTO!$AF$11)),
         0)</f>
        <v>0</v>
      </c>
      <c r="AR286" s="453">
        <f ca="1">IF(AND($D286="Serviço",AR$12&lt;&gt;0,$H286&gt;0,OR(AUTOEVENTO&lt;&gt;"manual",$M286&lt;&gt;$A$15)),
        IF(Import.TipoArredondamento&lt;&gt;"TransfereGOV",
              ROUND(OFFSET($P286,0,AR$13),15-13*ORÇAMENTO!$AF$7)/$H286*OFFSET(ORÇAMENTO!$X$15,ROW(AR286)-ROW(AR$15),0),
              ROUND(ROUND(OFFSET($P286,0,AR$13),15-13*ORÇAMENTO!$AF$7)*OFFSET(ORÇAMENTO!$W$15,ROW(AR286)-ROW(AR$15),0),15-13*ORÇAMENTO!$AF$11)),
         0)</f>
        <v>0</v>
      </c>
      <c r="AS286" s="453">
        <f ca="1">IF(AND($D286="Serviço",AS$12&lt;&gt;0,$H286&gt;0,OR(AUTOEVENTO&lt;&gt;"manual",$M286&lt;&gt;$A$15)),
        IF(Import.TipoArredondamento&lt;&gt;"TransfereGOV",
              ROUND(OFFSET($P286,0,AS$13),15-13*ORÇAMENTO!$AF$7)/$H286*OFFSET(ORÇAMENTO!$X$15,ROW(AS286)-ROW(AS$15),0),
              ROUND(ROUND(OFFSET($P286,0,AS$13),15-13*ORÇAMENTO!$AF$7)*OFFSET(ORÇAMENTO!$W$15,ROW(AS286)-ROW(AS$15),0),15-13*ORÇAMENTO!$AF$11)),
         0)</f>
        <v>0</v>
      </c>
      <c r="AT286" s="453">
        <f ca="1">IF(AND($D286="Serviço",AT$12&lt;&gt;0,$H286&gt;0,OR(AUTOEVENTO&lt;&gt;"manual",$M286&lt;&gt;$A$15)),
        IF(Import.TipoArredondamento&lt;&gt;"TransfereGOV",
              ROUND(OFFSET($P286,0,AT$13),15-13*ORÇAMENTO!$AF$7)/$H286*OFFSET(ORÇAMENTO!$X$15,ROW(AT286)-ROW(AT$15),0),
              ROUND(ROUND(OFFSET($P286,0,AT$13),15-13*ORÇAMENTO!$AF$7)*OFFSET(ORÇAMENTO!$W$15,ROW(AT286)-ROW(AT$15),0),15-13*ORÇAMENTO!$AF$11)),
         0)</f>
        <v>0</v>
      </c>
      <c r="AU286" s="453">
        <f ca="1">IF(AND($D286="Serviço",AU$12&lt;&gt;0,$H286&gt;0,OR(AUTOEVENTO&lt;&gt;"manual",$M286&lt;&gt;$A$15)),
        IF(Import.TipoArredondamento&lt;&gt;"TransfereGOV",
              ROUND(OFFSET($P286,0,AU$13),15-13*ORÇAMENTO!$AF$7)/$H286*OFFSET(ORÇAMENTO!$X$15,ROW(AU286)-ROW(AU$15),0),
              ROUND(ROUND(OFFSET($P286,0,AU$13),15-13*ORÇAMENTO!$AF$7)*OFFSET(ORÇAMENTO!$W$15,ROW(AU286)-ROW(AU$15),0),15-13*ORÇAMENTO!$AF$11)),
         0)</f>
        <v>0</v>
      </c>
      <c r="AV286" s="453">
        <f ca="1">IF(AND($D286="Serviço",AV$12&lt;&gt;0,$H286&gt;0,OR(AUTOEVENTO&lt;&gt;"manual",$M286&lt;&gt;$A$15)),
        IF(Import.TipoArredondamento&lt;&gt;"TransfereGOV",
              ROUND(OFFSET($P286,0,AV$13),15-13*ORÇAMENTO!$AF$7)/$H286*OFFSET(ORÇAMENTO!$X$15,ROW(AV286)-ROW(AV$15),0),
              ROUND(ROUND(OFFSET($P286,0,AV$13),15-13*ORÇAMENTO!$AF$7)*OFFSET(ORÇAMENTO!$W$15,ROW(AV286)-ROW(AV$15),0),15-13*ORÇAMENTO!$AF$11)),
         0)</f>
        <v>0</v>
      </c>
      <c r="AW286" s="453">
        <f ca="1">IF(AND($D286="Serviço",AW$12&lt;&gt;0,$H286&gt;0,OR(AUTOEVENTO&lt;&gt;"manual",$M286&lt;&gt;$A$15)),
        IF(Import.TipoArredondamento&lt;&gt;"TransfereGOV",
              ROUND(OFFSET($P286,0,AW$13),15-13*ORÇAMENTO!$AF$7)/$H286*OFFSET(ORÇAMENTO!$X$15,ROW(AW286)-ROW(AW$15),0),
              ROUND(ROUND(OFFSET($P286,0,AW$13),15-13*ORÇAMENTO!$AF$7)*OFFSET(ORÇAMENTO!$W$15,ROW(AW286)-ROW(AW$15),0),15-13*ORÇAMENTO!$AF$11)),
         0)</f>
        <v>0</v>
      </c>
      <c r="AX286" s="453">
        <f ca="1">IF(AND($D286="Serviço",AX$12&lt;&gt;0,$H286&gt;0,OR(AUTOEVENTO&lt;&gt;"manual",$M286&lt;&gt;$A$15)),
        IF(Import.TipoArredondamento&lt;&gt;"TransfereGOV",
              ROUND(OFFSET($P286,0,AX$13),15-13*ORÇAMENTO!$AF$7)/$H286*OFFSET(ORÇAMENTO!$X$15,ROW(AX286)-ROW(AX$15),0),
              ROUND(ROUND(OFFSET($P286,0,AX$13),15-13*ORÇAMENTO!$AF$7)*OFFSET(ORÇAMENTO!$W$15,ROW(AX286)-ROW(AX$15),0),15-13*ORÇAMENTO!$AF$11)),
         0)</f>
        <v>0</v>
      </c>
      <c r="AY286" s="453">
        <f ca="1">IF(AND($D286="Serviço",AY$12&lt;&gt;0,$H286&gt;0,OR(AUTOEVENTO&lt;&gt;"manual",$M286&lt;&gt;$A$15)),
        IF(Import.TipoArredondamento&lt;&gt;"TransfereGOV",
              ROUND(OFFSET($P286,0,AY$13),15-13*ORÇAMENTO!$AF$7)/$H286*OFFSET(ORÇAMENTO!$X$15,ROW(AY286)-ROW(AY$15),0),
              ROUND(ROUND(OFFSET($P286,0,AY$13),15-13*ORÇAMENTO!$AF$7)*OFFSET(ORÇAMENTO!$W$15,ROW(AY286)-ROW(AY$15),0),15-13*ORÇAMENTO!$AF$11)),
         0)</f>
        <v>0</v>
      </c>
      <c r="AZ286" s="453">
        <f ca="1">IF(AND($D286="Serviço",AZ$12&lt;&gt;0,$H286&gt;0,OR(AUTOEVENTO&lt;&gt;"manual",$M286&lt;&gt;$A$15)),
        IF(Import.TipoArredondamento&lt;&gt;"TransfereGOV",
              ROUND(OFFSET($P286,0,AZ$13),15-13*ORÇAMENTO!$AF$7)/$H286*OFFSET(ORÇAMENTO!$X$15,ROW(AZ286)-ROW(AZ$15),0),
              ROUND(ROUND(OFFSET($P286,0,AZ$13),15-13*ORÇAMENTO!$AF$7)*OFFSET(ORÇAMENTO!$W$15,ROW(AZ286)-ROW(AZ$15),0),15-13*ORÇAMENTO!$AF$11)),
         0)</f>
        <v>0</v>
      </c>
      <c r="BA286" s="453">
        <f ca="1">IF(AND($D286="Serviço",BA$12&lt;&gt;0,$H286&gt;0,OR(AUTOEVENTO&lt;&gt;"manual",$M286&lt;&gt;$A$15)),
        IF(Import.TipoArredondamento&lt;&gt;"TransfereGOV",
              ROUND(OFFSET($P286,0,BA$13),15-13*ORÇAMENTO!$AF$7)/$H286*OFFSET(ORÇAMENTO!$X$15,ROW(BA286)-ROW(BA$15),0),
              ROUND(ROUND(OFFSET($P286,0,BA$13),15-13*ORÇAMENTO!$AF$7)*OFFSET(ORÇAMENTO!$W$15,ROW(BA286)-ROW(BA$15),0),15-13*ORÇAMENTO!$AF$11)),
         0)</f>
        <v>0</v>
      </c>
      <c r="BC286" s="171">
        <f ca="1">IF(OR($D286&lt;&gt;"Serviço",AND(AUTOEVENTO="Manual",$M286=$A$15)),0,
         IF(OFFSET(CRONOPLE!$F$15,$M286-$A$15,BC$13)=0,10^12,OFFSET(CRONOPLE!$F$15,$M286-$A$15,BC$13)))</f>
        <v>0</v>
      </c>
      <c r="BD286" s="171">
        <f ca="1">IF(OR($D286&lt;&gt;"Serviço",AND(AUTOEVENTO="Manual",$M286=$A$15)),0,
         IF(OFFSET(CRONOPLE!$F$15,$M286-$A$15,BD$13)=0,10^12,OFFSET(CRONOPLE!$F$15,$M286-$A$15,BD$13)))</f>
        <v>0</v>
      </c>
      <c r="BE286" s="171">
        <f ca="1">IF(OR($D286&lt;&gt;"Serviço",AND(AUTOEVENTO="Manual",$M286=$A$15)),0,
         IF(OFFSET(CRONOPLE!$F$15,$M286-$A$15,BE$13)=0,10^12,OFFSET(CRONOPLE!$F$15,$M286-$A$15,BE$13)))</f>
        <v>0</v>
      </c>
      <c r="BF286" s="171">
        <f ca="1">IF(OR($D286&lt;&gt;"Serviço",AND(AUTOEVENTO="Manual",$M286=$A$15)),0,
         IF(OFFSET(CRONOPLE!$F$15,$M286-$A$15,BF$13)=0,10^12,OFFSET(CRONOPLE!$F$15,$M286-$A$15,BF$13)))</f>
        <v>0</v>
      </c>
      <c r="BG286" s="171">
        <f ca="1">IF(OR($D286&lt;&gt;"Serviço",AND(AUTOEVENTO="Manual",$M286=$A$15)),0,
         IF(OFFSET(CRONOPLE!$F$15,$M286-$A$15,BG$13)=0,10^12,OFFSET(CRONOPLE!$F$15,$M286-$A$15,BG$13)))</f>
        <v>0</v>
      </c>
      <c r="BH286" s="171">
        <f ca="1">IF(OR($D286&lt;&gt;"Serviço",AND(AUTOEVENTO="Manual",$M286=$A$15)),0,
         IF(OFFSET(CRONOPLE!$F$15,$M286-$A$15,BH$13)=0,10^12,OFFSET(CRONOPLE!$F$15,$M286-$A$15,BH$13)))</f>
        <v>0</v>
      </c>
      <c r="BI286" s="171">
        <f ca="1">IF(OR($D286&lt;&gt;"Serviço",AND(AUTOEVENTO="Manual",$M286=$A$15)),0,
         IF(OFFSET(CRONOPLE!$F$15,$M286-$A$15,BI$13)=0,10^12,OFFSET(CRONOPLE!$F$15,$M286-$A$15,BI$13)))</f>
        <v>0</v>
      </c>
      <c r="BJ286" s="171">
        <f ca="1">IF(OR($D286&lt;&gt;"Serviço",AND(AUTOEVENTO="Manual",$M286=$A$15)),0,
         IF(OFFSET(CRONOPLE!$F$15,$M286-$A$15,BJ$13)=0,10^12,OFFSET(CRONOPLE!$F$15,$M286-$A$15,BJ$13)))</f>
        <v>0</v>
      </c>
      <c r="BK286" s="171">
        <f ca="1">IF(OR($D286&lt;&gt;"Serviço",AND(AUTOEVENTO="Manual",$M286=$A$15)),0,
         IF(OFFSET(CRONOPLE!$F$15,$M286-$A$15,BK$13)=0,10^12,OFFSET(CRONOPLE!$F$15,$M286-$A$15,BK$13)))</f>
        <v>0</v>
      </c>
      <c r="BL286" s="171">
        <f ca="1">IF(OR($D286&lt;&gt;"Serviço",AND(AUTOEVENTO="Manual",$M286=$A$15)),0,
         IF(OFFSET(CRONOPLE!$F$15,$M286-$A$15,BL$13)=0,10^12,OFFSET(CRONOPLE!$F$15,$M286-$A$15,BL$13)))</f>
        <v>0</v>
      </c>
      <c r="BM286" s="171">
        <f ca="1">IF(OR($D286&lt;&gt;"Serviço",AND(AUTOEVENTO="Manual",$M286=$A$15)),0,
         IF(OFFSET(CRONOPLE!$F$15,$M286-$A$15,BM$13)=0,10^12,OFFSET(CRONOPLE!$F$15,$M286-$A$15,BM$13)))</f>
        <v>0</v>
      </c>
      <c r="BN286" s="171">
        <f ca="1">IF(OR($D286&lt;&gt;"Serviço",AND(AUTOEVENTO="Manual",$M286=$A$15)),0,
         IF(OFFSET(CRONOPLE!$F$15,$M286-$A$15,BN$13)=0,10^12,OFFSET(CRONOPLE!$F$15,$M286-$A$15,BN$13)))</f>
        <v>0</v>
      </c>
      <c r="BO286" s="171">
        <f ca="1">IF(OR($D286&lt;&gt;"Serviço",AND(AUTOEVENTO="Manual",$M286=$A$15)),0,
         IF(OFFSET(CRONOPLE!$F$15,$M286-$A$15,BO$13)=0,10^12,OFFSET(CRONOPLE!$F$15,$M286-$A$15,BO$13)))</f>
        <v>0</v>
      </c>
      <c r="BP286" s="171">
        <f ca="1">IF(OR($D286&lt;&gt;"Serviço",AND(AUTOEVENTO="Manual",$M286=$A$15)),0,
         IF(OFFSET(CRONOPLE!$F$15,$M286-$A$15,BP$13)=0,10^12,OFFSET(CRONOPLE!$F$15,$M286-$A$15,BP$13)))</f>
        <v>0</v>
      </c>
      <c r="BQ286" s="171">
        <f ca="1">IF(OR($D286&lt;&gt;"Serviço",AND(AUTOEVENTO="Manual",$M286=$A$15)),0,
         IF(OFFSET(CRONOPLE!$F$15,$M286-$A$15,BQ$13)=0,10^12,OFFSET(CRONOPLE!$F$15,$M286-$A$15,BQ$13)))</f>
        <v>0</v>
      </c>
      <c r="BR286" s="171">
        <f ca="1">IF(OR($D286&lt;&gt;"Serviço",AND(AUTOEVENTO="Manual",$M286=$A$15)),0,
         IF(OFFSET(CRONOPLE!$F$15,$M286-$A$15,BR$13)=0,10^12,OFFSET(CRONOPLE!$F$15,$M286-$A$15,BR$13)))</f>
        <v>0</v>
      </c>
      <c r="BS286" s="171">
        <f ca="1">IF(OR($D286&lt;&gt;"Serviço",AND(AUTOEVENTO="Manual",$M286=$A$15)),0,
         IF(OFFSET(CRONOPLE!$F$15,$M286-$A$15,BS$13)=0,10^12,OFFSET(CRONOPLE!$F$15,$M286-$A$15,BS$13)))</f>
        <v>0</v>
      </c>
      <c r="BT286" s="171">
        <f ca="1">IF(OR($D286&lt;&gt;"Serviço",AND(AUTOEVENTO="Manual",$M286=$A$15)),0,
         IF(OFFSET(CRONOPLE!$F$15,$M286-$A$15,BT$13)=0,10^12,OFFSET(CRONOPLE!$F$15,$M286-$A$15,BT$13)))</f>
        <v>0</v>
      </c>
      <c r="BV286" s="172">
        <f ca="1">IF(OR($D286&lt;&gt;"Serviço",AND(AUTOEVENTO="Manual",$M286=$A$15),$M286&gt;(ROW(PLE.lastrow)-ROW(PLE.firstrow))),0,
           IF(OFFSET(PLE!$G$15,$M286-$A$15,BV$13)="",10^12,OFFSET(PLE!$G$15,$M286-$A$15,BV$13)))</f>
        <v>0</v>
      </c>
      <c r="BW286" s="172">
        <f ca="1">IF(OR($D286&lt;&gt;"Serviço",AND(AUTOEVENTO="Manual",$M286=$A$15),$M286&gt;(ROW(PLE.lastrow)-ROW(PLE.firstrow))),0,
           IF(OFFSET(PLE!$G$15,$M286-$A$15,BW$13)="",10^12,OFFSET(PLE!$G$15,$M286-$A$15,BW$13)))</f>
        <v>0</v>
      </c>
      <c r="BX286" s="172">
        <f ca="1">IF(OR($D286&lt;&gt;"Serviço",AND(AUTOEVENTO="Manual",$M286=$A$15),$M286&gt;(ROW(PLE.lastrow)-ROW(PLE.firstrow))),0,
           IF(OFFSET(PLE!$G$15,$M286-$A$15,BX$13)="",10^12,OFFSET(PLE!$G$15,$M286-$A$15,BX$13)))</f>
        <v>0</v>
      </c>
      <c r="BY286" s="172">
        <f ca="1">IF(OR($D286&lt;&gt;"Serviço",AND(AUTOEVENTO="Manual",$M286=$A$15),$M286&gt;(ROW(PLE.lastrow)-ROW(PLE.firstrow))),0,
           IF(OFFSET(PLE!$G$15,$M286-$A$15,BY$13)="",10^12,OFFSET(PLE!$G$15,$M286-$A$15,BY$13)))</f>
        <v>0</v>
      </c>
      <c r="BZ286" s="172">
        <f ca="1">IF(OR($D286&lt;&gt;"Serviço",AND(AUTOEVENTO="Manual",$M286=$A$15),$M286&gt;(ROW(PLE.lastrow)-ROW(PLE.firstrow))),0,
           IF(OFFSET(PLE!$G$15,$M286-$A$15,BZ$13)="",10^12,OFFSET(PLE!$G$15,$M286-$A$15,BZ$13)))</f>
        <v>0</v>
      </c>
      <c r="CA286" s="172">
        <f ca="1">IF(OR($D286&lt;&gt;"Serviço",AND(AUTOEVENTO="Manual",$M286=$A$15),$M286&gt;(ROW(PLE.lastrow)-ROW(PLE.firstrow))),0,
           IF(OFFSET(PLE!$G$15,$M286-$A$15,CA$13)="",10^12,OFFSET(PLE!$G$15,$M286-$A$15,CA$13)))</f>
        <v>0</v>
      </c>
      <c r="CB286" s="172">
        <f ca="1">IF(OR($D286&lt;&gt;"Serviço",AND(AUTOEVENTO="Manual",$M286=$A$15),$M286&gt;(ROW(PLE.lastrow)-ROW(PLE.firstrow))),0,
           IF(OFFSET(PLE!$G$15,$M286-$A$15,CB$13)="",10^12,OFFSET(PLE!$G$15,$M286-$A$15,CB$13)))</f>
        <v>0</v>
      </c>
      <c r="CC286" s="172">
        <f ca="1">IF(OR($D286&lt;&gt;"Serviço",AND(AUTOEVENTO="Manual",$M286=$A$15),$M286&gt;(ROW(PLE.lastrow)-ROW(PLE.firstrow))),0,
           IF(OFFSET(PLE!$G$15,$M286-$A$15,CC$13)="",10^12,OFFSET(PLE!$G$15,$M286-$A$15,CC$13)))</f>
        <v>0</v>
      </c>
      <c r="CD286" s="172">
        <f ca="1">IF(OR($D286&lt;&gt;"Serviço",AND(AUTOEVENTO="Manual",$M286=$A$15),$M286&gt;(ROW(PLE.lastrow)-ROW(PLE.firstrow))),0,
           IF(OFFSET(PLE!$G$15,$M286-$A$15,CD$13)="",10^12,OFFSET(PLE!$G$15,$M286-$A$15,CD$13)))</f>
        <v>0</v>
      </c>
      <c r="CE286" s="172">
        <f ca="1">IF(OR($D286&lt;&gt;"Serviço",AND(AUTOEVENTO="Manual",$M286=$A$15),$M286&gt;(ROW(PLE.lastrow)-ROW(PLE.firstrow))),0,
           IF(OFFSET(PLE!$G$15,$M286-$A$15,CE$13)="",10^12,OFFSET(PLE!$G$15,$M286-$A$15,CE$13)))</f>
        <v>0</v>
      </c>
      <c r="CF286" s="172">
        <f ca="1">IF(OR($D286&lt;&gt;"Serviço",AND(AUTOEVENTO="Manual",$M286=$A$15),$M286&gt;(ROW(PLE.lastrow)-ROW(PLE.firstrow))),0,
           IF(OFFSET(PLE!$G$15,$M286-$A$15,CF$13)="",10^12,OFFSET(PLE!$G$15,$M286-$A$15,CF$13)))</f>
        <v>0</v>
      </c>
      <c r="CG286" s="172">
        <f ca="1">IF(OR($D286&lt;&gt;"Serviço",AND(AUTOEVENTO="Manual",$M286=$A$15),$M286&gt;(ROW(PLE.lastrow)-ROW(PLE.firstrow))),0,
           IF(OFFSET(PLE!$G$15,$M286-$A$15,CG$13)="",10^12,OFFSET(PLE!$G$15,$M286-$A$15,CG$13)))</f>
        <v>0</v>
      </c>
      <c r="CH286" s="172">
        <f ca="1">IF(OR($D286&lt;&gt;"Serviço",AND(AUTOEVENTO="Manual",$M286=$A$15),$M286&gt;(ROW(PLE.lastrow)-ROW(PLE.firstrow))),0,
           IF(OFFSET(PLE!$G$15,$M286-$A$15,CH$13)="",10^12,OFFSET(PLE!$G$15,$M286-$A$15,CH$13)))</f>
        <v>0</v>
      </c>
      <c r="CI286" s="172">
        <f ca="1">IF(OR($D286&lt;&gt;"Serviço",AND(AUTOEVENTO="Manual",$M286=$A$15),$M286&gt;(ROW(PLE.lastrow)-ROW(PLE.firstrow))),0,
           IF(OFFSET(PLE!$G$15,$M286-$A$15,CI$13)="",10^12,OFFSET(PLE!$G$15,$M286-$A$15,CI$13)))</f>
        <v>0</v>
      </c>
      <c r="CJ286" s="172">
        <f ca="1">IF(OR($D286&lt;&gt;"Serviço",AND(AUTOEVENTO="Manual",$M286=$A$15),$M286&gt;(ROW(PLE.lastrow)-ROW(PLE.firstrow))),0,
           IF(OFFSET(PLE!$G$15,$M286-$A$15,CJ$13)="",10^12,OFFSET(PLE!$G$15,$M286-$A$15,CJ$13)))</f>
        <v>0</v>
      </c>
      <c r="CK286" s="172">
        <f ca="1">IF(OR($D286&lt;&gt;"Serviço",AND(AUTOEVENTO="Manual",$M286=$A$15),$M286&gt;(ROW(PLE.lastrow)-ROW(PLE.firstrow))),0,
           IF(OFFSET(PLE!$G$15,$M286-$A$15,CK$13)="",10^12,OFFSET(PLE!$G$15,$M286-$A$15,CK$13)))</f>
        <v>0</v>
      </c>
      <c r="CL286" s="172">
        <f ca="1">IF(OR($D286&lt;&gt;"Serviço",AND(AUTOEVENTO="Manual",$M286=$A$15),$M286&gt;(ROW(PLE.lastrow)-ROW(PLE.firstrow))),0,
           IF(OFFSET(PLE!$G$15,$M286-$A$15,CL$13)="",10^12,OFFSET(PLE!$G$15,$M286-$A$15,CL$13)))</f>
        <v>0</v>
      </c>
      <c r="CM286" s="172">
        <f ca="1">IF(OR($D286&lt;&gt;"Serviço",AND(AUTOEVENTO="Manual",$M286=$A$15),$M286&gt;(ROW(PLE.lastrow)-ROW(PLE.firstrow))),0,
           IF(OFFSET(PLE!$G$15,$M286-$A$15,CM$13)="",10^12,OFFSET(PLE!$G$15,$M286-$A$15,CM$13)))</f>
        <v>0</v>
      </c>
    </row>
    <row r="287" spans="1:91" ht="25.5" x14ac:dyDescent="0.2">
      <c r="A287" s="7">
        <f t="shared" ca="1" si="14"/>
        <v>6</v>
      </c>
      <c r="B287" s="7" t="str">
        <f ca="1">OFFSET(ORÇAMENTO!C$15,ROW(B287)-ROW(B$15),0)</f>
        <v>S</v>
      </c>
      <c r="C287" s="7" t="str">
        <f ca="1">OFFSET(ORÇAMENTO!L$15,ROW(C287)-ROW(C$15),0)</f>
        <v>F</v>
      </c>
      <c r="D287" s="116" t="str">
        <f ca="1">OFFSET(ORÇAMENTO!N$15,ROW(D287)-ROW(D$15),0)</f>
        <v>Serviço</v>
      </c>
      <c r="E287" s="117" t="str">
        <f ca="1">OFFSET(ORÇAMENTO!O$15,ROW(E287)-ROW(E$15),0)</f>
        <v>1.7.3.2.1.</v>
      </c>
      <c r="F287" s="163" t="str">
        <f ca="1">OFFSET(ORÇAMENTO!R$15,ROW(F287)-ROW(F$15),0)</f>
        <v>ASSENTAMENTO DE CONEXÕES EM FERRO FUNDIDO, JUNTA ELÁSTICA, DN = 150 MM - BASEADO EM ORSE (5283)</v>
      </c>
      <c r="G287" s="164" t="str">
        <f ca="1">IF($D287&lt;&gt;"Serviço","",OFFSET(ORÇAMENTO!S$15,ROW(G287)-ROW(G$15),0))</f>
        <v>UN</v>
      </c>
      <c r="H287" s="122" cm="1">
        <f t="array" aca="1" ref="H287" ca="1">IF($D287&lt;&gt;"Serviço",0,IF(ACOMPANHAMENTO="BM",ROUND(OFFSET(ORÇAMENTO!AJ$15,ROW(H287)-ROW(H$15),0),15-13*ORÇAMENTO!$AF$7),SUMPRODUCT(($Q$1:$AI$1=1)*ROUND($Q287:$AI287,15-13*ORÇAMENTO!$AF$7))))</f>
        <v>30</v>
      </c>
      <c r="I287" s="468" t="s">
        <v>1347</v>
      </c>
      <c r="J287" s="640" t="str" cm="1">
        <f t="array" aca="1" ref="J287" ca="1">IF(OR(B287&lt;&gt;"S",CÁLCULO.FrentesPreenchidas=0),"",IF(AND(ACOMPANHAMENTO="PLE",AUTOEVENTO="Manual",OR(H287&gt;0,ORÇAMENTO!AC287="QUANT."),OR(K287="",M287=0,N287="")),"►E",IF(AND(ACOMPANHAMENTO="PLE",ORÇAMENTO!AC287="QUANT."),"►Q",IF(AND(ACOMPANHAMENTO="PLE",H287&lt;&gt;SUMPRODUCT(($Q$1:$AI$1=1)*ROUND(Q287:AI287,15))),"►S",IF(AND(COUNTIF($P$11:$AI$11,"▼")=0,H287&gt;0,I287=""),"◄M","")))))</f>
        <v/>
      </c>
      <c r="K287" s="641" t="s">
        <v>1385</v>
      </c>
      <c r="L287" s="165" t="s">
        <v>764</v>
      </c>
      <c r="M287" s="166">
        <f ca="1">IF($D287&lt;&gt;"Serviço","",
          IF(AUTOEVENTO="manual",$A287,
                IF(ISERROR(MATCH($A287,$A$15:OFFSET($A287,-1,0),0)),MAX($M$15:OFFSET(M287,-1,0))+1,
                      INDEX($M$15:OFFSET(M287,-1,0),MATCH($A287,$A$15:OFFSET($A287,-1,0),0)))))</f>
        <v>6</v>
      </c>
      <c r="N287" s="167" t="str">
        <f ca="1">IF($D287&lt;&gt;"Serviço","",
         IF(AUTOEVENTO="Manual",
                IF($A287=0,"&lt;-- defina o número do agrupador",
                       OFFSET(EVENTOS!$D$15,$A287-$A$15,0)),
                OFFSET($F$15,$A287,0)))</f>
        <v>Saneamento</v>
      </c>
      <c r="O287" s="168"/>
      <c r="Q287" s="168"/>
      <c r="R287" s="169"/>
      <c r="S287" s="169"/>
      <c r="T287" s="169"/>
      <c r="U287" s="169">
        <f>U279+U281+U282</f>
        <v>30</v>
      </c>
      <c r="V287" s="169"/>
      <c r="W287" s="169"/>
      <c r="X287" s="169"/>
      <c r="Y287" s="169"/>
      <c r="Z287" s="170"/>
      <c r="AA287" s="169"/>
      <c r="AB287" s="169"/>
      <c r="AC287" s="169"/>
      <c r="AD287" s="169"/>
      <c r="AE287" s="169"/>
      <c r="AF287" s="169"/>
      <c r="AG287" s="169"/>
      <c r="AH287" s="170"/>
      <c r="AJ287" s="453">
        <f ca="1">IF(AND($D287="Serviço",AJ$12&lt;&gt;0,$H287&gt;0,OR(AUTOEVENTO&lt;&gt;"manual",$M287&lt;&gt;$A$15)),
        IF(Import.TipoArredondamento&lt;&gt;"TransfereGOV",
              ROUND(OFFSET($P287,0,AJ$13),15-13*ORÇAMENTO!$AF$7)/$H287*OFFSET(ORÇAMENTO!$X$15,ROW(AJ287)-ROW(AJ$15),0),
              ROUND(ROUND(OFFSET($P287,0,AJ$13),15-13*ORÇAMENTO!$AF$7)*OFFSET(ORÇAMENTO!$W$15,ROW(AJ287)-ROW(AJ$15),0),15-13*ORÇAMENTO!$AF$11)),
         0)</f>
        <v>0</v>
      </c>
      <c r="AK287" s="453">
        <f ca="1">IF(AND($D287="Serviço",AK$12&lt;&gt;0,$H287&gt;0,OR(AUTOEVENTO&lt;&gt;"manual",$M287&lt;&gt;$A$15)),
        IF(Import.TipoArredondamento&lt;&gt;"TransfereGOV",
              ROUND(OFFSET($P287,0,AK$13),15-13*ORÇAMENTO!$AF$7)/$H287*OFFSET(ORÇAMENTO!$X$15,ROW(AK287)-ROW(AK$15),0),
              ROUND(ROUND(OFFSET($P287,0,AK$13),15-13*ORÇAMENTO!$AF$7)*OFFSET(ORÇAMENTO!$W$15,ROW(AK287)-ROW(AK$15),0),15-13*ORÇAMENTO!$AF$11)),
         0)</f>
        <v>0</v>
      </c>
      <c r="AL287" s="453">
        <f ca="1">IF(AND($D287="Serviço",AL$12&lt;&gt;0,$H287&gt;0,OR(AUTOEVENTO&lt;&gt;"manual",$M287&lt;&gt;$A$15)),
        IF(Import.TipoArredondamento&lt;&gt;"TransfereGOV",
              ROUND(OFFSET($P287,0,AL$13),15-13*ORÇAMENTO!$AF$7)/$H287*OFFSET(ORÇAMENTO!$X$15,ROW(AL287)-ROW(AL$15),0),
              ROUND(ROUND(OFFSET($P287,0,AL$13),15-13*ORÇAMENTO!$AF$7)*OFFSET(ORÇAMENTO!$W$15,ROW(AL287)-ROW(AL$15),0),15-13*ORÇAMENTO!$AF$11)),
         0)</f>
        <v>0</v>
      </c>
      <c r="AM287" s="453">
        <f ca="1">IF(AND($D287="Serviço",AM$12&lt;&gt;0,$H287&gt;0,OR(AUTOEVENTO&lt;&gt;"manual",$M287&lt;&gt;$A$15)),
        IF(Import.TipoArredondamento&lt;&gt;"TransfereGOV",
              ROUND(OFFSET($P287,0,AM$13),15-13*ORÇAMENTO!$AF$7)/$H287*OFFSET(ORÇAMENTO!$X$15,ROW(AM287)-ROW(AM$15),0),
              ROUND(ROUND(OFFSET($P287,0,AM$13),15-13*ORÇAMENTO!$AF$7)*OFFSET(ORÇAMENTO!$W$15,ROW(AM287)-ROW(AM$15),0),15-13*ORÇAMENTO!$AF$11)),
         0)</f>
        <v>0</v>
      </c>
      <c r="AN287" s="453">
        <f ca="1">IF(AND($D287="Serviço",AN$12&lt;&gt;0,$H287&gt;0,OR(AUTOEVENTO&lt;&gt;"manual",$M287&lt;&gt;$A$15)),
        IF(Import.TipoArredondamento&lt;&gt;"TransfereGOV",
              ROUND(OFFSET($P287,0,AN$13),15-13*ORÇAMENTO!$AF$7)/$H287*OFFSET(ORÇAMENTO!$X$15,ROW(AN287)-ROW(AN$15),0),
              ROUND(ROUND(OFFSET($P287,0,AN$13),15-13*ORÇAMENTO!$AF$7)*OFFSET(ORÇAMENTO!$W$15,ROW(AN287)-ROW(AN$15),0),15-13*ORÇAMENTO!$AF$11)),
         0)</f>
        <v>0</v>
      </c>
      <c r="AO287" s="453">
        <f ca="1">IF(AND($D287="Serviço",AO$12&lt;&gt;0,$H287&gt;0,OR(AUTOEVENTO&lt;&gt;"manual",$M287&lt;&gt;$A$15)),
        IF(Import.TipoArredondamento&lt;&gt;"TransfereGOV",
              ROUND(OFFSET($P287,0,AO$13),15-13*ORÇAMENTO!$AF$7)/$H287*OFFSET(ORÇAMENTO!$X$15,ROW(AO287)-ROW(AO$15),0),
              ROUND(ROUND(OFFSET($P287,0,AO$13),15-13*ORÇAMENTO!$AF$7)*OFFSET(ORÇAMENTO!$W$15,ROW(AO287)-ROW(AO$15),0),15-13*ORÇAMENTO!$AF$11)),
         0)</f>
        <v>0</v>
      </c>
      <c r="AP287" s="453">
        <f ca="1">IF(AND($D287="Serviço",AP$12&lt;&gt;0,$H287&gt;0,OR(AUTOEVENTO&lt;&gt;"manual",$M287&lt;&gt;$A$15)),
        IF(Import.TipoArredondamento&lt;&gt;"TransfereGOV",
              ROUND(OFFSET($P287,0,AP$13),15-13*ORÇAMENTO!$AF$7)/$H287*OFFSET(ORÇAMENTO!$X$15,ROW(AP287)-ROW(AP$15),0),
              ROUND(ROUND(OFFSET($P287,0,AP$13),15-13*ORÇAMENTO!$AF$7)*OFFSET(ORÇAMENTO!$W$15,ROW(AP287)-ROW(AP$15),0),15-13*ORÇAMENTO!$AF$11)),
         0)</f>
        <v>0</v>
      </c>
      <c r="AQ287" s="453">
        <f ca="1">IF(AND($D287="Serviço",AQ$12&lt;&gt;0,$H287&gt;0,OR(AUTOEVENTO&lt;&gt;"manual",$M287&lt;&gt;$A$15)),
        IF(Import.TipoArredondamento&lt;&gt;"TransfereGOV",
              ROUND(OFFSET($P287,0,AQ$13),15-13*ORÇAMENTO!$AF$7)/$H287*OFFSET(ORÇAMENTO!$X$15,ROW(AQ287)-ROW(AQ$15),0),
              ROUND(ROUND(OFFSET($P287,0,AQ$13),15-13*ORÇAMENTO!$AF$7)*OFFSET(ORÇAMENTO!$W$15,ROW(AQ287)-ROW(AQ$15),0),15-13*ORÇAMENTO!$AF$11)),
         0)</f>
        <v>0</v>
      </c>
      <c r="AR287" s="453">
        <f ca="1">IF(AND($D287="Serviço",AR$12&lt;&gt;0,$H287&gt;0,OR(AUTOEVENTO&lt;&gt;"manual",$M287&lt;&gt;$A$15)),
        IF(Import.TipoArredondamento&lt;&gt;"TransfereGOV",
              ROUND(OFFSET($P287,0,AR$13),15-13*ORÇAMENTO!$AF$7)/$H287*OFFSET(ORÇAMENTO!$X$15,ROW(AR287)-ROW(AR$15),0),
              ROUND(ROUND(OFFSET($P287,0,AR$13),15-13*ORÇAMENTO!$AF$7)*OFFSET(ORÇAMENTO!$W$15,ROW(AR287)-ROW(AR$15),0),15-13*ORÇAMENTO!$AF$11)),
         0)</f>
        <v>0</v>
      </c>
      <c r="AS287" s="453">
        <f ca="1">IF(AND($D287="Serviço",AS$12&lt;&gt;0,$H287&gt;0,OR(AUTOEVENTO&lt;&gt;"manual",$M287&lt;&gt;$A$15)),
        IF(Import.TipoArredondamento&lt;&gt;"TransfereGOV",
              ROUND(OFFSET($P287,0,AS$13),15-13*ORÇAMENTO!$AF$7)/$H287*OFFSET(ORÇAMENTO!$X$15,ROW(AS287)-ROW(AS$15),0),
              ROUND(ROUND(OFFSET($P287,0,AS$13),15-13*ORÇAMENTO!$AF$7)*OFFSET(ORÇAMENTO!$W$15,ROW(AS287)-ROW(AS$15),0),15-13*ORÇAMENTO!$AF$11)),
         0)</f>
        <v>0</v>
      </c>
      <c r="AT287" s="453">
        <f ca="1">IF(AND($D287="Serviço",AT$12&lt;&gt;0,$H287&gt;0,OR(AUTOEVENTO&lt;&gt;"manual",$M287&lt;&gt;$A$15)),
        IF(Import.TipoArredondamento&lt;&gt;"TransfereGOV",
              ROUND(OFFSET($P287,0,AT$13),15-13*ORÇAMENTO!$AF$7)/$H287*OFFSET(ORÇAMENTO!$X$15,ROW(AT287)-ROW(AT$15),0),
              ROUND(ROUND(OFFSET($P287,0,AT$13),15-13*ORÇAMENTO!$AF$7)*OFFSET(ORÇAMENTO!$W$15,ROW(AT287)-ROW(AT$15),0),15-13*ORÇAMENTO!$AF$11)),
         0)</f>
        <v>0</v>
      </c>
      <c r="AU287" s="453">
        <f ca="1">IF(AND($D287="Serviço",AU$12&lt;&gt;0,$H287&gt;0,OR(AUTOEVENTO&lt;&gt;"manual",$M287&lt;&gt;$A$15)),
        IF(Import.TipoArredondamento&lt;&gt;"TransfereGOV",
              ROUND(OFFSET($P287,0,AU$13),15-13*ORÇAMENTO!$AF$7)/$H287*OFFSET(ORÇAMENTO!$X$15,ROW(AU287)-ROW(AU$15),0),
              ROUND(ROUND(OFFSET($P287,0,AU$13),15-13*ORÇAMENTO!$AF$7)*OFFSET(ORÇAMENTO!$W$15,ROW(AU287)-ROW(AU$15),0),15-13*ORÇAMENTO!$AF$11)),
         0)</f>
        <v>0</v>
      </c>
      <c r="AV287" s="453">
        <f ca="1">IF(AND($D287="Serviço",AV$12&lt;&gt;0,$H287&gt;0,OR(AUTOEVENTO&lt;&gt;"manual",$M287&lt;&gt;$A$15)),
        IF(Import.TipoArredondamento&lt;&gt;"TransfereGOV",
              ROUND(OFFSET($P287,0,AV$13),15-13*ORÇAMENTO!$AF$7)/$H287*OFFSET(ORÇAMENTO!$X$15,ROW(AV287)-ROW(AV$15),0),
              ROUND(ROUND(OFFSET($P287,0,AV$13),15-13*ORÇAMENTO!$AF$7)*OFFSET(ORÇAMENTO!$W$15,ROW(AV287)-ROW(AV$15),0),15-13*ORÇAMENTO!$AF$11)),
         0)</f>
        <v>0</v>
      </c>
      <c r="AW287" s="453">
        <f ca="1">IF(AND($D287="Serviço",AW$12&lt;&gt;0,$H287&gt;0,OR(AUTOEVENTO&lt;&gt;"manual",$M287&lt;&gt;$A$15)),
        IF(Import.TipoArredondamento&lt;&gt;"TransfereGOV",
              ROUND(OFFSET($P287,0,AW$13),15-13*ORÇAMENTO!$AF$7)/$H287*OFFSET(ORÇAMENTO!$X$15,ROW(AW287)-ROW(AW$15),0),
              ROUND(ROUND(OFFSET($P287,0,AW$13),15-13*ORÇAMENTO!$AF$7)*OFFSET(ORÇAMENTO!$W$15,ROW(AW287)-ROW(AW$15),0),15-13*ORÇAMENTO!$AF$11)),
         0)</f>
        <v>0</v>
      </c>
      <c r="AX287" s="453">
        <f ca="1">IF(AND($D287="Serviço",AX$12&lt;&gt;0,$H287&gt;0,OR(AUTOEVENTO&lt;&gt;"manual",$M287&lt;&gt;$A$15)),
        IF(Import.TipoArredondamento&lt;&gt;"TransfereGOV",
              ROUND(OFFSET($P287,0,AX$13),15-13*ORÇAMENTO!$AF$7)/$H287*OFFSET(ORÇAMENTO!$X$15,ROW(AX287)-ROW(AX$15),0),
              ROUND(ROUND(OFFSET($P287,0,AX$13),15-13*ORÇAMENTO!$AF$7)*OFFSET(ORÇAMENTO!$W$15,ROW(AX287)-ROW(AX$15),0),15-13*ORÇAMENTO!$AF$11)),
         0)</f>
        <v>0</v>
      </c>
      <c r="AY287" s="453">
        <f ca="1">IF(AND($D287="Serviço",AY$12&lt;&gt;0,$H287&gt;0,OR(AUTOEVENTO&lt;&gt;"manual",$M287&lt;&gt;$A$15)),
        IF(Import.TipoArredondamento&lt;&gt;"TransfereGOV",
              ROUND(OFFSET($P287,0,AY$13),15-13*ORÇAMENTO!$AF$7)/$H287*OFFSET(ORÇAMENTO!$X$15,ROW(AY287)-ROW(AY$15),0),
              ROUND(ROUND(OFFSET($P287,0,AY$13),15-13*ORÇAMENTO!$AF$7)*OFFSET(ORÇAMENTO!$W$15,ROW(AY287)-ROW(AY$15),0),15-13*ORÇAMENTO!$AF$11)),
         0)</f>
        <v>0</v>
      </c>
      <c r="AZ287" s="453">
        <f ca="1">IF(AND($D287="Serviço",AZ$12&lt;&gt;0,$H287&gt;0,OR(AUTOEVENTO&lt;&gt;"manual",$M287&lt;&gt;$A$15)),
        IF(Import.TipoArredondamento&lt;&gt;"TransfereGOV",
              ROUND(OFFSET($P287,0,AZ$13),15-13*ORÇAMENTO!$AF$7)/$H287*OFFSET(ORÇAMENTO!$X$15,ROW(AZ287)-ROW(AZ$15),0),
              ROUND(ROUND(OFFSET($P287,0,AZ$13),15-13*ORÇAMENTO!$AF$7)*OFFSET(ORÇAMENTO!$W$15,ROW(AZ287)-ROW(AZ$15),0),15-13*ORÇAMENTO!$AF$11)),
         0)</f>
        <v>0</v>
      </c>
      <c r="BA287" s="453">
        <f ca="1">IF(AND($D287="Serviço",BA$12&lt;&gt;0,$H287&gt;0,OR(AUTOEVENTO&lt;&gt;"manual",$M287&lt;&gt;$A$15)),
        IF(Import.TipoArredondamento&lt;&gt;"TransfereGOV",
              ROUND(OFFSET($P287,0,BA$13),15-13*ORÇAMENTO!$AF$7)/$H287*OFFSET(ORÇAMENTO!$X$15,ROW(BA287)-ROW(BA$15),0),
              ROUND(ROUND(OFFSET($P287,0,BA$13),15-13*ORÇAMENTO!$AF$7)*OFFSET(ORÇAMENTO!$W$15,ROW(BA287)-ROW(BA$15),0),15-13*ORÇAMENTO!$AF$11)),
         0)</f>
        <v>0</v>
      </c>
      <c r="BC287" s="171">
        <f ca="1">IF(OR($D287&lt;&gt;"Serviço",AND(AUTOEVENTO="Manual",$M287=$A$15)),0,
         IF(OFFSET(CRONOPLE!$F$15,$M287-$A$15,BC$13)=0,10^12,OFFSET(CRONOPLE!$F$15,$M287-$A$15,BC$13)))</f>
        <v>1</v>
      </c>
      <c r="BD287" s="171">
        <f ca="1">IF(OR($D287&lt;&gt;"Serviço",AND(AUTOEVENTO="Manual",$M287=$A$15)),0,
         IF(OFFSET(CRONOPLE!$F$15,$M287-$A$15,BD$13)=0,10^12,OFFSET(CRONOPLE!$F$15,$M287-$A$15,BD$13)))</f>
        <v>2</v>
      </c>
      <c r="BE287" s="171">
        <f ca="1">IF(OR($D287&lt;&gt;"Serviço",AND(AUTOEVENTO="Manual",$M287=$A$15)),0,
         IF(OFFSET(CRONOPLE!$F$15,$M287-$A$15,BE$13)=0,10^12,OFFSET(CRONOPLE!$F$15,$M287-$A$15,BE$13)))</f>
        <v>3</v>
      </c>
      <c r="BF287" s="171">
        <f ca="1">IF(OR($D287&lt;&gt;"Serviço",AND(AUTOEVENTO="Manual",$M287=$A$15)),0,
         IF(OFFSET(CRONOPLE!$F$15,$M287-$A$15,BF$13)=0,10^12,OFFSET(CRONOPLE!$F$15,$M287-$A$15,BF$13)))</f>
        <v>4</v>
      </c>
      <c r="BG287" s="171">
        <f ca="1">IF(OR($D287&lt;&gt;"Serviço",AND(AUTOEVENTO="Manual",$M287=$A$15)),0,
         IF(OFFSET(CRONOPLE!$F$15,$M287-$A$15,BG$13)=0,10^12,OFFSET(CRONOPLE!$F$15,$M287-$A$15,BG$13)))</f>
        <v>5</v>
      </c>
      <c r="BH287" s="171">
        <f ca="1">IF(OR($D287&lt;&gt;"Serviço",AND(AUTOEVENTO="Manual",$M287=$A$15)),0,
         IF(OFFSET(CRONOPLE!$F$15,$M287-$A$15,BH$13)=0,10^12,OFFSET(CRONOPLE!$F$15,$M287-$A$15,BH$13)))</f>
        <v>6</v>
      </c>
      <c r="BI287" s="171">
        <f ca="1">IF(OR($D287&lt;&gt;"Serviço",AND(AUTOEVENTO="Manual",$M287=$A$15)),0,
         IF(OFFSET(CRONOPLE!$F$15,$M287-$A$15,BI$13)=0,10^12,OFFSET(CRONOPLE!$F$15,$M287-$A$15,BI$13)))</f>
        <v>7</v>
      </c>
      <c r="BJ287" s="171">
        <f ca="1">IF(OR($D287&lt;&gt;"Serviço",AND(AUTOEVENTO="Manual",$M287=$A$15)),0,
         IF(OFFSET(CRONOPLE!$F$15,$M287-$A$15,BJ$13)=0,10^12,OFFSET(CRONOPLE!$F$15,$M287-$A$15,BJ$13)))</f>
        <v>8</v>
      </c>
      <c r="BK287" s="171">
        <f ca="1">IF(OR($D287&lt;&gt;"Serviço",AND(AUTOEVENTO="Manual",$M287=$A$15)),0,
         IF(OFFSET(CRONOPLE!$F$15,$M287-$A$15,BK$13)=0,10^12,OFFSET(CRONOPLE!$F$15,$M287-$A$15,BK$13)))</f>
        <v>9</v>
      </c>
      <c r="BL287" s="171">
        <f ca="1">IF(OR($D287&lt;&gt;"Serviço",AND(AUTOEVENTO="Manual",$M287=$A$15)),0,
         IF(OFFSET(CRONOPLE!$F$15,$M287-$A$15,BL$13)=0,10^12,OFFSET(CRONOPLE!$F$15,$M287-$A$15,BL$13)))</f>
        <v>1000000000000</v>
      </c>
      <c r="BM287" s="171">
        <f ca="1">IF(OR($D287&lt;&gt;"Serviço",AND(AUTOEVENTO="Manual",$M287=$A$15)),0,
         IF(OFFSET(CRONOPLE!$F$15,$M287-$A$15,BM$13)=0,10^12,OFFSET(CRONOPLE!$F$15,$M287-$A$15,BM$13)))</f>
        <v>1000000000000</v>
      </c>
      <c r="BN287" s="171">
        <f ca="1">IF(OR($D287&lt;&gt;"Serviço",AND(AUTOEVENTO="Manual",$M287=$A$15)),0,
         IF(OFFSET(CRONOPLE!$F$15,$M287-$A$15,BN$13)=0,10^12,OFFSET(CRONOPLE!$F$15,$M287-$A$15,BN$13)))</f>
        <v>1000000000000</v>
      </c>
      <c r="BO287" s="171">
        <f ca="1">IF(OR($D287&lt;&gt;"Serviço",AND(AUTOEVENTO="Manual",$M287=$A$15)),0,
         IF(OFFSET(CRONOPLE!$F$15,$M287-$A$15,BO$13)=0,10^12,OFFSET(CRONOPLE!$F$15,$M287-$A$15,BO$13)))</f>
        <v>1000000000000</v>
      </c>
      <c r="BP287" s="171">
        <f ca="1">IF(OR($D287&lt;&gt;"Serviço",AND(AUTOEVENTO="Manual",$M287=$A$15)),0,
         IF(OFFSET(CRONOPLE!$F$15,$M287-$A$15,BP$13)=0,10^12,OFFSET(CRONOPLE!$F$15,$M287-$A$15,BP$13)))</f>
        <v>1000000000000</v>
      </c>
      <c r="BQ287" s="171">
        <f ca="1">IF(OR($D287&lt;&gt;"Serviço",AND(AUTOEVENTO="Manual",$M287=$A$15)),0,
         IF(OFFSET(CRONOPLE!$F$15,$M287-$A$15,BQ$13)=0,10^12,OFFSET(CRONOPLE!$F$15,$M287-$A$15,BQ$13)))</f>
        <v>1000000000000</v>
      </c>
      <c r="BR287" s="171">
        <f ca="1">IF(OR($D287&lt;&gt;"Serviço",AND(AUTOEVENTO="Manual",$M287=$A$15)),0,
         IF(OFFSET(CRONOPLE!$F$15,$M287-$A$15,BR$13)=0,10^12,OFFSET(CRONOPLE!$F$15,$M287-$A$15,BR$13)))</f>
        <v>1000000000000</v>
      </c>
      <c r="BS287" s="171">
        <f ca="1">IF(OR($D287&lt;&gt;"Serviço",AND(AUTOEVENTO="Manual",$M287=$A$15)),0,
         IF(OFFSET(CRONOPLE!$F$15,$M287-$A$15,BS$13)=0,10^12,OFFSET(CRONOPLE!$F$15,$M287-$A$15,BS$13)))</f>
        <v>1000000000000</v>
      </c>
      <c r="BT287" s="171">
        <f ca="1">IF(OR($D287&lt;&gt;"Serviço",AND(AUTOEVENTO="Manual",$M287=$A$15)),0,
         IF(OFFSET(CRONOPLE!$F$15,$M287-$A$15,BT$13)=0,10^12,OFFSET(CRONOPLE!$F$15,$M287-$A$15,BT$13)))</f>
        <v>1000000000000</v>
      </c>
      <c r="BV287" s="172">
        <f ca="1">IF(OR($D287&lt;&gt;"Serviço",AND(AUTOEVENTO="Manual",$M287=$A$15),$M287&gt;(ROW(PLE.lastrow)-ROW(PLE.firstrow))),0,
           IF(OFFSET(PLE!$G$15,$M287-$A$15,BV$13)="",10^12,OFFSET(PLE!$G$15,$M287-$A$15,BV$13)))</f>
        <v>1000000000000</v>
      </c>
      <c r="BW287" s="172">
        <f ca="1">IF(OR($D287&lt;&gt;"Serviço",AND(AUTOEVENTO="Manual",$M287=$A$15),$M287&gt;(ROW(PLE.lastrow)-ROW(PLE.firstrow))),0,
           IF(OFFSET(PLE!$G$15,$M287-$A$15,BW$13)="",10^12,OFFSET(PLE!$G$15,$M287-$A$15,BW$13)))</f>
        <v>1000000000000</v>
      </c>
      <c r="BX287" s="172">
        <f ca="1">IF(OR($D287&lt;&gt;"Serviço",AND(AUTOEVENTO="Manual",$M287=$A$15),$M287&gt;(ROW(PLE.lastrow)-ROW(PLE.firstrow))),0,
           IF(OFFSET(PLE!$G$15,$M287-$A$15,BX$13)="",10^12,OFFSET(PLE!$G$15,$M287-$A$15,BX$13)))</f>
        <v>1000000000000</v>
      </c>
      <c r="BY287" s="172">
        <f ca="1">IF(OR($D287&lt;&gt;"Serviço",AND(AUTOEVENTO="Manual",$M287=$A$15),$M287&gt;(ROW(PLE.lastrow)-ROW(PLE.firstrow))),0,
           IF(OFFSET(PLE!$G$15,$M287-$A$15,BY$13)="",10^12,OFFSET(PLE!$G$15,$M287-$A$15,BY$13)))</f>
        <v>1000000000000</v>
      </c>
      <c r="BZ287" s="172">
        <f ca="1">IF(OR($D287&lt;&gt;"Serviço",AND(AUTOEVENTO="Manual",$M287=$A$15),$M287&gt;(ROW(PLE.lastrow)-ROW(PLE.firstrow))),0,
           IF(OFFSET(PLE!$G$15,$M287-$A$15,BZ$13)="",10^12,OFFSET(PLE!$G$15,$M287-$A$15,BZ$13)))</f>
        <v>1000000000000</v>
      </c>
      <c r="CA287" s="172">
        <f ca="1">IF(OR($D287&lt;&gt;"Serviço",AND(AUTOEVENTO="Manual",$M287=$A$15),$M287&gt;(ROW(PLE.lastrow)-ROW(PLE.firstrow))),0,
           IF(OFFSET(PLE!$G$15,$M287-$A$15,CA$13)="",10^12,OFFSET(PLE!$G$15,$M287-$A$15,CA$13)))</f>
        <v>1000000000000</v>
      </c>
      <c r="CB287" s="172">
        <f ca="1">IF(OR($D287&lt;&gt;"Serviço",AND(AUTOEVENTO="Manual",$M287=$A$15),$M287&gt;(ROW(PLE.lastrow)-ROW(PLE.firstrow))),0,
           IF(OFFSET(PLE!$G$15,$M287-$A$15,CB$13)="",10^12,OFFSET(PLE!$G$15,$M287-$A$15,CB$13)))</f>
        <v>1000000000000</v>
      </c>
      <c r="CC287" s="172">
        <f ca="1">IF(OR($D287&lt;&gt;"Serviço",AND(AUTOEVENTO="Manual",$M287=$A$15),$M287&gt;(ROW(PLE.lastrow)-ROW(PLE.firstrow))),0,
           IF(OFFSET(PLE!$G$15,$M287-$A$15,CC$13)="",10^12,OFFSET(PLE!$G$15,$M287-$A$15,CC$13)))</f>
        <v>1000000000000</v>
      </c>
      <c r="CD287" s="172">
        <f ca="1">IF(OR($D287&lt;&gt;"Serviço",AND(AUTOEVENTO="Manual",$M287=$A$15),$M287&gt;(ROW(PLE.lastrow)-ROW(PLE.firstrow))),0,
           IF(OFFSET(PLE!$G$15,$M287-$A$15,CD$13)="",10^12,OFFSET(PLE!$G$15,$M287-$A$15,CD$13)))</f>
        <v>1000000000000</v>
      </c>
      <c r="CE287" s="172">
        <f ca="1">IF(OR($D287&lt;&gt;"Serviço",AND(AUTOEVENTO="Manual",$M287=$A$15),$M287&gt;(ROW(PLE.lastrow)-ROW(PLE.firstrow))),0,
           IF(OFFSET(PLE!$G$15,$M287-$A$15,CE$13)="",10^12,OFFSET(PLE!$G$15,$M287-$A$15,CE$13)))</f>
        <v>1000000000000</v>
      </c>
      <c r="CF287" s="172">
        <f ca="1">IF(OR($D287&lt;&gt;"Serviço",AND(AUTOEVENTO="Manual",$M287=$A$15),$M287&gt;(ROW(PLE.lastrow)-ROW(PLE.firstrow))),0,
           IF(OFFSET(PLE!$G$15,$M287-$A$15,CF$13)="",10^12,OFFSET(PLE!$G$15,$M287-$A$15,CF$13)))</f>
        <v>1000000000000</v>
      </c>
      <c r="CG287" s="172">
        <f ca="1">IF(OR($D287&lt;&gt;"Serviço",AND(AUTOEVENTO="Manual",$M287=$A$15),$M287&gt;(ROW(PLE.lastrow)-ROW(PLE.firstrow))),0,
           IF(OFFSET(PLE!$G$15,$M287-$A$15,CG$13)="",10^12,OFFSET(PLE!$G$15,$M287-$A$15,CG$13)))</f>
        <v>1000000000000</v>
      </c>
      <c r="CH287" s="172">
        <f ca="1">IF(OR($D287&lt;&gt;"Serviço",AND(AUTOEVENTO="Manual",$M287=$A$15),$M287&gt;(ROW(PLE.lastrow)-ROW(PLE.firstrow))),0,
           IF(OFFSET(PLE!$G$15,$M287-$A$15,CH$13)="",10^12,OFFSET(PLE!$G$15,$M287-$A$15,CH$13)))</f>
        <v>1000000000000</v>
      </c>
      <c r="CI287" s="172">
        <f ca="1">IF(OR($D287&lt;&gt;"Serviço",AND(AUTOEVENTO="Manual",$M287=$A$15),$M287&gt;(ROW(PLE.lastrow)-ROW(PLE.firstrow))),0,
           IF(OFFSET(PLE!$G$15,$M287-$A$15,CI$13)="",10^12,OFFSET(PLE!$G$15,$M287-$A$15,CI$13)))</f>
        <v>1000000000000</v>
      </c>
      <c r="CJ287" s="172">
        <f ca="1">IF(OR($D287&lt;&gt;"Serviço",AND(AUTOEVENTO="Manual",$M287=$A$15),$M287&gt;(ROW(PLE.lastrow)-ROW(PLE.firstrow))),0,
           IF(OFFSET(PLE!$G$15,$M287-$A$15,CJ$13)="",10^12,OFFSET(PLE!$G$15,$M287-$A$15,CJ$13)))</f>
        <v>1000000000000</v>
      </c>
      <c r="CK287" s="172">
        <f ca="1">IF(OR($D287&lt;&gt;"Serviço",AND(AUTOEVENTO="Manual",$M287=$A$15),$M287&gt;(ROW(PLE.lastrow)-ROW(PLE.firstrow))),0,
           IF(OFFSET(PLE!$G$15,$M287-$A$15,CK$13)="",10^12,OFFSET(PLE!$G$15,$M287-$A$15,CK$13)))</f>
        <v>1000000000000</v>
      </c>
      <c r="CL287" s="172">
        <f ca="1">IF(OR($D287&lt;&gt;"Serviço",AND(AUTOEVENTO="Manual",$M287=$A$15),$M287&gt;(ROW(PLE.lastrow)-ROW(PLE.firstrow))),0,
           IF(OFFSET(PLE!$G$15,$M287-$A$15,CL$13)="",10^12,OFFSET(PLE!$G$15,$M287-$A$15,CL$13)))</f>
        <v>1000000000000</v>
      </c>
      <c r="CM287" s="172">
        <f ca="1">IF(OR($D287&lt;&gt;"Serviço",AND(AUTOEVENTO="Manual",$M287=$A$15),$M287&gt;(ROW(PLE.lastrow)-ROW(PLE.firstrow))),0,
           IF(OFFSET(PLE!$G$15,$M287-$A$15,CM$13)="",10^12,OFFSET(PLE!$G$15,$M287-$A$15,CM$13)))</f>
        <v>1000000000000</v>
      </c>
    </row>
    <row r="288" spans="1:91" ht="51" x14ac:dyDescent="0.2">
      <c r="A288" s="7">
        <f t="shared" ca="1" si="14"/>
        <v>6</v>
      </c>
      <c r="B288" s="7" t="str">
        <f ca="1">OFFSET(ORÇAMENTO!C$15,ROW(B288)-ROW(B$15),0)</f>
        <v>S</v>
      </c>
      <c r="C288" s="7" t="str">
        <f ca="1">OFFSET(ORÇAMENTO!L$15,ROW(C288)-ROW(C$15),0)</f>
        <v>F</v>
      </c>
      <c r="D288" s="116" t="str">
        <f ca="1">OFFSET(ORÇAMENTO!N$15,ROW(D288)-ROW(D$15),0)</f>
        <v>Serviço</v>
      </c>
      <c r="E288" s="117" t="str">
        <f ca="1">OFFSET(ORÇAMENTO!O$15,ROW(E288)-ROW(E$15),0)</f>
        <v>1.7.3.2.2.</v>
      </c>
      <c r="F288" s="163" t="str">
        <f ca="1">OFFSET(ORÇAMENTO!R$15,ROW(F288)-ROW(F$15),0)</f>
        <v>ASSENTAMENTO DE TUBO DE FERRO FUNDIDO PARA REDE DE ÁGUA, DN 150 MM, JUNTA ELÁSTICA, INSTALADO EM LOCAL COM NÍVEL BAIXO DE INTERFERÊNCIAS (NÃO INCLUI FORNECIMENTO). AF_05/2024</v>
      </c>
      <c r="G288" s="164" t="str">
        <f ca="1">IF($D288&lt;&gt;"Serviço","",OFFSET(ORÇAMENTO!S$15,ROW(G288)-ROW(G$15),0))</f>
        <v>M</v>
      </c>
      <c r="H288" s="122" cm="1">
        <f t="array" aca="1" ref="H288" ca="1">IF($D288&lt;&gt;"Serviço",0,IF(ACOMPANHAMENTO="BM",ROUND(OFFSET(ORÇAMENTO!AJ$15,ROW(H288)-ROW(H$15),0),15-13*ORÇAMENTO!$AF$7),SUMPRODUCT(($Q$1:$AI$1=1)*ROUND($Q288:$AI288,15-13*ORÇAMENTO!$AF$7))))</f>
        <v>17.5</v>
      </c>
      <c r="I288" s="468" t="s">
        <v>1347</v>
      </c>
      <c r="J288" s="640" t="str" cm="1">
        <f t="array" aca="1" ref="J288" ca="1">IF(OR(B288&lt;&gt;"S",CÁLCULO.FrentesPreenchidas=0),"",IF(AND(ACOMPANHAMENTO="PLE",AUTOEVENTO="Manual",OR(H288&gt;0,ORÇAMENTO!AC288="QUANT."),OR(K288="",M288=0,N288="")),"►E",IF(AND(ACOMPANHAMENTO="PLE",ORÇAMENTO!AC288="QUANT."),"►Q",IF(AND(ACOMPANHAMENTO="PLE",H288&lt;&gt;SUMPRODUCT(($Q$1:$AI$1=1)*ROUND(Q288:AI288,15))),"►S",IF(AND(COUNTIF($P$11:$AI$11,"▼")=0,H288&gt;0,I288=""),"◄M","")))))</f>
        <v/>
      </c>
      <c r="K288" s="641" t="s">
        <v>1385</v>
      </c>
      <c r="L288" s="165" t="s">
        <v>764</v>
      </c>
      <c r="M288" s="166">
        <f ca="1">IF($D288&lt;&gt;"Serviço","",
          IF(AUTOEVENTO="manual",$A288,
                IF(ISERROR(MATCH($A288,$A$15:OFFSET($A288,-1,0),0)),MAX($M$15:OFFSET(M288,-1,0))+1,
                      INDEX($M$15:OFFSET(M288,-1,0),MATCH($A288,$A$15:OFFSET($A288,-1,0),0)))))</f>
        <v>6</v>
      </c>
      <c r="N288" s="167" t="str">
        <f ca="1">IF($D288&lt;&gt;"Serviço","",
         IF(AUTOEVENTO="Manual",
                IF($A288=0,"&lt;-- defina o número do agrupador",
                       OFFSET(EVENTOS!$D$15,$A288-$A$15,0)),
                OFFSET($F$15,$A288,0)))</f>
        <v>Saneamento</v>
      </c>
      <c r="O288" s="168"/>
      <c r="Q288" s="168"/>
      <c r="R288" s="169"/>
      <c r="S288" s="169"/>
      <c r="T288" s="169"/>
      <c r="U288" s="169">
        <f>U280*1+U283*0.75</f>
        <v>17.5</v>
      </c>
      <c r="V288" s="169"/>
      <c r="W288" s="169"/>
      <c r="X288" s="169"/>
      <c r="Y288" s="169"/>
      <c r="Z288" s="170"/>
      <c r="AA288" s="169"/>
      <c r="AB288" s="169"/>
      <c r="AC288" s="169"/>
      <c r="AD288" s="169"/>
      <c r="AE288" s="169"/>
      <c r="AF288" s="169"/>
      <c r="AG288" s="169"/>
      <c r="AH288" s="170"/>
      <c r="AJ288" s="453">
        <f ca="1">IF(AND($D288="Serviço",AJ$12&lt;&gt;0,$H288&gt;0,OR(AUTOEVENTO&lt;&gt;"manual",$M288&lt;&gt;$A$15)),
        IF(Import.TipoArredondamento&lt;&gt;"TransfereGOV",
              ROUND(OFFSET($P288,0,AJ$13),15-13*ORÇAMENTO!$AF$7)/$H288*OFFSET(ORÇAMENTO!$X$15,ROW(AJ288)-ROW(AJ$15),0),
              ROUND(ROUND(OFFSET($P288,0,AJ$13),15-13*ORÇAMENTO!$AF$7)*OFFSET(ORÇAMENTO!$W$15,ROW(AJ288)-ROW(AJ$15),0),15-13*ORÇAMENTO!$AF$11)),
         0)</f>
        <v>0</v>
      </c>
      <c r="AK288" s="453">
        <f ca="1">IF(AND($D288="Serviço",AK$12&lt;&gt;0,$H288&gt;0,OR(AUTOEVENTO&lt;&gt;"manual",$M288&lt;&gt;$A$15)),
        IF(Import.TipoArredondamento&lt;&gt;"TransfereGOV",
              ROUND(OFFSET($P288,0,AK$13),15-13*ORÇAMENTO!$AF$7)/$H288*OFFSET(ORÇAMENTO!$X$15,ROW(AK288)-ROW(AK$15),0),
              ROUND(ROUND(OFFSET($P288,0,AK$13),15-13*ORÇAMENTO!$AF$7)*OFFSET(ORÇAMENTO!$W$15,ROW(AK288)-ROW(AK$15),0),15-13*ORÇAMENTO!$AF$11)),
         0)</f>
        <v>0</v>
      </c>
      <c r="AL288" s="453">
        <f ca="1">IF(AND($D288="Serviço",AL$12&lt;&gt;0,$H288&gt;0,OR(AUTOEVENTO&lt;&gt;"manual",$M288&lt;&gt;$A$15)),
        IF(Import.TipoArredondamento&lt;&gt;"TransfereGOV",
              ROUND(OFFSET($P288,0,AL$13),15-13*ORÇAMENTO!$AF$7)/$H288*OFFSET(ORÇAMENTO!$X$15,ROW(AL288)-ROW(AL$15),0),
              ROUND(ROUND(OFFSET($P288,0,AL$13),15-13*ORÇAMENTO!$AF$7)*OFFSET(ORÇAMENTO!$W$15,ROW(AL288)-ROW(AL$15),0),15-13*ORÇAMENTO!$AF$11)),
         0)</f>
        <v>0</v>
      </c>
      <c r="AM288" s="453">
        <f ca="1">IF(AND($D288="Serviço",AM$12&lt;&gt;0,$H288&gt;0,OR(AUTOEVENTO&lt;&gt;"manual",$M288&lt;&gt;$A$15)),
        IF(Import.TipoArredondamento&lt;&gt;"TransfereGOV",
              ROUND(OFFSET($P288,0,AM$13),15-13*ORÇAMENTO!$AF$7)/$H288*OFFSET(ORÇAMENTO!$X$15,ROW(AM288)-ROW(AM$15),0),
              ROUND(ROUND(OFFSET($P288,0,AM$13),15-13*ORÇAMENTO!$AF$7)*OFFSET(ORÇAMENTO!$W$15,ROW(AM288)-ROW(AM$15),0),15-13*ORÇAMENTO!$AF$11)),
         0)</f>
        <v>0</v>
      </c>
      <c r="AN288" s="453">
        <f ca="1">IF(AND($D288="Serviço",AN$12&lt;&gt;0,$H288&gt;0,OR(AUTOEVENTO&lt;&gt;"manual",$M288&lt;&gt;$A$15)),
        IF(Import.TipoArredondamento&lt;&gt;"TransfereGOV",
              ROUND(OFFSET($P288,0,AN$13),15-13*ORÇAMENTO!$AF$7)/$H288*OFFSET(ORÇAMENTO!$X$15,ROW(AN288)-ROW(AN$15),0),
              ROUND(ROUND(OFFSET($P288,0,AN$13),15-13*ORÇAMENTO!$AF$7)*OFFSET(ORÇAMENTO!$W$15,ROW(AN288)-ROW(AN$15),0),15-13*ORÇAMENTO!$AF$11)),
         0)</f>
        <v>0</v>
      </c>
      <c r="AO288" s="453">
        <f ca="1">IF(AND($D288="Serviço",AO$12&lt;&gt;0,$H288&gt;0,OR(AUTOEVENTO&lt;&gt;"manual",$M288&lt;&gt;$A$15)),
        IF(Import.TipoArredondamento&lt;&gt;"TransfereGOV",
              ROUND(OFFSET($P288,0,AO$13),15-13*ORÇAMENTO!$AF$7)/$H288*OFFSET(ORÇAMENTO!$X$15,ROW(AO288)-ROW(AO$15),0),
              ROUND(ROUND(OFFSET($P288,0,AO$13),15-13*ORÇAMENTO!$AF$7)*OFFSET(ORÇAMENTO!$W$15,ROW(AO288)-ROW(AO$15),0),15-13*ORÇAMENTO!$AF$11)),
         0)</f>
        <v>0</v>
      </c>
      <c r="AP288" s="453">
        <f ca="1">IF(AND($D288="Serviço",AP$12&lt;&gt;0,$H288&gt;0,OR(AUTOEVENTO&lt;&gt;"manual",$M288&lt;&gt;$A$15)),
        IF(Import.TipoArredondamento&lt;&gt;"TransfereGOV",
              ROUND(OFFSET($P288,0,AP$13),15-13*ORÇAMENTO!$AF$7)/$H288*OFFSET(ORÇAMENTO!$X$15,ROW(AP288)-ROW(AP$15),0),
              ROUND(ROUND(OFFSET($P288,0,AP$13),15-13*ORÇAMENTO!$AF$7)*OFFSET(ORÇAMENTO!$W$15,ROW(AP288)-ROW(AP$15),0),15-13*ORÇAMENTO!$AF$11)),
         0)</f>
        <v>0</v>
      </c>
      <c r="AQ288" s="453">
        <f ca="1">IF(AND($D288="Serviço",AQ$12&lt;&gt;0,$H288&gt;0,OR(AUTOEVENTO&lt;&gt;"manual",$M288&lt;&gt;$A$15)),
        IF(Import.TipoArredondamento&lt;&gt;"TransfereGOV",
              ROUND(OFFSET($P288,0,AQ$13),15-13*ORÇAMENTO!$AF$7)/$H288*OFFSET(ORÇAMENTO!$X$15,ROW(AQ288)-ROW(AQ$15),0),
              ROUND(ROUND(OFFSET($P288,0,AQ$13),15-13*ORÇAMENTO!$AF$7)*OFFSET(ORÇAMENTO!$W$15,ROW(AQ288)-ROW(AQ$15),0),15-13*ORÇAMENTO!$AF$11)),
         0)</f>
        <v>0</v>
      </c>
      <c r="AR288" s="453">
        <f ca="1">IF(AND($D288="Serviço",AR$12&lt;&gt;0,$H288&gt;0,OR(AUTOEVENTO&lt;&gt;"manual",$M288&lt;&gt;$A$15)),
        IF(Import.TipoArredondamento&lt;&gt;"TransfereGOV",
              ROUND(OFFSET($P288,0,AR$13),15-13*ORÇAMENTO!$AF$7)/$H288*OFFSET(ORÇAMENTO!$X$15,ROW(AR288)-ROW(AR$15),0),
              ROUND(ROUND(OFFSET($P288,0,AR$13),15-13*ORÇAMENTO!$AF$7)*OFFSET(ORÇAMENTO!$W$15,ROW(AR288)-ROW(AR$15),0),15-13*ORÇAMENTO!$AF$11)),
         0)</f>
        <v>0</v>
      </c>
      <c r="AS288" s="453">
        <f ca="1">IF(AND($D288="Serviço",AS$12&lt;&gt;0,$H288&gt;0,OR(AUTOEVENTO&lt;&gt;"manual",$M288&lt;&gt;$A$15)),
        IF(Import.TipoArredondamento&lt;&gt;"TransfereGOV",
              ROUND(OFFSET($P288,0,AS$13),15-13*ORÇAMENTO!$AF$7)/$H288*OFFSET(ORÇAMENTO!$X$15,ROW(AS288)-ROW(AS$15),0),
              ROUND(ROUND(OFFSET($P288,0,AS$13),15-13*ORÇAMENTO!$AF$7)*OFFSET(ORÇAMENTO!$W$15,ROW(AS288)-ROW(AS$15),0),15-13*ORÇAMENTO!$AF$11)),
         0)</f>
        <v>0</v>
      </c>
      <c r="AT288" s="453">
        <f ca="1">IF(AND($D288="Serviço",AT$12&lt;&gt;0,$H288&gt;0,OR(AUTOEVENTO&lt;&gt;"manual",$M288&lt;&gt;$A$15)),
        IF(Import.TipoArredondamento&lt;&gt;"TransfereGOV",
              ROUND(OFFSET($P288,0,AT$13),15-13*ORÇAMENTO!$AF$7)/$H288*OFFSET(ORÇAMENTO!$X$15,ROW(AT288)-ROW(AT$15),0),
              ROUND(ROUND(OFFSET($P288,0,AT$13),15-13*ORÇAMENTO!$AF$7)*OFFSET(ORÇAMENTO!$W$15,ROW(AT288)-ROW(AT$15),0),15-13*ORÇAMENTO!$AF$11)),
         0)</f>
        <v>0</v>
      </c>
      <c r="AU288" s="453">
        <f ca="1">IF(AND($D288="Serviço",AU$12&lt;&gt;0,$H288&gt;0,OR(AUTOEVENTO&lt;&gt;"manual",$M288&lt;&gt;$A$15)),
        IF(Import.TipoArredondamento&lt;&gt;"TransfereGOV",
              ROUND(OFFSET($P288,0,AU$13),15-13*ORÇAMENTO!$AF$7)/$H288*OFFSET(ORÇAMENTO!$X$15,ROW(AU288)-ROW(AU$15),0),
              ROUND(ROUND(OFFSET($P288,0,AU$13),15-13*ORÇAMENTO!$AF$7)*OFFSET(ORÇAMENTO!$W$15,ROW(AU288)-ROW(AU$15),0),15-13*ORÇAMENTO!$AF$11)),
         0)</f>
        <v>0</v>
      </c>
      <c r="AV288" s="453">
        <f ca="1">IF(AND($D288="Serviço",AV$12&lt;&gt;0,$H288&gt;0,OR(AUTOEVENTO&lt;&gt;"manual",$M288&lt;&gt;$A$15)),
        IF(Import.TipoArredondamento&lt;&gt;"TransfereGOV",
              ROUND(OFFSET($P288,0,AV$13),15-13*ORÇAMENTO!$AF$7)/$H288*OFFSET(ORÇAMENTO!$X$15,ROW(AV288)-ROW(AV$15),0),
              ROUND(ROUND(OFFSET($P288,0,AV$13),15-13*ORÇAMENTO!$AF$7)*OFFSET(ORÇAMENTO!$W$15,ROW(AV288)-ROW(AV$15),0),15-13*ORÇAMENTO!$AF$11)),
         0)</f>
        <v>0</v>
      </c>
      <c r="AW288" s="453">
        <f ca="1">IF(AND($D288="Serviço",AW$12&lt;&gt;0,$H288&gt;0,OR(AUTOEVENTO&lt;&gt;"manual",$M288&lt;&gt;$A$15)),
        IF(Import.TipoArredondamento&lt;&gt;"TransfereGOV",
              ROUND(OFFSET($P288,0,AW$13),15-13*ORÇAMENTO!$AF$7)/$H288*OFFSET(ORÇAMENTO!$X$15,ROW(AW288)-ROW(AW$15),0),
              ROUND(ROUND(OFFSET($P288,0,AW$13),15-13*ORÇAMENTO!$AF$7)*OFFSET(ORÇAMENTO!$W$15,ROW(AW288)-ROW(AW$15),0),15-13*ORÇAMENTO!$AF$11)),
         0)</f>
        <v>0</v>
      </c>
      <c r="AX288" s="453">
        <f ca="1">IF(AND($D288="Serviço",AX$12&lt;&gt;0,$H288&gt;0,OR(AUTOEVENTO&lt;&gt;"manual",$M288&lt;&gt;$A$15)),
        IF(Import.TipoArredondamento&lt;&gt;"TransfereGOV",
              ROUND(OFFSET($P288,0,AX$13),15-13*ORÇAMENTO!$AF$7)/$H288*OFFSET(ORÇAMENTO!$X$15,ROW(AX288)-ROW(AX$15),0),
              ROUND(ROUND(OFFSET($P288,0,AX$13),15-13*ORÇAMENTO!$AF$7)*OFFSET(ORÇAMENTO!$W$15,ROW(AX288)-ROW(AX$15),0),15-13*ORÇAMENTO!$AF$11)),
         0)</f>
        <v>0</v>
      </c>
      <c r="AY288" s="453">
        <f ca="1">IF(AND($D288="Serviço",AY$12&lt;&gt;0,$H288&gt;0,OR(AUTOEVENTO&lt;&gt;"manual",$M288&lt;&gt;$A$15)),
        IF(Import.TipoArredondamento&lt;&gt;"TransfereGOV",
              ROUND(OFFSET($P288,0,AY$13),15-13*ORÇAMENTO!$AF$7)/$H288*OFFSET(ORÇAMENTO!$X$15,ROW(AY288)-ROW(AY$15),0),
              ROUND(ROUND(OFFSET($P288,0,AY$13),15-13*ORÇAMENTO!$AF$7)*OFFSET(ORÇAMENTO!$W$15,ROW(AY288)-ROW(AY$15),0),15-13*ORÇAMENTO!$AF$11)),
         0)</f>
        <v>0</v>
      </c>
      <c r="AZ288" s="453">
        <f ca="1">IF(AND($D288="Serviço",AZ$12&lt;&gt;0,$H288&gt;0,OR(AUTOEVENTO&lt;&gt;"manual",$M288&lt;&gt;$A$15)),
        IF(Import.TipoArredondamento&lt;&gt;"TransfereGOV",
              ROUND(OFFSET($P288,0,AZ$13),15-13*ORÇAMENTO!$AF$7)/$H288*OFFSET(ORÇAMENTO!$X$15,ROW(AZ288)-ROW(AZ$15),0),
              ROUND(ROUND(OFFSET($P288,0,AZ$13),15-13*ORÇAMENTO!$AF$7)*OFFSET(ORÇAMENTO!$W$15,ROW(AZ288)-ROW(AZ$15),0),15-13*ORÇAMENTO!$AF$11)),
         0)</f>
        <v>0</v>
      </c>
      <c r="BA288" s="453">
        <f ca="1">IF(AND($D288="Serviço",BA$12&lt;&gt;0,$H288&gt;0,OR(AUTOEVENTO&lt;&gt;"manual",$M288&lt;&gt;$A$15)),
        IF(Import.TipoArredondamento&lt;&gt;"TransfereGOV",
              ROUND(OFFSET($P288,0,BA$13),15-13*ORÇAMENTO!$AF$7)/$H288*OFFSET(ORÇAMENTO!$X$15,ROW(BA288)-ROW(BA$15),0),
              ROUND(ROUND(OFFSET($P288,0,BA$13),15-13*ORÇAMENTO!$AF$7)*OFFSET(ORÇAMENTO!$W$15,ROW(BA288)-ROW(BA$15),0),15-13*ORÇAMENTO!$AF$11)),
         0)</f>
        <v>0</v>
      </c>
      <c r="BC288" s="171">
        <f ca="1">IF(OR($D288&lt;&gt;"Serviço",AND(AUTOEVENTO="Manual",$M288=$A$15)),0,
         IF(OFFSET(CRONOPLE!$F$15,$M288-$A$15,BC$13)=0,10^12,OFFSET(CRONOPLE!$F$15,$M288-$A$15,BC$13)))</f>
        <v>1</v>
      </c>
      <c r="BD288" s="171">
        <f ca="1">IF(OR($D288&lt;&gt;"Serviço",AND(AUTOEVENTO="Manual",$M288=$A$15)),0,
         IF(OFFSET(CRONOPLE!$F$15,$M288-$A$15,BD$13)=0,10^12,OFFSET(CRONOPLE!$F$15,$M288-$A$15,BD$13)))</f>
        <v>2</v>
      </c>
      <c r="BE288" s="171">
        <f ca="1">IF(OR($D288&lt;&gt;"Serviço",AND(AUTOEVENTO="Manual",$M288=$A$15)),0,
         IF(OFFSET(CRONOPLE!$F$15,$M288-$A$15,BE$13)=0,10^12,OFFSET(CRONOPLE!$F$15,$M288-$A$15,BE$13)))</f>
        <v>3</v>
      </c>
      <c r="BF288" s="171">
        <f ca="1">IF(OR($D288&lt;&gt;"Serviço",AND(AUTOEVENTO="Manual",$M288=$A$15)),0,
         IF(OFFSET(CRONOPLE!$F$15,$M288-$A$15,BF$13)=0,10^12,OFFSET(CRONOPLE!$F$15,$M288-$A$15,BF$13)))</f>
        <v>4</v>
      </c>
      <c r="BG288" s="171">
        <f ca="1">IF(OR($D288&lt;&gt;"Serviço",AND(AUTOEVENTO="Manual",$M288=$A$15)),0,
         IF(OFFSET(CRONOPLE!$F$15,$M288-$A$15,BG$13)=0,10^12,OFFSET(CRONOPLE!$F$15,$M288-$A$15,BG$13)))</f>
        <v>5</v>
      </c>
      <c r="BH288" s="171">
        <f ca="1">IF(OR($D288&lt;&gt;"Serviço",AND(AUTOEVENTO="Manual",$M288=$A$15)),0,
         IF(OFFSET(CRONOPLE!$F$15,$M288-$A$15,BH$13)=0,10^12,OFFSET(CRONOPLE!$F$15,$M288-$A$15,BH$13)))</f>
        <v>6</v>
      </c>
      <c r="BI288" s="171">
        <f ca="1">IF(OR($D288&lt;&gt;"Serviço",AND(AUTOEVENTO="Manual",$M288=$A$15)),0,
         IF(OFFSET(CRONOPLE!$F$15,$M288-$A$15,BI$13)=0,10^12,OFFSET(CRONOPLE!$F$15,$M288-$A$15,BI$13)))</f>
        <v>7</v>
      </c>
      <c r="BJ288" s="171">
        <f ca="1">IF(OR($D288&lt;&gt;"Serviço",AND(AUTOEVENTO="Manual",$M288=$A$15)),0,
         IF(OFFSET(CRONOPLE!$F$15,$M288-$A$15,BJ$13)=0,10^12,OFFSET(CRONOPLE!$F$15,$M288-$A$15,BJ$13)))</f>
        <v>8</v>
      </c>
      <c r="BK288" s="171">
        <f ca="1">IF(OR($D288&lt;&gt;"Serviço",AND(AUTOEVENTO="Manual",$M288=$A$15)),0,
         IF(OFFSET(CRONOPLE!$F$15,$M288-$A$15,BK$13)=0,10^12,OFFSET(CRONOPLE!$F$15,$M288-$A$15,BK$13)))</f>
        <v>9</v>
      </c>
      <c r="BL288" s="171">
        <f ca="1">IF(OR($D288&lt;&gt;"Serviço",AND(AUTOEVENTO="Manual",$M288=$A$15)),0,
         IF(OFFSET(CRONOPLE!$F$15,$M288-$A$15,BL$13)=0,10^12,OFFSET(CRONOPLE!$F$15,$M288-$A$15,BL$13)))</f>
        <v>1000000000000</v>
      </c>
      <c r="BM288" s="171">
        <f ca="1">IF(OR($D288&lt;&gt;"Serviço",AND(AUTOEVENTO="Manual",$M288=$A$15)),0,
         IF(OFFSET(CRONOPLE!$F$15,$M288-$A$15,BM$13)=0,10^12,OFFSET(CRONOPLE!$F$15,$M288-$A$15,BM$13)))</f>
        <v>1000000000000</v>
      </c>
      <c r="BN288" s="171">
        <f ca="1">IF(OR($D288&lt;&gt;"Serviço",AND(AUTOEVENTO="Manual",$M288=$A$15)),0,
         IF(OFFSET(CRONOPLE!$F$15,$M288-$A$15,BN$13)=0,10^12,OFFSET(CRONOPLE!$F$15,$M288-$A$15,BN$13)))</f>
        <v>1000000000000</v>
      </c>
      <c r="BO288" s="171">
        <f ca="1">IF(OR($D288&lt;&gt;"Serviço",AND(AUTOEVENTO="Manual",$M288=$A$15)),0,
         IF(OFFSET(CRONOPLE!$F$15,$M288-$A$15,BO$13)=0,10^12,OFFSET(CRONOPLE!$F$15,$M288-$A$15,BO$13)))</f>
        <v>1000000000000</v>
      </c>
      <c r="BP288" s="171">
        <f ca="1">IF(OR($D288&lt;&gt;"Serviço",AND(AUTOEVENTO="Manual",$M288=$A$15)),0,
         IF(OFFSET(CRONOPLE!$F$15,$M288-$A$15,BP$13)=0,10^12,OFFSET(CRONOPLE!$F$15,$M288-$A$15,BP$13)))</f>
        <v>1000000000000</v>
      </c>
      <c r="BQ288" s="171">
        <f ca="1">IF(OR($D288&lt;&gt;"Serviço",AND(AUTOEVENTO="Manual",$M288=$A$15)),0,
         IF(OFFSET(CRONOPLE!$F$15,$M288-$A$15,BQ$13)=0,10^12,OFFSET(CRONOPLE!$F$15,$M288-$A$15,BQ$13)))</f>
        <v>1000000000000</v>
      </c>
      <c r="BR288" s="171">
        <f ca="1">IF(OR($D288&lt;&gt;"Serviço",AND(AUTOEVENTO="Manual",$M288=$A$15)),0,
         IF(OFFSET(CRONOPLE!$F$15,$M288-$A$15,BR$13)=0,10^12,OFFSET(CRONOPLE!$F$15,$M288-$A$15,BR$13)))</f>
        <v>1000000000000</v>
      </c>
      <c r="BS288" s="171">
        <f ca="1">IF(OR($D288&lt;&gt;"Serviço",AND(AUTOEVENTO="Manual",$M288=$A$15)),0,
         IF(OFFSET(CRONOPLE!$F$15,$M288-$A$15,BS$13)=0,10^12,OFFSET(CRONOPLE!$F$15,$M288-$A$15,BS$13)))</f>
        <v>1000000000000</v>
      </c>
      <c r="BT288" s="171">
        <f ca="1">IF(OR($D288&lt;&gt;"Serviço",AND(AUTOEVENTO="Manual",$M288=$A$15)),0,
         IF(OFFSET(CRONOPLE!$F$15,$M288-$A$15,BT$13)=0,10^12,OFFSET(CRONOPLE!$F$15,$M288-$A$15,BT$13)))</f>
        <v>1000000000000</v>
      </c>
      <c r="BV288" s="172">
        <f ca="1">IF(OR($D288&lt;&gt;"Serviço",AND(AUTOEVENTO="Manual",$M288=$A$15),$M288&gt;(ROW(PLE.lastrow)-ROW(PLE.firstrow))),0,
           IF(OFFSET(PLE!$G$15,$M288-$A$15,BV$13)="",10^12,OFFSET(PLE!$G$15,$M288-$A$15,BV$13)))</f>
        <v>1000000000000</v>
      </c>
      <c r="BW288" s="172">
        <f ca="1">IF(OR($D288&lt;&gt;"Serviço",AND(AUTOEVENTO="Manual",$M288=$A$15),$M288&gt;(ROW(PLE.lastrow)-ROW(PLE.firstrow))),0,
           IF(OFFSET(PLE!$G$15,$M288-$A$15,BW$13)="",10^12,OFFSET(PLE!$G$15,$M288-$A$15,BW$13)))</f>
        <v>1000000000000</v>
      </c>
      <c r="BX288" s="172">
        <f ca="1">IF(OR($D288&lt;&gt;"Serviço",AND(AUTOEVENTO="Manual",$M288=$A$15),$M288&gt;(ROW(PLE.lastrow)-ROW(PLE.firstrow))),0,
           IF(OFFSET(PLE!$G$15,$M288-$A$15,BX$13)="",10^12,OFFSET(PLE!$G$15,$M288-$A$15,BX$13)))</f>
        <v>1000000000000</v>
      </c>
      <c r="BY288" s="172">
        <f ca="1">IF(OR($D288&lt;&gt;"Serviço",AND(AUTOEVENTO="Manual",$M288=$A$15),$M288&gt;(ROW(PLE.lastrow)-ROW(PLE.firstrow))),0,
           IF(OFFSET(PLE!$G$15,$M288-$A$15,BY$13)="",10^12,OFFSET(PLE!$G$15,$M288-$A$15,BY$13)))</f>
        <v>1000000000000</v>
      </c>
      <c r="BZ288" s="172">
        <f ca="1">IF(OR($D288&lt;&gt;"Serviço",AND(AUTOEVENTO="Manual",$M288=$A$15),$M288&gt;(ROW(PLE.lastrow)-ROW(PLE.firstrow))),0,
           IF(OFFSET(PLE!$G$15,$M288-$A$15,BZ$13)="",10^12,OFFSET(PLE!$G$15,$M288-$A$15,BZ$13)))</f>
        <v>1000000000000</v>
      </c>
      <c r="CA288" s="172">
        <f ca="1">IF(OR($D288&lt;&gt;"Serviço",AND(AUTOEVENTO="Manual",$M288=$A$15),$M288&gt;(ROW(PLE.lastrow)-ROW(PLE.firstrow))),0,
           IF(OFFSET(PLE!$G$15,$M288-$A$15,CA$13)="",10^12,OFFSET(PLE!$G$15,$M288-$A$15,CA$13)))</f>
        <v>1000000000000</v>
      </c>
      <c r="CB288" s="172">
        <f ca="1">IF(OR($D288&lt;&gt;"Serviço",AND(AUTOEVENTO="Manual",$M288=$A$15),$M288&gt;(ROW(PLE.lastrow)-ROW(PLE.firstrow))),0,
           IF(OFFSET(PLE!$G$15,$M288-$A$15,CB$13)="",10^12,OFFSET(PLE!$G$15,$M288-$A$15,CB$13)))</f>
        <v>1000000000000</v>
      </c>
      <c r="CC288" s="172">
        <f ca="1">IF(OR($D288&lt;&gt;"Serviço",AND(AUTOEVENTO="Manual",$M288=$A$15),$M288&gt;(ROW(PLE.lastrow)-ROW(PLE.firstrow))),0,
           IF(OFFSET(PLE!$G$15,$M288-$A$15,CC$13)="",10^12,OFFSET(PLE!$G$15,$M288-$A$15,CC$13)))</f>
        <v>1000000000000</v>
      </c>
      <c r="CD288" s="172">
        <f ca="1">IF(OR($D288&lt;&gt;"Serviço",AND(AUTOEVENTO="Manual",$M288=$A$15),$M288&gt;(ROW(PLE.lastrow)-ROW(PLE.firstrow))),0,
           IF(OFFSET(PLE!$G$15,$M288-$A$15,CD$13)="",10^12,OFFSET(PLE!$G$15,$M288-$A$15,CD$13)))</f>
        <v>1000000000000</v>
      </c>
      <c r="CE288" s="172">
        <f ca="1">IF(OR($D288&lt;&gt;"Serviço",AND(AUTOEVENTO="Manual",$M288=$A$15),$M288&gt;(ROW(PLE.lastrow)-ROW(PLE.firstrow))),0,
           IF(OFFSET(PLE!$G$15,$M288-$A$15,CE$13)="",10^12,OFFSET(PLE!$G$15,$M288-$A$15,CE$13)))</f>
        <v>1000000000000</v>
      </c>
      <c r="CF288" s="172">
        <f ca="1">IF(OR($D288&lt;&gt;"Serviço",AND(AUTOEVENTO="Manual",$M288=$A$15),$M288&gt;(ROW(PLE.lastrow)-ROW(PLE.firstrow))),0,
           IF(OFFSET(PLE!$G$15,$M288-$A$15,CF$13)="",10^12,OFFSET(PLE!$G$15,$M288-$A$15,CF$13)))</f>
        <v>1000000000000</v>
      </c>
      <c r="CG288" s="172">
        <f ca="1">IF(OR($D288&lt;&gt;"Serviço",AND(AUTOEVENTO="Manual",$M288=$A$15),$M288&gt;(ROW(PLE.lastrow)-ROW(PLE.firstrow))),0,
           IF(OFFSET(PLE!$G$15,$M288-$A$15,CG$13)="",10^12,OFFSET(PLE!$G$15,$M288-$A$15,CG$13)))</f>
        <v>1000000000000</v>
      </c>
      <c r="CH288" s="172">
        <f ca="1">IF(OR($D288&lt;&gt;"Serviço",AND(AUTOEVENTO="Manual",$M288=$A$15),$M288&gt;(ROW(PLE.lastrow)-ROW(PLE.firstrow))),0,
           IF(OFFSET(PLE!$G$15,$M288-$A$15,CH$13)="",10^12,OFFSET(PLE!$G$15,$M288-$A$15,CH$13)))</f>
        <v>1000000000000</v>
      </c>
      <c r="CI288" s="172">
        <f ca="1">IF(OR($D288&lt;&gt;"Serviço",AND(AUTOEVENTO="Manual",$M288=$A$15),$M288&gt;(ROW(PLE.lastrow)-ROW(PLE.firstrow))),0,
           IF(OFFSET(PLE!$G$15,$M288-$A$15,CI$13)="",10^12,OFFSET(PLE!$G$15,$M288-$A$15,CI$13)))</f>
        <v>1000000000000</v>
      </c>
      <c r="CJ288" s="172">
        <f ca="1">IF(OR($D288&lt;&gt;"Serviço",AND(AUTOEVENTO="Manual",$M288=$A$15),$M288&gt;(ROW(PLE.lastrow)-ROW(PLE.firstrow))),0,
           IF(OFFSET(PLE!$G$15,$M288-$A$15,CJ$13)="",10^12,OFFSET(PLE!$G$15,$M288-$A$15,CJ$13)))</f>
        <v>1000000000000</v>
      </c>
      <c r="CK288" s="172">
        <f ca="1">IF(OR($D288&lt;&gt;"Serviço",AND(AUTOEVENTO="Manual",$M288=$A$15),$M288&gt;(ROW(PLE.lastrow)-ROW(PLE.firstrow))),0,
           IF(OFFSET(PLE!$G$15,$M288-$A$15,CK$13)="",10^12,OFFSET(PLE!$G$15,$M288-$A$15,CK$13)))</f>
        <v>1000000000000</v>
      </c>
      <c r="CL288" s="172">
        <f ca="1">IF(OR($D288&lt;&gt;"Serviço",AND(AUTOEVENTO="Manual",$M288=$A$15),$M288&gt;(ROW(PLE.lastrow)-ROW(PLE.firstrow))),0,
           IF(OFFSET(PLE!$G$15,$M288-$A$15,CL$13)="",10^12,OFFSET(PLE!$G$15,$M288-$A$15,CL$13)))</f>
        <v>1000000000000</v>
      </c>
      <c r="CM288" s="172">
        <f ca="1">IF(OR($D288&lt;&gt;"Serviço",AND(AUTOEVENTO="Manual",$M288=$A$15),$M288&gt;(ROW(PLE.lastrow)-ROW(PLE.firstrow))),0,
           IF(OFFSET(PLE!$G$15,$M288-$A$15,CM$13)="",10^12,OFFSET(PLE!$G$15,$M288-$A$15,CM$13)))</f>
        <v>1000000000000</v>
      </c>
    </row>
    <row r="289" spans="1:91" ht="12.75" x14ac:dyDescent="0.2">
      <c r="A289" s="7">
        <f t="shared" ca="1" si="14"/>
        <v>7</v>
      </c>
      <c r="B289" s="7">
        <f ca="1">OFFSET(ORÇAMENTO!C$15,ROW(B289)-ROW(B$15),0)</f>
        <v>4</v>
      </c>
      <c r="C289" s="7" t="str">
        <f ca="1">OFFSET(ORÇAMENTO!L$15,ROW(C289)-ROW(C$15),0)</f>
        <v>F</v>
      </c>
      <c r="D289" s="116" t="str">
        <f ca="1">OFFSET(ORÇAMENTO!N$15,ROW(D289)-ROW(D$15),0)</f>
        <v>Nível 4</v>
      </c>
      <c r="E289" s="117" t="str">
        <f ca="1">OFFSET(ORÇAMENTO!O$15,ROW(E289)-ROW(E$15),0)</f>
        <v>1.7.3.3.</v>
      </c>
      <c r="F289" s="163" t="str">
        <f ca="1">OFFSET(ORÇAMENTO!R$15,ROW(F289)-ROW(F$15),0)</f>
        <v>ESGOTAMENTO</v>
      </c>
      <c r="G289" s="164" t="str">
        <f ca="1">IF($D289&lt;&gt;"Serviço","",OFFSET(ORÇAMENTO!S$15,ROW(G289)-ROW(G$15),0))</f>
        <v/>
      </c>
      <c r="H289" s="122" cm="1">
        <f t="array" aca="1" ref="H289" ca="1">IF($D289&lt;&gt;"Serviço",0,IF(ACOMPANHAMENTO="BM",ROUND(OFFSET(ORÇAMENTO!AJ$15,ROW(H289)-ROW(H$15),0),15-13*ORÇAMENTO!$AF$7),SUMPRODUCT(($Q$1:$AI$1=1)*ROUND($Q289:$AI289,15-13*ORÇAMENTO!$AF$7))))</f>
        <v>0</v>
      </c>
      <c r="I289" s="468"/>
      <c r="J289" s="640" t="str" cm="1">
        <f t="array" aca="1" ref="J289" ca="1">IF(OR(B289&lt;&gt;"S",CÁLCULO.FrentesPreenchidas=0),"",IF(AND(ACOMPANHAMENTO="PLE",AUTOEVENTO="Manual",OR(H289&gt;0,ORÇAMENTO!AC289="QUANT."),OR(K289="",M289=0,N289="")),"►E",IF(AND(ACOMPANHAMENTO="PLE",ORÇAMENTO!AC289="QUANT."),"►Q",IF(AND(ACOMPANHAMENTO="PLE",H289&lt;&gt;SUMPRODUCT(($Q$1:$AI$1=1)*ROUND(Q289:AI289,15))),"►S",IF(AND(COUNTIF($P$11:$AI$11,"▼")=0,H289&gt;0,I289=""),"◄M","")))))</f>
        <v/>
      </c>
      <c r="K289" s="641" t="s">
        <v>1365</v>
      </c>
      <c r="L289" s="165" t="s">
        <v>764</v>
      </c>
      <c r="M289" s="166" t="str">
        <f ca="1">IF($D289&lt;&gt;"Serviço","",
          IF(AUTOEVENTO="manual",$A289,
                IF(ISERROR(MATCH($A289,$A$15:OFFSET($A289,-1,0),0)),MAX($M$15:OFFSET(M289,-1,0))+1,
                      INDEX($M$15:OFFSET(M289,-1,0),MATCH($A289,$A$15:OFFSET($A289,-1,0),0)))))</f>
        <v/>
      </c>
      <c r="N289" s="167" t="str">
        <f ca="1">IF($D289&lt;&gt;"Serviço","",
         IF(AUTOEVENTO="Manual",
                IF($A289=0,"&lt;-- defina o número do agrupador",
                       OFFSET(EVENTOS!$D$15,$A289-$A$15,0)),
                OFFSET($F$15,$A289,0)))</f>
        <v/>
      </c>
      <c r="O289" s="168"/>
      <c r="Q289" s="168"/>
      <c r="R289" s="169"/>
      <c r="S289" s="169"/>
      <c r="T289" s="169"/>
      <c r="U289" s="169"/>
      <c r="V289" s="169"/>
      <c r="W289" s="169"/>
      <c r="X289" s="169"/>
      <c r="Y289" s="169"/>
      <c r="Z289" s="170"/>
      <c r="AA289" s="169"/>
      <c r="AB289" s="169"/>
      <c r="AC289" s="169"/>
      <c r="AD289" s="169"/>
      <c r="AE289" s="169"/>
      <c r="AF289" s="169"/>
      <c r="AG289" s="169"/>
      <c r="AH289" s="170"/>
      <c r="AJ289" s="453">
        <f ca="1">IF(AND($D289="Serviço",AJ$12&lt;&gt;0,$H289&gt;0,OR(AUTOEVENTO&lt;&gt;"manual",$M289&lt;&gt;$A$15)),
        IF(Import.TipoArredondamento&lt;&gt;"TransfereGOV",
              ROUND(OFFSET($P289,0,AJ$13),15-13*ORÇAMENTO!$AF$7)/$H289*OFFSET(ORÇAMENTO!$X$15,ROW(AJ289)-ROW(AJ$15),0),
              ROUND(ROUND(OFFSET($P289,0,AJ$13),15-13*ORÇAMENTO!$AF$7)*OFFSET(ORÇAMENTO!$W$15,ROW(AJ289)-ROW(AJ$15),0),15-13*ORÇAMENTO!$AF$11)),
         0)</f>
        <v>0</v>
      </c>
      <c r="AK289" s="453">
        <f ca="1">IF(AND($D289="Serviço",AK$12&lt;&gt;0,$H289&gt;0,OR(AUTOEVENTO&lt;&gt;"manual",$M289&lt;&gt;$A$15)),
        IF(Import.TipoArredondamento&lt;&gt;"TransfereGOV",
              ROUND(OFFSET($P289,0,AK$13),15-13*ORÇAMENTO!$AF$7)/$H289*OFFSET(ORÇAMENTO!$X$15,ROW(AK289)-ROW(AK$15),0),
              ROUND(ROUND(OFFSET($P289,0,AK$13),15-13*ORÇAMENTO!$AF$7)*OFFSET(ORÇAMENTO!$W$15,ROW(AK289)-ROW(AK$15),0),15-13*ORÇAMENTO!$AF$11)),
         0)</f>
        <v>0</v>
      </c>
      <c r="AL289" s="453">
        <f ca="1">IF(AND($D289="Serviço",AL$12&lt;&gt;0,$H289&gt;0,OR(AUTOEVENTO&lt;&gt;"manual",$M289&lt;&gt;$A$15)),
        IF(Import.TipoArredondamento&lt;&gt;"TransfereGOV",
              ROUND(OFFSET($P289,0,AL$13),15-13*ORÇAMENTO!$AF$7)/$H289*OFFSET(ORÇAMENTO!$X$15,ROW(AL289)-ROW(AL$15),0),
              ROUND(ROUND(OFFSET($P289,0,AL$13),15-13*ORÇAMENTO!$AF$7)*OFFSET(ORÇAMENTO!$W$15,ROW(AL289)-ROW(AL$15),0),15-13*ORÇAMENTO!$AF$11)),
         0)</f>
        <v>0</v>
      </c>
      <c r="AM289" s="453">
        <f ca="1">IF(AND($D289="Serviço",AM$12&lt;&gt;0,$H289&gt;0,OR(AUTOEVENTO&lt;&gt;"manual",$M289&lt;&gt;$A$15)),
        IF(Import.TipoArredondamento&lt;&gt;"TransfereGOV",
              ROUND(OFFSET($P289,0,AM$13),15-13*ORÇAMENTO!$AF$7)/$H289*OFFSET(ORÇAMENTO!$X$15,ROW(AM289)-ROW(AM$15),0),
              ROUND(ROUND(OFFSET($P289,0,AM$13),15-13*ORÇAMENTO!$AF$7)*OFFSET(ORÇAMENTO!$W$15,ROW(AM289)-ROW(AM$15),0),15-13*ORÇAMENTO!$AF$11)),
         0)</f>
        <v>0</v>
      </c>
      <c r="AN289" s="453">
        <f ca="1">IF(AND($D289="Serviço",AN$12&lt;&gt;0,$H289&gt;0,OR(AUTOEVENTO&lt;&gt;"manual",$M289&lt;&gt;$A$15)),
        IF(Import.TipoArredondamento&lt;&gt;"TransfereGOV",
              ROUND(OFFSET($P289,0,AN$13),15-13*ORÇAMENTO!$AF$7)/$H289*OFFSET(ORÇAMENTO!$X$15,ROW(AN289)-ROW(AN$15),0),
              ROUND(ROUND(OFFSET($P289,0,AN$13),15-13*ORÇAMENTO!$AF$7)*OFFSET(ORÇAMENTO!$W$15,ROW(AN289)-ROW(AN$15),0),15-13*ORÇAMENTO!$AF$11)),
         0)</f>
        <v>0</v>
      </c>
      <c r="AO289" s="453">
        <f ca="1">IF(AND($D289="Serviço",AO$12&lt;&gt;0,$H289&gt;0,OR(AUTOEVENTO&lt;&gt;"manual",$M289&lt;&gt;$A$15)),
        IF(Import.TipoArredondamento&lt;&gt;"TransfereGOV",
              ROUND(OFFSET($P289,0,AO$13),15-13*ORÇAMENTO!$AF$7)/$H289*OFFSET(ORÇAMENTO!$X$15,ROW(AO289)-ROW(AO$15),0),
              ROUND(ROUND(OFFSET($P289,0,AO$13),15-13*ORÇAMENTO!$AF$7)*OFFSET(ORÇAMENTO!$W$15,ROW(AO289)-ROW(AO$15),0),15-13*ORÇAMENTO!$AF$11)),
         0)</f>
        <v>0</v>
      </c>
      <c r="AP289" s="453">
        <f ca="1">IF(AND($D289="Serviço",AP$12&lt;&gt;0,$H289&gt;0,OR(AUTOEVENTO&lt;&gt;"manual",$M289&lt;&gt;$A$15)),
        IF(Import.TipoArredondamento&lt;&gt;"TransfereGOV",
              ROUND(OFFSET($P289,0,AP$13),15-13*ORÇAMENTO!$AF$7)/$H289*OFFSET(ORÇAMENTO!$X$15,ROW(AP289)-ROW(AP$15),0),
              ROUND(ROUND(OFFSET($P289,0,AP$13),15-13*ORÇAMENTO!$AF$7)*OFFSET(ORÇAMENTO!$W$15,ROW(AP289)-ROW(AP$15),0),15-13*ORÇAMENTO!$AF$11)),
         0)</f>
        <v>0</v>
      </c>
      <c r="AQ289" s="453">
        <f ca="1">IF(AND($D289="Serviço",AQ$12&lt;&gt;0,$H289&gt;0,OR(AUTOEVENTO&lt;&gt;"manual",$M289&lt;&gt;$A$15)),
        IF(Import.TipoArredondamento&lt;&gt;"TransfereGOV",
              ROUND(OFFSET($P289,0,AQ$13),15-13*ORÇAMENTO!$AF$7)/$H289*OFFSET(ORÇAMENTO!$X$15,ROW(AQ289)-ROW(AQ$15),0),
              ROUND(ROUND(OFFSET($P289,0,AQ$13),15-13*ORÇAMENTO!$AF$7)*OFFSET(ORÇAMENTO!$W$15,ROW(AQ289)-ROW(AQ$15),0),15-13*ORÇAMENTO!$AF$11)),
         0)</f>
        <v>0</v>
      </c>
      <c r="AR289" s="453">
        <f ca="1">IF(AND($D289="Serviço",AR$12&lt;&gt;0,$H289&gt;0,OR(AUTOEVENTO&lt;&gt;"manual",$M289&lt;&gt;$A$15)),
        IF(Import.TipoArredondamento&lt;&gt;"TransfereGOV",
              ROUND(OFFSET($P289,0,AR$13),15-13*ORÇAMENTO!$AF$7)/$H289*OFFSET(ORÇAMENTO!$X$15,ROW(AR289)-ROW(AR$15),0),
              ROUND(ROUND(OFFSET($P289,0,AR$13),15-13*ORÇAMENTO!$AF$7)*OFFSET(ORÇAMENTO!$W$15,ROW(AR289)-ROW(AR$15),0),15-13*ORÇAMENTO!$AF$11)),
         0)</f>
        <v>0</v>
      </c>
      <c r="AS289" s="453">
        <f ca="1">IF(AND($D289="Serviço",AS$12&lt;&gt;0,$H289&gt;0,OR(AUTOEVENTO&lt;&gt;"manual",$M289&lt;&gt;$A$15)),
        IF(Import.TipoArredondamento&lt;&gt;"TransfereGOV",
              ROUND(OFFSET($P289,0,AS$13),15-13*ORÇAMENTO!$AF$7)/$H289*OFFSET(ORÇAMENTO!$X$15,ROW(AS289)-ROW(AS$15),0),
              ROUND(ROUND(OFFSET($P289,0,AS$13),15-13*ORÇAMENTO!$AF$7)*OFFSET(ORÇAMENTO!$W$15,ROW(AS289)-ROW(AS$15),0),15-13*ORÇAMENTO!$AF$11)),
         0)</f>
        <v>0</v>
      </c>
      <c r="AT289" s="453">
        <f ca="1">IF(AND($D289="Serviço",AT$12&lt;&gt;0,$H289&gt;0,OR(AUTOEVENTO&lt;&gt;"manual",$M289&lt;&gt;$A$15)),
        IF(Import.TipoArredondamento&lt;&gt;"TransfereGOV",
              ROUND(OFFSET($P289,0,AT$13),15-13*ORÇAMENTO!$AF$7)/$H289*OFFSET(ORÇAMENTO!$X$15,ROW(AT289)-ROW(AT$15),0),
              ROUND(ROUND(OFFSET($P289,0,AT$13),15-13*ORÇAMENTO!$AF$7)*OFFSET(ORÇAMENTO!$W$15,ROW(AT289)-ROW(AT$15),0),15-13*ORÇAMENTO!$AF$11)),
         0)</f>
        <v>0</v>
      </c>
      <c r="AU289" s="453">
        <f ca="1">IF(AND($D289="Serviço",AU$12&lt;&gt;0,$H289&gt;0,OR(AUTOEVENTO&lt;&gt;"manual",$M289&lt;&gt;$A$15)),
        IF(Import.TipoArredondamento&lt;&gt;"TransfereGOV",
              ROUND(OFFSET($P289,0,AU$13),15-13*ORÇAMENTO!$AF$7)/$H289*OFFSET(ORÇAMENTO!$X$15,ROW(AU289)-ROW(AU$15),0),
              ROUND(ROUND(OFFSET($P289,0,AU$13),15-13*ORÇAMENTO!$AF$7)*OFFSET(ORÇAMENTO!$W$15,ROW(AU289)-ROW(AU$15),0),15-13*ORÇAMENTO!$AF$11)),
         0)</f>
        <v>0</v>
      </c>
      <c r="AV289" s="453">
        <f ca="1">IF(AND($D289="Serviço",AV$12&lt;&gt;0,$H289&gt;0,OR(AUTOEVENTO&lt;&gt;"manual",$M289&lt;&gt;$A$15)),
        IF(Import.TipoArredondamento&lt;&gt;"TransfereGOV",
              ROUND(OFFSET($P289,0,AV$13),15-13*ORÇAMENTO!$AF$7)/$H289*OFFSET(ORÇAMENTO!$X$15,ROW(AV289)-ROW(AV$15),0),
              ROUND(ROUND(OFFSET($P289,0,AV$13),15-13*ORÇAMENTO!$AF$7)*OFFSET(ORÇAMENTO!$W$15,ROW(AV289)-ROW(AV$15),0),15-13*ORÇAMENTO!$AF$11)),
         0)</f>
        <v>0</v>
      </c>
      <c r="AW289" s="453">
        <f ca="1">IF(AND($D289="Serviço",AW$12&lt;&gt;0,$H289&gt;0,OR(AUTOEVENTO&lt;&gt;"manual",$M289&lt;&gt;$A$15)),
        IF(Import.TipoArredondamento&lt;&gt;"TransfereGOV",
              ROUND(OFFSET($P289,0,AW$13),15-13*ORÇAMENTO!$AF$7)/$H289*OFFSET(ORÇAMENTO!$X$15,ROW(AW289)-ROW(AW$15),0),
              ROUND(ROUND(OFFSET($P289,0,AW$13),15-13*ORÇAMENTO!$AF$7)*OFFSET(ORÇAMENTO!$W$15,ROW(AW289)-ROW(AW$15),0),15-13*ORÇAMENTO!$AF$11)),
         0)</f>
        <v>0</v>
      </c>
      <c r="AX289" s="453">
        <f ca="1">IF(AND($D289="Serviço",AX$12&lt;&gt;0,$H289&gt;0,OR(AUTOEVENTO&lt;&gt;"manual",$M289&lt;&gt;$A$15)),
        IF(Import.TipoArredondamento&lt;&gt;"TransfereGOV",
              ROUND(OFFSET($P289,0,AX$13),15-13*ORÇAMENTO!$AF$7)/$H289*OFFSET(ORÇAMENTO!$X$15,ROW(AX289)-ROW(AX$15),0),
              ROUND(ROUND(OFFSET($P289,0,AX$13),15-13*ORÇAMENTO!$AF$7)*OFFSET(ORÇAMENTO!$W$15,ROW(AX289)-ROW(AX$15),0),15-13*ORÇAMENTO!$AF$11)),
         0)</f>
        <v>0</v>
      </c>
      <c r="AY289" s="453">
        <f ca="1">IF(AND($D289="Serviço",AY$12&lt;&gt;0,$H289&gt;0,OR(AUTOEVENTO&lt;&gt;"manual",$M289&lt;&gt;$A$15)),
        IF(Import.TipoArredondamento&lt;&gt;"TransfereGOV",
              ROUND(OFFSET($P289,0,AY$13),15-13*ORÇAMENTO!$AF$7)/$H289*OFFSET(ORÇAMENTO!$X$15,ROW(AY289)-ROW(AY$15),0),
              ROUND(ROUND(OFFSET($P289,0,AY$13),15-13*ORÇAMENTO!$AF$7)*OFFSET(ORÇAMENTO!$W$15,ROW(AY289)-ROW(AY$15),0),15-13*ORÇAMENTO!$AF$11)),
         0)</f>
        <v>0</v>
      </c>
      <c r="AZ289" s="453">
        <f ca="1">IF(AND($D289="Serviço",AZ$12&lt;&gt;0,$H289&gt;0,OR(AUTOEVENTO&lt;&gt;"manual",$M289&lt;&gt;$A$15)),
        IF(Import.TipoArredondamento&lt;&gt;"TransfereGOV",
              ROUND(OFFSET($P289,0,AZ$13),15-13*ORÇAMENTO!$AF$7)/$H289*OFFSET(ORÇAMENTO!$X$15,ROW(AZ289)-ROW(AZ$15),0),
              ROUND(ROUND(OFFSET($P289,0,AZ$13),15-13*ORÇAMENTO!$AF$7)*OFFSET(ORÇAMENTO!$W$15,ROW(AZ289)-ROW(AZ$15),0),15-13*ORÇAMENTO!$AF$11)),
         0)</f>
        <v>0</v>
      </c>
      <c r="BA289" s="453">
        <f ca="1">IF(AND($D289="Serviço",BA$12&lt;&gt;0,$H289&gt;0,OR(AUTOEVENTO&lt;&gt;"manual",$M289&lt;&gt;$A$15)),
        IF(Import.TipoArredondamento&lt;&gt;"TransfereGOV",
              ROUND(OFFSET($P289,0,BA$13),15-13*ORÇAMENTO!$AF$7)/$H289*OFFSET(ORÇAMENTO!$X$15,ROW(BA289)-ROW(BA$15),0),
              ROUND(ROUND(OFFSET($P289,0,BA$13),15-13*ORÇAMENTO!$AF$7)*OFFSET(ORÇAMENTO!$W$15,ROW(BA289)-ROW(BA$15),0),15-13*ORÇAMENTO!$AF$11)),
         0)</f>
        <v>0</v>
      </c>
      <c r="BC289" s="171">
        <f ca="1">IF(OR($D289&lt;&gt;"Serviço",AND(AUTOEVENTO="Manual",$M289=$A$15)),0,
         IF(OFFSET(CRONOPLE!$F$15,$M289-$A$15,BC$13)=0,10^12,OFFSET(CRONOPLE!$F$15,$M289-$A$15,BC$13)))</f>
        <v>0</v>
      </c>
      <c r="BD289" s="171">
        <f ca="1">IF(OR($D289&lt;&gt;"Serviço",AND(AUTOEVENTO="Manual",$M289=$A$15)),0,
         IF(OFFSET(CRONOPLE!$F$15,$M289-$A$15,BD$13)=0,10^12,OFFSET(CRONOPLE!$F$15,$M289-$A$15,BD$13)))</f>
        <v>0</v>
      </c>
      <c r="BE289" s="171">
        <f ca="1">IF(OR($D289&lt;&gt;"Serviço",AND(AUTOEVENTO="Manual",$M289=$A$15)),0,
         IF(OFFSET(CRONOPLE!$F$15,$M289-$A$15,BE$13)=0,10^12,OFFSET(CRONOPLE!$F$15,$M289-$A$15,BE$13)))</f>
        <v>0</v>
      </c>
      <c r="BF289" s="171">
        <f ca="1">IF(OR($D289&lt;&gt;"Serviço",AND(AUTOEVENTO="Manual",$M289=$A$15)),0,
         IF(OFFSET(CRONOPLE!$F$15,$M289-$A$15,BF$13)=0,10^12,OFFSET(CRONOPLE!$F$15,$M289-$A$15,BF$13)))</f>
        <v>0</v>
      </c>
      <c r="BG289" s="171">
        <f ca="1">IF(OR($D289&lt;&gt;"Serviço",AND(AUTOEVENTO="Manual",$M289=$A$15)),0,
         IF(OFFSET(CRONOPLE!$F$15,$M289-$A$15,BG$13)=0,10^12,OFFSET(CRONOPLE!$F$15,$M289-$A$15,BG$13)))</f>
        <v>0</v>
      </c>
      <c r="BH289" s="171">
        <f ca="1">IF(OR($D289&lt;&gt;"Serviço",AND(AUTOEVENTO="Manual",$M289=$A$15)),0,
         IF(OFFSET(CRONOPLE!$F$15,$M289-$A$15,BH$13)=0,10^12,OFFSET(CRONOPLE!$F$15,$M289-$A$15,BH$13)))</f>
        <v>0</v>
      </c>
      <c r="BI289" s="171">
        <f ca="1">IF(OR($D289&lt;&gt;"Serviço",AND(AUTOEVENTO="Manual",$M289=$A$15)),0,
         IF(OFFSET(CRONOPLE!$F$15,$M289-$A$15,BI$13)=0,10^12,OFFSET(CRONOPLE!$F$15,$M289-$A$15,BI$13)))</f>
        <v>0</v>
      </c>
      <c r="BJ289" s="171">
        <f ca="1">IF(OR($D289&lt;&gt;"Serviço",AND(AUTOEVENTO="Manual",$M289=$A$15)),0,
         IF(OFFSET(CRONOPLE!$F$15,$M289-$A$15,BJ$13)=0,10^12,OFFSET(CRONOPLE!$F$15,$M289-$A$15,BJ$13)))</f>
        <v>0</v>
      </c>
      <c r="BK289" s="171">
        <f ca="1">IF(OR($D289&lt;&gt;"Serviço",AND(AUTOEVENTO="Manual",$M289=$A$15)),0,
         IF(OFFSET(CRONOPLE!$F$15,$M289-$A$15,BK$13)=0,10^12,OFFSET(CRONOPLE!$F$15,$M289-$A$15,BK$13)))</f>
        <v>0</v>
      </c>
      <c r="BL289" s="171">
        <f ca="1">IF(OR($D289&lt;&gt;"Serviço",AND(AUTOEVENTO="Manual",$M289=$A$15)),0,
         IF(OFFSET(CRONOPLE!$F$15,$M289-$A$15,BL$13)=0,10^12,OFFSET(CRONOPLE!$F$15,$M289-$A$15,BL$13)))</f>
        <v>0</v>
      </c>
      <c r="BM289" s="171">
        <f ca="1">IF(OR($D289&lt;&gt;"Serviço",AND(AUTOEVENTO="Manual",$M289=$A$15)),0,
         IF(OFFSET(CRONOPLE!$F$15,$M289-$A$15,BM$13)=0,10^12,OFFSET(CRONOPLE!$F$15,$M289-$A$15,BM$13)))</f>
        <v>0</v>
      </c>
      <c r="BN289" s="171">
        <f ca="1">IF(OR($D289&lt;&gt;"Serviço",AND(AUTOEVENTO="Manual",$M289=$A$15)),0,
         IF(OFFSET(CRONOPLE!$F$15,$M289-$A$15,BN$13)=0,10^12,OFFSET(CRONOPLE!$F$15,$M289-$A$15,BN$13)))</f>
        <v>0</v>
      </c>
      <c r="BO289" s="171">
        <f ca="1">IF(OR($D289&lt;&gt;"Serviço",AND(AUTOEVENTO="Manual",$M289=$A$15)),0,
         IF(OFFSET(CRONOPLE!$F$15,$M289-$A$15,BO$13)=0,10^12,OFFSET(CRONOPLE!$F$15,$M289-$A$15,BO$13)))</f>
        <v>0</v>
      </c>
      <c r="BP289" s="171">
        <f ca="1">IF(OR($D289&lt;&gt;"Serviço",AND(AUTOEVENTO="Manual",$M289=$A$15)),0,
         IF(OFFSET(CRONOPLE!$F$15,$M289-$A$15,BP$13)=0,10^12,OFFSET(CRONOPLE!$F$15,$M289-$A$15,BP$13)))</f>
        <v>0</v>
      </c>
      <c r="BQ289" s="171">
        <f ca="1">IF(OR($D289&lt;&gt;"Serviço",AND(AUTOEVENTO="Manual",$M289=$A$15)),0,
         IF(OFFSET(CRONOPLE!$F$15,$M289-$A$15,BQ$13)=0,10^12,OFFSET(CRONOPLE!$F$15,$M289-$A$15,BQ$13)))</f>
        <v>0</v>
      </c>
      <c r="BR289" s="171">
        <f ca="1">IF(OR($D289&lt;&gt;"Serviço",AND(AUTOEVENTO="Manual",$M289=$A$15)),0,
         IF(OFFSET(CRONOPLE!$F$15,$M289-$A$15,BR$13)=0,10^12,OFFSET(CRONOPLE!$F$15,$M289-$A$15,BR$13)))</f>
        <v>0</v>
      </c>
      <c r="BS289" s="171">
        <f ca="1">IF(OR($D289&lt;&gt;"Serviço",AND(AUTOEVENTO="Manual",$M289=$A$15)),0,
         IF(OFFSET(CRONOPLE!$F$15,$M289-$A$15,BS$13)=0,10^12,OFFSET(CRONOPLE!$F$15,$M289-$A$15,BS$13)))</f>
        <v>0</v>
      </c>
      <c r="BT289" s="171">
        <f ca="1">IF(OR($D289&lt;&gt;"Serviço",AND(AUTOEVENTO="Manual",$M289=$A$15)),0,
         IF(OFFSET(CRONOPLE!$F$15,$M289-$A$15,BT$13)=0,10^12,OFFSET(CRONOPLE!$F$15,$M289-$A$15,BT$13)))</f>
        <v>0</v>
      </c>
      <c r="BV289" s="172">
        <f ca="1">IF(OR($D289&lt;&gt;"Serviço",AND(AUTOEVENTO="Manual",$M289=$A$15),$M289&gt;(ROW(PLE.lastrow)-ROW(PLE.firstrow))),0,
           IF(OFFSET(PLE!$G$15,$M289-$A$15,BV$13)="",10^12,OFFSET(PLE!$G$15,$M289-$A$15,BV$13)))</f>
        <v>0</v>
      </c>
      <c r="BW289" s="172">
        <f ca="1">IF(OR($D289&lt;&gt;"Serviço",AND(AUTOEVENTO="Manual",$M289=$A$15),$M289&gt;(ROW(PLE.lastrow)-ROW(PLE.firstrow))),0,
           IF(OFFSET(PLE!$G$15,$M289-$A$15,BW$13)="",10^12,OFFSET(PLE!$G$15,$M289-$A$15,BW$13)))</f>
        <v>0</v>
      </c>
      <c r="BX289" s="172">
        <f ca="1">IF(OR($D289&lt;&gt;"Serviço",AND(AUTOEVENTO="Manual",$M289=$A$15),$M289&gt;(ROW(PLE.lastrow)-ROW(PLE.firstrow))),0,
           IF(OFFSET(PLE!$G$15,$M289-$A$15,BX$13)="",10^12,OFFSET(PLE!$G$15,$M289-$A$15,BX$13)))</f>
        <v>0</v>
      </c>
      <c r="BY289" s="172">
        <f ca="1">IF(OR($D289&lt;&gt;"Serviço",AND(AUTOEVENTO="Manual",$M289=$A$15),$M289&gt;(ROW(PLE.lastrow)-ROW(PLE.firstrow))),0,
           IF(OFFSET(PLE!$G$15,$M289-$A$15,BY$13)="",10^12,OFFSET(PLE!$G$15,$M289-$A$15,BY$13)))</f>
        <v>0</v>
      </c>
      <c r="BZ289" s="172">
        <f ca="1">IF(OR($D289&lt;&gt;"Serviço",AND(AUTOEVENTO="Manual",$M289=$A$15),$M289&gt;(ROW(PLE.lastrow)-ROW(PLE.firstrow))),0,
           IF(OFFSET(PLE!$G$15,$M289-$A$15,BZ$13)="",10^12,OFFSET(PLE!$G$15,$M289-$A$15,BZ$13)))</f>
        <v>0</v>
      </c>
      <c r="CA289" s="172">
        <f ca="1">IF(OR($D289&lt;&gt;"Serviço",AND(AUTOEVENTO="Manual",$M289=$A$15),$M289&gt;(ROW(PLE.lastrow)-ROW(PLE.firstrow))),0,
           IF(OFFSET(PLE!$G$15,$M289-$A$15,CA$13)="",10^12,OFFSET(PLE!$G$15,$M289-$A$15,CA$13)))</f>
        <v>0</v>
      </c>
      <c r="CB289" s="172">
        <f ca="1">IF(OR($D289&lt;&gt;"Serviço",AND(AUTOEVENTO="Manual",$M289=$A$15),$M289&gt;(ROW(PLE.lastrow)-ROW(PLE.firstrow))),0,
           IF(OFFSET(PLE!$G$15,$M289-$A$15,CB$13)="",10^12,OFFSET(PLE!$G$15,$M289-$A$15,CB$13)))</f>
        <v>0</v>
      </c>
      <c r="CC289" s="172">
        <f ca="1">IF(OR($D289&lt;&gt;"Serviço",AND(AUTOEVENTO="Manual",$M289=$A$15),$M289&gt;(ROW(PLE.lastrow)-ROW(PLE.firstrow))),0,
           IF(OFFSET(PLE!$G$15,$M289-$A$15,CC$13)="",10^12,OFFSET(PLE!$G$15,$M289-$A$15,CC$13)))</f>
        <v>0</v>
      </c>
      <c r="CD289" s="172">
        <f ca="1">IF(OR($D289&lt;&gt;"Serviço",AND(AUTOEVENTO="Manual",$M289=$A$15),$M289&gt;(ROW(PLE.lastrow)-ROW(PLE.firstrow))),0,
           IF(OFFSET(PLE!$G$15,$M289-$A$15,CD$13)="",10^12,OFFSET(PLE!$G$15,$M289-$A$15,CD$13)))</f>
        <v>0</v>
      </c>
      <c r="CE289" s="172">
        <f ca="1">IF(OR($D289&lt;&gt;"Serviço",AND(AUTOEVENTO="Manual",$M289=$A$15),$M289&gt;(ROW(PLE.lastrow)-ROW(PLE.firstrow))),0,
           IF(OFFSET(PLE!$G$15,$M289-$A$15,CE$13)="",10^12,OFFSET(PLE!$G$15,$M289-$A$15,CE$13)))</f>
        <v>0</v>
      </c>
      <c r="CF289" s="172">
        <f ca="1">IF(OR($D289&lt;&gt;"Serviço",AND(AUTOEVENTO="Manual",$M289=$A$15),$M289&gt;(ROW(PLE.lastrow)-ROW(PLE.firstrow))),0,
           IF(OFFSET(PLE!$G$15,$M289-$A$15,CF$13)="",10^12,OFFSET(PLE!$G$15,$M289-$A$15,CF$13)))</f>
        <v>0</v>
      </c>
      <c r="CG289" s="172">
        <f ca="1">IF(OR($D289&lt;&gt;"Serviço",AND(AUTOEVENTO="Manual",$M289=$A$15),$M289&gt;(ROW(PLE.lastrow)-ROW(PLE.firstrow))),0,
           IF(OFFSET(PLE!$G$15,$M289-$A$15,CG$13)="",10^12,OFFSET(PLE!$G$15,$M289-$A$15,CG$13)))</f>
        <v>0</v>
      </c>
      <c r="CH289" s="172">
        <f ca="1">IF(OR($D289&lt;&gt;"Serviço",AND(AUTOEVENTO="Manual",$M289=$A$15),$M289&gt;(ROW(PLE.lastrow)-ROW(PLE.firstrow))),0,
           IF(OFFSET(PLE!$G$15,$M289-$A$15,CH$13)="",10^12,OFFSET(PLE!$G$15,$M289-$A$15,CH$13)))</f>
        <v>0</v>
      </c>
      <c r="CI289" s="172">
        <f ca="1">IF(OR($D289&lt;&gt;"Serviço",AND(AUTOEVENTO="Manual",$M289=$A$15),$M289&gt;(ROW(PLE.lastrow)-ROW(PLE.firstrow))),0,
           IF(OFFSET(PLE!$G$15,$M289-$A$15,CI$13)="",10^12,OFFSET(PLE!$G$15,$M289-$A$15,CI$13)))</f>
        <v>0</v>
      </c>
      <c r="CJ289" s="172">
        <f ca="1">IF(OR($D289&lt;&gt;"Serviço",AND(AUTOEVENTO="Manual",$M289=$A$15),$M289&gt;(ROW(PLE.lastrow)-ROW(PLE.firstrow))),0,
           IF(OFFSET(PLE!$G$15,$M289-$A$15,CJ$13)="",10^12,OFFSET(PLE!$G$15,$M289-$A$15,CJ$13)))</f>
        <v>0</v>
      </c>
      <c r="CK289" s="172">
        <f ca="1">IF(OR($D289&lt;&gt;"Serviço",AND(AUTOEVENTO="Manual",$M289=$A$15),$M289&gt;(ROW(PLE.lastrow)-ROW(PLE.firstrow))),0,
           IF(OFFSET(PLE!$G$15,$M289-$A$15,CK$13)="",10^12,OFFSET(PLE!$G$15,$M289-$A$15,CK$13)))</f>
        <v>0</v>
      </c>
      <c r="CL289" s="172">
        <f ca="1">IF(OR($D289&lt;&gt;"Serviço",AND(AUTOEVENTO="Manual",$M289=$A$15),$M289&gt;(ROW(PLE.lastrow)-ROW(PLE.firstrow))),0,
           IF(OFFSET(PLE!$G$15,$M289-$A$15,CL$13)="",10^12,OFFSET(PLE!$G$15,$M289-$A$15,CL$13)))</f>
        <v>0</v>
      </c>
      <c r="CM289" s="172">
        <f ca="1">IF(OR($D289&lt;&gt;"Serviço",AND(AUTOEVENTO="Manual",$M289=$A$15),$M289&gt;(ROW(PLE.lastrow)-ROW(PLE.firstrow))),0,
           IF(OFFSET(PLE!$G$15,$M289-$A$15,CM$13)="",10^12,OFFSET(PLE!$G$15,$M289-$A$15,CM$13)))</f>
        <v>0</v>
      </c>
    </row>
    <row r="290" spans="1:91" ht="76.5" x14ac:dyDescent="0.2">
      <c r="A290" s="7">
        <f t="shared" ca="1" si="14"/>
        <v>6</v>
      </c>
      <c r="B290" s="7" t="str">
        <f ca="1">OFFSET(ORÇAMENTO!C$15,ROW(B290)-ROW(B$15),0)</f>
        <v>S</v>
      </c>
      <c r="C290" s="7" t="str">
        <f ca="1">OFFSET(ORÇAMENTO!L$15,ROW(C290)-ROW(C$15),0)</f>
        <v>F</v>
      </c>
      <c r="D290" s="116" t="str">
        <f ca="1">OFFSET(ORÇAMENTO!N$15,ROW(D290)-ROW(D$15),0)</f>
        <v>Serviço</v>
      </c>
      <c r="E290" s="117" t="str">
        <f ca="1">OFFSET(ORÇAMENTO!O$15,ROW(E290)-ROW(E$15),0)</f>
        <v>1.7.3.3.1.</v>
      </c>
      <c r="F290" s="163" t="str">
        <f ca="1">OFFSET(ORÇAMENTO!R$15,ROW(F290)-ROW(F$15),0)</f>
        <v>TUBO DE PVC CORRUGADO DE DUPLA PAREDE PARA REDE COLETORA DE ESGOTO, DN 150 MM, JUNTA ELÁSTICA - FORNECIMENTO E ASSENTAMENTO. AF_01/2021</v>
      </c>
      <c r="G290" s="164" t="str">
        <f ca="1">IF($D290&lt;&gt;"Serviço","",OFFSET(ORÇAMENTO!S$15,ROW(G290)-ROW(G$15),0))</f>
        <v>M</v>
      </c>
      <c r="H290" s="122" cm="1">
        <f t="array" aca="1" ref="H290" ca="1">IF($D290&lt;&gt;"Serviço",0,IF(ACOMPANHAMENTO="BM",ROUND(OFFSET(ORÇAMENTO!AJ$15,ROW(H290)-ROW(H$15),0),15-13*ORÇAMENTO!$AF$7),SUMPRODUCT(($Q$1:$AI$1=1)*ROUND($Q290:$AI290,15-13*ORÇAMENTO!$AF$7))))</f>
        <v>55</v>
      </c>
      <c r="I290" s="468" t="s">
        <v>1352</v>
      </c>
      <c r="J290" s="640" t="str" cm="1">
        <f t="array" aca="1" ref="J290" ca="1">IF(OR(B290&lt;&gt;"S",CÁLCULO.FrentesPreenchidas=0),"",IF(AND(ACOMPANHAMENTO="PLE",AUTOEVENTO="Manual",OR(H290&gt;0,ORÇAMENTO!AC290="QUANT."),OR(K290="",M290=0,N290="")),"►E",IF(AND(ACOMPANHAMENTO="PLE",ORÇAMENTO!AC290="QUANT."),"►Q",IF(AND(ACOMPANHAMENTO="PLE",H290&lt;&gt;SUMPRODUCT(($Q$1:$AI$1=1)*ROUND(Q290:AI290,15))),"►S",IF(AND(COUNTIF($P$11:$AI$11,"▼")=0,H290&gt;0,I290=""),"◄M","")))))</f>
        <v/>
      </c>
      <c r="K290" s="641" t="s">
        <v>1385</v>
      </c>
      <c r="L290" s="165" t="s">
        <v>764</v>
      </c>
      <c r="M290" s="166">
        <f ca="1">IF($D290&lt;&gt;"Serviço","",
          IF(AUTOEVENTO="manual",$A290,
                IF(ISERROR(MATCH($A290,$A$15:OFFSET($A290,-1,0),0)),MAX($M$15:OFFSET(M290,-1,0))+1,
                      INDEX($M$15:OFFSET(M290,-1,0),MATCH($A290,$A$15:OFFSET($A290,-1,0),0)))))</f>
        <v>6</v>
      </c>
      <c r="N290" s="167" t="str">
        <f ca="1">IF($D290&lt;&gt;"Serviço","",
         IF(AUTOEVENTO="Manual",
                IF($A290=0,"&lt;-- defina o número do agrupador",
                       OFFSET(EVENTOS!$D$15,$A290-$A$15,0)),
                OFFSET($F$15,$A290,0)))</f>
        <v>Saneamento</v>
      </c>
      <c r="O290" s="168"/>
      <c r="Q290" s="168"/>
      <c r="R290" s="169"/>
      <c r="S290" s="169"/>
      <c r="T290" s="169"/>
      <c r="U290" s="169">
        <f>10*5.5</f>
        <v>55</v>
      </c>
      <c r="V290" s="169"/>
      <c r="W290" s="169"/>
      <c r="X290" s="169"/>
      <c r="Y290" s="169"/>
      <c r="Z290" s="170"/>
      <c r="AA290" s="169"/>
      <c r="AB290" s="169"/>
      <c r="AC290" s="169"/>
      <c r="AD290" s="169"/>
      <c r="AE290" s="169"/>
      <c r="AF290" s="169"/>
      <c r="AG290" s="169"/>
      <c r="AH290" s="170"/>
      <c r="AJ290" s="453">
        <f ca="1">IF(AND($D290="Serviço",AJ$12&lt;&gt;0,$H290&gt;0,OR(AUTOEVENTO&lt;&gt;"manual",$M290&lt;&gt;$A$15)),
        IF(Import.TipoArredondamento&lt;&gt;"TransfereGOV",
              ROUND(OFFSET($P290,0,AJ$13),15-13*ORÇAMENTO!$AF$7)/$H290*OFFSET(ORÇAMENTO!$X$15,ROW(AJ290)-ROW(AJ$15),0),
              ROUND(ROUND(OFFSET($P290,0,AJ$13),15-13*ORÇAMENTO!$AF$7)*OFFSET(ORÇAMENTO!$W$15,ROW(AJ290)-ROW(AJ$15),0),15-13*ORÇAMENTO!$AF$11)),
         0)</f>
        <v>0</v>
      </c>
      <c r="AK290" s="453">
        <f ca="1">IF(AND($D290="Serviço",AK$12&lt;&gt;0,$H290&gt;0,OR(AUTOEVENTO&lt;&gt;"manual",$M290&lt;&gt;$A$15)),
        IF(Import.TipoArredondamento&lt;&gt;"TransfereGOV",
              ROUND(OFFSET($P290,0,AK$13),15-13*ORÇAMENTO!$AF$7)/$H290*OFFSET(ORÇAMENTO!$X$15,ROW(AK290)-ROW(AK$15),0),
              ROUND(ROUND(OFFSET($P290,0,AK$13),15-13*ORÇAMENTO!$AF$7)*OFFSET(ORÇAMENTO!$W$15,ROW(AK290)-ROW(AK$15),0),15-13*ORÇAMENTO!$AF$11)),
         0)</f>
        <v>0</v>
      </c>
      <c r="AL290" s="453">
        <f ca="1">IF(AND($D290="Serviço",AL$12&lt;&gt;0,$H290&gt;0,OR(AUTOEVENTO&lt;&gt;"manual",$M290&lt;&gt;$A$15)),
        IF(Import.TipoArredondamento&lt;&gt;"TransfereGOV",
              ROUND(OFFSET($P290,0,AL$13),15-13*ORÇAMENTO!$AF$7)/$H290*OFFSET(ORÇAMENTO!$X$15,ROW(AL290)-ROW(AL$15),0),
              ROUND(ROUND(OFFSET($P290,0,AL$13),15-13*ORÇAMENTO!$AF$7)*OFFSET(ORÇAMENTO!$W$15,ROW(AL290)-ROW(AL$15),0),15-13*ORÇAMENTO!$AF$11)),
         0)</f>
        <v>0</v>
      </c>
      <c r="AM290" s="453">
        <f ca="1">IF(AND($D290="Serviço",AM$12&lt;&gt;0,$H290&gt;0,OR(AUTOEVENTO&lt;&gt;"manual",$M290&lt;&gt;$A$15)),
        IF(Import.TipoArredondamento&lt;&gt;"TransfereGOV",
              ROUND(OFFSET($P290,0,AM$13),15-13*ORÇAMENTO!$AF$7)/$H290*OFFSET(ORÇAMENTO!$X$15,ROW(AM290)-ROW(AM$15),0),
              ROUND(ROUND(OFFSET($P290,0,AM$13),15-13*ORÇAMENTO!$AF$7)*OFFSET(ORÇAMENTO!$W$15,ROW(AM290)-ROW(AM$15),0),15-13*ORÇAMENTO!$AF$11)),
         0)</f>
        <v>0</v>
      </c>
      <c r="AN290" s="453">
        <f ca="1">IF(AND($D290="Serviço",AN$12&lt;&gt;0,$H290&gt;0,OR(AUTOEVENTO&lt;&gt;"manual",$M290&lt;&gt;$A$15)),
        IF(Import.TipoArredondamento&lt;&gt;"TransfereGOV",
              ROUND(OFFSET($P290,0,AN$13),15-13*ORÇAMENTO!$AF$7)/$H290*OFFSET(ORÇAMENTO!$X$15,ROW(AN290)-ROW(AN$15),0),
              ROUND(ROUND(OFFSET($P290,0,AN$13),15-13*ORÇAMENTO!$AF$7)*OFFSET(ORÇAMENTO!$W$15,ROW(AN290)-ROW(AN$15),0),15-13*ORÇAMENTO!$AF$11)),
         0)</f>
        <v>0</v>
      </c>
      <c r="AO290" s="453">
        <f ca="1">IF(AND($D290="Serviço",AO$12&lt;&gt;0,$H290&gt;0,OR(AUTOEVENTO&lt;&gt;"manual",$M290&lt;&gt;$A$15)),
        IF(Import.TipoArredondamento&lt;&gt;"TransfereGOV",
              ROUND(OFFSET($P290,0,AO$13),15-13*ORÇAMENTO!$AF$7)/$H290*OFFSET(ORÇAMENTO!$X$15,ROW(AO290)-ROW(AO$15),0),
              ROUND(ROUND(OFFSET($P290,0,AO$13),15-13*ORÇAMENTO!$AF$7)*OFFSET(ORÇAMENTO!$W$15,ROW(AO290)-ROW(AO$15),0),15-13*ORÇAMENTO!$AF$11)),
         0)</f>
        <v>0</v>
      </c>
      <c r="AP290" s="453">
        <f ca="1">IF(AND($D290="Serviço",AP$12&lt;&gt;0,$H290&gt;0,OR(AUTOEVENTO&lt;&gt;"manual",$M290&lt;&gt;$A$15)),
        IF(Import.TipoArredondamento&lt;&gt;"TransfereGOV",
              ROUND(OFFSET($P290,0,AP$13),15-13*ORÇAMENTO!$AF$7)/$H290*OFFSET(ORÇAMENTO!$X$15,ROW(AP290)-ROW(AP$15),0),
              ROUND(ROUND(OFFSET($P290,0,AP$13),15-13*ORÇAMENTO!$AF$7)*OFFSET(ORÇAMENTO!$W$15,ROW(AP290)-ROW(AP$15),0),15-13*ORÇAMENTO!$AF$11)),
         0)</f>
        <v>0</v>
      </c>
      <c r="AQ290" s="453">
        <f ca="1">IF(AND($D290="Serviço",AQ$12&lt;&gt;0,$H290&gt;0,OR(AUTOEVENTO&lt;&gt;"manual",$M290&lt;&gt;$A$15)),
        IF(Import.TipoArredondamento&lt;&gt;"TransfereGOV",
              ROUND(OFFSET($P290,0,AQ$13),15-13*ORÇAMENTO!$AF$7)/$H290*OFFSET(ORÇAMENTO!$X$15,ROW(AQ290)-ROW(AQ$15),0),
              ROUND(ROUND(OFFSET($P290,0,AQ$13),15-13*ORÇAMENTO!$AF$7)*OFFSET(ORÇAMENTO!$W$15,ROW(AQ290)-ROW(AQ$15),0),15-13*ORÇAMENTO!$AF$11)),
         0)</f>
        <v>0</v>
      </c>
      <c r="AR290" s="453">
        <f ca="1">IF(AND($D290="Serviço",AR$12&lt;&gt;0,$H290&gt;0,OR(AUTOEVENTO&lt;&gt;"manual",$M290&lt;&gt;$A$15)),
        IF(Import.TipoArredondamento&lt;&gt;"TransfereGOV",
              ROUND(OFFSET($P290,0,AR$13),15-13*ORÇAMENTO!$AF$7)/$H290*OFFSET(ORÇAMENTO!$X$15,ROW(AR290)-ROW(AR$15),0),
              ROUND(ROUND(OFFSET($P290,0,AR$13),15-13*ORÇAMENTO!$AF$7)*OFFSET(ORÇAMENTO!$W$15,ROW(AR290)-ROW(AR$15),0),15-13*ORÇAMENTO!$AF$11)),
         0)</f>
        <v>0</v>
      </c>
      <c r="AS290" s="453">
        <f ca="1">IF(AND($D290="Serviço",AS$12&lt;&gt;0,$H290&gt;0,OR(AUTOEVENTO&lt;&gt;"manual",$M290&lt;&gt;$A$15)),
        IF(Import.TipoArredondamento&lt;&gt;"TransfereGOV",
              ROUND(OFFSET($P290,0,AS$13),15-13*ORÇAMENTO!$AF$7)/$H290*OFFSET(ORÇAMENTO!$X$15,ROW(AS290)-ROW(AS$15),0),
              ROUND(ROUND(OFFSET($P290,0,AS$13),15-13*ORÇAMENTO!$AF$7)*OFFSET(ORÇAMENTO!$W$15,ROW(AS290)-ROW(AS$15),0),15-13*ORÇAMENTO!$AF$11)),
         0)</f>
        <v>0</v>
      </c>
      <c r="AT290" s="453">
        <f ca="1">IF(AND($D290="Serviço",AT$12&lt;&gt;0,$H290&gt;0,OR(AUTOEVENTO&lt;&gt;"manual",$M290&lt;&gt;$A$15)),
        IF(Import.TipoArredondamento&lt;&gt;"TransfereGOV",
              ROUND(OFFSET($P290,0,AT$13),15-13*ORÇAMENTO!$AF$7)/$H290*OFFSET(ORÇAMENTO!$X$15,ROW(AT290)-ROW(AT$15),0),
              ROUND(ROUND(OFFSET($P290,0,AT$13),15-13*ORÇAMENTO!$AF$7)*OFFSET(ORÇAMENTO!$W$15,ROW(AT290)-ROW(AT$15),0),15-13*ORÇAMENTO!$AF$11)),
         0)</f>
        <v>0</v>
      </c>
      <c r="AU290" s="453">
        <f ca="1">IF(AND($D290="Serviço",AU$12&lt;&gt;0,$H290&gt;0,OR(AUTOEVENTO&lt;&gt;"manual",$M290&lt;&gt;$A$15)),
        IF(Import.TipoArredondamento&lt;&gt;"TransfereGOV",
              ROUND(OFFSET($P290,0,AU$13),15-13*ORÇAMENTO!$AF$7)/$H290*OFFSET(ORÇAMENTO!$X$15,ROW(AU290)-ROW(AU$15),0),
              ROUND(ROUND(OFFSET($P290,0,AU$13),15-13*ORÇAMENTO!$AF$7)*OFFSET(ORÇAMENTO!$W$15,ROW(AU290)-ROW(AU$15),0),15-13*ORÇAMENTO!$AF$11)),
         0)</f>
        <v>0</v>
      </c>
      <c r="AV290" s="453">
        <f ca="1">IF(AND($D290="Serviço",AV$12&lt;&gt;0,$H290&gt;0,OR(AUTOEVENTO&lt;&gt;"manual",$M290&lt;&gt;$A$15)),
        IF(Import.TipoArredondamento&lt;&gt;"TransfereGOV",
              ROUND(OFFSET($P290,0,AV$13),15-13*ORÇAMENTO!$AF$7)/$H290*OFFSET(ORÇAMENTO!$X$15,ROW(AV290)-ROW(AV$15),0),
              ROUND(ROUND(OFFSET($P290,0,AV$13),15-13*ORÇAMENTO!$AF$7)*OFFSET(ORÇAMENTO!$W$15,ROW(AV290)-ROW(AV$15),0),15-13*ORÇAMENTO!$AF$11)),
         0)</f>
        <v>0</v>
      </c>
      <c r="AW290" s="453">
        <f ca="1">IF(AND($D290="Serviço",AW$12&lt;&gt;0,$H290&gt;0,OR(AUTOEVENTO&lt;&gt;"manual",$M290&lt;&gt;$A$15)),
        IF(Import.TipoArredondamento&lt;&gt;"TransfereGOV",
              ROUND(OFFSET($P290,0,AW$13),15-13*ORÇAMENTO!$AF$7)/$H290*OFFSET(ORÇAMENTO!$X$15,ROW(AW290)-ROW(AW$15),0),
              ROUND(ROUND(OFFSET($P290,0,AW$13),15-13*ORÇAMENTO!$AF$7)*OFFSET(ORÇAMENTO!$W$15,ROW(AW290)-ROW(AW$15),0),15-13*ORÇAMENTO!$AF$11)),
         0)</f>
        <v>0</v>
      </c>
      <c r="AX290" s="453">
        <f ca="1">IF(AND($D290="Serviço",AX$12&lt;&gt;0,$H290&gt;0,OR(AUTOEVENTO&lt;&gt;"manual",$M290&lt;&gt;$A$15)),
        IF(Import.TipoArredondamento&lt;&gt;"TransfereGOV",
              ROUND(OFFSET($P290,0,AX$13),15-13*ORÇAMENTO!$AF$7)/$H290*OFFSET(ORÇAMENTO!$X$15,ROW(AX290)-ROW(AX$15),0),
              ROUND(ROUND(OFFSET($P290,0,AX$13),15-13*ORÇAMENTO!$AF$7)*OFFSET(ORÇAMENTO!$W$15,ROW(AX290)-ROW(AX$15),0),15-13*ORÇAMENTO!$AF$11)),
         0)</f>
        <v>0</v>
      </c>
      <c r="AY290" s="453">
        <f ca="1">IF(AND($D290="Serviço",AY$12&lt;&gt;0,$H290&gt;0,OR(AUTOEVENTO&lt;&gt;"manual",$M290&lt;&gt;$A$15)),
        IF(Import.TipoArredondamento&lt;&gt;"TransfereGOV",
              ROUND(OFFSET($P290,0,AY$13),15-13*ORÇAMENTO!$AF$7)/$H290*OFFSET(ORÇAMENTO!$X$15,ROW(AY290)-ROW(AY$15),0),
              ROUND(ROUND(OFFSET($P290,0,AY$13),15-13*ORÇAMENTO!$AF$7)*OFFSET(ORÇAMENTO!$W$15,ROW(AY290)-ROW(AY$15),0),15-13*ORÇAMENTO!$AF$11)),
         0)</f>
        <v>0</v>
      </c>
      <c r="AZ290" s="453">
        <f ca="1">IF(AND($D290="Serviço",AZ$12&lt;&gt;0,$H290&gt;0,OR(AUTOEVENTO&lt;&gt;"manual",$M290&lt;&gt;$A$15)),
        IF(Import.TipoArredondamento&lt;&gt;"TransfereGOV",
              ROUND(OFFSET($P290,0,AZ$13),15-13*ORÇAMENTO!$AF$7)/$H290*OFFSET(ORÇAMENTO!$X$15,ROW(AZ290)-ROW(AZ$15),0),
              ROUND(ROUND(OFFSET($P290,0,AZ$13),15-13*ORÇAMENTO!$AF$7)*OFFSET(ORÇAMENTO!$W$15,ROW(AZ290)-ROW(AZ$15),0),15-13*ORÇAMENTO!$AF$11)),
         0)</f>
        <v>0</v>
      </c>
      <c r="BA290" s="453">
        <f ca="1">IF(AND($D290="Serviço",BA$12&lt;&gt;0,$H290&gt;0,OR(AUTOEVENTO&lt;&gt;"manual",$M290&lt;&gt;$A$15)),
        IF(Import.TipoArredondamento&lt;&gt;"TransfereGOV",
              ROUND(OFFSET($P290,0,BA$13),15-13*ORÇAMENTO!$AF$7)/$H290*OFFSET(ORÇAMENTO!$X$15,ROW(BA290)-ROW(BA$15),0),
              ROUND(ROUND(OFFSET($P290,0,BA$13),15-13*ORÇAMENTO!$AF$7)*OFFSET(ORÇAMENTO!$W$15,ROW(BA290)-ROW(BA$15),0),15-13*ORÇAMENTO!$AF$11)),
         0)</f>
        <v>0</v>
      </c>
      <c r="BC290" s="171">
        <f ca="1">IF(OR($D290&lt;&gt;"Serviço",AND(AUTOEVENTO="Manual",$M290=$A$15)),0,
         IF(OFFSET(CRONOPLE!$F$15,$M290-$A$15,BC$13)=0,10^12,OFFSET(CRONOPLE!$F$15,$M290-$A$15,BC$13)))</f>
        <v>1</v>
      </c>
      <c r="BD290" s="171">
        <f ca="1">IF(OR($D290&lt;&gt;"Serviço",AND(AUTOEVENTO="Manual",$M290=$A$15)),0,
         IF(OFFSET(CRONOPLE!$F$15,$M290-$A$15,BD$13)=0,10^12,OFFSET(CRONOPLE!$F$15,$M290-$A$15,BD$13)))</f>
        <v>2</v>
      </c>
      <c r="BE290" s="171">
        <f ca="1">IF(OR($D290&lt;&gt;"Serviço",AND(AUTOEVENTO="Manual",$M290=$A$15)),0,
         IF(OFFSET(CRONOPLE!$F$15,$M290-$A$15,BE$13)=0,10^12,OFFSET(CRONOPLE!$F$15,$M290-$A$15,BE$13)))</f>
        <v>3</v>
      </c>
      <c r="BF290" s="171">
        <f ca="1">IF(OR($D290&lt;&gt;"Serviço",AND(AUTOEVENTO="Manual",$M290=$A$15)),0,
         IF(OFFSET(CRONOPLE!$F$15,$M290-$A$15,BF$13)=0,10^12,OFFSET(CRONOPLE!$F$15,$M290-$A$15,BF$13)))</f>
        <v>4</v>
      </c>
      <c r="BG290" s="171">
        <f ca="1">IF(OR($D290&lt;&gt;"Serviço",AND(AUTOEVENTO="Manual",$M290=$A$15)),0,
         IF(OFFSET(CRONOPLE!$F$15,$M290-$A$15,BG$13)=0,10^12,OFFSET(CRONOPLE!$F$15,$M290-$A$15,BG$13)))</f>
        <v>5</v>
      </c>
      <c r="BH290" s="171">
        <f ca="1">IF(OR($D290&lt;&gt;"Serviço",AND(AUTOEVENTO="Manual",$M290=$A$15)),0,
         IF(OFFSET(CRONOPLE!$F$15,$M290-$A$15,BH$13)=0,10^12,OFFSET(CRONOPLE!$F$15,$M290-$A$15,BH$13)))</f>
        <v>6</v>
      </c>
      <c r="BI290" s="171">
        <f ca="1">IF(OR($D290&lt;&gt;"Serviço",AND(AUTOEVENTO="Manual",$M290=$A$15)),0,
         IF(OFFSET(CRONOPLE!$F$15,$M290-$A$15,BI$13)=0,10^12,OFFSET(CRONOPLE!$F$15,$M290-$A$15,BI$13)))</f>
        <v>7</v>
      </c>
      <c r="BJ290" s="171">
        <f ca="1">IF(OR($D290&lt;&gt;"Serviço",AND(AUTOEVENTO="Manual",$M290=$A$15)),0,
         IF(OFFSET(CRONOPLE!$F$15,$M290-$A$15,BJ$13)=0,10^12,OFFSET(CRONOPLE!$F$15,$M290-$A$15,BJ$13)))</f>
        <v>8</v>
      </c>
      <c r="BK290" s="171">
        <f ca="1">IF(OR($D290&lt;&gt;"Serviço",AND(AUTOEVENTO="Manual",$M290=$A$15)),0,
         IF(OFFSET(CRONOPLE!$F$15,$M290-$A$15,BK$13)=0,10^12,OFFSET(CRONOPLE!$F$15,$M290-$A$15,BK$13)))</f>
        <v>9</v>
      </c>
      <c r="BL290" s="171">
        <f ca="1">IF(OR($D290&lt;&gt;"Serviço",AND(AUTOEVENTO="Manual",$M290=$A$15)),0,
         IF(OFFSET(CRONOPLE!$F$15,$M290-$A$15,BL$13)=0,10^12,OFFSET(CRONOPLE!$F$15,$M290-$A$15,BL$13)))</f>
        <v>1000000000000</v>
      </c>
      <c r="BM290" s="171">
        <f ca="1">IF(OR($D290&lt;&gt;"Serviço",AND(AUTOEVENTO="Manual",$M290=$A$15)),0,
         IF(OFFSET(CRONOPLE!$F$15,$M290-$A$15,BM$13)=0,10^12,OFFSET(CRONOPLE!$F$15,$M290-$A$15,BM$13)))</f>
        <v>1000000000000</v>
      </c>
      <c r="BN290" s="171">
        <f ca="1">IF(OR($D290&lt;&gt;"Serviço",AND(AUTOEVENTO="Manual",$M290=$A$15)),0,
         IF(OFFSET(CRONOPLE!$F$15,$M290-$A$15,BN$13)=0,10^12,OFFSET(CRONOPLE!$F$15,$M290-$A$15,BN$13)))</f>
        <v>1000000000000</v>
      </c>
      <c r="BO290" s="171">
        <f ca="1">IF(OR($D290&lt;&gt;"Serviço",AND(AUTOEVENTO="Manual",$M290=$A$15)),0,
         IF(OFFSET(CRONOPLE!$F$15,$M290-$A$15,BO$13)=0,10^12,OFFSET(CRONOPLE!$F$15,$M290-$A$15,BO$13)))</f>
        <v>1000000000000</v>
      </c>
      <c r="BP290" s="171">
        <f ca="1">IF(OR($D290&lt;&gt;"Serviço",AND(AUTOEVENTO="Manual",$M290=$A$15)),0,
         IF(OFFSET(CRONOPLE!$F$15,$M290-$A$15,BP$13)=0,10^12,OFFSET(CRONOPLE!$F$15,$M290-$A$15,BP$13)))</f>
        <v>1000000000000</v>
      </c>
      <c r="BQ290" s="171">
        <f ca="1">IF(OR($D290&lt;&gt;"Serviço",AND(AUTOEVENTO="Manual",$M290=$A$15)),0,
         IF(OFFSET(CRONOPLE!$F$15,$M290-$A$15,BQ$13)=0,10^12,OFFSET(CRONOPLE!$F$15,$M290-$A$15,BQ$13)))</f>
        <v>1000000000000</v>
      </c>
      <c r="BR290" s="171">
        <f ca="1">IF(OR($D290&lt;&gt;"Serviço",AND(AUTOEVENTO="Manual",$M290=$A$15)),0,
         IF(OFFSET(CRONOPLE!$F$15,$M290-$A$15,BR$13)=0,10^12,OFFSET(CRONOPLE!$F$15,$M290-$A$15,BR$13)))</f>
        <v>1000000000000</v>
      </c>
      <c r="BS290" s="171">
        <f ca="1">IF(OR($D290&lt;&gt;"Serviço",AND(AUTOEVENTO="Manual",$M290=$A$15)),0,
         IF(OFFSET(CRONOPLE!$F$15,$M290-$A$15,BS$13)=0,10^12,OFFSET(CRONOPLE!$F$15,$M290-$A$15,BS$13)))</f>
        <v>1000000000000</v>
      </c>
      <c r="BT290" s="171">
        <f ca="1">IF(OR($D290&lt;&gt;"Serviço",AND(AUTOEVENTO="Manual",$M290=$A$15)),0,
         IF(OFFSET(CRONOPLE!$F$15,$M290-$A$15,BT$13)=0,10^12,OFFSET(CRONOPLE!$F$15,$M290-$A$15,BT$13)))</f>
        <v>1000000000000</v>
      </c>
      <c r="BV290" s="172">
        <f ca="1">IF(OR($D290&lt;&gt;"Serviço",AND(AUTOEVENTO="Manual",$M290=$A$15),$M290&gt;(ROW(PLE.lastrow)-ROW(PLE.firstrow))),0,
           IF(OFFSET(PLE!$G$15,$M290-$A$15,BV$13)="",10^12,OFFSET(PLE!$G$15,$M290-$A$15,BV$13)))</f>
        <v>1000000000000</v>
      </c>
      <c r="BW290" s="172">
        <f ca="1">IF(OR($D290&lt;&gt;"Serviço",AND(AUTOEVENTO="Manual",$M290=$A$15),$M290&gt;(ROW(PLE.lastrow)-ROW(PLE.firstrow))),0,
           IF(OFFSET(PLE!$G$15,$M290-$A$15,BW$13)="",10^12,OFFSET(PLE!$G$15,$M290-$A$15,BW$13)))</f>
        <v>1000000000000</v>
      </c>
      <c r="BX290" s="172">
        <f ca="1">IF(OR($D290&lt;&gt;"Serviço",AND(AUTOEVENTO="Manual",$M290=$A$15),$M290&gt;(ROW(PLE.lastrow)-ROW(PLE.firstrow))),0,
           IF(OFFSET(PLE!$G$15,$M290-$A$15,BX$13)="",10^12,OFFSET(PLE!$G$15,$M290-$A$15,BX$13)))</f>
        <v>1000000000000</v>
      </c>
      <c r="BY290" s="172">
        <f ca="1">IF(OR($D290&lt;&gt;"Serviço",AND(AUTOEVENTO="Manual",$M290=$A$15),$M290&gt;(ROW(PLE.lastrow)-ROW(PLE.firstrow))),0,
           IF(OFFSET(PLE!$G$15,$M290-$A$15,BY$13)="",10^12,OFFSET(PLE!$G$15,$M290-$A$15,BY$13)))</f>
        <v>1000000000000</v>
      </c>
      <c r="BZ290" s="172">
        <f ca="1">IF(OR($D290&lt;&gt;"Serviço",AND(AUTOEVENTO="Manual",$M290=$A$15),$M290&gt;(ROW(PLE.lastrow)-ROW(PLE.firstrow))),0,
           IF(OFFSET(PLE!$G$15,$M290-$A$15,BZ$13)="",10^12,OFFSET(PLE!$G$15,$M290-$A$15,BZ$13)))</f>
        <v>1000000000000</v>
      </c>
      <c r="CA290" s="172">
        <f ca="1">IF(OR($D290&lt;&gt;"Serviço",AND(AUTOEVENTO="Manual",$M290=$A$15),$M290&gt;(ROW(PLE.lastrow)-ROW(PLE.firstrow))),0,
           IF(OFFSET(PLE!$G$15,$M290-$A$15,CA$13)="",10^12,OFFSET(PLE!$G$15,$M290-$A$15,CA$13)))</f>
        <v>1000000000000</v>
      </c>
      <c r="CB290" s="172">
        <f ca="1">IF(OR($D290&lt;&gt;"Serviço",AND(AUTOEVENTO="Manual",$M290=$A$15),$M290&gt;(ROW(PLE.lastrow)-ROW(PLE.firstrow))),0,
           IF(OFFSET(PLE!$G$15,$M290-$A$15,CB$13)="",10^12,OFFSET(PLE!$G$15,$M290-$A$15,CB$13)))</f>
        <v>1000000000000</v>
      </c>
      <c r="CC290" s="172">
        <f ca="1">IF(OR($D290&lt;&gt;"Serviço",AND(AUTOEVENTO="Manual",$M290=$A$15),$M290&gt;(ROW(PLE.lastrow)-ROW(PLE.firstrow))),0,
           IF(OFFSET(PLE!$G$15,$M290-$A$15,CC$13)="",10^12,OFFSET(PLE!$G$15,$M290-$A$15,CC$13)))</f>
        <v>1000000000000</v>
      </c>
      <c r="CD290" s="172">
        <f ca="1">IF(OR($D290&lt;&gt;"Serviço",AND(AUTOEVENTO="Manual",$M290=$A$15),$M290&gt;(ROW(PLE.lastrow)-ROW(PLE.firstrow))),0,
           IF(OFFSET(PLE!$G$15,$M290-$A$15,CD$13)="",10^12,OFFSET(PLE!$G$15,$M290-$A$15,CD$13)))</f>
        <v>1000000000000</v>
      </c>
      <c r="CE290" s="172">
        <f ca="1">IF(OR($D290&lt;&gt;"Serviço",AND(AUTOEVENTO="Manual",$M290=$A$15),$M290&gt;(ROW(PLE.lastrow)-ROW(PLE.firstrow))),0,
           IF(OFFSET(PLE!$G$15,$M290-$A$15,CE$13)="",10^12,OFFSET(PLE!$G$15,$M290-$A$15,CE$13)))</f>
        <v>1000000000000</v>
      </c>
      <c r="CF290" s="172">
        <f ca="1">IF(OR($D290&lt;&gt;"Serviço",AND(AUTOEVENTO="Manual",$M290=$A$15),$M290&gt;(ROW(PLE.lastrow)-ROW(PLE.firstrow))),0,
           IF(OFFSET(PLE!$G$15,$M290-$A$15,CF$13)="",10^12,OFFSET(PLE!$G$15,$M290-$A$15,CF$13)))</f>
        <v>1000000000000</v>
      </c>
      <c r="CG290" s="172">
        <f ca="1">IF(OR($D290&lt;&gt;"Serviço",AND(AUTOEVENTO="Manual",$M290=$A$15),$M290&gt;(ROW(PLE.lastrow)-ROW(PLE.firstrow))),0,
           IF(OFFSET(PLE!$G$15,$M290-$A$15,CG$13)="",10^12,OFFSET(PLE!$G$15,$M290-$A$15,CG$13)))</f>
        <v>1000000000000</v>
      </c>
      <c r="CH290" s="172">
        <f ca="1">IF(OR($D290&lt;&gt;"Serviço",AND(AUTOEVENTO="Manual",$M290=$A$15),$M290&gt;(ROW(PLE.lastrow)-ROW(PLE.firstrow))),0,
           IF(OFFSET(PLE!$G$15,$M290-$A$15,CH$13)="",10^12,OFFSET(PLE!$G$15,$M290-$A$15,CH$13)))</f>
        <v>1000000000000</v>
      </c>
      <c r="CI290" s="172">
        <f ca="1">IF(OR($D290&lt;&gt;"Serviço",AND(AUTOEVENTO="Manual",$M290=$A$15),$M290&gt;(ROW(PLE.lastrow)-ROW(PLE.firstrow))),0,
           IF(OFFSET(PLE!$G$15,$M290-$A$15,CI$13)="",10^12,OFFSET(PLE!$G$15,$M290-$A$15,CI$13)))</f>
        <v>1000000000000</v>
      </c>
      <c r="CJ290" s="172">
        <f ca="1">IF(OR($D290&lt;&gt;"Serviço",AND(AUTOEVENTO="Manual",$M290=$A$15),$M290&gt;(ROW(PLE.lastrow)-ROW(PLE.firstrow))),0,
           IF(OFFSET(PLE!$G$15,$M290-$A$15,CJ$13)="",10^12,OFFSET(PLE!$G$15,$M290-$A$15,CJ$13)))</f>
        <v>1000000000000</v>
      </c>
      <c r="CK290" s="172">
        <f ca="1">IF(OR($D290&lt;&gt;"Serviço",AND(AUTOEVENTO="Manual",$M290=$A$15),$M290&gt;(ROW(PLE.lastrow)-ROW(PLE.firstrow))),0,
           IF(OFFSET(PLE!$G$15,$M290-$A$15,CK$13)="",10^12,OFFSET(PLE!$G$15,$M290-$A$15,CK$13)))</f>
        <v>1000000000000</v>
      </c>
      <c r="CL290" s="172">
        <f ca="1">IF(OR($D290&lt;&gt;"Serviço",AND(AUTOEVENTO="Manual",$M290=$A$15),$M290&gt;(ROW(PLE.lastrow)-ROW(PLE.firstrow))),0,
           IF(OFFSET(PLE!$G$15,$M290-$A$15,CL$13)="",10^12,OFFSET(PLE!$G$15,$M290-$A$15,CL$13)))</f>
        <v>1000000000000</v>
      </c>
      <c r="CM290" s="172">
        <f ca="1">IF(OR($D290&lt;&gt;"Serviço",AND(AUTOEVENTO="Manual",$M290=$A$15),$M290&gt;(ROW(PLE.lastrow)-ROW(PLE.firstrow))),0,
           IF(OFFSET(PLE!$G$15,$M290-$A$15,CM$13)="",10^12,OFFSET(PLE!$G$15,$M290-$A$15,CM$13)))</f>
        <v>1000000000000</v>
      </c>
    </row>
    <row r="291" spans="1:91" ht="76.5" x14ac:dyDescent="0.2">
      <c r="A291" s="7">
        <f t="shared" ca="1" si="14"/>
        <v>6</v>
      </c>
      <c r="B291" s="7" t="str">
        <f ca="1">OFFSET(ORÇAMENTO!C$15,ROW(B291)-ROW(B$15),0)</f>
        <v>S</v>
      </c>
      <c r="C291" s="7" t="str">
        <f ca="1">OFFSET(ORÇAMENTO!L$15,ROW(C291)-ROW(C$15),0)</f>
        <v>F</v>
      </c>
      <c r="D291" s="116" t="str">
        <f ca="1">OFFSET(ORÇAMENTO!N$15,ROW(D291)-ROW(D$15),0)</f>
        <v>Serviço</v>
      </c>
      <c r="E291" s="117" t="str">
        <f ca="1">OFFSET(ORÇAMENTO!O$15,ROW(E291)-ROW(E$15),0)</f>
        <v>1.7.3.3.2.</v>
      </c>
      <c r="F291" s="163" t="str">
        <f ca="1">OFFSET(ORÇAMENTO!R$15,ROW(F291)-ROW(F$15),0)</f>
        <v>LUVA DE CORRER, PVC, SERIE R, ÁGUA PLUVIAL, DN 150 MM, JUNTA ELÁSTICA, FORNECIDO E INSTALADO EM RAMAL DE ENCAMINHAMENTO. AF_06/2022</v>
      </c>
      <c r="G291" s="164" t="str">
        <f ca="1">IF($D291&lt;&gt;"Serviço","",OFFSET(ORÇAMENTO!S$15,ROW(G291)-ROW(G$15),0))</f>
        <v>UN</v>
      </c>
      <c r="H291" s="122" cm="1">
        <f t="array" aca="1" ref="H291" ca="1">IF($D291&lt;&gt;"Serviço",0,IF(ACOMPANHAMENTO="BM",ROUND(OFFSET(ORÇAMENTO!AJ$15,ROW(H291)-ROW(H$15),0),15-13*ORÇAMENTO!$AF$7),SUMPRODUCT(($Q$1:$AI$1=1)*ROUND($Q291:$AI291,15-13*ORÇAMENTO!$AF$7))))</f>
        <v>10</v>
      </c>
      <c r="I291" s="468" t="s">
        <v>1352</v>
      </c>
      <c r="J291" s="640" t="str" cm="1">
        <f t="array" aca="1" ref="J291" ca="1">IF(OR(B291&lt;&gt;"S",CÁLCULO.FrentesPreenchidas=0),"",IF(AND(ACOMPANHAMENTO="PLE",AUTOEVENTO="Manual",OR(H291&gt;0,ORÇAMENTO!AC291="QUANT."),OR(K291="",M291=0,N291="")),"►E",IF(AND(ACOMPANHAMENTO="PLE",ORÇAMENTO!AC291="QUANT."),"►Q",IF(AND(ACOMPANHAMENTO="PLE",H291&lt;&gt;SUMPRODUCT(($Q$1:$AI$1=1)*ROUND(Q291:AI291,15))),"►S",IF(AND(COUNTIF($P$11:$AI$11,"▼")=0,H291&gt;0,I291=""),"◄M","")))))</f>
        <v/>
      </c>
      <c r="K291" s="641" t="s">
        <v>1385</v>
      </c>
      <c r="L291" s="165" t="s">
        <v>764</v>
      </c>
      <c r="M291" s="166">
        <f ca="1">IF($D291&lt;&gt;"Serviço","",
          IF(AUTOEVENTO="manual",$A291,
                IF(ISERROR(MATCH($A291,$A$15:OFFSET($A291,-1,0),0)),MAX($M$15:OFFSET(M291,-1,0))+1,
                      INDEX($M$15:OFFSET(M291,-1,0),MATCH($A291,$A$15:OFFSET($A291,-1,0),0)))))</f>
        <v>6</v>
      </c>
      <c r="N291" s="167" t="str">
        <f ca="1">IF($D291&lt;&gt;"Serviço","",
         IF(AUTOEVENTO="Manual",
                IF($A291=0,"&lt;-- defina o número do agrupador",
                       OFFSET(EVENTOS!$D$15,$A291-$A$15,0)),
                OFFSET($F$15,$A291,0)))</f>
        <v>Saneamento</v>
      </c>
      <c r="O291" s="168"/>
      <c r="Q291" s="168"/>
      <c r="R291" s="169"/>
      <c r="S291" s="169"/>
      <c r="T291" s="169"/>
      <c r="U291" s="169">
        <v>10</v>
      </c>
      <c r="V291" s="169"/>
      <c r="W291" s="169"/>
      <c r="X291" s="169"/>
      <c r="Y291" s="169"/>
      <c r="Z291" s="170"/>
      <c r="AA291" s="169"/>
      <c r="AB291" s="169"/>
      <c r="AC291" s="169"/>
      <c r="AD291" s="169"/>
      <c r="AE291" s="169"/>
      <c r="AF291" s="169"/>
      <c r="AG291" s="169"/>
      <c r="AH291" s="170"/>
      <c r="AJ291" s="453">
        <f ca="1">IF(AND($D291="Serviço",AJ$12&lt;&gt;0,$H291&gt;0,OR(AUTOEVENTO&lt;&gt;"manual",$M291&lt;&gt;$A$15)),
        IF(Import.TipoArredondamento&lt;&gt;"TransfereGOV",
              ROUND(OFFSET($P291,0,AJ$13),15-13*ORÇAMENTO!$AF$7)/$H291*OFFSET(ORÇAMENTO!$X$15,ROW(AJ291)-ROW(AJ$15),0),
              ROUND(ROUND(OFFSET($P291,0,AJ$13),15-13*ORÇAMENTO!$AF$7)*OFFSET(ORÇAMENTO!$W$15,ROW(AJ291)-ROW(AJ$15),0),15-13*ORÇAMENTO!$AF$11)),
         0)</f>
        <v>0</v>
      </c>
      <c r="AK291" s="453">
        <f ca="1">IF(AND($D291="Serviço",AK$12&lt;&gt;0,$H291&gt;0,OR(AUTOEVENTO&lt;&gt;"manual",$M291&lt;&gt;$A$15)),
        IF(Import.TipoArredondamento&lt;&gt;"TransfereGOV",
              ROUND(OFFSET($P291,0,AK$13),15-13*ORÇAMENTO!$AF$7)/$H291*OFFSET(ORÇAMENTO!$X$15,ROW(AK291)-ROW(AK$15),0),
              ROUND(ROUND(OFFSET($P291,0,AK$13),15-13*ORÇAMENTO!$AF$7)*OFFSET(ORÇAMENTO!$W$15,ROW(AK291)-ROW(AK$15),0),15-13*ORÇAMENTO!$AF$11)),
         0)</f>
        <v>0</v>
      </c>
      <c r="AL291" s="453">
        <f ca="1">IF(AND($D291="Serviço",AL$12&lt;&gt;0,$H291&gt;0,OR(AUTOEVENTO&lt;&gt;"manual",$M291&lt;&gt;$A$15)),
        IF(Import.TipoArredondamento&lt;&gt;"TransfereGOV",
              ROUND(OFFSET($P291,0,AL$13),15-13*ORÇAMENTO!$AF$7)/$H291*OFFSET(ORÇAMENTO!$X$15,ROW(AL291)-ROW(AL$15),0),
              ROUND(ROUND(OFFSET($P291,0,AL$13),15-13*ORÇAMENTO!$AF$7)*OFFSET(ORÇAMENTO!$W$15,ROW(AL291)-ROW(AL$15),0),15-13*ORÇAMENTO!$AF$11)),
         0)</f>
        <v>0</v>
      </c>
      <c r="AM291" s="453">
        <f ca="1">IF(AND($D291="Serviço",AM$12&lt;&gt;0,$H291&gt;0,OR(AUTOEVENTO&lt;&gt;"manual",$M291&lt;&gt;$A$15)),
        IF(Import.TipoArredondamento&lt;&gt;"TransfereGOV",
              ROUND(OFFSET($P291,0,AM$13),15-13*ORÇAMENTO!$AF$7)/$H291*OFFSET(ORÇAMENTO!$X$15,ROW(AM291)-ROW(AM$15),0),
              ROUND(ROUND(OFFSET($P291,0,AM$13),15-13*ORÇAMENTO!$AF$7)*OFFSET(ORÇAMENTO!$W$15,ROW(AM291)-ROW(AM$15),0),15-13*ORÇAMENTO!$AF$11)),
         0)</f>
        <v>0</v>
      </c>
      <c r="AN291" s="453">
        <f ca="1">IF(AND($D291="Serviço",AN$12&lt;&gt;0,$H291&gt;0,OR(AUTOEVENTO&lt;&gt;"manual",$M291&lt;&gt;$A$15)),
        IF(Import.TipoArredondamento&lt;&gt;"TransfereGOV",
              ROUND(OFFSET($P291,0,AN$13),15-13*ORÇAMENTO!$AF$7)/$H291*OFFSET(ORÇAMENTO!$X$15,ROW(AN291)-ROW(AN$15),0),
              ROUND(ROUND(OFFSET($P291,0,AN$13),15-13*ORÇAMENTO!$AF$7)*OFFSET(ORÇAMENTO!$W$15,ROW(AN291)-ROW(AN$15),0),15-13*ORÇAMENTO!$AF$11)),
         0)</f>
        <v>0</v>
      </c>
      <c r="AO291" s="453">
        <f ca="1">IF(AND($D291="Serviço",AO$12&lt;&gt;0,$H291&gt;0,OR(AUTOEVENTO&lt;&gt;"manual",$M291&lt;&gt;$A$15)),
        IF(Import.TipoArredondamento&lt;&gt;"TransfereGOV",
              ROUND(OFFSET($P291,0,AO$13),15-13*ORÇAMENTO!$AF$7)/$H291*OFFSET(ORÇAMENTO!$X$15,ROW(AO291)-ROW(AO$15),0),
              ROUND(ROUND(OFFSET($P291,0,AO$13),15-13*ORÇAMENTO!$AF$7)*OFFSET(ORÇAMENTO!$W$15,ROW(AO291)-ROW(AO$15),0),15-13*ORÇAMENTO!$AF$11)),
         0)</f>
        <v>0</v>
      </c>
      <c r="AP291" s="453">
        <f ca="1">IF(AND($D291="Serviço",AP$12&lt;&gt;0,$H291&gt;0,OR(AUTOEVENTO&lt;&gt;"manual",$M291&lt;&gt;$A$15)),
        IF(Import.TipoArredondamento&lt;&gt;"TransfereGOV",
              ROUND(OFFSET($P291,0,AP$13),15-13*ORÇAMENTO!$AF$7)/$H291*OFFSET(ORÇAMENTO!$X$15,ROW(AP291)-ROW(AP$15),0),
              ROUND(ROUND(OFFSET($P291,0,AP$13),15-13*ORÇAMENTO!$AF$7)*OFFSET(ORÇAMENTO!$W$15,ROW(AP291)-ROW(AP$15),0),15-13*ORÇAMENTO!$AF$11)),
         0)</f>
        <v>0</v>
      </c>
      <c r="AQ291" s="453">
        <f ca="1">IF(AND($D291="Serviço",AQ$12&lt;&gt;0,$H291&gt;0,OR(AUTOEVENTO&lt;&gt;"manual",$M291&lt;&gt;$A$15)),
        IF(Import.TipoArredondamento&lt;&gt;"TransfereGOV",
              ROUND(OFFSET($P291,0,AQ$13),15-13*ORÇAMENTO!$AF$7)/$H291*OFFSET(ORÇAMENTO!$X$15,ROW(AQ291)-ROW(AQ$15),0),
              ROUND(ROUND(OFFSET($P291,0,AQ$13),15-13*ORÇAMENTO!$AF$7)*OFFSET(ORÇAMENTO!$W$15,ROW(AQ291)-ROW(AQ$15),0),15-13*ORÇAMENTO!$AF$11)),
         0)</f>
        <v>0</v>
      </c>
      <c r="AR291" s="453">
        <f ca="1">IF(AND($D291="Serviço",AR$12&lt;&gt;0,$H291&gt;0,OR(AUTOEVENTO&lt;&gt;"manual",$M291&lt;&gt;$A$15)),
        IF(Import.TipoArredondamento&lt;&gt;"TransfereGOV",
              ROUND(OFFSET($P291,0,AR$13),15-13*ORÇAMENTO!$AF$7)/$H291*OFFSET(ORÇAMENTO!$X$15,ROW(AR291)-ROW(AR$15),0),
              ROUND(ROUND(OFFSET($P291,0,AR$13),15-13*ORÇAMENTO!$AF$7)*OFFSET(ORÇAMENTO!$W$15,ROW(AR291)-ROW(AR$15),0),15-13*ORÇAMENTO!$AF$11)),
         0)</f>
        <v>0</v>
      </c>
      <c r="AS291" s="453">
        <f ca="1">IF(AND($D291="Serviço",AS$12&lt;&gt;0,$H291&gt;0,OR(AUTOEVENTO&lt;&gt;"manual",$M291&lt;&gt;$A$15)),
        IF(Import.TipoArredondamento&lt;&gt;"TransfereGOV",
              ROUND(OFFSET($P291,0,AS$13),15-13*ORÇAMENTO!$AF$7)/$H291*OFFSET(ORÇAMENTO!$X$15,ROW(AS291)-ROW(AS$15),0),
              ROUND(ROUND(OFFSET($P291,0,AS$13),15-13*ORÇAMENTO!$AF$7)*OFFSET(ORÇAMENTO!$W$15,ROW(AS291)-ROW(AS$15),0),15-13*ORÇAMENTO!$AF$11)),
         0)</f>
        <v>0</v>
      </c>
      <c r="AT291" s="453">
        <f ca="1">IF(AND($D291="Serviço",AT$12&lt;&gt;0,$H291&gt;0,OR(AUTOEVENTO&lt;&gt;"manual",$M291&lt;&gt;$A$15)),
        IF(Import.TipoArredondamento&lt;&gt;"TransfereGOV",
              ROUND(OFFSET($P291,0,AT$13),15-13*ORÇAMENTO!$AF$7)/$H291*OFFSET(ORÇAMENTO!$X$15,ROW(AT291)-ROW(AT$15),0),
              ROUND(ROUND(OFFSET($P291,0,AT$13),15-13*ORÇAMENTO!$AF$7)*OFFSET(ORÇAMENTO!$W$15,ROW(AT291)-ROW(AT$15),0),15-13*ORÇAMENTO!$AF$11)),
         0)</f>
        <v>0</v>
      </c>
      <c r="AU291" s="453">
        <f ca="1">IF(AND($D291="Serviço",AU$12&lt;&gt;0,$H291&gt;0,OR(AUTOEVENTO&lt;&gt;"manual",$M291&lt;&gt;$A$15)),
        IF(Import.TipoArredondamento&lt;&gt;"TransfereGOV",
              ROUND(OFFSET($P291,0,AU$13),15-13*ORÇAMENTO!$AF$7)/$H291*OFFSET(ORÇAMENTO!$X$15,ROW(AU291)-ROW(AU$15),0),
              ROUND(ROUND(OFFSET($P291,0,AU$13),15-13*ORÇAMENTO!$AF$7)*OFFSET(ORÇAMENTO!$W$15,ROW(AU291)-ROW(AU$15),0),15-13*ORÇAMENTO!$AF$11)),
         0)</f>
        <v>0</v>
      </c>
      <c r="AV291" s="453">
        <f ca="1">IF(AND($D291="Serviço",AV$12&lt;&gt;0,$H291&gt;0,OR(AUTOEVENTO&lt;&gt;"manual",$M291&lt;&gt;$A$15)),
        IF(Import.TipoArredondamento&lt;&gt;"TransfereGOV",
              ROUND(OFFSET($P291,0,AV$13),15-13*ORÇAMENTO!$AF$7)/$H291*OFFSET(ORÇAMENTO!$X$15,ROW(AV291)-ROW(AV$15),0),
              ROUND(ROUND(OFFSET($P291,0,AV$13),15-13*ORÇAMENTO!$AF$7)*OFFSET(ORÇAMENTO!$W$15,ROW(AV291)-ROW(AV$15),0),15-13*ORÇAMENTO!$AF$11)),
         0)</f>
        <v>0</v>
      </c>
      <c r="AW291" s="453">
        <f ca="1">IF(AND($D291="Serviço",AW$12&lt;&gt;0,$H291&gt;0,OR(AUTOEVENTO&lt;&gt;"manual",$M291&lt;&gt;$A$15)),
        IF(Import.TipoArredondamento&lt;&gt;"TransfereGOV",
              ROUND(OFFSET($P291,0,AW$13),15-13*ORÇAMENTO!$AF$7)/$H291*OFFSET(ORÇAMENTO!$X$15,ROW(AW291)-ROW(AW$15),0),
              ROUND(ROUND(OFFSET($P291,0,AW$13),15-13*ORÇAMENTO!$AF$7)*OFFSET(ORÇAMENTO!$W$15,ROW(AW291)-ROW(AW$15),0),15-13*ORÇAMENTO!$AF$11)),
         0)</f>
        <v>0</v>
      </c>
      <c r="AX291" s="453">
        <f ca="1">IF(AND($D291="Serviço",AX$12&lt;&gt;0,$H291&gt;0,OR(AUTOEVENTO&lt;&gt;"manual",$M291&lt;&gt;$A$15)),
        IF(Import.TipoArredondamento&lt;&gt;"TransfereGOV",
              ROUND(OFFSET($P291,0,AX$13),15-13*ORÇAMENTO!$AF$7)/$H291*OFFSET(ORÇAMENTO!$X$15,ROW(AX291)-ROW(AX$15),0),
              ROUND(ROUND(OFFSET($P291,0,AX$13),15-13*ORÇAMENTO!$AF$7)*OFFSET(ORÇAMENTO!$W$15,ROW(AX291)-ROW(AX$15),0),15-13*ORÇAMENTO!$AF$11)),
         0)</f>
        <v>0</v>
      </c>
      <c r="AY291" s="453">
        <f ca="1">IF(AND($D291="Serviço",AY$12&lt;&gt;0,$H291&gt;0,OR(AUTOEVENTO&lt;&gt;"manual",$M291&lt;&gt;$A$15)),
        IF(Import.TipoArredondamento&lt;&gt;"TransfereGOV",
              ROUND(OFFSET($P291,0,AY$13),15-13*ORÇAMENTO!$AF$7)/$H291*OFFSET(ORÇAMENTO!$X$15,ROW(AY291)-ROW(AY$15),0),
              ROUND(ROUND(OFFSET($P291,0,AY$13),15-13*ORÇAMENTO!$AF$7)*OFFSET(ORÇAMENTO!$W$15,ROW(AY291)-ROW(AY$15),0),15-13*ORÇAMENTO!$AF$11)),
         0)</f>
        <v>0</v>
      </c>
      <c r="AZ291" s="453">
        <f ca="1">IF(AND($D291="Serviço",AZ$12&lt;&gt;0,$H291&gt;0,OR(AUTOEVENTO&lt;&gt;"manual",$M291&lt;&gt;$A$15)),
        IF(Import.TipoArredondamento&lt;&gt;"TransfereGOV",
              ROUND(OFFSET($P291,0,AZ$13),15-13*ORÇAMENTO!$AF$7)/$H291*OFFSET(ORÇAMENTO!$X$15,ROW(AZ291)-ROW(AZ$15),0),
              ROUND(ROUND(OFFSET($P291,0,AZ$13),15-13*ORÇAMENTO!$AF$7)*OFFSET(ORÇAMENTO!$W$15,ROW(AZ291)-ROW(AZ$15),0),15-13*ORÇAMENTO!$AF$11)),
         0)</f>
        <v>0</v>
      </c>
      <c r="BA291" s="453">
        <f ca="1">IF(AND($D291="Serviço",BA$12&lt;&gt;0,$H291&gt;0,OR(AUTOEVENTO&lt;&gt;"manual",$M291&lt;&gt;$A$15)),
        IF(Import.TipoArredondamento&lt;&gt;"TransfereGOV",
              ROUND(OFFSET($P291,0,BA$13),15-13*ORÇAMENTO!$AF$7)/$H291*OFFSET(ORÇAMENTO!$X$15,ROW(BA291)-ROW(BA$15),0),
              ROUND(ROUND(OFFSET($P291,0,BA$13),15-13*ORÇAMENTO!$AF$7)*OFFSET(ORÇAMENTO!$W$15,ROW(BA291)-ROW(BA$15),0),15-13*ORÇAMENTO!$AF$11)),
         0)</f>
        <v>0</v>
      </c>
      <c r="BC291" s="171">
        <f ca="1">IF(OR($D291&lt;&gt;"Serviço",AND(AUTOEVENTO="Manual",$M291=$A$15)),0,
         IF(OFFSET(CRONOPLE!$F$15,$M291-$A$15,BC$13)=0,10^12,OFFSET(CRONOPLE!$F$15,$M291-$A$15,BC$13)))</f>
        <v>1</v>
      </c>
      <c r="BD291" s="171">
        <f ca="1">IF(OR($D291&lt;&gt;"Serviço",AND(AUTOEVENTO="Manual",$M291=$A$15)),0,
         IF(OFFSET(CRONOPLE!$F$15,$M291-$A$15,BD$13)=0,10^12,OFFSET(CRONOPLE!$F$15,$M291-$A$15,BD$13)))</f>
        <v>2</v>
      </c>
      <c r="BE291" s="171">
        <f ca="1">IF(OR($D291&lt;&gt;"Serviço",AND(AUTOEVENTO="Manual",$M291=$A$15)),0,
         IF(OFFSET(CRONOPLE!$F$15,$M291-$A$15,BE$13)=0,10^12,OFFSET(CRONOPLE!$F$15,$M291-$A$15,BE$13)))</f>
        <v>3</v>
      </c>
      <c r="BF291" s="171">
        <f ca="1">IF(OR($D291&lt;&gt;"Serviço",AND(AUTOEVENTO="Manual",$M291=$A$15)),0,
         IF(OFFSET(CRONOPLE!$F$15,$M291-$A$15,BF$13)=0,10^12,OFFSET(CRONOPLE!$F$15,$M291-$A$15,BF$13)))</f>
        <v>4</v>
      </c>
      <c r="BG291" s="171">
        <f ca="1">IF(OR($D291&lt;&gt;"Serviço",AND(AUTOEVENTO="Manual",$M291=$A$15)),0,
         IF(OFFSET(CRONOPLE!$F$15,$M291-$A$15,BG$13)=0,10^12,OFFSET(CRONOPLE!$F$15,$M291-$A$15,BG$13)))</f>
        <v>5</v>
      </c>
      <c r="BH291" s="171">
        <f ca="1">IF(OR($D291&lt;&gt;"Serviço",AND(AUTOEVENTO="Manual",$M291=$A$15)),0,
         IF(OFFSET(CRONOPLE!$F$15,$M291-$A$15,BH$13)=0,10^12,OFFSET(CRONOPLE!$F$15,$M291-$A$15,BH$13)))</f>
        <v>6</v>
      </c>
      <c r="BI291" s="171">
        <f ca="1">IF(OR($D291&lt;&gt;"Serviço",AND(AUTOEVENTO="Manual",$M291=$A$15)),0,
         IF(OFFSET(CRONOPLE!$F$15,$M291-$A$15,BI$13)=0,10^12,OFFSET(CRONOPLE!$F$15,$M291-$A$15,BI$13)))</f>
        <v>7</v>
      </c>
      <c r="BJ291" s="171">
        <f ca="1">IF(OR($D291&lt;&gt;"Serviço",AND(AUTOEVENTO="Manual",$M291=$A$15)),0,
         IF(OFFSET(CRONOPLE!$F$15,$M291-$A$15,BJ$13)=0,10^12,OFFSET(CRONOPLE!$F$15,$M291-$A$15,BJ$13)))</f>
        <v>8</v>
      </c>
      <c r="BK291" s="171">
        <f ca="1">IF(OR($D291&lt;&gt;"Serviço",AND(AUTOEVENTO="Manual",$M291=$A$15)),0,
         IF(OFFSET(CRONOPLE!$F$15,$M291-$A$15,BK$13)=0,10^12,OFFSET(CRONOPLE!$F$15,$M291-$A$15,BK$13)))</f>
        <v>9</v>
      </c>
      <c r="BL291" s="171">
        <f ca="1">IF(OR($D291&lt;&gt;"Serviço",AND(AUTOEVENTO="Manual",$M291=$A$15)),0,
         IF(OFFSET(CRONOPLE!$F$15,$M291-$A$15,BL$13)=0,10^12,OFFSET(CRONOPLE!$F$15,$M291-$A$15,BL$13)))</f>
        <v>1000000000000</v>
      </c>
      <c r="BM291" s="171">
        <f ca="1">IF(OR($D291&lt;&gt;"Serviço",AND(AUTOEVENTO="Manual",$M291=$A$15)),0,
         IF(OFFSET(CRONOPLE!$F$15,$M291-$A$15,BM$13)=0,10^12,OFFSET(CRONOPLE!$F$15,$M291-$A$15,BM$13)))</f>
        <v>1000000000000</v>
      </c>
      <c r="BN291" s="171">
        <f ca="1">IF(OR($D291&lt;&gt;"Serviço",AND(AUTOEVENTO="Manual",$M291=$A$15)),0,
         IF(OFFSET(CRONOPLE!$F$15,$M291-$A$15,BN$13)=0,10^12,OFFSET(CRONOPLE!$F$15,$M291-$A$15,BN$13)))</f>
        <v>1000000000000</v>
      </c>
      <c r="BO291" s="171">
        <f ca="1">IF(OR($D291&lt;&gt;"Serviço",AND(AUTOEVENTO="Manual",$M291=$A$15)),0,
         IF(OFFSET(CRONOPLE!$F$15,$M291-$A$15,BO$13)=0,10^12,OFFSET(CRONOPLE!$F$15,$M291-$A$15,BO$13)))</f>
        <v>1000000000000</v>
      </c>
      <c r="BP291" s="171">
        <f ca="1">IF(OR($D291&lt;&gt;"Serviço",AND(AUTOEVENTO="Manual",$M291=$A$15)),0,
         IF(OFFSET(CRONOPLE!$F$15,$M291-$A$15,BP$13)=0,10^12,OFFSET(CRONOPLE!$F$15,$M291-$A$15,BP$13)))</f>
        <v>1000000000000</v>
      </c>
      <c r="BQ291" s="171">
        <f ca="1">IF(OR($D291&lt;&gt;"Serviço",AND(AUTOEVENTO="Manual",$M291=$A$15)),0,
         IF(OFFSET(CRONOPLE!$F$15,$M291-$A$15,BQ$13)=0,10^12,OFFSET(CRONOPLE!$F$15,$M291-$A$15,BQ$13)))</f>
        <v>1000000000000</v>
      </c>
      <c r="BR291" s="171">
        <f ca="1">IF(OR($D291&lt;&gt;"Serviço",AND(AUTOEVENTO="Manual",$M291=$A$15)),0,
         IF(OFFSET(CRONOPLE!$F$15,$M291-$A$15,BR$13)=0,10^12,OFFSET(CRONOPLE!$F$15,$M291-$A$15,BR$13)))</f>
        <v>1000000000000</v>
      </c>
      <c r="BS291" s="171">
        <f ca="1">IF(OR($D291&lt;&gt;"Serviço",AND(AUTOEVENTO="Manual",$M291=$A$15)),0,
         IF(OFFSET(CRONOPLE!$F$15,$M291-$A$15,BS$13)=0,10^12,OFFSET(CRONOPLE!$F$15,$M291-$A$15,BS$13)))</f>
        <v>1000000000000</v>
      </c>
      <c r="BT291" s="171">
        <f ca="1">IF(OR($D291&lt;&gt;"Serviço",AND(AUTOEVENTO="Manual",$M291=$A$15)),0,
         IF(OFFSET(CRONOPLE!$F$15,$M291-$A$15,BT$13)=0,10^12,OFFSET(CRONOPLE!$F$15,$M291-$A$15,BT$13)))</f>
        <v>1000000000000</v>
      </c>
      <c r="BV291" s="172">
        <f ca="1">IF(OR($D291&lt;&gt;"Serviço",AND(AUTOEVENTO="Manual",$M291=$A$15),$M291&gt;(ROW(PLE.lastrow)-ROW(PLE.firstrow))),0,
           IF(OFFSET(PLE!$G$15,$M291-$A$15,BV$13)="",10^12,OFFSET(PLE!$G$15,$M291-$A$15,BV$13)))</f>
        <v>1000000000000</v>
      </c>
      <c r="BW291" s="172">
        <f ca="1">IF(OR($D291&lt;&gt;"Serviço",AND(AUTOEVENTO="Manual",$M291=$A$15),$M291&gt;(ROW(PLE.lastrow)-ROW(PLE.firstrow))),0,
           IF(OFFSET(PLE!$G$15,$M291-$A$15,BW$13)="",10^12,OFFSET(PLE!$G$15,$M291-$A$15,BW$13)))</f>
        <v>1000000000000</v>
      </c>
      <c r="BX291" s="172">
        <f ca="1">IF(OR($D291&lt;&gt;"Serviço",AND(AUTOEVENTO="Manual",$M291=$A$15),$M291&gt;(ROW(PLE.lastrow)-ROW(PLE.firstrow))),0,
           IF(OFFSET(PLE!$G$15,$M291-$A$15,BX$13)="",10^12,OFFSET(PLE!$G$15,$M291-$A$15,BX$13)))</f>
        <v>1000000000000</v>
      </c>
      <c r="BY291" s="172">
        <f ca="1">IF(OR($D291&lt;&gt;"Serviço",AND(AUTOEVENTO="Manual",$M291=$A$15),$M291&gt;(ROW(PLE.lastrow)-ROW(PLE.firstrow))),0,
           IF(OFFSET(PLE!$G$15,$M291-$A$15,BY$13)="",10^12,OFFSET(PLE!$G$15,$M291-$A$15,BY$13)))</f>
        <v>1000000000000</v>
      </c>
      <c r="BZ291" s="172">
        <f ca="1">IF(OR($D291&lt;&gt;"Serviço",AND(AUTOEVENTO="Manual",$M291=$A$15),$M291&gt;(ROW(PLE.lastrow)-ROW(PLE.firstrow))),0,
           IF(OFFSET(PLE!$G$15,$M291-$A$15,BZ$13)="",10^12,OFFSET(PLE!$G$15,$M291-$A$15,BZ$13)))</f>
        <v>1000000000000</v>
      </c>
      <c r="CA291" s="172">
        <f ca="1">IF(OR($D291&lt;&gt;"Serviço",AND(AUTOEVENTO="Manual",$M291=$A$15),$M291&gt;(ROW(PLE.lastrow)-ROW(PLE.firstrow))),0,
           IF(OFFSET(PLE!$G$15,$M291-$A$15,CA$13)="",10^12,OFFSET(PLE!$G$15,$M291-$A$15,CA$13)))</f>
        <v>1000000000000</v>
      </c>
      <c r="CB291" s="172">
        <f ca="1">IF(OR($D291&lt;&gt;"Serviço",AND(AUTOEVENTO="Manual",$M291=$A$15),$M291&gt;(ROW(PLE.lastrow)-ROW(PLE.firstrow))),0,
           IF(OFFSET(PLE!$G$15,$M291-$A$15,CB$13)="",10^12,OFFSET(PLE!$G$15,$M291-$A$15,CB$13)))</f>
        <v>1000000000000</v>
      </c>
      <c r="CC291" s="172">
        <f ca="1">IF(OR($D291&lt;&gt;"Serviço",AND(AUTOEVENTO="Manual",$M291=$A$15),$M291&gt;(ROW(PLE.lastrow)-ROW(PLE.firstrow))),0,
           IF(OFFSET(PLE!$G$15,$M291-$A$15,CC$13)="",10^12,OFFSET(PLE!$G$15,$M291-$A$15,CC$13)))</f>
        <v>1000000000000</v>
      </c>
      <c r="CD291" s="172">
        <f ca="1">IF(OR($D291&lt;&gt;"Serviço",AND(AUTOEVENTO="Manual",$M291=$A$15),$M291&gt;(ROW(PLE.lastrow)-ROW(PLE.firstrow))),0,
           IF(OFFSET(PLE!$G$15,$M291-$A$15,CD$13)="",10^12,OFFSET(PLE!$G$15,$M291-$A$15,CD$13)))</f>
        <v>1000000000000</v>
      </c>
      <c r="CE291" s="172">
        <f ca="1">IF(OR($D291&lt;&gt;"Serviço",AND(AUTOEVENTO="Manual",$M291=$A$15),$M291&gt;(ROW(PLE.lastrow)-ROW(PLE.firstrow))),0,
           IF(OFFSET(PLE!$G$15,$M291-$A$15,CE$13)="",10^12,OFFSET(PLE!$G$15,$M291-$A$15,CE$13)))</f>
        <v>1000000000000</v>
      </c>
      <c r="CF291" s="172">
        <f ca="1">IF(OR($D291&lt;&gt;"Serviço",AND(AUTOEVENTO="Manual",$M291=$A$15),$M291&gt;(ROW(PLE.lastrow)-ROW(PLE.firstrow))),0,
           IF(OFFSET(PLE!$G$15,$M291-$A$15,CF$13)="",10^12,OFFSET(PLE!$G$15,$M291-$A$15,CF$13)))</f>
        <v>1000000000000</v>
      </c>
      <c r="CG291" s="172">
        <f ca="1">IF(OR($D291&lt;&gt;"Serviço",AND(AUTOEVENTO="Manual",$M291=$A$15),$M291&gt;(ROW(PLE.lastrow)-ROW(PLE.firstrow))),0,
           IF(OFFSET(PLE!$G$15,$M291-$A$15,CG$13)="",10^12,OFFSET(PLE!$G$15,$M291-$A$15,CG$13)))</f>
        <v>1000000000000</v>
      </c>
      <c r="CH291" s="172">
        <f ca="1">IF(OR($D291&lt;&gt;"Serviço",AND(AUTOEVENTO="Manual",$M291=$A$15),$M291&gt;(ROW(PLE.lastrow)-ROW(PLE.firstrow))),0,
           IF(OFFSET(PLE!$G$15,$M291-$A$15,CH$13)="",10^12,OFFSET(PLE!$G$15,$M291-$A$15,CH$13)))</f>
        <v>1000000000000</v>
      </c>
      <c r="CI291" s="172">
        <f ca="1">IF(OR($D291&lt;&gt;"Serviço",AND(AUTOEVENTO="Manual",$M291=$A$15),$M291&gt;(ROW(PLE.lastrow)-ROW(PLE.firstrow))),0,
           IF(OFFSET(PLE!$G$15,$M291-$A$15,CI$13)="",10^12,OFFSET(PLE!$G$15,$M291-$A$15,CI$13)))</f>
        <v>1000000000000</v>
      </c>
      <c r="CJ291" s="172">
        <f ca="1">IF(OR($D291&lt;&gt;"Serviço",AND(AUTOEVENTO="Manual",$M291=$A$15),$M291&gt;(ROW(PLE.lastrow)-ROW(PLE.firstrow))),0,
           IF(OFFSET(PLE!$G$15,$M291-$A$15,CJ$13)="",10^12,OFFSET(PLE!$G$15,$M291-$A$15,CJ$13)))</f>
        <v>1000000000000</v>
      </c>
      <c r="CK291" s="172">
        <f ca="1">IF(OR($D291&lt;&gt;"Serviço",AND(AUTOEVENTO="Manual",$M291=$A$15),$M291&gt;(ROW(PLE.lastrow)-ROW(PLE.firstrow))),0,
           IF(OFFSET(PLE!$G$15,$M291-$A$15,CK$13)="",10^12,OFFSET(PLE!$G$15,$M291-$A$15,CK$13)))</f>
        <v>1000000000000</v>
      </c>
      <c r="CL291" s="172">
        <f ca="1">IF(OR($D291&lt;&gt;"Serviço",AND(AUTOEVENTO="Manual",$M291=$A$15),$M291&gt;(ROW(PLE.lastrow)-ROW(PLE.firstrow))),0,
           IF(OFFSET(PLE!$G$15,$M291-$A$15,CL$13)="",10^12,OFFSET(PLE!$G$15,$M291-$A$15,CL$13)))</f>
        <v>1000000000000</v>
      </c>
      <c r="CM291" s="172">
        <f ca="1">IF(OR($D291&lt;&gt;"Serviço",AND(AUTOEVENTO="Manual",$M291=$A$15),$M291&gt;(ROW(PLE.lastrow)-ROW(PLE.firstrow))),0,
           IF(OFFSET(PLE!$G$15,$M291-$A$15,CM$13)="",10^12,OFFSET(PLE!$G$15,$M291-$A$15,CM$13)))</f>
        <v>1000000000000</v>
      </c>
    </row>
    <row r="292" spans="1:91" ht="76.5" x14ac:dyDescent="0.2">
      <c r="A292" s="7">
        <f t="shared" ca="1" si="14"/>
        <v>6</v>
      </c>
      <c r="B292" s="7" t="str">
        <f ca="1">OFFSET(ORÇAMENTO!C$15,ROW(B292)-ROW(B$15),0)</f>
        <v>S</v>
      </c>
      <c r="C292" s="7" t="str">
        <f ca="1">OFFSET(ORÇAMENTO!L$15,ROW(C292)-ROW(C$15),0)</f>
        <v>F</v>
      </c>
      <c r="D292" s="116" t="str">
        <f ca="1">OFFSET(ORÇAMENTO!N$15,ROW(D292)-ROW(D$15),0)</f>
        <v>Serviço</v>
      </c>
      <c r="E292" s="117" t="str">
        <f ca="1">OFFSET(ORÇAMENTO!O$15,ROW(E292)-ROW(E$15),0)</f>
        <v>1.7.3.3.3.</v>
      </c>
      <c r="F292" s="163" t="str">
        <f ca="1">OFFSET(ORÇAMENTO!R$15,ROW(F292)-ROW(F$15),0)</f>
        <v>TUBO PVC, SERIE NORMAL, ESGOTO PREDIAL, DN 150 MM, FORNECIDO E INSTALADO EM SUBCOLETOR AÉREO DE ESGOTO SANITÁRIO. AF_08/2022</v>
      </c>
      <c r="G292" s="164" t="str">
        <f ca="1">IF($D292&lt;&gt;"Serviço","",OFFSET(ORÇAMENTO!S$15,ROW(G292)-ROW(G$15),0))</f>
        <v>M</v>
      </c>
      <c r="H292" s="122" cm="1">
        <f t="array" aca="1" ref="H292" ca="1">IF($D292&lt;&gt;"Serviço",0,IF(ACOMPANHAMENTO="BM",ROUND(OFFSET(ORÇAMENTO!AJ$15,ROW(H292)-ROW(H$15),0),15-13*ORÇAMENTO!$AF$7),SUMPRODUCT(($Q$1:$AI$1=1)*ROUND($Q292:$AI292,15-13*ORÇAMENTO!$AF$7))))</f>
        <v>6</v>
      </c>
      <c r="I292" s="468" t="s">
        <v>1352</v>
      </c>
      <c r="J292" s="640" t="str" cm="1">
        <f t="array" aca="1" ref="J292" ca="1">IF(OR(B292&lt;&gt;"S",CÁLCULO.FrentesPreenchidas=0),"",IF(AND(ACOMPANHAMENTO="PLE",AUTOEVENTO="Manual",OR(H292&gt;0,ORÇAMENTO!AC292="QUANT."),OR(K292="",M292=0,N292="")),"►E",IF(AND(ACOMPANHAMENTO="PLE",ORÇAMENTO!AC292="QUANT."),"►Q",IF(AND(ACOMPANHAMENTO="PLE",H292&lt;&gt;SUMPRODUCT(($Q$1:$AI$1=1)*ROUND(Q292:AI292,15))),"►S",IF(AND(COUNTIF($P$11:$AI$11,"▼")=0,H292&gt;0,I292=""),"◄M","")))))</f>
        <v/>
      </c>
      <c r="K292" s="641" t="s">
        <v>1385</v>
      </c>
      <c r="L292" s="165" t="s">
        <v>764</v>
      </c>
      <c r="M292" s="166">
        <f ca="1">IF($D292&lt;&gt;"Serviço","",
          IF(AUTOEVENTO="manual",$A292,
                IF(ISERROR(MATCH($A292,$A$15:OFFSET($A292,-1,0),0)),MAX($M$15:OFFSET(M292,-1,0))+1,
                      INDEX($M$15:OFFSET(M292,-1,0),MATCH($A292,$A$15:OFFSET($A292,-1,0),0)))))</f>
        <v>6</v>
      </c>
      <c r="N292" s="167" t="str">
        <f ca="1">IF($D292&lt;&gt;"Serviço","",
         IF(AUTOEVENTO="Manual",
                IF($A292=0,"&lt;-- defina o número do agrupador",
                       OFFSET(EVENTOS!$D$15,$A292-$A$15,0)),
                OFFSET($F$15,$A292,0)))</f>
        <v>Saneamento</v>
      </c>
      <c r="O292" s="168"/>
      <c r="Q292" s="168"/>
      <c r="R292" s="169"/>
      <c r="S292" s="169"/>
      <c r="T292" s="169"/>
      <c r="U292" s="169">
        <f>10*0.6</f>
        <v>6</v>
      </c>
      <c r="V292" s="169"/>
      <c r="W292" s="169"/>
      <c r="X292" s="169"/>
      <c r="Y292" s="169"/>
      <c r="Z292" s="170"/>
      <c r="AA292" s="169"/>
      <c r="AB292" s="169"/>
      <c r="AC292" s="169"/>
      <c r="AD292" s="169"/>
      <c r="AE292" s="169"/>
      <c r="AF292" s="169"/>
      <c r="AG292" s="169"/>
      <c r="AH292" s="170"/>
      <c r="AJ292" s="453">
        <f ca="1">IF(AND($D292="Serviço",AJ$12&lt;&gt;0,$H292&gt;0,OR(AUTOEVENTO&lt;&gt;"manual",$M292&lt;&gt;$A$15)),
        IF(Import.TipoArredondamento&lt;&gt;"TransfereGOV",
              ROUND(OFFSET($P292,0,AJ$13),15-13*ORÇAMENTO!$AF$7)/$H292*OFFSET(ORÇAMENTO!$X$15,ROW(AJ292)-ROW(AJ$15),0),
              ROUND(ROUND(OFFSET($P292,0,AJ$13),15-13*ORÇAMENTO!$AF$7)*OFFSET(ORÇAMENTO!$W$15,ROW(AJ292)-ROW(AJ$15),0),15-13*ORÇAMENTO!$AF$11)),
         0)</f>
        <v>0</v>
      </c>
      <c r="AK292" s="453">
        <f ca="1">IF(AND($D292="Serviço",AK$12&lt;&gt;0,$H292&gt;0,OR(AUTOEVENTO&lt;&gt;"manual",$M292&lt;&gt;$A$15)),
        IF(Import.TipoArredondamento&lt;&gt;"TransfereGOV",
              ROUND(OFFSET($P292,0,AK$13),15-13*ORÇAMENTO!$AF$7)/$H292*OFFSET(ORÇAMENTO!$X$15,ROW(AK292)-ROW(AK$15),0),
              ROUND(ROUND(OFFSET($P292,0,AK$13),15-13*ORÇAMENTO!$AF$7)*OFFSET(ORÇAMENTO!$W$15,ROW(AK292)-ROW(AK$15),0),15-13*ORÇAMENTO!$AF$11)),
         0)</f>
        <v>0</v>
      </c>
      <c r="AL292" s="453">
        <f ca="1">IF(AND($D292="Serviço",AL$12&lt;&gt;0,$H292&gt;0,OR(AUTOEVENTO&lt;&gt;"manual",$M292&lt;&gt;$A$15)),
        IF(Import.TipoArredondamento&lt;&gt;"TransfereGOV",
              ROUND(OFFSET($P292,0,AL$13),15-13*ORÇAMENTO!$AF$7)/$H292*OFFSET(ORÇAMENTO!$X$15,ROW(AL292)-ROW(AL$15),0),
              ROUND(ROUND(OFFSET($P292,0,AL$13),15-13*ORÇAMENTO!$AF$7)*OFFSET(ORÇAMENTO!$W$15,ROW(AL292)-ROW(AL$15),0),15-13*ORÇAMENTO!$AF$11)),
         0)</f>
        <v>0</v>
      </c>
      <c r="AM292" s="453">
        <f ca="1">IF(AND($D292="Serviço",AM$12&lt;&gt;0,$H292&gt;0,OR(AUTOEVENTO&lt;&gt;"manual",$M292&lt;&gt;$A$15)),
        IF(Import.TipoArredondamento&lt;&gt;"TransfereGOV",
              ROUND(OFFSET($P292,0,AM$13),15-13*ORÇAMENTO!$AF$7)/$H292*OFFSET(ORÇAMENTO!$X$15,ROW(AM292)-ROW(AM$15),0),
              ROUND(ROUND(OFFSET($P292,0,AM$13),15-13*ORÇAMENTO!$AF$7)*OFFSET(ORÇAMENTO!$W$15,ROW(AM292)-ROW(AM$15),0),15-13*ORÇAMENTO!$AF$11)),
         0)</f>
        <v>0</v>
      </c>
      <c r="AN292" s="453">
        <f ca="1">IF(AND($D292="Serviço",AN$12&lt;&gt;0,$H292&gt;0,OR(AUTOEVENTO&lt;&gt;"manual",$M292&lt;&gt;$A$15)),
        IF(Import.TipoArredondamento&lt;&gt;"TransfereGOV",
              ROUND(OFFSET($P292,0,AN$13),15-13*ORÇAMENTO!$AF$7)/$H292*OFFSET(ORÇAMENTO!$X$15,ROW(AN292)-ROW(AN$15),0),
              ROUND(ROUND(OFFSET($P292,0,AN$13),15-13*ORÇAMENTO!$AF$7)*OFFSET(ORÇAMENTO!$W$15,ROW(AN292)-ROW(AN$15),0),15-13*ORÇAMENTO!$AF$11)),
         0)</f>
        <v>0</v>
      </c>
      <c r="AO292" s="453">
        <f ca="1">IF(AND($D292="Serviço",AO$12&lt;&gt;0,$H292&gt;0,OR(AUTOEVENTO&lt;&gt;"manual",$M292&lt;&gt;$A$15)),
        IF(Import.TipoArredondamento&lt;&gt;"TransfereGOV",
              ROUND(OFFSET($P292,0,AO$13),15-13*ORÇAMENTO!$AF$7)/$H292*OFFSET(ORÇAMENTO!$X$15,ROW(AO292)-ROW(AO$15),0),
              ROUND(ROUND(OFFSET($P292,0,AO$13),15-13*ORÇAMENTO!$AF$7)*OFFSET(ORÇAMENTO!$W$15,ROW(AO292)-ROW(AO$15),0),15-13*ORÇAMENTO!$AF$11)),
         0)</f>
        <v>0</v>
      </c>
      <c r="AP292" s="453">
        <f ca="1">IF(AND($D292="Serviço",AP$12&lt;&gt;0,$H292&gt;0,OR(AUTOEVENTO&lt;&gt;"manual",$M292&lt;&gt;$A$15)),
        IF(Import.TipoArredondamento&lt;&gt;"TransfereGOV",
              ROUND(OFFSET($P292,0,AP$13),15-13*ORÇAMENTO!$AF$7)/$H292*OFFSET(ORÇAMENTO!$X$15,ROW(AP292)-ROW(AP$15),0),
              ROUND(ROUND(OFFSET($P292,0,AP$13),15-13*ORÇAMENTO!$AF$7)*OFFSET(ORÇAMENTO!$W$15,ROW(AP292)-ROW(AP$15),0),15-13*ORÇAMENTO!$AF$11)),
         0)</f>
        <v>0</v>
      </c>
      <c r="AQ292" s="453">
        <f ca="1">IF(AND($D292="Serviço",AQ$12&lt;&gt;0,$H292&gt;0,OR(AUTOEVENTO&lt;&gt;"manual",$M292&lt;&gt;$A$15)),
        IF(Import.TipoArredondamento&lt;&gt;"TransfereGOV",
              ROUND(OFFSET($P292,0,AQ$13),15-13*ORÇAMENTO!$AF$7)/$H292*OFFSET(ORÇAMENTO!$X$15,ROW(AQ292)-ROW(AQ$15),0),
              ROUND(ROUND(OFFSET($P292,0,AQ$13),15-13*ORÇAMENTO!$AF$7)*OFFSET(ORÇAMENTO!$W$15,ROW(AQ292)-ROW(AQ$15),0),15-13*ORÇAMENTO!$AF$11)),
         0)</f>
        <v>0</v>
      </c>
      <c r="AR292" s="453">
        <f ca="1">IF(AND($D292="Serviço",AR$12&lt;&gt;0,$H292&gt;0,OR(AUTOEVENTO&lt;&gt;"manual",$M292&lt;&gt;$A$15)),
        IF(Import.TipoArredondamento&lt;&gt;"TransfereGOV",
              ROUND(OFFSET($P292,0,AR$13),15-13*ORÇAMENTO!$AF$7)/$H292*OFFSET(ORÇAMENTO!$X$15,ROW(AR292)-ROW(AR$15),0),
              ROUND(ROUND(OFFSET($P292,0,AR$13),15-13*ORÇAMENTO!$AF$7)*OFFSET(ORÇAMENTO!$W$15,ROW(AR292)-ROW(AR$15),0),15-13*ORÇAMENTO!$AF$11)),
         0)</f>
        <v>0</v>
      </c>
      <c r="AS292" s="453">
        <f ca="1">IF(AND($D292="Serviço",AS$12&lt;&gt;0,$H292&gt;0,OR(AUTOEVENTO&lt;&gt;"manual",$M292&lt;&gt;$A$15)),
        IF(Import.TipoArredondamento&lt;&gt;"TransfereGOV",
              ROUND(OFFSET($P292,0,AS$13),15-13*ORÇAMENTO!$AF$7)/$H292*OFFSET(ORÇAMENTO!$X$15,ROW(AS292)-ROW(AS$15),0),
              ROUND(ROUND(OFFSET($P292,0,AS$13),15-13*ORÇAMENTO!$AF$7)*OFFSET(ORÇAMENTO!$W$15,ROW(AS292)-ROW(AS$15),0),15-13*ORÇAMENTO!$AF$11)),
         0)</f>
        <v>0</v>
      </c>
      <c r="AT292" s="453">
        <f ca="1">IF(AND($D292="Serviço",AT$12&lt;&gt;0,$H292&gt;0,OR(AUTOEVENTO&lt;&gt;"manual",$M292&lt;&gt;$A$15)),
        IF(Import.TipoArredondamento&lt;&gt;"TransfereGOV",
              ROUND(OFFSET($P292,0,AT$13),15-13*ORÇAMENTO!$AF$7)/$H292*OFFSET(ORÇAMENTO!$X$15,ROW(AT292)-ROW(AT$15),0),
              ROUND(ROUND(OFFSET($P292,0,AT$13),15-13*ORÇAMENTO!$AF$7)*OFFSET(ORÇAMENTO!$W$15,ROW(AT292)-ROW(AT$15),0),15-13*ORÇAMENTO!$AF$11)),
         0)</f>
        <v>0</v>
      </c>
      <c r="AU292" s="453">
        <f ca="1">IF(AND($D292="Serviço",AU$12&lt;&gt;0,$H292&gt;0,OR(AUTOEVENTO&lt;&gt;"manual",$M292&lt;&gt;$A$15)),
        IF(Import.TipoArredondamento&lt;&gt;"TransfereGOV",
              ROUND(OFFSET($P292,0,AU$13),15-13*ORÇAMENTO!$AF$7)/$H292*OFFSET(ORÇAMENTO!$X$15,ROW(AU292)-ROW(AU$15),0),
              ROUND(ROUND(OFFSET($P292,0,AU$13),15-13*ORÇAMENTO!$AF$7)*OFFSET(ORÇAMENTO!$W$15,ROW(AU292)-ROW(AU$15),0),15-13*ORÇAMENTO!$AF$11)),
         0)</f>
        <v>0</v>
      </c>
      <c r="AV292" s="453">
        <f ca="1">IF(AND($D292="Serviço",AV$12&lt;&gt;0,$H292&gt;0,OR(AUTOEVENTO&lt;&gt;"manual",$M292&lt;&gt;$A$15)),
        IF(Import.TipoArredondamento&lt;&gt;"TransfereGOV",
              ROUND(OFFSET($P292,0,AV$13),15-13*ORÇAMENTO!$AF$7)/$H292*OFFSET(ORÇAMENTO!$X$15,ROW(AV292)-ROW(AV$15),0),
              ROUND(ROUND(OFFSET($P292,0,AV$13),15-13*ORÇAMENTO!$AF$7)*OFFSET(ORÇAMENTO!$W$15,ROW(AV292)-ROW(AV$15),0),15-13*ORÇAMENTO!$AF$11)),
         0)</f>
        <v>0</v>
      </c>
      <c r="AW292" s="453">
        <f ca="1">IF(AND($D292="Serviço",AW$12&lt;&gt;0,$H292&gt;0,OR(AUTOEVENTO&lt;&gt;"manual",$M292&lt;&gt;$A$15)),
        IF(Import.TipoArredondamento&lt;&gt;"TransfereGOV",
              ROUND(OFFSET($P292,0,AW$13),15-13*ORÇAMENTO!$AF$7)/$H292*OFFSET(ORÇAMENTO!$X$15,ROW(AW292)-ROW(AW$15),0),
              ROUND(ROUND(OFFSET($P292,0,AW$13),15-13*ORÇAMENTO!$AF$7)*OFFSET(ORÇAMENTO!$W$15,ROW(AW292)-ROW(AW$15),0),15-13*ORÇAMENTO!$AF$11)),
         0)</f>
        <v>0</v>
      </c>
      <c r="AX292" s="453">
        <f ca="1">IF(AND($D292="Serviço",AX$12&lt;&gt;0,$H292&gt;0,OR(AUTOEVENTO&lt;&gt;"manual",$M292&lt;&gt;$A$15)),
        IF(Import.TipoArredondamento&lt;&gt;"TransfereGOV",
              ROUND(OFFSET($P292,0,AX$13),15-13*ORÇAMENTO!$AF$7)/$H292*OFFSET(ORÇAMENTO!$X$15,ROW(AX292)-ROW(AX$15),0),
              ROUND(ROUND(OFFSET($P292,0,AX$13),15-13*ORÇAMENTO!$AF$7)*OFFSET(ORÇAMENTO!$W$15,ROW(AX292)-ROW(AX$15),0),15-13*ORÇAMENTO!$AF$11)),
         0)</f>
        <v>0</v>
      </c>
      <c r="AY292" s="453">
        <f ca="1">IF(AND($D292="Serviço",AY$12&lt;&gt;0,$H292&gt;0,OR(AUTOEVENTO&lt;&gt;"manual",$M292&lt;&gt;$A$15)),
        IF(Import.TipoArredondamento&lt;&gt;"TransfereGOV",
              ROUND(OFFSET($P292,0,AY$13),15-13*ORÇAMENTO!$AF$7)/$H292*OFFSET(ORÇAMENTO!$X$15,ROW(AY292)-ROW(AY$15),0),
              ROUND(ROUND(OFFSET($P292,0,AY$13),15-13*ORÇAMENTO!$AF$7)*OFFSET(ORÇAMENTO!$W$15,ROW(AY292)-ROW(AY$15),0),15-13*ORÇAMENTO!$AF$11)),
         0)</f>
        <v>0</v>
      </c>
      <c r="AZ292" s="453">
        <f ca="1">IF(AND($D292="Serviço",AZ$12&lt;&gt;0,$H292&gt;0,OR(AUTOEVENTO&lt;&gt;"manual",$M292&lt;&gt;$A$15)),
        IF(Import.TipoArredondamento&lt;&gt;"TransfereGOV",
              ROUND(OFFSET($P292,0,AZ$13),15-13*ORÇAMENTO!$AF$7)/$H292*OFFSET(ORÇAMENTO!$X$15,ROW(AZ292)-ROW(AZ$15),0),
              ROUND(ROUND(OFFSET($P292,0,AZ$13),15-13*ORÇAMENTO!$AF$7)*OFFSET(ORÇAMENTO!$W$15,ROW(AZ292)-ROW(AZ$15),0),15-13*ORÇAMENTO!$AF$11)),
         0)</f>
        <v>0</v>
      </c>
      <c r="BA292" s="453">
        <f ca="1">IF(AND($D292="Serviço",BA$12&lt;&gt;0,$H292&gt;0,OR(AUTOEVENTO&lt;&gt;"manual",$M292&lt;&gt;$A$15)),
        IF(Import.TipoArredondamento&lt;&gt;"TransfereGOV",
              ROUND(OFFSET($P292,0,BA$13),15-13*ORÇAMENTO!$AF$7)/$H292*OFFSET(ORÇAMENTO!$X$15,ROW(BA292)-ROW(BA$15),0),
              ROUND(ROUND(OFFSET($P292,0,BA$13),15-13*ORÇAMENTO!$AF$7)*OFFSET(ORÇAMENTO!$W$15,ROW(BA292)-ROW(BA$15),0),15-13*ORÇAMENTO!$AF$11)),
         0)</f>
        <v>0</v>
      </c>
      <c r="BC292" s="171">
        <f ca="1">IF(OR($D292&lt;&gt;"Serviço",AND(AUTOEVENTO="Manual",$M292=$A$15)),0,
         IF(OFFSET(CRONOPLE!$F$15,$M292-$A$15,BC$13)=0,10^12,OFFSET(CRONOPLE!$F$15,$M292-$A$15,BC$13)))</f>
        <v>1</v>
      </c>
      <c r="BD292" s="171">
        <f ca="1">IF(OR($D292&lt;&gt;"Serviço",AND(AUTOEVENTO="Manual",$M292=$A$15)),0,
         IF(OFFSET(CRONOPLE!$F$15,$M292-$A$15,BD$13)=0,10^12,OFFSET(CRONOPLE!$F$15,$M292-$A$15,BD$13)))</f>
        <v>2</v>
      </c>
      <c r="BE292" s="171">
        <f ca="1">IF(OR($D292&lt;&gt;"Serviço",AND(AUTOEVENTO="Manual",$M292=$A$15)),0,
         IF(OFFSET(CRONOPLE!$F$15,$M292-$A$15,BE$13)=0,10^12,OFFSET(CRONOPLE!$F$15,$M292-$A$15,BE$13)))</f>
        <v>3</v>
      </c>
      <c r="BF292" s="171">
        <f ca="1">IF(OR($D292&lt;&gt;"Serviço",AND(AUTOEVENTO="Manual",$M292=$A$15)),0,
         IF(OFFSET(CRONOPLE!$F$15,$M292-$A$15,BF$13)=0,10^12,OFFSET(CRONOPLE!$F$15,$M292-$A$15,BF$13)))</f>
        <v>4</v>
      </c>
      <c r="BG292" s="171">
        <f ca="1">IF(OR($D292&lt;&gt;"Serviço",AND(AUTOEVENTO="Manual",$M292=$A$15)),0,
         IF(OFFSET(CRONOPLE!$F$15,$M292-$A$15,BG$13)=0,10^12,OFFSET(CRONOPLE!$F$15,$M292-$A$15,BG$13)))</f>
        <v>5</v>
      </c>
      <c r="BH292" s="171">
        <f ca="1">IF(OR($D292&lt;&gt;"Serviço",AND(AUTOEVENTO="Manual",$M292=$A$15)),0,
         IF(OFFSET(CRONOPLE!$F$15,$M292-$A$15,BH$13)=0,10^12,OFFSET(CRONOPLE!$F$15,$M292-$A$15,BH$13)))</f>
        <v>6</v>
      </c>
      <c r="BI292" s="171">
        <f ca="1">IF(OR($D292&lt;&gt;"Serviço",AND(AUTOEVENTO="Manual",$M292=$A$15)),0,
         IF(OFFSET(CRONOPLE!$F$15,$M292-$A$15,BI$13)=0,10^12,OFFSET(CRONOPLE!$F$15,$M292-$A$15,BI$13)))</f>
        <v>7</v>
      </c>
      <c r="BJ292" s="171">
        <f ca="1">IF(OR($D292&lt;&gt;"Serviço",AND(AUTOEVENTO="Manual",$M292=$A$15)),0,
         IF(OFFSET(CRONOPLE!$F$15,$M292-$A$15,BJ$13)=0,10^12,OFFSET(CRONOPLE!$F$15,$M292-$A$15,BJ$13)))</f>
        <v>8</v>
      </c>
      <c r="BK292" s="171">
        <f ca="1">IF(OR($D292&lt;&gt;"Serviço",AND(AUTOEVENTO="Manual",$M292=$A$15)),0,
         IF(OFFSET(CRONOPLE!$F$15,$M292-$A$15,BK$13)=0,10^12,OFFSET(CRONOPLE!$F$15,$M292-$A$15,BK$13)))</f>
        <v>9</v>
      </c>
      <c r="BL292" s="171">
        <f ca="1">IF(OR($D292&lt;&gt;"Serviço",AND(AUTOEVENTO="Manual",$M292=$A$15)),0,
         IF(OFFSET(CRONOPLE!$F$15,$M292-$A$15,BL$13)=0,10^12,OFFSET(CRONOPLE!$F$15,$M292-$A$15,BL$13)))</f>
        <v>1000000000000</v>
      </c>
      <c r="BM292" s="171">
        <f ca="1">IF(OR($D292&lt;&gt;"Serviço",AND(AUTOEVENTO="Manual",$M292=$A$15)),0,
         IF(OFFSET(CRONOPLE!$F$15,$M292-$A$15,BM$13)=0,10^12,OFFSET(CRONOPLE!$F$15,$M292-$A$15,BM$13)))</f>
        <v>1000000000000</v>
      </c>
      <c r="BN292" s="171">
        <f ca="1">IF(OR($D292&lt;&gt;"Serviço",AND(AUTOEVENTO="Manual",$M292=$A$15)),0,
         IF(OFFSET(CRONOPLE!$F$15,$M292-$A$15,BN$13)=0,10^12,OFFSET(CRONOPLE!$F$15,$M292-$A$15,BN$13)))</f>
        <v>1000000000000</v>
      </c>
      <c r="BO292" s="171">
        <f ca="1">IF(OR($D292&lt;&gt;"Serviço",AND(AUTOEVENTO="Manual",$M292=$A$15)),0,
         IF(OFFSET(CRONOPLE!$F$15,$M292-$A$15,BO$13)=0,10^12,OFFSET(CRONOPLE!$F$15,$M292-$A$15,BO$13)))</f>
        <v>1000000000000</v>
      </c>
      <c r="BP292" s="171">
        <f ca="1">IF(OR($D292&lt;&gt;"Serviço",AND(AUTOEVENTO="Manual",$M292=$A$15)),0,
         IF(OFFSET(CRONOPLE!$F$15,$M292-$A$15,BP$13)=0,10^12,OFFSET(CRONOPLE!$F$15,$M292-$A$15,BP$13)))</f>
        <v>1000000000000</v>
      </c>
      <c r="BQ292" s="171">
        <f ca="1">IF(OR($D292&lt;&gt;"Serviço",AND(AUTOEVENTO="Manual",$M292=$A$15)),0,
         IF(OFFSET(CRONOPLE!$F$15,$M292-$A$15,BQ$13)=0,10^12,OFFSET(CRONOPLE!$F$15,$M292-$A$15,BQ$13)))</f>
        <v>1000000000000</v>
      </c>
      <c r="BR292" s="171">
        <f ca="1">IF(OR($D292&lt;&gt;"Serviço",AND(AUTOEVENTO="Manual",$M292=$A$15)),0,
         IF(OFFSET(CRONOPLE!$F$15,$M292-$A$15,BR$13)=0,10^12,OFFSET(CRONOPLE!$F$15,$M292-$A$15,BR$13)))</f>
        <v>1000000000000</v>
      </c>
      <c r="BS292" s="171">
        <f ca="1">IF(OR($D292&lt;&gt;"Serviço",AND(AUTOEVENTO="Manual",$M292=$A$15)),0,
         IF(OFFSET(CRONOPLE!$F$15,$M292-$A$15,BS$13)=0,10^12,OFFSET(CRONOPLE!$F$15,$M292-$A$15,BS$13)))</f>
        <v>1000000000000</v>
      </c>
      <c r="BT292" s="171">
        <f ca="1">IF(OR($D292&lt;&gt;"Serviço",AND(AUTOEVENTO="Manual",$M292=$A$15)),0,
         IF(OFFSET(CRONOPLE!$F$15,$M292-$A$15,BT$13)=0,10^12,OFFSET(CRONOPLE!$F$15,$M292-$A$15,BT$13)))</f>
        <v>1000000000000</v>
      </c>
      <c r="BV292" s="172">
        <f ca="1">IF(OR($D292&lt;&gt;"Serviço",AND(AUTOEVENTO="Manual",$M292=$A$15),$M292&gt;(ROW(PLE.lastrow)-ROW(PLE.firstrow))),0,
           IF(OFFSET(PLE!$G$15,$M292-$A$15,BV$13)="",10^12,OFFSET(PLE!$G$15,$M292-$A$15,BV$13)))</f>
        <v>1000000000000</v>
      </c>
      <c r="BW292" s="172">
        <f ca="1">IF(OR($D292&lt;&gt;"Serviço",AND(AUTOEVENTO="Manual",$M292=$A$15),$M292&gt;(ROW(PLE.lastrow)-ROW(PLE.firstrow))),0,
           IF(OFFSET(PLE!$G$15,$M292-$A$15,BW$13)="",10^12,OFFSET(PLE!$G$15,$M292-$A$15,BW$13)))</f>
        <v>1000000000000</v>
      </c>
      <c r="BX292" s="172">
        <f ca="1">IF(OR($D292&lt;&gt;"Serviço",AND(AUTOEVENTO="Manual",$M292=$A$15),$M292&gt;(ROW(PLE.lastrow)-ROW(PLE.firstrow))),0,
           IF(OFFSET(PLE!$G$15,$M292-$A$15,BX$13)="",10^12,OFFSET(PLE!$G$15,$M292-$A$15,BX$13)))</f>
        <v>1000000000000</v>
      </c>
      <c r="BY292" s="172">
        <f ca="1">IF(OR($D292&lt;&gt;"Serviço",AND(AUTOEVENTO="Manual",$M292=$A$15),$M292&gt;(ROW(PLE.lastrow)-ROW(PLE.firstrow))),0,
           IF(OFFSET(PLE!$G$15,$M292-$A$15,BY$13)="",10^12,OFFSET(PLE!$G$15,$M292-$A$15,BY$13)))</f>
        <v>1000000000000</v>
      </c>
      <c r="BZ292" s="172">
        <f ca="1">IF(OR($D292&lt;&gt;"Serviço",AND(AUTOEVENTO="Manual",$M292=$A$15),$M292&gt;(ROW(PLE.lastrow)-ROW(PLE.firstrow))),0,
           IF(OFFSET(PLE!$G$15,$M292-$A$15,BZ$13)="",10^12,OFFSET(PLE!$G$15,$M292-$A$15,BZ$13)))</f>
        <v>1000000000000</v>
      </c>
      <c r="CA292" s="172">
        <f ca="1">IF(OR($D292&lt;&gt;"Serviço",AND(AUTOEVENTO="Manual",$M292=$A$15),$M292&gt;(ROW(PLE.lastrow)-ROW(PLE.firstrow))),0,
           IF(OFFSET(PLE!$G$15,$M292-$A$15,CA$13)="",10^12,OFFSET(PLE!$G$15,$M292-$A$15,CA$13)))</f>
        <v>1000000000000</v>
      </c>
      <c r="CB292" s="172">
        <f ca="1">IF(OR($D292&lt;&gt;"Serviço",AND(AUTOEVENTO="Manual",$M292=$A$15),$M292&gt;(ROW(PLE.lastrow)-ROW(PLE.firstrow))),0,
           IF(OFFSET(PLE!$G$15,$M292-$A$15,CB$13)="",10^12,OFFSET(PLE!$G$15,$M292-$A$15,CB$13)))</f>
        <v>1000000000000</v>
      </c>
      <c r="CC292" s="172">
        <f ca="1">IF(OR($D292&lt;&gt;"Serviço",AND(AUTOEVENTO="Manual",$M292=$A$15),$M292&gt;(ROW(PLE.lastrow)-ROW(PLE.firstrow))),0,
           IF(OFFSET(PLE!$G$15,$M292-$A$15,CC$13)="",10^12,OFFSET(PLE!$G$15,$M292-$A$15,CC$13)))</f>
        <v>1000000000000</v>
      </c>
      <c r="CD292" s="172">
        <f ca="1">IF(OR($D292&lt;&gt;"Serviço",AND(AUTOEVENTO="Manual",$M292=$A$15),$M292&gt;(ROW(PLE.lastrow)-ROW(PLE.firstrow))),0,
           IF(OFFSET(PLE!$G$15,$M292-$A$15,CD$13)="",10^12,OFFSET(PLE!$G$15,$M292-$A$15,CD$13)))</f>
        <v>1000000000000</v>
      </c>
      <c r="CE292" s="172">
        <f ca="1">IF(OR($D292&lt;&gt;"Serviço",AND(AUTOEVENTO="Manual",$M292=$A$15),$M292&gt;(ROW(PLE.lastrow)-ROW(PLE.firstrow))),0,
           IF(OFFSET(PLE!$G$15,$M292-$A$15,CE$13)="",10^12,OFFSET(PLE!$G$15,$M292-$A$15,CE$13)))</f>
        <v>1000000000000</v>
      </c>
      <c r="CF292" s="172">
        <f ca="1">IF(OR($D292&lt;&gt;"Serviço",AND(AUTOEVENTO="Manual",$M292=$A$15),$M292&gt;(ROW(PLE.lastrow)-ROW(PLE.firstrow))),0,
           IF(OFFSET(PLE!$G$15,$M292-$A$15,CF$13)="",10^12,OFFSET(PLE!$G$15,$M292-$A$15,CF$13)))</f>
        <v>1000000000000</v>
      </c>
      <c r="CG292" s="172">
        <f ca="1">IF(OR($D292&lt;&gt;"Serviço",AND(AUTOEVENTO="Manual",$M292=$A$15),$M292&gt;(ROW(PLE.lastrow)-ROW(PLE.firstrow))),0,
           IF(OFFSET(PLE!$G$15,$M292-$A$15,CG$13)="",10^12,OFFSET(PLE!$G$15,$M292-$A$15,CG$13)))</f>
        <v>1000000000000</v>
      </c>
      <c r="CH292" s="172">
        <f ca="1">IF(OR($D292&lt;&gt;"Serviço",AND(AUTOEVENTO="Manual",$M292=$A$15),$M292&gt;(ROW(PLE.lastrow)-ROW(PLE.firstrow))),0,
           IF(OFFSET(PLE!$G$15,$M292-$A$15,CH$13)="",10^12,OFFSET(PLE!$G$15,$M292-$A$15,CH$13)))</f>
        <v>1000000000000</v>
      </c>
      <c r="CI292" s="172">
        <f ca="1">IF(OR($D292&lt;&gt;"Serviço",AND(AUTOEVENTO="Manual",$M292=$A$15),$M292&gt;(ROW(PLE.lastrow)-ROW(PLE.firstrow))),0,
           IF(OFFSET(PLE!$G$15,$M292-$A$15,CI$13)="",10^12,OFFSET(PLE!$G$15,$M292-$A$15,CI$13)))</f>
        <v>1000000000000</v>
      </c>
      <c r="CJ292" s="172">
        <f ca="1">IF(OR($D292&lt;&gt;"Serviço",AND(AUTOEVENTO="Manual",$M292=$A$15),$M292&gt;(ROW(PLE.lastrow)-ROW(PLE.firstrow))),0,
           IF(OFFSET(PLE!$G$15,$M292-$A$15,CJ$13)="",10^12,OFFSET(PLE!$G$15,$M292-$A$15,CJ$13)))</f>
        <v>1000000000000</v>
      </c>
      <c r="CK292" s="172">
        <f ca="1">IF(OR($D292&lt;&gt;"Serviço",AND(AUTOEVENTO="Manual",$M292=$A$15),$M292&gt;(ROW(PLE.lastrow)-ROW(PLE.firstrow))),0,
           IF(OFFSET(PLE!$G$15,$M292-$A$15,CK$13)="",10^12,OFFSET(PLE!$G$15,$M292-$A$15,CK$13)))</f>
        <v>1000000000000</v>
      </c>
      <c r="CL292" s="172">
        <f ca="1">IF(OR($D292&lt;&gt;"Serviço",AND(AUTOEVENTO="Manual",$M292=$A$15),$M292&gt;(ROW(PLE.lastrow)-ROW(PLE.firstrow))),0,
           IF(OFFSET(PLE!$G$15,$M292-$A$15,CL$13)="",10^12,OFFSET(PLE!$G$15,$M292-$A$15,CL$13)))</f>
        <v>1000000000000</v>
      </c>
      <c r="CM292" s="172">
        <f ca="1">IF(OR($D292&lt;&gt;"Serviço",AND(AUTOEVENTO="Manual",$M292=$A$15),$M292&gt;(ROW(PLE.lastrow)-ROW(PLE.firstrow))),0,
           IF(OFFSET(PLE!$G$15,$M292-$A$15,CM$13)="",10^12,OFFSET(PLE!$G$15,$M292-$A$15,CM$13)))</f>
        <v>1000000000000</v>
      </c>
    </row>
    <row r="293" spans="1:91" ht="12.75" x14ac:dyDescent="0.2">
      <c r="A293" s="7">
        <f t="shared" ca="1" si="14"/>
        <v>7</v>
      </c>
      <c r="B293" s="7">
        <f ca="1">OFFSET(ORÇAMENTO!C$15,ROW(B293)-ROW(B$15),0)</f>
        <v>4</v>
      </c>
      <c r="C293" s="7" t="str">
        <f ca="1">OFFSET(ORÇAMENTO!L$15,ROW(C293)-ROW(C$15),0)</f>
        <v>F</v>
      </c>
      <c r="D293" s="116" t="str">
        <f ca="1">OFFSET(ORÇAMENTO!N$15,ROW(D293)-ROW(D$15),0)</f>
        <v>Nível 4</v>
      </c>
      <c r="E293" s="117" t="str">
        <f ca="1">OFFSET(ORÇAMENTO!O$15,ROW(E293)-ROW(E$15),0)</f>
        <v>1.7.3.4.</v>
      </c>
      <c r="F293" s="163" t="str">
        <f ca="1">OFFSET(ORÇAMENTO!R$15,ROW(F293)-ROW(F$15),0)</f>
        <v>MATERIAIS</v>
      </c>
      <c r="G293" s="164" t="str">
        <f ca="1">IF($D293&lt;&gt;"Serviço","",OFFSET(ORÇAMENTO!S$15,ROW(G293)-ROW(G$15),0))</f>
        <v/>
      </c>
      <c r="H293" s="122" cm="1">
        <f t="array" aca="1" ref="H293" ca="1">IF($D293&lt;&gt;"Serviço",0,IF(ACOMPANHAMENTO="BM",ROUND(OFFSET(ORÇAMENTO!AJ$15,ROW(H293)-ROW(H$15),0),15-13*ORÇAMENTO!$AF$7),SUMPRODUCT(($Q$1:$AI$1=1)*ROUND($Q293:$AI293,15-13*ORÇAMENTO!$AF$7))))</f>
        <v>0</v>
      </c>
      <c r="I293" s="468"/>
      <c r="J293" s="640" t="str" cm="1">
        <f t="array" aca="1" ref="J293" ca="1">IF(OR(B293&lt;&gt;"S",CÁLCULO.FrentesPreenchidas=0),"",IF(AND(ACOMPANHAMENTO="PLE",AUTOEVENTO="Manual",OR(H293&gt;0,ORÇAMENTO!AC293="QUANT."),OR(K293="",M293=0,N293="")),"►E",IF(AND(ACOMPANHAMENTO="PLE",ORÇAMENTO!AC293="QUANT."),"►Q",IF(AND(ACOMPANHAMENTO="PLE",H293&lt;&gt;SUMPRODUCT(($Q$1:$AI$1=1)*ROUND(Q293:AI293,15))),"►S",IF(AND(COUNTIF($P$11:$AI$11,"▼")=0,H293&gt;0,I293=""),"◄M","")))))</f>
        <v/>
      </c>
      <c r="K293" s="641" t="s">
        <v>1365</v>
      </c>
      <c r="L293" s="165" t="s">
        <v>764</v>
      </c>
      <c r="M293" s="166" t="str">
        <f ca="1">IF($D293&lt;&gt;"Serviço","",
          IF(AUTOEVENTO="manual",$A293,
                IF(ISERROR(MATCH($A293,$A$15:OFFSET($A293,-1,0),0)),MAX($M$15:OFFSET(M293,-1,0))+1,
                      INDEX($M$15:OFFSET(M293,-1,0),MATCH($A293,$A$15:OFFSET($A293,-1,0),0)))))</f>
        <v/>
      </c>
      <c r="N293" s="167" t="str">
        <f ca="1">IF($D293&lt;&gt;"Serviço","",
         IF(AUTOEVENTO="Manual",
                IF($A293=0,"&lt;-- defina o número do agrupador",
                       OFFSET(EVENTOS!$D$15,$A293-$A$15,0)),
                OFFSET($F$15,$A293,0)))</f>
        <v/>
      </c>
      <c r="O293" s="168"/>
      <c r="Q293" s="168"/>
      <c r="R293" s="169"/>
      <c r="S293" s="169"/>
      <c r="T293" s="169"/>
      <c r="U293" s="169"/>
      <c r="V293" s="169"/>
      <c r="W293" s="169"/>
      <c r="X293" s="169"/>
      <c r="Y293" s="169"/>
      <c r="Z293" s="170"/>
      <c r="AA293" s="169"/>
      <c r="AB293" s="169"/>
      <c r="AC293" s="169"/>
      <c r="AD293" s="169"/>
      <c r="AE293" s="169"/>
      <c r="AF293" s="169"/>
      <c r="AG293" s="169"/>
      <c r="AH293" s="170"/>
      <c r="AJ293" s="453">
        <f ca="1">IF(AND($D293="Serviço",AJ$12&lt;&gt;0,$H293&gt;0,OR(AUTOEVENTO&lt;&gt;"manual",$M293&lt;&gt;$A$15)),
        IF(Import.TipoArredondamento&lt;&gt;"TransfereGOV",
              ROUND(OFFSET($P293,0,AJ$13),15-13*ORÇAMENTO!$AF$7)/$H293*OFFSET(ORÇAMENTO!$X$15,ROW(AJ293)-ROW(AJ$15),0),
              ROUND(ROUND(OFFSET($P293,0,AJ$13),15-13*ORÇAMENTO!$AF$7)*OFFSET(ORÇAMENTO!$W$15,ROW(AJ293)-ROW(AJ$15),0),15-13*ORÇAMENTO!$AF$11)),
         0)</f>
        <v>0</v>
      </c>
      <c r="AK293" s="453">
        <f ca="1">IF(AND($D293="Serviço",AK$12&lt;&gt;0,$H293&gt;0,OR(AUTOEVENTO&lt;&gt;"manual",$M293&lt;&gt;$A$15)),
        IF(Import.TipoArredondamento&lt;&gt;"TransfereGOV",
              ROUND(OFFSET($P293,0,AK$13),15-13*ORÇAMENTO!$AF$7)/$H293*OFFSET(ORÇAMENTO!$X$15,ROW(AK293)-ROW(AK$15),0),
              ROUND(ROUND(OFFSET($P293,0,AK$13),15-13*ORÇAMENTO!$AF$7)*OFFSET(ORÇAMENTO!$W$15,ROW(AK293)-ROW(AK$15),0),15-13*ORÇAMENTO!$AF$11)),
         0)</f>
        <v>0</v>
      </c>
      <c r="AL293" s="453">
        <f ca="1">IF(AND($D293="Serviço",AL$12&lt;&gt;0,$H293&gt;0,OR(AUTOEVENTO&lt;&gt;"manual",$M293&lt;&gt;$A$15)),
        IF(Import.TipoArredondamento&lt;&gt;"TransfereGOV",
              ROUND(OFFSET($P293,0,AL$13),15-13*ORÇAMENTO!$AF$7)/$H293*OFFSET(ORÇAMENTO!$X$15,ROW(AL293)-ROW(AL$15),0),
              ROUND(ROUND(OFFSET($P293,0,AL$13),15-13*ORÇAMENTO!$AF$7)*OFFSET(ORÇAMENTO!$W$15,ROW(AL293)-ROW(AL$15),0),15-13*ORÇAMENTO!$AF$11)),
         0)</f>
        <v>0</v>
      </c>
      <c r="AM293" s="453">
        <f ca="1">IF(AND($D293="Serviço",AM$12&lt;&gt;0,$H293&gt;0,OR(AUTOEVENTO&lt;&gt;"manual",$M293&lt;&gt;$A$15)),
        IF(Import.TipoArredondamento&lt;&gt;"TransfereGOV",
              ROUND(OFFSET($P293,0,AM$13),15-13*ORÇAMENTO!$AF$7)/$H293*OFFSET(ORÇAMENTO!$X$15,ROW(AM293)-ROW(AM$15),0),
              ROUND(ROUND(OFFSET($P293,0,AM$13),15-13*ORÇAMENTO!$AF$7)*OFFSET(ORÇAMENTO!$W$15,ROW(AM293)-ROW(AM$15),0),15-13*ORÇAMENTO!$AF$11)),
         0)</f>
        <v>0</v>
      </c>
      <c r="AN293" s="453">
        <f ca="1">IF(AND($D293="Serviço",AN$12&lt;&gt;0,$H293&gt;0,OR(AUTOEVENTO&lt;&gt;"manual",$M293&lt;&gt;$A$15)),
        IF(Import.TipoArredondamento&lt;&gt;"TransfereGOV",
              ROUND(OFFSET($P293,0,AN$13),15-13*ORÇAMENTO!$AF$7)/$H293*OFFSET(ORÇAMENTO!$X$15,ROW(AN293)-ROW(AN$15),0),
              ROUND(ROUND(OFFSET($P293,0,AN$13),15-13*ORÇAMENTO!$AF$7)*OFFSET(ORÇAMENTO!$W$15,ROW(AN293)-ROW(AN$15),0),15-13*ORÇAMENTO!$AF$11)),
         0)</f>
        <v>0</v>
      </c>
      <c r="AO293" s="453">
        <f ca="1">IF(AND($D293="Serviço",AO$12&lt;&gt;0,$H293&gt;0,OR(AUTOEVENTO&lt;&gt;"manual",$M293&lt;&gt;$A$15)),
        IF(Import.TipoArredondamento&lt;&gt;"TransfereGOV",
              ROUND(OFFSET($P293,0,AO$13),15-13*ORÇAMENTO!$AF$7)/$H293*OFFSET(ORÇAMENTO!$X$15,ROW(AO293)-ROW(AO$15),0),
              ROUND(ROUND(OFFSET($P293,0,AO$13),15-13*ORÇAMENTO!$AF$7)*OFFSET(ORÇAMENTO!$W$15,ROW(AO293)-ROW(AO$15),0),15-13*ORÇAMENTO!$AF$11)),
         0)</f>
        <v>0</v>
      </c>
      <c r="AP293" s="453">
        <f ca="1">IF(AND($D293="Serviço",AP$12&lt;&gt;0,$H293&gt;0,OR(AUTOEVENTO&lt;&gt;"manual",$M293&lt;&gt;$A$15)),
        IF(Import.TipoArredondamento&lt;&gt;"TransfereGOV",
              ROUND(OFFSET($P293,0,AP$13),15-13*ORÇAMENTO!$AF$7)/$H293*OFFSET(ORÇAMENTO!$X$15,ROW(AP293)-ROW(AP$15),0),
              ROUND(ROUND(OFFSET($P293,0,AP$13),15-13*ORÇAMENTO!$AF$7)*OFFSET(ORÇAMENTO!$W$15,ROW(AP293)-ROW(AP$15),0),15-13*ORÇAMENTO!$AF$11)),
         0)</f>
        <v>0</v>
      </c>
      <c r="AQ293" s="453">
        <f ca="1">IF(AND($D293="Serviço",AQ$12&lt;&gt;0,$H293&gt;0,OR(AUTOEVENTO&lt;&gt;"manual",$M293&lt;&gt;$A$15)),
        IF(Import.TipoArredondamento&lt;&gt;"TransfereGOV",
              ROUND(OFFSET($P293,0,AQ$13),15-13*ORÇAMENTO!$AF$7)/$H293*OFFSET(ORÇAMENTO!$X$15,ROW(AQ293)-ROW(AQ$15),0),
              ROUND(ROUND(OFFSET($P293,0,AQ$13),15-13*ORÇAMENTO!$AF$7)*OFFSET(ORÇAMENTO!$W$15,ROW(AQ293)-ROW(AQ$15),0),15-13*ORÇAMENTO!$AF$11)),
         0)</f>
        <v>0</v>
      </c>
      <c r="AR293" s="453">
        <f ca="1">IF(AND($D293="Serviço",AR$12&lt;&gt;0,$H293&gt;0,OR(AUTOEVENTO&lt;&gt;"manual",$M293&lt;&gt;$A$15)),
        IF(Import.TipoArredondamento&lt;&gt;"TransfereGOV",
              ROUND(OFFSET($P293,0,AR$13),15-13*ORÇAMENTO!$AF$7)/$H293*OFFSET(ORÇAMENTO!$X$15,ROW(AR293)-ROW(AR$15),0),
              ROUND(ROUND(OFFSET($P293,0,AR$13),15-13*ORÇAMENTO!$AF$7)*OFFSET(ORÇAMENTO!$W$15,ROW(AR293)-ROW(AR$15),0),15-13*ORÇAMENTO!$AF$11)),
         0)</f>
        <v>0</v>
      </c>
      <c r="AS293" s="453">
        <f ca="1">IF(AND($D293="Serviço",AS$12&lt;&gt;0,$H293&gt;0,OR(AUTOEVENTO&lt;&gt;"manual",$M293&lt;&gt;$A$15)),
        IF(Import.TipoArredondamento&lt;&gt;"TransfereGOV",
              ROUND(OFFSET($P293,0,AS$13),15-13*ORÇAMENTO!$AF$7)/$H293*OFFSET(ORÇAMENTO!$X$15,ROW(AS293)-ROW(AS$15),0),
              ROUND(ROUND(OFFSET($P293,0,AS$13),15-13*ORÇAMENTO!$AF$7)*OFFSET(ORÇAMENTO!$W$15,ROW(AS293)-ROW(AS$15),0),15-13*ORÇAMENTO!$AF$11)),
         0)</f>
        <v>0</v>
      </c>
      <c r="AT293" s="453">
        <f ca="1">IF(AND($D293="Serviço",AT$12&lt;&gt;0,$H293&gt;0,OR(AUTOEVENTO&lt;&gt;"manual",$M293&lt;&gt;$A$15)),
        IF(Import.TipoArredondamento&lt;&gt;"TransfereGOV",
              ROUND(OFFSET($P293,0,AT$13),15-13*ORÇAMENTO!$AF$7)/$H293*OFFSET(ORÇAMENTO!$X$15,ROW(AT293)-ROW(AT$15),0),
              ROUND(ROUND(OFFSET($P293,0,AT$13),15-13*ORÇAMENTO!$AF$7)*OFFSET(ORÇAMENTO!$W$15,ROW(AT293)-ROW(AT$15),0),15-13*ORÇAMENTO!$AF$11)),
         0)</f>
        <v>0</v>
      </c>
      <c r="AU293" s="453">
        <f ca="1">IF(AND($D293="Serviço",AU$12&lt;&gt;0,$H293&gt;0,OR(AUTOEVENTO&lt;&gt;"manual",$M293&lt;&gt;$A$15)),
        IF(Import.TipoArredondamento&lt;&gt;"TransfereGOV",
              ROUND(OFFSET($P293,0,AU$13),15-13*ORÇAMENTO!$AF$7)/$H293*OFFSET(ORÇAMENTO!$X$15,ROW(AU293)-ROW(AU$15),0),
              ROUND(ROUND(OFFSET($P293,0,AU$13),15-13*ORÇAMENTO!$AF$7)*OFFSET(ORÇAMENTO!$W$15,ROW(AU293)-ROW(AU$15),0),15-13*ORÇAMENTO!$AF$11)),
         0)</f>
        <v>0</v>
      </c>
      <c r="AV293" s="453">
        <f ca="1">IF(AND($D293="Serviço",AV$12&lt;&gt;0,$H293&gt;0,OR(AUTOEVENTO&lt;&gt;"manual",$M293&lt;&gt;$A$15)),
        IF(Import.TipoArredondamento&lt;&gt;"TransfereGOV",
              ROUND(OFFSET($P293,0,AV$13),15-13*ORÇAMENTO!$AF$7)/$H293*OFFSET(ORÇAMENTO!$X$15,ROW(AV293)-ROW(AV$15),0),
              ROUND(ROUND(OFFSET($P293,0,AV$13),15-13*ORÇAMENTO!$AF$7)*OFFSET(ORÇAMENTO!$W$15,ROW(AV293)-ROW(AV$15),0),15-13*ORÇAMENTO!$AF$11)),
         0)</f>
        <v>0</v>
      </c>
      <c r="AW293" s="453">
        <f ca="1">IF(AND($D293="Serviço",AW$12&lt;&gt;0,$H293&gt;0,OR(AUTOEVENTO&lt;&gt;"manual",$M293&lt;&gt;$A$15)),
        IF(Import.TipoArredondamento&lt;&gt;"TransfereGOV",
              ROUND(OFFSET($P293,0,AW$13),15-13*ORÇAMENTO!$AF$7)/$H293*OFFSET(ORÇAMENTO!$X$15,ROW(AW293)-ROW(AW$15),0),
              ROUND(ROUND(OFFSET($P293,0,AW$13),15-13*ORÇAMENTO!$AF$7)*OFFSET(ORÇAMENTO!$W$15,ROW(AW293)-ROW(AW$15),0),15-13*ORÇAMENTO!$AF$11)),
         0)</f>
        <v>0</v>
      </c>
      <c r="AX293" s="453">
        <f ca="1">IF(AND($D293="Serviço",AX$12&lt;&gt;0,$H293&gt;0,OR(AUTOEVENTO&lt;&gt;"manual",$M293&lt;&gt;$A$15)),
        IF(Import.TipoArredondamento&lt;&gt;"TransfereGOV",
              ROUND(OFFSET($P293,0,AX$13),15-13*ORÇAMENTO!$AF$7)/$H293*OFFSET(ORÇAMENTO!$X$15,ROW(AX293)-ROW(AX$15),0),
              ROUND(ROUND(OFFSET($P293,0,AX$13),15-13*ORÇAMENTO!$AF$7)*OFFSET(ORÇAMENTO!$W$15,ROW(AX293)-ROW(AX$15),0),15-13*ORÇAMENTO!$AF$11)),
         0)</f>
        <v>0</v>
      </c>
      <c r="AY293" s="453">
        <f ca="1">IF(AND($D293="Serviço",AY$12&lt;&gt;0,$H293&gt;0,OR(AUTOEVENTO&lt;&gt;"manual",$M293&lt;&gt;$A$15)),
        IF(Import.TipoArredondamento&lt;&gt;"TransfereGOV",
              ROUND(OFFSET($P293,0,AY$13),15-13*ORÇAMENTO!$AF$7)/$H293*OFFSET(ORÇAMENTO!$X$15,ROW(AY293)-ROW(AY$15),0),
              ROUND(ROUND(OFFSET($P293,0,AY$13),15-13*ORÇAMENTO!$AF$7)*OFFSET(ORÇAMENTO!$W$15,ROW(AY293)-ROW(AY$15),0),15-13*ORÇAMENTO!$AF$11)),
         0)</f>
        <v>0</v>
      </c>
      <c r="AZ293" s="453">
        <f ca="1">IF(AND($D293="Serviço",AZ$12&lt;&gt;0,$H293&gt;0,OR(AUTOEVENTO&lt;&gt;"manual",$M293&lt;&gt;$A$15)),
        IF(Import.TipoArredondamento&lt;&gt;"TransfereGOV",
              ROUND(OFFSET($P293,0,AZ$13),15-13*ORÇAMENTO!$AF$7)/$H293*OFFSET(ORÇAMENTO!$X$15,ROW(AZ293)-ROW(AZ$15),0),
              ROUND(ROUND(OFFSET($P293,0,AZ$13),15-13*ORÇAMENTO!$AF$7)*OFFSET(ORÇAMENTO!$W$15,ROW(AZ293)-ROW(AZ$15),0),15-13*ORÇAMENTO!$AF$11)),
         0)</f>
        <v>0</v>
      </c>
      <c r="BA293" s="453">
        <f ca="1">IF(AND($D293="Serviço",BA$12&lt;&gt;0,$H293&gt;0,OR(AUTOEVENTO&lt;&gt;"manual",$M293&lt;&gt;$A$15)),
        IF(Import.TipoArredondamento&lt;&gt;"TransfereGOV",
              ROUND(OFFSET($P293,0,BA$13),15-13*ORÇAMENTO!$AF$7)/$H293*OFFSET(ORÇAMENTO!$X$15,ROW(BA293)-ROW(BA$15),0),
              ROUND(ROUND(OFFSET($P293,0,BA$13),15-13*ORÇAMENTO!$AF$7)*OFFSET(ORÇAMENTO!$W$15,ROW(BA293)-ROW(BA$15),0),15-13*ORÇAMENTO!$AF$11)),
         0)</f>
        <v>0</v>
      </c>
      <c r="BC293" s="171">
        <f ca="1">IF(OR($D293&lt;&gt;"Serviço",AND(AUTOEVENTO="Manual",$M293=$A$15)),0,
         IF(OFFSET(CRONOPLE!$F$15,$M293-$A$15,BC$13)=0,10^12,OFFSET(CRONOPLE!$F$15,$M293-$A$15,BC$13)))</f>
        <v>0</v>
      </c>
      <c r="BD293" s="171">
        <f ca="1">IF(OR($D293&lt;&gt;"Serviço",AND(AUTOEVENTO="Manual",$M293=$A$15)),0,
         IF(OFFSET(CRONOPLE!$F$15,$M293-$A$15,BD$13)=0,10^12,OFFSET(CRONOPLE!$F$15,$M293-$A$15,BD$13)))</f>
        <v>0</v>
      </c>
      <c r="BE293" s="171">
        <f ca="1">IF(OR($D293&lt;&gt;"Serviço",AND(AUTOEVENTO="Manual",$M293=$A$15)),0,
         IF(OFFSET(CRONOPLE!$F$15,$M293-$A$15,BE$13)=0,10^12,OFFSET(CRONOPLE!$F$15,$M293-$A$15,BE$13)))</f>
        <v>0</v>
      </c>
      <c r="BF293" s="171">
        <f ca="1">IF(OR($D293&lt;&gt;"Serviço",AND(AUTOEVENTO="Manual",$M293=$A$15)),0,
         IF(OFFSET(CRONOPLE!$F$15,$M293-$A$15,BF$13)=0,10^12,OFFSET(CRONOPLE!$F$15,$M293-$A$15,BF$13)))</f>
        <v>0</v>
      </c>
      <c r="BG293" s="171">
        <f ca="1">IF(OR($D293&lt;&gt;"Serviço",AND(AUTOEVENTO="Manual",$M293=$A$15)),0,
         IF(OFFSET(CRONOPLE!$F$15,$M293-$A$15,BG$13)=0,10^12,OFFSET(CRONOPLE!$F$15,$M293-$A$15,BG$13)))</f>
        <v>0</v>
      </c>
      <c r="BH293" s="171">
        <f ca="1">IF(OR($D293&lt;&gt;"Serviço",AND(AUTOEVENTO="Manual",$M293=$A$15)),0,
         IF(OFFSET(CRONOPLE!$F$15,$M293-$A$15,BH$13)=0,10^12,OFFSET(CRONOPLE!$F$15,$M293-$A$15,BH$13)))</f>
        <v>0</v>
      </c>
      <c r="BI293" s="171">
        <f ca="1">IF(OR($D293&lt;&gt;"Serviço",AND(AUTOEVENTO="Manual",$M293=$A$15)),0,
         IF(OFFSET(CRONOPLE!$F$15,$M293-$A$15,BI$13)=0,10^12,OFFSET(CRONOPLE!$F$15,$M293-$A$15,BI$13)))</f>
        <v>0</v>
      </c>
      <c r="BJ293" s="171">
        <f ca="1">IF(OR($D293&lt;&gt;"Serviço",AND(AUTOEVENTO="Manual",$M293=$A$15)),0,
         IF(OFFSET(CRONOPLE!$F$15,$M293-$A$15,BJ$13)=0,10^12,OFFSET(CRONOPLE!$F$15,$M293-$A$15,BJ$13)))</f>
        <v>0</v>
      </c>
      <c r="BK293" s="171">
        <f ca="1">IF(OR($D293&lt;&gt;"Serviço",AND(AUTOEVENTO="Manual",$M293=$A$15)),0,
         IF(OFFSET(CRONOPLE!$F$15,$M293-$A$15,BK$13)=0,10^12,OFFSET(CRONOPLE!$F$15,$M293-$A$15,BK$13)))</f>
        <v>0</v>
      </c>
      <c r="BL293" s="171">
        <f ca="1">IF(OR($D293&lt;&gt;"Serviço",AND(AUTOEVENTO="Manual",$M293=$A$15)),0,
         IF(OFFSET(CRONOPLE!$F$15,$M293-$A$15,BL$13)=0,10^12,OFFSET(CRONOPLE!$F$15,$M293-$A$15,BL$13)))</f>
        <v>0</v>
      </c>
      <c r="BM293" s="171">
        <f ca="1">IF(OR($D293&lt;&gt;"Serviço",AND(AUTOEVENTO="Manual",$M293=$A$15)),0,
         IF(OFFSET(CRONOPLE!$F$15,$M293-$A$15,BM$13)=0,10^12,OFFSET(CRONOPLE!$F$15,$M293-$A$15,BM$13)))</f>
        <v>0</v>
      </c>
      <c r="BN293" s="171">
        <f ca="1">IF(OR($D293&lt;&gt;"Serviço",AND(AUTOEVENTO="Manual",$M293=$A$15)),0,
         IF(OFFSET(CRONOPLE!$F$15,$M293-$A$15,BN$13)=0,10^12,OFFSET(CRONOPLE!$F$15,$M293-$A$15,BN$13)))</f>
        <v>0</v>
      </c>
      <c r="BO293" s="171">
        <f ca="1">IF(OR($D293&lt;&gt;"Serviço",AND(AUTOEVENTO="Manual",$M293=$A$15)),0,
         IF(OFFSET(CRONOPLE!$F$15,$M293-$A$15,BO$13)=0,10^12,OFFSET(CRONOPLE!$F$15,$M293-$A$15,BO$13)))</f>
        <v>0</v>
      </c>
      <c r="BP293" s="171">
        <f ca="1">IF(OR($D293&lt;&gt;"Serviço",AND(AUTOEVENTO="Manual",$M293=$A$15)),0,
         IF(OFFSET(CRONOPLE!$F$15,$M293-$A$15,BP$13)=0,10^12,OFFSET(CRONOPLE!$F$15,$M293-$A$15,BP$13)))</f>
        <v>0</v>
      </c>
      <c r="BQ293" s="171">
        <f ca="1">IF(OR($D293&lt;&gt;"Serviço",AND(AUTOEVENTO="Manual",$M293=$A$15)),0,
         IF(OFFSET(CRONOPLE!$F$15,$M293-$A$15,BQ$13)=0,10^12,OFFSET(CRONOPLE!$F$15,$M293-$A$15,BQ$13)))</f>
        <v>0</v>
      </c>
      <c r="BR293" s="171">
        <f ca="1">IF(OR($D293&lt;&gt;"Serviço",AND(AUTOEVENTO="Manual",$M293=$A$15)),0,
         IF(OFFSET(CRONOPLE!$F$15,$M293-$A$15,BR$13)=0,10^12,OFFSET(CRONOPLE!$F$15,$M293-$A$15,BR$13)))</f>
        <v>0</v>
      </c>
      <c r="BS293" s="171">
        <f ca="1">IF(OR($D293&lt;&gt;"Serviço",AND(AUTOEVENTO="Manual",$M293=$A$15)),0,
         IF(OFFSET(CRONOPLE!$F$15,$M293-$A$15,BS$13)=0,10^12,OFFSET(CRONOPLE!$F$15,$M293-$A$15,BS$13)))</f>
        <v>0</v>
      </c>
      <c r="BT293" s="171">
        <f ca="1">IF(OR($D293&lt;&gt;"Serviço",AND(AUTOEVENTO="Manual",$M293=$A$15)),0,
         IF(OFFSET(CRONOPLE!$F$15,$M293-$A$15,BT$13)=0,10^12,OFFSET(CRONOPLE!$F$15,$M293-$A$15,BT$13)))</f>
        <v>0</v>
      </c>
      <c r="BV293" s="172">
        <f ca="1">IF(OR($D293&lt;&gt;"Serviço",AND(AUTOEVENTO="Manual",$M293=$A$15),$M293&gt;(ROW(PLE.lastrow)-ROW(PLE.firstrow))),0,
           IF(OFFSET(PLE!$G$15,$M293-$A$15,BV$13)="",10^12,OFFSET(PLE!$G$15,$M293-$A$15,BV$13)))</f>
        <v>0</v>
      </c>
      <c r="BW293" s="172">
        <f ca="1">IF(OR($D293&lt;&gt;"Serviço",AND(AUTOEVENTO="Manual",$M293=$A$15),$M293&gt;(ROW(PLE.lastrow)-ROW(PLE.firstrow))),0,
           IF(OFFSET(PLE!$G$15,$M293-$A$15,BW$13)="",10^12,OFFSET(PLE!$G$15,$M293-$A$15,BW$13)))</f>
        <v>0</v>
      </c>
      <c r="BX293" s="172">
        <f ca="1">IF(OR($D293&lt;&gt;"Serviço",AND(AUTOEVENTO="Manual",$M293=$A$15),$M293&gt;(ROW(PLE.lastrow)-ROW(PLE.firstrow))),0,
           IF(OFFSET(PLE!$G$15,$M293-$A$15,BX$13)="",10^12,OFFSET(PLE!$G$15,$M293-$A$15,BX$13)))</f>
        <v>0</v>
      </c>
      <c r="BY293" s="172">
        <f ca="1">IF(OR($D293&lt;&gt;"Serviço",AND(AUTOEVENTO="Manual",$M293=$A$15),$M293&gt;(ROW(PLE.lastrow)-ROW(PLE.firstrow))),0,
           IF(OFFSET(PLE!$G$15,$M293-$A$15,BY$13)="",10^12,OFFSET(PLE!$G$15,$M293-$A$15,BY$13)))</f>
        <v>0</v>
      </c>
      <c r="BZ293" s="172">
        <f ca="1">IF(OR($D293&lt;&gt;"Serviço",AND(AUTOEVENTO="Manual",$M293=$A$15),$M293&gt;(ROW(PLE.lastrow)-ROW(PLE.firstrow))),0,
           IF(OFFSET(PLE!$G$15,$M293-$A$15,BZ$13)="",10^12,OFFSET(PLE!$G$15,$M293-$A$15,BZ$13)))</f>
        <v>0</v>
      </c>
      <c r="CA293" s="172">
        <f ca="1">IF(OR($D293&lt;&gt;"Serviço",AND(AUTOEVENTO="Manual",$M293=$A$15),$M293&gt;(ROW(PLE.lastrow)-ROW(PLE.firstrow))),0,
           IF(OFFSET(PLE!$G$15,$M293-$A$15,CA$13)="",10^12,OFFSET(PLE!$G$15,$M293-$A$15,CA$13)))</f>
        <v>0</v>
      </c>
      <c r="CB293" s="172">
        <f ca="1">IF(OR($D293&lt;&gt;"Serviço",AND(AUTOEVENTO="Manual",$M293=$A$15),$M293&gt;(ROW(PLE.lastrow)-ROW(PLE.firstrow))),0,
           IF(OFFSET(PLE!$G$15,$M293-$A$15,CB$13)="",10^12,OFFSET(PLE!$G$15,$M293-$A$15,CB$13)))</f>
        <v>0</v>
      </c>
      <c r="CC293" s="172">
        <f ca="1">IF(OR($D293&lt;&gt;"Serviço",AND(AUTOEVENTO="Manual",$M293=$A$15),$M293&gt;(ROW(PLE.lastrow)-ROW(PLE.firstrow))),0,
           IF(OFFSET(PLE!$G$15,$M293-$A$15,CC$13)="",10^12,OFFSET(PLE!$G$15,$M293-$A$15,CC$13)))</f>
        <v>0</v>
      </c>
      <c r="CD293" s="172">
        <f ca="1">IF(OR($D293&lt;&gt;"Serviço",AND(AUTOEVENTO="Manual",$M293=$A$15),$M293&gt;(ROW(PLE.lastrow)-ROW(PLE.firstrow))),0,
           IF(OFFSET(PLE!$G$15,$M293-$A$15,CD$13)="",10^12,OFFSET(PLE!$G$15,$M293-$A$15,CD$13)))</f>
        <v>0</v>
      </c>
      <c r="CE293" s="172">
        <f ca="1">IF(OR($D293&lt;&gt;"Serviço",AND(AUTOEVENTO="Manual",$M293=$A$15),$M293&gt;(ROW(PLE.lastrow)-ROW(PLE.firstrow))),0,
           IF(OFFSET(PLE!$G$15,$M293-$A$15,CE$13)="",10^12,OFFSET(PLE!$G$15,$M293-$A$15,CE$13)))</f>
        <v>0</v>
      </c>
      <c r="CF293" s="172">
        <f ca="1">IF(OR($D293&lt;&gt;"Serviço",AND(AUTOEVENTO="Manual",$M293=$A$15),$M293&gt;(ROW(PLE.lastrow)-ROW(PLE.firstrow))),0,
           IF(OFFSET(PLE!$G$15,$M293-$A$15,CF$13)="",10^12,OFFSET(PLE!$G$15,$M293-$A$15,CF$13)))</f>
        <v>0</v>
      </c>
      <c r="CG293" s="172">
        <f ca="1">IF(OR($D293&lt;&gt;"Serviço",AND(AUTOEVENTO="Manual",$M293=$A$15),$M293&gt;(ROW(PLE.lastrow)-ROW(PLE.firstrow))),0,
           IF(OFFSET(PLE!$G$15,$M293-$A$15,CG$13)="",10^12,OFFSET(PLE!$G$15,$M293-$A$15,CG$13)))</f>
        <v>0</v>
      </c>
      <c r="CH293" s="172">
        <f ca="1">IF(OR($D293&lt;&gt;"Serviço",AND(AUTOEVENTO="Manual",$M293=$A$15),$M293&gt;(ROW(PLE.lastrow)-ROW(PLE.firstrow))),0,
           IF(OFFSET(PLE!$G$15,$M293-$A$15,CH$13)="",10^12,OFFSET(PLE!$G$15,$M293-$A$15,CH$13)))</f>
        <v>0</v>
      </c>
      <c r="CI293" s="172">
        <f ca="1">IF(OR($D293&lt;&gt;"Serviço",AND(AUTOEVENTO="Manual",$M293=$A$15),$M293&gt;(ROW(PLE.lastrow)-ROW(PLE.firstrow))),0,
           IF(OFFSET(PLE!$G$15,$M293-$A$15,CI$13)="",10^12,OFFSET(PLE!$G$15,$M293-$A$15,CI$13)))</f>
        <v>0</v>
      </c>
      <c r="CJ293" s="172">
        <f ca="1">IF(OR($D293&lt;&gt;"Serviço",AND(AUTOEVENTO="Manual",$M293=$A$15),$M293&gt;(ROW(PLE.lastrow)-ROW(PLE.firstrow))),0,
           IF(OFFSET(PLE!$G$15,$M293-$A$15,CJ$13)="",10^12,OFFSET(PLE!$G$15,$M293-$A$15,CJ$13)))</f>
        <v>0</v>
      </c>
      <c r="CK293" s="172">
        <f ca="1">IF(OR($D293&lt;&gt;"Serviço",AND(AUTOEVENTO="Manual",$M293=$A$15),$M293&gt;(ROW(PLE.lastrow)-ROW(PLE.firstrow))),0,
           IF(OFFSET(PLE!$G$15,$M293-$A$15,CK$13)="",10^12,OFFSET(PLE!$G$15,$M293-$A$15,CK$13)))</f>
        <v>0</v>
      </c>
      <c r="CL293" s="172">
        <f ca="1">IF(OR($D293&lt;&gt;"Serviço",AND(AUTOEVENTO="Manual",$M293=$A$15),$M293&gt;(ROW(PLE.lastrow)-ROW(PLE.firstrow))),0,
           IF(OFFSET(PLE!$G$15,$M293-$A$15,CL$13)="",10^12,OFFSET(PLE!$G$15,$M293-$A$15,CL$13)))</f>
        <v>0</v>
      </c>
      <c r="CM293" s="172">
        <f ca="1">IF(OR($D293&lt;&gt;"Serviço",AND(AUTOEVENTO="Manual",$M293=$A$15),$M293&gt;(ROW(PLE.lastrow)-ROW(PLE.firstrow))),0,
           IF(OFFSET(PLE!$G$15,$M293-$A$15,CM$13)="",10^12,OFFSET(PLE!$G$15,$M293-$A$15,CM$13)))</f>
        <v>0</v>
      </c>
    </row>
    <row r="294" spans="1:91" ht="76.5" x14ac:dyDescent="0.2">
      <c r="A294" s="7">
        <f t="shared" ca="1" si="14"/>
        <v>6</v>
      </c>
      <c r="B294" s="7" t="str">
        <f ca="1">OFFSET(ORÇAMENTO!C$15,ROW(B294)-ROW(B$15),0)</f>
        <v>S</v>
      </c>
      <c r="C294" s="7" t="str">
        <f ca="1">OFFSET(ORÇAMENTO!L$15,ROW(C294)-ROW(C$15),0)</f>
        <v>F</v>
      </c>
      <c r="D294" s="116" t="str">
        <f ca="1">OFFSET(ORÇAMENTO!N$15,ROW(D294)-ROW(D$15),0)</f>
        <v>Serviço</v>
      </c>
      <c r="E294" s="117" t="str">
        <f ca="1">OFFSET(ORÇAMENTO!O$15,ROW(E294)-ROW(E$15),0)</f>
        <v>1.7.3.4.1.</v>
      </c>
      <c r="F294" s="163" t="str">
        <f ca="1">OFFSET(ORÇAMENTO!R$15,ROW(F294)-ROW(F$15),0)</f>
        <v>ALVENARIA DE VEDAÇÃO DE BLOCOS CERÂMICOS MACIÇOS DE 5X10X20CM (ESPESSURA 10CM) E ARGAMASSA DE ASSENTAMENTO COM PREPARO EM BETONEIRA. AF_05/2020</v>
      </c>
      <c r="G294" s="164" t="str">
        <f ca="1">IF($D294&lt;&gt;"Serviço","",OFFSET(ORÇAMENTO!S$15,ROW(G294)-ROW(G$15),0))</f>
        <v>M2</v>
      </c>
      <c r="H294" s="122" cm="1">
        <f t="array" aca="1" ref="H294" ca="1">IF($D294&lt;&gt;"Serviço",0,IF(ACOMPANHAMENTO="BM",ROUND(OFFSET(ORÇAMENTO!AJ$15,ROW(H294)-ROW(H$15),0),15-13*ORÇAMENTO!$AF$7),SUMPRODUCT(($Q$1:$AI$1=1)*ROUND($Q294:$AI294,15-13*ORÇAMENTO!$AF$7))))</f>
        <v>210</v>
      </c>
      <c r="I294" s="468" t="s">
        <v>1353</v>
      </c>
      <c r="J294" s="640" t="str" cm="1">
        <f t="array" aca="1" ref="J294" ca="1">IF(OR(B294&lt;&gt;"S",CÁLCULO.FrentesPreenchidas=0),"",IF(AND(ACOMPANHAMENTO="PLE",AUTOEVENTO="Manual",OR(H294&gt;0,ORÇAMENTO!AC294="QUANT."),OR(K294="",M294=0,N294="")),"►E",IF(AND(ACOMPANHAMENTO="PLE",ORÇAMENTO!AC294="QUANT."),"►Q",IF(AND(ACOMPANHAMENTO="PLE",H294&lt;&gt;SUMPRODUCT(($Q$1:$AI$1=1)*ROUND(Q294:AI294,15))),"►S",IF(AND(COUNTIF($P$11:$AI$11,"▼")=0,H294&gt;0,I294=""),"◄M","")))))</f>
        <v/>
      </c>
      <c r="K294" s="641" t="s">
        <v>1385</v>
      </c>
      <c r="L294" s="165" t="s">
        <v>764</v>
      </c>
      <c r="M294" s="166">
        <f ca="1">IF($D294&lt;&gt;"Serviço","",
          IF(AUTOEVENTO="manual",$A294,
                IF(ISERROR(MATCH($A294,$A$15:OFFSET($A294,-1,0),0)),MAX($M$15:OFFSET(M294,-1,0))+1,
                      INDEX($M$15:OFFSET(M294,-1,0),MATCH($A294,$A$15:OFFSET($A294,-1,0),0)))))</f>
        <v>6</v>
      </c>
      <c r="N294" s="167" t="str">
        <f ca="1">IF($D294&lt;&gt;"Serviço","",
         IF(AUTOEVENTO="Manual",
                IF($A294=0,"&lt;-- defina o número do agrupador",
                       OFFSET(EVENTOS!$D$15,$A294-$A$15,0)),
                OFFSET($F$15,$A294,0)))</f>
        <v>Saneamento</v>
      </c>
      <c r="O294" s="168"/>
      <c r="Q294" s="168"/>
      <c r="R294" s="169"/>
      <c r="S294" s="169"/>
      <c r="T294" s="169"/>
      <c r="U294" s="169">
        <v>210</v>
      </c>
      <c r="V294" s="169"/>
      <c r="W294" s="169"/>
      <c r="X294" s="169"/>
      <c r="Y294" s="169"/>
      <c r="Z294" s="170"/>
      <c r="AA294" s="169"/>
      <c r="AB294" s="169"/>
      <c r="AC294" s="169"/>
      <c r="AD294" s="169"/>
      <c r="AE294" s="169"/>
      <c r="AF294" s="169"/>
      <c r="AG294" s="169"/>
      <c r="AH294" s="170"/>
      <c r="AJ294" s="453">
        <f ca="1">IF(AND($D294="Serviço",AJ$12&lt;&gt;0,$H294&gt;0,OR(AUTOEVENTO&lt;&gt;"manual",$M294&lt;&gt;$A$15)),
        IF(Import.TipoArredondamento&lt;&gt;"TransfereGOV",
              ROUND(OFFSET($P294,0,AJ$13),15-13*ORÇAMENTO!$AF$7)/$H294*OFFSET(ORÇAMENTO!$X$15,ROW(AJ294)-ROW(AJ$15),0),
              ROUND(ROUND(OFFSET($P294,0,AJ$13),15-13*ORÇAMENTO!$AF$7)*OFFSET(ORÇAMENTO!$W$15,ROW(AJ294)-ROW(AJ$15),0),15-13*ORÇAMENTO!$AF$11)),
         0)</f>
        <v>0</v>
      </c>
      <c r="AK294" s="453">
        <f ca="1">IF(AND($D294="Serviço",AK$12&lt;&gt;0,$H294&gt;0,OR(AUTOEVENTO&lt;&gt;"manual",$M294&lt;&gt;$A$15)),
        IF(Import.TipoArredondamento&lt;&gt;"TransfereGOV",
              ROUND(OFFSET($P294,0,AK$13),15-13*ORÇAMENTO!$AF$7)/$H294*OFFSET(ORÇAMENTO!$X$15,ROW(AK294)-ROW(AK$15),0),
              ROUND(ROUND(OFFSET($P294,0,AK$13),15-13*ORÇAMENTO!$AF$7)*OFFSET(ORÇAMENTO!$W$15,ROW(AK294)-ROW(AK$15),0),15-13*ORÇAMENTO!$AF$11)),
         0)</f>
        <v>0</v>
      </c>
      <c r="AL294" s="453">
        <f ca="1">IF(AND($D294="Serviço",AL$12&lt;&gt;0,$H294&gt;0,OR(AUTOEVENTO&lt;&gt;"manual",$M294&lt;&gt;$A$15)),
        IF(Import.TipoArredondamento&lt;&gt;"TransfereGOV",
              ROUND(OFFSET($P294,0,AL$13),15-13*ORÇAMENTO!$AF$7)/$H294*OFFSET(ORÇAMENTO!$X$15,ROW(AL294)-ROW(AL$15),0),
              ROUND(ROUND(OFFSET($P294,0,AL$13),15-13*ORÇAMENTO!$AF$7)*OFFSET(ORÇAMENTO!$W$15,ROW(AL294)-ROW(AL$15),0),15-13*ORÇAMENTO!$AF$11)),
         0)</f>
        <v>0</v>
      </c>
      <c r="AM294" s="453">
        <f ca="1">IF(AND($D294="Serviço",AM$12&lt;&gt;0,$H294&gt;0,OR(AUTOEVENTO&lt;&gt;"manual",$M294&lt;&gt;$A$15)),
        IF(Import.TipoArredondamento&lt;&gt;"TransfereGOV",
              ROUND(OFFSET($P294,0,AM$13),15-13*ORÇAMENTO!$AF$7)/$H294*OFFSET(ORÇAMENTO!$X$15,ROW(AM294)-ROW(AM$15),0),
              ROUND(ROUND(OFFSET($P294,0,AM$13),15-13*ORÇAMENTO!$AF$7)*OFFSET(ORÇAMENTO!$W$15,ROW(AM294)-ROW(AM$15),0),15-13*ORÇAMENTO!$AF$11)),
         0)</f>
        <v>0</v>
      </c>
      <c r="AN294" s="453">
        <f ca="1">IF(AND($D294="Serviço",AN$12&lt;&gt;0,$H294&gt;0,OR(AUTOEVENTO&lt;&gt;"manual",$M294&lt;&gt;$A$15)),
        IF(Import.TipoArredondamento&lt;&gt;"TransfereGOV",
              ROUND(OFFSET($P294,0,AN$13),15-13*ORÇAMENTO!$AF$7)/$H294*OFFSET(ORÇAMENTO!$X$15,ROW(AN294)-ROW(AN$15),0),
              ROUND(ROUND(OFFSET($P294,0,AN$13),15-13*ORÇAMENTO!$AF$7)*OFFSET(ORÇAMENTO!$W$15,ROW(AN294)-ROW(AN$15),0),15-13*ORÇAMENTO!$AF$11)),
         0)</f>
        <v>0</v>
      </c>
      <c r="AO294" s="453">
        <f ca="1">IF(AND($D294="Serviço",AO$12&lt;&gt;0,$H294&gt;0,OR(AUTOEVENTO&lt;&gt;"manual",$M294&lt;&gt;$A$15)),
        IF(Import.TipoArredondamento&lt;&gt;"TransfereGOV",
              ROUND(OFFSET($P294,0,AO$13),15-13*ORÇAMENTO!$AF$7)/$H294*OFFSET(ORÇAMENTO!$X$15,ROW(AO294)-ROW(AO$15),0),
              ROUND(ROUND(OFFSET($P294,0,AO$13),15-13*ORÇAMENTO!$AF$7)*OFFSET(ORÇAMENTO!$W$15,ROW(AO294)-ROW(AO$15),0),15-13*ORÇAMENTO!$AF$11)),
         0)</f>
        <v>0</v>
      </c>
      <c r="AP294" s="453">
        <f ca="1">IF(AND($D294="Serviço",AP$12&lt;&gt;0,$H294&gt;0,OR(AUTOEVENTO&lt;&gt;"manual",$M294&lt;&gt;$A$15)),
        IF(Import.TipoArredondamento&lt;&gt;"TransfereGOV",
              ROUND(OFFSET($P294,0,AP$13),15-13*ORÇAMENTO!$AF$7)/$H294*OFFSET(ORÇAMENTO!$X$15,ROW(AP294)-ROW(AP$15),0),
              ROUND(ROUND(OFFSET($P294,0,AP$13),15-13*ORÇAMENTO!$AF$7)*OFFSET(ORÇAMENTO!$W$15,ROW(AP294)-ROW(AP$15),0),15-13*ORÇAMENTO!$AF$11)),
         0)</f>
        <v>0</v>
      </c>
      <c r="AQ294" s="453">
        <f ca="1">IF(AND($D294="Serviço",AQ$12&lt;&gt;0,$H294&gt;0,OR(AUTOEVENTO&lt;&gt;"manual",$M294&lt;&gt;$A$15)),
        IF(Import.TipoArredondamento&lt;&gt;"TransfereGOV",
              ROUND(OFFSET($P294,0,AQ$13),15-13*ORÇAMENTO!$AF$7)/$H294*OFFSET(ORÇAMENTO!$X$15,ROW(AQ294)-ROW(AQ$15),0),
              ROUND(ROUND(OFFSET($P294,0,AQ$13),15-13*ORÇAMENTO!$AF$7)*OFFSET(ORÇAMENTO!$W$15,ROW(AQ294)-ROW(AQ$15),0),15-13*ORÇAMENTO!$AF$11)),
         0)</f>
        <v>0</v>
      </c>
      <c r="AR294" s="453">
        <f ca="1">IF(AND($D294="Serviço",AR$12&lt;&gt;0,$H294&gt;0,OR(AUTOEVENTO&lt;&gt;"manual",$M294&lt;&gt;$A$15)),
        IF(Import.TipoArredondamento&lt;&gt;"TransfereGOV",
              ROUND(OFFSET($P294,0,AR$13),15-13*ORÇAMENTO!$AF$7)/$H294*OFFSET(ORÇAMENTO!$X$15,ROW(AR294)-ROW(AR$15),0),
              ROUND(ROUND(OFFSET($P294,0,AR$13),15-13*ORÇAMENTO!$AF$7)*OFFSET(ORÇAMENTO!$W$15,ROW(AR294)-ROW(AR$15),0),15-13*ORÇAMENTO!$AF$11)),
         0)</f>
        <v>0</v>
      </c>
      <c r="AS294" s="453">
        <f ca="1">IF(AND($D294="Serviço",AS$12&lt;&gt;0,$H294&gt;0,OR(AUTOEVENTO&lt;&gt;"manual",$M294&lt;&gt;$A$15)),
        IF(Import.TipoArredondamento&lt;&gt;"TransfereGOV",
              ROUND(OFFSET($P294,0,AS$13),15-13*ORÇAMENTO!$AF$7)/$H294*OFFSET(ORÇAMENTO!$X$15,ROW(AS294)-ROW(AS$15),0),
              ROUND(ROUND(OFFSET($P294,0,AS$13),15-13*ORÇAMENTO!$AF$7)*OFFSET(ORÇAMENTO!$W$15,ROW(AS294)-ROW(AS$15),0),15-13*ORÇAMENTO!$AF$11)),
         0)</f>
        <v>0</v>
      </c>
      <c r="AT294" s="453">
        <f ca="1">IF(AND($D294="Serviço",AT$12&lt;&gt;0,$H294&gt;0,OR(AUTOEVENTO&lt;&gt;"manual",$M294&lt;&gt;$A$15)),
        IF(Import.TipoArredondamento&lt;&gt;"TransfereGOV",
              ROUND(OFFSET($P294,0,AT$13),15-13*ORÇAMENTO!$AF$7)/$H294*OFFSET(ORÇAMENTO!$X$15,ROW(AT294)-ROW(AT$15),0),
              ROUND(ROUND(OFFSET($P294,0,AT$13),15-13*ORÇAMENTO!$AF$7)*OFFSET(ORÇAMENTO!$W$15,ROW(AT294)-ROW(AT$15),0),15-13*ORÇAMENTO!$AF$11)),
         0)</f>
        <v>0</v>
      </c>
      <c r="AU294" s="453">
        <f ca="1">IF(AND($D294="Serviço",AU$12&lt;&gt;0,$H294&gt;0,OR(AUTOEVENTO&lt;&gt;"manual",$M294&lt;&gt;$A$15)),
        IF(Import.TipoArredondamento&lt;&gt;"TransfereGOV",
              ROUND(OFFSET($P294,0,AU$13),15-13*ORÇAMENTO!$AF$7)/$H294*OFFSET(ORÇAMENTO!$X$15,ROW(AU294)-ROW(AU$15),0),
              ROUND(ROUND(OFFSET($P294,0,AU$13),15-13*ORÇAMENTO!$AF$7)*OFFSET(ORÇAMENTO!$W$15,ROW(AU294)-ROW(AU$15),0),15-13*ORÇAMENTO!$AF$11)),
         0)</f>
        <v>0</v>
      </c>
      <c r="AV294" s="453">
        <f ca="1">IF(AND($D294="Serviço",AV$12&lt;&gt;0,$H294&gt;0,OR(AUTOEVENTO&lt;&gt;"manual",$M294&lt;&gt;$A$15)),
        IF(Import.TipoArredondamento&lt;&gt;"TransfereGOV",
              ROUND(OFFSET($P294,0,AV$13),15-13*ORÇAMENTO!$AF$7)/$H294*OFFSET(ORÇAMENTO!$X$15,ROW(AV294)-ROW(AV$15),0),
              ROUND(ROUND(OFFSET($P294,0,AV$13),15-13*ORÇAMENTO!$AF$7)*OFFSET(ORÇAMENTO!$W$15,ROW(AV294)-ROW(AV$15),0),15-13*ORÇAMENTO!$AF$11)),
         0)</f>
        <v>0</v>
      </c>
      <c r="AW294" s="453">
        <f ca="1">IF(AND($D294="Serviço",AW$12&lt;&gt;0,$H294&gt;0,OR(AUTOEVENTO&lt;&gt;"manual",$M294&lt;&gt;$A$15)),
        IF(Import.TipoArredondamento&lt;&gt;"TransfereGOV",
              ROUND(OFFSET($P294,0,AW$13),15-13*ORÇAMENTO!$AF$7)/$H294*OFFSET(ORÇAMENTO!$X$15,ROW(AW294)-ROW(AW$15),0),
              ROUND(ROUND(OFFSET($P294,0,AW$13),15-13*ORÇAMENTO!$AF$7)*OFFSET(ORÇAMENTO!$W$15,ROW(AW294)-ROW(AW$15),0),15-13*ORÇAMENTO!$AF$11)),
         0)</f>
        <v>0</v>
      </c>
      <c r="AX294" s="453">
        <f ca="1">IF(AND($D294="Serviço",AX$12&lt;&gt;0,$H294&gt;0,OR(AUTOEVENTO&lt;&gt;"manual",$M294&lt;&gt;$A$15)),
        IF(Import.TipoArredondamento&lt;&gt;"TransfereGOV",
              ROUND(OFFSET($P294,0,AX$13),15-13*ORÇAMENTO!$AF$7)/$H294*OFFSET(ORÇAMENTO!$X$15,ROW(AX294)-ROW(AX$15),0),
              ROUND(ROUND(OFFSET($P294,0,AX$13),15-13*ORÇAMENTO!$AF$7)*OFFSET(ORÇAMENTO!$W$15,ROW(AX294)-ROW(AX$15),0),15-13*ORÇAMENTO!$AF$11)),
         0)</f>
        <v>0</v>
      </c>
      <c r="AY294" s="453">
        <f ca="1">IF(AND($D294="Serviço",AY$12&lt;&gt;0,$H294&gt;0,OR(AUTOEVENTO&lt;&gt;"manual",$M294&lt;&gt;$A$15)),
        IF(Import.TipoArredondamento&lt;&gt;"TransfereGOV",
              ROUND(OFFSET($P294,0,AY$13),15-13*ORÇAMENTO!$AF$7)/$H294*OFFSET(ORÇAMENTO!$X$15,ROW(AY294)-ROW(AY$15),0),
              ROUND(ROUND(OFFSET($P294,0,AY$13),15-13*ORÇAMENTO!$AF$7)*OFFSET(ORÇAMENTO!$W$15,ROW(AY294)-ROW(AY$15),0),15-13*ORÇAMENTO!$AF$11)),
         0)</f>
        <v>0</v>
      </c>
      <c r="AZ294" s="453">
        <f ca="1">IF(AND($D294="Serviço",AZ$12&lt;&gt;0,$H294&gt;0,OR(AUTOEVENTO&lt;&gt;"manual",$M294&lt;&gt;$A$15)),
        IF(Import.TipoArredondamento&lt;&gt;"TransfereGOV",
              ROUND(OFFSET($P294,0,AZ$13),15-13*ORÇAMENTO!$AF$7)/$H294*OFFSET(ORÇAMENTO!$X$15,ROW(AZ294)-ROW(AZ$15),0),
              ROUND(ROUND(OFFSET($P294,0,AZ$13),15-13*ORÇAMENTO!$AF$7)*OFFSET(ORÇAMENTO!$W$15,ROW(AZ294)-ROW(AZ$15),0),15-13*ORÇAMENTO!$AF$11)),
         0)</f>
        <v>0</v>
      </c>
      <c r="BA294" s="453">
        <f ca="1">IF(AND($D294="Serviço",BA$12&lt;&gt;0,$H294&gt;0,OR(AUTOEVENTO&lt;&gt;"manual",$M294&lt;&gt;$A$15)),
        IF(Import.TipoArredondamento&lt;&gt;"TransfereGOV",
              ROUND(OFFSET($P294,0,BA$13),15-13*ORÇAMENTO!$AF$7)/$H294*OFFSET(ORÇAMENTO!$X$15,ROW(BA294)-ROW(BA$15),0),
              ROUND(ROUND(OFFSET($P294,0,BA$13),15-13*ORÇAMENTO!$AF$7)*OFFSET(ORÇAMENTO!$W$15,ROW(BA294)-ROW(BA$15),0),15-13*ORÇAMENTO!$AF$11)),
         0)</f>
        <v>0</v>
      </c>
      <c r="BC294" s="171">
        <f ca="1">IF(OR($D294&lt;&gt;"Serviço",AND(AUTOEVENTO="Manual",$M294=$A$15)),0,
         IF(OFFSET(CRONOPLE!$F$15,$M294-$A$15,BC$13)=0,10^12,OFFSET(CRONOPLE!$F$15,$M294-$A$15,BC$13)))</f>
        <v>1</v>
      </c>
      <c r="BD294" s="171">
        <f ca="1">IF(OR($D294&lt;&gt;"Serviço",AND(AUTOEVENTO="Manual",$M294=$A$15)),0,
         IF(OFFSET(CRONOPLE!$F$15,$M294-$A$15,BD$13)=0,10^12,OFFSET(CRONOPLE!$F$15,$M294-$A$15,BD$13)))</f>
        <v>2</v>
      </c>
      <c r="BE294" s="171">
        <f ca="1">IF(OR($D294&lt;&gt;"Serviço",AND(AUTOEVENTO="Manual",$M294=$A$15)),0,
         IF(OFFSET(CRONOPLE!$F$15,$M294-$A$15,BE$13)=0,10^12,OFFSET(CRONOPLE!$F$15,$M294-$A$15,BE$13)))</f>
        <v>3</v>
      </c>
      <c r="BF294" s="171">
        <f ca="1">IF(OR($D294&lt;&gt;"Serviço",AND(AUTOEVENTO="Manual",$M294=$A$15)),0,
         IF(OFFSET(CRONOPLE!$F$15,$M294-$A$15,BF$13)=0,10^12,OFFSET(CRONOPLE!$F$15,$M294-$A$15,BF$13)))</f>
        <v>4</v>
      </c>
      <c r="BG294" s="171">
        <f ca="1">IF(OR($D294&lt;&gt;"Serviço",AND(AUTOEVENTO="Manual",$M294=$A$15)),0,
         IF(OFFSET(CRONOPLE!$F$15,$M294-$A$15,BG$13)=0,10^12,OFFSET(CRONOPLE!$F$15,$M294-$A$15,BG$13)))</f>
        <v>5</v>
      </c>
      <c r="BH294" s="171">
        <f ca="1">IF(OR($D294&lt;&gt;"Serviço",AND(AUTOEVENTO="Manual",$M294=$A$15)),0,
         IF(OFFSET(CRONOPLE!$F$15,$M294-$A$15,BH$13)=0,10^12,OFFSET(CRONOPLE!$F$15,$M294-$A$15,BH$13)))</f>
        <v>6</v>
      </c>
      <c r="BI294" s="171">
        <f ca="1">IF(OR($D294&lt;&gt;"Serviço",AND(AUTOEVENTO="Manual",$M294=$A$15)),0,
         IF(OFFSET(CRONOPLE!$F$15,$M294-$A$15,BI$13)=0,10^12,OFFSET(CRONOPLE!$F$15,$M294-$A$15,BI$13)))</f>
        <v>7</v>
      </c>
      <c r="BJ294" s="171">
        <f ca="1">IF(OR($D294&lt;&gt;"Serviço",AND(AUTOEVENTO="Manual",$M294=$A$15)),0,
         IF(OFFSET(CRONOPLE!$F$15,$M294-$A$15,BJ$13)=0,10^12,OFFSET(CRONOPLE!$F$15,$M294-$A$15,BJ$13)))</f>
        <v>8</v>
      </c>
      <c r="BK294" s="171">
        <f ca="1">IF(OR($D294&lt;&gt;"Serviço",AND(AUTOEVENTO="Manual",$M294=$A$15)),0,
         IF(OFFSET(CRONOPLE!$F$15,$M294-$A$15,BK$13)=0,10^12,OFFSET(CRONOPLE!$F$15,$M294-$A$15,BK$13)))</f>
        <v>9</v>
      </c>
      <c r="BL294" s="171">
        <f ca="1">IF(OR($D294&lt;&gt;"Serviço",AND(AUTOEVENTO="Manual",$M294=$A$15)),0,
         IF(OFFSET(CRONOPLE!$F$15,$M294-$A$15,BL$13)=0,10^12,OFFSET(CRONOPLE!$F$15,$M294-$A$15,BL$13)))</f>
        <v>1000000000000</v>
      </c>
      <c r="BM294" s="171">
        <f ca="1">IF(OR($D294&lt;&gt;"Serviço",AND(AUTOEVENTO="Manual",$M294=$A$15)),0,
         IF(OFFSET(CRONOPLE!$F$15,$M294-$A$15,BM$13)=0,10^12,OFFSET(CRONOPLE!$F$15,$M294-$A$15,BM$13)))</f>
        <v>1000000000000</v>
      </c>
      <c r="BN294" s="171">
        <f ca="1">IF(OR($D294&lt;&gt;"Serviço",AND(AUTOEVENTO="Manual",$M294=$A$15)),0,
         IF(OFFSET(CRONOPLE!$F$15,$M294-$A$15,BN$13)=0,10^12,OFFSET(CRONOPLE!$F$15,$M294-$A$15,BN$13)))</f>
        <v>1000000000000</v>
      </c>
      <c r="BO294" s="171">
        <f ca="1">IF(OR($D294&lt;&gt;"Serviço",AND(AUTOEVENTO="Manual",$M294=$A$15)),0,
         IF(OFFSET(CRONOPLE!$F$15,$M294-$A$15,BO$13)=0,10^12,OFFSET(CRONOPLE!$F$15,$M294-$A$15,BO$13)))</f>
        <v>1000000000000</v>
      </c>
      <c r="BP294" s="171">
        <f ca="1">IF(OR($D294&lt;&gt;"Serviço",AND(AUTOEVENTO="Manual",$M294=$A$15)),0,
         IF(OFFSET(CRONOPLE!$F$15,$M294-$A$15,BP$13)=0,10^12,OFFSET(CRONOPLE!$F$15,$M294-$A$15,BP$13)))</f>
        <v>1000000000000</v>
      </c>
      <c r="BQ294" s="171">
        <f ca="1">IF(OR($D294&lt;&gt;"Serviço",AND(AUTOEVENTO="Manual",$M294=$A$15)),0,
         IF(OFFSET(CRONOPLE!$F$15,$M294-$A$15,BQ$13)=0,10^12,OFFSET(CRONOPLE!$F$15,$M294-$A$15,BQ$13)))</f>
        <v>1000000000000</v>
      </c>
      <c r="BR294" s="171">
        <f ca="1">IF(OR($D294&lt;&gt;"Serviço",AND(AUTOEVENTO="Manual",$M294=$A$15)),0,
         IF(OFFSET(CRONOPLE!$F$15,$M294-$A$15,BR$13)=0,10^12,OFFSET(CRONOPLE!$F$15,$M294-$A$15,BR$13)))</f>
        <v>1000000000000</v>
      </c>
      <c r="BS294" s="171">
        <f ca="1">IF(OR($D294&lt;&gt;"Serviço",AND(AUTOEVENTO="Manual",$M294=$A$15)),0,
         IF(OFFSET(CRONOPLE!$F$15,$M294-$A$15,BS$13)=0,10^12,OFFSET(CRONOPLE!$F$15,$M294-$A$15,BS$13)))</f>
        <v>1000000000000</v>
      </c>
      <c r="BT294" s="171">
        <f ca="1">IF(OR($D294&lt;&gt;"Serviço",AND(AUTOEVENTO="Manual",$M294=$A$15)),0,
         IF(OFFSET(CRONOPLE!$F$15,$M294-$A$15,BT$13)=0,10^12,OFFSET(CRONOPLE!$F$15,$M294-$A$15,BT$13)))</f>
        <v>1000000000000</v>
      </c>
      <c r="BV294" s="172">
        <f ca="1">IF(OR($D294&lt;&gt;"Serviço",AND(AUTOEVENTO="Manual",$M294=$A$15),$M294&gt;(ROW(PLE.lastrow)-ROW(PLE.firstrow))),0,
           IF(OFFSET(PLE!$G$15,$M294-$A$15,BV$13)="",10^12,OFFSET(PLE!$G$15,$M294-$A$15,BV$13)))</f>
        <v>1000000000000</v>
      </c>
      <c r="BW294" s="172">
        <f ca="1">IF(OR($D294&lt;&gt;"Serviço",AND(AUTOEVENTO="Manual",$M294=$A$15),$M294&gt;(ROW(PLE.lastrow)-ROW(PLE.firstrow))),0,
           IF(OFFSET(PLE!$G$15,$M294-$A$15,BW$13)="",10^12,OFFSET(PLE!$G$15,$M294-$A$15,BW$13)))</f>
        <v>1000000000000</v>
      </c>
      <c r="BX294" s="172">
        <f ca="1">IF(OR($D294&lt;&gt;"Serviço",AND(AUTOEVENTO="Manual",$M294=$A$15),$M294&gt;(ROW(PLE.lastrow)-ROW(PLE.firstrow))),0,
           IF(OFFSET(PLE!$G$15,$M294-$A$15,BX$13)="",10^12,OFFSET(PLE!$G$15,$M294-$A$15,BX$13)))</f>
        <v>1000000000000</v>
      </c>
      <c r="BY294" s="172">
        <f ca="1">IF(OR($D294&lt;&gt;"Serviço",AND(AUTOEVENTO="Manual",$M294=$A$15),$M294&gt;(ROW(PLE.lastrow)-ROW(PLE.firstrow))),0,
           IF(OFFSET(PLE!$G$15,$M294-$A$15,BY$13)="",10^12,OFFSET(PLE!$G$15,$M294-$A$15,BY$13)))</f>
        <v>1000000000000</v>
      </c>
      <c r="BZ294" s="172">
        <f ca="1">IF(OR($D294&lt;&gt;"Serviço",AND(AUTOEVENTO="Manual",$M294=$A$15),$M294&gt;(ROW(PLE.lastrow)-ROW(PLE.firstrow))),0,
           IF(OFFSET(PLE!$G$15,$M294-$A$15,BZ$13)="",10^12,OFFSET(PLE!$G$15,$M294-$A$15,BZ$13)))</f>
        <v>1000000000000</v>
      </c>
      <c r="CA294" s="172">
        <f ca="1">IF(OR($D294&lt;&gt;"Serviço",AND(AUTOEVENTO="Manual",$M294=$A$15),$M294&gt;(ROW(PLE.lastrow)-ROW(PLE.firstrow))),0,
           IF(OFFSET(PLE!$G$15,$M294-$A$15,CA$13)="",10^12,OFFSET(PLE!$G$15,$M294-$A$15,CA$13)))</f>
        <v>1000000000000</v>
      </c>
      <c r="CB294" s="172">
        <f ca="1">IF(OR($D294&lt;&gt;"Serviço",AND(AUTOEVENTO="Manual",$M294=$A$15),$M294&gt;(ROW(PLE.lastrow)-ROW(PLE.firstrow))),0,
           IF(OFFSET(PLE!$G$15,$M294-$A$15,CB$13)="",10^12,OFFSET(PLE!$G$15,$M294-$A$15,CB$13)))</f>
        <v>1000000000000</v>
      </c>
      <c r="CC294" s="172">
        <f ca="1">IF(OR($D294&lt;&gt;"Serviço",AND(AUTOEVENTO="Manual",$M294=$A$15),$M294&gt;(ROW(PLE.lastrow)-ROW(PLE.firstrow))),0,
           IF(OFFSET(PLE!$G$15,$M294-$A$15,CC$13)="",10^12,OFFSET(PLE!$G$15,$M294-$A$15,CC$13)))</f>
        <v>1000000000000</v>
      </c>
      <c r="CD294" s="172">
        <f ca="1">IF(OR($D294&lt;&gt;"Serviço",AND(AUTOEVENTO="Manual",$M294=$A$15),$M294&gt;(ROW(PLE.lastrow)-ROW(PLE.firstrow))),0,
           IF(OFFSET(PLE!$G$15,$M294-$A$15,CD$13)="",10^12,OFFSET(PLE!$G$15,$M294-$A$15,CD$13)))</f>
        <v>1000000000000</v>
      </c>
      <c r="CE294" s="172">
        <f ca="1">IF(OR($D294&lt;&gt;"Serviço",AND(AUTOEVENTO="Manual",$M294=$A$15),$M294&gt;(ROW(PLE.lastrow)-ROW(PLE.firstrow))),0,
           IF(OFFSET(PLE!$G$15,$M294-$A$15,CE$13)="",10^12,OFFSET(PLE!$G$15,$M294-$A$15,CE$13)))</f>
        <v>1000000000000</v>
      </c>
      <c r="CF294" s="172">
        <f ca="1">IF(OR($D294&lt;&gt;"Serviço",AND(AUTOEVENTO="Manual",$M294=$A$15),$M294&gt;(ROW(PLE.lastrow)-ROW(PLE.firstrow))),0,
           IF(OFFSET(PLE!$G$15,$M294-$A$15,CF$13)="",10^12,OFFSET(PLE!$G$15,$M294-$A$15,CF$13)))</f>
        <v>1000000000000</v>
      </c>
      <c r="CG294" s="172">
        <f ca="1">IF(OR($D294&lt;&gt;"Serviço",AND(AUTOEVENTO="Manual",$M294=$A$15),$M294&gt;(ROW(PLE.lastrow)-ROW(PLE.firstrow))),0,
           IF(OFFSET(PLE!$G$15,$M294-$A$15,CG$13)="",10^12,OFFSET(PLE!$G$15,$M294-$A$15,CG$13)))</f>
        <v>1000000000000</v>
      </c>
      <c r="CH294" s="172">
        <f ca="1">IF(OR($D294&lt;&gt;"Serviço",AND(AUTOEVENTO="Manual",$M294=$A$15),$M294&gt;(ROW(PLE.lastrow)-ROW(PLE.firstrow))),0,
           IF(OFFSET(PLE!$G$15,$M294-$A$15,CH$13)="",10^12,OFFSET(PLE!$G$15,$M294-$A$15,CH$13)))</f>
        <v>1000000000000</v>
      </c>
      <c r="CI294" s="172">
        <f ca="1">IF(OR($D294&lt;&gt;"Serviço",AND(AUTOEVENTO="Manual",$M294=$A$15),$M294&gt;(ROW(PLE.lastrow)-ROW(PLE.firstrow))),0,
           IF(OFFSET(PLE!$G$15,$M294-$A$15,CI$13)="",10^12,OFFSET(PLE!$G$15,$M294-$A$15,CI$13)))</f>
        <v>1000000000000</v>
      </c>
      <c r="CJ294" s="172">
        <f ca="1">IF(OR($D294&lt;&gt;"Serviço",AND(AUTOEVENTO="Manual",$M294=$A$15),$M294&gt;(ROW(PLE.lastrow)-ROW(PLE.firstrow))),0,
           IF(OFFSET(PLE!$G$15,$M294-$A$15,CJ$13)="",10^12,OFFSET(PLE!$G$15,$M294-$A$15,CJ$13)))</f>
        <v>1000000000000</v>
      </c>
      <c r="CK294" s="172">
        <f ca="1">IF(OR($D294&lt;&gt;"Serviço",AND(AUTOEVENTO="Manual",$M294=$A$15),$M294&gt;(ROW(PLE.lastrow)-ROW(PLE.firstrow))),0,
           IF(OFFSET(PLE!$G$15,$M294-$A$15,CK$13)="",10^12,OFFSET(PLE!$G$15,$M294-$A$15,CK$13)))</f>
        <v>1000000000000</v>
      </c>
      <c r="CL294" s="172">
        <f ca="1">IF(OR($D294&lt;&gt;"Serviço",AND(AUTOEVENTO="Manual",$M294=$A$15),$M294&gt;(ROW(PLE.lastrow)-ROW(PLE.firstrow))),0,
           IF(OFFSET(PLE!$G$15,$M294-$A$15,CL$13)="",10^12,OFFSET(PLE!$G$15,$M294-$A$15,CL$13)))</f>
        <v>1000000000000</v>
      </c>
      <c r="CM294" s="172">
        <f ca="1">IF(OR($D294&lt;&gt;"Serviço",AND(AUTOEVENTO="Manual",$M294=$A$15),$M294&gt;(ROW(PLE.lastrow)-ROW(PLE.firstrow))),0,
           IF(OFFSET(PLE!$G$15,$M294-$A$15,CM$13)="",10^12,OFFSET(PLE!$G$15,$M294-$A$15,CM$13)))</f>
        <v>1000000000000</v>
      </c>
    </row>
    <row r="295" spans="1:91" ht="76.5" x14ac:dyDescent="0.2">
      <c r="A295" s="7">
        <f t="shared" ca="1" si="14"/>
        <v>6</v>
      </c>
      <c r="B295" s="7" t="str">
        <f ca="1">OFFSET(ORÇAMENTO!C$15,ROW(B295)-ROW(B$15),0)</f>
        <v>S</v>
      </c>
      <c r="C295" s="7" t="str">
        <f ca="1">OFFSET(ORÇAMENTO!L$15,ROW(C295)-ROW(C$15),0)</f>
        <v>F</v>
      </c>
      <c r="D295" s="116" t="str">
        <f ca="1">OFFSET(ORÇAMENTO!N$15,ROW(D295)-ROW(D$15),0)</f>
        <v>Serviço</v>
      </c>
      <c r="E295" s="117" t="str">
        <f ca="1">OFFSET(ORÇAMENTO!O$15,ROW(E295)-ROW(E$15),0)</f>
        <v>1.7.3.4.2.</v>
      </c>
      <c r="F295" s="163" t="str">
        <f ca="1">OFFSET(ORÇAMENTO!R$15,ROW(F295)-ROW(F$15),0)</f>
        <v>FORNECIMENTO E LANÇAMENTO DE AREIA EM DRENO E PÁTIO</v>
      </c>
      <c r="G295" s="164" t="str">
        <f ca="1">IF($D295&lt;&gt;"Serviço","",OFFSET(ORÇAMENTO!S$15,ROW(G295)-ROW(G$15),0))</f>
        <v>M3</v>
      </c>
      <c r="H295" s="122" cm="1">
        <f t="array" aca="1" ref="H295" ca="1">IF($D295&lt;&gt;"Serviço",0,IF(ACOMPANHAMENTO="BM",ROUND(OFFSET(ORÇAMENTO!AJ$15,ROW(H295)-ROW(H$15),0),15-13*ORÇAMENTO!$AF$7),SUMPRODUCT(($Q$1:$AI$1=1)*ROUND($Q295:$AI295,15-13*ORÇAMENTO!$AF$7))))</f>
        <v>19.95</v>
      </c>
      <c r="I295" s="468" t="s">
        <v>1353</v>
      </c>
      <c r="J295" s="640" t="str" cm="1">
        <f t="array" aca="1" ref="J295" ca="1">IF(OR(B295&lt;&gt;"S",CÁLCULO.FrentesPreenchidas=0),"",IF(AND(ACOMPANHAMENTO="PLE",AUTOEVENTO="Manual",OR(H295&gt;0,ORÇAMENTO!AC295="QUANT."),OR(K295="",M295=0,N295="")),"►E",IF(AND(ACOMPANHAMENTO="PLE",ORÇAMENTO!AC295="QUANT."),"►Q",IF(AND(ACOMPANHAMENTO="PLE",H295&lt;&gt;SUMPRODUCT(($Q$1:$AI$1=1)*ROUND(Q295:AI295,15))),"►S",IF(AND(COUNTIF($P$11:$AI$11,"▼")=0,H295&gt;0,I295=""),"◄M","")))))</f>
        <v/>
      </c>
      <c r="K295" s="641" t="s">
        <v>1385</v>
      </c>
      <c r="L295" s="165" t="s">
        <v>764</v>
      </c>
      <c r="M295" s="166">
        <f ca="1">IF($D295&lt;&gt;"Serviço","",
          IF(AUTOEVENTO="manual",$A295,
                IF(ISERROR(MATCH($A295,$A$15:OFFSET($A295,-1,0),0)),MAX($M$15:OFFSET(M295,-1,0))+1,
                      INDEX($M$15:OFFSET(M295,-1,0),MATCH($A295,$A$15:OFFSET($A295,-1,0),0)))))</f>
        <v>6</v>
      </c>
      <c r="N295" s="167" t="str">
        <f ca="1">IF($D295&lt;&gt;"Serviço","",
         IF(AUTOEVENTO="Manual",
                IF($A295=0,"&lt;-- defina o número do agrupador",
                       OFFSET(EVENTOS!$D$15,$A295-$A$15,0)),
                OFFSET($F$15,$A295,0)))</f>
        <v>Saneamento</v>
      </c>
      <c r="O295" s="168"/>
      <c r="Q295" s="168"/>
      <c r="R295" s="169"/>
      <c r="S295" s="169"/>
      <c r="T295" s="169"/>
      <c r="U295" s="169">
        <v>19.95</v>
      </c>
      <c r="V295" s="169"/>
      <c r="W295" s="169"/>
      <c r="X295" s="169"/>
      <c r="Y295" s="169"/>
      <c r="Z295" s="170"/>
      <c r="AA295" s="169"/>
      <c r="AB295" s="169"/>
      <c r="AC295" s="169"/>
      <c r="AD295" s="169"/>
      <c r="AE295" s="169"/>
      <c r="AF295" s="169"/>
      <c r="AG295" s="169"/>
      <c r="AH295" s="170"/>
      <c r="AJ295" s="453">
        <f ca="1">IF(AND($D295="Serviço",AJ$12&lt;&gt;0,$H295&gt;0,OR(AUTOEVENTO&lt;&gt;"manual",$M295&lt;&gt;$A$15)),
        IF(Import.TipoArredondamento&lt;&gt;"TransfereGOV",
              ROUND(OFFSET($P295,0,AJ$13),15-13*ORÇAMENTO!$AF$7)/$H295*OFFSET(ORÇAMENTO!$X$15,ROW(AJ295)-ROW(AJ$15),0),
              ROUND(ROUND(OFFSET($P295,0,AJ$13),15-13*ORÇAMENTO!$AF$7)*OFFSET(ORÇAMENTO!$W$15,ROW(AJ295)-ROW(AJ$15),0),15-13*ORÇAMENTO!$AF$11)),
         0)</f>
        <v>0</v>
      </c>
      <c r="AK295" s="453">
        <f ca="1">IF(AND($D295="Serviço",AK$12&lt;&gt;0,$H295&gt;0,OR(AUTOEVENTO&lt;&gt;"manual",$M295&lt;&gt;$A$15)),
        IF(Import.TipoArredondamento&lt;&gt;"TransfereGOV",
              ROUND(OFFSET($P295,0,AK$13),15-13*ORÇAMENTO!$AF$7)/$H295*OFFSET(ORÇAMENTO!$X$15,ROW(AK295)-ROW(AK$15),0),
              ROUND(ROUND(OFFSET($P295,0,AK$13),15-13*ORÇAMENTO!$AF$7)*OFFSET(ORÇAMENTO!$W$15,ROW(AK295)-ROW(AK$15),0),15-13*ORÇAMENTO!$AF$11)),
         0)</f>
        <v>0</v>
      </c>
      <c r="AL295" s="453">
        <f ca="1">IF(AND($D295="Serviço",AL$12&lt;&gt;0,$H295&gt;0,OR(AUTOEVENTO&lt;&gt;"manual",$M295&lt;&gt;$A$15)),
        IF(Import.TipoArredondamento&lt;&gt;"TransfereGOV",
              ROUND(OFFSET($P295,0,AL$13),15-13*ORÇAMENTO!$AF$7)/$H295*OFFSET(ORÇAMENTO!$X$15,ROW(AL295)-ROW(AL$15),0),
              ROUND(ROUND(OFFSET($P295,0,AL$13),15-13*ORÇAMENTO!$AF$7)*OFFSET(ORÇAMENTO!$W$15,ROW(AL295)-ROW(AL$15),0),15-13*ORÇAMENTO!$AF$11)),
         0)</f>
        <v>0</v>
      </c>
      <c r="AM295" s="453">
        <f ca="1">IF(AND($D295="Serviço",AM$12&lt;&gt;0,$H295&gt;0,OR(AUTOEVENTO&lt;&gt;"manual",$M295&lt;&gt;$A$15)),
        IF(Import.TipoArredondamento&lt;&gt;"TransfereGOV",
              ROUND(OFFSET($P295,0,AM$13),15-13*ORÇAMENTO!$AF$7)/$H295*OFFSET(ORÇAMENTO!$X$15,ROW(AM295)-ROW(AM$15),0),
              ROUND(ROUND(OFFSET($P295,0,AM$13),15-13*ORÇAMENTO!$AF$7)*OFFSET(ORÇAMENTO!$W$15,ROW(AM295)-ROW(AM$15),0),15-13*ORÇAMENTO!$AF$11)),
         0)</f>
        <v>0</v>
      </c>
      <c r="AN295" s="453">
        <f ca="1">IF(AND($D295="Serviço",AN$12&lt;&gt;0,$H295&gt;0,OR(AUTOEVENTO&lt;&gt;"manual",$M295&lt;&gt;$A$15)),
        IF(Import.TipoArredondamento&lt;&gt;"TransfereGOV",
              ROUND(OFFSET($P295,0,AN$13),15-13*ORÇAMENTO!$AF$7)/$H295*OFFSET(ORÇAMENTO!$X$15,ROW(AN295)-ROW(AN$15),0),
              ROUND(ROUND(OFFSET($P295,0,AN$13),15-13*ORÇAMENTO!$AF$7)*OFFSET(ORÇAMENTO!$W$15,ROW(AN295)-ROW(AN$15),0),15-13*ORÇAMENTO!$AF$11)),
         0)</f>
        <v>0</v>
      </c>
      <c r="AO295" s="453">
        <f ca="1">IF(AND($D295="Serviço",AO$12&lt;&gt;0,$H295&gt;0,OR(AUTOEVENTO&lt;&gt;"manual",$M295&lt;&gt;$A$15)),
        IF(Import.TipoArredondamento&lt;&gt;"TransfereGOV",
              ROUND(OFFSET($P295,0,AO$13),15-13*ORÇAMENTO!$AF$7)/$H295*OFFSET(ORÇAMENTO!$X$15,ROW(AO295)-ROW(AO$15),0),
              ROUND(ROUND(OFFSET($P295,0,AO$13),15-13*ORÇAMENTO!$AF$7)*OFFSET(ORÇAMENTO!$W$15,ROW(AO295)-ROW(AO$15),0),15-13*ORÇAMENTO!$AF$11)),
         0)</f>
        <v>0</v>
      </c>
      <c r="AP295" s="453">
        <f ca="1">IF(AND($D295="Serviço",AP$12&lt;&gt;0,$H295&gt;0,OR(AUTOEVENTO&lt;&gt;"manual",$M295&lt;&gt;$A$15)),
        IF(Import.TipoArredondamento&lt;&gt;"TransfereGOV",
              ROUND(OFFSET($P295,0,AP$13),15-13*ORÇAMENTO!$AF$7)/$H295*OFFSET(ORÇAMENTO!$X$15,ROW(AP295)-ROW(AP$15),0),
              ROUND(ROUND(OFFSET($P295,0,AP$13),15-13*ORÇAMENTO!$AF$7)*OFFSET(ORÇAMENTO!$W$15,ROW(AP295)-ROW(AP$15),0),15-13*ORÇAMENTO!$AF$11)),
         0)</f>
        <v>0</v>
      </c>
      <c r="AQ295" s="453">
        <f ca="1">IF(AND($D295="Serviço",AQ$12&lt;&gt;0,$H295&gt;0,OR(AUTOEVENTO&lt;&gt;"manual",$M295&lt;&gt;$A$15)),
        IF(Import.TipoArredondamento&lt;&gt;"TransfereGOV",
              ROUND(OFFSET($P295,0,AQ$13),15-13*ORÇAMENTO!$AF$7)/$H295*OFFSET(ORÇAMENTO!$X$15,ROW(AQ295)-ROW(AQ$15),0),
              ROUND(ROUND(OFFSET($P295,0,AQ$13),15-13*ORÇAMENTO!$AF$7)*OFFSET(ORÇAMENTO!$W$15,ROW(AQ295)-ROW(AQ$15),0),15-13*ORÇAMENTO!$AF$11)),
         0)</f>
        <v>0</v>
      </c>
      <c r="AR295" s="453">
        <f ca="1">IF(AND($D295="Serviço",AR$12&lt;&gt;0,$H295&gt;0,OR(AUTOEVENTO&lt;&gt;"manual",$M295&lt;&gt;$A$15)),
        IF(Import.TipoArredondamento&lt;&gt;"TransfereGOV",
              ROUND(OFFSET($P295,0,AR$13),15-13*ORÇAMENTO!$AF$7)/$H295*OFFSET(ORÇAMENTO!$X$15,ROW(AR295)-ROW(AR$15),0),
              ROUND(ROUND(OFFSET($P295,0,AR$13),15-13*ORÇAMENTO!$AF$7)*OFFSET(ORÇAMENTO!$W$15,ROW(AR295)-ROW(AR$15),0),15-13*ORÇAMENTO!$AF$11)),
         0)</f>
        <v>0</v>
      </c>
      <c r="AS295" s="453">
        <f ca="1">IF(AND($D295="Serviço",AS$12&lt;&gt;0,$H295&gt;0,OR(AUTOEVENTO&lt;&gt;"manual",$M295&lt;&gt;$A$15)),
        IF(Import.TipoArredondamento&lt;&gt;"TransfereGOV",
              ROUND(OFFSET($P295,0,AS$13),15-13*ORÇAMENTO!$AF$7)/$H295*OFFSET(ORÇAMENTO!$X$15,ROW(AS295)-ROW(AS$15),0),
              ROUND(ROUND(OFFSET($P295,0,AS$13),15-13*ORÇAMENTO!$AF$7)*OFFSET(ORÇAMENTO!$W$15,ROW(AS295)-ROW(AS$15),0),15-13*ORÇAMENTO!$AF$11)),
         0)</f>
        <v>0</v>
      </c>
      <c r="AT295" s="453">
        <f ca="1">IF(AND($D295="Serviço",AT$12&lt;&gt;0,$H295&gt;0,OR(AUTOEVENTO&lt;&gt;"manual",$M295&lt;&gt;$A$15)),
        IF(Import.TipoArredondamento&lt;&gt;"TransfereGOV",
              ROUND(OFFSET($P295,0,AT$13),15-13*ORÇAMENTO!$AF$7)/$H295*OFFSET(ORÇAMENTO!$X$15,ROW(AT295)-ROW(AT$15),0),
              ROUND(ROUND(OFFSET($P295,0,AT$13),15-13*ORÇAMENTO!$AF$7)*OFFSET(ORÇAMENTO!$W$15,ROW(AT295)-ROW(AT$15),0),15-13*ORÇAMENTO!$AF$11)),
         0)</f>
        <v>0</v>
      </c>
      <c r="AU295" s="453">
        <f ca="1">IF(AND($D295="Serviço",AU$12&lt;&gt;0,$H295&gt;0,OR(AUTOEVENTO&lt;&gt;"manual",$M295&lt;&gt;$A$15)),
        IF(Import.TipoArredondamento&lt;&gt;"TransfereGOV",
              ROUND(OFFSET($P295,0,AU$13),15-13*ORÇAMENTO!$AF$7)/$H295*OFFSET(ORÇAMENTO!$X$15,ROW(AU295)-ROW(AU$15),0),
              ROUND(ROUND(OFFSET($P295,0,AU$13),15-13*ORÇAMENTO!$AF$7)*OFFSET(ORÇAMENTO!$W$15,ROW(AU295)-ROW(AU$15),0),15-13*ORÇAMENTO!$AF$11)),
         0)</f>
        <v>0</v>
      </c>
      <c r="AV295" s="453">
        <f ca="1">IF(AND($D295="Serviço",AV$12&lt;&gt;0,$H295&gt;0,OR(AUTOEVENTO&lt;&gt;"manual",$M295&lt;&gt;$A$15)),
        IF(Import.TipoArredondamento&lt;&gt;"TransfereGOV",
              ROUND(OFFSET($P295,0,AV$13),15-13*ORÇAMENTO!$AF$7)/$H295*OFFSET(ORÇAMENTO!$X$15,ROW(AV295)-ROW(AV$15),0),
              ROUND(ROUND(OFFSET($P295,0,AV$13),15-13*ORÇAMENTO!$AF$7)*OFFSET(ORÇAMENTO!$W$15,ROW(AV295)-ROW(AV$15),0),15-13*ORÇAMENTO!$AF$11)),
         0)</f>
        <v>0</v>
      </c>
      <c r="AW295" s="453">
        <f ca="1">IF(AND($D295="Serviço",AW$12&lt;&gt;0,$H295&gt;0,OR(AUTOEVENTO&lt;&gt;"manual",$M295&lt;&gt;$A$15)),
        IF(Import.TipoArredondamento&lt;&gt;"TransfereGOV",
              ROUND(OFFSET($P295,0,AW$13),15-13*ORÇAMENTO!$AF$7)/$H295*OFFSET(ORÇAMENTO!$X$15,ROW(AW295)-ROW(AW$15),0),
              ROUND(ROUND(OFFSET($P295,0,AW$13),15-13*ORÇAMENTO!$AF$7)*OFFSET(ORÇAMENTO!$W$15,ROW(AW295)-ROW(AW$15),0),15-13*ORÇAMENTO!$AF$11)),
         0)</f>
        <v>0</v>
      </c>
      <c r="AX295" s="453">
        <f ca="1">IF(AND($D295="Serviço",AX$12&lt;&gt;0,$H295&gt;0,OR(AUTOEVENTO&lt;&gt;"manual",$M295&lt;&gt;$A$15)),
        IF(Import.TipoArredondamento&lt;&gt;"TransfereGOV",
              ROUND(OFFSET($P295,0,AX$13),15-13*ORÇAMENTO!$AF$7)/$H295*OFFSET(ORÇAMENTO!$X$15,ROW(AX295)-ROW(AX$15),0),
              ROUND(ROUND(OFFSET($P295,0,AX$13),15-13*ORÇAMENTO!$AF$7)*OFFSET(ORÇAMENTO!$W$15,ROW(AX295)-ROW(AX$15),0),15-13*ORÇAMENTO!$AF$11)),
         0)</f>
        <v>0</v>
      </c>
      <c r="AY295" s="453">
        <f ca="1">IF(AND($D295="Serviço",AY$12&lt;&gt;0,$H295&gt;0,OR(AUTOEVENTO&lt;&gt;"manual",$M295&lt;&gt;$A$15)),
        IF(Import.TipoArredondamento&lt;&gt;"TransfereGOV",
              ROUND(OFFSET($P295,0,AY$13),15-13*ORÇAMENTO!$AF$7)/$H295*OFFSET(ORÇAMENTO!$X$15,ROW(AY295)-ROW(AY$15),0),
              ROUND(ROUND(OFFSET($P295,0,AY$13),15-13*ORÇAMENTO!$AF$7)*OFFSET(ORÇAMENTO!$W$15,ROW(AY295)-ROW(AY$15),0),15-13*ORÇAMENTO!$AF$11)),
         0)</f>
        <v>0</v>
      </c>
      <c r="AZ295" s="453">
        <f ca="1">IF(AND($D295="Serviço",AZ$12&lt;&gt;0,$H295&gt;0,OR(AUTOEVENTO&lt;&gt;"manual",$M295&lt;&gt;$A$15)),
        IF(Import.TipoArredondamento&lt;&gt;"TransfereGOV",
              ROUND(OFFSET($P295,0,AZ$13),15-13*ORÇAMENTO!$AF$7)/$H295*OFFSET(ORÇAMENTO!$X$15,ROW(AZ295)-ROW(AZ$15),0),
              ROUND(ROUND(OFFSET($P295,0,AZ$13),15-13*ORÇAMENTO!$AF$7)*OFFSET(ORÇAMENTO!$W$15,ROW(AZ295)-ROW(AZ$15),0),15-13*ORÇAMENTO!$AF$11)),
         0)</f>
        <v>0</v>
      </c>
      <c r="BA295" s="453">
        <f ca="1">IF(AND($D295="Serviço",BA$12&lt;&gt;0,$H295&gt;0,OR(AUTOEVENTO&lt;&gt;"manual",$M295&lt;&gt;$A$15)),
        IF(Import.TipoArredondamento&lt;&gt;"TransfereGOV",
              ROUND(OFFSET($P295,0,BA$13),15-13*ORÇAMENTO!$AF$7)/$H295*OFFSET(ORÇAMENTO!$X$15,ROW(BA295)-ROW(BA$15),0),
              ROUND(ROUND(OFFSET($P295,0,BA$13),15-13*ORÇAMENTO!$AF$7)*OFFSET(ORÇAMENTO!$W$15,ROW(BA295)-ROW(BA$15),0),15-13*ORÇAMENTO!$AF$11)),
         0)</f>
        <v>0</v>
      </c>
      <c r="BC295" s="171">
        <f ca="1">IF(OR($D295&lt;&gt;"Serviço",AND(AUTOEVENTO="Manual",$M295=$A$15)),0,
         IF(OFFSET(CRONOPLE!$F$15,$M295-$A$15,BC$13)=0,10^12,OFFSET(CRONOPLE!$F$15,$M295-$A$15,BC$13)))</f>
        <v>1</v>
      </c>
      <c r="BD295" s="171">
        <f ca="1">IF(OR($D295&lt;&gt;"Serviço",AND(AUTOEVENTO="Manual",$M295=$A$15)),0,
         IF(OFFSET(CRONOPLE!$F$15,$M295-$A$15,BD$13)=0,10^12,OFFSET(CRONOPLE!$F$15,$M295-$A$15,BD$13)))</f>
        <v>2</v>
      </c>
      <c r="BE295" s="171">
        <f ca="1">IF(OR($D295&lt;&gt;"Serviço",AND(AUTOEVENTO="Manual",$M295=$A$15)),0,
         IF(OFFSET(CRONOPLE!$F$15,$M295-$A$15,BE$13)=0,10^12,OFFSET(CRONOPLE!$F$15,$M295-$A$15,BE$13)))</f>
        <v>3</v>
      </c>
      <c r="BF295" s="171">
        <f ca="1">IF(OR($D295&lt;&gt;"Serviço",AND(AUTOEVENTO="Manual",$M295=$A$15)),0,
         IF(OFFSET(CRONOPLE!$F$15,$M295-$A$15,BF$13)=0,10^12,OFFSET(CRONOPLE!$F$15,$M295-$A$15,BF$13)))</f>
        <v>4</v>
      </c>
      <c r="BG295" s="171">
        <f ca="1">IF(OR($D295&lt;&gt;"Serviço",AND(AUTOEVENTO="Manual",$M295=$A$15)),0,
         IF(OFFSET(CRONOPLE!$F$15,$M295-$A$15,BG$13)=0,10^12,OFFSET(CRONOPLE!$F$15,$M295-$A$15,BG$13)))</f>
        <v>5</v>
      </c>
      <c r="BH295" s="171">
        <f ca="1">IF(OR($D295&lt;&gt;"Serviço",AND(AUTOEVENTO="Manual",$M295=$A$15)),0,
         IF(OFFSET(CRONOPLE!$F$15,$M295-$A$15,BH$13)=0,10^12,OFFSET(CRONOPLE!$F$15,$M295-$A$15,BH$13)))</f>
        <v>6</v>
      </c>
      <c r="BI295" s="171">
        <f ca="1">IF(OR($D295&lt;&gt;"Serviço",AND(AUTOEVENTO="Manual",$M295=$A$15)),0,
         IF(OFFSET(CRONOPLE!$F$15,$M295-$A$15,BI$13)=0,10^12,OFFSET(CRONOPLE!$F$15,$M295-$A$15,BI$13)))</f>
        <v>7</v>
      </c>
      <c r="BJ295" s="171">
        <f ca="1">IF(OR($D295&lt;&gt;"Serviço",AND(AUTOEVENTO="Manual",$M295=$A$15)),0,
         IF(OFFSET(CRONOPLE!$F$15,$M295-$A$15,BJ$13)=0,10^12,OFFSET(CRONOPLE!$F$15,$M295-$A$15,BJ$13)))</f>
        <v>8</v>
      </c>
      <c r="BK295" s="171">
        <f ca="1">IF(OR($D295&lt;&gt;"Serviço",AND(AUTOEVENTO="Manual",$M295=$A$15)),0,
         IF(OFFSET(CRONOPLE!$F$15,$M295-$A$15,BK$13)=0,10^12,OFFSET(CRONOPLE!$F$15,$M295-$A$15,BK$13)))</f>
        <v>9</v>
      </c>
      <c r="BL295" s="171">
        <f ca="1">IF(OR($D295&lt;&gt;"Serviço",AND(AUTOEVENTO="Manual",$M295=$A$15)),0,
         IF(OFFSET(CRONOPLE!$F$15,$M295-$A$15,BL$13)=0,10^12,OFFSET(CRONOPLE!$F$15,$M295-$A$15,BL$13)))</f>
        <v>1000000000000</v>
      </c>
      <c r="BM295" s="171">
        <f ca="1">IF(OR($D295&lt;&gt;"Serviço",AND(AUTOEVENTO="Manual",$M295=$A$15)),0,
         IF(OFFSET(CRONOPLE!$F$15,$M295-$A$15,BM$13)=0,10^12,OFFSET(CRONOPLE!$F$15,$M295-$A$15,BM$13)))</f>
        <v>1000000000000</v>
      </c>
      <c r="BN295" s="171">
        <f ca="1">IF(OR($D295&lt;&gt;"Serviço",AND(AUTOEVENTO="Manual",$M295=$A$15)),0,
         IF(OFFSET(CRONOPLE!$F$15,$M295-$A$15,BN$13)=0,10^12,OFFSET(CRONOPLE!$F$15,$M295-$A$15,BN$13)))</f>
        <v>1000000000000</v>
      </c>
      <c r="BO295" s="171">
        <f ca="1">IF(OR($D295&lt;&gt;"Serviço",AND(AUTOEVENTO="Manual",$M295=$A$15)),0,
         IF(OFFSET(CRONOPLE!$F$15,$M295-$A$15,BO$13)=0,10^12,OFFSET(CRONOPLE!$F$15,$M295-$A$15,BO$13)))</f>
        <v>1000000000000</v>
      </c>
      <c r="BP295" s="171">
        <f ca="1">IF(OR($D295&lt;&gt;"Serviço",AND(AUTOEVENTO="Manual",$M295=$A$15)),0,
         IF(OFFSET(CRONOPLE!$F$15,$M295-$A$15,BP$13)=0,10^12,OFFSET(CRONOPLE!$F$15,$M295-$A$15,BP$13)))</f>
        <v>1000000000000</v>
      </c>
      <c r="BQ295" s="171">
        <f ca="1">IF(OR($D295&lt;&gt;"Serviço",AND(AUTOEVENTO="Manual",$M295=$A$15)),0,
         IF(OFFSET(CRONOPLE!$F$15,$M295-$A$15,BQ$13)=0,10^12,OFFSET(CRONOPLE!$F$15,$M295-$A$15,BQ$13)))</f>
        <v>1000000000000</v>
      </c>
      <c r="BR295" s="171">
        <f ca="1">IF(OR($D295&lt;&gt;"Serviço",AND(AUTOEVENTO="Manual",$M295=$A$15)),0,
         IF(OFFSET(CRONOPLE!$F$15,$M295-$A$15,BR$13)=0,10^12,OFFSET(CRONOPLE!$F$15,$M295-$A$15,BR$13)))</f>
        <v>1000000000000</v>
      </c>
      <c r="BS295" s="171">
        <f ca="1">IF(OR($D295&lt;&gt;"Serviço",AND(AUTOEVENTO="Manual",$M295=$A$15)),0,
         IF(OFFSET(CRONOPLE!$F$15,$M295-$A$15,BS$13)=0,10^12,OFFSET(CRONOPLE!$F$15,$M295-$A$15,BS$13)))</f>
        <v>1000000000000</v>
      </c>
      <c r="BT295" s="171">
        <f ca="1">IF(OR($D295&lt;&gt;"Serviço",AND(AUTOEVENTO="Manual",$M295=$A$15)),0,
         IF(OFFSET(CRONOPLE!$F$15,$M295-$A$15,BT$13)=0,10^12,OFFSET(CRONOPLE!$F$15,$M295-$A$15,BT$13)))</f>
        <v>1000000000000</v>
      </c>
      <c r="BV295" s="172">
        <f ca="1">IF(OR($D295&lt;&gt;"Serviço",AND(AUTOEVENTO="Manual",$M295=$A$15),$M295&gt;(ROW(PLE.lastrow)-ROW(PLE.firstrow))),0,
           IF(OFFSET(PLE!$G$15,$M295-$A$15,BV$13)="",10^12,OFFSET(PLE!$G$15,$M295-$A$15,BV$13)))</f>
        <v>1000000000000</v>
      </c>
      <c r="BW295" s="172">
        <f ca="1">IF(OR($D295&lt;&gt;"Serviço",AND(AUTOEVENTO="Manual",$M295=$A$15),$M295&gt;(ROW(PLE.lastrow)-ROW(PLE.firstrow))),0,
           IF(OFFSET(PLE!$G$15,$M295-$A$15,BW$13)="",10^12,OFFSET(PLE!$G$15,$M295-$A$15,BW$13)))</f>
        <v>1000000000000</v>
      </c>
      <c r="BX295" s="172">
        <f ca="1">IF(OR($D295&lt;&gt;"Serviço",AND(AUTOEVENTO="Manual",$M295=$A$15),$M295&gt;(ROW(PLE.lastrow)-ROW(PLE.firstrow))),0,
           IF(OFFSET(PLE!$G$15,$M295-$A$15,BX$13)="",10^12,OFFSET(PLE!$G$15,$M295-$A$15,BX$13)))</f>
        <v>1000000000000</v>
      </c>
      <c r="BY295" s="172">
        <f ca="1">IF(OR($D295&lt;&gt;"Serviço",AND(AUTOEVENTO="Manual",$M295=$A$15),$M295&gt;(ROW(PLE.lastrow)-ROW(PLE.firstrow))),0,
           IF(OFFSET(PLE!$G$15,$M295-$A$15,BY$13)="",10^12,OFFSET(PLE!$G$15,$M295-$A$15,BY$13)))</f>
        <v>1000000000000</v>
      </c>
      <c r="BZ295" s="172">
        <f ca="1">IF(OR($D295&lt;&gt;"Serviço",AND(AUTOEVENTO="Manual",$M295=$A$15),$M295&gt;(ROW(PLE.lastrow)-ROW(PLE.firstrow))),0,
           IF(OFFSET(PLE!$G$15,$M295-$A$15,BZ$13)="",10^12,OFFSET(PLE!$G$15,$M295-$A$15,BZ$13)))</f>
        <v>1000000000000</v>
      </c>
      <c r="CA295" s="172">
        <f ca="1">IF(OR($D295&lt;&gt;"Serviço",AND(AUTOEVENTO="Manual",$M295=$A$15),$M295&gt;(ROW(PLE.lastrow)-ROW(PLE.firstrow))),0,
           IF(OFFSET(PLE!$G$15,$M295-$A$15,CA$13)="",10^12,OFFSET(PLE!$G$15,$M295-$A$15,CA$13)))</f>
        <v>1000000000000</v>
      </c>
      <c r="CB295" s="172">
        <f ca="1">IF(OR($D295&lt;&gt;"Serviço",AND(AUTOEVENTO="Manual",$M295=$A$15),$M295&gt;(ROW(PLE.lastrow)-ROW(PLE.firstrow))),0,
           IF(OFFSET(PLE!$G$15,$M295-$A$15,CB$13)="",10^12,OFFSET(PLE!$G$15,$M295-$A$15,CB$13)))</f>
        <v>1000000000000</v>
      </c>
      <c r="CC295" s="172">
        <f ca="1">IF(OR($D295&lt;&gt;"Serviço",AND(AUTOEVENTO="Manual",$M295=$A$15),$M295&gt;(ROW(PLE.lastrow)-ROW(PLE.firstrow))),0,
           IF(OFFSET(PLE!$G$15,$M295-$A$15,CC$13)="",10^12,OFFSET(PLE!$G$15,$M295-$A$15,CC$13)))</f>
        <v>1000000000000</v>
      </c>
      <c r="CD295" s="172">
        <f ca="1">IF(OR($D295&lt;&gt;"Serviço",AND(AUTOEVENTO="Manual",$M295=$A$15),$M295&gt;(ROW(PLE.lastrow)-ROW(PLE.firstrow))),0,
           IF(OFFSET(PLE!$G$15,$M295-$A$15,CD$13)="",10^12,OFFSET(PLE!$G$15,$M295-$A$15,CD$13)))</f>
        <v>1000000000000</v>
      </c>
      <c r="CE295" s="172">
        <f ca="1">IF(OR($D295&lt;&gt;"Serviço",AND(AUTOEVENTO="Manual",$M295=$A$15),$M295&gt;(ROW(PLE.lastrow)-ROW(PLE.firstrow))),0,
           IF(OFFSET(PLE!$G$15,$M295-$A$15,CE$13)="",10^12,OFFSET(PLE!$G$15,$M295-$A$15,CE$13)))</f>
        <v>1000000000000</v>
      </c>
      <c r="CF295" s="172">
        <f ca="1">IF(OR($D295&lt;&gt;"Serviço",AND(AUTOEVENTO="Manual",$M295=$A$15),$M295&gt;(ROW(PLE.lastrow)-ROW(PLE.firstrow))),0,
           IF(OFFSET(PLE!$G$15,$M295-$A$15,CF$13)="",10^12,OFFSET(PLE!$G$15,$M295-$A$15,CF$13)))</f>
        <v>1000000000000</v>
      </c>
      <c r="CG295" s="172">
        <f ca="1">IF(OR($D295&lt;&gt;"Serviço",AND(AUTOEVENTO="Manual",$M295=$A$15),$M295&gt;(ROW(PLE.lastrow)-ROW(PLE.firstrow))),0,
           IF(OFFSET(PLE!$G$15,$M295-$A$15,CG$13)="",10^12,OFFSET(PLE!$G$15,$M295-$A$15,CG$13)))</f>
        <v>1000000000000</v>
      </c>
      <c r="CH295" s="172">
        <f ca="1">IF(OR($D295&lt;&gt;"Serviço",AND(AUTOEVENTO="Manual",$M295=$A$15),$M295&gt;(ROW(PLE.lastrow)-ROW(PLE.firstrow))),0,
           IF(OFFSET(PLE!$G$15,$M295-$A$15,CH$13)="",10^12,OFFSET(PLE!$G$15,$M295-$A$15,CH$13)))</f>
        <v>1000000000000</v>
      </c>
      <c r="CI295" s="172">
        <f ca="1">IF(OR($D295&lt;&gt;"Serviço",AND(AUTOEVENTO="Manual",$M295=$A$15),$M295&gt;(ROW(PLE.lastrow)-ROW(PLE.firstrow))),0,
           IF(OFFSET(PLE!$G$15,$M295-$A$15,CI$13)="",10^12,OFFSET(PLE!$G$15,$M295-$A$15,CI$13)))</f>
        <v>1000000000000</v>
      </c>
      <c r="CJ295" s="172">
        <f ca="1">IF(OR($D295&lt;&gt;"Serviço",AND(AUTOEVENTO="Manual",$M295=$A$15),$M295&gt;(ROW(PLE.lastrow)-ROW(PLE.firstrow))),0,
           IF(OFFSET(PLE!$G$15,$M295-$A$15,CJ$13)="",10^12,OFFSET(PLE!$G$15,$M295-$A$15,CJ$13)))</f>
        <v>1000000000000</v>
      </c>
      <c r="CK295" s="172">
        <f ca="1">IF(OR($D295&lt;&gt;"Serviço",AND(AUTOEVENTO="Manual",$M295=$A$15),$M295&gt;(ROW(PLE.lastrow)-ROW(PLE.firstrow))),0,
           IF(OFFSET(PLE!$G$15,$M295-$A$15,CK$13)="",10^12,OFFSET(PLE!$G$15,$M295-$A$15,CK$13)))</f>
        <v>1000000000000</v>
      </c>
      <c r="CL295" s="172">
        <f ca="1">IF(OR($D295&lt;&gt;"Serviço",AND(AUTOEVENTO="Manual",$M295=$A$15),$M295&gt;(ROW(PLE.lastrow)-ROW(PLE.firstrow))),0,
           IF(OFFSET(PLE!$G$15,$M295-$A$15,CL$13)="",10^12,OFFSET(PLE!$G$15,$M295-$A$15,CL$13)))</f>
        <v>1000000000000</v>
      </c>
      <c r="CM295" s="172">
        <f ca="1">IF(OR($D295&lt;&gt;"Serviço",AND(AUTOEVENTO="Manual",$M295=$A$15),$M295&gt;(ROW(PLE.lastrow)-ROW(PLE.firstrow))),0,
           IF(OFFSET(PLE!$G$15,$M295-$A$15,CM$13)="",10^12,OFFSET(PLE!$G$15,$M295-$A$15,CM$13)))</f>
        <v>1000000000000</v>
      </c>
    </row>
    <row r="296" spans="1:91" ht="76.5" x14ac:dyDescent="0.2">
      <c r="A296" s="7">
        <f t="shared" ca="1" si="14"/>
        <v>6</v>
      </c>
      <c r="B296" s="7" t="str">
        <f ca="1">OFFSET(ORÇAMENTO!C$15,ROW(B296)-ROW(B$15),0)</f>
        <v>S</v>
      </c>
      <c r="C296" s="7" t="str">
        <f ca="1">OFFSET(ORÇAMENTO!L$15,ROW(C296)-ROW(C$15),0)</f>
        <v>F</v>
      </c>
      <c r="D296" s="116" t="str">
        <f ca="1">OFFSET(ORÇAMENTO!N$15,ROW(D296)-ROW(D$15),0)</f>
        <v>Serviço</v>
      </c>
      <c r="E296" s="117" t="str">
        <f ca="1">OFFSET(ORÇAMENTO!O$15,ROW(E296)-ROW(E$15),0)</f>
        <v>1.7.3.4.3.</v>
      </c>
      <c r="F296" s="163" t="str">
        <f ca="1">OFFSET(ORÇAMENTO!R$15,ROW(F296)-ROW(F$15),0)</f>
        <v>ENCHIMENTO DE BRITA Nº 0 PARA DRENO, LANÇAMENTO MECANIZADO - BASEADO EM SINAPI (102717)</v>
      </c>
      <c r="G296" s="164" t="str">
        <f ca="1">IF($D296&lt;&gt;"Serviço","",OFFSET(ORÇAMENTO!S$15,ROW(G296)-ROW(G$15),0))</f>
        <v>M3</v>
      </c>
      <c r="H296" s="122" cm="1">
        <f t="array" aca="1" ref="H296" ca="1">IF($D296&lt;&gt;"Serviço",0,IF(ACOMPANHAMENTO="BM",ROUND(OFFSET(ORÇAMENTO!AJ$15,ROW(H296)-ROW(H$15),0),15-13*ORÇAMENTO!$AF$7),SUMPRODUCT(($Q$1:$AI$1=1)*ROUND($Q296:$AI296,15-13*ORÇAMENTO!$AF$7))))</f>
        <v>15.75</v>
      </c>
      <c r="I296" s="468" t="s">
        <v>1353</v>
      </c>
      <c r="J296" s="640" t="str" cm="1">
        <f t="array" aca="1" ref="J296" ca="1">IF(OR(B296&lt;&gt;"S",CÁLCULO.FrentesPreenchidas=0),"",IF(AND(ACOMPANHAMENTO="PLE",AUTOEVENTO="Manual",OR(H296&gt;0,ORÇAMENTO!AC296="QUANT."),OR(K296="",M296=0,N296="")),"►E",IF(AND(ACOMPANHAMENTO="PLE",ORÇAMENTO!AC296="QUANT."),"►Q",IF(AND(ACOMPANHAMENTO="PLE",H296&lt;&gt;SUMPRODUCT(($Q$1:$AI$1=1)*ROUND(Q296:AI296,15))),"►S",IF(AND(COUNTIF($P$11:$AI$11,"▼")=0,H296&gt;0,I296=""),"◄M","")))))</f>
        <v/>
      </c>
      <c r="K296" s="641" t="s">
        <v>1385</v>
      </c>
      <c r="L296" s="165" t="s">
        <v>764</v>
      </c>
      <c r="M296" s="166">
        <f ca="1">IF($D296&lt;&gt;"Serviço","",
          IF(AUTOEVENTO="manual",$A296,
                IF(ISERROR(MATCH($A296,$A$15:OFFSET($A296,-1,0),0)),MAX($M$15:OFFSET(M296,-1,0))+1,
                      INDEX($M$15:OFFSET(M296,-1,0),MATCH($A296,$A$15:OFFSET($A296,-1,0),0)))))</f>
        <v>6</v>
      </c>
      <c r="N296" s="167" t="str">
        <f ca="1">IF($D296&lt;&gt;"Serviço","",
         IF(AUTOEVENTO="Manual",
                IF($A296=0,"&lt;-- defina o número do agrupador",
                       OFFSET(EVENTOS!$D$15,$A296-$A$15,0)),
                OFFSET($F$15,$A296,0)))</f>
        <v>Saneamento</v>
      </c>
      <c r="O296" s="168"/>
      <c r="Q296" s="168"/>
      <c r="R296" s="169"/>
      <c r="S296" s="169"/>
      <c r="T296" s="169"/>
      <c r="U296" s="169">
        <v>15.75</v>
      </c>
      <c r="V296" s="169"/>
      <c r="W296" s="169"/>
      <c r="X296" s="169"/>
      <c r="Y296" s="169"/>
      <c r="Z296" s="170"/>
      <c r="AA296" s="169"/>
      <c r="AB296" s="169"/>
      <c r="AC296" s="169"/>
      <c r="AD296" s="169"/>
      <c r="AE296" s="169"/>
      <c r="AF296" s="169"/>
      <c r="AG296" s="169"/>
      <c r="AH296" s="170"/>
      <c r="AJ296" s="453">
        <f ca="1">IF(AND($D296="Serviço",AJ$12&lt;&gt;0,$H296&gt;0,OR(AUTOEVENTO&lt;&gt;"manual",$M296&lt;&gt;$A$15)),
        IF(Import.TipoArredondamento&lt;&gt;"TransfereGOV",
              ROUND(OFFSET($P296,0,AJ$13),15-13*ORÇAMENTO!$AF$7)/$H296*OFFSET(ORÇAMENTO!$X$15,ROW(AJ296)-ROW(AJ$15),0),
              ROUND(ROUND(OFFSET($P296,0,AJ$13),15-13*ORÇAMENTO!$AF$7)*OFFSET(ORÇAMENTO!$W$15,ROW(AJ296)-ROW(AJ$15),0),15-13*ORÇAMENTO!$AF$11)),
         0)</f>
        <v>0</v>
      </c>
      <c r="AK296" s="453">
        <f ca="1">IF(AND($D296="Serviço",AK$12&lt;&gt;0,$H296&gt;0,OR(AUTOEVENTO&lt;&gt;"manual",$M296&lt;&gt;$A$15)),
        IF(Import.TipoArredondamento&lt;&gt;"TransfereGOV",
              ROUND(OFFSET($P296,0,AK$13),15-13*ORÇAMENTO!$AF$7)/$H296*OFFSET(ORÇAMENTO!$X$15,ROW(AK296)-ROW(AK$15),0),
              ROUND(ROUND(OFFSET($P296,0,AK$13),15-13*ORÇAMENTO!$AF$7)*OFFSET(ORÇAMENTO!$W$15,ROW(AK296)-ROW(AK$15),0),15-13*ORÇAMENTO!$AF$11)),
         0)</f>
        <v>0</v>
      </c>
      <c r="AL296" s="453">
        <f ca="1">IF(AND($D296="Serviço",AL$12&lt;&gt;0,$H296&gt;0,OR(AUTOEVENTO&lt;&gt;"manual",$M296&lt;&gt;$A$15)),
        IF(Import.TipoArredondamento&lt;&gt;"TransfereGOV",
              ROUND(OFFSET($P296,0,AL$13),15-13*ORÇAMENTO!$AF$7)/$H296*OFFSET(ORÇAMENTO!$X$15,ROW(AL296)-ROW(AL$15),0),
              ROUND(ROUND(OFFSET($P296,0,AL$13),15-13*ORÇAMENTO!$AF$7)*OFFSET(ORÇAMENTO!$W$15,ROW(AL296)-ROW(AL$15),0),15-13*ORÇAMENTO!$AF$11)),
         0)</f>
        <v>0</v>
      </c>
      <c r="AM296" s="453">
        <f ca="1">IF(AND($D296="Serviço",AM$12&lt;&gt;0,$H296&gt;0,OR(AUTOEVENTO&lt;&gt;"manual",$M296&lt;&gt;$A$15)),
        IF(Import.TipoArredondamento&lt;&gt;"TransfereGOV",
              ROUND(OFFSET($P296,0,AM$13),15-13*ORÇAMENTO!$AF$7)/$H296*OFFSET(ORÇAMENTO!$X$15,ROW(AM296)-ROW(AM$15),0),
              ROUND(ROUND(OFFSET($P296,0,AM$13),15-13*ORÇAMENTO!$AF$7)*OFFSET(ORÇAMENTO!$W$15,ROW(AM296)-ROW(AM$15),0),15-13*ORÇAMENTO!$AF$11)),
         0)</f>
        <v>0</v>
      </c>
      <c r="AN296" s="453">
        <f ca="1">IF(AND($D296="Serviço",AN$12&lt;&gt;0,$H296&gt;0,OR(AUTOEVENTO&lt;&gt;"manual",$M296&lt;&gt;$A$15)),
        IF(Import.TipoArredondamento&lt;&gt;"TransfereGOV",
              ROUND(OFFSET($P296,0,AN$13),15-13*ORÇAMENTO!$AF$7)/$H296*OFFSET(ORÇAMENTO!$X$15,ROW(AN296)-ROW(AN$15),0),
              ROUND(ROUND(OFFSET($P296,0,AN$13),15-13*ORÇAMENTO!$AF$7)*OFFSET(ORÇAMENTO!$W$15,ROW(AN296)-ROW(AN$15),0),15-13*ORÇAMENTO!$AF$11)),
         0)</f>
        <v>0</v>
      </c>
      <c r="AO296" s="453">
        <f ca="1">IF(AND($D296="Serviço",AO$12&lt;&gt;0,$H296&gt;0,OR(AUTOEVENTO&lt;&gt;"manual",$M296&lt;&gt;$A$15)),
        IF(Import.TipoArredondamento&lt;&gt;"TransfereGOV",
              ROUND(OFFSET($P296,0,AO$13),15-13*ORÇAMENTO!$AF$7)/$H296*OFFSET(ORÇAMENTO!$X$15,ROW(AO296)-ROW(AO$15),0),
              ROUND(ROUND(OFFSET($P296,0,AO$13),15-13*ORÇAMENTO!$AF$7)*OFFSET(ORÇAMENTO!$W$15,ROW(AO296)-ROW(AO$15),0),15-13*ORÇAMENTO!$AF$11)),
         0)</f>
        <v>0</v>
      </c>
      <c r="AP296" s="453">
        <f ca="1">IF(AND($D296="Serviço",AP$12&lt;&gt;0,$H296&gt;0,OR(AUTOEVENTO&lt;&gt;"manual",$M296&lt;&gt;$A$15)),
        IF(Import.TipoArredondamento&lt;&gt;"TransfereGOV",
              ROUND(OFFSET($P296,0,AP$13),15-13*ORÇAMENTO!$AF$7)/$H296*OFFSET(ORÇAMENTO!$X$15,ROW(AP296)-ROW(AP$15),0),
              ROUND(ROUND(OFFSET($P296,0,AP$13),15-13*ORÇAMENTO!$AF$7)*OFFSET(ORÇAMENTO!$W$15,ROW(AP296)-ROW(AP$15),0),15-13*ORÇAMENTO!$AF$11)),
         0)</f>
        <v>0</v>
      </c>
      <c r="AQ296" s="453">
        <f ca="1">IF(AND($D296="Serviço",AQ$12&lt;&gt;0,$H296&gt;0,OR(AUTOEVENTO&lt;&gt;"manual",$M296&lt;&gt;$A$15)),
        IF(Import.TipoArredondamento&lt;&gt;"TransfereGOV",
              ROUND(OFFSET($P296,0,AQ$13),15-13*ORÇAMENTO!$AF$7)/$H296*OFFSET(ORÇAMENTO!$X$15,ROW(AQ296)-ROW(AQ$15),0),
              ROUND(ROUND(OFFSET($P296,0,AQ$13),15-13*ORÇAMENTO!$AF$7)*OFFSET(ORÇAMENTO!$W$15,ROW(AQ296)-ROW(AQ$15),0),15-13*ORÇAMENTO!$AF$11)),
         0)</f>
        <v>0</v>
      </c>
      <c r="AR296" s="453">
        <f ca="1">IF(AND($D296="Serviço",AR$12&lt;&gt;0,$H296&gt;0,OR(AUTOEVENTO&lt;&gt;"manual",$M296&lt;&gt;$A$15)),
        IF(Import.TipoArredondamento&lt;&gt;"TransfereGOV",
              ROUND(OFFSET($P296,0,AR$13),15-13*ORÇAMENTO!$AF$7)/$H296*OFFSET(ORÇAMENTO!$X$15,ROW(AR296)-ROW(AR$15),0),
              ROUND(ROUND(OFFSET($P296,0,AR$13),15-13*ORÇAMENTO!$AF$7)*OFFSET(ORÇAMENTO!$W$15,ROW(AR296)-ROW(AR$15),0),15-13*ORÇAMENTO!$AF$11)),
         0)</f>
        <v>0</v>
      </c>
      <c r="AS296" s="453">
        <f ca="1">IF(AND($D296="Serviço",AS$12&lt;&gt;0,$H296&gt;0,OR(AUTOEVENTO&lt;&gt;"manual",$M296&lt;&gt;$A$15)),
        IF(Import.TipoArredondamento&lt;&gt;"TransfereGOV",
              ROUND(OFFSET($P296,0,AS$13),15-13*ORÇAMENTO!$AF$7)/$H296*OFFSET(ORÇAMENTO!$X$15,ROW(AS296)-ROW(AS$15),0),
              ROUND(ROUND(OFFSET($P296,0,AS$13),15-13*ORÇAMENTO!$AF$7)*OFFSET(ORÇAMENTO!$W$15,ROW(AS296)-ROW(AS$15),0),15-13*ORÇAMENTO!$AF$11)),
         0)</f>
        <v>0</v>
      </c>
      <c r="AT296" s="453">
        <f ca="1">IF(AND($D296="Serviço",AT$12&lt;&gt;0,$H296&gt;0,OR(AUTOEVENTO&lt;&gt;"manual",$M296&lt;&gt;$A$15)),
        IF(Import.TipoArredondamento&lt;&gt;"TransfereGOV",
              ROUND(OFFSET($P296,0,AT$13),15-13*ORÇAMENTO!$AF$7)/$H296*OFFSET(ORÇAMENTO!$X$15,ROW(AT296)-ROW(AT$15),0),
              ROUND(ROUND(OFFSET($P296,0,AT$13),15-13*ORÇAMENTO!$AF$7)*OFFSET(ORÇAMENTO!$W$15,ROW(AT296)-ROW(AT$15),0),15-13*ORÇAMENTO!$AF$11)),
         0)</f>
        <v>0</v>
      </c>
      <c r="AU296" s="453">
        <f ca="1">IF(AND($D296="Serviço",AU$12&lt;&gt;0,$H296&gt;0,OR(AUTOEVENTO&lt;&gt;"manual",$M296&lt;&gt;$A$15)),
        IF(Import.TipoArredondamento&lt;&gt;"TransfereGOV",
              ROUND(OFFSET($P296,0,AU$13),15-13*ORÇAMENTO!$AF$7)/$H296*OFFSET(ORÇAMENTO!$X$15,ROW(AU296)-ROW(AU$15),0),
              ROUND(ROUND(OFFSET($P296,0,AU$13),15-13*ORÇAMENTO!$AF$7)*OFFSET(ORÇAMENTO!$W$15,ROW(AU296)-ROW(AU$15),0),15-13*ORÇAMENTO!$AF$11)),
         0)</f>
        <v>0</v>
      </c>
      <c r="AV296" s="453">
        <f ca="1">IF(AND($D296="Serviço",AV$12&lt;&gt;0,$H296&gt;0,OR(AUTOEVENTO&lt;&gt;"manual",$M296&lt;&gt;$A$15)),
        IF(Import.TipoArredondamento&lt;&gt;"TransfereGOV",
              ROUND(OFFSET($P296,0,AV$13),15-13*ORÇAMENTO!$AF$7)/$H296*OFFSET(ORÇAMENTO!$X$15,ROW(AV296)-ROW(AV$15),0),
              ROUND(ROUND(OFFSET($P296,0,AV$13),15-13*ORÇAMENTO!$AF$7)*OFFSET(ORÇAMENTO!$W$15,ROW(AV296)-ROW(AV$15),0),15-13*ORÇAMENTO!$AF$11)),
         0)</f>
        <v>0</v>
      </c>
      <c r="AW296" s="453">
        <f ca="1">IF(AND($D296="Serviço",AW$12&lt;&gt;0,$H296&gt;0,OR(AUTOEVENTO&lt;&gt;"manual",$M296&lt;&gt;$A$15)),
        IF(Import.TipoArredondamento&lt;&gt;"TransfereGOV",
              ROUND(OFFSET($P296,0,AW$13),15-13*ORÇAMENTO!$AF$7)/$H296*OFFSET(ORÇAMENTO!$X$15,ROW(AW296)-ROW(AW$15),0),
              ROUND(ROUND(OFFSET($P296,0,AW$13),15-13*ORÇAMENTO!$AF$7)*OFFSET(ORÇAMENTO!$W$15,ROW(AW296)-ROW(AW$15),0),15-13*ORÇAMENTO!$AF$11)),
         0)</f>
        <v>0</v>
      </c>
      <c r="AX296" s="453">
        <f ca="1">IF(AND($D296="Serviço",AX$12&lt;&gt;0,$H296&gt;0,OR(AUTOEVENTO&lt;&gt;"manual",$M296&lt;&gt;$A$15)),
        IF(Import.TipoArredondamento&lt;&gt;"TransfereGOV",
              ROUND(OFFSET($P296,0,AX$13),15-13*ORÇAMENTO!$AF$7)/$H296*OFFSET(ORÇAMENTO!$X$15,ROW(AX296)-ROW(AX$15),0),
              ROUND(ROUND(OFFSET($P296,0,AX$13),15-13*ORÇAMENTO!$AF$7)*OFFSET(ORÇAMENTO!$W$15,ROW(AX296)-ROW(AX$15),0),15-13*ORÇAMENTO!$AF$11)),
         0)</f>
        <v>0</v>
      </c>
      <c r="AY296" s="453">
        <f ca="1">IF(AND($D296="Serviço",AY$12&lt;&gt;0,$H296&gt;0,OR(AUTOEVENTO&lt;&gt;"manual",$M296&lt;&gt;$A$15)),
        IF(Import.TipoArredondamento&lt;&gt;"TransfereGOV",
              ROUND(OFFSET($P296,0,AY$13),15-13*ORÇAMENTO!$AF$7)/$H296*OFFSET(ORÇAMENTO!$X$15,ROW(AY296)-ROW(AY$15),0),
              ROUND(ROUND(OFFSET($P296,0,AY$13),15-13*ORÇAMENTO!$AF$7)*OFFSET(ORÇAMENTO!$W$15,ROW(AY296)-ROW(AY$15),0),15-13*ORÇAMENTO!$AF$11)),
         0)</f>
        <v>0</v>
      </c>
      <c r="AZ296" s="453">
        <f ca="1">IF(AND($D296="Serviço",AZ$12&lt;&gt;0,$H296&gt;0,OR(AUTOEVENTO&lt;&gt;"manual",$M296&lt;&gt;$A$15)),
        IF(Import.TipoArredondamento&lt;&gt;"TransfereGOV",
              ROUND(OFFSET($P296,0,AZ$13),15-13*ORÇAMENTO!$AF$7)/$H296*OFFSET(ORÇAMENTO!$X$15,ROW(AZ296)-ROW(AZ$15),0),
              ROUND(ROUND(OFFSET($P296,0,AZ$13),15-13*ORÇAMENTO!$AF$7)*OFFSET(ORÇAMENTO!$W$15,ROW(AZ296)-ROW(AZ$15),0),15-13*ORÇAMENTO!$AF$11)),
         0)</f>
        <v>0</v>
      </c>
      <c r="BA296" s="453">
        <f ca="1">IF(AND($D296="Serviço",BA$12&lt;&gt;0,$H296&gt;0,OR(AUTOEVENTO&lt;&gt;"manual",$M296&lt;&gt;$A$15)),
        IF(Import.TipoArredondamento&lt;&gt;"TransfereGOV",
              ROUND(OFFSET($P296,0,BA$13),15-13*ORÇAMENTO!$AF$7)/$H296*OFFSET(ORÇAMENTO!$X$15,ROW(BA296)-ROW(BA$15),0),
              ROUND(ROUND(OFFSET($P296,0,BA$13),15-13*ORÇAMENTO!$AF$7)*OFFSET(ORÇAMENTO!$W$15,ROW(BA296)-ROW(BA$15),0),15-13*ORÇAMENTO!$AF$11)),
         0)</f>
        <v>0</v>
      </c>
      <c r="BC296" s="171">
        <f ca="1">IF(OR($D296&lt;&gt;"Serviço",AND(AUTOEVENTO="Manual",$M296=$A$15)),0,
         IF(OFFSET(CRONOPLE!$F$15,$M296-$A$15,BC$13)=0,10^12,OFFSET(CRONOPLE!$F$15,$M296-$A$15,BC$13)))</f>
        <v>1</v>
      </c>
      <c r="BD296" s="171">
        <f ca="1">IF(OR($D296&lt;&gt;"Serviço",AND(AUTOEVENTO="Manual",$M296=$A$15)),0,
         IF(OFFSET(CRONOPLE!$F$15,$M296-$A$15,BD$13)=0,10^12,OFFSET(CRONOPLE!$F$15,$M296-$A$15,BD$13)))</f>
        <v>2</v>
      </c>
      <c r="BE296" s="171">
        <f ca="1">IF(OR($D296&lt;&gt;"Serviço",AND(AUTOEVENTO="Manual",$M296=$A$15)),0,
         IF(OFFSET(CRONOPLE!$F$15,$M296-$A$15,BE$13)=0,10^12,OFFSET(CRONOPLE!$F$15,$M296-$A$15,BE$13)))</f>
        <v>3</v>
      </c>
      <c r="BF296" s="171">
        <f ca="1">IF(OR($D296&lt;&gt;"Serviço",AND(AUTOEVENTO="Manual",$M296=$A$15)),0,
         IF(OFFSET(CRONOPLE!$F$15,$M296-$A$15,BF$13)=0,10^12,OFFSET(CRONOPLE!$F$15,$M296-$A$15,BF$13)))</f>
        <v>4</v>
      </c>
      <c r="BG296" s="171">
        <f ca="1">IF(OR($D296&lt;&gt;"Serviço",AND(AUTOEVENTO="Manual",$M296=$A$15)),0,
         IF(OFFSET(CRONOPLE!$F$15,$M296-$A$15,BG$13)=0,10^12,OFFSET(CRONOPLE!$F$15,$M296-$A$15,BG$13)))</f>
        <v>5</v>
      </c>
      <c r="BH296" s="171">
        <f ca="1">IF(OR($D296&lt;&gt;"Serviço",AND(AUTOEVENTO="Manual",$M296=$A$15)),0,
         IF(OFFSET(CRONOPLE!$F$15,$M296-$A$15,BH$13)=0,10^12,OFFSET(CRONOPLE!$F$15,$M296-$A$15,BH$13)))</f>
        <v>6</v>
      </c>
      <c r="BI296" s="171">
        <f ca="1">IF(OR($D296&lt;&gt;"Serviço",AND(AUTOEVENTO="Manual",$M296=$A$15)),0,
         IF(OFFSET(CRONOPLE!$F$15,$M296-$A$15,BI$13)=0,10^12,OFFSET(CRONOPLE!$F$15,$M296-$A$15,BI$13)))</f>
        <v>7</v>
      </c>
      <c r="BJ296" s="171">
        <f ca="1">IF(OR($D296&lt;&gt;"Serviço",AND(AUTOEVENTO="Manual",$M296=$A$15)),0,
         IF(OFFSET(CRONOPLE!$F$15,$M296-$A$15,BJ$13)=0,10^12,OFFSET(CRONOPLE!$F$15,$M296-$A$15,BJ$13)))</f>
        <v>8</v>
      </c>
      <c r="BK296" s="171">
        <f ca="1">IF(OR($D296&lt;&gt;"Serviço",AND(AUTOEVENTO="Manual",$M296=$A$15)),0,
         IF(OFFSET(CRONOPLE!$F$15,$M296-$A$15,BK$13)=0,10^12,OFFSET(CRONOPLE!$F$15,$M296-$A$15,BK$13)))</f>
        <v>9</v>
      </c>
      <c r="BL296" s="171">
        <f ca="1">IF(OR($D296&lt;&gt;"Serviço",AND(AUTOEVENTO="Manual",$M296=$A$15)),0,
         IF(OFFSET(CRONOPLE!$F$15,$M296-$A$15,BL$13)=0,10^12,OFFSET(CRONOPLE!$F$15,$M296-$A$15,BL$13)))</f>
        <v>1000000000000</v>
      </c>
      <c r="BM296" s="171">
        <f ca="1">IF(OR($D296&lt;&gt;"Serviço",AND(AUTOEVENTO="Manual",$M296=$A$15)),0,
         IF(OFFSET(CRONOPLE!$F$15,$M296-$A$15,BM$13)=0,10^12,OFFSET(CRONOPLE!$F$15,$M296-$A$15,BM$13)))</f>
        <v>1000000000000</v>
      </c>
      <c r="BN296" s="171">
        <f ca="1">IF(OR($D296&lt;&gt;"Serviço",AND(AUTOEVENTO="Manual",$M296=$A$15)),0,
         IF(OFFSET(CRONOPLE!$F$15,$M296-$A$15,BN$13)=0,10^12,OFFSET(CRONOPLE!$F$15,$M296-$A$15,BN$13)))</f>
        <v>1000000000000</v>
      </c>
      <c r="BO296" s="171">
        <f ca="1">IF(OR($D296&lt;&gt;"Serviço",AND(AUTOEVENTO="Manual",$M296=$A$15)),0,
         IF(OFFSET(CRONOPLE!$F$15,$M296-$A$15,BO$13)=0,10^12,OFFSET(CRONOPLE!$F$15,$M296-$A$15,BO$13)))</f>
        <v>1000000000000</v>
      </c>
      <c r="BP296" s="171">
        <f ca="1">IF(OR($D296&lt;&gt;"Serviço",AND(AUTOEVENTO="Manual",$M296=$A$15)),0,
         IF(OFFSET(CRONOPLE!$F$15,$M296-$A$15,BP$13)=0,10^12,OFFSET(CRONOPLE!$F$15,$M296-$A$15,BP$13)))</f>
        <v>1000000000000</v>
      </c>
      <c r="BQ296" s="171">
        <f ca="1">IF(OR($D296&lt;&gt;"Serviço",AND(AUTOEVENTO="Manual",$M296=$A$15)),0,
         IF(OFFSET(CRONOPLE!$F$15,$M296-$A$15,BQ$13)=0,10^12,OFFSET(CRONOPLE!$F$15,$M296-$A$15,BQ$13)))</f>
        <v>1000000000000</v>
      </c>
      <c r="BR296" s="171">
        <f ca="1">IF(OR($D296&lt;&gt;"Serviço",AND(AUTOEVENTO="Manual",$M296=$A$15)),0,
         IF(OFFSET(CRONOPLE!$F$15,$M296-$A$15,BR$13)=0,10^12,OFFSET(CRONOPLE!$F$15,$M296-$A$15,BR$13)))</f>
        <v>1000000000000</v>
      </c>
      <c r="BS296" s="171">
        <f ca="1">IF(OR($D296&lt;&gt;"Serviço",AND(AUTOEVENTO="Manual",$M296=$A$15)),0,
         IF(OFFSET(CRONOPLE!$F$15,$M296-$A$15,BS$13)=0,10^12,OFFSET(CRONOPLE!$F$15,$M296-$A$15,BS$13)))</f>
        <v>1000000000000</v>
      </c>
      <c r="BT296" s="171">
        <f ca="1">IF(OR($D296&lt;&gt;"Serviço",AND(AUTOEVENTO="Manual",$M296=$A$15)),0,
         IF(OFFSET(CRONOPLE!$F$15,$M296-$A$15,BT$13)=0,10^12,OFFSET(CRONOPLE!$F$15,$M296-$A$15,BT$13)))</f>
        <v>1000000000000</v>
      </c>
      <c r="BV296" s="172">
        <f ca="1">IF(OR($D296&lt;&gt;"Serviço",AND(AUTOEVENTO="Manual",$M296=$A$15),$M296&gt;(ROW(PLE.lastrow)-ROW(PLE.firstrow))),0,
           IF(OFFSET(PLE!$G$15,$M296-$A$15,BV$13)="",10^12,OFFSET(PLE!$G$15,$M296-$A$15,BV$13)))</f>
        <v>1000000000000</v>
      </c>
      <c r="BW296" s="172">
        <f ca="1">IF(OR($D296&lt;&gt;"Serviço",AND(AUTOEVENTO="Manual",$M296=$A$15),$M296&gt;(ROW(PLE.lastrow)-ROW(PLE.firstrow))),0,
           IF(OFFSET(PLE!$G$15,$M296-$A$15,BW$13)="",10^12,OFFSET(PLE!$G$15,$M296-$A$15,BW$13)))</f>
        <v>1000000000000</v>
      </c>
      <c r="BX296" s="172">
        <f ca="1">IF(OR($D296&lt;&gt;"Serviço",AND(AUTOEVENTO="Manual",$M296=$A$15),$M296&gt;(ROW(PLE.lastrow)-ROW(PLE.firstrow))),0,
           IF(OFFSET(PLE!$G$15,$M296-$A$15,BX$13)="",10^12,OFFSET(PLE!$G$15,$M296-$A$15,BX$13)))</f>
        <v>1000000000000</v>
      </c>
      <c r="BY296" s="172">
        <f ca="1">IF(OR($D296&lt;&gt;"Serviço",AND(AUTOEVENTO="Manual",$M296=$A$15),$M296&gt;(ROW(PLE.lastrow)-ROW(PLE.firstrow))),0,
           IF(OFFSET(PLE!$G$15,$M296-$A$15,BY$13)="",10^12,OFFSET(PLE!$G$15,$M296-$A$15,BY$13)))</f>
        <v>1000000000000</v>
      </c>
      <c r="BZ296" s="172">
        <f ca="1">IF(OR($D296&lt;&gt;"Serviço",AND(AUTOEVENTO="Manual",$M296=$A$15),$M296&gt;(ROW(PLE.lastrow)-ROW(PLE.firstrow))),0,
           IF(OFFSET(PLE!$G$15,$M296-$A$15,BZ$13)="",10^12,OFFSET(PLE!$G$15,$M296-$A$15,BZ$13)))</f>
        <v>1000000000000</v>
      </c>
      <c r="CA296" s="172">
        <f ca="1">IF(OR($D296&lt;&gt;"Serviço",AND(AUTOEVENTO="Manual",$M296=$A$15),$M296&gt;(ROW(PLE.lastrow)-ROW(PLE.firstrow))),0,
           IF(OFFSET(PLE!$G$15,$M296-$A$15,CA$13)="",10^12,OFFSET(PLE!$G$15,$M296-$A$15,CA$13)))</f>
        <v>1000000000000</v>
      </c>
      <c r="CB296" s="172">
        <f ca="1">IF(OR($D296&lt;&gt;"Serviço",AND(AUTOEVENTO="Manual",$M296=$A$15),$M296&gt;(ROW(PLE.lastrow)-ROW(PLE.firstrow))),0,
           IF(OFFSET(PLE!$G$15,$M296-$A$15,CB$13)="",10^12,OFFSET(PLE!$G$15,$M296-$A$15,CB$13)))</f>
        <v>1000000000000</v>
      </c>
      <c r="CC296" s="172">
        <f ca="1">IF(OR($D296&lt;&gt;"Serviço",AND(AUTOEVENTO="Manual",$M296=$A$15),$M296&gt;(ROW(PLE.lastrow)-ROW(PLE.firstrow))),0,
           IF(OFFSET(PLE!$G$15,$M296-$A$15,CC$13)="",10^12,OFFSET(PLE!$G$15,$M296-$A$15,CC$13)))</f>
        <v>1000000000000</v>
      </c>
      <c r="CD296" s="172">
        <f ca="1">IF(OR($D296&lt;&gt;"Serviço",AND(AUTOEVENTO="Manual",$M296=$A$15),$M296&gt;(ROW(PLE.lastrow)-ROW(PLE.firstrow))),0,
           IF(OFFSET(PLE!$G$15,$M296-$A$15,CD$13)="",10^12,OFFSET(PLE!$G$15,$M296-$A$15,CD$13)))</f>
        <v>1000000000000</v>
      </c>
      <c r="CE296" s="172">
        <f ca="1">IF(OR($D296&lt;&gt;"Serviço",AND(AUTOEVENTO="Manual",$M296=$A$15),$M296&gt;(ROW(PLE.lastrow)-ROW(PLE.firstrow))),0,
           IF(OFFSET(PLE!$G$15,$M296-$A$15,CE$13)="",10^12,OFFSET(PLE!$G$15,$M296-$A$15,CE$13)))</f>
        <v>1000000000000</v>
      </c>
      <c r="CF296" s="172">
        <f ca="1">IF(OR($D296&lt;&gt;"Serviço",AND(AUTOEVENTO="Manual",$M296=$A$15),$M296&gt;(ROW(PLE.lastrow)-ROW(PLE.firstrow))),0,
           IF(OFFSET(PLE!$G$15,$M296-$A$15,CF$13)="",10^12,OFFSET(PLE!$G$15,$M296-$A$15,CF$13)))</f>
        <v>1000000000000</v>
      </c>
      <c r="CG296" s="172">
        <f ca="1">IF(OR($D296&lt;&gt;"Serviço",AND(AUTOEVENTO="Manual",$M296=$A$15),$M296&gt;(ROW(PLE.lastrow)-ROW(PLE.firstrow))),0,
           IF(OFFSET(PLE!$G$15,$M296-$A$15,CG$13)="",10^12,OFFSET(PLE!$G$15,$M296-$A$15,CG$13)))</f>
        <v>1000000000000</v>
      </c>
      <c r="CH296" s="172">
        <f ca="1">IF(OR($D296&lt;&gt;"Serviço",AND(AUTOEVENTO="Manual",$M296=$A$15),$M296&gt;(ROW(PLE.lastrow)-ROW(PLE.firstrow))),0,
           IF(OFFSET(PLE!$G$15,$M296-$A$15,CH$13)="",10^12,OFFSET(PLE!$G$15,$M296-$A$15,CH$13)))</f>
        <v>1000000000000</v>
      </c>
      <c r="CI296" s="172">
        <f ca="1">IF(OR($D296&lt;&gt;"Serviço",AND(AUTOEVENTO="Manual",$M296=$A$15),$M296&gt;(ROW(PLE.lastrow)-ROW(PLE.firstrow))),0,
           IF(OFFSET(PLE!$G$15,$M296-$A$15,CI$13)="",10^12,OFFSET(PLE!$G$15,$M296-$A$15,CI$13)))</f>
        <v>1000000000000</v>
      </c>
      <c r="CJ296" s="172">
        <f ca="1">IF(OR($D296&lt;&gt;"Serviço",AND(AUTOEVENTO="Manual",$M296=$A$15),$M296&gt;(ROW(PLE.lastrow)-ROW(PLE.firstrow))),0,
           IF(OFFSET(PLE!$G$15,$M296-$A$15,CJ$13)="",10^12,OFFSET(PLE!$G$15,$M296-$A$15,CJ$13)))</f>
        <v>1000000000000</v>
      </c>
      <c r="CK296" s="172">
        <f ca="1">IF(OR($D296&lt;&gt;"Serviço",AND(AUTOEVENTO="Manual",$M296=$A$15),$M296&gt;(ROW(PLE.lastrow)-ROW(PLE.firstrow))),0,
           IF(OFFSET(PLE!$G$15,$M296-$A$15,CK$13)="",10^12,OFFSET(PLE!$G$15,$M296-$A$15,CK$13)))</f>
        <v>1000000000000</v>
      </c>
      <c r="CL296" s="172">
        <f ca="1">IF(OR($D296&lt;&gt;"Serviço",AND(AUTOEVENTO="Manual",$M296=$A$15),$M296&gt;(ROW(PLE.lastrow)-ROW(PLE.firstrow))),0,
           IF(OFFSET(PLE!$G$15,$M296-$A$15,CL$13)="",10^12,OFFSET(PLE!$G$15,$M296-$A$15,CL$13)))</f>
        <v>1000000000000</v>
      </c>
      <c r="CM296" s="172">
        <f ca="1">IF(OR($D296&lt;&gt;"Serviço",AND(AUTOEVENTO="Manual",$M296=$A$15),$M296&gt;(ROW(PLE.lastrow)-ROW(PLE.firstrow))),0,
           IF(OFFSET(PLE!$G$15,$M296-$A$15,CM$13)="",10^12,OFFSET(PLE!$G$15,$M296-$A$15,CM$13)))</f>
        <v>1000000000000</v>
      </c>
    </row>
    <row r="297" spans="1:91" ht="76.5" x14ac:dyDescent="0.2">
      <c r="A297" s="7">
        <f t="shared" ca="1" si="14"/>
        <v>6</v>
      </c>
      <c r="B297" s="7" t="str">
        <f ca="1">OFFSET(ORÇAMENTO!C$15,ROW(B297)-ROW(B$15),0)</f>
        <v>S</v>
      </c>
      <c r="C297" s="7" t="str">
        <f ca="1">OFFSET(ORÇAMENTO!L$15,ROW(C297)-ROW(C$15),0)</f>
        <v>F</v>
      </c>
      <c r="D297" s="116" t="str">
        <f ca="1">OFFSET(ORÇAMENTO!N$15,ROW(D297)-ROW(D$15),0)</f>
        <v>Serviço</v>
      </c>
      <c r="E297" s="117" t="str">
        <f ca="1">OFFSET(ORÇAMENTO!O$15,ROW(E297)-ROW(E$15),0)</f>
        <v>1.7.3.4.4.</v>
      </c>
      <c r="F297" s="163" t="str">
        <f ca="1">OFFSET(ORÇAMENTO!R$15,ROW(F297)-ROW(F$15),0)</f>
        <v>ENCHIMENTO DE BRITA Nº 1 PARA DRENO, LANÇAMENTO MECANIZADO - BASEADO EM SINAPI (102717)</v>
      </c>
      <c r="G297" s="164" t="str">
        <f ca="1">IF($D297&lt;&gt;"Serviço","",OFFSET(ORÇAMENTO!S$15,ROW(G297)-ROW(G$15),0))</f>
        <v>M3</v>
      </c>
      <c r="H297" s="122" cm="1">
        <f t="array" aca="1" ref="H297" ca="1">IF($D297&lt;&gt;"Serviço",0,IF(ACOMPANHAMENTO="BM",ROUND(OFFSET(ORÇAMENTO!AJ$15,ROW(H297)-ROW(H$15),0),15-13*ORÇAMENTO!$AF$7),SUMPRODUCT(($Q$1:$AI$1=1)*ROUND($Q297:$AI297,15-13*ORÇAMENTO!$AF$7))))</f>
        <v>10.5</v>
      </c>
      <c r="I297" s="468" t="s">
        <v>1353</v>
      </c>
      <c r="J297" s="640" t="str" cm="1">
        <f t="array" aca="1" ref="J297" ca="1">IF(OR(B297&lt;&gt;"S",CÁLCULO.FrentesPreenchidas=0),"",IF(AND(ACOMPANHAMENTO="PLE",AUTOEVENTO="Manual",OR(H297&gt;0,ORÇAMENTO!AC297="QUANT."),OR(K297="",M297=0,N297="")),"►E",IF(AND(ACOMPANHAMENTO="PLE",ORÇAMENTO!AC297="QUANT."),"►Q",IF(AND(ACOMPANHAMENTO="PLE",H297&lt;&gt;SUMPRODUCT(($Q$1:$AI$1=1)*ROUND(Q297:AI297,15))),"►S",IF(AND(COUNTIF($P$11:$AI$11,"▼")=0,H297&gt;0,I297=""),"◄M","")))))</f>
        <v/>
      </c>
      <c r="K297" s="641" t="s">
        <v>1385</v>
      </c>
      <c r="L297" s="165" t="s">
        <v>764</v>
      </c>
      <c r="M297" s="166">
        <f ca="1">IF($D297&lt;&gt;"Serviço","",
          IF(AUTOEVENTO="manual",$A297,
                IF(ISERROR(MATCH($A297,$A$15:OFFSET($A297,-1,0),0)),MAX($M$15:OFFSET(M297,-1,0))+1,
                      INDEX($M$15:OFFSET(M297,-1,0),MATCH($A297,$A$15:OFFSET($A297,-1,0),0)))))</f>
        <v>6</v>
      </c>
      <c r="N297" s="167" t="str">
        <f ca="1">IF($D297&lt;&gt;"Serviço","",
         IF(AUTOEVENTO="Manual",
                IF($A297=0,"&lt;-- defina o número do agrupador",
                       OFFSET(EVENTOS!$D$15,$A297-$A$15,0)),
                OFFSET($F$15,$A297,0)))</f>
        <v>Saneamento</v>
      </c>
      <c r="O297" s="168"/>
      <c r="Q297" s="168"/>
      <c r="R297" s="169"/>
      <c r="S297" s="169"/>
      <c r="T297" s="169"/>
      <c r="U297" s="169">
        <v>10.5</v>
      </c>
      <c r="V297" s="169"/>
      <c r="W297" s="169"/>
      <c r="X297" s="169"/>
      <c r="Y297" s="169"/>
      <c r="Z297" s="170"/>
      <c r="AA297" s="169"/>
      <c r="AB297" s="169"/>
      <c r="AC297" s="169"/>
      <c r="AD297" s="169"/>
      <c r="AE297" s="169"/>
      <c r="AF297" s="169"/>
      <c r="AG297" s="169"/>
      <c r="AH297" s="170"/>
      <c r="AJ297" s="453">
        <f ca="1">IF(AND($D297="Serviço",AJ$12&lt;&gt;0,$H297&gt;0,OR(AUTOEVENTO&lt;&gt;"manual",$M297&lt;&gt;$A$15)),
        IF(Import.TipoArredondamento&lt;&gt;"TransfereGOV",
              ROUND(OFFSET($P297,0,AJ$13),15-13*ORÇAMENTO!$AF$7)/$H297*OFFSET(ORÇAMENTO!$X$15,ROW(AJ297)-ROW(AJ$15),0),
              ROUND(ROUND(OFFSET($P297,0,AJ$13),15-13*ORÇAMENTO!$AF$7)*OFFSET(ORÇAMENTO!$W$15,ROW(AJ297)-ROW(AJ$15),0),15-13*ORÇAMENTO!$AF$11)),
         0)</f>
        <v>0</v>
      </c>
      <c r="AK297" s="453">
        <f ca="1">IF(AND($D297="Serviço",AK$12&lt;&gt;0,$H297&gt;0,OR(AUTOEVENTO&lt;&gt;"manual",$M297&lt;&gt;$A$15)),
        IF(Import.TipoArredondamento&lt;&gt;"TransfereGOV",
              ROUND(OFFSET($P297,0,AK$13),15-13*ORÇAMENTO!$AF$7)/$H297*OFFSET(ORÇAMENTO!$X$15,ROW(AK297)-ROW(AK$15),0),
              ROUND(ROUND(OFFSET($P297,0,AK$13),15-13*ORÇAMENTO!$AF$7)*OFFSET(ORÇAMENTO!$W$15,ROW(AK297)-ROW(AK$15),0),15-13*ORÇAMENTO!$AF$11)),
         0)</f>
        <v>0</v>
      </c>
      <c r="AL297" s="453">
        <f ca="1">IF(AND($D297="Serviço",AL$12&lt;&gt;0,$H297&gt;0,OR(AUTOEVENTO&lt;&gt;"manual",$M297&lt;&gt;$A$15)),
        IF(Import.TipoArredondamento&lt;&gt;"TransfereGOV",
              ROUND(OFFSET($P297,0,AL$13),15-13*ORÇAMENTO!$AF$7)/$H297*OFFSET(ORÇAMENTO!$X$15,ROW(AL297)-ROW(AL$15),0),
              ROUND(ROUND(OFFSET($P297,0,AL$13),15-13*ORÇAMENTO!$AF$7)*OFFSET(ORÇAMENTO!$W$15,ROW(AL297)-ROW(AL$15),0),15-13*ORÇAMENTO!$AF$11)),
         0)</f>
        <v>0</v>
      </c>
      <c r="AM297" s="453">
        <f ca="1">IF(AND($D297="Serviço",AM$12&lt;&gt;0,$H297&gt;0,OR(AUTOEVENTO&lt;&gt;"manual",$M297&lt;&gt;$A$15)),
        IF(Import.TipoArredondamento&lt;&gt;"TransfereGOV",
              ROUND(OFFSET($P297,0,AM$13),15-13*ORÇAMENTO!$AF$7)/$H297*OFFSET(ORÇAMENTO!$X$15,ROW(AM297)-ROW(AM$15),0),
              ROUND(ROUND(OFFSET($P297,0,AM$13),15-13*ORÇAMENTO!$AF$7)*OFFSET(ORÇAMENTO!$W$15,ROW(AM297)-ROW(AM$15),0),15-13*ORÇAMENTO!$AF$11)),
         0)</f>
        <v>0</v>
      </c>
      <c r="AN297" s="453">
        <f ca="1">IF(AND($D297="Serviço",AN$12&lt;&gt;0,$H297&gt;0,OR(AUTOEVENTO&lt;&gt;"manual",$M297&lt;&gt;$A$15)),
        IF(Import.TipoArredondamento&lt;&gt;"TransfereGOV",
              ROUND(OFFSET($P297,0,AN$13),15-13*ORÇAMENTO!$AF$7)/$H297*OFFSET(ORÇAMENTO!$X$15,ROW(AN297)-ROW(AN$15),0),
              ROUND(ROUND(OFFSET($P297,0,AN$13),15-13*ORÇAMENTO!$AF$7)*OFFSET(ORÇAMENTO!$W$15,ROW(AN297)-ROW(AN$15),0),15-13*ORÇAMENTO!$AF$11)),
         0)</f>
        <v>0</v>
      </c>
      <c r="AO297" s="453">
        <f ca="1">IF(AND($D297="Serviço",AO$12&lt;&gt;0,$H297&gt;0,OR(AUTOEVENTO&lt;&gt;"manual",$M297&lt;&gt;$A$15)),
        IF(Import.TipoArredondamento&lt;&gt;"TransfereGOV",
              ROUND(OFFSET($P297,0,AO$13),15-13*ORÇAMENTO!$AF$7)/$H297*OFFSET(ORÇAMENTO!$X$15,ROW(AO297)-ROW(AO$15),0),
              ROUND(ROUND(OFFSET($P297,0,AO$13),15-13*ORÇAMENTO!$AF$7)*OFFSET(ORÇAMENTO!$W$15,ROW(AO297)-ROW(AO$15),0),15-13*ORÇAMENTO!$AF$11)),
         0)</f>
        <v>0</v>
      </c>
      <c r="AP297" s="453">
        <f ca="1">IF(AND($D297="Serviço",AP$12&lt;&gt;0,$H297&gt;0,OR(AUTOEVENTO&lt;&gt;"manual",$M297&lt;&gt;$A$15)),
        IF(Import.TipoArredondamento&lt;&gt;"TransfereGOV",
              ROUND(OFFSET($P297,0,AP$13),15-13*ORÇAMENTO!$AF$7)/$H297*OFFSET(ORÇAMENTO!$X$15,ROW(AP297)-ROW(AP$15),0),
              ROUND(ROUND(OFFSET($P297,0,AP$13),15-13*ORÇAMENTO!$AF$7)*OFFSET(ORÇAMENTO!$W$15,ROW(AP297)-ROW(AP$15),0),15-13*ORÇAMENTO!$AF$11)),
         0)</f>
        <v>0</v>
      </c>
      <c r="AQ297" s="453">
        <f ca="1">IF(AND($D297="Serviço",AQ$12&lt;&gt;0,$H297&gt;0,OR(AUTOEVENTO&lt;&gt;"manual",$M297&lt;&gt;$A$15)),
        IF(Import.TipoArredondamento&lt;&gt;"TransfereGOV",
              ROUND(OFFSET($P297,0,AQ$13),15-13*ORÇAMENTO!$AF$7)/$H297*OFFSET(ORÇAMENTO!$X$15,ROW(AQ297)-ROW(AQ$15),0),
              ROUND(ROUND(OFFSET($P297,0,AQ$13),15-13*ORÇAMENTO!$AF$7)*OFFSET(ORÇAMENTO!$W$15,ROW(AQ297)-ROW(AQ$15),0),15-13*ORÇAMENTO!$AF$11)),
         0)</f>
        <v>0</v>
      </c>
      <c r="AR297" s="453">
        <f ca="1">IF(AND($D297="Serviço",AR$12&lt;&gt;0,$H297&gt;0,OR(AUTOEVENTO&lt;&gt;"manual",$M297&lt;&gt;$A$15)),
        IF(Import.TipoArredondamento&lt;&gt;"TransfereGOV",
              ROUND(OFFSET($P297,0,AR$13),15-13*ORÇAMENTO!$AF$7)/$H297*OFFSET(ORÇAMENTO!$X$15,ROW(AR297)-ROW(AR$15),0),
              ROUND(ROUND(OFFSET($P297,0,AR$13),15-13*ORÇAMENTO!$AF$7)*OFFSET(ORÇAMENTO!$W$15,ROW(AR297)-ROW(AR$15),0),15-13*ORÇAMENTO!$AF$11)),
         0)</f>
        <v>0</v>
      </c>
      <c r="AS297" s="453">
        <f ca="1">IF(AND($D297="Serviço",AS$12&lt;&gt;0,$H297&gt;0,OR(AUTOEVENTO&lt;&gt;"manual",$M297&lt;&gt;$A$15)),
        IF(Import.TipoArredondamento&lt;&gt;"TransfereGOV",
              ROUND(OFFSET($P297,0,AS$13),15-13*ORÇAMENTO!$AF$7)/$H297*OFFSET(ORÇAMENTO!$X$15,ROW(AS297)-ROW(AS$15),0),
              ROUND(ROUND(OFFSET($P297,0,AS$13),15-13*ORÇAMENTO!$AF$7)*OFFSET(ORÇAMENTO!$W$15,ROW(AS297)-ROW(AS$15),0),15-13*ORÇAMENTO!$AF$11)),
         0)</f>
        <v>0</v>
      </c>
      <c r="AT297" s="453">
        <f ca="1">IF(AND($D297="Serviço",AT$12&lt;&gt;0,$H297&gt;0,OR(AUTOEVENTO&lt;&gt;"manual",$M297&lt;&gt;$A$15)),
        IF(Import.TipoArredondamento&lt;&gt;"TransfereGOV",
              ROUND(OFFSET($P297,0,AT$13),15-13*ORÇAMENTO!$AF$7)/$H297*OFFSET(ORÇAMENTO!$X$15,ROW(AT297)-ROW(AT$15),0),
              ROUND(ROUND(OFFSET($P297,0,AT$13),15-13*ORÇAMENTO!$AF$7)*OFFSET(ORÇAMENTO!$W$15,ROW(AT297)-ROW(AT$15),0),15-13*ORÇAMENTO!$AF$11)),
         0)</f>
        <v>0</v>
      </c>
      <c r="AU297" s="453">
        <f ca="1">IF(AND($D297="Serviço",AU$12&lt;&gt;0,$H297&gt;0,OR(AUTOEVENTO&lt;&gt;"manual",$M297&lt;&gt;$A$15)),
        IF(Import.TipoArredondamento&lt;&gt;"TransfereGOV",
              ROUND(OFFSET($P297,0,AU$13),15-13*ORÇAMENTO!$AF$7)/$H297*OFFSET(ORÇAMENTO!$X$15,ROW(AU297)-ROW(AU$15),0),
              ROUND(ROUND(OFFSET($P297,0,AU$13),15-13*ORÇAMENTO!$AF$7)*OFFSET(ORÇAMENTO!$W$15,ROW(AU297)-ROW(AU$15),0),15-13*ORÇAMENTO!$AF$11)),
         0)</f>
        <v>0</v>
      </c>
      <c r="AV297" s="453">
        <f ca="1">IF(AND($D297="Serviço",AV$12&lt;&gt;0,$H297&gt;0,OR(AUTOEVENTO&lt;&gt;"manual",$M297&lt;&gt;$A$15)),
        IF(Import.TipoArredondamento&lt;&gt;"TransfereGOV",
              ROUND(OFFSET($P297,0,AV$13),15-13*ORÇAMENTO!$AF$7)/$H297*OFFSET(ORÇAMENTO!$X$15,ROW(AV297)-ROW(AV$15),0),
              ROUND(ROUND(OFFSET($P297,0,AV$13),15-13*ORÇAMENTO!$AF$7)*OFFSET(ORÇAMENTO!$W$15,ROW(AV297)-ROW(AV$15),0),15-13*ORÇAMENTO!$AF$11)),
         0)</f>
        <v>0</v>
      </c>
      <c r="AW297" s="453">
        <f ca="1">IF(AND($D297="Serviço",AW$12&lt;&gt;0,$H297&gt;0,OR(AUTOEVENTO&lt;&gt;"manual",$M297&lt;&gt;$A$15)),
        IF(Import.TipoArredondamento&lt;&gt;"TransfereGOV",
              ROUND(OFFSET($P297,0,AW$13),15-13*ORÇAMENTO!$AF$7)/$H297*OFFSET(ORÇAMENTO!$X$15,ROW(AW297)-ROW(AW$15),0),
              ROUND(ROUND(OFFSET($P297,0,AW$13),15-13*ORÇAMENTO!$AF$7)*OFFSET(ORÇAMENTO!$W$15,ROW(AW297)-ROW(AW$15),0),15-13*ORÇAMENTO!$AF$11)),
         0)</f>
        <v>0</v>
      </c>
      <c r="AX297" s="453">
        <f ca="1">IF(AND($D297="Serviço",AX$12&lt;&gt;0,$H297&gt;0,OR(AUTOEVENTO&lt;&gt;"manual",$M297&lt;&gt;$A$15)),
        IF(Import.TipoArredondamento&lt;&gt;"TransfereGOV",
              ROUND(OFFSET($P297,0,AX$13),15-13*ORÇAMENTO!$AF$7)/$H297*OFFSET(ORÇAMENTO!$X$15,ROW(AX297)-ROW(AX$15),0),
              ROUND(ROUND(OFFSET($P297,0,AX$13),15-13*ORÇAMENTO!$AF$7)*OFFSET(ORÇAMENTO!$W$15,ROW(AX297)-ROW(AX$15),0),15-13*ORÇAMENTO!$AF$11)),
         0)</f>
        <v>0</v>
      </c>
      <c r="AY297" s="453">
        <f ca="1">IF(AND($D297="Serviço",AY$12&lt;&gt;0,$H297&gt;0,OR(AUTOEVENTO&lt;&gt;"manual",$M297&lt;&gt;$A$15)),
        IF(Import.TipoArredondamento&lt;&gt;"TransfereGOV",
              ROUND(OFFSET($P297,0,AY$13),15-13*ORÇAMENTO!$AF$7)/$H297*OFFSET(ORÇAMENTO!$X$15,ROW(AY297)-ROW(AY$15),0),
              ROUND(ROUND(OFFSET($P297,0,AY$13),15-13*ORÇAMENTO!$AF$7)*OFFSET(ORÇAMENTO!$W$15,ROW(AY297)-ROW(AY$15),0),15-13*ORÇAMENTO!$AF$11)),
         0)</f>
        <v>0</v>
      </c>
      <c r="AZ297" s="453">
        <f ca="1">IF(AND($D297="Serviço",AZ$12&lt;&gt;0,$H297&gt;0,OR(AUTOEVENTO&lt;&gt;"manual",$M297&lt;&gt;$A$15)),
        IF(Import.TipoArredondamento&lt;&gt;"TransfereGOV",
              ROUND(OFFSET($P297,0,AZ$13),15-13*ORÇAMENTO!$AF$7)/$H297*OFFSET(ORÇAMENTO!$X$15,ROW(AZ297)-ROW(AZ$15),0),
              ROUND(ROUND(OFFSET($P297,0,AZ$13),15-13*ORÇAMENTO!$AF$7)*OFFSET(ORÇAMENTO!$W$15,ROW(AZ297)-ROW(AZ$15),0),15-13*ORÇAMENTO!$AF$11)),
         0)</f>
        <v>0</v>
      </c>
      <c r="BA297" s="453">
        <f ca="1">IF(AND($D297="Serviço",BA$12&lt;&gt;0,$H297&gt;0,OR(AUTOEVENTO&lt;&gt;"manual",$M297&lt;&gt;$A$15)),
        IF(Import.TipoArredondamento&lt;&gt;"TransfereGOV",
              ROUND(OFFSET($P297,0,BA$13),15-13*ORÇAMENTO!$AF$7)/$H297*OFFSET(ORÇAMENTO!$X$15,ROW(BA297)-ROW(BA$15),0),
              ROUND(ROUND(OFFSET($P297,0,BA$13),15-13*ORÇAMENTO!$AF$7)*OFFSET(ORÇAMENTO!$W$15,ROW(BA297)-ROW(BA$15),0),15-13*ORÇAMENTO!$AF$11)),
         0)</f>
        <v>0</v>
      </c>
      <c r="BC297" s="171">
        <f ca="1">IF(OR($D297&lt;&gt;"Serviço",AND(AUTOEVENTO="Manual",$M297=$A$15)),0,
         IF(OFFSET(CRONOPLE!$F$15,$M297-$A$15,BC$13)=0,10^12,OFFSET(CRONOPLE!$F$15,$M297-$A$15,BC$13)))</f>
        <v>1</v>
      </c>
      <c r="BD297" s="171">
        <f ca="1">IF(OR($D297&lt;&gt;"Serviço",AND(AUTOEVENTO="Manual",$M297=$A$15)),0,
         IF(OFFSET(CRONOPLE!$F$15,$M297-$A$15,BD$13)=0,10^12,OFFSET(CRONOPLE!$F$15,$M297-$A$15,BD$13)))</f>
        <v>2</v>
      </c>
      <c r="BE297" s="171">
        <f ca="1">IF(OR($D297&lt;&gt;"Serviço",AND(AUTOEVENTO="Manual",$M297=$A$15)),0,
         IF(OFFSET(CRONOPLE!$F$15,$M297-$A$15,BE$13)=0,10^12,OFFSET(CRONOPLE!$F$15,$M297-$A$15,BE$13)))</f>
        <v>3</v>
      </c>
      <c r="BF297" s="171">
        <f ca="1">IF(OR($D297&lt;&gt;"Serviço",AND(AUTOEVENTO="Manual",$M297=$A$15)),0,
         IF(OFFSET(CRONOPLE!$F$15,$M297-$A$15,BF$13)=0,10^12,OFFSET(CRONOPLE!$F$15,$M297-$A$15,BF$13)))</f>
        <v>4</v>
      </c>
      <c r="BG297" s="171">
        <f ca="1">IF(OR($D297&lt;&gt;"Serviço",AND(AUTOEVENTO="Manual",$M297=$A$15)),0,
         IF(OFFSET(CRONOPLE!$F$15,$M297-$A$15,BG$13)=0,10^12,OFFSET(CRONOPLE!$F$15,$M297-$A$15,BG$13)))</f>
        <v>5</v>
      </c>
      <c r="BH297" s="171">
        <f ca="1">IF(OR($D297&lt;&gt;"Serviço",AND(AUTOEVENTO="Manual",$M297=$A$15)),0,
         IF(OFFSET(CRONOPLE!$F$15,$M297-$A$15,BH$13)=0,10^12,OFFSET(CRONOPLE!$F$15,$M297-$A$15,BH$13)))</f>
        <v>6</v>
      </c>
      <c r="BI297" s="171">
        <f ca="1">IF(OR($D297&lt;&gt;"Serviço",AND(AUTOEVENTO="Manual",$M297=$A$15)),0,
         IF(OFFSET(CRONOPLE!$F$15,$M297-$A$15,BI$13)=0,10^12,OFFSET(CRONOPLE!$F$15,$M297-$A$15,BI$13)))</f>
        <v>7</v>
      </c>
      <c r="BJ297" s="171">
        <f ca="1">IF(OR($D297&lt;&gt;"Serviço",AND(AUTOEVENTO="Manual",$M297=$A$15)),0,
         IF(OFFSET(CRONOPLE!$F$15,$M297-$A$15,BJ$13)=0,10^12,OFFSET(CRONOPLE!$F$15,$M297-$A$15,BJ$13)))</f>
        <v>8</v>
      </c>
      <c r="BK297" s="171">
        <f ca="1">IF(OR($D297&lt;&gt;"Serviço",AND(AUTOEVENTO="Manual",$M297=$A$15)),0,
         IF(OFFSET(CRONOPLE!$F$15,$M297-$A$15,BK$13)=0,10^12,OFFSET(CRONOPLE!$F$15,$M297-$A$15,BK$13)))</f>
        <v>9</v>
      </c>
      <c r="BL297" s="171">
        <f ca="1">IF(OR($D297&lt;&gt;"Serviço",AND(AUTOEVENTO="Manual",$M297=$A$15)),0,
         IF(OFFSET(CRONOPLE!$F$15,$M297-$A$15,BL$13)=0,10^12,OFFSET(CRONOPLE!$F$15,$M297-$A$15,BL$13)))</f>
        <v>1000000000000</v>
      </c>
      <c r="BM297" s="171">
        <f ca="1">IF(OR($D297&lt;&gt;"Serviço",AND(AUTOEVENTO="Manual",$M297=$A$15)),0,
         IF(OFFSET(CRONOPLE!$F$15,$M297-$A$15,BM$13)=0,10^12,OFFSET(CRONOPLE!$F$15,$M297-$A$15,BM$13)))</f>
        <v>1000000000000</v>
      </c>
      <c r="BN297" s="171">
        <f ca="1">IF(OR($D297&lt;&gt;"Serviço",AND(AUTOEVENTO="Manual",$M297=$A$15)),0,
         IF(OFFSET(CRONOPLE!$F$15,$M297-$A$15,BN$13)=0,10^12,OFFSET(CRONOPLE!$F$15,$M297-$A$15,BN$13)))</f>
        <v>1000000000000</v>
      </c>
      <c r="BO297" s="171">
        <f ca="1">IF(OR($D297&lt;&gt;"Serviço",AND(AUTOEVENTO="Manual",$M297=$A$15)),0,
         IF(OFFSET(CRONOPLE!$F$15,$M297-$A$15,BO$13)=0,10^12,OFFSET(CRONOPLE!$F$15,$M297-$A$15,BO$13)))</f>
        <v>1000000000000</v>
      </c>
      <c r="BP297" s="171">
        <f ca="1">IF(OR($D297&lt;&gt;"Serviço",AND(AUTOEVENTO="Manual",$M297=$A$15)),0,
         IF(OFFSET(CRONOPLE!$F$15,$M297-$A$15,BP$13)=0,10^12,OFFSET(CRONOPLE!$F$15,$M297-$A$15,BP$13)))</f>
        <v>1000000000000</v>
      </c>
      <c r="BQ297" s="171">
        <f ca="1">IF(OR($D297&lt;&gt;"Serviço",AND(AUTOEVENTO="Manual",$M297=$A$15)),0,
         IF(OFFSET(CRONOPLE!$F$15,$M297-$A$15,BQ$13)=0,10^12,OFFSET(CRONOPLE!$F$15,$M297-$A$15,BQ$13)))</f>
        <v>1000000000000</v>
      </c>
      <c r="BR297" s="171">
        <f ca="1">IF(OR($D297&lt;&gt;"Serviço",AND(AUTOEVENTO="Manual",$M297=$A$15)),0,
         IF(OFFSET(CRONOPLE!$F$15,$M297-$A$15,BR$13)=0,10^12,OFFSET(CRONOPLE!$F$15,$M297-$A$15,BR$13)))</f>
        <v>1000000000000</v>
      </c>
      <c r="BS297" s="171">
        <f ca="1">IF(OR($D297&lt;&gt;"Serviço",AND(AUTOEVENTO="Manual",$M297=$A$15)),0,
         IF(OFFSET(CRONOPLE!$F$15,$M297-$A$15,BS$13)=0,10^12,OFFSET(CRONOPLE!$F$15,$M297-$A$15,BS$13)))</f>
        <v>1000000000000</v>
      </c>
      <c r="BT297" s="171">
        <f ca="1">IF(OR($D297&lt;&gt;"Serviço",AND(AUTOEVENTO="Manual",$M297=$A$15)),0,
         IF(OFFSET(CRONOPLE!$F$15,$M297-$A$15,BT$13)=0,10^12,OFFSET(CRONOPLE!$F$15,$M297-$A$15,BT$13)))</f>
        <v>1000000000000</v>
      </c>
      <c r="BV297" s="172">
        <f ca="1">IF(OR($D297&lt;&gt;"Serviço",AND(AUTOEVENTO="Manual",$M297=$A$15),$M297&gt;(ROW(PLE.lastrow)-ROW(PLE.firstrow))),0,
           IF(OFFSET(PLE!$G$15,$M297-$A$15,BV$13)="",10^12,OFFSET(PLE!$G$15,$M297-$A$15,BV$13)))</f>
        <v>1000000000000</v>
      </c>
      <c r="BW297" s="172">
        <f ca="1">IF(OR($D297&lt;&gt;"Serviço",AND(AUTOEVENTO="Manual",$M297=$A$15),$M297&gt;(ROW(PLE.lastrow)-ROW(PLE.firstrow))),0,
           IF(OFFSET(PLE!$G$15,$M297-$A$15,BW$13)="",10^12,OFFSET(PLE!$G$15,$M297-$A$15,BW$13)))</f>
        <v>1000000000000</v>
      </c>
      <c r="BX297" s="172">
        <f ca="1">IF(OR($D297&lt;&gt;"Serviço",AND(AUTOEVENTO="Manual",$M297=$A$15),$M297&gt;(ROW(PLE.lastrow)-ROW(PLE.firstrow))),0,
           IF(OFFSET(PLE!$G$15,$M297-$A$15,BX$13)="",10^12,OFFSET(PLE!$G$15,$M297-$A$15,BX$13)))</f>
        <v>1000000000000</v>
      </c>
      <c r="BY297" s="172">
        <f ca="1">IF(OR($D297&lt;&gt;"Serviço",AND(AUTOEVENTO="Manual",$M297=$A$15),$M297&gt;(ROW(PLE.lastrow)-ROW(PLE.firstrow))),0,
           IF(OFFSET(PLE!$G$15,$M297-$A$15,BY$13)="",10^12,OFFSET(PLE!$G$15,$M297-$A$15,BY$13)))</f>
        <v>1000000000000</v>
      </c>
      <c r="BZ297" s="172">
        <f ca="1">IF(OR($D297&lt;&gt;"Serviço",AND(AUTOEVENTO="Manual",$M297=$A$15),$M297&gt;(ROW(PLE.lastrow)-ROW(PLE.firstrow))),0,
           IF(OFFSET(PLE!$G$15,$M297-$A$15,BZ$13)="",10^12,OFFSET(PLE!$G$15,$M297-$A$15,BZ$13)))</f>
        <v>1000000000000</v>
      </c>
      <c r="CA297" s="172">
        <f ca="1">IF(OR($D297&lt;&gt;"Serviço",AND(AUTOEVENTO="Manual",$M297=$A$15),$M297&gt;(ROW(PLE.lastrow)-ROW(PLE.firstrow))),0,
           IF(OFFSET(PLE!$G$15,$M297-$A$15,CA$13)="",10^12,OFFSET(PLE!$G$15,$M297-$A$15,CA$13)))</f>
        <v>1000000000000</v>
      </c>
      <c r="CB297" s="172">
        <f ca="1">IF(OR($D297&lt;&gt;"Serviço",AND(AUTOEVENTO="Manual",$M297=$A$15),$M297&gt;(ROW(PLE.lastrow)-ROW(PLE.firstrow))),0,
           IF(OFFSET(PLE!$G$15,$M297-$A$15,CB$13)="",10^12,OFFSET(PLE!$G$15,$M297-$A$15,CB$13)))</f>
        <v>1000000000000</v>
      </c>
      <c r="CC297" s="172">
        <f ca="1">IF(OR($D297&lt;&gt;"Serviço",AND(AUTOEVENTO="Manual",$M297=$A$15),$M297&gt;(ROW(PLE.lastrow)-ROW(PLE.firstrow))),0,
           IF(OFFSET(PLE!$G$15,$M297-$A$15,CC$13)="",10^12,OFFSET(PLE!$G$15,$M297-$A$15,CC$13)))</f>
        <v>1000000000000</v>
      </c>
      <c r="CD297" s="172">
        <f ca="1">IF(OR($D297&lt;&gt;"Serviço",AND(AUTOEVENTO="Manual",$M297=$A$15),$M297&gt;(ROW(PLE.lastrow)-ROW(PLE.firstrow))),0,
           IF(OFFSET(PLE!$G$15,$M297-$A$15,CD$13)="",10^12,OFFSET(PLE!$G$15,$M297-$A$15,CD$13)))</f>
        <v>1000000000000</v>
      </c>
      <c r="CE297" s="172">
        <f ca="1">IF(OR($D297&lt;&gt;"Serviço",AND(AUTOEVENTO="Manual",$M297=$A$15),$M297&gt;(ROW(PLE.lastrow)-ROW(PLE.firstrow))),0,
           IF(OFFSET(PLE!$G$15,$M297-$A$15,CE$13)="",10^12,OFFSET(PLE!$G$15,$M297-$A$15,CE$13)))</f>
        <v>1000000000000</v>
      </c>
      <c r="CF297" s="172">
        <f ca="1">IF(OR($D297&lt;&gt;"Serviço",AND(AUTOEVENTO="Manual",$M297=$A$15),$M297&gt;(ROW(PLE.lastrow)-ROW(PLE.firstrow))),0,
           IF(OFFSET(PLE!$G$15,$M297-$A$15,CF$13)="",10^12,OFFSET(PLE!$G$15,$M297-$A$15,CF$13)))</f>
        <v>1000000000000</v>
      </c>
      <c r="CG297" s="172">
        <f ca="1">IF(OR($D297&lt;&gt;"Serviço",AND(AUTOEVENTO="Manual",$M297=$A$15),$M297&gt;(ROW(PLE.lastrow)-ROW(PLE.firstrow))),0,
           IF(OFFSET(PLE!$G$15,$M297-$A$15,CG$13)="",10^12,OFFSET(PLE!$G$15,$M297-$A$15,CG$13)))</f>
        <v>1000000000000</v>
      </c>
      <c r="CH297" s="172">
        <f ca="1">IF(OR($D297&lt;&gt;"Serviço",AND(AUTOEVENTO="Manual",$M297=$A$15),$M297&gt;(ROW(PLE.lastrow)-ROW(PLE.firstrow))),0,
           IF(OFFSET(PLE!$G$15,$M297-$A$15,CH$13)="",10^12,OFFSET(PLE!$G$15,$M297-$A$15,CH$13)))</f>
        <v>1000000000000</v>
      </c>
      <c r="CI297" s="172">
        <f ca="1">IF(OR($D297&lt;&gt;"Serviço",AND(AUTOEVENTO="Manual",$M297=$A$15),$M297&gt;(ROW(PLE.lastrow)-ROW(PLE.firstrow))),0,
           IF(OFFSET(PLE!$G$15,$M297-$A$15,CI$13)="",10^12,OFFSET(PLE!$G$15,$M297-$A$15,CI$13)))</f>
        <v>1000000000000</v>
      </c>
      <c r="CJ297" s="172">
        <f ca="1">IF(OR($D297&lt;&gt;"Serviço",AND(AUTOEVENTO="Manual",$M297=$A$15),$M297&gt;(ROW(PLE.lastrow)-ROW(PLE.firstrow))),0,
           IF(OFFSET(PLE!$G$15,$M297-$A$15,CJ$13)="",10^12,OFFSET(PLE!$G$15,$M297-$A$15,CJ$13)))</f>
        <v>1000000000000</v>
      </c>
      <c r="CK297" s="172">
        <f ca="1">IF(OR($D297&lt;&gt;"Serviço",AND(AUTOEVENTO="Manual",$M297=$A$15),$M297&gt;(ROW(PLE.lastrow)-ROW(PLE.firstrow))),0,
           IF(OFFSET(PLE!$G$15,$M297-$A$15,CK$13)="",10^12,OFFSET(PLE!$G$15,$M297-$A$15,CK$13)))</f>
        <v>1000000000000</v>
      </c>
      <c r="CL297" s="172">
        <f ca="1">IF(OR($D297&lt;&gt;"Serviço",AND(AUTOEVENTO="Manual",$M297=$A$15),$M297&gt;(ROW(PLE.lastrow)-ROW(PLE.firstrow))),0,
           IF(OFFSET(PLE!$G$15,$M297-$A$15,CL$13)="",10^12,OFFSET(PLE!$G$15,$M297-$A$15,CL$13)))</f>
        <v>1000000000000</v>
      </c>
      <c r="CM297" s="172">
        <f ca="1">IF(OR($D297&lt;&gt;"Serviço",AND(AUTOEVENTO="Manual",$M297=$A$15),$M297&gt;(ROW(PLE.lastrow)-ROW(PLE.firstrow))),0,
           IF(OFFSET(PLE!$G$15,$M297-$A$15,CM$13)="",10^12,OFFSET(PLE!$G$15,$M297-$A$15,CM$13)))</f>
        <v>1000000000000</v>
      </c>
    </row>
    <row r="298" spans="1:91" ht="76.5" x14ac:dyDescent="0.2">
      <c r="A298" s="7">
        <f t="shared" ca="1" si="14"/>
        <v>6</v>
      </c>
      <c r="B298" s="7" t="str">
        <f ca="1">OFFSET(ORÇAMENTO!C$15,ROW(B298)-ROW(B$15),0)</f>
        <v>S</v>
      </c>
      <c r="C298" s="7" t="str">
        <f ca="1">OFFSET(ORÇAMENTO!L$15,ROW(C298)-ROW(C$15),0)</f>
        <v>F</v>
      </c>
      <c r="D298" s="116" t="str">
        <f ca="1">OFFSET(ORÇAMENTO!N$15,ROW(D298)-ROW(D$15),0)</f>
        <v>Serviço</v>
      </c>
      <c r="E298" s="117" t="str">
        <f ca="1">OFFSET(ORÇAMENTO!O$15,ROW(E298)-ROW(E$15),0)</f>
        <v>1.7.3.4.5.</v>
      </c>
      <c r="F298" s="163" t="str">
        <f ca="1">OFFSET(ORÇAMENTO!R$15,ROW(F298)-ROW(F$15),0)</f>
        <v>ENCHIMENTO DE BRITA Nº 2 E 3 PARA DRENO, LANÇAMENTO MECANIZADO - BASEADO EM SINAPI (102717)</v>
      </c>
      <c r="G298" s="164" t="str">
        <f ca="1">IF($D298&lt;&gt;"Serviço","",OFFSET(ORÇAMENTO!S$15,ROW(G298)-ROW(G$15),0))</f>
        <v>M3</v>
      </c>
      <c r="H298" s="122" cm="1">
        <f t="array" aca="1" ref="H298" ca="1">IF($D298&lt;&gt;"Serviço",0,IF(ACOMPANHAMENTO="BM",ROUND(OFFSET(ORÇAMENTO!AJ$15,ROW(H298)-ROW(H$15),0),15-13*ORÇAMENTO!$AF$7),SUMPRODUCT(($Q$1:$AI$1=1)*ROUND($Q298:$AI298,15-13*ORÇAMENTO!$AF$7))))</f>
        <v>42.51</v>
      </c>
      <c r="I298" s="468" t="s">
        <v>1353</v>
      </c>
      <c r="J298" s="640" t="str" cm="1">
        <f t="array" aca="1" ref="J298" ca="1">IF(OR(B298&lt;&gt;"S",CÁLCULO.FrentesPreenchidas=0),"",IF(AND(ACOMPANHAMENTO="PLE",AUTOEVENTO="Manual",OR(H298&gt;0,ORÇAMENTO!AC298="QUANT."),OR(K298="",M298=0,N298="")),"►E",IF(AND(ACOMPANHAMENTO="PLE",ORÇAMENTO!AC298="QUANT."),"►Q",IF(AND(ACOMPANHAMENTO="PLE",H298&lt;&gt;SUMPRODUCT(($Q$1:$AI$1=1)*ROUND(Q298:AI298,15))),"►S",IF(AND(COUNTIF($P$11:$AI$11,"▼")=0,H298&gt;0,I298=""),"◄M","")))))</f>
        <v/>
      </c>
      <c r="K298" s="641" t="s">
        <v>1385</v>
      </c>
      <c r="L298" s="165" t="s">
        <v>764</v>
      </c>
      <c r="M298" s="166">
        <f ca="1">IF($D298&lt;&gt;"Serviço","",
          IF(AUTOEVENTO="manual",$A298,
                IF(ISERROR(MATCH($A298,$A$15:OFFSET($A298,-1,0),0)),MAX($M$15:OFFSET(M298,-1,0))+1,
                      INDEX($M$15:OFFSET(M298,-1,0),MATCH($A298,$A$15:OFFSET($A298,-1,0),0)))))</f>
        <v>6</v>
      </c>
      <c r="N298" s="167" t="str">
        <f ca="1">IF($D298&lt;&gt;"Serviço","",
         IF(AUTOEVENTO="Manual",
                IF($A298=0,"&lt;-- defina o número do agrupador",
                       OFFSET(EVENTOS!$D$15,$A298-$A$15,0)),
                OFFSET($F$15,$A298,0)))</f>
        <v>Saneamento</v>
      </c>
      <c r="O298" s="168"/>
      <c r="Q298" s="168"/>
      <c r="R298" s="169"/>
      <c r="S298" s="169"/>
      <c r="T298" s="169"/>
      <c r="U298" s="169">
        <v>42.51</v>
      </c>
      <c r="V298" s="169"/>
      <c r="W298" s="169"/>
      <c r="X298" s="169"/>
      <c r="Y298" s="169"/>
      <c r="Z298" s="170"/>
      <c r="AA298" s="169"/>
      <c r="AB298" s="169"/>
      <c r="AC298" s="169"/>
      <c r="AD298" s="169"/>
      <c r="AE298" s="169"/>
      <c r="AF298" s="169"/>
      <c r="AG298" s="169"/>
      <c r="AH298" s="170"/>
      <c r="AJ298" s="453">
        <f ca="1">IF(AND($D298="Serviço",AJ$12&lt;&gt;0,$H298&gt;0,OR(AUTOEVENTO&lt;&gt;"manual",$M298&lt;&gt;$A$15)),
        IF(Import.TipoArredondamento&lt;&gt;"TransfereGOV",
              ROUND(OFFSET($P298,0,AJ$13),15-13*ORÇAMENTO!$AF$7)/$H298*OFFSET(ORÇAMENTO!$X$15,ROW(AJ298)-ROW(AJ$15),0),
              ROUND(ROUND(OFFSET($P298,0,AJ$13),15-13*ORÇAMENTO!$AF$7)*OFFSET(ORÇAMENTO!$W$15,ROW(AJ298)-ROW(AJ$15),0),15-13*ORÇAMENTO!$AF$11)),
         0)</f>
        <v>0</v>
      </c>
      <c r="AK298" s="453">
        <f ca="1">IF(AND($D298="Serviço",AK$12&lt;&gt;0,$H298&gt;0,OR(AUTOEVENTO&lt;&gt;"manual",$M298&lt;&gt;$A$15)),
        IF(Import.TipoArredondamento&lt;&gt;"TransfereGOV",
              ROUND(OFFSET($P298,0,AK$13),15-13*ORÇAMENTO!$AF$7)/$H298*OFFSET(ORÇAMENTO!$X$15,ROW(AK298)-ROW(AK$15),0),
              ROUND(ROUND(OFFSET($P298,0,AK$13),15-13*ORÇAMENTO!$AF$7)*OFFSET(ORÇAMENTO!$W$15,ROW(AK298)-ROW(AK$15),0),15-13*ORÇAMENTO!$AF$11)),
         0)</f>
        <v>0</v>
      </c>
      <c r="AL298" s="453">
        <f ca="1">IF(AND($D298="Serviço",AL$12&lt;&gt;0,$H298&gt;0,OR(AUTOEVENTO&lt;&gt;"manual",$M298&lt;&gt;$A$15)),
        IF(Import.TipoArredondamento&lt;&gt;"TransfereGOV",
              ROUND(OFFSET($P298,0,AL$13),15-13*ORÇAMENTO!$AF$7)/$H298*OFFSET(ORÇAMENTO!$X$15,ROW(AL298)-ROW(AL$15),0),
              ROUND(ROUND(OFFSET($P298,0,AL$13),15-13*ORÇAMENTO!$AF$7)*OFFSET(ORÇAMENTO!$W$15,ROW(AL298)-ROW(AL$15),0),15-13*ORÇAMENTO!$AF$11)),
         0)</f>
        <v>0</v>
      </c>
      <c r="AM298" s="453">
        <f ca="1">IF(AND($D298="Serviço",AM$12&lt;&gt;0,$H298&gt;0,OR(AUTOEVENTO&lt;&gt;"manual",$M298&lt;&gt;$A$15)),
        IF(Import.TipoArredondamento&lt;&gt;"TransfereGOV",
              ROUND(OFFSET($P298,0,AM$13),15-13*ORÇAMENTO!$AF$7)/$H298*OFFSET(ORÇAMENTO!$X$15,ROW(AM298)-ROW(AM$15),0),
              ROUND(ROUND(OFFSET($P298,0,AM$13),15-13*ORÇAMENTO!$AF$7)*OFFSET(ORÇAMENTO!$W$15,ROW(AM298)-ROW(AM$15),0),15-13*ORÇAMENTO!$AF$11)),
         0)</f>
        <v>0</v>
      </c>
      <c r="AN298" s="453">
        <f ca="1">IF(AND($D298="Serviço",AN$12&lt;&gt;0,$H298&gt;0,OR(AUTOEVENTO&lt;&gt;"manual",$M298&lt;&gt;$A$15)),
        IF(Import.TipoArredondamento&lt;&gt;"TransfereGOV",
              ROUND(OFFSET($P298,0,AN$13),15-13*ORÇAMENTO!$AF$7)/$H298*OFFSET(ORÇAMENTO!$X$15,ROW(AN298)-ROW(AN$15),0),
              ROUND(ROUND(OFFSET($P298,0,AN$13),15-13*ORÇAMENTO!$AF$7)*OFFSET(ORÇAMENTO!$W$15,ROW(AN298)-ROW(AN$15),0),15-13*ORÇAMENTO!$AF$11)),
         0)</f>
        <v>0</v>
      </c>
      <c r="AO298" s="453">
        <f ca="1">IF(AND($D298="Serviço",AO$12&lt;&gt;0,$H298&gt;0,OR(AUTOEVENTO&lt;&gt;"manual",$M298&lt;&gt;$A$15)),
        IF(Import.TipoArredondamento&lt;&gt;"TransfereGOV",
              ROUND(OFFSET($P298,0,AO$13),15-13*ORÇAMENTO!$AF$7)/$H298*OFFSET(ORÇAMENTO!$X$15,ROW(AO298)-ROW(AO$15),0),
              ROUND(ROUND(OFFSET($P298,0,AO$13),15-13*ORÇAMENTO!$AF$7)*OFFSET(ORÇAMENTO!$W$15,ROW(AO298)-ROW(AO$15),0),15-13*ORÇAMENTO!$AF$11)),
         0)</f>
        <v>0</v>
      </c>
      <c r="AP298" s="453">
        <f ca="1">IF(AND($D298="Serviço",AP$12&lt;&gt;0,$H298&gt;0,OR(AUTOEVENTO&lt;&gt;"manual",$M298&lt;&gt;$A$15)),
        IF(Import.TipoArredondamento&lt;&gt;"TransfereGOV",
              ROUND(OFFSET($P298,0,AP$13),15-13*ORÇAMENTO!$AF$7)/$H298*OFFSET(ORÇAMENTO!$X$15,ROW(AP298)-ROW(AP$15),0),
              ROUND(ROUND(OFFSET($P298,0,AP$13),15-13*ORÇAMENTO!$AF$7)*OFFSET(ORÇAMENTO!$W$15,ROW(AP298)-ROW(AP$15),0),15-13*ORÇAMENTO!$AF$11)),
         0)</f>
        <v>0</v>
      </c>
      <c r="AQ298" s="453">
        <f ca="1">IF(AND($D298="Serviço",AQ$12&lt;&gt;0,$H298&gt;0,OR(AUTOEVENTO&lt;&gt;"manual",$M298&lt;&gt;$A$15)),
        IF(Import.TipoArredondamento&lt;&gt;"TransfereGOV",
              ROUND(OFFSET($P298,0,AQ$13),15-13*ORÇAMENTO!$AF$7)/$H298*OFFSET(ORÇAMENTO!$X$15,ROW(AQ298)-ROW(AQ$15),0),
              ROUND(ROUND(OFFSET($P298,0,AQ$13),15-13*ORÇAMENTO!$AF$7)*OFFSET(ORÇAMENTO!$W$15,ROW(AQ298)-ROW(AQ$15),0),15-13*ORÇAMENTO!$AF$11)),
         0)</f>
        <v>0</v>
      </c>
      <c r="AR298" s="453">
        <f ca="1">IF(AND($D298="Serviço",AR$12&lt;&gt;0,$H298&gt;0,OR(AUTOEVENTO&lt;&gt;"manual",$M298&lt;&gt;$A$15)),
        IF(Import.TipoArredondamento&lt;&gt;"TransfereGOV",
              ROUND(OFFSET($P298,0,AR$13),15-13*ORÇAMENTO!$AF$7)/$H298*OFFSET(ORÇAMENTO!$X$15,ROW(AR298)-ROW(AR$15),0),
              ROUND(ROUND(OFFSET($P298,0,AR$13),15-13*ORÇAMENTO!$AF$7)*OFFSET(ORÇAMENTO!$W$15,ROW(AR298)-ROW(AR$15),0),15-13*ORÇAMENTO!$AF$11)),
         0)</f>
        <v>0</v>
      </c>
      <c r="AS298" s="453">
        <f ca="1">IF(AND($D298="Serviço",AS$12&lt;&gt;0,$H298&gt;0,OR(AUTOEVENTO&lt;&gt;"manual",$M298&lt;&gt;$A$15)),
        IF(Import.TipoArredondamento&lt;&gt;"TransfereGOV",
              ROUND(OFFSET($P298,0,AS$13),15-13*ORÇAMENTO!$AF$7)/$H298*OFFSET(ORÇAMENTO!$X$15,ROW(AS298)-ROW(AS$15),0),
              ROUND(ROUND(OFFSET($P298,0,AS$13),15-13*ORÇAMENTO!$AF$7)*OFFSET(ORÇAMENTO!$W$15,ROW(AS298)-ROW(AS$15),0),15-13*ORÇAMENTO!$AF$11)),
         0)</f>
        <v>0</v>
      </c>
      <c r="AT298" s="453">
        <f ca="1">IF(AND($D298="Serviço",AT$12&lt;&gt;0,$H298&gt;0,OR(AUTOEVENTO&lt;&gt;"manual",$M298&lt;&gt;$A$15)),
        IF(Import.TipoArredondamento&lt;&gt;"TransfereGOV",
              ROUND(OFFSET($P298,0,AT$13),15-13*ORÇAMENTO!$AF$7)/$H298*OFFSET(ORÇAMENTO!$X$15,ROW(AT298)-ROW(AT$15),0),
              ROUND(ROUND(OFFSET($P298,0,AT$13),15-13*ORÇAMENTO!$AF$7)*OFFSET(ORÇAMENTO!$W$15,ROW(AT298)-ROW(AT$15),0),15-13*ORÇAMENTO!$AF$11)),
         0)</f>
        <v>0</v>
      </c>
      <c r="AU298" s="453">
        <f ca="1">IF(AND($D298="Serviço",AU$12&lt;&gt;0,$H298&gt;0,OR(AUTOEVENTO&lt;&gt;"manual",$M298&lt;&gt;$A$15)),
        IF(Import.TipoArredondamento&lt;&gt;"TransfereGOV",
              ROUND(OFFSET($P298,0,AU$13),15-13*ORÇAMENTO!$AF$7)/$H298*OFFSET(ORÇAMENTO!$X$15,ROW(AU298)-ROW(AU$15),0),
              ROUND(ROUND(OFFSET($P298,0,AU$13),15-13*ORÇAMENTO!$AF$7)*OFFSET(ORÇAMENTO!$W$15,ROW(AU298)-ROW(AU$15),0),15-13*ORÇAMENTO!$AF$11)),
         0)</f>
        <v>0</v>
      </c>
      <c r="AV298" s="453">
        <f ca="1">IF(AND($D298="Serviço",AV$12&lt;&gt;0,$H298&gt;0,OR(AUTOEVENTO&lt;&gt;"manual",$M298&lt;&gt;$A$15)),
        IF(Import.TipoArredondamento&lt;&gt;"TransfereGOV",
              ROUND(OFFSET($P298,0,AV$13),15-13*ORÇAMENTO!$AF$7)/$H298*OFFSET(ORÇAMENTO!$X$15,ROW(AV298)-ROW(AV$15),0),
              ROUND(ROUND(OFFSET($P298,0,AV$13),15-13*ORÇAMENTO!$AF$7)*OFFSET(ORÇAMENTO!$W$15,ROW(AV298)-ROW(AV$15),0),15-13*ORÇAMENTO!$AF$11)),
         0)</f>
        <v>0</v>
      </c>
      <c r="AW298" s="453">
        <f ca="1">IF(AND($D298="Serviço",AW$12&lt;&gt;0,$H298&gt;0,OR(AUTOEVENTO&lt;&gt;"manual",$M298&lt;&gt;$A$15)),
        IF(Import.TipoArredondamento&lt;&gt;"TransfereGOV",
              ROUND(OFFSET($P298,0,AW$13),15-13*ORÇAMENTO!$AF$7)/$H298*OFFSET(ORÇAMENTO!$X$15,ROW(AW298)-ROW(AW$15),0),
              ROUND(ROUND(OFFSET($P298,0,AW$13),15-13*ORÇAMENTO!$AF$7)*OFFSET(ORÇAMENTO!$W$15,ROW(AW298)-ROW(AW$15),0),15-13*ORÇAMENTO!$AF$11)),
         0)</f>
        <v>0</v>
      </c>
      <c r="AX298" s="453">
        <f ca="1">IF(AND($D298="Serviço",AX$12&lt;&gt;0,$H298&gt;0,OR(AUTOEVENTO&lt;&gt;"manual",$M298&lt;&gt;$A$15)),
        IF(Import.TipoArredondamento&lt;&gt;"TransfereGOV",
              ROUND(OFFSET($P298,0,AX$13),15-13*ORÇAMENTO!$AF$7)/$H298*OFFSET(ORÇAMENTO!$X$15,ROW(AX298)-ROW(AX$15),0),
              ROUND(ROUND(OFFSET($P298,0,AX$13),15-13*ORÇAMENTO!$AF$7)*OFFSET(ORÇAMENTO!$W$15,ROW(AX298)-ROW(AX$15),0),15-13*ORÇAMENTO!$AF$11)),
         0)</f>
        <v>0</v>
      </c>
      <c r="AY298" s="453">
        <f ca="1">IF(AND($D298="Serviço",AY$12&lt;&gt;0,$H298&gt;0,OR(AUTOEVENTO&lt;&gt;"manual",$M298&lt;&gt;$A$15)),
        IF(Import.TipoArredondamento&lt;&gt;"TransfereGOV",
              ROUND(OFFSET($P298,0,AY$13),15-13*ORÇAMENTO!$AF$7)/$H298*OFFSET(ORÇAMENTO!$X$15,ROW(AY298)-ROW(AY$15),0),
              ROUND(ROUND(OFFSET($P298,0,AY$13),15-13*ORÇAMENTO!$AF$7)*OFFSET(ORÇAMENTO!$W$15,ROW(AY298)-ROW(AY$15),0),15-13*ORÇAMENTO!$AF$11)),
         0)</f>
        <v>0</v>
      </c>
      <c r="AZ298" s="453">
        <f ca="1">IF(AND($D298="Serviço",AZ$12&lt;&gt;0,$H298&gt;0,OR(AUTOEVENTO&lt;&gt;"manual",$M298&lt;&gt;$A$15)),
        IF(Import.TipoArredondamento&lt;&gt;"TransfereGOV",
              ROUND(OFFSET($P298,0,AZ$13),15-13*ORÇAMENTO!$AF$7)/$H298*OFFSET(ORÇAMENTO!$X$15,ROW(AZ298)-ROW(AZ$15),0),
              ROUND(ROUND(OFFSET($P298,0,AZ$13),15-13*ORÇAMENTO!$AF$7)*OFFSET(ORÇAMENTO!$W$15,ROW(AZ298)-ROW(AZ$15),0),15-13*ORÇAMENTO!$AF$11)),
         0)</f>
        <v>0</v>
      </c>
      <c r="BA298" s="453">
        <f ca="1">IF(AND($D298="Serviço",BA$12&lt;&gt;0,$H298&gt;0,OR(AUTOEVENTO&lt;&gt;"manual",$M298&lt;&gt;$A$15)),
        IF(Import.TipoArredondamento&lt;&gt;"TransfereGOV",
              ROUND(OFFSET($P298,0,BA$13),15-13*ORÇAMENTO!$AF$7)/$H298*OFFSET(ORÇAMENTO!$X$15,ROW(BA298)-ROW(BA$15),0),
              ROUND(ROUND(OFFSET($P298,0,BA$13),15-13*ORÇAMENTO!$AF$7)*OFFSET(ORÇAMENTO!$W$15,ROW(BA298)-ROW(BA$15),0),15-13*ORÇAMENTO!$AF$11)),
         0)</f>
        <v>0</v>
      </c>
      <c r="BC298" s="171">
        <f ca="1">IF(OR($D298&lt;&gt;"Serviço",AND(AUTOEVENTO="Manual",$M298=$A$15)),0,
         IF(OFFSET(CRONOPLE!$F$15,$M298-$A$15,BC$13)=0,10^12,OFFSET(CRONOPLE!$F$15,$M298-$A$15,BC$13)))</f>
        <v>1</v>
      </c>
      <c r="BD298" s="171">
        <f ca="1">IF(OR($D298&lt;&gt;"Serviço",AND(AUTOEVENTO="Manual",$M298=$A$15)),0,
         IF(OFFSET(CRONOPLE!$F$15,$M298-$A$15,BD$13)=0,10^12,OFFSET(CRONOPLE!$F$15,$M298-$A$15,BD$13)))</f>
        <v>2</v>
      </c>
      <c r="BE298" s="171">
        <f ca="1">IF(OR($D298&lt;&gt;"Serviço",AND(AUTOEVENTO="Manual",$M298=$A$15)),0,
         IF(OFFSET(CRONOPLE!$F$15,$M298-$A$15,BE$13)=0,10^12,OFFSET(CRONOPLE!$F$15,$M298-$A$15,BE$13)))</f>
        <v>3</v>
      </c>
      <c r="BF298" s="171">
        <f ca="1">IF(OR($D298&lt;&gt;"Serviço",AND(AUTOEVENTO="Manual",$M298=$A$15)),0,
         IF(OFFSET(CRONOPLE!$F$15,$M298-$A$15,BF$13)=0,10^12,OFFSET(CRONOPLE!$F$15,$M298-$A$15,BF$13)))</f>
        <v>4</v>
      </c>
      <c r="BG298" s="171">
        <f ca="1">IF(OR($D298&lt;&gt;"Serviço",AND(AUTOEVENTO="Manual",$M298=$A$15)),0,
         IF(OFFSET(CRONOPLE!$F$15,$M298-$A$15,BG$13)=0,10^12,OFFSET(CRONOPLE!$F$15,$M298-$A$15,BG$13)))</f>
        <v>5</v>
      </c>
      <c r="BH298" s="171">
        <f ca="1">IF(OR($D298&lt;&gt;"Serviço",AND(AUTOEVENTO="Manual",$M298=$A$15)),0,
         IF(OFFSET(CRONOPLE!$F$15,$M298-$A$15,BH$13)=0,10^12,OFFSET(CRONOPLE!$F$15,$M298-$A$15,BH$13)))</f>
        <v>6</v>
      </c>
      <c r="BI298" s="171">
        <f ca="1">IF(OR($D298&lt;&gt;"Serviço",AND(AUTOEVENTO="Manual",$M298=$A$15)),0,
         IF(OFFSET(CRONOPLE!$F$15,$M298-$A$15,BI$13)=0,10^12,OFFSET(CRONOPLE!$F$15,$M298-$A$15,BI$13)))</f>
        <v>7</v>
      </c>
      <c r="BJ298" s="171">
        <f ca="1">IF(OR($D298&lt;&gt;"Serviço",AND(AUTOEVENTO="Manual",$M298=$A$15)),0,
         IF(OFFSET(CRONOPLE!$F$15,$M298-$A$15,BJ$13)=0,10^12,OFFSET(CRONOPLE!$F$15,$M298-$A$15,BJ$13)))</f>
        <v>8</v>
      </c>
      <c r="BK298" s="171">
        <f ca="1">IF(OR($D298&lt;&gt;"Serviço",AND(AUTOEVENTO="Manual",$M298=$A$15)),0,
         IF(OFFSET(CRONOPLE!$F$15,$M298-$A$15,BK$13)=0,10^12,OFFSET(CRONOPLE!$F$15,$M298-$A$15,BK$13)))</f>
        <v>9</v>
      </c>
      <c r="BL298" s="171">
        <f ca="1">IF(OR($D298&lt;&gt;"Serviço",AND(AUTOEVENTO="Manual",$M298=$A$15)),0,
         IF(OFFSET(CRONOPLE!$F$15,$M298-$A$15,BL$13)=0,10^12,OFFSET(CRONOPLE!$F$15,$M298-$A$15,BL$13)))</f>
        <v>1000000000000</v>
      </c>
      <c r="BM298" s="171">
        <f ca="1">IF(OR($D298&lt;&gt;"Serviço",AND(AUTOEVENTO="Manual",$M298=$A$15)),0,
         IF(OFFSET(CRONOPLE!$F$15,$M298-$A$15,BM$13)=0,10^12,OFFSET(CRONOPLE!$F$15,$M298-$A$15,BM$13)))</f>
        <v>1000000000000</v>
      </c>
      <c r="BN298" s="171">
        <f ca="1">IF(OR($D298&lt;&gt;"Serviço",AND(AUTOEVENTO="Manual",$M298=$A$15)),0,
         IF(OFFSET(CRONOPLE!$F$15,$M298-$A$15,BN$13)=0,10^12,OFFSET(CRONOPLE!$F$15,$M298-$A$15,BN$13)))</f>
        <v>1000000000000</v>
      </c>
      <c r="BO298" s="171">
        <f ca="1">IF(OR($D298&lt;&gt;"Serviço",AND(AUTOEVENTO="Manual",$M298=$A$15)),0,
         IF(OFFSET(CRONOPLE!$F$15,$M298-$A$15,BO$13)=0,10^12,OFFSET(CRONOPLE!$F$15,$M298-$A$15,BO$13)))</f>
        <v>1000000000000</v>
      </c>
      <c r="BP298" s="171">
        <f ca="1">IF(OR($D298&lt;&gt;"Serviço",AND(AUTOEVENTO="Manual",$M298=$A$15)),0,
         IF(OFFSET(CRONOPLE!$F$15,$M298-$A$15,BP$13)=0,10^12,OFFSET(CRONOPLE!$F$15,$M298-$A$15,BP$13)))</f>
        <v>1000000000000</v>
      </c>
      <c r="BQ298" s="171">
        <f ca="1">IF(OR($D298&lt;&gt;"Serviço",AND(AUTOEVENTO="Manual",$M298=$A$15)),0,
         IF(OFFSET(CRONOPLE!$F$15,$M298-$A$15,BQ$13)=0,10^12,OFFSET(CRONOPLE!$F$15,$M298-$A$15,BQ$13)))</f>
        <v>1000000000000</v>
      </c>
      <c r="BR298" s="171">
        <f ca="1">IF(OR($D298&lt;&gt;"Serviço",AND(AUTOEVENTO="Manual",$M298=$A$15)),0,
         IF(OFFSET(CRONOPLE!$F$15,$M298-$A$15,BR$13)=0,10^12,OFFSET(CRONOPLE!$F$15,$M298-$A$15,BR$13)))</f>
        <v>1000000000000</v>
      </c>
      <c r="BS298" s="171">
        <f ca="1">IF(OR($D298&lt;&gt;"Serviço",AND(AUTOEVENTO="Manual",$M298=$A$15)),0,
         IF(OFFSET(CRONOPLE!$F$15,$M298-$A$15,BS$13)=0,10^12,OFFSET(CRONOPLE!$F$15,$M298-$A$15,BS$13)))</f>
        <v>1000000000000</v>
      </c>
      <c r="BT298" s="171">
        <f ca="1">IF(OR($D298&lt;&gt;"Serviço",AND(AUTOEVENTO="Manual",$M298=$A$15)),0,
         IF(OFFSET(CRONOPLE!$F$15,$M298-$A$15,BT$13)=0,10^12,OFFSET(CRONOPLE!$F$15,$M298-$A$15,BT$13)))</f>
        <v>1000000000000</v>
      </c>
      <c r="BV298" s="172">
        <f ca="1">IF(OR($D298&lt;&gt;"Serviço",AND(AUTOEVENTO="Manual",$M298=$A$15),$M298&gt;(ROW(PLE.lastrow)-ROW(PLE.firstrow))),0,
           IF(OFFSET(PLE!$G$15,$M298-$A$15,BV$13)="",10^12,OFFSET(PLE!$G$15,$M298-$A$15,BV$13)))</f>
        <v>1000000000000</v>
      </c>
      <c r="BW298" s="172">
        <f ca="1">IF(OR($D298&lt;&gt;"Serviço",AND(AUTOEVENTO="Manual",$M298=$A$15),$M298&gt;(ROW(PLE.lastrow)-ROW(PLE.firstrow))),0,
           IF(OFFSET(PLE!$G$15,$M298-$A$15,BW$13)="",10^12,OFFSET(PLE!$G$15,$M298-$A$15,BW$13)))</f>
        <v>1000000000000</v>
      </c>
      <c r="BX298" s="172">
        <f ca="1">IF(OR($D298&lt;&gt;"Serviço",AND(AUTOEVENTO="Manual",$M298=$A$15),$M298&gt;(ROW(PLE.lastrow)-ROW(PLE.firstrow))),0,
           IF(OFFSET(PLE!$G$15,$M298-$A$15,BX$13)="",10^12,OFFSET(PLE!$G$15,$M298-$A$15,BX$13)))</f>
        <v>1000000000000</v>
      </c>
      <c r="BY298" s="172">
        <f ca="1">IF(OR($D298&lt;&gt;"Serviço",AND(AUTOEVENTO="Manual",$M298=$A$15),$M298&gt;(ROW(PLE.lastrow)-ROW(PLE.firstrow))),0,
           IF(OFFSET(PLE!$G$15,$M298-$A$15,BY$13)="",10^12,OFFSET(PLE!$G$15,$M298-$A$15,BY$13)))</f>
        <v>1000000000000</v>
      </c>
      <c r="BZ298" s="172">
        <f ca="1">IF(OR($D298&lt;&gt;"Serviço",AND(AUTOEVENTO="Manual",$M298=$A$15),$M298&gt;(ROW(PLE.lastrow)-ROW(PLE.firstrow))),0,
           IF(OFFSET(PLE!$G$15,$M298-$A$15,BZ$13)="",10^12,OFFSET(PLE!$G$15,$M298-$A$15,BZ$13)))</f>
        <v>1000000000000</v>
      </c>
      <c r="CA298" s="172">
        <f ca="1">IF(OR($D298&lt;&gt;"Serviço",AND(AUTOEVENTO="Manual",$M298=$A$15),$M298&gt;(ROW(PLE.lastrow)-ROW(PLE.firstrow))),0,
           IF(OFFSET(PLE!$G$15,$M298-$A$15,CA$13)="",10^12,OFFSET(PLE!$G$15,$M298-$A$15,CA$13)))</f>
        <v>1000000000000</v>
      </c>
      <c r="CB298" s="172">
        <f ca="1">IF(OR($D298&lt;&gt;"Serviço",AND(AUTOEVENTO="Manual",$M298=$A$15),$M298&gt;(ROW(PLE.lastrow)-ROW(PLE.firstrow))),0,
           IF(OFFSET(PLE!$G$15,$M298-$A$15,CB$13)="",10^12,OFFSET(PLE!$G$15,$M298-$A$15,CB$13)))</f>
        <v>1000000000000</v>
      </c>
      <c r="CC298" s="172">
        <f ca="1">IF(OR($D298&lt;&gt;"Serviço",AND(AUTOEVENTO="Manual",$M298=$A$15),$M298&gt;(ROW(PLE.lastrow)-ROW(PLE.firstrow))),0,
           IF(OFFSET(PLE!$G$15,$M298-$A$15,CC$13)="",10^12,OFFSET(PLE!$G$15,$M298-$A$15,CC$13)))</f>
        <v>1000000000000</v>
      </c>
      <c r="CD298" s="172">
        <f ca="1">IF(OR($D298&lt;&gt;"Serviço",AND(AUTOEVENTO="Manual",$M298=$A$15),$M298&gt;(ROW(PLE.lastrow)-ROW(PLE.firstrow))),0,
           IF(OFFSET(PLE!$G$15,$M298-$A$15,CD$13)="",10^12,OFFSET(PLE!$G$15,$M298-$A$15,CD$13)))</f>
        <v>1000000000000</v>
      </c>
      <c r="CE298" s="172">
        <f ca="1">IF(OR($D298&lt;&gt;"Serviço",AND(AUTOEVENTO="Manual",$M298=$A$15),$M298&gt;(ROW(PLE.lastrow)-ROW(PLE.firstrow))),0,
           IF(OFFSET(PLE!$G$15,$M298-$A$15,CE$13)="",10^12,OFFSET(PLE!$G$15,$M298-$A$15,CE$13)))</f>
        <v>1000000000000</v>
      </c>
      <c r="CF298" s="172">
        <f ca="1">IF(OR($D298&lt;&gt;"Serviço",AND(AUTOEVENTO="Manual",$M298=$A$15),$M298&gt;(ROW(PLE.lastrow)-ROW(PLE.firstrow))),0,
           IF(OFFSET(PLE!$G$15,$M298-$A$15,CF$13)="",10^12,OFFSET(PLE!$G$15,$M298-$A$15,CF$13)))</f>
        <v>1000000000000</v>
      </c>
      <c r="CG298" s="172">
        <f ca="1">IF(OR($D298&lt;&gt;"Serviço",AND(AUTOEVENTO="Manual",$M298=$A$15),$M298&gt;(ROW(PLE.lastrow)-ROW(PLE.firstrow))),0,
           IF(OFFSET(PLE!$G$15,$M298-$A$15,CG$13)="",10^12,OFFSET(PLE!$G$15,$M298-$A$15,CG$13)))</f>
        <v>1000000000000</v>
      </c>
      <c r="CH298" s="172">
        <f ca="1">IF(OR($D298&lt;&gt;"Serviço",AND(AUTOEVENTO="Manual",$M298=$A$15),$M298&gt;(ROW(PLE.lastrow)-ROW(PLE.firstrow))),0,
           IF(OFFSET(PLE!$G$15,$M298-$A$15,CH$13)="",10^12,OFFSET(PLE!$G$15,$M298-$A$15,CH$13)))</f>
        <v>1000000000000</v>
      </c>
      <c r="CI298" s="172">
        <f ca="1">IF(OR($D298&lt;&gt;"Serviço",AND(AUTOEVENTO="Manual",$M298=$A$15),$M298&gt;(ROW(PLE.lastrow)-ROW(PLE.firstrow))),0,
           IF(OFFSET(PLE!$G$15,$M298-$A$15,CI$13)="",10^12,OFFSET(PLE!$G$15,$M298-$A$15,CI$13)))</f>
        <v>1000000000000</v>
      </c>
      <c r="CJ298" s="172">
        <f ca="1">IF(OR($D298&lt;&gt;"Serviço",AND(AUTOEVENTO="Manual",$M298=$A$15),$M298&gt;(ROW(PLE.lastrow)-ROW(PLE.firstrow))),0,
           IF(OFFSET(PLE!$G$15,$M298-$A$15,CJ$13)="",10^12,OFFSET(PLE!$G$15,$M298-$A$15,CJ$13)))</f>
        <v>1000000000000</v>
      </c>
      <c r="CK298" s="172">
        <f ca="1">IF(OR($D298&lt;&gt;"Serviço",AND(AUTOEVENTO="Manual",$M298=$A$15),$M298&gt;(ROW(PLE.lastrow)-ROW(PLE.firstrow))),0,
           IF(OFFSET(PLE!$G$15,$M298-$A$15,CK$13)="",10^12,OFFSET(PLE!$G$15,$M298-$A$15,CK$13)))</f>
        <v>1000000000000</v>
      </c>
      <c r="CL298" s="172">
        <f ca="1">IF(OR($D298&lt;&gt;"Serviço",AND(AUTOEVENTO="Manual",$M298=$A$15),$M298&gt;(ROW(PLE.lastrow)-ROW(PLE.firstrow))),0,
           IF(OFFSET(PLE!$G$15,$M298-$A$15,CL$13)="",10^12,OFFSET(PLE!$G$15,$M298-$A$15,CL$13)))</f>
        <v>1000000000000</v>
      </c>
      <c r="CM298" s="172">
        <f ca="1">IF(OR($D298&lt;&gt;"Serviço",AND(AUTOEVENTO="Manual",$M298=$A$15),$M298&gt;(ROW(PLE.lastrow)-ROW(PLE.firstrow))),0,
           IF(OFFSET(PLE!$G$15,$M298-$A$15,CM$13)="",10^12,OFFSET(PLE!$G$15,$M298-$A$15,CM$13)))</f>
        <v>1000000000000</v>
      </c>
    </row>
    <row r="299" spans="1:91" ht="12.75" x14ac:dyDescent="0.2">
      <c r="A299" s="7">
        <f t="shared" ca="1" si="14"/>
        <v>7</v>
      </c>
      <c r="B299" s="7">
        <f ca="1">OFFSET(ORÇAMENTO!C$15,ROW(B299)-ROW(B$15),0)</f>
        <v>4</v>
      </c>
      <c r="C299" s="7" t="str">
        <f ca="1">OFFSET(ORÇAMENTO!L$15,ROW(C299)-ROW(C$15),0)</f>
        <v>F</v>
      </c>
      <c r="D299" s="116" t="str">
        <f ca="1">OFFSET(ORÇAMENTO!N$15,ROW(D299)-ROW(D$15),0)</f>
        <v>Nível 4</v>
      </c>
      <c r="E299" s="117" t="str">
        <f ca="1">OFFSET(ORÇAMENTO!O$15,ROW(E299)-ROW(E$15),0)</f>
        <v>1.7.3.5.</v>
      </c>
      <c r="F299" s="163" t="str">
        <f ca="1">OFFSET(ORÇAMENTO!R$15,ROW(F299)-ROW(F$15),0)</f>
        <v>CARGA E TRANSPORTE</v>
      </c>
      <c r="G299" s="164" t="str">
        <f ca="1">IF($D299&lt;&gt;"Serviço","",OFFSET(ORÇAMENTO!S$15,ROW(G299)-ROW(G$15),0))</f>
        <v/>
      </c>
      <c r="H299" s="122" cm="1">
        <f t="array" aca="1" ref="H299" ca="1">IF($D299&lt;&gt;"Serviço",0,IF(ACOMPANHAMENTO="BM",ROUND(OFFSET(ORÇAMENTO!AJ$15,ROW(H299)-ROW(H$15),0),15-13*ORÇAMENTO!$AF$7),SUMPRODUCT(($Q$1:$AI$1=1)*ROUND($Q299:$AI299,15-13*ORÇAMENTO!$AF$7))))</f>
        <v>0</v>
      </c>
      <c r="I299" s="468"/>
      <c r="J299" s="640" t="str" cm="1">
        <f t="array" aca="1" ref="J299" ca="1">IF(OR(B299&lt;&gt;"S",CÁLCULO.FrentesPreenchidas=0),"",IF(AND(ACOMPANHAMENTO="PLE",AUTOEVENTO="Manual",OR(H299&gt;0,ORÇAMENTO!AC299="QUANT."),OR(K299="",M299=0,N299="")),"►E",IF(AND(ACOMPANHAMENTO="PLE",ORÇAMENTO!AC299="QUANT."),"►Q",IF(AND(ACOMPANHAMENTO="PLE",H299&lt;&gt;SUMPRODUCT(($Q$1:$AI$1=1)*ROUND(Q299:AI299,15))),"►S",IF(AND(COUNTIF($P$11:$AI$11,"▼")=0,H299&gt;0,I299=""),"◄M","")))))</f>
        <v/>
      </c>
      <c r="K299" s="641" t="s">
        <v>1365</v>
      </c>
      <c r="L299" s="165" t="s">
        <v>764</v>
      </c>
      <c r="M299" s="166" t="str">
        <f ca="1">IF($D299&lt;&gt;"Serviço","",
          IF(AUTOEVENTO="manual",$A299,
                IF(ISERROR(MATCH($A299,$A$15:OFFSET($A299,-1,0),0)),MAX($M$15:OFFSET(M299,-1,0))+1,
                      INDEX($M$15:OFFSET(M299,-1,0),MATCH($A299,$A$15:OFFSET($A299,-1,0),0)))))</f>
        <v/>
      </c>
      <c r="N299" s="167" t="str">
        <f ca="1">IF($D299&lt;&gt;"Serviço","",
         IF(AUTOEVENTO="Manual",
                IF($A299=0,"&lt;-- defina o número do agrupador",
                       OFFSET(EVENTOS!$D$15,$A299-$A$15,0)),
                OFFSET($F$15,$A299,0)))</f>
        <v/>
      </c>
      <c r="O299" s="168"/>
      <c r="Q299" s="168"/>
      <c r="R299" s="169"/>
      <c r="S299" s="169"/>
      <c r="T299" s="169"/>
      <c r="U299" s="169"/>
      <c r="V299" s="169"/>
      <c r="W299" s="169"/>
      <c r="X299" s="169"/>
      <c r="Y299" s="169"/>
      <c r="Z299" s="170"/>
      <c r="AA299" s="169"/>
      <c r="AB299" s="169"/>
      <c r="AC299" s="169"/>
      <c r="AD299" s="169"/>
      <c r="AE299" s="169"/>
      <c r="AF299" s="169"/>
      <c r="AG299" s="169"/>
      <c r="AH299" s="170"/>
      <c r="AJ299" s="453">
        <f ca="1">IF(AND($D299="Serviço",AJ$12&lt;&gt;0,$H299&gt;0,OR(AUTOEVENTO&lt;&gt;"manual",$M299&lt;&gt;$A$15)),
        IF(Import.TipoArredondamento&lt;&gt;"TransfereGOV",
              ROUND(OFFSET($P299,0,AJ$13),15-13*ORÇAMENTO!$AF$7)/$H299*OFFSET(ORÇAMENTO!$X$15,ROW(AJ299)-ROW(AJ$15),0),
              ROUND(ROUND(OFFSET($P299,0,AJ$13),15-13*ORÇAMENTO!$AF$7)*OFFSET(ORÇAMENTO!$W$15,ROW(AJ299)-ROW(AJ$15),0),15-13*ORÇAMENTO!$AF$11)),
         0)</f>
        <v>0</v>
      </c>
      <c r="AK299" s="453">
        <f ca="1">IF(AND($D299="Serviço",AK$12&lt;&gt;0,$H299&gt;0,OR(AUTOEVENTO&lt;&gt;"manual",$M299&lt;&gt;$A$15)),
        IF(Import.TipoArredondamento&lt;&gt;"TransfereGOV",
              ROUND(OFFSET($P299,0,AK$13),15-13*ORÇAMENTO!$AF$7)/$H299*OFFSET(ORÇAMENTO!$X$15,ROW(AK299)-ROW(AK$15),0),
              ROUND(ROUND(OFFSET($P299,0,AK$13),15-13*ORÇAMENTO!$AF$7)*OFFSET(ORÇAMENTO!$W$15,ROW(AK299)-ROW(AK$15),0),15-13*ORÇAMENTO!$AF$11)),
         0)</f>
        <v>0</v>
      </c>
      <c r="AL299" s="453">
        <f ca="1">IF(AND($D299="Serviço",AL$12&lt;&gt;0,$H299&gt;0,OR(AUTOEVENTO&lt;&gt;"manual",$M299&lt;&gt;$A$15)),
        IF(Import.TipoArredondamento&lt;&gt;"TransfereGOV",
              ROUND(OFFSET($P299,0,AL$13),15-13*ORÇAMENTO!$AF$7)/$H299*OFFSET(ORÇAMENTO!$X$15,ROW(AL299)-ROW(AL$15),0),
              ROUND(ROUND(OFFSET($P299,0,AL$13),15-13*ORÇAMENTO!$AF$7)*OFFSET(ORÇAMENTO!$W$15,ROW(AL299)-ROW(AL$15),0),15-13*ORÇAMENTO!$AF$11)),
         0)</f>
        <v>0</v>
      </c>
      <c r="AM299" s="453">
        <f ca="1">IF(AND($D299="Serviço",AM$12&lt;&gt;0,$H299&gt;0,OR(AUTOEVENTO&lt;&gt;"manual",$M299&lt;&gt;$A$15)),
        IF(Import.TipoArredondamento&lt;&gt;"TransfereGOV",
              ROUND(OFFSET($P299,0,AM$13),15-13*ORÇAMENTO!$AF$7)/$H299*OFFSET(ORÇAMENTO!$X$15,ROW(AM299)-ROW(AM$15),0),
              ROUND(ROUND(OFFSET($P299,0,AM$13),15-13*ORÇAMENTO!$AF$7)*OFFSET(ORÇAMENTO!$W$15,ROW(AM299)-ROW(AM$15),0),15-13*ORÇAMENTO!$AF$11)),
         0)</f>
        <v>0</v>
      </c>
      <c r="AN299" s="453">
        <f ca="1">IF(AND($D299="Serviço",AN$12&lt;&gt;0,$H299&gt;0,OR(AUTOEVENTO&lt;&gt;"manual",$M299&lt;&gt;$A$15)),
        IF(Import.TipoArredondamento&lt;&gt;"TransfereGOV",
              ROUND(OFFSET($P299,0,AN$13),15-13*ORÇAMENTO!$AF$7)/$H299*OFFSET(ORÇAMENTO!$X$15,ROW(AN299)-ROW(AN$15),0),
              ROUND(ROUND(OFFSET($P299,0,AN$13),15-13*ORÇAMENTO!$AF$7)*OFFSET(ORÇAMENTO!$W$15,ROW(AN299)-ROW(AN$15),0),15-13*ORÇAMENTO!$AF$11)),
         0)</f>
        <v>0</v>
      </c>
      <c r="AO299" s="453">
        <f ca="1">IF(AND($D299="Serviço",AO$12&lt;&gt;0,$H299&gt;0,OR(AUTOEVENTO&lt;&gt;"manual",$M299&lt;&gt;$A$15)),
        IF(Import.TipoArredondamento&lt;&gt;"TransfereGOV",
              ROUND(OFFSET($P299,0,AO$13),15-13*ORÇAMENTO!$AF$7)/$H299*OFFSET(ORÇAMENTO!$X$15,ROW(AO299)-ROW(AO$15),0),
              ROUND(ROUND(OFFSET($P299,0,AO$13),15-13*ORÇAMENTO!$AF$7)*OFFSET(ORÇAMENTO!$W$15,ROW(AO299)-ROW(AO$15),0),15-13*ORÇAMENTO!$AF$11)),
         0)</f>
        <v>0</v>
      </c>
      <c r="AP299" s="453">
        <f ca="1">IF(AND($D299="Serviço",AP$12&lt;&gt;0,$H299&gt;0,OR(AUTOEVENTO&lt;&gt;"manual",$M299&lt;&gt;$A$15)),
        IF(Import.TipoArredondamento&lt;&gt;"TransfereGOV",
              ROUND(OFFSET($P299,0,AP$13),15-13*ORÇAMENTO!$AF$7)/$H299*OFFSET(ORÇAMENTO!$X$15,ROW(AP299)-ROW(AP$15),0),
              ROUND(ROUND(OFFSET($P299,0,AP$13),15-13*ORÇAMENTO!$AF$7)*OFFSET(ORÇAMENTO!$W$15,ROW(AP299)-ROW(AP$15),0),15-13*ORÇAMENTO!$AF$11)),
         0)</f>
        <v>0</v>
      </c>
      <c r="AQ299" s="453">
        <f ca="1">IF(AND($D299="Serviço",AQ$12&lt;&gt;0,$H299&gt;0,OR(AUTOEVENTO&lt;&gt;"manual",$M299&lt;&gt;$A$15)),
        IF(Import.TipoArredondamento&lt;&gt;"TransfereGOV",
              ROUND(OFFSET($P299,0,AQ$13),15-13*ORÇAMENTO!$AF$7)/$H299*OFFSET(ORÇAMENTO!$X$15,ROW(AQ299)-ROW(AQ$15),0),
              ROUND(ROUND(OFFSET($P299,0,AQ$13),15-13*ORÇAMENTO!$AF$7)*OFFSET(ORÇAMENTO!$W$15,ROW(AQ299)-ROW(AQ$15),0),15-13*ORÇAMENTO!$AF$11)),
         0)</f>
        <v>0</v>
      </c>
      <c r="AR299" s="453">
        <f ca="1">IF(AND($D299="Serviço",AR$12&lt;&gt;0,$H299&gt;0,OR(AUTOEVENTO&lt;&gt;"manual",$M299&lt;&gt;$A$15)),
        IF(Import.TipoArredondamento&lt;&gt;"TransfereGOV",
              ROUND(OFFSET($P299,0,AR$13),15-13*ORÇAMENTO!$AF$7)/$H299*OFFSET(ORÇAMENTO!$X$15,ROW(AR299)-ROW(AR$15),0),
              ROUND(ROUND(OFFSET($P299,0,AR$13),15-13*ORÇAMENTO!$AF$7)*OFFSET(ORÇAMENTO!$W$15,ROW(AR299)-ROW(AR$15),0),15-13*ORÇAMENTO!$AF$11)),
         0)</f>
        <v>0</v>
      </c>
      <c r="AS299" s="453">
        <f ca="1">IF(AND($D299="Serviço",AS$12&lt;&gt;0,$H299&gt;0,OR(AUTOEVENTO&lt;&gt;"manual",$M299&lt;&gt;$A$15)),
        IF(Import.TipoArredondamento&lt;&gt;"TransfereGOV",
              ROUND(OFFSET($P299,0,AS$13),15-13*ORÇAMENTO!$AF$7)/$H299*OFFSET(ORÇAMENTO!$X$15,ROW(AS299)-ROW(AS$15),0),
              ROUND(ROUND(OFFSET($P299,0,AS$13),15-13*ORÇAMENTO!$AF$7)*OFFSET(ORÇAMENTO!$W$15,ROW(AS299)-ROW(AS$15),0),15-13*ORÇAMENTO!$AF$11)),
         0)</f>
        <v>0</v>
      </c>
      <c r="AT299" s="453">
        <f ca="1">IF(AND($D299="Serviço",AT$12&lt;&gt;0,$H299&gt;0,OR(AUTOEVENTO&lt;&gt;"manual",$M299&lt;&gt;$A$15)),
        IF(Import.TipoArredondamento&lt;&gt;"TransfereGOV",
              ROUND(OFFSET($P299,0,AT$13),15-13*ORÇAMENTO!$AF$7)/$H299*OFFSET(ORÇAMENTO!$X$15,ROW(AT299)-ROW(AT$15),0),
              ROUND(ROUND(OFFSET($P299,0,AT$13),15-13*ORÇAMENTO!$AF$7)*OFFSET(ORÇAMENTO!$W$15,ROW(AT299)-ROW(AT$15),0),15-13*ORÇAMENTO!$AF$11)),
         0)</f>
        <v>0</v>
      </c>
      <c r="AU299" s="453">
        <f ca="1">IF(AND($D299="Serviço",AU$12&lt;&gt;0,$H299&gt;0,OR(AUTOEVENTO&lt;&gt;"manual",$M299&lt;&gt;$A$15)),
        IF(Import.TipoArredondamento&lt;&gt;"TransfereGOV",
              ROUND(OFFSET($P299,0,AU$13),15-13*ORÇAMENTO!$AF$7)/$H299*OFFSET(ORÇAMENTO!$X$15,ROW(AU299)-ROW(AU$15),0),
              ROUND(ROUND(OFFSET($P299,0,AU$13),15-13*ORÇAMENTO!$AF$7)*OFFSET(ORÇAMENTO!$W$15,ROW(AU299)-ROW(AU$15),0),15-13*ORÇAMENTO!$AF$11)),
         0)</f>
        <v>0</v>
      </c>
      <c r="AV299" s="453">
        <f ca="1">IF(AND($D299="Serviço",AV$12&lt;&gt;0,$H299&gt;0,OR(AUTOEVENTO&lt;&gt;"manual",$M299&lt;&gt;$A$15)),
        IF(Import.TipoArredondamento&lt;&gt;"TransfereGOV",
              ROUND(OFFSET($P299,0,AV$13),15-13*ORÇAMENTO!$AF$7)/$H299*OFFSET(ORÇAMENTO!$X$15,ROW(AV299)-ROW(AV$15),0),
              ROUND(ROUND(OFFSET($P299,0,AV$13),15-13*ORÇAMENTO!$AF$7)*OFFSET(ORÇAMENTO!$W$15,ROW(AV299)-ROW(AV$15),0),15-13*ORÇAMENTO!$AF$11)),
         0)</f>
        <v>0</v>
      </c>
      <c r="AW299" s="453">
        <f ca="1">IF(AND($D299="Serviço",AW$12&lt;&gt;0,$H299&gt;0,OR(AUTOEVENTO&lt;&gt;"manual",$M299&lt;&gt;$A$15)),
        IF(Import.TipoArredondamento&lt;&gt;"TransfereGOV",
              ROUND(OFFSET($P299,0,AW$13),15-13*ORÇAMENTO!$AF$7)/$H299*OFFSET(ORÇAMENTO!$X$15,ROW(AW299)-ROW(AW$15),0),
              ROUND(ROUND(OFFSET($P299,0,AW$13),15-13*ORÇAMENTO!$AF$7)*OFFSET(ORÇAMENTO!$W$15,ROW(AW299)-ROW(AW$15),0),15-13*ORÇAMENTO!$AF$11)),
         0)</f>
        <v>0</v>
      </c>
      <c r="AX299" s="453">
        <f ca="1">IF(AND($D299="Serviço",AX$12&lt;&gt;0,$H299&gt;0,OR(AUTOEVENTO&lt;&gt;"manual",$M299&lt;&gt;$A$15)),
        IF(Import.TipoArredondamento&lt;&gt;"TransfereGOV",
              ROUND(OFFSET($P299,0,AX$13),15-13*ORÇAMENTO!$AF$7)/$H299*OFFSET(ORÇAMENTO!$X$15,ROW(AX299)-ROW(AX$15),0),
              ROUND(ROUND(OFFSET($P299,0,AX$13),15-13*ORÇAMENTO!$AF$7)*OFFSET(ORÇAMENTO!$W$15,ROW(AX299)-ROW(AX$15),0),15-13*ORÇAMENTO!$AF$11)),
         0)</f>
        <v>0</v>
      </c>
      <c r="AY299" s="453">
        <f ca="1">IF(AND($D299="Serviço",AY$12&lt;&gt;0,$H299&gt;0,OR(AUTOEVENTO&lt;&gt;"manual",$M299&lt;&gt;$A$15)),
        IF(Import.TipoArredondamento&lt;&gt;"TransfereGOV",
              ROUND(OFFSET($P299,0,AY$13),15-13*ORÇAMENTO!$AF$7)/$H299*OFFSET(ORÇAMENTO!$X$15,ROW(AY299)-ROW(AY$15),0),
              ROUND(ROUND(OFFSET($P299,0,AY$13),15-13*ORÇAMENTO!$AF$7)*OFFSET(ORÇAMENTO!$W$15,ROW(AY299)-ROW(AY$15),0),15-13*ORÇAMENTO!$AF$11)),
         0)</f>
        <v>0</v>
      </c>
      <c r="AZ299" s="453">
        <f ca="1">IF(AND($D299="Serviço",AZ$12&lt;&gt;0,$H299&gt;0,OR(AUTOEVENTO&lt;&gt;"manual",$M299&lt;&gt;$A$15)),
        IF(Import.TipoArredondamento&lt;&gt;"TransfereGOV",
              ROUND(OFFSET($P299,0,AZ$13),15-13*ORÇAMENTO!$AF$7)/$H299*OFFSET(ORÇAMENTO!$X$15,ROW(AZ299)-ROW(AZ$15),0),
              ROUND(ROUND(OFFSET($P299,0,AZ$13),15-13*ORÇAMENTO!$AF$7)*OFFSET(ORÇAMENTO!$W$15,ROW(AZ299)-ROW(AZ$15),0),15-13*ORÇAMENTO!$AF$11)),
         0)</f>
        <v>0</v>
      </c>
      <c r="BA299" s="453">
        <f ca="1">IF(AND($D299="Serviço",BA$12&lt;&gt;0,$H299&gt;0,OR(AUTOEVENTO&lt;&gt;"manual",$M299&lt;&gt;$A$15)),
        IF(Import.TipoArredondamento&lt;&gt;"TransfereGOV",
              ROUND(OFFSET($P299,0,BA$13),15-13*ORÇAMENTO!$AF$7)/$H299*OFFSET(ORÇAMENTO!$X$15,ROW(BA299)-ROW(BA$15),0),
              ROUND(ROUND(OFFSET($P299,0,BA$13),15-13*ORÇAMENTO!$AF$7)*OFFSET(ORÇAMENTO!$W$15,ROW(BA299)-ROW(BA$15),0),15-13*ORÇAMENTO!$AF$11)),
         0)</f>
        <v>0</v>
      </c>
      <c r="BC299" s="171">
        <f ca="1">IF(OR($D299&lt;&gt;"Serviço",AND(AUTOEVENTO="Manual",$M299=$A$15)),0,
         IF(OFFSET(CRONOPLE!$F$15,$M299-$A$15,BC$13)=0,10^12,OFFSET(CRONOPLE!$F$15,$M299-$A$15,BC$13)))</f>
        <v>0</v>
      </c>
      <c r="BD299" s="171">
        <f ca="1">IF(OR($D299&lt;&gt;"Serviço",AND(AUTOEVENTO="Manual",$M299=$A$15)),0,
         IF(OFFSET(CRONOPLE!$F$15,$M299-$A$15,BD$13)=0,10^12,OFFSET(CRONOPLE!$F$15,$M299-$A$15,BD$13)))</f>
        <v>0</v>
      </c>
      <c r="BE299" s="171">
        <f ca="1">IF(OR($D299&lt;&gt;"Serviço",AND(AUTOEVENTO="Manual",$M299=$A$15)),0,
         IF(OFFSET(CRONOPLE!$F$15,$M299-$A$15,BE$13)=0,10^12,OFFSET(CRONOPLE!$F$15,$M299-$A$15,BE$13)))</f>
        <v>0</v>
      </c>
      <c r="BF299" s="171">
        <f ca="1">IF(OR($D299&lt;&gt;"Serviço",AND(AUTOEVENTO="Manual",$M299=$A$15)),0,
         IF(OFFSET(CRONOPLE!$F$15,$M299-$A$15,BF$13)=0,10^12,OFFSET(CRONOPLE!$F$15,$M299-$A$15,BF$13)))</f>
        <v>0</v>
      </c>
      <c r="BG299" s="171">
        <f ca="1">IF(OR($D299&lt;&gt;"Serviço",AND(AUTOEVENTO="Manual",$M299=$A$15)),0,
         IF(OFFSET(CRONOPLE!$F$15,$M299-$A$15,BG$13)=0,10^12,OFFSET(CRONOPLE!$F$15,$M299-$A$15,BG$13)))</f>
        <v>0</v>
      </c>
      <c r="BH299" s="171">
        <f ca="1">IF(OR($D299&lt;&gt;"Serviço",AND(AUTOEVENTO="Manual",$M299=$A$15)),0,
         IF(OFFSET(CRONOPLE!$F$15,$M299-$A$15,BH$13)=0,10^12,OFFSET(CRONOPLE!$F$15,$M299-$A$15,BH$13)))</f>
        <v>0</v>
      </c>
      <c r="BI299" s="171">
        <f ca="1">IF(OR($D299&lt;&gt;"Serviço",AND(AUTOEVENTO="Manual",$M299=$A$15)),0,
         IF(OFFSET(CRONOPLE!$F$15,$M299-$A$15,BI$13)=0,10^12,OFFSET(CRONOPLE!$F$15,$M299-$A$15,BI$13)))</f>
        <v>0</v>
      </c>
      <c r="BJ299" s="171">
        <f ca="1">IF(OR($D299&lt;&gt;"Serviço",AND(AUTOEVENTO="Manual",$M299=$A$15)),0,
         IF(OFFSET(CRONOPLE!$F$15,$M299-$A$15,BJ$13)=0,10^12,OFFSET(CRONOPLE!$F$15,$M299-$A$15,BJ$13)))</f>
        <v>0</v>
      </c>
      <c r="BK299" s="171">
        <f ca="1">IF(OR($D299&lt;&gt;"Serviço",AND(AUTOEVENTO="Manual",$M299=$A$15)),0,
         IF(OFFSET(CRONOPLE!$F$15,$M299-$A$15,BK$13)=0,10^12,OFFSET(CRONOPLE!$F$15,$M299-$A$15,BK$13)))</f>
        <v>0</v>
      </c>
      <c r="BL299" s="171">
        <f ca="1">IF(OR($D299&lt;&gt;"Serviço",AND(AUTOEVENTO="Manual",$M299=$A$15)),0,
         IF(OFFSET(CRONOPLE!$F$15,$M299-$A$15,BL$13)=0,10^12,OFFSET(CRONOPLE!$F$15,$M299-$A$15,BL$13)))</f>
        <v>0</v>
      </c>
      <c r="BM299" s="171">
        <f ca="1">IF(OR($D299&lt;&gt;"Serviço",AND(AUTOEVENTO="Manual",$M299=$A$15)),0,
         IF(OFFSET(CRONOPLE!$F$15,$M299-$A$15,BM$13)=0,10^12,OFFSET(CRONOPLE!$F$15,$M299-$A$15,BM$13)))</f>
        <v>0</v>
      </c>
      <c r="BN299" s="171">
        <f ca="1">IF(OR($D299&lt;&gt;"Serviço",AND(AUTOEVENTO="Manual",$M299=$A$15)),0,
         IF(OFFSET(CRONOPLE!$F$15,$M299-$A$15,BN$13)=0,10^12,OFFSET(CRONOPLE!$F$15,$M299-$A$15,BN$13)))</f>
        <v>0</v>
      </c>
      <c r="BO299" s="171">
        <f ca="1">IF(OR($D299&lt;&gt;"Serviço",AND(AUTOEVENTO="Manual",$M299=$A$15)),0,
         IF(OFFSET(CRONOPLE!$F$15,$M299-$A$15,BO$13)=0,10^12,OFFSET(CRONOPLE!$F$15,$M299-$A$15,BO$13)))</f>
        <v>0</v>
      </c>
      <c r="BP299" s="171">
        <f ca="1">IF(OR($D299&lt;&gt;"Serviço",AND(AUTOEVENTO="Manual",$M299=$A$15)),0,
         IF(OFFSET(CRONOPLE!$F$15,$M299-$A$15,BP$13)=0,10^12,OFFSET(CRONOPLE!$F$15,$M299-$A$15,BP$13)))</f>
        <v>0</v>
      </c>
      <c r="BQ299" s="171">
        <f ca="1">IF(OR($D299&lt;&gt;"Serviço",AND(AUTOEVENTO="Manual",$M299=$A$15)),0,
         IF(OFFSET(CRONOPLE!$F$15,$M299-$A$15,BQ$13)=0,10^12,OFFSET(CRONOPLE!$F$15,$M299-$A$15,BQ$13)))</f>
        <v>0</v>
      </c>
      <c r="BR299" s="171">
        <f ca="1">IF(OR($D299&lt;&gt;"Serviço",AND(AUTOEVENTO="Manual",$M299=$A$15)),0,
         IF(OFFSET(CRONOPLE!$F$15,$M299-$A$15,BR$13)=0,10^12,OFFSET(CRONOPLE!$F$15,$M299-$A$15,BR$13)))</f>
        <v>0</v>
      </c>
      <c r="BS299" s="171">
        <f ca="1">IF(OR($D299&lt;&gt;"Serviço",AND(AUTOEVENTO="Manual",$M299=$A$15)),0,
         IF(OFFSET(CRONOPLE!$F$15,$M299-$A$15,BS$13)=0,10^12,OFFSET(CRONOPLE!$F$15,$M299-$A$15,BS$13)))</f>
        <v>0</v>
      </c>
      <c r="BT299" s="171">
        <f ca="1">IF(OR($D299&lt;&gt;"Serviço",AND(AUTOEVENTO="Manual",$M299=$A$15)),0,
         IF(OFFSET(CRONOPLE!$F$15,$M299-$A$15,BT$13)=0,10^12,OFFSET(CRONOPLE!$F$15,$M299-$A$15,BT$13)))</f>
        <v>0</v>
      </c>
      <c r="BV299" s="172">
        <f ca="1">IF(OR($D299&lt;&gt;"Serviço",AND(AUTOEVENTO="Manual",$M299=$A$15),$M299&gt;(ROW(PLE.lastrow)-ROW(PLE.firstrow))),0,
           IF(OFFSET(PLE!$G$15,$M299-$A$15,BV$13)="",10^12,OFFSET(PLE!$G$15,$M299-$A$15,BV$13)))</f>
        <v>0</v>
      </c>
      <c r="BW299" s="172">
        <f ca="1">IF(OR($D299&lt;&gt;"Serviço",AND(AUTOEVENTO="Manual",$M299=$A$15),$M299&gt;(ROW(PLE.lastrow)-ROW(PLE.firstrow))),0,
           IF(OFFSET(PLE!$G$15,$M299-$A$15,BW$13)="",10^12,OFFSET(PLE!$G$15,$M299-$A$15,BW$13)))</f>
        <v>0</v>
      </c>
      <c r="BX299" s="172">
        <f ca="1">IF(OR($D299&lt;&gt;"Serviço",AND(AUTOEVENTO="Manual",$M299=$A$15),$M299&gt;(ROW(PLE.lastrow)-ROW(PLE.firstrow))),0,
           IF(OFFSET(PLE!$G$15,$M299-$A$15,BX$13)="",10^12,OFFSET(PLE!$G$15,$M299-$A$15,BX$13)))</f>
        <v>0</v>
      </c>
      <c r="BY299" s="172">
        <f ca="1">IF(OR($D299&lt;&gt;"Serviço",AND(AUTOEVENTO="Manual",$M299=$A$15),$M299&gt;(ROW(PLE.lastrow)-ROW(PLE.firstrow))),0,
           IF(OFFSET(PLE!$G$15,$M299-$A$15,BY$13)="",10^12,OFFSET(PLE!$G$15,$M299-$A$15,BY$13)))</f>
        <v>0</v>
      </c>
      <c r="BZ299" s="172">
        <f ca="1">IF(OR($D299&lt;&gt;"Serviço",AND(AUTOEVENTO="Manual",$M299=$A$15),$M299&gt;(ROW(PLE.lastrow)-ROW(PLE.firstrow))),0,
           IF(OFFSET(PLE!$G$15,$M299-$A$15,BZ$13)="",10^12,OFFSET(PLE!$G$15,$M299-$A$15,BZ$13)))</f>
        <v>0</v>
      </c>
      <c r="CA299" s="172">
        <f ca="1">IF(OR($D299&lt;&gt;"Serviço",AND(AUTOEVENTO="Manual",$M299=$A$15),$M299&gt;(ROW(PLE.lastrow)-ROW(PLE.firstrow))),0,
           IF(OFFSET(PLE!$G$15,$M299-$A$15,CA$13)="",10^12,OFFSET(PLE!$G$15,$M299-$A$15,CA$13)))</f>
        <v>0</v>
      </c>
      <c r="CB299" s="172">
        <f ca="1">IF(OR($D299&lt;&gt;"Serviço",AND(AUTOEVENTO="Manual",$M299=$A$15),$M299&gt;(ROW(PLE.lastrow)-ROW(PLE.firstrow))),0,
           IF(OFFSET(PLE!$G$15,$M299-$A$15,CB$13)="",10^12,OFFSET(PLE!$G$15,$M299-$A$15,CB$13)))</f>
        <v>0</v>
      </c>
      <c r="CC299" s="172">
        <f ca="1">IF(OR($D299&lt;&gt;"Serviço",AND(AUTOEVENTO="Manual",$M299=$A$15),$M299&gt;(ROW(PLE.lastrow)-ROW(PLE.firstrow))),0,
           IF(OFFSET(PLE!$G$15,$M299-$A$15,CC$13)="",10^12,OFFSET(PLE!$G$15,$M299-$A$15,CC$13)))</f>
        <v>0</v>
      </c>
      <c r="CD299" s="172">
        <f ca="1">IF(OR($D299&lt;&gt;"Serviço",AND(AUTOEVENTO="Manual",$M299=$A$15),$M299&gt;(ROW(PLE.lastrow)-ROW(PLE.firstrow))),0,
           IF(OFFSET(PLE!$G$15,$M299-$A$15,CD$13)="",10^12,OFFSET(PLE!$G$15,$M299-$A$15,CD$13)))</f>
        <v>0</v>
      </c>
      <c r="CE299" s="172">
        <f ca="1">IF(OR($D299&lt;&gt;"Serviço",AND(AUTOEVENTO="Manual",$M299=$A$15),$M299&gt;(ROW(PLE.lastrow)-ROW(PLE.firstrow))),0,
           IF(OFFSET(PLE!$G$15,$M299-$A$15,CE$13)="",10^12,OFFSET(PLE!$G$15,$M299-$A$15,CE$13)))</f>
        <v>0</v>
      </c>
      <c r="CF299" s="172">
        <f ca="1">IF(OR($D299&lt;&gt;"Serviço",AND(AUTOEVENTO="Manual",$M299=$A$15),$M299&gt;(ROW(PLE.lastrow)-ROW(PLE.firstrow))),0,
           IF(OFFSET(PLE!$G$15,$M299-$A$15,CF$13)="",10^12,OFFSET(PLE!$G$15,$M299-$A$15,CF$13)))</f>
        <v>0</v>
      </c>
      <c r="CG299" s="172">
        <f ca="1">IF(OR($D299&lt;&gt;"Serviço",AND(AUTOEVENTO="Manual",$M299=$A$15),$M299&gt;(ROW(PLE.lastrow)-ROW(PLE.firstrow))),0,
           IF(OFFSET(PLE!$G$15,$M299-$A$15,CG$13)="",10^12,OFFSET(PLE!$G$15,$M299-$A$15,CG$13)))</f>
        <v>0</v>
      </c>
      <c r="CH299" s="172">
        <f ca="1">IF(OR($D299&lt;&gt;"Serviço",AND(AUTOEVENTO="Manual",$M299=$A$15),$M299&gt;(ROW(PLE.lastrow)-ROW(PLE.firstrow))),0,
           IF(OFFSET(PLE!$G$15,$M299-$A$15,CH$13)="",10^12,OFFSET(PLE!$G$15,$M299-$A$15,CH$13)))</f>
        <v>0</v>
      </c>
      <c r="CI299" s="172">
        <f ca="1">IF(OR($D299&lt;&gt;"Serviço",AND(AUTOEVENTO="Manual",$M299=$A$15),$M299&gt;(ROW(PLE.lastrow)-ROW(PLE.firstrow))),0,
           IF(OFFSET(PLE!$G$15,$M299-$A$15,CI$13)="",10^12,OFFSET(PLE!$G$15,$M299-$A$15,CI$13)))</f>
        <v>0</v>
      </c>
      <c r="CJ299" s="172">
        <f ca="1">IF(OR($D299&lt;&gt;"Serviço",AND(AUTOEVENTO="Manual",$M299=$A$15),$M299&gt;(ROW(PLE.lastrow)-ROW(PLE.firstrow))),0,
           IF(OFFSET(PLE!$G$15,$M299-$A$15,CJ$13)="",10^12,OFFSET(PLE!$G$15,$M299-$A$15,CJ$13)))</f>
        <v>0</v>
      </c>
      <c r="CK299" s="172">
        <f ca="1">IF(OR($D299&lt;&gt;"Serviço",AND(AUTOEVENTO="Manual",$M299=$A$15),$M299&gt;(ROW(PLE.lastrow)-ROW(PLE.firstrow))),0,
           IF(OFFSET(PLE!$G$15,$M299-$A$15,CK$13)="",10^12,OFFSET(PLE!$G$15,$M299-$A$15,CK$13)))</f>
        <v>0</v>
      </c>
      <c r="CL299" s="172">
        <f ca="1">IF(OR($D299&lt;&gt;"Serviço",AND(AUTOEVENTO="Manual",$M299=$A$15),$M299&gt;(ROW(PLE.lastrow)-ROW(PLE.firstrow))),0,
           IF(OFFSET(PLE!$G$15,$M299-$A$15,CL$13)="",10^12,OFFSET(PLE!$G$15,$M299-$A$15,CL$13)))</f>
        <v>0</v>
      </c>
      <c r="CM299" s="172">
        <f ca="1">IF(OR($D299&lt;&gt;"Serviço",AND(AUTOEVENTO="Manual",$M299=$A$15),$M299&gt;(ROW(PLE.lastrow)-ROW(PLE.firstrow))),0,
           IF(OFFSET(PLE!$G$15,$M299-$A$15,CM$13)="",10^12,OFFSET(PLE!$G$15,$M299-$A$15,CM$13)))</f>
        <v>0</v>
      </c>
    </row>
    <row r="300" spans="1:91" ht="51" x14ac:dyDescent="0.2">
      <c r="A300" s="7">
        <f t="shared" ca="1" si="14"/>
        <v>6</v>
      </c>
      <c r="B300" s="7" t="str">
        <f ca="1">OFFSET(ORÇAMENTO!C$15,ROW(B300)-ROW(B$15),0)</f>
        <v>S</v>
      </c>
      <c r="C300" s="7" t="str">
        <f ca="1">OFFSET(ORÇAMENTO!L$15,ROW(C300)-ROW(C$15),0)</f>
        <v>F</v>
      </c>
      <c r="D300" s="116" t="str">
        <f ca="1">OFFSET(ORÇAMENTO!N$15,ROW(D300)-ROW(D$15),0)</f>
        <v>Serviço</v>
      </c>
      <c r="E300" s="117" t="str">
        <f ca="1">OFFSET(ORÇAMENTO!O$15,ROW(E300)-ROW(E$15),0)</f>
        <v>1.7.3.5.1.</v>
      </c>
      <c r="F300" s="163" t="str">
        <f ca="1">OFFSET(ORÇAMENTO!R$15,ROW(F300)-ROW(F$15),0)</f>
        <v>CARGA, MANOBRA E DESCARGA DE SOLOS E MATERIAIS GRANULARES EM CAMINHÃO BASCULANTE 18 M³ - CARGA COM ESCAVADEIRA HIDRÁULICA (CAÇAMBA DE 1,20 M³ / 155 HP) E DESCARGA LIVRE (UNIDADE: M3). AF_07/2020</v>
      </c>
      <c r="G300" s="164" t="str">
        <f ca="1">IF($D300&lt;&gt;"Serviço","",OFFSET(ORÇAMENTO!S$15,ROW(G300)-ROW(G$15),0))</f>
        <v>M3</v>
      </c>
      <c r="H300" s="122" cm="1">
        <f t="array" aca="1" ref="H300" ca="1">IF($D300&lt;&gt;"Serviço",0,IF(ACOMPANHAMENTO="BM",ROUND(OFFSET(ORÇAMENTO!AJ$15,ROW(H300)-ROW(H$15),0),15-13*ORÇAMENTO!$AF$7),SUMPRODUCT(($Q$1:$AI$1=1)*ROUND($Q300:$AI300,15-13*ORÇAMENTO!$AF$7))))</f>
        <v>88.71</v>
      </c>
      <c r="I300" s="468" t="s">
        <v>1354</v>
      </c>
      <c r="J300" s="640" t="str" cm="1">
        <f t="array" aca="1" ref="J300" ca="1">IF(OR(B300&lt;&gt;"S",CÁLCULO.FrentesPreenchidas=0),"",IF(AND(ACOMPANHAMENTO="PLE",AUTOEVENTO="Manual",OR(H300&gt;0,ORÇAMENTO!AC300="QUANT."),OR(K300="",M300=0,N300="")),"►E",IF(AND(ACOMPANHAMENTO="PLE",ORÇAMENTO!AC300="QUANT."),"►Q",IF(AND(ACOMPANHAMENTO="PLE",H300&lt;&gt;SUMPRODUCT(($Q$1:$AI$1=1)*ROUND(Q300:AI300,15))),"►S",IF(AND(COUNTIF($P$11:$AI$11,"▼")=0,H300&gt;0,I300=""),"◄M","")))))</f>
        <v/>
      </c>
      <c r="K300" s="641" t="s">
        <v>1385</v>
      </c>
      <c r="L300" s="165" t="s">
        <v>764</v>
      </c>
      <c r="M300" s="166">
        <f ca="1">IF($D300&lt;&gt;"Serviço","",
          IF(AUTOEVENTO="manual",$A300,
                IF(ISERROR(MATCH($A300,$A$15:OFFSET($A300,-1,0),0)),MAX($M$15:OFFSET(M300,-1,0))+1,
                      INDEX($M$15:OFFSET(M300,-1,0),MATCH($A300,$A$15:OFFSET($A300,-1,0),0)))))</f>
        <v>6</v>
      </c>
      <c r="N300" s="167" t="str">
        <f ca="1">IF($D300&lt;&gt;"Serviço","",
         IF(AUTOEVENTO="Manual",
                IF($A300=0,"&lt;-- defina o número do agrupador",
                       OFFSET(EVENTOS!$D$15,$A300-$A$15,0)),
                OFFSET($F$15,$A300,0)))</f>
        <v>Saneamento</v>
      </c>
      <c r="O300" s="168"/>
      <c r="Q300" s="168"/>
      <c r="R300" s="169"/>
      <c r="S300" s="169"/>
      <c r="T300" s="169"/>
      <c r="U300" s="169">
        <f>SUM(U295:U298)</f>
        <v>88.710000000000008</v>
      </c>
      <c r="V300" s="169"/>
      <c r="W300" s="169"/>
      <c r="X300" s="169"/>
      <c r="Y300" s="169"/>
      <c r="Z300" s="170"/>
      <c r="AA300" s="169"/>
      <c r="AB300" s="169"/>
      <c r="AC300" s="169"/>
      <c r="AD300" s="169"/>
      <c r="AE300" s="169"/>
      <c r="AF300" s="169"/>
      <c r="AG300" s="169"/>
      <c r="AH300" s="170"/>
      <c r="AJ300" s="453">
        <f ca="1">IF(AND($D300="Serviço",AJ$12&lt;&gt;0,$H300&gt;0,OR(AUTOEVENTO&lt;&gt;"manual",$M300&lt;&gt;$A$15)),
        IF(Import.TipoArredondamento&lt;&gt;"TransfereGOV",
              ROUND(OFFSET($P300,0,AJ$13),15-13*ORÇAMENTO!$AF$7)/$H300*OFFSET(ORÇAMENTO!$X$15,ROW(AJ300)-ROW(AJ$15),0),
              ROUND(ROUND(OFFSET($P300,0,AJ$13),15-13*ORÇAMENTO!$AF$7)*OFFSET(ORÇAMENTO!$W$15,ROW(AJ300)-ROW(AJ$15),0),15-13*ORÇAMENTO!$AF$11)),
         0)</f>
        <v>0</v>
      </c>
      <c r="AK300" s="453">
        <f ca="1">IF(AND($D300="Serviço",AK$12&lt;&gt;0,$H300&gt;0,OR(AUTOEVENTO&lt;&gt;"manual",$M300&lt;&gt;$A$15)),
        IF(Import.TipoArredondamento&lt;&gt;"TransfereGOV",
              ROUND(OFFSET($P300,0,AK$13),15-13*ORÇAMENTO!$AF$7)/$H300*OFFSET(ORÇAMENTO!$X$15,ROW(AK300)-ROW(AK$15),0),
              ROUND(ROUND(OFFSET($P300,0,AK$13),15-13*ORÇAMENTO!$AF$7)*OFFSET(ORÇAMENTO!$W$15,ROW(AK300)-ROW(AK$15),0),15-13*ORÇAMENTO!$AF$11)),
         0)</f>
        <v>0</v>
      </c>
      <c r="AL300" s="453">
        <f ca="1">IF(AND($D300="Serviço",AL$12&lt;&gt;0,$H300&gt;0,OR(AUTOEVENTO&lt;&gt;"manual",$M300&lt;&gt;$A$15)),
        IF(Import.TipoArredondamento&lt;&gt;"TransfereGOV",
              ROUND(OFFSET($P300,0,AL$13),15-13*ORÇAMENTO!$AF$7)/$H300*OFFSET(ORÇAMENTO!$X$15,ROW(AL300)-ROW(AL$15),0),
              ROUND(ROUND(OFFSET($P300,0,AL$13),15-13*ORÇAMENTO!$AF$7)*OFFSET(ORÇAMENTO!$W$15,ROW(AL300)-ROW(AL$15),0),15-13*ORÇAMENTO!$AF$11)),
         0)</f>
        <v>0</v>
      </c>
      <c r="AM300" s="453">
        <f ca="1">IF(AND($D300="Serviço",AM$12&lt;&gt;0,$H300&gt;0,OR(AUTOEVENTO&lt;&gt;"manual",$M300&lt;&gt;$A$15)),
        IF(Import.TipoArredondamento&lt;&gt;"TransfereGOV",
              ROUND(OFFSET($P300,0,AM$13),15-13*ORÇAMENTO!$AF$7)/$H300*OFFSET(ORÇAMENTO!$X$15,ROW(AM300)-ROW(AM$15),0),
              ROUND(ROUND(OFFSET($P300,0,AM$13),15-13*ORÇAMENTO!$AF$7)*OFFSET(ORÇAMENTO!$W$15,ROW(AM300)-ROW(AM$15),0),15-13*ORÇAMENTO!$AF$11)),
         0)</f>
        <v>0</v>
      </c>
      <c r="AN300" s="453">
        <f ca="1">IF(AND($D300="Serviço",AN$12&lt;&gt;0,$H300&gt;0,OR(AUTOEVENTO&lt;&gt;"manual",$M300&lt;&gt;$A$15)),
        IF(Import.TipoArredondamento&lt;&gt;"TransfereGOV",
              ROUND(OFFSET($P300,0,AN$13),15-13*ORÇAMENTO!$AF$7)/$H300*OFFSET(ORÇAMENTO!$X$15,ROW(AN300)-ROW(AN$15),0),
              ROUND(ROUND(OFFSET($P300,0,AN$13),15-13*ORÇAMENTO!$AF$7)*OFFSET(ORÇAMENTO!$W$15,ROW(AN300)-ROW(AN$15),0),15-13*ORÇAMENTO!$AF$11)),
         0)</f>
        <v>0</v>
      </c>
      <c r="AO300" s="453">
        <f ca="1">IF(AND($D300="Serviço",AO$12&lt;&gt;0,$H300&gt;0,OR(AUTOEVENTO&lt;&gt;"manual",$M300&lt;&gt;$A$15)),
        IF(Import.TipoArredondamento&lt;&gt;"TransfereGOV",
              ROUND(OFFSET($P300,0,AO$13),15-13*ORÇAMENTO!$AF$7)/$H300*OFFSET(ORÇAMENTO!$X$15,ROW(AO300)-ROW(AO$15),0),
              ROUND(ROUND(OFFSET($P300,0,AO$13),15-13*ORÇAMENTO!$AF$7)*OFFSET(ORÇAMENTO!$W$15,ROW(AO300)-ROW(AO$15),0),15-13*ORÇAMENTO!$AF$11)),
         0)</f>
        <v>0</v>
      </c>
      <c r="AP300" s="453">
        <f ca="1">IF(AND($D300="Serviço",AP$12&lt;&gt;0,$H300&gt;0,OR(AUTOEVENTO&lt;&gt;"manual",$M300&lt;&gt;$A$15)),
        IF(Import.TipoArredondamento&lt;&gt;"TransfereGOV",
              ROUND(OFFSET($P300,0,AP$13),15-13*ORÇAMENTO!$AF$7)/$H300*OFFSET(ORÇAMENTO!$X$15,ROW(AP300)-ROW(AP$15),0),
              ROUND(ROUND(OFFSET($P300,0,AP$13),15-13*ORÇAMENTO!$AF$7)*OFFSET(ORÇAMENTO!$W$15,ROW(AP300)-ROW(AP$15),0),15-13*ORÇAMENTO!$AF$11)),
         0)</f>
        <v>0</v>
      </c>
      <c r="AQ300" s="453">
        <f ca="1">IF(AND($D300="Serviço",AQ$12&lt;&gt;0,$H300&gt;0,OR(AUTOEVENTO&lt;&gt;"manual",$M300&lt;&gt;$A$15)),
        IF(Import.TipoArredondamento&lt;&gt;"TransfereGOV",
              ROUND(OFFSET($P300,0,AQ$13),15-13*ORÇAMENTO!$AF$7)/$H300*OFFSET(ORÇAMENTO!$X$15,ROW(AQ300)-ROW(AQ$15),0),
              ROUND(ROUND(OFFSET($P300,0,AQ$13),15-13*ORÇAMENTO!$AF$7)*OFFSET(ORÇAMENTO!$W$15,ROW(AQ300)-ROW(AQ$15),0),15-13*ORÇAMENTO!$AF$11)),
         0)</f>
        <v>0</v>
      </c>
      <c r="AR300" s="453">
        <f ca="1">IF(AND($D300="Serviço",AR$12&lt;&gt;0,$H300&gt;0,OR(AUTOEVENTO&lt;&gt;"manual",$M300&lt;&gt;$A$15)),
        IF(Import.TipoArredondamento&lt;&gt;"TransfereGOV",
              ROUND(OFFSET($P300,0,AR$13),15-13*ORÇAMENTO!$AF$7)/$H300*OFFSET(ORÇAMENTO!$X$15,ROW(AR300)-ROW(AR$15),0),
              ROUND(ROUND(OFFSET($P300,0,AR$13),15-13*ORÇAMENTO!$AF$7)*OFFSET(ORÇAMENTO!$W$15,ROW(AR300)-ROW(AR$15),0),15-13*ORÇAMENTO!$AF$11)),
         0)</f>
        <v>0</v>
      </c>
      <c r="AS300" s="453">
        <f ca="1">IF(AND($D300="Serviço",AS$12&lt;&gt;0,$H300&gt;0,OR(AUTOEVENTO&lt;&gt;"manual",$M300&lt;&gt;$A$15)),
        IF(Import.TipoArredondamento&lt;&gt;"TransfereGOV",
              ROUND(OFFSET($P300,0,AS$13),15-13*ORÇAMENTO!$AF$7)/$H300*OFFSET(ORÇAMENTO!$X$15,ROW(AS300)-ROW(AS$15),0),
              ROUND(ROUND(OFFSET($P300,0,AS$13),15-13*ORÇAMENTO!$AF$7)*OFFSET(ORÇAMENTO!$W$15,ROW(AS300)-ROW(AS$15),0),15-13*ORÇAMENTO!$AF$11)),
         0)</f>
        <v>0</v>
      </c>
      <c r="AT300" s="453">
        <f ca="1">IF(AND($D300="Serviço",AT$12&lt;&gt;0,$H300&gt;0,OR(AUTOEVENTO&lt;&gt;"manual",$M300&lt;&gt;$A$15)),
        IF(Import.TipoArredondamento&lt;&gt;"TransfereGOV",
              ROUND(OFFSET($P300,0,AT$13),15-13*ORÇAMENTO!$AF$7)/$H300*OFFSET(ORÇAMENTO!$X$15,ROW(AT300)-ROW(AT$15),0),
              ROUND(ROUND(OFFSET($P300,0,AT$13),15-13*ORÇAMENTO!$AF$7)*OFFSET(ORÇAMENTO!$W$15,ROW(AT300)-ROW(AT$15),0),15-13*ORÇAMENTO!$AF$11)),
         0)</f>
        <v>0</v>
      </c>
      <c r="AU300" s="453">
        <f ca="1">IF(AND($D300="Serviço",AU$12&lt;&gt;0,$H300&gt;0,OR(AUTOEVENTO&lt;&gt;"manual",$M300&lt;&gt;$A$15)),
        IF(Import.TipoArredondamento&lt;&gt;"TransfereGOV",
              ROUND(OFFSET($P300,0,AU$13),15-13*ORÇAMENTO!$AF$7)/$H300*OFFSET(ORÇAMENTO!$X$15,ROW(AU300)-ROW(AU$15),0),
              ROUND(ROUND(OFFSET($P300,0,AU$13),15-13*ORÇAMENTO!$AF$7)*OFFSET(ORÇAMENTO!$W$15,ROW(AU300)-ROW(AU$15),0),15-13*ORÇAMENTO!$AF$11)),
         0)</f>
        <v>0</v>
      </c>
      <c r="AV300" s="453">
        <f ca="1">IF(AND($D300="Serviço",AV$12&lt;&gt;0,$H300&gt;0,OR(AUTOEVENTO&lt;&gt;"manual",$M300&lt;&gt;$A$15)),
        IF(Import.TipoArredondamento&lt;&gt;"TransfereGOV",
              ROUND(OFFSET($P300,0,AV$13),15-13*ORÇAMENTO!$AF$7)/$H300*OFFSET(ORÇAMENTO!$X$15,ROW(AV300)-ROW(AV$15),0),
              ROUND(ROUND(OFFSET($P300,0,AV$13),15-13*ORÇAMENTO!$AF$7)*OFFSET(ORÇAMENTO!$W$15,ROW(AV300)-ROW(AV$15),0),15-13*ORÇAMENTO!$AF$11)),
         0)</f>
        <v>0</v>
      </c>
      <c r="AW300" s="453">
        <f ca="1">IF(AND($D300="Serviço",AW$12&lt;&gt;0,$H300&gt;0,OR(AUTOEVENTO&lt;&gt;"manual",$M300&lt;&gt;$A$15)),
        IF(Import.TipoArredondamento&lt;&gt;"TransfereGOV",
              ROUND(OFFSET($P300,0,AW$13),15-13*ORÇAMENTO!$AF$7)/$H300*OFFSET(ORÇAMENTO!$X$15,ROW(AW300)-ROW(AW$15),0),
              ROUND(ROUND(OFFSET($P300,0,AW$13),15-13*ORÇAMENTO!$AF$7)*OFFSET(ORÇAMENTO!$W$15,ROW(AW300)-ROW(AW$15),0),15-13*ORÇAMENTO!$AF$11)),
         0)</f>
        <v>0</v>
      </c>
      <c r="AX300" s="453">
        <f ca="1">IF(AND($D300="Serviço",AX$12&lt;&gt;0,$H300&gt;0,OR(AUTOEVENTO&lt;&gt;"manual",$M300&lt;&gt;$A$15)),
        IF(Import.TipoArredondamento&lt;&gt;"TransfereGOV",
              ROUND(OFFSET($P300,0,AX$13),15-13*ORÇAMENTO!$AF$7)/$H300*OFFSET(ORÇAMENTO!$X$15,ROW(AX300)-ROW(AX$15),0),
              ROUND(ROUND(OFFSET($P300,0,AX$13),15-13*ORÇAMENTO!$AF$7)*OFFSET(ORÇAMENTO!$W$15,ROW(AX300)-ROW(AX$15),0),15-13*ORÇAMENTO!$AF$11)),
         0)</f>
        <v>0</v>
      </c>
      <c r="AY300" s="453">
        <f ca="1">IF(AND($D300="Serviço",AY$12&lt;&gt;0,$H300&gt;0,OR(AUTOEVENTO&lt;&gt;"manual",$M300&lt;&gt;$A$15)),
        IF(Import.TipoArredondamento&lt;&gt;"TransfereGOV",
              ROUND(OFFSET($P300,0,AY$13),15-13*ORÇAMENTO!$AF$7)/$H300*OFFSET(ORÇAMENTO!$X$15,ROW(AY300)-ROW(AY$15),0),
              ROUND(ROUND(OFFSET($P300,0,AY$13),15-13*ORÇAMENTO!$AF$7)*OFFSET(ORÇAMENTO!$W$15,ROW(AY300)-ROW(AY$15),0),15-13*ORÇAMENTO!$AF$11)),
         0)</f>
        <v>0</v>
      </c>
      <c r="AZ300" s="453">
        <f ca="1">IF(AND($D300="Serviço",AZ$12&lt;&gt;0,$H300&gt;0,OR(AUTOEVENTO&lt;&gt;"manual",$M300&lt;&gt;$A$15)),
        IF(Import.TipoArredondamento&lt;&gt;"TransfereGOV",
              ROUND(OFFSET($P300,0,AZ$13),15-13*ORÇAMENTO!$AF$7)/$H300*OFFSET(ORÇAMENTO!$X$15,ROW(AZ300)-ROW(AZ$15),0),
              ROUND(ROUND(OFFSET($P300,0,AZ$13),15-13*ORÇAMENTO!$AF$7)*OFFSET(ORÇAMENTO!$W$15,ROW(AZ300)-ROW(AZ$15),0),15-13*ORÇAMENTO!$AF$11)),
         0)</f>
        <v>0</v>
      </c>
      <c r="BA300" s="453">
        <f ca="1">IF(AND($D300="Serviço",BA$12&lt;&gt;0,$H300&gt;0,OR(AUTOEVENTO&lt;&gt;"manual",$M300&lt;&gt;$A$15)),
        IF(Import.TipoArredondamento&lt;&gt;"TransfereGOV",
              ROUND(OFFSET($P300,0,BA$13),15-13*ORÇAMENTO!$AF$7)/$H300*OFFSET(ORÇAMENTO!$X$15,ROW(BA300)-ROW(BA$15),0),
              ROUND(ROUND(OFFSET($P300,0,BA$13),15-13*ORÇAMENTO!$AF$7)*OFFSET(ORÇAMENTO!$W$15,ROW(BA300)-ROW(BA$15),0),15-13*ORÇAMENTO!$AF$11)),
         0)</f>
        <v>0</v>
      </c>
      <c r="BC300" s="171">
        <f ca="1">IF(OR($D300&lt;&gt;"Serviço",AND(AUTOEVENTO="Manual",$M300=$A$15)),0,
         IF(OFFSET(CRONOPLE!$F$15,$M300-$A$15,BC$13)=0,10^12,OFFSET(CRONOPLE!$F$15,$M300-$A$15,BC$13)))</f>
        <v>1</v>
      </c>
      <c r="BD300" s="171">
        <f ca="1">IF(OR($D300&lt;&gt;"Serviço",AND(AUTOEVENTO="Manual",$M300=$A$15)),0,
         IF(OFFSET(CRONOPLE!$F$15,$M300-$A$15,BD$13)=0,10^12,OFFSET(CRONOPLE!$F$15,$M300-$A$15,BD$13)))</f>
        <v>2</v>
      </c>
      <c r="BE300" s="171">
        <f ca="1">IF(OR($D300&lt;&gt;"Serviço",AND(AUTOEVENTO="Manual",$M300=$A$15)),0,
         IF(OFFSET(CRONOPLE!$F$15,$M300-$A$15,BE$13)=0,10^12,OFFSET(CRONOPLE!$F$15,$M300-$A$15,BE$13)))</f>
        <v>3</v>
      </c>
      <c r="BF300" s="171">
        <f ca="1">IF(OR($D300&lt;&gt;"Serviço",AND(AUTOEVENTO="Manual",$M300=$A$15)),0,
         IF(OFFSET(CRONOPLE!$F$15,$M300-$A$15,BF$13)=0,10^12,OFFSET(CRONOPLE!$F$15,$M300-$A$15,BF$13)))</f>
        <v>4</v>
      </c>
      <c r="BG300" s="171">
        <f ca="1">IF(OR($D300&lt;&gt;"Serviço",AND(AUTOEVENTO="Manual",$M300=$A$15)),0,
         IF(OFFSET(CRONOPLE!$F$15,$M300-$A$15,BG$13)=0,10^12,OFFSET(CRONOPLE!$F$15,$M300-$A$15,BG$13)))</f>
        <v>5</v>
      </c>
      <c r="BH300" s="171">
        <f ca="1">IF(OR($D300&lt;&gt;"Serviço",AND(AUTOEVENTO="Manual",$M300=$A$15)),0,
         IF(OFFSET(CRONOPLE!$F$15,$M300-$A$15,BH$13)=0,10^12,OFFSET(CRONOPLE!$F$15,$M300-$A$15,BH$13)))</f>
        <v>6</v>
      </c>
      <c r="BI300" s="171">
        <f ca="1">IF(OR($D300&lt;&gt;"Serviço",AND(AUTOEVENTO="Manual",$M300=$A$15)),0,
         IF(OFFSET(CRONOPLE!$F$15,$M300-$A$15,BI$13)=0,10^12,OFFSET(CRONOPLE!$F$15,$M300-$A$15,BI$13)))</f>
        <v>7</v>
      </c>
      <c r="BJ300" s="171">
        <f ca="1">IF(OR($D300&lt;&gt;"Serviço",AND(AUTOEVENTO="Manual",$M300=$A$15)),0,
         IF(OFFSET(CRONOPLE!$F$15,$M300-$A$15,BJ$13)=0,10^12,OFFSET(CRONOPLE!$F$15,$M300-$A$15,BJ$13)))</f>
        <v>8</v>
      </c>
      <c r="BK300" s="171">
        <f ca="1">IF(OR($D300&lt;&gt;"Serviço",AND(AUTOEVENTO="Manual",$M300=$A$15)),0,
         IF(OFFSET(CRONOPLE!$F$15,$M300-$A$15,BK$13)=0,10^12,OFFSET(CRONOPLE!$F$15,$M300-$A$15,BK$13)))</f>
        <v>9</v>
      </c>
      <c r="BL300" s="171">
        <f ca="1">IF(OR($D300&lt;&gt;"Serviço",AND(AUTOEVENTO="Manual",$M300=$A$15)),0,
         IF(OFFSET(CRONOPLE!$F$15,$M300-$A$15,BL$13)=0,10^12,OFFSET(CRONOPLE!$F$15,$M300-$A$15,BL$13)))</f>
        <v>1000000000000</v>
      </c>
      <c r="BM300" s="171">
        <f ca="1">IF(OR($D300&lt;&gt;"Serviço",AND(AUTOEVENTO="Manual",$M300=$A$15)),0,
         IF(OFFSET(CRONOPLE!$F$15,$M300-$A$15,BM$13)=0,10^12,OFFSET(CRONOPLE!$F$15,$M300-$A$15,BM$13)))</f>
        <v>1000000000000</v>
      </c>
      <c r="BN300" s="171">
        <f ca="1">IF(OR($D300&lt;&gt;"Serviço",AND(AUTOEVENTO="Manual",$M300=$A$15)),0,
         IF(OFFSET(CRONOPLE!$F$15,$M300-$A$15,BN$13)=0,10^12,OFFSET(CRONOPLE!$F$15,$M300-$A$15,BN$13)))</f>
        <v>1000000000000</v>
      </c>
      <c r="BO300" s="171">
        <f ca="1">IF(OR($D300&lt;&gt;"Serviço",AND(AUTOEVENTO="Manual",$M300=$A$15)),0,
         IF(OFFSET(CRONOPLE!$F$15,$M300-$A$15,BO$13)=0,10^12,OFFSET(CRONOPLE!$F$15,$M300-$A$15,BO$13)))</f>
        <v>1000000000000</v>
      </c>
      <c r="BP300" s="171">
        <f ca="1">IF(OR($D300&lt;&gt;"Serviço",AND(AUTOEVENTO="Manual",$M300=$A$15)),0,
         IF(OFFSET(CRONOPLE!$F$15,$M300-$A$15,BP$13)=0,10^12,OFFSET(CRONOPLE!$F$15,$M300-$A$15,BP$13)))</f>
        <v>1000000000000</v>
      </c>
      <c r="BQ300" s="171">
        <f ca="1">IF(OR($D300&lt;&gt;"Serviço",AND(AUTOEVENTO="Manual",$M300=$A$15)),0,
         IF(OFFSET(CRONOPLE!$F$15,$M300-$A$15,BQ$13)=0,10^12,OFFSET(CRONOPLE!$F$15,$M300-$A$15,BQ$13)))</f>
        <v>1000000000000</v>
      </c>
      <c r="BR300" s="171">
        <f ca="1">IF(OR($D300&lt;&gt;"Serviço",AND(AUTOEVENTO="Manual",$M300=$A$15)),0,
         IF(OFFSET(CRONOPLE!$F$15,$M300-$A$15,BR$13)=0,10^12,OFFSET(CRONOPLE!$F$15,$M300-$A$15,BR$13)))</f>
        <v>1000000000000</v>
      </c>
      <c r="BS300" s="171">
        <f ca="1">IF(OR($D300&lt;&gt;"Serviço",AND(AUTOEVENTO="Manual",$M300=$A$15)),0,
         IF(OFFSET(CRONOPLE!$F$15,$M300-$A$15,BS$13)=0,10^12,OFFSET(CRONOPLE!$F$15,$M300-$A$15,BS$13)))</f>
        <v>1000000000000</v>
      </c>
      <c r="BT300" s="171">
        <f ca="1">IF(OR($D300&lt;&gt;"Serviço",AND(AUTOEVENTO="Manual",$M300=$A$15)),0,
         IF(OFFSET(CRONOPLE!$F$15,$M300-$A$15,BT$13)=0,10^12,OFFSET(CRONOPLE!$F$15,$M300-$A$15,BT$13)))</f>
        <v>1000000000000</v>
      </c>
      <c r="BV300" s="172">
        <f ca="1">IF(OR($D300&lt;&gt;"Serviço",AND(AUTOEVENTO="Manual",$M300=$A$15),$M300&gt;(ROW(PLE.lastrow)-ROW(PLE.firstrow))),0,
           IF(OFFSET(PLE!$G$15,$M300-$A$15,BV$13)="",10^12,OFFSET(PLE!$G$15,$M300-$A$15,BV$13)))</f>
        <v>1000000000000</v>
      </c>
      <c r="BW300" s="172">
        <f ca="1">IF(OR($D300&lt;&gt;"Serviço",AND(AUTOEVENTO="Manual",$M300=$A$15),$M300&gt;(ROW(PLE.lastrow)-ROW(PLE.firstrow))),0,
           IF(OFFSET(PLE!$G$15,$M300-$A$15,BW$13)="",10^12,OFFSET(PLE!$G$15,$M300-$A$15,BW$13)))</f>
        <v>1000000000000</v>
      </c>
      <c r="BX300" s="172">
        <f ca="1">IF(OR($D300&lt;&gt;"Serviço",AND(AUTOEVENTO="Manual",$M300=$A$15),$M300&gt;(ROW(PLE.lastrow)-ROW(PLE.firstrow))),0,
           IF(OFFSET(PLE!$G$15,$M300-$A$15,BX$13)="",10^12,OFFSET(PLE!$G$15,$M300-$A$15,BX$13)))</f>
        <v>1000000000000</v>
      </c>
      <c r="BY300" s="172">
        <f ca="1">IF(OR($D300&lt;&gt;"Serviço",AND(AUTOEVENTO="Manual",$M300=$A$15),$M300&gt;(ROW(PLE.lastrow)-ROW(PLE.firstrow))),0,
           IF(OFFSET(PLE!$G$15,$M300-$A$15,BY$13)="",10^12,OFFSET(PLE!$G$15,$M300-$A$15,BY$13)))</f>
        <v>1000000000000</v>
      </c>
      <c r="BZ300" s="172">
        <f ca="1">IF(OR($D300&lt;&gt;"Serviço",AND(AUTOEVENTO="Manual",$M300=$A$15),$M300&gt;(ROW(PLE.lastrow)-ROW(PLE.firstrow))),0,
           IF(OFFSET(PLE!$G$15,$M300-$A$15,BZ$13)="",10^12,OFFSET(PLE!$G$15,$M300-$A$15,BZ$13)))</f>
        <v>1000000000000</v>
      </c>
      <c r="CA300" s="172">
        <f ca="1">IF(OR($D300&lt;&gt;"Serviço",AND(AUTOEVENTO="Manual",$M300=$A$15),$M300&gt;(ROW(PLE.lastrow)-ROW(PLE.firstrow))),0,
           IF(OFFSET(PLE!$G$15,$M300-$A$15,CA$13)="",10^12,OFFSET(PLE!$G$15,$M300-$A$15,CA$13)))</f>
        <v>1000000000000</v>
      </c>
      <c r="CB300" s="172">
        <f ca="1">IF(OR($D300&lt;&gt;"Serviço",AND(AUTOEVENTO="Manual",$M300=$A$15),$M300&gt;(ROW(PLE.lastrow)-ROW(PLE.firstrow))),0,
           IF(OFFSET(PLE!$G$15,$M300-$A$15,CB$13)="",10^12,OFFSET(PLE!$G$15,$M300-$A$15,CB$13)))</f>
        <v>1000000000000</v>
      </c>
      <c r="CC300" s="172">
        <f ca="1">IF(OR($D300&lt;&gt;"Serviço",AND(AUTOEVENTO="Manual",$M300=$A$15),$M300&gt;(ROW(PLE.lastrow)-ROW(PLE.firstrow))),0,
           IF(OFFSET(PLE!$G$15,$M300-$A$15,CC$13)="",10^12,OFFSET(PLE!$G$15,$M300-$A$15,CC$13)))</f>
        <v>1000000000000</v>
      </c>
      <c r="CD300" s="172">
        <f ca="1">IF(OR($D300&lt;&gt;"Serviço",AND(AUTOEVENTO="Manual",$M300=$A$15),$M300&gt;(ROW(PLE.lastrow)-ROW(PLE.firstrow))),0,
           IF(OFFSET(PLE!$G$15,$M300-$A$15,CD$13)="",10^12,OFFSET(PLE!$G$15,$M300-$A$15,CD$13)))</f>
        <v>1000000000000</v>
      </c>
      <c r="CE300" s="172">
        <f ca="1">IF(OR($D300&lt;&gt;"Serviço",AND(AUTOEVENTO="Manual",$M300=$A$15),$M300&gt;(ROW(PLE.lastrow)-ROW(PLE.firstrow))),0,
           IF(OFFSET(PLE!$G$15,$M300-$A$15,CE$13)="",10^12,OFFSET(PLE!$G$15,$M300-$A$15,CE$13)))</f>
        <v>1000000000000</v>
      </c>
      <c r="CF300" s="172">
        <f ca="1">IF(OR($D300&lt;&gt;"Serviço",AND(AUTOEVENTO="Manual",$M300=$A$15),$M300&gt;(ROW(PLE.lastrow)-ROW(PLE.firstrow))),0,
           IF(OFFSET(PLE!$G$15,$M300-$A$15,CF$13)="",10^12,OFFSET(PLE!$G$15,$M300-$A$15,CF$13)))</f>
        <v>1000000000000</v>
      </c>
      <c r="CG300" s="172">
        <f ca="1">IF(OR($D300&lt;&gt;"Serviço",AND(AUTOEVENTO="Manual",$M300=$A$15),$M300&gt;(ROW(PLE.lastrow)-ROW(PLE.firstrow))),0,
           IF(OFFSET(PLE!$G$15,$M300-$A$15,CG$13)="",10^12,OFFSET(PLE!$G$15,$M300-$A$15,CG$13)))</f>
        <v>1000000000000</v>
      </c>
      <c r="CH300" s="172">
        <f ca="1">IF(OR($D300&lt;&gt;"Serviço",AND(AUTOEVENTO="Manual",$M300=$A$15),$M300&gt;(ROW(PLE.lastrow)-ROW(PLE.firstrow))),0,
           IF(OFFSET(PLE!$G$15,$M300-$A$15,CH$13)="",10^12,OFFSET(PLE!$G$15,$M300-$A$15,CH$13)))</f>
        <v>1000000000000</v>
      </c>
      <c r="CI300" s="172">
        <f ca="1">IF(OR($D300&lt;&gt;"Serviço",AND(AUTOEVENTO="Manual",$M300=$A$15),$M300&gt;(ROW(PLE.lastrow)-ROW(PLE.firstrow))),0,
           IF(OFFSET(PLE!$G$15,$M300-$A$15,CI$13)="",10^12,OFFSET(PLE!$G$15,$M300-$A$15,CI$13)))</f>
        <v>1000000000000</v>
      </c>
      <c r="CJ300" s="172">
        <f ca="1">IF(OR($D300&lt;&gt;"Serviço",AND(AUTOEVENTO="Manual",$M300=$A$15),$M300&gt;(ROW(PLE.lastrow)-ROW(PLE.firstrow))),0,
           IF(OFFSET(PLE!$G$15,$M300-$A$15,CJ$13)="",10^12,OFFSET(PLE!$G$15,$M300-$A$15,CJ$13)))</f>
        <v>1000000000000</v>
      </c>
      <c r="CK300" s="172">
        <f ca="1">IF(OR($D300&lt;&gt;"Serviço",AND(AUTOEVENTO="Manual",$M300=$A$15),$M300&gt;(ROW(PLE.lastrow)-ROW(PLE.firstrow))),0,
           IF(OFFSET(PLE!$G$15,$M300-$A$15,CK$13)="",10^12,OFFSET(PLE!$G$15,$M300-$A$15,CK$13)))</f>
        <v>1000000000000</v>
      </c>
      <c r="CL300" s="172">
        <f ca="1">IF(OR($D300&lt;&gt;"Serviço",AND(AUTOEVENTO="Manual",$M300=$A$15),$M300&gt;(ROW(PLE.lastrow)-ROW(PLE.firstrow))),0,
           IF(OFFSET(PLE!$G$15,$M300-$A$15,CL$13)="",10^12,OFFSET(PLE!$G$15,$M300-$A$15,CL$13)))</f>
        <v>1000000000000</v>
      </c>
      <c r="CM300" s="172">
        <f ca="1">IF(OR($D300&lt;&gt;"Serviço",AND(AUTOEVENTO="Manual",$M300=$A$15),$M300&gt;(ROW(PLE.lastrow)-ROW(PLE.firstrow))),0,
           IF(OFFSET(PLE!$G$15,$M300-$A$15,CM$13)="",10^12,OFFSET(PLE!$G$15,$M300-$A$15,CM$13)))</f>
        <v>1000000000000</v>
      </c>
    </row>
    <row r="301" spans="1:91" ht="63.75" x14ac:dyDescent="0.2">
      <c r="A301" s="7">
        <f t="shared" ca="1" si="14"/>
        <v>6</v>
      </c>
      <c r="B301" s="7" t="str">
        <f ca="1">OFFSET(ORÇAMENTO!C$15,ROW(B301)-ROW(B$15),0)</f>
        <v>S</v>
      </c>
      <c r="C301" s="7" t="str">
        <f ca="1">OFFSET(ORÇAMENTO!L$15,ROW(C301)-ROW(C$15),0)</f>
        <v>F</v>
      </c>
      <c r="D301" s="116" t="str">
        <f ca="1">OFFSET(ORÇAMENTO!N$15,ROW(D301)-ROW(D$15),0)</f>
        <v>Serviço</v>
      </c>
      <c r="E301" s="117" t="str">
        <f ca="1">OFFSET(ORÇAMENTO!O$15,ROW(E301)-ROW(E$15),0)</f>
        <v>1.7.3.5.2.</v>
      </c>
      <c r="F301" s="163" t="str">
        <f ca="1">OFFSET(ORÇAMENTO!R$15,ROW(F301)-ROW(F$15),0)</f>
        <v>TRANSPORTE COM CAMINHÃO BASCULANTE DE 18 M³, EM VIA URBANA PAVIMENTADA, DMT ATÉ 30 KM (UNIDADE: M3XKM). AF_07/2020</v>
      </c>
      <c r="G301" s="164" t="str">
        <f ca="1">IF($D301&lt;&gt;"Serviço","",OFFSET(ORÇAMENTO!S$15,ROW(G301)-ROW(G$15),0))</f>
        <v>M3XKM</v>
      </c>
      <c r="H301" s="122" cm="1">
        <f t="array" aca="1" ref="H301" ca="1">IF($D301&lt;&gt;"Serviço",0,IF(ACOMPANHAMENTO="BM",ROUND(OFFSET(ORÇAMENTO!AJ$15,ROW(H301)-ROW(H$15),0),15-13*ORÇAMENTO!$AF$7),SUMPRODUCT(($Q$1:$AI$1=1)*ROUND($Q301:$AI301,15-13*ORÇAMENTO!$AF$7))))</f>
        <v>1596.78</v>
      </c>
      <c r="I301" s="468" t="s">
        <v>1429</v>
      </c>
      <c r="J301" s="640" t="str" cm="1">
        <f t="array" aca="1" ref="J301" ca="1">IF(OR(B301&lt;&gt;"S",CÁLCULO.FrentesPreenchidas=0),"",IF(AND(ACOMPANHAMENTO="PLE",AUTOEVENTO="Manual",OR(H301&gt;0,ORÇAMENTO!AC301="QUANT."),OR(K301="",M301=0,N301="")),"►E",IF(AND(ACOMPANHAMENTO="PLE",ORÇAMENTO!AC301="QUANT."),"►Q",IF(AND(ACOMPANHAMENTO="PLE",H301&lt;&gt;SUMPRODUCT(($Q$1:$AI$1=1)*ROUND(Q301:AI301,15))),"►S",IF(AND(COUNTIF($P$11:$AI$11,"▼")=0,H301&gt;0,I301=""),"◄M","")))))</f>
        <v/>
      </c>
      <c r="K301" s="641" t="s">
        <v>1385</v>
      </c>
      <c r="L301" s="165" t="s">
        <v>764</v>
      </c>
      <c r="M301" s="166">
        <f ca="1">IF($D301&lt;&gt;"Serviço","",
          IF(AUTOEVENTO="manual",$A301,
                IF(ISERROR(MATCH($A301,$A$15:OFFSET($A301,-1,0),0)),MAX($M$15:OFFSET(M301,-1,0))+1,
                      INDEX($M$15:OFFSET(M301,-1,0),MATCH($A301,$A$15:OFFSET($A301,-1,0),0)))))</f>
        <v>6</v>
      </c>
      <c r="N301" s="167" t="str">
        <f ca="1">IF($D301&lt;&gt;"Serviço","",
         IF(AUTOEVENTO="Manual",
                IF($A301=0,"&lt;-- defina o número do agrupador",
                       OFFSET(EVENTOS!$D$15,$A301-$A$15,0)),
                OFFSET($F$15,$A301,0)))</f>
        <v>Saneamento</v>
      </c>
      <c r="O301" s="168"/>
      <c r="Q301" s="168"/>
      <c r="R301" s="169"/>
      <c r="S301" s="169"/>
      <c r="T301" s="169"/>
      <c r="U301" s="169">
        <f>U300*18</f>
        <v>1596.7800000000002</v>
      </c>
      <c r="V301" s="169"/>
      <c r="W301" s="169"/>
      <c r="X301" s="169"/>
      <c r="Y301" s="169"/>
      <c r="Z301" s="170"/>
      <c r="AA301" s="169"/>
      <c r="AB301" s="169"/>
      <c r="AC301" s="169"/>
      <c r="AD301" s="169"/>
      <c r="AE301" s="169"/>
      <c r="AF301" s="169"/>
      <c r="AG301" s="169"/>
      <c r="AH301" s="170"/>
      <c r="AJ301" s="453">
        <f ca="1">IF(AND($D301="Serviço",AJ$12&lt;&gt;0,$H301&gt;0,OR(AUTOEVENTO&lt;&gt;"manual",$M301&lt;&gt;$A$15)),
        IF(Import.TipoArredondamento&lt;&gt;"TransfereGOV",
              ROUND(OFFSET($P301,0,AJ$13),15-13*ORÇAMENTO!$AF$7)/$H301*OFFSET(ORÇAMENTO!$X$15,ROW(AJ301)-ROW(AJ$15),0),
              ROUND(ROUND(OFFSET($P301,0,AJ$13),15-13*ORÇAMENTO!$AF$7)*OFFSET(ORÇAMENTO!$W$15,ROW(AJ301)-ROW(AJ$15),0),15-13*ORÇAMENTO!$AF$11)),
         0)</f>
        <v>0</v>
      </c>
      <c r="AK301" s="453">
        <f ca="1">IF(AND($D301="Serviço",AK$12&lt;&gt;0,$H301&gt;0,OR(AUTOEVENTO&lt;&gt;"manual",$M301&lt;&gt;$A$15)),
        IF(Import.TipoArredondamento&lt;&gt;"TransfereGOV",
              ROUND(OFFSET($P301,0,AK$13),15-13*ORÇAMENTO!$AF$7)/$H301*OFFSET(ORÇAMENTO!$X$15,ROW(AK301)-ROW(AK$15),0),
              ROUND(ROUND(OFFSET($P301,0,AK$13),15-13*ORÇAMENTO!$AF$7)*OFFSET(ORÇAMENTO!$W$15,ROW(AK301)-ROW(AK$15),0),15-13*ORÇAMENTO!$AF$11)),
         0)</f>
        <v>0</v>
      </c>
      <c r="AL301" s="453">
        <f ca="1">IF(AND($D301="Serviço",AL$12&lt;&gt;0,$H301&gt;0,OR(AUTOEVENTO&lt;&gt;"manual",$M301&lt;&gt;$A$15)),
        IF(Import.TipoArredondamento&lt;&gt;"TransfereGOV",
              ROUND(OFFSET($P301,0,AL$13),15-13*ORÇAMENTO!$AF$7)/$H301*OFFSET(ORÇAMENTO!$X$15,ROW(AL301)-ROW(AL$15),0),
              ROUND(ROUND(OFFSET($P301,0,AL$13),15-13*ORÇAMENTO!$AF$7)*OFFSET(ORÇAMENTO!$W$15,ROW(AL301)-ROW(AL$15),0),15-13*ORÇAMENTO!$AF$11)),
         0)</f>
        <v>0</v>
      </c>
      <c r="AM301" s="453">
        <f ca="1">IF(AND($D301="Serviço",AM$12&lt;&gt;0,$H301&gt;0,OR(AUTOEVENTO&lt;&gt;"manual",$M301&lt;&gt;$A$15)),
        IF(Import.TipoArredondamento&lt;&gt;"TransfereGOV",
              ROUND(OFFSET($P301,0,AM$13),15-13*ORÇAMENTO!$AF$7)/$H301*OFFSET(ORÇAMENTO!$X$15,ROW(AM301)-ROW(AM$15),0),
              ROUND(ROUND(OFFSET($P301,0,AM$13),15-13*ORÇAMENTO!$AF$7)*OFFSET(ORÇAMENTO!$W$15,ROW(AM301)-ROW(AM$15),0),15-13*ORÇAMENTO!$AF$11)),
         0)</f>
        <v>0</v>
      </c>
      <c r="AN301" s="453">
        <f ca="1">IF(AND($D301="Serviço",AN$12&lt;&gt;0,$H301&gt;0,OR(AUTOEVENTO&lt;&gt;"manual",$M301&lt;&gt;$A$15)),
        IF(Import.TipoArredondamento&lt;&gt;"TransfereGOV",
              ROUND(OFFSET($P301,0,AN$13),15-13*ORÇAMENTO!$AF$7)/$H301*OFFSET(ORÇAMENTO!$X$15,ROW(AN301)-ROW(AN$15),0),
              ROUND(ROUND(OFFSET($P301,0,AN$13),15-13*ORÇAMENTO!$AF$7)*OFFSET(ORÇAMENTO!$W$15,ROW(AN301)-ROW(AN$15),0),15-13*ORÇAMENTO!$AF$11)),
         0)</f>
        <v>0</v>
      </c>
      <c r="AO301" s="453">
        <f ca="1">IF(AND($D301="Serviço",AO$12&lt;&gt;0,$H301&gt;0,OR(AUTOEVENTO&lt;&gt;"manual",$M301&lt;&gt;$A$15)),
        IF(Import.TipoArredondamento&lt;&gt;"TransfereGOV",
              ROUND(OFFSET($P301,0,AO$13),15-13*ORÇAMENTO!$AF$7)/$H301*OFFSET(ORÇAMENTO!$X$15,ROW(AO301)-ROW(AO$15),0),
              ROUND(ROUND(OFFSET($P301,0,AO$13),15-13*ORÇAMENTO!$AF$7)*OFFSET(ORÇAMENTO!$W$15,ROW(AO301)-ROW(AO$15),0),15-13*ORÇAMENTO!$AF$11)),
         0)</f>
        <v>0</v>
      </c>
      <c r="AP301" s="453">
        <f ca="1">IF(AND($D301="Serviço",AP$12&lt;&gt;0,$H301&gt;0,OR(AUTOEVENTO&lt;&gt;"manual",$M301&lt;&gt;$A$15)),
        IF(Import.TipoArredondamento&lt;&gt;"TransfereGOV",
              ROUND(OFFSET($P301,0,AP$13),15-13*ORÇAMENTO!$AF$7)/$H301*OFFSET(ORÇAMENTO!$X$15,ROW(AP301)-ROW(AP$15),0),
              ROUND(ROUND(OFFSET($P301,0,AP$13),15-13*ORÇAMENTO!$AF$7)*OFFSET(ORÇAMENTO!$W$15,ROW(AP301)-ROW(AP$15),0),15-13*ORÇAMENTO!$AF$11)),
         0)</f>
        <v>0</v>
      </c>
      <c r="AQ301" s="453">
        <f ca="1">IF(AND($D301="Serviço",AQ$12&lt;&gt;0,$H301&gt;0,OR(AUTOEVENTO&lt;&gt;"manual",$M301&lt;&gt;$A$15)),
        IF(Import.TipoArredondamento&lt;&gt;"TransfereGOV",
              ROUND(OFFSET($P301,0,AQ$13),15-13*ORÇAMENTO!$AF$7)/$H301*OFFSET(ORÇAMENTO!$X$15,ROW(AQ301)-ROW(AQ$15),0),
              ROUND(ROUND(OFFSET($P301,0,AQ$13),15-13*ORÇAMENTO!$AF$7)*OFFSET(ORÇAMENTO!$W$15,ROW(AQ301)-ROW(AQ$15),0),15-13*ORÇAMENTO!$AF$11)),
         0)</f>
        <v>0</v>
      </c>
      <c r="AR301" s="453">
        <f ca="1">IF(AND($D301="Serviço",AR$12&lt;&gt;0,$H301&gt;0,OR(AUTOEVENTO&lt;&gt;"manual",$M301&lt;&gt;$A$15)),
        IF(Import.TipoArredondamento&lt;&gt;"TransfereGOV",
              ROUND(OFFSET($P301,0,AR$13),15-13*ORÇAMENTO!$AF$7)/$H301*OFFSET(ORÇAMENTO!$X$15,ROW(AR301)-ROW(AR$15),0),
              ROUND(ROUND(OFFSET($P301,0,AR$13),15-13*ORÇAMENTO!$AF$7)*OFFSET(ORÇAMENTO!$W$15,ROW(AR301)-ROW(AR$15),0),15-13*ORÇAMENTO!$AF$11)),
         0)</f>
        <v>0</v>
      </c>
      <c r="AS301" s="453">
        <f ca="1">IF(AND($D301="Serviço",AS$12&lt;&gt;0,$H301&gt;0,OR(AUTOEVENTO&lt;&gt;"manual",$M301&lt;&gt;$A$15)),
        IF(Import.TipoArredondamento&lt;&gt;"TransfereGOV",
              ROUND(OFFSET($P301,0,AS$13),15-13*ORÇAMENTO!$AF$7)/$H301*OFFSET(ORÇAMENTO!$X$15,ROW(AS301)-ROW(AS$15),0),
              ROUND(ROUND(OFFSET($P301,0,AS$13),15-13*ORÇAMENTO!$AF$7)*OFFSET(ORÇAMENTO!$W$15,ROW(AS301)-ROW(AS$15),0),15-13*ORÇAMENTO!$AF$11)),
         0)</f>
        <v>0</v>
      </c>
      <c r="AT301" s="453">
        <f ca="1">IF(AND($D301="Serviço",AT$12&lt;&gt;0,$H301&gt;0,OR(AUTOEVENTO&lt;&gt;"manual",$M301&lt;&gt;$A$15)),
        IF(Import.TipoArredondamento&lt;&gt;"TransfereGOV",
              ROUND(OFFSET($P301,0,AT$13),15-13*ORÇAMENTO!$AF$7)/$H301*OFFSET(ORÇAMENTO!$X$15,ROW(AT301)-ROW(AT$15),0),
              ROUND(ROUND(OFFSET($P301,0,AT$13),15-13*ORÇAMENTO!$AF$7)*OFFSET(ORÇAMENTO!$W$15,ROW(AT301)-ROW(AT$15),0),15-13*ORÇAMENTO!$AF$11)),
         0)</f>
        <v>0</v>
      </c>
      <c r="AU301" s="453">
        <f ca="1">IF(AND($D301="Serviço",AU$12&lt;&gt;0,$H301&gt;0,OR(AUTOEVENTO&lt;&gt;"manual",$M301&lt;&gt;$A$15)),
        IF(Import.TipoArredondamento&lt;&gt;"TransfereGOV",
              ROUND(OFFSET($P301,0,AU$13),15-13*ORÇAMENTO!$AF$7)/$H301*OFFSET(ORÇAMENTO!$X$15,ROW(AU301)-ROW(AU$15),0),
              ROUND(ROUND(OFFSET($P301,0,AU$13),15-13*ORÇAMENTO!$AF$7)*OFFSET(ORÇAMENTO!$W$15,ROW(AU301)-ROW(AU$15),0),15-13*ORÇAMENTO!$AF$11)),
         0)</f>
        <v>0</v>
      </c>
      <c r="AV301" s="453">
        <f ca="1">IF(AND($D301="Serviço",AV$12&lt;&gt;0,$H301&gt;0,OR(AUTOEVENTO&lt;&gt;"manual",$M301&lt;&gt;$A$15)),
        IF(Import.TipoArredondamento&lt;&gt;"TransfereGOV",
              ROUND(OFFSET($P301,0,AV$13),15-13*ORÇAMENTO!$AF$7)/$H301*OFFSET(ORÇAMENTO!$X$15,ROW(AV301)-ROW(AV$15),0),
              ROUND(ROUND(OFFSET($P301,0,AV$13),15-13*ORÇAMENTO!$AF$7)*OFFSET(ORÇAMENTO!$W$15,ROW(AV301)-ROW(AV$15),0),15-13*ORÇAMENTO!$AF$11)),
         0)</f>
        <v>0</v>
      </c>
      <c r="AW301" s="453">
        <f ca="1">IF(AND($D301="Serviço",AW$12&lt;&gt;0,$H301&gt;0,OR(AUTOEVENTO&lt;&gt;"manual",$M301&lt;&gt;$A$15)),
        IF(Import.TipoArredondamento&lt;&gt;"TransfereGOV",
              ROUND(OFFSET($P301,0,AW$13),15-13*ORÇAMENTO!$AF$7)/$H301*OFFSET(ORÇAMENTO!$X$15,ROW(AW301)-ROW(AW$15),0),
              ROUND(ROUND(OFFSET($P301,0,AW$13),15-13*ORÇAMENTO!$AF$7)*OFFSET(ORÇAMENTO!$W$15,ROW(AW301)-ROW(AW$15),0),15-13*ORÇAMENTO!$AF$11)),
         0)</f>
        <v>0</v>
      </c>
      <c r="AX301" s="453">
        <f ca="1">IF(AND($D301="Serviço",AX$12&lt;&gt;0,$H301&gt;0,OR(AUTOEVENTO&lt;&gt;"manual",$M301&lt;&gt;$A$15)),
        IF(Import.TipoArredondamento&lt;&gt;"TransfereGOV",
              ROUND(OFFSET($P301,0,AX$13),15-13*ORÇAMENTO!$AF$7)/$H301*OFFSET(ORÇAMENTO!$X$15,ROW(AX301)-ROW(AX$15),0),
              ROUND(ROUND(OFFSET($P301,0,AX$13),15-13*ORÇAMENTO!$AF$7)*OFFSET(ORÇAMENTO!$W$15,ROW(AX301)-ROW(AX$15),0),15-13*ORÇAMENTO!$AF$11)),
         0)</f>
        <v>0</v>
      </c>
      <c r="AY301" s="453">
        <f ca="1">IF(AND($D301="Serviço",AY$12&lt;&gt;0,$H301&gt;0,OR(AUTOEVENTO&lt;&gt;"manual",$M301&lt;&gt;$A$15)),
        IF(Import.TipoArredondamento&lt;&gt;"TransfereGOV",
              ROUND(OFFSET($P301,0,AY$13),15-13*ORÇAMENTO!$AF$7)/$H301*OFFSET(ORÇAMENTO!$X$15,ROW(AY301)-ROW(AY$15),0),
              ROUND(ROUND(OFFSET($P301,0,AY$13),15-13*ORÇAMENTO!$AF$7)*OFFSET(ORÇAMENTO!$W$15,ROW(AY301)-ROW(AY$15),0),15-13*ORÇAMENTO!$AF$11)),
         0)</f>
        <v>0</v>
      </c>
      <c r="AZ301" s="453">
        <f ca="1">IF(AND($D301="Serviço",AZ$12&lt;&gt;0,$H301&gt;0,OR(AUTOEVENTO&lt;&gt;"manual",$M301&lt;&gt;$A$15)),
        IF(Import.TipoArredondamento&lt;&gt;"TransfereGOV",
              ROUND(OFFSET($P301,0,AZ$13),15-13*ORÇAMENTO!$AF$7)/$H301*OFFSET(ORÇAMENTO!$X$15,ROW(AZ301)-ROW(AZ$15),0),
              ROUND(ROUND(OFFSET($P301,0,AZ$13),15-13*ORÇAMENTO!$AF$7)*OFFSET(ORÇAMENTO!$W$15,ROW(AZ301)-ROW(AZ$15),0),15-13*ORÇAMENTO!$AF$11)),
         0)</f>
        <v>0</v>
      </c>
      <c r="BA301" s="453">
        <f ca="1">IF(AND($D301="Serviço",BA$12&lt;&gt;0,$H301&gt;0,OR(AUTOEVENTO&lt;&gt;"manual",$M301&lt;&gt;$A$15)),
        IF(Import.TipoArredondamento&lt;&gt;"TransfereGOV",
              ROUND(OFFSET($P301,0,BA$13),15-13*ORÇAMENTO!$AF$7)/$H301*OFFSET(ORÇAMENTO!$X$15,ROW(BA301)-ROW(BA$15),0),
              ROUND(ROUND(OFFSET($P301,0,BA$13),15-13*ORÇAMENTO!$AF$7)*OFFSET(ORÇAMENTO!$W$15,ROW(BA301)-ROW(BA$15),0),15-13*ORÇAMENTO!$AF$11)),
         0)</f>
        <v>0</v>
      </c>
      <c r="BC301" s="171">
        <f ca="1">IF(OR($D301&lt;&gt;"Serviço",AND(AUTOEVENTO="Manual",$M301=$A$15)),0,
         IF(OFFSET(CRONOPLE!$F$15,$M301-$A$15,BC$13)=0,10^12,OFFSET(CRONOPLE!$F$15,$M301-$A$15,BC$13)))</f>
        <v>1</v>
      </c>
      <c r="BD301" s="171">
        <f ca="1">IF(OR($D301&lt;&gt;"Serviço",AND(AUTOEVENTO="Manual",$M301=$A$15)),0,
         IF(OFFSET(CRONOPLE!$F$15,$M301-$A$15,BD$13)=0,10^12,OFFSET(CRONOPLE!$F$15,$M301-$A$15,BD$13)))</f>
        <v>2</v>
      </c>
      <c r="BE301" s="171">
        <f ca="1">IF(OR($D301&lt;&gt;"Serviço",AND(AUTOEVENTO="Manual",$M301=$A$15)),0,
         IF(OFFSET(CRONOPLE!$F$15,$M301-$A$15,BE$13)=0,10^12,OFFSET(CRONOPLE!$F$15,$M301-$A$15,BE$13)))</f>
        <v>3</v>
      </c>
      <c r="BF301" s="171">
        <f ca="1">IF(OR($D301&lt;&gt;"Serviço",AND(AUTOEVENTO="Manual",$M301=$A$15)),0,
         IF(OFFSET(CRONOPLE!$F$15,$M301-$A$15,BF$13)=0,10^12,OFFSET(CRONOPLE!$F$15,$M301-$A$15,BF$13)))</f>
        <v>4</v>
      </c>
      <c r="BG301" s="171">
        <f ca="1">IF(OR($D301&lt;&gt;"Serviço",AND(AUTOEVENTO="Manual",$M301=$A$15)),0,
         IF(OFFSET(CRONOPLE!$F$15,$M301-$A$15,BG$13)=0,10^12,OFFSET(CRONOPLE!$F$15,$M301-$A$15,BG$13)))</f>
        <v>5</v>
      </c>
      <c r="BH301" s="171">
        <f ca="1">IF(OR($D301&lt;&gt;"Serviço",AND(AUTOEVENTO="Manual",$M301=$A$15)),0,
         IF(OFFSET(CRONOPLE!$F$15,$M301-$A$15,BH$13)=0,10^12,OFFSET(CRONOPLE!$F$15,$M301-$A$15,BH$13)))</f>
        <v>6</v>
      </c>
      <c r="BI301" s="171">
        <f ca="1">IF(OR($D301&lt;&gt;"Serviço",AND(AUTOEVENTO="Manual",$M301=$A$15)),0,
         IF(OFFSET(CRONOPLE!$F$15,$M301-$A$15,BI$13)=0,10^12,OFFSET(CRONOPLE!$F$15,$M301-$A$15,BI$13)))</f>
        <v>7</v>
      </c>
      <c r="BJ301" s="171">
        <f ca="1">IF(OR($D301&lt;&gt;"Serviço",AND(AUTOEVENTO="Manual",$M301=$A$15)),0,
         IF(OFFSET(CRONOPLE!$F$15,$M301-$A$15,BJ$13)=0,10^12,OFFSET(CRONOPLE!$F$15,$M301-$A$15,BJ$13)))</f>
        <v>8</v>
      </c>
      <c r="BK301" s="171">
        <f ca="1">IF(OR($D301&lt;&gt;"Serviço",AND(AUTOEVENTO="Manual",$M301=$A$15)),0,
         IF(OFFSET(CRONOPLE!$F$15,$M301-$A$15,BK$13)=0,10^12,OFFSET(CRONOPLE!$F$15,$M301-$A$15,BK$13)))</f>
        <v>9</v>
      </c>
      <c r="BL301" s="171">
        <f ca="1">IF(OR($D301&lt;&gt;"Serviço",AND(AUTOEVENTO="Manual",$M301=$A$15)),0,
         IF(OFFSET(CRONOPLE!$F$15,$M301-$A$15,BL$13)=0,10^12,OFFSET(CRONOPLE!$F$15,$M301-$A$15,BL$13)))</f>
        <v>1000000000000</v>
      </c>
      <c r="BM301" s="171">
        <f ca="1">IF(OR($D301&lt;&gt;"Serviço",AND(AUTOEVENTO="Manual",$M301=$A$15)),0,
         IF(OFFSET(CRONOPLE!$F$15,$M301-$A$15,BM$13)=0,10^12,OFFSET(CRONOPLE!$F$15,$M301-$A$15,BM$13)))</f>
        <v>1000000000000</v>
      </c>
      <c r="BN301" s="171">
        <f ca="1">IF(OR($D301&lt;&gt;"Serviço",AND(AUTOEVENTO="Manual",$M301=$A$15)),0,
         IF(OFFSET(CRONOPLE!$F$15,$M301-$A$15,BN$13)=0,10^12,OFFSET(CRONOPLE!$F$15,$M301-$A$15,BN$13)))</f>
        <v>1000000000000</v>
      </c>
      <c r="BO301" s="171">
        <f ca="1">IF(OR($D301&lt;&gt;"Serviço",AND(AUTOEVENTO="Manual",$M301=$A$15)),0,
         IF(OFFSET(CRONOPLE!$F$15,$M301-$A$15,BO$13)=0,10^12,OFFSET(CRONOPLE!$F$15,$M301-$A$15,BO$13)))</f>
        <v>1000000000000</v>
      </c>
      <c r="BP301" s="171">
        <f ca="1">IF(OR($D301&lt;&gt;"Serviço",AND(AUTOEVENTO="Manual",$M301=$A$15)),0,
         IF(OFFSET(CRONOPLE!$F$15,$M301-$A$15,BP$13)=0,10^12,OFFSET(CRONOPLE!$F$15,$M301-$A$15,BP$13)))</f>
        <v>1000000000000</v>
      </c>
      <c r="BQ301" s="171">
        <f ca="1">IF(OR($D301&lt;&gt;"Serviço",AND(AUTOEVENTO="Manual",$M301=$A$15)),0,
         IF(OFFSET(CRONOPLE!$F$15,$M301-$A$15,BQ$13)=0,10^12,OFFSET(CRONOPLE!$F$15,$M301-$A$15,BQ$13)))</f>
        <v>1000000000000</v>
      </c>
      <c r="BR301" s="171">
        <f ca="1">IF(OR($D301&lt;&gt;"Serviço",AND(AUTOEVENTO="Manual",$M301=$A$15)),0,
         IF(OFFSET(CRONOPLE!$F$15,$M301-$A$15,BR$13)=0,10^12,OFFSET(CRONOPLE!$F$15,$M301-$A$15,BR$13)))</f>
        <v>1000000000000</v>
      </c>
      <c r="BS301" s="171">
        <f ca="1">IF(OR($D301&lt;&gt;"Serviço",AND(AUTOEVENTO="Manual",$M301=$A$15)),0,
         IF(OFFSET(CRONOPLE!$F$15,$M301-$A$15,BS$13)=0,10^12,OFFSET(CRONOPLE!$F$15,$M301-$A$15,BS$13)))</f>
        <v>1000000000000</v>
      </c>
      <c r="BT301" s="171">
        <f ca="1">IF(OR($D301&lt;&gt;"Serviço",AND(AUTOEVENTO="Manual",$M301=$A$15)),0,
         IF(OFFSET(CRONOPLE!$F$15,$M301-$A$15,BT$13)=0,10^12,OFFSET(CRONOPLE!$F$15,$M301-$A$15,BT$13)))</f>
        <v>1000000000000</v>
      </c>
      <c r="BV301" s="172">
        <f ca="1">IF(OR($D301&lt;&gt;"Serviço",AND(AUTOEVENTO="Manual",$M301=$A$15),$M301&gt;(ROW(PLE.lastrow)-ROW(PLE.firstrow))),0,
           IF(OFFSET(PLE!$G$15,$M301-$A$15,BV$13)="",10^12,OFFSET(PLE!$G$15,$M301-$A$15,BV$13)))</f>
        <v>1000000000000</v>
      </c>
      <c r="BW301" s="172">
        <f ca="1">IF(OR($D301&lt;&gt;"Serviço",AND(AUTOEVENTO="Manual",$M301=$A$15),$M301&gt;(ROW(PLE.lastrow)-ROW(PLE.firstrow))),0,
           IF(OFFSET(PLE!$G$15,$M301-$A$15,BW$13)="",10^12,OFFSET(PLE!$G$15,$M301-$A$15,BW$13)))</f>
        <v>1000000000000</v>
      </c>
      <c r="BX301" s="172">
        <f ca="1">IF(OR($D301&lt;&gt;"Serviço",AND(AUTOEVENTO="Manual",$M301=$A$15),$M301&gt;(ROW(PLE.lastrow)-ROW(PLE.firstrow))),0,
           IF(OFFSET(PLE!$G$15,$M301-$A$15,BX$13)="",10^12,OFFSET(PLE!$G$15,$M301-$A$15,BX$13)))</f>
        <v>1000000000000</v>
      </c>
      <c r="BY301" s="172">
        <f ca="1">IF(OR($D301&lt;&gt;"Serviço",AND(AUTOEVENTO="Manual",$M301=$A$15),$M301&gt;(ROW(PLE.lastrow)-ROW(PLE.firstrow))),0,
           IF(OFFSET(PLE!$G$15,$M301-$A$15,BY$13)="",10^12,OFFSET(PLE!$G$15,$M301-$A$15,BY$13)))</f>
        <v>1000000000000</v>
      </c>
      <c r="BZ301" s="172">
        <f ca="1">IF(OR($D301&lt;&gt;"Serviço",AND(AUTOEVENTO="Manual",$M301=$A$15),$M301&gt;(ROW(PLE.lastrow)-ROW(PLE.firstrow))),0,
           IF(OFFSET(PLE!$G$15,$M301-$A$15,BZ$13)="",10^12,OFFSET(PLE!$G$15,$M301-$A$15,BZ$13)))</f>
        <v>1000000000000</v>
      </c>
      <c r="CA301" s="172">
        <f ca="1">IF(OR($D301&lt;&gt;"Serviço",AND(AUTOEVENTO="Manual",$M301=$A$15),$M301&gt;(ROW(PLE.lastrow)-ROW(PLE.firstrow))),0,
           IF(OFFSET(PLE!$G$15,$M301-$A$15,CA$13)="",10^12,OFFSET(PLE!$G$15,$M301-$A$15,CA$13)))</f>
        <v>1000000000000</v>
      </c>
      <c r="CB301" s="172">
        <f ca="1">IF(OR($D301&lt;&gt;"Serviço",AND(AUTOEVENTO="Manual",$M301=$A$15),$M301&gt;(ROW(PLE.lastrow)-ROW(PLE.firstrow))),0,
           IF(OFFSET(PLE!$G$15,$M301-$A$15,CB$13)="",10^12,OFFSET(PLE!$G$15,$M301-$A$15,CB$13)))</f>
        <v>1000000000000</v>
      </c>
      <c r="CC301" s="172">
        <f ca="1">IF(OR($D301&lt;&gt;"Serviço",AND(AUTOEVENTO="Manual",$M301=$A$15),$M301&gt;(ROW(PLE.lastrow)-ROW(PLE.firstrow))),0,
           IF(OFFSET(PLE!$G$15,$M301-$A$15,CC$13)="",10^12,OFFSET(PLE!$G$15,$M301-$A$15,CC$13)))</f>
        <v>1000000000000</v>
      </c>
      <c r="CD301" s="172">
        <f ca="1">IF(OR($D301&lt;&gt;"Serviço",AND(AUTOEVENTO="Manual",$M301=$A$15),$M301&gt;(ROW(PLE.lastrow)-ROW(PLE.firstrow))),0,
           IF(OFFSET(PLE!$G$15,$M301-$A$15,CD$13)="",10^12,OFFSET(PLE!$G$15,$M301-$A$15,CD$13)))</f>
        <v>1000000000000</v>
      </c>
      <c r="CE301" s="172">
        <f ca="1">IF(OR($D301&lt;&gt;"Serviço",AND(AUTOEVENTO="Manual",$M301=$A$15),$M301&gt;(ROW(PLE.lastrow)-ROW(PLE.firstrow))),0,
           IF(OFFSET(PLE!$G$15,$M301-$A$15,CE$13)="",10^12,OFFSET(PLE!$G$15,$M301-$A$15,CE$13)))</f>
        <v>1000000000000</v>
      </c>
      <c r="CF301" s="172">
        <f ca="1">IF(OR($D301&lt;&gt;"Serviço",AND(AUTOEVENTO="Manual",$M301=$A$15),$M301&gt;(ROW(PLE.lastrow)-ROW(PLE.firstrow))),0,
           IF(OFFSET(PLE!$G$15,$M301-$A$15,CF$13)="",10^12,OFFSET(PLE!$G$15,$M301-$A$15,CF$13)))</f>
        <v>1000000000000</v>
      </c>
      <c r="CG301" s="172">
        <f ca="1">IF(OR($D301&lt;&gt;"Serviço",AND(AUTOEVENTO="Manual",$M301=$A$15),$M301&gt;(ROW(PLE.lastrow)-ROW(PLE.firstrow))),0,
           IF(OFFSET(PLE!$G$15,$M301-$A$15,CG$13)="",10^12,OFFSET(PLE!$G$15,$M301-$A$15,CG$13)))</f>
        <v>1000000000000</v>
      </c>
      <c r="CH301" s="172">
        <f ca="1">IF(OR($D301&lt;&gt;"Serviço",AND(AUTOEVENTO="Manual",$M301=$A$15),$M301&gt;(ROW(PLE.lastrow)-ROW(PLE.firstrow))),0,
           IF(OFFSET(PLE!$G$15,$M301-$A$15,CH$13)="",10^12,OFFSET(PLE!$G$15,$M301-$A$15,CH$13)))</f>
        <v>1000000000000</v>
      </c>
      <c r="CI301" s="172">
        <f ca="1">IF(OR($D301&lt;&gt;"Serviço",AND(AUTOEVENTO="Manual",$M301=$A$15),$M301&gt;(ROW(PLE.lastrow)-ROW(PLE.firstrow))),0,
           IF(OFFSET(PLE!$G$15,$M301-$A$15,CI$13)="",10^12,OFFSET(PLE!$G$15,$M301-$A$15,CI$13)))</f>
        <v>1000000000000</v>
      </c>
      <c r="CJ301" s="172">
        <f ca="1">IF(OR($D301&lt;&gt;"Serviço",AND(AUTOEVENTO="Manual",$M301=$A$15),$M301&gt;(ROW(PLE.lastrow)-ROW(PLE.firstrow))),0,
           IF(OFFSET(PLE!$G$15,$M301-$A$15,CJ$13)="",10^12,OFFSET(PLE!$G$15,$M301-$A$15,CJ$13)))</f>
        <v>1000000000000</v>
      </c>
      <c r="CK301" s="172">
        <f ca="1">IF(OR($D301&lt;&gt;"Serviço",AND(AUTOEVENTO="Manual",$M301=$A$15),$M301&gt;(ROW(PLE.lastrow)-ROW(PLE.firstrow))),0,
           IF(OFFSET(PLE!$G$15,$M301-$A$15,CK$13)="",10^12,OFFSET(PLE!$G$15,$M301-$A$15,CK$13)))</f>
        <v>1000000000000</v>
      </c>
      <c r="CL301" s="172">
        <f ca="1">IF(OR($D301&lt;&gt;"Serviço",AND(AUTOEVENTO="Manual",$M301=$A$15),$M301&gt;(ROW(PLE.lastrow)-ROW(PLE.firstrow))),0,
           IF(OFFSET(PLE!$G$15,$M301-$A$15,CL$13)="",10^12,OFFSET(PLE!$G$15,$M301-$A$15,CL$13)))</f>
        <v>1000000000000</v>
      </c>
      <c r="CM301" s="172">
        <f ca="1">IF(OR($D301&lt;&gt;"Serviço",AND(AUTOEVENTO="Manual",$M301=$A$15),$M301&gt;(ROW(PLE.lastrow)-ROW(PLE.firstrow))),0,
           IF(OFFSET(PLE!$G$15,$M301-$A$15,CM$13)="",10^12,OFFSET(PLE!$G$15,$M301-$A$15,CM$13)))</f>
        <v>1000000000000</v>
      </c>
    </row>
    <row r="302" spans="1:91" ht="12.75" x14ac:dyDescent="0.2">
      <c r="A302" s="7">
        <f t="shared" ca="1" si="14"/>
        <v>7</v>
      </c>
      <c r="B302" s="7">
        <f ca="1">OFFSET(ORÇAMENTO!C$15,ROW(B302)-ROW(B$15),0)</f>
        <v>3</v>
      </c>
      <c r="C302" s="7" t="str">
        <f ca="1">OFFSET(ORÇAMENTO!L$15,ROW(C302)-ROW(C$15),0)</f>
        <v>F</v>
      </c>
      <c r="D302" s="116" t="str">
        <f ca="1">OFFSET(ORÇAMENTO!N$15,ROW(D302)-ROW(D$15),0)</f>
        <v>Nível 3</v>
      </c>
      <c r="E302" s="117" t="str">
        <f ca="1">OFFSET(ORÇAMENTO!O$15,ROW(E302)-ROW(E$15),0)</f>
        <v>1.7.4.</v>
      </c>
      <c r="F302" s="163" t="str">
        <f ca="1">OFFSET(ORÇAMENTO!R$15,ROW(F302)-ROW(F$15),0)</f>
        <v>LEITOS DE SECAGEM</v>
      </c>
      <c r="G302" s="164" t="str">
        <f ca="1">IF($D302&lt;&gt;"Serviço","",OFFSET(ORÇAMENTO!S$15,ROW(G302)-ROW(G$15),0))</f>
        <v/>
      </c>
      <c r="H302" s="122" cm="1">
        <f t="array" aca="1" ref="H302" ca="1">IF($D302&lt;&gt;"Serviço",0,IF(ACOMPANHAMENTO="BM",ROUND(OFFSET(ORÇAMENTO!AJ$15,ROW(H302)-ROW(H$15),0),15-13*ORÇAMENTO!$AF$7),SUMPRODUCT(($Q$1:$AI$1=1)*ROUND($Q302:$AI302,15-13*ORÇAMENTO!$AF$7))))</f>
        <v>0</v>
      </c>
      <c r="I302" s="468"/>
      <c r="J302" s="640" t="str" cm="1">
        <f t="array" aca="1" ref="J302" ca="1">IF(OR(B302&lt;&gt;"S",CÁLCULO.FrentesPreenchidas=0),"",IF(AND(ACOMPANHAMENTO="PLE",AUTOEVENTO="Manual",OR(H302&gt;0,ORÇAMENTO!AC302="QUANT."),OR(K302="",M302=0,N302="")),"►E",IF(AND(ACOMPANHAMENTO="PLE",ORÇAMENTO!AC302="QUANT."),"►Q",IF(AND(ACOMPANHAMENTO="PLE",H302&lt;&gt;SUMPRODUCT(($Q$1:$AI$1=1)*ROUND(Q302:AI302,15))),"►S",IF(AND(COUNTIF($P$11:$AI$11,"▼")=0,H302&gt;0,I302=""),"◄M","")))))</f>
        <v/>
      </c>
      <c r="K302" s="641" t="s">
        <v>1365</v>
      </c>
      <c r="L302" s="165" t="s">
        <v>764</v>
      </c>
      <c r="M302" s="166" t="str">
        <f ca="1">IF($D302&lt;&gt;"Serviço","",
          IF(AUTOEVENTO="manual",$A302,
                IF(ISERROR(MATCH($A302,$A$15:OFFSET($A302,-1,0),0)),MAX($M$15:OFFSET(M302,-1,0))+1,
                      INDEX($M$15:OFFSET(M302,-1,0),MATCH($A302,$A$15:OFFSET($A302,-1,0),0)))))</f>
        <v/>
      </c>
      <c r="N302" s="167" t="str">
        <f ca="1">IF($D302&lt;&gt;"Serviço","",
         IF(AUTOEVENTO="Manual",
                IF($A302=0,"&lt;-- defina o número do agrupador",
                       OFFSET(EVENTOS!$D$15,$A302-$A$15,0)),
                OFFSET($F$15,$A302,0)))</f>
        <v/>
      </c>
      <c r="O302" s="168"/>
      <c r="Q302" s="168"/>
      <c r="R302" s="169"/>
      <c r="S302" s="169"/>
      <c r="T302" s="169"/>
      <c r="U302" s="169"/>
      <c r="V302" s="169"/>
      <c r="W302" s="169"/>
      <c r="X302" s="169"/>
      <c r="Y302" s="169"/>
      <c r="Z302" s="170"/>
      <c r="AA302" s="169"/>
      <c r="AB302" s="169"/>
      <c r="AC302" s="169"/>
      <c r="AD302" s="169"/>
      <c r="AE302" s="169"/>
      <c r="AF302" s="169"/>
      <c r="AG302" s="169"/>
      <c r="AH302" s="170"/>
      <c r="AJ302" s="453">
        <f ca="1">IF(AND($D302="Serviço",AJ$12&lt;&gt;0,$H302&gt;0,OR(AUTOEVENTO&lt;&gt;"manual",$M302&lt;&gt;$A$15)),
        IF(Import.TipoArredondamento&lt;&gt;"TransfereGOV",
              ROUND(OFFSET($P302,0,AJ$13),15-13*ORÇAMENTO!$AF$7)/$H302*OFFSET(ORÇAMENTO!$X$15,ROW(AJ302)-ROW(AJ$15),0),
              ROUND(ROUND(OFFSET($P302,0,AJ$13),15-13*ORÇAMENTO!$AF$7)*OFFSET(ORÇAMENTO!$W$15,ROW(AJ302)-ROW(AJ$15),0),15-13*ORÇAMENTO!$AF$11)),
         0)</f>
        <v>0</v>
      </c>
      <c r="AK302" s="453">
        <f ca="1">IF(AND($D302="Serviço",AK$12&lt;&gt;0,$H302&gt;0,OR(AUTOEVENTO&lt;&gt;"manual",$M302&lt;&gt;$A$15)),
        IF(Import.TipoArredondamento&lt;&gt;"TransfereGOV",
              ROUND(OFFSET($P302,0,AK$13),15-13*ORÇAMENTO!$AF$7)/$H302*OFFSET(ORÇAMENTO!$X$15,ROW(AK302)-ROW(AK$15),0),
              ROUND(ROUND(OFFSET($P302,0,AK$13),15-13*ORÇAMENTO!$AF$7)*OFFSET(ORÇAMENTO!$W$15,ROW(AK302)-ROW(AK$15),0),15-13*ORÇAMENTO!$AF$11)),
         0)</f>
        <v>0</v>
      </c>
      <c r="AL302" s="453">
        <f ca="1">IF(AND($D302="Serviço",AL$12&lt;&gt;0,$H302&gt;0,OR(AUTOEVENTO&lt;&gt;"manual",$M302&lt;&gt;$A$15)),
        IF(Import.TipoArredondamento&lt;&gt;"TransfereGOV",
              ROUND(OFFSET($P302,0,AL$13),15-13*ORÇAMENTO!$AF$7)/$H302*OFFSET(ORÇAMENTO!$X$15,ROW(AL302)-ROW(AL$15),0),
              ROUND(ROUND(OFFSET($P302,0,AL$13),15-13*ORÇAMENTO!$AF$7)*OFFSET(ORÇAMENTO!$W$15,ROW(AL302)-ROW(AL$15),0),15-13*ORÇAMENTO!$AF$11)),
         0)</f>
        <v>0</v>
      </c>
      <c r="AM302" s="453">
        <f ca="1">IF(AND($D302="Serviço",AM$12&lt;&gt;0,$H302&gt;0,OR(AUTOEVENTO&lt;&gt;"manual",$M302&lt;&gt;$A$15)),
        IF(Import.TipoArredondamento&lt;&gt;"TransfereGOV",
              ROUND(OFFSET($P302,0,AM$13),15-13*ORÇAMENTO!$AF$7)/$H302*OFFSET(ORÇAMENTO!$X$15,ROW(AM302)-ROW(AM$15),0),
              ROUND(ROUND(OFFSET($P302,0,AM$13),15-13*ORÇAMENTO!$AF$7)*OFFSET(ORÇAMENTO!$W$15,ROW(AM302)-ROW(AM$15),0),15-13*ORÇAMENTO!$AF$11)),
         0)</f>
        <v>0</v>
      </c>
      <c r="AN302" s="453">
        <f ca="1">IF(AND($D302="Serviço",AN$12&lt;&gt;0,$H302&gt;0,OR(AUTOEVENTO&lt;&gt;"manual",$M302&lt;&gt;$A$15)),
        IF(Import.TipoArredondamento&lt;&gt;"TransfereGOV",
              ROUND(OFFSET($P302,0,AN$13),15-13*ORÇAMENTO!$AF$7)/$H302*OFFSET(ORÇAMENTO!$X$15,ROW(AN302)-ROW(AN$15),0),
              ROUND(ROUND(OFFSET($P302,0,AN$13),15-13*ORÇAMENTO!$AF$7)*OFFSET(ORÇAMENTO!$W$15,ROW(AN302)-ROW(AN$15),0),15-13*ORÇAMENTO!$AF$11)),
         0)</f>
        <v>0</v>
      </c>
      <c r="AO302" s="453">
        <f ca="1">IF(AND($D302="Serviço",AO$12&lt;&gt;0,$H302&gt;0,OR(AUTOEVENTO&lt;&gt;"manual",$M302&lt;&gt;$A$15)),
        IF(Import.TipoArredondamento&lt;&gt;"TransfereGOV",
              ROUND(OFFSET($P302,0,AO$13),15-13*ORÇAMENTO!$AF$7)/$H302*OFFSET(ORÇAMENTO!$X$15,ROW(AO302)-ROW(AO$15),0),
              ROUND(ROUND(OFFSET($P302,0,AO$13),15-13*ORÇAMENTO!$AF$7)*OFFSET(ORÇAMENTO!$W$15,ROW(AO302)-ROW(AO$15),0),15-13*ORÇAMENTO!$AF$11)),
         0)</f>
        <v>0</v>
      </c>
      <c r="AP302" s="453">
        <f ca="1">IF(AND($D302="Serviço",AP$12&lt;&gt;0,$H302&gt;0,OR(AUTOEVENTO&lt;&gt;"manual",$M302&lt;&gt;$A$15)),
        IF(Import.TipoArredondamento&lt;&gt;"TransfereGOV",
              ROUND(OFFSET($P302,0,AP$13),15-13*ORÇAMENTO!$AF$7)/$H302*OFFSET(ORÇAMENTO!$X$15,ROW(AP302)-ROW(AP$15),0),
              ROUND(ROUND(OFFSET($P302,0,AP$13),15-13*ORÇAMENTO!$AF$7)*OFFSET(ORÇAMENTO!$W$15,ROW(AP302)-ROW(AP$15),0),15-13*ORÇAMENTO!$AF$11)),
         0)</f>
        <v>0</v>
      </c>
      <c r="AQ302" s="453">
        <f ca="1">IF(AND($D302="Serviço",AQ$12&lt;&gt;0,$H302&gt;0,OR(AUTOEVENTO&lt;&gt;"manual",$M302&lt;&gt;$A$15)),
        IF(Import.TipoArredondamento&lt;&gt;"TransfereGOV",
              ROUND(OFFSET($P302,0,AQ$13),15-13*ORÇAMENTO!$AF$7)/$H302*OFFSET(ORÇAMENTO!$X$15,ROW(AQ302)-ROW(AQ$15),0),
              ROUND(ROUND(OFFSET($P302,0,AQ$13),15-13*ORÇAMENTO!$AF$7)*OFFSET(ORÇAMENTO!$W$15,ROW(AQ302)-ROW(AQ$15),0),15-13*ORÇAMENTO!$AF$11)),
         0)</f>
        <v>0</v>
      </c>
      <c r="AR302" s="453">
        <f ca="1">IF(AND($D302="Serviço",AR$12&lt;&gt;0,$H302&gt;0,OR(AUTOEVENTO&lt;&gt;"manual",$M302&lt;&gt;$A$15)),
        IF(Import.TipoArredondamento&lt;&gt;"TransfereGOV",
              ROUND(OFFSET($P302,0,AR$13),15-13*ORÇAMENTO!$AF$7)/$H302*OFFSET(ORÇAMENTO!$X$15,ROW(AR302)-ROW(AR$15),0),
              ROUND(ROUND(OFFSET($P302,0,AR$13),15-13*ORÇAMENTO!$AF$7)*OFFSET(ORÇAMENTO!$W$15,ROW(AR302)-ROW(AR$15),0),15-13*ORÇAMENTO!$AF$11)),
         0)</f>
        <v>0</v>
      </c>
      <c r="AS302" s="453">
        <f ca="1">IF(AND($D302="Serviço",AS$12&lt;&gt;0,$H302&gt;0,OR(AUTOEVENTO&lt;&gt;"manual",$M302&lt;&gt;$A$15)),
        IF(Import.TipoArredondamento&lt;&gt;"TransfereGOV",
              ROUND(OFFSET($P302,0,AS$13),15-13*ORÇAMENTO!$AF$7)/$H302*OFFSET(ORÇAMENTO!$X$15,ROW(AS302)-ROW(AS$15),0),
              ROUND(ROUND(OFFSET($P302,0,AS$13),15-13*ORÇAMENTO!$AF$7)*OFFSET(ORÇAMENTO!$W$15,ROW(AS302)-ROW(AS$15),0),15-13*ORÇAMENTO!$AF$11)),
         0)</f>
        <v>0</v>
      </c>
      <c r="AT302" s="453">
        <f ca="1">IF(AND($D302="Serviço",AT$12&lt;&gt;0,$H302&gt;0,OR(AUTOEVENTO&lt;&gt;"manual",$M302&lt;&gt;$A$15)),
        IF(Import.TipoArredondamento&lt;&gt;"TransfereGOV",
              ROUND(OFFSET($P302,0,AT$13),15-13*ORÇAMENTO!$AF$7)/$H302*OFFSET(ORÇAMENTO!$X$15,ROW(AT302)-ROW(AT$15),0),
              ROUND(ROUND(OFFSET($P302,0,AT$13),15-13*ORÇAMENTO!$AF$7)*OFFSET(ORÇAMENTO!$W$15,ROW(AT302)-ROW(AT$15),0),15-13*ORÇAMENTO!$AF$11)),
         0)</f>
        <v>0</v>
      </c>
      <c r="AU302" s="453">
        <f ca="1">IF(AND($D302="Serviço",AU$12&lt;&gt;0,$H302&gt;0,OR(AUTOEVENTO&lt;&gt;"manual",$M302&lt;&gt;$A$15)),
        IF(Import.TipoArredondamento&lt;&gt;"TransfereGOV",
              ROUND(OFFSET($P302,0,AU$13),15-13*ORÇAMENTO!$AF$7)/$H302*OFFSET(ORÇAMENTO!$X$15,ROW(AU302)-ROW(AU$15),0),
              ROUND(ROUND(OFFSET($P302,0,AU$13),15-13*ORÇAMENTO!$AF$7)*OFFSET(ORÇAMENTO!$W$15,ROW(AU302)-ROW(AU$15),0),15-13*ORÇAMENTO!$AF$11)),
         0)</f>
        <v>0</v>
      </c>
      <c r="AV302" s="453">
        <f ca="1">IF(AND($D302="Serviço",AV$12&lt;&gt;0,$H302&gt;0,OR(AUTOEVENTO&lt;&gt;"manual",$M302&lt;&gt;$A$15)),
        IF(Import.TipoArredondamento&lt;&gt;"TransfereGOV",
              ROUND(OFFSET($P302,0,AV$13),15-13*ORÇAMENTO!$AF$7)/$H302*OFFSET(ORÇAMENTO!$X$15,ROW(AV302)-ROW(AV$15),0),
              ROUND(ROUND(OFFSET($P302,0,AV$13),15-13*ORÇAMENTO!$AF$7)*OFFSET(ORÇAMENTO!$W$15,ROW(AV302)-ROW(AV$15),0),15-13*ORÇAMENTO!$AF$11)),
         0)</f>
        <v>0</v>
      </c>
      <c r="AW302" s="453">
        <f ca="1">IF(AND($D302="Serviço",AW$12&lt;&gt;0,$H302&gt;0,OR(AUTOEVENTO&lt;&gt;"manual",$M302&lt;&gt;$A$15)),
        IF(Import.TipoArredondamento&lt;&gt;"TransfereGOV",
              ROUND(OFFSET($P302,0,AW$13),15-13*ORÇAMENTO!$AF$7)/$H302*OFFSET(ORÇAMENTO!$X$15,ROW(AW302)-ROW(AW$15),0),
              ROUND(ROUND(OFFSET($P302,0,AW$13),15-13*ORÇAMENTO!$AF$7)*OFFSET(ORÇAMENTO!$W$15,ROW(AW302)-ROW(AW$15),0),15-13*ORÇAMENTO!$AF$11)),
         0)</f>
        <v>0</v>
      </c>
      <c r="AX302" s="453">
        <f ca="1">IF(AND($D302="Serviço",AX$12&lt;&gt;0,$H302&gt;0,OR(AUTOEVENTO&lt;&gt;"manual",$M302&lt;&gt;$A$15)),
        IF(Import.TipoArredondamento&lt;&gt;"TransfereGOV",
              ROUND(OFFSET($P302,0,AX$13),15-13*ORÇAMENTO!$AF$7)/$H302*OFFSET(ORÇAMENTO!$X$15,ROW(AX302)-ROW(AX$15),0),
              ROUND(ROUND(OFFSET($P302,0,AX$13),15-13*ORÇAMENTO!$AF$7)*OFFSET(ORÇAMENTO!$W$15,ROW(AX302)-ROW(AX$15),0),15-13*ORÇAMENTO!$AF$11)),
         0)</f>
        <v>0</v>
      </c>
      <c r="AY302" s="453">
        <f ca="1">IF(AND($D302="Serviço",AY$12&lt;&gt;0,$H302&gt;0,OR(AUTOEVENTO&lt;&gt;"manual",$M302&lt;&gt;$A$15)),
        IF(Import.TipoArredondamento&lt;&gt;"TransfereGOV",
              ROUND(OFFSET($P302,0,AY$13),15-13*ORÇAMENTO!$AF$7)/$H302*OFFSET(ORÇAMENTO!$X$15,ROW(AY302)-ROW(AY$15),0),
              ROUND(ROUND(OFFSET($P302,0,AY$13),15-13*ORÇAMENTO!$AF$7)*OFFSET(ORÇAMENTO!$W$15,ROW(AY302)-ROW(AY$15),0),15-13*ORÇAMENTO!$AF$11)),
         0)</f>
        <v>0</v>
      </c>
      <c r="AZ302" s="453">
        <f ca="1">IF(AND($D302="Serviço",AZ$12&lt;&gt;0,$H302&gt;0,OR(AUTOEVENTO&lt;&gt;"manual",$M302&lt;&gt;$A$15)),
        IF(Import.TipoArredondamento&lt;&gt;"TransfereGOV",
              ROUND(OFFSET($P302,0,AZ$13),15-13*ORÇAMENTO!$AF$7)/$H302*OFFSET(ORÇAMENTO!$X$15,ROW(AZ302)-ROW(AZ$15),0),
              ROUND(ROUND(OFFSET($P302,0,AZ$13),15-13*ORÇAMENTO!$AF$7)*OFFSET(ORÇAMENTO!$W$15,ROW(AZ302)-ROW(AZ$15),0),15-13*ORÇAMENTO!$AF$11)),
         0)</f>
        <v>0</v>
      </c>
      <c r="BA302" s="453">
        <f ca="1">IF(AND($D302="Serviço",BA$12&lt;&gt;0,$H302&gt;0,OR(AUTOEVENTO&lt;&gt;"manual",$M302&lt;&gt;$A$15)),
        IF(Import.TipoArredondamento&lt;&gt;"TransfereGOV",
              ROUND(OFFSET($P302,0,BA$13),15-13*ORÇAMENTO!$AF$7)/$H302*OFFSET(ORÇAMENTO!$X$15,ROW(BA302)-ROW(BA$15),0),
              ROUND(ROUND(OFFSET($P302,0,BA$13),15-13*ORÇAMENTO!$AF$7)*OFFSET(ORÇAMENTO!$W$15,ROW(BA302)-ROW(BA$15),0),15-13*ORÇAMENTO!$AF$11)),
         0)</f>
        <v>0</v>
      </c>
      <c r="BC302" s="171">
        <f ca="1">IF(OR($D302&lt;&gt;"Serviço",AND(AUTOEVENTO="Manual",$M302=$A$15)),0,
         IF(OFFSET(CRONOPLE!$F$15,$M302-$A$15,BC$13)=0,10^12,OFFSET(CRONOPLE!$F$15,$M302-$A$15,BC$13)))</f>
        <v>0</v>
      </c>
      <c r="BD302" s="171">
        <f ca="1">IF(OR($D302&lt;&gt;"Serviço",AND(AUTOEVENTO="Manual",$M302=$A$15)),0,
         IF(OFFSET(CRONOPLE!$F$15,$M302-$A$15,BD$13)=0,10^12,OFFSET(CRONOPLE!$F$15,$M302-$A$15,BD$13)))</f>
        <v>0</v>
      </c>
      <c r="BE302" s="171">
        <f ca="1">IF(OR($D302&lt;&gt;"Serviço",AND(AUTOEVENTO="Manual",$M302=$A$15)),0,
         IF(OFFSET(CRONOPLE!$F$15,$M302-$A$15,BE$13)=0,10^12,OFFSET(CRONOPLE!$F$15,$M302-$A$15,BE$13)))</f>
        <v>0</v>
      </c>
      <c r="BF302" s="171">
        <f ca="1">IF(OR($D302&lt;&gt;"Serviço",AND(AUTOEVENTO="Manual",$M302=$A$15)),0,
         IF(OFFSET(CRONOPLE!$F$15,$M302-$A$15,BF$13)=0,10^12,OFFSET(CRONOPLE!$F$15,$M302-$A$15,BF$13)))</f>
        <v>0</v>
      </c>
      <c r="BG302" s="171">
        <f ca="1">IF(OR($D302&lt;&gt;"Serviço",AND(AUTOEVENTO="Manual",$M302=$A$15)),0,
         IF(OFFSET(CRONOPLE!$F$15,$M302-$A$15,BG$13)=0,10^12,OFFSET(CRONOPLE!$F$15,$M302-$A$15,BG$13)))</f>
        <v>0</v>
      </c>
      <c r="BH302" s="171">
        <f ca="1">IF(OR($D302&lt;&gt;"Serviço",AND(AUTOEVENTO="Manual",$M302=$A$15)),0,
         IF(OFFSET(CRONOPLE!$F$15,$M302-$A$15,BH$13)=0,10^12,OFFSET(CRONOPLE!$F$15,$M302-$A$15,BH$13)))</f>
        <v>0</v>
      </c>
      <c r="BI302" s="171">
        <f ca="1">IF(OR($D302&lt;&gt;"Serviço",AND(AUTOEVENTO="Manual",$M302=$A$15)),0,
         IF(OFFSET(CRONOPLE!$F$15,$M302-$A$15,BI$13)=0,10^12,OFFSET(CRONOPLE!$F$15,$M302-$A$15,BI$13)))</f>
        <v>0</v>
      </c>
      <c r="BJ302" s="171">
        <f ca="1">IF(OR($D302&lt;&gt;"Serviço",AND(AUTOEVENTO="Manual",$M302=$A$15)),0,
         IF(OFFSET(CRONOPLE!$F$15,$M302-$A$15,BJ$13)=0,10^12,OFFSET(CRONOPLE!$F$15,$M302-$A$15,BJ$13)))</f>
        <v>0</v>
      </c>
      <c r="BK302" s="171">
        <f ca="1">IF(OR($D302&lt;&gt;"Serviço",AND(AUTOEVENTO="Manual",$M302=$A$15)),0,
         IF(OFFSET(CRONOPLE!$F$15,$M302-$A$15,BK$13)=0,10^12,OFFSET(CRONOPLE!$F$15,$M302-$A$15,BK$13)))</f>
        <v>0</v>
      </c>
      <c r="BL302" s="171">
        <f ca="1">IF(OR($D302&lt;&gt;"Serviço",AND(AUTOEVENTO="Manual",$M302=$A$15)),0,
         IF(OFFSET(CRONOPLE!$F$15,$M302-$A$15,BL$13)=0,10^12,OFFSET(CRONOPLE!$F$15,$M302-$A$15,BL$13)))</f>
        <v>0</v>
      </c>
      <c r="BM302" s="171">
        <f ca="1">IF(OR($D302&lt;&gt;"Serviço",AND(AUTOEVENTO="Manual",$M302=$A$15)),0,
         IF(OFFSET(CRONOPLE!$F$15,$M302-$A$15,BM$13)=0,10^12,OFFSET(CRONOPLE!$F$15,$M302-$A$15,BM$13)))</f>
        <v>0</v>
      </c>
      <c r="BN302" s="171">
        <f ca="1">IF(OR($D302&lt;&gt;"Serviço",AND(AUTOEVENTO="Manual",$M302=$A$15)),0,
         IF(OFFSET(CRONOPLE!$F$15,$M302-$A$15,BN$13)=0,10^12,OFFSET(CRONOPLE!$F$15,$M302-$A$15,BN$13)))</f>
        <v>0</v>
      </c>
      <c r="BO302" s="171">
        <f ca="1">IF(OR($D302&lt;&gt;"Serviço",AND(AUTOEVENTO="Manual",$M302=$A$15)),0,
         IF(OFFSET(CRONOPLE!$F$15,$M302-$A$15,BO$13)=0,10^12,OFFSET(CRONOPLE!$F$15,$M302-$A$15,BO$13)))</f>
        <v>0</v>
      </c>
      <c r="BP302" s="171">
        <f ca="1">IF(OR($D302&lt;&gt;"Serviço",AND(AUTOEVENTO="Manual",$M302=$A$15)),0,
         IF(OFFSET(CRONOPLE!$F$15,$M302-$A$15,BP$13)=0,10^12,OFFSET(CRONOPLE!$F$15,$M302-$A$15,BP$13)))</f>
        <v>0</v>
      </c>
      <c r="BQ302" s="171">
        <f ca="1">IF(OR($D302&lt;&gt;"Serviço",AND(AUTOEVENTO="Manual",$M302=$A$15)),0,
         IF(OFFSET(CRONOPLE!$F$15,$M302-$A$15,BQ$13)=0,10^12,OFFSET(CRONOPLE!$F$15,$M302-$A$15,BQ$13)))</f>
        <v>0</v>
      </c>
      <c r="BR302" s="171">
        <f ca="1">IF(OR($D302&lt;&gt;"Serviço",AND(AUTOEVENTO="Manual",$M302=$A$15)),0,
         IF(OFFSET(CRONOPLE!$F$15,$M302-$A$15,BR$13)=0,10^12,OFFSET(CRONOPLE!$F$15,$M302-$A$15,BR$13)))</f>
        <v>0</v>
      </c>
      <c r="BS302" s="171">
        <f ca="1">IF(OR($D302&lt;&gt;"Serviço",AND(AUTOEVENTO="Manual",$M302=$A$15)),0,
         IF(OFFSET(CRONOPLE!$F$15,$M302-$A$15,BS$13)=0,10^12,OFFSET(CRONOPLE!$F$15,$M302-$A$15,BS$13)))</f>
        <v>0</v>
      </c>
      <c r="BT302" s="171">
        <f ca="1">IF(OR($D302&lt;&gt;"Serviço",AND(AUTOEVENTO="Manual",$M302=$A$15)),0,
         IF(OFFSET(CRONOPLE!$F$15,$M302-$A$15,BT$13)=0,10^12,OFFSET(CRONOPLE!$F$15,$M302-$A$15,BT$13)))</f>
        <v>0</v>
      </c>
      <c r="BV302" s="172">
        <f ca="1">IF(OR($D302&lt;&gt;"Serviço",AND(AUTOEVENTO="Manual",$M302=$A$15),$M302&gt;(ROW(PLE.lastrow)-ROW(PLE.firstrow))),0,
           IF(OFFSET(PLE!$G$15,$M302-$A$15,BV$13)="",10^12,OFFSET(PLE!$G$15,$M302-$A$15,BV$13)))</f>
        <v>0</v>
      </c>
      <c r="BW302" s="172">
        <f ca="1">IF(OR($D302&lt;&gt;"Serviço",AND(AUTOEVENTO="Manual",$M302=$A$15),$M302&gt;(ROW(PLE.lastrow)-ROW(PLE.firstrow))),0,
           IF(OFFSET(PLE!$G$15,$M302-$A$15,BW$13)="",10^12,OFFSET(PLE!$G$15,$M302-$A$15,BW$13)))</f>
        <v>0</v>
      </c>
      <c r="BX302" s="172">
        <f ca="1">IF(OR($D302&lt;&gt;"Serviço",AND(AUTOEVENTO="Manual",$M302=$A$15),$M302&gt;(ROW(PLE.lastrow)-ROW(PLE.firstrow))),0,
           IF(OFFSET(PLE!$G$15,$M302-$A$15,BX$13)="",10^12,OFFSET(PLE!$G$15,$M302-$A$15,BX$13)))</f>
        <v>0</v>
      </c>
      <c r="BY302" s="172">
        <f ca="1">IF(OR($D302&lt;&gt;"Serviço",AND(AUTOEVENTO="Manual",$M302=$A$15),$M302&gt;(ROW(PLE.lastrow)-ROW(PLE.firstrow))),0,
           IF(OFFSET(PLE!$G$15,$M302-$A$15,BY$13)="",10^12,OFFSET(PLE!$G$15,$M302-$A$15,BY$13)))</f>
        <v>0</v>
      </c>
      <c r="BZ302" s="172">
        <f ca="1">IF(OR($D302&lt;&gt;"Serviço",AND(AUTOEVENTO="Manual",$M302=$A$15),$M302&gt;(ROW(PLE.lastrow)-ROW(PLE.firstrow))),0,
           IF(OFFSET(PLE!$G$15,$M302-$A$15,BZ$13)="",10^12,OFFSET(PLE!$G$15,$M302-$A$15,BZ$13)))</f>
        <v>0</v>
      </c>
      <c r="CA302" s="172">
        <f ca="1">IF(OR($D302&lt;&gt;"Serviço",AND(AUTOEVENTO="Manual",$M302=$A$15),$M302&gt;(ROW(PLE.lastrow)-ROW(PLE.firstrow))),0,
           IF(OFFSET(PLE!$G$15,$M302-$A$15,CA$13)="",10^12,OFFSET(PLE!$G$15,$M302-$A$15,CA$13)))</f>
        <v>0</v>
      </c>
      <c r="CB302" s="172">
        <f ca="1">IF(OR($D302&lt;&gt;"Serviço",AND(AUTOEVENTO="Manual",$M302=$A$15),$M302&gt;(ROW(PLE.lastrow)-ROW(PLE.firstrow))),0,
           IF(OFFSET(PLE!$G$15,$M302-$A$15,CB$13)="",10^12,OFFSET(PLE!$G$15,$M302-$A$15,CB$13)))</f>
        <v>0</v>
      </c>
      <c r="CC302" s="172">
        <f ca="1">IF(OR($D302&lt;&gt;"Serviço",AND(AUTOEVENTO="Manual",$M302=$A$15),$M302&gt;(ROW(PLE.lastrow)-ROW(PLE.firstrow))),0,
           IF(OFFSET(PLE!$G$15,$M302-$A$15,CC$13)="",10^12,OFFSET(PLE!$G$15,$M302-$A$15,CC$13)))</f>
        <v>0</v>
      </c>
      <c r="CD302" s="172">
        <f ca="1">IF(OR($D302&lt;&gt;"Serviço",AND(AUTOEVENTO="Manual",$M302=$A$15),$M302&gt;(ROW(PLE.lastrow)-ROW(PLE.firstrow))),0,
           IF(OFFSET(PLE!$G$15,$M302-$A$15,CD$13)="",10^12,OFFSET(PLE!$G$15,$M302-$A$15,CD$13)))</f>
        <v>0</v>
      </c>
      <c r="CE302" s="172">
        <f ca="1">IF(OR($D302&lt;&gt;"Serviço",AND(AUTOEVENTO="Manual",$M302=$A$15),$M302&gt;(ROW(PLE.lastrow)-ROW(PLE.firstrow))),0,
           IF(OFFSET(PLE!$G$15,$M302-$A$15,CE$13)="",10^12,OFFSET(PLE!$G$15,$M302-$A$15,CE$13)))</f>
        <v>0</v>
      </c>
      <c r="CF302" s="172">
        <f ca="1">IF(OR($D302&lt;&gt;"Serviço",AND(AUTOEVENTO="Manual",$M302=$A$15),$M302&gt;(ROW(PLE.lastrow)-ROW(PLE.firstrow))),0,
           IF(OFFSET(PLE!$G$15,$M302-$A$15,CF$13)="",10^12,OFFSET(PLE!$G$15,$M302-$A$15,CF$13)))</f>
        <v>0</v>
      </c>
      <c r="CG302" s="172">
        <f ca="1">IF(OR($D302&lt;&gt;"Serviço",AND(AUTOEVENTO="Manual",$M302=$A$15),$M302&gt;(ROW(PLE.lastrow)-ROW(PLE.firstrow))),0,
           IF(OFFSET(PLE!$G$15,$M302-$A$15,CG$13)="",10^12,OFFSET(PLE!$G$15,$M302-$A$15,CG$13)))</f>
        <v>0</v>
      </c>
      <c r="CH302" s="172">
        <f ca="1">IF(OR($D302&lt;&gt;"Serviço",AND(AUTOEVENTO="Manual",$M302=$A$15),$M302&gt;(ROW(PLE.lastrow)-ROW(PLE.firstrow))),0,
           IF(OFFSET(PLE!$G$15,$M302-$A$15,CH$13)="",10^12,OFFSET(PLE!$G$15,$M302-$A$15,CH$13)))</f>
        <v>0</v>
      </c>
      <c r="CI302" s="172">
        <f ca="1">IF(OR($D302&lt;&gt;"Serviço",AND(AUTOEVENTO="Manual",$M302=$A$15),$M302&gt;(ROW(PLE.lastrow)-ROW(PLE.firstrow))),0,
           IF(OFFSET(PLE!$G$15,$M302-$A$15,CI$13)="",10^12,OFFSET(PLE!$G$15,$M302-$A$15,CI$13)))</f>
        <v>0</v>
      </c>
      <c r="CJ302" s="172">
        <f ca="1">IF(OR($D302&lt;&gt;"Serviço",AND(AUTOEVENTO="Manual",$M302=$A$15),$M302&gt;(ROW(PLE.lastrow)-ROW(PLE.firstrow))),0,
           IF(OFFSET(PLE!$G$15,$M302-$A$15,CJ$13)="",10^12,OFFSET(PLE!$G$15,$M302-$A$15,CJ$13)))</f>
        <v>0</v>
      </c>
      <c r="CK302" s="172">
        <f ca="1">IF(OR($D302&lt;&gt;"Serviço",AND(AUTOEVENTO="Manual",$M302=$A$15),$M302&gt;(ROW(PLE.lastrow)-ROW(PLE.firstrow))),0,
           IF(OFFSET(PLE!$G$15,$M302-$A$15,CK$13)="",10^12,OFFSET(PLE!$G$15,$M302-$A$15,CK$13)))</f>
        <v>0</v>
      </c>
      <c r="CL302" s="172">
        <f ca="1">IF(OR($D302&lt;&gt;"Serviço",AND(AUTOEVENTO="Manual",$M302=$A$15),$M302&gt;(ROW(PLE.lastrow)-ROW(PLE.firstrow))),0,
           IF(OFFSET(PLE!$G$15,$M302-$A$15,CL$13)="",10^12,OFFSET(PLE!$G$15,$M302-$A$15,CL$13)))</f>
        <v>0</v>
      </c>
      <c r="CM302" s="172">
        <f ca="1">IF(OR($D302&lt;&gt;"Serviço",AND(AUTOEVENTO="Manual",$M302=$A$15),$M302&gt;(ROW(PLE.lastrow)-ROW(PLE.firstrow))),0,
           IF(OFFSET(PLE!$G$15,$M302-$A$15,CM$13)="",10^12,OFFSET(PLE!$G$15,$M302-$A$15,CM$13)))</f>
        <v>0</v>
      </c>
    </row>
    <row r="303" spans="1:91" ht="12.75" x14ac:dyDescent="0.2">
      <c r="A303" s="7">
        <f t="shared" ca="1" si="14"/>
        <v>7</v>
      </c>
      <c r="B303" s="7">
        <f ca="1">OFFSET(ORÇAMENTO!C$15,ROW(B303)-ROW(B$15),0)</f>
        <v>4</v>
      </c>
      <c r="C303" s="7" t="str">
        <f ca="1">OFFSET(ORÇAMENTO!L$15,ROW(C303)-ROW(C$15),0)</f>
        <v>F</v>
      </c>
      <c r="D303" s="116" t="str">
        <f ca="1">OFFSET(ORÇAMENTO!N$15,ROW(D303)-ROW(D$15),0)</f>
        <v>Nível 4</v>
      </c>
      <c r="E303" s="117" t="str">
        <f ca="1">OFFSET(ORÇAMENTO!O$15,ROW(E303)-ROW(E$15),0)</f>
        <v>1.7.4.1.</v>
      </c>
      <c r="F303" s="163" t="str">
        <f ca="1">OFFSET(ORÇAMENTO!R$15,ROW(F303)-ROW(F$15),0)</f>
        <v>FORNECIMENTO DE MATERIAIS</v>
      </c>
      <c r="G303" s="164" t="str">
        <f ca="1">IF($D303&lt;&gt;"Serviço","",OFFSET(ORÇAMENTO!S$15,ROW(G303)-ROW(G$15),0))</f>
        <v/>
      </c>
      <c r="H303" s="122" cm="1">
        <f t="array" aca="1" ref="H303" ca="1">IF($D303&lt;&gt;"Serviço",0,IF(ACOMPANHAMENTO="BM",ROUND(OFFSET(ORÇAMENTO!AJ$15,ROW(H303)-ROW(H$15),0),15-13*ORÇAMENTO!$AF$7),SUMPRODUCT(($Q$1:$AI$1=1)*ROUND($Q303:$AI303,15-13*ORÇAMENTO!$AF$7))))</f>
        <v>0</v>
      </c>
      <c r="I303" s="468"/>
      <c r="J303" s="640" t="str" cm="1">
        <f t="array" aca="1" ref="J303" ca="1">IF(OR(B303&lt;&gt;"S",CÁLCULO.FrentesPreenchidas=0),"",IF(AND(ACOMPANHAMENTO="PLE",AUTOEVENTO="Manual",OR(H303&gt;0,ORÇAMENTO!AC303="QUANT."),OR(K303="",M303=0,N303="")),"►E",IF(AND(ACOMPANHAMENTO="PLE",ORÇAMENTO!AC303="QUANT."),"►Q",IF(AND(ACOMPANHAMENTO="PLE",H303&lt;&gt;SUMPRODUCT(($Q$1:$AI$1=1)*ROUND(Q303:AI303,15))),"►S",IF(AND(COUNTIF($P$11:$AI$11,"▼")=0,H303&gt;0,I303=""),"◄M","")))))</f>
        <v/>
      </c>
      <c r="K303" s="641" t="s">
        <v>1365</v>
      </c>
      <c r="L303" s="165" t="s">
        <v>764</v>
      </c>
      <c r="M303" s="166" t="str">
        <f ca="1">IF($D303&lt;&gt;"Serviço","",
          IF(AUTOEVENTO="manual",$A303,
                IF(ISERROR(MATCH($A303,$A$15:OFFSET($A303,-1,0),0)),MAX($M$15:OFFSET(M303,-1,0))+1,
                      INDEX($M$15:OFFSET(M303,-1,0),MATCH($A303,$A$15:OFFSET($A303,-1,0),0)))))</f>
        <v/>
      </c>
      <c r="N303" s="167" t="str">
        <f ca="1">IF($D303&lt;&gt;"Serviço","",
         IF(AUTOEVENTO="Manual",
                IF($A303=0,"&lt;-- defina o número do agrupador",
                       OFFSET(EVENTOS!$D$15,$A303-$A$15,0)),
                OFFSET($F$15,$A303,0)))</f>
        <v/>
      </c>
      <c r="O303" s="168"/>
      <c r="Q303" s="168"/>
      <c r="R303" s="169"/>
      <c r="S303" s="169"/>
      <c r="T303" s="169"/>
      <c r="U303" s="169"/>
      <c r="V303" s="169"/>
      <c r="W303" s="169"/>
      <c r="X303" s="169"/>
      <c r="Y303" s="169"/>
      <c r="Z303" s="170"/>
      <c r="AA303" s="169"/>
      <c r="AB303" s="169"/>
      <c r="AC303" s="169"/>
      <c r="AD303" s="169"/>
      <c r="AE303" s="169"/>
      <c r="AF303" s="169"/>
      <c r="AG303" s="169"/>
      <c r="AH303" s="170"/>
      <c r="AJ303" s="453">
        <f ca="1">IF(AND($D303="Serviço",AJ$12&lt;&gt;0,$H303&gt;0,OR(AUTOEVENTO&lt;&gt;"manual",$M303&lt;&gt;$A$15)),
        IF(Import.TipoArredondamento&lt;&gt;"TransfereGOV",
              ROUND(OFFSET($P303,0,AJ$13),15-13*ORÇAMENTO!$AF$7)/$H303*OFFSET(ORÇAMENTO!$X$15,ROW(AJ303)-ROW(AJ$15),0),
              ROUND(ROUND(OFFSET($P303,0,AJ$13),15-13*ORÇAMENTO!$AF$7)*OFFSET(ORÇAMENTO!$W$15,ROW(AJ303)-ROW(AJ$15),0),15-13*ORÇAMENTO!$AF$11)),
         0)</f>
        <v>0</v>
      </c>
      <c r="AK303" s="453">
        <f ca="1">IF(AND($D303="Serviço",AK$12&lt;&gt;0,$H303&gt;0,OR(AUTOEVENTO&lt;&gt;"manual",$M303&lt;&gt;$A$15)),
        IF(Import.TipoArredondamento&lt;&gt;"TransfereGOV",
              ROUND(OFFSET($P303,0,AK$13),15-13*ORÇAMENTO!$AF$7)/$H303*OFFSET(ORÇAMENTO!$X$15,ROW(AK303)-ROW(AK$15),0),
              ROUND(ROUND(OFFSET($P303,0,AK$13),15-13*ORÇAMENTO!$AF$7)*OFFSET(ORÇAMENTO!$W$15,ROW(AK303)-ROW(AK$15),0),15-13*ORÇAMENTO!$AF$11)),
         0)</f>
        <v>0</v>
      </c>
      <c r="AL303" s="453">
        <f ca="1">IF(AND($D303="Serviço",AL$12&lt;&gt;0,$H303&gt;0,OR(AUTOEVENTO&lt;&gt;"manual",$M303&lt;&gt;$A$15)),
        IF(Import.TipoArredondamento&lt;&gt;"TransfereGOV",
              ROUND(OFFSET($P303,0,AL$13),15-13*ORÇAMENTO!$AF$7)/$H303*OFFSET(ORÇAMENTO!$X$15,ROW(AL303)-ROW(AL$15),0),
              ROUND(ROUND(OFFSET($P303,0,AL$13),15-13*ORÇAMENTO!$AF$7)*OFFSET(ORÇAMENTO!$W$15,ROW(AL303)-ROW(AL$15),0),15-13*ORÇAMENTO!$AF$11)),
         0)</f>
        <v>0</v>
      </c>
      <c r="AM303" s="453">
        <f ca="1">IF(AND($D303="Serviço",AM$12&lt;&gt;0,$H303&gt;0,OR(AUTOEVENTO&lt;&gt;"manual",$M303&lt;&gt;$A$15)),
        IF(Import.TipoArredondamento&lt;&gt;"TransfereGOV",
              ROUND(OFFSET($P303,0,AM$13),15-13*ORÇAMENTO!$AF$7)/$H303*OFFSET(ORÇAMENTO!$X$15,ROW(AM303)-ROW(AM$15),0),
              ROUND(ROUND(OFFSET($P303,0,AM$13),15-13*ORÇAMENTO!$AF$7)*OFFSET(ORÇAMENTO!$W$15,ROW(AM303)-ROW(AM$15),0),15-13*ORÇAMENTO!$AF$11)),
         0)</f>
        <v>0</v>
      </c>
      <c r="AN303" s="453">
        <f ca="1">IF(AND($D303="Serviço",AN$12&lt;&gt;0,$H303&gt;0,OR(AUTOEVENTO&lt;&gt;"manual",$M303&lt;&gt;$A$15)),
        IF(Import.TipoArredondamento&lt;&gt;"TransfereGOV",
              ROUND(OFFSET($P303,0,AN$13),15-13*ORÇAMENTO!$AF$7)/$H303*OFFSET(ORÇAMENTO!$X$15,ROW(AN303)-ROW(AN$15),0),
              ROUND(ROUND(OFFSET($P303,0,AN$13),15-13*ORÇAMENTO!$AF$7)*OFFSET(ORÇAMENTO!$W$15,ROW(AN303)-ROW(AN$15),0),15-13*ORÇAMENTO!$AF$11)),
         0)</f>
        <v>0</v>
      </c>
      <c r="AO303" s="453">
        <f ca="1">IF(AND($D303="Serviço",AO$12&lt;&gt;0,$H303&gt;0,OR(AUTOEVENTO&lt;&gt;"manual",$M303&lt;&gt;$A$15)),
        IF(Import.TipoArredondamento&lt;&gt;"TransfereGOV",
              ROUND(OFFSET($P303,0,AO$13),15-13*ORÇAMENTO!$AF$7)/$H303*OFFSET(ORÇAMENTO!$X$15,ROW(AO303)-ROW(AO$15),0),
              ROUND(ROUND(OFFSET($P303,0,AO$13),15-13*ORÇAMENTO!$AF$7)*OFFSET(ORÇAMENTO!$W$15,ROW(AO303)-ROW(AO$15),0),15-13*ORÇAMENTO!$AF$11)),
         0)</f>
        <v>0</v>
      </c>
      <c r="AP303" s="453">
        <f ca="1">IF(AND($D303="Serviço",AP$12&lt;&gt;0,$H303&gt;0,OR(AUTOEVENTO&lt;&gt;"manual",$M303&lt;&gt;$A$15)),
        IF(Import.TipoArredondamento&lt;&gt;"TransfereGOV",
              ROUND(OFFSET($P303,0,AP$13),15-13*ORÇAMENTO!$AF$7)/$H303*OFFSET(ORÇAMENTO!$X$15,ROW(AP303)-ROW(AP$15),0),
              ROUND(ROUND(OFFSET($P303,0,AP$13),15-13*ORÇAMENTO!$AF$7)*OFFSET(ORÇAMENTO!$W$15,ROW(AP303)-ROW(AP$15),0),15-13*ORÇAMENTO!$AF$11)),
         0)</f>
        <v>0</v>
      </c>
      <c r="AQ303" s="453">
        <f ca="1">IF(AND($D303="Serviço",AQ$12&lt;&gt;0,$H303&gt;0,OR(AUTOEVENTO&lt;&gt;"manual",$M303&lt;&gt;$A$15)),
        IF(Import.TipoArredondamento&lt;&gt;"TransfereGOV",
              ROUND(OFFSET($P303,0,AQ$13),15-13*ORÇAMENTO!$AF$7)/$H303*OFFSET(ORÇAMENTO!$X$15,ROW(AQ303)-ROW(AQ$15),0),
              ROUND(ROUND(OFFSET($P303,0,AQ$13),15-13*ORÇAMENTO!$AF$7)*OFFSET(ORÇAMENTO!$W$15,ROW(AQ303)-ROW(AQ$15),0),15-13*ORÇAMENTO!$AF$11)),
         0)</f>
        <v>0</v>
      </c>
      <c r="AR303" s="453">
        <f ca="1">IF(AND($D303="Serviço",AR$12&lt;&gt;0,$H303&gt;0,OR(AUTOEVENTO&lt;&gt;"manual",$M303&lt;&gt;$A$15)),
        IF(Import.TipoArredondamento&lt;&gt;"TransfereGOV",
              ROUND(OFFSET($P303,0,AR$13),15-13*ORÇAMENTO!$AF$7)/$H303*OFFSET(ORÇAMENTO!$X$15,ROW(AR303)-ROW(AR$15),0),
              ROUND(ROUND(OFFSET($P303,0,AR$13),15-13*ORÇAMENTO!$AF$7)*OFFSET(ORÇAMENTO!$W$15,ROW(AR303)-ROW(AR$15),0),15-13*ORÇAMENTO!$AF$11)),
         0)</f>
        <v>0</v>
      </c>
      <c r="AS303" s="453">
        <f ca="1">IF(AND($D303="Serviço",AS$12&lt;&gt;0,$H303&gt;0,OR(AUTOEVENTO&lt;&gt;"manual",$M303&lt;&gt;$A$15)),
        IF(Import.TipoArredondamento&lt;&gt;"TransfereGOV",
              ROUND(OFFSET($P303,0,AS$13),15-13*ORÇAMENTO!$AF$7)/$H303*OFFSET(ORÇAMENTO!$X$15,ROW(AS303)-ROW(AS$15),0),
              ROUND(ROUND(OFFSET($P303,0,AS$13),15-13*ORÇAMENTO!$AF$7)*OFFSET(ORÇAMENTO!$W$15,ROW(AS303)-ROW(AS$15),0),15-13*ORÇAMENTO!$AF$11)),
         0)</f>
        <v>0</v>
      </c>
      <c r="AT303" s="453">
        <f ca="1">IF(AND($D303="Serviço",AT$12&lt;&gt;0,$H303&gt;0,OR(AUTOEVENTO&lt;&gt;"manual",$M303&lt;&gt;$A$15)),
        IF(Import.TipoArredondamento&lt;&gt;"TransfereGOV",
              ROUND(OFFSET($P303,0,AT$13),15-13*ORÇAMENTO!$AF$7)/$H303*OFFSET(ORÇAMENTO!$X$15,ROW(AT303)-ROW(AT$15),0),
              ROUND(ROUND(OFFSET($P303,0,AT$13),15-13*ORÇAMENTO!$AF$7)*OFFSET(ORÇAMENTO!$W$15,ROW(AT303)-ROW(AT$15),0),15-13*ORÇAMENTO!$AF$11)),
         0)</f>
        <v>0</v>
      </c>
      <c r="AU303" s="453">
        <f ca="1">IF(AND($D303="Serviço",AU$12&lt;&gt;0,$H303&gt;0,OR(AUTOEVENTO&lt;&gt;"manual",$M303&lt;&gt;$A$15)),
        IF(Import.TipoArredondamento&lt;&gt;"TransfereGOV",
              ROUND(OFFSET($P303,0,AU$13),15-13*ORÇAMENTO!$AF$7)/$H303*OFFSET(ORÇAMENTO!$X$15,ROW(AU303)-ROW(AU$15),0),
              ROUND(ROUND(OFFSET($P303,0,AU$13),15-13*ORÇAMENTO!$AF$7)*OFFSET(ORÇAMENTO!$W$15,ROW(AU303)-ROW(AU$15),0),15-13*ORÇAMENTO!$AF$11)),
         0)</f>
        <v>0</v>
      </c>
      <c r="AV303" s="453">
        <f ca="1">IF(AND($D303="Serviço",AV$12&lt;&gt;0,$H303&gt;0,OR(AUTOEVENTO&lt;&gt;"manual",$M303&lt;&gt;$A$15)),
        IF(Import.TipoArredondamento&lt;&gt;"TransfereGOV",
              ROUND(OFFSET($P303,0,AV$13),15-13*ORÇAMENTO!$AF$7)/$H303*OFFSET(ORÇAMENTO!$X$15,ROW(AV303)-ROW(AV$15),0),
              ROUND(ROUND(OFFSET($P303,0,AV$13),15-13*ORÇAMENTO!$AF$7)*OFFSET(ORÇAMENTO!$W$15,ROW(AV303)-ROW(AV$15),0),15-13*ORÇAMENTO!$AF$11)),
         0)</f>
        <v>0</v>
      </c>
      <c r="AW303" s="453">
        <f ca="1">IF(AND($D303="Serviço",AW$12&lt;&gt;0,$H303&gt;0,OR(AUTOEVENTO&lt;&gt;"manual",$M303&lt;&gt;$A$15)),
        IF(Import.TipoArredondamento&lt;&gt;"TransfereGOV",
              ROUND(OFFSET($P303,0,AW$13),15-13*ORÇAMENTO!$AF$7)/$H303*OFFSET(ORÇAMENTO!$X$15,ROW(AW303)-ROW(AW$15),0),
              ROUND(ROUND(OFFSET($P303,0,AW$13),15-13*ORÇAMENTO!$AF$7)*OFFSET(ORÇAMENTO!$W$15,ROW(AW303)-ROW(AW$15),0),15-13*ORÇAMENTO!$AF$11)),
         0)</f>
        <v>0</v>
      </c>
      <c r="AX303" s="453">
        <f ca="1">IF(AND($D303="Serviço",AX$12&lt;&gt;0,$H303&gt;0,OR(AUTOEVENTO&lt;&gt;"manual",$M303&lt;&gt;$A$15)),
        IF(Import.TipoArredondamento&lt;&gt;"TransfereGOV",
              ROUND(OFFSET($P303,0,AX$13),15-13*ORÇAMENTO!$AF$7)/$H303*OFFSET(ORÇAMENTO!$X$15,ROW(AX303)-ROW(AX$15),0),
              ROUND(ROUND(OFFSET($P303,0,AX$13),15-13*ORÇAMENTO!$AF$7)*OFFSET(ORÇAMENTO!$W$15,ROW(AX303)-ROW(AX$15),0),15-13*ORÇAMENTO!$AF$11)),
         0)</f>
        <v>0</v>
      </c>
      <c r="AY303" s="453">
        <f ca="1">IF(AND($D303="Serviço",AY$12&lt;&gt;0,$H303&gt;0,OR(AUTOEVENTO&lt;&gt;"manual",$M303&lt;&gt;$A$15)),
        IF(Import.TipoArredondamento&lt;&gt;"TransfereGOV",
              ROUND(OFFSET($P303,0,AY$13),15-13*ORÇAMENTO!$AF$7)/$H303*OFFSET(ORÇAMENTO!$X$15,ROW(AY303)-ROW(AY$15),0),
              ROUND(ROUND(OFFSET($P303,0,AY$13),15-13*ORÇAMENTO!$AF$7)*OFFSET(ORÇAMENTO!$W$15,ROW(AY303)-ROW(AY$15),0),15-13*ORÇAMENTO!$AF$11)),
         0)</f>
        <v>0</v>
      </c>
      <c r="AZ303" s="453">
        <f ca="1">IF(AND($D303="Serviço",AZ$12&lt;&gt;0,$H303&gt;0,OR(AUTOEVENTO&lt;&gt;"manual",$M303&lt;&gt;$A$15)),
        IF(Import.TipoArredondamento&lt;&gt;"TransfereGOV",
              ROUND(OFFSET($P303,0,AZ$13),15-13*ORÇAMENTO!$AF$7)/$H303*OFFSET(ORÇAMENTO!$X$15,ROW(AZ303)-ROW(AZ$15),0),
              ROUND(ROUND(OFFSET($P303,0,AZ$13),15-13*ORÇAMENTO!$AF$7)*OFFSET(ORÇAMENTO!$W$15,ROW(AZ303)-ROW(AZ$15),0),15-13*ORÇAMENTO!$AF$11)),
         0)</f>
        <v>0</v>
      </c>
      <c r="BA303" s="453">
        <f ca="1">IF(AND($D303="Serviço",BA$12&lt;&gt;0,$H303&gt;0,OR(AUTOEVENTO&lt;&gt;"manual",$M303&lt;&gt;$A$15)),
        IF(Import.TipoArredondamento&lt;&gt;"TransfereGOV",
              ROUND(OFFSET($P303,0,BA$13),15-13*ORÇAMENTO!$AF$7)/$H303*OFFSET(ORÇAMENTO!$X$15,ROW(BA303)-ROW(BA$15),0),
              ROUND(ROUND(OFFSET($P303,0,BA$13),15-13*ORÇAMENTO!$AF$7)*OFFSET(ORÇAMENTO!$W$15,ROW(BA303)-ROW(BA$15),0),15-13*ORÇAMENTO!$AF$11)),
         0)</f>
        <v>0</v>
      </c>
      <c r="BC303" s="171">
        <f ca="1">IF(OR($D303&lt;&gt;"Serviço",AND(AUTOEVENTO="Manual",$M303=$A$15)),0,
         IF(OFFSET(CRONOPLE!$F$15,$M303-$A$15,BC$13)=0,10^12,OFFSET(CRONOPLE!$F$15,$M303-$A$15,BC$13)))</f>
        <v>0</v>
      </c>
      <c r="BD303" s="171">
        <f ca="1">IF(OR($D303&lt;&gt;"Serviço",AND(AUTOEVENTO="Manual",$M303=$A$15)),0,
         IF(OFFSET(CRONOPLE!$F$15,$M303-$A$15,BD$13)=0,10^12,OFFSET(CRONOPLE!$F$15,$M303-$A$15,BD$13)))</f>
        <v>0</v>
      </c>
      <c r="BE303" s="171">
        <f ca="1">IF(OR($D303&lt;&gt;"Serviço",AND(AUTOEVENTO="Manual",$M303=$A$15)),0,
         IF(OFFSET(CRONOPLE!$F$15,$M303-$A$15,BE$13)=0,10^12,OFFSET(CRONOPLE!$F$15,$M303-$A$15,BE$13)))</f>
        <v>0</v>
      </c>
      <c r="BF303" s="171">
        <f ca="1">IF(OR($D303&lt;&gt;"Serviço",AND(AUTOEVENTO="Manual",$M303=$A$15)),0,
         IF(OFFSET(CRONOPLE!$F$15,$M303-$A$15,BF$13)=0,10^12,OFFSET(CRONOPLE!$F$15,$M303-$A$15,BF$13)))</f>
        <v>0</v>
      </c>
      <c r="BG303" s="171">
        <f ca="1">IF(OR($D303&lt;&gt;"Serviço",AND(AUTOEVENTO="Manual",$M303=$A$15)),0,
         IF(OFFSET(CRONOPLE!$F$15,$M303-$A$15,BG$13)=0,10^12,OFFSET(CRONOPLE!$F$15,$M303-$A$15,BG$13)))</f>
        <v>0</v>
      </c>
      <c r="BH303" s="171">
        <f ca="1">IF(OR($D303&lt;&gt;"Serviço",AND(AUTOEVENTO="Manual",$M303=$A$15)),0,
         IF(OFFSET(CRONOPLE!$F$15,$M303-$A$15,BH$13)=0,10^12,OFFSET(CRONOPLE!$F$15,$M303-$A$15,BH$13)))</f>
        <v>0</v>
      </c>
      <c r="BI303" s="171">
        <f ca="1">IF(OR($D303&lt;&gt;"Serviço",AND(AUTOEVENTO="Manual",$M303=$A$15)),0,
         IF(OFFSET(CRONOPLE!$F$15,$M303-$A$15,BI$13)=0,10^12,OFFSET(CRONOPLE!$F$15,$M303-$A$15,BI$13)))</f>
        <v>0</v>
      </c>
      <c r="BJ303" s="171">
        <f ca="1">IF(OR($D303&lt;&gt;"Serviço",AND(AUTOEVENTO="Manual",$M303=$A$15)),0,
         IF(OFFSET(CRONOPLE!$F$15,$M303-$A$15,BJ$13)=0,10^12,OFFSET(CRONOPLE!$F$15,$M303-$A$15,BJ$13)))</f>
        <v>0</v>
      </c>
      <c r="BK303" s="171">
        <f ca="1">IF(OR($D303&lt;&gt;"Serviço",AND(AUTOEVENTO="Manual",$M303=$A$15)),0,
         IF(OFFSET(CRONOPLE!$F$15,$M303-$A$15,BK$13)=0,10^12,OFFSET(CRONOPLE!$F$15,$M303-$A$15,BK$13)))</f>
        <v>0</v>
      </c>
      <c r="BL303" s="171">
        <f ca="1">IF(OR($D303&lt;&gt;"Serviço",AND(AUTOEVENTO="Manual",$M303=$A$15)),0,
         IF(OFFSET(CRONOPLE!$F$15,$M303-$A$15,BL$13)=0,10^12,OFFSET(CRONOPLE!$F$15,$M303-$A$15,BL$13)))</f>
        <v>0</v>
      </c>
      <c r="BM303" s="171">
        <f ca="1">IF(OR($D303&lt;&gt;"Serviço",AND(AUTOEVENTO="Manual",$M303=$A$15)),0,
         IF(OFFSET(CRONOPLE!$F$15,$M303-$A$15,BM$13)=0,10^12,OFFSET(CRONOPLE!$F$15,$M303-$A$15,BM$13)))</f>
        <v>0</v>
      </c>
      <c r="BN303" s="171">
        <f ca="1">IF(OR($D303&lt;&gt;"Serviço",AND(AUTOEVENTO="Manual",$M303=$A$15)),0,
         IF(OFFSET(CRONOPLE!$F$15,$M303-$A$15,BN$13)=0,10^12,OFFSET(CRONOPLE!$F$15,$M303-$A$15,BN$13)))</f>
        <v>0</v>
      </c>
      <c r="BO303" s="171">
        <f ca="1">IF(OR($D303&lt;&gt;"Serviço",AND(AUTOEVENTO="Manual",$M303=$A$15)),0,
         IF(OFFSET(CRONOPLE!$F$15,$M303-$A$15,BO$13)=0,10^12,OFFSET(CRONOPLE!$F$15,$M303-$A$15,BO$13)))</f>
        <v>0</v>
      </c>
      <c r="BP303" s="171">
        <f ca="1">IF(OR($D303&lt;&gt;"Serviço",AND(AUTOEVENTO="Manual",$M303=$A$15)),0,
         IF(OFFSET(CRONOPLE!$F$15,$M303-$A$15,BP$13)=0,10^12,OFFSET(CRONOPLE!$F$15,$M303-$A$15,BP$13)))</f>
        <v>0</v>
      </c>
      <c r="BQ303" s="171">
        <f ca="1">IF(OR($D303&lt;&gt;"Serviço",AND(AUTOEVENTO="Manual",$M303=$A$15)),0,
         IF(OFFSET(CRONOPLE!$F$15,$M303-$A$15,BQ$13)=0,10^12,OFFSET(CRONOPLE!$F$15,$M303-$A$15,BQ$13)))</f>
        <v>0</v>
      </c>
      <c r="BR303" s="171">
        <f ca="1">IF(OR($D303&lt;&gt;"Serviço",AND(AUTOEVENTO="Manual",$M303=$A$15)),0,
         IF(OFFSET(CRONOPLE!$F$15,$M303-$A$15,BR$13)=0,10^12,OFFSET(CRONOPLE!$F$15,$M303-$A$15,BR$13)))</f>
        <v>0</v>
      </c>
      <c r="BS303" s="171">
        <f ca="1">IF(OR($D303&lt;&gt;"Serviço",AND(AUTOEVENTO="Manual",$M303=$A$15)),0,
         IF(OFFSET(CRONOPLE!$F$15,$M303-$A$15,BS$13)=0,10^12,OFFSET(CRONOPLE!$F$15,$M303-$A$15,BS$13)))</f>
        <v>0</v>
      </c>
      <c r="BT303" s="171">
        <f ca="1">IF(OR($D303&lt;&gt;"Serviço",AND(AUTOEVENTO="Manual",$M303=$A$15)),0,
         IF(OFFSET(CRONOPLE!$F$15,$M303-$A$15,BT$13)=0,10^12,OFFSET(CRONOPLE!$F$15,$M303-$A$15,BT$13)))</f>
        <v>0</v>
      </c>
      <c r="BV303" s="172">
        <f ca="1">IF(OR($D303&lt;&gt;"Serviço",AND(AUTOEVENTO="Manual",$M303=$A$15),$M303&gt;(ROW(PLE.lastrow)-ROW(PLE.firstrow))),0,
           IF(OFFSET(PLE!$G$15,$M303-$A$15,BV$13)="",10^12,OFFSET(PLE!$G$15,$M303-$A$15,BV$13)))</f>
        <v>0</v>
      </c>
      <c r="BW303" s="172">
        <f ca="1">IF(OR($D303&lt;&gt;"Serviço",AND(AUTOEVENTO="Manual",$M303=$A$15),$M303&gt;(ROW(PLE.lastrow)-ROW(PLE.firstrow))),0,
           IF(OFFSET(PLE!$G$15,$M303-$A$15,BW$13)="",10^12,OFFSET(PLE!$G$15,$M303-$A$15,BW$13)))</f>
        <v>0</v>
      </c>
      <c r="BX303" s="172">
        <f ca="1">IF(OR($D303&lt;&gt;"Serviço",AND(AUTOEVENTO="Manual",$M303=$A$15),$M303&gt;(ROW(PLE.lastrow)-ROW(PLE.firstrow))),0,
           IF(OFFSET(PLE!$G$15,$M303-$A$15,BX$13)="",10^12,OFFSET(PLE!$G$15,$M303-$A$15,BX$13)))</f>
        <v>0</v>
      </c>
      <c r="BY303" s="172">
        <f ca="1">IF(OR($D303&lt;&gt;"Serviço",AND(AUTOEVENTO="Manual",$M303=$A$15),$M303&gt;(ROW(PLE.lastrow)-ROW(PLE.firstrow))),0,
           IF(OFFSET(PLE!$G$15,$M303-$A$15,BY$13)="",10^12,OFFSET(PLE!$G$15,$M303-$A$15,BY$13)))</f>
        <v>0</v>
      </c>
      <c r="BZ303" s="172">
        <f ca="1">IF(OR($D303&lt;&gt;"Serviço",AND(AUTOEVENTO="Manual",$M303=$A$15),$M303&gt;(ROW(PLE.lastrow)-ROW(PLE.firstrow))),0,
           IF(OFFSET(PLE!$G$15,$M303-$A$15,BZ$13)="",10^12,OFFSET(PLE!$G$15,$M303-$A$15,BZ$13)))</f>
        <v>0</v>
      </c>
      <c r="CA303" s="172">
        <f ca="1">IF(OR($D303&lt;&gt;"Serviço",AND(AUTOEVENTO="Manual",$M303=$A$15),$M303&gt;(ROW(PLE.lastrow)-ROW(PLE.firstrow))),0,
           IF(OFFSET(PLE!$G$15,$M303-$A$15,CA$13)="",10^12,OFFSET(PLE!$G$15,$M303-$A$15,CA$13)))</f>
        <v>0</v>
      </c>
      <c r="CB303" s="172">
        <f ca="1">IF(OR($D303&lt;&gt;"Serviço",AND(AUTOEVENTO="Manual",$M303=$A$15),$M303&gt;(ROW(PLE.lastrow)-ROW(PLE.firstrow))),0,
           IF(OFFSET(PLE!$G$15,$M303-$A$15,CB$13)="",10^12,OFFSET(PLE!$G$15,$M303-$A$15,CB$13)))</f>
        <v>0</v>
      </c>
      <c r="CC303" s="172">
        <f ca="1">IF(OR($D303&lt;&gt;"Serviço",AND(AUTOEVENTO="Manual",$M303=$A$15),$M303&gt;(ROW(PLE.lastrow)-ROW(PLE.firstrow))),0,
           IF(OFFSET(PLE!$G$15,$M303-$A$15,CC$13)="",10^12,OFFSET(PLE!$G$15,$M303-$A$15,CC$13)))</f>
        <v>0</v>
      </c>
      <c r="CD303" s="172">
        <f ca="1">IF(OR($D303&lt;&gt;"Serviço",AND(AUTOEVENTO="Manual",$M303=$A$15),$M303&gt;(ROW(PLE.lastrow)-ROW(PLE.firstrow))),0,
           IF(OFFSET(PLE!$G$15,$M303-$A$15,CD$13)="",10^12,OFFSET(PLE!$G$15,$M303-$A$15,CD$13)))</f>
        <v>0</v>
      </c>
      <c r="CE303" s="172">
        <f ca="1">IF(OR($D303&lt;&gt;"Serviço",AND(AUTOEVENTO="Manual",$M303=$A$15),$M303&gt;(ROW(PLE.lastrow)-ROW(PLE.firstrow))),0,
           IF(OFFSET(PLE!$G$15,$M303-$A$15,CE$13)="",10^12,OFFSET(PLE!$G$15,$M303-$A$15,CE$13)))</f>
        <v>0</v>
      </c>
      <c r="CF303" s="172">
        <f ca="1">IF(OR($D303&lt;&gt;"Serviço",AND(AUTOEVENTO="Manual",$M303=$A$15),$M303&gt;(ROW(PLE.lastrow)-ROW(PLE.firstrow))),0,
           IF(OFFSET(PLE!$G$15,$M303-$A$15,CF$13)="",10^12,OFFSET(PLE!$G$15,$M303-$A$15,CF$13)))</f>
        <v>0</v>
      </c>
      <c r="CG303" s="172">
        <f ca="1">IF(OR($D303&lt;&gt;"Serviço",AND(AUTOEVENTO="Manual",$M303=$A$15),$M303&gt;(ROW(PLE.lastrow)-ROW(PLE.firstrow))),0,
           IF(OFFSET(PLE!$G$15,$M303-$A$15,CG$13)="",10^12,OFFSET(PLE!$G$15,$M303-$A$15,CG$13)))</f>
        <v>0</v>
      </c>
      <c r="CH303" s="172">
        <f ca="1">IF(OR($D303&lt;&gt;"Serviço",AND(AUTOEVENTO="Manual",$M303=$A$15),$M303&gt;(ROW(PLE.lastrow)-ROW(PLE.firstrow))),0,
           IF(OFFSET(PLE!$G$15,$M303-$A$15,CH$13)="",10^12,OFFSET(PLE!$G$15,$M303-$A$15,CH$13)))</f>
        <v>0</v>
      </c>
      <c r="CI303" s="172">
        <f ca="1">IF(OR($D303&lt;&gt;"Serviço",AND(AUTOEVENTO="Manual",$M303=$A$15),$M303&gt;(ROW(PLE.lastrow)-ROW(PLE.firstrow))),0,
           IF(OFFSET(PLE!$G$15,$M303-$A$15,CI$13)="",10^12,OFFSET(PLE!$G$15,$M303-$A$15,CI$13)))</f>
        <v>0</v>
      </c>
      <c r="CJ303" s="172">
        <f ca="1">IF(OR($D303&lt;&gt;"Serviço",AND(AUTOEVENTO="Manual",$M303=$A$15),$M303&gt;(ROW(PLE.lastrow)-ROW(PLE.firstrow))),0,
           IF(OFFSET(PLE!$G$15,$M303-$A$15,CJ$13)="",10^12,OFFSET(PLE!$G$15,$M303-$A$15,CJ$13)))</f>
        <v>0</v>
      </c>
      <c r="CK303" s="172">
        <f ca="1">IF(OR($D303&lt;&gt;"Serviço",AND(AUTOEVENTO="Manual",$M303=$A$15),$M303&gt;(ROW(PLE.lastrow)-ROW(PLE.firstrow))),0,
           IF(OFFSET(PLE!$G$15,$M303-$A$15,CK$13)="",10^12,OFFSET(PLE!$G$15,$M303-$A$15,CK$13)))</f>
        <v>0</v>
      </c>
      <c r="CL303" s="172">
        <f ca="1">IF(OR($D303&lt;&gt;"Serviço",AND(AUTOEVENTO="Manual",$M303=$A$15),$M303&gt;(ROW(PLE.lastrow)-ROW(PLE.firstrow))),0,
           IF(OFFSET(PLE!$G$15,$M303-$A$15,CL$13)="",10^12,OFFSET(PLE!$G$15,$M303-$A$15,CL$13)))</f>
        <v>0</v>
      </c>
      <c r="CM303" s="172">
        <f ca="1">IF(OR($D303&lt;&gt;"Serviço",AND(AUTOEVENTO="Manual",$M303=$A$15),$M303&gt;(ROW(PLE.lastrow)-ROW(PLE.firstrow))),0,
           IF(OFFSET(PLE!$G$15,$M303-$A$15,CM$13)="",10^12,OFFSET(PLE!$G$15,$M303-$A$15,CM$13)))</f>
        <v>0</v>
      </c>
    </row>
    <row r="304" spans="1:91" ht="63.75" x14ac:dyDescent="0.2">
      <c r="A304" s="7">
        <f t="shared" ca="1" si="14"/>
        <v>6</v>
      </c>
      <c r="B304" s="7" t="str">
        <f ca="1">OFFSET(ORÇAMENTO!C$15,ROW(B304)-ROW(B$15),0)</f>
        <v>S</v>
      </c>
      <c r="C304" s="7" t="str">
        <f ca="1">OFFSET(ORÇAMENTO!L$15,ROW(C304)-ROW(C$15),0)</f>
        <v>F</v>
      </c>
      <c r="D304" s="116" t="str">
        <f ca="1">OFFSET(ORÇAMENTO!N$15,ROW(D304)-ROW(D$15),0)</f>
        <v>Serviço</v>
      </c>
      <c r="E304" s="117" t="str">
        <f ca="1">OFFSET(ORÇAMENTO!O$15,ROW(E304)-ROW(E$15),0)</f>
        <v>1.7.4.1.1.</v>
      </c>
      <c r="F304" s="163" t="str">
        <f ca="1">OFFSET(ORÇAMENTO!R$15,ROW(F304)-ROW(F$15),0)</f>
        <v>CURVA 90 BOLSAS FoFo - DN 150 MM</v>
      </c>
      <c r="G304" s="164" t="str">
        <f ca="1">IF($D304&lt;&gt;"Serviço","",OFFSET(ORÇAMENTO!S$15,ROW(G304)-ROW(G$15),0))</f>
        <v>UN</v>
      </c>
      <c r="H304" s="122" cm="1">
        <f t="array" aca="1" ref="H304" ca="1">IF($D304&lt;&gt;"Serviço",0,IF(ACOMPANHAMENTO="BM",ROUND(OFFSET(ORÇAMENTO!AJ$15,ROW(H304)-ROW(H$15),0),15-13*ORÇAMENTO!$AF$7),SUMPRODUCT(($Q$1:$AI$1=1)*ROUND($Q304:$AI304,15-13*ORÇAMENTO!$AF$7))))</f>
        <v>7</v>
      </c>
      <c r="I304" s="468" t="s">
        <v>1355</v>
      </c>
      <c r="J304" s="640" t="str" cm="1">
        <f t="array" aca="1" ref="J304" ca="1">IF(OR(B304&lt;&gt;"S",CÁLCULO.FrentesPreenchidas=0),"",IF(AND(ACOMPANHAMENTO="PLE",AUTOEVENTO="Manual",OR(H304&gt;0,ORÇAMENTO!AC304="QUANT."),OR(K304="",M304=0,N304="")),"►E",IF(AND(ACOMPANHAMENTO="PLE",ORÇAMENTO!AC304="QUANT."),"►Q",IF(AND(ACOMPANHAMENTO="PLE",H304&lt;&gt;SUMPRODUCT(($Q$1:$AI$1=1)*ROUND(Q304:AI304,15))),"►S",IF(AND(COUNTIF($P$11:$AI$11,"▼")=0,H304&gt;0,I304=""),"◄M","")))))</f>
        <v/>
      </c>
      <c r="K304" s="641" t="s">
        <v>1385</v>
      </c>
      <c r="L304" s="165" t="s">
        <v>764</v>
      </c>
      <c r="M304" s="166">
        <f ca="1">IF($D304&lt;&gt;"Serviço","",
          IF(AUTOEVENTO="manual",$A304,
                IF(ISERROR(MATCH($A304,$A$15:OFFSET($A304,-1,0),0)),MAX($M$15:OFFSET(M304,-1,0))+1,
                      INDEX($M$15:OFFSET(M304,-1,0),MATCH($A304,$A$15:OFFSET($A304,-1,0),0)))))</f>
        <v>6</v>
      </c>
      <c r="N304" s="167" t="str">
        <f ca="1">IF($D304&lt;&gt;"Serviço","",
         IF(AUTOEVENTO="Manual",
                IF($A304=0,"&lt;-- defina o número do agrupador",
                       OFFSET(EVENTOS!$D$15,$A304-$A$15,0)),
                OFFSET($F$15,$A304,0)))</f>
        <v>Saneamento</v>
      </c>
      <c r="O304" s="168"/>
      <c r="Q304" s="168"/>
      <c r="R304" s="169"/>
      <c r="S304" s="169"/>
      <c r="T304" s="169"/>
      <c r="U304" s="169">
        <v>7</v>
      </c>
      <c r="V304" s="169"/>
      <c r="W304" s="169"/>
      <c r="X304" s="169"/>
      <c r="Y304" s="169"/>
      <c r="Z304" s="170"/>
      <c r="AA304" s="169"/>
      <c r="AB304" s="169"/>
      <c r="AC304" s="169"/>
      <c r="AD304" s="169"/>
      <c r="AE304" s="169"/>
      <c r="AF304" s="169"/>
      <c r="AG304" s="169"/>
      <c r="AH304" s="170"/>
      <c r="AJ304" s="453">
        <f ca="1">IF(AND($D304="Serviço",AJ$12&lt;&gt;0,$H304&gt;0,OR(AUTOEVENTO&lt;&gt;"manual",$M304&lt;&gt;$A$15)),
        IF(Import.TipoArredondamento&lt;&gt;"TransfereGOV",
              ROUND(OFFSET($P304,0,AJ$13),15-13*ORÇAMENTO!$AF$7)/$H304*OFFSET(ORÇAMENTO!$X$15,ROW(AJ304)-ROW(AJ$15),0),
              ROUND(ROUND(OFFSET($P304,0,AJ$13),15-13*ORÇAMENTO!$AF$7)*OFFSET(ORÇAMENTO!$W$15,ROW(AJ304)-ROW(AJ$15),0),15-13*ORÇAMENTO!$AF$11)),
         0)</f>
        <v>0</v>
      </c>
      <c r="AK304" s="453">
        <f ca="1">IF(AND($D304="Serviço",AK$12&lt;&gt;0,$H304&gt;0,OR(AUTOEVENTO&lt;&gt;"manual",$M304&lt;&gt;$A$15)),
        IF(Import.TipoArredondamento&lt;&gt;"TransfereGOV",
              ROUND(OFFSET($P304,0,AK$13),15-13*ORÇAMENTO!$AF$7)/$H304*OFFSET(ORÇAMENTO!$X$15,ROW(AK304)-ROW(AK$15),0),
              ROUND(ROUND(OFFSET($P304,0,AK$13),15-13*ORÇAMENTO!$AF$7)*OFFSET(ORÇAMENTO!$W$15,ROW(AK304)-ROW(AK$15),0),15-13*ORÇAMENTO!$AF$11)),
         0)</f>
        <v>0</v>
      </c>
      <c r="AL304" s="453">
        <f ca="1">IF(AND($D304="Serviço",AL$12&lt;&gt;0,$H304&gt;0,OR(AUTOEVENTO&lt;&gt;"manual",$M304&lt;&gt;$A$15)),
        IF(Import.TipoArredondamento&lt;&gt;"TransfereGOV",
              ROUND(OFFSET($P304,0,AL$13),15-13*ORÇAMENTO!$AF$7)/$H304*OFFSET(ORÇAMENTO!$X$15,ROW(AL304)-ROW(AL$15),0),
              ROUND(ROUND(OFFSET($P304,0,AL$13),15-13*ORÇAMENTO!$AF$7)*OFFSET(ORÇAMENTO!$W$15,ROW(AL304)-ROW(AL$15),0),15-13*ORÇAMENTO!$AF$11)),
         0)</f>
        <v>0</v>
      </c>
      <c r="AM304" s="453">
        <f ca="1">IF(AND($D304="Serviço",AM$12&lt;&gt;0,$H304&gt;0,OR(AUTOEVENTO&lt;&gt;"manual",$M304&lt;&gt;$A$15)),
        IF(Import.TipoArredondamento&lt;&gt;"TransfereGOV",
              ROUND(OFFSET($P304,0,AM$13),15-13*ORÇAMENTO!$AF$7)/$H304*OFFSET(ORÇAMENTO!$X$15,ROW(AM304)-ROW(AM$15),0),
              ROUND(ROUND(OFFSET($P304,0,AM$13),15-13*ORÇAMENTO!$AF$7)*OFFSET(ORÇAMENTO!$W$15,ROW(AM304)-ROW(AM$15),0),15-13*ORÇAMENTO!$AF$11)),
         0)</f>
        <v>0</v>
      </c>
      <c r="AN304" s="453">
        <f ca="1">IF(AND($D304="Serviço",AN$12&lt;&gt;0,$H304&gt;0,OR(AUTOEVENTO&lt;&gt;"manual",$M304&lt;&gt;$A$15)),
        IF(Import.TipoArredondamento&lt;&gt;"TransfereGOV",
              ROUND(OFFSET($P304,0,AN$13),15-13*ORÇAMENTO!$AF$7)/$H304*OFFSET(ORÇAMENTO!$X$15,ROW(AN304)-ROW(AN$15),0),
              ROUND(ROUND(OFFSET($P304,0,AN$13),15-13*ORÇAMENTO!$AF$7)*OFFSET(ORÇAMENTO!$W$15,ROW(AN304)-ROW(AN$15),0),15-13*ORÇAMENTO!$AF$11)),
         0)</f>
        <v>0</v>
      </c>
      <c r="AO304" s="453">
        <f ca="1">IF(AND($D304="Serviço",AO$12&lt;&gt;0,$H304&gt;0,OR(AUTOEVENTO&lt;&gt;"manual",$M304&lt;&gt;$A$15)),
        IF(Import.TipoArredondamento&lt;&gt;"TransfereGOV",
              ROUND(OFFSET($P304,0,AO$13),15-13*ORÇAMENTO!$AF$7)/$H304*OFFSET(ORÇAMENTO!$X$15,ROW(AO304)-ROW(AO$15),0),
              ROUND(ROUND(OFFSET($P304,0,AO$13),15-13*ORÇAMENTO!$AF$7)*OFFSET(ORÇAMENTO!$W$15,ROW(AO304)-ROW(AO$15),0),15-13*ORÇAMENTO!$AF$11)),
         0)</f>
        <v>0</v>
      </c>
      <c r="AP304" s="453">
        <f ca="1">IF(AND($D304="Serviço",AP$12&lt;&gt;0,$H304&gt;0,OR(AUTOEVENTO&lt;&gt;"manual",$M304&lt;&gt;$A$15)),
        IF(Import.TipoArredondamento&lt;&gt;"TransfereGOV",
              ROUND(OFFSET($P304,0,AP$13),15-13*ORÇAMENTO!$AF$7)/$H304*OFFSET(ORÇAMENTO!$X$15,ROW(AP304)-ROW(AP$15),0),
              ROUND(ROUND(OFFSET($P304,0,AP$13),15-13*ORÇAMENTO!$AF$7)*OFFSET(ORÇAMENTO!$W$15,ROW(AP304)-ROW(AP$15),0),15-13*ORÇAMENTO!$AF$11)),
         0)</f>
        <v>0</v>
      </c>
      <c r="AQ304" s="453">
        <f ca="1">IF(AND($D304="Serviço",AQ$12&lt;&gt;0,$H304&gt;0,OR(AUTOEVENTO&lt;&gt;"manual",$M304&lt;&gt;$A$15)),
        IF(Import.TipoArredondamento&lt;&gt;"TransfereGOV",
              ROUND(OFFSET($P304,0,AQ$13),15-13*ORÇAMENTO!$AF$7)/$H304*OFFSET(ORÇAMENTO!$X$15,ROW(AQ304)-ROW(AQ$15),0),
              ROUND(ROUND(OFFSET($P304,0,AQ$13),15-13*ORÇAMENTO!$AF$7)*OFFSET(ORÇAMENTO!$W$15,ROW(AQ304)-ROW(AQ$15),0),15-13*ORÇAMENTO!$AF$11)),
         0)</f>
        <v>0</v>
      </c>
      <c r="AR304" s="453">
        <f ca="1">IF(AND($D304="Serviço",AR$12&lt;&gt;0,$H304&gt;0,OR(AUTOEVENTO&lt;&gt;"manual",$M304&lt;&gt;$A$15)),
        IF(Import.TipoArredondamento&lt;&gt;"TransfereGOV",
              ROUND(OFFSET($P304,0,AR$13),15-13*ORÇAMENTO!$AF$7)/$H304*OFFSET(ORÇAMENTO!$X$15,ROW(AR304)-ROW(AR$15),0),
              ROUND(ROUND(OFFSET($P304,0,AR$13),15-13*ORÇAMENTO!$AF$7)*OFFSET(ORÇAMENTO!$W$15,ROW(AR304)-ROW(AR$15),0),15-13*ORÇAMENTO!$AF$11)),
         0)</f>
        <v>0</v>
      </c>
      <c r="AS304" s="453">
        <f ca="1">IF(AND($D304="Serviço",AS$12&lt;&gt;0,$H304&gt;0,OR(AUTOEVENTO&lt;&gt;"manual",$M304&lt;&gt;$A$15)),
        IF(Import.TipoArredondamento&lt;&gt;"TransfereGOV",
              ROUND(OFFSET($P304,0,AS$13),15-13*ORÇAMENTO!$AF$7)/$H304*OFFSET(ORÇAMENTO!$X$15,ROW(AS304)-ROW(AS$15),0),
              ROUND(ROUND(OFFSET($P304,0,AS$13),15-13*ORÇAMENTO!$AF$7)*OFFSET(ORÇAMENTO!$W$15,ROW(AS304)-ROW(AS$15),0),15-13*ORÇAMENTO!$AF$11)),
         0)</f>
        <v>0</v>
      </c>
      <c r="AT304" s="453">
        <f ca="1">IF(AND($D304="Serviço",AT$12&lt;&gt;0,$H304&gt;0,OR(AUTOEVENTO&lt;&gt;"manual",$M304&lt;&gt;$A$15)),
        IF(Import.TipoArredondamento&lt;&gt;"TransfereGOV",
              ROUND(OFFSET($P304,0,AT$13),15-13*ORÇAMENTO!$AF$7)/$H304*OFFSET(ORÇAMENTO!$X$15,ROW(AT304)-ROW(AT$15),0),
              ROUND(ROUND(OFFSET($P304,0,AT$13),15-13*ORÇAMENTO!$AF$7)*OFFSET(ORÇAMENTO!$W$15,ROW(AT304)-ROW(AT$15),0),15-13*ORÇAMENTO!$AF$11)),
         0)</f>
        <v>0</v>
      </c>
      <c r="AU304" s="453">
        <f ca="1">IF(AND($D304="Serviço",AU$12&lt;&gt;0,$H304&gt;0,OR(AUTOEVENTO&lt;&gt;"manual",$M304&lt;&gt;$A$15)),
        IF(Import.TipoArredondamento&lt;&gt;"TransfereGOV",
              ROUND(OFFSET($P304,0,AU$13),15-13*ORÇAMENTO!$AF$7)/$H304*OFFSET(ORÇAMENTO!$X$15,ROW(AU304)-ROW(AU$15),0),
              ROUND(ROUND(OFFSET($P304,0,AU$13),15-13*ORÇAMENTO!$AF$7)*OFFSET(ORÇAMENTO!$W$15,ROW(AU304)-ROW(AU$15),0),15-13*ORÇAMENTO!$AF$11)),
         0)</f>
        <v>0</v>
      </c>
      <c r="AV304" s="453">
        <f ca="1">IF(AND($D304="Serviço",AV$12&lt;&gt;0,$H304&gt;0,OR(AUTOEVENTO&lt;&gt;"manual",$M304&lt;&gt;$A$15)),
        IF(Import.TipoArredondamento&lt;&gt;"TransfereGOV",
              ROUND(OFFSET($P304,0,AV$13),15-13*ORÇAMENTO!$AF$7)/$H304*OFFSET(ORÇAMENTO!$X$15,ROW(AV304)-ROW(AV$15),0),
              ROUND(ROUND(OFFSET($P304,0,AV$13),15-13*ORÇAMENTO!$AF$7)*OFFSET(ORÇAMENTO!$W$15,ROW(AV304)-ROW(AV$15),0),15-13*ORÇAMENTO!$AF$11)),
         0)</f>
        <v>0</v>
      </c>
      <c r="AW304" s="453">
        <f ca="1">IF(AND($D304="Serviço",AW$12&lt;&gt;0,$H304&gt;0,OR(AUTOEVENTO&lt;&gt;"manual",$M304&lt;&gt;$A$15)),
        IF(Import.TipoArredondamento&lt;&gt;"TransfereGOV",
              ROUND(OFFSET($P304,0,AW$13),15-13*ORÇAMENTO!$AF$7)/$H304*OFFSET(ORÇAMENTO!$X$15,ROW(AW304)-ROW(AW$15),0),
              ROUND(ROUND(OFFSET($P304,0,AW$13),15-13*ORÇAMENTO!$AF$7)*OFFSET(ORÇAMENTO!$W$15,ROW(AW304)-ROW(AW$15),0),15-13*ORÇAMENTO!$AF$11)),
         0)</f>
        <v>0</v>
      </c>
      <c r="AX304" s="453">
        <f ca="1">IF(AND($D304="Serviço",AX$12&lt;&gt;0,$H304&gt;0,OR(AUTOEVENTO&lt;&gt;"manual",$M304&lt;&gt;$A$15)),
        IF(Import.TipoArredondamento&lt;&gt;"TransfereGOV",
              ROUND(OFFSET($P304,0,AX$13),15-13*ORÇAMENTO!$AF$7)/$H304*OFFSET(ORÇAMENTO!$X$15,ROW(AX304)-ROW(AX$15),0),
              ROUND(ROUND(OFFSET($P304,0,AX$13),15-13*ORÇAMENTO!$AF$7)*OFFSET(ORÇAMENTO!$W$15,ROW(AX304)-ROW(AX$15),0),15-13*ORÇAMENTO!$AF$11)),
         0)</f>
        <v>0</v>
      </c>
      <c r="AY304" s="453">
        <f ca="1">IF(AND($D304="Serviço",AY$12&lt;&gt;0,$H304&gt;0,OR(AUTOEVENTO&lt;&gt;"manual",$M304&lt;&gt;$A$15)),
        IF(Import.TipoArredondamento&lt;&gt;"TransfereGOV",
              ROUND(OFFSET($P304,0,AY$13),15-13*ORÇAMENTO!$AF$7)/$H304*OFFSET(ORÇAMENTO!$X$15,ROW(AY304)-ROW(AY$15),0),
              ROUND(ROUND(OFFSET($P304,0,AY$13),15-13*ORÇAMENTO!$AF$7)*OFFSET(ORÇAMENTO!$W$15,ROW(AY304)-ROW(AY$15),0),15-13*ORÇAMENTO!$AF$11)),
         0)</f>
        <v>0</v>
      </c>
      <c r="AZ304" s="453">
        <f ca="1">IF(AND($D304="Serviço",AZ$12&lt;&gt;0,$H304&gt;0,OR(AUTOEVENTO&lt;&gt;"manual",$M304&lt;&gt;$A$15)),
        IF(Import.TipoArredondamento&lt;&gt;"TransfereGOV",
              ROUND(OFFSET($P304,0,AZ$13),15-13*ORÇAMENTO!$AF$7)/$H304*OFFSET(ORÇAMENTO!$X$15,ROW(AZ304)-ROW(AZ$15),0),
              ROUND(ROUND(OFFSET($P304,0,AZ$13),15-13*ORÇAMENTO!$AF$7)*OFFSET(ORÇAMENTO!$W$15,ROW(AZ304)-ROW(AZ$15),0),15-13*ORÇAMENTO!$AF$11)),
         0)</f>
        <v>0</v>
      </c>
      <c r="BA304" s="453">
        <f ca="1">IF(AND($D304="Serviço",BA$12&lt;&gt;0,$H304&gt;0,OR(AUTOEVENTO&lt;&gt;"manual",$M304&lt;&gt;$A$15)),
        IF(Import.TipoArredondamento&lt;&gt;"TransfereGOV",
              ROUND(OFFSET($P304,0,BA$13),15-13*ORÇAMENTO!$AF$7)/$H304*OFFSET(ORÇAMENTO!$X$15,ROW(BA304)-ROW(BA$15),0),
              ROUND(ROUND(OFFSET($P304,0,BA$13),15-13*ORÇAMENTO!$AF$7)*OFFSET(ORÇAMENTO!$W$15,ROW(BA304)-ROW(BA$15),0),15-13*ORÇAMENTO!$AF$11)),
         0)</f>
        <v>0</v>
      </c>
      <c r="BC304" s="171">
        <f ca="1">IF(OR($D304&lt;&gt;"Serviço",AND(AUTOEVENTO="Manual",$M304=$A$15)),0,
         IF(OFFSET(CRONOPLE!$F$15,$M304-$A$15,BC$13)=0,10^12,OFFSET(CRONOPLE!$F$15,$M304-$A$15,BC$13)))</f>
        <v>1</v>
      </c>
      <c r="BD304" s="171">
        <f ca="1">IF(OR($D304&lt;&gt;"Serviço",AND(AUTOEVENTO="Manual",$M304=$A$15)),0,
         IF(OFFSET(CRONOPLE!$F$15,$M304-$A$15,BD$13)=0,10^12,OFFSET(CRONOPLE!$F$15,$M304-$A$15,BD$13)))</f>
        <v>2</v>
      </c>
      <c r="BE304" s="171">
        <f ca="1">IF(OR($D304&lt;&gt;"Serviço",AND(AUTOEVENTO="Manual",$M304=$A$15)),0,
         IF(OFFSET(CRONOPLE!$F$15,$M304-$A$15,BE$13)=0,10^12,OFFSET(CRONOPLE!$F$15,$M304-$A$15,BE$13)))</f>
        <v>3</v>
      </c>
      <c r="BF304" s="171">
        <f ca="1">IF(OR($D304&lt;&gt;"Serviço",AND(AUTOEVENTO="Manual",$M304=$A$15)),0,
         IF(OFFSET(CRONOPLE!$F$15,$M304-$A$15,BF$13)=0,10^12,OFFSET(CRONOPLE!$F$15,$M304-$A$15,BF$13)))</f>
        <v>4</v>
      </c>
      <c r="BG304" s="171">
        <f ca="1">IF(OR($D304&lt;&gt;"Serviço",AND(AUTOEVENTO="Manual",$M304=$A$15)),0,
         IF(OFFSET(CRONOPLE!$F$15,$M304-$A$15,BG$13)=0,10^12,OFFSET(CRONOPLE!$F$15,$M304-$A$15,BG$13)))</f>
        <v>5</v>
      </c>
      <c r="BH304" s="171">
        <f ca="1">IF(OR($D304&lt;&gt;"Serviço",AND(AUTOEVENTO="Manual",$M304=$A$15)),0,
         IF(OFFSET(CRONOPLE!$F$15,$M304-$A$15,BH$13)=0,10^12,OFFSET(CRONOPLE!$F$15,$M304-$A$15,BH$13)))</f>
        <v>6</v>
      </c>
      <c r="BI304" s="171">
        <f ca="1">IF(OR($D304&lt;&gt;"Serviço",AND(AUTOEVENTO="Manual",$M304=$A$15)),0,
         IF(OFFSET(CRONOPLE!$F$15,$M304-$A$15,BI$13)=0,10^12,OFFSET(CRONOPLE!$F$15,$M304-$A$15,BI$13)))</f>
        <v>7</v>
      </c>
      <c r="BJ304" s="171">
        <f ca="1">IF(OR($D304&lt;&gt;"Serviço",AND(AUTOEVENTO="Manual",$M304=$A$15)),0,
         IF(OFFSET(CRONOPLE!$F$15,$M304-$A$15,BJ$13)=0,10^12,OFFSET(CRONOPLE!$F$15,$M304-$A$15,BJ$13)))</f>
        <v>8</v>
      </c>
      <c r="BK304" s="171">
        <f ca="1">IF(OR($D304&lt;&gt;"Serviço",AND(AUTOEVENTO="Manual",$M304=$A$15)),0,
         IF(OFFSET(CRONOPLE!$F$15,$M304-$A$15,BK$13)=0,10^12,OFFSET(CRONOPLE!$F$15,$M304-$A$15,BK$13)))</f>
        <v>9</v>
      </c>
      <c r="BL304" s="171">
        <f ca="1">IF(OR($D304&lt;&gt;"Serviço",AND(AUTOEVENTO="Manual",$M304=$A$15)),0,
         IF(OFFSET(CRONOPLE!$F$15,$M304-$A$15,BL$13)=0,10^12,OFFSET(CRONOPLE!$F$15,$M304-$A$15,BL$13)))</f>
        <v>1000000000000</v>
      </c>
      <c r="BM304" s="171">
        <f ca="1">IF(OR($D304&lt;&gt;"Serviço",AND(AUTOEVENTO="Manual",$M304=$A$15)),0,
         IF(OFFSET(CRONOPLE!$F$15,$M304-$A$15,BM$13)=0,10^12,OFFSET(CRONOPLE!$F$15,$M304-$A$15,BM$13)))</f>
        <v>1000000000000</v>
      </c>
      <c r="BN304" s="171">
        <f ca="1">IF(OR($D304&lt;&gt;"Serviço",AND(AUTOEVENTO="Manual",$M304=$A$15)),0,
         IF(OFFSET(CRONOPLE!$F$15,$M304-$A$15,BN$13)=0,10^12,OFFSET(CRONOPLE!$F$15,$M304-$A$15,BN$13)))</f>
        <v>1000000000000</v>
      </c>
      <c r="BO304" s="171">
        <f ca="1">IF(OR($D304&lt;&gt;"Serviço",AND(AUTOEVENTO="Manual",$M304=$A$15)),0,
         IF(OFFSET(CRONOPLE!$F$15,$M304-$A$15,BO$13)=0,10^12,OFFSET(CRONOPLE!$F$15,$M304-$A$15,BO$13)))</f>
        <v>1000000000000</v>
      </c>
      <c r="BP304" s="171">
        <f ca="1">IF(OR($D304&lt;&gt;"Serviço",AND(AUTOEVENTO="Manual",$M304=$A$15)),0,
         IF(OFFSET(CRONOPLE!$F$15,$M304-$A$15,BP$13)=0,10^12,OFFSET(CRONOPLE!$F$15,$M304-$A$15,BP$13)))</f>
        <v>1000000000000</v>
      </c>
      <c r="BQ304" s="171">
        <f ca="1">IF(OR($D304&lt;&gt;"Serviço",AND(AUTOEVENTO="Manual",$M304=$A$15)),0,
         IF(OFFSET(CRONOPLE!$F$15,$M304-$A$15,BQ$13)=0,10^12,OFFSET(CRONOPLE!$F$15,$M304-$A$15,BQ$13)))</f>
        <v>1000000000000</v>
      </c>
      <c r="BR304" s="171">
        <f ca="1">IF(OR($D304&lt;&gt;"Serviço",AND(AUTOEVENTO="Manual",$M304=$A$15)),0,
         IF(OFFSET(CRONOPLE!$F$15,$M304-$A$15,BR$13)=0,10^12,OFFSET(CRONOPLE!$F$15,$M304-$A$15,BR$13)))</f>
        <v>1000000000000</v>
      </c>
      <c r="BS304" s="171">
        <f ca="1">IF(OR($D304&lt;&gt;"Serviço",AND(AUTOEVENTO="Manual",$M304=$A$15)),0,
         IF(OFFSET(CRONOPLE!$F$15,$M304-$A$15,BS$13)=0,10^12,OFFSET(CRONOPLE!$F$15,$M304-$A$15,BS$13)))</f>
        <v>1000000000000</v>
      </c>
      <c r="BT304" s="171">
        <f ca="1">IF(OR($D304&lt;&gt;"Serviço",AND(AUTOEVENTO="Manual",$M304=$A$15)),0,
         IF(OFFSET(CRONOPLE!$F$15,$M304-$A$15,BT$13)=0,10^12,OFFSET(CRONOPLE!$F$15,$M304-$A$15,BT$13)))</f>
        <v>1000000000000</v>
      </c>
      <c r="BV304" s="172">
        <f ca="1">IF(OR($D304&lt;&gt;"Serviço",AND(AUTOEVENTO="Manual",$M304=$A$15),$M304&gt;(ROW(PLE.lastrow)-ROW(PLE.firstrow))),0,
           IF(OFFSET(PLE!$G$15,$M304-$A$15,BV$13)="",10^12,OFFSET(PLE!$G$15,$M304-$A$15,BV$13)))</f>
        <v>1000000000000</v>
      </c>
      <c r="BW304" s="172">
        <f ca="1">IF(OR($D304&lt;&gt;"Serviço",AND(AUTOEVENTO="Manual",$M304=$A$15),$M304&gt;(ROW(PLE.lastrow)-ROW(PLE.firstrow))),0,
           IF(OFFSET(PLE!$G$15,$M304-$A$15,BW$13)="",10^12,OFFSET(PLE!$G$15,$M304-$A$15,BW$13)))</f>
        <v>1000000000000</v>
      </c>
      <c r="BX304" s="172">
        <f ca="1">IF(OR($D304&lt;&gt;"Serviço",AND(AUTOEVENTO="Manual",$M304=$A$15),$M304&gt;(ROW(PLE.lastrow)-ROW(PLE.firstrow))),0,
           IF(OFFSET(PLE!$G$15,$M304-$A$15,BX$13)="",10^12,OFFSET(PLE!$G$15,$M304-$A$15,BX$13)))</f>
        <v>1000000000000</v>
      </c>
      <c r="BY304" s="172">
        <f ca="1">IF(OR($D304&lt;&gt;"Serviço",AND(AUTOEVENTO="Manual",$M304=$A$15),$M304&gt;(ROW(PLE.lastrow)-ROW(PLE.firstrow))),0,
           IF(OFFSET(PLE!$G$15,$M304-$A$15,BY$13)="",10^12,OFFSET(PLE!$G$15,$M304-$A$15,BY$13)))</f>
        <v>1000000000000</v>
      </c>
      <c r="BZ304" s="172">
        <f ca="1">IF(OR($D304&lt;&gt;"Serviço",AND(AUTOEVENTO="Manual",$M304=$A$15),$M304&gt;(ROW(PLE.lastrow)-ROW(PLE.firstrow))),0,
           IF(OFFSET(PLE!$G$15,$M304-$A$15,BZ$13)="",10^12,OFFSET(PLE!$G$15,$M304-$A$15,BZ$13)))</f>
        <v>1000000000000</v>
      </c>
      <c r="CA304" s="172">
        <f ca="1">IF(OR($D304&lt;&gt;"Serviço",AND(AUTOEVENTO="Manual",$M304=$A$15),$M304&gt;(ROW(PLE.lastrow)-ROW(PLE.firstrow))),0,
           IF(OFFSET(PLE!$G$15,$M304-$A$15,CA$13)="",10^12,OFFSET(PLE!$G$15,$M304-$A$15,CA$13)))</f>
        <v>1000000000000</v>
      </c>
      <c r="CB304" s="172">
        <f ca="1">IF(OR($D304&lt;&gt;"Serviço",AND(AUTOEVENTO="Manual",$M304=$A$15),$M304&gt;(ROW(PLE.lastrow)-ROW(PLE.firstrow))),0,
           IF(OFFSET(PLE!$G$15,$M304-$A$15,CB$13)="",10^12,OFFSET(PLE!$G$15,$M304-$A$15,CB$13)))</f>
        <v>1000000000000</v>
      </c>
      <c r="CC304" s="172">
        <f ca="1">IF(OR($D304&lt;&gt;"Serviço",AND(AUTOEVENTO="Manual",$M304=$A$15),$M304&gt;(ROW(PLE.lastrow)-ROW(PLE.firstrow))),0,
           IF(OFFSET(PLE!$G$15,$M304-$A$15,CC$13)="",10^12,OFFSET(PLE!$G$15,$M304-$A$15,CC$13)))</f>
        <v>1000000000000</v>
      </c>
      <c r="CD304" s="172">
        <f ca="1">IF(OR($D304&lt;&gt;"Serviço",AND(AUTOEVENTO="Manual",$M304=$A$15),$M304&gt;(ROW(PLE.lastrow)-ROW(PLE.firstrow))),0,
           IF(OFFSET(PLE!$G$15,$M304-$A$15,CD$13)="",10^12,OFFSET(PLE!$G$15,$M304-$A$15,CD$13)))</f>
        <v>1000000000000</v>
      </c>
      <c r="CE304" s="172">
        <f ca="1">IF(OR($D304&lt;&gt;"Serviço",AND(AUTOEVENTO="Manual",$M304=$A$15),$M304&gt;(ROW(PLE.lastrow)-ROW(PLE.firstrow))),0,
           IF(OFFSET(PLE!$G$15,$M304-$A$15,CE$13)="",10^12,OFFSET(PLE!$G$15,$M304-$A$15,CE$13)))</f>
        <v>1000000000000</v>
      </c>
      <c r="CF304" s="172">
        <f ca="1">IF(OR($D304&lt;&gt;"Serviço",AND(AUTOEVENTO="Manual",$M304=$A$15),$M304&gt;(ROW(PLE.lastrow)-ROW(PLE.firstrow))),0,
           IF(OFFSET(PLE!$G$15,$M304-$A$15,CF$13)="",10^12,OFFSET(PLE!$G$15,$M304-$A$15,CF$13)))</f>
        <v>1000000000000</v>
      </c>
      <c r="CG304" s="172">
        <f ca="1">IF(OR($D304&lt;&gt;"Serviço",AND(AUTOEVENTO="Manual",$M304=$A$15),$M304&gt;(ROW(PLE.lastrow)-ROW(PLE.firstrow))),0,
           IF(OFFSET(PLE!$G$15,$M304-$A$15,CG$13)="",10^12,OFFSET(PLE!$G$15,$M304-$A$15,CG$13)))</f>
        <v>1000000000000</v>
      </c>
      <c r="CH304" s="172">
        <f ca="1">IF(OR($D304&lt;&gt;"Serviço",AND(AUTOEVENTO="Manual",$M304=$A$15),$M304&gt;(ROW(PLE.lastrow)-ROW(PLE.firstrow))),0,
           IF(OFFSET(PLE!$G$15,$M304-$A$15,CH$13)="",10^12,OFFSET(PLE!$G$15,$M304-$A$15,CH$13)))</f>
        <v>1000000000000</v>
      </c>
      <c r="CI304" s="172">
        <f ca="1">IF(OR($D304&lt;&gt;"Serviço",AND(AUTOEVENTO="Manual",$M304=$A$15),$M304&gt;(ROW(PLE.lastrow)-ROW(PLE.firstrow))),0,
           IF(OFFSET(PLE!$G$15,$M304-$A$15,CI$13)="",10^12,OFFSET(PLE!$G$15,$M304-$A$15,CI$13)))</f>
        <v>1000000000000</v>
      </c>
      <c r="CJ304" s="172">
        <f ca="1">IF(OR($D304&lt;&gt;"Serviço",AND(AUTOEVENTO="Manual",$M304=$A$15),$M304&gt;(ROW(PLE.lastrow)-ROW(PLE.firstrow))),0,
           IF(OFFSET(PLE!$G$15,$M304-$A$15,CJ$13)="",10^12,OFFSET(PLE!$G$15,$M304-$A$15,CJ$13)))</f>
        <v>1000000000000</v>
      </c>
      <c r="CK304" s="172">
        <f ca="1">IF(OR($D304&lt;&gt;"Serviço",AND(AUTOEVENTO="Manual",$M304=$A$15),$M304&gt;(ROW(PLE.lastrow)-ROW(PLE.firstrow))),0,
           IF(OFFSET(PLE!$G$15,$M304-$A$15,CK$13)="",10^12,OFFSET(PLE!$G$15,$M304-$A$15,CK$13)))</f>
        <v>1000000000000</v>
      </c>
      <c r="CL304" s="172">
        <f ca="1">IF(OR($D304&lt;&gt;"Serviço",AND(AUTOEVENTO="Manual",$M304=$A$15),$M304&gt;(ROW(PLE.lastrow)-ROW(PLE.firstrow))),0,
           IF(OFFSET(PLE!$G$15,$M304-$A$15,CL$13)="",10^12,OFFSET(PLE!$G$15,$M304-$A$15,CL$13)))</f>
        <v>1000000000000</v>
      </c>
      <c r="CM304" s="172">
        <f ca="1">IF(OR($D304&lt;&gt;"Serviço",AND(AUTOEVENTO="Manual",$M304=$A$15),$M304&gt;(ROW(PLE.lastrow)-ROW(PLE.firstrow))),0,
           IF(OFFSET(PLE!$G$15,$M304-$A$15,CM$13)="",10^12,OFFSET(PLE!$G$15,$M304-$A$15,CM$13)))</f>
        <v>1000000000000</v>
      </c>
    </row>
    <row r="305" spans="1:91" ht="63.75" x14ac:dyDescent="0.2">
      <c r="A305" s="7">
        <f t="shared" ca="1" si="14"/>
        <v>6</v>
      </c>
      <c r="B305" s="7" t="str">
        <f ca="1">OFFSET(ORÇAMENTO!C$15,ROW(B305)-ROW(B$15),0)</f>
        <v>S</v>
      </c>
      <c r="C305" s="7" t="str">
        <f ca="1">OFFSET(ORÇAMENTO!L$15,ROW(C305)-ROW(C$15),0)</f>
        <v>F</v>
      </c>
      <c r="D305" s="116" t="str">
        <f ca="1">OFFSET(ORÇAMENTO!N$15,ROW(D305)-ROW(D$15),0)</f>
        <v>Serviço</v>
      </c>
      <c r="E305" s="117" t="str">
        <f ca="1">OFFSET(ORÇAMENTO!O$15,ROW(E305)-ROW(E$15),0)</f>
        <v>1.7.4.1.2.</v>
      </c>
      <c r="F305" s="163" t="str">
        <f ca="1">OFFSET(ORÇAMENTO!R$15,ROW(F305)-ROW(F$15),0)</f>
        <v>TUBO PONTA/FLANGE FoFo L = 0,90 M - DN 150 MM</v>
      </c>
      <c r="G305" s="164" t="str">
        <f ca="1">IF($D305&lt;&gt;"Serviço","",OFFSET(ORÇAMENTO!S$15,ROW(G305)-ROW(G$15),0))</f>
        <v>UN</v>
      </c>
      <c r="H305" s="122" cm="1">
        <f t="array" aca="1" ref="H305" ca="1">IF($D305&lt;&gt;"Serviço",0,IF(ACOMPANHAMENTO="BM",ROUND(OFFSET(ORÇAMENTO!AJ$15,ROW(H305)-ROW(H$15),0),15-13*ORÇAMENTO!$AF$7),SUMPRODUCT(($Q$1:$AI$1=1)*ROUND($Q305:$AI305,15-13*ORÇAMENTO!$AF$7))))</f>
        <v>6</v>
      </c>
      <c r="I305" s="468" t="s">
        <v>1355</v>
      </c>
      <c r="J305" s="640" t="str" cm="1">
        <f t="array" aca="1" ref="J305" ca="1">IF(OR(B305&lt;&gt;"S",CÁLCULO.FrentesPreenchidas=0),"",IF(AND(ACOMPANHAMENTO="PLE",AUTOEVENTO="Manual",OR(H305&gt;0,ORÇAMENTO!AC305="QUANT."),OR(K305="",M305=0,N305="")),"►E",IF(AND(ACOMPANHAMENTO="PLE",ORÇAMENTO!AC305="QUANT."),"►Q",IF(AND(ACOMPANHAMENTO="PLE",H305&lt;&gt;SUMPRODUCT(($Q$1:$AI$1=1)*ROUND(Q305:AI305,15))),"►S",IF(AND(COUNTIF($P$11:$AI$11,"▼")=0,H305&gt;0,I305=""),"◄M","")))))</f>
        <v/>
      </c>
      <c r="K305" s="641" t="s">
        <v>1385</v>
      </c>
      <c r="L305" s="165" t="s">
        <v>764</v>
      </c>
      <c r="M305" s="166">
        <f ca="1">IF($D305&lt;&gt;"Serviço","",
          IF(AUTOEVENTO="manual",$A305,
                IF(ISERROR(MATCH($A305,$A$15:OFFSET($A305,-1,0),0)),MAX($M$15:OFFSET(M305,-1,0))+1,
                      INDEX($M$15:OFFSET(M305,-1,0),MATCH($A305,$A$15:OFFSET($A305,-1,0),0)))))</f>
        <v>6</v>
      </c>
      <c r="N305" s="167" t="str">
        <f ca="1">IF($D305&lt;&gt;"Serviço","",
         IF(AUTOEVENTO="Manual",
                IF($A305=0,"&lt;-- defina o número do agrupador",
                       OFFSET(EVENTOS!$D$15,$A305-$A$15,0)),
                OFFSET($F$15,$A305,0)))</f>
        <v>Saneamento</v>
      </c>
      <c r="O305" s="168"/>
      <c r="Q305" s="168"/>
      <c r="R305" s="169"/>
      <c r="S305" s="169"/>
      <c r="T305" s="169"/>
      <c r="U305" s="169">
        <v>6</v>
      </c>
      <c r="V305" s="169"/>
      <c r="W305" s="169"/>
      <c r="X305" s="169"/>
      <c r="Y305" s="169"/>
      <c r="Z305" s="170"/>
      <c r="AA305" s="169"/>
      <c r="AB305" s="169"/>
      <c r="AC305" s="169"/>
      <c r="AD305" s="169"/>
      <c r="AE305" s="169"/>
      <c r="AF305" s="169"/>
      <c r="AG305" s="169"/>
      <c r="AH305" s="170"/>
      <c r="AJ305" s="453">
        <f ca="1">IF(AND($D305="Serviço",AJ$12&lt;&gt;0,$H305&gt;0,OR(AUTOEVENTO&lt;&gt;"manual",$M305&lt;&gt;$A$15)),
        IF(Import.TipoArredondamento&lt;&gt;"TransfereGOV",
              ROUND(OFFSET($P305,0,AJ$13),15-13*ORÇAMENTO!$AF$7)/$H305*OFFSET(ORÇAMENTO!$X$15,ROW(AJ305)-ROW(AJ$15),0),
              ROUND(ROUND(OFFSET($P305,0,AJ$13),15-13*ORÇAMENTO!$AF$7)*OFFSET(ORÇAMENTO!$W$15,ROW(AJ305)-ROW(AJ$15),0),15-13*ORÇAMENTO!$AF$11)),
         0)</f>
        <v>0</v>
      </c>
      <c r="AK305" s="453">
        <f ca="1">IF(AND($D305="Serviço",AK$12&lt;&gt;0,$H305&gt;0,OR(AUTOEVENTO&lt;&gt;"manual",$M305&lt;&gt;$A$15)),
        IF(Import.TipoArredondamento&lt;&gt;"TransfereGOV",
              ROUND(OFFSET($P305,0,AK$13),15-13*ORÇAMENTO!$AF$7)/$H305*OFFSET(ORÇAMENTO!$X$15,ROW(AK305)-ROW(AK$15),0),
              ROUND(ROUND(OFFSET($P305,0,AK$13),15-13*ORÇAMENTO!$AF$7)*OFFSET(ORÇAMENTO!$W$15,ROW(AK305)-ROW(AK$15),0),15-13*ORÇAMENTO!$AF$11)),
         0)</f>
        <v>0</v>
      </c>
      <c r="AL305" s="453">
        <f ca="1">IF(AND($D305="Serviço",AL$12&lt;&gt;0,$H305&gt;0,OR(AUTOEVENTO&lt;&gt;"manual",$M305&lt;&gt;$A$15)),
        IF(Import.TipoArredondamento&lt;&gt;"TransfereGOV",
              ROUND(OFFSET($P305,0,AL$13),15-13*ORÇAMENTO!$AF$7)/$H305*OFFSET(ORÇAMENTO!$X$15,ROW(AL305)-ROW(AL$15),0),
              ROUND(ROUND(OFFSET($P305,0,AL$13),15-13*ORÇAMENTO!$AF$7)*OFFSET(ORÇAMENTO!$W$15,ROW(AL305)-ROW(AL$15),0),15-13*ORÇAMENTO!$AF$11)),
         0)</f>
        <v>0</v>
      </c>
      <c r="AM305" s="453">
        <f ca="1">IF(AND($D305="Serviço",AM$12&lt;&gt;0,$H305&gt;0,OR(AUTOEVENTO&lt;&gt;"manual",$M305&lt;&gt;$A$15)),
        IF(Import.TipoArredondamento&lt;&gt;"TransfereGOV",
              ROUND(OFFSET($P305,0,AM$13),15-13*ORÇAMENTO!$AF$7)/$H305*OFFSET(ORÇAMENTO!$X$15,ROW(AM305)-ROW(AM$15),0),
              ROUND(ROUND(OFFSET($P305,0,AM$13),15-13*ORÇAMENTO!$AF$7)*OFFSET(ORÇAMENTO!$W$15,ROW(AM305)-ROW(AM$15),0),15-13*ORÇAMENTO!$AF$11)),
         0)</f>
        <v>0</v>
      </c>
      <c r="AN305" s="453">
        <f ca="1">IF(AND($D305="Serviço",AN$12&lt;&gt;0,$H305&gt;0,OR(AUTOEVENTO&lt;&gt;"manual",$M305&lt;&gt;$A$15)),
        IF(Import.TipoArredondamento&lt;&gt;"TransfereGOV",
              ROUND(OFFSET($P305,0,AN$13),15-13*ORÇAMENTO!$AF$7)/$H305*OFFSET(ORÇAMENTO!$X$15,ROW(AN305)-ROW(AN$15),0),
              ROUND(ROUND(OFFSET($P305,0,AN$13),15-13*ORÇAMENTO!$AF$7)*OFFSET(ORÇAMENTO!$W$15,ROW(AN305)-ROW(AN$15),0),15-13*ORÇAMENTO!$AF$11)),
         0)</f>
        <v>0</v>
      </c>
      <c r="AO305" s="453">
        <f ca="1">IF(AND($D305="Serviço",AO$12&lt;&gt;0,$H305&gt;0,OR(AUTOEVENTO&lt;&gt;"manual",$M305&lt;&gt;$A$15)),
        IF(Import.TipoArredondamento&lt;&gt;"TransfereGOV",
              ROUND(OFFSET($P305,0,AO$13),15-13*ORÇAMENTO!$AF$7)/$H305*OFFSET(ORÇAMENTO!$X$15,ROW(AO305)-ROW(AO$15),0),
              ROUND(ROUND(OFFSET($P305,0,AO$13),15-13*ORÇAMENTO!$AF$7)*OFFSET(ORÇAMENTO!$W$15,ROW(AO305)-ROW(AO$15),0),15-13*ORÇAMENTO!$AF$11)),
         0)</f>
        <v>0</v>
      </c>
      <c r="AP305" s="453">
        <f ca="1">IF(AND($D305="Serviço",AP$12&lt;&gt;0,$H305&gt;0,OR(AUTOEVENTO&lt;&gt;"manual",$M305&lt;&gt;$A$15)),
        IF(Import.TipoArredondamento&lt;&gt;"TransfereGOV",
              ROUND(OFFSET($P305,0,AP$13),15-13*ORÇAMENTO!$AF$7)/$H305*OFFSET(ORÇAMENTO!$X$15,ROW(AP305)-ROW(AP$15),0),
              ROUND(ROUND(OFFSET($P305,0,AP$13),15-13*ORÇAMENTO!$AF$7)*OFFSET(ORÇAMENTO!$W$15,ROW(AP305)-ROW(AP$15),0),15-13*ORÇAMENTO!$AF$11)),
         0)</f>
        <v>0</v>
      </c>
      <c r="AQ305" s="453">
        <f ca="1">IF(AND($D305="Serviço",AQ$12&lt;&gt;0,$H305&gt;0,OR(AUTOEVENTO&lt;&gt;"manual",$M305&lt;&gt;$A$15)),
        IF(Import.TipoArredondamento&lt;&gt;"TransfereGOV",
              ROUND(OFFSET($P305,0,AQ$13),15-13*ORÇAMENTO!$AF$7)/$H305*OFFSET(ORÇAMENTO!$X$15,ROW(AQ305)-ROW(AQ$15),0),
              ROUND(ROUND(OFFSET($P305,0,AQ$13),15-13*ORÇAMENTO!$AF$7)*OFFSET(ORÇAMENTO!$W$15,ROW(AQ305)-ROW(AQ$15),0),15-13*ORÇAMENTO!$AF$11)),
         0)</f>
        <v>0</v>
      </c>
      <c r="AR305" s="453">
        <f ca="1">IF(AND($D305="Serviço",AR$12&lt;&gt;0,$H305&gt;0,OR(AUTOEVENTO&lt;&gt;"manual",$M305&lt;&gt;$A$15)),
        IF(Import.TipoArredondamento&lt;&gt;"TransfereGOV",
              ROUND(OFFSET($P305,0,AR$13),15-13*ORÇAMENTO!$AF$7)/$H305*OFFSET(ORÇAMENTO!$X$15,ROW(AR305)-ROW(AR$15),0),
              ROUND(ROUND(OFFSET($P305,0,AR$13),15-13*ORÇAMENTO!$AF$7)*OFFSET(ORÇAMENTO!$W$15,ROW(AR305)-ROW(AR$15),0),15-13*ORÇAMENTO!$AF$11)),
         0)</f>
        <v>0</v>
      </c>
      <c r="AS305" s="453">
        <f ca="1">IF(AND($D305="Serviço",AS$12&lt;&gt;0,$H305&gt;0,OR(AUTOEVENTO&lt;&gt;"manual",$M305&lt;&gt;$A$15)),
        IF(Import.TipoArredondamento&lt;&gt;"TransfereGOV",
              ROUND(OFFSET($P305,0,AS$13),15-13*ORÇAMENTO!$AF$7)/$H305*OFFSET(ORÇAMENTO!$X$15,ROW(AS305)-ROW(AS$15),0),
              ROUND(ROUND(OFFSET($P305,0,AS$13),15-13*ORÇAMENTO!$AF$7)*OFFSET(ORÇAMENTO!$W$15,ROW(AS305)-ROW(AS$15),0),15-13*ORÇAMENTO!$AF$11)),
         0)</f>
        <v>0</v>
      </c>
      <c r="AT305" s="453">
        <f ca="1">IF(AND($D305="Serviço",AT$12&lt;&gt;0,$H305&gt;0,OR(AUTOEVENTO&lt;&gt;"manual",$M305&lt;&gt;$A$15)),
        IF(Import.TipoArredondamento&lt;&gt;"TransfereGOV",
              ROUND(OFFSET($P305,0,AT$13),15-13*ORÇAMENTO!$AF$7)/$H305*OFFSET(ORÇAMENTO!$X$15,ROW(AT305)-ROW(AT$15),0),
              ROUND(ROUND(OFFSET($P305,0,AT$13),15-13*ORÇAMENTO!$AF$7)*OFFSET(ORÇAMENTO!$W$15,ROW(AT305)-ROW(AT$15),0),15-13*ORÇAMENTO!$AF$11)),
         0)</f>
        <v>0</v>
      </c>
      <c r="AU305" s="453">
        <f ca="1">IF(AND($D305="Serviço",AU$12&lt;&gt;0,$H305&gt;0,OR(AUTOEVENTO&lt;&gt;"manual",$M305&lt;&gt;$A$15)),
        IF(Import.TipoArredondamento&lt;&gt;"TransfereGOV",
              ROUND(OFFSET($P305,0,AU$13),15-13*ORÇAMENTO!$AF$7)/$H305*OFFSET(ORÇAMENTO!$X$15,ROW(AU305)-ROW(AU$15),0),
              ROUND(ROUND(OFFSET($P305,0,AU$13),15-13*ORÇAMENTO!$AF$7)*OFFSET(ORÇAMENTO!$W$15,ROW(AU305)-ROW(AU$15),0),15-13*ORÇAMENTO!$AF$11)),
         0)</f>
        <v>0</v>
      </c>
      <c r="AV305" s="453">
        <f ca="1">IF(AND($D305="Serviço",AV$12&lt;&gt;0,$H305&gt;0,OR(AUTOEVENTO&lt;&gt;"manual",$M305&lt;&gt;$A$15)),
        IF(Import.TipoArredondamento&lt;&gt;"TransfereGOV",
              ROUND(OFFSET($P305,0,AV$13),15-13*ORÇAMENTO!$AF$7)/$H305*OFFSET(ORÇAMENTO!$X$15,ROW(AV305)-ROW(AV$15),0),
              ROUND(ROUND(OFFSET($P305,0,AV$13),15-13*ORÇAMENTO!$AF$7)*OFFSET(ORÇAMENTO!$W$15,ROW(AV305)-ROW(AV$15),0),15-13*ORÇAMENTO!$AF$11)),
         0)</f>
        <v>0</v>
      </c>
      <c r="AW305" s="453">
        <f ca="1">IF(AND($D305="Serviço",AW$12&lt;&gt;0,$H305&gt;0,OR(AUTOEVENTO&lt;&gt;"manual",$M305&lt;&gt;$A$15)),
        IF(Import.TipoArredondamento&lt;&gt;"TransfereGOV",
              ROUND(OFFSET($P305,0,AW$13),15-13*ORÇAMENTO!$AF$7)/$H305*OFFSET(ORÇAMENTO!$X$15,ROW(AW305)-ROW(AW$15),0),
              ROUND(ROUND(OFFSET($P305,0,AW$13),15-13*ORÇAMENTO!$AF$7)*OFFSET(ORÇAMENTO!$W$15,ROW(AW305)-ROW(AW$15),0),15-13*ORÇAMENTO!$AF$11)),
         0)</f>
        <v>0</v>
      </c>
      <c r="AX305" s="453">
        <f ca="1">IF(AND($D305="Serviço",AX$12&lt;&gt;0,$H305&gt;0,OR(AUTOEVENTO&lt;&gt;"manual",$M305&lt;&gt;$A$15)),
        IF(Import.TipoArredondamento&lt;&gt;"TransfereGOV",
              ROUND(OFFSET($P305,0,AX$13),15-13*ORÇAMENTO!$AF$7)/$H305*OFFSET(ORÇAMENTO!$X$15,ROW(AX305)-ROW(AX$15),0),
              ROUND(ROUND(OFFSET($P305,0,AX$13),15-13*ORÇAMENTO!$AF$7)*OFFSET(ORÇAMENTO!$W$15,ROW(AX305)-ROW(AX$15),0),15-13*ORÇAMENTO!$AF$11)),
         0)</f>
        <v>0</v>
      </c>
      <c r="AY305" s="453">
        <f ca="1">IF(AND($D305="Serviço",AY$12&lt;&gt;0,$H305&gt;0,OR(AUTOEVENTO&lt;&gt;"manual",$M305&lt;&gt;$A$15)),
        IF(Import.TipoArredondamento&lt;&gt;"TransfereGOV",
              ROUND(OFFSET($P305,0,AY$13),15-13*ORÇAMENTO!$AF$7)/$H305*OFFSET(ORÇAMENTO!$X$15,ROW(AY305)-ROW(AY$15),0),
              ROUND(ROUND(OFFSET($P305,0,AY$13),15-13*ORÇAMENTO!$AF$7)*OFFSET(ORÇAMENTO!$W$15,ROW(AY305)-ROW(AY$15),0),15-13*ORÇAMENTO!$AF$11)),
         0)</f>
        <v>0</v>
      </c>
      <c r="AZ305" s="453">
        <f ca="1">IF(AND($D305="Serviço",AZ$12&lt;&gt;0,$H305&gt;0,OR(AUTOEVENTO&lt;&gt;"manual",$M305&lt;&gt;$A$15)),
        IF(Import.TipoArredondamento&lt;&gt;"TransfereGOV",
              ROUND(OFFSET($P305,0,AZ$13),15-13*ORÇAMENTO!$AF$7)/$H305*OFFSET(ORÇAMENTO!$X$15,ROW(AZ305)-ROW(AZ$15),0),
              ROUND(ROUND(OFFSET($P305,0,AZ$13),15-13*ORÇAMENTO!$AF$7)*OFFSET(ORÇAMENTO!$W$15,ROW(AZ305)-ROW(AZ$15),0),15-13*ORÇAMENTO!$AF$11)),
         0)</f>
        <v>0</v>
      </c>
      <c r="BA305" s="453">
        <f ca="1">IF(AND($D305="Serviço",BA$12&lt;&gt;0,$H305&gt;0,OR(AUTOEVENTO&lt;&gt;"manual",$M305&lt;&gt;$A$15)),
        IF(Import.TipoArredondamento&lt;&gt;"TransfereGOV",
              ROUND(OFFSET($P305,0,BA$13),15-13*ORÇAMENTO!$AF$7)/$H305*OFFSET(ORÇAMENTO!$X$15,ROW(BA305)-ROW(BA$15),0),
              ROUND(ROUND(OFFSET($P305,0,BA$13),15-13*ORÇAMENTO!$AF$7)*OFFSET(ORÇAMENTO!$W$15,ROW(BA305)-ROW(BA$15),0),15-13*ORÇAMENTO!$AF$11)),
         0)</f>
        <v>0</v>
      </c>
      <c r="BC305" s="171">
        <f ca="1">IF(OR($D305&lt;&gt;"Serviço",AND(AUTOEVENTO="Manual",$M305=$A$15)),0,
         IF(OFFSET(CRONOPLE!$F$15,$M305-$A$15,BC$13)=0,10^12,OFFSET(CRONOPLE!$F$15,$M305-$A$15,BC$13)))</f>
        <v>1</v>
      </c>
      <c r="BD305" s="171">
        <f ca="1">IF(OR($D305&lt;&gt;"Serviço",AND(AUTOEVENTO="Manual",$M305=$A$15)),0,
         IF(OFFSET(CRONOPLE!$F$15,$M305-$A$15,BD$13)=0,10^12,OFFSET(CRONOPLE!$F$15,$M305-$A$15,BD$13)))</f>
        <v>2</v>
      </c>
      <c r="BE305" s="171">
        <f ca="1">IF(OR($D305&lt;&gt;"Serviço",AND(AUTOEVENTO="Manual",$M305=$A$15)),0,
         IF(OFFSET(CRONOPLE!$F$15,$M305-$A$15,BE$13)=0,10^12,OFFSET(CRONOPLE!$F$15,$M305-$A$15,BE$13)))</f>
        <v>3</v>
      </c>
      <c r="BF305" s="171">
        <f ca="1">IF(OR($D305&lt;&gt;"Serviço",AND(AUTOEVENTO="Manual",$M305=$A$15)),0,
         IF(OFFSET(CRONOPLE!$F$15,$M305-$A$15,BF$13)=0,10^12,OFFSET(CRONOPLE!$F$15,$M305-$A$15,BF$13)))</f>
        <v>4</v>
      </c>
      <c r="BG305" s="171">
        <f ca="1">IF(OR($D305&lt;&gt;"Serviço",AND(AUTOEVENTO="Manual",$M305=$A$15)),0,
         IF(OFFSET(CRONOPLE!$F$15,$M305-$A$15,BG$13)=0,10^12,OFFSET(CRONOPLE!$F$15,$M305-$A$15,BG$13)))</f>
        <v>5</v>
      </c>
      <c r="BH305" s="171">
        <f ca="1">IF(OR($D305&lt;&gt;"Serviço",AND(AUTOEVENTO="Manual",$M305=$A$15)),0,
         IF(OFFSET(CRONOPLE!$F$15,$M305-$A$15,BH$13)=0,10^12,OFFSET(CRONOPLE!$F$15,$M305-$A$15,BH$13)))</f>
        <v>6</v>
      </c>
      <c r="BI305" s="171">
        <f ca="1">IF(OR($D305&lt;&gt;"Serviço",AND(AUTOEVENTO="Manual",$M305=$A$15)),0,
         IF(OFFSET(CRONOPLE!$F$15,$M305-$A$15,BI$13)=0,10^12,OFFSET(CRONOPLE!$F$15,$M305-$A$15,BI$13)))</f>
        <v>7</v>
      </c>
      <c r="BJ305" s="171">
        <f ca="1">IF(OR($D305&lt;&gt;"Serviço",AND(AUTOEVENTO="Manual",$M305=$A$15)),0,
         IF(OFFSET(CRONOPLE!$F$15,$M305-$A$15,BJ$13)=0,10^12,OFFSET(CRONOPLE!$F$15,$M305-$A$15,BJ$13)))</f>
        <v>8</v>
      </c>
      <c r="BK305" s="171">
        <f ca="1">IF(OR($D305&lt;&gt;"Serviço",AND(AUTOEVENTO="Manual",$M305=$A$15)),0,
         IF(OFFSET(CRONOPLE!$F$15,$M305-$A$15,BK$13)=0,10^12,OFFSET(CRONOPLE!$F$15,$M305-$A$15,BK$13)))</f>
        <v>9</v>
      </c>
      <c r="BL305" s="171">
        <f ca="1">IF(OR($D305&lt;&gt;"Serviço",AND(AUTOEVENTO="Manual",$M305=$A$15)),0,
         IF(OFFSET(CRONOPLE!$F$15,$M305-$A$15,BL$13)=0,10^12,OFFSET(CRONOPLE!$F$15,$M305-$A$15,BL$13)))</f>
        <v>1000000000000</v>
      </c>
      <c r="BM305" s="171">
        <f ca="1">IF(OR($D305&lt;&gt;"Serviço",AND(AUTOEVENTO="Manual",$M305=$A$15)),0,
         IF(OFFSET(CRONOPLE!$F$15,$M305-$A$15,BM$13)=0,10^12,OFFSET(CRONOPLE!$F$15,$M305-$A$15,BM$13)))</f>
        <v>1000000000000</v>
      </c>
      <c r="BN305" s="171">
        <f ca="1">IF(OR($D305&lt;&gt;"Serviço",AND(AUTOEVENTO="Manual",$M305=$A$15)),0,
         IF(OFFSET(CRONOPLE!$F$15,$M305-$A$15,BN$13)=0,10^12,OFFSET(CRONOPLE!$F$15,$M305-$A$15,BN$13)))</f>
        <v>1000000000000</v>
      </c>
      <c r="BO305" s="171">
        <f ca="1">IF(OR($D305&lt;&gt;"Serviço",AND(AUTOEVENTO="Manual",$M305=$A$15)),0,
         IF(OFFSET(CRONOPLE!$F$15,$M305-$A$15,BO$13)=0,10^12,OFFSET(CRONOPLE!$F$15,$M305-$A$15,BO$13)))</f>
        <v>1000000000000</v>
      </c>
      <c r="BP305" s="171">
        <f ca="1">IF(OR($D305&lt;&gt;"Serviço",AND(AUTOEVENTO="Manual",$M305=$A$15)),0,
         IF(OFFSET(CRONOPLE!$F$15,$M305-$A$15,BP$13)=0,10^12,OFFSET(CRONOPLE!$F$15,$M305-$A$15,BP$13)))</f>
        <v>1000000000000</v>
      </c>
      <c r="BQ305" s="171">
        <f ca="1">IF(OR($D305&lt;&gt;"Serviço",AND(AUTOEVENTO="Manual",$M305=$A$15)),0,
         IF(OFFSET(CRONOPLE!$F$15,$M305-$A$15,BQ$13)=0,10^12,OFFSET(CRONOPLE!$F$15,$M305-$A$15,BQ$13)))</f>
        <v>1000000000000</v>
      </c>
      <c r="BR305" s="171">
        <f ca="1">IF(OR($D305&lt;&gt;"Serviço",AND(AUTOEVENTO="Manual",$M305=$A$15)),0,
         IF(OFFSET(CRONOPLE!$F$15,$M305-$A$15,BR$13)=0,10^12,OFFSET(CRONOPLE!$F$15,$M305-$A$15,BR$13)))</f>
        <v>1000000000000</v>
      </c>
      <c r="BS305" s="171">
        <f ca="1">IF(OR($D305&lt;&gt;"Serviço",AND(AUTOEVENTO="Manual",$M305=$A$15)),0,
         IF(OFFSET(CRONOPLE!$F$15,$M305-$A$15,BS$13)=0,10^12,OFFSET(CRONOPLE!$F$15,$M305-$A$15,BS$13)))</f>
        <v>1000000000000</v>
      </c>
      <c r="BT305" s="171">
        <f ca="1">IF(OR($D305&lt;&gt;"Serviço",AND(AUTOEVENTO="Manual",$M305=$A$15)),0,
         IF(OFFSET(CRONOPLE!$F$15,$M305-$A$15,BT$13)=0,10^12,OFFSET(CRONOPLE!$F$15,$M305-$A$15,BT$13)))</f>
        <v>1000000000000</v>
      </c>
      <c r="BV305" s="172">
        <f ca="1">IF(OR($D305&lt;&gt;"Serviço",AND(AUTOEVENTO="Manual",$M305=$A$15),$M305&gt;(ROW(PLE.lastrow)-ROW(PLE.firstrow))),0,
           IF(OFFSET(PLE!$G$15,$M305-$A$15,BV$13)="",10^12,OFFSET(PLE!$G$15,$M305-$A$15,BV$13)))</f>
        <v>1000000000000</v>
      </c>
      <c r="BW305" s="172">
        <f ca="1">IF(OR($D305&lt;&gt;"Serviço",AND(AUTOEVENTO="Manual",$M305=$A$15),$M305&gt;(ROW(PLE.lastrow)-ROW(PLE.firstrow))),0,
           IF(OFFSET(PLE!$G$15,$M305-$A$15,BW$13)="",10^12,OFFSET(PLE!$G$15,$M305-$A$15,BW$13)))</f>
        <v>1000000000000</v>
      </c>
      <c r="BX305" s="172">
        <f ca="1">IF(OR($D305&lt;&gt;"Serviço",AND(AUTOEVENTO="Manual",$M305=$A$15),$M305&gt;(ROW(PLE.lastrow)-ROW(PLE.firstrow))),0,
           IF(OFFSET(PLE!$G$15,$M305-$A$15,BX$13)="",10^12,OFFSET(PLE!$G$15,$M305-$A$15,BX$13)))</f>
        <v>1000000000000</v>
      </c>
      <c r="BY305" s="172">
        <f ca="1">IF(OR($D305&lt;&gt;"Serviço",AND(AUTOEVENTO="Manual",$M305=$A$15),$M305&gt;(ROW(PLE.lastrow)-ROW(PLE.firstrow))),0,
           IF(OFFSET(PLE!$G$15,$M305-$A$15,BY$13)="",10^12,OFFSET(PLE!$G$15,$M305-$A$15,BY$13)))</f>
        <v>1000000000000</v>
      </c>
      <c r="BZ305" s="172">
        <f ca="1">IF(OR($D305&lt;&gt;"Serviço",AND(AUTOEVENTO="Manual",$M305=$A$15),$M305&gt;(ROW(PLE.lastrow)-ROW(PLE.firstrow))),0,
           IF(OFFSET(PLE!$G$15,$M305-$A$15,BZ$13)="",10^12,OFFSET(PLE!$G$15,$M305-$A$15,BZ$13)))</f>
        <v>1000000000000</v>
      </c>
      <c r="CA305" s="172">
        <f ca="1">IF(OR($D305&lt;&gt;"Serviço",AND(AUTOEVENTO="Manual",$M305=$A$15),$M305&gt;(ROW(PLE.lastrow)-ROW(PLE.firstrow))),0,
           IF(OFFSET(PLE!$G$15,$M305-$A$15,CA$13)="",10^12,OFFSET(PLE!$G$15,$M305-$A$15,CA$13)))</f>
        <v>1000000000000</v>
      </c>
      <c r="CB305" s="172">
        <f ca="1">IF(OR($D305&lt;&gt;"Serviço",AND(AUTOEVENTO="Manual",$M305=$A$15),$M305&gt;(ROW(PLE.lastrow)-ROW(PLE.firstrow))),0,
           IF(OFFSET(PLE!$G$15,$M305-$A$15,CB$13)="",10^12,OFFSET(PLE!$G$15,$M305-$A$15,CB$13)))</f>
        <v>1000000000000</v>
      </c>
      <c r="CC305" s="172">
        <f ca="1">IF(OR($D305&lt;&gt;"Serviço",AND(AUTOEVENTO="Manual",$M305=$A$15),$M305&gt;(ROW(PLE.lastrow)-ROW(PLE.firstrow))),0,
           IF(OFFSET(PLE!$G$15,$M305-$A$15,CC$13)="",10^12,OFFSET(PLE!$G$15,$M305-$A$15,CC$13)))</f>
        <v>1000000000000</v>
      </c>
      <c r="CD305" s="172">
        <f ca="1">IF(OR($D305&lt;&gt;"Serviço",AND(AUTOEVENTO="Manual",$M305=$A$15),$M305&gt;(ROW(PLE.lastrow)-ROW(PLE.firstrow))),0,
           IF(OFFSET(PLE!$G$15,$M305-$A$15,CD$13)="",10^12,OFFSET(PLE!$G$15,$M305-$A$15,CD$13)))</f>
        <v>1000000000000</v>
      </c>
      <c r="CE305" s="172">
        <f ca="1">IF(OR($D305&lt;&gt;"Serviço",AND(AUTOEVENTO="Manual",$M305=$A$15),$M305&gt;(ROW(PLE.lastrow)-ROW(PLE.firstrow))),0,
           IF(OFFSET(PLE!$G$15,$M305-$A$15,CE$13)="",10^12,OFFSET(PLE!$G$15,$M305-$A$15,CE$13)))</f>
        <v>1000000000000</v>
      </c>
      <c r="CF305" s="172">
        <f ca="1">IF(OR($D305&lt;&gt;"Serviço",AND(AUTOEVENTO="Manual",$M305=$A$15),$M305&gt;(ROW(PLE.lastrow)-ROW(PLE.firstrow))),0,
           IF(OFFSET(PLE!$G$15,$M305-$A$15,CF$13)="",10^12,OFFSET(PLE!$G$15,$M305-$A$15,CF$13)))</f>
        <v>1000000000000</v>
      </c>
      <c r="CG305" s="172">
        <f ca="1">IF(OR($D305&lt;&gt;"Serviço",AND(AUTOEVENTO="Manual",$M305=$A$15),$M305&gt;(ROW(PLE.lastrow)-ROW(PLE.firstrow))),0,
           IF(OFFSET(PLE!$G$15,$M305-$A$15,CG$13)="",10^12,OFFSET(PLE!$G$15,$M305-$A$15,CG$13)))</f>
        <v>1000000000000</v>
      </c>
      <c r="CH305" s="172">
        <f ca="1">IF(OR($D305&lt;&gt;"Serviço",AND(AUTOEVENTO="Manual",$M305=$A$15),$M305&gt;(ROW(PLE.lastrow)-ROW(PLE.firstrow))),0,
           IF(OFFSET(PLE!$G$15,$M305-$A$15,CH$13)="",10^12,OFFSET(PLE!$G$15,$M305-$A$15,CH$13)))</f>
        <v>1000000000000</v>
      </c>
      <c r="CI305" s="172">
        <f ca="1">IF(OR($D305&lt;&gt;"Serviço",AND(AUTOEVENTO="Manual",$M305=$A$15),$M305&gt;(ROW(PLE.lastrow)-ROW(PLE.firstrow))),0,
           IF(OFFSET(PLE!$G$15,$M305-$A$15,CI$13)="",10^12,OFFSET(PLE!$G$15,$M305-$A$15,CI$13)))</f>
        <v>1000000000000</v>
      </c>
      <c r="CJ305" s="172">
        <f ca="1">IF(OR($D305&lt;&gt;"Serviço",AND(AUTOEVENTO="Manual",$M305=$A$15),$M305&gt;(ROW(PLE.lastrow)-ROW(PLE.firstrow))),0,
           IF(OFFSET(PLE!$G$15,$M305-$A$15,CJ$13)="",10^12,OFFSET(PLE!$G$15,$M305-$A$15,CJ$13)))</f>
        <v>1000000000000</v>
      </c>
      <c r="CK305" s="172">
        <f ca="1">IF(OR($D305&lt;&gt;"Serviço",AND(AUTOEVENTO="Manual",$M305=$A$15),$M305&gt;(ROW(PLE.lastrow)-ROW(PLE.firstrow))),0,
           IF(OFFSET(PLE!$G$15,$M305-$A$15,CK$13)="",10^12,OFFSET(PLE!$G$15,$M305-$A$15,CK$13)))</f>
        <v>1000000000000</v>
      </c>
      <c r="CL305" s="172">
        <f ca="1">IF(OR($D305&lt;&gt;"Serviço",AND(AUTOEVENTO="Manual",$M305=$A$15),$M305&gt;(ROW(PLE.lastrow)-ROW(PLE.firstrow))),0,
           IF(OFFSET(PLE!$G$15,$M305-$A$15,CL$13)="",10^12,OFFSET(PLE!$G$15,$M305-$A$15,CL$13)))</f>
        <v>1000000000000</v>
      </c>
      <c r="CM305" s="172">
        <f ca="1">IF(OR($D305&lt;&gt;"Serviço",AND(AUTOEVENTO="Manual",$M305=$A$15),$M305&gt;(ROW(PLE.lastrow)-ROW(PLE.firstrow))),0,
           IF(OFFSET(PLE!$G$15,$M305-$A$15,CM$13)="",10^12,OFFSET(PLE!$G$15,$M305-$A$15,CM$13)))</f>
        <v>1000000000000</v>
      </c>
    </row>
    <row r="306" spans="1:91" ht="63.75" x14ac:dyDescent="0.2">
      <c r="A306" s="7">
        <f t="shared" ca="1" si="14"/>
        <v>6</v>
      </c>
      <c r="B306" s="7" t="str">
        <f ca="1">OFFSET(ORÇAMENTO!C$15,ROW(B306)-ROW(B$15),0)</f>
        <v>S</v>
      </c>
      <c r="C306" s="7" t="str">
        <f ca="1">OFFSET(ORÇAMENTO!L$15,ROW(C306)-ROW(C$15),0)</f>
        <v>F</v>
      </c>
      <c r="D306" s="116" t="str">
        <f ca="1">OFFSET(ORÇAMENTO!N$15,ROW(D306)-ROW(D$15),0)</f>
        <v>Serviço</v>
      </c>
      <c r="E306" s="117" t="str">
        <f ca="1">OFFSET(ORÇAMENTO!O$15,ROW(E306)-ROW(E$15),0)</f>
        <v>1.7.4.1.3.</v>
      </c>
      <c r="F306" s="163" t="str">
        <f ca="1">OFFSET(ORÇAMENTO!R$15,ROW(F306)-ROW(F$15),0)</f>
        <v>CURVA 90 FLANGEADA FoFo - DN 150 MM - FORNECIMENTO</v>
      </c>
      <c r="G306" s="164" t="str">
        <f ca="1">IF($D306&lt;&gt;"Serviço","",OFFSET(ORÇAMENTO!S$15,ROW(G306)-ROW(G$15),0))</f>
        <v>UN</v>
      </c>
      <c r="H306" s="122" cm="1">
        <f t="array" aca="1" ref="H306" ca="1">IF($D306&lt;&gt;"Serviço",0,IF(ACOMPANHAMENTO="BM",ROUND(OFFSET(ORÇAMENTO!AJ$15,ROW(H306)-ROW(H$15),0),15-13*ORÇAMENTO!$AF$7),SUMPRODUCT(($Q$1:$AI$1=1)*ROUND($Q306:$AI306,15-13*ORÇAMENTO!$AF$7))))</f>
        <v>12</v>
      </c>
      <c r="I306" s="468" t="s">
        <v>1355</v>
      </c>
      <c r="J306" s="640" t="str" cm="1">
        <f t="array" aca="1" ref="J306" ca="1">IF(OR(B306&lt;&gt;"S",CÁLCULO.FrentesPreenchidas=0),"",IF(AND(ACOMPANHAMENTO="PLE",AUTOEVENTO="Manual",OR(H306&gt;0,ORÇAMENTO!AC306="QUANT."),OR(K306="",M306=0,N306="")),"►E",IF(AND(ACOMPANHAMENTO="PLE",ORÇAMENTO!AC306="QUANT."),"►Q",IF(AND(ACOMPANHAMENTO="PLE",H306&lt;&gt;SUMPRODUCT(($Q$1:$AI$1=1)*ROUND(Q306:AI306,15))),"►S",IF(AND(COUNTIF($P$11:$AI$11,"▼")=0,H306&gt;0,I306=""),"◄M","")))))</f>
        <v/>
      </c>
      <c r="K306" s="641" t="s">
        <v>1385</v>
      </c>
      <c r="L306" s="165" t="s">
        <v>764</v>
      </c>
      <c r="M306" s="166">
        <f ca="1">IF($D306&lt;&gt;"Serviço","",
          IF(AUTOEVENTO="manual",$A306,
                IF(ISERROR(MATCH($A306,$A$15:OFFSET($A306,-1,0),0)),MAX($M$15:OFFSET(M306,-1,0))+1,
                      INDEX($M$15:OFFSET(M306,-1,0),MATCH($A306,$A$15:OFFSET($A306,-1,0),0)))))</f>
        <v>6</v>
      </c>
      <c r="N306" s="167" t="str">
        <f ca="1">IF($D306&lt;&gt;"Serviço","",
         IF(AUTOEVENTO="Manual",
                IF($A306=0,"&lt;-- defina o número do agrupador",
                       OFFSET(EVENTOS!$D$15,$A306-$A$15,0)),
                OFFSET($F$15,$A306,0)))</f>
        <v>Saneamento</v>
      </c>
      <c r="O306" s="168"/>
      <c r="Q306" s="168"/>
      <c r="R306" s="169"/>
      <c r="S306" s="169"/>
      <c r="T306" s="169"/>
      <c r="U306" s="169">
        <v>12</v>
      </c>
      <c r="V306" s="169"/>
      <c r="W306" s="169"/>
      <c r="X306" s="169"/>
      <c r="Y306" s="169"/>
      <c r="Z306" s="170"/>
      <c r="AA306" s="169"/>
      <c r="AB306" s="169"/>
      <c r="AC306" s="169"/>
      <c r="AD306" s="169"/>
      <c r="AE306" s="169"/>
      <c r="AF306" s="169"/>
      <c r="AG306" s="169"/>
      <c r="AH306" s="170"/>
      <c r="AJ306" s="453">
        <f ca="1">IF(AND($D306="Serviço",AJ$12&lt;&gt;0,$H306&gt;0,OR(AUTOEVENTO&lt;&gt;"manual",$M306&lt;&gt;$A$15)),
        IF(Import.TipoArredondamento&lt;&gt;"TransfereGOV",
              ROUND(OFFSET($P306,0,AJ$13),15-13*ORÇAMENTO!$AF$7)/$H306*OFFSET(ORÇAMENTO!$X$15,ROW(AJ306)-ROW(AJ$15),0),
              ROUND(ROUND(OFFSET($P306,0,AJ$13),15-13*ORÇAMENTO!$AF$7)*OFFSET(ORÇAMENTO!$W$15,ROW(AJ306)-ROW(AJ$15),0),15-13*ORÇAMENTO!$AF$11)),
         0)</f>
        <v>0</v>
      </c>
      <c r="AK306" s="453">
        <f ca="1">IF(AND($D306="Serviço",AK$12&lt;&gt;0,$H306&gt;0,OR(AUTOEVENTO&lt;&gt;"manual",$M306&lt;&gt;$A$15)),
        IF(Import.TipoArredondamento&lt;&gt;"TransfereGOV",
              ROUND(OFFSET($P306,0,AK$13),15-13*ORÇAMENTO!$AF$7)/$H306*OFFSET(ORÇAMENTO!$X$15,ROW(AK306)-ROW(AK$15),0),
              ROUND(ROUND(OFFSET($P306,0,AK$13),15-13*ORÇAMENTO!$AF$7)*OFFSET(ORÇAMENTO!$W$15,ROW(AK306)-ROW(AK$15),0),15-13*ORÇAMENTO!$AF$11)),
         0)</f>
        <v>0</v>
      </c>
      <c r="AL306" s="453">
        <f ca="1">IF(AND($D306="Serviço",AL$12&lt;&gt;0,$H306&gt;0,OR(AUTOEVENTO&lt;&gt;"manual",$M306&lt;&gt;$A$15)),
        IF(Import.TipoArredondamento&lt;&gt;"TransfereGOV",
              ROUND(OFFSET($P306,0,AL$13),15-13*ORÇAMENTO!$AF$7)/$H306*OFFSET(ORÇAMENTO!$X$15,ROW(AL306)-ROW(AL$15),0),
              ROUND(ROUND(OFFSET($P306,0,AL$13),15-13*ORÇAMENTO!$AF$7)*OFFSET(ORÇAMENTO!$W$15,ROW(AL306)-ROW(AL$15),0),15-13*ORÇAMENTO!$AF$11)),
         0)</f>
        <v>0</v>
      </c>
      <c r="AM306" s="453">
        <f ca="1">IF(AND($D306="Serviço",AM$12&lt;&gt;0,$H306&gt;0,OR(AUTOEVENTO&lt;&gt;"manual",$M306&lt;&gt;$A$15)),
        IF(Import.TipoArredondamento&lt;&gt;"TransfereGOV",
              ROUND(OFFSET($P306,0,AM$13),15-13*ORÇAMENTO!$AF$7)/$H306*OFFSET(ORÇAMENTO!$X$15,ROW(AM306)-ROW(AM$15),0),
              ROUND(ROUND(OFFSET($P306,0,AM$13),15-13*ORÇAMENTO!$AF$7)*OFFSET(ORÇAMENTO!$W$15,ROW(AM306)-ROW(AM$15),0),15-13*ORÇAMENTO!$AF$11)),
         0)</f>
        <v>0</v>
      </c>
      <c r="AN306" s="453">
        <f ca="1">IF(AND($D306="Serviço",AN$12&lt;&gt;0,$H306&gt;0,OR(AUTOEVENTO&lt;&gt;"manual",$M306&lt;&gt;$A$15)),
        IF(Import.TipoArredondamento&lt;&gt;"TransfereGOV",
              ROUND(OFFSET($P306,0,AN$13),15-13*ORÇAMENTO!$AF$7)/$H306*OFFSET(ORÇAMENTO!$X$15,ROW(AN306)-ROW(AN$15),0),
              ROUND(ROUND(OFFSET($P306,0,AN$13),15-13*ORÇAMENTO!$AF$7)*OFFSET(ORÇAMENTO!$W$15,ROW(AN306)-ROW(AN$15),0),15-13*ORÇAMENTO!$AF$11)),
         0)</f>
        <v>0</v>
      </c>
      <c r="AO306" s="453">
        <f ca="1">IF(AND($D306="Serviço",AO$12&lt;&gt;0,$H306&gt;0,OR(AUTOEVENTO&lt;&gt;"manual",$M306&lt;&gt;$A$15)),
        IF(Import.TipoArredondamento&lt;&gt;"TransfereGOV",
              ROUND(OFFSET($P306,0,AO$13),15-13*ORÇAMENTO!$AF$7)/$H306*OFFSET(ORÇAMENTO!$X$15,ROW(AO306)-ROW(AO$15),0),
              ROUND(ROUND(OFFSET($P306,0,AO$13),15-13*ORÇAMENTO!$AF$7)*OFFSET(ORÇAMENTO!$W$15,ROW(AO306)-ROW(AO$15),0),15-13*ORÇAMENTO!$AF$11)),
         0)</f>
        <v>0</v>
      </c>
      <c r="AP306" s="453">
        <f ca="1">IF(AND($D306="Serviço",AP$12&lt;&gt;0,$H306&gt;0,OR(AUTOEVENTO&lt;&gt;"manual",$M306&lt;&gt;$A$15)),
        IF(Import.TipoArredondamento&lt;&gt;"TransfereGOV",
              ROUND(OFFSET($P306,0,AP$13),15-13*ORÇAMENTO!$AF$7)/$H306*OFFSET(ORÇAMENTO!$X$15,ROW(AP306)-ROW(AP$15),0),
              ROUND(ROUND(OFFSET($P306,0,AP$13),15-13*ORÇAMENTO!$AF$7)*OFFSET(ORÇAMENTO!$W$15,ROW(AP306)-ROW(AP$15),0),15-13*ORÇAMENTO!$AF$11)),
         0)</f>
        <v>0</v>
      </c>
      <c r="AQ306" s="453">
        <f ca="1">IF(AND($D306="Serviço",AQ$12&lt;&gt;0,$H306&gt;0,OR(AUTOEVENTO&lt;&gt;"manual",$M306&lt;&gt;$A$15)),
        IF(Import.TipoArredondamento&lt;&gt;"TransfereGOV",
              ROUND(OFFSET($P306,0,AQ$13),15-13*ORÇAMENTO!$AF$7)/$H306*OFFSET(ORÇAMENTO!$X$15,ROW(AQ306)-ROW(AQ$15),0),
              ROUND(ROUND(OFFSET($P306,0,AQ$13),15-13*ORÇAMENTO!$AF$7)*OFFSET(ORÇAMENTO!$W$15,ROW(AQ306)-ROW(AQ$15),0),15-13*ORÇAMENTO!$AF$11)),
         0)</f>
        <v>0</v>
      </c>
      <c r="AR306" s="453">
        <f ca="1">IF(AND($D306="Serviço",AR$12&lt;&gt;0,$H306&gt;0,OR(AUTOEVENTO&lt;&gt;"manual",$M306&lt;&gt;$A$15)),
        IF(Import.TipoArredondamento&lt;&gt;"TransfereGOV",
              ROUND(OFFSET($P306,0,AR$13),15-13*ORÇAMENTO!$AF$7)/$H306*OFFSET(ORÇAMENTO!$X$15,ROW(AR306)-ROW(AR$15),0),
              ROUND(ROUND(OFFSET($P306,0,AR$13),15-13*ORÇAMENTO!$AF$7)*OFFSET(ORÇAMENTO!$W$15,ROW(AR306)-ROW(AR$15),0),15-13*ORÇAMENTO!$AF$11)),
         0)</f>
        <v>0</v>
      </c>
      <c r="AS306" s="453">
        <f ca="1">IF(AND($D306="Serviço",AS$12&lt;&gt;0,$H306&gt;0,OR(AUTOEVENTO&lt;&gt;"manual",$M306&lt;&gt;$A$15)),
        IF(Import.TipoArredondamento&lt;&gt;"TransfereGOV",
              ROUND(OFFSET($P306,0,AS$13),15-13*ORÇAMENTO!$AF$7)/$H306*OFFSET(ORÇAMENTO!$X$15,ROW(AS306)-ROW(AS$15),0),
              ROUND(ROUND(OFFSET($P306,0,AS$13),15-13*ORÇAMENTO!$AF$7)*OFFSET(ORÇAMENTO!$W$15,ROW(AS306)-ROW(AS$15),0),15-13*ORÇAMENTO!$AF$11)),
         0)</f>
        <v>0</v>
      </c>
      <c r="AT306" s="453">
        <f ca="1">IF(AND($D306="Serviço",AT$12&lt;&gt;0,$H306&gt;0,OR(AUTOEVENTO&lt;&gt;"manual",$M306&lt;&gt;$A$15)),
        IF(Import.TipoArredondamento&lt;&gt;"TransfereGOV",
              ROUND(OFFSET($P306,0,AT$13),15-13*ORÇAMENTO!$AF$7)/$H306*OFFSET(ORÇAMENTO!$X$15,ROW(AT306)-ROW(AT$15),0),
              ROUND(ROUND(OFFSET($P306,0,AT$13),15-13*ORÇAMENTO!$AF$7)*OFFSET(ORÇAMENTO!$W$15,ROW(AT306)-ROW(AT$15),0),15-13*ORÇAMENTO!$AF$11)),
         0)</f>
        <v>0</v>
      </c>
      <c r="AU306" s="453">
        <f ca="1">IF(AND($D306="Serviço",AU$12&lt;&gt;0,$H306&gt;0,OR(AUTOEVENTO&lt;&gt;"manual",$M306&lt;&gt;$A$15)),
        IF(Import.TipoArredondamento&lt;&gt;"TransfereGOV",
              ROUND(OFFSET($P306,0,AU$13),15-13*ORÇAMENTO!$AF$7)/$H306*OFFSET(ORÇAMENTO!$X$15,ROW(AU306)-ROW(AU$15),0),
              ROUND(ROUND(OFFSET($P306,0,AU$13),15-13*ORÇAMENTO!$AF$7)*OFFSET(ORÇAMENTO!$W$15,ROW(AU306)-ROW(AU$15),0),15-13*ORÇAMENTO!$AF$11)),
         0)</f>
        <v>0</v>
      </c>
      <c r="AV306" s="453">
        <f ca="1">IF(AND($D306="Serviço",AV$12&lt;&gt;0,$H306&gt;0,OR(AUTOEVENTO&lt;&gt;"manual",$M306&lt;&gt;$A$15)),
        IF(Import.TipoArredondamento&lt;&gt;"TransfereGOV",
              ROUND(OFFSET($P306,0,AV$13),15-13*ORÇAMENTO!$AF$7)/$H306*OFFSET(ORÇAMENTO!$X$15,ROW(AV306)-ROW(AV$15),0),
              ROUND(ROUND(OFFSET($P306,0,AV$13),15-13*ORÇAMENTO!$AF$7)*OFFSET(ORÇAMENTO!$W$15,ROW(AV306)-ROW(AV$15),0),15-13*ORÇAMENTO!$AF$11)),
         0)</f>
        <v>0</v>
      </c>
      <c r="AW306" s="453">
        <f ca="1">IF(AND($D306="Serviço",AW$12&lt;&gt;0,$H306&gt;0,OR(AUTOEVENTO&lt;&gt;"manual",$M306&lt;&gt;$A$15)),
        IF(Import.TipoArredondamento&lt;&gt;"TransfereGOV",
              ROUND(OFFSET($P306,0,AW$13),15-13*ORÇAMENTO!$AF$7)/$H306*OFFSET(ORÇAMENTO!$X$15,ROW(AW306)-ROW(AW$15),0),
              ROUND(ROUND(OFFSET($P306,0,AW$13),15-13*ORÇAMENTO!$AF$7)*OFFSET(ORÇAMENTO!$W$15,ROW(AW306)-ROW(AW$15),0),15-13*ORÇAMENTO!$AF$11)),
         0)</f>
        <v>0</v>
      </c>
      <c r="AX306" s="453">
        <f ca="1">IF(AND($D306="Serviço",AX$12&lt;&gt;0,$H306&gt;0,OR(AUTOEVENTO&lt;&gt;"manual",$M306&lt;&gt;$A$15)),
        IF(Import.TipoArredondamento&lt;&gt;"TransfereGOV",
              ROUND(OFFSET($P306,0,AX$13),15-13*ORÇAMENTO!$AF$7)/$H306*OFFSET(ORÇAMENTO!$X$15,ROW(AX306)-ROW(AX$15),0),
              ROUND(ROUND(OFFSET($P306,0,AX$13),15-13*ORÇAMENTO!$AF$7)*OFFSET(ORÇAMENTO!$W$15,ROW(AX306)-ROW(AX$15),0),15-13*ORÇAMENTO!$AF$11)),
         0)</f>
        <v>0</v>
      </c>
      <c r="AY306" s="453">
        <f ca="1">IF(AND($D306="Serviço",AY$12&lt;&gt;0,$H306&gt;0,OR(AUTOEVENTO&lt;&gt;"manual",$M306&lt;&gt;$A$15)),
        IF(Import.TipoArredondamento&lt;&gt;"TransfereGOV",
              ROUND(OFFSET($P306,0,AY$13),15-13*ORÇAMENTO!$AF$7)/$H306*OFFSET(ORÇAMENTO!$X$15,ROW(AY306)-ROW(AY$15),0),
              ROUND(ROUND(OFFSET($P306,0,AY$13),15-13*ORÇAMENTO!$AF$7)*OFFSET(ORÇAMENTO!$W$15,ROW(AY306)-ROW(AY$15),0),15-13*ORÇAMENTO!$AF$11)),
         0)</f>
        <v>0</v>
      </c>
      <c r="AZ306" s="453">
        <f ca="1">IF(AND($D306="Serviço",AZ$12&lt;&gt;0,$H306&gt;0,OR(AUTOEVENTO&lt;&gt;"manual",$M306&lt;&gt;$A$15)),
        IF(Import.TipoArredondamento&lt;&gt;"TransfereGOV",
              ROUND(OFFSET($P306,0,AZ$13),15-13*ORÇAMENTO!$AF$7)/$H306*OFFSET(ORÇAMENTO!$X$15,ROW(AZ306)-ROW(AZ$15),0),
              ROUND(ROUND(OFFSET($P306,0,AZ$13),15-13*ORÇAMENTO!$AF$7)*OFFSET(ORÇAMENTO!$W$15,ROW(AZ306)-ROW(AZ$15),0),15-13*ORÇAMENTO!$AF$11)),
         0)</f>
        <v>0</v>
      </c>
      <c r="BA306" s="453">
        <f ca="1">IF(AND($D306="Serviço",BA$12&lt;&gt;0,$H306&gt;0,OR(AUTOEVENTO&lt;&gt;"manual",$M306&lt;&gt;$A$15)),
        IF(Import.TipoArredondamento&lt;&gt;"TransfereGOV",
              ROUND(OFFSET($P306,0,BA$13),15-13*ORÇAMENTO!$AF$7)/$H306*OFFSET(ORÇAMENTO!$X$15,ROW(BA306)-ROW(BA$15),0),
              ROUND(ROUND(OFFSET($P306,0,BA$13),15-13*ORÇAMENTO!$AF$7)*OFFSET(ORÇAMENTO!$W$15,ROW(BA306)-ROW(BA$15),0),15-13*ORÇAMENTO!$AF$11)),
         0)</f>
        <v>0</v>
      </c>
      <c r="BC306" s="171">
        <f ca="1">IF(OR($D306&lt;&gt;"Serviço",AND(AUTOEVENTO="Manual",$M306=$A$15)),0,
         IF(OFFSET(CRONOPLE!$F$15,$M306-$A$15,BC$13)=0,10^12,OFFSET(CRONOPLE!$F$15,$M306-$A$15,BC$13)))</f>
        <v>1</v>
      </c>
      <c r="BD306" s="171">
        <f ca="1">IF(OR($D306&lt;&gt;"Serviço",AND(AUTOEVENTO="Manual",$M306=$A$15)),0,
         IF(OFFSET(CRONOPLE!$F$15,$M306-$A$15,BD$13)=0,10^12,OFFSET(CRONOPLE!$F$15,$M306-$A$15,BD$13)))</f>
        <v>2</v>
      </c>
      <c r="BE306" s="171">
        <f ca="1">IF(OR($D306&lt;&gt;"Serviço",AND(AUTOEVENTO="Manual",$M306=$A$15)),0,
         IF(OFFSET(CRONOPLE!$F$15,$M306-$A$15,BE$13)=0,10^12,OFFSET(CRONOPLE!$F$15,$M306-$A$15,BE$13)))</f>
        <v>3</v>
      </c>
      <c r="BF306" s="171">
        <f ca="1">IF(OR($D306&lt;&gt;"Serviço",AND(AUTOEVENTO="Manual",$M306=$A$15)),0,
         IF(OFFSET(CRONOPLE!$F$15,$M306-$A$15,BF$13)=0,10^12,OFFSET(CRONOPLE!$F$15,$M306-$A$15,BF$13)))</f>
        <v>4</v>
      </c>
      <c r="BG306" s="171">
        <f ca="1">IF(OR($D306&lt;&gt;"Serviço",AND(AUTOEVENTO="Manual",$M306=$A$15)),0,
         IF(OFFSET(CRONOPLE!$F$15,$M306-$A$15,BG$13)=0,10^12,OFFSET(CRONOPLE!$F$15,$M306-$A$15,BG$13)))</f>
        <v>5</v>
      </c>
      <c r="BH306" s="171">
        <f ca="1">IF(OR($D306&lt;&gt;"Serviço",AND(AUTOEVENTO="Manual",$M306=$A$15)),0,
         IF(OFFSET(CRONOPLE!$F$15,$M306-$A$15,BH$13)=0,10^12,OFFSET(CRONOPLE!$F$15,$M306-$A$15,BH$13)))</f>
        <v>6</v>
      </c>
      <c r="BI306" s="171">
        <f ca="1">IF(OR($D306&lt;&gt;"Serviço",AND(AUTOEVENTO="Manual",$M306=$A$15)),0,
         IF(OFFSET(CRONOPLE!$F$15,$M306-$A$15,BI$13)=0,10^12,OFFSET(CRONOPLE!$F$15,$M306-$A$15,BI$13)))</f>
        <v>7</v>
      </c>
      <c r="BJ306" s="171">
        <f ca="1">IF(OR($D306&lt;&gt;"Serviço",AND(AUTOEVENTO="Manual",$M306=$A$15)),0,
         IF(OFFSET(CRONOPLE!$F$15,$M306-$A$15,BJ$13)=0,10^12,OFFSET(CRONOPLE!$F$15,$M306-$A$15,BJ$13)))</f>
        <v>8</v>
      </c>
      <c r="BK306" s="171">
        <f ca="1">IF(OR($D306&lt;&gt;"Serviço",AND(AUTOEVENTO="Manual",$M306=$A$15)),0,
         IF(OFFSET(CRONOPLE!$F$15,$M306-$A$15,BK$13)=0,10^12,OFFSET(CRONOPLE!$F$15,$M306-$A$15,BK$13)))</f>
        <v>9</v>
      </c>
      <c r="BL306" s="171">
        <f ca="1">IF(OR($D306&lt;&gt;"Serviço",AND(AUTOEVENTO="Manual",$M306=$A$15)),0,
         IF(OFFSET(CRONOPLE!$F$15,$M306-$A$15,BL$13)=0,10^12,OFFSET(CRONOPLE!$F$15,$M306-$A$15,BL$13)))</f>
        <v>1000000000000</v>
      </c>
      <c r="BM306" s="171">
        <f ca="1">IF(OR($D306&lt;&gt;"Serviço",AND(AUTOEVENTO="Manual",$M306=$A$15)),0,
         IF(OFFSET(CRONOPLE!$F$15,$M306-$A$15,BM$13)=0,10^12,OFFSET(CRONOPLE!$F$15,$M306-$A$15,BM$13)))</f>
        <v>1000000000000</v>
      </c>
      <c r="BN306" s="171">
        <f ca="1">IF(OR($D306&lt;&gt;"Serviço",AND(AUTOEVENTO="Manual",$M306=$A$15)),0,
         IF(OFFSET(CRONOPLE!$F$15,$M306-$A$15,BN$13)=0,10^12,OFFSET(CRONOPLE!$F$15,$M306-$A$15,BN$13)))</f>
        <v>1000000000000</v>
      </c>
      <c r="BO306" s="171">
        <f ca="1">IF(OR($D306&lt;&gt;"Serviço",AND(AUTOEVENTO="Manual",$M306=$A$15)),0,
         IF(OFFSET(CRONOPLE!$F$15,$M306-$A$15,BO$13)=0,10^12,OFFSET(CRONOPLE!$F$15,$M306-$A$15,BO$13)))</f>
        <v>1000000000000</v>
      </c>
      <c r="BP306" s="171">
        <f ca="1">IF(OR($D306&lt;&gt;"Serviço",AND(AUTOEVENTO="Manual",$M306=$A$15)),0,
         IF(OFFSET(CRONOPLE!$F$15,$M306-$A$15,BP$13)=0,10^12,OFFSET(CRONOPLE!$F$15,$M306-$A$15,BP$13)))</f>
        <v>1000000000000</v>
      </c>
      <c r="BQ306" s="171">
        <f ca="1">IF(OR($D306&lt;&gt;"Serviço",AND(AUTOEVENTO="Manual",$M306=$A$15)),0,
         IF(OFFSET(CRONOPLE!$F$15,$M306-$A$15,BQ$13)=0,10^12,OFFSET(CRONOPLE!$F$15,$M306-$A$15,BQ$13)))</f>
        <v>1000000000000</v>
      </c>
      <c r="BR306" s="171">
        <f ca="1">IF(OR($D306&lt;&gt;"Serviço",AND(AUTOEVENTO="Manual",$M306=$A$15)),0,
         IF(OFFSET(CRONOPLE!$F$15,$M306-$A$15,BR$13)=0,10^12,OFFSET(CRONOPLE!$F$15,$M306-$A$15,BR$13)))</f>
        <v>1000000000000</v>
      </c>
      <c r="BS306" s="171">
        <f ca="1">IF(OR($D306&lt;&gt;"Serviço",AND(AUTOEVENTO="Manual",$M306=$A$15)),0,
         IF(OFFSET(CRONOPLE!$F$15,$M306-$A$15,BS$13)=0,10^12,OFFSET(CRONOPLE!$F$15,$M306-$A$15,BS$13)))</f>
        <v>1000000000000</v>
      </c>
      <c r="BT306" s="171">
        <f ca="1">IF(OR($D306&lt;&gt;"Serviço",AND(AUTOEVENTO="Manual",$M306=$A$15)),0,
         IF(OFFSET(CRONOPLE!$F$15,$M306-$A$15,BT$13)=0,10^12,OFFSET(CRONOPLE!$F$15,$M306-$A$15,BT$13)))</f>
        <v>1000000000000</v>
      </c>
      <c r="BV306" s="172">
        <f ca="1">IF(OR($D306&lt;&gt;"Serviço",AND(AUTOEVENTO="Manual",$M306=$A$15),$M306&gt;(ROW(PLE.lastrow)-ROW(PLE.firstrow))),0,
           IF(OFFSET(PLE!$G$15,$M306-$A$15,BV$13)="",10^12,OFFSET(PLE!$G$15,$M306-$A$15,BV$13)))</f>
        <v>1000000000000</v>
      </c>
      <c r="BW306" s="172">
        <f ca="1">IF(OR($D306&lt;&gt;"Serviço",AND(AUTOEVENTO="Manual",$M306=$A$15),$M306&gt;(ROW(PLE.lastrow)-ROW(PLE.firstrow))),0,
           IF(OFFSET(PLE!$G$15,$M306-$A$15,BW$13)="",10^12,OFFSET(PLE!$G$15,$M306-$A$15,BW$13)))</f>
        <v>1000000000000</v>
      </c>
      <c r="BX306" s="172">
        <f ca="1">IF(OR($D306&lt;&gt;"Serviço",AND(AUTOEVENTO="Manual",$M306=$A$15),$M306&gt;(ROW(PLE.lastrow)-ROW(PLE.firstrow))),0,
           IF(OFFSET(PLE!$G$15,$M306-$A$15,BX$13)="",10^12,OFFSET(PLE!$G$15,$M306-$A$15,BX$13)))</f>
        <v>1000000000000</v>
      </c>
      <c r="BY306" s="172">
        <f ca="1">IF(OR($D306&lt;&gt;"Serviço",AND(AUTOEVENTO="Manual",$M306=$A$15),$M306&gt;(ROW(PLE.lastrow)-ROW(PLE.firstrow))),0,
           IF(OFFSET(PLE!$G$15,$M306-$A$15,BY$13)="",10^12,OFFSET(PLE!$G$15,$M306-$A$15,BY$13)))</f>
        <v>1000000000000</v>
      </c>
      <c r="BZ306" s="172">
        <f ca="1">IF(OR($D306&lt;&gt;"Serviço",AND(AUTOEVENTO="Manual",$M306=$A$15),$M306&gt;(ROW(PLE.lastrow)-ROW(PLE.firstrow))),0,
           IF(OFFSET(PLE!$G$15,$M306-$A$15,BZ$13)="",10^12,OFFSET(PLE!$G$15,$M306-$A$15,BZ$13)))</f>
        <v>1000000000000</v>
      </c>
      <c r="CA306" s="172">
        <f ca="1">IF(OR($D306&lt;&gt;"Serviço",AND(AUTOEVENTO="Manual",$M306=$A$15),$M306&gt;(ROW(PLE.lastrow)-ROW(PLE.firstrow))),0,
           IF(OFFSET(PLE!$G$15,$M306-$A$15,CA$13)="",10^12,OFFSET(PLE!$G$15,$M306-$A$15,CA$13)))</f>
        <v>1000000000000</v>
      </c>
      <c r="CB306" s="172">
        <f ca="1">IF(OR($D306&lt;&gt;"Serviço",AND(AUTOEVENTO="Manual",$M306=$A$15),$M306&gt;(ROW(PLE.lastrow)-ROW(PLE.firstrow))),0,
           IF(OFFSET(PLE!$G$15,$M306-$A$15,CB$13)="",10^12,OFFSET(PLE!$G$15,$M306-$A$15,CB$13)))</f>
        <v>1000000000000</v>
      </c>
      <c r="CC306" s="172">
        <f ca="1">IF(OR($D306&lt;&gt;"Serviço",AND(AUTOEVENTO="Manual",$M306=$A$15),$M306&gt;(ROW(PLE.lastrow)-ROW(PLE.firstrow))),0,
           IF(OFFSET(PLE!$G$15,$M306-$A$15,CC$13)="",10^12,OFFSET(PLE!$G$15,$M306-$A$15,CC$13)))</f>
        <v>1000000000000</v>
      </c>
      <c r="CD306" s="172">
        <f ca="1">IF(OR($D306&lt;&gt;"Serviço",AND(AUTOEVENTO="Manual",$M306=$A$15),$M306&gt;(ROW(PLE.lastrow)-ROW(PLE.firstrow))),0,
           IF(OFFSET(PLE!$G$15,$M306-$A$15,CD$13)="",10^12,OFFSET(PLE!$G$15,$M306-$A$15,CD$13)))</f>
        <v>1000000000000</v>
      </c>
      <c r="CE306" s="172">
        <f ca="1">IF(OR($D306&lt;&gt;"Serviço",AND(AUTOEVENTO="Manual",$M306=$A$15),$M306&gt;(ROW(PLE.lastrow)-ROW(PLE.firstrow))),0,
           IF(OFFSET(PLE!$G$15,$M306-$A$15,CE$13)="",10^12,OFFSET(PLE!$G$15,$M306-$A$15,CE$13)))</f>
        <v>1000000000000</v>
      </c>
      <c r="CF306" s="172">
        <f ca="1">IF(OR($D306&lt;&gt;"Serviço",AND(AUTOEVENTO="Manual",$M306=$A$15),$M306&gt;(ROW(PLE.lastrow)-ROW(PLE.firstrow))),0,
           IF(OFFSET(PLE!$G$15,$M306-$A$15,CF$13)="",10^12,OFFSET(PLE!$G$15,$M306-$A$15,CF$13)))</f>
        <v>1000000000000</v>
      </c>
      <c r="CG306" s="172">
        <f ca="1">IF(OR($D306&lt;&gt;"Serviço",AND(AUTOEVENTO="Manual",$M306=$A$15),$M306&gt;(ROW(PLE.lastrow)-ROW(PLE.firstrow))),0,
           IF(OFFSET(PLE!$G$15,$M306-$A$15,CG$13)="",10^12,OFFSET(PLE!$G$15,$M306-$A$15,CG$13)))</f>
        <v>1000000000000</v>
      </c>
      <c r="CH306" s="172">
        <f ca="1">IF(OR($D306&lt;&gt;"Serviço",AND(AUTOEVENTO="Manual",$M306=$A$15),$M306&gt;(ROW(PLE.lastrow)-ROW(PLE.firstrow))),0,
           IF(OFFSET(PLE!$G$15,$M306-$A$15,CH$13)="",10^12,OFFSET(PLE!$G$15,$M306-$A$15,CH$13)))</f>
        <v>1000000000000</v>
      </c>
      <c r="CI306" s="172">
        <f ca="1">IF(OR($D306&lt;&gt;"Serviço",AND(AUTOEVENTO="Manual",$M306=$A$15),$M306&gt;(ROW(PLE.lastrow)-ROW(PLE.firstrow))),0,
           IF(OFFSET(PLE!$G$15,$M306-$A$15,CI$13)="",10^12,OFFSET(PLE!$G$15,$M306-$A$15,CI$13)))</f>
        <v>1000000000000</v>
      </c>
      <c r="CJ306" s="172">
        <f ca="1">IF(OR($D306&lt;&gt;"Serviço",AND(AUTOEVENTO="Manual",$M306=$A$15),$M306&gt;(ROW(PLE.lastrow)-ROW(PLE.firstrow))),0,
           IF(OFFSET(PLE!$G$15,$M306-$A$15,CJ$13)="",10^12,OFFSET(PLE!$G$15,$M306-$A$15,CJ$13)))</f>
        <v>1000000000000</v>
      </c>
      <c r="CK306" s="172">
        <f ca="1">IF(OR($D306&lt;&gt;"Serviço",AND(AUTOEVENTO="Manual",$M306=$A$15),$M306&gt;(ROW(PLE.lastrow)-ROW(PLE.firstrow))),0,
           IF(OFFSET(PLE!$G$15,$M306-$A$15,CK$13)="",10^12,OFFSET(PLE!$G$15,$M306-$A$15,CK$13)))</f>
        <v>1000000000000</v>
      </c>
      <c r="CL306" s="172">
        <f ca="1">IF(OR($D306&lt;&gt;"Serviço",AND(AUTOEVENTO="Manual",$M306=$A$15),$M306&gt;(ROW(PLE.lastrow)-ROW(PLE.firstrow))),0,
           IF(OFFSET(PLE!$G$15,$M306-$A$15,CL$13)="",10^12,OFFSET(PLE!$G$15,$M306-$A$15,CL$13)))</f>
        <v>1000000000000</v>
      </c>
      <c r="CM306" s="172">
        <f ca="1">IF(OR($D306&lt;&gt;"Serviço",AND(AUTOEVENTO="Manual",$M306=$A$15),$M306&gt;(ROW(PLE.lastrow)-ROW(PLE.firstrow))),0,
           IF(OFFSET(PLE!$G$15,$M306-$A$15,CM$13)="",10^12,OFFSET(PLE!$G$15,$M306-$A$15,CM$13)))</f>
        <v>1000000000000</v>
      </c>
    </row>
    <row r="307" spans="1:91" ht="63.75" x14ac:dyDescent="0.2">
      <c r="A307" s="7">
        <f t="shared" ca="1" si="14"/>
        <v>6</v>
      </c>
      <c r="B307" s="7" t="str">
        <f ca="1">OFFSET(ORÇAMENTO!C$15,ROW(B307)-ROW(B$15),0)</f>
        <v>S</v>
      </c>
      <c r="C307" s="7" t="str">
        <f ca="1">OFFSET(ORÇAMENTO!L$15,ROW(C307)-ROW(C$15),0)</f>
        <v>F</v>
      </c>
      <c r="D307" s="116" t="str">
        <f ca="1">OFFSET(ORÇAMENTO!N$15,ROW(D307)-ROW(D$15),0)</f>
        <v>Serviço</v>
      </c>
      <c r="E307" s="117" t="str">
        <f ca="1">OFFSET(ORÇAMENTO!O$15,ROW(E307)-ROW(E$15),0)</f>
        <v>1.7.4.1.4.</v>
      </c>
      <c r="F307" s="163" t="str">
        <f ca="1">OFFSET(ORÇAMENTO!R$15,ROW(F307)-ROW(F$15),0)</f>
        <v>REGISTRO GAVETA FLANGE E CABEÇOTE PN10 DN150MM</v>
      </c>
      <c r="G307" s="164" t="str">
        <f ca="1">IF($D307&lt;&gt;"Serviço","",OFFSET(ORÇAMENTO!S$15,ROW(G307)-ROW(G$15),0))</f>
        <v>UN</v>
      </c>
      <c r="H307" s="122" cm="1">
        <f t="array" aca="1" ref="H307" ca="1">IF($D307&lt;&gt;"Serviço",0,IF(ACOMPANHAMENTO="BM",ROUND(OFFSET(ORÇAMENTO!AJ$15,ROW(H307)-ROW(H$15),0),15-13*ORÇAMENTO!$AF$7),SUMPRODUCT(($Q$1:$AI$1=1)*ROUND($Q307:$AI307,15-13*ORÇAMENTO!$AF$7))))</f>
        <v>6</v>
      </c>
      <c r="I307" s="468" t="s">
        <v>1355</v>
      </c>
      <c r="J307" s="640" t="str" cm="1">
        <f t="array" aca="1" ref="J307" ca="1">IF(OR(B307&lt;&gt;"S",CÁLCULO.FrentesPreenchidas=0),"",IF(AND(ACOMPANHAMENTO="PLE",AUTOEVENTO="Manual",OR(H307&gt;0,ORÇAMENTO!AC307="QUANT."),OR(K307="",M307=0,N307="")),"►E",IF(AND(ACOMPANHAMENTO="PLE",ORÇAMENTO!AC307="QUANT."),"►Q",IF(AND(ACOMPANHAMENTO="PLE",H307&lt;&gt;SUMPRODUCT(($Q$1:$AI$1=1)*ROUND(Q307:AI307,15))),"►S",IF(AND(COUNTIF($P$11:$AI$11,"▼")=0,H307&gt;0,I307=""),"◄M","")))))</f>
        <v/>
      </c>
      <c r="K307" s="641" t="s">
        <v>1385</v>
      </c>
      <c r="L307" s="165" t="s">
        <v>764</v>
      </c>
      <c r="M307" s="166">
        <f ca="1">IF($D307&lt;&gt;"Serviço","",
          IF(AUTOEVENTO="manual",$A307,
                IF(ISERROR(MATCH($A307,$A$15:OFFSET($A307,-1,0),0)),MAX($M$15:OFFSET(M307,-1,0))+1,
                      INDEX($M$15:OFFSET(M307,-1,0),MATCH($A307,$A$15:OFFSET($A307,-1,0),0)))))</f>
        <v>6</v>
      </c>
      <c r="N307" s="167" t="str">
        <f ca="1">IF($D307&lt;&gt;"Serviço","",
         IF(AUTOEVENTO="Manual",
                IF($A307=0,"&lt;-- defina o número do agrupador",
                       OFFSET(EVENTOS!$D$15,$A307-$A$15,0)),
                OFFSET($F$15,$A307,0)))</f>
        <v>Saneamento</v>
      </c>
      <c r="O307" s="168"/>
      <c r="Q307" s="168"/>
      <c r="R307" s="169"/>
      <c r="S307" s="169"/>
      <c r="T307" s="169"/>
      <c r="U307" s="169">
        <v>6</v>
      </c>
      <c r="V307" s="169"/>
      <c r="W307" s="169"/>
      <c r="X307" s="169"/>
      <c r="Y307" s="169"/>
      <c r="Z307" s="170"/>
      <c r="AA307" s="169"/>
      <c r="AB307" s="169"/>
      <c r="AC307" s="169"/>
      <c r="AD307" s="169"/>
      <c r="AE307" s="169"/>
      <c r="AF307" s="169"/>
      <c r="AG307" s="169"/>
      <c r="AH307" s="170"/>
      <c r="AJ307" s="453">
        <f ca="1">IF(AND($D307="Serviço",AJ$12&lt;&gt;0,$H307&gt;0,OR(AUTOEVENTO&lt;&gt;"manual",$M307&lt;&gt;$A$15)),
        IF(Import.TipoArredondamento&lt;&gt;"TransfereGOV",
              ROUND(OFFSET($P307,0,AJ$13),15-13*ORÇAMENTO!$AF$7)/$H307*OFFSET(ORÇAMENTO!$X$15,ROW(AJ307)-ROW(AJ$15),0),
              ROUND(ROUND(OFFSET($P307,0,AJ$13),15-13*ORÇAMENTO!$AF$7)*OFFSET(ORÇAMENTO!$W$15,ROW(AJ307)-ROW(AJ$15),0),15-13*ORÇAMENTO!$AF$11)),
         0)</f>
        <v>0</v>
      </c>
      <c r="AK307" s="453">
        <f ca="1">IF(AND($D307="Serviço",AK$12&lt;&gt;0,$H307&gt;0,OR(AUTOEVENTO&lt;&gt;"manual",$M307&lt;&gt;$A$15)),
        IF(Import.TipoArredondamento&lt;&gt;"TransfereGOV",
              ROUND(OFFSET($P307,0,AK$13),15-13*ORÇAMENTO!$AF$7)/$H307*OFFSET(ORÇAMENTO!$X$15,ROW(AK307)-ROW(AK$15),0),
              ROUND(ROUND(OFFSET($P307,0,AK$13),15-13*ORÇAMENTO!$AF$7)*OFFSET(ORÇAMENTO!$W$15,ROW(AK307)-ROW(AK$15),0),15-13*ORÇAMENTO!$AF$11)),
         0)</f>
        <v>0</v>
      </c>
      <c r="AL307" s="453">
        <f ca="1">IF(AND($D307="Serviço",AL$12&lt;&gt;0,$H307&gt;0,OR(AUTOEVENTO&lt;&gt;"manual",$M307&lt;&gt;$A$15)),
        IF(Import.TipoArredondamento&lt;&gt;"TransfereGOV",
              ROUND(OFFSET($P307,0,AL$13),15-13*ORÇAMENTO!$AF$7)/$H307*OFFSET(ORÇAMENTO!$X$15,ROW(AL307)-ROW(AL$15),0),
              ROUND(ROUND(OFFSET($P307,0,AL$13),15-13*ORÇAMENTO!$AF$7)*OFFSET(ORÇAMENTO!$W$15,ROW(AL307)-ROW(AL$15),0),15-13*ORÇAMENTO!$AF$11)),
         0)</f>
        <v>0</v>
      </c>
      <c r="AM307" s="453">
        <f ca="1">IF(AND($D307="Serviço",AM$12&lt;&gt;0,$H307&gt;0,OR(AUTOEVENTO&lt;&gt;"manual",$M307&lt;&gt;$A$15)),
        IF(Import.TipoArredondamento&lt;&gt;"TransfereGOV",
              ROUND(OFFSET($P307,0,AM$13),15-13*ORÇAMENTO!$AF$7)/$H307*OFFSET(ORÇAMENTO!$X$15,ROW(AM307)-ROW(AM$15),0),
              ROUND(ROUND(OFFSET($P307,0,AM$13),15-13*ORÇAMENTO!$AF$7)*OFFSET(ORÇAMENTO!$W$15,ROW(AM307)-ROW(AM$15),0),15-13*ORÇAMENTO!$AF$11)),
         0)</f>
        <v>0</v>
      </c>
      <c r="AN307" s="453">
        <f ca="1">IF(AND($D307="Serviço",AN$12&lt;&gt;0,$H307&gt;0,OR(AUTOEVENTO&lt;&gt;"manual",$M307&lt;&gt;$A$15)),
        IF(Import.TipoArredondamento&lt;&gt;"TransfereGOV",
              ROUND(OFFSET($P307,0,AN$13),15-13*ORÇAMENTO!$AF$7)/$H307*OFFSET(ORÇAMENTO!$X$15,ROW(AN307)-ROW(AN$15),0),
              ROUND(ROUND(OFFSET($P307,0,AN$13),15-13*ORÇAMENTO!$AF$7)*OFFSET(ORÇAMENTO!$W$15,ROW(AN307)-ROW(AN$15),0),15-13*ORÇAMENTO!$AF$11)),
         0)</f>
        <v>0</v>
      </c>
      <c r="AO307" s="453">
        <f ca="1">IF(AND($D307="Serviço",AO$12&lt;&gt;0,$H307&gt;0,OR(AUTOEVENTO&lt;&gt;"manual",$M307&lt;&gt;$A$15)),
        IF(Import.TipoArredondamento&lt;&gt;"TransfereGOV",
              ROUND(OFFSET($P307,0,AO$13),15-13*ORÇAMENTO!$AF$7)/$H307*OFFSET(ORÇAMENTO!$X$15,ROW(AO307)-ROW(AO$15),0),
              ROUND(ROUND(OFFSET($P307,0,AO$13),15-13*ORÇAMENTO!$AF$7)*OFFSET(ORÇAMENTO!$W$15,ROW(AO307)-ROW(AO$15),0),15-13*ORÇAMENTO!$AF$11)),
         0)</f>
        <v>0</v>
      </c>
      <c r="AP307" s="453">
        <f ca="1">IF(AND($D307="Serviço",AP$12&lt;&gt;0,$H307&gt;0,OR(AUTOEVENTO&lt;&gt;"manual",$M307&lt;&gt;$A$15)),
        IF(Import.TipoArredondamento&lt;&gt;"TransfereGOV",
              ROUND(OFFSET($P307,0,AP$13),15-13*ORÇAMENTO!$AF$7)/$H307*OFFSET(ORÇAMENTO!$X$15,ROW(AP307)-ROW(AP$15),0),
              ROUND(ROUND(OFFSET($P307,0,AP$13),15-13*ORÇAMENTO!$AF$7)*OFFSET(ORÇAMENTO!$W$15,ROW(AP307)-ROW(AP$15),0),15-13*ORÇAMENTO!$AF$11)),
         0)</f>
        <v>0</v>
      </c>
      <c r="AQ307" s="453">
        <f ca="1">IF(AND($D307="Serviço",AQ$12&lt;&gt;0,$H307&gt;0,OR(AUTOEVENTO&lt;&gt;"manual",$M307&lt;&gt;$A$15)),
        IF(Import.TipoArredondamento&lt;&gt;"TransfereGOV",
              ROUND(OFFSET($P307,0,AQ$13),15-13*ORÇAMENTO!$AF$7)/$H307*OFFSET(ORÇAMENTO!$X$15,ROW(AQ307)-ROW(AQ$15),0),
              ROUND(ROUND(OFFSET($P307,0,AQ$13),15-13*ORÇAMENTO!$AF$7)*OFFSET(ORÇAMENTO!$W$15,ROW(AQ307)-ROW(AQ$15),0),15-13*ORÇAMENTO!$AF$11)),
         0)</f>
        <v>0</v>
      </c>
      <c r="AR307" s="453">
        <f ca="1">IF(AND($D307="Serviço",AR$12&lt;&gt;0,$H307&gt;0,OR(AUTOEVENTO&lt;&gt;"manual",$M307&lt;&gt;$A$15)),
        IF(Import.TipoArredondamento&lt;&gt;"TransfereGOV",
              ROUND(OFFSET($P307,0,AR$13),15-13*ORÇAMENTO!$AF$7)/$H307*OFFSET(ORÇAMENTO!$X$15,ROW(AR307)-ROW(AR$15),0),
              ROUND(ROUND(OFFSET($P307,0,AR$13),15-13*ORÇAMENTO!$AF$7)*OFFSET(ORÇAMENTO!$W$15,ROW(AR307)-ROW(AR$15),0),15-13*ORÇAMENTO!$AF$11)),
         0)</f>
        <v>0</v>
      </c>
      <c r="AS307" s="453">
        <f ca="1">IF(AND($D307="Serviço",AS$12&lt;&gt;0,$H307&gt;0,OR(AUTOEVENTO&lt;&gt;"manual",$M307&lt;&gt;$A$15)),
        IF(Import.TipoArredondamento&lt;&gt;"TransfereGOV",
              ROUND(OFFSET($P307,0,AS$13),15-13*ORÇAMENTO!$AF$7)/$H307*OFFSET(ORÇAMENTO!$X$15,ROW(AS307)-ROW(AS$15),0),
              ROUND(ROUND(OFFSET($P307,0,AS$13),15-13*ORÇAMENTO!$AF$7)*OFFSET(ORÇAMENTO!$W$15,ROW(AS307)-ROW(AS$15),0),15-13*ORÇAMENTO!$AF$11)),
         0)</f>
        <v>0</v>
      </c>
      <c r="AT307" s="453">
        <f ca="1">IF(AND($D307="Serviço",AT$12&lt;&gt;0,$H307&gt;0,OR(AUTOEVENTO&lt;&gt;"manual",$M307&lt;&gt;$A$15)),
        IF(Import.TipoArredondamento&lt;&gt;"TransfereGOV",
              ROUND(OFFSET($P307,0,AT$13),15-13*ORÇAMENTO!$AF$7)/$H307*OFFSET(ORÇAMENTO!$X$15,ROW(AT307)-ROW(AT$15),0),
              ROUND(ROUND(OFFSET($P307,0,AT$13),15-13*ORÇAMENTO!$AF$7)*OFFSET(ORÇAMENTO!$W$15,ROW(AT307)-ROW(AT$15),0),15-13*ORÇAMENTO!$AF$11)),
         0)</f>
        <v>0</v>
      </c>
      <c r="AU307" s="453">
        <f ca="1">IF(AND($D307="Serviço",AU$12&lt;&gt;0,$H307&gt;0,OR(AUTOEVENTO&lt;&gt;"manual",$M307&lt;&gt;$A$15)),
        IF(Import.TipoArredondamento&lt;&gt;"TransfereGOV",
              ROUND(OFFSET($P307,0,AU$13),15-13*ORÇAMENTO!$AF$7)/$H307*OFFSET(ORÇAMENTO!$X$15,ROW(AU307)-ROW(AU$15),0),
              ROUND(ROUND(OFFSET($P307,0,AU$13),15-13*ORÇAMENTO!$AF$7)*OFFSET(ORÇAMENTO!$W$15,ROW(AU307)-ROW(AU$15),0),15-13*ORÇAMENTO!$AF$11)),
         0)</f>
        <v>0</v>
      </c>
      <c r="AV307" s="453">
        <f ca="1">IF(AND($D307="Serviço",AV$12&lt;&gt;0,$H307&gt;0,OR(AUTOEVENTO&lt;&gt;"manual",$M307&lt;&gt;$A$15)),
        IF(Import.TipoArredondamento&lt;&gt;"TransfereGOV",
              ROUND(OFFSET($P307,0,AV$13),15-13*ORÇAMENTO!$AF$7)/$H307*OFFSET(ORÇAMENTO!$X$15,ROW(AV307)-ROW(AV$15),0),
              ROUND(ROUND(OFFSET($P307,0,AV$13),15-13*ORÇAMENTO!$AF$7)*OFFSET(ORÇAMENTO!$W$15,ROW(AV307)-ROW(AV$15),0),15-13*ORÇAMENTO!$AF$11)),
         0)</f>
        <v>0</v>
      </c>
      <c r="AW307" s="453">
        <f ca="1">IF(AND($D307="Serviço",AW$12&lt;&gt;0,$H307&gt;0,OR(AUTOEVENTO&lt;&gt;"manual",$M307&lt;&gt;$A$15)),
        IF(Import.TipoArredondamento&lt;&gt;"TransfereGOV",
              ROUND(OFFSET($P307,0,AW$13),15-13*ORÇAMENTO!$AF$7)/$H307*OFFSET(ORÇAMENTO!$X$15,ROW(AW307)-ROW(AW$15),0),
              ROUND(ROUND(OFFSET($P307,0,AW$13),15-13*ORÇAMENTO!$AF$7)*OFFSET(ORÇAMENTO!$W$15,ROW(AW307)-ROW(AW$15),0),15-13*ORÇAMENTO!$AF$11)),
         0)</f>
        <v>0</v>
      </c>
      <c r="AX307" s="453">
        <f ca="1">IF(AND($D307="Serviço",AX$12&lt;&gt;0,$H307&gt;0,OR(AUTOEVENTO&lt;&gt;"manual",$M307&lt;&gt;$A$15)),
        IF(Import.TipoArredondamento&lt;&gt;"TransfereGOV",
              ROUND(OFFSET($P307,0,AX$13),15-13*ORÇAMENTO!$AF$7)/$H307*OFFSET(ORÇAMENTO!$X$15,ROW(AX307)-ROW(AX$15),0),
              ROUND(ROUND(OFFSET($P307,0,AX$13),15-13*ORÇAMENTO!$AF$7)*OFFSET(ORÇAMENTO!$W$15,ROW(AX307)-ROW(AX$15),0),15-13*ORÇAMENTO!$AF$11)),
         0)</f>
        <v>0</v>
      </c>
      <c r="AY307" s="453">
        <f ca="1">IF(AND($D307="Serviço",AY$12&lt;&gt;0,$H307&gt;0,OR(AUTOEVENTO&lt;&gt;"manual",$M307&lt;&gt;$A$15)),
        IF(Import.TipoArredondamento&lt;&gt;"TransfereGOV",
              ROUND(OFFSET($P307,0,AY$13),15-13*ORÇAMENTO!$AF$7)/$H307*OFFSET(ORÇAMENTO!$X$15,ROW(AY307)-ROW(AY$15),0),
              ROUND(ROUND(OFFSET($P307,0,AY$13),15-13*ORÇAMENTO!$AF$7)*OFFSET(ORÇAMENTO!$W$15,ROW(AY307)-ROW(AY$15),0),15-13*ORÇAMENTO!$AF$11)),
         0)</f>
        <v>0</v>
      </c>
      <c r="AZ307" s="453">
        <f ca="1">IF(AND($D307="Serviço",AZ$12&lt;&gt;0,$H307&gt;0,OR(AUTOEVENTO&lt;&gt;"manual",$M307&lt;&gt;$A$15)),
        IF(Import.TipoArredondamento&lt;&gt;"TransfereGOV",
              ROUND(OFFSET($P307,0,AZ$13),15-13*ORÇAMENTO!$AF$7)/$H307*OFFSET(ORÇAMENTO!$X$15,ROW(AZ307)-ROW(AZ$15),0),
              ROUND(ROUND(OFFSET($P307,0,AZ$13),15-13*ORÇAMENTO!$AF$7)*OFFSET(ORÇAMENTO!$W$15,ROW(AZ307)-ROW(AZ$15),0),15-13*ORÇAMENTO!$AF$11)),
         0)</f>
        <v>0</v>
      </c>
      <c r="BA307" s="453">
        <f ca="1">IF(AND($D307="Serviço",BA$12&lt;&gt;0,$H307&gt;0,OR(AUTOEVENTO&lt;&gt;"manual",$M307&lt;&gt;$A$15)),
        IF(Import.TipoArredondamento&lt;&gt;"TransfereGOV",
              ROUND(OFFSET($P307,0,BA$13),15-13*ORÇAMENTO!$AF$7)/$H307*OFFSET(ORÇAMENTO!$X$15,ROW(BA307)-ROW(BA$15),0),
              ROUND(ROUND(OFFSET($P307,0,BA$13),15-13*ORÇAMENTO!$AF$7)*OFFSET(ORÇAMENTO!$W$15,ROW(BA307)-ROW(BA$15),0),15-13*ORÇAMENTO!$AF$11)),
         0)</f>
        <v>0</v>
      </c>
      <c r="BC307" s="171">
        <f ca="1">IF(OR($D307&lt;&gt;"Serviço",AND(AUTOEVENTO="Manual",$M307=$A$15)),0,
         IF(OFFSET(CRONOPLE!$F$15,$M307-$A$15,BC$13)=0,10^12,OFFSET(CRONOPLE!$F$15,$M307-$A$15,BC$13)))</f>
        <v>1</v>
      </c>
      <c r="BD307" s="171">
        <f ca="1">IF(OR($D307&lt;&gt;"Serviço",AND(AUTOEVENTO="Manual",$M307=$A$15)),0,
         IF(OFFSET(CRONOPLE!$F$15,$M307-$A$15,BD$13)=0,10^12,OFFSET(CRONOPLE!$F$15,$M307-$A$15,BD$13)))</f>
        <v>2</v>
      </c>
      <c r="BE307" s="171">
        <f ca="1">IF(OR($D307&lt;&gt;"Serviço",AND(AUTOEVENTO="Manual",$M307=$A$15)),0,
         IF(OFFSET(CRONOPLE!$F$15,$M307-$A$15,BE$13)=0,10^12,OFFSET(CRONOPLE!$F$15,$M307-$A$15,BE$13)))</f>
        <v>3</v>
      </c>
      <c r="BF307" s="171">
        <f ca="1">IF(OR($D307&lt;&gt;"Serviço",AND(AUTOEVENTO="Manual",$M307=$A$15)),0,
         IF(OFFSET(CRONOPLE!$F$15,$M307-$A$15,BF$13)=0,10^12,OFFSET(CRONOPLE!$F$15,$M307-$A$15,BF$13)))</f>
        <v>4</v>
      </c>
      <c r="BG307" s="171">
        <f ca="1">IF(OR($D307&lt;&gt;"Serviço",AND(AUTOEVENTO="Manual",$M307=$A$15)),0,
         IF(OFFSET(CRONOPLE!$F$15,$M307-$A$15,BG$13)=0,10^12,OFFSET(CRONOPLE!$F$15,$M307-$A$15,BG$13)))</f>
        <v>5</v>
      </c>
      <c r="BH307" s="171">
        <f ca="1">IF(OR($D307&lt;&gt;"Serviço",AND(AUTOEVENTO="Manual",$M307=$A$15)),0,
         IF(OFFSET(CRONOPLE!$F$15,$M307-$A$15,BH$13)=0,10^12,OFFSET(CRONOPLE!$F$15,$M307-$A$15,BH$13)))</f>
        <v>6</v>
      </c>
      <c r="BI307" s="171">
        <f ca="1">IF(OR($D307&lt;&gt;"Serviço",AND(AUTOEVENTO="Manual",$M307=$A$15)),0,
         IF(OFFSET(CRONOPLE!$F$15,$M307-$A$15,BI$13)=0,10^12,OFFSET(CRONOPLE!$F$15,$M307-$A$15,BI$13)))</f>
        <v>7</v>
      </c>
      <c r="BJ307" s="171">
        <f ca="1">IF(OR($D307&lt;&gt;"Serviço",AND(AUTOEVENTO="Manual",$M307=$A$15)),0,
         IF(OFFSET(CRONOPLE!$F$15,$M307-$A$15,BJ$13)=0,10^12,OFFSET(CRONOPLE!$F$15,$M307-$A$15,BJ$13)))</f>
        <v>8</v>
      </c>
      <c r="BK307" s="171">
        <f ca="1">IF(OR($D307&lt;&gt;"Serviço",AND(AUTOEVENTO="Manual",$M307=$A$15)),0,
         IF(OFFSET(CRONOPLE!$F$15,$M307-$A$15,BK$13)=0,10^12,OFFSET(CRONOPLE!$F$15,$M307-$A$15,BK$13)))</f>
        <v>9</v>
      </c>
      <c r="BL307" s="171">
        <f ca="1">IF(OR($D307&lt;&gt;"Serviço",AND(AUTOEVENTO="Manual",$M307=$A$15)),0,
         IF(OFFSET(CRONOPLE!$F$15,$M307-$A$15,BL$13)=0,10^12,OFFSET(CRONOPLE!$F$15,$M307-$A$15,BL$13)))</f>
        <v>1000000000000</v>
      </c>
      <c r="BM307" s="171">
        <f ca="1">IF(OR($D307&lt;&gt;"Serviço",AND(AUTOEVENTO="Manual",$M307=$A$15)),0,
         IF(OFFSET(CRONOPLE!$F$15,$M307-$A$15,BM$13)=0,10^12,OFFSET(CRONOPLE!$F$15,$M307-$A$15,BM$13)))</f>
        <v>1000000000000</v>
      </c>
      <c r="BN307" s="171">
        <f ca="1">IF(OR($D307&lt;&gt;"Serviço",AND(AUTOEVENTO="Manual",$M307=$A$15)),0,
         IF(OFFSET(CRONOPLE!$F$15,$M307-$A$15,BN$13)=0,10^12,OFFSET(CRONOPLE!$F$15,$M307-$A$15,BN$13)))</f>
        <v>1000000000000</v>
      </c>
      <c r="BO307" s="171">
        <f ca="1">IF(OR($D307&lt;&gt;"Serviço",AND(AUTOEVENTO="Manual",$M307=$A$15)),0,
         IF(OFFSET(CRONOPLE!$F$15,$M307-$A$15,BO$13)=0,10^12,OFFSET(CRONOPLE!$F$15,$M307-$A$15,BO$13)))</f>
        <v>1000000000000</v>
      </c>
      <c r="BP307" s="171">
        <f ca="1">IF(OR($D307&lt;&gt;"Serviço",AND(AUTOEVENTO="Manual",$M307=$A$15)),0,
         IF(OFFSET(CRONOPLE!$F$15,$M307-$A$15,BP$13)=0,10^12,OFFSET(CRONOPLE!$F$15,$M307-$A$15,BP$13)))</f>
        <v>1000000000000</v>
      </c>
      <c r="BQ307" s="171">
        <f ca="1">IF(OR($D307&lt;&gt;"Serviço",AND(AUTOEVENTO="Manual",$M307=$A$15)),0,
         IF(OFFSET(CRONOPLE!$F$15,$M307-$A$15,BQ$13)=0,10^12,OFFSET(CRONOPLE!$F$15,$M307-$A$15,BQ$13)))</f>
        <v>1000000000000</v>
      </c>
      <c r="BR307" s="171">
        <f ca="1">IF(OR($D307&lt;&gt;"Serviço",AND(AUTOEVENTO="Manual",$M307=$A$15)),0,
         IF(OFFSET(CRONOPLE!$F$15,$M307-$A$15,BR$13)=0,10^12,OFFSET(CRONOPLE!$F$15,$M307-$A$15,BR$13)))</f>
        <v>1000000000000</v>
      </c>
      <c r="BS307" s="171">
        <f ca="1">IF(OR($D307&lt;&gt;"Serviço",AND(AUTOEVENTO="Manual",$M307=$A$15)),0,
         IF(OFFSET(CRONOPLE!$F$15,$M307-$A$15,BS$13)=0,10^12,OFFSET(CRONOPLE!$F$15,$M307-$A$15,BS$13)))</f>
        <v>1000000000000</v>
      </c>
      <c r="BT307" s="171">
        <f ca="1">IF(OR($D307&lt;&gt;"Serviço",AND(AUTOEVENTO="Manual",$M307=$A$15)),0,
         IF(OFFSET(CRONOPLE!$F$15,$M307-$A$15,BT$13)=0,10^12,OFFSET(CRONOPLE!$F$15,$M307-$A$15,BT$13)))</f>
        <v>1000000000000</v>
      </c>
      <c r="BV307" s="172">
        <f ca="1">IF(OR($D307&lt;&gt;"Serviço",AND(AUTOEVENTO="Manual",$M307=$A$15),$M307&gt;(ROW(PLE.lastrow)-ROW(PLE.firstrow))),0,
           IF(OFFSET(PLE!$G$15,$M307-$A$15,BV$13)="",10^12,OFFSET(PLE!$G$15,$M307-$A$15,BV$13)))</f>
        <v>1000000000000</v>
      </c>
      <c r="BW307" s="172">
        <f ca="1">IF(OR($D307&lt;&gt;"Serviço",AND(AUTOEVENTO="Manual",$M307=$A$15),$M307&gt;(ROW(PLE.lastrow)-ROW(PLE.firstrow))),0,
           IF(OFFSET(PLE!$G$15,$M307-$A$15,BW$13)="",10^12,OFFSET(PLE!$G$15,$M307-$A$15,BW$13)))</f>
        <v>1000000000000</v>
      </c>
      <c r="BX307" s="172">
        <f ca="1">IF(OR($D307&lt;&gt;"Serviço",AND(AUTOEVENTO="Manual",$M307=$A$15),$M307&gt;(ROW(PLE.lastrow)-ROW(PLE.firstrow))),0,
           IF(OFFSET(PLE!$G$15,$M307-$A$15,BX$13)="",10^12,OFFSET(PLE!$G$15,$M307-$A$15,BX$13)))</f>
        <v>1000000000000</v>
      </c>
      <c r="BY307" s="172">
        <f ca="1">IF(OR($D307&lt;&gt;"Serviço",AND(AUTOEVENTO="Manual",$M307=$A$15),$M307&gt;(ROW(PLE.lastrow)-ROW(PLE.firstrow))),0,
           IF(OFFSET(PLE!$G$15,$M307-$A$15,BY$13)="",10^12,OFFSET(PLE!$G$15,$M307-$A$15,BY$13)))</f>
        <v>1000000000000</v>
      </c>
      <c r="BZ307" s="172">
        <f ca="1">IF(OR($D307&lt;&gt;"Serviço",AND(AUTOEVENTO="Manual",$M307=$A$15),$M307&gt;(ROW(PLE.lastrow)-ROW(PLE.firstrow))),0,
           IF(OFFSET(PLE!$G$15,$M307-$A$15,BZ$13)="",10^12,OFFSET(PLE!$G$15,$M307-$A$15,BZ$13)))</f>
        <v>1000000000000</v>
      </c>
      <c r="CA307" s="172">
        <f ca="1">IF(OR($D307&lt;&gt;"Serviço",AND(AUTOEVENTO="Manual",$M307=$A$15),$M307&gt;(ROW(PLE.lastrow)-ROW(PLE.firstrow))),0,
           IF(OFFSET(PLE!$G$15,$M307-$A$15,CA$13)="",10^12,OFFSET(PLE!$G$15,$M307-$A$15,CA$13)))</f>
        <v>1000000000000</v>
      </c>
      <c r="CB307" s="172">
        <f ca="1">IF(OR($D307&lt;&gt;"Serviço",AND(AUTOEVENTO="Manual",$M307=$A$15),$M307&gt;(ROW(PLE.lastrow)-ROW(PLE.firstrow))),0,
           IF(OFFSET(PLE!$G$15,$M307-$A$15,CB$13)="",10^12,OFFSET(PLE!$G$15,$M307-$A$15,CB$13)))</f>
        <v>1000000000000</v>
      </c>
      <c r="CC307" s="172">
        <f ca="1">IF(OR($D307&lt;&gt;"Serviço",AND(AUTOEVENTO="Manual",$M307=$A$15),$M307&gt;(ROW(PLE.lastrow)-ROW(PLE.firstrow))),0,
           IF(OFFSET(PLE!$G$15,$M307-$A$15,CC$13)="",10^12,OFFSET(PLE!$G$15,$M307-$A$15,CC$13)))</f>
        <v>1000000000000</v>
      </c>
      <c r="CD307" s="172">
        <f ca="1">IF(OR($D307&lt;&gt;"Serviço",AND(AUTOEVENTO="Manual",$M307=$A$15),$M307&gt;(ROW(PLE.lastrow)-ROW(PLE.firstrow))),0,
           IF(OFFSET(PLE!$G$15,$M307-$A$15,CD$13)="",10^12,OFFSET(PLE!$G$15,$M307-$A$15,CD$13)))</f>
        <v>1000000000000</v>
      </c>
      <c r="CE307" s="172">
        <f ca="1">IF(OR($D307&lt;&gt;"Serviço",AND(AUTOEVENTO="Manual",$M307=$A$15),$M307&gt;(ROW(PLE.lastrow)-ROW(PLE.firstrow))),0,
           IF(OFFSET(PLE!$G$15,$M307-$A$15,CE$13)="",10^12,OFFSET(PLE!$G$15,$M307-$A$15,CE$13)))</f>
        <v>1000000000000</v>
      </c>
      <c r="CF307" s="172">
        <f ca="1">IF(OR($D307&lt;&gt;"Serviço",AND(AUTOEVENTO="Manual",$M307=$A$15),$M307&gt;(ROW(PLE.lastrow)-ROW(PLE.firstrow))),0,
           IF(OFFSET(PLE!$G$15,$M307-$A$15,CF$13)="",10^12,OFFSET(PLE!$G$15,$M307-$A$15,CF$13)))</f>
        <v>1000000000000</v>
      </c>
      <c r="CG307" s="172">
        <f ca="1">IF(OR($D307&lt;&gt;"Serviço",AND(AUTOEVENTO="Manual",$M307=$A$15),$M307&gt;(ROW(PLE.lastrow)-ROW(PLE.firstrow))),0,
           IF(OFFSET(PLE!$G$15,$M307-$A$15,CG$13)="",10^12,OFFSET(PLE!$G$15,$M307-$A$15,CG$13)))</f>
        <v>1000000000000</v>
      </c>
      <c r="CH307" s="172">
        <f ca="1">IF(OR($D307&lt;&gt;"Serviço",AND(AUTOEVENTO="Manual",$M307=$A$15),$M307&gt;(ROW(PLE.lastrow)-ROW(PLE.firstrow))),0,
           IF(OFFSET(PLE!$G$15,$M307-$A$15,CH$13)="",10^12,OFFSET(PLE!$G$15,$M307-$A$15,CH$13)))</f>
        <v>1000000000000</v>
      </c>
      <c r="CI307" s="172">
        <f ca="1">IF(OR($D307&lt;&gt;"Serviço",AND(AUTOEVENTO="Manual",$M307=$A$15),$M307&gt;(ROW(PLE.lastrow)-ROW(PLE.firstrow))),0,
           IF(OFFSET(PLE!$G$15,$M307-$A$15,CI$13)="",10^12,OFFSET(PLE!$G$15,$M307-$A$15,CI$13)))</f>
        <v>1000000000000</v>
      </c>
      <c r="CJ307" s="172">
        <f ca="1">IF(OR($D307&lt;&gt;"Serviço",AND(AUTOEVENTO="Manual",$M307=$A$15),$M307&gt;(ROW(PLE.lastrow)-ROW(PLE.firstrow))),0,
           IF(OFFSET(PLE!$G$15,$M307-$A$15,CJ$13)="",10^12,OFFSET(PLE!$G$15,$M307-$A$15,CJ$13)))</f>
        <v>1000000000000</v>
      </c>
      <c r="CK307" s="172">
        <f ca="1">IF(OR($D307&lt;&gt;"Serviço",AND(AUTOEVENTO="Manual",$M307=$A$15),$M307&gt;(ROW(PLE.lastrow)-ROW(PLE.firstrow))),0,
           IF(OFFSET(PLE!$G$15,$M307-$A$15,CK$13)="",10^12,OFFSET(PLE!$G$15,$M307-$A$15,CK$13)))</f>
        <v>1000000000000</v>
      </c>
      <c r="CL307" s="172">
        <f ca="1">IF(OR($D307&lt;&gt;"Serviço",AND(AUTOEVENTO="Manual",$M307=$A$15),$M307&gt;(ROW(PLE.lastrow)-ROW(PLE.firstrow))),0,
           IF(OFFSET(PLE!$G$15,$M307-$A$15,CL$13)="",10^12,OFFSET(PLE!$G$15,$M307-$A$15,CL$13)))</f>
        <v>1000000000000</v>
      </c>
      <c r="CM307" s="172">
        <f ca="1">IF(OR($D307&lt;&gt;"Serviço",AND(AUTOEVENTO="Manual",$M307=$A$15),$M307&gt;(ROW(PLE.lastrow)-ROW(PLE.firstrow))),0,
           IF(OFFSET(PLE!$G$15,$M307-$A$15,CM$13)="",10^12,OFFSET(PLE!$G$15,$M307-$A$15,CM$13)))</f>
        <v>1000000000000</v>
      </c>
    </row>
    <row r="308" spans="1:91" ht="63.75" x14ac:dyDescent="0.2">
      <c r="A308" s="7">
        <f t="shared" ca="1" si="14"/>
        <v>6</v>
      </c>
      <c r="B308" s="7" t="str">
        <f ca="1">OFFSET(ORÇAMENTO!C$15,ROW(B308)-ROW(B$15),0)</f>
        <v>S</v>
      </c>
      <c r="C308" s="7" t="str">
        <f ca="1">OFFSET(ORÇAMENTO!L$15,ROW(C308)-ROW(C$15),0)</f>
        <v>F</v>
      </c>
      <c r="D308" s="116" t="str">
        <f ca="1">OFFSET(ORÇAMENTO!N$15,ROW(D308)-ROW(D$15),0)</f>
        <v>Serviço</v>
      </c>
      <c r="E308" s="117" t="str">
        <f ca="1">OFFSET(ORÇAMENTO!O$15,ROW(E308)-ROW(E$15),0)</f>
        <v>1.7.4.1.5.</v>
      </c>
      <c r="F308" s="163" t="str">
        <f ca="1">OFFSET(ORÇAMENTO!R$15,ROW(F308)-ROW(F$15),0)</f>
        <v>TOCO FoFo L = 0,50 M - DN 150 MM</v>
      </c>
      <c r="G308" s="164" t="str">
        <f ca="1">IF($D308&lt;&gt;"Serviço","",OFFSET(ORÇAMENTO!S$15,ROW(G308)-ROW(G$15),0))</f>
        <v>UN</v>
      </c>
      <c r="H308" s="122" cm="1">
        <f t="array" aca="1" ref="H308" ca="1">IF($D308&lt;&gt;"Serviço",0,IF(ACOMPANHAMENTO="BM",ROUND(OFFSET(ORÇAMENTO!AJ$15,ROW(H308)-ROW(H$15),0),15-13*ORÇAMENTO!$AF$7),SUMPRODUCT(($Q$1:$AI$1=1)*ROUND($Q308:$AI308,15-13*ORÇAMENTO!$AF$7))))</f>
        <v>6</v>
      </c>
      <c r="I308" s="468" t="s">
        <v>1355</v>
      </c>
      <c r="J308" s="640" t="str" cm="1">
        <f t="array" aca="1" ref="J308" ca="1">IF(OR(B308&lt;&gt;"S",CÁLCULO.FrentesPreenchidas=0),"",IF(AND(ACOMPANHAMENTO="PLE",AUTOEVENTO="Manual",OR(H308&gt;0,ORÇAMENTO!AC308="QUANT."),OR(K308="",M308=0,N308="")),"►E",IF(AND(ACOMPANHAMENTO="PLE",ORÇAMENTO!AC308="QUANT."),"►Q",IF(AND(ACOMPANHAMENTO="PLE",H308&lt;&gt;SUMPRODUCT(($Q$1:$AI$1=1)*ROUND(Q308:AI308,15))),"►S",IF(AND(COUNTIF($P$11:$AI$11,"▼")=0,H308&gt;0,I308=""),"◄M","")))))</f>
        <v/>
      </c>
      <c r="K308" s="641" t="s">
        <v>1385</v>
      </c>
      <c r="L308" s="165" t="s">
        <v>764</v>
      </c>
      <c r="M308" s="166">
        <f ca="1">IF($D308&lt;&gt;"Serviço","",
          IF(AUTOEVENTO="manual",$A308,
                IF(ISERROR(MATCH($A308,$A$15:OFFSET($A308,-1,0),0)),MAX($M$15:OFFSET(M308,-1,0))+1,
                      INDEX($M$15:OFFSET(M308,-1,0),MATCH($A308,$A$15:OFFSET($A308,-1,0),0)))))</f>
        <v>6</v>
      </c>
      <c r="N308" s="167" t="str">
        <f ca="1">IF($D308&lt;&gt;"Serviço","",
         IF(AUTOEVENTO="Manual",
                IF($A308=0,"&lt;-- defina o número do agrupador",
                       OFFSET(EVENTOS!$D$15,$A308-$A$15,0)),
                OFFSET($F$15,$A308,0)))</f>
        <v>Saneamento</v>
      </c>
      <c r="O308" s="168"/>
      <c r="Q308" s="168"/>
      <c r="R308" s="169"/>
      <c r="S308" s="169"/>
      <c r="T308" s="169"/>
      <c r="U308" s="169">
        <v>6</v>
      </c>
      <c r="V308" s="169"/>
      <c r="W308" s="169"/>
      <c r="X308" s="169"/>
      <c r="Y308" s="169"/>
      <c r="Z308" s="170"/>
      <c r="AA308" s="169"/>
      <c r="AB308" s="169"/>
      <c r="AC308" s="169"/>
      <c r="AD308" s="169"/>
      <c r="AE308" s="169"/>
      <c r="AF308" s="169"/>
      <c r="AG308" s="169"/>
      <c r="AH308" s="170"/>
      <c r="AJ308" s="453">
        <f ca="1">IF(AND($D308="Serviço",AJ$12&lt;&gt;0,$H308&gt;0,OR(AUTOEVENTO&lt;&gt;"manual",$M308&lt;&gt;$A$15)),
        IF(Import.TipoArredondamento&lt;&gt;"TransfereGOV",
              ROUND(OFFSET($P308,0,AJ$13),15-13*ORÇAMENTO!$AF$7)/$H308*OFFSET(ORÇAMENTO!$X$15,ROW(AJ308)-ROW(AJ$15),0),
              ROUND(ROUND(OFFSET($P308,0,AJ$13),15-13*ORÇAMENTO!$AF$7)*OFFSET(ORÇAMENTO!$W$15,ROW(AJ308)-ROW(AJ$15),0),15-13*ORÇAMENTO!$AF$11)),
         0)</f>
        <v>0</v>
      </c>
      <c r="AK308" s="453">
        <f ca="1">IF(AND($D308="Serviço",AK$12&lt;&gt;0,$H308&gt;0,OR(AUTOEVENTO&lt;&gt;"manual",$M308&lt;&gt;$A$15)),
        IF(Import.TipoArredondamento&lt;&gt;"TransfereGOV",
              ROUND(OFFSET($P308,0,AK$13),15-13*ORÇAMENTO!$AF$7)/$H308*OFFSET(ORÇAMENTO!$X$15,ROW(AK308)-ROW(AK$15),0),
              ROUND(ROUND(OFFSET($P308,0,AK$13),15-13*ORÇAMENTO!$AF$7)*OFFSET(ORÇAMENTO!$W$15,ROW(AK308)-ROW(AK$15),0),15-13*ORÇAMENTO!$AF$11)),
         0)</f>
        <v>0</v>
      </c>
      <c r="AL308" s="453">
        <f ca="1">IF(AND($D308="Serviço",AL$12&lt;&gt;0,$H308&gt;0,OR(AUTOEVENTO&lt;&gt;"manual",$M308&lt;&gt;$A$15)),
        IF(Import.TipoArredondamento&lt;&gt;"TransfereGOV",
              ROUND(OFFSET($P308,0,AL$13),15-13*ORÇAMENTO!$AF$7)/$H308*OFFSET(ORÇAMENTO!$X$15,ROW(AL308)-ROW(AL$15),0),
              ROUND(ROUND(OFFSET($P308,0,AL$13),15-13*ORÇAMENTO!$AF$7)*OFFSET(ORÇAMENTO!$W$15,ROW(AL308)-ROW(AL$15),0),15-13*ORÇAMENTO!$AF$11)),
         0)</f>
        <v>0</v>
      </c>
      <c r="AM308" s="453">
        <f ca="1">IF(AND($D308="Serviço",AM$12&lt;&gt;0,$H308&gt;0,OR(AUTOEVENTO&lt;&gt;"manual",$M308&lt;&gt;$A$15)),
        IF(Import.TipoArredondamento&lt;&gt;"TransfereGOV",
              ROUND(OFFSET($P308,0,AM$13),15-13*ORÇAMENTO!$AF$7)/$H308*OFFSET(ORÇAMENTO!$X$15,ROW(AM308)-ROW(AM$15),0),
              ROUND(ROUND(OFFSET($P308,0,AM$13),15-13*ORÇAMENTO!$AF$7)*OFFSET(ORÇAMENTO!$W$15,ROW(AM308)-ROW(AM$15),0),15-13*ORÇAMENTO!$AF$11)),
         0)</f>
        <v>0</v>
      </c>
      <c r="AN308" s="453">
        <f ca="1">IF(AND($D308="Serviço",AN$12&lt;&gt;0,$H308&gt;0,OR(AUTOEVENTO&lt;&gt;"manual",$M308&lt;&gt;$A$15)),
        IF(Import.TipoArredondamento&lt;&gt;"TransfereGOV",
              ROUND(OFFSET($P308,0,AN$13),15-13*ORÇAMENTO!$AF$7)/$H308*OFFSET(ORÇAMENTO!$X$15,ROW(AN308)-ROW(AN$15),0),
              ROUND(ROUND(OFFSET($P308,0,AN$13),15-13*ORÇAMENTO!$AF$7)*OFFSET(ORÇAMENTO!$W$15,ROW(AN308)-ROW(AN$15),0),15-13*ORÇAMENTO!$AF$11)),
         0)</f>
        <v>0</v>
      </c>
      <c r="AO308" s="453">
        <f ca="1">IF(AND($D308="Serviço",AO$12&lt;&gt;0,$H308&gt;0,OR(AUTOEVENTO&lt;&gt;"manual",$M308&lt;&gt;$A$15)),
        IF(Import.TipoArredondamento&lt;&gt;"TransfereGOV",
              ROUND(OFFSET($P308,0,AO$13),15-13*ORÇAMENTO!$AF$7)/$H308*OFFSET(ORÇAMENTO!$X$15,ROW(AO308)-ROW(AO$15),0),
              ROUND(ROUND(OFFSET($P308,0,AO$13),15-13*ORÇAMENTO!$AF$7)*OFFSET(ORÇAMENTO!$W$15,ROW(AO308)-ROW(AO$15),0),15-13*ORÇAMENTO!$AF$11)),
         0)</f>
        <v>0</v>
      </c>
      <c r="AP308" s="453">
        <f ca="1">IF(AND($D308="Serviço",AP$12&lt;&gt;0,$H308&gt;0,OR(AUTOEVENTO&lt;&gt;"manual",$M308&lt;&gt;$A$15)),
        IF(Import.TipoArredondamento&lt;&gt;"TransfereGOV",
              ROUND(OFFSET($P308,0,AP$13),15-13*ORÇAMENTO!$AF$7)/$H308*OFFSET(ORÇAMENTO!$X$15,ROW(AP308)-ROW(AP$15),0),
              ROUND(ROUND(OFFSET($P308,0,AP$13),15-13*ORÇAMENTO!$AF$7)*OFFSET(ORÇAMENTO!$W$15,ROW(AP308)-ROW(AP$15),0),15-13*ORÇAMENTO!$AF$11)),
         0)</f>
        <v>0</v>
      </c>
      <c r="AQ308" s="453">
        <f ca="1">IF(AND($D308="Serviço",AQ$12&lt;&gt;0,$H308&gt;0,OR(AUTOEVENTO&lt;&gt;"manual",$M308&lt;&gt;$A$15)),
        IF(Import.TipoArredondamento&lt;&gt;"TransfereGOV",
              ROUND(OFFSET($P308,0,AQ$13),15-13*ORÇAMENTO!$AF$7)/$H308*OFFSET(ORÇAMENTO!$X$15,ROW(AQ308)-ROW(AQ$15),0),
              ROUND(ROUND(OFFSET($P308,0,AQ$13),15-13*ORÇAMENTO!$AF$7)*OFFSET(ORÇAMENTO!$W$15,ROW(AQ308)-ROW(AQ$15),0),15-13*ORÇAMENTO!$AF$11)),
         0)</f>
        <v>0</v>
      </c>
      <c r="AR308" s="453">
        <f ca="1">IF(AND($D308="Serviço",AR$12&lt;&gt;0,$H308&gt;0,OR(AUTOEVENTO&lt;&gt;"manual",$M308&lt;&gt;$A$15)),
        IF(Import.TipoArredondamento&lt;&gt;"TransfereGOV",
              ROUND(OFFSET($P308,0,AR$13),15-13*ORÇAMENTO!$AF$7)/$H308*OFFSET(ORÇAMENTO!$X$15,ROW(AR308)-ROW(AR$15),0),
              ROUND(ROUND(OFFSET($P308,0,AR$13),15-13*ORÇAMENTO!$AF$7)*OFFSET(ORÇAMENTO!$W$15,ROW(AR308)-ROW(AR$15),0),15-13*ORÇAMENTO!$AF$11)),
         0)</f>
        <v>0</v>
      </c>
      <c r="AS308" s="453">
        <f ca="1">IF(AND($D308="Serviço",AS$12&lt;&gt;0,$H308&gt;0,OR(AUTOEVENTO&lt;&gt;"manual",$M308&lt;&gt;$A$15)),
        IF(Import.TipoArredondamento&lt;&gt;"TransfereGOV",
              ROUND(OFFSET($P308,0,AS$13),15-13*ORÇAMENTO!$AF$7)/$H308*OFFSET(ORÇAMENTO!$X$15,ROW(AS308)-ROW(AS$15),0),
              ROUND(ROUND(OFFSET($P308,0,AS$13),15-13*ORÇAMENTO!$AF$7)*OFFSET(ORÇAMENTO!$W$15,ROW(AS308)-ROW(AS$15),0),15-13*ORÇAMENTO!$AF$11)),
         0)</f>
        <v>0</v>
      </c>
      <c r="AT308" s="453">
        <f ca="1">IF(AND($D308="Serviço",AT$12&lt;&gt;0,$H308&gt;0,OR(AUTOEVENTO&lt;&gt;"manual",$M308&lt;&gt;$A$15)),
        IF(Import.TipoArredondamento&lt;&gt;"TransfereGOV",
              ROUND(OFFSET($P308,0,AT$13),15-13*ORÇAMENTO!$AF$7)/$H308*OFFSET(ORÇAMENTO!$X$15,ROW(AT308)-ROW(AT$15),0),
              ROUND(ROUND(OFFSET($P308,0,AT$13),15-13*ORÇAMENTO!$AF$7)*OFFSET(ORÇAMENTO!$W$15,ROW(AT308)-ROW(AT$15),0),15-13*ORÇAMENTO!$AF$11)),
         0)</f>
        <v>0</v>
      </c>
      <c r="AU308" s="453">
        <f ca="1">IF(AND($D308="Serviço",AU$12&lt;&gt;0,$H308&gt;0,OR(AUTOEVENTO&lt;&gt;"manual",$M308&lt;&gt;$A$15)),
        IF(Import.TipoArredondamento&lt;&gt;"TransfereGOV",
              ROUND(OFFSET($P308,0,AU$13),15-13*ORÇAMENTO!$AF$7)/$H308*OFFSET(ORÇAMENTO!$X$15,ROW(AU308)-ROW(AU$15),0),
              ROUND(ROUND(OFFSET($P308,0,AU$13),15-13*ORÇAMENTO!$AF$7)*OFFSET(ORÇAMENTO!$W$15,ROW(AU308)-ROW(AU$15),0),15-13*ORÇAMENTO!$AF$11)),
         0)</f>
        <v>0</v>
      </c>
      <c r="AV308" s="453">
        <f ca="1">IF(AND($D308="Serviço",AV$12&lt;&gt;0,$H308&gt;0,OR(AUTOEVENTO&lt;&gt;"manual",$M308&lt;&gt;$A$15)),
        IF(Import.TipoArredondamento&lt;&gt;"TransfereGOV",
              ROUND(OFFSET($P308,0,AV$13),15-13*ORÇAMENTO!$AF$7)/$H308*OFFSET(ORÇAMENTO!$X$15,ROW(AV308)-ROW(AV$15),0),
              ROUND(ROUND(OFFSET($P308,0,AV$13),15-13*ORÇAMENTO!$AF$7)*OFFSET(ORÇAMENTO!$W$15,ROW(AV308)-ROW(AV$15),0),15-13*ORÇAMENTO!$AF$11)),
         0)</f>
        <v>0</v>
      </c>
      <c r="AW308" s="453">
        <f ca="1">IF(AND($D308="Serviço",AW$12&lt;&gt;0,$H308&gt;0,OR(AUTOEVENTO&lt;&gt;"manual",$M308&lt;&gt;$A$15)),
        IF(Import.TipoArredondamento&lt;&gt;"TransfereGOV",
              ROUND(OFFSET($P308,0,AW$13),15-13*ORÇAMENTO!$AF$7)/$H308*OFFSET(ORÇAMENTO!$X$15,ROW(AW308)-ROW(AW$15),0),
              ROUND(ROUND(OFFSET($P308,0,AW$13),15-13*ORÇAMENTO!$AF$7)*OFFSET(ORÇAMENTO!$W$15,ROW(AW308)-ROW(AW$15),0),15-13*ORÇAMENTO!$AF$11)),
         0)</f>
        <v>0</v>
      </c>
      <c r="AX308" s="453">
        <f ca="1">IF(AND($D308="Serviço",AX$12&lt;&gt;0,$H308&gt;0,OR(AUTOEVENTO&lt;&gt;"manual",$M308&lt;&gt;$A$15)),
        IF(Import.TipoArredondamento&lt;&gt;"TransfereGOV",
              ROUND(OFFSET($P308,0,AX$13),15-13*ORÇAMENTO!$AF$7)/$H308*OFFSET(ORÇAMENTO!$X$15,ROW(AX308)-ROW(AX$15),0),
              ROUND(ROUND(OFFSET($P308,0,AX$13),15-13*ORÇAMENTO!$AF$7)*OFFSET(ORÇAMENTO!$W$15,ROW(AX308)-ROW(AX$15),0),15-13*ORÇAMENTO!$AF$11)),
         0)</f>
        <v>0</v>
      </c>
      <c r="AY308" s="453">
        <f ca="1">IF(AND($D308="Serviço",AY$12&lt;&gt;0,$H308&gt;0,OR(AUTOEVENTO&lt;&gt;"manual",$M308&lt;&gt;$A$15)),
        IF(Import.TipoArredondamento&lt;&gt;"TransfereGOV",
              ROUND(OFFSET($P308,0,AY$13),15-13*ORÇAMENTO!$AF$7)/$H308*OFFSET(ORÇAMENTO!$X$15,ROW(AY308)-ROW(AY$15),0),
              ROUND(ROUND(OFFSET($P308,0,AY$13),15-13*ORÇAMENTO!$AF$7)*OFFSET(ORÇAMENTO!$W$15,ROW(AY308)-ROW(AY$15),0),15-13*ORÇAMENTO!$AF$11)),
         0)</f>
        <v>0</v>
      </c>
      <c r="AZ308" s="453">
        <f ca="1">IF(AND($D308="Serviço",AZ$12&lt;&gt;0,$H308&gt;0,OR(AUTOEVENTO&lt;&gt;"manual",$M308&lt;&gt;$A$15)),
        IF(Import.TipoArredondamento&lt;&gt;"TransfereGOV",
              ROUND(OFFSET($P308,0,AZ$13),15-13*ORÇAMENTO!$AF$7)/$H308*OFFSET(ORÇAMENTO!$X$15,ROW(AZ308)-ROW(AZ$15),0),
              ROUND(ROUND(OFFSET($P308,0,AZ$13),15-13*ORÇAMENTO!$AF$7)*OFFSET(ORÇAMENTO!$W$15,ROW(AZ308)-ROW(AZ$15),0),15-13*ORÇAMENTO!$AF$11)),
         0)</f>
        <v>0</v>
      </c>
      <c r="BA308" s="453">
        <f ca="1">IF(AND($D308="Serviço",BA$12&lt;&gt;0,$H308&gt;0,OR(AUTOEVENTO&lt;&gt;"manual",$M308&lt;&gt;$A$15)),
        IF(Import.TipoArredondamento&lt;&gt;"TransfereGOV",
              ROUND(OFFSET($P308,0,BA$13),15-13*ORÇAMENTO!$AF$7)/$H308*OFFSET(ORÇAMENTO!$X$15,ROW(BA308)-ROW(BA$15),0),
              ROUND(ROUND(OFFSET($P308,0,BA$13),15-13*ORÇAMENTO!$AF$7)*OFFSET(ORÇAMENTO!$W$15,ROW(BA308)-ROW(BA$15),0),15-13*ORÇAMENTO!$AF$11)),
         0)</f>
        <v>0</v>
      </c>
      <c r="BC308" s="171">
        <f ca="1">IF(OR($D308&lt;&gt;"Serviço",AND(AUTOEVENTO="Manual",$M308=$A$15)),0,
         IF(OFFSET(CRONOPLE!$F$15,$M308-$A$15,BC$13)=0,10^12,OFFSET(CRONOPLE!$F$15,$M308-$A$15,BC$13)))</f>
        <v>1</v>
      </c>
      <c r="BD308" s="171">
        <f ca="1">IF(OR($D308&lt;&gt;"Serviço",AND(AUTOEVENTO="Manual",$M308=$A$15)),0,
         IF(OFFSET(CRONOPLE!$F$15,$M308-$A$15,BD$13)=0,10^12,OFFSET(CRONOPLE!$F$15,$M308-$A$15,BD$13)))</f>
        <v>2</v>
      </c>
      <c r="BE308" s="171">
        <f ca="1">IF(OR($D308&lt;&gt;"Serviço",AND(AUTOEVENTO="Manual",$M308=$A$15)),0,
         IF(OFFSET(CRONOPLE!$F$15,$M308-$A$15,BE$13)=0,10^12,OFFSET(CRONOPLE!$F$15,$M308-$A$15,BE$13)))</f>
        <v>3</v>
      </c>
      <c r="BF308" s="171">
        <f ca="1">IF(OR($D308&lt;&gt;"Serviço",AND(AUTOEVENTO="Manual",$M308=$A$15)),0,
         IF(OFFSET(CRONOPLE!$F$15,$M308-$A$15,BF$13)=0,10^12,OFFSET(CRONOPLE!$F$15,$M308-$A$15,BF$13)))</f>
        <v>4</v>
      </c>
      <c r="BG308" s="171">
        <f ca="1">IF(OR($D308&lt;&gt;"Serviço",AND(AUTOEVENTO="Manual",$M308=$A$15)),0,
         IF(OFFSET(CRONOPLE!$F$15,$M308-$A$15,BG$13)=0,10^12,OFFSET(CRONOPLE!$F$15,$M308-$A$15,BG$13)))</f>
        <v>5</v>
      </c>
      <c r="BH308" s="171">
        <f ca="1">IF(OR($D308&lt;&gt;"Serviço",AND(AUTOEVENTO="Manual",$M308=$A$15)),0,
         IF(OFFSET(CRONOPLE!$F$15,$M308-$A$15,BH$13)=0,10^12,OFFSET(CRONOPLE!$F$15,$M308-$A$15,BH$13)))</f>
        <v>6</v>
      </c>
      <c r="BI308" s="171">
        <f ca="1">IF(OR($D308&lt;&gt;"Serviço",AND(AUTOEVENTO="Manual",$M308=$A$15)),0,
         IF(OFFSET(CRONOPLE!$F$15,$M308-$A$15,BI$13)=0,10^12,OFFSET(CRONOPLE!$F$15,$M308-$A$15,BI$13)))</f>
        <v>7</v>
      </c>
      <c r="BJ308" s="171">
        <f ca="1">IF(OR($D308&lt;&gt;"Serviço",AND(AUTOEVENTO="Manual",$M308=$A$15)),0,
         IF(OFFSET(CRONOPLE!$F$15,$M308-$A$15,BJ$13)=0,10^12,OFFSET(CRONOPLE!$F$15,$M308-$A$15,BJ$13)))</f>
        <v>8</v>
      </c>
      <c r="BK308" s="171">
        <f ca="1">IF(OR($D308&lt;&gt;"Serviço",AND(AUTOEVENTO="Manual",$M308=$A$15)),0,
         IF(OFFSET(CRONOPLE!$F$15,$M308-$A$15,BK$13)=0,10^12,OFFSET(CRONOPLE!$F$15,$M308-$A$15,BK$13)))</f>
        <v>9</v>
      </c>
      <c r="BL308" s="171">
        <f ca="1">IF(OR($D308&lt;&gt;"Serviço",AND(AUTOEVENTO="Manual",$M308=$A$15)),0,
         IF(OFFSET(CRONOPLE!$F$15,$M308-$A$15,BL$13)=0,10^12,OFFSET(CRONOPLE!$F$15,$M308-$A$15,BL$13)))</f>
        <v>1000000000000</v>
      </c>
      <c r="BM308" s="171">
        <f ca="1">IF(OR($D308&lt;&gt;"Serviço",AND(AUTOEVENTO="Manual",$M308=$A$15)),0,
         IF(OFFSET(CRONOPLE!$F$15,$M308-$A$15,BM$13)=0,10^12,OFFSET(CRONOPLE!$F$15,$M308-$A$15,BM$13)))</f>
        <v>1000000000000</v>
      </c>
      <c r="BN308" s="171">
        <f ca="1">IF(OR($D308&lt;&gt;"Serviço",AND(AUTOEVENTO="Manual",$M308=$A$15)),0,
         IF(OFFSET(CRONOPLE!$F$15,$M308-$A$15,BN$13)=0,10^12,OFFSET(CRONOPLE!$F$15,$M308-$A$15,BN$13)))</f>
        <v>1000000000000</v>
      </c>
      <c r="BO308" s="171">
        <f ca="1">IF(OR($D308&lt;&gt;"Serviço",AND(AUTOEVENTO="Manual",$M308=$A$15)),0,
         IF(OFFSET(CRONOPLE!$F$15,$M308-$A$15,BO$13)=0,10^12,OFFSET(CRONOPLE!$F$15,$M308-$A$15,BO$13)))</f>
        <v>1000000000000</v>
      </c>
      <c r="BP308" s="171">
        <f ca="1">IF(OR($D308&lt;&gt;"Serviço",AND(AUTOEVENTO="Manual",$M308=$A$15)),0,
         IF(OFFSET(CRONOPLE!$F$15,$M308-$A$15,BP$13)=0,10^12,OFFSET(CRONOPLE!$F$15,$M308-$A$15,BP$13)))</f>
        <v>1000000000000</v>
      </c>
      <c r="BQ308" s="171">
        <f ca="1">IF(OR($D308&lt;&gt;"Serviço",AND(AUTOEVENTO="Manual",$M308=$A$15)),0,
         IF(OFFSET(CRONOPLE!$F$15,$M308-$A$15,BQ$13)=0,10^12,OFFSET(CRONOPLE!$F$15,$M308-$A$15,BQ$13)))</f>
        <v>1000000000000</v>
      </c>
      <c r="BR308" s="171">
        <f ca="1">IF(OR($D308&lt;&gt;"Serviço",AND(AUTOEVENTO="Manual",$M308=$A$15)),0,
         IF(OFFSET(CRONOPLE!$F$15,$M308-$A$15,BR$13)=0,10^12,OFFSET(CRONOPLE!$F$15,$M308-$A$15,BR$13)))</f>
        <v>1000000000000</v>
      </c>
      <c r="BS308" s="171">
        <f ca="1">IF(OR($D308&lt;&gt;"Serviço",AND(AUTOEVENTO="Manual",$M308=$A$15)),0,
         IF(OFFSET(CRONOPLE!$F$15,$M308-$A$15,BS$13)=0,10^12,OFFSET(CRONOPLE!$F$15,$M308-$A$15,BS$13)))</f>
        <v>1000000000000</v>
      </c>
      <c r="BT308" s="171">
        <f ca="1">IF(OR($D308&lt;&gt;"Serviço",AND(AUTOEVENTO="Manual",$M308=$A$15)),0,
         IF(OFFSET(CRONOPLE!$F$15,$M308-$A$15,BT$13)=0,10^12,OFFSET(CRONOPLE!$F$15,$M308-$A$15,BT$13)))</f>
        <v>1000000000000</v>
      </c>
      <c r="BV308" s="172">
        <f ca="1">IF(OR($D308&lt;&gt;"Serviço",AND(AUTOEVENTO="Manual",$M308=$A$15),$M308&gt;(ROW(PLE.lastrow)-ROW(PLE.firstrow))),0,
           IF(OFFSET(PLE!$G$15,$M308-$A$15,BV$13)="",10^12,OFFSET(PLE!$G$15,$M308-$A$15,BV$13)))</f>
        <v>1000000000000</v>
      </c>
      <c r="BW308" s="172">
        <f ca="1">IF(OR($D308&lt;&gt;"Serviço",AND(AUTOEVENTO="Manual",$M308=$A$15),$M308&gt;(ROW(PLE.lastrow)-ROW(PLE.firstrow))),0,
           IF(OFFSET(PLE!$G$15,$M308-$A$15,BW$13)="",10^12,OFFSET(PLE!$G$15,$M308-$A$15,BW$13)))</f>
        <v>1000000000000</v>
      </c>
      <c r="BX308" s="172">
        <f ca="1">IF(OR($D308&lt;&gt;"Serviço",AND(AUTOEVENTO="Manual",$M308=$A$15),$M308&gt;(ROW(PLE.lastrow)-ROW(PLE.firstrow))),0,
           IF(OFFSET(PLE!$G$15,$M308-$A$15,BX$13)="",10^12,OFFSET(PLE!$G$15,$M308-$A$15,BX$13)))</f>
        <v>1000000000000</v>
      </c>
      <c r="BY308" s="172">
        <f ca="1">IF(OR($D308&lt;&gt;"Serviço",AND(AUTOEVENTO="Manual",$M308=$A$15),$M308&gt;(ROW(PLE.lastrow)-ROW(PLE.firstrow))),0,
           IF(OFFSET(PLE!$G$15,$M308-$A$15,BY$13)="",10^12,OFFSET(PLE!$G$15,$M308-$A$15,BY$13)))</f>
        <v>1000000000000</v>
      </c>
      <c r="BZ308" s="172">
        <f ca="1">IF(OR($D308&lt;&gt;"Serviço",AND(AUTOEVENTO="Manual",$M308=$A$15),$M308&gt;(ROW(PLE.lastrow)-ROW(PLE.firstrow))),0,
           IF(OFFSET(PLE!$G$15,$M308-$A$15,BZ$13)="",10^12,OFFSET(PLE!$G$15,$M308-$A$15,BZ$13)))</f>
        <v>1000000000000</v>
      </c>
      <c r="CA308" s="172">
        <f ca="1">IF(OR($D308&lt;&gt;"Serviço",AND(AUTOEVENTO="Manual",$M308=$A$15),$M308&gt;(ROW(PLE.lastrow)-ROW(PLE.firstrow))),0,
           IF(OFFSET(PLE!$G$15,$M308-$A$15,CA$13)="",10^12,OFFSET(PLE!$G$15,$M308-$A$15,CA$13)))</f>
        <v>1000000000000</v>
      </c>
      <c r="CB308" s="172">
        <f ca="1">IF(OR($D308&lt;&gt;"Serviço",AND(AUTOEVENTO="Manual",$M308=$A$15),$M308&gt;(ROW(PLE.lastrow)-ROW(PLE.firstrow))),0,
           IF(OFFSET(PLE!$G$15,$M308-$A$15,CB$13)="",10^12,OFFSET(PLE!$G$15,$M308-$A$15,CB$13)))</f>
        <v>1000000000000</v>
      </c>
      <c r="CC308" s="172">
        <f ca="1">IF(OR($D308&lt;&gt;"Serviço",AND(AUTOEVENTO="Manual",$M308=$A$15),$M308&gt;(ROW(PLE.lastrow)-ROW(PLE.firstrow))),0,
           IF(OFFSET(PLE!$G$15,$M308-$A$15,CC$13)="",10^12,OFFSET(PLE!$G$15,$M308-$A$15,CC$13)))</f>
        <v>1000000000000</v>
      </c>
      <c r="CD308" s="172">
        <f ca="1">IF(OR($D308&lt;&gt;"Serviço",AND(AUTOEVENTO="Manual",$M308=$A$15),$M308&gt;(ROW(PLE.lastrow)-ROW(PLE.firstrow))),0,
           IF(OFFSET(PLE!$G$15,$M308-$A$15,CD$13)="",10^12,OFFSET(PLE!$G$15,$M308-$A$15,CD$13)))</f>
        <v>1000000000000</v>
      </c>
      <c r="CE308" s="172">
        <f ca="1">IF(OR($D308&lt;&gt;"Serviço",AND(AUTOEVENTO="Manual",$M308=$A$15),$M308&gt;(ROW(PLE.lastrow)-ROW(PLE.firstrow))),0,
           IF(OFFSET(PLE!$G$15,$M308-$A$15,CE$13)="",10^12,OFFSET(PLE!$G$15,$M308-$A$15,CE$13)))</f>
        <v>1000000000000</v>
      </c>
      <c r="CF308" s="172">
        <f ca="1">IF(OR($D308&lt;&gt;"Serviço",AND(AUTOEVENTO="Manual",$M308=$A$15),$M308&gt;(ROW(PLE.lastrow)-ROW(PLE.firstrow))),0,
           IF(OFFSET(PLE!$G$15,$M308-$A$15,CF$13)="",10^12,OFFSET(PLE!$G$15,$M308-$A$15,CF$13)))</f>
        <v>1000000000000</v>
      </c>
      <c r="CG308" s="172">
        <f ca="1">IF(OR($D308&lt;&gt;"Serviço",AND(AUTOEVENTO="Manual",$M308=$A$15),$M308&gt;(ROW(PLE.lastrow)-ROW(PLE.firstrow))),0,
           IF(OFFSET(PLE!$G$15,$M308-$A$15,CG$13)="",10^12,OFFSET(PLE!$G$15,$M308-$A$15,CG$13)))</f>
        <v>1000000000000</v>
      </c>
      <c r="CH308" s="172">
        <f ca="1">IF(OR($D308&lt;&gt;"Serviço",AND(AUTOEVENTO="Manual",$M308=$A$15),$M308&gt;(ROW(PLE.lastrow)-ROW(PLE.firstrow))),0,
           IF(OFFSET(PLE!$G$15,$M308-$A$15,CH$13)="",10^12,OFFSET(PLE!$G$15,$M308-$A$15,CH$13)))</f>
        <v>1000000000000</v>
      </c>
      <c r="CI308" s="172">
        <f ca="1">IF(OR($D308&lt;&gt;"Serviço",AND(AUTOEVENTO="Manual",$M308=$A$15),$M308&gt;(ROW(PLE.lastrow)-ROW(PLE.firstrow))),0,
           IF(OFFSET(PLE!$G$15,$M308-$A$15,CI$13)="",10^12,OFFSET(PLE!$G$15,$M308-$A$15,CI$13)))</f>
        <v>1000000000000</v>
      </c>
      <c r="CJ308" s="172">
        <f ca="1">IF(OR($D308&lt;&gt;"Serviço",AND(AUTOEVENTO="Manual",$M308=$A$15),$M308&gt;(ROW(PLE.lastrow)-ROW(PLE.firstrow))),0,
           IF(OFFSET(PLE!$G$15,$M308-$A$15,CJ$13)="",10^12,OFFSET(PLE!$G$15,$M308-$A$15,CJ$13)))</f>
        <v>1000000000000</v>
      </c>
      <c r="CK308" s="172">
        <f ca="1">IF(OR($D308&lt;&gt;"Serviço",AND(AUTOEVENTO="Manual",$M308=$A$15),$M308&gt;(ROW(PLE.lastrow)-ROW(PLE.firstrow))),0,
           IF(OFFSET(PLE!$G$15,$M308-$A$15,CK$13)="",10^12,OFFSET(PLE!$G$15,$M308-$A$15,CK$13)))</f>
        <v>1000000000000</v>
      </c>
      <c r="CL308" s="172">
        <f ca="1">IF(OR($D308&lt;&gt;"Serviço",AND(AUTOEVENTO="Manual",$M308=$A$15),$M308&gt;(ROW(PLE.lastrow)-ROW(PLE.firstrow))),0,
           IF(OFFSET(PLE!$G$15,$M308-$A$15,CL$13)="",10^12,OFFSET(PLE!$G$15,$M308-$A$15,CL$13)))</f>
        <v>1000000000000</v>
      </c>
      <c r="CM308" s="172">
        <f ca="1">IF(OR($D308&lt;&gt;"Serviço",AND(AUTOEVENTO="Manual",$M308=$A$15),$M308&gt;(ROW(PLE.lastrow)-ROW(PLE.firstrow))),0,
           IF(OFFSET(PLE!$G$15,$M308-$A$15,CM$13)="",10^12,OFFSET(PLE!$G$15,$M308-$A$15,CM$13)))</f>
        <v>1000000000000</v>
      </c>
    </row>
    <row r="309" spans="1:91" ht="63.75" x14ac:dyDescent="0.2">
      <c r="A309" s="7">
        <f t="shared" ca="1" si="14"/>
        <v>6</v>
      </c>
      <c r="B309" s="7" t="str">
        <f ca="1">OFFSET(ORÇAMENTO!C$15,ROW(B309)-ROW(B$15),0)</f>
        <v>S</v>
      </c>
      <c r="C309" s="7" t="str">
        <f ca="1">OFFSET(ORÇAMENTO!L$15,ROW(C309)-ROW(C$15),0)</f>
        <v>F</v>
      </c>
      <c r="D309" s="116" t="str">
        <f ca="1">OFFSET(ORÇAMENTO!N$15,ROW(D309)-ROW(D$15),0)</f>
        <v>Serviço</v>
      </c>
      <c r="E309" s="117" t="str">
        <f ca="1">OFFSET(ORÇAMENTO!O$15,ROW(E309)-ROW(E$15),0)</f>
        <v>1.7.4.1.6.</v>
      </c>
      <c r="F309" s="163" t="str">
        <f ca="1">OFFSET(ORÇAMENTO!R$15,ROW(F309)-ROW(F$15),0)</f>
        <v>TÊ COM BOLSAS FoFo - DN 150 MM</v>
      </c>
      <c r="G309" s="164" t="str">
        <f ca="1">IF($D309&lt;&gt;"Serviço","",OFFSET(ORÇAMENTO!S$15,ROW(G309)-ROW(G$15),0))</f>
        <v>UN</v>
      </c>
      <c r="H309" s="122" cm="1">
        <f t="array" aca="1" ref="H309" ca="1">IF($D309&lt;&gt;"Serviço",0,IF(ACOMPANHAMENTO="BM",ROUND(OFFSET(ORÇAMENTO!AJ$15,ROW(H309)-ROW(H$15),0),15-13*ORÇAMENTO!$AF$7),SUMPRODUCT(($Q$1:$AI$1=1)*ROUND($Q309:$AI309,15-13*ORÇAMENTO!$AF$7))))</f>
        <v>6</v>
      </c>
      <c r="I309" s="468" t="s">
        <v>1355</v>
      </c>
      <c r="J309" s="640" t="str" cm="1">
        <f t="array" aca="1" ref="J309" ca="1">IF(OR(B309&lt;&gt;"S",CÁLCULO.FrentesPreenchidas=0),"",IF(AND(ACOMPANHAMENTO="PLE",AUTOEVENTO="Manual",OR(H309&gt;0,ORÇAMENTO!AC309="QUANT."),OR(K309="",M309=0,N309="")),"►E",IF(AND(ACOMPANHAMENTO="PLE",ORÇAMENTO!AC309="QUANT."),"►Q",IF(AND(ACOMPANHAMENTO="PLE",H309&lt;&gt;SUMPRODUCT(($Q$1:$AI$1=1)*ROUND(Q309:AI309,15))),"►S",IF(AND(COUNTIF($P$11:$AI$11,"▼")=0,H309&gt;0,I309=""),"◄M","")))))</f>
        <v/>
      </c>
      <c r="K309" s="641" t="s">
        <v>1385</v>
      </c>
      <c r="L309" s="165" t="s">
        <v>764</v>
      </c>
      <c r="M309" s="166">
        <f ca="1">IF($D309&lt;&gt;"Serviço","",
          IF(AUTOEVENTO="manual",$A309,
                IF(ISERROR(MATCH($A309,$A$15:OFFSET($A309,-1,0),0)),MAX($M$15:OFFSET(M309,-1,0))+1,
                      INDEX($M$15:OFFSET(M309,-1,0),MATCH($A309,$A$15:OFFSET($A309,-1,0),0)))))</f>
        <v>6</v>
      </c>
      <c r="N309" s="167" t="str">
        <f ca="1">IF($D309&lt;&gt;"Serviço","",
         IF(AUTOEVENTO="Manual",
                IF($A309=0,"&lt;-- defina o número do agrupador",
                       OFFSET(EVENTOS!$D$15,$A309-$A$15,0)),
                OFFSET($F$15,$A309,0)))</f>
        <v>Saneamento</v>
      </c>
      <c r="O309" s="168"/>
      <c r="Q309" s="168"/>
      <c r="R309" s="169"/>
      <c r="S309" s="169"/>
      <c r="T309" s="169"/>
      <c r="U309" s="169">
        <v>6</v>
      </c>
      <c r="V309" s="169"/>
      <c r="W309" s="169"/>
      <c r="X309" s="169"/>
      <c r="Y309" s="169"/>
      <c r="Z309" s="170"/>
      <c r="AA309" s="169"/>
      <c r="AB309" s="169"/>
      <c r="AC309" s="169"/>
      <c r="AD309" s="169"/>
      <c r="AE309" s="169"/>
      <c r="AF309" s="169"/>
      <c r="AG309" s="169"/>
      <c r="AH309" s="170"/>
      <c r="AJ309" s="453">
        <f ca="1">IF(AND($D309="Serviço",AJ$12&lt;&gt;0,$H309&gt;0,OR(AUTOEVENTO&lt;&gt;"manual",$M309&lt;&gt;$A$15)),
        IF(Import.TipoArredondamento&lt;&gt;"TransfereGOV",
              ROUND(OFFSET($P309,0,AJ$13),15-13*ORÇAMENTO!$AF$7)/$H309*OFFSET(ORÇAMENTO!$X$15,ROW(AJ309)-ROW(AJ$15),0),
              ROUND(ROUND(OFFSET($P309,0,AJ$13),15-13*ORÇAMENTO!$AF$7)*OFFSET(ORÇAMENTO!$W$15,ROW(AJ309)-ROW(AJ$15),0),15-13*ORÇAMENTO!$AF$11)),
         0)</f>
        <v>0</v>
      </c>
      <c r="AK309" s="453">
        <f ca="1">IF(AND($D309="Serviço",AK$12&lt;&gt;0,$H309&gt;0,OR(AUTOEVENTO&lt;&gt;"manual",$M309&lt;&gt;$A$15)),
        IF(Import.TipoArredondamento&lt;&gt;"TransfereGOV",
              ROUND(OFFSET($P309,0,AK$13),15-13*ORÇAMENTO!$AF$7)/$H309*OFFSET(ORÇAMENTO!$X$15,ROW(AK309)-ROW(AK$15),0),
              ROUND(ROUND(OFFSET($P309,0,AK$13),15-13*ORÇAMENTO!$AF$7)*OFFSET(ORÇAMENTO!$W$15,ROW(AK309)-ROW(AK$15),0),15-13*ORÇAMENTO!$AF$11)),
         0)</f>
        <v>0</v>
      </c>
      <c r="AL309" s="453">
        <f ca="1">IF(AND($D309="Serviço",AL$12&lt;&gt;0,$H309&gt;0,OR(AUTOEVENTO&lt;&gt;"manual",$M309&lt;&gt;$A$15)),
        IF(Import.TipoArredondamento&lt;&gt;"TransfereGOV",
              ROUND(OFFSET($P309,0,AL$13),15-13*ORÇAMENTO!$AF$7)/$H309*OFFSET(ORÇAMENTO!$X$15,ROW(AL309)-ROW(AL$15),0),
              ROUND(ROUND(OFFSET($P309,0,AL$13),15-13*ORÇAMENTO!$AF$7)*OFFSET(ORÇAMENTO!$W$15,ROW(AL309)-ROW(AL$15),0),15-13*ORÇAMENTO!$AF$11)),
         0)</f>
        <v>0</v>
      </c>
      <c r="AM309" s="453">
        <f ca="1">IF(AND($D309="Serviço",AM$12&lt;&gt;0,$H309&gt;0,OR(AUTOEVENTO&lt;&gt;"manual",$M309&lt;&gt;$A$15)),
        IF(Import.TipoArredondamento&lt;&gt;"TransfereGOV",
              ROUND(OFFSET($P309,0,AM$13),15-13*ORÇAMENTO!$AF$7)/$H309*OFFSET(ORÇAMENTO!$X$15,ROW(AM309)-ROW(AM$15),0),
              ROUND(ROUND(OFFSET($P309,0,AM$13),15-13*ORÇAMENTO!$AF$7)*OFFSET(ORÇAMENTO!$W$15,ROW(AM309)-ROW(AM$15),0),15-13*ORÇAMENTO!$AF$11)),
         0)</f>
        <v>0</v>
      </c>
      <c r="AN309" s="453">
        <f ca="1">IF(AND($D309="Serviço",AN$12&lt;&gt;0,$H309&gt;0,OR(AUTOEVENTO&lt;&gt;"manual",$M309&lt;&gt;$A$15)),
        IF(Import.TipoArredondamento&lt;&gt;"TransfereGOV",
              ROUND(OFFSET($P309,0,AN$13),15-13*ORÇAMENTO!$AF$7)/$H309*OFFSET(ORÇAMENTO!$X$15,ROW(AN309)-ROW(AN$15),0),
              ROUND(ROUND(OFFSET($P309,0,AN$13),15-13*ORÇAMENTO!$AF$7)*OFFSET(ORÇAMENTO!$W$15,ROW(AN309)-ROW(AN$15),0),15-13*ORÇAMENTO!$AF$11)),
         0)</f>
        <v>0</v>
      </c>
      <c r="AO309" s="453">
        <f ca="1">IF(AND($D309="Serviço",AO$12&lt;&gt;0,$H309&gt;0,OR(AUTOEVENTO&lt;&gt;"manual",$M309&lt;&gt;$A$15)),
        IF(Import.TipoArredondamento&lt;&gt;"TransfereGOV",
              ROUND(OFFSET($P309,0,AO$13),15-13*ORÇAMENTO!$AF$7)/$H309*OFFSET(ORÇAMENTO!$X$15,ROW(AO309)-ROW(AO$15),0),
              ROUND(ROUND(OFFSET($P309,0,AO$13),15-13*ORÇAMENTO!$AF$7)*OFFSET(ORÇAMENTO!$W$15,ROW(AO309)-ROW(AO$15),0),15-13*ORÇAMENTO!$AF$11)),
         0)</f>
        <v>0</v>
      </c>
      <c r="AP309" s="453">
        <f ca="1">IF(AND($D309="Serviço",AP$12&lt;&gt;0,$H309&gt;0,OR(AUTOEVENTO&lt;&gt;"manual",$M309&lt;&gt;$A$15)),
        IF(Import.TipoArredondamento&lt;&gt;"TransfereGOV",
              ROUND(OFFSET($P309,0,AP$13),15-13*ORÇAMENTO!$AF$7)/$H309*OFFSET(ORÇAMENTO!$X$15,ROW(AP309)-ROW(AP$15),0),
              ROUND(ROUND(OFFSET($P309,0,AP$13),15-13*ORÇAMENTO!$AF$7)*OFFSET(ORÇAMENTO!$W$15,ROW(AP309)-ROW(AP$15),0),15-13*ORÇAMENTO!$AF$11)),
         0)</f>
        <v>0</v>
      </c>
      <c r="AQ309" s="453">
        <f ca="1">IF(AND($D309="Serviço",AQ$12&lt;&gt;0,$H309&gt;0,OR(AUTOEVENTO&lt;&gt;"manual",$M309&lt;&gt;$A$15)),
        IF(Import.TipoArredondamento&lt;&gt;"TransfereGOV",
              ROUND(OFFSET($P309,0,AQ$13),15-13*ORÇAMENTO!$AF$7)/$H309*OFFSET(ORÇAMENTO!$X$15,ROW(AQ309)-ROW(AQ$15),0),
              ROUND(ROUND(OFFSET($P309,0,AQ$13),15-13*ORÇAMENTO!$AF$7)*OFFSET(ORÇAMENTO!$W$15,ROW(AQ309)-ROW(AQ$15),0),15-13*ORÇAMENTO!$AF$11)),
         0)</f>
        <v>0</v>
      </c>
      <c r="AR309" s="453">
        <f ca="1">IF(AND($D309="Serviço",AR$12&lt;&gt;0,$H309&gt;0,OR(AUTOEVENTO&lt;&gt;"manual",$M309&lt;&gt;$A$15)),
        IF(Import.TipoArredondamento&lt;&gt;"TransfereGOV",
              ROUND(OFFSET($P309,0,AR$13),15-13*ORÇAMENTO!$AF$7)/$H309*OFFSET(ORÇAMENTO!$X$15,ROW(AR309)-ROW(AR$15),0),
              ROUND(ROUND(OFFSET($P309,0,AR$13),15-13*ORÇAMENTO!$AF$7)*OFFSET(ORÇAMENTO!$W$15,ROW(AR309)-ROW(AR$15),0),15-13*ORÇAMENTO!$AF$11)),
         0)</f>
        <v>0</v>
      </c>
      <c r="AS309" s="453">
        <f ca="1">IF(AND($D309="Serviço",AS$12&lt;&gt;0,$H309&gt;0,OR(AUTOEVENTO&lt;&gt;"manual",$M309&lt;&gt;$A$15)),
        IF(Import.TipoArredondamento&lt;&gt;"TransfereGOV",
              ROUND(OFFSET($P309,0,AS$13),15-13*ORÇAMENTO!$AF$7)/$H309*OFFSET(ORÇAMENTO!$X$15,ROW(AS309)-ROW(AS$15),0),
              ROUND(ROUND(OFFSET($P309,0,AS$13),15-13*ORÇAMENTO!$AF$7)*OFFSET(ORÇAMENTO!$W$15,ROW(AS309)-ROW(AS$15),0),15-13*ORÇAMENTO!$AF$11)),
         0)</f>
        <v>0</v>
      </c>
      <c r="AT309" s="453">
        <f ca="1">IF(AND($D309="Serviço",AT$12&lt;&gt;0,$H309&gt;0,OR(AUTOEVENTO&lt;&gt;"manual",$M309&lt;&gt;$A$15)),
        IF(Import.TipoArredondamento&lt;&gt;"TransfereGOV",
              ROUND(OFFSET($P309,0,AT$13),15-13*ORÇAMENTO!$AF$7)/$H309*OFFSET(ORÇAMENTO!$X$15,ROW(AT309)-ROW(AT$15),0),
              ROUND(ROUND(OFFSET($P309,0,AT$13),15-13*ORÇAMENTO!$AF$7)*OFFSET(ORÇAMENTO!$W$15,ROW(AT309)-ROW(AT$15),0),15-13*ORÇAMENTO!$AF$11)),
         0)</f>
        <v>0</v>
      </c>
      <c r="AU309" s="453">
        <f ca="1">IF(AND($D309="Serviço",AU$12&lt;&gt;0,$H309&gt;0,OR(AUTOEVENTO&lt;&gt;"manual",$M309&lt;&gt;$A$15)),
        IF(Import.TipoArredondamento&lt;&gt;"TransfereGOV",
              ROUND(OFFSET($P309,0,AU$13),15-13*ORÇAMENTO!$AF$7)/$H309*OFFSET(ORÇAMENTO!$X$15,ROW(AU309)-ROW(AU$15),0),
              ROUND(ROUND(OFFSET($P309,0,AU$13),15-13*ORÇAMENTO!$AF$7)*OFFSET(ORÇAMENTO!$W$15,ROW(AU309)-ROW(AU$15),0),15-13*ORÇAMENTO!$AF$11)),
         0)</f>
        <v>0</v>
      </c>
      <c r="AV309" s="453">
        <f ca="1">IF(AND($D309="Serviço",AV$12&lt;&gt;0,$H309&gt;0,OR(AUTOEVENTO&lt;&gt;"manual",$M309&lt;&gt;$A$15)),
        IF(Import.TipoArredondamento&lt;&gt;"TransfereGOV",
              ROUND(OFFSET($P309,0,AV$13),15-13*ORÇAMENTO!$AF$7)/$H309*OFFSET(ORÇAMENTO!$X$15,ROW(AV309)-ROW(AV$15),0),
              ROUND(ROUND(OFFSET($P309,0,AV$13),15-13*ORÇAMENTO!$AF$7)*OFFSET(ORÇAMENTO!$W$15,ROW(AV309)-ROW(AV$15),0),15-13*ORÇAMENTO!$AF$11)),
         0)</f>
        <v>0</v>
      </c>
      <c r="AW309" s="453">
        <f ca="1">IF(AND($D309="Serviço",AW$12&lt;&gt;0,$H309&gt;0,OR(AUTOEVENTO&lt;&gt;"manual",$M309&lt;&gt;$A$15)),
        IF(Import.TipoArredondamento&lt;&gt;"TransfereGOV",
              ROUND(OFFSET($P309,0,AW$13),15-13*ORÇAMENTO!$AF$7)/$H309*OFFSET(ORÇAMENTO!$X$15,ROW(AW309)-ROW(AW$15),0),
              ROUND(ROUND(OFFSET($P309,0,AW$13),15-13*ORÇAMENTO!$AF$7)*OFFSET(ORÇAMENTO!$W$15,ROW(AW309)-ROW(AW$15),0),15-13*ORÇAMENTO!$AF$11)),
         0)</f>
        <v>0</v>
      </c>
      <c r="AX309" s="453">
        <f ca="1">IF(AND($D309="Serviço",AX$12&lt;&gt;0,$H309&gt;0,OR(AUTOEVENTO&lt;&gt;"manual",$M309&lt;&gt;$A$15)),
        IF(Import.TipoArredondamento&lt;&gt;"TransfereGOV",
              ROUND(OFFSET($P309,0,AX$13),15-13*ORÇAMENTO!$AF$7)/$H309*OFFSET(ORÇAMENTO!$X$15,ROW(AX309)-ROW(AX$15),0),
              ROUND(ROUND(OFFSET($P309,0,AX$13),15-13*ORÇAMENTO!$AF$7)*OFFSET(ORÇAMENTO!$W$15,ROW(AX309)-ROW(AX$15),0),15-13*ORÇAMENTO!$AF$11)),
         0)</f>
        <v>0</v>
      </c>
      <c r="AY309" s="453">
        <f ca="1">IF(AND($D309="Serviço",AY$12&lt;&gt;0,$H309&gt;0,OR(AUTOEVENTO&lt;&gt;"manual",$M309&lt;&gt;$A$15)),
        IF(Import.TipoArredondamento&lt;&gt;"TransfereGOV",
              ROUND(OFFSET($P309,0,AY$13),15-13*ORÇAMENTO!$AF$7)/$H309*OFFSET(ORÇAMENTO!$X$15,ROW(AY309)-ROW(AY$15),0),
              ROUND(ROUND(OFFSET($P309,0,AY$13),15-13*ORÇAMENTO!$AF$7)*OFFSET(ORÇAMENTO!$W$15,ROW(AY309)-ROW(AY$15),0),15-13*ORÇAMENTO!$AF$11)),
         0)</f>
        <v>0</v>
      </c>
      <c r="AZ309" s="453">
        <f ca="1">IF(AND($D309="Serviço",AZ$12&lt;&gt;0,$H309&gt;0,OR(AUTOEVENTO&lt;&gt;"manual",$M309&lt;&gt;$A$15)),
        IF(Import.TipoArredondamento&lt;&gt;"TransfereGOV",
              ROUND(OFFSET($P309,0,AZ$13),15-13*ORÇAMENTO!$AF$7)/$H309*OFFSET(ORÇAMENTO!$X$15,ROW(AZ309)-ROW(AZ$15),0),
              ROUND(ROUND(OFFSET($P309,0,AZ$13),15-13*ORÇAMENTO!$AF$7)*OFFSET(ORÇAMENTO!$W$15,ROW(AZ309)-ROW(AZ$15),0),15-13*ORÇAMENTO!$AF$11)),
         0)</f>
        <v>0</v>
      </c>
      <c r="BA309" s="453">
        <f ca="1">IF(AND($D309="Serviço",BA$12&lt;&gt;0,$H309&gt;0,OR(AUTOEVENTO&lt;&gt;"manual",$M309&lt;&gt;$A$15)),
        IF(Import.TipoArredondamento&lt;&gt;"TransfereGOV",
              ROUND(OFFSET($P309,0,BA$13),15-13*ORÇAMENTO!$AF$7)/$H309*OFFSET(ORÇAMENTO!$X$15,ROW(BA309)-ROW(BA$15),0),
              ROUND(ROUND(OFFSET($P309,0,BA$13),15-13*ORÇAMENTO!$AF$7)*OFFSET(ORÇAMENTO!$W$15,ROW(BA309)-ROW(BA$15),0),15-13*ORÇAMENTO!$AF$11)),
         0)</f>
        <v>0</v>
      </c>
      <c r="BC309" s="171">
        <f ca="1">IF(OR($D309&lt;&gt;"Serviço",AND(AUTOEVENTO="Manual",$M309=$A$15)),0,
         IF(OFFSET(CRONOPLE!$F$15,$M309-$A$15,BC$13)=0,10^12,OFFSET(CRONOPLE!$F$15,$M309-$A$15,BC$13)))</f>
        <v>1</v>
      </c>
      <c r="BD309" s="171">
        <f ca="1">IF(OR($D309&lt;&gt;"Serviço",AND(AUTOEVENTO="Manual",$M309=$A$15)),0,
         IF(OFFSET(CRONOPLE!$F$15,$M309-$A$15,BD$13)=0,10^12,OFFSET(CRONOPLE!$F$15,$M309-$A$15,BD$13)))</f>
        <v>2</v>
      </c>
      <c r="BE309" s="171">
        <f ca="1">IF(OR($D309&lt;&gt;"Serviço",AND(AUTOEVENTO="Manual",$M309=$A$15)),0,
         IF(OFFSET(CRONOPLE!$F$15,$M309-$A$15,BE$13)=0,10^12,OFFSET(CRONOPLE!$F$15,$M309-$A$15,BE$13)))</f>
        <v>3</v>
      </c>
      <c r="BF309" s="171">
        <f ca="1">IF(OR($D309&lt;&gt;"Serviço",AND(AUTOEVENTO="Manual",$M309=$A$15)),0,
         IF(OFFSET(CRONOPLE!$F$15,$M309-$A$15,BF$13)=0,10^12,OFFSET(CRONOPLE!$F$15,$M309-$A$15,BF$13)))</f>
        <v>4</v>
      </c>
      <c r="BG309" s="171">
        <f ca="1">IF(OR($D309&lt;&gt;"Serviço",AND(AUTOEVENTO="Manual",$M309=$A$15)),0,
         IF(OFFSET(CRONOPLE!$F$15,$M309-$A$15,BG$13)=0,10^12,OFFSET(CRONOPLE!$F$15,$M309-$A$15,BG$13)))</f>
        <v>5</v>
      </c>
      <c r="BH309" s="171">
        <f ca="1">IF(OR($D309&lt;&gt;"Serviço",AND(AUTOEVENTO="Manual",$M309=$A$15)),0,
         IF(OFFSET(CRONOPLE!$F$15,$M309-$A$15,BH$13)=0,10^12,OFFSET(CRONOPLE!$F$15,$M309-$A$15,BH$13)))</f>
        <v>6</v>
      </c>
      <c r="BI309" s="171">
        <f ca="1">IF(OR($D309&lt;&gt;"Serviço",AND(AUTOEVENTO="Manual",$M309=$A$15)),0,
         IF(OFFSET(CRONOPLE!$F$15,$M309-$A$15,BI$13)=0,10^12,OFFSET(CRONOPLE!$F$15,$M309-$A$15,BI$13)))</f>
        <v>7</v>
      </c>
      <c r="BJ309" s="171">
        <f ca="1">IF(OR($D309&lt;&gt;"Serviço",AND(AUTOEVENTO="Manual",$M309=$A$15)),0,
         IF(OFFSET(CRONOPLE!$F$15,$M309-$A$15,BJ$13)=0,10^12,OFFSET(CRONOPLE!$F$15,$M309-$A$15,BJ$13)))</f>
        <v>8</v>
      </c>
      <c r="BK309" s="171">
        <f ca="1">IF(OR($D309&lt;&gt;"Serviço",AND(AUTOEVENTO="Manual",$M309=$A$15)),0,
         IF(OFFSET(CRONOPLE!$F$15,$M309-$A$15,BK$13)=0,10^12,OFFSET(CRONOPLE!$F$15,$M309-$A$15,BK$13)))</f>
        <v>9</v>
      </c>
      <c r="BL309" s="171">
        <f ca="1">IF(OR($D309&lt;&gt;"Serviço",AND(AUTOEVENTO="Manual",$M309=$A$15)),0,
         IF(OFFSET(CRONOPLE!$F$15,$M309-$A$15,BL$13)=0,10^12,OFFSET(CRONOPLE!$F$15,$M309-$A$15,BL$13)))</f>
        <v>1000000000000</v>
      </c>
      <c r="BM309" s="171">
        <f ca="1">IF(OR($D309&lt;&gt;"Serviço",AND(AUTOEVENTO="Manual",$M309=$A$15)),0,
         IF(OFFSET(CRONOPLE!$F$15,$M309-$A$15,BM$13)=0,10^12,OFFSET(CRONOPLE!$F$15,$M309-$A$15,BM$13)))</f>
        <v>1000000000000</v>
      </c>
      <c r="BN309" s="171">
        <f ca="1">IF(OR($D309&lt;&gt;"Serviço",AND(AUTOEVENTO="Manual",$M309=$A$15)),0,
         IF(OFFSET(CRONOPLE!$F$15,$M309-$A$15,BN$13)=0,10^12,OFFSET(CRONOPLE!$F$15,$M309-$A$15,BN$13)))</f>
        <v>1000000000000</v>
      </c>
      <c r="BO309" s="171">
        <f ca="1">IF(OR($D309&lt;&gt;"Serviço",AND(AUTOEVENTO="Manual",$M309=$A$15)),0,
         IF(OFFSET(CRONOPLE!$F$15,$M309-$A$15,BO$13)=0,10^12,OFFSET(CRONOPLE!$F$15,$M309-$A$15,BO$13)))</f>
        <v>1000000000000</v>
      </c>
      <c r="BP309" s="171">
        <f ca="1">IF(OR($D309&lt;&gt;"Serviço",AND(AUTOEVENTO="Manual",$M309=$A$15)),0,
         IF(OFFSET(CRONOPLE!$F$15,$M309-$A$15,BP$13)=0,10^12,OFFSET(CRONOPLE!$F$15,$M309-$A$15,BP$13)))</f>
        <v>1000000000000</v>
      </c>
      <c r="BQ309" s="171">
        <f ca="1">IF(OR($D309&lt;&gt;"Serviço",AND(AUTOEVENTO="Manual",$M309=$A$15)),0,
         IF(OFFSET(CRONOPLE!$F$15,$M309-$A$15,BQ$13)=0,10^12,OFFSET(CRONOPLE!$F$15,$M309-$A$15,BQ$13)))</f>
        <v>1000000000000</v>
      </c>
      <c r="BR309" s="171">
        <f ca="1">IF(OR($D309&lt;&gt;"Serviço",AND(AUTOEVENTO="Manual",$M309=$A$15)),0,
         IF(OFFSET(CRONOPLE!$F$15,$M309-$A$15,BR$13)=0,10^12,OFFSET(CRONOPLE!$F$15,$M309-$A$15,BR$13)))</f>
        <v>1000000000000</v>
      </c>
      <c r="BS309" s="171">
        <f ca="1">IF(OR($D309&lt;&gt;"Serviço",AND(AUTOEVENTO="Manual",$M309=$A$15)),0,
         IF(OFFSET(CRONOPLE!$F$15,$M309-$A$15,BS$13)=0,10^12,OFFSET(CRONOPLE!$F$15,$M309-$A$15,BS$13)))</f>
        <v>1000000000000</v>
      </c>
      <c r="BT309" s="171">
        <f ca="1">IF(OR($D309&lt;&gt;"Serviço",AND(AUTOEVENTO="Manual",$M309=$A$15)),0,
         IF(OFFSET(CRONOPLE!$F$15,$M309-$A$15,BT$13)=0,10^12,OFFSET(CRONOPLE!$F$15,$M309-$A$15,BT$13)))</f>
        <v>1000000000000</v>
      </c>
      <c r="BV309" s="172">
        <f ca="1">IF(OR($D309&lt;&gt;"Serviço",AND(AUTOEVENTO="Manual",$M309=$A$15),$M309&gt;(ROW(PLE.lastrow)-ROW(PLE.firstrow))),0,
           IF(OFFSET(PLE!$G$15,$M309-$A$15,BV$13)="",10^12,OFFSET(PLE!$G$15,$M309-$A$15,BV$13)))</f>
        <v>1000000000000</v>
      </c>
      <c r="BW309" s="172">
        <f ca="1">IF(OR($D309&lt;&gt;"Serviço",AND(AUTOEVENTO="Manual",$M309=$A$15),$M309&gt;(ROW(PLE.lastrow)-ROW(PLE.firstrow))),0,
           IF(OFFSET(PLE!$G$15,$M309-$A$15,BW$13)="",10^12,OFFSET(PLE!$G$15,$M309-$A$15,BW$13)))</f>
        <v>1000000000000</v>
      </c>
      <c r="BX309" s="172">
        <f ca="1">IF(OR($D309&lt;&gt;"Serviço",AND(AUTOEVENTO="Manual",$M309=$A$15),$M309&gt;(ROW(PLE.lastrow)-ROW(PLE.firstrow))),0,
           IF(OFFSET(PLE!$G$15,$M309-$A$15,BX$13)="",10^12,OFFSET(PLE!$G$15,$M309-$A$15,BX$13)))</f>
        <v>1000000000000</v>
      </c>
      <c r="BY309" s="172">
        <f ca="1">IF(OR($D309&lt;&gt;"Serviço",AND(AUTOEVENTO="Manual",$M309=$A$15),$M309&gt;(ROW(PLE.lastrow)-ROW(PLE.firstrow))),0,
           IF(OFFSET(PLE!$G$15,$M309-$A$15,BY$13)="",10^12,OFFSET(PLE!$G$15,$M309-$A$15,BY$13)))</f>
        <v>1000000000000</v>
      </c>
      <c r="BZ309" s="172">
        <f ca="1">IF(OR($D309&lt;&gt;"Serviço",AND(AUTOEVENTO="Manual",$M309=$A$15),$M309&gt;(ROW(PLE.lastrow)-ROW(PLE.firstrow))),0,
           IF(OFFSET(PLE!$G$15,$M309-$A$15,BZ$13)="",10^12,OFFSET(PLE!$G$15,$M309-$A$15,BZ$13)))</f>
        <v>1000000000000</v>
      </c>
      <c r="CA309" s="172">
        <f ca="1">IF(OR($D309&lt;&gt;"Serviço",AND(AUTOEVENTO="Manual",$M309=$A$15),$M309&gt;(ROW(PLE.lastrow)-ROW(PLE.firstrow))),0,
           IF(OFFSET(PLE!$G$15,$M309-$A$15,CA$13)="",10^12,OFFSET(PLE!$G$15,$M309-$A$15,CA$13)))</f>
        <v>1000000000000</v>
      </c>
      <c r="CB309" s="172">
        <f ca="1">IF(OR($D309&lt;&gt;"Serviço",AND(AUTOEVENTO="Manual",$M309=$A$15),$M309&gt;(ROW(PLE.lastrow)-ROW(PLE.firstrow))),0,
           IF(OFFSET(PLE!$G$15,$M309-$A$15,CB$13)="",10^12,OFFSET(PLE!$G$15,$M309-$A$15,CB$13)))</f>
        <v>1000000000000</v>
      </c>
      <c r="CC309" s="172">
        <f ca="1">IF(OR($D309&lt;&gt;"Serviço",AND(AUTOEVENTO="Manual",$M309=$A$15),$M309&gt;(ROW(PLE.lastrow)-ROW(PLE.firstrow))),0,
           IF(OFFSET(PLE!$G$15,$M309-$A$15,CC$13)="",10^12,OFFSET(PLE!$G$15,$M309-$A$15,CC$13)))</f>
        <v>1000000000000</v>
      </c>
      <c r="CD309" s="172">
        <f ca="1">IF(OR($D309&lt;&gt;"Serviço",AND(AUTOEVENTO="Manual",$M309=$A$15),$M309&gt;(ROW(PLE.lastrow)-ROW(PLE.firstrow))),0,
           IF(OFFSET(PLE!$G$15,$M309-$A$15,CD$13)="",10^12,OFFSET(PLE!$G$15,$M309-$A$15,CD$13)))</f>
        <v>1000000000000</v>
      </c>
      <c r="CE309" s="172">
        <f ca="1">IF(OR($D309&lt;&gt;"Serviço",AND(AUTOEVENTO="Manual",$M309=$A$15),$M309&gt;(ROW(PLE.lastrow)-ROW(PLE.firstrow))),0,
           IF(OFFSET(PLE!$G$15,$M309-$A$15,CE$13)="",10^12,OFFSET(PLE!$G$15,$M309-$A$15,CE$13)))</f>
        <v>1000000000000</v>
      </c>
      <c r="CF309" s="172">
        <f ca="1">IF(OR($D309&lt;&gt;"Serviço",AND(AUTOEVENTO="Manual",$M309=$A$15),$M309&gt;(ROW(PLE.lastrow)-ROW(PLE.firstrow))),0,
           IF(OFFSET(PLE!$G$15,$M309-$A$15,CF$13)="",10^12,OFFSET(PLE!$G$15,$M309-$A$15,CF$13)))</f>
        <v>1000000000000</v>
      </c>
      <c r="CG309" s="172">
        <f ca="1">IF(OR($D309&lt;&gt;"Serviço",AND(AUTOEVENTO="Manual",$M309=$A$15),$M309&gt;(ROW(PLE.lastrow)-ROW(PLE.firstrow))),0,
           IF(OFFSET(PLE!$G$15,$M309-$A$15,CG$13)="",10^12,OFFSET(PLE!$G$15,$M309-$A$15,CG$13)))</f>
        <v>1000000000000</v>
      </c>
      <c r="CH309" s="172">
        <f ca="1">IF(OR($D309&lt;&gt;"Serviço",AND(AUTOEVENTO="Manual",$M309=$A$15),$M309&gt;(ROW(PLE.lastrow)-ROW(PLE.firstrow))),0,
           IF(OFFSET(PLE!$G$15,$M309-$A$15,CH$13)="",10^12,OFFSET(PLE!$G$15,$M309-$A$15,CH$13)))</f>
        <v>1000000000000</v>
      </c>
      <c r="CI309" s="172">
        <f ca="1">IF(OR($D309&lt;&gt;"Serviço",AND(AUTOEVENTO="Manual",$M309=$A$15),$M309&gt;(ROW(PLE.lastrow)-ROW(PLE.firstrow))),0,
           IF(OFFSET(PLE!$G$15,$M309-$A$15,CI$13)="",10^12,OFFSET(PLE!$G$15,$M309-$A$15,CI$13)))</f>
        <v>1000000000000</v>
      </c>
      <c r="CJ309" s="172">
        <f ca="1">IF(OR($D309&lt;&gt;"Serviço",AND(AUTOEVENTO="Manual",$M309=$A$15),$M309&gt;(ROW(PLE.lastrow)-ROW(PLE.firstrow))),0,
           IF(OFFSET(PLE!$G$15,$M309-$A$15,CJ$13)="",10^12,OFFSET(PLE!$G$15,$M309-$A$15,CJ$13)))</f>
        <v>1000000000000</v>
      </c>
      <c r="CK309" s="172">
        <f ca="1">IF(OR($D309&lt;&gt;"Serviço",AND(AUTOEVENTO="Manual",$M309=$A$15),$M309&gt;(ROW(PLE.lastrow)-ROW(PLE.firstrow))),0,
           IF(OFFSET(PLE!$G$15,$M309-$A$15,CK$13)="",10^12,OFFSET(PLE!$G$15,$M309-$A$15,CK$13)))</f>
        <v>1000000000000</v>
      </c>
      <c r="CL309" s="172">
        <f ca="1">IF(OR($D309&lt;&gt;"Serviço",AND(AUTOEVENTO="Manual",$M309=$A$15),$M309&gt;(ROW(PLE.lastrow)-ROW(PLE.firstrow))),0,
           IF(OFFSET(PLE!$G$15,$M309-$A$15,CL$13)="",10^12,OFFSET(PLE!$G$15,$M309-$A$15,CL$13)))</f>
        <v>1000000000000</v>
      </c>
      <c r="CM309" s="172">
        <f ca="1">IF(OR($D309&lt;&gt;"Serviço",AND(AUTOEVENTO="Manual",$M309=$A$15),$M309&gt;(ROW(PLE.lastrow)-ROW(PLE.firstrow))),0,
           IF(OFFSET(PLE!$G$15,$M309-$A$15,CM$13)="",10^12,OFFSET(PLE!$G$15,$M309-$A$15,CM$13)))</f>
        <v>1000000000000</v>
      </c>
    </row>
    <row r="310" spans="1:91" ht="63.75" x14ac:dyDescent="0.2">
      <c r="A310" s="7">
        <f t="shared" ca="1" si="14"/>
        <v>6</v>
      </c>
      <c r="B310" s="7" t="str">
        <f ca="1">OFFSET(ORÇAMENTO!C$15,ROW(B310)-ROW(B$15),0)</f>
        <v>S</v>
      </c>
      <c r="C310" s="7" t="str">
        <f ca="1">OFFSET(ORÇAMENTO!L$15,ROW(C310)-ROW(C$15),0)</f>
        <v>F</v>
      </c>
      <c r="D310" s="116" t="str">
        <f ca="1">OFFSET(ORÇAMENTO!N$15,ROW(D310)-ROW(D$15),0)</f>
        <v>Serviço</v>
      </c>
      <c r="E310" s="117" t="str">
        <f ca="1">OFFSET(ORÇAMENTO!O$15,ROW(E310)-ROW(E$15),0)</f>
        <v>1.7.4.1.7.</v>
      </c>
      <c r="F310" s="163" t="str">
        <f ca="1">OFFSET(ORÇAMENTO!R$15,ROW(F310)-ROW(F$15),0)</f>
        <v>ARRUELA BORRACHA PARA FLANGE - DN 150 MM</v>
      </c>
      <c r="G310" s="164" t="str">
        <f ca="1">IF($D310&lt;&gt;"Serviço","",OFFSET(ORÇAMENTO!S$15,ROW(G310)-ROW(G$15),0))</f>
        <v>UN</v>
      </c>
      <c r="H310" s="122" cm="1">
        <f t="array" aca="1" ref="H310" ca="1">IF($D310&lt;&gt;"Serviço",0,IF(ACOMPANHAMENTO="BM",ROUND(OFFSET(ORÇAMENTO!AJ$15,ROW(H310)-ROW(H$15),0),15-13*ORÇAMENTO!$AF$7),SUMPRODUCT(($Q$1:$AI$1=1)*ROUND($Q310:$AI310,15-13*ORÇAMENTO!$AF$7))))</f>
        <v>6</v>
      </c>
      <c r="I310" s="468" t="s">
        <v>1356</v>
      </c>
      <c r="J310" s="640" t="str" cm="1">
        <f t="array" aca="1" ref="J310" ca="1">IF(OR(B310&lt;&gt;"S",CÁLCULO.FrentesPreenchidas=0),"",IF(AND(ACOMPANHAMENTO="PLE",AUTOEVENTO="Manual",OR(H310&gt;0,ORÇAMENTO!AC310="QUANT."),OR(K310="",M310=0,N310="")),"►E",IF(AND(ACOMPANHAMENTO="PLE",ORÇAMENTO!AC310="QUANT."),"►Q",IF(AND(ACOMPANHAMENTO="PLE",H310&lt;&gt;SUMPRODUCT(($Q$1:$AI$1=1)*ROUND(Q310:AI310,15))),"►S",IF(AND(COUNTIF($P$11:$AI$11,"▼")=0,H310&gt;0,I310=""),"◄M","")))))</f>
        <v/>
      </c>
      <c r="K310" s="641" t="s">
        <v>1385</v>
      </c>
      <c r="L310" s="165" t="s">
        <v>764</v>
      </c>
      <c r="M310" s="166">
        <f ca="1">IF($D310&lt;&gt;"Serviço","",
          IF(AUTOEVENTO="manual",$A310,
                IF(ISERROR(MATCH($A310,$A$15:OFFSET($A310,-1,0),0)),MAX($M$15:OFFSET(M310,-1,0))+1,
                      INDEX($M$15:OFFSET(M310,-1,0),MATCH($A310,$A$15:OFFSET($A310,-1,0),0)))))</f>
        <v>6</v>
      </c>
      <c r="N310" s="167" t="str">
        <f ca="1">IF($D310&lt;&gt;"Serviço","",
         IF(AUTOEVENTO="Manual",
                IF($A310=0,"&lt;-- defina o número do agrupador",
                       OFFSET(EVENTOS!$D$15,$A310-$A$15,0)),
                OFFSET($F$15,$A310,0)))</f>
        <v>Saneamento</v>
      </c>
      <c r="O310" s="168"/>
      <c r="Q310" s="168"/>
      <c r="R310" s="169"/>
      <c r="S310" s="169"/>
      <c r="T310" s="169"/>
      <c r="U310" s="169">
        <v>6</v>
      </c>
      <c r="V310" s="169"/>
      <c r="W310" s="169"/>
      <c r="X310" s="169"/>
      <c r="Y310" s="169"/>
      <c r="Z310" s="170"/>
      <c r="AA310" s="169"/>
      <c r="AB310" s="169"/>
      <c r="AC310" s="169"/>
      <c r="AD310" s="169"/>
      <c r="AE310" s="169"/>
      <c r="AF310" s="169"/>
      <c r="AG310" s="169"/>
      <c r="AH310" s="170"/>
      <c r="AJ310" s="453">
        <f ca="1">IF(AND($D310="Serviço",AJ$12&lt;&gt;0,$H310&gt;0,OR(AUTOEVENTO&lt;&gt;"manual",$M310&lt;&gt;$A$15)),
        IF(Import.TipoArredondamento&lt;&gt;"TransfereGOV",
              ROUND(OFFSET($P310,0,AJ$13),15-13*ORÇAMENTO!$AF$7)/$H310*OFFSET(ORÇAMENTO!$X$15,ROW(AJ310)-ROW(AJ$15),0),
              ROUND(ROUND(OFFSET($P310,0,AJ$13),15-13*ORÇAMENTO!$AF$7)*OFFSET(ORÇAMENTO!$W$15,ROW(AJ310)-ROW(AJ$15),0),15-13*ORÇAMENTO!$AF$11)),
         0)</f>
        <v>0</v>
      </c>
      <c r="AK310" s="453">
        <f ca="1">IF(AND($D310="Serviço",AK$12&lt;&gt;0,$H310&gt;0,OR(AUTOEVENTO&lt;&gt;"manual",$M310&lt;&gt;$A$15)),
        IF(Import.TipoArredondamento&lt;&gt;"TransfereGOV",
              ROUND(OFFSET($P310,0,AK$13),15-13*ORÇAMENTO!$AF$7)/$H310*OFFSET(ORÇAMENTO!$X$15,ROW(AK310)-ROW(AK$15),0),
              ROUND(ROUND(OFFSET($P310,0,AK$13),15-13*ORÇAMENTO!$AF$7)*OFFSET(ORÇAMENTO!$W$15,ROW(AK310)-ROW(AK$15),0),15-13*ORÇAMENTO!$AF$11)),
         0)</f>
        <v>0</v>
      </c>
      <c r="AL310" s="453">
        <f ca="1">IF(AND($D310="Serviço",AL$12&lt;&gt;0,$H310&gt;0,OR(AUTOEVENTO&lt;&gt;"manual",$M310&lt;&gt;$A$15)),
        IF(Import.TipoArredondamento&lt;&gt;"TransfereGOV",
              ROUND(OFFSET($P310,0,AL$13),15-13*ORÇAMENTO!$AF$7)/$H310*OFFSET(ORÇAMENTO!$X$15,ROW(AL310)-ROW(AL$15),0),
              ROUND(ROUND(OFFSET($P310,0,AL$13),15-13*ORÇAMENTO!$AF$7)*OFFSET(ORÇAMENTO!$W$15,ROW(AL310)-ROW(AL$15),0),15-13*ORÇAMENTO!$AF$11)),
         0)</f>
        <v>0</v>
      </c>
      <c r="AM310" s="453">
        <f ca="1">IF(AND($D310="Serviço",AM$12&lt;&gt;0,$H310&gt;0,OR(AUTOEVENTO&lt;&gt;"manual",$M310&lt;&gt;$A$15)),
        IF(Import.TipoArredondamento&lt;&gt;"TransfereGOV",
              ROUND(OFFSET($P310,0,AM$13),15-13*ORÇAMENTO!$AF$7)/$H310*OFFSET(ORÇAMENTO!$X$15,ROW(AM310)-ROW(AM$15),0),
              ROUND(ROUND(OFFSET($P310,0,AM$13),15-13*ORÇAMENTO!$AF$7)*OFFSET(ORÇAMENTO!$W$15,ROW(AM310)-ROW(AM$15),0),15-13*ORÇAMENTO!$AF$11)),
         0)</f>
        <v>0</v>
      </c>
      <c r="AN310" s="453">
        <f ca="1">IF(AND($D310="Serviço",AN$12&lt;&gt;0,$H310&gt;0,OR(AUTOEVENTO&lt;&gt;"manual",$M310&lt;&gt;$A$15)),
        IF(Import.TipoArredondamento&lt;&gt;"TransfereGOV",
              ROUND(OFFSET($P310,0,AN$13),15-13*ORÇAMENTO!$AF$7)/$H310*OFFSET(ORÇAMENTO!$X$15,ROW(AN310)-ROW(AN$15),0),
              ROUND(ROUND(OFFSET($P310,0,AN$13),15-13*ORÇAMENTO!$AF$7)*OFFSET(ORÇAMENTO!$W$15,ROW(AN310)-ROW(AN$15),0),15-13*ORÇAMENTO!$AF$11)),
         0)</f>
        <v>0</v>
      </c>
      <c r="AO310" s="453">
        <f ca="1">IF(AND($D310="Serviço",AO$12&lt;&gt;0,$H310&gt;0,OR(AUTOEVENTO&lt;&gt;"manual",$M310&lt;&gt;$A$15)),
        IF(Import.TipoArredondamento&lt;&gt;"TransfereGOV",
              ROUND(OFFSET($P310,0,AO$13),15-13*ORÇAMENTO!$AF$7)/$H310*OFFSET(ORÇAMENTO!$X$15,ROW(AO310)-ROW(AO$15),0),
              ROUND(ROUND(OFFSET($P310,0,AO$13),15-13*ORÇAMENTO!$AF$7)*OFFSET(ORÇAMENTO!$W$15,ROW(AO310)-ROW(AO$15),0),15-13*ORÇAMENTO!$AF$11)),
         0)</f>
        <v>0</v>
      </c>
      <c r="AP310" s="453">
        <f ca="1">IF(AND($D310="Serviço",AP$12&lt;&gt;0,$H310&gt;0,OR(AUTOEVENTO&lt;&gt;"manual",$M310&lt;&gt;$A$15)),
        IF(Import.TipoArredondamento&lt;&gt;"TransfereGOV",
              ROUND(OFFSET($P310,0,AP$13),15-13*ORÇAMENTO!$AF$7)/$H310*OFFSET(ORÇAMENTO!$X$15,ROW(AP310)-ROW(AP$15),0),
              ROUND(ROUND(OFFSET($P310,0,AP$13),15-13*ORÇAMENTO!$AF$7)*OFFSET(ORÇAMENTO!$W$15,ROW(AP310)-ROW(AP$15),0),15-13*ORÇAMENTO!$AF$11)),
         0)</f>
        <v>0</v>
      </c>
      <c r="AQ310" s="453">
        <f ca="1">IF(AND($D310="Serviço",AQ$12&lt;&gt;0,$H310&gt;0,OR(AUTOEVENTO&lt;&gt;"manual",$M310&lt;&gt;$A$15)),
        IF(Import.TipoArredondamento&lt;&gt;"TransfereGOV",
              ROUND(OFFSET($P310,0,AQ$13),15-13*ORÇAMENTO!$AF$7)/$H310*OFFSET(ORÇAMENTO!$X$15,ROW(AQ310)-ROW(AQ$15),0),
              ROUND(ROUND(OFFSET($P310,0,AQ$13),15-13*ORÇAMENTO!$AF$7)*OFFSET(ORÇAMENTO!$W$15,ROW(AQ310)-ROW(AQ$15),0),15-13*ORÇAMENTO!$AF$11)),
         0)</f>
        <v>0</v>
      </c>
      <c r="AR310" s="453">
        <f ca="1">IF(AND($D310="Serviço",AR$12&lt;&gt;0,$H310&gt;0,OR(AUTOEVENTO&lt;&gt;"manual",$M310&lt;&gt;$A$15)),
        IF(Import.TipoArredondamento&lt;&gt;"TransfereGOV",
              ROUND(OFFSET($P310,0,AR$13),15-13*ORÇAMENTO!$AF$7)/$H310*OFFSET(ORÇAMENTO!$X$15,ROW(AR310)-ROW(AR$15),0),
              ROUND(ROUND(OFFSET($P310,0,AR$13),15-13*ORÇAMENTO!$AF$7)*OFFSET(ORÇAMENTO!$W$15,ROW(AR310)-ROW(AR$15),0),15-13*ORÇAMENTO!$AF$11)),
         0)</f>
        <v>0</v>
      </c>
      <c r="AS310" s="453">
        <f ca="1">IF(AND($D310="Serviço",AS$12&lt;&gt;0,$H310&gt;0,OR(AUTOEVENTO&lt;&gt;"manual",$M310&lt;&gt;$A$15)),
        IF(Import.TipoArredondamento&lt;&gt;"TransfereGOV",
              ROUND(OFFSET($P310,0,AS$13),15-13*ORÇAMENTO!$AF$7)/$H310*OFFSET(ORÇAMENTO!$X$15,ROW(AS310)-ROW(AS$15),0),
              ROUND(ROUND(OFFSET($P310,0,AS$13),15-13*ORÇAMENTO!$AF$7)*OFFSET(ORÇAMENTO!$W$15,ROW(AS310)-ROW(AS$15),0),15-13*ORÇAMENTO!$AF$11)),
         0)</f>
        <v>0</v>
      </c>
      <c r="AT310" s="453">
        <f ca="1">IF(AND($D310="Serviço",AT$12&lt;&gt;0,$H310&gt;0,OR(AUTOEVENTO&lt;&gt;"manual",$M310&lt;&gt;$A$15)),
        IF(Import.TipoArredondamento&lt;&gt;"TransfereGOV",
              ROUND(OFFSET($P310,0,AT$13),15-13*ORÇAMENTO!$AF$7)/$H310*OFFSET(ORÇAMENTO!$X$15,ROW(AT310)-ROW(AT$15),0),
              ROUND(ROUND(OFFSET($P310,0,AT$13),15-13*ORÇAMENTO!$AF$7)*OFFSET(ORÇAMENTO!$W$15,ROW(AT310)-ROW(AT$15),0),15-13*ORÇAMENTO!$AF$11)),
         0)</f>
        <v>0</v>
      </c>
      <c r="AU310" s="453">
        <f ca="1">IF(AND($D310="Serviço",AU$12&lt;&gt;0,$H310&gt;0,OR(AUTOEVENTO&lt;&gt;"manual",$M310&lt;&gt;$A$15)),
        IF(Import.TipoArredondamento&lt;&gt;"TransfereGOV",
              ROUND(OFFSET($P310,0,AU$13),15-13*ORÇAMENTO!$AF$7)/$H310*OFFSET(ORÇAMENTO!$X$15,ROW(AU310)-ROW(AU$15),0),
              ROUND(ROUND(OFFSET($P310,0,AU$13),15-13*ORÇAMENTO!$AF$7)*OFFSET(ORÇAMENTO!$W$15,ROW(AU310)-ROW(AU$15),0),15-13*ORÇAMENTO!$AF$11)),
         0)</f>
        <v>0</v>
      </c>
      <c r="AV310" s="453">
        <f ca="1">IF(AND($D310="Serviço",AV$12&lt;&gt;0,$H310&gt;0,OR(AUTOEVENTO&lt;&gt;"manual",$M310&lt;&gt;$A$15)),
        IF(Import.TipoArredondamento&lt;&gt;"TransfereGOV",
              ROUND(OFFSET($P310,0,AV$13),15-13*ORÇAMENTO!$AF$7)/$H310*OFFSET(ORÇAMENTO!$X$15,ROW(AV310)-ROW(AV$15),0),
              ROUND(ROUND(OFFSET($P310,0,AV$13),15-13*ORÇAMENTO!$AF$7)*OFFSET(ORÇAMENTO!$W$15,ROW(AV310)-ROW(AV$15),0),15-13*ORÇAMENTO!$AF$11)),
         0)</f>
        <v>0</v>
      </c>
      <c r="AW310" s="453">
        <f ca="1">IF(AND($D310="Serviço",AW$12&lt;&gt;0,$H310&gt;0,OR(AUTOEVENTO&lt;&gt;"manual",$M310&lt;&gt;$A$15)),
        IF(Import.TipoArredondamento&lt;&gt;"TransfereGOV",
              ROUND(OFFSET($P310,0,AW$13),15-13*ORÇAMENTO!$AF$7)/$H310*OFFSET(ORÇAMENTO!$X$15,ROW(AW310)-ROW(AW$15),0),
              ROUND(ROUND(OFFSET($P310,0,AW$13),15-13*ORÇAMENTO!$AF$7)*OFFSET(ORÇAMENTO!$W$15,ROW(AW310)-ROW(AW$15),0),15-13*ORÇAMENTO!$AF$11)),
         0)</f>
        <v>0</v>
      </c>
      <c r="AX310" s="453">
        <f ca="1">IF(AND($D310="Serviço",AX$12&lt;&gt;0,$H310&gt;0,OR(AUTOEVENTO&lt;&gt;"manual",$M310&lt;&gt;$A$15)),
        IF(Import.TipoArredondamento&lt;&gt;"TransfereGOV",
              ROUND(OFFSET($P310,0,AX$13),15-13*ORÇAMENTO!$AF$7)/$H310*OFFSET(ORÇAMENTO!$X$15,ROW(AX310)-ROW(AX$15),0),
              ROUND(ROUND(OFFSET($P310,0,AX$13),15-13*ORÇAMENTO!$AF$7)*OFFSET(ORÇAMENTO!$W$15,ROW(AX310)-ROW(AX$15),0),15-13*ORÇAMENTO!$AF$11)),
         0)</f>
        <v>0</v>
      </c>
      <c r="AY310" s="453">
        <f ca="1">IF(AND($D310="Serviço",AY$12&lt;&gt;0,$H310&gt;0,OR(AUTOEVENTO&lt;&gt;"manual",$M310&lt;&gt;$A$15)),
        IF(Import.TipoArredondamento&lt;&gt;"TransfereGOV",
              ROUND(OFFSET($P310,0,AY$13),15-13*ORÇAMENTO!$AF$7)/$H310*OFFSET(ORÇAMENTO!$X$15,ROW(AY310)-ROW(AY$15),0),
              ROUND(ROUND(OFFSET($P310,0,AY$13),15-13*ORÇAMENTO!$AF$7)*OFFSET(ORÇAMENTO!$W$15,ROW(AY310)-ROW(AY$15),0),15-13*ORÇAMENTO!$AF$11)),
         0)</f>
        <v>0</v>
      </c>
      <c r="AZ310" s="453">
        <f ca="1">IF(AND($D310="Serviço",AZ$12&lt;&gt;0,$H310&gt;0,OR(AUTOEVENTO&lt;&gt;"manual",$M310&lt;&gt;$A$15)),
        IF(Import.TipoArredondamento&lt;&gt;"TransfereGOV",
              ROUND(OFFSET($P310,0,AZ$13),15-13*ORÇAMENTO!$AF$7)/$H310*OFFSET(ORÇAMENTO!$X$15,ROW(AZ310)-ROW(AZ$15),0),
              ROUND(ROUND(OFFSET($P310,0,AZ$13),15-13*ORÇAMENTO!$AF$7)*OFFSET(ORÇAMENTO!$W$15,ROW(AZ310)-ROW(AZ$15),0),15-13*ORÇAMENTO!$AF$11)),
         0)</f>
        <v>0</v>
      </c>
      <c r="BA310" s="453">
        <f ca="1">IF(AND($D310="Serviço",BA$12&lt;&gt;0,$H310&gt;0,OR(AUTOEVENTO&lt;&gt;"manual",$M310&lt;&gt;$A$15)),
        IF(Import.TipoArredondamento&lt;&gt;"TransfereGOV",
              ROUND(OFFSET($P310,0,BA$13),15-13*ORÇAMENTO!$AF$7)/$H310*OFFSET(ORÇAMENTO!$X$15,ROW(BA310)-ROW(BA$15),0),
              ROUND(ROUND(OFFSET($P310,0,BA$13),15-13*ORÇAMENTO!$AF$7)*OFFSET(ORÇAMENTO!$W$15,ROW(BA310)-ROW(BA$15),0),15-13*ORÇAMENTO!$AF$11)),
         0)</f>
        <v>0</v>
      </c>
      <c r="BC310" s="171">
        <f ca="1">IF(OR($D310&lt;&gt;"Serviço",AND(AUTOEVENTO="Manual",$M310=$A$15)),0,
         IF(OFFSET(CRONOPLE!$F$15,$M310-$A$15,BC$13)=0,10^12,OFFSET(CRONOPLE!$F$15,$M310-$A$15,BC$13)))</f>
        <v>1</v>
      </c>
      <c r="BD310" s="171">
        <f ca="1">IF(OR($D310&lt;&gt;"Serviço",AND(AUTOEVENTO="Manual",$M310=$A$15)),0,
         IF(OFFSET(CRONOPLE!$F$15,$M310-$A$15,BD$13)=0,10^12,OFFSET(CRONOPLE!$F$15,$M310-$A$15,BD$13)))</f>
        <v>2</v>
      </c>
      <c r="BE310" s="171">
        <f ca="1">IF(OR($D310&lt;&gt;"Serviço",AND(AUTOEVENTO="Manual",$M310=$A$15)),0,
         IF(OFFSET(CRONOPLE!$F$15,$M310-$A$15,BE$13)=0,10^12,OFFSET(CRONOPLE!$F$15,$M310-$A$15,BE$13)))</f>
        <v>3</v>
      </c>
      <c r="BF310" s="171">
        <f ca="1">IF(OR($D310&lt;&gt;"Serviço",AND(AUTOEVENTO="Manual",$M310=$A$15)),0,
         IF(OFFSET(CRONOPLE!$F$15,$M310-$A$15,BF$13)=0,10^12,OFFSET(CRONOPLE!$F$15,$M310-$A$15,BF$13)))</f>
        <v>4</v>
      </c>
      <c r="BG310" s="171">
        <f ca="1">IF(OR($D310&lt;&gt;"Serviço",AND(AUTOEVENTO="Manual",$M310=$A$15)),0,
         IF(OFFSET(CRONOPLE!$F$15,$M310-$A$15,BG$13)=0,10^12,OFFSET(CRONOPLE!$F$15,$M310-$A$15,BG$13)))</f>
        <v>5</v>
      </c>
      <c r="BH310" s="171">
        <f ca="1">IF(OR($D310&lt;&gt;"Serviço",AND(AUTOEVENTO="Manual",$M310=$A$15)),0,
         IF(OFFSET(CRONOPLE!$F$15,$M310-$A$15,BH$13)=0,10^12,OFFSET(CRONOPLE!$F$15,$M310-$A$15,BH$13)))</f>
        <v>6</v>
      </c>
      <c r="BI310" s="171">
        <f ca="1">IF(OR($D310&lt;&gt;"Serviço",AND(AUTOEVENTO="Manual",$M310=$A$15)),0,
         IF(OFFSET(CRONOPLE!$F$15,$M310-$A$15,BI$13)=0,10^12,OFFSET(CRONOPLE!$F$15,$M310-$A$15,BI$13)))</f>
        <v>7</v>
      </c>
      <c r="BJ310" s="171">
        <f ca="1">IF(OR($D310&lt;&gt;"Serviço",AND(AUTOEVENTO="Manual",$M310=$A$15)),0,
         IF(OFFSET(CRONOPLE!$F$15,$M310-$A$15,BJ$13)=0,10^12,OFFSET(CRONOPLE!$F$15,$M310-$A$15,BJ$13)))</f>
        <v>8</v>
      </c>
      <c r="BK310" s="171">
        <f ca="1">IF(OR($D310&lt;&gt;"Serviço",AND(AUTOEVENTO="Manual",$M310=$A$15)),0,
         IF(OFFSET(CRONOPLE!$F$15,$M310-$A$15,BK$13)=0,10^12,OFFSET(CRONOPLE!$F$15,$M310-$A$15,BK$13)))</f>
        <v>9</v>
      </c>
      <c r="BL310" s="171">
        <f ca="1">IF(OR($D310&lt;&gt;"Serviço",AND(AUTOEVENTO="Manual",$M310=$A$15)),0,
         IF(OFFSET(CRONOPLE!$F$15,$M310-$A$15,BL$13)=0,10^12,OFFSET(CRONOPLE!$F$15,$M310-$A$15,BL$13)))</f>
        <v>1000000000000</v>
      </c>
      <c r="BM310" s="171">
        <f ca="1">IF(OR($D310&lt;&gt;"Serviço",AND(AUTOEVENTO="Manual",$M310=$A$15)),0,
         IF(OFFSET(CRONOPLE!$F$15,$M310-$A$15,BM$13)=0,10^12,OFFSET(CRONOPLE!$F$15,$M310-$A$15,BM$13)))</f>
        <v>1000000000000</v>
      </c>
      <c r="BN310" s="171">
        <f ca="1">IF(OR($D310&lt;&gt;"Serviço",AND(AUTOEVENTO="Manual",$M310=$A$15)),0,
         IF(OFFSET(CRONOPLE!$F$15,$M310-$A$15,BN$13)=0,10^12,OFFSET(CRONOPLE!$F$15,$M310-$A$15,BN$13)))</f>
        <v>1000000000000</v>
      </c>
      <c r="BO310" s="171">
        <f ca="1">IF(OR($D310&lt;&gt;"Serviço",AND(AUTOEVENTO="Manual",$M310=$A$15)),0,
         IF(OFFSET(CRONOPLE!$F$15,$M310-$A$15,BO$13)=0,10^12,OFFSET(CRONOPLE!$F$15,$M310-$A$15,BO$13)))</f>
        <v>1000000000000</v>
      </c>
      <c r="BP310" s="171">
        <f ca="1">IF(OR($D310&lt;&gt;"Serviço",AND(AUTOEVENTO="Manual",$M310=$A$15)),0,
         IF(OFFSET(CRONOPLE!$F$15,$M310-$A$15,BP$13)=0,10^12,OFFSET(CRONOPLE!$F$15,$M310-$A$15,BP$13)))</f>
        <v>1000000000000</v>
      </c>
      <c r="BQ310" s="171">
        <f ca="1">IF(OR($D310&lt;&gt;"Serviço",AND(AUTOEVENTO="Manual",$M310=$A$15)),0,
         IF(OFFSET(CRONOPLE!$F$15,$M310-$A$15,BQ$13)=0,10^12,OFFSET(CRONOPLE!$F$15,$M310-$A$15,BQ$13)))</f>
        <v>1000000000000</v>
      </c>
      <c r="BR310" s="171">
        <f ca="1">IF(OR($D310&lt;&gt;"Serviço",AND(AUTOEVENTO="Manual",$M310=$A$15)),0,
         IF(OFFSET(CRONOPLE!$F$15,$M310-$A$15,BR$13)=0,10^12,OFFSET(CRONOPLE!$F$15,$M310-$A$15,BR$13)))</f>
        <v>1000000000000</v>
      </c>
      <c r="BS310" s="171">
        <f ca="1">IF(OR($D310&lt;&gt;"Serviço",AND(AUTOEVENTO="Manual",$M310=$A$15)),0,
         IF(OFFSET(CRONOPLE!$F$15,$M310-$A$15,BS$13)=0,10^12,OFFSET(CRONOPLE!$F$15,$M310-$A$15,BS$13)))</f>
        <v>1000000000000</v>
      </c>
      <c r="BT310" s="171">
        <f ca="1">IF(OR($D310&lt;&gt;"Serviço",AND(AUTOEVENTO="Manual",$M310=$A$15)),0,
         IF(OFFSET(CRONOPLE!$F$15,$M310-$A$15,BT$13)=0,10^12,OFFSET(CRONOPLE!$F$15,$M310-$A$15,BT$13)))</f>
        <v>1000000000000</v>
      </c>
      <c r="BV310" s="172">
        <f ca="1">IF(OR($D310&lt;&gt;"Serviço",AND(AUTOEVENTO="Manual",$M310=$A$15),$M310&gt;(ROW(PLE.lastrow)-ROW(PLE.firstrow))),0,
           IF(OFFSET(PLE!$G$15,$M310-$A$15,BV$13)="",10^12,OFFSET(PLE!$G$15,$M310-$A$15,BV$13)))</f>
        <v>1000000000000</v>
      </c>
      <c r="BW310" s="172">
        <f ca="1">IF(OR($D310&lt;&gt;"Serviço",AND(AUTOEVENTO="Manual",$M310=$A$15),$M310&gt;(ROW(PLE.lastrow)-ROW(PLE.firstrow))),0,
           IF(OFFSET(PLE!$G$15,$M310-$A$15,BW$13)="",10^12,OFFSET(PLE!$G$15,$M310-$A$15,BW$13)))</f>
        <v>1000000000000</v>
      </c>
      <c r="BX310" s="172">
        <f ca="1">IF(OR($D310&lt;&gt;"Serviço",AND(AUTOEVENTO="Manual",$M310=$A$15),$M310&gt;(ROW(PLE.lastrow)-ROW(PLE.firstrow))),0,
           IF(OFFSET(PLE!$G$15,$M310-$A$15,BX$13)="",10^12,OFFSET(PLE!$G$15,$M310-$A$15,BX$13)))</f>
        <v>1000000000000</v>
      </c>
      <c r="BY310" s="172">
        <f ca="1">IF(OR($D310&lt;&gt;"Serviço",AND(AUTOEVENTO="Manual",$M310=$A$15),$M310&gt;(ROW(PLE.lastrow)-ROW(PLE.firstrow))),0,
           IF(OFFSET(PLE!$G$15,$M310-$A$15,BY$13)="",10^12,OFFSET(PLE!$G$15,$M310-$A$15,BY$13)))</f>
        <v>1000000000000</v>
      </c>
      <c r="BZ310" s="172">
        <f ca="1">IF(OR($D310&lt;&gt;"Serviço",AND(AUTOEVENTO="Manual",$M310=$A$15),$M310&gt;(ROW(PLE.lastrow)-ROW(PLE.firstrow))),0,
           IF(OFFSET(PLE!$G$15,$M310-$A$15,BZ$13)="",10^12,OFFSET(PLE!$G$15,$M310-$A$15,BZ$13)))</f>
        <v>1000000000000</v>
      </c>
      <c r="CA310" s="172">
        <f ca="1">IF(OR($D310&lt;&gt;"Serviço",AND(AUTOEVENTO="Manual",$M310=$A$15),$M310&gt;(ROW(PLE.lastrow)-ROW(PLE.firstrow))),0,
           IF(OFFSET(PLE!$G$15,$M310-$A$15,CA$13)="",10^12,OFFSET(PLE!$G$15,$M310-$A$15,CA$13)))</f>
        <v>1000000000000</v>
      </c>
      <c r="CB310" s="172">
        <f ca="1">IF(OR($D310&lt;&gt;"Serviço",AND(AUTOEVENTO="Manual",$M310=$A$15),$M310&gt;(ROW(PLE.lastrow)-ROW(PLE.firstrow))),0,
           IF(OFFSET(PLE!$G$15,$M310-$A$15,CB$13)="",10^12,OFFSET(PLE!$G$15,$M310-$A$15,CB$13)))</f>
        <v>1000000000000</v>
      </c>
      <c r="CC310" s="172">
        <f ca="1">IF(OR($D310&lt;&gt;"Serviço",AND(AUTOEVENTO="Manual",$M310=$A$15),$M310&gt;(ROW(PLE.lastrow)-ROW(PLE.firstrow))),0,
           IF(OFFSET(PLE!$G$15,$M310-$A$15,CC$13)="",10^12,OFFSET(PLE!$G$15,$M310-$A$15,CC$13)))</f>
        <v>1000000000000</v>
      </c>
      <c r="CD310" s="172">
        <f ca="1">IF(OR($D310&lt;&gt;"Serviço",AND(AUTOEVENTO="Manual",$M310=$A$15),$M310&gt;(ROW(PLE.lastrow)-ROW(PLE.firstrow))),0,
           IF(OFFSET(PLE!$G$15,$M310-$A$15,CD$13)="",10^12,OFFSET(PLE!$G$15,$M310-$A$15,CD$13)))</f>
        <v>1000000000000</v>
      </c>
      <c r="CE310" s="172">
        <f ca="1">IF(OR($D310&lt;&gt;"Serviço",AND(AUTOEVENTO="Manual",$M310=$A$15),$M310&gt;(ROW(PLE.lastrow)-ROW(PLE.firstrow))),0,
           IF(OFFSET(PLE!$G$15,$M310-$A$15,CE$13)="",10^12,OFFSET(PLE!$G$15,$M310-$A$15,CE$13)))</f>
        <v>1000000000000</v>
      </c>
      <c r="CF310" s="172">
        <f ca="1">IF(OR($D310&lt;&gt;"Serviço",AND(AUTOEVENTO="Manual",$M310=$A$15),$M310&gt;(ROW(PLE.lastrow)-ROW(PLE.firstrow))),0,
           IF(OFFSET(PLE!$G$15,$M310-$A$15,CF$13)="",10^12,OFFSET(PLE!$G$15,$M310-$A$15,CF$13)))</f>
        <v>1000000000000</v>
      </c>
      <c r="CG310" s="172">
        <f ca="1">IF(OR($D310&lt;&gt;"Serviço",AND(AUTOEVENTO="Manual",$M310=$A$15),$M310&gt;(ROW(PLE.lastrow)-ROW(PLE.firstrow))),0,
           IF(OFFSET(PLE!$G$15,$M310-$A$15,CG$13)="",10^12,OFFSET(PLE!$G$15,$M310-$A$15,CG$13)))</f>
        <v>1000000000000</v>
      </c>
      <c r="CH310" s="172">
        <f ca="1">IF(OR($D310&lt;&gt;"Serviço",AND(AUTOEVENTO="Manual",$M310=$A$15),$M310&gt;(ROW(PLE.lastrow)-ROW(PLE.firstrow))),0,
           IF(OFFSET(PLE!$G$15,$M310-$A$15,CH$13)="",10^12,OFFSET(PLE!$G$15,$M310-$A$15,CH$13)))</f>
        <v>1000000000000</v>
      </c>
      <c r="CI310" s="172">
        <f ca="1">IF(OR($D310&lt;&gt;"Serviço",AND(AUTOEVENTO="Manual",$M310=$A$15),$M310&gt;(ROW(PLE.lastrow)-ROW(PLE.firstrow))),0,
           IF(OFFSET(PLE!$G$15,$M310-$A$15,CI$13)="",10^12,OFFSET(PLE!$G$15,$M310-$A$15,CI$13)))</f>
        <v>1000000000000</v>
      </c>
      <c r="CJ310" s="172">
        <f ca="1">IF(OR($D310&lt;&gt;"Serviço",AND(AUTOEVENTO="Manual",$M310=$A$15),$M310&gt;(ROW(PLE.lastrow)-ROW(PLE.firstrow))),0,
           IF(OFFSET(PLE!$G$15,$M310-$A$15,CJ$13)="",10^12,OFFSET(PLE!$G$15,$M310-$A$15,CJ$13)))</f>
        <v>1000000000000</v>
      </c>
      <c r="CK310" s="172">
        <f ca="1">IF(OR($D310&lt;&gt;"Serviço",AND(AUTOEVENTO="Manual",$M310=$A$15),$M310&gt;(ROW(PLE.lastrow)-ROW(PLE.firstrow))),0,
           IF(OFFSET(PLE!$G$15,$M310-$A$15,CK$13)="",10^12,OFFSET(PLE!$G$15,$M310-$A$15,CK$13)))</f>
        <v>1000000000000</v>
      </c>
      <c r="CL310" s="172">
        <f ca="1">IF(OR($D310&lt;&gt;"Serviço",AND(AUTOEVENTO="Manual",$M310=$A$15),$M310&gt;(ROW(PLE.lastrow)-ROW(PLE.firstrow))),0,
           IF(OFFSET(PLE!$G$15,$M310-$A$15,CL$13)="",10^12,OFFSET(PLE!$G$15,$M310-$A$15,CL$13)))</f>
        <v>1000000000000</v>
      </c>
      <c r="CM310" s="172">
        <f ca="1">IF(OR($D310&lt;&gt;"Serviço",AND(AUTOEVENTO="Manual",$M310=$A$15),$M310&gt;(ROW(PLE.lastrow)-ROW(PLE.firstrow))),0,
           IF(OFFSET(PLE!$G$15,$M310-$A$15,CM$13)="",10^12,OFFSET(PLE!$G$15,$M310-$A$15,CM$13)))</f>
        <v>1000000000000</v>
      </c>
    </row>
    <row r="311" spans="1:91" ht="63.75" x14ac:dyDescent="0.2">
      <c r="A311" s="7">
        <f t="shared" ca="1" si="14"/>
        <v>6</v>
      </c>
      <c r="B311" s="7" t="str">
        <f ca="1">OFFSET(ORÇAMENTO!C$15,ROW(B311)-ROW(B$15),0)</f>
        <v>S</v>
      </c>
      <c r="C311" s="7" t="str">
        <f ca="1">OFFSET(ORÇAMENTO!L$15,ROW(C311)-ROW(C$15),0)</f>
        <v>F</v>
      </c>
      <c r="D311" s="116" t="str">
        <f ca="1">OFFSET(ORÇAMENTO!N$15,ROW(D311)-ROW(D$15),0)</f>
        <v>Serviço</v>
      </c>
      <c r="E311" s="117" t="str">
        <f ca="1">OFFSET(ORÇAMENTO!O$15,ROW(E311)-ROW(E$15),0)</f>
        <v>1.7.4.1.8.</v>
      </c>
      <c r="F311" s="163" t="str">
        <f ca="1">OFFSET(ORÇAMENTO!R$15,ROW(F311)-ROW(F$15),0)</f>
        <v>PARAFUSO PARA FLANGE - 20 X 90 MM</v>
      </c>
      <c r="G311" s="164" t="str">
        <f ca="1">IF($D311&lt;&gt;"Serviço","",OFFSET(ORÇAMENTO!S$15,ROW(G311)-ROW(G$15),0))</f>
        <v>UN</v>
      </c>
      <c r="H311" s="122" cm="1">
        <f t="array" aca="1" ref="H311" ca="1">IF($D311&lt;&gt;"Serviço",0,IF(ACOMPANHAMENTO="BM",ROUND(OFFSET(ORÇAMENTO!AJ$15,ROW(H311)-ROW(H$15),0),15-13*ORÇAMENTO!$AF$7),SUMPRODUCT(($Q$1:$AI$1=1)*ROUND($Q311:$AI311,15-13*ORÇAMENTO!$AF$7))))</f>
        <v>48</v>
      </c>
      <c r="I311" s="468" t="s">
        <v>1356</v>
      </c>
      <c r="J311" s="640" t="str" cm="1">
        <f t="array" aca="1" ref="J311" ca="1">IF(OR(B311&lt;&gt;"S",CÁLCULO.FrentesPreenchidas=0),"",IF(AND(ACOMPANHAMENTO="PLE",AUTOEVENTO="Manual",OR(H311&gt;0,ORÇAMENTO!AC311="QUANT."),OR(K311="",M311=0,N311="")),"►E",IF(AND(ACOMPANHAMENTO="PLE",ORÇAMENTO!AC311="QUANT."),"►Q",IF(AND(ACOMPANHAMENTO="PLE",H311&lt;&gt;SUMPRODUCT(($Q$1:$AI$1=1)*ROUND(Q311:AI311,15))),"►S",IF(AND(COUNTIF($P$11:$AI$11,"▼")=0,H311&gt;0,I311=""),"◄M","")))))</f>
        <v/>
      </c>
      <c r="K311" s="641" t="s">
        <v>1385</v>
      </c>
      <c r="L311" s="165" t="s">
        <v>764</v>
      </c>
      <c r="M311" s="166">
        <f ca="1">IF($D311&lt;&gt;"Serviço","",
          IF(AUTOEVENTO="manual",$A311,
                IF(ISERROR(MATCH($A311,$A$15:OFFSET($A311,-1,0),0)),MAX($M$15:OFFSET(M311,-1,0))+1,
                      INDEX($M$15:OFFSET(M311,-1,0),MATCH($A311,$A$15:OFFSET($A311,-1,0),0)))))</f>
        <v>6</v>
      </c>
      <c r="N311" s="167" t="str">
        <f ca="1">IF($D311&lt;&gt;"Serviço","",
         IF(AUTOEVENTO="Manual",
                IF($A311=0,"&lt;-- defina o número do agrupador",
                       OFFSET(EVENTOS!$D$15,$A311-$A$15,0)),
                OFFSET($F$15,$A311,0)))</f>
        <v>Saneamento</v>
      </c>
      <c r="O311" s="168"/>
      <c r="Q311" s="168"/>
      <c r="R311" s="169"/>
      <c r="S311" s="169"/>
      <c r="T311" s="169"/>
      <c r="U311" s="169">
        <v>48</v>
      </c>
      <c r="V311" s="169"/>
      <c r="W311" s="169"/>
      <c r="X311" s="169"/>
      <c r="Y311" s="169"/>
      <c r="Z311" s="170"/>
      <c r="AA311" s="169"/>
      <c r="AB311" s="169"/>
      <c r="AC311" s="169"/>
      <c r="AD311" s="169"/>
      <c r="AE311" s="169"/>
      <c r="AF311" s="169"/>
      <c r="AG311" s="169"/>
      <c r="AH311" s="170"/>
      <c r="AJ311" s="453">
        <f ca="1">IF(AND($D311="Serviço",AJ$12&lt;&gt;0,$H311&gt;0,OR(AUTOEVENTO&lt;&gt;"manual",$M311&lt;&gt;$A$15)),
        IF(Import.TipoArredondamento&lt;&gt;"TransfereGOV",
              ROUND(OFFSET($P311,0,AJ$13),15-13*ORÇAMENTO!$AF$7)/$H311*OFFSET(ORÇAMENTO!$X$15,ROW(AJ311)-ROW(AJ$15),0),
              ROUND(ROUND(OFFSET($P311,0,AJ$13),15-13*ORÇAMENTO!$AF$7)*OFFSET(ORÇAMENTO!$W$15,ROW(AJ311)-ROW(AJ$15),0),15-13*ORÇAMENTO!$AF$11)),
         0)</f>
        <v>0</v>
      </c>
      <c r="AK311" s="453">
        <f ca="1">IF(AND($D311="Serviço",AK$12&lt;&gt;0,$H311&gt;0,OR(AUTOEVENTO&lt;&gt;"manual",$M311&lt;&gt;$A$15)),
        IF(Import.TipoArredondamento&lt;&gt;"TransfereGOV",
              ROUND(OFFSET($P311,0,AK$13),15-13*ORÇAMENTO!$AF$7)/$H311*OFFSET(ORÇAMENTO!$X$15,ROW(AK311)-ROW(AK$15),0),
              ROUND(ROUND(OFFSET($P311,0,AK$13),15-13*ORÇAMENTO!$AF$7)*OFFSET(ORÇAMENTO!$W$15,ROW(AK311)-ROW(AK$15),0),15-13*ORÇAMENTO!$AF$11)),
         0)</f>
        <v>0</v>
      </c>
      <c r="AL311" s="453">
        <f ca="1">IF(AND($D311="Serviço",AL$12&lt;&gt;0,$H311&gt;0,OR(AUTOEVENTO&lt;&gt;"manual",$M311&lt;&gt;$A$15)),
        IF(Import.TipoArredondamento&lt;&gt;"TransfereGOV",
              ROUND(OFFSET($P311,0,AL$13),15-13*ORÇAMENTO!$AF$7)/$H311*OFFSET(ORÇAMENTO!$X$15,ROW(AL311)-ROW(AL$15),0),
              ROUND(ROUND(OFFSET($P311,0,AL$13),15-13*ORÇAMENTO!$AF$7)*OFFSET(ORÇAMENTO!$W$15,ROW(AL311)-ROW(AL$15),0),15-13*ORÇAMENTO!$AF$11)),
         0)</f>
        <v>0</v>
      </c>
      <c r="AM311" s="453">
        <f ca="1">IF(AND($D311="Serviço",AM$12&lt;&gt;0,$H311&gt;0,OR(AUTOEVENTO&lt;&gt;"manual",$M311&lt;&gt;$A$15)),
        IF(Import.TipoArredondamento&lt;&gt;"TransfereGOV",
              ROUND(OFFSET($P311,0,AM$13),15-13*ORÇAMENTO!$AF$7)/$H311*OFFSET(ORÇAMENTO!$X$15,ROW(AM311)-ROW(AM$15),0),
              ROUND(ROUND(OFFSET($P311,0,AM$13),15-13*ORÇAMENTO!$AF$7)*OFFSET(ORÇAMENTO!$W$15,ROW(AM311)-ROW(AM$15),0),15-13*ORÇAMENTO!$AF$11)),
         0)</f>
        <v>0</v>
      </c>
      <c r="AN311" s="453">
        <f ca="1">IF(AND($D311="Serviço",AN$12&lt;&gt;0,$H311&gt;0,OR(AUTOEVENTO&lt;&gt;"manual",$M311&lt;&gt;$A$15)),
        IF(Import.TipoArredondamento&lt;&gt;"TransfereGOV",
              ROUND(OFFSET($P311,0,AN$13),15-13*ORÇAMENTO!$AF$7)/$H311*OFFSET(ORÇAMENTO!$X$15,ROW(AN311)-ROW(AN$15),0),
              ROUND(ROUND(OFFSET($P311,0,AN$13),15-13*ORÇAMENTO!$AF$7)*OFFSET(ORÇAMENTO!$W$15,ROW(AN311)-ROW(AN$15),0),15-13*ORÇAMENTO!$AF$11)),
         0)</f>
        <v>0</v>
      </c>
      <c r="AO311" s="453">
        <f ca="1">IF(AND($D311="Serviço",AO$12&lt;&gt;0,$H311&gt;0,OR(AUTOEVENTO&lt;&gt;"manual",$M311&lt;&gt;$A$15)),
        IF(Import.TipoArredondamento&lt;&gt;"TransfereGOV",
              ROUND(OFFSET($P311,0,AO$13),15-13*ORÇAMENTO!$AF$7)/$H311*OFFSET(ORÇAMENTO!$X$15,ROW(AO311)-ROW(AO$15),0),
              ROUND(ROUND(OFFSET($P311,0,AO$13),15-13*ORÇAMENTO!$AF$7)*OFFSET(ORÇAMENTO!$W$15,ROW(AO311)-ROW(AO$15),0),15-13*ORÇAMENTO!$AF$11)),
         0)</f>
        <v>0</v>
      </c>
      <c r="AP311" s="453">
        <f ca="1">IF(AND($D311="Serviço",AP$12&lt;&gt;0,$H311&gt;0,OR(AUTOEVENTO&lt;&gt;"manual",$M311&lt;&gt;$A$15)),
        IF(Import.TipoArredondamento&lt;&gt;"TransfereGOV",
              ROUND(OFFSET($P311,0,AP$13),15-13*ORÇAMENTO!$AF$7)/$H311*OFFSET(ORÇAMENTO!$X$15,ROW(AP311)-ROW(AP$15),0),
              ROUND(ROUND(OFFSET($P311,0,AP$13),15-13*ORÇAMENTO!$AF$7)*OFFSET(ORÇAMENTO!$W$15,ROW(AP311)-ROW(AP$15),0),15-13*ORÇAMENTO!$AF$11)),
         0)</f>
        <v>0</v>
      </c>
      <c r="AQ311" s="453">
        <f ca="1">IF(AND($D311="Serviço",AQ$12&lt;&gt;0,$H311&gt;0,OR(AUTOEVENTO&lt;&gt;"manual",$M311&lt;&gt;$A$15)),
        IF(Import.TipoArredondamento&lt;&gt;"TransfereGOV",
              ROUND(OFFSET($P311,0,AQ$13),15-13*ORÇAMENTO!$AF$7)/$H311*OFFSET(ORÇAMENTO!$X$15,ROW(AQ311)-ROW(AQ$15),0),
              ROUND(ROUND(OFFSET($P311,0,AQ$13),15-13*ORÇAMENTO!$AF$7)*OFFSET(ORÇAMENTO!$W$15,ROW(AQ311)-ROW(AQ$15),0),15-13*ORÇAMENTO!$AF$11)),
         0)</f>
        <v>0</v>
      </c>
      <c r="AR311" s="453">
        <f ca="1">IF(AND($D311="Serviço",AR$12&lt;&gt;0,$H311&gt;0,OR(AUTOEVENTO&lt;&gt;"manual",$M311&lt;&gt;$A$15)),
        IF(Import.TipoArredondamento&lt;&gt;"TransfereGOV",
              ROUND(OFFSET($P311,0,AR$13),15-13*ORÇAMENTO!$AF$7)/$H311*OFFSET(ORÇAMENTO!$X$15,ROW(AR311)-ROW(AR$15),0),
              ROUND(ROUND(OFFSET($P311,0,AR$13),15-13*ORÇAMENTO!$AF$7)*OFFSET(ORÇAMENTO!$W$15,ROW(AR311)-ROW(AR$15),0),15-13*ORÇAMENTO!$AF$11)),
         0)</f>
        <v>0</v>
      </c>
      <c r="AS311" s="453">
        <f ca="1">IF(AND($D311="Serviço",AS$12&lt;&gt;0,$H311&gt;0,OR(AUTOEVENTO&lt;&gt;"manual",$M311&lt;&gt;$A$15)),
        IF(Import.TipoArredondamento&lt;&gt;"TransfereGOV",
              ROUND(OFFSET($P311,0,AS$13),15-13*ORÇAMENTO!$AF$7)/$H311*OFFSET(ORÇAMENTO!$X$15,ROW(AS311)-ROW(AS$15),0),
              ROUND(ROUND(OFFSET($P311,0,AS$13),15-13*ORÇAMENTO!$AF$7)*OFFSET(ORÇAMENTO!$W$15,ROW(AS311)-ROW(AS$15),0),15-13*ORÇAMENTO!$AF$11)),
         0)</f>
        <v>0</v>
      </c>
      <c r="AT311" s="453">
        <f ca="1">IF(AND($D311="Serviço",AT$12&lt;&gt;0,$H311&gt;0,OR(AUTOEVENTO&lt;&gt;"manual",$M311&lt;&gt;$A$15)),
        IF(Import.TipoArredondamento&lt;&gt;"TransfereGOV",
              ROUND(OFFSET($P311,0,AT$13),15-13*ORÇAMENTO!$AF$7)/$H311*OFFSET(ORÇAMENTO!$X$15,ROW(AT311)-ROW(AT$15),0),
              ROUND(ROUND(OFFSET($P311,0,AT$13),15-13*ORÇAMENTO!$AF$7)*OFFSET(ORÇAMENTO!$W$15,ROW(AT311)-ROW(AT$15),0),15-13*ORÇAMENTO!$AF$11)),
         0)</f>
        <v>0</v>
      </c>
      <c r="AU311" s="453">
        <f ca="1">IF(AND($D311="Serviço",AU$12&lt;&gt;0,$H311&gt;0,OR(AUTOEVENTO&lt;&gt;"manual",$M311&lt;&gt;$A$15)),
        IF(Import.TipoArredondamento&lt;&gt;"TransfereGOV",
              ROUND(OFFSET($P311,0,AU$13),15-13*ORÇAMENTO!$AF$7)/$H311*OFFSET(ORÇAMENTO!$X$15,ROW(AU311)-ROW(AU$15),0),
              ROUND(ROUND(OFFSET($P311,0,AU$13),15-13*ORÇAMENTO!$AF$7)*OFFSET(ORÇAMENTO!$W$15,ROW(AU311)-ROW(AU$15),0),15-13*ORÇAMENTO!$AF$11)),
         0)</f>
        <v>0</v>
      </c>
      <c r="AV311" s="453">
        <f ca="1">IF(AND($D311="Serviço",AV$12&lt;&gt;0,$H311&gt;0,OR(AUTOEVENTO&lt;&gt;"manual",$M311&lt;&gt;$A$15)),
        IF(Import.TipoArredondamento&lt;&gt;"TransfereGOV",
              ROUND(OFFSET($P311,0,AV$13),15-13*ORÇAMENTO!$AF$7)/$H311*OFFSET(ORÇAMENTO!$X$15,ROW(AV311)-ROW(AV$15),0),
              ROUND(ROUND(OFFSET($P311,0,AV$13),15-13*ORÇAMENTO!$AF$7)*OFFSET(ORÇAMENTO!$W$15,ROW(AV311)-ROW(AV$15),0),15-13*ORÇAMENTO!$AF$11)),
         0)</f>
        <v>0</v>
      </c>
      <c r="AW311" s="453">
        <f ca="1">IF(AND($D311="Serviço",AW$12&lt;&gt;0,$H311&gt;0,OR(AUTOEVENTO&lt;&gt;"manual",$M311&lt;&gt;$A$15)),
        IF(Import.TipoArredondamento&lt;&gt;"TransfereGOV",
              ROUND(OFFSET($P311,0,AW$13),15-13*ORÇAMENTO!$AF$7)/$H311*OFFSET(ORÇAMENTO!$X$15,ROW(AW311)-ROW(AW$15),0),
              ROUND(ROUND(OFFSET($P311,0,AW$13),15-13*ORÇAMENTO!$AF$7)*OFFSET(ORÇAMENTO!$W$15,ROW(AW311)-ROW(AW$15),0),15-13*ORÇAMENTO!$AF$11)),
         0)</f>
        <v>0</v>
      </c>
      <c r="AX311" s="453">
        <f ca="1">IF(AND($D311="Serviço",AX$12&lt;&gt;0,$H311&gt;0,OR(AUTOEVENTO&lt;&gt;"manual",$M311&lt;&gt;$A$15)),
        IF(Import.TipoArredondamento&lt;&gt;"TransfereGOV",
              ROUND(OFFSET($P311,0,AX$13),15-13*ORÇAMENTO!$AF$7)/$H311*OFFSET(ORÇAMENTO!$X$15,ROW(AX311)-ROW(AX$15),0),
              ROUND(ROUND(OFFSET($P311,0,AX$13),15-13*ORÇAMENTO!$AF$7)*OFFSET(ORÇAMENTO!$W$15,ROW(AX311)-ROW(AX$15),0),15-13*ORÇAMENTO!$AF$11)),
         0)</f>
        <v>0</v>
      </c>
      <c r="AY311" s="453">
        <f ca="1">IF(AND($D311="Serviço",AY$12&lt;&gt;0,$H311&gt;0,OR(AUTOEVENTO&lt;&gt;"manual",$M311&lt;&gt;$A$15)),
        IF(Import.TipoArredondamento&lt;&gt;"TransfereGOV",
              ROUND(OFFSET($P311,0,AY$13),15-13*ORÇAMENTO!$AF$7)/$H311*OFFSET(ORÇAMENTO!$X$15,ROW(AY311)-ROW(AY$15),0),
              ROUND(ROUND(OFFSET($P311,0,AY$13),15-13*ORÇAMENTO!$AF$7)*OFFSET(ORÇAMENTO!$W$15,ROW(AY311)-ROW(AY$15),0),15-13*ORÇAMENTO!$AF$11)),
         0)</f>
        <v>0</v>
      </c>
      <c r="AZ311" s="453">
        <f ca="1">IF(AND($D311="Serviço",AZ$12&lt;&gt;0,$H311&gt;0,OR(AUTOEVENTO&lt;&gt;"manual",$M311&lt;&gt;$A$15)),
        IF(Import.TipoArredondamento&lt;&gt;"TransfereGOV",
              ROUND(OFFSET($P311,0,AZ$13),15-13*ORÇAMENTO!$AF$7)/$H311*OFFSET(ORÇAMENTO!$X$15,ROW(AZ311)-ROW(AZ$15),0),
              ROUND(ROUND(OFFSET($P311,0,AZ$13),15-13*ORÇAMENTO!$AF$7)*OFFSET(ORÇAMENTO!$W$15,ROW(AZ311)-ROW(AZ$15),0),15-13*ORÇAMENTO!$AF$11)),
         0)</f>
        <v>0</v>
      </c>
      <c r="BA311" s="453">
        <f ca="1">IF(AND($D311="Serviço",BA$12&lt;&gt;0,$H311&gt;0,OR(AUTOEVENTO&lt;&gt;"manual",$M311&lt;&gt;$A$15)),
        IF(Import.TipoArredondamento&lt;&gt;"TransfereGOV",
              ROUND(OFFSET($P311,0,BA$13),15-13*ORÇAMENTO!$AF$7)/$H311*OFFSET(ORÇAMENTO!$X$15,ROW(BA311)-ROW(BA$15),0),
              ROUND(ROUND(OFFSET($P311,0,BA$13),15-13*ORÇAMENTO!$AF$7)*OFFSET(ORÇAMENTO!$W$15,ROW(BA311)-ROW(BA$15),0),15-13*ORÇAMENTO!$AF$11)),
         0)</f>
        <v>0</v>
      </c>
      <c r="BC311" s="171">
        <f ca="1">IF(OR($D311&lt;&gt;"Serviço",AND(AUTOEVENTO="Manual",$M311=$A$15)),0,
         IF(OFFSET(CRONOPLE!$F$15,$M311-$A$15,BC$13)=0,10^12,OFFSET(CRONOPLE!$F$15,$M311-$A$15,BC$13)))</f>
        <v>1</v>
      </c>
      <c r="BD311" s="171">
        <f ca="1">IF(OR($D311&lt;&gt;"Serviço",AND(AUTOEVENTO="Manual",$M311=$A$15)),0,
         IF(OFFSET(CRONOPLE!$F$15,$M311-$A$15,BD$13)=0,10^12,OFFSET(CRONOPLE!$F$15,$M311-$A$15,BD$13)))</f>
        <v>2</v>
      </c>
      <c r="BE311" s="171">
        <f ca="1">IF(OR($D311&lt;&gt;"Serviço",AND(AUTOEVENTO="Manual",$M311=$A$15)),0,
         IF(OFFSET(CRONOPLE!$F$15,$M311-$A$15,BE$13)=0,10^12,OFFSET(CRONOPLE!$F$15,$M311-$A$15,BE$13)))</f>
        <v>3</v>
      </c>
      <c r="BF311" s="171">
        <f ca="1">IF(OR($D311&lt;&gt;"Serviço",AND(AUTOEVENTO="Manual",$M311=$A$15)),0,
         IF(OFFSET(CRONOPLE!$F$15,$M311-$A$15,BF$13)=0,10^12,OFFSET(CRONOPLE!$F$15,$M311-$A$15,BF$13)))</f>
        <v>4</v>
      </c>
      <c r="BG311" s="171">
        <f ca="1">IF(OR($D311&lt;&gt;"Serviço",AND(AUTOEVENTO="Manual",$M311=$A$15)),0,
         IF(OFFSET(CRONOPLE!$F$15,$M311-$A$15,BG$13)=0,10^12,OFFSET(CRONOPLE!$F$15,$M311-$A$15,BG$13)))</f>
        <v>5</v>
      </c>
      <c r="BH311" s="171">
        <f ca="1">IF(OR($D311&lt;&gt;"Serviço",AND(AUTOEVENTO="Manual",$M311=$A$15)),0,
         IF(OFFSET(CRONOPLE!$F$15,$M311-$A$15,BH$13)=0,10^12,OFFSET(CRONOPLE!$F$15,$M311-$A$15,BH$13)))</f>
        <v>6</v>
      </c>
      <c r="BI311" s="171">
        <f ca="1">IF(OR($D311&lt;&gt;"Serviço",AND(AUTOEVENTO="Manual",$M311=$A$15)),0,
         IF(OFFSET(CRONOPLE!$F$15,$M311-$A$15,BI$13)=0,10^12,OFFSET(CRONOPLE!$F$15,$M311-$A$15,BI$13)))</f>
        <v>7</v>
      </c>
      <c r="BJ311" s="171">
        <f ca="1">IF(OR($D311&lt;&gt;"Serviço",AND(AUTOEVENTO="Manual",$M311=$A$15)),0,
         IF(OFFSET(CRONOPLE!$F$15,$M311-$A$15,BJ$13)=0,10^12,OFFSET(CRONOPLE!$F$15,$M311-$A$15,BJ$13)))</f>
        <v>8</v>
      </c>
      <c r="BK311" s="171">
        <f ca="1">IF(OR($D311&lt;&gt;"Serviço",AND(AUTOEVENTO="Manual",$M311=$A$15)),0,
         IF(OFFSET(CRONOPLE!$F$15,$M311-$A$15,BK$13)=0,10^12,OFFSET(CRONOPLE!$F$15,$M311-$A$15,BK$13)))</f>
        <v>9</v>
      </c>
      <c r="BL311" s="171">
        <f ca="1">IF(OR($D311&lt;&gt;"Serviço",AND(AUTOEVENTO="Manual",$M311=$A$15)),0,
         IF(OFFSET(CRONOPLE!$F$15,$M311-$A$15,BL$13)=0,10^12,OFFSET(CRONOPLE!$F$15,$M311-$A$15,BL$13)))</f>
        <v>1000000000000</v>
      </c>
      <c r="BM311" s="171">
        <f ca="1">IF(OR($D311&lt;&gt;"Serviço",AND(AUTOEVENTO="Manual",$M311=$A$15)),0,
         IF(OFFSET(CRONOPLE!$F$15,$M311-$A$15,BM$13)=0,10^12,OFFSET(CRONOPLE!$F$15,$M311-$A$15,BM$13)))</f>
        <v>1000000000000</v>
      </c>
      <c r="BN311" s="171">
        <f ca="1">IF(OR($D311&lt;&gt;"Serviço",AND(AUTOEVENTO="Manual",$M311=$A$15)),0,
         IF(OFFSET(CRONOPLE!$F$15,$M311-$A$15,BN$13)=0,10^12,OFFSET(CRONOPLE!$F$15,$M311-$A$15,BN$13)))</f>
        <v>1000000000000</v>
      </c>
      <c r="BO311" s="171">
        <f ca="1">IF(OR($D311&lt;&gt;"Serviço",AND(AUTOEVENTO="Manual",$M311=$A$15)),0,
         IF(OFFSET(CRONOPLE!$F$15,$M311-$A$15,BO$13)=0,10^12,OFFSET(CRONOPLE!$F$15,$M311-$A$15,BO$13)))</f>
        <v>1000000000000</v>
      </c>
      <c r="BP311" s="171">
        <f ca="1">IF(OR($D311&lt;&gt;"Serviço",AND(AUTOEVENTO="Manual",$M311=$A$15)),0,
         IF(OFFSET(CRONOPLE!$F$15,$M311-$A$15,BP$13)=0,10^12,OFFSET(CRONOPLE!$F$15,$M311-$A$15,BP$13)))</f>
        <v>1000000000000</v>
      </c>
      <c r="BQ311" s="171">
        <f ca="1">IF(OR($D311&lt;&gt;"Serviço",AND(AUTOEVENTO="Manual",$M311=$A$15)),0,
         IF(OFFSET(CRONOPLE!$F$15,$M311-$A$15,BQ$13)=0,10^12,OFFSET(CRONOPLE!$F$15,$M311-$A$15,BQ$13)))</f>
        <v>1000000000000</v>
      </c>
      <c r="BR311" s="171">
        <f ca="1">IF(OR($D311&lt;&gt;"Serviço",AND(AUTOEVENTO="Manual",$M311=$A$15)),0,
         IF(OFFSET(CRONOPLE!$F$15,$M311-$A$15,BR$13)=0,10^12,OFFSET(CRONOPLE!$F$15,$M311-$A$15,BR$13)))</f>
        <v>1000000000000</v>
      </c>
      <c r="BS311" s="171">
        <f ca="1">IF(OR($D311&lt;&gt;"Serviço",AND(AUTOEVENTO="Manual",$M311=$A$15)),0,
         IF(OFFSET(CRONOPLE!$F$15,$M311-$A$15,BS$13)=0,10^12,OFFSET(CRONOPLE!$F$15,$M311-$A$15,BS$13)))</f>
        <v>1000000000000</v>
      </c>
      <c r="BT311" s="171">
        <f ca="1">IF(OR($D311&lt;&gt;"Serviço",AND(AUTOEVENTO="Manual",$M311=$A$15)),0,
         IF(OFFSET(CRONOPLE!$F$15,$M311-$A$15,BT$13)=0,10^12,OFFSET(CRONOPLE!$F$15,$M311-$A$15,BT$13)))</f>
        <v>1000000000000</v>
      </c>
      <c r="BV311" s="172">
        <f ca="1">IF(OR($D311&lt;&gt;"Serviço",AND(AUTOEVENTO="Manual",$M311=$A$15),$M311&gt;(ROW(PLE.lastrow)-ROW(PLE.firstrow))),0,
           IF(OFFSET(PLE!$G$15,$M311-$A$15,BV$13)="",10^12,OFFSET(PLE!$G$15,$M311-$A$15,BV$13)))</f>
        <v>1000000000000</v>
      </c>
      <c r="BW311" s="172">
        <f ca="1">IF(OR($D311&lt;&gt;"Serviço",AND(AUTOEVENTO="Manual",$M311=$A$15),$M311&gt;(ROW(PLE.lastrow)-ROW(PLE.firstrow))),0,
           IF(OFFSET(PLE!$G$15,$M311-$A$15,BW$13)="",10^12,OFFSET(PLE!$G$15,$M311-$A$15,BW$13)))</f>
        <v>1000000000000</v>
      </c>
      <c r="BX311" s="172">
        <f ca="1">IF(OR($D311&lt;&gt;"Serviço",AND(AUTOEVENTO="Manual",$M311=$A$15),$M311&gt;(ROW(PLE.lastrow)-ROW(PLE.firstrow))),0,
           IF(OFFSET(PLE!$G$15,$M311-$A$15,BX$13)="",10^12,OFFSET(PLE!$G$15,$M311-$A$15,BX$13)))</f>
        <v>1000000000000</v>
      </c>
      <c r="BY311" s="172">
        <f ca="1">IF(OR($D311&lt;&gt;"Serviço",AND(AUTOEVENTO="Manual",$M311=$A$15),$M311&gt;(ROW(PLE.lastrow)-ROW(PLE.firstrow))),0,
           IF(OFFSET(PLE!$G$15,$M311-$A$15,BY$13)="",10^12,OFFSET(PLE!$G$15,$M311-$A$15,BY$13)))</f>
        <v>1000000000000</v>
      </c>
      <c r="BZ311" s="172">
        <f ca="1">IF(OR($D311&lt;&gt;"Serviço",AND(AUTOEVENTO="Manual",$M311=$A$15),$M311&gt;(ROW(PLE.lastrow)-ROW(PLE.firstrow))),0,
           IF(OFFSET(PLE!$G$15,$M311-$A$15,BZ$13)="",10^12,OFFSET(PLE!$G$15,$M311-$A$15,BZ$13)))</f>
        <v>1000000000000</v>
      </c>
      <c r="CA311" s="172">
        <f ca="1">IF(OR($D311&lt;&gt;"Serviço",AND(AUTOEVENTO="Manual",$M311=$A$15),$M311&gt;(ROW(PLE.lastrow)-ROW(PLE.firstrow))),0,
           IF(OFFSET(PLE!$G$15,$M311-$A$15,CA$13)="",10^12,OFFSET(PLE!$G$15,$M311-$A$15,CA$13)))</f>
        <v>1000000000000</v>
      </c>
      <c r="CB311" s="172">
        <f ca="1">IF(OR($D311&lt;&gt;"Serviço",AND(AUTOEVENTO="Manual",$M311=$A$15),$M311&gt;(ROW(PLE.lastrow)-ROW(PLE.firstrow))),0,
           IF(OFFSET(PLE!$G$15,$M311-$A$15,CB$13)="",10^12,OFFSET(PLE!$G$15,$M311-$A$15,CB$13)))</f>
        <v>1000000000000</v>
      </c>
      <c r="CC311" s="172">
        <f ca="1">IF(OR($D311&lt;&gt;"Serviço",AND(AUTOEVENTO="Manual",$M311=$A$15),$M311&gt;(ROW(PLE.lastrow)-ROW(PLE.firstrow))),0,
           IF(OFFSET(PLE!$G$15,$M311-$A$15,CC$13)="",10^12,OFFSET(PLE!$G$15,$M311-$A$15,CC$13)))</f>
        <v>1000000000000</v>
      </c>
      <c r="CD311" s="172">
        <f ca="1">IF(OR($D311&lt;&gt;"Serviço",AND(AUTOEVENTO="Manual",$M311=$A$15),$M311&gt;(ROW(PLE.lastrow)-ROW(PLE.firstrow))),0,
           IF(OFFSET(PLE!$G$15,$M311-$A$15,CD$13)="",10^12,OFFSET(PLE!$G$15,$M311-$A$15,CD$13)))</f>
        <v>1000000000000</v>
      </c>
      <c r="CE311" s="172">
        <f ca="1">IF(OR($D311&lt;&gt;"Serviço",AND(AUTOEVENTO="Manual",$M311=$A$15),$M311&gt;(ROW(PLE.lastrow)-ROW(PLE.firstrow))),0,
           IF(OFFSET(PLE!$G$15,$M311-$A$15,CE$13)="",10^12,OFFSET(PLE!$G$15,$M311-$A$15,CE$13)))</f>
        <v>1000000000000</v>
      </c>
      <c r="CF311" s="172">
        <f ca="1">IF(OR($D311&lt;&gt;"Serviço",AND(AUTOEVENTO="Manual",$M311=$A$15),$M311&gt;(ROW(PLE.lastrow)-ROW(PLE.firstrow))),0,
           IF(OFFSET(PLE!$G$15,$M311-$A$15,CF$13)="",10^12,OFFSET(PLE!$G$15,$M311-$A$15,CF$13)))</f>
        <v>1000000000000</v>
      </c>
      <c r="CG311" s="172">
        <f ca="1">IF(OR($D311&lt;&gt;"Serviço",AND(AUTOEVENTO="Manual",$M311=$A$15),$M311&gt;(ROW(PLE.lastrow)-ROW(PLE.firstrow))),0,
           IF(OFFSET(PLE!$G$15,$M311-$A$15,CG$13)="",10^12,OFFSET(PLE!$G$15,$M311-$A$15,CG$13)))</f>
        <v>1000000000000</v>
      </c>
      <c r="CH311" s="172">
        <f ca="1">IF(OR($D311&lt;&gt;"Serviço",AND(AUTOEVENTO="Manual",$M311=$A$15),$M311&gt;(ROW(PLE.lastrow)-ROW(PLE.firstrow))),0,
           IF(OFFSET(PLE!$G$15,$M311-$A$15,CH$13)="",10^12,OFFSET(PLE!$G$15,$M311-$A$15,CH$13)))</f>
        <v>1000000000000</v>
      </c>
      <c r="CI311" s="172">
        <f ca="1">IF(OR($D311&lt;&gt;"Serviço",AND(AUTOEVENTO="Manual",$M311=$A$15),$M311&gt;(ROW(PLE.lastrow)-ROW(PLE.firstrow))),0,
           IF(OFFSET(PLE!$G$15,$M311-$A$15,CI$13)="",10^12,OFFSET(PLE!$G$15,$M311-$A$15,CI$13)))</f>
        <v>1000000000000</v>
      </c>
      <c r="CJ311" s="172">
        <f ca="1">IF(OR($D311&lt;&gt;"Serviço",AND(AUTOEVENTO="Manual",$M311=$A$15),$M311&gt;(ROW(PLE.lastrow)-ROW(PLE.firstrow))),0,
           IF(OFFSET(PLE!$G$15,$M311-$A$15,CJ$13)="",10^12,OFFSET(PLE!$G$15,$M311-$A$15,CJ$13)))</f>
        <v>1000000000000</v>
      </c>
      <c r="CK311" s="172">
        <f ca="1">IF(OR($D311&lt;&gt;"Serviço",AND(AUTOEVENTO="Manual",$M311=$A$15),$M311&gt;(ROW(PLE.lastrow)-ROW(PLE.firstrow))),0,
           IF(OFFSET(PLE!$G$15,$M311-$A$15,CK$13)="",10^12,OFFSET(PLE!$G$15,$M311-$A$15,CK$13)))</f>
        <v>1000000000000</v>
      </c>
      <c r="CL311" s="172">
        <f ca="1">IF(OR($D311&lt;&gt;"Serviço",AND(AUTOEVENTO="Manual",$M311=$A$15),$M311&gt;(ROW(PLE.lastrow)-ROW(PLE.firstrow))),0,
           IF(OFFSET(PLE!$G$15,$M311-$A$15,CL$13)="",10^12,OFFSET(PLE!$G$15,$M311-$A$15,CL$13)))</f>
        <v>1000000000000</v>
      </c>
      <c r="CM311" s="172">
        <f ca="1">IF(OR($D311&lt;&gt;"Serviço",AND(AUTOEVENTO="Manual",$M311=$A$15),$M311&gt;(ROW(PLE.lastrow)-ROW(PLE.firstrow))),0,
           IF(OFFSET(PLE!$G$15,$M311-$A$15,CM$13)="",10^12,OFFSET(PLE!$G$15,$M311-$A$15,CM$13)))</f>
        <v>1000000000000</v>
      </c>
    </row>
    <row r="312" spans="1:91" ht="12.75" x14ac:dyDescent="0.2">
      <c r="A312" s="7">
        <f t="shared" ca="1" si="14"/>
        <v>7</v>
      </c>
      <c r="B312" s="7">
        <f ca="1">OFFSET(ORÇAMENTO!C$15,ROW(B312)-ROW(B$15),0)</f>
        <v>4</v>
      </c>
      <c r="C312" s="7" t="str">
        <f ca="1">OFFSET(ORÇAMENTO!L$15,ROW(C312)-ROW(C$15),0)</f>
        <v>F</v>
      </c>
      <c r="D312" s="116" t="str">
        <f ca="1">OFFSET(ORÇAMENTO!N$15,ROW(D312)-ROW(D$15),0)</f>
        <v>Nível 4</v>
      </c>
      <c r="E312" s="117" t="str">
        <f ca="1">OFFSET(ORÇAMENTO!O$15,ROW(E312)-ROW(E$15),0)</f>
        <v>1.7.4.2.</v>
      </c>
      <c r="F312" s="163" t="str">
        <f ca="1">OFFSET(ORÇAMENTO!R$15,ROW(F312)-ROW(F$15),0)</f>
        <v>ESGOTAMENTO</v>
      </c>
      <c r="G312" s="164" t="str">
        <f ca="1">IF($D312&lt;&gt;"Serviço","",OFFSET(ORÇAMENTO!S$15,ROW(G312)-ROW(G$15),0))</f>
        <v/>
      </c>
      <c r="H312" s="122" cm="1">
        <f t="array" aca="1" ref="H312" ca="1">IF($D312&lt;&gt;"Serviço",0,IF(ACOMPANHAMENTO="BM",ROUND(OFFSET(ORÇAMENTO!AJ$15,ROW(H312)-ROW(H$15),0),15-13*ORÇAMENTO!$AF$7),SUMPRODUCT(($Q$1:$AI$1=1)*ROUND($Q312:$AI312,15-13*ORÇAMENTO!$AF$7))))</f>
        <v>0</v>
      </c>
      <c r="I312" s="468"/>
      <c r="J312" s="640" t="str" cm="1">
        <f t="array" aca="1" ref="J312" ca="1">IF(OR(B312&lt;&gt;"S",CÁLCULO.FrentesPreenchidas=0),"",IF(AND(ACOMPANHAMENTO="PLE",AUTOEVENTO="Manual",OR(H312&gt;0,ORÇAMENTO!AC312="QUANT."),OR(K312="",M312=0,N312="")),"►E",IF(AND(ACOMPANHAMENTO="PLE",ORÇAMENTO!AC312="QUANT."),"►Q",IF(AND(ACOMPANHAMENTO="PLE",H312&lt;&gt;SUMPRODUCT(($Q$1:$AI$1=1)*ROUND(Q312:AI312,15))),"►S",IF(AND(COUNTIF($P$11:$AI$11,"▼")=0,H312&gt;0,I312=""),"◄M","")))))</f>
        <v/>
      </c>
      <c r="K312" s="641" t="s">
        <v>1365</v>
      </c>
      <c r="L312" s="165" t="s">
        <v>764</v>
      </c>
      <c r="M312" s="166" t="str">
        <f ca="1">IF($D312&lt;&gt;"Serviço","",
          IF(AUTOEVENTO="manual",$A312,
                IF(ISERROR(MATCH($A312,$A$15:OFFSET($A312,-1,0),0)),MAX($M$15:OFFSET(M312,-1,0))+1,
                      INDEX($M$15:OFFSET(M312,-1,0),MATCH($A312,$A$15:OFFSET($A312,-1,0),0)))))</f>
        <v/>
      </c>
      <c r="N312" s="167" t="str">
        <f ca="1">IF($D312&lt;&gt;"Serviço","",
         IF(AUTOEVENTO="Manual",
                IF($A312=0,"&lt;-- defina o número do agrupador",
                       OFFSET(EVENTOS!$D$15,$A312-$A$15,0)),
                OFFSET($F$15,$A312,0)))</f>
        <v/>
      </c>
      <c r="O312" s="168"/>
      <c r="Q312" s="168"/>
      <c r="R312" s="169"/>
      <c r="S312" s="169"/>
      <c r="T312" s="169"/>
      <c r="U312" s="169"/>
      <c r="V312" s="169"/>
      <c r="W312" s="169"/>
      <c r="X312" s="169"/>
      <c r="Y312" s="169"/>
      <c r="Z312" s="170"/>
      <c r="AA312" s="169"/>
      <c r="AB312" s="169"/>
      <c r="AC312" s="169"/>
      <c r="AD312" s="169"/>
      <c r="AE312" s="169"/>
      <c r="AF312" s="169"/>
      <c r="AG312" s="169"/>
      <c r="AH312" s="170"/>
      <c r="AJ312" s="453">
        <f ca="1">IF(AND($D312="Serviço",AJ$12&lt;&gt;0,$H312&gt;0,OR(AUTOEVENTO&lt;&gt;"manual",$M312&lt;&gt;$A$15)),
        IF(Import.TipoArredondamento&lt;&gt;"TransfereGOV",
              ROUND(OFFSET($P312,0,AJ$13),15-13*ORÇAMENTO!$AF$7)/$H312*OFFSET(ORÇAMENTO!$X$15,ROW(AJ312)-ROW(AJ$15),0),
              ROUND(ROUND(OFFSET($P312,0,AJ$13),15-13*ORÇAMENTO!$AF$7)*OFFSET(ORÇAMENTO!$W$15,ROW(AJ312)-ROW(AJ$15),0),15-13*ORÇAMENTO!$AF$11)),
         0)</f>
        <v>0</v>
      </c>
      <c r="AK312" s="453">
        <f ca="1">IF(AND($D312="Serviço",AK$12&lt;&gt;0,$H312&gt;0,OR(AUTOEVENTO&lt;&gt;"manual",$M312&lt;&gt;$A$15)),
        IF(Import.TipoArredondamento&lt;&gt;"TransfereGOV",
              ROUND(OFFSET($P312,0,AK$13),15-13*ORÇAMENTO!$AF$7)/$H312*OFFSET(ORÇAMENTO!$X$15,ROW(AK312)-ROW(AK$15),0),
              ROUND(ROUND(OFFSET($P312,0,AK$13),15-13*ORÇAMENTO!$AF$7)*OFFSET(ORÇAMENTO!$W$15,ROW(AK312)-ROW(AK$15),0),15-13*ORÇAMENTO!$AF$11)),
         0)</f>
        <v>0</v>
      </c>
      <c r="AL312" s="453">
        <f ca="1">IF(AND($D312="Serviço",AL$12&lt;&gt;0,$H312&gt;0,OR(AUTOEVENTO&lt;&gt;"manual",$M312&lt;&gt;$A$15)),
        IF(Import.TipoArredondamento&lt;&gt;"TransfereGOV",
              ROUND(OFFSET($P312,0,AL$13),15-13*ORÇAMENTO!$AF$7)/$H312*OFFSET(ORÇAMENTO!$X$15,ROW(AL312)-ROW(AL$15),0),
              ROUND(ROUND(OFFSET($P312,0,AL$13),15-13*ORÇAMENTO!$AF$7)*OFFSET(ORÇAMENTO!$W$15,ROW(AL312)-ROW(AL$15),0),15-13*ORÇAMENTO!$AF$11)),
         0)</f>
        <v>0</v>
      </c>
      <c r="AM312" s="453">
        <f ca="1">IF(AND($D312="Serviço",AM$12&lt;&gt;0,$H312&gt;0,OR(AUTOEVENTO&lt;&gt;"manual",$M312&lt;&gt;$A$15)),
        IF(Import.TipoArredondamento&lt;&gt;"TransfereGOV",
              ROUND(OFFSET($P312,0,AM$13),15-13*ORÇAMENTO!$AF$7)/$H312*OFFSET(ORÇAMENTO!$X$15,ROW(AM312)-ROW(AM$15),0),
              ROUND(ROUND(OFFSET($P312,0,AM$13),15-13*ORÇAMENTO!$AF$7)*OFFSET(ORÇAMENTO!$W$15,ROW(AM312)-ROW(AM$15),0),15-13*ORÇAMENTO!$AF$11)),
         0)</f>
        <v>0</v>
      </c>
      <c r="AN312" s="453">
        <f ca="1">IF(AND($D312="Serviço",AN$12&lt;&gt;0,$H312&gt;0,OR(AUTOEVENTO&lt;&gt;"manual",$M312&lt;&gt;$A$15)),
        IF(Import.TipoArredondamento&lt;&gt;"TransfereGOV",
              ROUND(OFFSET($P312,0,AN$13),15-13*ORÇAMENTO!$AF$7)/$H312*OFFSET(ORÇAMENTO!$X$15,ROW(AN312)-ROW(AN$15),0),
              ROUND(ROUND(OFFSET($P312,0,AN$13),15-13*ORÇAMENTO!$AF$7)*OFFSET(ORÇAMENTO!$W$15,ROW(AN312)-ROW(AN$15),0),15-13*ORÇAMENTO!$AF$11)),
         0)</f>
        <v>0</v>
      </c>
      <c r="AO312" s="453">
        <f ca="1">IF(AND($D312="Serviço",AO$12&lt;&gt;0,$H312&gt;0,OR(AUTOEVENTO&lt;&gt;"manual",$M312&lt;&gt;$A$15)),
        IF(Import.TipoArredondamento&lt;&gt;"TransfereGOV",
              ROUND(OFFSET($P312,0,AO$13),15-13*ORÇAMENTO!$AF$7)/$H312*OFFSET(ORÇAMENTO!$X$15,ROW(AO312)-ROW(AO$15),0),
              ROUND(ROUND(OFFSET($P312,0,AO$13),15-13*ORÇAMENTO!$AF$7)*OFFSET(ORÇAMENTO!$W$15,ROW(AO312)-ROW(AO$15),0),15-13*ORÇAMENTO!$AF$11)),
         0)</f>
        <v>0</v>
      </c>
      <c r="AP312" s="453">
        <f ca="1">IF(AND($D312="Serviço",AP$12&lt;&gt;0,$H312&gt;0,OR(AUTOEVENTO&lt;&gt;"manual",$M312&lt;&gt;$A$15)),
        IF(Import.TipoArredondamento&lt;&gt;"TransfereGOV",
              ROUND(OFFSET($P312,0,AP$13),15-13*ORÇAMENTO!$AF$7)/$H312*OFFSET(ORÇAMENTO!$X$15,ROW(AP312)-ROW(AP$15),0),
              ROUND(ROUND(OFFSET($P312,0,AP$13),15-13*ORÇAMENTO!$AF$7)*OFFSET(ORÇAMENTO!$W$15,ROW(AP312)-ROW(AP$15),0),15-13*ORÇAMENTO!$AF$11)),
         0)</f>
        <v>0</v>
      </c>
      <c r="AQ312" s="453">
        <f ca="1">IF(AND($D312="Serviço",AQ$12&lt;&gt;0,$H312&gt;0,OR(AUTOEVENTO&lt;&gt;"manual",$M312&lt;&gt;$A$15)),
        IF(Import.TipoArredondamento&lt;&gt;"TransfereGOV",
              ROUND(OFFSET($P312,0,AQ$13),15-13*ORÇAMENTO!$AF$7)/$H312*OFFSET(ORÇAMENTO!$X$15,ROW(AQ312)-ROW(AQ$15),0),
              ROUND(ROUND(OFFSET($P312,0,AQ$13),15-13*ORÇAMENTO!$AF$7)*OFFSET(ORÇAMENTO!$W$15,ROW(AQ312)-ROW(AQ$15),0),15-13*ORÇAMENTO!$AF$11)),
         0)</f>
        <v>0</v>
      </c>
      <c r="AR312" s="453">
        <f ca="1">IF(AND($D312="Serviço",AR$12&lt;&gt;0,$H312&gt;0,OR(AUTOEVENTO&lt;&gt;"manual",$M312&lt;&gt;$A$15)),
        IF(Import.TipoArredondamento&lt;&gt;"TransfereGOV",
              ROUND(OFFSET($P312,0,AR$13),15-13*ORÇAMENTO!$AF$7)/$H312*OFFSET(ORÇAMENTO!$X$15,ROW(AR312)-ROW(AR$15),0),
              ROUND(ROUND(OFFSET($P312,0,AR$13),15-13*ORÇAMENTO!$AF$7)*OFFSET(ORÇAMENTO!$W$15,ROW(AR312)-ROW(AR$15),0),15-13*ORÇAMENTO!$AF$11)),
         0)</f>
        <v>0</v>
      </c>
      <c r="AS312" s="453">
        <f ca="1">IF(AND($D312="Serviço",AS$12&lt;&gt;0,$H312&gt;0,OR(AUTOEVENTO&lt;&gt;"manual",$M312&lt;&gt;$A$15)),
        IF(Import.TipoArredondamento&lt;&gt;"TransfereGOV",
              ROUND(OFFSET($P312,0,AS$13),15-13*ORÇAMENTO!$AF$7)/$H312*OFFSET(ORÇAMENTO!$X$15,ROW(AS312)-ROW(AS$15),0),
              ROUND(ROUND(OFFSET($P312,0,AS$13),15-13*ORÇAMENTO!$AF$7)*OFFSET(ORÇAMENTO!$W$15,ROW(AS312)-ROW(AS$15),0),15-13*ORÇAMENTO!$AF$11)),
         0)</f>
        <v>0</v>
      </c>
      <c r="AT312" s="453">
        <f ca="1">IF(AND($D312="Serviço",AT$12&lt;&gt;0,$H312&gt;0,OR(AUTOEVENTO&lt;&gt;"manual",$M312&lt;&gt;$A$15)),
        IF(Import.TipoArredondamento&lt;&gt;"TransfereGOV",
              ROUND(OFFSET($P312,0,AT$13),15-13*ORÇAMENTO!$AF$7)/$H312*OFFSET(ORÇAMENTO!$X$15,ROW(AT312)-ROW(AT$15),0),
              ROUND(ROUND(OFFSET($P312,0,AT$13),15-13*ORÇAMENTO!$AF$7)*OFFSET(ORÇAMENTO!$W$15,ROW(AT312)-ROW(AT$15),0),15-13*ORÇAMENTO!$AF$11)),
         0)</f>
        <v>0</v>
      </c>
      <c r="AU312" s="453">
        <f ca="1">IF(AND($D312="Serviço",AU$12&lt;&gt;0,$H312&gt;0,OR(AUTOEVENTO&lt;&gt;"manual",$M312&lt;&gt;$A$15)),
        IF(Import.TipoArredondamento&lt;&gt;"TransfereGOV",
              ROUND(OFFSET($P312,0,AU$13),15-13*ORÇAMENTO!$AF$7)/$H312*OFFSET(ORÇAMENTO!$X$15,ROW(AU312)-ROW(AU$15),0),
              ROUND(ROUND(OFFSET($P312,0,AU$13),15-13*ORÇAMENTO!$AF$7)*OFFSET(ORÇAMENTO!$W$15,ROW(AU312)-ROW(AU$15),0),15-13*ORÇAMENTO!$AF$11)),
         0)</f>
        <v>0</v>
      </c>
      <c r="AV312" s="453">
        <f ca="1">IF(AND($D312="Serviço",AV$12&lt;&gt;0,$H312&gt;0,OR(AUTOEVENTO&lt;&gt;"manual",$M312&lt;&gt;$A$15)),
        IF(Import.TipoArredondamento&lt;&gt;"TransfereGOV",
              ROUND(OFFSET($P312,0,AV$13),15-13*ORÇAMENTO!$AF$7)/$H312*OFFSET(ORÇAMENTO!$X$15,ROW(AV312)-ROW(AV$15),0),
              ROUND(ROUND(OFFSET($P312,0,AV$13),15-13*ORÇAMENTO!$AF$7)*OFFSET(ORÇAMENTO!$W$15,ROW(AV312)-ROW(AV$15),0),15-13*ORÇAMENTO!$AF$11)),
         0)</f>
        <v>0</v>
      </c>
      <c r="AW312" s="453">
        <f ca="1">IF(AND($D312="Serviço",AW$12&lt;&gt;0,$H312&gt;0,OR(AUTOEVENTO&lt;&gt;"manual",$M312&lt;&gt;$A$15)),
        IF(Import.TipoArredondamento&lt;&gt;"TransfereGOV",
              ROUND(OFFSET($P312,0,AW$13),15-13*ORÇAMENTO!$AF$7)/$H312*OFFSET(ORÇAMENTO!$X$15,ROW(AW312)-ROW(AW$15),0),
              ROUND(ROUND(OFFSET($P312,0,AW$13),15-13*ORÇAMENTO!$AF$7)*OFFSET(ORÇAMENTO!$W$15,ROW(AW312)-ROW(AW$15),0),15-13*ORÇAMENTO!$AF$11)),
         0)</f>
        <v>0</v>
      </c>
      <c r="AX312" s="453">
        <f ca="1">IF(AND($D312="Serviço",AX$12&lt;&gt;0,$H312&gt;0,OR(AUTOEVENTO&lt;&gt;"manual",$M312&lt;&gt;$A$15)),
        IF(Import.TipoArredondamento&lt;&gt;"TransfereGOV",
              ROUND(OFFSET($P312,0,AX$13),15-13*ORÇAMENTO!$AF$7)/$H312*OFFSET(ORÇAMENTO!$X$15,ROW(AX312)-ROW(AX$15),0),
              ROUND(ROUND(OFFSET($P312,0,AX$13),15-13*ORÇAMENTO!$AF$7)*OFFSET(ORÇAMENTO!$W$15,ROW(AX312)-ROW(AX$15),0),15-13*ORÇAMENTO!$AF$11)),
         0)</f>
        <v>0</v>
      </c>
      <c r="AY312" s="453">
        <f ca="1">IF(AND($D312="Serviço",AY$12&lt;&gt;0,$H312&gt;0,OR(AUTOEVENTO&lt;&gt;"manual",$M312&lt;&gt;$A$15)),
        IF(Import.TipoArredondamento&lt;&gt;"TransfereGOV",
              ROUND(OFFSET($P312,0,AY$13),15-13*ORÇAMENTO!$AF$7)/$H312*OFFSET(ORÇAMENTO!$X$15,ROW(AY312)-ROW(AY$15),0),
              ROUND(ROUND(OFFSET($P312,0,AY$13),15-13*ORÇAMENTO!$AF$7)*OFFSET(ORÇAMENTO!$W$15,ROW(AY312)-ROW(AY$15),0),15-13*ORÇAMENTO!$AF$11)),
         0)</f>
        <v>0</v>
      </c>
      <c r="AZ312" s="453">
        <f ca="1">IF(AND($D312="Serviço",AZ$12&lt;&gt;0,$H312&gt;0,OR(AUTOEVENTO&lt;&gt;"manual",$M312&lt;&gt;$A$15)),
        IF(Import.TipoArredondamento&lt;&gt;"TransfereGOV",
              ROUND(OFFSET($P312,0,AZ$13),15-13*ORÇAMENTO!$AF$7)/$H312*OFFSET(ORÇAMENTO!$X$15,ROW(AZ312)-ROW(AZ$15),0),
              ROUND(ROUND(OFFSET($P312,0,AZ$13),15-13*ORÇAMENTO!$AF$7)*OFFSET(ORÇAMENTO!$W$15,ROW(AZ312)-ROW(AZ$15),0),15-13*ORÇAMENTO!$AF$11)),
         0)</f>
        <v>0</v>
      </c>
      <c r="BA312" s="453">
        <f ca="1">IF(AND($D312="Serviço",BA$12&lt;&gt;0,$H312&gt;0,OR(AUTOEVENTO&lt;&gt;"manual",$M312&lt;&gt;$A$15)),
        IF(Import.TipoArredondamento&lt;&gt;"TransfereGOV",
              ROUND(OFFSET($P312,0,BA$13),15-13*ORÇAMENTO!$AF$7)/$H312*OFFSET(ORÇAMENTO!$X$15,ROW(BA312)-ROW(BA$15),0),
              ROUND(ROUND(OFFSET($P312,0,BA$13),15-13*ORÇAMENTO!$AF$7)*OFFSET(ORÇAMENTO!$W$15,ROW(BA312)-ROW(BA$15),0),15-13*ORÇAMENTO!$AF$11)),
         0)</f>
        <v>0</v>
      </c>
      <c r="BC312" s="171">
        <f ca="1">IF(OR($D312&lt;&gt;"Serviço",AND(AUTOEVENTO="Manual",$M312=$A$15)),0,
         IF(OFFSET(CRONOPLE!$F$15,$M312-$A$15,BC$13)=0,10^12,OFFSET(CRONOPLE!$F$15,$M312-$A$15,BC$13)))</f>
        <v>0</v>
      </c>
      <c r="BD312" s="171">
        <f ca="1">IF(OR($D312&lt;&gt;"Serviço",AND(AUTOEVENTO="Manual",$M312=$A$15)),0,
         IF(OFFSET(CRONOPLE!$F$15,$M312-$A$15,BD$13)=0,10^12,OFFSET(CRONOPLE!$F$15,$M312-$A$15,BD$13)))</f>
        <v>0</v>
      </c>
      <c r="BE312" s="171">
        <f ca="1">IF(OR($D312&lt;&gt;"Serviço",AND(AUTOEVENTO="Manual",$M312=$A$15)),0,
         IF(OFFSET(CRONOPLE!$F$15,$M312-$A$15,BE$13)=0,10^12,OFFSET(CRONOPLE!$F$15,$M312-$A$15,BE$13)))</f>
        <v>0</v>
      </c>
      <c r="BF312" s="171">
        <f ca="1">IF(OR($D312&lt;&gt;"Serviço",AND(AUTOEVENTO="Manual",$M312=$A$15)),0,
         IF(OFFSET(CRONOPLE!$F$15,$M312-$A$15,BF$13)=0,10^12,OFFSET(CRONOPLE!$F$15,$M312-$A$15,BF$13)))</f>
        <v>0</v>
      </c>
      <c r="BG312" s="171">
        <f ca="1">IF(OR($D312&lt;&gt;"Serviço",AND(AUTOEVENTO="Manual",$M312=$A$15)),0,
         IF(OFFSET(CRONOPLE!$F$15,$M312-$A$15,BG$13)=0,10^12,OFFSET(CRONOPLE!$F$15,$M312-$A$15,BG$13)))</f>
        <v>0</v>
      </c>
      <c r="BH312" s="171">
        <f ca="1">IF(OR($D312&lt;&gt;"Serviço",AND(AUTOEVENTO="Manual",$M312=$A$15)),0,
         IF(OFFSET(CRONOPLE!$F$15,$M312-$A$15,BH$13)=0,10^12,OFFSET(CRONOPLE!$F$15,$M312-$A$15,BH$13)))</f>
        <v>0</v>
      </c>
      <c r="BI312" s="171">
        <f ca="1">IF(OR($D312&lt;&gt;"Serviço",AND(AUTOEVENTO="Manual",$M312=$A$15)),0,
         IF(OFFSET(CRONOPLE!$F$15,$M312-$A$15,BI$13)=0,10^12,OFFSET(CRONOPLE!$F$15,$M312-$A$15,BI$13)))</f>
        <v>0</v>
      </c>
      <c r="BJ312" s="171">
        <f ca="1">IF(OR($D312&lt;&gt;"Serviço",AND(AUTOEVENTO="Manual",$M312=$A$15)),0,
         IF(OFFSET(CRONOPLE!$F$15,$M312-$A$15,BJ$13)=0,10^12,OFFSET(CRONOPLE!$F$15,$M312-$A$15,BJ$13)))</f>
        <v>0</v>
      </c>
      <c r="BK312" s="171">
        <f ca="1">IF(OR($D312&lt;&gt;"Serviço",AND(AUTOEVENTO="Manual",$M312=$A$15)),0,
         IF(OFFSET(CRONOPLE!$F$15,$M312-$A$15,BK$13)=0,10^12,OFFSET(CRONOPLE!$F$15,$M312-$A$15,BK$13)))</f>
        <v>0</v>
      </c>
      <c r="BL312" s="171">
        <f ca="1">IF(OR($D312&lt;&gt;"Serviço",AND(AUTOEVENTO="Manual",$M312=$A$15)),0,
         IF(OFFSET(CRONOPLE!$F$15,$M312-$A$15,BL$13)=0,10^12,OFFSET(CRONOPLE!$F$15,$M312-$A$15,BL$13)))</f>
        <v>0</v>
      </c>
      <c r="BM312" s="171">
        <f ca="1">IF(OR($D312&lt;&gt;"Serviço",AND(AUTOEVENTO="Manual",$M312=$A$15)),0,
         IF(OFFSET(CRONOPLE!$F$15,$M312-$A$15,BM$13)=0,10^12,OFFSET(CRONOPLE!$F$15,$M312-$A$15,BM$13)))</f>
        <v>0</v>
      </c>
      <c r="BN312" s="171">
        <f ca="1">IF(OR($D312&lt;&gt;"Serviço",AND(AUTOEVENTO="Manual",$M312=$A$15)),0,
         IF(OFFSET(CRONOPLE!$F$15,$M312-$A$15,BN$13)=0,10^12,OFFSET(CRONOPLE!$F$15,$M312-$A$15,BN$13)))</f>
        <v>0</v>
      </c>
      <c r="BO312" s="171">
        <f ca="1">IF(OR($D312&lt;&gt;"Serviço",AND(AUTOEVENTO="Manual",$M312=$A$15)),0,
         IF(OFFSET(CRONOPLE!$F$15,$M312-$A$15,BO$13)=0,10^12,OFFSET(CRONOPLE!$F$15,$M312-$A$15,BO$13)))</f>
        <v>0</v>
      </c>
      <c r="BP312" s="171">
        <f ca="1">IF(OR($D312&lt;&gt;"Serviço",AND(AUTOEVENTO="Manual",$M312=$A$15)),0,
         IF(OFFSET(CRONOPLE!$F$15,$M312-$A$15,BP$13)=0,10^12,OFFSET(CRONOPLE!$F$15,$M312-$A$15,BP$13)))</f>
        <v>0</v>
      </c>
      <c r="BQ312" s="171">
        <f ca="1">IF(OR($D312&lt;&gt;"Serviço",AND(AUTOEVENTO="Manual",$M312=$A$15)),0,
         IF(OFFSET(CRONOPLE!$F$15,$M312-$A$15,BQ$13)=0,10^12,OFFSET(CRONOPLE!$F$15,$M312-$A$15,BQ$13)))</f>
        <v>0</v>
      </c>
      <c r="BR312" s="171">
        <f ca="1">IF(OR($D312&lt;&gt;"Serviço",AND(AUTOEVENTO="Manual",$M312=$A$15)),0,
         IF(OFFSET(CRONOPLE!$F$15,$M312-$A$15,BR$13)=0,10^12,OFFSET(CRONOPLE!$F$15,$M312-$A$15,BR$13)))</f>
        <v>0</v>
      </c>
      <c r="BS312" s="171">
        <f ca="1">IF(OR($D312&lt;&gt;"Serviço",AND(AUTOEVENTO="Manual",$M312=$A$15)),0,
         IF(OFFSET(CRONOPLE!$F$15,$M312-$A$15,BS$13)=0,10^12,OFFSET(CRONOPLE!$F$15,$M312-$A$15,BS$13)))</f>
        <v>0</v>
      </c>
      <c r="BT312" s="171">
        <f ca="1">IF(OR($D312&lt;&gt;"Serviço",AND(AUTOEVENTO="Manual",$M312=$A$15)),0,
         IF(OFFSET(CRONOPLE!$F$15,$M312-$A$15,BT$13)=0,10^12,OFFSET(CRONOPLE!$F$15,$M312-$A$15,BT$13)))</f>
        <v>0</v>
      </c>
      <c r="BV312" s="172">
        <f ca="1">IF(OR($D312&lt;&gt;"Serviço",AND(AUTOEVENTO="Manual",$M312=$A$15),$M312&gt;(ROW(PLE.lastrow)-ROW(PLE.firstrow))),0,
           IF(OFFSET(PLE!$G$15,$M312-$A$15,BV$13)="",10^12,OFFSET(PLE!$G$15,$M312-$A$15,BV$13)))</f>
        <v>0</v>
      </c>
      <c r="BW312" s="172">
        <f ca="1">IF(OR($D312&lt;&gt;"Serviço",AND(AUTOEVENTO="Manual",$M312=$A$15),$M312&gt;(ROW(PLE.lastrow)-ROW(PLE.firstrow))),0,
           IF(OFFSET(PLE!$G$15,$M312-$A$15,BW$13)="",10^12,OFFSET(PLE!$G$15,$M312-$A$15,BW$13)))</f>
        <v>0</v>
      </c>
      <c r="BX312" s="172">
        <f ca="1">IF(OR($D312&lt;&gt;"Serviço",AND(AUTOEVENTO="Manual",$M312=$A$15),$M312&gt;(ROW(PLE.lastrow)-ROW(PLE.firstrow))),0,
           IF(OFFSET(PLE!$G$15,$M312-$A$15,BX$13)="",10^12,OFFSET(PLE!$G$15,$M312-$A$15,BX$13)))</f>
        <v>0</v>
      </c>
      <c r="BY312" s="172">
        <f ca="1">IF(OR($D312&lt;&gt;"Serviço",AND(AUTOEVENTO="Manual",$M312=$A$15),$M312&gt;(ROW(PLE.lastrow)-ROW(PLE.firstrow))),0,
           IF(OFFSET(PLE!$G$15,$M312-$A$15,BY$13)="",10^12,OFFSET(PLE!$G$15,$M312-$A$15,BY$13)))</f>
        <v>0</v>
      </c>
      <c r="BZ312" s="172">
        <f ca="1">IF(OR($D312&lt;&gt;"Serviço",AND(AUTOEVENTO="Manual",$M312=$A$15),$M312&gt;(ROW(PLE.lastrow)-ROW(PLE.firstrow))),0,
           IF(OFFSET(PLE!$G$15,$M312-$A$15,BZ$13)="",10^12,OFFSET(PLE!$G$15,$M312-$A$15,BZ$13)))</f>
        <v>0</v>
      </c>
      <c r="CA312" s="172">
        <f ca="1">IF(OR($D312&lt;&gt;"Serviço",AND(AUTOEVENTO="Manual",$M312=$A$15),$M312&gt;(ROW(PLE.lastrow)-ROW(PLE.firstrow))),0,
           IF(OFFSET(PLE!$G$15,$M312-$A$15,CA$13)="",10^12,OFFSET(PLE!$G$15,$M312-$A$15,CA$13)))</f>
        <v>0</v>
      </c>
      <c r="CB312" s="172">
        <f ca="1">IF(OR($D312&lt;&gt;"Serviço",AND(AUTOEVENTO="Manual",$M312=$A$15),$M312&gt;(ROW(PLE.lastrow)-ROW(PLE.firstrow))),0,
           IF(OFFSET(PLE!$G$15,$M312-$A$15,CB$13)="",10^12,OFFSET(PLE!$G$15,$M312-$A$15,CB$13)))</f>
        <v>0</v>
      </c>
      <c r="CC312" s="172">
        <f ca="1">IF(OR($D312&lt;&gt;"Serviço",AND(AUTOEVENTO="Manual",$M312=$A$15),$M312&gt;(ROW(PLE.lastrow)-ROW(PLE.firstrow))),0,
           IF(OFFSET(PLE!$G$15,$M312-$A$15,CC$13)="",10^12,OFFSET(PLE!$G$15,$M312-$A$15,CC$13)))</f>
        <v>0</v>
      </c>
      <c r="CD312" s="172">
        <f ca="1">IF(OR($D312&lt;&gt;"Serviço",AND(AUTOEVENTO="Manual",$M312=$A$15),$M312&gt;(ROW(PLE.lastrow)-ROW(PLE.firstrow))),0,
           IF(OFFSET(PLE!$G$15,$M312-$A$15,CD$13)="",10^12,OFFSET(PLE!$G$15,$M312-$A$15,CD$13)))</f>
        <v>0</v>
      </c>
      <c r="CE312" s="172">
        <f ca="1">IF(OR($D312&lt;&gt;"Serviço",AND(AUTOEVENTO="Manual",$M312=$A$15),$M312&gt;(ROW(PLE.lastrow)-ROW(PLE.firstrow))),0,
           IF(OFFSET(PLE!$G$15,$M312-$A$15,CE$13)="",10^12,OFFSET(PLE!$G$15,$M312-$A$15,CE$13)))</f>
        <v>0</v>
      </c>
      <c r="CF312" s="172">
        <f ca="1">IF(OR($D312&lt;&gt;"Serviço",AND(AUTOEVENTO="Manual",$M312=$A$15),$M312&gt;(ROW(PLE.lastrow)-ROW(PLE.firstrow))),0,
           IF(OFFSET(PLE!$G$15,$M312-$A$15,CF$13)="",10^12,OFFSET(PLE!$G$15,$M312-$A$15,CF$13)))</f>
        <v>0</v>
      </c>
      <c r="CG312" s="172">
        <f ca="1">IF(OR($D312&lt;&gt;"Serviço",AND(AUTOEVENTO="Manual",$M312=$A$15),$M312&gt;(ROW(PLE.lastrow)-ROW(PLE.firstrow))),0,
           IF(OFFSET(PLE!$G$15,$M312-$A$15,CG$13)="",10^12,OFFSET(PLE!$G$15,$M312-$A$15,CG$13)))</f>
        <v>0</v>
      </c>
      <c r="CH312" s="172">
        <f ca="1">IF(OR($D312&lt;&gt;"Serviço",AND(AUTOEVENTO="Manual",$M312=$A$15),$M312&gt;(ROW(PLE.lastrow)-ROW(PLE.firstrow))),0,
           IF(OFFSET(PLE!$G$15,$M312-$A$15,CH$13)="",10^12,OFFSET(PLE!$G$15,$M312-$A$15,CH$13)))</f>
        <v>0</v>
      </c>
      <c r="CI312" s="172">
        <f ca="1">IF(OR($D312&lt;&gt;"Serviço",AND(AUTOEVENTO="Manual",$M312=$A$15),$M312&gt;(ROW(PLE.lastrow)-ROW(PLE.firstrow))),0,
           IF(OFFSET(PLE!$G$15,$M312-$A$15,CI$13)="",10^12,OFFSET(PLE!$G$15,$M312-$A$15,CI$13)))</f>
        <v>0</v>
      </c>
      <c r="CJ312" s="172">
        <f ca="1">IF(OR($D312&lt;&gt;"Serviço",AND(AUTOEVENTO="Manual",$M312=$A$15),$M312&gt;(ROW(PLE.lastrow)-ROW(PLE.firstrow))),0,
           IF(OFFSET(PLE!$G$15,$M312-$A$15,CJ$13)="",10^12,OFFSET(PLE!$G$15,$M312-$A$15,CJ$13)))</f>
        <v>0</v>
      </c>
      <c r="CK312" s="172">
        <f ca="1">IF(OR($D312&lt;&gt;"Serviço",AND(AUTOEVENTO="Manual",$M312=$A$15),$M312&gt;(ROW(PLE.lastrow)-ROW(PLE.firstrow))),0,
           IF(OFFSET(PLE!$G$15,$M312-$A$15,CK$13)="",10^12,OFFSET(PLE!$G$15,$M312-$A$15,CK$13)))</f>
        <v>0</v>
      </c>
      <c r="CL312" s="172">
        <f ca="1">IF(OR($D312&lt;&gt;"Serviço",AND(AUTOEVENTO="Manual",$M312=$A$15),$M312&gt;(ROW(PLE.lastrow)-ROW(PLE.firstrow))),0,
           IF(OFFSET(PLE!$G$15,$M312-$A$15,CL$13)="",10^12,OFFSET(PLE!$G$15,$M312-$A$15,CL$13)))</f>
        <v>0</v>
      </c>
      <c r="CM312" s="172">
        <f ca="1">IF(OR($D312&lt;&gt;"Serviço",AND(AUTOEVENTO="Manual",$M312=$A$15),$M312&gt;(ROW(PLE.lastrow)-ROW(PLE.firstrow))),0,
           IF(OFFSET(PLE!$G$15,$M312-$A$15,CM$13)="",10^12,OFFSET(PLE!$G$15,$M312-$A$15,CM$13)))</f>
        <v>0</v>
      </c>
    </row>
    <row r="313" spans="1:91" ht="63.75" x14ac:dyDescent="0.2">
      <c r="A313" s="7">
        <f t="shared" ca="1" si="14"/>
        <v>6</v>
      </c>
      <c r="B313" s="7" t="str">
        <f ca="1">OFFSET(ORÇAMENTO!C$15,ROW(B313)-ROW(B$15),0)</f>
        <v>S</v>
      </c>
      <c r="C313" s="7" t="str">
        <f ca="1">OFFSET(ORÇAMENTO!L$15,ROW(C313)-ROW(C$15),0)</f>
        <v>F</v>
      </c>
      <c r="D313" s="116" t="str">
        <f ca="1">OFFSET(ORÇAMENTO!N$15,ROW(D313)-ROW(D$15),0)</f>
        <v>Serviço</v>
      </c>
      <c r="E313" s="117" t="str">
        <f ca="1">OFFSET(ORÇAMENTO!O$15,ROW(E313)-ROW(E$15),0)</f>
        <v>1.7.4.2.1.</v>
      </c>
      <c r="F313" s="163" t="str">
        <f ca="1">OFFSET(ORÇAMENTO!R$15,ROW(F313)-ROW(F$15),0)</f>
        <v>TUBO, PPR, DN 110, CLASSE PN 12, INSTALADO EM PRUMADA DE ÁGUA FORNECIMENTO E INSTALAÇÃO. AF_08/2022</v>
      </c>
      <c r="G313" s="164" t="str">
        <f ca="1">IF($D313&lt;&gt;"Serviço","",OFFSET(ORÇAMENTO!S$15,ROW(G313)-ROW(G$15),0))</f>
        <v>M</v>
      </c>
      <c r="H313" s="122" cm="1">
        <f t="array" aca="1" ref="H313" ca="1">IF($D313&lt;&gt;"Serviço",0,IF(ACOMPANHAMENTO="BM",ROUND(OFFSET(ORÇAMENTO!AJ$15,ROW(H313)-ROW(H$15),0),15-13*ORÇAMENTO!$AF$7),SUMPRODUCT(($Q$1:$AI$1=1)*ROUND($Q313:$AI313,15-13*ORÇAMENTO!$AF$7))))</f>
        <v>69</v>
      </c>
      <c r="I313" s="468" t="s">
        <v>1357</v>
      </c>
      <c r="J313" s="640" t="str" cm="1">
        <f t="array" aca="1" ref="J313" ca="1">IF(OR(B313&lt;&gt;"S",CÁLCULO.FrentesPreenchidas=0),"",IF(AND(ACOMPANHAMENTO="PLE",AUTOEVENTO="Manual",OR(H313&gt;0,ORÇAMENTO!AC313="QUANT."),OR(K313="",M313=0,N313="")),"►E",IF(AND(ACOMPANHAMENTO="PLE",ORÇAMENTO!AC313="QUANT."),"►Q",IF(AND(ACOMPANHAMENTO="PLE",H313&lt;&gt;SUMPRODUCT(($Q$1:$AI$1=1)*ROUND(Q313:AI313,15))),"►S",IF(AND(COUNTIF($P$11:$AI$11,"▼")=0,H313&gt;0,I313=""),"◄M","")))))</f>
        <v/>
      </c>
      <c r="K313" s="641" t="s">
        <v>1385</v>
      </c>
      <c r="L313" s="165" t="s">
        <v>764</v>
      </c>
      <c r="M313" s="166">
        <f ca="1">IF($D313&lt;&gt;"Serviço","",
          IF(AUTOEVENTO="manual",$A313,
                IF(ISERROR(MATCH($A313,$A$15:OFFSET($A313,-1,0),0)),MAX($M$15:OFFSET(M313,-1,0))+1,
                      INDEX($M$15:OFFSET(M313,-1,0),MATCH($A313,$A$15:OFFSET($A313,-1,0),0)))))</f>
        <v>6</v>
      </c>
      <c r="N313" s="167" t="str">
        <f ca="1">IF($D313&lt;&gt;"Serviço","",
         IF(AUTOEVENTO="Manual",
                IF($A313=0,"&lt;-- defina o número do agrupador",
                       OFFSET(EVENTOS!$D$15,$A313-$A$15,0)),
                OFFSET($F$15,$A313,0)))</f>
        <v>Saneamento</v>
      </c>
      <c r="O313" s="168"/>
      <c r="Q313" s="168"/>
      <c r="R313" s="169"/>
      <c r="S313" s="169"/>
      <c r="T313" s="169"/>
      <c r="U313" s="169">
        <f>11.5*6</f>
        <v>69</v>
      </c>
      <c r="V313" s="169"/>
      <c r="W313" s="169"/>
      <c r="X313" s="169"/>
      <c r="Y313" s="169"/>
      <c r="Z313" s="170"/>
      <c r="AA313" s="169"/>
      <c r="AB313" s="169"/>
      <c r="AC313" s="169"/>
      <c r="AD313" s="169"/>
      <c r="AE313" s="169"/>
      <c r="AF313" s="169"/>
      <c r="AG313" s="169"/>
      <c r="AH313" s="170"/>
      <c r="AJ313" s="453">
        <f ca="1">IF(AND($D313="Serviço",AJ$12&lt;&gt;0,$H313&gt;0,OR(AUTOEVENTO&lt;&gt;"manual",$M313&lt;&gt;$A$15)),
        IF(Import.TipoArredondamento&lt;&gt;"TransfereGOV",
              ROUND(OFFSET($P313,0,AJ$13),15-13*ORÇAMENTO!$AF$7)/$H313*OFFSET(ORÇAMENTO!$X$15,ROW(AJ313)-ROW(AJ$15),0),
              ROUND(ROUND(OFFSET($P313,0,AJ$13),15-13*ORÇAMENTO!$AF$7)*OFFSET(ORÇAMENTO!$W$15,ROW(AJ313)-ROW(AJ$15),0),15-13*ORÇAMENTO!$AF$11)),
         0)</f>
        <v>0</v>
      </c>
      <c r="AK313" s="453">
        <f ca="1">IF(AND($D313="Serviço",AK$12&lt;&gt;0,$H313&gt;0,OR(AUTOEVENTO&lt;&gt;"manual",$M313&lt;&gt;$A$15)),
        IF(Import.TipoArredondamento&lt;&gt;"TransfereGOV",
              ROUND(OFFSET($P313,0,AK$13),15-13*ORÇAMENTO!$AF$7)/$H313*OFFSET(ORÇAMENTO!$X$15,ROW(AK313)-ROW(AK$15),0),
              ROUND(ROUND(OFFSET($P313,0,AK$13),15-13*ORÇAMENTO!$AF$7)*OFFSET(ORÇAMENTO!$W$15,ROW(AK313)-ROW(AK$15),0),15-13*ORÇAMENTO!$AF$11)),
         0)</f>
        <v>0</v>
      </c>
      <c r="AL313" s="453">
        <f ca="1">IF(AND($D313="Serviço",AL$12&lt;&gt;0,$H313&gt;0,OR(AUTOEVENTO&lt;&gt;"manual",$M313&lt;&gt;$A$15)),
        IF(Import.TipoArredondamento&lt;&gt;"TransfereGOV",
              ROUND(OFFSET($P313,0,AL$13),15-13*ORÇAMENTO!$AF$7)/$H313*OFFSET(ORÇAMENTO!$X$15,ROW(AL313)-ROW(AL$15),0),
              ROUND(ROUND(OFFSET($P313,0,AL$13),15-13*ORÇAMENTO!$AF$7)*OFFSET(ORÇAMENTO!$W$15,ROW(AL313)-ROW(AL$15),0),15-13*ORÇAMENTO!$AF$11)),
         0)</f>
        <v>0</v>
      </c>
      <c r="AM313" s="453">
        <f ca="1">IF(AND($D313="Serviço",AM$12&lt;&gt;0,$H313&gt;0,OR(AUTOEVENTO&lt;&gt;"manual",$M313&lt;&gt;$A$15)),
        IF(Import.TipoArredondamento&lt;&gt;"TransfereGOV",
              ROUND(OFFSET($P313,0,AM$13),15-13*ORÇAMENTO!$AF$7)/$H313*OFFSET(ORÇAMENTO!$X$15,ROW(AM313)-ROW(AM$15),0),
              ROUND(ROUND(OFFSET($P313,0,AM$13),15-13*ORÇAMENTO!$AF$7)*OFFSET(ORÇAMENTO!$W$15,ROW(AM313)-ROW(AM$15),0),15-13*ORÇAMENTO!$AF$11)),
         0)</f>
        <v>0</v>
      </c>
      <c r="AN313" s="453">
        <f ca="1">IF(AND($D313="Serviço",AN$12&lt;&gt;0,$H313&gt;0,OR(AUTOEVENTO&lt;&gt;"manual",$M313&lt;&gt;$A$15)),
        IF(Import.TipoArredondamento&lt;&gt;"TransfereGOV",
              ROUND(OFFSET($P313,0,AN$13),15-13*ORÇAMENTO!$AF$7)/$H313*OFFSET(ORÇAMENTO!$X$15,ROW(AN313)-ROW(AN$15),0),
              ROUND(ROUND(OFFSET($P313,0,AN$13),15-13*ORÇAMENTO!$AF$7)*OFFSET(ORÇAMENTO!$W$15,ROW(AN313)-ROW(AN$15),0),15-13*ORÇAMENTO!$AF$11)),
         0)</f>
        <v>0</v>
      </c>
      <c r="AO313" s="453">
        <f ca="1">IF(AND($D313="Serviço",AO$12&lt;&gt;0,$H313&gt;0,OR(AUTOEVENTO&lt;&gt;"manual",$M313&lt;&gt;$A$15)),
        IF(Import.TipoArredondamento&lt;&gt;"TransfereGOV",
              ROUND(OFFSET($P313,0,AO$13),15-13*ORÇAMENTO!$AF$7)/$H313*OFFSET(ORÇAMENTO!$X$15,ROW(AO313)-ROW(AO$15),0),
              ROUND(ROUND(OFFSET($P313,0,AO$13),15-13*ORÇAMENTO!$AF$7)*OFFSET(ORÇAMENTO!$W$15,ROW(AO313)-ROW(AO$15),0),15-13*ORÇAMENTO!$AF$11)),
         0)</f>
        <v>0</v>
      </c>
      <c r="AP313" s="453">
        <f ca="1">IF(AND($D313="Serviço",AP$12&lt;&gt;0,$H313&gt;0,OR(AUTOEVENTO&lt;&gt;"manual",$M313&lt;&gt;$A$15)),
        IF(Import.TipoArredondamento&lt;&gt;"TransfereGOV",
              ROUND(OFFSET($P313,0,AP$13),15-13*ORÇAMENTO!$AF$7)/$H313*OFFSET(ORÇAMENTO!$X$15,ROW(AP313)-ROW(AP$15),0),
              ROUND(ROUND(OFFSET($P313,0,AP$13),15-13*ORÇAMENTO!$AF$7)*OFFSET(ORÇAMENTO!$W$15,ROW(AP313)-ROW(AP$15),0),15-13*ORÇAMENTO!$AF$11)),
         0)</f>
        <v>0</v>
      </c>
      <c r="AQ313" s="453">
        <f ca="1">IF(AND($D313="Serviço",AQ$12&lt;&gt;0,$H313&gt;0,OR(AUTOEVENTO&lt;&gt;"manual",$M313&lt;&gt;$A$15)),
        IF(Import.TipoArredondamento&lt;&gt;"TransfereGOV",
              ROUND(OFFSET($P313,0,AQ$13),15-13*ORÇAMENTO!$AF$7)/$H313*OFFSET(ORÇAMENTO!$X$15,ROW(AQ313)-ROW(AQ$15),0),
              ROUND(ROUND(OFFSET($P313,0,AQ$13),15-13*ORÇAMENTO!$AF$7)*OFFSET(ORÇAMENTO!$W$15,ROW(AQ313)-ROW(AQ$15),0),15-13*ORÇAMENTO!$AF$11)),
         0)</f>
        <v>0</v>
      </c>
      <c r="AR313" s="453">
        <f ca="1">IF(AND($D313="Serviço",AR$12&lt;&gt;0,$H313&gt;0,OR(AUTOEVENTO&lt;&gt;"manual",$M313&lt;&gt;$A$15)),
        IF(Import.TipoArredondamento&lt;&gt;"TransfereGOV",
              ROUND(OFFSET($P313,0,AR$13),15-13*ORÇAMENTO!$AF$7)/$H313*OFFSET(ORÇAMENTO!$X$15,ROW(AR313)-ROW(AR$15),0),
              ROUND(ROUND(OFFSET($P313,0,AR$13),15-13*ORÇAMENTO!$AF$7)*OFFSET(ORÇAMENTO!$W$15,ROW(AR313)-ROW(AR$15),0),15-13*ORÇAMENTO!$AF$11)),
         0)</f>
        <v>0</v>
      </c>
      <c r="AS313" s="453">
        <f ca="1">IF(AND($D313="Serviço",AS$12&lt;&gt;0,$H313&gt;0,OR(AUTOEVENTO&lt;&gt;"manual",$M313&lt;&gt;$A$15)),
        IF(Import.TipoArredondamento&lt;&gt;"TransfereGOV",
              ROUND(OFFSET($P313,0,AS$13),15-13*ORÇAMENTO!$AF$7)/$H313*OFFSET(ORÇAMENTO!$X$15,ROW(AS313)-ROW(AS$15),0),
              ROUND(ROUND(OFFSET($P313,0,AS$13),15-13*ORÇAMENTO!$AF$7)*OFFSET(ORÇAMENTO!$W$15,ROW(AS313)-ROW(AS$15),0),15-13*ORÇAMENTO!$AF$11)),
         0)</f>
        <v>0</v>
      </c>
      <c r="AT313" s="453">
        <f ca="1">IF(AND($D313="Serviço",AT$12&lt;&gt;0,$H313&gt;0,OR(AUTOEVENTO&lt;&gt;"manual",$M313&lt;&gt;$A$15)),
        IF(Import.TipoArredondamento&lt;&gt;"TransfereGOV",
              ROUND(OFFSET($P313,0,AT$13),15-13*ORÇAMENTO!$AF$7)/$H313*OFFSET(ORÇAMENTO!$X$15,ROW(AT313)-ROW(AT$15),0),
              ROUND(ROUND(OFFSET($P313,0,AT$13),15-13*ORÇAMENTO!$AF$7)*OFFSET(ORÇAMENTO!$W$15,ROW(AT313)-ROW(AT$15),0),15-13*ORÇAMENTO!$AF$11)),
         0)</f>
        <v>0</v>
      </c>
      <c r="AU313" s="453">
        <f ca="1">IF(AND($D313="Serviço",AU$12&lt;&gt;0,$H313&gt;0,OR(AUTOEVENTO&lt;&gt;"manual",$M313&lt;&gt;$A$15)),
        IF(Import.TipoArredondamento&lt;&gt;"TransfereGOV",
              ROUND(OFFSET($P313,0,AU$13),15-13*ORÇAMENTO!$AF$7)/$H313*OFFSET(ORÇAMENTO!$X$15,ROW(AU313)-ROW(AU$15),0),
              ROUND(ROUND(OFFSET($P313,0,AU$13),15-13*ORÇAMENTO!$AF$7)*OFFSET(ORÇAMENTO!$W$15,ROW(AU313)-ROW(AU$15),0),15-13*ORÇAMENTO!$AF$11)),
         0)</f>
        <v>0</v>
      </c>
      <c r="AV313" s="453">
        <f ca="1">IF(AND($D313="Serviço",AV$12&lt;&gt;0,$H313&gt;0,OR(AUTOEVENTO&lt;&gt;"manual",$M313&lt;&gt;$A$15)),
        IF(Import.TipoArredondamento&lt;&gt;"TransfereGOV",
              ROUND(OFFSET($P313,0,AV$13),15-13*ORÇAMENTO!$AF$7)/$H313*OFFSET(ORÇAMENTO!$X$15,ROW(AV313)-ROW(AV$15),0),
              ROUND(ROUND(OFFSET($P313,0,AV$13),15-13*ORÇAMENTO!$AF$7)*OFFSET(ORÇAMENTO!$W$15,ROW(AV313)-ROW(AV$15),0),15-13*ORÇAMENTO!$AF$11)),
         0)</f>
        <v>0</v>
      </c>
      <c r="AW313" s="453">
        <f ca="1">IF(AND($D313="Serviço",AW$12&lt;&gt;0,$H313&gt;0,OR(AUTOEVENTO&lt;&gt;"manual",$M313&lt;&gt;$A$15)),
        IF(Import.TipoArredondamento&lt;&gt;"TransfereGOV",
              ROUND(OFFSET($P313,0,AW$13),15-13*ORÇAMENTO!$AF$7)/$H313*OFFSET(ORÇAMENTO!$X$15,ROW(AW313)-ROW(AW$15),0),
              ROUND(ROUND(OFFSET($P313,0,AW$13),15-13*ORÇAMENTO!$AF$7)*OFFSET(ORÇAMENTO!$W$15,ROW(AW313)-ROW(AW$15),0),15-13*ORÇAMENTO!$AF$11)),
         0)</f>
        <v>0</v>
      </c>
      <c r="AX313" s="453">
        <f ca="1">IF(AND($D313="Serviço",AX$12&lt;&gt;0,$H313&gt;0,OR(AUTOEVENTO&lt;&gt;"manual",$M313&lt;&gt;$A$15)),
        IF(Import.TipoArredondamento&lt;&gt;"TransfereGOV",
              ROUND(OFFSET($P313,0,AX$13),15-13*ORÇAMENTO!$AF$7)/$H313*OFFSET(ORÇAMENTO!$X$15,ROW(AX313)-ROW(AX$15),0),
              ROUND(ROUND(OFFSET($P313,0,AX$13),15-13*ORÇAMENTO!$AF$7)*OFFSET(ORÇAMENTO!$W$15,ROW(AX313)-ROW(AX$15),0),15-13*ORÇAMENTO!$AF$11)),
         0)</f>
        <v>0</v>
      </c>
      <c r="AY313" s="453">
        <f ca="1">IF(AND($D313="Serviço",AY$12&lt;&gt;0,$H313&gt;0,OR(AUTOEVENTO&lt;&gt;"manual",$M313&lt;&gt;$A$15)),
        IF(Import.TipoArredondamento&lt;&gt;"TransfereGOV",
              ROUND(OFFSET($P313,0,AY$13),15-13*ORÇAMENTO!$AF$7)/$H313*OFFSET(ORÇAMENTO!$X$15,ROW(AY313)-ROW(AY$15),0),
              ROUND(ROUND(OFFSET($P313,0,AY$13),15-13*ORÇAMENTO!$AF$7)*OFFSET(ORÇAMENTO!$W$15,ROW(AY313)-ROW(AY$15),0),15-13*ORÇAMENTO!$AF$11)),
         0)</f>
        <v>0</v>
      </c>
      <c r="AZ313" s="453">
        <f ca="1">IF(AND($D313="Serviço",AZ$12&lt;&gt;0,$H313&gt;0,OR(AUTOEVENTO&lt;&gt;"manual",$M313&lt;&gt;$A$15)),
        IF(Import.TipoArredondamento&lt;&gt;"TransfereGOV",
              ROUND(OFFSET($P313,0,AZ$13),15-13*ORÇAMENTO!$AF$7)/$H313*OFFSET(ORÇAMENTO!$X$15,ROW(AZ313)-ROW(AZ$15),0),
              ROUND(ROUND(OFFSET($P313,0,AZ$13),15-13*ORÇAMENTO!$AF$7)*OFFSET(ORÇAMENTO!$W$15,ROW(AZ313)-ROW(AZ$15),0),15-13*ORÇAMENTO!$AF$11)),
         0)</f>
        <v>0</v>
      </c>
      <c r="BA313" s="453">
        <f ca="1">IF(AND($D313="Serviço",BA$12&lt;&gt;0,$H313&gt;0,OR(AUTOEVENTO&lt;&gt;"manual",$M313&lt;&gt;$A$15)),
        IF(Import.TipoArredondamento&lt;&gt;"TransfereGOV",
              ROUND(OFFSET($P313,0,BA$13),15-13*ORÇAMENTO!$AF$7)/$H313*OFFSET(ORÇAMENTO!$X$15,ROW(BA313)-ROW(BA$15),0),
              ROUND(ROUND(OFFSET($P313,0,BA$13),15-13*ORÇAMENTO!$AF$7)*OFFSET(ORÇAMENTO!$W$15,ROW(BA313)-ROW(BA$15),0),15-13*ORÇAMENTO!$AF$11)),
         0)</f>
        <v>0</v>
      </c>
      <c r="BC313" s="171">
        <f ca="1">IF(OR($D313&lt;&gt;"Serviço",AND(AUTOEVENTO="Manual",$M313=$A$15)),0,
         IF(OFFSET(CRONOPLE!$F$15,$M313-$A$15,BC$13)=0,10^12,OFFSET(CRONOPLE!$F$15,$M313-$A$15,BC$13)))</f>
        <v>1</v>
      </c>
      <c r="BD313" s="171">
        <f ca="1">IF(OR($D313&lt;&gt;"Serviço",AND(AUTOEVENTO="Manual",$M313=$A$15)),0,
         IF(OFFSET(CRONOPLE!$F$15,$M313-$A$15,BD$13)=0,10^12,OFFSET(CRONOPLE!$F$15,$M313-$A$15,BD$13)))</f>
        <v>2</v>
      </c>
      <c r="BE313" s="171">
        <f ca="1">IF(OR($D313&lt;&gt;"Serviço",AND(AUTOEVENTO="Manual",$M313=$A$15)),0,
         IF(OFFSET(CRONOPLE!$F$15,$M313-$A$15,BE$13)=0,10^12,OFFSET(CRONOPLE!$F$15,$M313-$A$15,BE$13)))</f>
        <v>3</v>
      </c>
      <c r="BF313" s="171">
        <f ca="1">IF(OR($D313&lt;&gt;"Serviço",AND(AUTOEVENTO="Manual",$M313=$A$15)),0,
         IF(OFFSET(CRONOPLE!$F$15,$M313-$A$15,BF$13)=0,10^12,OFFSET(CRONOPLE!$F$15,$M313-$A$15,BF$13)))</f>
        <v>4</v>
      </c>
      <c r="BG313" s="171">
        <f ca="1">IF(OR($D313&lt;&gt;"Serviço",AND(AUTOEVENTO="Manual",$M313=$A$15)),0,
         IF(OFFSET(CRONOPLE!$F$15,$M313-$A$15,BG$13)=0,10^12,OFFSET(CRONOPLE!$F$15,$M313-$A$15,BG$13)))</f>
        <v>5</v>
      </c>
      <c r="BH313" s="171">
        <f ca="1">IF(OR($D313&lt;&gt;"Serviço",AND(AUTOEVENTO="Manual",$M313=$A$15)),0,
         IF(OFFSET(CRONOPLE!$F$15,$M313-$A$15,BH$13)=0,10^12,OFFSET(CRONOPLE!$F$15,$M313-$A$15,BH$13)))</f>
        <v>6</v>
      </c>
      <c r="BI313" s="171">
        <f ca="1">IF(OR($D313&lt;&gt;"Serviço",AND(AUTOEVENTO="Manual",$M313=$A$15)),0,
         IF(OFFSET(CRONOPLE!$F$15,$M313-$A$15,BI$13)=0,10^12,OFFSET(CRONOPLE!$F$15,$M313-$A$15,BI$13)))</f>
        <v>7</v>
      </c>
      <c r="BJ313" s="171">
        <f ca="1">IF(OR($D313&lt;&gt;"Serviço",AND(AUTOEVENTO="Manual",$M313=$A$15)),0,
         IF(OFFSET(CRONOPLE!$F$15,$M313-$A$15,BJ$13)=0,10^12,OFFSET(CRONOPLE!$F$15,$M313-$A$15,BJ$13)))</f>
        <v>8</v>
      </c>
      <c r="BK313" s="171">
        <f ca="1">IF(OR($D313&lt;&gt;"Serviço",AND(AUTOEVENTO="Manual",$M313=$A$15)),0,
         IF(OFFSET(CRONOPLE!$F$15,$M313-$A$15,BK$13)=0,10^12,OFFSET(CRONOPLE!$F$15,$M313-$A$15,BK$13)))</f>
        <v>9</v>
      </c>
      <c r="BL313" s="171">
        <f ca="1">IF(OR($D313&lt;&gt;"Serviço",AND(AUTOEVENTO="Manual",$M313=$A$15)),0,
         IF(OFFSET(CRONOPLE!$F$15,$M313-$A$15,BL$13)=0,10^12,OFFSET(CRONOPLE!$F$15,$M313-$A$15,BL$13)))</f>
        <v>1000000000000</v>
      </c>
      <c r="BM313" s="171">
        <f ca="1">IF(OR($D313&lt;&gt;"Serviço",AND(AUTOEVENTO="Manual",$M313=$A$15)),0,
         IF(OFFSET(CRONOPLE!$F$15,$M313-$A$15,BM$13)=0,10^12,OFFSET(CRONOPLE!$F$15,$M313-$A$15,BM$13)))</f>
        <v>1000000000000</v>
      </c>
      <c r="BN313" s="171">
        <f ca="1">IF(OR($D313&lt;&gt;"Serviço",AND(AUTOEVENTO="Manual",$M313=$A$15)),0,
         IF(OFFSET(CRONOPLE!$F$15,$M313-$A$15,BN$13)=0,10^12,OFFSET(CRONOPLE!$F$15,$M313-$A$15,BN$13)))</f>
        <v>1000000000000</v>
      </c>
      <c r="BO313" s="171">
        <f ca="1">IF(OR($D313&lt;&gt;"Serviço",AND(AUTOEVENTO="Manual",$M313=$A$15)),0,
         IF(OFFSET(CRONOPLE!$F$15,$M313-$A$15,BO$13)=0,10^12,OFFSET(CRONOPLE!$F$15,$M313-$A$15,BO$13)))</f>
        <v>1000000000000</v>
      </c>
      <c r="BP313" s="171">
        <f ca="1">IF(OR($D313&lt;&gt;"Serviço",AND(AUTOEVENTO="Manual",$M313=$A$15)),0,
         IF(OFFSET(CRONOPLE!$F$15,$M313-$A$15,BP$13)=0,10^12,OFFSET(CRONOPLE!$F$15,$M313-$A$15,BP$13)))</f>
        <v>1000000000000</v>
      </c>
      <c r="BQ313" s="171">
        <f ca="1">IF(OR($D313&lt;&gt;"Serviço",AND(AUTOEVENTO="Manual",$M313=$A$15)),0,
         IF(OFFSET(CRONOPLE!$F$15,$M313-$A$15,BQ$13)=0,10^12,OFFSET(CRONOPLE!$F$15,$M313-$A$15,BQ$13)))</f>
        <v>1000000000000</v>
      </c>
      <c r="BR313" s="171">
        <f ca="1">IF(OR($D313&lt;&gt;"Serviço",AND(AUTOEVENTO="Manual",$M313=$A$15)),0,
         IF(OFFSET(CRONOPLE!$F$15,$M313-$A$15,BR$13)=0,10^12,OFFSET(CRONOPLE!$F$15,$M313-$A$15,BR$13)))</f>
        <v>1000000000000</v>
      </c>
      <c r="BS313" s="171">
        <f ca="1">IF(OR($D313&lt;&gt;"Serviço",AND(AUTOEVENTO="Manual",$M313=$A$15)),0,
         IF(OFFSET(CRONOPLE!$F$15,$M313-$A$15,BS$13)=0,10^12,OFFSET(CRONOPLE!$F$15,$M313-$A$15,BS$13)))</f>
        <v>1000000000000</v>
      </c>
      <c r="BT313" s="171">
        <f ca="1">IF(OR($D313&lt;&gt;"Serviço",AND(AUTOEVENTO="Manual",$M313=$A$15)),0,
         IF(OFFSET(CRONOPLE!$F$15,$M313-$A$15,BT$13)=0,10^12,OFFSET(CRONOPLE!$F$15,$M313-$A$15,BT$13)))</f>
        <v>1000000000000</v>
      </c>
      <c r="BV313" s="172">
        <f ca="1">IF(OR($D313&lt;&gt;"Serviço",AND(AUTOEVENTO="Manual",$M313=$A$15),$M313&gt;(ROW(PLE.lastrow)-ROW(PLE.firstrow))),0,
           IF(OFFSET(PLE!$G$15,$M313-$A$15,BV$13)="",10^12,OFFSET(PLE!$G$15,$M313-$A$15,BV$13)))</f>
        <v>1000000000000</v>
      </c>
      <c r="BW313" s="172">
        <f ca="1">IF(OR($D313&lt;&gt;"Serviço",AND(AUTOEVENTO="Manual",$M313=$A$15),$M313&gt;(ROW(PLE.lastrow)-ROW(PLE.firstrow))),0,
           IF(OFFSET(PLE!$G$15,$M313-$A$15,BW$13)="",10^12,OFFSET(PLE!$G$15,$M313-$A$15,BW$13)))</f>
        <v>1000000000000</v>
      </c>
      <c r="BX313" s="172">
        <f ca="1">IF(OR($D313&lt;&gt;"Serviço",AND(AUTOEVENTO="Manual",$M313=$A$15),$M313&gt;(ROW(PLE.lastrow)-ROW(PLE.firstrow))),0,
           IF(OFFSET(PLE!$G$15,$M313-$A$15,BX$13)="",10^12,OFFSET(PLE!$G$15,$M313-$A$15,BX$13)))</f>
        <v>1000000000000</v>
      </c>
      <c r="BY313" s="172">
        <f ca="1">IF(OR($D313&lt;&gt;"Serviço",AND(AUTOEVENTO="Manual",$M313=$A$15),$M313&gt;(ROW(PLE.lastrow)-ROW(PLE.firstrow))),0,
           IF(OFFSET(PLE!$G$15,$M313-$A$15,BY$13)="",10^12,OFFSET(PLE!$G$15,$M313-$A$15,BY$13)))</f>
        <v>1000000000000</v>
      </c>
      <c r="BZ313" s="172">
        <f ca="1">IF(OR($D313&lt;&gt;"Serviço",AND(AUTOEVENTO="Manual",$M313=$A$15),$M313&gt;(ROW(PLE.lastrow)-ROW(PLE.firstrow))),0,
           IF(OFFSET(PLE!$G$15,$M313-$A$15,BZ$13)="",10^12,OFFSET(PLE!$G$15,$M313-$A$15,BZ$13)))</f>
        <v>1000000000000</v>
      </c>
      <c r="CA313" s="172">
        <f ca="1">IF(OR($D313&lt;&gt;"Serviço",AND(AUTOEVENTO="Manual",$M313=$A$15),$M313&gt;(ROW(PLE.lastrow)-ROW(PLE.firstrow))),0,
           IF(OFFSET(PLE!$G$15,$M313-$A$15,CA$13)="",10^12,OFFSET(PLE!$G$15,$M313-$A$15,CA$13)))</f>
        <v>1000000000000</v>
      </c>
      <c r="CB313" s="172">
        <f ca="1">IF(OR($D313&lt;&gt;"Serviço",AND(AUTOEVENTO="Manual",$M313=$A$15),$M313&gt;(ROW(PLE.lastrow)-ROW(PLE.firstrow))),0,
           IF(OFFSET(PLE!$G$15,$M313-$A$15,CB$13)="",10^12,OFFSET(PLE!$G$15,$M313-$A$15,CB$13)))</f>
        <v>1000000000000</v>
      </c>
      <c r="CC313" s="172">
        <f ca="1">IF(OR($D313&lt;&gt;"Serviço",AND(AUTOEVENTO="Manual",$M313=$A$15),$M313&gt;(ROW(PLE.lastrow)-ROW(PLE.firstrow))),0,
           IF(OFFSET(PLE!$G$15,$M313-$A$15,CC$13)="",10^12,OFFSET(PLE!$G$15,$M313-$A$15,CC$13)))</f>
        <v>1000000000000</v>
      </c>
      <c r="CD313" s="172">
        <f ca="1">IF(OR($D313&lt;&gt;"Serviço",AND(AUTOEVENTO="Manual",$M313=$A$15),$M313&gt;(ROW(PLE.lastrow)-ROW(PLE.firstrow))),0,
           IF(OFFSET(PLE!$G$15,$M313-$A$15,CD$13)="",10^12,OFFSET(PLE!$G$15,$M313-$A$15,CD$13)))</f>
        <v>1000000000000</v>
      </c>
      <c r="CE313" s="172">
        <f ca="1">IF(OR($D313&lt;&gt;"Serviço",AND(AUTOEVENTO="Manual",$M313=$A$15),$M313&gt;(ROW(PLE.lastrow)-ROW(PLE.firstrow))),0,
           IF(OFFSET(PLE!$G$15,$M313-$A$15,CE$13)="",10^12,OFFSET(PLE!$G$15,$M313-$A$15,CE$13)))</f>
        <v>1000000000000</v>
      </c>
      <c r="CF313" s="172">
        <f ca="1">IF(OR($D313&lt;&gt;"Serviço",AND(AUTOEVENTO="Manual",$M313=$A$15),$M313&gt;(ROW(PLE.lastrow)-ROW(PLE.firstrow))),0,
           IF(OFFSET(PLE!$G$15,$M313-$A$15,CF$13)="",10^12,OFFSET(PLE!$G$15,$M313-$A$15,CF$13)))</f>
        <v>1000000000000</v>
      </c>
      <c r="CG313" s="172">
        <f ca="1">IF(OR($D313&lt;&gt;"Serviço",AND(AUTOEVENTO="Manual",$M313=$A$15),$M313&gt;(ROW(PLE.lastrow)-ROW(PLE.firstrow))),0,
           IF(OFFSET(PLE!$G$15,$M313-$A$15,CG$13)="",10^12,OFFSET(PLE!$G$15,$M313-$A$15,CG$13)))</f>
        <v>1000000000000</v>
      </c>
      <c r="CH313" s="172">
        <f ca="1">IF(OR($D313&lt;&gt;"Serviço",AND(AUTOEVENTO="Manual",$M313=$A$15),$M313&gt;(ROW(PLE.lastrow)-ROW(PLE.firstrow))),0,
           IF(OFFSET(PLE!$G$15,$M313-$A$15,CH$13)="",10^12,OFFSET(PLE!$G$15,$M313-$A$15,CH$13)))</f>
        <v>1000000000000</v>
      </c>
      <c r="CI313" s="172">
        <f ca="1">IF(OR($D313&lt;&gt;"Serviço",AND(AUTOEVENTO="Manual",$M313=$A$15),$M313&gt;(ROW(PLE.lastrow)-ROW(PLE.firstrow))),0,
           IF(OFFSET(PLE!$G$15,$M313-$A$15,CI$13)="",10^12,OFFSET(PLE!$G$15,$M313-$A$15,CI$13)))</f>
        <v>1000000000000</v>
      </c>
      <c r="CJ313" s="172">
        <f ca="1">IF(OR($D313&lt;&gt;"Serviço",AND(AUTOEVENTO="Manual",$M313=$A$15),$M313&gt;(ROW(PLE.lastrow)-ROW(PLE.firstrow))),0,
           IF(OFFSET(PLE!$G$15,$M313-$A$15,CJ$13)="",10^12,OFFSET(PLE!$G$15,$M313-$A$15,CJ$13)))</f>
        <v>1000000000000</v>
      </c>
      <c r="CK313" s="172">
        <f ca="1">IF(OR($D313&lt;&gt;"Serviço",AND(AUTOEVENTO="Manual",$M313=$A$15),$M313&gt;(ROW(PLE.lastrow)-ROW(PLE.firstrow))),0,
           IF(OFFSET(PLE!$G$15,$M313-$A$15,CK$13)="",10^12,OFFSET(PLE!$G$15,$M313-$A$15,CK$13)))</f>
        <v>1000000000000</v>
      </c>
      <c r="CL313" s="172">
        <f ca="1">IF(OR($D313&lt;&gt;"Serviço",AND(AUTOEVENTO="Manual",$M313=$A$15),$M313&gt;(ROW(PLE.lastrow)-ROW(PLE.firstrow))),0,
           IF(OFFSET(PLE!$G$15,$M313-$A$15,CL$13)="",10^12,OFFSET(PLE!$G$15,$M313-$A$15,CL$13)))</f>
        <v>1000000000000</v>
      </c>
      <c r="CM313" s="172">
        <f ca="1">IF(OR($D313&lt;&gt;"Serviço",AND(AUTOEVENTO="Manual",$M313=$A$15),$M313&gt;(ROW(PLE.lastrow)-ROW(PLE.firstrow))),0,
           IF(OFFSET(PLE!$G$15,$M313-$A$15,CM$13)="",10^12,OFFSET(PLE!$G$15,$M313-$A$15,CM$13)))</f>
        <v>1000000000000</v>
      </c>
    </row>
    <row r="314" spans="1:91" ht="12.75" x14ac:dyDescent="0.2">
      <c r="A314" s="7">
        <f t="shared" ca="1" si="14"/>
        <v>7</v>
      </c>
      <c r="B314" s="7">
        <f ca="1">OFFSET(ORÇAMENTO!C$15,ROW(B314)-ROW(B$15),0)</f>
        <v>4</v>
      </c>
      <c r="C314" s="7" t="str">
        <f ca="1">OFFSET(ORÇAMENTO!L$15,ROW(C314)-ROW(C$15),0)</f>
        <v>F</v>
      </c>
      <c r="D314" s="116" t="str">
        <f ca="1">OFFSET(ORÇAMENTO!N$15,ROW(D314)-ROW(D$15),0)</f>
        <v>Nível 4</v>
      </c>
      <c r="E314" s="117" t="str">
        <f ca="1">OFFSET(ORÇAMENTO!O$15,ROW(E314)-ROW(E$15),0)</f>
        <v>1.7.4.3.</v>
      </c>
      <c r="F314" s="163" t="str">
        <f ca="1">OFFSET(ORÇAMENTO!R$15,ROW(F314)-ROW(F$15),0)</f>
        <v>INSTALAÇÃO DE MATERIAIS</v>
      </c>
      <c r="G314" s="164" t="str">
        <f ca="1">IF($D314&lt;&gt;"Serviço","",OFFSET(ORÇAMENTO!S$15,ROW(G314)-ROW(G$15),0))</f>
        <v/>
      </c>
      <c r="H314" s="122" cm="1">
        <f t="array" aca="1" ref="H314" ca="1">IF($D314&lt;&gt;"Serviço",0,IF(ACOMPANHAMENTO="BM",ROUND(OFFSET(ORÇAMENTO!AJ$15,ROW(H314)-ROW(H$15),0),15-13*ORÇAMENTO!$AF$7),SUMPRODUCT(($Q$1:$AI$1=1)*ROUND($Q314:$AI314,15-13*ORÇAMENTO!$AF$7))))</f>
        <v>0</v>
      </c>
      <c r="I314" s="468"/>
      <c r="J314" s="640" t="str" cm="1">
        <f t="array" aca="1" ref="J314" ca="1">IF(OR(B314&lt;&gt;"S",CÁLCULO.FrentesPreenchidas=0),"",IF(AND(ACOMPANHAMENTO="PLE",AUTOEVENTO="Manual",OR(H314&gt;0,ORÇAMENTO!AC314="QUANT."),OR(K314="",M314=0,N314="")),"►E",IF(AND(ACOMPANHAMENTO="PLE",ORÇAMENTO!AC314="QUANT."),"►Q",IF(AND(ACOMPANHAMENTO="PLE",H314&lt;&gt;SUMPRODUCT(($Q$1:$AI$1=1)*ROUND(Q314:AI314,15))),"►S",IF(AND(COUNTIF($P$11:$AI$11,"▼")=0,H314&gt;0,I314=""),"◄M","")))))</f>
        <v/>
      </c>
      <c r="K314" s="641" t="s">
        <v>1365</v>
      </c>
      <c r="L314" s="165" t="s">
        <v>764</v>
      </c>
      <c r="M314" s="166" t="str">
        <f ca="1">IF($D314&lt;&gt;"Serviço","",
          IF(AUTOEVENTO="manual",$A314,
                IF(ISERROR(MATCH($A314,$A$15:OFFSET($A314,-1,0),0)),MAX($M$15:OFFSET(M314,-1,0))+1,
                      INDEX($M$15:OFFSET(M314,-1,0),MATCH($A314,$A$15:OFFSET($A314,-1,0),0)))))</f>
        <v/>
      </c>
      <c r="N314" s="167" t="str">
        <f ca="1">IF($D314&lt;&gt;"Serviço","",
         IF(AUTOEVENTO="Manual",
                IF($A314=0,"&lt;-- defina o número do agrupador",
                       OFFSET(EVENTOS!$D$15,$A314-$A$15,0)),
                OFFSET($F$15,$A314,0)))</f>
        <v/>
      </c>
      <c r="O314" s="168"/>
      <c r="Q314" s="168"/>
      <c r="R314" s="169"/>
      <c r="S314" s="169"/>
      <c r="T314" s="169"/>
      <c r="U314" s="169"/>
      <c r="V314" s="169"/>
      <c r="W314" s="169"/>
      <c r="X314" s="169"/>
      <c r="Y314" s="169"/>
      <c r="Z314" s="170"/>
      <c r="AA314" s="169"/>
      <c r="AB314" s="169"/>
      <c r="AC314" s="169"/>
      <c r="AD314" s="169"/>
      <c r="AE314" s="169"/>
      <c r="AF314" s="169"/>
      <c r="AG314" s="169"/>
      <c r="AH314" s="170"/>
      <c r="AJ314" s="453">
        <f ca="1">IF(AND($D314="Serviço",AJ$12&lt;&gt;0,$H314&gt;0,OR(AUTOEVENTO&lt;&gt;"manual",$M314&lt;&gt;$A$15)),
        IF(Import.TipoArredondamento&lt;&gt;"TransfereGOV",
              ROUND(OFFSET($P314,0,AJ$13),15-13*ORÇAMENTO!$AF$7)/$H314*OFFSET(ORÇAMENTO!$X$15,ROW(AJ314)-ROW(AJ$15),0),
              ROUND(ROUND(OFFSET($P314,0,AJ$13),15-13*ORÇAMENTO!$AF$7)*OFFSET(ORÇAMENTO!$W$15,ROW(AJ314)-ROW(AJ$15),0),15-13*ORÇAMENTO!$AF$11)),
         0)</f>
        <v>0</v>
      </c>
      <c r="AK314" s="453">
        <f ca="1">IF(AND($D314="Serviço",AK$12&lt;&gt;0,$H314&gt;0,OR(AUTOEVENTO&lt;&gt;"manual",$M314&lt;&gt;$A$15)),
        IF(Import.TipoArredondamento&lt;&gt;"TransfereGOV",
              ROUND(OFFSET($P314,0,AK$13),15-13*ORÇAMENTO!$AF$7)/$H314*OFFSET(ORÇAMENTO!$X$15,ROW(AK314)-ROW(AK$15),0),
              ROUND(ROUND(OFFSET($P314,0,AK$13),15-13*ORÇAMENTO!$AF$7)*OFFSET(ORÇAMENTO!$W$15,ROW(AK314)-ROW(AK$15),0),15-13*ORÇAMENTO!$AF$11)),
         0)</f>
        <v>0</v>
      </c>
      <c r="AL314" s="453">
        <f ca="1">IF(AND($D314="Serviço",AL$12&lt;&gt;0,$H314&gt;0,OR(AUTOEVENTO&lt;&gt;"manual",$M314&lt;&gt;$A$15)),
        IF(Import.TipoArredondamento&lt;&gt;"TransfereGOV",
              ROUND(OFFSET($P314,0,AL$13),15-13*ORÇAMENTO!$AF$7)/$H314*OFFSET(ORÇAMENTO!$X$15,ROW(AL314)-ROW(AL$15),0),
              ROUND(ROUND(OFFSET($P314,0,AL$13),15-13*ORÇAMENTO!$AF$7)*OFFSET(ORÇAMENTO!$W$15,ROW(AL314)-ROW(AL$15),0),15-13*ORÇAMENTO!$AF$11)),
         0)</f>
        <v>0</v>
      </c>
      <c r="AM314" s="453">
        <f ca="1">IF(AND($D314="Serviço",AM$12&lt;&gt;0,$H314&gt;0,OR(AUTOEVENTO&lt;&gt;"manual",$M314&lt;&gt;$A$15)),
        IF(Import.TipoArredondamento&lt;&gt;"TransfereGOV",
              ROUND(OFFSET($P314,0,AM$13),15-13*ORÇAMENTO!$AF$7)/$H314*OFFSET(ORÇAMENTO!$X$15,ROW(AM314)-ROW(AM$15),0),
              ROUND(ROUND(OFFSET($P314,0,AM$13),15-13*ORÇAMENTO!$AF$7)*OFFSET(ORÇAMENTO!$W$15,ROW(AM314)-ROW(AM$15),0),15-13*ORÇAMENTO!$AF$11)),
         0)</f>
        <v>0</v>
      </c>
      <c r="AN314" s="453">
        <f ca="1">IF(AND($D314="Serviço",AN$12&lt;&gt;0,$H314&gt;0,OR(AUTOEVENTO&lt;&gt;"manual",$M314&lt;&gt;$A$15)),
        IF(Import.TipoArredondamento&lt;&gt;"TransfereGOV",
              ROUND(OFFSET($P314,0,AN$13),15-13*ORÇAMENTO!$AF$7)/$H314*OFFSET(ORÇAMENTO!$X$15,ROW(AN314)-ROW(AN$15),0),
              ROUND(ROUND(OFFSET($P314,0,AN$13),15-13*ORÇAMENTO!$AF$7)*OFFSET(ORÇAMENTO!$W$15,ROW(AN314)-ROW(AN$15),0),15-13*ORÇAMENTO!$AF$11)),
         0)</f>
        <v>0</v>
      </c>
      <c r="AO314" s="453">
        <f ca="1">IF(AND($D314="Serviço",AO$12&lt;&gt;0,$H314&gt;0,OR(AUTOEVENTO&lt;&gt;"manual",$M314&lt;&gt;$A$15)),
        IF(Import.TipoArredondamento&lt;&gt;"TransfereGOV",
              ROUND(OFFSET($P314,0,AO$13),15-13*ORÇAMENTO!$AF$7)/$H314*OFFSET(ORÇAMENTO!$X$15,ROW(AO314)-ROW(AO$15),0),
              ROUND(ROUND(OFFSET($P314,0,AO$13),15-13*ORÇAMENTO!$AF$7)*OFFSET(ORÇAMENTO!$W$15,ROW(AO314)-ROW(AO$15),0),15-13*ORÇAMENTO!$AF$11)),
         0)</f>
        <v>0</v>
      </c>
      <c r="AP314" s="453">
        <f ca="1">IF(AND($D314="Serviço",AP$12&lt;&gt;0,$H314&gt;0,OR(AUTOEVENTO&lt;&gt;"manual",$M314&lt;&gt;$A$15)),
        IF(Import.TipoArredondamento&lt;&gt;"TransfereGOV",
              ROUND(OFFSET($P314,0,AP$13),15-13*ORÇAMENTO!$AF$7)/$H314*OFFSET(ORÇAMENTO!$X$15,ROW(AP314)-ROW(AP$15),0),
              ROUND(ROUND(OFFSET($P314,0,AP$13),15-13*ORÇAMENTO!$AF$7)*OFFSET(ORÇAMENTO!$W$15,ROW(AP314)-ROW(AP$15),0),15-13*ORÇAMENTO!$AF$11)),
         0)</f>
        <v>0</v>
      </c>
      <c r="AQ314" s="453">
        <f ca="1">IF(AND($D314="Serviço",AQ$12&lt;&gt;0,$H314&gt;0,OR(AUTOEVENTO&lt;&gt;"manual",$M314&lt;&gt;$A$15)),
        IF(Import.TipoArredondamento&lt;&gt;"TransfereGOV",
              ROUND(OFFSET($P314,0,AQ$13),15-13*ORÇAMENTO!$AF$7)/$H314*OFFSET(ORÇAMENTO!$X$15,ROW(AQ314)-ROW(AQ$15),0),
              ROUND(ROUND(OFFSET($P314,0,AQ$13),15-13*ORÇAMENTO!$AF$7)*OFFSET(ORÇAMENTO!$W$15,ROW(AQ314)-ROW(AQ$15),0),15-13*ORÇAMENTO!$AF$11)),
         0)</f>
        <v>0</v>
      </c>
      <c r="AR314" s="453">
        <f ca="1">IF(AND($D314="Serviço",AR$12&lt;&gt;0,$H314&gt;0,OR(AUTOEVENTO&lt;&gt;"manual",$M314&lt;&gt;$A$15)),
        IF(Import.TipoArredondamento&lt;&gt;"TransfereGOV",
              ROUND(OFFSET($P314,0,AR$13),15-13*ORÇAMENTO!$AF$7)/$H314*OFFSET(ORÇAMENTO!$X$15,ROW(AR314)-ROW(AR$15),0),
              ROUND(ROUND(OFFSET($P314,0,AR$13),15-13*ORÇAMENTO!$AF$7)*OFFSET(ORÇAMENTO!$W$15,ROW(AR314)-ROW(AR$15),0),15-13*ORÇAMENTO!$AF$11)),
         0)</f>
        <v>0</v>
      </c>
      <c r="AS314" s="453">
        <f ca="1">IF(AND($D314="Serviço",AS$12&lt;&gt;0,$H314&gt;0,OR(AUTOEVENTO&lt;&gt;"manual",$M314&lt;&gt;$A$15)),
        IF(Import.TipoArredondamento&lt;&gt;"TransfereGOV",
              ROUND(OFFSET($P314,0,AS$13),15-13*ORÇAMENTO!$AF$7)/$H314*OFFSET(ORÇAMENTO!$X$15,ROW(AS314)-ROW(AS$15),0),
              ROUND(ROUND(OFFSET($P314,0,AS$13),15-13*ORÇAMENTO!$AF$7)*OFFSET(ORÇAMENTO!$W$15,ROW(AS314)-ROW(AS$15),0),15-13*ORÇAMENTO!$AF$11)),
         0)</f>
        <v>0</v>
      </c>
      <c r="AT314" s="453">
        <f ca="1">IF(AND($D314="Serviço",AT$12&lt;&gt;0,$H314&gt;0,OR(AUTOEVENTO&lt;&gt;"manual",$M314&lt;&gt;$A$15)),
        IF(Import.TipoArredondamento&lt;&gt;"TransfereGOV",
              ROUND(OFFSET($P314,0,AT$13),15-13*ORÇAMENTO!$AF$7)/$H314*OFFSET(ORÇAMENTO!$X$15,ROW(AT314)-ROW(AT$15),0),
              ROUND(ROUND(OFFSET($P314,0,AT$13),15-13*ORÇAMENTO!$AF$7)*OFFSET(ORÇAMENTO!$W$15,ROW(AT314)-ROW(AT$15),0),15-13*ORÇAMENTO!$AF$11)),
         0)</f>
        <v>0</v>
      </c>
      <c r="AU314" s="453">
        <f ca="1">IF(AND($D314="Serviço",AU$12&lt;&gt;0,$H314&gt;0,OR(AUTOEVENTO&lt;&gt;"manual",$M314&lt;&gt;$A$15)),
        IF(Import.TipoArredondamento&lt;&gt;"TransfereGOV",
              ROUND(OFFSET($P314,0,AU$13),15-13*ORÇAMENTO!$AF$7)/$H314*OFFSET(ORÇAMENTO!$X$15,ROW(AU314)-ROW(AU$15),0),
              ROUND(ROUND(OFFSET($P314,0,AU$13),15-13*ORÇAMENTO!$AF$7)*OFFSET(ORÇAMENTO!$W$15,ROW(AU314)-ROW(AU$15),0),15-13*ORÇAMENTO!$AF$11)),
         0)</f>
        <v>0</v>
      </c>
      <c r="AV314" s="453">
        <f ca="1">IF(AND($D314="Serviço",AV$12&lt;&gt;0,$H314&gt;0,OR(AUTOEVENTO&lt;&gt;"manual",$M314&lt;&gt;$A$15)),
        IF(Import.TipoArredondamento&lt;&gt;"TransfereGOV",
              ROUND(OFFSET($P314,0,AV$13),15-13*ORÇAMENTO!$AF$7)/$H314*OFFSET(ORÇAMENTO!$X$15,ROW(AV314)-ROW(AV$15),0),
              ROUND(ROUND(OFFSET($P314,0,AV$13),15-13*ORÇAMENTO!$AF$7)*OFFSET(ORÇAMENTO!$W$15,ROW(AV314)-ROW(AV$15),0),15-13*ORÇAMENTO!$AF$11)),
         0)</f>
        <v>0</v>
      </c>
      <c r="AW314" s="453">
        <f ca="1">IF(AND($D314="Serviço",AW$12&lt;&gt;0,$H314&gt;0,OR(AUTOEVENTO&lt;&gt;"manual",$M314&lt;&gt;$A$15)),
        IF(Import.TipoArredondamento&lt;&gt;"TransfereGOV",
              ROUND(OFFSET($P314,0,AW$13),15-13*ORÇAMENTO!$AF$7)/$H314*OFFSET(ORÇAMENTO!$X$15,ROW(AW314)-ROW(AW$15),0),
              ROUND(ROUND(OFFSET($P314,0,AW$13),15-13*ORÇAMENTO!$AF$7)*OFFSET(ORÇAMENTO!$W$15,ROW(AW314)-ROW(AW$15),0),15-13*ORÇAMENTO!$AF$11)),
         0)</f>
        <v>0</v>
      </c>
      <c r="AX314" s="453">
        <f ca="1">IF(AND($D314="Serviço",AX$12&lt;&gt;0,$H314&gt;0,OR(AUTOEVENTO&lt;&gt;"manual",$M314&lt;&gt;$A$15)),
        IF(Import.TipoArredondamento&lt;&gt;"TransfereGOV",
              ROUND(OFFSET($P314,0,AX$13),15-13*ORÇAMENTO!$AF$7)/$H314*OFFSET(ORÇAMENTO!$X$15,ROW(AX314)-ROW(AX$15),0),
              ROUND(ROUND(OFFSET($P314,0,AX$13),15-13*ORÇAMENTO!$AF$7)*OFFSET(ORÇAMENTO!$W$15,ROW(AX314)-ROW(AX$15),0),15-13*ORÇAMENTO!$AF$11)),
         0)</f>
        <v>0</v>
      </c>
      <c r="AY314" s="453">
        <f ca="1">IF(AND($D314="Serviço",AY$12&lt;&gt;0,$H314&gt;0,OR(AUTOEVENTO&lt;&gt;"manual",$M314&lt;&gt;$A$15)),
        IF(Import.TipoArredondamento&lt;&gt;"TransfereGOV",
              ROUND(OFFSET($P314,0,AY$13),15-13*ORÇAMENTO!$AF$7)/$H314*OFFSET(ORÇAMENTO!$X$15,ROW(AY314)-ROW(AY$15),0),
              ROUND(ROUND(OFFSET($P314,0,AY$13),15-13*ORÇAMENTO!$AF$7)*OFFSET(ORÇAMENTO!$W$15,ROW(AY314)-ROW(AY$15),0),15-13*ORÇAMENTO!$AF$11)),
         0)</f>
        <v>0</v>
      </c>
      <c r="AZ314" s="453">
        <f ca="1">IF(AND($D314="Serviço",AZ$12&lt;&gt;0,$H314&gt;0,OR(AUTOEVENTO&lt;&gt;"manual",$M314&lt;&gt;$A$15)),
        IF(Import.TipoArredondamento&lt;&gt;"TransfereGOV",
              ROUND(OFFSET($P314,0,AZ$13),15-13*ORÇAMENTO!$AF$7)/$H314*OFFSET(ORÇAMENTO!$X$15,ROW(AZ314)-ROW(AZ$15),0),
              ROUND(ROUND(OFFSET($P314,0,AZ$13),15-13*ORÇAMENTO!$AF$7)*OFFSET(ORÇAMENTO!$W$15,ROW(AZ314)-ROW(AZ$15),0),15-13*ORÇAMENTO!$AF$11)),
         0)</f>
        <v>0</v>
      </c>
      <c r="BA314" s="453">
        <f ca="1">IF(AND($D314="Serviço",BA$12&lt;&gt;0,$H314&gt;0,OR(AUTOEVENTO&lt;&gt;"manual",$M314&lt;&gt;$A$15)),
        IF(Import.TipoArredondamento&lt;&gt;"TransfereGOV",
              ROUND(OFFSET($P314,0,BA$13),15-13*ORÇAMENTO!$AF$7)/$H314*OFFSET(ORÇAMENTO!$X$15,ROW(BA314)-ROW(BA$15),0),
              ROUND(ROUND(OFFSET($P314,0,BA$13),15-13*ORÇAMENTO!$AF$7)*OFFSET(ORÇAMENTO!$W$15,ROW(BA314)-ROW(BA$15),0),15-13*ORÇAMENTO!$AF$11)),
         0)</f>
        <v>0</v>
      </c>
      <c r="BC314" s="171">
        <f ca="1">IF(OR($D314&lt;&gt;"Serviço",AND(AUTOEVENTO="Manual",$M314=$A$15)),0,
         IF(OFFSET(CRONOPLE!$F$15,$M314-$A$15,BC$13)=0,10^12,OFFSET(CRONOPLE!$F$15,$M314-$A$15,BC$13)))</f>
        <v>0</v>
      </c>
      <c r="BD314" s="171">
        <f ca="1">IF(OR($D314&lt;&gt;"Serviço",AND(AUTOEVENTO="Manual",$M314=$A$15)),0,
         IF(OFFSET(CRONOPLE!$F$15,$M314-$A$15,BD$13)=0,10^12,OFFSET(CRONOPLE!$F$15,$M314-$A$15,BD$13)))</f>
        <v>0</v>
      </c>
      <c r="BE314" s="171">
        <f ca="1">IF(OR($D314&lt;&gt;"Serviço",AND(AUTOEVENTO="Manual",$M314=$A$15)),0,
         IF(OFFSET(CRONOPLE!$F$15,$M314-$A$15,BE$13)=0,10^12,OFFSET(CRONOPLE!$F$15,$M314-$A$15,BE$13)))</f>
        <v>0</v>
      </c>
      <c r="BF314" s="171">
        <f ca="1">IF(OR($D314&lt;&gt;"Serviço",AND(AUTOEVENTO="Manual",$M314=$A$15)),0,
         IF(OFFSET(CRONOPLE!$F$15,$M314-$A$15,BF$13)=0,10^12,OFFSET(CRONOPLE!$F$15,$M314-$A$15,BF$13)))</f>
        <v>0</v>
      </c>
      <c r="BG314" s="171">
        <f ca="1">IF(OR($D314&lt;&gt;"Serviço",AND(AUTOEVENTO="Manual",$M314=$A$15)),0,
         IF(OFFSET(CRONOPLE!$F$15,$M314-$A$15,BG$13)=0,10^12,OFFSET(CRONOPLE!$F$15,$M314-$A$15,BG$13)))</f>
        <v>0</v>
      </c>
      <c r="BH314" s="171">
        <f ca="1">IF(OR($D314&lt;&gt;"Serviço",AND(AUTOEVENTO="Manual",$M314=$A$15)),0,
         IF(OFFSET(CRONOPLE!$F$15,$M314-$A$15,BH$13)=0,10^12,OFFSET(CRONOPLE!$F$15,$M314-$A$15,BH$13)))</f>
        <v>0</v>
      </c>
      <c r="BI314" s="171">
        <f ca="1">IF(OR($D314&lt;&gt;"Serviço",AND(AUTOEVENTO="Manual",$M314=$A$15)),0,
         IF(OFFSET(CRONOPLE!$F$15,$M314-$A$15,BI$13)=0,10^12,OFFSET(CRONOPLE!$F$15,$M314-$A$15,BI$13)))</f>
        <v>0</v>
      </c>
      <c r="BJ314" s="171">
        <f ca="1">IF(OR($D314&lt;&gt;"Serviço",AND(AUTOEVENTO="Manual",$M314=$A$15)),0,
         IF(OFFSET(CRONOPLE!$F$15,$M314-$A$15,BJ$13)=0,10^12,OFFSET(CRONOPLE!$F$15,$M314-$A$15,BJ$13)))</f>
        <v>0</v>
      </c>
      <c r="BK314" s="171">
        <f ca="1">IF(OR($D314&lt;&gt;"Serviço",AND(AUTOEVENTO="Manual",$M314=$A$15)),0,
         IF(OFFSET(CRONOPLE!$F$15,$M314-$A$15,BK$13)=0,10^12,OFFSET(CRONOPLE!$F$15,$M314-$A$15,BK$13)))</f>
        <v>0</v>
      </c>
      <c r="BL314" s="171">
        <f ca="1">IF(OR($D314&lt;&gt;"Serviço",AND(AUTOEVENTO="Manual",$M314=$A$15)),0,
         IF(OFFSET(CRONOPLE!$F$15,$M314-$A$15,BL$13)=0,10^12,OFFSET(CRONOPLE!$F$15,$M314-$A$15,BL$13)))</f>
        <v>0</v>
      </c>
      <c r="BM314" s="171">
        <f ca="1">IF(OR($D314&lt;&gt;"Serviço",AND(AUTOEVENTO="Manual",$M314=$A$15)),0,
         IF(OFFSET(CRONOPLE!$F$15,$M314-$A$15,BM$13)=0,10^12,OFFSET(CRONOPLE!$F$15,$M314-$A$15,BM$13)))</f>
        <v>0</v>
      </c>
      <c r="BN314" s="171">
        <f ca="1">IF(OR($D314&lt;&gt;"Serviço",AND(AUTOEVENTO="Manual",$M314=$A$15)),0,
         IF(OFFSET(CRONOPLE!$F$15,$M314-$A$15,BN$13)=0,10^12,OFFSET(CRONOPLE!$F$15,$M314-$A$15,BN$13)))</f>
        <v>0</v>
      </c>
      <c r="BO314" s="171">
        <f ca="1">IF(OR($D314&lt;&gt;"Serviço",AND(AUTOEVENTO="Manual",$M314=$A$15)),0,
         IF(OFFSET(CRONOPLE!$F$15,$M314-$A$15,BO$13)=0,10^12,OFFSET(CRONOPLE!$F$15,$M314-$A$15,BO$13)))</f>
        <v>0</v>
      </c>
      <c r="BP314" s="171">
        <f ca="1">IF(OR($D314&lt;&gt;"Serviço",AND(AUTOEVENTO="Manual",$M314=$A$15)),0,
         IF(OFFSET(CRONOPLE!$F$15,$M314-$A$15,BP$13)=0,10^12,OFFSET(CRONOPLE!$F$15,$M314-$A$15,BP$13)))</f>
        <v>0</v>
      </c>
      <c r="BQ314" s="171">
        <f ca="1">IF(OR($D314&lt;&gt;"Serviço",AND(AUTOEVENTO="Manual",$M314=$A$15)),0,
         IF(OFFSET(CRONOPLE!$F$15,$M314-$A$15,BQ$13)=0,10^12,OFFSET(CRONOPLE!$F$15,$M314-$A$15,BQ$13)))</f>
        <v>0</v>
      </c>
      <c r="BR314" s="171">
        <f ca="1">IF(OR($D314&lt;&gt;"Serviço",AND(AUTOEVENTO="Manual",$M314=$A$15)),0,
         IF(OFFSET(CRONOPLE!$F$15,$M314-$A$15,BR$13)=0,10^12,OFFSET(CRONOPLE!$F$15,$M314-$A$15,BR$13)))</f>
        <v>0</v>
      </c>
      <c r="BS314" s="171">
        <f ca="1">IF(OR($D314&lt;&gt;"Serviço",AND(AUTOEVENTO="Manual",$M314=$A$15)),0,
         IF(OFFSET(CRONOPLE!$F$15,$M314-$A$15,BS$13)=0,10^12,OFFSET(CRONOPLE!$F$15,$M314-$A$15,BS$13)))</f>
        <v>0</v>
      </c>
      <c r="BT314" s="171">
        <f ca="1">IF(OR($D314&lt;&gt;"Serviço",AND(AUTOEVENTO="Manual",$M314=$A$15)),0,
         IF(OFFSET(CRONOPLE!$F$15,$M314-$A$15,BT$13)=0,10^12,OFFSET(CRONOPLE!$F$15,$M314-$A$15,BT$13)))</f>
        <v>0</v>
      </c>
      <c r="BV314" s="172">
        <f ca="1">IF(OR($D314&lt;&gt;"Serviço",AND(AUTOEVENTO="Manual",$M314=$A$15),$M314&gt;(ROW(PLE.lastrow)-ROW(PLE.firstrow))),0,
           IF(OFFSET(PLE!$G$15,$M314-$A$15,BV$13)="",10^12,OFFSET(PLE!$G$15,$M314-$A$15,BV$13)))</f>
        <v>0</v>
      </c>
      <c r="BW314" s="172">
        <f ca="1">IF(OR($D314&lt;&gt;"Serviço",AND(AUTOEVENTO="Manual",$M314=$A$15),$M314&gt;(ROW(PLE.lastrow)-ROW(PLE.firstrow))),0,
           IF(OFFSET(PLE!$G$15,$M314-$A$15,BW$13)="",10^12,OFFSET(PLE!$G$15,$M314-$A$15,BW$13)))</f>
        <v>0</v>
      </c>
      <c r="BX314" s="172">
        <f ca="1">IF(OR($D314&lt;&gt;"Serviço",AND(AUTOEVENTO="Manual",$M314=$A$15),$M314&gt;(ROW(PLE.lastrow)-ROW(PLE.firstrow))),0,
           IF(OFFSET(PLE!$G$15,$M314-$A$15,BX$13)="",10^12,OFFSET(PLE!$G$15,$M314-$A$15,BX$13)))</f>
        <v>0</v>
      </c>
      <c r="BY314" s="172">
        <f ca="1">IF(OR($D314&lt;&gt;"Serviço",AND(AUTOEVENTO="Manual",$M314=$A$15),$M314&gt;(ROW(PLE.lastrow)-ROW(PLE.firstrow))),0,
           IF(OFFSET(PLE!$G$15,$M314-$A$15,BY$13)="",10^12,OFFSET(PLE!$G$15,$M314-$A$15,BY$13)))</f>
        <v>0</v>
      </c>
      <c r="BZ314" s="172">
        <f ca="1">IF(OR($D314&lt;&gt;"Serviço",AND(AUTOEVENTO="Manual",$M314=$A$15),$M314&gt;(ROW(PLE.lastrow)-ROW(PLE.firstrow))),0,
           IF(OFFSET(PLE!$G$15,$M314-$A$15,BZ$13)="",10^12,OFFSET(PLE!$G$15,$M314-$A$15,BZ$13)))</f>
        <v>0</v>
      </c>
      <c r="CA314" s="172">
        <f ca="1">IF(OR($D314&lt;&gt;"Serviço",AND(AUTOEVENTO="Manual",$M314=$A$15),$M314&gt;(ROW(PLE.lastrow)-ROW(PLE.firstrow))),0,
           IF(OFFSET(PLE!$G$15,$M314-$A$15,CA$13)="",10^12,OFFSET(PLE!$G$15,$M314-$A$15,CA$13)))</f>
        <v>0</v>
      </c>
      <c r="CB314" s="172">
        <f ca="1">IF(OR($D314&lt;&gt;"Serviço",AND(AUTOEVENTO="Manual",$M314=$A$15),$M314&gt;(ROW(PLE.lastrow)-ROW(PLE.firstrow))),0,
           IF(OFFSET(PLE!$G$15,$M314-$A$15,CB$13)="",10^12,OFFSET(PLE!$G$15,$M314-$A$15,CB$13)))</f>
        <v>0</v>
      </c>
      <c r="CC314" s="172">
        <f ca="1">IF(OR($D314&lt;&gt;"Serviço",AND(AUTOEVENTO="Manual",$M314=$A$15),$M314&gt;(ROW(PLE.lastrow)-ROW(PLE.firstrow))),0,
           IF(OFFSET(PLE!$G$15,$M314-$A$15,CC$13)="",10^12,OFFSET(PLE!$G$15,$M314-$A$15,CC$13)))</f>
        <v>0</v>
      </c>
      <c r="CD314" s="172">
        <f ca="1">IF(OR($D314&lt;&gt;"Serviço",AND(AUTOEVENTO="Manual",$M314=$A$15),$M314&gt;(ROW(PLE.lastrow)-ROW(PLE.firstrow))),0,
           IF(OFFSET(PLE!$G$15,$M314-$A$15,CD$13)="",10^12,OFFSET(PLE!$G$15,$M314-$A$15,CD$13)))</f>
        <v>0</v>
      </c>
      <c r="CE314" s="172">
        <f ca="1">IF(OR($D314&lt;&gt;"Serviço",AND(AUTOEVENTO="Manual",$M314=$A$15),$M314&gt;(ROW(PLE.lastrow)-ROW(PLE.firstrow))),0,
           IF(OFFSET(PLE!$G$15,$M314-$A$15,CE$13)="",10^12,OFFSET(PLE!$G$15,$M314-$A$15,CE$13)))</f>
        <v>0</v>
      </c>
      <c r="CF314" s="172">
        <f ca="1">IF(OR($D314&lt;&gt;"Serviço",AND(AUTOEVENTO="Manual",$M314=$A$15),$M314&gt;(ROW(PLE.lastrow)-ROW(PLE.firstrow))),0,
           IF(OFFSET(PLE!$G$15,$M314-$A$15,CF$13)="",10^12,OFFSET(PLE!$G$15,$M314-$A$15,CF$13)))</f>
        <v>0</v>
      </c>
      <c r="CG314" s="172">
        <f ca="1">IF(OR($D314&lt;&gt;"Serviço",AND(AUTOEVENTO="Manual",$M314=$A$15),$M314&gt;(ROW(PLE.lastrow)-ROW(PLE.firstrow))),0,
           IF(OFFSET(PLE!$G$15,$M314-$A$15,CG$13)="",10^12,OFFSET(PLE!$G$15,$M314-$A$15,CG$13)))</f>
        <v>0</v>
      </c>
      <c r="CH314" s="172">
        <f ca="1">IF(OR($D314&lt;&gt;"Serviço",AND(AUTOEVENTO="Manual",$M314=$A$15),$M314&gt;(ROW(PLE.lastrow)-ROW(PLE.firstrow))),0,
           IF(OFFSET(PLE!$G$15,$M314-$A$15,CH$13)="",10^12,OFFSET(PLE!$G$15,$M314-$A$15,CH$13)))</f>
        <v>0</v>
      </c>
      <c r="CI314" s="172">
        <f ca="1">IF(OR($D314&lt;&gt;"Serviço",AND(AUTOEVENTO="Manual",$M314=$A$15),$M314&gt;(ROW(PLE.lastrow)-ROW(PLE.firstrow))),0,
           IF(OFFSET(PLE!$G$15,$M314-$A$15,CI$13)="",10^12,OFFSET(PLE!$G$15,$M314-$A$15,CI$13)))</f>
        <v>0</v>
      </c>
      <c r="CJ314" s="172">
        <f ca="1">IF(OR($D314&lt;&gt;"Serviço",AND(AUTOEVENTO="Manual",$M314=$A$15),$M314&gt;(ROW(PLE.lastrow)-ROW(PLE.firstrow))),0,
           IF(OFFSET(PLE!$G$15,$M314-$A$15,CJ$13)="",10^12,OFFSET(PLE!$G$15,$M314-$A$15,CJ$13)))</f>
        <v>0</v>
      </c>
      <c r="CK314" s="172">
        <f ca="1">IF(OR($D314&lt;&gt;"Serviço",AND(AUTOEVENTO="Manual",$M314=$A$15),$M314&gt;(ROW(PLE.lastrow)-ROW(PLE.firstrow))),0,
           IF(OFFSET(PLE!$G$15,$M314-$A$15,CK$13)="",10^12,OFFSET(PLE!$G$15,$M314-$A$15,CK$13)))</f>
        <v>0</v>
      </c>
      <c r="CL314" s="172">
        <f ca="1">IF(OR($D314&lt;&gt;"Serviço",AND(AUTOEVENTO="Manual",$M314=$A$15),$M314&gt;(ROW(PLE.lastrow)-ROW(PLE.firstrow))),0,
           IF(OFFSET(PLE!$G$15,$M314-$A$15,CL$13)="",10^12,OFFSET(PLE!$G$15,$M314-$A$15,CL$13)))</f>
        <v>0</v>
      </c>
      <c r="CM314" s="172">
        <f ca="1">IF(OR($D314&lt;&gt;"Serviço",AND(AUTOEVENTO="Manual",$M314=$A$15),$M314&gt;(ROW(PLE.lastrow)-ROW(PLE.firstrow))),0,
           IF(OFFSET(PLE!$G$15,$M314-$A$15,CM$13)="",10^12,OFFSET(PLE!$G$15,$M314-$A$15,CM$13)))</f>
        <v>0</v>
      </c>
    </row>
    <row r="315" spans="1:91" ht="25.5" x14ac:dyDescent="0.2">
      <c r="A315" s="7">
        <f t="shared" ca="1" si="14"/>
        <v>6</v>
      </c>
      <c r="B315" s="7" t="str">
        <f ca="1">OFFSET(ORÇAMENTO!C$15,ROW(B315)-ROW(B$15),0)</f>
        <v>S</v>
      </c>
      <c r="C315" s="7" t="str">
        <f ca="1">OFFSET(ORÇAMENTO!L$15,ROW(C315)-ROW(C$15),0)</f>
        <v>F</v>
      </c>
      <c r="D315" s="116" t="str">
        <f ca="1">OFFSET(ORÇAMENTO!N$15,ROW(D315)-ROW(D$15),0)</f>
        <v>Serviço</v>
      </c>
      <c r="E315" s="117" t="str">
        <f ca="1">OFFSET(ORÇAMENTO!O$15,ROW(E315)-ROW(E$15),0)</f>
        <v>1.7.4.3.1.</v>
      </c>
      <c r="F315" s="163" t="str">
        <f ca="1">OFFSET(ORÇAMENTO!R$15,ROW(F315)-ROW(F$15),0)</f>
        <v>ASSENTAMENTO DE CONEXÕES EM FERRO FUNDIDO, JUNTA ELÁSTICA, DN = 150 MM - BASEADO EM ORSE (5283)</v>
      </c>
      <c r="G315" s="164" t="str">
        <f ca="1">IF($D315&lt;&gt;"Serviço","",OFFSET(ORÇAMENTO!S$15,ROW(G315)-ROW(G$15),0))</f>
        <v>UN</v>
      </c>
      <c r="H315" s="122" cm="1">
        <f t="array" aca="1" ref="H315" ca="1">IF($D315&lt;&gt;"Serviço",0,IF(ACOMPANHAMENTO="BM",ROUND(OFFSET(ORÇAMENTO!AJ$15,ROW(H315)-ROW(H$15),0),15-13*ORÇAMENTO!$AF$7),SUMPRODUCT(($Q$1:$AI$1=1)*ROUND($Q315:$AI315,15-13*ORÇAMENTO!$AF$7))))</f>
        <v>31</v>
      </c>
      <c r="I315" s="468" t="s">
        <v>1347</v>
      </c>
      <c r="J315" s="640" t="str" cm="1">
        <f t="array" aca="1" ref="J315" ca="1">IF(OR(B315&lt;&gt;"S",CÁLCULO.FrentesPreenchidas=0),"",IF(AND(ACOMPANHAMENTO="PLE",AUTOEVENTO="Manual",OR(H315&gt;0,ORÇAMENTO!AC315="QUANT."),OR(K315="",M315=0,N315="")),"►E",IF(AND(ACOMPANHAMENTO="PLE",ORÇAMENTO!AC315="QUANT."),"►Q",IF(AND(ACOMPANHAMENTO="PLE",H315&lt;&gt;SUMPRODUCT(($Q$1:$AI$1=1)*ROUND(Q315:AI315,15))),"►S",IF(AND(COUNTIF($P$11:$AI$11,"▼")=0,H315&gt;0,I315=""),"◄M","")))))</f>
        <v/>
      </c>
      <c r="K315" s="641" t="s">
        <v>1385</v>
      </c>
      <c r="L315" s="165" t="s">
        <v>764</v>
      </c>
      <c r="M315" s="166">
        <f ca="1">IF($D315&lt;&gt;"Serviço","",
          IF(AUTOEVENTO="manual",$A315,
                IF(ISERROR(MATCH($A315,$A$15:OFFSET($A315,-1,0),0)),MAX($M$15:OFFSET(M315,-1,0))+1,
                      INDEX($M$15:OFFSET(M315,-1,0),MATCH($A315,$A$15:OFFSET($A315,-1,0),0)))))</f>
        <v>6</v>
      </c>
      <c r="N315" s="167" t="str">
        <f ca="1">IF($D315&lt;&gt;"Serviço","",
         IF(AUTOEVENTO="Manual",
                IF($A315=0,"&lt;-- defina o número do agrupador",
                       OFFSET(EVENTOS!$D$15,$A315-$A$15,0)),
                OFFSET($F$15,$A315,0)))</f>
        <v>Saneamento</v>
      </c>
      <c r="O315" s="168"/>
      <c r="Q315" s="168"/>
      <c r="R315" s="169"/>
      <c r="S315" s="169"/>
      <c r="T315" s="169"/>
      <c r="U315" s="169">
        <f>U304+U306+U307+U309</f>
        <v>31</v>
      </c>
      <c r="V315" s="169"/>
      <c r="W315" s="169"/>
      <c r="X315" s="169"/>
      <c r="Y315" s="169"/>
      <c r="Z315" s="170"/>
      <c r="AA315" s="169"/>
      <c r="AB315" s="169"/>
      <c r="AC315" s="169"/>
      <c r="AD315" s="169"/>
      <c r="AE315" s="169"/>
      <c r="AF315" s="169"/>
      <c r="AG315" s="169"/>
      <c r="AH315" s="170"/>
      <c r="AJ315" s="453">
        <f ca="1">IF(AND($D315="Serviço",AJ$12&lt;&gt;0,$H315&gt;0,OR(AUTOEVENTO&lt;&gt;"manual",$M315&lt;&gt;$A$15)),
        IF(Import.TipoArredondamento&lt;&gt;"TransfereGOV",
              ROUND(OFFSET($P315,0,AJ$13),15-13*ORÇAMENTO!$AF$7)/$H315*OFFSET(ORÇAMENTO!$X$15,ROW(AJ315)-ROW(AJ$15),0),
              ROUND(ROUND(OFFSET($P315,0,AJ$13),15-13*ORÇAMENTO!$AF$7)*OFFSET(ORÇAMENTO!$W$15,ROW(AJ315)-ROW(AJ$15),0),15-13*ORÇAMENTO!$AF$11)),
         0)</f>
        <v>0</v>
      </c>
      <c r="AK315" s="453">
        <f ca="1">IF(AND($D315="Serviço",AK$12&lt;&gt;0,$H315&gt;0,OR(AUTOEVENTO&lt;&gt;"manual",$M315&lt;&gt;$A$15)),
        IF(Import.TipoArredondamento&lt;&gt;"TransfereGOV",
              ROUND(OFFSET($P315,0,AK$13),15-13*ORÇAMENTO!$AF$7)/$H315*OFFSET(ORÇAMENTO!$X$15,ROW(AK315)-ROW(AK$15),0),
              ROUND(ROUND(OFFSET($P315,0,AK$13),15-13*ORÇAMENTO!$AF$7)*OFFSET(ORÇAMENTO!$W$15,ROW(AK315)-ROW(AK$15),0),15-13*ORÇAMENTO!$AF$11)),
         0)</f>
        <v>0</v>
      </c>
      <c r="AL315" s="453">
        <f ca="1">IF(AND($D315="Serviço",AL$12&lt;&gt;0,$H315&gt;0,OR(AUTOEVENTO&lt;&gt;"manual",$M315&lt;&gt;$A$15)),
        IF(Import.TipoArredondamento&lt;&gt;"TransfereGOV",
              ROUND(OFFSET($P315,0,AL$13),15-13*ORÇAMENTO!$AF$7)/$H315*OFFSET(ORÇAMENTO!$X$15,ROW(AL315)-ROW(AL$15),0),
              ROUND(ROUND(OFFSET($P315,0,AL$13),15-13*ORÇAMENTO!$AF$7)*OFFSET(ORÇAMENTO!$W$15,ROW(AL315)-ROW(AL$15),0),15-13*ORÇAMENTO!$AF$11)),
         0)</f>
        <v>0</v>
      </c>
      <c r="AM315" s="453">
        <f ca="1">IF(AND($D315="Serviço",AM$12&lt;&gt;0,$H315&gt;0,OR(AUTOEVENTO&lt;&gt;"manual",$M315&lt;&gt;$A$15)),
        IF(Import.TipoArredondamento&lt;&gt;"TransfereGOV",
              ROUND(OFFSET($P315,0,AM$13),15-13*ORÇAMENTO!$AF$7)/$H315*OFFSET(ORÇAMENTO!$X$15,ROW(AM315)-ROW(AM$15),0),
              ROUND(ROUND(OFFSET($P315,0,AM$13),15-13*ORÇAMENTO!$AF$7)*OFFSET(ORÇAMENTO!$W$15,ROW(AM315)-ROW(AM$15),0),15-13*ORÇAMENTO!$AF$11)),
         0)</f>
        <v>0</v>
      </c>
      <c r="AN315" s="453">
        <f ca="1">IF(AND($D315="Serviço",AN$12&lt;&gt;0,$H315&gt;0,OR(AUTOEVENTO&lt;&gt;"manual",$M315&lt;&gt;$A$15)),
        IF(Import.TipoArredondamento&lt;&gt;"TransfereGOV",
              ROUND(OFFSET($P315,0,AN$13),15-13*ORÇAMENTO!$AF$7)/$H315*OFFSET(ORÇAMENTO!$X$15,ROW(AN315)-ROW(AN$15),0),
              ROUND(ROUND(OFFSET($P315,0,AN$13),15-13*ORÇAMENTO!$AF$7)*OFFSET(ORÇAMENTO!$W$15,ROW(AN315)-ROW(AN$15),0),15-13*ORÇAMENTO!$AF$11)),
         0)</f>
        <v>0</v>
      </c>
      <c r="AO315" s="453">
        <f ca="1">IF(AND($D315="Serviço",AO$12&lt;&gt;0,$H315&gt;0,OR(AUTOEVENTO&lt;&gt;"manual",$M315&lt;&gt;$A$15)),
        IF(Import.TipoArredondamento&lt;&gt;"TransfereGOV",
              ROUND(OFFSET($P315,0,AO$13),15-13*ORÇAMENTO!$AF$7)/$H315*OFFSET(ORÇAMENTO!$X$15,ROW(AO315)-ROW(AO$15),0),
              ROUND(ROUND(OFFSET($P315,0,AO$13),15-13*ORÇAMENTO!$AF$7)*OFFSET(ORÇAMENTO!$W$15,ROW(AO315)-ROW(AO$15),0),15-13*ORÇAMENTO!$AF$11)),
         0)</f>
        <v>0</v>
      </c>
      <c r="AP315" s="453">
        <f ca="1">IF(AND($D315="Serviço",AP$12&lt;&gt;0,$H315&gt;0,OR(AUTOEVENTO&lt;&gt;"manual",$M315&lt;&gt;$A$15)),
        IF(Import.TipoArredondamento&lt;&gt;"TransfereGOV",
              ROUND(OFFSET($P315,0,AP$13),15-13*ORÇAMENTO!$AF$7)/$H315*OFFSET(ORÇAMENTO!$X$15,ROW(AP315)-ROW(AP$15),0),
              ROUND(ROUND(OFFSET($P315,0,AP$13),15-13*ORÇAMENTO!$AF$7)*OFFSET(ORÇAMENTO!$W$15,ROW(AP315)-ROW(AP$15),0),15-13*ORÇAMENTO!$AF$11)),
         0)</f>
        <v>0</v>
      </c>
      <c r="AQ315" s="453">
        <f ca="1">IF(AND($D315="Serviço",AQ$12&lt;&gt;0,$H315&gt;0,OR(AUTOEVENTO&lt;&gt;"manual",$M315&lt;&gt;$A$15)),
        IF(Import.TipoArredondamento&lt;&gt;"TransfereGOV",
              ROUND(OFFSET($P315,0,AQ$13),15-13*ORÇAMENTO!$AF$7)/$H315*OFFSET(ORÇAMENTO!$X$15,ROW(AQ315)-ROW(AQ$15),0),
              ROUND(ROUND(OFFSET($P315,0,AQ$13),15-13*ORÇAMENTO!$AF$7)*OFFSET(ORÇAMENTO!$W$15,ROW(AQ315)-ROW(AQ$15),0),15-13*ORÇAMENTO!$AF$11)),
         0)</f>
        <v>0</v>
      </c>
      <c r="AR315" s="453">
        <f ca="1">IF(AND($D315="Serviço",AR$12&lt;&gt;0,$H315&gt;0,OR(AUTOEVENTO&lt;&gt;"manual",$M315&lt;&gt;$A$15)),
        IF(Import.TipoArredondamento&lt;&gt;"TransfereGOV",
              ROUND(OFFSET($P315,0,AR$13),15-13*ORÇAMENTO!$AF$7)/$H315*OFFSET(ORÇAMENTO!$X$15,ROW(AR315)-ROW(AR$15),0),
              ROUND(ROUND(OFFSET($P315,0,AR$13),15-13*ORÇAMENTO!$AF$7)*OFFSET(ORÇAMENTO!$W$15,ROW(AR315)-ROW(AR$15),0),15-13*ORÇAMENTO!$AF$11)),
         0)</f>
        <v>0</v>
      </c>
      <c r="AS315" s="453">
        <f ca="1">IF(AND($D315="Serviço",AS$12&lt;&gt;0,$H315&gt;0,OR(AUTOEVENTO&lt;&gt;"manual",$M315&lt;&gt;$A$15)),
        IF(Import.TipoArredondamento&lt;&gt;"TransfereGOV",
              ROUND(OFFSET($P315,0,AS$13),15-13*ORÇAMENTO!$AF$7)/$H315*OFFSET(ORÇAMENTO!$X$15,ROW(AS315)-ROW(AS$15),0),
              ROUND(ROUND(OFFSET($P315,0,AS$13),15-13*ORÇAMENTO!$AF$7)*OFFSET(ORÇAMENTO!$W$15,ROW(AS315)-ROW(AS$15),0),15-13*ORÇAMENTO!$AF$11)),
         0)</f>
        <v>0</v>
      </c>
      <c r="AT315" s="453">
        <f ca="1">IF(AND($D315="Serviço",AT$12&lt;&gt;0,$H315&gt;0,OR(AUTOEVENTO&lt;&gt;"manual",$M315&lt;&gt;$A$15)),
        IF(Import.TipoArredondamento&lt;&gt;"TransfereGOV",
              ROUND(OFFSET($P315,0,AT$13),15-13*ORÇAMENTO!$AF$7)/$H315*OFFSET(ORÇAMENTO!$X$15,ROW(AT315)-ROW(AT$15),0),
              ROUND(ROUND(OFFSET($P315,0,AT$13),15-13*ORÇAMENTO!$AF$7)*OFFSET(ORÇAMENTO!$W$15,ROW(AT315)-ROW(AT$15),0),15-13*ORÇAMENTO!$AF$11)),
         0)</f>
        <v>0</v>
      </c>
      <c r="AU315" s="453">
        <f ca="1">IF(AND($D315="Serviço",AU$12&lt;&gt;0,$H315&gt;0,OR(AUTOEVENTO&lt;&gt;"manual",$M315&lt;&gt;$A$15)),
        IF(Import.TipoArredondamento&lt;&gt;"TransfereGOV",
              ROUND(OFFSET($P315,0,AU$13),15-13*ORÇAMENTO!$AF$7)/$H315*OFFSET(ORÇAMENTO!$X$15,ROW(AU315)-ROW(AU$15),0),
              ROUND(ROUND(OFFSET($P315,0,AU$13),15-13*ORÇAMENTO!$AF$7)*OFFSET(ORÇAMENTO!$W$15,ROW(AU315)-ROW(AU$15),0),15-13*ORÇAMENTO!$AF$11)),
         0)</f>
        <v>0</v>
      </c>
      <c r="AV315" s="453">
        <f ca="1">IF(AND($D315="Serviço",AV$12&lt;&gt;0,$H315&gt;0,OR(AUTOEVENTO&lt;&gt;"manual",$M315&lt;&gt;$A$15)),
        IF(Import.TipoArredondamento&lt;&gt;"TransfereGOV",
              ROUND(OFFSET($P315,0,AV$13),15-13*ORÇAMENTO!$AF$7)/$H315*OFFSET(ORÇAMENTO!$X$15,ROW(AV315)-ROW(AV$15),0),
              ROUND(ROUND(OFFSET($P315,0,AV$13),15-13*ORÇAMENTO!$AF$7)*OFFSET(ORÇAMENTO!$W$15,ROW(AV315)-ROW(AV$15),0),15-13*ORÇAMENTO!$AF$11)),
         0)</f>
        <v>0</v>
      </c>
      <c r="AW315" s="453">
        <f ca="1">IF(AND($D315="Serviço",AW$12&lt;&gt;0,$H315&gt;0,OR(AUTOEVENTO&lt;&gt;"manual",$M315&lt;&gt;$A$15)),
        IF(Import.TipoArredondamento&lt;&gt;"TransfereGOV",
              ROUND(OFFSET($P315,0,AW$13),15-13*ORÇAMENTO!$AF$7)/$H315*OFFSET(ORÇAMENTO!$X$15,ROW(AW315)-ROW(AW$15),0),
              ROUND(ROUND(OFFSET($P315,0,AW$13),15-13*ORÇAMENTO!$AF$7)*OFFSET(ORÇAMENTO!$W$15,ROW(AW315)-ROW(AW$15),0),15-13*ORÇAMENTO!$AF$11)),
         0)</f>
        <v>0</v>
      </c>
      <c r="AX315" s="453">
        <f ca="1">IF(AND($D315="Serviço",AX$12&lt;&gt;0,$H315&gt;0,OR(AUTOEVENTO&lt;&gt;"manual",$M315&lt;&gt;$A$15)),
        IF(Import.TipoArredondamento&lt;&gt;"TransfereGOV",
              ROUND(OFFSET($P315,0,AX$13),15-13*ORÇAMENTO!$AF$7)/$H315*OFFSET(ORÇAMENTO!$X$15,ROW(AX315)-ROW(AX$15),0),
              ROUND(ROUND(OFFSET($P315,0,AX$13),15-13*ORÇAMENTO!$AF$7)*OFFSET(ORÇAMENTO!$W$15,ROW(AX315)-ROW(AX$15),0),15-13*ORÇAMENTO!$AF$11)),
         0)</f>
        <v>0</v>
      </c>
      <c r="AY315" s="453">
        <f ca="1">IF(AND($D315="Serviço",AY$12&lt;&gt;0,$H315&gt;0,OR(AUTOEVENTO&lt;&gt;"manual",$M315&lt;&gt;$A$15)),
        IF(Import.TipoArredondamento&lt;&gt;"TransfereGOV",
              ROUND(OFFSET($P315,0,AY$13),15-13*ORÇAMENTO!$AF$7)/$H315*OFFSET(ORÇAMENTO!$X$15,ROW(AY315)-ROW(AY$15),0),
              ROUND(ROUND(OFFSET($P315,0,AY$13),15-13*ORÇAMENTO!$AF$7)*OFFSET(ORÇAMENTO!$W$15,ROW(AY315)-ROW(AY$15),0),15-13*ORÇAMENTO!$AF$11)),
         0)</f>
        <v>0</v>
      </c>
      <c r="AZ315" s="453">
        <f ca="1">IF(AND($D315="Serviço",AZ$12&lt;&gt;0,$H315&gt;0,OR(AUTOEVENTO&lt;&gt;"manual",$M315&lt;&gt;$A$15)),
        IF(Import.TipoArredondamento&lt;&gt;"TransfereGOV",
              ROUND(OFFSET($P315,0,AZ$13),15-13*ORÇAMENTO!$AF$7)/$H315*OFFSET(ORÇAMENTO!$X$15,ROW(AZ315)-ROW(AZ$15),0),
              ROUND(ROUND(OFFSET($P315,0,AZ$13),15-13*ORÇAMENTO!$AF$7)*OFFSET(ORÇAMENTO!$W$15,ROW(AZ315)-ROW(AZ$15),0),15-13*ORÇAMENTO!$AF$11)),
         0)</f>
        <v>0</v>
      </c>
      <c r="BA315" s="453">
        <f ca="1">IF(AND($D315="Serviço",BA$12&lt;&gt;0,$H315&gt;0,OR(AUTOEVENTO&lt;&gt;"manual",$M315&lt;&gt;$A$15)),
        IF(Import.TipoArredondamento&lt;&gt;"TransfereGOV",
              ROUND(OFFSET($P315,0,BA$13),15-13*ORÇAMENTO!$AF$7)/$H315*OFFSET(ORÇAMENTO!$X$15,ROW(BA315)-ROW(BA$15),0),
              ROUND(ROUND(OFFSET($P315,0,BA$13),15-13*ORÇAMENTO!$AF$7)*OFFSET(ORÇAMENTO!$W$15,ROW(BA315)-ROW(BA$15),0),15-13*ORÇAMENTO!$AF$11)),
         0)</f>
        <v>0</v>
      </c>
      <c r="BC315" s="171">
        <f ca="1">IF(OR($D315&lt;&gt;"Serviço",AND(AUTOEVENTO="Manual",$M315=$A$15)),0,
         IF(OFFSET(CRONOPLE!$F$15,$M315-$A$15,BC$13)=0,10^12,OFFSET(CRONOPLE!$F$15,$M315-$A$15,BC$13)))</f>
        <v>1</v>
      </c>
      <c r="BD315" s="171">
        <f ca="1">IF(OR($D315&lt;&gt;"Serviço",AND(AUTOEVENTO="Manual",$M315=$A$15)),0,
         IF(OFFSET(CRONOPLE!$F$15,$M315-$A$15,BD$13)=0,10^12,OFFSET(CRONOPLE!$F$15,$M315-$A$15,BD$13)))</f>
        <v>2</v>
      </c>
      <c r="BE315" s="171">
        <f ca="1">IF(OR($D315&lt;&gt;"Serviço",AND(AUTOEVENTO="Manual",$M315=$A$15)),0,
         IF(OFFSET(CRONOPLE!$F$15,$M315-$A$15,BE$13)=0,10^12,OFFSET(CRONOPLE!$F$15,$M315-$A$15,BE$13)))</f>
        <v>3</v>
      </c>
      <c r="BF315" s="171">
        <f ca="1">IF(OR($D315&lt;&gt;"Serviço",AND(AUTOEVENTO="Manual",$M315=$A$15)),0,
         IF(OFFSET(CRONOPLE!$F$15,$M315-$A$15,BF$13)=0,10^12,OFFSET(CRONOPLE!$F$15,$M315-$A$15,BF$13)))</f>
        <v>4</v>
      </c>
      <c r="BG315" s="171">
        <f ca="1">IF(OR($D315&lt;&gt;"Serviço",AND(AUTOEVENTO="Manual",$M315=$A$15)),0,
         IF(OFFSET(CRONOPLE!$F$15,$M315-$A$15,BG$13)=0,10^12,OFFSET(CRONOPLE!$F$15,$M315-$A$15,BG$13)))</f>
        <v>5</v>
      </c>
      <c r="BH315" s="171">
        <f ca="1">IF(OR($D315&lt;&gt;"Serviço",AND(AUTOEVENTO="Manual",$M315=$A$15)),0,
         IF(OFFSET(CRONOPLE!$F$15,$M315-$A$15,BH$13)=0,10^12,OFFSET(CRONOPLE!$F$15,$M315-$A$15,BH$13)))</f>
        <v>6</v>
      </c>
      <c r="BI315" s="171">
        <f ca="1">IF(OR($D315&lt;&gt;"Serviço",AND(AUTOEVENTO="Manual",$M315=$A$15)),0,
         IF(OFFSET(CRONOPLE!$F$15,$M315-$A$15,BI$13)=0,10^12,OFFSET(CRONOPLE!$F$15,$M315-$A$15,BI$13)))</f>
        <v>7</v>
      </c>
      <c r="BJ315" s="171">
        <f ca="1">IF(OR($D315&lt;&gt;"Serviço",AND(AUTOEVENTO="Manual",$M315=$A$15)),0,
         IF(OFFSET(CRONOPLE!$F$15,$M315-$A$15,BJ$13)=0,10^12,OFFSET(CRONOPLE!$F$15,$M315-$A$15,BJ$13)))</f>
        <v>8</v>
      </c>
      <c r="BK315" s="171">
        <f ca="1">IF(OR($D315&lt;&gt;"Serviço",AND(AUTOEVENTO="Manual",$M315=$A$15)),0,
         IF(OFFSET(CRONOPLE!$F$15,$M315-$A$15,BK$13)=0,10^12,OFFSET(CRONOPLE!$F$15,$M315-$A$15,BK$13)))</f>
        <v>9</v>
      </c>
      <c r="BL315" s="171">
        <f ca="1">IF(OR($D315&lt;&gt;"Serviço",AND(AUTOEVENTO="Manual",$M315=$A$15)),0,
         IF(OFFSET(CRONOPLE!$F$15,$M315-$A$15,BL$13)=0,10^12,OFFSET(CRONOPLE!$F$15,$M315-$A$15,BL$13)))</f>
        <v>1000000000000</v>
      </c>
      <c r="BM315" s="171">
        <f ca="1">IF(OR($D315&lt;&gt;"Serviço",AND(AUTOEVENTO="Manual",$M315=$A$15)),0,
         IF(OFFSET(CRONOPLE!$F$15,$M315-$A$15,BM$13)=0,10^12,OFFSET(CRONOPLE!$F$15,$M315-$A$15,BM$13)))</f>
        <v>1000000000000</v>
      </c>
      <c r="BN315" s="171">
        <f ca="1">IF(OR($D315&lt;&gt;"Serviço",AND(AUTOEVENTO="Manual",$M315=$A$15)),0,
         IF(OFFSET(CRONOPLE!$F$15,$M315-$A$15,BN$13)=0,10^12,OFFSET(CRONOPLE!$F$15,$M315-$A$15,BN$13)))</f>
        <v>1000000000000</v>
      </c>
      <c r="BO315" s="171">
        <f ca="1">IF(OR($D315&lt;&gt;"Serviço",AND(AUTOEVENTO="Manual",$M315=$A$15)),0,
         IF(OFFSET(CRONOPLE!$F$15,$M315-$A$15,BO$13)=0,10^12,OFFSET(CRONOPLE!$F$15,$M315-$A$15,BO$13)))</f>
        <v>1000000000000</v>
      </c>
      <c r="BP315" s="171">
        <f ca="1">IF(OR($D315&lt;&gt;"Serviço",AND(AUTOEVENTO="Manual",$M315=$A$15)),0,
         IF(OFFSET(CRONOPLE!$F$15,$M315-$A$15,BP$13)=0,10^12,OFFSET(CRONOPLE!$F$15,$M315-$A$15,BP$13)))</f>
        <v>1000000000000</v>
      </c>
      <c r="BQ315" s="171">
        <f ca="1">IF(OR($D315&lt;&gt;"Serviço",AND(AUTOEVENTO="Manual",$M315=$A$15)),0,
         IF(OFFSET(CRONOPLE!$F$15,$M315-$A$15,BQ$13)=0,10^12,OFFSET(CRONOPLE!$F$15,$M315-$A$15,BQ$13)))</f>
        <v>1000000000000</v>
      </c>
      <c r="BR315" s="171">
        <f ca="1">IF(OR($D315&lt;&gt;"Serviço",AND(AUTOEVENTO="Manual",$M315=$A$15)),0,
         IF(OFFSET(CRONOPLE!$F$15,$M315-$A$15,BR$13)=0,10^12,OFFSET(CRONOPLE!$F$15,$M315-$A$15,BR$13)))</f>
        <v>1000000000000</v>
      </c>
      <c r="BS315" s="171">
        <f ca="1">IF(OR($D315&lt;&gt;"Serviço",AND(AUTOEVENTO="Manual",$M315=$A$15)),0,
         IF(OFFSET(CRONOPLE!$F$15,$M315-$A$15,BS$13)=0,10^12,OFFSET(CRONOPLE!$F$15,$M315-$A$15,BS$13)))</f>
        <v>1000000000000</v>
      </c>
      <c r="BT315" s="171">
        <f ca="1">IF(OR($D315&lt;&gt;"Serviço",AND(AUTOEVENTO="Manual",$M315=$A$15)),0,
         IF(OFFSET(CRONOPLE!$F$15,$M315-$A$15,BT$13)=0,10^12,OFFSET(CRONOPLE!$F$15,$M315-$A$15,BT$13)))</f>
        <v>1000000000000</v>
      </c>
      <c r="BV315" s="172">
        <f ca="1">IF(OR($D315&lt;&gt;"Serviço",AND(AUTOEVENTO="Manual",$M315=$A$15),$M315&gt;(ROW(PLE.lastrow)-ROW(PLE.firstrow))),0,
           IF(OFFSET(PLE!$G$15,$M315-$A$15,BV$13)="",10^12,OFFSET(PLE!$G$15,$M315-$A$15,BV$13)))</f>
        <v>1000000000000</v>
      </c>
      <c r="BW315" s="172">
        <f ca="1">IF(OR($D315&lt;&gt;"Serviço",AND(AUTOEVENTO="Manual",$M315=$A$15),$M315&gt;(ROW(PLE.lastrow)-ROW(PLE.firstrow))),0,
           IF(OFFSET(PLE!$G$15,$M315-$A$15,BW$13)="",10^12,OFFSET(PLE!$G$15,$M315-$A$15,BW$13)))</f>
        <v>1000000000000</v>
      </c>
      <c r="BX315" s="172">
        <f ca="1">IF(OR($D315&lt;&gt;"Serviço",AND(AUTOEVENTO="Manual",$M315=$A$15),$M315&gt;(ROW(PLE.lastrow)-ROW(PLE.firstrow))),0,
           IF(OFFSET(PLE!$G$15,$M315-$A$15,BX$13)="",10^12,OFFSET(PLE!$G$15,$M315-$A$15,BX$13)))</f>
        <v>1000000000000</v>
      </c>
      <c r="BY315" s="172">
        <f ca="1">IF(OR($D315&lt;&gt;"Serviço",AND(AUTOEVENTO="Manual",$M315=$A$15),$M315&gt;(ROW(PLE.lastrow)-ROW(PLE.firstrow))),0,
           IF(OFFSET(PLE!$G$15,$M315-$A$15,BY$13)="",10^12,OFFSET(PLE!$G$15,$M315-$A$15,BY$13)))</f>
        <v>1000000000000</v>
      </c>
      <c r="BZ315" s="172">
        <f ca="1">IF(OR($D315&lt;&gt;"Serviço",AND(AUTOEVENTO="Manual",$M315=$A$15),$M315&gt;(ROW(PLE.lastrow)-ROW(PLE.firstrow))),0,
           IF(OFFSET(PLE!$G$15,$M315-$A$15,BZ$13)="",10^12,OFFSET(PLE!$G$15,$M315-$A$15,BZ$13)))</f>
        <v>1000000000000</v>
      </c>
      <c r="CA315" s="172">
        <f ca="1">IF(OR($D315&lt;&gt;"Serviço",AND(AUTOEVENTO="Manual",$M315=$A$15),$M315&gt;(ROW(PLE.lastrow)-ROW(PLE.firstrow))),0,
           IF(OFFSET(PLE!$G$15,$M315-$A$15,CA$13)="",10^12,OFFSET(PLE!$G$15,$M315-$A$15,CA$13)))</f>
        <v>1000000000000</v>
      </c>
      <c r="CB315" s="172">
        <f ca="1">IF(OR($D315&lt;&gt;"Serviço",AND(AUTOEVENTO="Manual",$M315=$A$15),$M315&gt;(ROW(PLE.lastrow)-ROW(PLE.firstrow))),0,
           IF(OFFSET(PLE!$G$15,$M315-$A$15,CB$13)="",10^12,OFFSET(PLE!$G$15,$M315-$A$15,CB$13)))</f>
        <v>1000000000000</v>
      </c>
      <c r="CC315" s="172">
        <f ca="1">IF(OR($D315&lt;&gt;"Serviço",AND(AUTOEVENTO="Manual",$M315=$A$15),$M315&gt;(ROW(PLE.lastrow)-ROW(PLE.firstrow))),0,
           IF(OFFSET(PLE!$G$15,$M315-$A$15,CC$13)="",10^12,OFFSET(PLE!$G$15,$M315-$A$15,CC$13)))</f>
        <v>1000000000000</v>
      </c>
      <c r="CD315" s="172">
        <f ca="1">IF(OR($D315&lt;&gt;"Serviço",AND(AUTOEVENTO="Manual",$M315=$A$15),$M315&gt;(ROW(PLE.lastrow)-ROW(PLE.firstrow))),0,
           IF(OFFSET(PLE!$G$15,$M315-$A$15,CD$13)="",10^12,OFFSET(PLE!$G$15,$M315-$A$15,CD$13)))</f>
        <v>1000000000000</v>
      </c>
      <c r="CE315" s="172">
        <f ca="1">IF(OR($D315&lt;&gt;"Serviço",AND(AUTOEVENTO="Manual",$M315=$A$15),$M315&gt;(ROW(PLE.lastrow)-ROW(PLE.firstrow))),0,
           IF(OFFSET(PLE!$G$15,$M315-$A$15,CE$13)="",10^12,OFFSET(PLE!$G$15,$M315-$A$15,CE$13)))</f>
        <v>1000000000000</v>
      </c>
      <c r="CF315" s="172">
        <f ca="1">IF(OR($D315&lt;&gt;"Serviço",AND(AUTOEVENTO="Manual",$M315=$A$15),$M315&gt;(ROW(PLE.lastrow)-ROW(PLE.firstrow))),0,
           IF(OFFSET(PLE!$G$15,$M315-$A$15,CF$13)="",10^12,OFFSET(PLE!$G$15,$M315-$A$15,CF$13)))</f>
        <v>1000000000000</v>
      </c>
      <c r="CG315" s="172">
        <f ca="1">IF(OR($D315&lt;&gt;"Serviço",AND(AUTOEVENTO="Manual",$M315=$A$15),$M315&gt;(ROW(PLE.lastrow)-ROW(PLE.firstrow))),0,
           IF(OFFSET(PLE!$G$15,$M315-$A$15,CG$13)="",10^12,OFFSET(PLE!$G$15,$M315-$A$15,CG$13)))</f>
        <v>1000000000000</v>
      </c>
      <c r="CH315" s="172">
        <f ca="1">IF(OR($D315&lt;&gt;"Serviço",AND(AUTOEVENTO="Manual",$M315=$A$15),$M315&gt;(ROW(PLE.lastrow)-ROW(PLE.firstrow))),0,
           IF(OFFSET(PLE!$G$15,$M315-$A$15,CH$13)="",10^12,OFFSET(PLE!$G$15,$M315-$A$15,CH$13)))</f>
        <v>1000000000000</v>
      </c>
      <c r="CI315" s="172">
        <f ca="1">IF(OR($D315&lt;&gt;"Serviço",AND(AUTOEVENTO="Manual",$M315=$A$15),$M315&gt;(ROW(PLE.lastrow)-ROW(PLE.firstrow))),0,
           IF(OFFSET(PLE!$G$15,$M315-$A$15,CI$13)="",10^12,OFFSET(PLE!$G$15,$M315-$A$15,CI$13)))</f>
        <v>1000000000000</v>
      </c>
      <c r="CJ315" s="172">
        <f ca="1">IF(OR($D315&lt;&gt;"Serviço",AND(AUTOEVENTO="Manual",$M315=$A$15),$M315&gt;(ROW(PLE.lastrow)-ROW(PLE.firstrow))),0,
           IF(OFFSET(PLE!$G$15,$M315-$A$15,CJ$13)="",10^12,OFFSET(PLE!$G$15,$M315-$A$15,CJ$13)))</f>
        <v>1000000000000</v>
      </c>
      <c r="CK315" s="172">
        <f ca="1">IF(OR($D315&lt;&gt;"Serviço",AND(AUTOEVENTO="Manual",$M315=$A$15),$M315&gt;(ROW(PLE.lastrow)-ROW(PLE.firstrow))),0,
           IF(OFFSET(PLE!$G$15,$M315-$A$15,CK$13)="",10^12,OFFSET(PLE!$G$15,$M315-$A$15,CK$13)))</f>
        <v>1000000000000</v>
      </c>
      <c r="CL315" s="172">
        <f ca="1">IF(OR($D315&lt;&gt;"Serviço",AND(AUTOEVENTO="Manual",$M315=$A$15),$M315&gt;(ROW(PLE.lastrow)-ROW(PLE.firstrow))),0,
           IF(OFFSET(PLE!$G$15,$M315-$A$15,CL$13)="",10^12,OFFSET(PLE!$G$15,$M315-$A$15,CL$13)))</f>
        <v>1000000000000</v>
      </c>
      <c r="CM315" s="172">
        <f ca="1">IF(OR($D315&lt;&gt;"Serviço",AND(AUTOEVENTO="Manual",$M315=$A$15),$M315&gt;(ROW(PLE.lastrow)-ROW(PLE.firstrow))),0,
           IF(OFFSET(PLE!$G$15,$M315-$A$15,CM$13)="",10^12,OFFSET(PLE!$G$15,$M315-$A$15,CM$13)))</f>
        <v>1000000000000</v>
      </c>
    </row>
    <row r="316" spans="1:91" ht="51" x14ac:dyDescent="0.2">
      <c r="A316" s="7">
        <f t="shared" ca="1" si="14"/>
        <v>6</v>
      </c>
      <c r="B316" s="7" t="str">
        <f ca="1">OFFSET(ORÇAMENTO!C$15,ROW(B316)-ROW(B$15),0)</f>
        <v>S</v>
      </c>
      <c r="C316" s="7" t="str">
        <f ca="1">OFFSET(ORÇAMENTO!L$15,ROW(C316)-ROW(C$15),0)</f>
        <v>F</v>
      </c>
      <c r="D316" s="116" t="str">
        <f ca="1">OFFSET(ORÇAMENTO!N$15,ROW(D316)-ROW(D$15),0)</f>
        <v>Serviço</v>
      </c>
      <c r="E316" s="117" t="str">
        <f ca="1">OFFSET(ORÇAMENTO!O$15,ROW(E316)-ROW(E$15),0)</f>
        <v>1.7.4.3.2.</v>
      </c>
      <c r="F316" s="163" t="str">
        <f ca="1">OFFSET(ORÇAMENTO!R$15,ROW(F316)-ROW(F$15),0)</f>
        <v>ASSENTAMENTO DE TUBO DE FERRO FUNDIDO PARA REDE DE ÁGUA, DN 150 MM, JUNTA ELÁSTICA, INSTALADO EM LOCAL COM NÍVEL BAIXO DE INTERFERÊNCIAS (NÃO INCLUI FORNECIMENTO). AF_05/2024</v>
      </c>
      <c r="G316" s="164" t="str">
        <f ca="1">IF($D316&lt;&gt;"Serviço","",OFFSET(ORÇAMENTO!S$15,ROW(G316)-ROW(G$15),0))</f>
        <v>M</v>
      </c>
      <c r="H316" s="122" cm="1">
        <f t="array" aca="1" ref="H316" ca="1">IF($D316&lt;&gt;"Serviço",0,IF(ACOMPANHAMENTO="BM",ROUND(OFFSET(ORÇAMENTO!AJ$15,ROW(H316)-ROW(H$15),0),15-13*ORÇAMENTO!$AF$7),SUMPRODUCT(($Q$1:$AI$1=1)*ROUND($Q316:$AI316,15-13*ORÇAMENTO!$AF$7))))</f>
        <v>8.4</v>
      </c>
      <c r="I316" s="468" t="s">
        <v>1347</v>
      </c>
      <c r="J316" s="640" t="str" cm="1">
        <f t="array" aca="1" ref="J316" ca="1">IF(OR(B316&lt;&gt;"S",CÁLCULO.FrentesPreenchidas=0),"",IF(AND(ACOMPANHAMENTO="PLE",AUTOEVENTO="Manual",OR(H316&gt;0,ORÇAMENTO!AC316="QUANT."),OR(K316="",M316=0,N316="")),"►E",IF(AND(ACOMPANHAMENTO="PLE",ORÇAMENTO!AC316="QUANT."),"►Q",IF(AND(ACOMPANHAMENTO="PLE",H316&lt;&gt;SUMPRODUCT(($Q$1:$AI$1=1)*ROUND(Q316:AI316,15))),"►S",IF(AND(COUNTIF($P$11:$AI$11,"▼")=0,H316&gt;0,I316=""),"◄M","")))))</f>
        <v/>
      </c>
      <c r="K316" s="641" t="s">
        <v>1385</v>
      </c>
      <c r="L316" s="165" t="s">
        <v>764</v>
      </c>
      <c r="M316" s="166">
        <f ca="1">IF($D316&lt;&gt;"Serviço","",
          IF(AUTOEVENTO="manual",$A316,
                IF(ISERROR(MATCH($A316,$A$15:OFFSET($A316,-1,0),0)),MAX($M$15:OFFSET(M316,-1,0))+1,
                      INDEX($M$15:OFFSET(M316,-1,0),MATCH($A316,$A$15:OFFSET($A316,-1,0),0)))))</f>
        <v>6</v>
      </c>
      <c r="N316" s="167" t="str">
        <f ca="1">IF($D316&lt;&gt;"Serviço","",
         IF(AUTOEVENTO="Manual",
                IF($A316=0,"&lt;-- defina o número do agrupador",
                       OFFSET(EVENTOS!$D$15,$A316-$A$15,0)),
                OFFSET($F$15,$A316,0)))</f>
        <v>Saneamento</v>
      </c>
      <c r="O316" s="168"/>
      <c r="Q316" s="168"/>
      <c r="R316" s="169"/>
      <c r="S316" s="169"/>
      <c r="T316" s="169"/>
      <c r="U316" s="169">
        <f>U305*0.9+U308*0.5</f>
        <v>8.4</v>
      </c>
      <c r="V316" s="169"/>
      <c r="W316" s="169"/>
      <c r="X316" s="169"/>
      <c r="Y316" s="169"/>
      <c r="Z316" s="170"/>
      <c r="AA316" s="169"/>
      <c r="AB316" s="169"/>
      <c r="AC316" s="169"/>
      <c r="AD316" s="169"/>
      <c r="AE316" s="169"/>
      <c r="AF316" s="169"/>
      <c r="AG316" s="169"/>
      <c r="AH316" s="170"/>
      <c r="AJ316" s="453">
        <f ca="1">IF(AND($D316="Serviço",AJ$12&lt;&gt;0,$H316&gt;0,OR(AUTOEVENTO&lt;&gt;"manual",$M316&lt;&gt;$A$15)),
        IF(Import.TipoArredondamento&lt;&gt;"TransfereGOV",
              ROUND(OFFSET($P316,0,AJ$13),15-13*ORÇAMENTO!$AF$7)/$H316*OFFSET(ORÇAMENTO!$X$15,ROW(AJ316)-ROW(AJ$15),0),
              ROUND(ROUND(OFFSET($P316,0,AJ$13),15-13*ORÇAMENTO!$AF$7)*OFFSET(ORÇAMENTO!$W$15,ROW(AJ316)-ROW(AJ$15),0),15-13*ORÇAMENTO!$AF$11)),
         0)</f>
        <v>0</v>
      </c>
      <c r="AK316" s="453">
        <f ca="1">IF(AND($D316="Serviço",AK$12&lt;&gt;0,$H316&gt;0,OR(AUTOEVENTO&lt;&gt;"manual",$M316&lt;&gt;$A$15)),
        IF(Import.TipoArredondamento&lt;&gt;"TransfereGOV",
              ROUND(OFFSET($P316,0,AK$13),15-13*ORÇAMENTO!$AF$7)/$H316*OFFSET(ORÇAMENTO!$X$15,ROW(AK316)-ROW(AK$15),0),
              ROUND(ROUND(OFFSET($P316,0,AK$13),15-13*ORÇAMENTO!$AF$7)*OFFSET(ORÇAMENTO!$W$15,ROW(AK316)-ROW(AK$15),0),15-13*ORÇAMENTO!$AF$11)),
         0)</f>
        <v>0</v>
      </c>
      <c r="AL316" s="453">
        <f ca="1">IF(AND($D316="Serviço",AL$12&lt;&gt;0,$H316&gt;0,OR(AUTOEVENTO&lt;&gt;"manual",$M316&lt;&gt;$A$15)),
        IF(Import.TipoArredondamento&lt;&gt;"TransfereGOV",
              ROUND(OFFSET($P316,0,AL$13),15-13*ORÇAMENTO!$AF$7)/$H316*OFFSET(ORÇAMENTO!$X$15,ROW(AL316)-ROW(AL$15),0),
              ROUND(ROUND(OFFSET($P316,0,AL$13),15-13*ORÇAMENTO!$AF$7)*OFFSET(ORÇAMENTO!$W$15,ROW(AL316)-ROW(AL$15),0),15-13*ORÇAMENTO!$AF$11)),
         0)</f>
        <v>0</v>
      </c>
      <c r="AM316" s="453">
        <f ca="1">IF(AND($D316="Serviço",AM$12&lt;&gt;0,$H316&gt;0,OR(AUTOEVENTO&lt;&gt;"manual",$M316&lt;&gt;$A$15)),
        IF(Import.TipoArredondamento&lt;&gt;"TransfereGOV",
              ROUND(OFFSET($P316,0,AM$13),15-13*ORÇAMENTO!$AF$7)/$H316*OFFSET(ORÇAMENTO!$X$15,ROW(AM316)-ROW(AM$15),0),
              ROUND(ROUND(OFFSET($P316,0,AM$13),15-13*ORÇAMENTO!$AF$7)*OFFSET(ORÇAMENTO!$W$15,ROW(AM316)-ROW(AM$15),0),15-13*ORÇAMENTO!$AF$11)),
         0)</f>
        <v>0</v>
      </c>
      <c r="AN316" s="453">
        <f ca="1">IF(AND($D316="Serviço",AN$12&lt;&gt;0,$H316&gt;0,OR(AUTOEVENTO&lt;&gt;"manual",$M316&lt;&gt;$A$15)),
        IF(Import.TipoArredondamento&lt;&gt;"TransfereGOV",
              ROUND(OFFSET($P316,0,AN$13),15-13*ORÇAMENTO!$AF$7)/$H316*OFFSET(ORÇAMENTO!$X$15,ROW(AN316)-ROW(AN$15),0),
              ROUND(ROUND(OFFSET($P316,0,AN$13),15-13*ORÇAMENTO!$AF$7)*OFFSET(ORÇAMENTO!$W$15,ROW(AN316)-ROW(AN$15),0),15-13*ORÇAMENTO!$AF$11)),
         0)</f>
        <v>0</v>
      </c>
      <c r="AO316" s="453">
        <f ca="1">IF(AND($D316="Serviço",AO$12&lt;&gt;0,$H316&gt;0,OR(AUTOEVENTO&lt;&gt;"manual",$M316&lt;&gt;$A$15)),
        IF(Import.TipoArredondamento&lt;&gt;"TransfereGOV",
              ROUND(OFFSET($P316,0,AO$13),15-13*ORÇAMENTO!$AF$7)/$H316*OFFSET(ORÇAMENTO!$X$15,ROW(AO316)-ROW(AO$15),0),
              ROUND(ROUND(OFFSET($P316,0,AO$13),15-13*ORÇAMENTO!$AF$7)*OFFSET(ORÇAMENTO!$W$15,ROW(AO316)-ROW(AO$15),0),15-13*ORÇAMENTO!$AF$11)),
         0)</f>
        <v>0</v>
      </c>
      <c r="AP316" s="453">
        <f ca="1">IF(AND($D316="Serviço",AP$12&lt;&gt;0,$H316&gt;0,OR(AUTOEVENTO&lt;&gt;"manual",$M316&lt;&gt;$A$15)),
        IF(Import.TipoArredondamento&lt;&gt;"TransfereGOV",
              ROUND(OFFSET($P316,0,AP$13),15-13*ORÇAMENTO!$AF$7)/$H316*OFFSET(ORÇAMENTO!$X$15,ROW(AP316)-ROW(AP$15),0),
              ROUND(ROUND(OFFSET($P316,0,AP$13),15-13*ORÇAMENTO!$AF$7)*OFFSET(ORÇAMENTO!$W$15,ROW(AP316)-ROW(AP$15),0),15-13*ORÇAMENTO!$AF$11)),
         0)</f>
        <v>0</v>
      </c>
      <c r="AQ316" s="453">
        <f ca="1">IF(AND($D316="Serviço",AQ$12&lt;&gt;0,$H316&gt;0,OR(AUTOEVENTO&lt;&gt;"manual",$M316&lt;&gt;$A$15)),
        IF(Import.TipoArredondamento&lt;&gt;"TransfereGOV",
              ROUND(OFFSET($P316,0,AQ$13),15-13*ORÇAMENTO!$AF$7)/$H316*OFFSET(ORÇAMENTO!$X$15,ROW(AQ316)-ROW(AQ$15),0),
              ROUND(ROUND(OFFSET($P316,0,AQ$13),15-13*ORÇAMENTO!$AF$7)*OFFSET(ORÇAMENTO!$W$15,ROW(AQ316)-ROW(AQ$15),0),15-13*ORÇAMENTO!$AF$11)),
         0)</f>
        <v>0</v>
      </c>
      <c r="AR316" s="453">
        <f ca="1">IF(AND($D316="Serviço",AR$12&lt;&gt;0,$H316&gt;0,OR(AUTOEVENTO&lt;&gt;"manual",$M316&lt;&gt;$A$15)),
        IF(Import.TipoArredondamento&lt;&gt;"TransfereGOV",
              ROUND(OFFSET($P316,0,AR$13),15-13*ORÇAMENTO!$AF$7)/$H316*OFFSET(ORÇAMENTO!$X$15,ROW(AR316)-ROW(AR$15),0),
              ROUND(ROUND(OFFSET($P316,0,AR$13),15-13*ORÇAMENTO!$AF$7)*OFFSET(ORÇAMENTO!$W$15,ROW(AR316)-ROW(AR$15),0),15-13*ORÇAMENTO!$AF$11)),
         0)</f>
        <v>0</v>
      </c>
      <c r="AS316" s="453">
        <f ca="1">IF(AND($D316="Serviço",AS$12&lt;&gt;0,$H316&gt;0,OR(AUTOEVENTO&lt;&gt;"manual",$M316&lt;&gt;$A$15)),
        IF(Import.TipoArredondamento&lt;&gt;"TransfereGOV",
              ROUND(OFFSET($P316,0,AS$13),15-13*ORÇAMENTO!$AF$7)/$H316*OFFSET(ORÇAMENTO!$X$15,ROW(AS316)-ROW(AS$15),0),
              ROUND(ROUND(OFFSET($P316,0,AS$13),15-13*ORÇAMENTO!$AF$7)*OFFSET(ORÇAMENTO!$W$15,ROW(AS316)-ROW(AS$15),0),15-13*ORÇAMENTO!$AF$11)),
         0)</f>
        <v>0</v>
      </c>
      <c r="AT316" s="453">
        <f ca="1">IF(AND($D316="Serviço",AT$12&lt;&gt;0,$H316&gt;0,OR(AUTOEVENTO&lt;&gt;"manual",$M316&lt;&gt;$A$15)),
        IF(Import.TipoArredondamento&lt;&gt;"TransfereGOV",
              ROUND(OFFSET($P316,0,AT$13),15-13*ORÇAMENTO!$AF$7)/$H316*OFFSET(ORÇAMENTO!$X$15,ROW(AT316)-ROW(AT$15),0),
              ROUND(ROUND(OFFSET($P316,0,AT$13),15-13*ORÇAMENTO!$AF$7)*OFFSET(ORÇAMENTO!$W$15,ROW(AT316)-ROW(AT$15),0),15-13*ORÇAMENTO!$AF$11)),
         0)</f>
        <v>0</v>
      </c>
      <c r="AU316" s="453">
        <f ca="1">IF(AND($D316="Serviço",AU$12&lt;&gt;0,$H316&gt;0,OR(AUTOEVENTO&lt;&gt;"manual",$M316&lt;&gt;$A$15)),
        IF(Import.TipoArredondamento&lt;&gt;"TransfereGOV",
              ROUND(OFFSET($P316,0,AU$13),15-13*ORÇAMENTO!$AF$7)/$H316*OFFSET(ORÇAMENTO!$X$15,ROW(AU316)-ROW(AU$15),0),
              ROUND(ROUND(OFFSET($P316,0,AU$13),15-13*ORÇAMENTO!$AF$7)*OFFSET(ORÇAMENTO!$W$15,ROW(AU316)-ROW(AU$15),0),15-13*ORÇAMENTO!$AF$11)),
         0)</f>
        <v>0</v>
      </c>
      <c r="AV316" s="453">
        <f ca="1">IF(AND($D316="Serviço",AV$12&lt;&gt;0,$H316&gt;0,OR(AUTOEVENTO&lt;&gt;"manual",$M316&lt;&gt;$A$15)),
        IF(Import.TipoArredondamento&lt;&gt;"TransfereGOV",
              ROUND(OFFSET($P316,0,AV$13),15-13*ORÇAMENTO!$AF$7)/$H316*OFFSET(ORÇAMENTO!$X$15,ROW(AV316)-ROW(AV$15),0),
              ROUND(ROUND(OFFSET($P316,0,AV$13),15-13*ORÇAMENTO!$AF$7)*OFFSET(ORÇAMENTO!$W$15,ROW(AV316)-ROW(AV$15),0),15-13*ORÇAMENTO!$AF$11)),
         0)</f>
        <v>0</v>
      </c>
      <c r="AW316" s="453">
        <f ca="1">IF(AND($D316="Serviço",AW$12&lt;&gt;0,$H316&gt;0,OR(AUTOEVENTO&lt;&gt;"manual",$M316&lt;&gt;$A$15)),
        IF(Import.TipoArredondamento&lt;&gt;"TransfereGOV",
              ROUND(OFFSET($P316,0,AW$13),15-13*ORÇAMENTO!$AF$7)/$H316*OFFSET(ORÇAMENTO!$X$15,ROW(AW316)-ROW(AW$15),0),
              ROUND(ROUND(OFFSET($P316,0,AW$13),15-13*ORÇAMENTO!$AF$7)*OFFSET(ORÇAMENTO!$W$15,ROW(AW316)-ROW(AW$15),0),15-13*ORÇAMENTO!$AF$11)),
         0)</f>
        <v>0</v>
      </c>
      <c r="AX316" s="453">
        <f ca="1">IF(AND($D316="Serviço",AX$12&lt;&gt;0,$H316&gt;0,OR(AUTOEVENTO&lt;&gt;"manual",$M316&lt;&gt;$A$15)),
        IF(Import.TipoArredondamento&lt;&gt;"TransfereGOV",
              ROUND(OFFSET($P316,0,AX$13),15-13*ORÇAMENTO!$AF$7)/$H316*OFFSET(ORÇAMENTO!$X$15,ROW(AX316)-ROW(AX$15),0),
              ROUND(ROUND(OFFSET($P316,0,AX$13),15-13*ORÇAMENTO!$AF$7)*OFFSET(ORÇAMENTO!$W$15,ROW(AX316)-ROW(AX$15),0),15-13*ORÇAMENTO!$AF$11)),
         0)</f>
        <v>0</v>
      </c>
      <c r="AY316" s="453">
        <f ca="1">IF(AND($D316="Serviço",AY$12&lt;&gt;0,$H316&gt;0,OR(AUTOEVENTO&lt;&gt;"manual",$M316&lt;&gt;$A$15)),
        IF(Import.TipoArredondamento&lt;&gt;"TransfereGOV",
              ROUND(OFFSET($P316,0,AY$13),15-13*ORÇAMENTO!$AF$7)/$H316*OFFSET(ORÇAMENTO!$X$15,ROW(AY316)-ROW(AY$15),0),
              ROUND(ROUND(OFFSET($P316,0,AY$13),15-13*ORÇAMENTO!$AF$7)*OFFSET(ORÇAMENTO!$W$15,ROW(AY316)-ROW(AY$15),0),15-13*ORÇAMENTO!$AF$11)),
         0)</f>
        <v>0</v>
      </c>
      <c r="AZ316" s="453">
        <f ca="1">IF(AND($D316="Serviço",AZ$12&lt;&gt;0,$H316&gt;0,OR(AUTOEVENTO&lt;&gt;"manual",$M316&lt;&gt;$A$15)),
        IF(Import.TipoArredondamento&lt;&gt;"TransfereGOV",
              ROUND(OFFSET($P316,0,AZ$13),15-13*ORÇAMENTO!$AF$7)/$H316*OFFSET(ORÇAMENTO!$X$15,ROW(AZ316)-ROW(AZ$15),0),
              ROUND(ROUND(OFFSET($P316,0,AZ$13),15-13*ORÇAMENTO!$AF$7)*OFFSET(ORÇAMENTO!$W$15,ROW(AZ316)-ROW(AZ$15),0),15-13*ORÇAMENTO!$AF$11)),
         0)</f>
        <v>0</v>
      </c>
      <c r="BA316" s="453">
        <f ca="1">IF(AND($D316="Serviço",BA$12&lt;&gt;0,$H316&gt;0,OR(AUTOEVENTO&lt;&gt;"manual",$M316&lt;&gt;$A$15)),
        IF(Import.TipoArredondamento&lt;&gt;"TransfereGOV",
              ROUND(OFFSET($P316,0,BA$13),15-13*ORÇAMENTO!$AF$7)/$H316*OFFSET(ORÇAMENTO!$X$15,ROW(BA316)-ROW(BA$15),0),
              ROUND(ROUND(OFFSET($P316,0,BA$13),15-13*ORÇAMENTO!$AF$7)*OFFSET(ORÇAMENTO!$W$15,ROW(BA316)-ROW(BA$15),0),15-13*ORÇAMENTO!$AF$11)),
         0)</f>
        <v>0</v>
      </c>
      <c r="BC316" s="171">
        <f ca="1">IF(OR($D316&lt;&gt;"Serviço",AND(AUTOEVENTO="Manual",$M316=$A$15)),0,
         IF(OFFSET(CRONOPLE!$F$15,$M316-$A$15,BC$13)=0,10^12,OFFSET(CRONOPLE!$F$15,$M316-$A$15,BC$13)))</f>
        <v>1</v>
      </c>
      <c r="BD316" s="171">
        <f ca="1">IF(OR($D316&lt;&gt;"Serviço",AND(AUTOEVENTO="Manual",$M316=$A$15)),0,
         IF(OFFSET(CRONOPLE!$F$15,$M316-$A$15,BD$13)=0,10^12,OFFSET(CRONOPLE!$F$15,$M316-$A$15,BD$13)))</f>
        <v>2</v>
      </c>
      <c r="BE316" s="171">
        <f ca="1">IF(OR($D316&lt;&gt;"Serviço",AND(AUTOEVENTO="Manual",$M316=$A$15)),0,
         IF(OFFSET(CRONOPLE!$F$15,$M316-$A$15,BE$13)=0,10^12,OFFSET(CRONOPLE!$F$15,$M316-$A$15,BE$13)))</f>
        <v>3</v>
      </c>
      <c r="BF316" s="171">
        <f ca="1">IF(OR($D316&lt;&gt;"Serviço",AND(AUTOEVENTO="Manual",$M316=$A$15)),0,
         IF(OFFSET(CRONOPLE!$F$15,$M316-$A$15,BF$13)=0,10^12,OFFSET(CRONOPLE!$F$15,$M316-$A$15,BF$13)))</f>
        <v>4</v>
      </c>
      <c r="BG316" s="171">
        <f ca="1">IF(OR($D316&lt;&gt;"Serviço",AND(AUTOEVENTO="Manual",$M316=$A$15)),0,
         IF(OFFSET(CRONOPLE!$F$15,$M316-$A$15,BG$13)=0,10^12,OFFSET(CRONOPLE!$F$15,$M316-$A$15,BG$13)))</f>
        <v>5</v>
      </c>
      <c r="BH316" s="171">
        <f ca="1">IF(OR($D316&lt;&gt;"Serviço",AND(AUTOEVENTO="Manual",$M316=$A$15)),0,
         IF(OFFSET(CRONOPLE!$F$15,$M316-$A$15,BH$13)=0,10^12,OFFSET(CRONOPLE!$F$15,$M316-$A$15,BH$13)))</f>
        <v>6</v>
      </c>
      <c r="BI316" s="171">
        <f ca="1">IF(OR($D316&lt;&gt;"Serviço",AND(AUTOEVENTO="Manual",$M316=$A$15)),0,
         IF(OFFSET(CRONOPLE!$F$15,$M316-$A$15,BI$13)=0,10^12,OFFSET(CRONOPLE!$F$15,$M316-$A$15,BI$13)))</f>
        <v>7</v>
      </c>
      <c r="BJ316" s="171">
        <f ca="1">IF(OR($D316&lt;&gt;"Serviço",AND(AUTOEVENTO="Manual",$M316=$A$15)),0,
         IF(OFFSET(CRONOPLE!$F$15,$M316-$A$15,BJ$13)=0,10^12,OFFSET(CRONOPLE!$F$15,$M316-$A$15,BJ$13)))</f>
        <v>8</v>
      </c>
      <c r="BK316" s="171">
        <f ca="1">IF(OR($D316&lt;&gt;"Serviço",AND(AUTOEVENTO="Manual",$M316=$A$15)),0,
         IF(OFFSET(CRONOPLE!$F$15,$M316-$A$15,BK$13)=0,10^12,OFFSET(CRONOPLE!$F$15,$M316-$A$15,BK$13)))</f>
        <v>9</v>
      </c>
      <c r="BL316" s="171">
        <f ca="1">IF(OR($D316&lt;&gt;"Serviço",AND(AUTOEVENTO="Manual",$M316=$A$15)),0,
         IF(OFFSET(CRONOPLE!$F$15,$M316-$A$15,BL$13)=0,10^12,OFFSET(CRONOPLE!$F$15,$M316-$A$15,BL$13)))</f>
        <v>1000000000000</v>
      </c>
      <c r="BM316" s="171">
        <f ca="1">IF(OR($D316&lt;&gt;"Serviço",AND(AUTOEVENTO="Manual",$M316=$A$15)),0,
         IF(OFFSET(CRONOPLE!$F$15,$M316-$A$15,BM$13)=0,10^12,OFFSET(CRONOPLE!$F$15,$M316-$A$15,BM$13)))</f>
        <v>1000000000000</v>
      </c>
      <c r="BN316" s="171">
        <f ca="1">IF(OR($D316&lt;&gt;"Serviço",AND(AUTOEVENTO="Manual",$M316=$A$15)),0,
         IF(OFFSET(CRONOPLE!$F$15,$M316-$A$15,BN$13)=0,10^12,OFFSET(CRONOPLE!$F$15,$M316-$A$15,BN$13)))</f>
        <v>1000000000000</v>
      </c>
      <c r="BO316" s="171">
        <f ca="1">IF(OR($D316&lt;&gt;"Serviço",AND(AUTOEVENTO="Manual",$M316=$A$15)),0,
         IF(OFFSET(CRONOPLE!$F$15,$M316-$A$15,BO$13)=0,10^12,OFFSET(CRONOPLE!$F$15,$M316-$A$15,BO$13)))</f>
        <v>1000000000000</v>
      </c>
      <c r="BP316" s="171">
        <f ca="1">IF(OR($D316&lt;&gt;"Serviço",AND(AUTOEVENTO="Manual",$M316=$A$15)),0,
         IF(OFFSET(CRONOPLE!$F$15,$M316-$A$15,BP$13)=0,10^12,OFFSET(CRONOPLE!$F$15,$M316-$A$15,BP$13)))</f>
        <v>1000000000000</v>
      </c>
      <c r="BQ316" s="171">
        <f ca="1">IF(OR($D316&lt;&gt;"Serviço",AND(AUTOEVENTO="Manual",$M316=$A$15)),0,
         IF(OFFSET(CRONOPLE!$F$15,$M316-$A$15,BQ$13)=0,10^12,OFFSET(CRONOPLE!$F$15,$M316-$A$15,BQ$13)))</f>
        <v>1000000000000</v>
      </c>
      <c r="BR316" s="171">
        <f ca="1">IF(OR($D316&lt;&gt;"Serviço",AND(AUTOEVENTO="Manual",$M316=$A$15)),0,
         IF(OFFSET(CRONOPLE!$F$15,$M316-$A$15,BR$13)=0,10^12,OFFSET(CRONOPLE!$F$15,$M316-$A$15,BR$13)))</f>
        <v>1000000000000</v>
      </c>
      <c r="BS316" s="171">
        <f ca="1">IF(OR($D316&lt;&gt;"Serviço",AND(AUTOEVENTO="Manual",$M316=$A$15)),0,
         IF(OFFSET(CRONOPLE!$F$15,$M316-$A$15,BS$13)=0,10^12,OFFSET(CRONOPLE!$F$15,$M316-$A$15,BS$13)))</f>
        <v>1000000000000</v>
      </c>
      <c r="BT316" s="171">
        <f ca="1">IF(OR($D316&lt;&gt;"Serviço",AND(AUTOEVENTO="Manual",$M316=$A$15)),0,
         IF(OFFSET(CRONOPLE!$F$15,$M316-$A$15,BT$13)=0,10^12,OFFSET(CRONOPLE!$F$15,$M316-$A$15,BT$13)))</f>
        <v>1000000000000</v>
      </c>
      <c r="BV316" s="172">
        <f ca="1">IF(OR($D316&lt;&gt;"Serviço",AND(AUTOEVENTO="Manual",$M316=$A$15),$M316&gt;(ROW(PLE.lastrow)-ROW(PLE.firstrow))),0,
           IF(OFFSET(PLE!$G$15,$M316-$A$15,BV$13)="",10^12,OFFSET(PLE!$G$15,$M316-$A$15,BV$13)))</f>
        <v>1000000000000</v>
      </c>
      <c r="BW316" s="172">
        <f ca="1">IF(OR($D316&lt;&gt;"Serviço",AND(AUTOEVENTO="Manual",$M316=$A$15),$M316&gt;(ROW(PLE.lastrow)-ROW(PLE.firstrow))),0,
           IF(OFFSET(PLE!$G$15,$M316-$A$15,BW$13)="",10^12,OFFSET(PLE!$G$15,$M316-$A$15,BW$13)))</f>
        <v>1000000000000</v>
      </c>
      <c r="BX316" s="172">
        <f ca="1">IF(OR($D316&lt;&gt;"Serviço",AND(AUTOEVENTO="Manual",$M316=$A$15),$M316&gt;(ROW(PLE.lastrow)-ROW(PLE.firstrow))),0,
           IF(OFFSET(PLE!$G$15,$M316-$A$15,BX$13)="",10^12,OFFSET(PLE!$G$15,$M316-$A$15,BX$13)))</f>
        <v>1000000000000</v>
      </c>
      <c r="BY316" s="172">
        <f ca="1">IF(OR($D316&lt;&gt;"Serviço",AND(AUTOEVENTO="Manual",$M316=$A$15),$M316&gt;(ROW(PLE.lastrow)-ROW(PLE.firstrow))),0,
           IF(OFFSET(PLE!$G$15,$M316-$A$15,BY$13)="",10^12,OFFSET(PLE!$G$15,$M316-$A$15,BY$13)))</f>
        <v>1000000000000</v>
      </c>
      <c r="BZ316" s="172">
        <f ca="1">IF(OR($D316&lt;&gt;"Serviço",AND(AUTOEVENTO="Manual",$M316=$A$15),$M316&gt;(ROW(PLE.lastrow)-ROW(PLE.firstrow))),0,
           IF(OFFSET(PLE!$G$15,$M316-$A$15,BZ$13)="",10^12,OFFSET(PLE!$G$15,$M316-$A$15,BZ$13)))</f>
        <v>1000000000000</v>
      </c>
      <c r="CA316" s="172">
        <f ca="1">IF(OR($D316&lt;&gt;"Serviço",AND(AUTOEVENTO="Manual",$M316=$A$15),$M316&gt;(ROW(PLE.lastrow)-ROW(PLE.firstrow))),0,
           IF(OFFSET(PLE!$G$15,$M316-$A$15,CA$13)="",10^12,OFFSET(PLE!$G$15,$M316-$A$15,CA$13)))</f>
        <v>1000000000000</v>
      </c>
      <c r="CB316" s="172">
        <f ca="1">IF(OR($D316&lt;&gt;"Serviço",AND(AUTOEVENTO="Manual",$M316=$A$15),$M316&gt;(ROW(PLE.lastrow)-ROW(PLE.firstrow))),0,
           IF(OFFSET(PLE!$G$15,$M316-$A$15,CB$13)="",10^12,OFFSET(PLE!$G$15,$M316-$A$15,CB$13)))</f>
        <v>1000000000000</v>
      </c>
      <c r="CC316" s="172">
        <f ca="1">IF(OR($D316&lt;&gt;"Serviço",AND(AUTOEVENTO="Manual",$M316=$A$15),$M316&gt;(ROW(PLE.lastrow)-ROW(PLE.firstrow))),0,
           IF(OFFSET(PLE!$G$15,$M316-$A$15,CC$13)="",10^12,OFFSET(PLE!$G$15,$M316-$A$15,CC$13)))</f>
        <v>1000000000000</v>
      </c>
      <c r="CD316" s="172">
        <f ca="1">IF(OR($D316&lt;&gt;"Serviço",AND(AUTOEVENTO="Manual",$M316=$A$15),$M316&gt;(ROW(PLE.lastrow)-ROW(PLE.firstrow))),0,
           IF(OFFSET(PLE!$G$15,$M316-$A$15,CD$13)="",10^12,OFFSET(PLE!$G$15,$M316-$A$15,CD$13)))</f>
        <v>1000000000000</v>
      </c>
      <c r="CE316" s="172">
        <f ca="1">IF(OR($D316&lt;&gt;"Serviço",AND(AUTOEVENTO="Manual",$M316=$A$15),$M316&gt;(ROW(PLE.lastrow)-ROW(PLE.firstrow))),0,
           IF(OFFSET(PLE!$G$15,$M316-$A$15,CE$13)="",10^12,OFFSET(PLE!$G$15,$M316-$A$15,CE$13)))</f>
        <v>1000000000000</v>
      </c>
      <c r="CF316" s="172">
        <f ca="1">IF(OR($D316&lt;&gt;"Serviço",AND(AUTOEVENTO="Manual",$M316=$A$15),$M316&gt;(ROW(PLE.lastrow)-ROW(PLE.firstrow))),0,
           IF(OFFSET(PLE!$G$15,$M316-$A$15,CF$13)="",10^12,OFFSET(PLE!$G$15,$M316-$A$15,CF$13)))</f>
        <v>1000000000000</v>
      </c>
      <c r="CG316" s="172">
        <f ca="1">IF(OR($D316&lt;&gt;"Serviço",AND(AUTOEVENTO="Manual",$M316=$A$15),$M316&gt;(ROW(PLE.lastrow)-ROW(PLE.firstrow))),0,
           IF(OFFSET(PLE!$G$15,$M316-$A$15,CG$13)="",10^12,OFFSET(PLE!$G$15,$M316-$A$15,CG$13)))</f>
        <v>1000000000000</v>
      </c>
      <c r="CH316" s="172">
        <f ca="1">IF(OR($D316&lt;&gt;"Serviço",AND(AUTOEVENTO="Manual",$M316=$A$15),$M316&gt;(ROW(PLE.lastrow)-ROW(PLE.firstrow))),0,
           IF(OFFSET(PLE!$G$15,$M316-$A$15,CH$13)="",10^12,OFFSET(PLE!$G$15,$M316-$A$15,CH$13)))</f>
        <v>1000000000000</v>
      </c>
      <c r="CI316" s="172">
        <f ca="1">IF(OR($D316&lt;&gt;"Serviço",AND(AUTOEVENTO="Manual",$M316=$A$15),$M316&gt;(ROW(PLE.lastrow)-ROW(PLE.firstrow))),0,
           IF(OFFSET(PLE!$G$15,$M316-$A$15,CI$13)="",10^12,OFFSET(PLE!$G$15,$M316-$A$15,CI$13)))</f>
        <v>1000000000000</v>
      </c>
      <c r="CJ316" s="172">
        <f ca="1">IF(OR($D316&lt;&gt;"Serviço",AND(AUTOEVENTO="Manual",$M316=$A$15),$M316&gt;(ROW(PLE.lastrow)-ROW(PLE.firstrow))),0,
           IF(OFFSET(PLE!$G$15,$M316-$A$15,CJ$13)="",10^12,OFFSET(PLE!$G$15,$M316-$A$15,CJ$13)))</f>
        <v>1000000000000</v>
      </c>
      <c r="CK316" s="172">
        <f ca="1">IF(OR($D316&lt;&gt;"Serviço",AND(AUTOEVENTO="Manual",$M316=$A$15),$M316&gt;(ROW(PLE.lastrow)-ROW(PLE.firstrow))),0,
           IF(OFFSET(PLE!$G$15,$M316-$A$15,CK$13)="",10^12,OFFSET(PLE!$G$15,$M316-$A$15,CK$13)))</f>
        <v>1000000000000</v>
      </c>
      <c r="CL316" s="172">
        <f ca="1">IF(OR($D316&lt;&gt;"Serviço",AND(AUTOEVENTO="Manual",$M316=$A$15),$M316&gt;(ROW(PLE.lastrow)-ROW(PLE.firstrow))),0,
           IF(OFFSET(PLE!$G$15,$M316-$A$15,CL$13)="",10^12,OFFSET(PLE!$G$15,$M316-$A$15,CL$13)))</f>
        <v>1000000000000</v>
      </c>
      <c r="CM316" s="172">
        <f ca="1">IF(OR($D316&lt;&gt;"Serviço",AND(AUTOEVENTO="Manual",$M316=$A$15),$M316&gt;(ROW(PLE.lastrow)-ROW(PLE.firstrow))),0,
           IF(OFFSET(PLE!$G$15,$M316-$A$15,CM$13)="",10^12,OFFSET(PLE!$G$15,$M316-$A$15,CM$13)))</f>
        <v>1000000000000</v>
      </c>
    </row>
    <row r="317" spans="1:91" ht="12.75" x14ac:dyDescent="0.2">
      <c r="A317" s="7">
        <f t="shared" ca="1" si="14"/>
        <v>7</v>
      </c>
      <c r="B317" s="7">
        <f ca="1">OFFSET(ORÇAMENTO!C$15,ROW(B317)-ROW(B$15),0)</f>
        <v>4</v>
      </c>
      <c r="C317" s="7" t="str">
        <f ca="1">OFFSET(ORÇAMENTO!L$15,ROW(C317)-ROW(C$15),0)</f>
        <v>F</v>
      </c>
      <c r="D317" s="116" t="str">
        <f ca="1">OFFSET(ORÇAMENTO!N$15,ROW(D317)-ROW(D$15),0)</f>
        <v>Nível 4</v>
      </c>
      <c r="E317" s="117" t="str">
        <f ca="1">OFFSET(ORÇAMENTO!O$15,ROW(E317)-ROW(E$15),0)</f>
        <v>1.7.4.4.</v>
      </c>
      <c r="F317" s="163" t="str">
        <f ca="1">OFFSET(ORÇAMENTO!R$15,ROW(F317)-ROW(F$15),0)</f>
        <v>MATERIAIS</v>
      </c>
      <c r="G317" s="164" t="str">
        <f ca="1">IF($D317&lt;&gt;"Serviço","",OFFSET(ORÇAMENTO!S$15,ROW(G317)-ROW(G$15),0))</f>
        <v/>
      </c>
      <c r="H317" s="122" cm="1">
        <f t="array" aca="1" ref="H317" ca="1">IF($D317&lt;&gt;"Serviço",0,IF(ACOMPANHAMENTO="BM",ROUND(OFFSET(ORÇAMENTO!AJ$15,ROW(H317)-ROW(H$15),0),15-13*ORÇAMENTO!$AF$7),SUMPRODUCT(($Q$1:$AI$1=1)*ROUND($Q317:$AI317,15-13*ORÇAMENTO!$AF$7))))</f>
        <v>0</v>
      </c>
      <c r="I317" s="468"/>
      <c r="J317" s="640" t="str" cm="1">
        <f t="array" aca="1" ref="J317" ca="1">IF(OR(B317&lt;&gt;"S",CÁLCULO.FrentesPreenchidas=0),"",IF(AND(ACOMPANHAMENTO="PLE",AUTOEVENTO="Manual",OR(H317&gt;0,ORÇAMENTO!AC317="QUANT."),OR(K317="",M317=0,N317="")),"►E",IF(AND(ACOMPANHAMENTO="PLE",ORÇAMENTO!AC317="QUANT."),"►Q",IF(AND(ACOMPANHAMENTO="PLE",H317&lt;&gt;SUMPRODUCT(($Q$1:$AI$1=1)*ROUND(Q317:AI317,15))),"►S",IF(AND(COUNTIF($P$11:$AI$11,"▼")=0,H317&gt;0,I317=""),"◄M","")))))</f>
        <v/>
      </c>
      <c r="K317" s="641" t="s">
        <v>1365</v>
      </c>
      <c r="L317" s="165" t="s">
        <v>764</v>
      </c>
      <c r="M317" s="166" t="str">
        <f ca="1">IF($D317&lt;&gt;"Serviço","",
          IF(AUTOEVENTO="manual",$A317,
                IF(ISERROR(MATCH($A317,$A$15:OFFSET($A317,-1,0),0)),MAX($M$15:OFFSET(M317,-1,0))+1,
                      INDEX($M$15:OFFSET(M317,-1,0),MATCH($A317,$A$15:OFFSET($A317,-1,0),0)))))</f>
        <v/>
      </c>
      <c r="N317" s="167" t="str">
        <f ca="1">IF($D317&lt;&gt;"Serviço","",
         IF(AUTOEVENTO="Manual",
                IF($A317=0,"&lt;-- defina o número do agrupador",
                       OFFSET(EVENTOS!$D$15,$A317-$A$15,0)),
                OFFSET($F$15,$A317,0)))</f>
        <v/>
      </c>
      <c r="O317" s="168"/>
      <c r="Q317" s="168"/>
      <c r="R317" s="169"/>
      <c r="S317" s="169"/>
      <c r="T317" s="169"/>
      <c r="U317" s="169"/>
      <c r="V317" s="169"/>
      <c r="W317" s="169"/>
      <c r="X317" s="169"/>
      <c r="Y317" s="169"/>
      <c r="Z317" s="170"/>
      <c r="AA317" s="169"/>
      <c r="AB317" s="169"/>
      <c r="AC317" s="169"/>
      <c r="AD317" s="169"/>
      <c r="AE317" s="169"/>
      <c r="AF317" s="169"/>
      <c r="AG317" s="169"/>
      <c r="AH317" s="170"/>
      <c r="AJ317" s="453">
        <f ca="1">IF(AND($D317="Serviço",AJ$12&lt;&gt;0,$H317&gt;0,OR(AUTOEVENTO&lt;&gt;"manual",$M317&lt;&gt;$A$15)),
        IF(Import.TipoArredondamento&lt;&gt;"TransfereGOV",
              ROUND(OFFSET($P317,0,AJ$13),15-13*ORÇAMENTO!$AF$7)/$H317*OFFSET(ORÇAMENTO!$X$15,ROW(AJ317)-ROW(AJ$15),0),
              ROUND(ROUND(OFFSET($P317,0,AJ$13),15-13*ORÇAMENTO!$AF$7)*OFFSET(ORÇAMENTO!$W$15,ROW(AJ317)-ROW(AJ$15),0),15-13*ORÇAMENTO!$AF$11)),
         0)</f>
        <v>0</v>
      </c>
      <c r="AK317" s="453">
        <f ca="1">IF(AND($D317="Serviço",AK$12&lt;&gt;0,$H317&gt;0,OR(AUTOEVENTO&lt;&gt;"manual",$M317&lt;&gt;$A$15)),
        IF(Import.TipoArredondamento&lt;&gt;"TransfereGOV",
              ROUND(OFFSET($P317,0,AK$13),15-13*ORÇAMENTO!$AF$7)/$H317*OFFSET(ORÇAMENTO!$X$15,ROW(AK317)-ROW(AK$15),0),
              ROUND(ROUND(OFFSET($P317,0,AK$13),15-13*ORÇAMENTO!$AF$7)*OFFSET(ORÇAMENTO!$W$15,ROW(AK317)-ROW(AK$15),0),15-13*ORÇAMENTO!$AF$11)),
         0)</f>
        <v>0</v>
      </c>
      <c r="AL317" s="453">
        <f ca="1">IF(AND($D317="Serviço",AL$12&lt;&gt;0,$H317&gt;0,OR(AUTOEVENTO&lt;&gt;"manual",$M317&lt;&gt;$A$15)),
        IF(Import.TipoArredondamento&lt;&gt;"TransfereGOV",
              ROUND(OFFSET($P317,0,AL$13),15-13*ORÇAMENTO!$AF$7)/$H317*OFFSET(ORÇAMENTO!$X$15,ROW(AL317)-ROW(AL$15),0),
              ROUND(ROUND(OFFSET($P317,0,AL$13),15-13*ORÇAMENTO!$AF$7)*OFFSET(ORÇAMENTO!$W$15,ROW(AL317)-ROW(AL$15),0),15-13*ORÇAMENTO!$AF$11)),
         0)</f>
        <v>0</v>
      </c>
      <c r="AM317" s="453">
        <f ca="1">IF(AND($D317="Serviço",AM$12&lt;&gt;0,$H317&gt;0,OR(AUTOEVENTO&lt;&gt;"manual",$M317&lt;&gt;$A$15)),
        IF(Import.TipoArredondamento&lt;&gt;"TransfereGOV",
              ROUND(OFFSET($P317,0,AM$13),15-13*ORÇAMENTO!$AF$7)/$H317*OFFSET(ORÇAMENTO!$X$15,ROW(AM317)-ROW(AM$15),0),
              ROUND(ROUND(OFFSET($P317,0,AM$13),15-13*ORÇAMENTO!$AF$7)*OFFSET(ORÇAMENTO!$W$15,ROW(AM317)-ROW(AM$15),0),15-13*ORÇAMENTO!$AF$11)),
         0)</f>
        <v>0</v>
      </c>
      <c r="AN317" s="453">
        <f ca="1">IF(AND($D317="Serviço",AN$12&lt;&gt;0,$H317&gt;0,OR(AUTOEVENTO&lt;&gt;"manual",$M317&lt;&gt;$A$15)),
        IF(Import.TipoArredondamento&lt;&gt;"TransfereGOV",
              ROUND(OFFSET($P317,0,AN$13),15-13*ORÇAMENTO!$AF$7)/$H317*OFFSET(ORÇAMENTO!$X$15,ROW(AN317)-ROW(AN$15),0),
              ROUND(ROUND(OFFSET($P317,0,AN$13),15-13*ORÇAMENTO!$AF$7)*OFFSET(ORÇAMENTO!$W$15,ROW(AN317)-ROW(AN$15),0),15-13*ORÇAMENTO!$AF$11)),
         0)</f>
        <v>0</v>
      </c>
      <c r="AO317" s="453">
        <f ca="1">IF(AND($D317="Serviço",AO$12&lt;&gt;0,$H317&gt;0,OR(AUTOEVENTO&lt;&gt;"manual",$M317&lt;&gt;$A$15)),
        IF(Import.TipoArredondamento&lt;&gt;"TransfereGOV",
              ROUND(OFFSET($P317,0,AO$13),15-13*ORÇAMENTO!$AF$7)/$H317*OFFSET(ORÇAMENTO!$X$15,ROW(AO317)-ROW(AO$15),0),
              ROUND(ROUND(OFFSET($P317,0,AO$13),15-13*ORÇAMENTO!$AF$7)*OFFSET(ORÇAMENTO!$W$15,ROW(AO317)-ROW(AO$15),0),15-13*ORÇAMENTO!$AF$11)),
         0)</f>
        <v>0</v>
      </c>
      <c r="AP317" s="453">
        <f ca="1">IF(AND($D317="Serviço",AP$12&lt;&gt;0,$H317&gt;0,OR(AUTOEVENTO&lt;&gt;"manual",$M317&lt;&gt;$A$15)),
        IF(Import.TipoArredondamento&lt;&gt;"TransfereGOV",
              ROUND(OFFSET($P317,0,AP$13),15-13*ORÇAMENTO!$AF$7)/$H317*OFFSET(ORÇAMENTO!$X$15,ROW(AP317)-ROW(AP$15),0),
              ROUND(ROUND(OFFSET($P317,0,AP$13),15-13*ORÇAMENTO!$AF$7)*OFFSET(ORÇAMENTO!$W$15,ROW(AP317)-ROW(AP$15),0),15-13*ORÇAMENTO!$AF$11)),
         0)</f>
        <v>0</v>
      </c>
      <c r="AQ317" s="453">
        <f ca="1">IF(AND($D317="Serviço",AQ$12&lt;&gt;0,$H317&gt;0,OR(AUTOEVENTO&lt;&gt;"manual",$M317&lt;&gt;$A$15)),
        IF(Import.TipoArredondamento&lt;&gt;"TransfereGOV",
              ROUND(OFFSET($P317,0,AQ$13),15-13*ORÇAMENTO!$AF$7)/$H317*OFFSET(ORÇAMENTO!$X$15,ROW(AQ317)-ROW(AQ$15),0),
              ROUND(ROUND(OFFSET($P317,0,AQ$13),15-13*ORÇAMENTO!$AF$7)*OFFSET(ORÇAMENTO!$W$15,ROW(AQ317)-ROW(AQ$15),0),15-13*ORÇAMENTO!$AF$11)),
         0)</f>
        <v>0</v>
      </c>
      <c r="AR317" s="453">
        <f ca="1">IF(AND($D317="Serviço",AR$12&lt;&gt;0,$H317&gt;0,OR(AUTOEVENTO&lt;&gt;"manual",$M317&lt;&gt;$A$15)),
        IF(Import.TipoArredondamento&lt;&gt;"TransfereGOV",
              ROUND(OFFSET($P317,0,AR$13),15-13*ORÇAMENTO!$AF$7)/$H317*OFFSET(ORÇAMENTO!$X$15,ROW(AR317)-ROW(AR$15),0),
              ROUND(ROUND(OFFSET($P317,0,AR$13),15-13*ORÇAMENTO!$AF$7)*OFFSET(ORÇAMENTO!$W$15,ROW(AR317)-ROW(AR$15),0),15-13*ORÇAMENTO!$AF$11)),
         0)</f>
        <v>0</v>
      </c>
      <c r="AS317" s="453">
        <f ca="1">IF(AND($D317="Serviço",AS$12&lt;&gt;0,$H317&gt;0,OR(AUTOEVENTO&lt;&gt;"manual",$M317&lt;&gt;$A$15)),
        IF(Import.TipoArredondamento&lt;&gt;"TransfereGOV",
              ROUND(OFFSET($P317,0,AS$13),15-13*ORÇAMENTO!$AF$7)/$H317*OFFSET(ORÇAMENTO!$X$15,ROW(AS317)-ROW(AS$15),0),
              ROUND(ROUND(OFFSET($P317,0,AS$13),15-13*ORÇAMENTO!$AF$7)*OFFSET(ORÇAMENTO!$W$15,ROW(AS317)-ROW(AS$15),0),15-13*ORÇAMENTO!$AF$11)),
         0)</f>
        <v>0</v>
      </c>
      <c r="AT317" s="453">
        <f ca="1">IF(AND($D317="Serviço",AT$12&lt;&gt;0,$H317&gt;0,OR(AUTOEVENTO&lt;&gt;"manual",$M317&lt;&gt;$A$15)),
        IF(Import.TipoArredondamento&lt;&gt;"TransfereGOV",
              ROUND(OFFSET($P317,0,AT$13),15-13*ORÇAMENTO!$AF$7)/$H317*OFFSET(ORÇAMENTO!$X$15,ROW(AT317)-ROW(AT$15),0),
              ROUND(ROUND(OFFSET($P317,0,AT$13),15-13*ORÇAMENTO!$AF$7)*OFFSET(ORÇAMENTO!$W$15,ROW(AT317)-ROW(AT$15),0),15-13*ORÇAMENTO!$AF$11)),
         0)</f>
        <v>0</v>
      </c>
      <c r="AU317" s="453">
        <f ca="1">IF(AND($D317="Serviço",AU$12&lt;&gt;0,$H317&gt;0,OR(AUTOEVENTO&lt;&gt;"manual",$M317&lt;&gt;$A$15)),
        IF(Import.TipoArredondamento&lt;&gt;"TransfereGOV",
              ROUND(OFFSET($P317,0,AU$13),15-13*ORÇAMENTO!$AF$7)/$H317*OFFSET(ORÇAMENTO!$X$15,ROW(AU317)-ROW(AU$15),0),
              ROUND(ROUND(OFFSET($P317,0,AU$13),15-13*ORÇAMENTO!$AF$7)*OFFSET(ORÇAMENTO!$W$15,ROW(AU317)-ROW(AU$15),0),15-13*ORÇAMENTO!$AF$11)),
         0)</f>
        <v>0</v>
      </c>
      <c r="AV317" s="453">
        <f ca="1">IF(AND($D317="Serviço",AV$12&lt;&gt;0,$H317&gt;0,OR(AUTOEVENTO&lt;&gt;"manual",$M317&lt;&gt;$A$15)),
        IF(Import.TipoArredondamento&lt;&gt;"TransfereGOV",
              ROUND(OFFSET($P317,0,AV$13),15-13*ORÇAMENTO!$AF$7)/$H317*OFFSET(ORÇAMENTO!$X$15,ROW(AV317)-ROW(AV$15),0),
              ROUND(ROUND(OFFSET($P317,0,AV$13),15-13*ORÇAMENTO!$AF$7)*OFFSET(ORÇAMENTO!$W$15,ROW(AV317)-ROW(AV$15),0),15-13*ORÇAMENTO!$AF$11)),
         0)</f>
        <v>0</v>
      </c>
      <c r="AW317" s="453">
        <f ca="1">IF(AND($D317="Serviço",AW$12&lt;&gt;0,$H317&gt;0,OR(AUTOEVENTO&lt;&gt;"manual",$M317&lt;&gt;$A$15)),
        IF(Import.TipoArredondamento&lt;&gt;"TransfereGOV",
              ROUND(OFFSET($P317,0,AW$13),15-13*ORÇAMENTO!$AF$7)/$H317*OFFSET(ORÇAMENTO!$X$15,ROW(AW317)-ROW(AW$15),0),
              ROUND(ROUND(OFFSET($P317,0,AW$13),15-13*ORÇAMENTO!$AF$7)*OFFSET(ORÇAMENTO!$W$15,ROW(AW317)-ROW(AW$15),0),15-13*ORÇAMENTO!$AF$11)),
         0)</f>
        <v>0</v>
      </c>
      <c r="AX317" s="453">
        <f ca="1">IF(AND($D317="Serviço",AX$12&lt;&gt;0,$H317&gt;0,OR(AUTOEVENTO&lt;&gt;"manual",$M317&lt;&gt;$A$15)),
        IF(Import.TipoArredondamento&lt;&gt;"TransfereGOV",
              ROUND(OFFSET($P317,0,AX$13),15-13*ORÇAMENTO!$AF$7)/$H317*OFFSET(ORÇAMENTO!$X$15,ROW(AX317)-ROW(AX$15),0),
              ROUND(ROUND(OFFSET($P317,0,AX$13),15-13*ORÇAMENTO!$AF$7)*OFFSET(ORÇAMENTO!$W$15,ROW(AX317)-ROW(AX$15),0),15-13*ORÇAMENTO!$AF$11)),
         0)</f>
        <v>0</v>
      </c>
      <c r="AY317" s="453">
        <f ca="1">IF(AND($D317="Serviço",AY$12&lt;&gt;0,$H317&gt;0,OR(AUTOEVENTO&lt;&gt;"manual",$M317&lt;&gt;$A$15)),
        IF(Import.TipoArredondamento&lt;&gt;"TransfereGOV",
              ROUND(OFFSET($P317,0,AY$13),15-13*ORÇAMENTO!$AF$7)/$H317*OFFSET(ORÇAMENTO!$X$15,ROW(AY317)-ROW(AY$15),0),
              ROUND(ROUND(OFFSET($P317,0,AY$13),15-13*ORÇAMENTO!$AF$7)*OFFSET(ORÇAMENTO!$W$15,ROW(AY317)-ROW(AY$15),0),15-13*ORÇAMENTO!$AF$11)),
         0)</f>
        <v>0</v>
      </c>
      <c r="AZ317" s="453">
        <f ca="1">IF(AND($D317="Serviço",AZ$12&lt;&gt;0,$H317&gt;0,OR(AUTOEVENTO&lt;&gt;"manual",$M317&lt;&gt;$A$15)),
        IF(Import.TipoArredondamento&lt;&gt;"TransfereGOV",
              ROUND(OFFSET($P317,0,AZ$13),15-13*ORÇAMENTO!$AF$7)/$H317*OFFSET(ORÇAMENTO!$X$15,ROW(AZ317)-ROW(AZ$15),0),
              ROUND(ROUND(OFFSET($P317,0,AZ$13),15-13*ORÇAMENTO!$AF$7)*OFFSET(ORÇAMENTO!$W$15,ROW(AZ317)-ROW(AZ$15),0),15-13*ORÇAMENTO!$AF$11)),
         0)</f>
        <v>0</v>
      </c>
      <c r="BA317" s="453">
        <f ca="1">IF(AND($D317="Serviço",BA$12&lt;&gt;0,$H317&gt;0,OR(AUTOEVENTO&lt;&gt;"manual",$M317&lt;&gt;$A$15)),
        IF(Import.TipoArredondamento&lt;&gt;"TransfereGOV",
              ROUND(OFFSET($P317,0,BA$13),15-13*ORÇAMENTO!$AF$7)/$H317*OFFSET(ORÇAMENTO!$X$15,ROW(BA317)-ROW(BA$15),0),
              ROUND(ROUND(OFFSET($P317,0,BA$13),15-13*ORÇAMENTO!$AF$7)*OFFSET(ORÇAMENTO!$W$15,ROW(BA317)-ROW(BA$15),0),15-13*ORÇAMENTO!$AF$11)),
         0)</f>
        <v>0</v>
      </c>
      <c r="BC317" s="171">
        <f ca="1">IF(OR($D317&lt;&gt;"Serviço",AND(AUTOEVENTO="Manual",$M317=$A$15)),0,
         IF(OFFSET(CRONOPLE!$F$15,$M317-$A$15,BC$13)=0,10^12,OFFSET(CRONOPLE!$F$15,$M317-$A$15,BC$13)))</f>
        <v>0</v>
      </c>
      <c r="BD317" s="171">
        <f ca="1">IF(OR($D317&lt;&gt;"Serviço",AND(AUTOEVENTO="Manual",$M317=$A$15)),0,
         IF(OFFSET(CRONOPLE!$F$15,$M317-$A$15,BD$13)=0,10^12,OFFSET(CRONOPLE!$F$15,$M317-$A$15,BD$13)))</f>
        <v>0</v>
      </c>
      <c r="BE317" s="171">
        <f ca="1">IF(OR($D317&lt;&gt;"Serviço",AND(AUTOEVENTO="Manual",$M317=$A$15)),0,
         IF(OFFSET(CRONOPLE!$F$15,$M317-$A$15,BE$13)=0,10^12,OFFSET(CRONOPLE!$F$15,$M317-$A$15,BE$13)))</f>
        <v>0</v>
      </c>
      <c r="BF317" s="171">
        <f ca="1">IF(OR($D317&lt;&gt;"Serviço",AND(AUTOEVENTO="Manual",$M317=$A$15)),0,
         IF(OFFSET(CRONOPLE!$F$15,$M317-$A$15,BF$13)=0,10^12,OFFSET(CRONOPLE!$F$15,$M317-$A$15,BF$13)))</f>
        <v>0</v>
      </c>
      <c r="BG317" s="171">
        <f ca="1">IF(OR($D317&lt;&gt;"Serviço",AND(AUTOEVENTO="Manual",$M317=$A$15)),0,
         IF(OFFSET(CRONOPLE!$F$15,$M317-$A$15,BG$13)=0,10^12,OFFSET(CRONOPLE!$F$15,$M317-$A$15,BG$13)))</f>
        <v>0</v>
      </c>
      <c r="BH317" s="171">
        <f ca="1">IF(OR($D317&lt;&gt;"Serviço",AND(AUTOEVENTO="Manual",$M317=$A$15)),0,
         IF(OFFSET(CRONOPLE!$F$15,$M317-$A$15,BH$13)=0,10^12,OFFSET(CRONOPLE!$F$15,$M317-$A$15,BH$13)))</f>
        <v>0</v>
      </c>
      <c r="BI317" s="171">
        <f ca="1">IF(OR($D317&lt;&gt;"Serviço",AND(AUTOEVENTO="Manual",$M317=$A$15)),0,
         IF(OFFSET(CRONOPLE!$F$15,$M317-$A$15,BI$13)=0,10^12,OFFSET(CRONOPLE!$F$15,$M317-$A$15,BI$13)))</f>
        <v>0</v>
      </c>
      <c r="BJ317" s="171">
        <f ca="1">IF(OR($D317&lt;&gt;"Serviço",AND(AUTOEVENTO="Manual",$M317=$A$15)),0,
         IF(OFFSET(CRONOPLE!$F$15,$M317-$A$15,BJ$13)=0,10^12,OFFSET(CRONOPLE!$F$15,$M317-$A$15,BJ$13)))</f>
        <v>0</v>
      </c>
      <c r="BK317" s="171">
        <f ca="1">IF(OR($D317&lt;&gt;"Serviço",AND(AUTOEVENTO="Manual",$M317=$A$15)),0,
         IF(OFFSET(CRONOPLE!$F$15,$M317-$A$15,BK$13)=0,10^12,OFFSET(CRONOPLE!$F$15,$M317-$A$15,BK$13)))</f>
        <v>0</v>
      </c>
      <c r="BL317" s="171">
        <f ca="1">IF(OR($D317&lt;&gt;"Serviço",AND(AUTOEVENTO="Manual",$M317=$A$15)),0,
         IF(OFFSET(CRONOPLE!$F$15,$M317-$A$15,BL$13)=0,10^12,OFFSET(CRONOPLE!$F$15,$M317-$A$15,BL$13)))</f>
        <v>0</v>
      </c>
      <c r="BM317" s="171">
        <f ca="1">IF(OR($D317&lt;&gt;"Serviço",AND(AUTOEVENTO="Manual",$M317=$A$15)),0,
         IF(OFFSET(CRONOPLE!$F$15,$M317-$A$15,BM$13)=0,10^12,OFFSET(CRONOPLE!$F$15,$M317-$A$15,BM$13)))</f>
        <v>0</v>
      </c>
      <c r="BN317" s="171">
        <f ca="1">IF(OR($D317&lt;&gt;"Serviço",AND(AUTOEVENTO="Manual",$M317=$A$15)),0,
         IF(OFFSET(CRONOPLE!$F$15,$M317-$A$15,BN$13)=0,10^12,OFFSET(CRONOPLE!$F$15,$M317-$A$15,BN$13)))</f>
        <v>0</v>
      </c>
      <c r="BO317" s="171">
        <f ca="1">IF(OR($D317&lt;&gt;"Serviço",AND(AUTOEVENTO="Manual",$M317=$A$15)),0,
         IF(OFFSET(CRONOPLE!$F$15,$M317-$A$15,BO$13)=0,10^12,OFFSET(CRONOPLE!$F$15,$M317-$A$15,BO$13)))</f>
        <v>0</v>
      </c>
      <c r="BP317" s="171">
        <f ca="1">IF(OR($D317&lt;&gt;"Serviço",AND(AUTOEVENTO="Manual",$M317=$A$15)),0,
         IF(OFFSET(CRONOPLE!$F$15,$M317-$A$15,BP$13)=0,10^12,OFFSET(CRONOPLE!$F$15,$M317-$A$15,BP$13)))</f>
        <v>0</v>
      </c>
      <c r="BQ317" s="171">
        <f ca="1">IF(OR($D317&lt;&gt;"Serviço",AND(AUTOEVENTO="Manual",$M317=$A$15)),0,
         IF(OFFSET(CRONOPLE!$F$15,$M317-$A$15,BQ$13)=0,10^12,OFFSET(CRONOPLE!$F$15,$M317-$A$15,BQ$13)))</f>
        <v>0</v>
      </c>
      <c r="BR317" s="171">
        <f ca="1">IF(OR($D317&lt;&gt;"Serviço",AND(AUTOEVENTO="Manual",$M317=$A$15)),0,
         IF(OFFSET(CRONOPLE!$F$15,$M317-$A$15,BR$13)=0,10^12,OFFSET(CRONOPLE!$F$15,$M317-$A$15,BR$13)))</f>
        <v>0</v>
      </c>
      <c r="BS317" s="171">
        <f ca="1">IF(OR($D317&lt;&gt;"Serviço",AND(AUTOEVENTO="Manual",$M317=$A$15)),0,
         IF(OFFSET(CRONOPLE!$F$15,$M317-$A$15,BS$13)=0,10^12,OFFSET(CRONOPLE!$F$15,$M317-$A$15,BS$13)))</f>
        <v>0</v>
      </c>
      <c r="BT317" s="171">
        <f ca="1">IF(OR($D317&lt;&gt;"Serviço",AND(AUTOEVENTO="Manual",$M317=$A$15)),0,
         IF(OFFSET(CRONOPLE!$F$15,$M317-$A$15,BT$13)=0,10^12,OFFSET(CRONOPLE!$F$15,$M317-$A$15,BT$13)))</f>
        <v>0</v>
      </c>
      <c r="BV317" s="172">
        <f ca="1">IF(OR($D317&lt;&gt;"Serviço",AND(AUTOEVENTO="Manual",$M317=$A$15),$M317&gt;(ROW(PLE.lastrow)-ROW(PLE.firstrow))),0,
           IF(OFFSET(PLE!$G$15,$M317-$A$15,BV$13)="",10^12,OFFSET(PLE!$G$15,$M317-$A$15,BV$13)))</f>
        <v>0</v>
      </c>
      <c r="BW317" s="172">
        <f ca="1">IF(OR($D317&lt;&gt;"Serviço",AND(AUTOEVENTO="Manual",$M317=$A$15),$M317&gt;(ROW(PLE.lastrow)-ROW(PLE.firstrow))),0,
           IF(OFFSET(PLE!$G$15,$M317-$A$15,BW$13)="",10^12,OFFSET(PLE!$G$15,$M317-$A$15,BW$13)))</f>
        <v>0</v>
      </c>
      <c r="BX317" s="172">
        <f ca="1">IF(OR($D317&lt;&gt;"Serviço",AND(AUTOEVENTO="Manual",$M317=$A$15),$M317&gt;(ROW(PLE.lastrow)-ROW(PLE.firstrow))),0,
           IF(OFFSET(PLE!$G$15,$M317-$A$15,BX$13)="",10^12,OFFSET(PLE!$G$15,$M317-$A$15,BX$13)))</f>
        <v>0</v>
      </c>
      <c r="BY317" s="172">
        <f ca="1">IF(OR($D317&lt;&gt;"Serviço",AND(AUTOEVENTO="Manual",$M317=$A$15),$M317&gt;(ROW(PLE.lastrow)-ROW(PLE.firstrow))),0,
           IF(OFFSET(PLE!$G$15,$M317-$A$15,BY$13)="",10^12,OFFSET(PLE!$G$15,$M317-$A$15,BY$13)))</f>
        <v>0</v>
      </c>
      <c r="BZ317" s="172">
        <f ca="1">IF(OR($D317&lt;&gt;"Serviço",AND(AUTOEVENTO="Manual",$M317=$A$15),$M317&gt;(ROW(PLE.lastrow)-ROW(PLE.firstrow))),0,
           IF(OFFSET(PLE!$G$15,$M317-$A$15,BZ$13)="",10^12,OFFSET(PLE!$G$15,$M317-$A$15,BZ$13)))</f>
        <v>0</v>
      </c>
      <c r="CA317" s="172">
        <f ca="1">IF(OR($D317&lt;&gt;"Serviço",AND(AUTOEVENTO="Manual",$M317=$A$15),$M317&gt;(ROW(PLE.lastrow)-ROW(PLE.firstrow))),0,
           IF(OFFSET(PLE!$G$15,$M317-$A$15,CA$13)="",10^12,OFFSET(PLE!$G$15,$M317-$A$15,CA$13)))</f>
        <v>0</v>
      </c>
      <c r="CB317" s="172">
        <f ca="1">IF(OR($D317&lt;&gt;"Serviço",AND(AUTOEVENTO="Manual",$M317=$A$15),$M317&gt;(ROW(PLE.lastrow)-ROW(PLE.firstrow))),0,
           IF(OFFSET(PLE!$G$15,$M317-$A$15,CB$13)="",10^12,OFFSET(PLE!$G$15,$M317-$A$15,CB$13)))</f>
        <v>0</v>
      </c>
      <c r="CC317" s="172">
        <f ca="1">IF(OR($D317&lt;&gt;"Serviço",AND(AUTOEVENTO="Manual",$M317=$A$15),$M317&gt;(ROW(PLE.lastrow)-ROW(PLE.firstrow))),0,
           IF(OFFSET(PLE!$G$15,$M317-$A$15,CC$13)="",10^12,OFFSET(PLE!$G$15,$M317-$A$15,CC$13)))</f>
        <v>0</v>
      </c>
      <c r="CD317" s="172">
        <f ca="1">IF(OR($D317&lt;&gt;"Serviço",AND(AUTOEVENTO="Manual",$M317=$A$15),$M317&gt;(ROW(PLE.lastrow)-ROW(PLE.firstrow))),0,
           IF(OFFSET(PLE!$G$15,$M317-$A$15,CD$13)="",10^12,OFFSET(PLE!$G$15,$M317-$A$15,CD$13)))</f>
        <v>0</v>
      </c>
      <c r="CE317" s="172">
        <f ca="1">IF(OR($D317&lt;&gt;"Serviço",AND(AUTOEVENTO="Manual",$M317=$A$15),$M317&gt;(ROW(PLE.lastrow)-ROW(PLE.firstrow))),0,
           IF(OFFSET(PLE!$G$15,$M317-$A$15,CE$13)="",10^12,OFFSET(PLE!$G$15,$M317-$A$15,CE$13)))</f>
        <v>0</v>
      </c>
      <c r="CF317" s="172">
        <f ca="1">IF(OR($D317&lt;&gt;"Serviço",AND(AUTOEVENTO="Manual",$M317=$A$15),$M317&gt;(ROW(PLE.lastrow)-ROW(PLE.firstrow))),0,
           IF(OFFSET(PLE!$G$15,$M317-$A$15,CF$13)="",10^12,OFFSET(PLE!$G$15,$M317-$A$15,CF$13)))</f>
        <v>0</v>
      </c>
      <c r="CG317" s="172">
        <f ca="1">IF(OR($D317&lt;&gt;"Serviço",AND(AUTOEVENTO="Manual",$M317=$A$15),$M317&gt;(ROW(PLE.lastrow)-ROW(PLE.firstrow))),0,
           IF(OFFSET(PLE!$G$15,$M317-$A$15,CG$13)="",10^12,OFFSET(PLE!$G$15,$M317-$A$15,CG$13)))</f>
        <v>0</v>
      </c>
      <c r="CH317" s="172">
        <f ca="1">IF(OR($D317&lt;&gt;"Serviço",AND(AUTOEVENTO="Manual",$M317=$A$15),$M317&gt;(ROW(PLE.lastrow)-ROW(PLE.firstrow))),0,
           IF(OFFSET(PLE!$G$15,$M317-$A$15,CH$13)="",10^12,OFFSET(PLE!$G$15,$M317-$A$15,CH$13)))</f>
        <v>0</v>
      </c>
      <c r="CI317" s="172">
        <f ca="1">IF(OR($D317&lt;&gt;"Serviço",AND(AUTOEVENTO="Manual",$M317=$A$15),$M317&gt;(ROW(PLE.lastrow)-ROW(PLE.firstrow))),0,
           IF(OFFSET(PLE!$G$15,$M317-$A$15,CI$13)="",10^12,OFFSET(PLE!$G$15,$M317-$A$15,CI$13)))</f>
        <v>0</v>
      </c>
      <c r="CJ317" s="172">
        <f ca="1">IF(OR($D317&lt;&gt;"Serviço",AND(AUTOEVENTO="Manual",$M317=$A$15),$M317&gt;(ROW(PLE.lastrow)-ROW(PLE.firstrow))),0,
           IF(OFFSET(PLE!$G$15,$M317-$A$15,CJ$13)="",10^12,OFFSET(PLE!$G$15,$M317-$A$15,CJ$13)))</f>
        <v>0</v>
      </c>
      <c r="CK317" s="172">
        <f ca="1">IF(OR($D317&lt;&gt;"Serviço",AND(AUTOEVENTO="Manual",$M317=$A$15),$M317&gt;(ROW(PLE.lastrow)-ROW(PLE.firstrow))),0,
           IF(OFFSET(PLE!$G$15,$M317-$A$15,CK$13)="",10^12,OFFSET(PLE!$G$15,$M317-$A$15,CK$13)))</f>
        <v>0</v>
      </c>
      <c r="CL317" s="172">
        <f ca="1">IF(OR($D317&lt;&gt;"Serviço",AND(AUTOEVENTO="Manual",$M317=$A$15),$M317&gt;(ROW(PLE.lastrow)-ROW(PLE.firstrow))),0,
           IF(OFFSET(PLE!$G$15,$M317-$A$15,CL$13)="",10^12,OFFSET(PLE!$G$15,$M317-$A$15,CL$13)))</f>
        <v>0</v>
      </c>
      <c r="CM317" s="172">
        <f ca="1">IF(OR($D317&lt;&gt;"Serviço",AND(AUTOEVENTO="Manual",$M317=$A$15),$M317&gt;(ROW(PLE.lastrow)-ROW(PLE.firstrow))),0,
           IF(OFFSET(PLE!$G$15,$M317-$A$15,CM$13)="",10^12,OFFSET(PLE!$G$15,$M317-$A$15,CM$13)))</f>
        <v>0</v>
      </c>
    </row>
    <row r="318" spans="1:91" ht="63.75" x14ac:dyDescent="0.2">
      <c r="A318" s="7">
        <f t="shared" ca="1" si="14"/>
        <v>6</v>
      </c>
      <c r="B318" s="7" t="str">
        <f ca="1">OFFSET(ORÇAMENTO!C$15,ROW(B318)-ROW(B$15),0)</f>
        <v>S</v>
      </c>
      <c r="C318" s="7" t="str">
        <f ca="1">OFFSET(ORÇAMENTO!L$15,ROW(C318)-ROW(C$15),0)</f>
        <v>F</v>
      </c>
      <c r="D318" s="116" t="str">
        <f ca="1">OFFSET(ORÇAMENTO!N$15,ROW(D318)-ROW(D$15),0)</f>
        <v>Serviço</v>
      </c>
      <c r="E318" s="117" t="str">
        <f ca="1">OFFSET(ORÇAMENTO!O$15,ROW(E318)-ROW(E$15),0)</f>
        <v>1.7.4.4.1.</v>
      </c>
      <c r="F318" s="163" t="str">
        <f ca="1">OFFSET(ORÇAMENTO!R$15,ROW(F318)-ROW(F$15),0)</f>
        <v>ALVENARIA DE VEDAÇÃO DE BLOCOS CERÂMICOS MACIÇOS DE 5X10X20CM (ESPESSURA 10CM) E ARGAMASSA DE ASSENTAMENTO COM PREPARO EM BETONEIRA. AF_05/2020</v>
      </c>
      <c r="G318" s="164" t="str">
        <f ca="1">IF($D318&lt;&gt;"Serviço","",OFFSET(ORÇAMENTO!S$15,ROW(G318)-ROW(G$15),0))</f>
        <v>M2</v>
      </c>
      <c r="H318" s="122" cm="1">
        <f t="array" aca="1" ref="H318" ca="1">IF($D318&lt;&gt;"Serviço",0,IF(ACOMPANHAMENTO="BM",ROUND(OFFSET(ORÇAMENTO!AJ$15,ROW(H318)-ROW(H$15),0),15-13*ORÇAMENTO!$AF$7),SUMPRODUCT(($Q$1:$AI$1=1)*ROUND($Q318:$AI318,15-13*ORÇAMENTO!$AF$7))))</f>
        <v>363</v>
      </c>
      <c r="I318" s="468" t="s">
        <v>1358</v>
      </c>
      <c r="J318" s="640" t="str" cm="1">
        <f t="array" aca="1" ref="J318" ca="1">IF(OR(B318&lt;&gt;"S",CÁLCULO.FrentesPreenchidas=0),"",IF(AND(ACOMPANHAMENTO="PLE",AUTOEVENTO="Manual",OR(H318&gt;0,ORÇAMENTO!AC318="QUANT."),OR(K318="",M318=0,N318="")),"►E",IF(AND(ACOMPANHAMENTO="PLE",ORÇAMENTO!AC318="QUANT."),"►Q",IF(AND(ACOMPANHAMENTO="PLE",H318&lt;&gt;SUMPRODUCT(($Q$1:$AI$1=1)*ROUND(Q318:AI318,15))),"►S",IF(AND(COUNTIF($P$11:$AI$11,"▼")=0,H318&gt;0,I318=""),"◄M","")))))</f>
        <v/>
      </c>
      <c r="K318" s="641" t="s">
        <v>1385</v>
      </c>
      <c r="L318" s="165" t="s">
        <v>764</v>
      </c>
      <c r="M318" s="166">
        <f ca="1">IF($D318&lt;&gt;"Serviço","",
          IF(AUTOEVENTO="manual",$A318,
                IF(ISERROR(MATCH($A318,$A$15:OFFSET($A318,-1,0),0)),MAX($M$15:OFFSET(M318,-1,0))+1,
                      INDEX($M$15:OFFSET(M318,-1,0),MATCH($A318,$A$15:OFFSET($A318,-1,0),0)))))</f>
        <v>6</v>
      </c>
      <c r="N318" s="167" t="str">
        <f ca="1">IF($D318&lt;&gt;"Serviço","",
         IF(AUTOEVENTO="Manual",
                IF($A318=0,"&lt;-- defina o número do agrupador",
                       OFFSET(EVENTOS!$D$15,$A318-$A$15,0)),
                OFFSET($F$15,$A318,0)))</f>
        <v>Saneamento</v>
      </c>
      <c r="O318" s="168"/>
      <c r="Q318" s="168"/>
      <c r="R318" s="169"/>
      <c r="S318" s="169"/>
      <c r="T318" s="169"/>
      <c r="U318" s="169">
        <v>363</v>
      </c>
      <c r="V318" s="169"/>
      <c r="W318" s="169"/>
      <c r="X318" s="169"/>
      <c r="Y318" s="169"/>
      <c r="Z318" s="170"/>
      <c r="AA318" s="169"/>
      <c r="AB318" s="169"/>
      <c r="AC318" s="169"/>
      <c r="AD318" s="169"/>
      <c r="AE318" s="169"/>
      <c r="AF318" s="169"/>
      <c r="AG318" s="169"/>
      <c r="AH318" s="170"/>
      <c r="AJ318" s="453">
        <f ca="1">IF(AND($D318="Serviço",AJ$12&lt;&gt;0,$H318&gt;0,OR(AUTOEVENTO&lt;&gt;"manual",$M318&lt;&gt;$A$15)),
        IF(Import.TipoArredondamento&lt;&gt;"TransfereGOV",
              ROUND(OFFSET($P318,0,AJ$13),15-13*ORÇAMENTO!$AF$7)/$H318*OFFSET(ORÇAMENTO!$X$15,ROW(AJ318)-ROW(AJ$15),0),
              ROUND(ROUND(OFFSET($P318,0,AJ$13),15-13*ORÇAMENTO!$AF$7)*OFFSET(ORÇAMENTO!$W$15,ROW(AJ318)-ROW(AJ$15),0),15-13*ORÇAMENTO!$AF$11)),
         0)</f>
        <v>0</v>
      </c>
      <c r="AK318" s="453">
        <f ca="1">IF(AND($D318="Serviço",AK$12&lt;&gt;0,$H318&gt;0,OR(AUTOEVENTO&lt;&gt;"manual",$M318&lt;&gt;$A$15)),
        IF(Import.TipoArredondamento&lt;&gt;"TransfereGOV",
              ROUND(OFFSET($P318,0,AK$13),15-13*ORÇAMENTO!$AF$7)/$H318*OFFSET(ORÇAMENTO!$X$15,ROW(AK318)-ROW(AK$15),0),
              ROUND(ROUND(OFFSET($P318,0,AK$13),15-13*ORÇAMENTO!$AF$7)*OFFSET(ORÇAMENTO!$W$15,ROW(AK318)-ROW(AK$15),0),15-13*ORÇAMENTO!$AF$11)),
         0)</f>
        <v>0</v>
      </c>
      <c r="AL318" s="453">
        <f ca="1">IF(AND($D318="Serviço",AL$12&lt;&gt;0,$H318&gt;0,OR(AUTOEVENTO&lt;&gt;"manual",$M318&lt;&gt;$A$15)),
        IF(Import.TipoArredondamento&lt;&gt;"TransfereGOV",
              ROUND(OFFSET($P318,0,AL$13),15-13*ORÇAMENTO!$AF$7)/$H318*OFFSET(ORÇAMENTO!$X$15,ROW(AL318)-ROW(AL$15),0),
              ROUND(ROUND(OFFSET($P318,0,AL$13),15-13*ORÇAMENTO!$AF$7)*OFFSET(ORÇAMENTO!$W$15,ROW(AL318)-ROW(AL$15),0),15-13*ORÇAMENTO!$AF$11)),
         0)</f>
        <v>0</v>
      </c>
      <c r="AM318" s="453">
        <f ca="1">IF(AND($D318="Serviço",AM$12&lt;&gt;0,$H318&gt;0,OR(AUTOEVENTO&lt;&gt;"manual",$M318&lt;&gt;$A$15)),
        IF(Import.TipoArredondamento&lt;&gt;"TransfereGOV",
              ROUND(OFFSET($P318,0,AM$13),15-13*ORÇAMENTO!$AF$7)/$H318*OFFSET(ORÇAMENTO!$X$15,ROW(AM318)-ROW(AM$15),0),
              ROUND(ROUND(OFFSET($P318,0,AM$13),15-13*ORÇAMENTO!$AF$7)*OFFSET(ORÇAMENTO!$W$15,ROW(AM318)-ROW(AM$15),0),15-13*ORÇAMENTO!$AF$11)),
         0)</f>
        <v>0</v>
      </c>
      <c r="AN318" s="453">
        <f ca="1">IF(AND($D318="Serviço",AN$12&lt;&gt;0,$H318&gt;0,OR(AUTOEVENTO&lt;&gt;"manual",$M318&lt;&gt;$A$15)),
        IF(Import.TipoArredondamento&lt;&gt;"TransfereGOV",
              ROUND(OFFSET($P318,0,AN$13),15-13*ORÇAMENTO!$AF$7)/$H318*OFFSET(ORÇAMENTO!$X$15,ROW(AN318)-ROW(AN$15),0),
              ROUND(ROUND(OFFSET($P318,0,AN$13),15-13*ORÇAMENTO!$AF$7)*OFFSET(ORÇAMENTO!$W$15,ROW(AN318)-ROW(AN$15),0),15-13*ORÇAMENTO!$AF$11)),
         0)</f>
        <v>0</v>
      </c>
      <c r="AO318" s="453">
        <f ca="1">IF(AND($D318="Serviço",AO$12&lt;&gt;0,$H318&gt;0,OR(AUTOEVENTO&lt;&gt;"manual",$M318&lt;&gt;$A$15)),
        IF(Import.TipoArredondamento&lt;&gt;"TransfereGOV",
              ROUND(OFFSET($P318,0,AO$13),15-13*ORÇAMENTO!$AF$7)/$H318*OFFSET(ORÇAMENTO!$X$15,ROW(AO318)-ROW(AO$15),0),
              ROUND(ROUND(OFFSET($P318,0,AO$13),15-13*ORÇAMENTO!$AF$7)*OFFSET(ORÇAMENTO!$W$15,ROW(AO318)-ROW(AO$15),0),15-13*ORÇAMENTO!$AF$11)),
         0)</f>
        <v>0</v>
      </c>
      <c r="AP318" s="453">
        <f ca="1">IF(AND($D318="Serviço",AP$12&lt;&gt;0,$H318&gt;0,OR(AUTOEVENTO&lt;&gt;"manual",$M318&lt;&gt;$A$15)),
        IF(Import.TipoArredondamento&lt;&gt;"TransfereGOV",
              ROUND(OFFSET($P318,0,AP$13),15-13*ORÇAMENTO!$AF$7)/$H318*OFFSET(ORÇAMENTO!$X$15,ROW(AP318)-ROW(AP$15),0),
              ROUND(ROUND(OFFSET($P318,0,AP$13),15-13*ORÇAMENTO!$AF$7)*OFFSET(ORÇAMENTO!$W$15,ROW(AP318)-ROW(AP$15),0),15-13*ORÇAMENTO!$AF$11)),
         0)</f>
        <v>0</v>
      </c>
      <c r="AQ318" s="453">
        <f ca="1">IF(AND($D318="Serviço",AQ$12&lt;&gt;0,$H318&gt;0,OR(AUTOEVENTO&lt;&gt;"manual",$M318&lt;&gt;$A$15)),
        IF(Import.TipoArredondamento&lt;&gt;"TransfereGOV",
              ROUND(OFFSET($P318,0,AQ$13),15-13*ORÇAMENTO!$AF$7)/$H318*OFFSET(ORÇAMENTO!$X$15,ROW(AQ318)-ROW(AQ$15),0),
              ROUND(ROUND(OFFSET($P318,0,AQ$13),15-13*ORÇAMENTO!$AF$7)*OFFSET(ORÇAMENTO!$W$15,ROW(AQ318)-ROW(AQ$15),0),15-13*ORÇAMENTO!$AF$11)),
         0)</f>
        <v>0</v>
      </c>
      <c r="AR318" s="453">
        <f ca="1">IF(AND($D318="Serviço",AR$12&lt;&gt;0,$H318&gt;0,OR(AUTOEVENTO&lt;&gt;"manual",$M318&lt;&gt;$A$15)),
        IF(Import.TipoArredondamento&lt;&gt;"TransfereGOV",
              ROUND(OFFSET($P318,0,AR$13),15-13*ORÇAMENTO!$AF$7)/$H318*OFFSET(ORÇAMENTO!$X$15,ROW(AR318)-ROW(AR$15),0),
              ROUND(ROUND(OFFSET($P318,0,AR$13),15-13*ORÇAMENTO!$AF$7)*OFFSET(ORÇAMENTO!$W$15,ROW(AR318)-ROW(AR$15),0),15-13*ORÇAMENTO!$AF$11)),
         0)</f>
        <v>0</v>
      </c>
      <c r="AS318" s="453">
        <f ca="1">IF(AND($D318="Serviço",AS$12&lt;&gt;0,$H318&gt;0,OR(AUTOEVENTO&lt;&gt;"manual",$M318&lt;&gt;$A$15)),
        IF(Import.TipoArredondamento&lt;&gt;"TransfereGOV",
              ROUND(OFFSET($P318,0,AS$13),15-13*ORÇAMENTO!$AF$7)/$H318*OFFSET(ORÇAMENTO!$X$15,ROW(AS318)-ROW(AS$15),0),
              ROUND(ROUND(OFFSET($P318,0,AS$13),15-13*ORÇAMENTO!$AF$7)*OFFSET(ORÇAMENTO!$W$15,ROW(AS318)-ROW(AS$15),0),15-13*ORÇAMENTO!$AF$11)),
         0)</f>
        <v>0</v>
      </c>
      <c r="AT318" s="453">
        <f ca="1">IF(AND($D318="Serviço",AT$12&lt;&gt;0,$H318&gt;0,OR(AUTOEVENTO&lt;&gt;"manual",$M318&lt;&gt;$A$15)),
        IF(Import.TipoArredondamento&lt;&gt;"TransfereGOV",
              ROUND(OFFSET($P318,0,AT$13),15-13*ORÇAMENTO!$AF$7)/$H318*OFFSET(ORÇAMENTO!$X$15,ROW(AT318)-ROW(AT$15),0),
              ROUND(ROUND(OFFSET($P318,0,AT$13),15-13*ORÇAMENTO!$AF$7)*OFFSET(ORÇAMENTO!$W$15,ROW(AT318)-ROW(AT$15),0),15-13*ORÇAMENTO!$AF$11)),
         0)</f>
        <v>0</v>
      </c>
      <c r="AU318" s="453">
        <f ca="1">IF(AND($D318="Serviço",AU$12&lt;&gt;0,$H318&gt;0,OR(AUTOEVENTO&lt;&gt;"manual",$M318&lt;&gt;$A$15)),
        IF(Import.TipoArredondamento&lt;&gt;"TransfereGOV",
              ROUND(OFFSET($P318,0,AU$13),15-13*ORÇAMENTO!$AF$7)/$H318*OFFSET(ORÇAMENTO!$X$15,ROW(AU318)-ROW(AU$15),0),
              ROUND(ROUND(OFFSET($P318,0,AU$13),15-13*ORÇAMENTO!$AF$7)*OFFSET(ORÇAMENTO!$W$15,ROW(AU318)-ROW(AU$15),0),15-13*ORÇAMENTO!$AF$11)),
         0)</f>
        <v>0</v>
      </c>
      <c r="AV318" s="453">
        <f ca="1">IF(AND($D318="Serviço",AV$12&lt;&gt;0,$H318&gt;0,OR(AUTOEVENTO&lt;&gt;"manual",$M318&lt;&gt;$A$15)),
        IF(Import.TipoArredondamento&lt;&gt;"TransfereGOV",
              ROUND(OFFSET($P318,0,AV$13),15-13*ORÇAMENTO!$AF$7)/$H318*OFFSET(ORÇAMENTO!$X$15,ROW(AV318)-ROW(AV$15),0),
              ROUND(ROUND(OFFSET($P318,0,AV$13),15-13*ORÇAMENTO!$AF$7)*OFFSET(ORÇAMENTO!$W$15,ROW(AV318)-ROW(AV$15),0),15-13*ORÇAMENTO!$AF$11)),
         0)</f>
        <v>0</v>
      </c>
      <c r="AW318" s="453">
        <f ca="1">IF(AND($D318="Serviço",AW$12&lt;&gt;0,$H318&gt;0,OR(AUTOEVENTO&lt;&gt;"manual",$M318&lt;&gt;$A$15)),
        IF(Import.TipoArredondamento&lt;&gt;"TransfereGOV",
              ROUND(OFFSET($P318,0,AW$13),15-13*ORÇAMENTO!$AF$7)/$H318*OFFSET(ORÇAMENTO!$X$15,ROW(AW318)-ROW(AW$15),0),
              ROUND(ROUND(OFFSET($P318,0,AW$13),15-13*ORÇAMENTO!$AF$7)*OFFSET(ORÇAMENTO!$W$15,ROW(AW318)-ROW(AW$15),0),15-13*ORÇAMENTO!$AF$11)),
         0)</f>
        <v>0</v>
      </c>
      <c r="AX318" s="453">
        <f ca="1">IF(AND($D318="Serviço",AX$12&lt;&gt;0,$H318&gt;0,OR(AUTOEVENTO&lt;&gt;"manual",$M318&lt;&gt;$A$15)),
        IF(Import.TipoArredondamento&lt;&gt;"TransfereGOV",
              ROUND(OFFSET($P318,0,AX$13),15-13*ORÇAMENTO!$AF$7)/$H318*OFFSET(ORÇAMENTO!$X$15,ROW(AX318)-ROW(AX$15),0),
              ROUND(ROUND(OFFSET($P318,0,AX$13),15-13*ORÇAMENTO!$AF$7)*OFFSET(ORÇAMENTO!$W$15,ROW(AX318)-ROW(AX$15),0),15-13*ORÇAMENTO!$AF$11)),
         0)</f>
        <v>0</v>
      </c>
      <c r="AY318" s="453">
        <f ca="1">IF(AND($D318="Serviço",AY$12&lt;&gt;0,$H318&gt;0,OR(AUTOEVENTO&lt;&gt;"manual",$M318&lt;&gt;$A$15)),
        IF(Import.TipoArredondamento&lt;&gt;"TransfereGOV",
              ROUND(OFFSET($P318,0,AY$13),15-13*ORÇAMENTO!$AF$7)/$H318*OFFSET(ORÇAMENTO!$X$15,ROW(AY318)-ROW(AY$15),0),
              ROUND(ROUND(OFFSET($P318,0,AY$13),15-13*ORÇAMENTO!$AF$7)*OFFSET(ORÇAMENTO!$W$15,ROW(AY318)-ROW(AY$15),0),15-13*ORÇAMENTO!$AF$11)),
         0)</f>
        <v>0</v>
      </c>
      <c r="AZ318" s="453">
        <f ca="1">IF(AND($D318="Serviço",AZ$12&lt;&gt;0,$H318&gt;0,OR(AUTOEVENTO&lt;&gt;"manual",$M318&lt;&gt;$A$15)),
        IF(Import.TipoArredondamento&lt;&gt;"TransfereGOV",
              ROUND(OFFSET($P318,0,AZ$13),15-13*ORÇAMENTO!$AF$7)/$H318*OFFSET(ORÇAMENTO!$X$15,ROW(AZ318)-ROW(AZ$15),0),
              ROUND(ROUND(OFFSET($P318,0,AZ$13),15-13*ORÇAMENTO!$AF$7)*OFFSET(ORÇAMENTO!$W$15,ROW(AZ318)-ROW(AZ$15),0),15-13*ORÇAMENTO!$AF$11)),
         0)</f>
        <v>0</v>
      </c>
      <c r="BA318" s="453">
        <f ca="1">IF(AND($D318="Serviço",BA$12&lt;&gt;0,$H318&gt;0,OR(AUTOEVENTO&lt;&gt;"manual",$M318&lt;&gt;$A$15)),
        IF(Import.TipoArredondamento&lt;&gt;"TransfereGOV",
              ROUND(OFFSET($P318,0,BA$13),15-13*ORÇAMENTO!$AF$7)/$H318*OFFSET(ORÇAMENTO!$X$15,ROW(BA318)-ROW(BA$15),0),
              ROUND(ROUND(OFFSET($P318,0,BA$13),15-13*ORÇAMENTO!$AF$7)*OFFSET(ORÇAMENTO!$W$15,ROW(BA318)-ROW(BA$15),0),15-13*ORÇAMENTO!$AF$11)),
         0)</f>
        <v>0</v>
      </c>
      <c r="BC318" s="171">
        <f ca="1">IF(OR($D318&lt;&gt;"Serviço",AND(AUTOEVENTO="Manual",$M318=$A$15)),0,
         IF(OFFSET(CRONOPLE!$F$15,$M318-$A$15,BC$13)=0,10^12,OFFSET(CRONOPLE!$F$15,$M318-$A$15,BC$13)))</f>
        <v>1</v>
      </c>
      <c r="BD318" s="171">
        <f ca="1">IF(OR($D318&lt;&gt;"Serviço",AND(AUTOEVENTO="Manual",$M318=$A$15)),0,
         IF(OFFSET(CRONOPLE!$F$15,$M318-$A$15,BD$13)=0,10^12,OFFSET(CRONOPLE!$F$15,$M318-$A$15,BD$13)))</f>
        <v>2</v>
      </c>
      <c r="BE318" s="171">
        <f ca="1">IF(OR($D318&lt;&gt;"Serviço",AND(AUTOEVENTO="Manual",$M318=$A$15)),0,
         IF(OFFSET(CRONOPLE!$F$15,$M318-$A$15,BE$13)=0,10^12,OFFSET(CRONOPLE!$F$15,$M318-$A$15,BE$13)))</f>
        <v>3</v>
      </c>
      <c r="BF318" s="171">
        <f ca="1">IF(OR($D318&lt;&gt;"Serviço",AND(AUTOEVENTO="Manual",$M318=$A$15)),0,
         IF(OFFSET(CRONOPLE!$F$15,$M318-$A$15,BF$13)=0,10^12,OFFSET(CRONOPLE!$F$15,$M318-$A$15,BF$13)))</f>
        <v>4</v>
      </c>
      <c r="BG318" s="171">
        <f ca="1">IF(OR($D318&lt;&gt;"Serviço",AND(AUTOEVENTO="Manual",$M318=$A$15)),0,
         IF(OFFSET(CRONOPLE!$F$15,$M318-$A$15,BG$13)=0,10^12,OFFSET(CRONOPLE!$F$15,$M318-$A$15,BG$13)))</f>
        <v>5</v>
      </c>
      <c r="BH318" s="171">
        <f ca="1">IF(OR($D318&lt;&gt;"Serviço",AND(AUTOEVENTO="Manual",$M318=$A$15)),0,
         IF(OFFSET(CRONOPLE!$F$15,$M318-$A$15,BH$13)=0,10^12,OFFSET(CRONOPLE!$F$15,$M318-$A$15,BH$13)))</f>
        <v>6</v>
      </c>
      <c r="BI318" s="171">
        <f ca="1">IF(OR($D318&lt;&gt;"Serviço",AND(AUTOEVENTO="Manual",$M318=$A$15)),0,
         IF(OFFSET(CRONOPLE!$F$15,$M318-$A$15,BI$13)=0,10^12,OFFSET(CRONOPLE!$F$15,$M318-$A$15,BI$13)))</f>
        <v>7</v>
      </c>
      <c r="BJ318" s="171">
        <f ca="1">IF(OR($D318&lt;&gt;"Serviço",AND(AUTOEVENTO="Manual",$M318=$A$15)),0,
         IF(OFFSET(CRONOPLE!$F$15,$M318-$A$15,BJ$13)=0,10^12,OFFSET(CRONOPLE!$F$15,$M318-$A$15,BJ$13)))</f>
        <v>8</v>
      </c>
      <c r="BK318" s="171">
        <f ca="1">IF(OR($D318&lt;&gt;"Serviço",AND(AUTOEVENTO="Manual",$M318=$A$15)),0,
         IF(OFFSET(CRONOPLE!$F$15,$M318-$A$15,BK$13)=0,10^12,OFFSET(CRONOPLE!$F$15,$M318-$A$15,BK$13)))</f>
        <v>9</v>
      </c>
      <c r="BL318" s="171">
        <f ca="1">IF(OR($D318&lt;&gt;"Serviço",AND(AUTOEVENTO="Manual",$M318=$A$15)),0,
         IF(OFFSET(CRONOPLE!$F$15,$M318-$A$15,BL$13)=0,10^12,OFFSET(CRONOPLE!$F$15,$M318-$A$15,BL$13)))</f>
        <v>1000000000000</v>
      </c>
      <c r="BM318" s="171">
        <f ca="1">IF(OR($D318&lt;&gt;"Serviço",AND(AUTOEVENTO="Manual",$M318=$A$15)),0,
         IF(OFFSET(CRONOPLE!$F$15,$M318-$A$15,BM$13)=0,10^12,OFFSET(CRONOPLE!$F$15,$M318-$A$15,BM$13)))</f>
        <v>1000000000000</v>
      </c>
      <c r="BN318" s="171">
        <f ca="1">IF(OR($D318&lt;&gt;"Serviço",AND(AUTOEVENTO="Manual",$M318=$A$15)),0,
         IF(OFFSET(CRONOPLE!$F$15,$M318-$A$15,BN$13)=0,10^12,OFFSET(CRONOPLE!$F$15,$M318-$A$15,BN$13)))</f>
        <v>1000000000000</v>
      </c>
      <c r="BO318" s="171">
        <f ca="1">IF(OR($D318&lt;&gt;"Serviço",AND(AUTOEVENTO="Manual",$M318=$A$15)),0,
         IF(OFFSET(CRONOPLE!$F$15,$M318-$A$15,BO$13)=0,10^12,OFFSET(CRONOPLE!$F$15,$M318-$A$15,BO$13)))</f>
        <v>1000000000000</v>
      </c>
      <c r="BP318" s="171">
        <f ca="1">IF(OR($D318&lt;&gt;"Serviço",AND(AUTOEVENTO="Manual",$M318=$A$15)),0,
         IF(OFFSET(CRONOPLE!$F$15,$M318-$A$15,BP$13)=0,10^12,OFFSET(CRONOPLE!$F$15,$M318-$A$15,BP$13)))</f>
        <v>1000000000000</v>
      </c>
      <c r="BQ318" s="171">
        <f ca="1">IF(OR($D318&lt;&gt;"Serviço",AND(AUTOEVENTO="Manual",$M318=$A$15)),0,
         IF(OFFSET(CRONOPLE!$F$15,$M318-$A$15,BQ$13)=0,10^12,OFFSET(CRONOPLE!$F$15,$M318-$A$15,BQ$13)))</f>
        <v>1000000000000</v>
      </c>
      <c r="BR318" s="171">
        <f ca="1">IF(OR($D318&lt;&gt;"Serviço",AND(AUTOEVENTO="Manual",$M318=$A$15)),0,
         IF(OFFSET(CRONOPLE!$F$15,$M318-$A$15,BR$13)=0,10^12,OFFSET(CRONOPLE!$F$15,$M318-$A$15,BR$13)))</f>
        <v>1000000000000</v>
      </c>
      <c r="BS318" s="171">
        <f ca="1">IF(OR($D318&lt;&gt;"Serviço",AND(AUTOEVENTO="Manual",$M318=$A$15)),0,
         IF(OFFSET(CRONOPLE!$F$15,$M318-$A$15,BS$13)=0,10^12,OFFSET(CRONOPLE!$F$15,$M318-$A$15,BS$13)))</f>
        <v>1000000000000</v>
      </c>
      <c r="BT318" s="171">
        <f ca="1">IF(OR($D318&lt;&gt;"Serviço",AND(AUTOEVENTO="Manual",$M318=$A$15)),0,
         IF(OFFSET(CRONOPLE!$F$15,$M318-$A$15,BT$13)=0,10^12,OFFSET(CRONOPLE!$F$15,$M318-$A$15,BT$13)))</f>
        <v>1000000000000</v>
      </c>
      <c r="BV318" s="172">
        <f ca="1">IF(OR($D318&lt;&gt;"Serviço",AND(AUTOEVENTO="Manual",$M318=$A$15),$M318&gt;(ROW(PLE.lastrow)-ROW(PLE.firstrow))),0,
           IF(OFFSET(PLE!$G$15,$M318-$A$15,BV$13)="",10^12,OFFSET(PLE!$G$15,$M318-$A$15,BV$13)))</f>
        <v>1000000000000</v>
      </c>
      <c r="BW318" s="172">
        <f ca="1">IF(OR($D318&lt;&gt;"Serviço",AND(AUTOEVENTO="Manual",$M318=$A$15),$M318&gt;(ROW(PLE.lastrow)-ROW(PLE.firstrow))),0,
           IF(OFFSET(PLE!$G$15,$M318-$A$15,BW$13)="",10^12,OFFSET(PLE!$G$15,$M318-$A$15,BW$13)))</f>
        <v>1000000000000</v>
      </c>
      <c r="BX318" s="172">
        <f ca="1">IF(OR($D318&lt;&gt;"Serviço",AND(AUTOEVENTO="Manual",$M318=$A$15),$M318&gt;(ROW(PLE.lastrow)-ROW(PLE.firstrow))),0,
           IF(OFFSET(PLE!$G$15,$M318-$A$15,BX$13)="",10^12,OFFSET(PLE!$G$15,$M318-$A$15,BX$13)))</f>
        <v>1000000000000</v>
      </c>
      <c r="BY318" s="172">
        <f ca="1">IF(OR($D318&lt;&gt;"Serviço",AND(AUTOEVENTO="Manual",$M318=$A$15),$M318&gt;(ROW(PLE.lastrow)-ROW(PLE.firstrow))),0,
           IF(OFFSET(PLE!$G$15,$M318-$A$15,BY$13)="",10^12,OFFSET(PLE!$G$15,$M318-$A$15,BY$13)))</f>
        <v>1000000000000</v>
      </c>
      <c r="BZ318" s="172">
        <f ca="1">IF(OR($D318&lt;&gt;"Serviço",AND(AUTOEVENTO="Manual",$M318=$A$15),$M318&gt;(ROW(PLE.lastrow)-ROW(PLE.firstrow))),0,
           IF(OFFSET(PLE!$G$15,$M318-$A$15,BZ$13)="",10^12,OFFSET(PLE!$G$15,$M318-$A$15,BZ$13)))</f>
        <v>1000000000000</v>
      </c>
      <c r="CA318" s="172">
        <f ca="1">IF(OR($D318&lt;&gt;"Serviço",AND(AUTOEVENTO="Manual",$M318=$A$15),$M318&gt;(ROW(PLE.lastrow)-ROW(PLE.firstrow))),0,
           IF(OFFSET(PLE!$G$15,$M318-$A$15,CA$13)="",10^12,OFFSET(PLE!$G$15,$M318-$A$15,CA$13)))</f>
        <v>1000000000000</v>
      </c>
      <c r="CB318" s="172">
        <f ca="1">IF(OR($D318&lt;&gt;"Serviço",AND(AUTOEVENTO="Manual",$M318=$A$15),$M318&gt;(ROW(PLE.lastrow)-ROW(PLE.firstrow))),0,
           IF(OFFSET(PLE!$G$15,$M318-$A$15,CB$13)="",10^12,OFFSET(PLE!$G$15,$M318-$A$15,CB$13)))</f>
        <v>1000000000000</v>
      </c>
      <c r="CC318" s="172">
        <f ca="1">IF(OR($D318&lt;&gt;"Serviço",AND(AUTOEVENTO="Manual",$M318=$A$15),$M318&gt;(ROW(PLE.lastrow)-ROW(PLE.firstrow))),0,
           IF(OFFSET(PLE!$G$15,$M318-$A$15,CC$13)="",10^12,OFFSET(PLE!$G$15,$M318-$A$15,CC$13)))</f>
        <v>1000000000000</v>
      </c>
      <c r="CD318" s="172">
        <f ca="1">IF(OR($D318&lt;&gt;"Serviço",AND(AUTOEVENTO="Manual",$M318=$A$15),$M318&gt;(ROW(PLE.lastrow)-ROW(PLE.firstrow))),0,
           IF(OFFSET(PLE!$G$15,$M318-$A$15,CD$13)="",10^12,OFFSET(PLE!$G$15,$M318-$A$15,CD$13)))</f>
        <v>1000000000000</v>
      </c>
      <c r="CE318" s="172">
        <f ca="1">IF(OR($D318&lt;&gt;"Serviço",AND(AUTOEVENTO="Manual",$M318=$A$15),$M318&gt;(ROW(PLE.lastrow)-ROW(PLE.firstrow))),0,
           IF(OFFSET(PLE!$G$15,$M318-$A$15,CE$13)="",10^12,OFFSET(PLE!$G$15,$M318-$A$15,CE$13)))</f>
        <v>1000000000000</v>
      </c>
      <c r="CF318" s="172">
        <f ca="1">IF(OR($D318&lt;&gt;"Serviço",AND(AUTOEVENTO="Manual",$M318=$A$15),$M318&gt;(ROW(PLE.lastrow)-ROW(PLE.firstrow))),0,
           IF(OFFSET(PLE!$G$15,$M318-$A$15,CF$13)="",10^12,OFFSET(PLE!$G$15,$M318-$A$15,CF$13)))</f>
        <v>1000000000000</v>
      </c>
      <c r="CG318" s="172">
        <f ca="1">IF(OR($D318&lt;&gt;"Serviço",AND(AUTOEVENTO="Manual",$M318=$A$15),$M318&gt;(ROW(PLE.lastrow)-ROW(PLE.firstrow))),0,
           IF(OFFSET(PLE!$G$15,$M318-$A$15,CG$13)="",10^12,OFFSET(PLE!$G$15,$M318-$A$15,CG$13)))</f>
        <v>1000000000000</v>
      </c>
      <c r="CH318" s="172">
        <f ca="1">IF(OR($D318&lt;&gt;"Serviço",AND(AUTOEVENTO="Manual",$M318=$A$15),$M318&gt;(ROW(PLE.lastrow)-ROW(PLE.firstrow))),0,
           IF(OFFSET(PLE!$G$15,$M318-$A$15,CH$13)="",10^12,OFFSET(PLE!$G$15,$M318-$A$15,CH$13)))</f>
        <v>1000000000000</v>
      </c>
      <c r="CI318" s="172">
        <f ca="1">IF(OR($D318&lt;&gt;"Serviço",AND(AUTOEVENTO="Manual",$M318=$A$15),$M318&gt;(ROW(PLE.lastrow)-ROW(PLE.firstrow))),0,
           IF(OFFSET(PLE!$G$15,$M318-$A$15,CI$13)="",10^12,OFFSET(PLE!$G$15,$M318-$A$15,CI$13)))</f>
        <v>1000000000000</v>
      </c>
      <c r="CJ318" s="172">
        <f ca="1">IF(OR($D318&lt;&gt;"Serviço",AND(AUTOEVENTO="Manual",$M318=$A$15),$M318&gt;(ROW(PLE.lastrow)-ROW(PLE.firstrow))),0,
           IF(OFFSET(PLE!$G$15,$M318-$A$15,CJ$13)="",10^12,OFFSET(PLE!$G$15,$M318-$A$15,CJ$13)))</f>
        <v>1000000000000</v>
      </c>
      <c r="CK318" s="172">
        <f ca="1">IF(OR($D318&lt;&gt;"Serviço",AND(AUTOEVENTO="Manual",$M318=$A$15),$M318&gt;(ROW(PLE.lastrow)-ROW(PLE.firstrow))),0,
           IF(OFFSET(PLE!$G$15,$M318-$A$15,CK$13)="",10^12,OFFSET(PLE!$G$15,$M318-$A$15,CK$13)))</f>
        <v>1000000000000</v>
      </c>
      <c r="CL318" s="172">
        <f ca="1">IF(OR($D318&lt;&gt;"Serviço",AND(AUTOEVENTO="Manual",$M318=$A$15),$M318&gt;(ROW(PLE.lastrow)-ROW(PLE.firstrow))),0,
           IF(OFFSET(PLE!$G$15,$M318-$A$15,CL$13)="",10^12,OFFSET(PLE!$G$15,$M318-$A$15,CL$13)))</f>
        <v>1000000000000</v>
      </c>
      <c r="CM318" s="172">
        <f ca="1">IF(OR($D318&lt;&gt;"Serviço",AND(AUTOEVENTO="Manual",$M318=$A$15),$M318&gt;(ROW(PLE.lastrow)-ROW(PLE.firstrow))),0,
           IF(OFFSET(PLE!$G$15,$M318-$A$15,CM$13)="",10^12,OFFSET(PLE!$G$15,$M318-$A$15,CM$13)))</f>
        <v>1000000000000</v>
      </c>
    </row>
    <row r="319" spans="1:91" ht="63.75" x14ac:dyDescent="0.2">
      <c r="A319" s="7">
        <f t="shared" ca="1" si="14"/>
        <v>6</v>
      </c>
      <c r="B319" s="7" t="str">
        <f ca="1">OFFSET(ORÇAMENTO!C$15,ROW(B319)-ROW(B$15),0)</f>
        <v>S</v>
      </c>
      <c r="C319" s="7" t="str">
        <f ca="1">OFFSET(ORÇAMENTO!L$15,ROW(C319)-ROW(C$15),0)</f>
        <v>F</v>
      </c>
      <c r="D319" s="116" t="str">
        <f ca="1">OFFSET(ORÇAMENTO!N$15,ROW(D319)-ROW(D$15),0)</f>
        <v>Serviço</v>
      </c>
      <c r="E319" s="117" t="str">
        <f ca="1">OFFSET(ORÇAMENTO!O$15,ROW(E319)-ROW(E$15),0)</f>
        <v>1.7.4.4.2.</v>
      </c>
      <c r="F319" s="163" t="str">
        <f ca="1">OFFSET(ORÇAMENTO!R$15,ROW(F319)-ROW(F$15),0)</f>
        <v>FORNECIMENTO E LANÇAMENTO DE AREIA EM DRENO E PÁTIO</v>
      </c>
      <c r="G319" s="164" t="str">
        <f ca="1">IF($D319&lt;&gt;"Serviço","",OFFSET(ORÇAMENTO!S$15,ROW(G319)-ROW(G$15),0))</f>
        <v>M3</v>
      </c>
      <c r="H319" s="122" cm="1">
        <f t="array" aca="1" ref="H319" ca="1">IF($D319&lt;&gt;"Serviço",0,IF(ACOMPANHAMENTO="BM",ROUND(OFFSET(ORÇAMENTO!AJ$15,ROW(H319)-ROW(H$15),0),15-13*ORÇAMENTO!$AF$7),SUMPRODUCT(($Q$1:$AI$1=1)*ROUND($Q319:$AI319,15-13*ORÇAMENTO!$AF$7))))</f>
        <v>28.31</v>
      </c>
      <c r="I319" s="468" t="s">
        <v>1358</v>
      </c>
      <c r="J319" s="640" t="str" cm="1">
        <f t="array" aca="1" ref="J319" ca="1">IF(OR(B319&lt;&gt;"S",CÁLCULO.FrentesPreenchidas=0),"",IF(AND(ACOMPANHAMENTO="PLE",AUTOEVENTO="Manual",OR(H319&gt;0,ORÇAMENTO!AC319="QUANT."),OR(K319="",M319=0,N319="")),"►E",IF(AND(ACOMPANHAMENTO="PLE",ORÇAMENTO!AC319="QUANT."),"►Q",IF(AND(ACOMPANHAMENTO="PLE",H319&lt;&gt;SUMPRODUCT(($Q$1:$AI$1=1)*ROUND(Q319:AI319,15))),"►S",IF(AND(COUNTIF($P$11:$AI$11,"▼")=0,H319&gt;0,I319=""),"◄M","")))))</f>
        <v/>
      </c>
      <c r="K319" s="641" t="s">
        <v>1385</v>
      </c>
      <c r="L319" s="165" t="s">
        <v>764</v>
      </c>
      <c r="M319" s="166">
        <f ca="1">IF($D319&lt;&gt;"Serviço","",
          IF(AUTOEVENTO="manual",$A319,
                IF(ISERROR(MATCH($A319,$A$15:OFFSET($A319,-1,0),0)),MAX($M$15:OFFSET(M319,-1,0))+1,
                      INDEX($M$15:OFFSET(M319,-1,0),MATCH($A319,$A$15:OFFSET($A319,-1,0),0)))))</f>
        <v>6</v>
      </c>
      <c r="N319" s="167" t="str">
        <f ca="1">IF($D319&lt;&gt;"Serviço","",
         IF(AUTOEVENTO="Manual",
                IF($A319=0,"&lt;-- defina o número do agrupador",
                       OFFSET(EVENTOS!$D$15,$A319-$A$15,0)),
                OFFSET($F$15,$A319,0)))</f>
        <v>Saneamento</v>
      </c>
      <c r="O319" s="168"/>
      <c r="Q319" s="168"/>
      <c r="R319" s="169"/>
      <c r="S319" s="169"/>
      <c r="T319" s="169"/>
      <c r="U319" s="169">
        <v>28.31</v>
      </c>
      <c r="V319" s="169"/>
      <c r="W319" s="169"/>
      <c r="X319" s="169"/>
      <c r="Y319" s="169"/>
      <c r="Z319" s="170"/>
      <c r="AA319" s="169"/>
      <c r="AB319" s="169"/>
      <c r="AC319" s="169"/>
      <c r="AD319" s="169"/>
      <c r="AE319" s="169"/>
      <c r="AF319" s="169"/>
      <c r="AG319" s="169"/>
      <c r="AH319" s="170"/>
      <c r="AJ319" s="453">
        <f ca="1">IF(AND($D319="Serviço",AJ$12&lt;&gt;0,$H319&gt;0,OR(AUTOEVENTO&lt;&gt;"manual",$M319&lt;&gt;$A$15)),
        IF(Import.TipoArredondamento&lt;&gt;"TransfereGOV",
              ROUND(OFFSET($P319,0,AJ$13),15-13*ORÇAMENTO!$AF$7)/$H319*OFFSET(ORÇAMENTO!$X$15,ROW(AJ319)-ROW(AJ$15),0),
              ROUND(ROUND(OFFSET($P319,0,AJ$13),15-13*ORÇAMENTO!$AF$7)*OFFSET(ORÇAMENTO!$W$15,ROW(AJ319)-ROW(AJ$15),0),15-13*ORÇAMENTO!$AF$11)),
         0)</f>
        <v>0</v>
      </c>
      <c r="AK319" s="453">
        <f ca="1">IF(AND($D319="Serviço",AK$12&lt;&gt;0,$H319&gt;0,OR(AUTOEVENTO&lt;&gt;"manual",$M319&lt;&gt;$A$15)),
        IF(Import.TipoArredondamento&lt;&gt;"TransfereGOV",
              ROUND(OFFSET($P319,0,AK$13),15-13*ORÇAMENTO!$AF$7)/$H319*OFFSET(ORÇAMENTO!$X$15,ROW(AK319)-ROW(AK$15),0),
              ROUND(ROUND(OFFSET($P319,0,AK$13),15-13*ORÇAMENTO!$AF$7)*OFFSET(ORÇAMENTO!$W$15,ROW(AK319)-ROW(AK$15),0),15-13*ORÇAMENTO!$AF$11)),
         0)</f>
        <v>0</v>
      </c>
      <c r="AL319" s="453">
        <f ca="1">IF(AND($D319="Serviço",AL$12&lt;&gt;0,$H319&gt;0,OR(AUTOEVENTO&lt;&gt;"manual",$M319&lt;&gt;$A$15)),
        IF(Import.TipoArredondamento&lt;&gt;"TransfereGOV",
              ROUND(OFFSET($P319,0,AL$13),15-13*ORÇAMENTO!$AF$7)/$H319*OFFSET(ORÇAMENTO!$X$15,ROW(AL319)-ROW(AL$15),0),
              ROUND(ROUND(OFFSET($P319,0,AL$13),15-13*ORÇAMENTO!$AF$7)*OFFSET(ORÇAMENTO!$W$15,ROW(AL319)-ROW(AL$15),0),15-13*ORÇAMENTO!$AF$11)),
         0)</f>
        <v>0</v>
      </c>
      <c r="AM319" s="453">
        <f ca="1">IF(AND($D319="Serviço",AM$12&lt;&gt;0,$H319&gt;0,OR(AUTOEVENTO&lt;&gt;"manual",$M319&lt;&gt;$A$15)),
        IF(Import.TipoArredondamento&lt;&gt;"TransfereGOV",
              ROUND(OFFSET($P319,0,AM$13),15-13*ORÇAMENTO!$AF$7)/$H319*OFFSET(ORÇAMENTO!$X$15,ROW(AM319)-ROW(AM$15),0),
              ROUND(ROUND(OFFSET($P319,0,AM$13),15-13*ORÇAMENTO!$AF$7)*OFFSET(ORÇAMENTO!$W$15,ROW(AM319)-ROW(AM$15),0),15-13*ORÇAMENTO!$AF$11)),
         0)</f>
        <v>0</v>
      </c>
      <c r="AN319" s="453">
        <f ca="1">IF(AND($D319="Serviço",AN$12&lt;&gt;0,$H319&gt;0,OR(AUTOEVENTO&lt;&gt;"manual",$M319&lt;&gt;$A$15)),
        IF(Import.TipoArredondamento&lt;&gt;"TransfereGOV",
              ROUND(OFFSET($P319,0,AN$13),15-13*ORÇAMENTO!$AF$7)/$H319*OFFSET(ORÇAMENTO!$X$15,ROW(AN319)-ROW(AN$15),0),
              ROUND(ROUND(OFFSET($P319,0,AN$13),15-13*ORÇAMENTO!$AF$7)*OFFSET(ORÇAMENTO!$W$15,ROW(AN319)-ROW(AN$15),0),15-13*ORÇAMENTO!$AF$11)),
         0)</f>
        <v>0</v>
      </c>
      <c r="AO319" s="453">
        <f ca="1">IF(AND($D319="Serviço",AO$12&lt;&gt;0,$H319&gt;0,OR(AUTOEVENTO&lt;&gt;"manual",$M319&lt;&gt;$A$15)),
        IF(Import.TipoArredondamento&lt;&gt;"TransfereGOV",
              ROUND(OFFSET($P319,0,AO$13),15-13*ORÇAMENTO!$AF$7)/$H319*OFFSET(ORÇAMENTO!$X$15,ROW(AO319)-ROW(AO$15),0),
              ROUND(ROUND(OFFSET($P319,0,AO$13),15-13*ORÇAMENTO!$AF$7)*OFFSET(ORÇAMENTO!$W$15,ROW(AO319)-ROW(AO$15),0),15-13*ORÇAMENTO!$AF$11)),
         0)</f>
        <v>0</v>
      </c>
      <c r="AP319" s="453">
        <f ca="1">IF(AND($D319="Serviço",AP$12&lt;&gt;0,$H319&gt;0,OR(AUTOEVENTO&lt;&gt;"manual",$M319&lt;&gt;$A$15)),
        IF(Import.TipoArredondamento&lt;&gt;"TransfereGOV",
              ROUND(OFFSET($P319,0,AP$13),15-13*ORÇAMENTO!$AF$7)/$H319*OFFSET(ORÇAMENTO!$X$15,ROW(AP319)-ROW(AP$15),0),
              ROUND(ROUND(OFFSET($P319,0,AP$13),15-13*ORÇAMENTO!$AF$7)*OFFSET(ORÇAMENTO!$W$15,ROW(AP319)-ROW(AP$15),0),15-13*ORÇAMENTO!$AF$11)),
         0)</f>
        <v>0</v>
      </c>
      <c r="AQ319" s="453">
        <f ca="1">IF(AND($D319="Serviço",AQ$12&lt;&gt;0,$H319&gt;0,OR(AUTOEVENTO&lt;&gt;"manual",$M319&lt;&gt;$A$15)),
        IF(Import.TipoArredondamento&lt;&gt;"TransfereGOV",
              ROUND(OFFSET($P319,0,AQ$13),15-13*ORÇAMENTO!$AF$7)/$H319*OFFSET(ORÇAMENTO!$X$15,ROW(AQ319)-ROW(AQ$15),0),
              ROUND(ROUND(OFFSET($P319,0,AQ$13),15-13*ORÇAMENTO!$AF$7)*OFFSET(ORÇAMENTO!$W$15,ROW(AQ319)-ROW(AQ$15),0),15-13*ORÇAMENTO!$AF$11)),
         0)</f>
        <v>0</v>
      </c>
      <c r="AR319" s="453">
        <f ca="1">IF(AND($D319="Serviço",AR$12&lt;&gt;0,$H319&gt;0,OR(AUTOEVENTO&lt;&gt;"manual",$M319&lt;&gt;$A$15)),
        IF(Import.TipoArredondamento&lt;&gt;"TransfereGOV",
              ROUND(OFFSET($P319,0,AR$13),15-13*ORÇAMENTO!$AF$7)/$H319*OFFSET(ORÇAMENTO!$X$15,ROW(AR319)-ROW(AR$15),0),
              ROUND(ROUND(OFFSET($P319,0,AR$13),15-13*ORÇAMENTO!$AF$7)*OFFSET(ORÇAMENTO!$W$15,ROW(AR319)-ROW(AR$15),0),15-13*ORÇAMENTO!$AF$11)),
         0)</f>
        <v>0</v>
      </c>
      <c r="AS319" s="453">
        <f ca="1">IF(AND($D319="Serviço",AS$12&lt;&gt;0,$H319&gt;0,OR(AUTOEVENTO&lt;&gt;"manual",$M319&lt;&gt;$A$15)),
        IF(Import.TipoArredondamento&lt;&gt;"TransfereGOV",
              ROUND(OFFSET($P319,0,AS$13),15-13*ORÇAMENTO!$AF$7)/$H319*OFFSET(ORÇAMENTO!$X$15,ROW(AS319)-ROW(AS$15),0),
              ROUND(ROUND(OFFSET($P319,0,AS$13),15-13*ORÇAMENTO!$AF$7)*OFFSET(ORÇAMENTO!$W$15,ROW(AS319)-ROW(AS$15),0),15-13*ORÇAMENTO!$AF$11)),
         0)</f>
        <v>0</v>
      </c>
      <c r="AT319" s="453">
        <f ca="1">IF(AND($D319="Serviço",AT$12&lt;&gt;0,$H319&gt;0,OR(AUTOEVENTO&lt;&gt;"manual",$M319&lt;&gt;$A$15)),
        IF(Import.TipoArredondamento&lt;&gt;"TransfereGOV",
              ROUND(OFFSET($P319,0,AT$13),15-13*ORÇAMENTO!$AF$7)/$H319*OFFSET(ORÇAMENTO!$X$15,ROW(AT319)-ROW(AT$15),0),
              ROUND(ROUND(OFFSET($P319,0,AT$13),15-13*ORÇAMENTO!$AF$7)*OFFSET(ORÇAMENTO!$W$15,ROW(AT319)-ROW(AT$15),0),15-13*ORÇAMENTO!$AF$11)),
         0)</f>
        <v>0</v>
      </c>
      <c r="AU319" s="453">
        <f ca="1">IF(AND($D319="Serviço",AU$12&lt;&gt;0,$H319&gt;0,OR(AUTOEVENTO&lt;&gt;"manual",$M319&lt;&gt;$A$15)),
        IF(Import.TipoArredondamento&lt;&gt;"TransfereGOV",
              ROUND(OFFSET($P319,0,AU$13),15-13*ORÇAMENTO!$AF$7)/$H319*OFFSET(ORÇAMENTO!$X$15,ROW(AU319)-ROW(AU$15),0),
              ROUND(ROUND(OFFSET($P319,0,AU$13),15-13*ORÇAMENTO!$AF$7)*OFFSET(ORÇAMENTO!$W$15,ROW(AU319)-ROW(AU$15),0),15-13*ORÇAMENTO!$AF$11)),
         0)</f>
        <v>0</v>
      </c>
      <c r="AV319" s="453">
        <f ca="1">IF(AND($D319="Serviço",AV$12&lt;&gt;0,$H319&gt;0,OR(AUTOEVENTO&lt;&gt;"manual",$M319&lt;&gt;$A$15)),
        IF(Import.TipoArredondamento&lt;&gt;"TransfereGOV",
              ROUND(OFFSET($P319,0,AV$13),15-13*ORÇAMENTO!$AF$7)/$H319*OFFSET(ORÇAMENTO!$X$15,ROW(AV319)-ROW(AV$15),0),
              ROUND(ROUND(OFFSET($P319,0,AV$13),15-13*ORÇAMENTO!$AF$7)*OFFSET(ORÇAMENTO!$W$15,ROW(AV319)-ROW(AV$15),0),15-13*ORÇAMENTO!$AF$11)),
         0)</f>
        <v>0</v>
      </c>
      <c r="AW319" s="453">
        <f ca="1">IF(AND($D319="Serviço",AW$12&lt;&gt;0,$H319&gt;0,OR(AUTOEVENTO&lt;&gt;"manual",$M319&lt;&gt;$A$15)),
        IF(Import.TipoArredondamento&lt;&gt;"TransfereGOV",
              ROUND(OFFSET($P319,0,AW$13),15-13*ORÇAMENTO!$AF$7)/$H319*OFFSET(ORÇAMENTO!$X$15,ROW(AW319)-ROW(AW$15),0),
              ROUND(ROUND(OFFSET($P319,0,AW$13),15-13*ORÇAMENTO!$AF$7)*OFFSET(ORÇAMENTO!$W$15,ROW(AW319)-ROW(AW$15),0),15-13*ORÇAMENTO!$AF$11)),
         0)</f>
        <v>0</v>
      </c>
      <c r="AX319" s="453">
        <f ca="1">IF(AND($D319="Serviço",AX$12&lt;&gt;0,$H319&gt;0,OR(AUTOEVENTO&lt;&gt;"manual",$M319&lt;&gt;$A$15)),
        IF(Import.TipoArredondamento&lt;&gt;"TransfereGOV",
              ROUND(OFFSET($P319,0,AX$13),15-13*ORÇAMENTO!$AF$7)/$H319*OFFSET(ORÇAMENTO!$X$15,ROW(AX319)-ROW(AX$15),0),
              ROUND(ROUND(OFFSET($P319,0,AX$13),15-13*ORÇAMENTO!$AF$7)*OFFSET(ORÇAMENTO!$W$15,ROW(AX319)-ROW(AX$15),0),15-13*ORÇAMENTO!$AF$11)),
         0)</f>
        <v>0</v>
      </c>
      <c r="AY319" s="453">
        <f ca="1">IF(AND($D319="Serviço",AY$12&lt;&gt;0,$H319&gt;0,OR(AUTOEVENTO&lt;&gt;"manual",$M319&lt;&gt;$A$15)),
        IF(Import.TipoArredondamento&lt;&gt;"TransfereGOV",
              ROUND(OFFSET($P319,0,AY$13),15-13*ORÇAMENTO!$AF$7)/$H319*OFFSET(ORÇAMENTO!$X$15,ROW(AY319)-ROW(AY$15),0),
              ROUND(ROUND(OFFSET($P319,0,AY$13),15-13*ORÇAMENTO!$AF$7)*OFFSET(ORÇAMENTO!$W$15,ROW(AY319)-ROW(AY$15),0),15-13*ORÇAMENTO!$AF$11)),
         0)</f>
        <v>0</v>
      </c>
      <c r="AZ319" s="453">
        <f ca="1">IF(AND($D319="Serviço",AZ$12&lt;&gt;0,$H319&gt;0,OR(AUTOEVENTO&lt;&gt;"manual",$M319&lt;&gt;$A$15)),
        IF(Import.TipoArredondamento&lt;&gt;"TransfereGOV",
              ROUND(OFFSET($P319,0,AZ$13),15-13*ORÇAMENTO!$AF$7)/$H319*OFFSET(ORÇAMENTO!$X$15,ROW(AZ319)-ROW(AZ$15),0),
              ROUND(ROUND(OFFSET($P319,0,AZ$13),15-13*ORÇAMENTO!$AF$7)*OFFSET(ORÇAMENTO!$W$15,ROW(AZ319)-ROW(AZ$15),0),15-13*ORÇAMENTO!$AF$11)),
         0)</f>
        <v>0</v>
      </c>
      <c r="BA319" s="453">
        <f ca="1">IF(AND($D319="Serviço",BA$12&lt;&gt;0,$H319&gt;0,OR(AUTOEVENTO&lt;&gt;"manual",$M319&lt;&gt;$A$15)),
        IF(Import.TipoArredondamento&lt;&gt;"TransfereGOV",
              ROUND(OFFSET($P319,0,BA$13),15-13*ORÇAMENTO!$AF$7)/$H319*OFFSET(ORÇAMENTO!$X$15,ROW(BA319)-ROW(BA$15),0),
              ROUND(ROUND(OFFSET($P319,0,BA$13),15-13*ORÇAMENTO!$AF$7)*OFFSET(ORÇAMENTO!$W$15,ROW(BA319)-ROW(BA$15),0),15-13*ORÇAMENTO!$AF$11)),
         0)</f>
        <v>0</v>
      </c>
      <c r="BC319" s="171">
        <f ca="1">IF(OR($D319&lt;&gt;"Serviço",AND(AUTOEVENTO="Manual",$M319=$A$15)),0,
         IF(OFFSET(CRONOPLE!$F$15,$M319-$A$15,BC$13)=0,10^12,OFFSET(CRONOPLE!$F$15,$M319-$A$15,BC$13)))</f>
        <v>1</v>
      </c>
      <c r="BD319" s="171">
        <f ca="1">IF(OR($D319&lt;&gt;"Serviço",AND(AUTOEVENTO="Manual",$M319=$A$15)),0,
         IF(OFFSET(CRONOPLE!$F$15,$M319-$A$15,BD$13)=0,10^12,OFFSET(CRONOPLE!$F$15,$M319-$A$15,BD$13)))</f>
        <v>2</v>
      </c>
      <c r="BE319" s="171">
        <f ca="1">IF(OR($D319&lt;&gt;"Serviço",AND(AUTOEVENTO="Manual",$M319=$A$15)),0,
         IF(OFFSET(CRONOPLE!$F$15,$M319-$A$15,BE$13)=0,10^12,OFFSET(CRONOPLE!$F$15,$M319-$A$15,BE$13)))</f>
        <v>3</v>
      </c>
      <c r="BF319" s="171">
        <f ca="1">IF(OR($D319&lt;&gt;"Serviço",AND(AUTOEVENTO="Manual",$M319=$A$15)),0,
         IF(OFFSET(CRONOPLE!$F$15,$M319-$A$15,BF$13)=0,10^12,OFFSET(CRONOPLE!$F$15,$M319-$A$15,BF$13)))</f>
        <v>4</v>
      </c>
      <c r="BG319" s="171">
        <f ca="1">IF(OR($D319&lt;&gt;"Serviço",AND(AUTOEVENTO="Manual",$M319=$A$15)),0,
         IF(OFFSET(CRONOPLE!$F$15,$M319-$A$15,BG$13)=0,10^12,OFFSET(CRONOPLE!$F$15,$M319-$A$15,BG$13)))</f>
        <v>5</v>
      </c>
      <c r="BH319" s="171">
        <f ca="1">IF(OR($D319&lt;&gt;"Serviço",AND(AUTOEVENTO="Manual",$M319=$A$15)),0,
         IF(OFFSET(CRONOPLE!$F$15,$M319-$A$15,BH$13)=0,10^12,OFFSET(CRONOPLE!$F$15,$M319-$A$15,BH$13)))</f>
        <v>6</v>
      </c>
      <c r="BI319" s="171">
        <f ca="1">IF(OR($D319&lt;&gt;"Serviço",AND(AUTOEVENTO="Manual",$M319=$A$15)),0,
         IF(OFFSET(CRONOPLE!$F$15,$M319-$A$15,BI$13)=0,10^12,OFFSET(CRONOPLE!$F$15,$M319-$A$15,BI$13)))</f>
        <v>7</v>
      </c>
      <c r="BJ319" s="171">
        <f ca="1">IF(OR($D319&lt;&gt;"Serviço",AND(AUTOEVENTO="Manual",$M319=$A$15)),0,
         IF(OFFSET(CRONOPLE!$F$15,$M319-$A$15,BJ$13)=0,10^12,OFFSET(CRONOPLE!$F$15,$M319-$A$15,BJ$13)))</f>
        <v>8</v>
      </c>
      <c r="BK319" s="171">
        <f ca="1">IF(OR($D319&lt;&gt;"Serviço",AND(AUTOEVENTO="Manual",$M319=$A$15)),0,
         IF(OFFSET(CRONOPLE!$F$15,$M319-$A$15,BK$13)=0,10^12,OFFSET(CRONOPLE!$F$15,$M319-$A$15,BK$13)))</f>
        <v>9</v>
      </c>
      <c r="BL319" s="171">
        <f ca="1">IF(OR($D319&lt;&gt;"Serviço",AND(AUTOEVENTO="Manual",$M319=$A$15)),0,
         IF(OFFSET(CRONOPLE!$F$15,$M319-$A$15,BL$13)=0,10^12,OFFSET(CRONOPLE!$F$15,$M319-$A$15,BL$13)))</f>
        <v>1000000000000</v>
      </c>
      <c r="BM319" s="171">
        <f ca="1">IF(OR($D319&lt;&gt;"Serviço",AND(AUTOEVENTO="Manual",$M319=$A$15)),0,
         IF(OFFSET(CRONOPLE!$F$15,$M319-$A$15,BM$13)=0,10^12,OFFSET(CRONOPLE!$F$15,$M319-$A$15,BM$13)))</f>
        <v>1000000000000</v>
      </c>
      <c r="BN319" s="171">
        <f ca="1">IF(OR($D319&lt;&gt;"Serviço",AND(AUTOEVENTO="Manual",$M319=$A$15)),0,
         IF(OFFSET(CRONOPLE!$F$15,$M319-$A$15,BN$13)=0,10^12,OFFSET(CRONOPLE!$F$15,$M319-$A$15,BN$13)))</f>
        <v>1000000000000</v>
      </c>
      <c r="BO319" s="171">
        <f ca="1">IF(OR($D319&lt;&gt;"Serviço",AND(AUTOEVENTO="Manual",$M319=$A$15)),0,
         IF(OFFSET(CRONOPLE!$F$15,$M319-$A$15,BO$13)=0,10^12,OFFSET(CRONOPLE!$F$15,$M319-$A$15,BO$13)))</f>
        <v>1000000000000</v>
      </c>
      <c r="BP319" s="171">
        <f ca="1">IF(OR($D319&lt;&gt;"Serviço",AND(AUTOEVENTO="Manual",$M319=$A$15)),0,
         IF(OFFSET(CRONOPLE!$F$15,$M319-$A$15,BP$13)=0,10^12,OFFSET(CRONOPLE!$F$15,$M319-$A$15,BP$13)))</f>
        <v>1000000000000</v>
      </c>
      <c r="BQ319" s="171">
        <f ca="1">IF(OR($D319&lt;&gt;"Serviço",AND(AUTOEVENTO="Manual",$M319=$A$15)),0,
         IF(OFFSET(CRONOPLE!$F$15,$M319-$A$15,BQ$13)=0,10^12,OFFSET(CRONOPLE!$F$15,$M319-$A$15,BQ$13)))</f>
        <v>1000000000000</v>
      </c>
      <c r="BR319" s="171">
        <f ca="1">IF(OR($D319&lt;&gt;"Serviço",AND(AUTOEVENTO="Manual",$M319=$A$15)),0,
         IF(OFFSET(CRONOPLE!$F$15,$M319-$A$15,BR$13)=0,10^12,OFFSET(CRONOPLE!$F$15,$M319-$A$15,BR$13)))</f>
        <v>1000000000000</v>
      </c>
      <c r="BS319" s="171">
        <f ca="1">IF(OR($D319&lt;&gt;"Serviço",AND(AUTOEVENTO="Manual",$M319=$A$15)),0,
         IF(OFFSET(CRONOPLE!$F$15,$M319-$A$15,BS$13)=0,10^12,OFFSET(CRONOPLE!$F$15,$M319-$A$15,BS$13)))</f>
        <v>1000000000000</v>
      </c>
      <c r="BT319" s="171">
        <f ca="1">IF(OR($D319&lt;&gt;"Serviço",AND(AUTOEVENTO="Manual",$M319=$A$15)),0,
         IF(OFFSET(CRONOPLE!$F$15,$M319-$A$15,BT$13)=0,10^12,OFFSET(CRONOPLE!$F$15,$M319-$A$15,BT$13)))</f>
        <v>1000000000000</v>
      </c>
      <c r="BV319" s="172">
        <f ca="1">IF(OR($D319&lt;&gt;"Serviço",AND(AUTOEVENTO="Manual",$M319=$A$15),$M319&gt;(ROW(PLE.lastrow)-ROW(PLE.firstrow))),0,
           IF(OFFSET(PLE!$G$15,$M319-$A$15,BV$13)="",10^12,OFFSET(PLE!$G$15,$M319-$A$15,BV$13)))</f>
        <v>1000000000000</v>
      </c>
      <c r="BW319" s="172">
        <f ca="1">IF(OR($D319&lt;&gt;"Serviço",AND(AUTOEVENTO="Manual",$M319=$A$15),$M319&gt;(ROW(PLE.lastrow)-ROW(PLE.firstrow))),0,
           IF(OFFSET(PLE!$G$15,$M319-$A$15,BW$13)="",10^12,OFFSET(PLE!$G$15,$M319-$A$15,BW$13)))</f>
        <v>1000000000000</v>
      </c>
      <c r="BX319" s="172">
        <f ca="1">IF(OR($D319&lt;&gt;"Serviço",AND(AUTOEVENTO="Manual",$M319=$A$15),$M319&gt;(ROW(PLE.lastrow)-ROW(PLE.firstrow))),0,
           IF(OFFSET(PLE!$G$15,$M319-$A$15,BX$13)="",10^12,OFFSET(PLE!$G$15,$M319-$A$15,BX$13)))</f>
        <v>1000000000000</v>
      </c>
      <c r="BY319" s="172">
        <f ca="1">IF(OR($D319&lt;&gt;"Serviço",AND(AUTOEVENTO="Manual",$M319=$A$15),$M319&gt;(ROW(PLE.lastrow)-ROW(PLE.firstrow))),0,
           IF(OFFSET(PLE!$G$15,$M319-$A$15,BY$13)="",10^12,OFFSET(PLE!$G$15,$M319-$A$15,BY$13)))</f>
        <v>1000000000000</v>
      </c>
      <c r="BZ319" s="172">
        <f ca="1">IF(OR($D319&lt;&gt;"Serviço",AND(AUTOEVENTO="Manual",$M319=$A$15),$M319&gt;(ROW(PLE.lastrow)-ROW(PLE.firstrow))),0,
           IF(OFFSET(PLE!$G$15,$M319-$A$15,BZ$13)="",10^12,OFFSET(PLE!$G$15,$M319-$A$15,BZ$13)))</f>
        <v>1000000000000</v>
      </c>
      <c r="CA319" s="172">
        <f ca="1">IF(OR($D319&lt;&gt;"Serviço",AND(AUTOEVENTO="Manual",$M319=$A$15),$M319&gt;(ROW(PLE.lastrow)-ROW(PLE.firstrow))),0,
           IF(OFFSET(PLE!$G$15,$M319-$A$15,CA$13)="",10^12,OFFSET(PLE!$G$15,$M319-$A$15,CA$13)))</f>
        <v>1000000000000</v>
      </c>
      <c r="CB319" s="172">
        <f ca="1">IF(OR($D319&lt;&gt;"Serviço",AND(AUTOEVENTO="Manual",$M319=$A$15),$M319&gt;(ROW(PLE.lastrow)-ROW(PLE.firstrow))),0,
           IF(OFFSET(PLE!$G$15,$M319-$A$15,CB$13)="",10^12,OFFSET(PLE!$G$15,$M319-$A$15,CB$13)))</f>
        <v>1000000000000</v>
      </c>
      <c r="CC319" s="172">
        <f ca="1">IF(OR($D319&lt;&gt;"Serviço",AND(AUTOEVENTO="Manual",$M319=$A$15),$M319&gt;(ROW(PLE.lastrow)-ROW(PLE.firstrow))),0,
           IF(OFFSET(PLE!$G$15,$M319-$A$15,CC$13)="",10^12,OFFSET(PLE!$G$15,$M319-$A$15,CC$13)))</f>
        <v>1000000000000</v>
      </c>
      <c r="CD319" s="172">
        <f ca="1">IF(OR($D319&lt;&gt;"Serviço",AND(AUTOEVENTO="Manual",$M319=$A$15),$M319&gt;(ROW(PLE.lastrow)-ROW(PLE.firstrow))),0,
           IF(OFFSET(PLE!$G$15,$M319-$A$15,CD$13)="",10^12,OFFSET(PLE!$G$15,$M319-$A$15,CD$13)))</f>
        <v>1000000000000</v>
      </c>
      <c r="CE319" s="172">
        <f ca="1">IF(OR($D319&lt;&gt;"Serviço",AND(AUTOEVENTO="Manual",$M319=$A$15),$M319&gt;(ROW(PLE.lastrow)-ROW(PLE.firstrow))),0,
           IF(OFFSET(PLE!$G$15,$M319-$A$15,CE$13)="",10^12,OFFSET(PLE!$G$15,$M319-$A$15,CE$13)))</f>
        <v>1000000000000</v>
      </c>
      <c r="CF319" s="172">
        <f ca="1">IF(OR($D319&lt;&gt;"Serviço",AND(AUTOEVENTO="Manual",$M319=$A$15),$M319&gt;(ROW(PLE.lastrow)-ROW(PLE.firstrow))),0,
           IF(OFFSET(PLE!$G$15,$M319-$A$15,CF$13)="",10^12,OFFSET(PLE!$G$15,$M319-$A$15,CF$13)))</f>
        <v>1000000000000</v>
      </c>
      <c r="CG319" s="172">
        <f ca="1">IF(OR($D319&lt;&gt;"Serviço",AND(AUTOEVENTO="Manual",$M319=$A$15),$M319&gt;(ROW(PLE.lastrow)-ROW(PLE.firstrow))),0,
           IF(OFFSET(PLE!$G$15,$M319-$A$15,CG$13)="",10^12,OFFSET(PLE!$G$15,$M319-$A$15,CG$13)))</f>
        <v>1000000000000</v>
      </c>
      <c r="CH319" s="172">
        <f ca="1">IF(OR($D319&lt;&gt;"Serviço",AND(AUTOEVENTO="Manual",$M319=$A$15),$M319&gt;(ROW(PLE.lastrow)-ROW(PLE.firstrow))),0,
           IF(OFFSET(PLE!$G$15,$M319-$A$15,CH$13)="",10^12,OFFSET(PLE!$G$15,$M319-$A$15,CH$13)))</f>
        <v>1000000000000</v>
      </c>
      <c r="CI319" s="172">
        <f ca="1">IF(OR($D319&lt;&gt;"Serviço",AND(AUTOEVENTO="Manual",$M319=$A$15),$M319&gt;(ROW(PLE.lastrow)-ROW(PLE.firstrow))),0,
           IF(OFFSET(PLE!$G$15,$M319-$A$15,CI$13)="",10^12,OFFSET(PLE!$G$15,$M319-$A$15,CI$13)))</f>
        <v>1000000000000</v>
      </c>
      <c r="CJ319" s="172">
        <f ca="1">IF(OR($D319&lt;&gt;"Serviço",AND(AUTOEVENTO="Manual",$M319=$A$15),$M319&gt;(ROW(PLE.lastrow)-ROW(PLE.firstrow))),0,
           IF(OFFSET(PLE!$G$15,$M319-$A$15,CJ$13)="",10^12,OFFSET(PLE!$G$15,$M319-$A$15,CJ$13)))</f>
        <v>1000000000000</v>
      </c>
      <c r="CK319" s="172">
        <f ca="1">IF(OR($D319&lt;&gt;"Serviço",AND(AUTOEVENTO="Manual",$M319=$A$15),$M319&gt;(ROW(PLE.lastrow)-ROW(PLE.firstrow))),0,
           IF(OFFSET(PLE!$G$15,$M319-$A$15,CK$13)="",10^12,OFFSET(PLE!$G$15,$M319-$A$15,CK$13)))</f>
        <v>1000000000000</v>
      </c>
      <c r="CL319" s="172">
        <f ca="1">IF(OR($D319&lt;&gt;"Serviço",AND(AUTOEVENTO="Manual",$M319=$A$15),$M319&gt;(ROW(PLE.lastrow)-ROW(PLE.firstrow))),0,
           IF(OFFSET(PLE!$G$15,$M319-$A$15,CL$13)="",10^12,OFFSET(PLE!$G$15,$M319-$A$15,CL$13)))</f>
        <v>1000000000000</v>
      </c>
      <c r="CM319" s="172">
        <f ca="1">IF(OR($D319&lt;&gt;"Serviço",AND(AUTOEVENTO="Manual",$M319=$A$15),$M319&gt;(ROW(PLE.lastrow)-ROW(PLE.firstrow))),0,
           IF(OFFSET(PLE!$G$15,$M319-$A$15,CM$13)="",10^12,OFFSET(PLE!$G$15,$M319-$A$15,CM$13)))</f>
        <v>1000000000000</v>
      </c>
    </row>
    <row r="320" spans="1:91" ht="63.75" x14ac:dyDescent="0.2">
      <c r="A320" s="7">
        <f t="shared" ca="1" si="14"/>
        <v>6</v>
      </c>
      <c r="B320" s="7" t="str">
        <f ca="1">OFFSET(ORÇAMENTO!C$15,ROW(B320)-ROW(B$15),0)</f>
        <v>S</v>
      </c>
      <c r="C320" s="7" t="str">
        <f ca="1">OFFSET(ORÇAMENTO!L$15,ROW(C320)-ROW(C$15),0)</f>
        <v>F</v>
      </c>
      <c r="D320" s="116" t="str">
        <f ca="1">OFFSET(ORÇAMENTO!N$15,ROW(D320)-ROW(D$15),0)</f>
        <v>Serviço</v>
      </c>
      <c r="E320" s="117" t="str">
        <f ca="1">OFFSET(ORÇAMENTO!O$15,ROW(E320)-ROW(E$15),0)</f>
        <v>1.7.4.4.3.</v>
      </c>
      <c r="F320" s="163" t="str">
        <f ca="1">OFFSET(ORÇAMENTO!R$15,ROW(F320)-ROW(F$15),0)</f>
        <v>ENCHIMENTO DE BRITA Nº 0 PARA DRENO, LANÇAMENTO MECANIZADO - BASEADO EM SINAPI (102717)</v>
      </c>
      <c r="G320" s="164" t="str">
        <f ca="1">IF($D320&lt;&gt;"Serviço","",OFFSET(ORÇAMENTO!S$15,ROW(G320)-ROW(G$15),0))</f>
        <v>M3</v>
      </c>
      <c r="H320" s="122" cm="1">
        <f t="array" aca="1" ref="H320" ca="1">IF($D320&lt;&gt;"Serviço",0,IF(ACOMPANHAMENTO="BM",ROUND(OFFSET(ORÇAMENTO!AJ$15,ROW(H320)-ROW(H$15),0),15-13*ORÇAMENTO!$AF$7),SUMPRODUCT(($Q$1:$AI$1=1)*ROUND($Q320:$AI320,15-13*ORÇAMENTO!$AF$7))))</f>
        <v>36.299999999999997</v>
      </c>
      <c r="I320" s="468" t="s">
        <v>1358</v>
      </c>
      <c r="J320" s="640" t="str" cm="1">
        <f t="array" aca="1" ref="J320" ca="1">IF(OR(B320&lt;&gt;"S",CÁLCULO.FrentesPreenchidas=0),"",IF(AND(ACOMPANHAMENTO="PLE",AUTOEVENTO="Manual",OR(H320&gt;0,ORÇAMENTO!AC320="QUANT."),OR(K320="",M320=0,N320="")),"►E",IF(AND(ACOMPANHAMENTO="PLE",ORÇAMENTO!AC320="QUANT."),"►Q",IF(AND(ACOMPANHAMENTO="PLE",H320&lt;&gt;SUMPRODUCT(($Q$1:$AI$1=1)*ROUND(Q320:AI320,15))),"►S",IF(AND(COUNTIF($P$11:$AI$11,"▼")=0,H320&gt;0,I320=""),"◄M","")))))</f>
        <v/>
      </c>
      <c r="K320" s="641" t="s">
        <v>1385</v>
      </c>
      <c r="L320" s="165" t="s">
        <v>764</v>
      </c>
      <c r="M320" s="166">
        <f ca="1">IF($D320&lt;&gt;"Serviço","",
          IF(AUTOEVENTO="manual",$A320,
                IF(ISERROR(MATCH($A320,$A$15:OFFSET($A320,-1,0),0)),MAX($M$15:OFFSET(M320,-1,0))+1,
                      INDEX($M$15:OFFSET(M320,-1,0),MATCH($A320,$A$15:OFFSET($A320,-1,0),0)))))</f>
        <v>6</v>
      </c>
      <c r="N320" s="167" t="str">
        <f ca="1">IF($D320&lt;&gt;"Serviço","",
         IF(AUTOEVENTO="Manual",
                IF($A320=0,"&lt;-- defina o número do agrupador",
                       OFFSET(EVENTOS!$D$15,$A320-$A$15,0)),
                OFFSET($F$15,$A320,0)))</f>
        <v>Saneamento</v>
      </c>
      <c r="O320" s="168"/>
      <c r="Q320" s="168"/>
      <c r="R320" s="169"/>
      <c r="S320" s="169"/>
      <c r="T320" s="169"/>
      <c r="U320" s="169">
        <v>36.299999999999997</v>
      </c>
      <c r="V320" s="169"/>
      <c r="W320" s="169"/>
      <c r="X320" s="169"/>
      <c r="Y320" s="169"/>
      <c r="Z320" s="170"/>
      <c r="AA320" s="169"/>
      <c r="AB320" s="169"/>
      <c r="AC320" s="169"/>
      <c r="AD320" s="169"/>
      <c r="AE320" s="169"/>
      <c r="AF320" s="169"/>
      <c r="AG320" s="169"/>
      <c r="AH320" s="170"/>
      <c r="AJ320" s="453">
        <f ca="1">IF(AND($D320="Serviço",AJ$12&lt;&gt;0,$H320&gt;0,OR(AUTOEVENTO&lt;&gt;"manual",$M320&lt;&gt;$A$15)),
        IF(Import.TipoArredondamento&lt;&gt;"TransfereGOV",
              ROUND(OFFSET($P320,0,AJ$13),15-13*ORÇAMENTO!$AF$7)/$H320*OFFSET(ORÇAMENTO!$X$15,ROW(AJ320)-ROW(AJ$15),0),
              ROUND(ROUND(OFFSET($P320,0,AJ$13),15-13*ORÇAMENTO!$AF$7)*OFFSET(ORÇAMENTO!$W$15,ROW(AJ320)-ROW(AJ$15),0),15-13*ORÇAMENTO!$AF$11)),
         0)</f>
        <v>0</v>
      </c>
      <c r="AK320" s="453">
        <f ca="1">IF(AND($D320="Serviço",AK$12&lt;&gt;0,$H320&gt;0,OR(AUTOEVENTO&lt;&gt;"manual",$M320&lt;&gt;$A$15)),
        IF(Import.TipoArredondamento&lt;&gt;"TransfereGOV",
              ROUND(OFFSET($P320,0,AK$13),15-13*ORÇAMENTO!$AF$7)/$H320*OFFSET(ORÇAMENTO!$X$15,ROW(AK320)-ROW(AK$15),0),
              ROUND(ROUND(OFFSET($P320,0,AK$13),15-13*ORÇAMENTO!$AF$7)*OFFSET(ORÇAMENTO!$W$15,ROW(AK320)-ROW(AK$15),0),15-13*ORÇAMENTO!$AF$11)),
         0)</f>
        <v>0</v>
      </c>
      <c r="AL320" s="453">
        <f ca="1">IF(AND($D320="Serviço",AL$12&lt;&gt;0,$H320&gt;0,OR(AUTOEVENTO&lt;&gt;"manual",$M320&lt;&gt;$A$15)),
        IF(Import.TipoArredondamento&lt;&gt;"TransfereGOV",
              ROUND(OFFSET($P320,0,AL$13),15-13*ORÇAMENTO!$AF$7)/$H320*OFFSET(ORÇAMENTO!$X$15,ROW(AL320)-ROW(AL$15),0),
              ROUND(ROUND(OFFSET($P320,0,AL$13),15-13*ORÇAMENTO!$AF$7)*OFFSET(ORÇAMENTO!$W$15,ROW(AL320)-ROW(AL$15),0),15-13*ORÇAMENTO!$AF$11)),
         0)</f>
        <v>0</v>
      </c>
      <c r="AM320" s="453">
        <f ca="1">IF(AND($D320="Serviço",AM$12&lt;&gt;0,$H320&gt;0,OR(AUTOEVENTO&lt;&gt;"manual",$M320&lt;&gt;$A$15)),
        IF(Import.TipoArredondamento&lt;&gt;"TransfereGOV",
              ROUND(OFFSET($P320,0,AM$13),15-13*ORÇAMENTO!$AF$7)/$H320*OFFSET(ORÇAMENTO!$X$15,ROW(AM320)-ROW(AM$15),0),
              ROUND(ROUND(OFFSET($P320,0,AM$13),15-13*ORÇAMENTO!$AF$7)*OFFSET(ORÇAMENTO!$W$15,ROW(AM320)-ROW(AM$15),0),15-13*ORÇAMENTO!$AF$11)),
         0)</f>
        <v>0</v>
      </c>
      <c r="AN320" s="453">
        <f ca="1">IF(AND($D320="Serviço",AN$12&lt;&gt;0,$H320&gt;0,OR(AUTOEVENTO&lt;&gt;"manual",$M320&lt;&gt;$A$15)),
        IF(Import.TipoArredondamento&lt;&gt;"TransfereGOV",
              ROUND(OFFSET($P320,0,AN$13),15-13*ORÇAMENTO!$AF$7)/$H320*OFFSET(ORÇAMENTO!$X$15,ROW(AN320)-ROW(AN$15),0),
              ROUND(ROUND(OFFSET($P320,0,AN$13),15-13*ORÇAMENTO!$AF$7)*OFFSET(ORÇAMENTO!$W$15,ROW(AN320)-ROW(AN$15),0),15-13*ORÇAMENTO!$AF$11)),
         0)</f>
        <v>0</v>
      </c>
      <c r="AO320" s="453">
        <f ca="1">IF(AND($D320="Serviço",AO$12&lt;&gt;0,$H320&gt;0,OR(AUTOEVENTO&lt;&gt;"manual",$M320&lt;&gt;$A$15)),
        IF(Import.TipoArredondamento&lt;&gt;"TransfereGOV",
              ROUND(OFFSET($P320,0,AO$13),15-13*ORÇAMENTO!$AF$7)/$H320*OFFSET(ORÇAMENTO!$X$15,ROW(AO320)-ROW(AO$15),0),
              ROUND(ROUND(OFFSET($P320,0,AO$13),15-13*ORÇAMENTO!$AF$7)*OFFSET(ORÇAMENTO!$W$15,ROW(AO320)-ROW(AO$15),0),15-13*ORÇAMENTO!$AF$11)),
         0)</f>
        <v>0</v>
      </c>
      <c r="AP320" s="453">
        <f ca="1">IF(AND($D320="Serviço",AP$12&lt;&gt;0,$H320&gt;0,OR(AUTOEVENTO&lt;&gt;"manual",$M320&lt;&gt;$A$15)),
        IF(Import.TipoArredondamento&lt;&gt;"TransfereGOV",
              ROUND(OFFSET($P320,0,AP$13),15-13*ORÇAMENTO!$AF$7)/$H320*OFFSET(ORÇAMENTO!$X$15,ROW(AP320)-ROW(AP$15),0),
              ROUND(ROUND(OFFSET($P320,0,AP$13),15-13*ORÇAMENTO!$AF$7)*OFFSET(ORÇAMENTO!$W$15,ROW(AP320)-ROW(AP$15),0),15-13*ORÇAMENTO!$AF$11)),
         0)</f>
        <v>0</v>
      </c>
      <c r="AQ320" s="453">
        <f ca="1">IF(AND($D320="Serviço",AQ$12&lt;&gt;0,$H320&gt;0,OR(AUTOEVENTO&lt;&gt;"manual",$M320&lt;&gt;$A$15)),
        IF(Import.TipoArredondamento&lt;&gt;"TransfereGOV",
              ROUND(OFFSET($P320,0,AQ$13),15-13*ORÇAMENTO!$AF$7)/$H320*OFFSET(ORÇAMENTO!$X$15,ROW(AQ320)-ROW(AQ$15),0),
              ROUND(ROUND(OFFSET($P320,0,AQ$13),15-13*ORÇAMENTO!$AF$7)*OFFSET(ORÇAMENTO!$W$15,ROW(AQ320)-ROW(AQ$15),0),15-13*ORÇAMENTO!$AF$11)),
         0)</f>
        <v>0</v>
      </c>
      <c r="AR320" s="453">
        <f ca="1">IF(AND($D320="Serviço",AR$12&lt;&gt;0,$H320&gt;0,OR(AUTOEVENTO&lt;&gt;"manual",$M320&lt;&gt;$A$15)),
        IF(Import.TipoArredondamento&lt;&gt;"TransfereGOV",
              ROUND(OFFSET($P320,0,AR$13),15-13*ORÇAMENTO!$AF$7)/$H320*OFFSET(ORÇAMENTO!$X$15,ROW(AR320)-ROW(AR$15),0),
              ROUND(ROUND(OFFSET($P320,0,AR$13),15-13*ORÇAMENTO!$AF$7)*OFFSET(ORÇAMENTO!$W$15,ROW(AR320)-ROW(AR$15),0),15-13*ORÇAMENTO!$AF$11)),
         0)</f>
        <v>0</v>
      </c>
      <c r="AS320" s="453">
        <f ca="1">IF(AND($D320="Serviço",AS$12&lt;&gt;0,$H320&gt;0,OR(AUTOEVENTO&lt;&gt;"manual",$M320&lt;&gt;$A$15)),
        IF(Import.TipoArredondamento&lt;&gt;"TransfereGOV",
              ROUND(OFFSET($P320,0,AS$13),15-13*ORÇAMENTO!$AF$7)/$H320*OFFSET(ORÇAMENTO!$X$15,ROW(AS320)-ROW(AS$15),0),
              ROUND(ROUND(OFFSET($P320,0,AS$13),15-13*ORÇAMENTO!$AF$7)*OFFSET(ORÇAMENTO!$W$15,ROW(AS320)-ROW(AS$15),0),15-13*ORÇAMENTO!$AF$11)),
         0)</f>
        <v>0</v>
      </c>
      <c r="AT320" s="453">
        <f ca="1">IF(AND($D320="Serviço",AT$12&lt;&gt;0,$H320&gt;0,OR(AUTOEVENTO&lt;&gt;"manual",$M320&lt;&gt;$A$15)),
        IF(Import.TipoArredondamento&lt;&gt;"TransfereGOV",
              ROUND(OFFSET($P320,0,AT$13),15-13*ORÇAMENTO!$AF$7)/$H320*OFFSET(ORÇAMENTO!$X$15,ROW(AT320)-ROW(AT$15),0),
              ROUND(ROUND(OFFSET($P320,0,AT$13),15-13*ORÇAMENTO!$AF$7)*OFFSET(ORÇAMENTO!$W$15,ROW(AT320)-ROW(AT$15),0),15-13*ORÇAMENTO!$AF$11)),
         0)</f>
        <v>0</v>
      </c>
      <c r="AU320" s="453">
        <f ca="1">IF(AND($D320="Serviço",AU$12&lt;&gt;0,$H320&gt;0,OR(AUTOEVENTO&lt;&gt;"manual",$M320&lt;&gt;$A$15)),
        IF(Import.TipoArredondamento&lt;&gt;"TransfereGOV",
              ROUND(OFFSET($P320,0,AU$13),15-13*ORÇAMENTO!$AF$7)/$H320*OFFSET(ORÇAMENTO!$X$15,ROW(AU320)-ROW(AU$15),0),
              ROUND(ROUND(OFFSET($P320,0,AU$13),15-13*ORÇAMENTO!$AF$7)*OFFSET(ORÇAMENTO!$W$15,ROW(AU320)-ROW(AU$15),0),15-13*ORÇAMENTO!$AF$11)),
         0)</f>
        <v>0</v>
      </c>
      <c r="AV320" s="453">
        <f ca="1">IF(AND($D320="Serviço",AV$12&lt;&gt;0,$H320&gt;0,OR(AUTOEVENTO&lt;&gt;"manual",$M320&lt;&gt;$A$15)),
        IF(Import.TipoArredondamento&lt;&gt;"TransfereGOV",
              ROUND(OFFSET($P320,0,AV$13),15-13*ORÇAMENTO!$AF$7)/$H320*OFFSET(ORÇAMENTO!$X$15,ROW(AV320)-ROW(AV$15),0),
              ROUND(ROUND(OFFSET($P320,0,AV$13),15-13*ORÇAMENTO!$AF$7)*OFFSET(ORÇAMENTO!$W$15,ROW(AV320)-ROW(AV$15),0),15-13*ORÇAMENTO!$AF$11)),
         0)</f>
        <v>0</v>
      </c>
      <c r="AW320" s="453">
        <f ca="1">IF(AND($D320="Serviço",AW$12&lt;&gt;0,$H320&gt;0,OR(AUTOEVENTO&lt;&gt;"manual",$M320&lt;&gt;$A$15)),
        IF(Import.TipoArredondamento&lt;&gt;"TransfereGOV",
              ROUND(OFFSET($P320,0,AW$13),15-13*ORÇAMENTO!$AF$7)/$H320*OFFSET(ORÇAMENTO!$X$15,ROW(AW320)-ROW(AW$15),0),
              ROUND(ROUND(OFFSET($P320,0,AW$13),15-13*ORÇAMENTO!$AF$7)*OFFSET(ORÇAMENTO!$W$15,ROW(AW320)-ROW(AW$15),0),15-13*ORÇAMENTO!$AF$11)),
         0)</f>
        <v>0</v>
      </c>
      <c r="AX320" s="453">
        <f ca="1">IF(AND($D320="Serviço",AX$12&lt;&gt;0,$H320&gt;0,OR(AUTOEVENTO&lt;&gt;"manual",$M320&lt;&gt;$A$15)),
        IF(Import.TipoArredondamento&lt;&gt;"TransfereGOV",
              ROUND(OFFSET($P320,0,AX$13),15-13*ORÇAMENTO!$AF$7)/$H320*OFFSET(ORÇAMENTO!$X$15,ROW(AX320)-ROW(AX$15),0),
              ROUND(ROUND(OFFSET($P320,0,AX$13),15-13*ORÇAMENTO!$AF$7)*OFFSET(ORÇAMENTO!$W$15,ROW(AX320)-ROW(AX$15),0),15-13*ORÇAMENTO!$AF$11)),
         0)</f>
        <v>0</v>
      </c>
      <c r="AY320" s="453">
        <f ca="1">IF(AND($D320="Serviço",AY$12&lt;&gt;0,$H320&gt;0,OR(AUTOEVENTO&lt;&gt;"manual",$M320&lt;&gt;$A$15)),
        IF(Import.TipoArredondamento&lt;&gt;"TransfereGOV",
              ROUND(OFFSET($P320,0,AY$13),15-13*ORÇAMENTO!$AF$7)/$H320*OFFSET(ORÇAMENTO!$X$15,ROW(AY320)-ROW(AY$15),0),
              ROUND(ROUND(OFFSET($P320,0,AY$13),15-13*ORÇAMENTO!$AF$7)*OFFSET(ORÇAMENTO!$W$15,ROW(AY320)-ROW(AY$15),0),15-13*ORÇAMENTO!$AF$11)),
         0)</f>
        <v>0</v>
      </c>
      <c r="AZ320" s="453">
        <f ca="1">IF(AND($D320="Serviço",AZ$12&lt;&gt;0,$H320&gt;0,OR(AUTOEVENTO&lt;&gt;"manual",$M320&lt;&gt;$A$15)),
        IF(Import.TipoArredondamento&lt;&gt;"TransfereGOV",
              ROUND(OFFSET($P320,0,AZ$13),15-13*ORÇAMENTO!$AF$7)/$H320*OFFSET(ORÇAMENTO!$X$15,ROW(AZ320)-ROW(AZ$15),0),
              ROUND(ROUND(OFFSET($P320,0,AZ$13),15-13*ORÇAMENTO!$AF$7)*OFFSET(ORÇAMENTO!$W$15,ROW(AZ320)-ROW(AZ$15),0),15-13*ORÇAMENTO!$AF$11)),
         0)</f>
        <v>0</v>
      </c>
      <c r="BA320" s="453">
        <f ca="1">IF(AND($D320="Serviço",BA$12&lt;&gt;0,$H320&gt;0,OR(AUTOEVENTO&lt;&gt;"manual",$M320&lt;&gt;$A$15)),
        IF(Import.TipoArredondamento&lt;&gt;"TransfereGOV",
              ROUND(OFFSET($P320,0,BA$13),15-13*ORÇAMENTO!$AF$7)/$H320*OFFSET(ORÇAMENTO!$X$15,ROW(BA320)-ROW(BA$15),0),
              ROUND(ROUND(OFFSET($P320,0,BA$13),15-13*ORÇAMENTO!$AF$7)*OFFSET(ORÇAMENTO!$W$15,ROW(BA320)-ROW(BA$15),0),15-13*ORÇAMENTO!$AF$11)),
         0)</f>
        <v>0</v>
      </c>
      <c r="BC320" s="171">
        <f ca="1">IF(OR($D320&lt;&gt;"Serviço",AND(AUTOEVENTO="Manual",$M320=$A$15)),0,
         IF(OFFSET(CRONOPLE!$F$15,$M320-$A$15,BC$13)=0,10^12,OFFSET(CRONOPLE!$F$15,$M320-$A$15,BC$13)))</f>
        <v>1</v>
      </c>
      <c r="BD320" s="171">
        <f ca="1">IF(OR($D320&lt;&gt;"Serviço",AND(AUTOEVENTO="Manual",$M320=$A$15)),0,
         IF(OFFSET(CRONOPLE!$F$15,$M320-$A$15,BD$13)=0,10^12,OFFSET(CRONOPLE!$F$15,$M320-$A$15,BD$13)))</f>
        <v>2</v>
      </c>
      <c r="BE320" s="171">
        <f ca="1">IF(OR($D320&lt;&gt;"Serviço",AND(AUTOEVENTO="Manual",$M320=$A$15)),0,
         IF(OFFSET(CRONOPLE!$F$15,$M320-$A$15,BE$13)=0,10^12,OFFSET(CRONOPLE!$F$15,$M320-$A$15,BE$13)))</f>
        <v>3</v>
      </c>
      <c r="BF320" s="171">
        <f ca="1">IF(OR($D320&lt;&gt;"Serviço",AND(AUTOEVENTO="Manual",$M320=$A$15)),0,
         IF(OFFSET(CRONOPLE!$F$15,$M320-$A$15,BF$13)=0,10^12,OFFSET(CRONOPLE!$F$15,$M320-$A$15,BF$13)))</f>
        <v>4</v>
      </c>
      <c r="BG320" s="171">
        <f ca="1">IF(OR($D320&lt;&gt;"Serviço",AND(AUTOEVENTO="Manual",$M320=$A$15)),0,
         IF(OFFSET(CRONOPLE!$F$15,$M320-$A$15,BG$13)=0,10^12,OFFSET(CRONOPLE!$F$15,$M320-$A$15,BG$13)))</f>
        <v>5</v>
      </c>
      <c r="BH320" s="171">
        <f ca="1">IF(OR($D320&lt;&gt;"Serviço",AND(AUTOEVENTO="Manual",$M320=$A$15)),0,
         IF(OFFSET(CRONOPLE!$F$15,$M320-$A$15,BH$13)=0,10^12,OFFSET(CRONOPLE!$F$15,$M320-$A$15,BH$13)))</f>
        <v>6</v>
      </c>
      <c r="BI320" s="171">
        <f ca="1">IF(OR($D320&lt;&gt;"Serviço",AND(AUTOEVENTO="Manual",$M320=$A$15)),0,
         IF(OFFSET(CRONOPLE!$F$15,$M320-$A$15,BI$13)=0,10^12,OFFSET(CRONOPLE!$F$15,$M320-$A$15,BI$13)))</f>
        <v>7</v>
      </c>
      <c r="BJ320" s="171">
        <f ca="1">IF(OR($D320&lt;&gt;"Serviço",AND(AUTOEVENTO="Manual",$M320=$A$15)),0,
         IF(OFFSET(CRONOPLE!$F$15,$M320-$A$15,BJ$13)=0,10^12,OFFSET(CRONOPLE!$F$15,$M320-$A$15,BJ$13)))</f>
        <v>8</v>
      </c>
      <c r="BK320" s="171">
        <f ca="1">IF(OR($D320&lt;&gt;"Serviço",AND(AUTOEVENTO="Manual",$M320=$A$15)),0,
         IF(OFFSET(CRONOPLE!$F$15,$M320-$A$15,BK$13)=0,10^12,OFFSET(CRONOPLE!$F$15,$M320-$A$15,BK$13)))</f>
        <v>9</v>
      </c>
      <c r="BL320" s="171">
        <f ca="1">IF(OR($D320&lt;&gt;"Serviço",AND(AUTOEVENTO="Manual",$M320=$A$15)),0,
         IF(OFFSET(CRONOPLE!$F$15,$M320-$A$15,BL$13)=0,10^12,OFFSET(CRONOPLE!$F$15,$M320-$A$15,BL$13)))</f>
        <v>1000000000000</v>
      </c>
      <c r="BM320" s="171">
        <f ca="1">IF(OR($D320&lt;&gt;"Serviço",AND(AUTOEVENTO="Manual",$M320=$A$15)),0,
         IF(OFFSET(CRONOPLE!$F$15,$M320-$A$15,BM$13)=0,10^12,OFFSET(CRONOPLE!$F$15,$M320-$A$15,BM$13)))</f>
        <v>1000000000000</v>
      </c>
      <c r="BN320" s="171">
        <f ca="1">IF(OR($D320&lt;&gt;"Serviço",AND(AUTOEVENTO="Manual",$M320=$A$15)),0,
         IF(OFFSET(CRONOPLE!$F$15,$M320-$A$15,BN$13)=0,10^12,OFFSET(CRONOPLE!$F$15,$M320-$A$15,BN$13)))</f>
        <v>1000000000000</v>
      </c>
      <c r="BO320" s="171">
        <f ca="1">IF(OR($D320&lt;&gt;"Serviço",AND(AUTOEVENTO="Manual",$M320=$A$15)),0,
         IF(OFFSET(CRONOPLE!$F$15,$M320-$A$15,BO$13)=0,10^12,OFFSET(CRONOPLE!$F$15,$M320-$A$15,BO$13)))</f>
        <v>1000000000000</v>
      </c>
      <c r="BP320" s="171">
        <f ca="1">IF(OR($D320&lt;&gt;"Serviço",AND(AUTOEVENTO="Manual",$M320=$A$15)),0,
         IF(OFFSET(CRONOPLE!$F$15,$M320-$A$15,BP$13)=0,10^12,OFFSET(CRONOPLE!$F$15,$M320-$A$15,BP$13)))</f>
        <v>1000000000000</v>
      </c>
      <c r="BQ320" s="171">
        <f ca="1">IF(OR($D320&lt;&gt;"Serviço",AND(AUTOEVENTO="Manual",$M320=$A$15)),0,
         IF(OFFSET(CRONOPLE!$F$15,$M320-$A$15,BQ$13)=0,10^12,OFFSET(CRONOPLE!$F$15,$M320-$A$15,BQ$13)))</f>
        <v>1000000000000</v>
      </c>
      <c r="BR320" s="171">
        <f ca="1">IF(OR($D320&lt;&gt;"Serviço",AND(AUTOEVENTO="Manual",$M320=$A$15)),0,
         IF(OFFSET(CRONOPLE!$F$15,$M320-$A$15,BR$13)=0,10^12,OFFSET(CRONOPLE!$F$15,$M320-$A$15,BR$13)))</f>
        <v>1000000000000</v>
      </c>
      <c r="BS320" s="171">
        <f ca="1">IF(OR($D320&lt;&gt;"Serviço",AND(AUTOEVENTO="Manual",$M320=$A$15)),0,
         IF(OFFSET(CRONOPLE!$F$15,$M320-$A$15,BS$13)=0,10^12,OFFSET(CRONOPLE!$F$15,$M320-$A$15,BS$13)))</f>
        <v>1000000000000</v>
      </c>
      <c r="BT320" s="171">
        <f ca="1">IF(OR($D320&lt;&gt;"Serviço",AND(AUTOEVENTO="Manual",$M320=$A$15)),0,
         IF(OFFSET(CRONOPLE!$F$15,$M320-$A$15,BT$13)=0,10^12,OFFSET(CRONOPLE!$F$15,$M320-$A$15,BT$13)))</f>
        <v>1000000000000</v>
      </c>
      <c r="BV320" s="172">
        <f ca="1">IF(OR($D320&lt;&gt;"Serviço",AND(AUTOEVENTO="Manual",$M320=$A$15),$M320&gt;(ROW(PLE.lastrow)-ROW(PLE.firstrow))),0,
           IF(OFFSET(PLE!$G$15,$M320-$A$15,BV$13)="",10^12,OFFSET(PLE!$G$15,$M320-$A$15,BV$13)))</f>
        <v>1000000000000</v>
      </c>
      <c r="BW320" s="172">
        <f ca="1">IF(OR($D320&lt;&gt;"Serviço",AND(AUTOEVENTO="Manual",$M320=$A$15),$M320&gt;(ROW(PLE.lastrow)-ROW(PLE.firstrow))),0,
           IF(OFFSET(PLE!$G$15,$M320-$A$15,BW$13)="",10^12,OFFSET(PLE!$G$15,$M320-$A$15,BW$13)))</f>
        <v>1000000000000</v>
      </c>
      <c r="BX320" s="172">
        <f ca="1">IF(OR($D320&lt;&gt;"Serviço",AND(AUTOEVENTO="Manual",$M320=$A$15),$M320&gt;(ROW(PLE.lastrow)-ROW(PLE.firstrow))),0,
           IF(OFFSET(PLE!$G$15,$M320-$A$15,BX$13)="",10^12,OFFSET(PLE!$G$15,$M320-$A$15,BX$13)))</f>
        <v>1000000000000</v>
      </c>
      <c r="BY320" s="172">
        <f ca="1">IF(OR($D320&lt;&gt;"Serviço",AND(AUTOEVENTO="Manual",$M320=$A$15),$M320&gt;(ROW(PLE.lastrow)-ROW(PLE.firstrow))),0,
           IF(OFFSET(PLE!$G$15,$M320-$A$15,BY$13)="",10^12,OFFSET(PLE!$G$15,$M320-$A$15,BY$13)))</f>
        <v>1000000000000</v>
      </c>
      <c r="BZ320" s="172">
        <f ca="1">IF(OR($D320&lt;&gt;"Serviço",AND(AUTOEVENTO="Manual",$M320=$A$15),$M320&gt;(ROW(PLE.lastrow)-ROW(PLE.firstrow))),0,
           IF(OFFSET(PLE!$G$15,$M320-$A$15,BZ$13)="",10^12,OFFSET(PLE!$G$15,$M320-$A$15,BZ$13)))</f>
        <v>1000000000000</v>
      </c>
      <c r="CA320" s="172">
        <f ca="1">IF(OR($D320&lt;&gt;"Serviço",AND(AUTOEVENTO="Manual",$M320=$A$15),$M320&gt;(ROW(PLE.lastrow)-ROW(PLE.firstrow))),0,
           IF(OFFSET(PLE!$G$15,$M320-$A$15,CA$13)="",10^12,OFFSET(PLE!$G$15,$M320-$A$15,CA$13)))</f>
        <v>1000000000000</v>
      </c>
      <c r="CB320" s="172">
        <f ca="1">IF(OR($D320&lt;&gt;"Serviço",AND(AUTOEVENTO="Manual",$M320=$A$15),$M320&gt;(ROW(PLE.lastrow)-ROW(PLE.firstrow))),0,
           IF(OFFSET(PLE!$G$15,$M320-$A$15,CB$13)="",10^12,OFFSET(PLE!$G$15,$M320-$A$15,CB$13)))</f>
        <v>1000000000000</v>
      </c>
      <c r="CC320" s="172">
        <f ca="1">IF(OR($D320&lt;&gt;"Serviço",AND(AUTOEVENTO="Manual",$M320=$A$15),$M320&gt;(ROW(PLE.lastrow)-ROW(PLE.firstrow))),0,
           IF(OFFSET(PLE!$G$15,$M320-$A$15,CC$13)="",10^12,OFFSET(PLE!$G$15,$M320-$A$15,CC$13)))</f>
        <v>1000000000000</v>
      </c>
      <c r="CD320" s="172">
        <f ca="1">IF(OR($D320&lt;&gt;"Serviço",AND(AUTOEVENTO="Manual",$M320=$A$15),$M320&gt;(ROW(PLE.lastrow)-ROW(PLE.firstrow))),0,
           IF(OFFSET(PLE!$G$15,$M320-$A$15,CD$13)="",10^12,OFFSET(PLE!$G$15,$M320-$A$15,CD$13)))</f>
        <v>1000000000000</v>
      </c>
      <c r="CE320" s="172">
        <f ca="1">IF(OR($D320&lt;&gt;"Serviço",AND(AUTOEVENTO="Manual",$M320=$A$15),$M320&gt;(ROW(PLE.lastrow)-ROW(PLE.firstrow))),0,
           IF(OFFSET(PLE!$G$15,$M320-$A$15,CE$13)="",10^12,OFFSET(PLE!$G$15,$M320-$A$15,CE$13)))</f>
        <v>1000000000000</v>
      </c>
      <c r="CF320" s="172">
        <f ca="1">IF(OR($D320&lt;&gt;"Serviço",AND(AUTOEVENTO="Manual",$M320=$A$15),$M320&gt;(ROW(PLE.lastrow)-ROW(PLE.firstrow))),0,
           IF(OFFSET(PLE!$G$15,$M320-$A$15,CF$13)="",10^12,OFFSET(PLE!$G$15,$M320-$A$15,CF$13)))</f>
        <v>1000000000000</v>
      </c>
      <c r="CG320" s="172">
        <f ca="1">IF(OR($D320&lt;&gt;"Serviço",AND(AUTOEVENTO="Manual",$M320=$A$15),$M320&gt;(ROW(PLE.lastrow)-ROW(PLE.firstrow))),0,
           IF(OFFSET(PLE!$G$15,$M320-$A$15,CG$13)="",10^12,OFFSET(PLE!$G$15,$M320-$A$15,CG$13)))</f>
        <v>1000000000000</v>
      </c>
      <c r="CH320" s="172">
        <f ca="1">IF(OR($D320&lt;&gt;"Serviço",AND(AUTOEVENTO="Manual",$M320=$A$15),$M320&gt;(ROW(PLE.lastrow)-ROW(PLE.firstrow))),0,
           IF(OFFSET(PLE!$G$15,$M320-$A$15,CH$13)="",10^12,OFFSET(PLE!$G$15,$M320-$A$15,CH$13)))</f>
        <v>1000000000000</v>
      </c>
      <c r="CI320" s="172">
        <f ca="1">IF(OR($D320&lt;&gt;"Serviço",AND(AUTOEVENTO="Manual",$M320=$A$15),$M320&gt;(ROW(PLE.lastrow)-ROW(PLE.firstrow))),0,
           IF(OFFSET(PLE!$G$15,$M320-$A$15,CI$13)="",10^12,OFFSET(PLE!$G$15,$M320-$A$15,CI$13)))</f>
        <v>1000000000000</v>
      </c>
      <c r="CJ320" s="172">
        <f ca="1">IF(OR($D320&lt;&gt;"Serviço",AND(AUTOEVENTO="Manual",$M320=$A$15),$M320&gt;(ROW(PLE.lastrow)-ROW(PLE.firstrow))),0,
           IF(OFFSET(PLE!$G$15,$M320-$A$15,CJ$13)="",10^12,OFFSET(PLE!$G$15,$M320-$A$15,CJ$13)))</f>
        <v>1000000000000</v>
      </c>
      <c r="CK320" s="172">
        <f ca="1">IF(OR($D320&lt;&gt;"Serviço",AND(AUTOEVENTO="Manual",$M320=$A$15),$M320&gt;(ROW(PLE.lastrow)-ROW(PLE.firstrow))),0,
           IF(OFFSET(PLE!$G$15,$M320-$A$15,CK$13)="",10^12,OFFSET(PLE!$G$15,$M320-$A$15,CK$13)))</f>
        <v>1000000000000</v>
      </c>
      <c r="CL320" s="172">
        <f ca="1">IF(OR($D320&lt;&gt;"Serviço",AND(AUTOEVENTO="Manual",$M320=$A$15),$M320&gt;(ROW(PLE.lastrow)-ROW(PLE.firstrow))),0,
           IF(OFFSET(PLE!$G$15,$M320-$A$15,CL$13)="",10^12,OFFSET(PLE!$G$15,$M320-$A$15,CL$13)))</f>
        <v>1000000000000</v>
      </c>
      <c r="CM320" s="172">
        <f ca="1">IF(OR($D320&lt;&gt;"Serviço",AND(AUTOEVENTO="Manual",$M320=$A$15),$M320&gt;(ROW(PLE.lastrow)-ROW(PLE.firstrow))),0,
           IF(OFFSET(PLE!$G$15,$M320-$A$15,CM$13)="",10^12,OFFSET(PLE!$G$15,$M320-$A$15,CM$13)))</f>
        <v>1000000000000</v>
      </c>
    </row>
    <row r="321" spans="1:91" ht="63.75" x14ac:dyDescent="0.2">
      <c r="A321" s="7">
        <f t="shared" ca="1" si="14"/>
        <v>6</v>
      </c>
      <c r="B321" s="7" t="str">
        <f ca="1">OFFSET(ORÇAMENTO!C$15,ROW(B321)-ROW(B$15),0)</f>
        <v>S</v>
      </c>
      <c r="C321" s="7" t="str">
        <f ca="1">OFFSET(ORÇAMENTO!L$15,ROW(C321)-ROW(C$15),0)</f>
        <v>F</v>
      </c>
      <c r="D321" s="116" t="str">
        <f ca="1">OFFSET(ORÇAMENTO!N$15,ROW(D321)-ROW(D$15),0)</f>
        <v>Serviço</v>
      </c>
      <c r="E321" s="117" t="str">
        <f ca="1">OFFSET(ORÇAMENTO!O$15,ROW(E321)-ROW(E$15),0)</f>
        <v>1.7.4.4.4.</v>
      </c>
      <c r="F321" s="163" t="str">
        <f ca="1">OFFSET(ORÇAMENTO!R$15,ROW(F321)-ROW(F$15),0)</f>
        <v>ENCHIMENTO DE BRITA Nº 1 PARA DRENO, LANÇAMENTO MECANIZADO - BASEADO EM SINAPI (102717)</v>
      </c>
      <c r="G321" s="164" t="str">
        <f ca="1">IF($D321&lt;&gt;"Serviço","",OFFSET(ORÇAMENTO!S$15,ROW(G321)-ROW(G$15),0))</f>
        <v>M3</v>
      </c>
      <c r="H321" s="122" cm="1">
        <f t="array" aca="1" ref="H321" ca="1">IF($D321&lt;&gt;"Serviço",0,IF(ACOMPANHAMENTO="BM",ROUND(OFFSET(ORÇAMENTO!AJ$15,ROW(H321)-ROW(H$15),0),15-13*ORÇAMENTO!$AF$7),SUMPRODUCT(($Q$1:$AI$1=1)*ROUND($Q321:$AI321,15-13*ORÇAMENTO!$AF$7))))</f>
        <v>72.599999999999994</v>
      </c>
      <c r="I321" s="468" t="s">
        <v>1358</v>
      </c>
      <c r="J321" s="640" t="str" cm="1">
        <f t="array" aca="1" ref="J321" ca="1">IF(OR(B321&lt;&gt;"S",CÁLCULO.FrentesPreenchidas=0),"",IF(AND(ACOMPANHAMENTO="PLE",AUTOEVENTO="Manual",OR(H321&gt;0,ORÇAMENTO!AC321="QUANT."),OR(K321="",M321=0,N321="")),"►E",IF(AND(ACOMPANHAMENTO="PLE",ORÇAMENTO!AC321="QUANT."),"►Q",IF(AND(ACOMPANHAMENTO="PLE",H321&lt;&gt;SUMPRODUCT(($Q$1:$AI$1=1)*ROUND(Q321:AI321,15))),"►S",IF(AND(COUNTIF($P$11:$AI$11,"▼")=0,H321&gt;0,I321=""),"◄M","")))))</f>
        <v/>
      </c>
      <c r="K321" s="641" t="s">
        <v>1385</v>
      </c>
      <c r="L321" s="165" t="s">
        <v>764</v>
      </c>
      <c r="M321" s="166">
        <f ca="1">IF($D321&lt;&gt;"Serviço","",
          IF(AUTOEVENTO="manual",$A321,
                IF(ISERROR(MATCH($A321,$A$15:OFFSET($A321,-1,0),0)),MAX($M$15:OFFSET(M321,-1,0))+1,
                      INDEX($M$15:OFFSET(M321,-1,0),MATCH($A321,$A$15:OFFSET($A321,-1,0),0)))))</f>
        <v>6</v>
      </c>
      <c r="N321" s="167" t="str">
        <f ca="1">IF($D321&lt;&gt;"Serviço","",
         IF(AUTOEVENTO="Manual",
                IF($A321=0,"&lt;-- defina o número do agrupador",
                       OFFSET(EVENTOS!$D$15,$A321-$A$15,0)),
                OFFSET($F$15,$A321,0)))</f>
        <v>Saneamento</v>
      </c>
      <c r="O321" s="168"/>
      <c r="Q321" s="168"/>
      <c r="R321" s="169"/>
      <c r="S321" s="169"/>
      <c r="T321" s="169"/>
      <c r="U321" s="169">
        <f>U320*2</f>
        <v>72.599999999999994</v>
      </c>
      <c r="V321" s="169"/>
      <c r="W321" s="169"/>
      <c r="X321" s="169"/>
      <c r="Y321" s="169"/>
      <c r="Z321" s="170"/>
      <c r="AA321" s="169"/>
      <c r="AB321" s="169"/>
      <c r="AC321" s="169"/>
      <c r="AD321" s="169"/>
      <c r="AE321" s="169"/>
      <c r="AF321" s="169"/>
      <c r="AG321" s="169"/>
      <c r="AH321" s="170"/>
      <c r="AJ321" s="453">
        <f ca="1">IF(AND($D321="Serviço",AJ$12&lt;&gt;0,$H321&gt;0,OR(AUTOEVENTO&lt;&gt;"manual",$M321&lt;&gt;$A$15)),
        IF(Import.TipoArredondamento&lt;&gt;"TransfereGOV",
              ROUND(OFFSET($P321,0,AJ$13),15-13*ORÇAMENTO!$AF$7)/$H321*OFFSET(ORÇAMENTO!$X$15,ROW(AJ321)-ROW(AJ$15),0),
              ROUND(ROUND(OFFSET($P321,0,AJ$13),15-13*ORÇAMENTO!$AF$7)*OFFSET(ORÇAMENTO!$W$15,ROW(AJ321)-ROW(AJ$15),0),15-13*ORÇAMENTO!$AF$11)),
         0)</f>
        <v>0</v>
      </c>
      <c r="AK321" s="453">
        <f ca="1">IF(AND($D321="Serviço",AK$12&lt;&gt;0,$H321&gt;0,OR(AUTOEVENTO&lt;&gt;"manual",$M321&lt;&gt;$A$15)),
        IF(Import.TipoArredondamento&lt;&gt;"TransfereGOV",
              ROUND(OFFSET($P321,0,AK$13),15-13*ORÇAMENTO!$AF$7)/$H321*OFFSET(ORÇAMENTO!$X$15,ROW(AK321)-ROW(AK$15),0),
              ROUND(ROUND(OFFSET($P321,0,AK$13),15-13*ORÇAMENTO!$AF$7)*OFFSET(ORÇAMENTO!$W$15,ROW(AK321)-ROW(AK$15),0),15-13*ORÇAMENTO!$AF$11)),
         0)</f>
        <v>0</v>
      </c>
      <c r="AL321" s="453">
        <f ca="1">IF(AND($D321="Serviço",AL$12&lt;&gt;0,$H321&gt;0,OR(AUTOEVENTO&lt;&gt;"manual",$M321&lt;&gt;$A$15)),
        IF(Import.TipoArredondamento&lt;&gt;"TransfereGOV",
              ROUND(OFFSET($P321,0,AL$13),15-13*ORÇAMENTO!$AF$7)/$H321*OFFSET(ORÇAMENTO!$X$15,ROW(AL321)-ROW(AL$15),0),
              ROUND(ROUND(OFFSET($P321,0,AL$13),15-13*ORÇAMENTO!$AF$7)*OFFSET(ORÇAMENTO!$W$15,ROW(AL321)-ROW(AL$15),0),15-13*ORÇAMENTO!$AF$11)),
         0)</f>
        <v>0</v>
      </c>
      <c r="AM321" s="453">
        <f ca="1">IF(AND($D321="Serviço",AM$12&lt;&gt;0,$H321&gt;0,OR(AUTOEVENTO&lt;&gt;"manual",$M321&lt;&gt;$A$15)),
        IF(Import.TipoArredondamento&lt;&gt;"TransfereGOV",
              ROUND(OFFSET($P321,0,AM$13),15-13*ORÇAMENTO!$AF$7)/$H321*OFFSET(ORÇAMENTO!$X$15,ROW(AM321)-ROW(AM$15),0),
              ROUND(ROUND(OFFSET($P321,0,AM$13),15-13*ORÇAMENTO!$AF$7)*OFFSET(ORÇAMENTO!$W$15,ROW(AM321)-ROW(AM$15),0),15-13*ORÇAMENTO!$AF$11)),
         0)</f>
        <v>0</v>
      </c>
      <c r="AN321" s="453">
        <f ca="1">IF(AND($D321="Serviço",AN$12&lt;&gt;0,$H321&gt;0,OR(AUTOEVENTO&lt;&gt;"manual",$M321&lt;&gt;$A$15)),
        IF(Import.TipoArredondamento&lt;&gt;"TransfereGOV",
              ROUND(OFFSET($P321,0,AN$13),15-13*ORÇAMENTO!$AF$7)/$H321*OFFSET(ORÇAMENTO!$X$15,ROW(AN321)-ROW(AN$15),0),
              ROUND(ROUND(OFFSET($P321,0,AN$13),15-13*ORÇAMENTO!$AF$7)*OFFSET(ORÇAMENTO!$W$15,ROW(AN321)-ROW(AN$15),0),15-13*ORÇAMENTO!$AF$11)),
         0)</f>
        <v>0</v>
      </c>
      <c r="AO321" s="453">
        <f ca="1">IF(AND($D321="Serviço",AO$12&lt;&gt;0,$H321&gt;0,OR(AUTOEVENTO&lt;&gt;"manual",$M321&lt;&gt;$A$15)),
        IF(Import.TipoArredondamento&lt;&gt;"TransfereGOV",
              ROUND(OFFSET($P321,0,AO$13),15-13*ORÇAMENTO!$AF$7)/$H321*OFFSET(ORÇAMENTO!$X$15,ROW(AO321)-ROW(AO$15),0),
              ROUND(ROUND(OFFSET($P321,0,AO$13),15-13*ORÇAMENTO!$AF$7)*OFFSET(ORÇAMENTO!$W$15,ROW(AO321)-ROW(AO$15),0),15-13*ORÇAMENTO!$AF$11)),
         0)</f>
        <v>0</v>
      </c>
      <c r="AP321" s="453">
        <f ca="1">IF(AND($D321="Serviço",AP$12&lt;&gt;0,$H321&gt;0,OR(AUTOEVENTO&lt;&gt;"manual",$M321&lt;&gt;$A$15)),
        IF(Import.TipoArredondamento&lt;&gt;"TransfereGOV",
              ROUND(OFFSET($P321,0,AP$13),15-13*ORÇAMENTO!$AF$7)/$H321*OFFSET(ORÇAMENTO!$X$15,ROW(AP321)-ROW(AP$15),0),
              ROUND(ROUND(OFFSET($P321,0,AP$13),15-13*ORÇAMENTO!$AF$7)*OFFSET(ORÇAMENTO!$W$15,ROW(AP321)-ROW(AP$15),0),15-13*ORÇAMENTO!$AF$11)),
         0)</f>
        <v>0</v>
      </c>
      <c r="AQ321" s="453">
        <f ca="1">IF(AND($D321="Serviço",AQ$12&lt;&gt;0,$H321&gt;0,OR(AUTOEVENTO&lt;&gt;"manual",$M321&lt;&gt;$A$15)),
        IF(Import.TipoArredondamento&lt;&gt;"TransfereGOV",
              ROUND(OFFSET($P321,0,AQ$13),15-13*ORÇAMENTO!$AF$7)/$H321*OFFSET(ORÇAMENTO!$X$15,ROW(AQ321)-ROW(AQ$15),0),
              ROUND(ROUND(OFFSET($P321,0,AQ$13),15-13*ORÇAMENTO!$AF$7)*OFFSET(ORÇAMENTO!$W$15,ROW(AQ321)-ROW(AQ$15),0),15-13*ORÇAMENTO!$AF$11)),
         0)</f>
        <v>0</v>
      </c>
      <c r="AR321" s="453">
        <f ca="1">IF(AND($D321="Serviço",AR$12&lt;&gt;0,$H321&gt;0,OR(AUTOEVENTO&lt;&gt;"manual",$M321&lt;&gt;$A$15)),
        IF(Import.TipoArredondamento&lt;&gt;"TransfereGOV",
              ROUND(OFFSET($P321,0,AR$13),15-13*ORÇAMENTO!$AF$7)/$H321*OFFSET(ORÇAMENTO!$X$15,ROW(AR321)-ROW(AR$15),0),
              ROUND(ROUND(OFFSET($P321,0,AR$13),15-13*ORÇAMENTO!$AF$7)*OFFSET(ORÇAMENTO!$W$15,ROW(AR321)-ROW(AR$15),0),15-13*ORÇAMENTO!$AF$11)),
         0)</f>
        <v>0</v>
      </c>
      <c r="AS321" s="453">
        <f ca="1">IF(AND($D321="Serviço",AS$12&lt;&gt;0,$H321&gt;0,OR(AUTOEVENTO&lt;&gt;"manual",$M321&lt;&gt;$A$15)),
        IF(Import.TipoArredondamento&lt;&gt;"TransfereGOV",
              ROUND(OFFSET($P321,0,AS$13),15-13*ORÇAMENTO!$AF$7)/$H321*OFFSET(ORÇAMENTO!$X$15,ROW(AS321)-ROW(AS$15),0),
              ROUND(ROUND(OFFSET($P321,0,AS$13),15-13*ORÇAMENTO!$AF$7)*OFFSET(ORÇAMENTO!$W$15,ROW(AS321)-ROW(AS$15),0),15-13*ORÇAMENTO!$AF$11)),
         0)</f>
        <v>0</v>
      </c>
      <c r="AT321" s="453">
        <f ca="1">IF(AND($D321="Serviço",AT$12&lt;&gt;0,$H321&gt;0,OR(AUTOEVENTO&lt;&gt;"manual",$M321&lt;&gt;$A$15)),
        IF(Import.TipoArredondamento&lt;&gt;"TransfereGOV",
              ROUND(OFFSET($P321,0,AT$13),15-13*ORÇAMENTO!$AF$7)/$H321*OFFSET(ORÇAMENTO!$X$15,ROW(AT321)-ROW(AT$15),0),
              ROUND(ROUND(OFFSET($P321,0,AT$13),15-13*ORÇAMENTO!$AF$7)*OFFSET(ORÇAMENTO!$W$15,ROW(AT321)-ROW(AT$15),0),15-13*ORÇAMENTO!$AF$11)),
         0)</f>
        <v>0</v>
      </c>
      <c r="AU321" s="453">
        <f ca="1">IF(AND($D321="Serviço",AU$12&lt;&gt;0,$H321&gt;0,OR(AUTOEVENTO&lt;&gt;"manual",$M321&lt;&gt;$A$15)),
        IF(Import.TipoArredondamento&lt;&gt;"TransfereGOV",
              ROUND(OFFSET($P321,0,AU$13),15-13*ORÇAMENTO!$AF$7)/$H321*OFFSET(ORÇAMENTO!$X$15,ROW(AU321)-ROW(AU$15),0),
              ROUND(ROUND(OFFSET($P321,0,AU$13),15-13*ORÇAMENTO!$AF$7)*OFFSET(ORÇAMENTO!$W$15,ROW(AU321)-ROW(AU$15),0),15-13*ORÇAMENTO!$AF$11)),
         0)</f>
        <v>0</v>
      </c>
      <c r="AV321" s="453">
        <f ca="1">IF(AND($D321="Serviço",AV$12&lt;&gt;0,$H321&gt;0,OR(AUTOEVENTO&lt;&gt;"manual",$M321&lt;&gt;$A$15)),
        IF(Import.TipoArredondamento&lt;&gt;"TransfereGOV",
              ROUND(OFFSET($P321,0,AV$13),15-13*ORÇAMENTO!$AF$7)/$H321*OFFSET(ORÇAMENTO!$X$15,ROW(AV321)-ROW(AV$15),0),
              ROUND(ROUND(OFFSET($P321,0,AV$13),15-13*ORÇAMENTO!$AF$7)*OFFSET(ORÇAMENTO!$W$15,ROW(AV321)-ROW(AV$15),0),15-13*ORÇAMENTO!$AF$11)),
         0)</f>
        <v>0</v>
      </c>
      <c r="AW321" s="453">
        <f ca="1">IF(AND($D321="Serviço",AW$12&lt;&gt;0,$H321&gt;0,OR(AUTOEVENTO&lt;&gt;"manual",$M321&lt;&gt;$A$15)),
        IF(Import.TipoArredondamento&lt;&gt;"TransfereGOV",
              ROUND(OFFSET($P321,0,AW$13),15-13*ORÇAMENTO!$AF$7)/$H321*OFFSET(ORÇAMENTO!$X$15,ROW(AW321)-ROW(AW$15),0),
              ROUND(ROUND(OFFSET($P321,0,AW$13),15-13*ORÇAMENTO!$AF$7)*OFFSET(ORÇAMENTO!$W$15,ROW(AW321)-ROW(AW$15),0),15-13*ORÇAMENTO!$AF$11)),
         0)</f>
        <v>0</v>
      </c>
      <c r="AX321" s="453">
        <f ca="1">IF(AND($D321="Serviço",AX$12&lt;&gt;0,$H321&gt;0,OR(AUTOEVENTO&lt;&gt;"manual",$M321&lt;&gt;$A$15)),
        IF(Import.TipoArredondamento&lt;&gt;"TransfereGOV",
              ROUND(OFFSET($P321,0,AX$13),15-13*ORÇAMENTO!$AF$7)/$H321*OFFSET(ORÇAMENTO!$X$15,ROW(AX321)-ROW(AX$15),0),
              ROUND(ROUND(OFFSET($P321,0,AX$13),15-13*ORÇAMENTO!$AF$7)*OFFSET(ORÇAMENTO!$W$15,ROW(AX321)-ROW(AX$15),0),15-13*ORÇAMENTO!$AF$11)),
         0)</f>
        <v>0</v>
      </c>
      <c r="AY321" s="453">
        <f ca="1">IF(AND($D321="Serviço",AY$12&lt;&gt;0,$H321&gt;0,OR(AUTOEVENTO&lt;&gt;"manual",$M321&lt;&gt;$A$15)),
        IF(Import.TipoArredondamento&lt;&gt;"TransfereGOV",
              ROUND(OFFSET($P321,0,AY$13),15-13*ORÇAMENTO!$AF$7)/$H321*OFFSET(ORÇAMENTO!$X$15,ROW(AY321)-ROW(AY$15),0),
              ROUND(ROUND(OFFSET($P321,0,AY$13),15-13*ORÇAMENTO!$AF$7)*OFFSET(ORÇAMENTO!$W$15,ROW(AY321)-ROW(AY$15),0),15-13*ORÇAMENTO!$AF$11)),
         0)</f>
        <v>0</v>
      </c>
      <c r="AZ321" s="453">
        <f ca="1">IF(AND($D321="Serviço",AZ$12&lt;&gt;0,$H321&gt;0,OR(AUTOEVENTO&lt;&gt;"manual",$M321&lt;&gt;$A$15)),
        IF(Import.TipoArredondamento&lt;&gt;"TransfereGOV",
              ROUND(OFFSET($P321,0,AZ$13),15-13*ORÇAMENTO!$AF$7)/$H321*OFFSET(ORÇAMENTO!$X$15,ROW(AZ321)-ROW(AZ$15),0),
              ROUND(ROUND(OFFSET($P321,0,AZ$13),15-13*ORÇAMENTO!$AF$7)*OFFSET(ORÇAMENTO!$W$15,ROW(AZ321)-ROW(AZ$15),0),15-13*ORÇAMENTO!$AF$11)),
         0)</f>
        <v>0</v>
      </c>
      <c r="BA321" s="453">
        <f ca="1">IF(AND($D321="Serviço",BA$12&lt;&gt;0,$H321&gt;0,OR(AUTOEVENTO&lt;&gt;"manual",$M321&lt;&gt;$A$15)),
        IF(Import.TipoArredondamento&lt;&gt;"TransfereGOV",
              ROUND(OFFSET($P321,0,BA$13),15-13*ORÇAMENTO!$AF$7)/$H321*OFFSET(ORÇAMENTO!$X$15,ROW(BA321)-ROW(BA$15),0),
              ROUND(ROUND(OFFSET($P321,0,BA$13),15-13*ORÇAMENTO!$AF$7)*OFFSET(ORÇAMENTO!$W$15,ROW(BA321)-ROW(BA$15),0),15-13*ORÇAMENTO!$AF$11)),
         0)</f>
        <v>0</v>
      </c>
      <c r="BC321" s="171">
        <f ca="1">IF(OR($D321&lt;&gt;"Serviço",AND(AUTOEVENTO="Manual",$M321=$A$15)),0,
         IF(OFFSET(CRONOPLE!$F$15,$M321-$A$15,BC$13)=0,10^12,OFFSET(CRONOPLE!$F$15,$M321-$A$15,BC$13)))</f>
        <v>1</v>
      </c>
      <c r="BD321" s="171">
        <f ca="1">IF(OR($D321&lt;&gt;"Serviço",AND(AUTOEVENTO="Manual",$M321=$A$15)),0,
         IF(OFFSET(CRONOPLE!$F$15,$M321-$A$15,BD$13)=0,10^12,OFFSET(CRONOPLE!$F$15,$M321-$A$15,BD$13)))</f>
        <v>2</v>
      </c>
      <c r="BE321" s="171">
        <f ca="1">IF(OR($D321&lt;&gt;"Serviço",AND(AUTOEVENTO="Manual",$M321=$A$15)),0,
         IF(OFFSET(CRONOPLE!$F$15,$M321-$A$15,BE$13)=0,10^12,OFFSET(CRONOPLE!$F$15,$M321-$A$15,BE$13)))</f>
        <v>3</v>
      </c>
      <c r="BF321" s="171">
        <f ca="1">IF(OR($D321&lt;&gt;"Serviço",AND(AUTOEVENTO="Manual",$M321=$A$15)),0,
         IF(OFFSET(CRONOPLE!$F$15,$M321-$A$15,BF$13)=0,10^12,OFFSET(CRONOPLE!$F$15,$M321-$A$15,BF$13)))</f>
        <v>4</v>
      </c>
      <c r="BG321" s="171">
        <f ca="1">IF(OR($D321&lt;&gt;"Serviço",AND(AUTOEVENTO="Manual",$M321=$A$15)),0,
         IF(OFFSET(CRONOPLE!$F$15,$M321-$A$15,BG$13)=0,10^12,OFFSET(CRONOPLE!$F$15,$M321-$A$15,BG$13)))</f>
        <v>5</v>
      </c>
      <c r="BH321" s="171">
        <f ca="1">IF(OR($D321&lt;&gt;"Serviço",AND(AUTOEVENTO="Manual",$M321=$A$15)),0,
         IF(OFFSET(CRONOPLE!$F$15,$M321-$A$15,BH$13)=0,10^12,OFFSET(CRONOPLE!$F$15,$M321-$A$15,BH$13)))</f>
        <v>6</v>
      </c>
      <c r="BI321" s="171">
        <f ca="1">IF(OR($D321&lt;&gt;"Serviço",AND(AUTOEVENTO="Manual",$M321=$A$15)),0,
         IF(OFFSET(CRONOPLE!$F$15,$M321-$A$15,BI$13)=0,10^12,OFFSET(CRONOPLE!$F$15,$M321-$A$15,BI$13)))</f>
        <v>7</v>
      </c>
      <c r="BJ321" s="171">
        <f ca="1">IF(OR($D321&lt;&gt;"Serviço",AND(AUTOEVENTO="Manual",$M321=$A$15)),0,
         IF(OFFSET(CRONOPLE!$F$15,$M321-$A$15,BJ$13)=0,10^12,OFFSET(CRONOPLE!$F$15,$M321-$A$15,BJ$13)))</f>
        <v>8</v>
      </c>
      <c r="BK321" s="171">
        <f ca="1">IF(OR($D321&lt;&gt;"Serviço",AND(AUTOEVENTO="Manual",$M321=$A$15)),0,
         IF(OFFSET(CRONOPLE!$F$15,$M321-$A$15,BK$13)=0,10^12,OFFSET(CRONOPLE!$F$15,$M321-$A$15,BK$13)))</f>
        <v>9</v>
      </c>
      <c r="BL321" s="171">
        <f ca="1">IF(OR($D321&lt;&gt;"Serviço",AND(AUTOEVENTO="Manual",$M321=$A$15)),0,
         IF(OFFSET(CRONOPLE!$F$15,$M321-$A$15,BL$13)=0,10^12,OFFSET(CRONOPLE!$F$15,$M321-$A$15,BL$13)))</f>
        <v>1000000000000</v>
      </c>
      <c r="BM321" s="171">
        <f ca="1">IF(OR($D321&lt;&gt;"Serviço",AND(AUTOEVENTO="Manual",$M321=$A$15)),0,
         IF(OFFSET(CRONOPLE!$F$15,$M321-$A$15,BM$13)=0,10^12,OFFSET(CRONOPLE!$F$15,$M321-$A$15,BM$13)))</f>
        <v>1000000000000</v>
      </c>
      <c r="BN321" s="171">
        <f ca="1">IF(OR($D321&lt;&gt;"Serviço",AND(AUTOEVENTO="Manual",$M321=$A$15)),0,
         IF(OFFSET(CRONOPLE!$F$15,$M321-$A$15,BN$13)=0,10^12,OFFSET(CRONOPLE!$F$15,$M321-$A$15,BN$13)))</f>
        <v>1000000000000</v>
      </c>
      <c r="BO321" s="171">
        <f ca="1">IF(OR($D321&lt;&gt;"Serviço",AND(AUTOEVENTO="Manual",$M321=$A$15)),0,
         IF(OFFSET(CRONOPLE!$F$15,$M321-$A$15,BO$13)=0,10^12,OFFSET(CRONOPLE!$F$15,$M321-$A$15,BO$13)))</f>
        <v>1000000000000</v>
      </c>
      <c r="BP321" s="171">
        <f ca="1">IF(OR($D321&lt;&gt;"Serviço",AND(AUTOEVENTO="Manual",$M321=$A$15)),0,
         IF(OFFSET(CRONOPLE!$F$15,$M321-$A$15,BP$13)=0,10^12,OFFSET(CRONOPLE!$F$15,$M321-$A$15,BP$13)))</f>
        <v>1000000000000</v>
      </c>
      <c r="BQ321" s="171">
        <f ca="1">IF(OR($D321&lt;&gt;"Serviço",AND(AUTOEVENTO="Manual",$M321=$A$15)),0,
         IF(OFFSET(CRONOPLE!$F$15,$M321-$A$15,BQ$13)=0,10^12,OFFSET(CRONOPLE!$F$15,$M321-$A$15,BQ$13)))</f>
        <v>1000000000000</v>
      </c>
      <c r="BR321" s="171">
        <f ca="1">IF(OR($D321&lt;&gt;"Serviço",AND(AUTOEVENTO="Manual",$M321=$A$15)),0,
         IF(OFFSET(CRONOPLE!$F$15,$M321-$A$15,BR$13)=0,10^12,OFFSET(CRONOPLE!$F$15,$M321-$A$15,BR$13)))</f>
        <v>1000000000000</v>
      </c>
      <c r="BS321" s="171">
        <f ca="1">IF(OR($D321&lt;&gt;"Serviço",AND(AUTOEVENTO="Manual",$M321=$A$15)),0,
         IF(OFFSET(CRONOPLE!$F$15,$M321-$A$15,BS$13)=0,10^12,OFFSET(CRONOPLE!$F$15,$M321-$A$15,BS$13)))</f>
        <v>1000000000000</v>
      </c>
      <c r="BT321" s="171">
        <f ca="1">IF(OR($D321&lt;&gt;"Serviço",AND(AUTOEVENTO="Manual",$M321=$A$15)),0,
         IF(OFFSET(CRONOPLE!$F$15,$M321-$A$15,BT$13)=0,10^12,OFFSET(CRONOPLE!$F$15,$M321-$A$15,BT$13)))</f>
        <v>1000000000000</v>
      </c>
      <c r="BV321" s="172">
        <f ca="1">IF(OR($D321&lt;&gt;"Serviço",AND(AUTOEVENTO="Manual",$M321=$A$15),$M321&gt;(ROW(PLE.lastrow)-ROW(PLE.firstrow))),0,
           IF(OFFSET(PLE!$G$15,$M321-$A$15,BV$13)="",10^12,OFFSET(PLE!$G$15,$M321-$A$15,BV$13)))</f>
        <v>1000000000000</v>
      </c>
      <c r="BW321" s="172">
        <f ca="1">IF(OR($D321&lt;&gt;"Serviço",AND(AUTOEVENTO="Manual",$M321=$A$15),$M321&gt;(ROW(PLE.lastrow)-ROW(PLE.firstrow))),0,
           IF(OFFSET(PLE!$G$15,$M321-$A$15,BW$13)="",10^12,OFFSET(PLE!$G$15,$M321-$A$15,BW$13)))</f>
        <v>1000000000000</v>
      </c>
      <c r="BX321" s="172">
        <f ca="1">IF(OR($D321&lt;&gt;"Serviço",AND(AUTOEVENTO="Manual",$M321=$A$15),$M321&gt;(ROW(PLE.lastrow)-ROW(PLE.firstrow))),0,
           IF(OFFSET(PLE!$G$15,$M321-$A$15,BX$13)="",10^12,OFFSET(PLE!$G$15,$M321-$A$15,BX$13)))</f>
        <v>1000000000000</v>
      </c>
      <c r="BY321" s="172">
        <f ca="1">IF(OR($D321&lt;&gt;"Serviço",AND(AUTOEVENTO="Manual",$M321=$A$15),$M321&gt;(ROW(PLE.lastrow)-ROW(PLE.firstrow))),0,
           IF(OFFSET(PLE!$G$15,$M321-$A$15,BY$13)="",10^12,OFFSET(PLE!$G$15,$M321-$A$15,BY$13)))</f>
        <v>1000000000000</v>
      </c>
      <c r="BZ321" s="172">
        <f ca="1">IF(OR($D321&lt;&gt;"Serviço",AND(AUTOEVENTO="Manual",$M321=$A$15),$M321&gt;(ROW(PLE.lastrow)-ROW(PLE.firstrow))),0,
           IF(OFFSET(PLE!$G$15,$M321-$A$15,BZ$13)="",10^12,OFFSET(PLE!$G$15,$M321-$A$15,BZ$13)))</f>
        <v>1000000000000</v>
      </c>
      <c r="CA321" s="172">
        <f ca="1">IF(OR($D321&lt;&gt;"Serviço",AND(AUTOEVENTO="Manual",$M321=$A$15),$M321&gt;(ROW(PLE.lastrow)-ROW(PLE.firstrow))),0,
           IF(OFFSET(PLE!$G$15,$M321-$A$15,CA$13)="",10^12,OFFSET(PLE!$G$15,$M321-$A$15,CA$13)))</f>
        <v>1000000000000</v>
      </c>
      <c r="CB321" s="172">
        <f ca="1">IF(OR($D321&lt;&gt;"Serviço",AND(AUTOEVENTO="Manual",$M321=$A$15),$M321&gt;(ROW(PLE.lastrow)-ROW(PLE.firstrow))),0,
           IF(OFFSET(PLE!$G$15,$M321-$A$15,CB$13)="",10^12,OFFSET(PLE!$G$15,$M321-$A$15,CB$13)))</f>
        <v>1000000000000</v>
      </c>
      <c r="CC321" s="172">
        <f ca="1">IF(OR($D321&lt;&gt;"Serviço",AND(AUTOEVENTO="Manual",$M321=$A$15),$M321&gt;(ROW(PLE.lastrow)-ROW(PLE.firstrow))),0,
           IF(OFFSET(PLE!$G$15,$M321-$A$15,CC$13)="",10^12,OFFSET(PLE!$G$15,$M321-$A$15,CC$13)))</f>
        <v>1000000000000</v>
      </c>
      <c r="CD321" s="172">
        <f ca="1">IF(OR($D321&lt;&gt;"Serviço",AND(AUTOEVENTO="Manual",$M321=$A$15),$M321&gt;(ROW(PLE.lastrow)-ROW(PLE.firstrow))),0,
           IF(OFFSET(PLE!$G$15,$M321-$A$15,CD$13)="",10^12,OFFSET(PLE!$G$15,$M321-$A$15,CD$13)))</f>
        <v>1000000000000</v>
      </c>
      <c r="CE321" s="172">
        <f ca="1">IF(OR($D321&lt;&gt;"Serviço",AND(AUTOEVENTO="Manual",$M321=$A$15),$M321&gt;(ROW(PLE.lastrow)-ROW(PLE.firstrow))),0,
           IF(OFFSET(PLE!$G$15,$M321-$A$15,CE$13)="",10^12,OFFSET(PLE!$G$15,$M321-$A$15,CE$13)))</f>
        <v>1000000000000</v>
      </c>
      <c r="CF321" s="172">
        <f ca="1">IF(OR($D321&lt;&gt;"Serviço",AND(AUTOEVENTO="Manual",$M321=$A$15),$M321&gt;(ROW(PLE.lastrow)-ROW(PLE.firstrow))),0,
           IF(OFFSET(PLE!$G$15,$M321-$A$15,CF$13)="",10^12,OFFSET(PLE!$G$15,$M321-$A$15,CF$13)))</f>
        <v>1000000000000</v>
      </c>
      <c r="CG321" s="172">
        <f ca="1">IF(OR($D321&lt;&gt;"Serviço",AND(AUTOEVENTO="Manual",$M321=$A$15),$M321&gt;(ROW(PLE.lastrow)-ROW(PLE.firstrow))),0,
           IF(OFFSET(PLE!$G$15,$M321-$A$15,CG$13)="",10^12,OFFSET(PLE!$G$15,$M321-$A$15,CG$13)))</f>
        <v>1000000000000</v>
      </c>
      <c r="CH321" s="172">
        <f ca="1">IF(OR($D321&lt;&gt;"Serviço",AND(AUTOEVENTO="Manual",$M321=$A$15),$M321&gt;(ROW(PLE.lastrow)-ROW(PLE.firstrow))),0,
           IF(OFFSET(PLE!$G$15,$M321-$A$15,CH$13)="",10^12,OFFSET(PLE!$G$15,$M321-$A$15,CH$13)))</f>
        <v>1000000000000</v>
      </c>
      <c r="CI321" s="172">
        <f ca="1">IF(OR($D321&lt;&gt;"Serviço",AND(AUTOEVENTO="Manual",$M321=$A$15),$M321&gt;(ROW(PLE.lastrow)-ROW(PLE.firstrow))),0,
           IF(OFFSET(PLE!$G$15,$M321-$A$15,CI$13)="",10^12,OFFSET(PLE!$G$15,$M321-$A$15,CI$13)))</f>
        <v>1000000000000</v>
      </c>
      <c r="CJ321" s="172">
        <f ca="1">IF(OR($D321&lt;&gt;"Serviço",AND(AUTOEVENTO="Manual",$M321=$A$15),$M321&gt;(ROW(PLE.lastrow)-ROW(PLE.firstrow))),0,
           IF(OFFSET(PLE!$G$15,$M321-$A$15,CJ$13)="",10^12,OFFSET(PLE!$G$15,$M321-$A$15,CJ$13)))</f>
        <v>1000000000000</v>
      </c>
      <c r="CK321" s="172">
        <f ca="1">IF(OR($D321&lt;&gt;"Serviço",AND(AUTOEVENTO="Manual",$M321=$A$15),$M321&gt;(ROW(PLE.lastrow)-ROW(PLE.firstrow))),0,
           IF(OFFSET(PLE!$G$15,$M321-$A$15,CK$13)="",10^12,OFFSET(PLE!$G$15,$M321-$A$15,CK$13)))</f>
        <v>1000000000000</v>
      </c>
      <c r="CL321" s="172">
        <f ca="1">IF(OR($D321&lt;&gt;"Serviço",AND(AUTOEVENTO="Manual",$M321=$A$15),$M321&gt;(ROW(PLE.lastrow)-ROW(PLE.firstrow))),0,
           IF(OFFSET(PLE!$G$15,$M321-$A$15,CL$13)="",10^12,OFFSET(PLE!$G$15,$M321-$A$15,CL$13)))</f>
        <v>1000000000000</v>
      </c>
      <c r="CM321" s="172">
        <f ca="1">IF(OR($D321&lt;&gt;"Serviço",AND(AUTOEVENTO="Manual",$M321=$A$15),$M321&gt;(ROW(PLE.lastrow)-ROW(PLE.firstrow))),0,
           IF(OFFSET(PLE!$G$15,$M321-$A$15,CM$13)="",10^12,OFFSET(PLE!$G$15,$M321-$A$15,CM$13)))</f>
        <v>1000000000000</v>
      </c>
    </row>
    <row r="322" spans="1:91" ht="63.75" x14ac:dyDescent="0.2">
      <c r="A322" s="7">
        <f t="shared" ca="1" si="14"/>
        <v>6</v>
      </c>
      <c r="B322" s="7" t="str">
        <f ca="1">OFFSET(ORÇAMENTO!C$15,ROW(B322)-ROW(B$15),0)</f>
        <v>S</v>
      </c>
      <c r="C322" s="7" t="str">
        <f ca="1">OFFSET(ORÇAMENTO!L$15,ROW(C322)-ROW(C$15),0)</f>
        <v>F</v>
      </c>
      <c r="D322" s="116" t="str">
        <f ca="1">OFFSET(ORÇAMENTO!N$15,ROW(D322)-ROW(D$15),0)</f>
        <v>Serviço</v>
      </c>
      <c r="E322" s="117" t="str">
        <f ca="1">OFFSET(ORÇAMENTO!O$15,ROW(E322)-ROW(E$15),0)</f>
        <v>1.7.4.4.5.</v>
      </c>
      <c r="F322" s="163" t="str">
        <f ca="1">OFFSET(ORÇAMENTO!R$15,ROW(F322)-ROW(F$15),0)</f>
        <v>ENCHIMENTO DE BRITA Nº 2 E 3 PARA DRENO, LANÇAMENTO MECANIZADO - BASEADO EM SINAPI (102717)</v>
      </c>
      <c r="G322" s="164" t="str">
        <f ca="1">IF($D322&lt;&gt;"Serviço","",OFFSET(ORÇAMENTO!S$15,ROW(G322)-ROW(G$15),0))</f>
        <v>M3</v>
      </c>
      <c r="H322" s="122" cm="1">
        <f t="array" aca="1" ref="H322" ca="1">IF($D322&lt;&gt;"Serviço",0,IF(ACOMPANHAMENTO="BM",ROUND(OFFSET(ORÇAMENTO!AJ$15,ROW(H322)-ROW(H$15),0),15-13*ORÇAMENTO!$AF$7),SUMPRODUCT(($Q$1:$AI$1=1)*ROUND($Q322:$AI322,15-13*ORÇAMENTO!$AF$7))))</f>
        <v>36.299999999999997</v>
      </c>
      <c r="I322" s="468" t="s">
        <v>1358</v>
      </c>
      <c r="J322" s="640" t="str" cm="1">
        <f t="array" aca="1" ref="J322" ca="1">IF(OR(B322&lt;&gt;"S",CÁLCULO.FrentesPreenchidas=0),"",IF(AND(ACOMPANHAMENTO="PLE",AUTOEVENTO="Manual",OR(H322&gt;0,ORÇAMENTO!AC322="QUANT."),OR(K322="",M322=0,N322="")),"►E",IF(AND(ACOMPANHAMENTO="PLE",ORÇAMENTO!AC322="QUANT."),"►Q",IF(AND(ACOMPANHAMENTO="PLE",H322&lt;&gt;SUMPRODUCT(($Q$1:$AI$1=1)*ROUND(Q322:AI322,15))),"►S",IF(AND(COUNTIF($P$11:$AI$11,"▼")=0,H322&gt;0,I322=""),"◄M","")))))</f>
        <v/>
      </c>
      <c r="K322" s="641" t="s">
        <v>1385</v>
      </c>
      <c r="L322" s="165" t="s">
        <v>764</v>
      </c>
      <c r="M322" s="166">
        <f ca="1">IF($D322&lt;&gt;"Serviço","",
          IF(AUTOEVENTO="manual",$A322,
                IF(ISERROR(MATCH($A322,$A$15:OFFSET($A322,-1,0),0)),MAX($M$15:OFFSET(M322,-1,0))+1,
                      INDEX($M$15:OFFSET(M322,-1,0),MATCH($A322,$A$15:OFFSET($A322,-1,0),0)))))</f>
        <v>6</v>
      </c>
      <c r="N322" s="167" t="str">
        <f ca="1">IF($D322&lt;&gt;"Serviço","",
         IF(AUTOEVENTO="Manual",
                IF($A322=0,"&lt;-- defina o número do agrupador",
                       OFFSET(EVENTOS!$D$15,$A322-$A$15,0)),
                OFFSET($F$15,$A322,0)))</f>
        <v>Saneamento</v>
      </c>
      <c r="O322" s="168"/>
      <c r="Q322" s="168"/>
      <c r="R322" s="169"/>
      <c r="S322" s="169"/>
      <c r="T322" s="169"/>
      <c r="U322" s="169">
        <f>U320</f>
        <v>36.299999999999997</v>
      </c>
      <c r="V322" s="169"/>
      <c r="W322" s="169"/>
      <c r="X322" s="169"/>
      <c r="Y322" s="169"/>
      <c r="Z322" s="170"/>
      <c r="AA322" s="169"/>
      <c r="AB322" s="169"/>
      <c r="AC322" s="169"/>
      <c r="AD322" s="169"/>
      <c r="AE322" s="169"/>
      <c r="AF322" s="169"/>
      <c r="AG322" s="169"/>
      <c r="AH322" s="170"/>
      <c r="AJ322" s="453">
        <f ca="1">IF(AND($D322="Serviço",AJ$12&lt;&gt;0,$H322&gt;0,OR(AUTOEVENTO&lt;&gt;"manual",$M322&lt;&gt;$A$15)),
        IF(Import.TipoArredondamento&lt;&gt;"TransfereGOV",
              ROUND(OFFSET($P322,0,AJ$13),15-13*ORÇAMENTO!$AF$7)/$H322*OFFSET(ORÇAMENTO!$X$15,ROW(AJ322)-ROW(AJ$15),0),
              ROUND(ROUND(OFFSET($P322,0,AJ$13),15-13*ORÇAMENTO!$AF$7)*OFFSET(ORÇAMENTO!$W$15,ROW(AJ322)-ROW(AJ$15),0),15-13*ORÇAMENTO!$AF$11)),
         0)</f>
        <v>0</v>
      </c>
      <c r="AK322" s="453">
        <f ca="1">IF(AND($D322="Serviço",AK$12&lt;&gt;0,$H322&gt;0,OR(AUTOEVENTO&lt;&gt;"manual",$M322&lt;&gt;$A$15)),
        IF(Import.TipoArredondamento&lt;&gt;"TransfereGOV",
              ROUND(OFFSET($P322,0,AK$13),15-13*ORÇAMENTO!$AF$7)/$H322*OFFSET(ORÇAMENTO!$X$15,ROW(AK322)-ROW(AK$15),0),
              ROUND(ROUND(OFFSET($P322,0,AK$13),15-13*ORÇAMENTO!$AF$7)*OFFSET(ORÇAMENTO!$W$15,ROW(AK322)-ROW(AK$15),0),15-13*ORÇAMENTO!$AF$11)),
         0)</f>
        <v>0</v>
      </c>
      <c r="AL322" s="453">
        <f ca="1">IF(AND($D322="Serviço",AL$12&lt;&gt;0,$H322&gt;0,OR(AUTOEVENTO&lt;&gt;"manual",$M322&lt;&gt;$A$15)),
        IF(Import.TipoArredondamento&lt;&gt;"TransfereGOV",
              ROUND(OFFSET($P322,0,AL$13),15-13*ORÇAMENTO!$AF$7)/$H322*OFFSET(ORÇAMENTO!$X$15,ROW(AL322)-ROW(AL$15),0),
              ROUND(ROUND(OFFSET($P322,0,AL$13),15-13*ORÇAMENTO!$AF$7)*OFFSET(ORÇAMENTO!$W$15,ROW(AL322)-ROW(AL$15),0),15-13*ORÇAMENTO!$AF$11)),
         0)</f>
        <v>0</v>
      </c>
      <c r="AM322" s="453">
        <f ca="1">IF(AND($D322="Serviço",AM$12&lt;&gt;0,$H322&gt;0,OR(AUTOEVENTO&lt;&gt;"manual",$M322&lt;&gt;$A$15)),
        IF(Import.TipoArredondamento&lt;&gt;"TransfereGOV",
              ROUND(OFFSET($P322,0,AM$13),15-13*ORÇAMENTO!$AF$7)/$H322*OFFSET(ORÇAMENTO!$X$15,ROW(AM322)-ROW(AM$15),0),
              ROUND(ROUND(OFFSET($P322,0,AM$13),15-13*ORÇAMENTO!$AF$7)*OFFSET(ORÇAMENTO!$W$15,ROW(AM322)-ROW(AM$15),0),15-13*ORÇAMENTO!$AF$11)),
         0)</f>
        <v>0</v>
      </c>
      <c r="AN322" s="453">
        <f ca="1">IF(AND($D322="Serviço",AN$12&lt;&gt;0,$H322&gt;0,OR(AUTOEVENTO&lt;&gt;"manual",$M322&lt;&gt;$A$15)),
        IF(Import.TipoArredondamento&lt;&gt;"TransfereGOV",
              ROUND(OFFSET($P322,0,AN$13),15-13*ORÇAMENTO!$AF$7)/$H322*OFFSET(ORÇAMENTO!$X$15,ROW(AN322)-ROW(AN$15),0),
              ROUND(ROUND(OFFSET($P322,0,AN$13),15-13*ORÇAMENTO!$AF$7)*OFFSET(ORÇAMENTO!$W$15,ROW(AN322)-ROW(AN$15),0),15-13*ORÇAMENTO!$AF$11)),
         0)</f>
        <v>0</v>
      </c>
      <c r="AO322" s="453">
        <f ca="1">IF(AND($D322="Serviço",AO$12&lt;&gt;0,$H322&gt;0,OR(AUTOEVENTO&lt;&gt;"manual",$M322&lt;&gt;$A$15)),
        IF(Import.TipoArredondamento&lt;&gt;"TransfereGOV",
              ROUND(OFFSET($P322,0,AO$13),15-13*ORÇAMENTO!$AF$7)/$H322*OFFSET(ORÇAMENTO!$X$15,ROW(AO322)-ROW(AO$15),0),
              ROUND(ROUND(OFFSET($P322,0,AO$13),15-13*ORÇAMENTO!$AF$7)*OFFSET(ORÇAMENTO!$W$15,ROW(AO322)-ROW(AO$15),0),15-13*ORÇAMENTO!$AF$11)),
         0)</f>
        <v>0</v>
      </c>
      <c r="AP322" s="453">
        <f ca="1">IF(AND($D322="Serviço",AP$12&lt;&gt;0,$H322&gt;0,OR(AUTOEVENTO&lt;&gt;"manual",$M322&lt;&gt;$A$15)),
        IF(Import.TipoArredondamento&lt;&gt;"TransfereGOV",
              ROUND(OFFSET($P322,0,AP$13),15-13*ORÇAMENTO!$AF$7)/$H322*OFFSET(ORÇAMENTO!$X$15,ROW(AP322)-ROW(AP$15),0),
              ROUND(ROUND(OFFSET($P322,0,AP$13),15-13*ORÇAMENTO!$AF$7)*OFFSET(ORÇAMENTO!$W$15,ROW(AP322)-ROW(AP$15),0),15-13*ORÇAMENTO!$AF$11)),
         0)</f>
        <v>0</v>
      </c>
      <c r="AQ322" s="453">
        <f ca="1">IF(AND($D322="Serviço",AQ$12&lt;&gt;0,$H322&gt;0,OR(AUTOEVENTO&lt;&gt;"manual",$M322&lt;&gt;$A$15)),
        IF(Import.TipoArredondamento&lt;&gt;"TransfereGOV",
              ROUND(OFFSET($P322,0,AQ$13),15-13*ORÇAMENTO!$AF$7)/$H322*OFFSET(ORÇAMENTO!$X$15,ROW(AQ322)-ROW(AQ$15),0),
              ROUND(ROUND(OFFSET($P322,0,AQ$13),15-13*ORÇAMENTO!$AF$7)*OFFSET(ORÇAMENTO!$W$15,ROW(AQ322)-ROW(AQ$15),0),15-13*ORÇAMENTO!$AF$11)),
         0)</f>
        <v>0</v>
      </c>
      <c r="AR322" s="453">
        <f ca="1">IF(AND($D322="Serviço",AR$12&lt;&gt;0,$H322&gt;0,OR(AUTOEVENTO&lt;&gt;"manual",$M322&lt;&gt;$A$15)),
        IF(Import.TipoArredondamento&lt;&gt;"TransfereGOV",
              ROUND(OFFSET($P322,0,AR$13),15-13*ORÇAMENTO!$AF$7)/$H322*OFFSET(ORÇAMENTO!$X$15,ROW(AR322)-ROW(AR$15),0),
              ROUND(ROUND(OFFSET($P322,0,AR$13),15-13*ORÇAMENTO!$AF$7)*OFFSET(ORÇAMENTO!$W$15,ROW(AR322)-ROW(AR$15),0),15-13*ORÇAMENTO!$AF$11)),
         0)</f>
        <v>0</v>
      </c>
      <c r="AS322" s="453">
        <f ca="1">IF(AND($D322="Serviço",AS$12&lt;&gt;0,$H322&gt;0,OR(AUTOEVENTO&lt;&gt;"manual",$M322&lt;&gt;$A$15)),
        IF(Import.TipoArredondamento&lt;&gt;"TransfereGOV",
              ROUND(OFFSET($P322,0,AS$13),15-13*ORÇAMENTO!$AF$7)/$H322*OFFSET(ORÇAMENTO!$X$15,ROW(AS322)-ROW(AS$15),0),
              ROUND(ROUND(OFFSET($P322,0,AS$13),15-13*ORÇAMENTO!$AF$7)*OFFSET(ORÇAMENTO!$W$15,ROW(AS322)-ROW(AS$15),0),15-13*ORÇAMENTO!$AF$11)),
         0)</f>
        <v>0</v>
      </c>
      <c r="AT322" s="453">
        <f ca="1">IF(AND($D322="Serviço",AT$12&lt;&gt;0,$H322&gt;0,OR(AUTOEVENTO&lt;&gt;"manual",$M322&lt;&gt;$A$15)),
        IF(Import.TipoArredondamento&lt;&gt;"TransfereGOV",
              ROUND(OFFSET($P322,0,AT$13),15-13*ORÇAMENTO!$AF$7)/$H322*OFFSET(ORÇAMENTO!$X$15,ROW(AT322)-ROW(AT$15),0),
              ROUND(ROUND(OFFSET($P322,0,AT$13),15-13*ORÇAMENTO!$AF$7)*OFFSET(ORÇAMENTO!$W$15,ROW(AT322)-ROW(AT$15),0),15-13*ORÇAMENTO!$AF$11)),
         0)</f>
        <v>0</v>
      </c>
      <c r="AU322" s="453">
        <f ca="1">IF(AND($D322="Serviço",AU$12&lt;&gt;0,$H322&gt;0,OR(AUTOEVENTO&lt;&gt;"manual",$M322&lt;&gt;$A$15)),
        IF(Import.TipoArredondamento&lt;&gt;"TransfereGOV",
              ROUND(OFFSET($P322,0,AU$13),15-13*ORÇAMENTO!$AF$7)/$H322*OFFSET(ORÇAMENTO!$X$15,ROW(AU322)-ROW(AU$15),0),
              ROUND(ROUND(OFFSET($P322,0,AU$13),15-13*ORÇAMENTO!$AF$7)*OFFSET(ORÇAMENTO!$W$15,ROW(AU322)-ROW(AU$15),0),15-13*ORÇAMENTO!$AF$11)),
         0)</f>
        <v>0</v>
      </c>
      <c r="AV322" s="453">
        <f ca="1">IF(AND($D322="Serviço",AV$12&lt;&gt;0,$H322&gt;0,OR(AUTOEVENTO&lt;&gt;"manual",$M322&lt;&gt;$A$15)),
        IF(Import.TipoArredondamento&lt;&gt;"TransfereGOV",
              ROUND(OFFSET($P322,0,AV$13),15-13*ORÇAMENTO!$AF$7)/$H322*OFFSET(ORÇAMENTO!$X$15,ROW(AV322)-ROW(AV$15),0),
              ROUND(ROUND(OFFSET($P322,0,AV$13),15-13*ORÇAMENTO!$AF$7)*OFFSET(ORÇAMENTO!$W$15,ROW(AV322)-ROW(AV$15),0),15-13*ORÇAMENTO!$AF$11)),
         0)</f>
        <v>0</v>
      </c>
      <c r="AW322" s="453">
        <f ca="1">IF(AND($D322="Serviço",AW$12&lt;&gt;0,$H322&gt;0,OR(AUTOEVENTO&lt;&gt;"manual",$M322&lt;&gt;$A$15)),
        IF(Import.TipoArredondamento&lt;&gt;"TransfereGOV",
              ROUND(OFFSET($P322,0,AW$13),15-13*ORÇAMENTO!$AF$7)/$H322*OFFSET(ORÇAMENTO!$X$15,ROW(AW322)-ROW(AW$15),0),
              ROUND(ROUND(OFFSET($P322,0,AW$13),15-13*ORÇAMENTO!$AF$7)*OFFSET(ORÇAMENTO!$W$15,ROW(AW322)-ROW(AW$15),0),15-13*ORÇAMENTO!$AF$11)),
         0)</f>
        <v>0</v>
      </c>
      <c r="AX322" s="453">
        <f ca="1">IF(AND($D322="Serviço",AX$12&lt;&gt;0,$H322&gt;0,OR(AUTOEVENTO&lt;&gt;"manual",$M322&lt;&gt;$A$15)),
        IF(Import.TipoArredondamento&lt;&gt;"TransfereGOV",
              ROUND(OFFSET($P322,0,AX$13),15-13*ORÇAMENTO!$AF$7)/$H322*OFFSET(ORÇAMENTO!$X$15,ROW(AX322)-ROW(AX$15),0),
              ROUND(ROUND(OFFSET($P322,0,AX$13),15-13*ORÇAMENTO!$AF$7)*OFFSET(ORÇAMENTO!$W$15,ROW(AX322)-ROW(AX$15),0),15-13*ORÇAMENTO!$AF$11)),
         0)</f>
        <v>0</v>
      </c>
      <c r="AY322" s="453">
        <f ca="1">IF(AND($D322="Serviço",AY$12&lt;&gt;0,$H322&gt;0,OR(AUTOEVENTO&lt;&gt;"manual",$M322&lt;&gt;$A$15)),
        IF(Import.TipoArredondamento&lt;&gt;"TransfereGOV",
              ROUND(OFFSET($P322,0,AY$13),15-13*ORÇAMENTO!$AF$7)/$H322*OFFSET(ORÇAMENTO!$X$15,ROW(AY322)-ROW(AY$15),0),
              ROUND(ROUND(OFFSET($P322,0,AY$13),15-13*ORÇAMENTO!$AF$7)*OFFSET(ORÇAMENTO!$W$15,ROW(AY322)-ROW(AY$15),0),15-13*ORÇAMENTO!$AF$11)),
         0)</f>
        <v>0</v>
      </c>
      <c r="AZ322" s="453">
        <f ca="1">IF(AND($D322="Serviço",AZ$12&lt;&gt;0,$H322&gt;0,OR(AUTOEVENTO&lt;&gt;"manual",$M322&lt;&gt;$A$15)),
        IF(Import.TipoArredondamento&lt;&gt;"TransfereGOV",
              ROUND(OFFSET($P322,0,AZ$13),15-13*ORÇAMENTO!$AF$7)/$H322*OFFSET(ORÇAMENTO!$X$15,ROW(AZ322)-ROW(AZ$15),0),
              ROUND(ROUND(OFFSET($P322,0,AZ$13),15-13*ORÇAMENTO!$AF$7)*OFFSET(ORÇAMENTO!$W$15,ROW(AZ322)-ROW(AZ$15),0),15-13*ORÇAMENTO!$AF$11)),
         0)</f>
        <v>0</v>
      </c>
      <c r="BA322" s="453">
        <f ca="1">IF(AND($D322="Serviço",BA$12&lt;&gt;0,$H322&gt;0,OR(AUTOEVENTO&lt;&gt;"manual",$M322&lt;&gt;$A$15)),
        IF(Import.TipoArredondamento&lt;&gt;"TransfereGOV",
              ROUND(OFFSET($P322,0,BA$13),15-13*ORÇAMENTO!$AF$7)/$H322*OFFSET(ORÇAMENTO!$X$15,ROW(BA322)-ROW(BA$15),0),
              ROUND(ROUND(OFFSET($P322,0,BA$13),15-13*ORÇAMENTO!$AF$7)*OFFSET(ORÇAMENTO!$W$15,ROW(BA322)-ROW(BA$15),0),15-13*ORÇAMENTO!$AF$11)),
         0)</f>
        <v>0</v>
      </c>
      <c r="BC322" s="171">
        <f ca="1">IF(OR($D322&lt;&gt;"Serviço",AND(AUTOEVENTO="Manual",$M322=$A$15)),0,
         IF(OFFSET(CRONOPLE!$F$15,$M322-$A$15,BC$13)=0,10^12,OFFSET(CRONOPLE!$F$15,$M322-$A$15,BC$13)))</f>
        <v>1</v>
      </c>
      <c r="BD322" s="171">
        <f ca="1">IF(OR($D322&lt;&gt;"Serviço",AND(AUTOEVENTO="Manual",$M322=$A$15)),0,
         IF(OFFSET(CRONOPLE!$F$15,$M322-$A$15,BD$13)=0,10^12,OFFSET(CRONOPLE!$F$15,$M322-$A$15,BD$13)))</f>
        <v>2</v>
      </c>
      <c r="BE322" s="171">
        <f ca="1">IF(OR($D322&lt;&gt;"Serviço",AND(AUTOEVENTO="Manual",$M322=$A$15)),0,
         IF(OFFSET(CRONOPLE!$F$15,$M322-$A$15,BE$13)=0,10^12,OFFSET(CRONOPLE!$F$15,$M322-$A$15,BE$13)))</f>
        <v>3</v>
      </c>
      <c r="BF322" s="171">
        <f ca="1">IF(OR($D322&lt;&gt;"Serviço",AND(AUTOEVENTO="Manual",$M322=$A$15)),0,
         IF(OFFSET(CRONOPLE!$F$15,$M322-$A$15,BF$13)=0,10^12,OFFSET(CRONOPLE!$F$15,$M322-$A$15,BF$13)))</f>
        <v>4</v>
      </c>
      <c r="BG322" s="171">
        <f ca="1">IF(OR($D322&lt;&gt;"Serviço",AND(AUTOEVENTO="Manual",$M322=$A$15)),0,
         IF(OFFSET(CRONOPLE!$F$15,$M322-$A$15,BG$13)=0,10^12,OFFSET(CRONOPLE!$F$15,$M322-$A$15,BG$13)))</f>
        <v>5</v>
      </c>
      <c r="BH322" s="171">
        <f ca="1">IF(OR($D322&lt;&gt;"Serviço",AND(AUTOEVENTO="Manual",$M322=$A$15)),0,
         IF(OFFSET(CRONOPLE!$F$15,$M322-$A$15,BH$13)=0,10^12,OFFSET(CRONOPLE!$F$15,$M322-$A$15,BH$13)))</f>
        <v>6</v>
      </c>
      <c r="BI322" s="171">
        <f ca="1">IF(OR($D322&lt;&gt;"Serviço",AND(AUTOEVENTO="Manual",$M322=$A$15)),0,
         IF(OFFSET(CRONOPLE!$F$15,$M322-$A$15,BI$13)=0,10^12,OFFSET(CRONOPLE!$F$15,$M322-$A$15,BI$13)))</f>
        <v>7</v>
      </c>
      <c r="BJ322" s="171">
        <f ca="1">IF(OR($D322&lt;&gt;"Serviço",AND(AUTOEVENTO="Manual",$M322=$A$15)),0,
         IF(OFFSET(CRONOPLE!$F$15,$M322-$A$15,BJ$13)=0,10^12,OFFSET(CRONOPLE!$F$15,$M322-$A$15,BJ$13)))</f>
        <v>8</v>
      </c>
      <c r="BK322" s="171">
        <f ca="1">IF(OR($D322&lt;&gt;"Serviço",AND(AUTOEVENTO="Manual",$M322=$A$15)),0,
         IF(OFFSET(CRONOPLE!$F$15,$M322-$A$15,BK$13)=0,10^12,OFFSET(CRONOPLE!$F$15,$M322-$A$15,BK$13)))</f>
        <v>9</v>
      </c>
      <c r="BL322" s="171">
        <f ca="1">IF(OR($D322&lt;&gt;"Serviço",AND(AUTOEVENTO="Manual",$M322=$A$15)),0,
         IF(OFFSET(CRONOPLE!$F$15,$M322-$A$15,BL$13)=0,10^12,OFFSET(CRONOPLE!$F$15,$M322-$A$15,BL$13)))</f>
        <v>1000000000000</v>
      </c>
      <c r="BM322" s="171">
        <f ca="1">IF(OR($D322&lt;&gt;"Serviço",AND(AUTOEVENTO="Manual",$M322=$A$15)),0,
         IF(OFFSET(CRONOPLE!$F$15,$M322-$A$15,BM$13)=0,10^12,OFFSET(CRONOPLE!$F$15,$M322-$A$15,BM$13)))</f>
        <v>1000000000000</v>
      </c>
      <c r="BN322" s="171">
        <f ca="1">IF(OR($D322&lt;&gt;"Serviço",AND(AUTOEVENTO="Manual",$M322=$A$15)),0,
         IF(OFFSET(CRONOPLE!$F$15,$M322-$A$15,BN$13)=0,10^12,OFFSET(CRONOPLE!$F$15,$M322-$A$15,BN$13)))</f>
        <v>1000000000000</v>
      </c>
      <c r="BO322" s="171">
        <f ca="1">IF(OR($D322&lt;&gt;"Serviço",AND(AUTOEVENTO="Manual",$M322=$A$15)),0,
         IF(OFFSET(CRONOPLE!$F$15,$M322-$A$15,BO$13)=0,10^12,OFFSET(CRONOPLE!$F$15,$M322-$A$15,BO$13)))</f>
        <v>1000000000000</v>
      </c>
      <c r="BP322" s="171">
        <f ca="1">IF(OR($D322&lt;&gt;"Serviço",AND(AUTOEVENTO="Manual",$M322=$A$15)),0,
         IF(OFFSET(CRONOPLE!$F$15,$M322-$A$15,BP$13)=0,10^12,OFFSET(CRONOPLE!$F$15,$M322-$A$15,BP$13)))</f>
        <v>1000000000000</v>
      </c>
      <c r="BQ322" s="171">
        <f ca="1">IF(OR($D322&lt;&gt;"Serviço",AND(AUTOEVENTO="Manual",$M322=$A$15)),0,
         IF(OFFSET(CRONOPLE!$F$15,$M322-$A$15,BQ$13)=0,10^12,OFFSET(CRONOPLE!$F$15,$M322-$A$15,BQ$13)))</f>
        <v>1000000000000</v>
      </c>
      <c r="BR322" s="171">
        <f ca="1">IF(OR($D322&lt;&gt;"Serviço",AND(AUTOEVENTO="Manual",$M322=$A$15)),0,
         IF(OFFSET(CRONOPLE!$F$15,$M322-$A$15,BR$13)=0,10^12,OFFSET(CRONOPLE!$F$15,$M322-$A$15,BR$13)))</f>
        <v>1000000000000</v>
      </c>
      <c r="BS322" s="171">
        <f ca="1">IF(OR($D322&lt;&gt;"Serviço",AND(AUTOEVENTO="Manual",$M322=$A$15)),0,
         IF(OFFSET(CRONOPLE!$F$15,$M322-$A$15,BS$13)=0,10^12,OFFSET(CRONOPLE!$F$15,$M322-$A$15,BS$13)))</f>
        <v>1000000000000</v>
      </c>
      <c r="BT322" s="171">
        <f ca="1">IF(OR($D322&lt;&gt;"Serviço",AND(AUTOEVENTO="Manual",$M322=$A$15)),0,
         IF(OFFSET(CRONOPLE!$F$15,$M322-$A$15,BT$13)=0,10^12,OFFSET(CRONOPLE!$F$15,$M322-$A$15,BT$13)))</f>
        <v>1000000000000</v>
      </c>
      <c r="BV322" s="172">
        <f ca="1">IF(OR($D322&lt;&gt;"Serviço",AND(AUTOEVENTO="Manual",$M322=$A$15),$M322&gt;(ROW(PLE.lastrow)-ROW(PLE.firstrow))),0,
           IF(OFFSET(PLE!$G$15,$M322-$A$15,BV$13)="",10^12,OFFSET(PLE!$G$15,$M322-$A$15,BV$13)))</f>
        <v>1000000000000</v>
      </c>
      <c r="BW322" s="172">
        <f ca="1">IF(OR($D322&lt;&gt;"Serviço",AND(AUTOEVENTO="Manual",$M322=$A$15),$M322&gt;(ROW(PLE.lastrow)-ROW(PLE.firstrow))),0,
           IF(OFFSET(PLE!$G$15,$M322-$A$15,BW$13)="",10^12,OFFSET(PLE!$G$15,$M322-$A$15,BW$13)))</f>
        <v>1000000000000</v>
      </c>
      <c r="BX322" s="172">
        <f ca="1">IF(OR($D322&lt;&gt;"Serviço",AND(AUTOEVENTO="Manual",$M322=$A$15),$M322&gt;(ROW(PLE.lastrow)-ROW(PLE.firstrow))),0,
           IF(OFFSET(PLE!$G$15,$M322-$A$15,BX$13)="",10^12,OFFSET(PLE!$G$15,$M322-$A$15,BX$13)))</f>
        <v>1000000000000</v>
      </c>
      <c r="BY322" s="172">
        <f ca="1">IF(OR($D322&lt;&gt;"Serviço",AND(AUTOEVENTO="Manual",$M322=$A$15),$M322&gt;(ROW(PLE.lastrow)-ROW(PLE.firstrow))),0,
           IF(OFFSET(PLE!$G$15,$M322-$A$15,BY$13)="",10^12,OFFSET(PLE!$G$15,$M322-$A$15,BY$13)))</f>
        <v>1000000000000</v>
      </c>
      <c r="BZ322" s="172">
        <f ca="1">IF(OR($D322&lt;&gt;"Serviço",AND(AUTOEVENTO="Manual",$M322=$A$15),$M322&gt;(ROW(PLE.lastrow)-ROW(PLE.firstrow))),0,
           IF(OFFSET(PLE!$G$15,$M322-$A$15,BZ$13)="",10^12,OFFSET(PLE!$G$15,$M322-$A$15,BZ$13)))</f>
        <v>1000000000000</v>
      </c>
      <c r="CA322" s="172">
        <f ca="1">IF(OR($D322&lt;&gt;"Serviço",AND(AUTOEVENTO="Manual",$M322=$A$15),$M322&gt;(ROW(PLE.lastrow)-ROW(PLE.firstrow))),0,
           IF(OFFSET(PLE!$G$15,$M322-$A$15,CA$13)="",10^12,OFFSET(PLE!$G$15,$M322-$A$15,CA$13)))</f>
        <v>1000000000000</v>
      </c>
      <c r="CB322" s="172">
        <f ca="1">IF(OR($D322&lt;&gt;"Serviço",AND(AUTOEVENTO="Manual",$M322=$A$15),$M322&gt;(ROW(PLE.lastrow)-ROW(PLE.firstrow))),0,
           IF(OFFSET(PLE!$G$15,$M322-$A$15,CB$13)="",10^12,OFFSET(PLE!$G$15,$M322-$A$15,CB$13)))</f>
        <v>1000000000000</v>
      </c>
      <c r="CC322" s="172">
        <f ca="1">IF(OR($D322&lt;&gt;"Serviço",AND(AUTOEVENTO="Manual",$M322=$A$15),$M322&gt;(ROW(PLE.lastrow)-ROW(PLE.firstrow))),0,
           IF(OFFSET(PLE!$G$15,$M322-$A$15,CC$13)="",10^12,OFFSET(PLE!$G$15,$M322-$A$15,CC$13)))</f>
        <v>1000000000000</v>
      </c>
      <c r="CD322" s="172">
        <f ca="1">IF(OR($D322&lt;&gt;"Serviço",AND(AUTOEVENTO="Manual",$M322=$A$15),$M322&gt;(ROW(PLE.lastrow)-ROW(PLE.firstrow))),0,
           IF(OFFSET(PLE!$G$15,$M322-$A$15,CD$13)="",10^12,OFFSET(PLE!$G$15,$M322-$A$15,CD$13)))</f>
        <v>1000000000000</v>
      </c>
      <c r="CE322" s="172">
        <f ca="1">IF(OR($D322&lt;&gt;"Serviço",AND(AUTOEVENTO="Manual",$M322=$A$15),$M322&gt;(ROW(PLE.lastrow)-ROW(PLE.firstrow))),0,
           IF(OFFSET(PLE!$G$15,$M322-$A$15,CE$13)="",10^12,OFFSET(PLE!$G$15,$M322-$A$15,CE$13)))</f>
        <v>1000000000000</v>
      </c>
      <c r="CF322" s="172">
        <f ca="1">IF(OR($D322&lt;&gt;"Serviço",AND(AUTOEVENTO="Manual",$M322=$A$15),$M322&gt;(ROW(PLE.lastrow)-ROW(PLE.firstrow))),0,
           IF(OFFSET(PLE!$G$15,$M322-$A$15,CF$13)="",10^12,OFFSET(PLE!$G$15,$M322-$A$15,CF$13)))</f>
        <v>1000000000000</v>
      </c>
      <c r="CG322" s="172">
        <f ca="1">IF(OR($D322&lt;&gt;"Serviço",AND(AUTOEVENTO="Manual",$M322=$A$15),$M322&gt;(ROW(PLE.lastrow)-ROW(PLE.firstrow))),0,
           IF(OFFSET(PLE!$G$15,$M322-$A$15,CG$13)="",10^12,OFFSET(PLE!$G$15,$M322-$A$15,CG$13)))</f>
        <v>1000000000000</v>
      </c>
      <c r="CH322" s="172">
        <f ca="1">IF(OR($D322&lt;&gt;"Serviço",AND(AUTOEVENTO="Manual",$M322=$A$15),$M322&gt;(ROW(PLE.lastrow)-ROW(PLE.firstrow))),0,
           IF(OFFSET(PLE!$G$15,$M322-$A$15,CH$13)="",10^12,OFFSET(PLE!$G$15,$M322-$A$15,CH$13)))</f>
        <v>1000000000000</v>
      </c>
      <c r="CI322" s="172">
        <f ca="1">IF(OR($D322&lt;&gt;"Serviço",AND(AUTOEVENTO="Manual",$M322=$A$15),$M322&gt;(ROW(PLE.lastrow)-ROW(PLE.firstrow))),0,
           IF(OFFSET(PLE!$G$15,$M322-$A$15,CI$13)="",10^12,OFFSET(PLE!$G$15,$M322-$A$15,CI$13)))</f>
        <v>1000000000000</v>
      </c>
      <c r="CJ322" s="172">
        <f ca="1">IF(OR($D322&lt;&gt;"Serviço",AND(AUTOEVENTO="Manual",$M322=$A$15),$M322&gt;(ROW(PLE.lastrow)-ROW(PLE.firstrow))),0,
           IF(OFFSET(PLE!$G$15,$M322-$A$15,CJ$13)="",10^12,OFFSET(PLE!$G$15,$M322-$A$15,CJ$13)))</f>
        <v>1000000000000</v>
      </c>
      <c r="CK322" s="172">
        <f ca="1">IF(OR($D322&lt;&gt;"Serviço",AND(AUTOEVENTO="Manual",$M322=$A$15),$M322&gt;(ROW(PLE.lastrow)-ROW(PLE.firstrow))),0,
           IF(OFFSET(PLE!$G$15,$M322-$A$15,CK$13)="",10^12,OFFSET(PLE!$G$15,$M322-$A$15,CK$13)))</f>
        <v>1000000000000</v>
      </c>
      <c r="CL322" s="172">
        <f ca="1">IF(OR($D322&lt;&gt;"Serviço",AND(AUTOEVENTO="Manual",$M322=$A$15),$M322&gt;(ROW(PLE.lastrow)-ROW(PLE.firstrow))),0,
           IF(OFFSET(PLE!$G$15,$M322-$A$15,CL$13)="",10^12,OFFSET(PLE!$G$15,$M322-$A$15,CL$13)))</f>
        <v>1000000000000</v>
      </c>
      <c r="CM322" s="172">
        <f ca="1">IF(OR($D322&lt;&gt;"Serviço",AND(AUTOEVENTO="Manual",$M322=$A$15),$M322&gt;(ROW(PLE.lastrow)-ROW(PLE.firstrow))),0,
           IF(OFFSET(PLE!$G$15,$M322-$A$15,CM$13)="",10^12,OFFSET(PLE!$G$15,$M322-$A$15,CM$13)))</f>
        <v>1000000000000</v>
      </c>
    </row>
    <row r="323" spans="1:91" ht="12.75" x14ac:dyDescent="0.2">
      <c r="A323" s="7">
        <f t="shared" ca="1" si="14"/>
        <v>7</v>
      </c>
      <c r="B323" s="7">
        <f ca="1">OFFSET(ORÇAMENTO!C$15,ROW(B323)-ROW(B$15),0)</f>
        <v>4</v>
      </c>
      <c r="C323" s="7" t="str">
        <f ca="1">OFFSET(ORÇAMENTO!L$15,ROW(C323)-ROW(C$15),0)</f>
        <v>F</v>
      </c>
      <c r="D323" s="116" t="str">
        <f ca="1">OFFSET(ORÇAMENTO!N$15,ROW(D323)-ROW(D$15),0)</f>
        <v>Nível 4</v>
      </c>
      <c r="E323" s="117" t="str">
        <f ca="1">OFFSET(ORÇAMENTO!O$15,ROW(E323)-ROW(E$15),0)</f>
        <v>1.7.4.5.</v>
      </c>
      <c r="F323" s="163" t="str">
        <f ca="1">OFFSET(ORÇAMENTO!R$15,ROW(F323)-ROW(F$15),0)</f>
        <v>CARGA E TRANSPORTE</v>
      </c>
      <c r="G323" s="164" t="str">
        <f ca="1">IF($D323&lt;&gt;"Serviço","",OFFSET(ORÇAMENTO!S$15,ROW(G323)-ROW(G$15),0))</f>
        <v/>
      </c>
      <c r="H323" s="122" cm="1">
        <f t="array" aca="1" ref="H323" ca="1">IF($D323&lt;&gt;"Serviço",0,IF(ACOMPANHAMENTO="BM",ROUND(OFFSET(ORÇAMENTO!AJ$15,ROW(H323)-ROW(H$15),0),15-13*ORÇAMENTO!$AF$7),SUMPRODUCT(($Q$1:$AI$1=1)*ROUND($Q323:$AI323,15-13*ORÇAMENTO!$AF$7))))</f>
        <v>0</v>
      </c>
      <c r="I323" s="468"/>
      <c r="J323" s="640" t="str" cm="1">
        <f t="array" aca="1" ref="J323" ca="1">IF(OR(B323&lt;&gt;"S",CÁLCULO.FrentesPreenchidas=0),"",IF(AND(ACOMPANHAMENTO="PLE",AUTOEVENTO="Manual",OR(H323&gt;0,ORÇAMENTO!AC323="QUANT."),OR(K323="",M323=0,N323="")),"►E",IF(AND(ACOMPANHAMENTO="PLE",ORÇAMENTO!AC323="QUANT."),"►Q",IF(AND(ACOMPANHAMENTO="PLE",H323&lt;&gt;SUMPRODUCT(($Q$1:$AI$1=1)*ROUND(Q323:AI323,15))),"►S",IF(AND(COUNTIF($P$11:$AI$11,"▼")=0,H323&gt;0,I323=""),"◄M","")))))</f>
        <v/>
      </c>
      <c r="K323" s="641" t="s">
        <v>1365</v>
      </c>
      <c r="L323" s="165" t="s">
        <v>764</v>
      </c>
      <c r="M323" s="166" t="str">
        <f ca="1">IF($D323&lt;&gt;"Serviço","",
          IF(AUTOEVENTO="manual",$A323,
                IF(ISERROR(MATCH($A323,$A$15:OFFSET($A323,-1,0),0)),MAX($M$15:OFFSET(M323,-1,0))+1,
                      INDEX($M$15:OFFSET(M323,-1,0),MATCH($A323,$A$15:OFFSET($A323,-1,0),0)))))</f>
        <v/>
      </c>
      <c r="N323" s="167" t="str">
        <f ca="1">IF($D323&lt;&gt;"Serviço","",
         IF(AUTOEVENTO="Manual",
                IF($A323=0,"&lt;-- defina o número do agrupador",
                       OFFSET(EVENTOS!$D$15,$A323-$A$15,0)),
                OFFSET($F$15,$A323,0)))</f>
        <v/>
      </c>
      <c r="O323" s="168"/>
      <c r="Q323" s="168"/>
      <c r="R323" s="169"/>
      <c r="S323" s="169"/>
      <c r="T323" s="169"/>
      <c r="U323" s="169"/>
      <c r="V323" s="169"/>
      <c r="W323" s="169"/>
      <c r="X323" s="169"/>
      <c r="Y323" s="169"/>
      <c r="Z323" s="170"/>
      <c r="AA323" s="169"/>
      <c r="AB323" s="169"/>
      <c r="AC323" s="169"/>
      <c r="AD323" s="169"/>
      <c r="AE323" s="169"/>
      <c r="AF323" s="169"/>
      <c r="AG323" s="169"/>
      <c r="AH323" s="170"/>
      <c r="AJ323" s="453">
        <f ca="1">IF(AND($D323="Serviço",AJ$12&lt;&gt;0,$H323&gt;0,OR(AUTOEVENTO&lt;&gt;"manual",$M323&lt;&gt;$A$15)),
        IF(Import.TipoArredondamento&lt;&gt;"TransfereGOV",
              ROUND(OFFSET($P323,0,AJ$13),15-13*ORÇAMENTO!$AF$7)/$H323*OFFSET(ORÇAMENTO!$X$15,ROW(AJ323)-ROW(AJ$15),0),
              ROUND(ROUND(OFFSET($P323,0,AJ$13),15-13*ORÇAMENTO!$AF$7)*OFFSET(ORÇAMENTO!$W$15,ROW(AJ323)-ROW(AJ$15),0),15-13*ORÇAMENTO!$AF$11)),
         0)</f>
        <v>0</v>
      </c>
      <c r="AK323" s="453">
        <f ca="1">IF(AND($D323="Serviço",AK$12&lt;&gt;0,$H323&gt;0,OR(AUTOEVENTO&lt;&gt;"manual",$M323&lt;&gt;$A$15)),
        IF(Import.TipoArredondamento&lt;&gt;"TransfereGOV",
              ROUND(OFFSET($P323,0,AK$13),15-13*ORÇAMENTO!$AF$7)/$H323*OFFSET(ORÇAMENTO!$X$15,ROW(AK323)-ROW(AK$15),0),
              ROUND(ROUND(OFFSET($P323,0,AK$13),15-13*ORÇAMENTO!$AF$7)*OFFSET(ORÇAMENTO!$W$15,ROW(AK323)-ROW(AK$15),0),15-13*ORÇAMENTO!$AF$11)),
         0)</f>
        <v>0</v>
      </c>
      <c r="AL323" s="453">
        <f ca="1">IF(AND($D323="Serviço",AL$12&lt;&gt;0,$H323&gt;0,OR(AUTOEVENTO&lt;&gt;"manual",$M323&lt;&gt;$A$15)),
        IF(Import.TipoArredondamento&lt;&gt;"TransfereGOV",
              ROUND(OFFSET($P323,0,AL$13),15-13*ORÇAMENTO!$AF$7)/$H323*OFFSET(ORÇAMENTO!$X$15,ROW(AL323)-ROW(AL$15),0),
              ROUND(ROUND(OFFSET($P323,0,AL$13),15-13*ORÇAMENTO!$AF$7)*OFFSET(ORÇAMENTO!$W$15,ROW(AL323)-ROW(AL$15),0),15-13*ORÇAMENTO!$AF$11)),
         0)</f>
        <v>0</v>
      </c>
      <c r="AM323" s="453">
        <f ca="1">IF(AND($D323="Serviço",AM$12&lt;&gt;0,$H323&gt;0,OR(AUTOEVENTO&lt;&gt;"manual",$M323&lt;&gt;$A$15)),
        IF(Import.TipoArredondamento&lt;&gt;"TransfereGOV",
              ROUND(OFFSET($P323,0,AM$13),15-13*ORÇAMENTO!$AF$7)/$H323*OFFSET(ORÇAMENTO!$X$15,ROW(AM323)-ROW(AM$15),0),
              ROUND(ROUND(OFFSET($P323,0,AM$13),15-13*ORÇAMENTO!$AF$7)*OFFSET(ORÇAMENTO!$W$15,ROW(AM323)-ROW(AM$15),0),15-13*ORÇAMENTO!$AF$11)),
         0)</f>
        <v>0</v>
      </c>
      <c r="AN323" s="453">
        <f ca="1">IF(AND($D323="Serviço",AN$12&lt;&gt;0,$H323&gt;0,OR(AUTOEVENTO&lt;&gt;"manual",$M323&lt;&gt;$A$15)),
        IF(Import.TipoArredondamento&lt;&gt;"TransfereGOV",
              ROUND(OFFSET($P323,0,AN$13),15-13*ORÇAMENTO!$AF$7)/$H323*OFFSET(ORÇAMENTO!$X$15,ROW(AN323)-ROW(AN$15),0),
              ROUND(ROUND(OFFSET($P323,0,AN$13),15-13*ORÇAMENTO!$AF$7)*OFFSET(ORÇAMENTO!$W$15,ROW(AN323)-ROW(AN$15),0),15-13*ORÇAMENTO!$AF$11)),
         0)</f>
        <v>0</v>
      </c>
      <c r="AO323" s="453">
        <f ca="1">IF(AND($D323="Serviço",AO$12&lt;&gt;0,$H323&gt;0,OR(AUTOEVENTO&lt;&gt;"manual",$M323&lt;&gt;$A$15)),
        IF(Import.TipoArredondamento&lt;&gt;"TransfereGOV",
              ROUND(OFFSET($P323,0,AO$13),15-13*ORÇAMENTO!$AF$7)/$H323*OFFSET(ORÇAMENTO!$X$15,ROW(AO323)-ROW(AO$15),0),
              ROUND(ROUND(OFFSET($P323,0,AO$13),15-13*ORÇAMENTO!$AF$7)*OFFSET(ORÇAMENTO!$W$15,ROW(AO323)-ROW(AO$15),0),15-13*ORÇAMENTO!$AF$11)),
         0)</f>
        <v>0</v>
      </c>
      <c r="AP323" s="453">
        <f ca="1">IF(AND($D323="Serviço",AP$12&lt;&gt;0,$H323&gt;0,OR(AUTOEVENTO&lt;&gt;"manual",$M323&lt;&gt;$A$15)),
        IF(Import.TipoArredondamento&lt;&gt;"TransfereGOV",
              ROUND(OFFSET($P323,0,AP$13),15-13*ORÇAMENTO!$AF$7)/$H323*OFFSET(ORÇAMENTO!$X$15,ROW(AP323)-ROW(AP$15),0),
              ROUND(ROUND(OFFSET($P323,0,AP$13),15-13*ORÇAMENTO!$AF$7)*OFFSET(ORÇAMENTO!$W$15,ROW(AP323)-ROW(AP$15),0),15-13*ORÇAMENTO!$AF$11)),
         0)</f>
        <v>0</v>
      </c>
      <c r="AQ323" s="453">
        <f ca="1">IF(AND($D323="Serviço",AQ$12&lt;&gt;0,$H323&gt;0,OR(AUTOEVENTO&lt;&gt;"manual",$M323&lt;&gt;$A$15)),
        IF(Import.TipoArredondamento&lt;&gt;"TransfereGOV",
              ROUND(OFFSET($P323,0,AQ$13),15-13*ORÇAMENTO!$AF$7)/$H323*OFFSET(ORÇAMENTO!$X$15,ROW(AQ323)-ROW(AQ$15),0),
              ROUND(ROUND(OFFSET($P323,0,AQ$13),15-13*ORÇAMENTO!$AF$7)*OFFSET(ORÇAMENTO!$W$15,ROW(AQ323)-ROW(AQ$15),0),15-13*ORÇAMENTO!$AF$11)),
         0)</f>
        <v>0</v>
      </c>
      <c r="AR323" s="453">
        <f ca="1">IF(AND($D323="Serviço",AR$12&lt;&gt;0,$H323&gt;0,OR(AUTOEVENTO&lt;&gt;"manual",$M323&lt;&gt;$A$15)),
        IF(Import.TipoArredondamento&lt;&gt;"TransfereGOV",
              ROUND(OFFSET($P323,0,AR$13),15-13*ORÇAMENTO!$AF$7)/$H323*OFFSET(ORÇAMENTO!$X$15,ROW(AR323)-ROW(AR$15),0),
              ROUND(ROUND(OFFSET($P323,0,AR$13),15-13*ORÇAMENTO!$AF$7)*OFFSET(ORÇAMENTO!$W$15,ROW(AR323)-ROW(AR$15),0),15-13*ORÇAMENTO!$AF$11)),
         0)</f>
        <v>0</v>
      </c>
      <c r="AS323" s="453">
        <f ca="1">IF(AND($D323="Serviço",AS$12&lt;&gt;0,$H323&gt;0,OR(AUTOEVENTO&lt;&gt;"manual",$M323&lt;&gt;$A$15)),
        IF(Import.TipoArredondamento&lt;&gt;"TransfereGOV",
              ROUND(OFFSET($P323,0,AS$13),15-13*ORÇAMENTO!$AF$7)/$H323*OFFSET(ORÇAMENTO!$X$15,ROW(AS323)-ROW(AS$15),0),
              ROUND(ROUND(OFFSET($P323,0,AS$13),15-13*ORÇAMENTO!$AF$7)*OFFSET(ORÇAMENTO!$W$15,ROW(AS323)-ROW(AS$15),0),15-13*ORÇAMENTO!$AF$11)),
         0)</f>
        <v>0</v>
      </c>
      <c r="AT323" s="453">
        <f ca="1">IF(AND($D323="Serviço",AT$12&lt;&gt;0,$H323&gt;0,OR(AUTOEVENTO&lt;&gt;"manual",$M323&lt;&gt;$A$15)),
        IF(Import.TipoArredondamento&lt;&gt;"TransfereGOV",
              ROUND(OFFSET($P323,0,AT$13),15-13*ORÇAMENTO!$AF$7)/$H323*OFFSET(ORÇAMENTO!$X$15,ROW(AT323)-ROW(AT$15),0),
              ROUND(ROUND(OFFSET($P323,0,AT$13),15-13*ORÇAMENTO!$AF$7)*OFFSET(ORÇAMENTO!$W$15,ROW(AT323)-ROW(AT$15),0),15-13*ORÇAMENTO!$AF$11)),
         0)</f>
        <v>0</v>
      </c>
      <c r="AU323" s="453">
        <f ca="1">IF(AND($D323="Serviço",AU$12&lt;&gt;0,$H323&gt;0,OR(AUTOEVENTO&lt;&gt;"manual",$M323&lt;&gt;$A$15)),
        IF(Import.TipoArredondamento&lt;&gt;"TransfereGOV",
              ROUND(OFFSET($P323,0,AU$13),15-13*ORÇAMENTO!$AF$7)/$H323*OFFSET(ORÇAMENTO!$X$15,ROW(AU323)-ROW(AU$15),0),
              ROUND(ROUND(OFFSET($P323,0,AU$13),15-13*ORÇAMENTO!$AF$7)*OFFSET(ORÇAMENTO!$W$15,ROW(AU323)-ROW(AU$15),0),15-13*ORÇAMENTO!$AF$11)),
         0)</f>
        <v>0</v>
      </c>
      <c r="AV323" s="453">
        <f ca="1">IF(AND($D323="Serviço",AV$12&lt;&gt;0,$H323&gt;0,OR(AUTOEVENTO&lt;&gt;"manual",$M323&lt;&gt;$A$15)),
        IF(Import.TipoArredondamento&lt;&gt;"TransfereGOV",
              ROUND(OFFSET($P323,0,AV$13),15-13*ORÇAMENTO!$AF$7)/$H323*OFFSET(ORÇAMENTO!$X$15,ROW(AV323)-ROW(AV$15),0),
              ROUND(ROUND(OFFSET($P323,0,AV$13),15-13*ORÇAMENTO!$AF$7)*OFFSET(ORÇAMENTO!$W$15,ROW(AV323)-ROW(AV$15),0),15-13*ORÇAMENTO!$AF$11)),
         0)</f>
        <v>0</v>
      </c>
      <c r="AW323" s="453">
        <f ca="1">IF(AND($D323="Serviço",AW$12&lt;&gt;0,$H323&gt;0,OR(AUTOEVENTO&lt;&gt;"manual",$M323&lt;&gt;$A$15)),
        IF(Import.TipoArredondamento&lt;&gt;"TransfereGOV",
              ROUND(OFFSET($P323,0,AW$13),15-13*ORÇAMENTO!$AF$7)/$H323*OFFSET(ORÇAMENTO!$X$15,ROW(AW323)-ROW(AW$15),0),
              ROUND(ROUND(OFFSET($P323,0,AW$13),15-13*ORÇAMENTO!$AF$7)*OFFSET(ORÇAMENTO!$W$15,ROW(AW323)-ROW(AW$15),0),15-13*ORÇAMENTO!$AF$11)),
         0)</f>
        <v>0</v>
      </c>
      <c r="AX323" s="453">
        <f ca="1">IF(AND($D323="Serviço",AX$12&lt;&gt;0,$H323&gt;0,OR(AUTOEVENTO&lt;&gt;"manual",$M323&lt;&gt;$A$15)),
        IF(Import.TipoArredondamento&lt;&gt;"TransfereGOV",
              ROUND(OFFSET($P323,0,AX$13),15-13*ORÇAMENTO!$AF$7)/$H323*OFFSET(ORÇAMENTO!$X$15,ROW(AX323)-ROW(AX$15),0),
              ROUND(ROUND(OFFSET($P323,0,AX$13),15-13*ORÇAMENTO!$AF$7)*OFFSET(ORÇAMENTO!$W$15,ROW(AX323)-ROW(AX$15),0),15-13*ORÇAMENTO!$AF$11)),
         0)</f>
        <v>0</v>
      </c>
      <c r="AY323" s="453">
        <f ca="1">IF(AND($D323="Serviço",AY$12&lt;&gt;0,$H323&gt;0,OR(AUTOEVENTO&lt;&gt;"manual",$M323&lt;&gt;$A$15)),
        IF(Import.TipoArredondamento&lt;&gt;"TransfereGOV",
              ROUND(OFFSET($P323,0,AY$13),15-13*ORÇAMENTO!$AF$7)/$H323*OFFSET(ORÇAMENTO!$X$15,ROW(AY323)-ROW(AY$15),0),
              ROUND(ROUND(OFFSET($P323,0,AY$13),15-13*ORÇAMENTO!$AF$7)*OFFSET(ORÇAMENTO!$W$15,ROW(AY323)-ROW(AY$15),0),15-13*ORÇAMENTO!$AF$11)),
         0)</f>
        <v>0</v>
      </c>
      <c r="AZ323" s="453">
        <f ca="1">IF(AND($D323="Serviço",AZ$12&lt;&gt;0,$H323&gt;0,OR(AUTOEVENTO&lt;&gt;"manual",$M323&lt;&gt;$A$15)),
        IF(Import.TipoArredondamento&lt;&gt;"TransfereGOV",
              ROUND(OFFSET($P323,0,AZ$13),15-13*ORÇAMENTO!$AF$7)/$H323*OFFSET(ORÇAMENTO!$X$15,ROW(AZ323)-ROW(AZ$15),0),
              ROUND(ROUND(OFFSET($P323,0,AZ$13),15-13*ORÇAMENTO!$AF$7)*OFFSET(ORÇAMENTO!$W$15,ROW(AZ323)-ROW(AZ$15),0),15-13*ORÇAMENTO!$AF$11)),
         0)</f>
        <v>0</v>
      </c>
      <c r="BA323" s="453">
        <f ca="1">IF(AND($D323="Serviço",BA$12&lt;&gt;0,$H323&gt;0,OR(AUTOEVENTO&lt;&gt;"manual",$M323&lt;&gt;$A$15)),
        IF(Import.TipoArredondamento&lt;&gt;"TransfereGOV",
              ROUND(OFFSET($P323,0,BA$13),15-13*ORÇAMENTO!$AF$7)/$H323*OFFSET(ORÇAMENTO!$X$15,ROW(BA323)-ROW(BA$15),0),
              ROUND(ROUND(OFFSET($P323,0,BA$13),15-13*ORÇAMENTO!$AF$7)*OFFSET(ORÇAMENTO!$W$15,ROW(BA323)-ROW(BA$15),0),15-13*ORÇAMENTO!$AF$11)),
         0)</f>
        <v>0</v>
      </c>
      <c r="BC323" s="171">
        <f ca="1">IF(OR($D323&lt;&gt;"Serviço",AND(AUTOEVENTO="Manual",$M323=$A$15)),0,
         IF(OFFSET(CRONOPLE!$F$15,$M323-$A$15,BC$13)=0,10^12,OFFSET(CRONOPLE!$F$15,$M323-$A$15,BC$13)))</f>
        <v>0</v>
      </c>
      <c r="BD323" s="171">
        <f ca="1">IF(OR($D323&lt;&gt;"Serviço",AND(AUTOEVENTO="Manual",$M323=$A$15)),0,
         IF(OFFSET(CRONOPLE!$F$15,$M323-$A$15,BD$13)=0,10^12,OFFSET(CRONOPLE!$F$15,$M323-$A$15,BD$13)))</f>
        <v>0</v>
      </c>
      <c r="BE323" s="171">
        <f ca="1">IF(OR($D323&lt;&gt;"Serviço",AND(AUTOEVENTO="Manual",$M323=$A$15)),0,
         IF(OFFSET(CRONOPLE!$F$15,$M323-$A$15,BE$13)=0,10^12,OFFSET(CRONOPLE!$F$15,$M323-$A$15,BE$13)))</f>
        <v>0</v>
      </c>
      <c r="BF323" s="171">
        <f ca="1">IF(OR($D323&lt;&gt;"Serviço",AND(AUTOEVENTO="Manual",$M323=$A$15)),0,
         IF(OFFSET(CRONOPLE!$F$15,$M323-$A$15,BF$13)=0,10^12,OFFSET(CRONOPLE!$F$15,$M323-$A$15,BF$13)))</f>
        <v>0</v>
      </c>
      <c r="BG323" s="171">
        <f ca="1">IF(OR($D323&lt;&gt;"Serviço",AND(AUTOEVENTO="Manual",$M323=$A$15)),0,
         IF(OFFSET(CRONOPLE!$F$15,$M323-$A$15,BG$13)=0,10^12,OFFSET(CRONOPLE!$F$15,$M323-$A$15,BG$13)))</f>
        <v>0</v>
      </c>
      <c r="BH323" s="171">
        <f ca="1">IF(OR($D323&lt;&gt;"Serviço",AND(AUTOEVENTO="Manual",$M323=$A$15)),0,
         IF(OFFSET(CRONOPLE!$F$15,$M323-$A$15,BH$13)=0,10^12,OFFSET(CRONOPLE!$F$15,$M323-$A$15,BH$13)))</f>
        <v>0</v>
      </c>
      <c r="BI323" s="171">
        <f ca="1">IF(OR($D323&lt;&gt;"Serviço",AND(AUTOEVENTO="Manual",$M323=$A$15)),0,
         IF(OFFSET(CRONOPLE!$F$15,$M323-$A$15,BI$13)=0,10^12,OFFSET(CRONOPLE!$F$15,$M323-$A$15,BI$13)))</f>
        <v>0</v>
      </c>
      <c r="BJ323" s="171">
        <f ca="1">IF(OR($D323&lt;&gt;"Serviço",AND(AUTOEVENTO="Manual",$M323=$A$15)),0,
         IF(OFFSET(CRONOPLE!$F$15,$M323-$A$15,BJ$13)=0,10^12,OFFSET(CRONOPLE!$F$15,$M323-$A$15,BJ$13)))</f>
        <v>0</v>
      </c>
      <c r="BK323" s="171">
        <f ca="1">IF(OR($D323&lt;&gt;"Serviço",AND(AUTOEVENTO="Manual",$M323=$A$15)),0,
         IF(OFFSET(CRONOPLE!$F$15,$M323-$A$15,BK$13)=0,10^12,OFFSET(CRONOPLE!$F$15,$M323-$A$15,BK$13)))</f>
        <v>0</v>
      </c>
      <c r="BL323" s="171">
        <f ca="1">IF(OR($D323&lt;&gt;"Serviço",AND(AUTOEVENTO="Manual",$M323=$A$15)),0,
         IF(OFFSET(CRONOPLE!$F$15,$M323-$A$15,BL$13)=0,10^12,OFFSET(CRONOPLE!$F$15,$M323-$A$15,BL$13)))</f>
        <v>0</v>
      </c>
      <c r="BM323" s="171">
        <f ca="1">IF(OR($D323&lt;&gt;"Serviço",AND(AUTOEVENTO="Manual",$M323=$A$15)),0,
         IF(OFFSET(CRONOPLE!$F$15,$M323-$A$15,BM$13)=0,10^12,OFFSET(CRONOPLE!$F$15,$M323-$A$15,BM$13)))</f>
        <v>0</v>
      </c>
      <c r="BN323" s="171">
        <f ca="1">IF(OR($D323&lt;&gt;"Serviço",AND(AUTOEVENTO="Manual",$M323=$A$15)),0,
         IF(OFFSET(CRONOPLE!$F$15,$M323-$A$15,BN$13)=0,10^12,OFFSET(CRONOPLE!$F$15,$M323-$A$15,BN$13)))</f>
        <v>0</v>
      </c>
      <c r="BO323" s="171">
        <f ca="1">IF(OR($D323&lt;&gt;"Serviço",AND(AUTOEVENTO="Manual",$M323=$A$15)),0,
         IF(OFFSET(CRONOPLE!$F$15,$M323-$A$15,BO$13)=0,10^12,OFFSET(CRONOPLE!$F$15,$M323-$A$15,BO$13)))</f>
        <v>0</v>
      </c>
      <c r="BP323" s="171">
        <f ca="1">IF(OR($D323&lt;&gt;"Serviço",AND(AUTOEVENTO="Manual",$M323=$A$15)),0,
         IF(OFFSET(CRONOPLE!$F$15,$M323-$A$15,BP$13)=0,10^12,OFFSET(CRONOPLE!$F$15,$M323-$A$15,BP$13)))</f>
        <v>0</v>
      </c>
      <c r="BQ323" s="171">
        <f ca="1">IF(OR($D323&lt;&gt;"Serviço",AND(AUTOEVENTO="Manual",$M323=$A$15)),0,
         IF(OFFSET(CRONOPLE!$F$15,$M323-$A$15,BQ$13)=0,10^12,OFFSET(CRONOPLE!$F$15,$M323-$A$15,BQ$13)))</f>
        <v>0</v>
      </c>
      <c r="BR323" s="171">
        <f ca="1">IF(OR($D323&lt;&gt;"Serviço",AND(AUTOEVENTO="Manual",$M323=$A$15)),0,
         IF(OFFSET(CRONOPLE!$F$15,$M323-$A$15,BR$13)=0,10^12,OFFSET(CRONOPLE!$F$15,$M323-$A$15,BR$13)))</f>
        <v>0</v>
      </c>
      <c r="BS323" s="171">
        <f ca="1">IF(OR($D323&lt;&gt;"Serviço",AND(AUTOEVENTO="Manual",$M323=$A$15)),0,
         IF(OFFSET(CRONOPLE!$F$15,$M323-$A$15,BS$13)=0,10^12,OFFSET(CRONOPLE!$F$15,$M323-$A$15,BS$13)))</f>
        <v>0</v>
      </c>
      <c r="BT323" s="171">
        <f ca="1">IF(OR($D323&lt;&gt;"Serviço",AND(AUTOEVENTO="Manual",$M323=$A$15)),0,
         IF(OFFSET(CRONOPLE!$F$15,$M323-$A$15,BT$13)=0,10^12,OFFSET(CRONOPLE!$F$15,$M323-$A$15,BT$13)))</f>
        <v>0</v>
      </c>
      <c r="BV323" s="172">
        <f ca="1">IF(OR($D323&lt;&gt;"Serviço",AND(AUTOEVENTO="Manual",$M323=$A$15),$M323&gt;(ROW(PLE.lastrow)-ROW(PLE.firstrow))),0,
           IF(OFFSET(PLE!$G$15,$M323-$A$15,BV$13)="",10^12,OFFSET(PLE!$G$15,$M323-$A$15,BV$13)))</f>
        <v>0</v>
      </c>
      <c r="BW323" s="172">
        <f ca="1">IF(OR($D323&lt;&gt;"Serviço",AND(AUTOEVENTO="Manual",$M323=$A$15),$M323&gt;(ROW(PLE.lastrow)-ROW(PLE.firstrow))),0,
           IF(OFFSET(PLE!$G$15,$M323-$A$15,BW$13)="",10^12,OFFSET(PLE!$G$15,$M323-$A$15,BW$13)))</f>
        <v>0</v>
      </c>
      <c r="BX323" s="172">
        <f ca="1">IF(OR($D323&lt;&gt;"Serviço",AND(AUTOEVENTO="Manual",$M323=$A$15),$M323&gt;(ROW(PLE.lastrow)-ROW(PLE.firstrow))),0,
           IF(OFFSET(PLE!$G$15,$M323-$A$15,BX$13)="",10^12,OFFSET(PLE!$G$15,$M323-$A$15,BX$13)))</f>
        <v>0</v>
      </c>
      <c r="BY323" s="172">
        <f ca="1">IF(OR($D323&lt;&gt;"Serviço",AND(AUTOEVENTO="Manual",$M323=$A$15),$M323&gt;(ROW(PLE.lastrow)-ROW(PLE.firstrow))),0,
           IF(OFFSET(PLE!$G$15,$M323-$A$15,BY$13)="",10^12,OFFSET(PLE!$G$15,$M323-$A$15,BY$13)))</f>
        <v>0</v>
      </c>
      <c r="BZ323" s="172">
        <f ca="1">IF(OR($D323&lt;&gt;"Serviço",AND(AUTOEVENTO="Manual",$M323=$A$15),$M323&gt;(ROW(PLE.lastrow)-ROW(PLE.firstrow))),0,
           IF(OFFSET(PLE!$G$15,$M323-$A$15,BZ$13)="",10^12,OFFSET(PLE!$G$15,$M323-$A$15,BZ$13)))</f>
        <v>0</v>
      </c>
      <c r="CA323" s="172">
        <f ca="1">IF(OR($D323&lt;&gt;"Serviço",AND(AUTOEVENTO="Manual",$M323=$A$15),$M323&gt;(ROW(PLE.lastrow)-ROW(PLE.firstrow))),0,
           IF(OFFSET(PLE!$G$15,$M323-$A$15,CA$13)="",10^12,OFFSET(PLE!$G$15,$M323-$A$15,CA$13)))</f>
        <v>0</v>
      </c>
      <c r="CB323" s="172">
        <f ca="1">IF(OR($D323&lt;&gt;"Serviço",AND(AUTOEVENTO="Manual",$M323=$A$15),$M323&gt;(ROW(PLE.lastrow)-ROW(PLE.firstrow))),0,
           IF(OFFSET(PLE!$G$15,$M323-$A$15,CB$13)="",10^12,OFFSET(PLE!$G$15,$M323-$A$15,CB$13)))</f>
        <v>0</v>
      </c>
      <c r="CC323" s="172">
        <f ca="1">IF(OR($D323&lt;&gt;"Serviço",AND(AUTOEVENTO="Manual",$M323=$A$15),$M323&gt;(ROW(PLE.lastrow)-ROW(PLE.firstrow))),0,
           IF(OFFSET(PLE!$G$15,$M323-$A$15,CC$13)="",10^12,OFFSET(PLE!$G$15,$M323-$A$15,CC$13)))</f>
        <v>0</v>
      </c>
      <c r="CD323" s="172">
        <f ca="1">IF(OR($D323&lt;&gt;"Serviço",AND(AUTOEVENTO="Manual",$M323=$A$15),$M323&gt;(ROW(PLE.lastrow)-ROW(PLE.firstrow))),0,
           IF(OFFSET(PLE!$G$15,$M323-$A$15,CD$13)="",10^12,OFFSET(PLE!$G$15,$M323-$A$15,CD$13)))</f>
        <v>0</v>
      </c>
      <c r="CE323" s="172">
        <f ca="1">IF(OR($D323&lt;&gt;"Serviço",AND(AUTOEVENTO="Manual",$M323=$A$15),$M323&gt;(ROW(PLE.lastrow)-ROW(PLE.firstrow))),0,
           IF(OFFSET(PLE!$G$15,$M323-$A$15,CE$13)="",10^12,OFFSET(PLE!$G$15,$M323-$A$15,CE$13)))</f>
        <v>0</v>
      </c>
      <c r="CF323" s="172">
        <f ca="1">IF(OR($D323&lt;&gt;"Serviço",AND(AUTOEVENTO="Manual",$M323=$A$15),$M323&gt;(ROW(PLE.lastrow)-ROW(PLE.firstrow))),0,
           IF(OFFSET(PLE!$G$15,$M323-$A$15,CF$13)="",10^12,OFFSET(PLE!$G$15,$M323-$A$15,CF$13)))</f>
        <v>0</v>
      </c>
      <c r="CG323" s="172">
        <f ca="1">IF(OR($D323&lt;&gt;"Serviço",AND(AUTOEVENTO="Manual",$M323=$A$15),$M323&gt;(ROW(PLE.lastrow)-ROW(PLE.firstrow))),0,
           IF(OFFSET(PLE!$G$15,$M323-$A$15,CG$13)="",10^12,OFFSET(PLE!$G$15,$M323-$A$15,CG$13)))</f>
        <v>0</v>
      </c>
      <c r="CH323" s="172">
        <f ca="1">IF(OR($D323&lt;&gt;"Serviço",AND(AUTOEVENTO="Manual",$M323=$A$15),$M323&gt;(ROW(PLE.lastrow)-ROW(PLE.firstrow))),0,
           IF(OFFSET(PLE!$G$15,$M323-$A$15,CH$13)="",10^12,OFFSET(PLE!$G$15,$M323-$A$15,CH$13)))</f>
        <v>0</v>
      </c>
      <c r="CI323" s="172">
        <f ca="1">IF(OR($D323&lt;&gt;"Serviço",AND(AUTOEVENTO="Manual",$M323=$A$15),$M323&gt;(ROW(PLE.lastrow)-ROW(PLE.firstrow))),0,
           IF(OFFSET(PLE!$G$15,$M323-$A$15,CI$13)="",10^12,OFFSET(PLE!$G$15,$M323-$A$15,CI$13)))</f>
        <v>0</v>
      </c>
      <c r="CJ323" s="172">
        <f ca="1">IF(OR($D323&lt;&gt;"Serviço",AND(AUTOEVENTO="Manual",$M323=$A$15),$M323&gt;(ROW(PLE.lastrow)-ROW(PLE.firstrow))),0,
           IF(OFFSET(PLE!$G$15,$M323-$A$15,CJ$13)="",10^12,OFFSET(PLE!$G$15,$M323-$A$15,CJ$13)))</f>
        <v>0</v>
      </c>
      <c r="CK323" s="172">
        <f ca="1">IF(OR($D323&lt;&gt;"Serviço",AND(AUTOEVENTO="Manual",$M323=$A$15),$M323&gt;(ROW(PLE.lastrow)-ROW(PLE.firstrow))),0,
           IF(OFFSET(PLE!$G$15,$M323-$A$15,CK$13)="",10^12,OFFSET(PLE!$G$15,$M323-$A$15,CK$13)))</f>
        <v>0</v>
      </c>
      <c r="CL323" s="172">
        <f ca="1">IF(OR($D323&lt;&gt;"Serviço",AND(AUTOEVENTO="Manual",$M323=$A$15),$M323&gt;(ROW(PLE.lastrow)-ROW(PLE.firstrow))),0,
           IF(OFFSET(PLE!$G$15,$M323-$A$15,CL$13)="",10^12,OFFSET(PLE!$G$15,$M323-$A$15,CL$13)))</f>
        <v>0</v>
      </c>
      <c r="CM323" s="172">
        <f ca="1">IF(OR($D323&lt;&gt;"Serviço",AND(AUTOEVENTO="Manual",$M323=$A$15),$M323&gt;(ROW(PLE.lastrow)-ROW(PLE.firstrow))),0,
           IF(OFFSET(PLE!$G$15,$M323-$A$15,CM$13)="",10^12,OFFSET(PLE!$G$15,$M323-$A$15,CM$13)))</f>
        <v>0</v>
      </c>
    </row>
    <row r="324" spans="1:91" ht="51" x14ac:dyDescent="0.2">
      <c r="A324" s="7">
        <f t="shared" ca="1" si="14"/>
        <v>6</v>
      </c>
      <c r="B324" s="7" t="str">
        <f ca="1">OFFSET(ORÇAMENTO!C$15,ROW(B324)-ROW(B$15),0)</f>
        <v>S</v>
      </c>
      <c r="C324" s="7" t="str">
        <f ca="1">OFFSET(ORÇAMENTO!L$15,ROW(C324)-ROW(C$15),0)</f>
        <v>F</v>
      </c>
      <c r="D324" s="116" t="str">
        <f ca="1">OFFSET(ORÇAMENTO!N$15,ROW(D324)-ROW(D$15),0)</f>
        <v>Serviço</v>
      </c>
      <c r="E324" s="117" t="str">
        <f ca="1">OFFSET(ORÇAMENTO!O$15,ROW(E324)-ROW(E$15),0)</f>
        <v>1.7.4.5.1.</v>
      </c>
      <c r="F324" s="163" t="str">
        <f ca="1">OFFSET(ORÇAMENTO!R$15,ROW(F324)-ROW(F$15),0)</f>
        <v>CARGA, MANOBRA E DESCARGA DE SOLOS E MATERIAIS GRANULARES EM CAMINHÃO BASCULANTE 18 M³ - CARGA COM ESCAVADEIRA HIDRÁULICA (CAÇAMBA DE 1,20 M³ / 155 HP) E DESCARGA LIVRE (UNIDADE: M3). AF_07/2020</v>
      </c>
      <c r="G324" s="164" t="str">
        <f ca="1">IF($D324&lt;&gt;"Serviço","",OFFSET(ORÇAMENTO!S$15,ROW(G324)-ROW(G$15),0))</f>
        <v>M3</v>
      </c>
      <c r="H324" s="122" cm="1">
        <f t="array" aca="1" ref="H324" ca="1">IF($D324&lt;&gt;"Serviço",0,IF(ACOMPANHAMENTO="BM",ROUND(OFFSET(ORÇAMENTO!AJ$15,ROW(H324)-ROW(H$15),0),15-13*ORÇAMENTO!$AF$7),SUMPRODUCT(($Q$1:$AI$1=1)*ROUND($Q324:$AI324,15-13*ORÇAMENTO!$AF$7))))</f>
        <v>173.51</v>
      </c>
      <c r="I324" s="468" t="s">
        <v>1354</v>
      </c>
      <c r="J324" s="640" t="str" cm="1">
        <f t="array" aca="1" ref="J324" ca="1">IF(OR(B324&lt;&gt;"S",CÁLCULO.FrentesPreenchidas=0),"",IF(AND(ACOMPANHAMENTO="PLE",AUTOEVENTO="Manual",OR(H324&gt;0,ORÇAMENTO!AC324="QUANT."),OR(K324="",M324=0,N324="")),"►E",IF(AND(ACOMPANHAMENTO="PLE",ORÇAMENTO!AC324="QUANT."),"►Q",IF(AND(ACOMPANHAMENTO="PLE",H324&lt;&gt;SUMPRODUCT(($Q$1:$AI$1=1)*ROUND(Q324:AI324,15))),"►S",IF(AND(COUNTIF($P$11:$AI$11,"▼")=0,H324&gt;0,I324=""),"◄M","")))))</f>
        <v/>
      </c>
      <c r="K324" s="641" t="s">
        <v>1385</v>
      </c>
      <c r="L324" s="165" t="s">
        <v>764</v>
      </c>
      <c r="M324" s="166">
        <f ca="1">IF($D324&lt;&gt;"Serviço","",
          IF(AUTOEVENTO="manual",$A324,
                IF(ISERROR(MATCH($A324,$A$15:OFFSET($A324,-1,0),0)),MAX($M$15:OFFSET(M324,-1,0))+1,
                      INDEX($M$15:OFFSET(M324,-1,0),MATCH($A324,$A$15:OFFSET($A324,-1,0),0)))))</f>
        <v>6</v>
      </c>
      <c r="N324" s="167" t="str">
        <f ca="1">IF($D324&lt;&gt;"Serviço","",
         IF(AUTOEVENTO="Manual",
                IF($A324=0,"&lt;-- defina o número do agrupador",
                       OFFSET(EVENTOS!$D$15,$A324-$A$15,0)),
                OFFSET($F$15,$A324,0)))</f>
        <v>Saneamento</v>
      </c>
      <c r="O324" s="168"/>
      <c r="Q324" s="168"/>
      <c r="R324" s="169"/>
      <c r="S324" s="169"/>
      <c r="T324" s="169"/>
      <c r="U324" s="169">
        <f>SUM(U319:U322)</f>
        <v>173.51</v>
      </c>
      <c r="V324" s="169"/>
      <c r="W324" s="169"/>
      <c r="X324" s="169"/>
      <c r="Y324" s="169"/>
      <c r="Z324" s="170"/>
      <c r="AA324" s="169"/>
      <c r="AB324" s="169"/>
      <c r="AC324" s="169"/>
      <c r="AD324" s="169"/>
      <c r="AE324" s="169"/>
      <c r="AF324" s="169"/>
      <c r="AG324" s="169"/>
      <c r="AH324" s="170"/>
      <c r="AJ324" s="453">
        <f ca="1">IF(AND($D324="Serviço",AJ$12&lt;&gt;0,$H324&gt;0,OR(AUTOEVENTO&lt;&gt;"manual",$M324&lt;&gt;$A$15)),
        IF(Import.TipoArredondamento&lt;&gt;"TransfereGOV",
              ROUND(OFFSET($P324,0,AJ$13),15-13*ORÇAMENTO!$AF$7)/$H324*OFFSET(ORÇAMENTO!$X$15,ROW(AJ324)-ROW(AJ$15),0),
              ROUND(ROUND(OFFSET($P324,0,AJ$13),15-13*ORÇAMENTO!$AF$7)*OFFSET(ORÇAMENTO!$W$15,ROW(AJ324)-ROW(AJ$15),0),15-13*ORÇAMENTO!$AF$11)),
         0)</f>
        <v>0</v>
      </c>
      <c r="AK324" s="453">
        <f ca="1">IF(AND($D324="Serviço",AK$12&lt;&gt;0,$H324&gt;0,OR(AUTOEVENTO&lt;&gt;"manual",$M324&lt;&gt;$A$15)),
        IF(Import.TipoArredondamento&lt;&gt;"TransfereGOV",
              ROUND(OFFSET($P324,0,AK$13),15-13*ORÇAMENTO!$AF$7)/$H324*OFFSET(ORÇAMENTO!$X$15,ROW(AK324)-ROW(AK$15),0),
              ROUND(ROUND(OFFSET($P324,0,AK$13),15-13*ORÇAMENTO!$AF$7)*OFFSET(ORÇAMENTO!$W$15,ROW(AK324)-ROW(AK$15),0),15-13*ORÇAMENTO!$AF$11)),
         0)</f>
        <v>0</v>
      </c>
      <c r="AL324" s="453">
        <f ca="1">IF(AND($D324="Serviço",AL$12&lt;&gt;0,$H324&gt;0,OR(AUTOEVENTO&lt;&gt;"manual",$M324&lt;&gt;$A$15)),
        IF(Import.TipoArredondamento&lt;&gt;"TransfereGOV",
              ROUND(OFFSET($P324,0,AL$13),15-13*ORÇAMENTO!$AF$7)/$H324*OFFSET(ORÇAMENTO!$X$15,ROW(AL324)-ROW(AL$15),0),
              ROUND(ROUND(OFFSET($P324,0,AL$13),15-13*ORÇAMENTO!$AF$7)*OFFSET(ORÇAMENTO!$W$15,ROW(AL324)-ROW(AL$15),0),15-13*ORÇAMENTO!$AF$11)),
         0)</f>
        <v>0</v>
      </c>
      <c r="AM324" s="453">
        <f ca="1">IF(AND($D324="Serviço",AM$12&lt;&gt;0,$H324&gt;0,OR(AUTOEVENTO&lt;&gt;"manual",$M324&lt;&gt;$A$15)),
        IF(Import.TipoArredondamento&lt;&gt;"TransfereGOV",
              ROUND(OFFSET($P324,0,AM$13),15-13*ORÇAMENTO!$AF$7)/$H324*OFFSET(ORÇAMENTO!$X$15,ROW(AM324)-ROW(AM$15),0),
              ROUND(ROUND(OFFSET($P324,0,AM$13),15-13*ORÇAMENTO!$AF$7)*OFFSET(ORÇAMENTO!$W$15,ROW(AM324)-ROW(AM$15),0),15-13*ORÇAMENTO!$AF$11)),
         0)</f>
        <v>0</v>
      </c>
      <c r="AN324" s="453">
        <f ca="1">IF(AND($D324="Serviço",AN$12&lt;&gt;0,$H324&gt;0,OR(AUTOEVENTO&lt;&gt;"manual",$M324&lt;&gt;$A$15)),
        IF(Import.TipoArredondamento&lt;&gt;"TransfereGOV",
              ROUND(OFFSET($P324,0,AN$13),15-13*ORÇAMENTO!$AF$7)/$H324*OFFSET(ORÇAMENTO!$X$15,ROW(AN324)-ROW(AN$15),0),
              ROUND(ROUND(OFFSET($P324,0,AN$13),15-13*ORÇAMENTO!$AF$7)*OFFSET(ORÇAMENTO!$W$15,ROW(AN324)-ROW(AN$15),0),15-13*ORÇAMENTO!$AF$11)),
         0)</f>
        <v>0</v>
      </c>
      <c r="AO324" s="453">
        <f ca="1">IF(AND($D324="Serviço",AO$12&lt;&gt;0,$H324&gt;0,OR(AUTOEVENTO&lt;&gt;"manual",$M324&lt;&gt;$A$15)),
        IF(Import.TipoArredondamento&lt;&gt;"TransfereGOV",
              ROUND(OFFSET($P324,0,AO$13),15-13*ORÇAMENTO!$AF$7)/$H324*OFFSET(ORÇAMENTO!$X$15,ROW(AO324)-ROW(AO$15),0),
              ROUND(ROUND(OFFSET($P324,0,AO$13),15-13*ORÇAMENTO!$AF$7)*OFFSET(ORÇAMENTO!$W$15,ROW(AO324)-ROW(AO$15),0),15-13*ORÇAMENTO!$AF$11)),
         0)</f>
        <v>0</v>
      </c>
      <c r="AP324" s="453">
        <f ca="1">IF(AND($D324="Serviço",AP$12&lt;&gt;0,$H324&gt;0,OR(AUTOEVENTO&lt;&gt;"manual",$M324&lt;&gt;$A$15)),
        IF(Import.TipoArredondamento&lt;&gt;"TransfereGOV",
              ROUND(OFFSET($P324,0,AP$13),15-13*ORÇAMENTO!$AF$7)/$H324*OFFSET(ORÇAMENTO!$X$15,ROW(AP324)-ROW(AP$15),0),
              ROUND(ROUND(OFFSET($P324,0,AP$13),15-13*ORÇAMENTO!$AF$7)*OFFSET(ORÇAMENTO!$W$15,ROW(AP324)-ROW(AP$15),0),15-13*ORÇAMENTO!$AF$11)),
         0)</f>
        <v>0</v>
      </c>
      <c r="AQ324" s="453">
        <f ca="1">IF(AND($D324="Serviço",AQ$12&lt;&gt;0,$H324&gt;0,OR(AUTOEVENTO&lt;&gt;"manual",$M324&lt;&gt;$A$15)),
        IF(Import.TipoArredondamento&lt;&gt;"TransfereGOV",
              ROUND(OFFSET($P324,0,AQ$13),15-13*ORÇAMENTO!$AF$7)/$H324*OFFSET(ORÇAMENTO!$X$15,ROW(AQ324)-ROW(AQ$15),0),
              ROUND(ROUND(OFFSET($P324,0,AQ$13),15-13*ORÇAMENTO!$AF$7)*OFFSET(ORÇAMENTO!$W$15,ROW(AQ324)-ROW(AQ$15),0),15-13*ORÇAMENTO!$AF$11)),
         0)</f>
        <v>0</v>
      </c>
      <c r="AR324" s="453">
        <f ca="1">IF(AND($D324="Serviço",AR$12&lt;&gt;0,$H324&gt;0,OR(AUTOEVENTO&lt;&gt;"manual",$M324&lt;&gt;$A$15)),
        IF(Import.TipoArredondamento&lt;&gt;"TransfereGOV",
              ROUND(OFFSET($P324,0,AR$13),15-13*ORÇAMENTO!$AF$7)/$H324*OFFSET(ORÇAMENTO!$X$15,ROW(AR324)-ROW(AR$15),0),
              ROUND(ROUND(OFFSET($P324,0,AR$13),15-13*ORÇAMENTO!$AF$7)*OFFSET(ORÇAMENTO!$W$15,ROW(AR324)-ROW(AR$15),0),15-13*ORÇAMENTO!$AF$11)),
         0)</f>
        <v>0</v>
      </c>
      <c r="AS324" s="453">
        <f ca="1">IF(AND($D324="Serviço",AS$12&lt;&gt;0,$H324&gt;0,OR(AUTOEVENTO&lt;&gt;"manual",$M324&lt;&gt;$A$15)),
        IF(Import.TipoArredondamento&lt;&gt;"TransfereGOV",
              ROUND(OFFSET($P324,0,AS$13),15-13*ORÇAMENTO!$AF$7)/$H324*OFFSET(ORÇAMENTO!$X$15,ROW(AS324)-ROW(AS$15),0),
              ROUND(ROUND(OFFSET($P324,0,AS$13),15-13*ORÇAMENTO!$AF$7)*OFFSET(ORÇAMENTO!$W$15,ROW(AS324)-ROW(AS$15),0),15-13*ORÇAMENTO!$AF$11)),
         0)</f>
        <v>0</v>
      </c>
      <c r="AT324" s="453">
        <f ca="1">IF(AND($D324="Serviço",AT$12&lt;&gt;0,$H324&gt;0,OR(AUTOEVENTO&lt;&gt;"manual",$M324&lt;&gt;$A$15)),
        IF(Import.TipoArredondamento&lt;&gt;"TransfereGOV",
              ROUND(OFFSET($P324,0,AT$13),15-13*ORÇAMENTO!$AF$7)/$H324*OFFSET(ORÇAMENTO!$X$15,ROW(AT324)-ROW(AT$15),0),
              ROUND(ROUND(OFFSET($P324,0,AT$13),15-13*ORÇAMENTO!$AF$7)*OFFSET(ORÇAMENTO!$W$15,ROW(AT324)-ROW(AT$15),0),15-13*ORÇAMENTO!$AF$11)),
         0)</f>
        <v>0</v>
      </c>
      <c r="AU324" s="453">
        <f ca="1">IF(AND($D324="Serviço",AU$12&lt;&gt;0,$H324&gt;0,OR(AUTOEVENTO&lt;&gt;"manual",$M324&lt;&gt;$A$15)),
        IF(Import.TipoArredondamento&lt;&gt;"TransfereGOV",
              ROUND(OFFSET($P324,0,AU$13),15-13*ORÇAMENTO!$AF$7)/$H324*OFFSET(ORÇAMENTO!$X$15,ROW(AU324)-ROW(AU$15),0),
              ROUND(ROUND(OFFSET($P324,0,AU$13),15-13*ORÇAMENTO!$AF$7)*OFFSET(ORÇAMENTO!$W$15,ROW(AU324)-ROW(AU$15),0),15-13*ORÇAMENTO!$AF$11)),
         0)</f>
        <v>0</v>
      </c>
      <c r="AV324" s="453">
        <f ca="1">IF(AND($D324="Serviço",AV$12&lt;&gt;0,$H324&gt;0,OR(AUTOEVENTO&lt;&gt;"manual",$M324&lt;&gt;$A$15)),
        IF(Import.TipoArredondamento&lt;&gt;"TransfereGOV",
              ROUND(OFFSET($P324,0,AV$13),15-13*ORÇAMENTO!$AF$7)/$H324*OFFSET(ORÇAMENTO!$X$15,ROW(AV324)-ROW(AV$15),0),
              ROUND(ROUND(OFFSET($P324,0,AV$13),15-13*ORÇAMENTO!$AF$7)*OFFSET(ORÇAMENTO!$W$15,ROW(AV324)-ROW(AV$15),0),15-13*ORÇAMENTO!$AF$11)),
         0)</f>
        <v>0</v>
      </c>
      <c r="AW324" s="453">
        <f ca="1">IF(AND($D324="Serviço",AW$12&lt;&gt;0,$H324&gt;0,OR(AUTOEVENTO&lt;&gt;"manual",$M324&lt;&gt;$A$15)),
        IF(Import.TipoArredondamento&lt;&gt;"TransfereGOV",
              ROUND(OFFSET($P324,0,AW$13),15-13*ORÇAMENTO!$AF$7)/$H324*OFFSET(ORÇAMENTO!$X$15,ROW(AW324)-ROW(AW$15),0),
              ROUND(ROUND(OFFSET($P324,0,AW$13),15-13*ORÇAMENTO!$AF$7)*OFFSET(ORÇAMENTO!$W$15,ROW(AW324)-ROW(AW$15),0),15-13*ORÇAMENTO!$AF$11)),
         0)</f>
        <v>0</v>
      </c>
      <c r="AX324" s="453">
        <f ca="1">IF(AND($D324="Serviço",AX$12&lt;&gt;0,$H324&gt;0,OR(AUTOEVENTO&lt;&gt;"manual",$M324&lt;&gt;$A$15)),
        IF(Import.TipoArredondamento&lt;&gt;"TransfereGOV",
              ROUND(OFFSET($P324,0,AX$13),15-13*ORÇAMENTO!$AF$7)/$H324*OFFSET(ORÇAMENTO!$X$15,ROW(AX324)-ROW(AX$15),0),
              ROUND(ROUND(OFFSET($P324,0,AX$13),15-13*ORÇAMENTO!$AF$7)*OFFSET(ORÇAMENTO!$W$15,ROW(AX324)-ROW(AX$15),0),15-13*ORÇAMENTO!$AF$11)),
         0)</f>
        <v>0</v>
      </c>
      <c r="AY324" s="453">
        <f ca="1">IF(AND($D324="Serviço",AY$12&lt;&gt;0,$H324&gt;0,OR(AUTOEVENTO&lt;&gt;"manual",$M324&lt;&gt;$A$15)),
        IF(Import.TipoArredondamento&lt;&gt;"TransfereGOV",
              ROUND(OFFSET($P324,0,AY$13),15-13*ORÇAMENTO!$AF$7)/$H324*OFFSET(ORÇAMENTO!$X$15,ROW(AY324)-ROW(AY$15),0),
              ROUND(ROUND(OFFSET($P324,0,AY$13),15-13*ORÇAMENTO!$AF$7)*OFFSET(ORÇAMENTO!$W$15,ROW(AY324)-ROW(AY$15),0),15-13*ORÇAMENTO!$AF$11)),
         0)</f>
        <v>0</v>
      </c>
      <c r="AZ324" s="453">
        <f ca="1">IF(AND($D324="Serviço",AZ$12&lt;&gt;0,$H324&gt;0,OR(AUTOEVENTO&lt;&gt;"manual",$M324&lt;&gt;$A$15)),
        IF(Import.TipoArredondamento&lt;&gt;"TransfereGOV",
              ROUND(OFFSET($P324,0,AZ$13),15-13*ORÇAMENTO!$AF$7)/$H324*OFFSET(ORÇAMENTO!$X$15,ROW(AZ324)-ROW(AZ$15),0),
              ROUND(ROUND(OFFSET($P324,0,AZ$13),15-13*ORÇAMENTO!$AF$7)*OFFSET(ORÇAMENTO!$W$15,ROW(AZ324)-ROW(AZ$15),0),15-13*ORÇAMENTO!$AF$11)),
         0)</f>
        <v>0</v>
      </c>
      <c r="BA324" s="453">
        <f ca="1">IF(AND($D324="Serviço",BA$12&lt;&gt;0,$H324&gt;0,OR(AUTOEVENTO&lt;&gt;"manual",$M324&lt;&gt;$A$15)),
        IF(Import.TipoArredondamento&lt;&gt;"TransfereGOV",
              ROUND(OFFSET($P324,0,BA$13),15-13*ORÇAMENTO!$AF$7)/$H324*OFFSET(ORÇAMENTO!$X$15,ROW(BA324)-ROW(BA$15),0),
              ROUND(ROUND(OFFSET($P324,0,BA$13),15-13*ORÇAMENTO!$AF$7)*OFFSET(ORÇAMENTO!$W$15,ROW(BA324)-ROW(BA$15),0),15-13*ORÇAMENTO!$AF$11)),
         0)</f>
        <v>0</v>
      </c>
      <c r="BC324" s="171">
        <f ca="1">IF(OR($D324&lt;&gt;"Serviço",AND(AUTOEVENTO="Manual",$M324=$A$15)),0,
         IF(OFFSET(CRONOPLE!$F$15,$M324-$A$15,BC$13)=0,10^12,OFFSET(CRONOPLE!$F$15,$M324-$A$15,BC$13)))</f>
        <v>1</v>
      </c>
      <c r="BD324" s="171">
        <f ca="1">IF(OR($D324&lt;&gt;"Serviço",AND(AUTOEVENTO="Manual",$M324=$A$15)),0,
         IF(OFFSET(CRONOPLE!$F$15,$M324-$A$15,BD$13)=0,10^12,OFFSET(CRONOPLE!$F$15,$M324-$A$15,BD$13)))</f>
        <v>2</v>
      </c>
      <c r="BE324" s="171">
        <f ca="1">IF(OR($D324&lt;&gt;"Serviço",AND(AUTOEVENTO="Manual",$M324=$A$15)),0,
         IF(OFFSET(CRONOPLE!$F$15,$M324-$A$15,BE$13)=0,10^12,OFFSET(CRONOPLE!$F$15,$M324-$A$15,BE$13)))</f>
        <v>3</v>
      </c>
      <c r="BF324" s="171">
        <f ca="1">IF(OR($D324&lt;&gt;"Serviço",AND(AUTOEVENTO="Manual",$M324=$A$15)),0,
         IF(OFFSET(CRONOPLE!$F$15,$M324-$A$15,BF$13)=0,10^12,OFFSET(CRONOPLE!$F$15,$M324-$A$15,BF$13)))</f>
        <v>4</v>
      </c>
      <c r="BG324" s="171">
        <f ca="1">IF(OR($D324&lt;&gt;"Serviço",AND(AUTOEVENTO="Manual",$M324=$A$15)),0,
         IF(OFFSET(CRONOPLE!$F$15,$M324-$A$15,BG$13)=0,10^12,OFFSET(CRONOPLE!$F$15,$M324-$A$15,BG$13)))</f>
        <v>5</v>
      </c>
      <c r="BH324" s="171">
        <f ca="1">IF(OR($D324&lt;&gt;"Serviço",AND(AUTOEVENTO="Manual",$M324=$A$15)),0,
         IF(OFFSET(CRONOPLE!$F$15,$M324-$A$15,BH$13)=0,10^12,OFFSET(CRONOPLE!$F$15,$M324-$A$15,BH$13)))</f>
        <v>6</v>
      </c>
      <c r="BI324" s="171">
        <f ca="1">IF(OR($D324&lt;&gt;"Serviço",AND(AUTOEVENTO="Manual",$M324=$A$15)),0,
         IF(OFFSET(CRONOPLE!$F$15,$M324-$A$15,BI$13)=0,10^12,OFFSET(CRONOPLE!$F$15,$M324-$A$15,BI$13)))</f>
        <v>7</v>
      </c>
      <c r="BJ324" s="171">
        <f ca="1">IF(OR($D324&lt;&gt;"Serviço",AND(AUTOEVENTO="Manual",$M324=$A$15)),0,
         IF(OFFSET(CRONOPLE!$F$15,$M324-$A$15,BJ$13)=0,10^12,OFFSET(CRONOPLE!$F$15,$M324-$A$15,BJ$13)))</f>
        <v>8</v>
      </c>
      <c r="BK324" s="171">
        <f ca="1">IF(OR($D324&lt;&gt;"Serviço",AND(AUTOEVENTO="Manual",$M324=$A$15)),0,
         IF(OFFSET(CRONOPLE!$F$15,$M324-$A$15,BK$13)=0,10^12,OFFSET(CRONOPLE!$F$15,$M324-$A$15,BK$13)))</f>
        <v>9</v>
      </c>
      <c r="BL324" s="171">
        <f ca="1">IF(OR($D324&lt;&gt;"Serviço",AND(AUTOEVENTO="Manual",$M324=$A$15)),0,
         IF(OFFSET(CRONOPLE!$F$15,$M324-$A$15,BL$13)=0,10^12,OFFSET(CRONOPLE!$F$15,$M324-$A$15,BL$13)))</f>
        <v>1000000000000</v>
      </c>
      <c r="BM324" s="171">
        <f ca="1">IF(OR($D324&lt;&gt;"Serviço",AND(AUTOEVENTO="Manual",$M324=$A$15)),0,
         IF(OFFSET(CRONOPLE!$F$15,$M324-$A$15,BM$13)=0,10^12,OFFSET(CRONOPLE!$F$15,$M324-$A$15,BM$13)))</f>
        <v>1000000000000</v>
      </c>
      <c r="BN324" s="171">
        <f ca="1">IF(OR($D324&lt;&gt;"Serviço",AND(AUTOEVENTO="Manual",$M324=$A$15)),0,
         IF(OFFSET(CRONOPLE!$F$15,$M324-$A$15,BN$13)=0,10^12,OFFSET(CRONOPLE!$F$15,$M324-$A$15,BN$13)))</f>
        <v>1000000000000</v>
      </c>
      <c r="BO324" s="171">
        <f ca="1">IF(OR($D324&lt;&gt;"Serviço",AND(AUTOEVENTO="Manual",$M324=$A$15)),0,
         IF(OFFSET(CRONOPLE!$F$15,$M324-$A$15,BO$13)=0,10^12,OFFSET(CRONOPLE!$F$15,$M324-$A$15,BO$13)))</f>
        <v>1000000000000</v>
      </c>
      <c r="BP324" s="171">
        <f ca="1">IF(OR($D324&lt;&gt;"Serviço",AND(AUTOEVENTO="Manual",$M324=$A$15)),0,
         IF(OFFSET(CRONOPLE!$F$15,$M324-$A$15,BP$13)=0,10^12,OFFSET(CRONOPLE!$F$15,$M324-$A$15,BP$13)))</f>
        <v>1000000000000</v>
      </c>
      <c r="BQ324" s="171">
        <f ca="1">IF(OR($D324&lt;&gt;"Serviço",AND(AUTOEVENTO="Manual",$M324=$A$15)),0,
         IF(OFFSET(CRONOPLE!$F$15,$M324-$A$15,BQ$13)=0,10^12,OFFSET(CRONOPLE!$F$15,$M324-$A$15,BQ$13)))</f>
        <v>1000000000000</v>
      </c>
      <c r="BR324" s="171">
        <f ca="1">IF(OR($D324&lt;&gt;"Serviço",AND(AUTOEVENTO="Manual",$M324=$A$15)),0,
         IF(OFFSET(CRONOPLE!$F$15,$M324-$A$15,BR$13)=0,10^12,OFFSET(CRONOPLE!$F$15,$M324-$A$15,BR$13)))</f>
        <v>1000000000000</v>
      </c>
      <c r="BS324" s="171">
        <f ca="1">IF(OR($D324&lt;&gt;"Serviço",AND(AUTOEVENTO="Manual",$M324=$A$15)),0,
         IF(OFFSET(CRONOPLE!$F$15,$M324-$A$15,BS$13)=0,10^12,OFFSET(CRONOPLE!$F$15,$M324-$A$15,BS$13)))</f>
        <v>1000000000000</v>
      </c>
      <c r="BT324" s="171">
        <f ca="1">IF(OR($D324&lt;&gt;"Serviço",AND(AUTOEVENTO="Manual",$M324=$A$15)),0,
         IF(OFFSET(CRONOPLE!$F$15,$M324-$A$15,BT$13)=0,10^12,OFFSET(CRONOPLE!$F$15,$M324-$A$15,BT$13)))</f>
        <v>1000000000000</v>
      </c>
      <c r="BV324" s="172">
        <f ca="1">IF(OR($D324&lt;&gt;"Serviço",AND(AUTOEVENTO="Manual",$M324=$A$15),$M324&gt;(ROW(PLE.lastrow)-ROW(PLE.firstrow))),0,
           IF(OFFSET(PLE!$G$15,$M324-$A$15,BV$13)="",10^12,OFFSET(PLE!$G$15,$M324-$A$15,BV$13)))</f>
        <v>1000000000000</v>
      </c>
      <c r="BW324" s="172">
        <f ca="1">IF(OR($D324&lt;&gt;"Serviço",AND(AUTOEVENTO="Manual",$M324=$A$15),$M324&gt;(ROW(PLE.lastrow)-ROW(PLE.firstrow))),0,
           IF(OFFSET(PLE!$G$15,$M324-$A$15,BW$13)="",10^12,OFFSET(PLE!$G$15,$M324-$A$15,BW$13)))</f>
        <v>1000000000000</v>
      </c>
      <c r="BX324" s="172">
        <f ca="1">IF(OR($D324&lt;&gt;"Serviço",AND(AUTOEVENTO="Manual",$M324=$A$15),$M324&gt;(ROW(PLE.lastrow)-ROW(PLE.firstrow))),0,
           IF(OFFSET(PLE!$G$15,$M324-$A$15,BX$13)="",10^12,OFFSET(PLE!$G$15,$M324-$A$15,BX$13)))</f>
        <v>1000000000000</v>
      </c>
      <c r="BY324" s="172">
        <f ca="1">IF(OR($D324&lt;&gt;"Serviço",AND(AUTOEVENTO="Manual",$M324=$A$15),$M324&gt;(ROW(PLE.lastrow)-ROW(PLE.firstrow))),0,
           IF(OFFSET(PLE!$G$15,$M324-$A$15,BY$13)="",10^12,OFFSET(PLE!$G$15,$M324-$A$15,BY$13)))</f>
        <v>1000000000000</v>
      </c>
      <c r="BZ324" s="172">
        <f ca="1">IF(OR($D324&lt;&gt;"Serviço",AND(AUTOEVENTO="Manual",$M324=$A$15),$M324&gt;(ROW(PLE.lastrow)-ROW(PLE.firstrow))),0,
           IF(OFFSET(PLE!$G$15,$M324-$A$15,BZ$13)="",10^12,OFFSET(PLE!$G$15,$M324-$A$15,BZ$13)))</f>
        <v>1000000000000</v>
      </c>
      <c r="CA324" s="172">
        <f ca="1">IF(OR($D324&lt;&gt;"Serviço",AND(AUTOEVENTO="Manual",$M324=$A$15),$M324&gt;(ROW(PLE.lastrow)-ROW(PLE.firstrow))),0,
           IF(OFFSET(PLE!$G$15,$M324-$A$15,CA$13)="",10^12,OFFSET(PLE!$G$15,$M324-$A$15,CA$13)))</f>
        <v>1000000000000</v>
      </c>
      <c r="CB324" s="172">
        <f ca="1">IF(OR($D324&lt;&gt;"Serviço",AND(AUTOEVENTO="Manual",$M324=$A$15),$M324&gt;(ROW(PLE.lastrow)-ROW(PLE.firstrow))),0,
           IF(OFFSET(PLE!$G$15,$M324-$A$15,CB$13)="",10^12,OFFSET(PLE!$G$15,$M324-$A$15,CB$13)))</f>
        <v>1000000000000</v>
      </c>
      <c r="CC324" s="172">
        <f ca="1">IF(OR($D324&lt;&gt;"Serviço",AND(AUTOEVENTO="Manual",$M324=$A$15),$M324&gt;(ROW(PLE.lastrow)-ROW(PLE.firstrow))),0,
           IF(OFFSET(PLE!$G$15,$M324-$A$15,CC$13)="",10^12,OFFSET(PLE!$G$15,$M324-$A$15,CC$13)))</f>
        <v>1000000000000</v>
      </c>
      <c r="CD324" s="172">
        <f ca="1">IF(OR($D324&lt;&gt;"Serviço",AND(AUTOEVENTO="Manual",$M324=$A$15),$M324&gt;(ROW(PLE.lastrow)-ROW(PLE.firstrow))),0,
           IF(OFFSET(PLE!$G$15,$M324-$A$15,CD$13)="",10^12,OFFSET(PLE!$G$15,$M324-$A$15,CD$13)))</f>
        <v>1000000000000</v>
      </c>
      <c r="CE324" s="172">
        <f ca="1">IF(OR($D324&lt;&gt;"Serviço",AND(AUTOEVENTO="Manual",$M324=$A$15),$M324&gt;(ROW(PLE.lastrow)-ROW(PLE.firstrow))),0,
           IF(OFFSET(PLE!$G$15,$M324-$A$15,CE$13)="",10^12,OFFSET(PLE!$G$15,$M324-$A$15,CE$13)))</f>
        <v>1000000000000</v>
      </c>
      <c r="CF324" s="172">
        <f ca="1">IF(OR($D324&lt;&gt;"Serviço",AND(AUTOEVENTO="Manual",$M324=$A$15),$M324&gt;(ROW(PLE.lastrow)-ROW(PLE.firstrow))),0,
           IF(OFFSET(PLE!$G$15,$M324-$A$15,CF$13)="",10^12,OFFSET(PLE!$G$15,$M324-$A$15,CF$13)))</f>
        <v>1000000000000</v>
      </c>
      <c r="CG324" s="172">
        <f ca="1">IF(OR($D324&lt;&gt;"Serviço",AND(AUTOEVENTO="Manual",$M324=$A$15),$M324&gt;(ROW(PLE.lastrow)-ROW(PLE.firstrow))),0,
           IF(OFFSET(PLE!$G$15,$M324-$A$15,CG$13)="",10^12,OFFSET(PLE!$G$15,$M324-$A$15,CG$13)))</f>
        <v>1000000000000</v>
      </c>
      <c r="CH324" s="172">
        <f ca="1">IF(OR($D324&lt;&gt;"Serviço",AND(AUTOEVENTO="Manual",$M324=$A$15),$M324&gt;(ROW(PLE.lastrow)-ROW(PLE.firstrow))),0,
           IF(OFFSET(PLE!$G$15,$M324-$A$15,CH$13)="",10^12,OFFSET(PLE!$G$15,$M324-$A$15,CH$13)))</f>
        <v>1000000000000</v>
      </c>
      <c r="CI324" s="172">
        <f ca="1">IF(OR($D324&lt;&gt;"Serviço",AND(AUTOEVENTO="Manual",$M324=$A$15),$M324&gt;(ROW(PLE.lastrow)-ROW(PLE.firstrow))),0,
           IF(OFFSET(PLE!$G$15,$M324-$A$15,CI$13)="",10^12,OFFSET(PLE!$G$15,$M324-$A$15,CI$13)))</f>
        <v>1000000000000</v>
      </c>
      <c r="CJ324" s="172">
        <f ca="1">IF(OR($D324&lt;&gt;"Serviço",AND(AUTOEVENTO="Manual",$M324=$A$15),$M324&gt;(ROW(PLE.lastrow)-ROW(PLE.firstrow))),0,
           IF(OFFSET(PLE!$G$15,$M324-$A$15,CJ$13)="",10^12,OFFSET(PLE!$G$15,$M324-$A$15,CJ$13)))</f>
        <v>1000000000000</v>
      </c>
      <c r="CK324" s="172">
        <f ca="1">IF(OR($D324&lt;&gt;"Serviço",AND(AUTOEVENTO="Manual",$M324=$A$15),$M324&gt;(ROW(PLE.lastrow)-ROW(PLE.firstrow))),0,
           IF(OFFSET(PLE!$G$15,$M324-$A$15,CK$13)="",10^12,OFFSET(PLE!$G$15,$M324-$A$15,CK$13)))</f>
        <v>1000000000000</v>
      </c>
      <c r="CL324" s="172">
        <f ca="1">IF(OR($D324&lt;&gt;"Serviço",AND(AUTOEVENTO="Manual",$M324=$A$15),$M324&gt;(ROW(PLE.lastrow)-ROW(PLE.firstrow))),0,
           IF(OFFSET(PLE!$G$15,$M324-$A$15,CL$13)="",10^12,OFFSET(PLE!$G$15,$M324-$A$15,CL$13)))</f>
        <v>1000000000000</v>
      </c>
      <c r="CM324" s="172">
        <f ca="1">IF(OR($D324&lt;&gt;"Serviço",AND(AUTOEVENTO="Manual",$M324=$A$15),$M324&gt;(ROW(PLE.lastrow)-ROW(PLE.firstrow))),0,
           IF(OFFSET(PLE!$G$15,$M324-$A$15,CM$13)="",10^12,OFFSET(PLE!$G$15,$M324-$A$15,CM$13)))</f>
        <v>1000000000000</v>
      </c>
    </row>
    <row r="325" spans="1:91" ht="63.75" x14ac:dyDescent="0.2">
      <c r="A325" s="7">
        <f t="shared" ca="1" si="14"/>
        <v>6</v>
      </c>
      <c r="B325" s="7" t="str">
        <f ca="1">OFFSET(ORÇAMENTO!C$15,ROW(B325)-ROW(B$15),0)</f>
        <v>S</v>
      </c>
      <c r="C325" s="7" t="str">
        <f ca="1">OFFSET(ORÇAMENTO!L$15,ROW(C325)-ROW(C$15),0)</f>
        <v>F</v>
      </c>
      <c r="D325" s="116" t="str">
        <f ca="1">OFFSET(ORÇAMENTO!N$15,ROW(D325)-ROW(D$15),0)</f>
        <v>Serviço</v>
      </c>
      <c r="E325" s="117" t="str">
        <f ca="1">OFFSET(ORÇAMENTO!O$15,ROW(E325)-ROW(E$15),0)</f>
        <v>1.7.4.5.2.</v>
      </c>
      <c r="F325" s="163" t="str">
        <f ca="1">OFFSET(ORÇAMENTO!R$15,ROW(F325)-ROW(F$15),0)</f>
        <v>TRANSPORTE COM CAMINHÃO BASCULANTE DE 18 M³, EM VIA URBANA PAVIMENTADA, DMT ATÉ 30 KM (UNIDADE: M3XKM). AF_07/2020</v>
      </c>
      <c r="G325" s="164" t="str">
        <f ca="1">IF($D325&lt;&gt;"Serviço","",OFFSET(ORÇAMENTO!S$15,ROW(G325)-ROW(G$15),0))</f>
        <v>M3XKM</v>
      </c>
      <c r="H325" s="122" cm="1">
        <f t="array" aca="1" ref="H325" ca="1">IF($D325&lt;&gt;"Serviço",0,IF(ACOMPANHAMENTO="BM",ROUND(OFFSET(ORÇAMENTO!AJ$15,ROW(H325)-ROW(H$15),0),15-13*ORÇAMENTO!$AF$7),SUMPRODUCT(($Q$1:$AI$1=1)*ROUND($Q325:$AI325,15-13*ORÇAMENTO!$AF$7))))</f>
        <v>3123.18</v>
      </c>
      <c r="I325" s="468" t="s">
        <v>1430</v>
      </c>
      <c r="J325" s="640" t="str" cm="1">
        <f t="array" aca="1" ref="J325" ca="1">IF(OR(B325&lt;&gt;"S",CÁLCULO.FrentesPreenchidas=0),"",IF(AND(ACOMPANHAMENTO="PLE",AUTOEVENTO="Manual",OR(H325&gt;0,ORÇAMENTO!AC325="QUANT."),OR(K325="",M325=0,N325="")),"►E",IF(AND(ACOMPANHAMENTO="PLE",ORÇAMENTO!AC325="QUANT."),"►Q",IF(AND(ACOMPANHAMENTO="PLE",H325&lt;&gt;SUMPRODUCT(($Q$1:$AI$1=1)*ROUND(Q325:AI325,15))),"►S",IF(AND(COUNTIF($P$11:$AI$11,"▼")=0,H325&gt;0,I325=""),"◄M","")))))</f>
        <v/>
      </c>
      <c r="K325" s="641" t="s">
        <v>1385</v>
      </c>
      <c r="L325" s="165" t="s">
        <v>764</v>
      </c>
      <c r="M325" s="166">
        <f ca="1">IF($D325&lt;&gt;"Serviço","",
          IF(AUTOEVENTO="manual",$A325,
                IF(ISERROR(MATCH($A325,$A$15:OFFSET($A325,-1,0),0)),MAX($M$15:OFFSET(M325,-1,0))+1,
                      INDEX($M$15:OFFSET(M325,-1,0),MATCH($A325,$A$15:OFFSET($A325,-1,0),0)))))</f>
        <v>6</v>
      </c>
      <c r="N325" s="167" t="str">
        <f ca="1">IF($D325&lt;&gt;"Serviço","",
         IF(AUTOEVENTO="Manual",
                IF($A325=0,"&lt;-- defina o número do agrupador",
                       OFFSET(EVENTOS!$D$15,$A325-$A$15,0)),
                OFFSET($F$15,$A325,0)))</f>
        <v>Saneamento</v>
      </c>
      <c r="O325" s="168"/>
      <c r="Q325" s="168"/>
      <c r="R325" s="169"/>
      <c r="S325" s="169"/>
      <c r="T325" s="169"/>
      <c r="U325" s="169">
        <f>U324*18</f>
        <v>3123.18</v>
      </c>
      <c r="V325" s="169"/>
      <c r="W325" s="169"/>
      <c r="X325" s="169"/>
      <c r="Y325" s="169"/>
      <c r="Z325" s="170"/>
      <c r="AA325" s="169"/>
      <c r="AB325" s="169"/>
      <c r="AC325" s="169"/>
      <c r="AD325" s="169"/>
      <c r="AE325" s="169"/>
      <c r="AF325" s="169"/>
      <c r="AG325" s="169"/>
      <c r="AH325" s="170"/>
      <c r="AJ325" s="453">
        <f ca="1">IF(AND($D325="Serviço",AJ$12&lt;&gt;0,$H325&gt;0,OR(AUTOEVENTO&lt;&gt;"manual",$M325&lt;&gt;$A$15)),
        IF(Import.TipoArredondamento&lt;&gt;"TransfereGOV",
              ROUND(OFFSET($P325,0,AJ$13),15-13*ORÇAMENTO!$AF$7)/$H325*OFFSET(ORÇAMENTO!$X$15,ROW(AJ325)-ROW(AJ$15),0),
              ROUND(ROUND(OFFSET($P325,0,AJ$13),15-13*ORÇAMENTO!$AF$7)*OFFSET(ORÇAMENTO!$W$15,ROW(AJ325)-ROW(AJ$15),0),15-13*ORÇAMENTO!$AF$11)),
         0)</f>
        <v>0</v>
      </c>
      <c r="AK325" s="453">
        <f ca="1">IF(AND($D325="Serviço",AK$12&lt;&gt;0,$H325&gt;0,OR(AUTOEVENTO&lt;&gt;"manual",$M325&lt;&gt;$A$15)),
        IF(Import.TipoArredondamento&lt;&gt;"TransfereGOV",
              ROUND(OFFSET($P325,0,AK$13),15-13*ORÇAMENTO!$AF$7)/$H325*OFFSET(ORÇAMENTO!$X$15,ROW(AK325)-ROW(AK$15),0),
              ROUND(ROUND(OFFSET($P325,0,AK$13),15-13*ORÇAMENTO!$AF$7)*OFFSET(ORÇAMENTO!$W$15,ROW(AK325)-ROW(AK$15),0),15-13*ORÇAMENTO!$AF$11)),
         0)</f>
        <v>0</v>
      </c>
      <c r="AL325" s="453">
        <f ca="1">IF(AND($D325="Serviço",AL$12&lt;&gt;0,$H325&gt;0,OR(AUTOEVENTO&lt;&gt;"manual",$M325&lt;&gt;$A$15)),
        IF(Import.TipoArredondamento&lt;&gt;"TransfereGOV",
              ROUND(OFFSET($P325,0,AL$13),15-13*ORÇAMENTO!$AF$7)/$H325*OFFSET(ORÇAMENTO!$X$15,ROW(AL325)-ROW(AL$15),0),
              ROUND(ROUND(OFFSET($P325,0,AL$13),15-13*ORÇAMENTO!$AF$7)*OFFSET(ORÇAMENTO!$W$15,ROW(AL325)-ROW(AL$15),0),15-13*ORÇAMENTO!$AF$11)),
         0)</f>
        <v>0</v>
      </c>
      <c r="AM325" s="453">
        <f ca="1">IF(AND($D325="Serviço",AM$12&lt;&gt;0,$H325&gt;0,OR(AUTOEVENTO&lt;&gt;"manual",$M325&lt;&gt;$A$15)),
        IF(Import.TipoArredondamento&lt;&gt;"TransfereGOV",
              ROUND(OFFSET($P325,0,AM$13),15-13*ORÇAMENTO!$AF$7)/$H325*OFFSET(ORÇAMENTO!$X$15,ROW(AM325)-ROW(AM$15),0),
              ROUND(ROUND(OFFSET($P325,0,AM$13),15-13*ORÇAMENTO!$AF$7)*OFFSET(ORÇAMENTO!$W$15,ROW(AM325)-ROW(AM$15),0),15-13*ORÇAMENTO!$AF$11)),
         0)</f>
        <v>0</v>
      </c>
      <c r="AN325" s="453">
        <f ca="1">IF(AND($D325="Serviço",AN$12&lt;&gt;0,$H325&gt;0,OR(AUTOEVENTO&lt;&gt;"manual",$M325&lt;&gt;$A$15)),
        IF(Import.TipoArredondamento&lt;&gt;"TransfereGOV",
              ROUND(OFFSET($P325,0,AN$13),15-13*ORÇAMENTO!$AF$7)/$H325*OFFSET(ORÇAMENTO!$X$15,ROW(AN325)-ROW(AN$15),0),
              ROUND(ROUND(OFFSET($P325,0,AN$13),15-13*ORÇAMENTO!$AF$7)*OFFSET(ORÇAMENTO!$W$15,ROW(AN325)-ROW(AN$15),0),15-13*ORÇAMENTO!$AF$11)),
         0)</f>
        <v>0</v>
      </c>
      <c r="AO325" s="453">
        <f ca="1">IF(AND($D325="Serviço",AO$12&lt;&gt;0,$H325&gt;0,OR(AUTOEVENTO&lt;&gt;"manual",$M325&lt;&gt;$A$15)),
        IF(Import.TipoArredondamento&lt;&gt;"TransfereGOV",
              ROUND(OFFSET($P325,0,AO$13),15-13*ORÇAMENTO!$AF$7)/$H325*OFFSET(ORÇAMENTO!$X$15,ROW(AO325)-ROW(AO$15),0),
              ROUND(ROUND(OFFSET($P325,0,AO$13),15-13*ORÇAMENTO!$AF$7)*OFFSET(ORÇAMENTO!$W$15,ROW(AO325)-ROW(AO$15),0),15-13*ORÇAMENTO!$AF$11)),
         0)</f>
        <v>0</v>
      </c>
      <c r="AP325" s="453">
        <f ca="1">IF(AND($D325="Serviço",AP$12&lt;&gt;0,$H325&gt;0,OR(AUTOEVENTO&lt;&gt;"manual",$M325&lt;&gt;$A$15)),
        IF(Import.TipoArredondamento&lt;&gt;"TransfereGOV",
              ROUND(OFFSET($P325,0,AP$13),15-13*ORÇAMENTO!$AF$7)/$H325*OFFSET(ORÇAMENTO!$X$15,ROW(AP325)-ROW(AP$15),0),
              ROUND(ROUND(OFFSET($P325,0,AP$13),15-13*ORÇAMENTO!$AF$7)*OFFSET(ORÇAMENTO!$W$15,ROW(AP325)-ROW(AP$15),0),15-13*ORÇAMENTO!$AF$11)),
         0)</f>
        <v>0</v>
      </c>
      <c r="AQ325" s="453">
        <f ca="1">IF(AND($D325="Serviço",AQ$12&lt;&gt;0,$H325&gt;0,OR(AUTOEVENTO&lt;&gt;"manual",$M325&lt;&gt;$A$15)),
        IF(Import.TipoArredondamento&lt;&gt;"TransfereGOV",
              ROUND(OFFSET($P325,0,AQ$13),15-13*ORÇAMENTO!$AF$7)/$H325*OFFSET(ORÇAMENTO!$X$15,ROW(AQ325)-ROW(AQ$15),0),
              ROUND(ROUND(OFFSET($P325,0,AQ$13),15-13*ORÇAMENTO!$AF$7)*OFFSET(ORÇAMENTO!$W$15,ROW(AQ325)-ROW(AQ$15),0),15-13*ORÇAMENTO!$AF$11)),
         0)</f>
        <v>0</v>
      </c>
      <c r="AR325" s="453">
        <f ca="1">IF(AND($D325="Serviço",AR$12&lt;&gt;0,$H325&gt;0,OR(AUTOEVENTO&lt;&gt;"manual",$M325&lt;&gt;$A$15)),
        IF(Import.TipoArredondamento&lt;&gt;"TransfereGOV",
              ROUND(OFFSET($P325,0,AR$13),15-13*ORÇAMENTO!$AF$7)/$H325*OFFSET(ORÇAMENTO!$X$15,ROW(AR325)-ROW(AR$15),0),
              ROUND(ROUND(OFFSET($P325,0,AR$13),15-13*ORÇAMENTO!$AF$7)*OFFSET(ORÇAMENTO!$W$15,ROW(AR325)-ROW(AR$15),0),15-13*ORÇAMENTO!$AF$11)),
         0)</f>
        <v>0</v>
      </c>
      <c r="AS325" s="453">
        <f ca="1">IF(AND($D325="Serviço",AS$12&lt;&gt;0,$H325&gt;0,OR(AUTOEVENTO&lt;&gt;"manual",$M325&lt;&gt;$A$15)),
        IF(Import.TipoArredondamento&lt;&gt;"TransfereGOV",
              ROUND(OFFSET($P325,0,AS$13),15-13*ORÇAMENTO!$AF$7)/$H325*OFFSET(ORÇAMENTO!$X$15,ROW(AS325)-ROW(AS$15),0),
              ROUND(ROUND(OFFSET($P325,0,AS$13),15-13*ORÇAMENTO!$AF$7)*OFFSET(ORÇAMENTO!$W$15,ROW(AS325)-ROW(AS$15),0),15-13*ORÇAMENTO!$AF$11)),
         0)</f>
        <v>0</v>
      </c>
      <c r="AT325" s="453">
        <f ca="1">IF(AND($D325="Serviço",AT$12&lt;&gt;0,$H325&gt;0,OR(AUTOEVENTO&lt;&gt;"manual",$M325&lt;&gt;$A$15)),
        IF(Import.TipoArredondamento&lt;&gt;"TransfereGOV",
              ROUND(OFFSET($P325,0,AT$13),15-13*ORÇAMENTO!$AF$7)/$H325*OFFSET(ORÇAMENTO!$X$15,ROW(AT325)-ROW(AT$15),0),
              ROUND(ROUND(OFFSET($P325,0,AT$13),15-13*ORÇAMENTO!$AF$7)*OFFSET(ORÇAMENTO!$W$15,ROW(AT325)-ROW(AT$15),0),15-13*ORÇAMENTO!$AF$11)),
         0)</f>
        <v>0</v>
      </c>
      <c r="AU325" s="453">
        <f ca="1">IF(AND($D325="Serviço",AU$12&lt;&gt;0,$H325&gt;0,OR(AUTOEVENTO&lt;&gt;"manual",$M325&lt;&gt;$A$15)),
        IF(Import.TipoArredondamento&lt;&gt;"TransfereGOV",
              ROUND(OFFSET($P325,0,AU$13),15-13*ORÇAMENTO!$AF$7)/$H325*OFFSET(ORÇAMENTO!$X$15,ROW(AU325)-ROW(AU$15),0),
              ROUND(ROUND(OFFSET($P325,0,AU$13),15-13*ORÇAMENTO!$AF$7)*OFFSET(ORÇAMENTO!$W$15,ROW(AU325)-ROW(AU$15),0),15-13*ORÇAMENTO!$AF$11)),
         0)</f>
        <v>0</v>
      </c>
      <c r="AV325" s="453">
        <f ca="1">IF(AND($D325="Serviço",AV$12&lt;&gt;0,$H325&gt;0,OR(AUTOEVENTO&lt;&gt;"manual",$M325&lt;&gt;$A$15)),
        IF(Import.TipoArredondamento&lt;&gt;"TransfereGOV",
              ROUND(OFFSET($P325,0,AV$13),15-13*ORÇAMENTO!$AF$7)/$H325*OFFSET(ORÇAMENTO!$X$15,ROW(AV325)-ROW(AV$15),0),
              ROUND(ROUND(OFFSET($P325,0,AV$13),15-13*ORÇAMENTO!$AF$7)*OFFSET(ORÇAMENTO!$W$15,ROW(AV325)-ROW(AV$15),0),15-13*ORÇAMENTO!$AF$11)),
         0)</f>
        <v>0</v>
      </c>
      <c r="AW325" s="453">
        <f ca="1">IF(AND($D325="Serviço",AW$12&lt;&gt;0,$H325&gt;0,OR(AUTOEVENTO&lt;&gt;"manual",$M325&lt;&gt;$A$15)),
        IF(Import.TipoArredondamento&lt;&gt;"TransfereGOV",
              ROUND(OFFSET($P325,0,AW$13),15-13*ORÇAMENTO!$AF$7)/$H325*OFFSET(ORÇAMENTO!$X$15,ROW(AW325)-ROW(AW$15),0),
              ROUND(ROUND(OFFSET($P325,0,AW$13),15-13*ORÇAMENTO!$AF$7)*OFFSET(ORÇAMENTO!$W$15,ROW(AW325)-ROW(AW$15),0),15-13*ORÇAMENTO!$AF$11)),
         0)</f>
        <v>0</v>
      </c>
      <c r="AX325" s="453">
        <f ca="1">IF(AND($D325="Serviço",AX$12&lt;&gt;0,$H325&gt;0,OR(AUTOEVENTO&lt;&gt;"manual",$M325&lt;&gt;$A$15)),
        IF(Import.TipoArredondamento&lt;&gt;"TransfereGOV",
              ROUND(OFFSET($P325,0,AX$13),15-13*ORÇAMENTO!$AF$7)/$H325*OFFSET(ORÇAMENTO!$X$15,ROW(AX325)-ROW(AX$15),0),
              ROUND(ROUND(OFFSET($P325,0,AX$13),15-13*ORÇAMENTO!$AF$7)*OFFSET(ORÇAMENTO!$W$15,ROW(AX325)-ROW(AX$15),0),15-13*ORÇAMENTO!$AF$11)),
         0)</f>
        <v>0</v>
      </c>
      <c r="AY325" s="453">
        <f ca="1">IF(AND($D325="Serviço",AY$12&lt;&gt;0,$H325&gt;0,OR(AUTOEVENTO&lt;&gt;"manual",$M325&lt;&gt;$A$15)),
        IF(Import.TipoArredondamento&lt;&gt;"TransfereGOV",
              ROUND(OFFSET($P325,0,AY$13),15-13*ORÇAMENTO!$AF$7)/$H325*OFFSET(ORÇAMENTO!$X$15,ROW(AY325)-ROW(AY$15),0),
              ROUND(ROUND(OFFSET($P325,0,AY$13),15-13*ORÇAMENTO!$AF$7)*OFFSET(ORÇAMENTO!$W$15,ROW(AY325)-ROW(AY$15),0),15-13*ORÇAMENTO!$AF$11)),
         0)</f>
        <v>0</v>
      </c>
      <c r="AZ325" s="453">
        <f ca="1">IF(AND($D325="Serviço",AZ$12&lt;&gt;0,$H325&gt;0,OR(AUTOEVENTO&lt;&gt;"manual",$M325&lt;&gt;$A$15)),
        IF(Import.TipoArredondamento&lt;&gt;"TransfereGOV",
              ROUND(OFFSET($P325,0,AZ$13),15-13*ORÇAMENTO!$AF$7)/$H325*OFFSET(ORÇAMENTO!$X$15,ROW(AZ325)-ROW(AZ$15),0),
              ROUND(ROUND(OFFSET($P325,0,AZ$13),15-13*ORÇAMENTO!$AF$7)*OFFSET(ORÇAMENTO!$W$15,ROW(AZ325)-ROW(AZ$15),0),15-13*ORÇAMENTO!$AF$11)),
         0)</f>
        <v>0</v>
      </c>
      <c r="BA325" s="453">
        <f ca="1">IF(AND($D325="Serviço",BA$12&lt;&gt;0,$H325&gt;0,OR(AUTOEVENTO&lt;&gt;"manual",$M325&lt;&gt;$A$15)),
        IF(Import.TipoArredondamento&lt;&gt;"TransfereGOV",
              ROUND(OFFSET($P325,0,BA$13),15-13*ORÇAMENTO!$AF$7)/$H325*OFFSET(ORÇAMENTO!$X$15,ROW(BA325)-ROW(BA$15),0),
              ROUND(ROUND(OFFSET($P325,0,BA$13),15-13*ORÇAMENTO!$AF$7)*OFFSET(ORÇAMENTO!$W$15,ROW(BA325)-ROW(BA$15),0),15-13*ORÇAMENTO!$AF$11)),
         0)</f>
        <v>0</v>
      </c>
      <c r="BC325" s="171">
        <f ca="1">IF(OR($D325&lt;&gt;"Serviço",AND(AUTOEVENTO="Manual",$M325=$A$15)),0,
         IF(OFFSET(CRONOPLE!$F$15,$M325-$A$15,BC$13)=0,10^12,OFFSET(CRONOPLE!$F$15,$M325-$A$15,BC$13)))</f>
        <v>1</v>
      </c>
      <c r="BD325" s="171">
        <f ca="1">IF(OR($D325&lt;&gt;"Serviço",AND(AUTOEVENTO="Manual",$M325=$A$15)),0,
         IF(OFFSET(CRONOPLE!$F$15,$M325-$A$15,BD$13)=0,10^12,OFFSET(CRONOPLE!$F$15,$M325-$A$15,BD$13)))</f>
        <v>2</v>
      </c>
      <c r="BE325" s="171">
        <f ca="1">IF(OR($D325&lt;&gt;"Serviço",AND(AUTOEVENTO="Manual",$M325=$A$15)),0,
         IF(OFFSET(CRONOPLE!$F$15,$M325-$A$15,BE$13)=0,10^12,OFFSET(CRONOPLE!$F$15,$M325-$A$15,BE$13)))</f>
        <v>3</v>
      </c>
      <c r="BF325" s="171">
        <f ca="1">IF(OR($D325&lt;&gt;"Serviço",AND(AUTOEVENTO="Manual",$M325=$A$15)),0,
         IF(OFFSET(CRONOPLE!$F$15,$M325-$A$15,BF$13)=0,10^12,OFFSET(CRONOPLE!$F$15,$M325-$A$15,BF$13)))</f>
        <v>4</v>
      </c>
      <c r="BG325" s="171">
        <f ca="1">IF(OR($D325&lt;&gt;"Serviço",AND(AUTOEVENTO="Manual",$M325=$A$15)),0,
         IF(OFFSET(CRONOPLE!$F$15,$M325-$A$15,BG$13)=0,10^12,OFFSET(CRONOPLE!$F$15,$M325-$A$15,BG$13)))</f>
        <v>5</v>
      </c>
      <c r="BH325" s="171">
        <f ca="1">IF(OR($D325&lt;&gt;"Serviço",AND(AUTOEVENTO="Manual",$M325=$A$15)),0,
         IF(OFFSET(CRONOPLE!$F$15,$M325-$A$15,BH$13)=0,10^12,OFFSET(CRONOPLE!$F$15,$M325-$A$15,BH$13)))</f>
        <v>6</v>
      </c>
      <c r="BI325" s="171">
        <f ca="1">IF(OR($D325&lt;&gt;"Serviço",AND(AUTOEVENTO="Manual",$M325=$A$15)),0,
         IF(OFFSET(CRONOPLE!$F$15,$M325-$A$15,BI$13)=0,10^12,OFFSET(CRONOPLE!$F$15,$M325-$A$15,BI$13)))</f>
        <v>7</v>
      </c>
      <c r="BJ325" s="171">
        <f ca="1">IF(OR($D325&lt;&gt;"Serviço",AND(AUTOEVENTO="Manual",$M325=$A$15)),0,
         IF(OFFSET(CRONOPLE!$F$15,$M325-$A$15,BJ$13)=0,10^12,OFFSET(CRONOPLE!$F$15,$M325-$A$15,BJ$13)))</f>
        <v>8</v>
      </c>
      <c r="BK325" s="171">
        <f ca="1">IF(OR($D325&lt;&gt;"Serviço",AND(AUTOEVENTO="Manual",$M325=$A$15)),0,
         IF(OFFSET(CRONOPLE!$F$15,$M325-$A$15,BK$13)=0,10^12,OFFSET(CRONOPLE!$F$15,$M325-$A$15,BK$13)))</f>
        <v>9</v>
      </c>
      <c r="BL325" s="171">
        <f ca="1">IF(OR($D325&lt;&gt;"Serviço",AND(AUTOEVENTO="Manual",$M325=$A$15)),0,
         IF(OFFSET(CRONOPLE!$F$15,$M325-$A$15,BL$13)=0,10^12,OFFSET(CRONOPLE!$F$15,$M325-$A$15,BL$13)))</f>
        <v>1000000000000</v>
      </c>
      <c r="BM325" s="171">
        <f ca="1">IF(OR($D325&lt;&gt;"Serviço",AND(AUTOEVENTO="Manual",$M325=$A$15)),0,
         IF(OFFSET(CRONOPLE!$F$15,$M325-$A$15,BM$13)=0,10^12,OFFSET(CRONOPLE!$F$15,$M325-$A$15,BM$13)))</f>
        <v>1000000000000</v>
      </c>
      <c r="BN325" s="171">
        <f ca="1">IF(OR($D325&lt;&gt;"Serviço",AND(AUTOEVENTO="Manual",$M325=$A$15)),0,
         IF(OFFSET(CRONOPLE!$F$15,$M325-$A$15,BN$13)=0,10^12,OFFSET(CRONOPLE!$F$15,$M325-$A$15,BN$13)))</f>
        <v>1000000000000</v>
      </c>
      <c r="BO325" s="171">
        <f ca="1">IF(OR($D325&lt;&gt;"Serviço",AND(AUTOEVENTO="Manual",$M325=$A$15)),0,
         IF(OFFSET(CRONOPLE!$F$15,$M325-$A$15,BO$13)=0,10^12,OFFSET(CRONOPLE!$F$15,$M325-$A$15,BO$13)))</f>
        <v>1000000000000</v>
      </c>
      <c r="BP325" s="171">
        <f ca="1">IF(OR($D325&lt;&gt;"Serviço",AND(AUTOEVENTO="Manual",$M325=$A$15)),0,
         IF(OFFSET(CRONOPLE!$F$15,$M325-$A$15,BP$13)=0,10^12,OFFSET(CRONOPLE!$F$15,$M325-$A$15,BP$13)))</f>
        <v>1000000000000</v>
      </c>
      <c r="BQ325" s="171">
        <f ca="1">IF(OR($D325&lt;&gt;"Serviço",AND(AUTOEVENTO="Manual",$M325=$A$15)),0,
         IF(OFFSET(CRONOPLE!$F$15,$M325-$A$15,BQ$13)=0,10^12,OFFSET(CRONOPLE!$F$15,$M325-$A$15,BQ$13)))</f>
        <v>1000000000000</v>
      </c>
      <c r="BR325" s="171">
        <f ca="1">IF(OR($D325&lt;&gt;"Serviço",AND(AUTOEVENTO="Manual",$M325=$A$15)),0,
         IF(OFFSET(CRONOPLE!$F$15,$M325-$A$15,BR$13)=0,10^12,OFFSET(CRONOPLE!$F$15,$M325-$A$15,BR$13)))</f>
        <v>1000000000000</v>
      </c>
      <c r="BS325" s="171">
        <f ca="1">IF(OR($D325&lt;&gt;"Serviço",AND(AUTOEVENTO="Manual",$M325=$A$15)),0,
         IF(OFFSET(CRONOPLE!$F$15,$M325-$A$15,BS$13)=0,10^12,OFFSET(CRONOPLE!$F$15,$M325-$A$15,BS$13)))</f>
        <v>1000000000000</v>
      </c>
      <c r="BT325" s="171">
        <f ca="1">IF(OR($D325&lt;&gt;"Serviço",AND(AUTOEVENTO="Manual",$M325=$A$15)),0,
         IF(OFFSET(CRONOPLE!$F$15,$M325-$A$15,BT$13)=0,10^12,OFFSET(CRONOPLE!$F$15,$M325-$A$15,BT$13)))</f>
        <v>1000000000000</v>
      </c>
      <c r="BV325" s="172">
        <f ca="1">IF(OR($D325&lt;&gt;"Serviço",AND(AUTOEVENTO="Manual",$M325=$A$15),$M325&gt;(ROW(PLE.lastrow)-ROW(PLE.firstrow))),0,
           IF(OFFSET(PLE!$G$15,$M325-$A$15,BV$13)="",10^12,OFFSET(PLE!$G$15,$M325-$A$15,BV$13)))</f>
        <v>1000000000000</v>
      </c>
      <c r="BW325" s="172">
        <f ca="1">IF(OR($D325&lt;&gt;"Serviço",AND(AUTOEVENTO="Manual",$M325=$A$15),$M325&gt;(ROW(PLE.lastrow)-ROW(PLE.firstrow))),0,
           IF(OFFSET(PLE!$G$15,$M325-$A$15,BW$13)="",10^12,OFFSET(PLE!$G$15,$M325-$A$15,BW$13)))</f>
        <v>1000000000000</v>
      </c>
      <c r="BX325" s="172">
        <f ca="1">IF(OR($D325&lt;&gt;"Serviço",AND(AUTOEVENTO="Manual",$M325=$A$15),$M325&gt;(ROW(PLE.lastrow)-ROW(PLE.firstrow))),0,
           IF(OFFSET(PLE!$G$15,$M325-$A$15,BX$13)="",10^12,OFFSET(PLE!$G$15,$M325-$A$15,BX$13)))</f>
        <v>1000000000000</v>
      </c>
      <c r="BY325" s="172">
        <f ca="1">IF(OR($D325&lt;&gt;"Serviço",AND(AUTOEVENTO="Manual",$M325=$A$15),$M325&gt;(ROW(PLE.lastrow)-ROW(PLE.firstrow))),0,
           IF(OFFSET(PLE!$G$15,$M325-$A$15,BY$13)="",10^12,OFFSET(PLE!$G$15,$M325-$A$15,BY$13)))</f>
        <v>1000000000000</v>
      </c>
      <c r="BZ325" s="172">
        <f ca="1">IF(OR($D325&lt;&gt;"Serviço",AND(AUTOEVENTO="Manual",$M325=$A$15),$M325&gt;(ROW(PLE.lastrow)-ROW(PLE.firstrow))),0,
           IF(OFFSET(PLE!$G$15,$M325-$A$15,BZ$13)="",10^12,OFFSET(PLE!$G$15,$M325-$A$15,BZ$13)))</f>
        <v>1000000000000</v>
      </c>
      <c r="CA325" s="172">
        <f ca="1">IF(OR($D325&lt;&gt;"Serviço",AND(AUTOEVENTO="Manual",$M325=$A$15),$M325&gt;(ROW(PLE.lastrow)-ROW(PLE.firstrow))),0,
           IF(OFFSET(PLE!$G$15,$M325-$A$15,CA$13)="",10^12,OFFSET(PLE!$G$15,$M325-$A$15,CA$13)))</f>
        <v>1000000000000</v>
      </c>
      <c r="CB325" s="172">
        <f ca="1">IF(OR($D325&lt;&gt;"Serviço",AND(AUTOEVENTO="Manual",$M325=$A$15),$M325&gt;(ROW(PLE.lastrow)-ROW(PLE.firstrow))),0,
           IF(OFFSET(PLE!$G$15,$M325-$A$15,CB$13)="",10^12,OFFSET(PLE!$G$15,$M325-$A$15,CB$13)))</f>
        <v>1000000000000</v>
      </c>
      <c r="CC325" s="172">
        <f ca="1">IF(OR($D325&lt;&gt;"Serviço",AND(AUTOEVENTO="Manual",$M325=$A$15),$M325&gt;(ROW(PLE.lastrow)-ROW(PLE.firstrow))),0,
           IF(OFFSET(PLE!$G$15,$M325-$A$15,CC$13)="",10^12,OFFSET(PLE!$G$15,$M325-$A$15,CC$13)))</f>
        <v>1000000000000</v>
      </c>
      <c r="CD325" s="172">
        <f ca="1">IF(OR($D325&lt;&gt;"Serviço",AND(AUTOEVENTO="Manual",$M325=$A$15),$M325&gt;(ROW(PLE.lastrow)-ROW(PLE.firstrow))),0,
           IF(OFFSET(PLE!$G$15,$M325-$A$15,CD$13)="",10^12,OFFSET(PLE!$G$15,$M325-$A$15,CD$13)))</f>
        <v>1000000000000</v>
      </c>
      <c r="CE325" s="172">
        <f ca="1">IF(OR($D325&lt;&gt;"Serviço",AND(AUTOEVENTO="Manual",$M325=$A$15),$M325&gt;(ROW(PLE.lastrow)-ROW(PLE.firstrow))),0,
           IF(OFFSET(PLE!$G$15,$M325-$A$15,CE$13)="",10^12,OFFSET(PLE!$G$15,$M325-$A$15,CE$13)))</f>
        <v>1000000000000</v>
      </c>
      <c r="CF325" s="172">
        <f ca="1">IF(OR($D325&lt;&gt;"Serviço",AND(AUTOEVENTO="Manual",$M325=$A$15),$M325&gt;(ROW(PLE.lastrow)-ROW(PLE.firstrow))),0,
           IF(OFFSET(PLE!$G$15,$M325-$A$15,CF$13)="",10^12,OFFSET(PLE!$G$15,$M325-$A$15,CF$13)))</f>
        <v>1000000000000</v>
      </c>
      <c r="CG325" s="172">
        <f ca="1">IF(OR($D325&lt;&gt;"Serviço",AND(AUTOEVENTO="Manual",$M325=$A$15),$M325&gt;(ROW(PLE.lastrow)-ROW(PLE.firstrow))),0,
           IF(OFFSET(PLE!$G$15,$M325-$A$15,CG$13)="",10^12,OFFSET(PLE!$G$15,$M325-$A$15,CG$13)))</f>
        <v>1000000000000</v>
      </c>
      <c r="CH325" s="172">
        <f ca="1">IF(OR($D325&lt;&gt;"Serviço",AND(AUTOEVENTO="Manual",$M325=$A$15),$M325&gt;(ROW(PLE.lastrow)-ROW(PLE.firstrow))),0,
           IF(OFFSET(PLE!$G$15,$M325-$A$15,CH$13)="",10^12,OFFSET(PLE!$G$15,$M325-$A$15,CH$13)))</f>
        <v>1000000000000</v>
      </c>
      <c r="CI325" s="172">
        <f ca="1">IF(OR($D325&lt;&gt;"Serviço",AND(AUTOEVENTO="Manual",$M325=$A$15),$M325&gt;(ROW(PLE.lastrow)-ROW(PLE.firstrow))),0,
           IF(OFFSET(PLE!$G$15,$M325-$A$15,CI$13)="",10^12,OFFSET(PLE!$G$15,$M325-$A$15,CI$13)))</f>
        <v>1000000000000</v>
      </c>
      <c r="CJ325" s="172">
        <f ca="1">IF(OR($D325&lt;&gt;"Serviço",AND(AUTOEVENTO="Manual",$M325=$A$15),$M325&gt;(ROW(PLE.lastrow)-ROW(PLE.firstrow))),0,
           IF(OFFSET(PLE!$G$15,$M325-$A$15,CJ$13)="",10^12,OFFSET(PLE!$G$15,$M325-$A$15,CJ$13)))</f>
        <v>1000000000000</v>
      </c>
      <c r="CK325" s="172">
        <f ca="1">IF(OR($D325&lt;&gt;"Serviço",AND(AUTOEVENTO="Manual",$M325=$A$15),$M325&gt;(ROW(PLE.lastrow)-ROW(PLE.firstrow))),0,
           IF(OFFSET(PLE!$G$15,$M325-$A$15,CK$13)="",10^12,OFFSET(PLE!$G$15,$M325-$A$15,CK$13)))</f>
        <v>1000000000000</v>
      </c>
      <c r="CL325" s="172">
        <f ca="1">IF(OR($D325&lt;&gt;"Serviço",AND(AUTOEVENTO="Manual",$M325=$A$15),$M325&gt;(ROW(PLE.lastrow)-ROW(PLE.firstrow))),0,
           IF(OFFSET(PLE!$G$15,$M325-$A$15,CL$13)="",10^12,OFFSET(PLE!$G$15,$M325-$A$15,CL$13)))</f>
        <v>1000000000000</v>
      </c>
      <c r="CM325" s="172">
        <f ca="1">IF(OR($D325&lt;&gt;"Serviço",AND(AUTOEVENTO="Manual",$M325=$A$15),$M325&gt;(ROW(PLE.lastrow)-ROW(PLE.firstrow))),0,
           IF(OFFSET(PLE!$G$15,$M325-$A$15,CM$13)="",10^12,OFFSET(PLE!$G$15,$M325-$A$15,CM$13)))</f>
        <v>1000000000000</v>
      </c>
    </row>
    <row r="326" spans="1:91" ht="12.75" x14ac:dyDescent="0.2">
      <c r="A326" s="7">
        <f t="shared" ca="1" si="14"/>
        <v>7</v>
      </c>
      <c r="B326" s="7">
        <f ca="1">OFFSET(ORÇAMENTO!C$15,ROW(B326)-ROW(B$15),0)</f>
        <v>3</v>
      </c>
      <c r="C326" s="7" t="str">
        <f ca="1">OFFSET(ORÇAMENTO!L$15,ROW(C326)-ROW(C$15),0)</f>
        <v>F</v>
      </c>
      <c r="D326" s="116" t="str">
        <f ca="1">OFFSET(ORÇAMENTO!N$15,ROW(D326)-ROW(D$15),0)</f>
        <v>Nível 3</v>
      </c>
      <c r="E326" s="117" t="str">
        <f ca="1">OFFSET(ORÇAMENTO!O$15,ROW(E326)-ROW(E$15),0)</f>
        <v>1.7.5.</v>
      </c>
      <c r="F326" s="163" t="str">
        <f ca="1">OFFSET(ORÇAMENTO!R$15,ROW(F326)-ROW(F$15),0)</f>
        <v>DESINFECÇÃO POR ULTRAVIOLETA</v>
      </c>
      <c r="G326" s="164" t="str">
        <f ca="1">IF($D326&lt;&gt;"Serviço","",OFFSET(ORÇAMENTO!S$15,ROW(G326)-ROW(G$15),0))</f>
        <v/>
      </c>
      <c r="H326" s="122" cm="1">
        <f t="array" aca="1" ref="H326" ca="1">IF($D326&lt;&gt;"Serviço",0,IF(ACOMPANHAMENTO="BM",ROUND(OFFSET(ORÇAMENTO!AJ$15,ROW(H326)-ROW(H$15),0),15-13*ORÇAMENTO!$AF$7),SUMPRODUCT(($Q$1:$AI$1=1)*ROUND($Q326:$AI326,15-13*ORÇAMENTO!$AF$7))))</f>
        <v>0</v>
      </c>
      <c r="I326" s="468"/>
      <c r="J326" s="640" t="str" cm="1">
        <f t="array" aca="1" ref="J326" ca="1">IF(OR(B326&lt;&gt;"S",CÁLCULO.FrentesPreenchidas=0),"",IF(AND(ACOMPANHAMENTO="PLE",AUTOEVENTO="Manual",OR(H326&gt;0,ORÇAMENTO!AC326="QUANT."),OR(K326="",M326=0,N326="")),"►E",IF(AND(ACOMPANHAMENTO="PLE",ORÇAMENTO!AC326="QUANT."),"►Q",IF(AND(ACOMPANHAMENTO="PLE",H326&lt;&gt;SUMPRODUCT(($Q$1:$AI$1=1)*ROUND(Q326:AI326,15))),"►S",IF(AND(COUNTIF($P$11:$AI$11,"▼")=0,H326&gt;0,I326=""),"◄M","")))))</f>
        <v/>
      </c>
      <c r="K326" s="641" t="s">
        <v>1365</v>
      </c>
      <c r="L326" s="165" t="s">
        <v>764</v>
      </c>
      <c r="M326" s="166" t="str">
        <f ca="1">IF($D326&lt;&gt;"Serviço","",
          IF(AUTOEVENTO="manual",$A326,
                IF(ISERROR(MATCH($A326,$A$15:OFFSET($A326,-1,0),0)),MAX($M$15:OFFSET(M326,-1,0))+1,
                      INDEX($M$15:OFFSET(M326,-1,0),MATCH($A326,$A$15:OFFSET($A326,-1,0),0)))))</f>
        <v/>
      </c>
      <c r="N326" s="167" t="str">
        <f ca="1">IF($D326&lt;&gt;"Serviço","",
         IF(AUTOEVENTO="Manual",
                IF($A326=0,"&lt;-- defina o número do agrupador",
                       OFFSET(EVENTOS!$D$15,$A326-$A$15,0)),
                OFFSET($F$15,$A326,0)))</f>
        <v/>
      </c>
      <c r="O326" s="168"/>
      <c r="Q326" s="168"/>
      <c r="R326" s="169"/>
      <c r="S326" s="169"/>
      <c r="T326" s="169"/>
      <c r="U326" s="169"/>
      <c r="V326" s="169"/>
      <c r="W326" s="169"/>
      <c r="X326" s="169"/>
      <c r="Y326" s="169"/>
      <c r="Z326" s="170"/>
      <c r="AA326" s="169"/>
      <c r="AB326" s="169"/>
      <c r="AC326" s="169"/>
      <c r="AD326" s="169"/>
      <c r="AE326" s="169"/>
      <c r="AF326" s="169"/>
      <c r="AG326" s="169"/>
      <c r="AH326" s="170"/>
      <c r="AJ326" s="453">
        <f ca="1">IF(AND($D326="Serviço",AJ$12&lt;&gt;0,$H326&gt;0,OR(AUTOEVENTO&lt;&gt;"manual",$M326&lt;&gt;$A$15)),
        IF(Import.TipoArredondamento&lt;&gt;"TransfereGOV",
              ROUND(OFFSET($P326,0,AJ$13),15-13*ORÇAMENTO!$AF$7)/$H326*OFFSET(ORÇAMENTO!$X$15,ROW(AJ326)-ROW(AJ$15),0),
              ROUND(ROUND(OFFSET($P326,0,AJ$13),15-13*ORÇAMENTO!$AF$7)*OFFSET(ORÇAMENTO!$W$15,ROW(AJ326)-ROW(AJ$15),0),15-13*ORÇAMENTO!$AF$11)),
         0)</f>
        <v>0</v>
      </c>
      <c r="AK326" s="453">
        <f ca="1">IF(AND($D326="Serviço",AK$12&lt;&gt;0,$H326&gt;0,OR(AUTOEVENTO&lt;&gt;"manual",$M326&lt;&gt;$A$15)),
        IF(Import.TipoArredondamento&lt;&gt;"TransfereGOV",
              ROUND(OFFSET($P326,0,AK$13),15-13*ORÇAMENTO!$AF$7)/$H326*OFFSET(ORÇAMENTO!$X$15,ROW(AK326)-ROW(AK$15),0),
              ROUND(ROUND(OFFSET($P326,0,AK$13),15-13*ORÇAMENTO!$AF$7)*OFFSET(ORÇAMENTO!$W$15,ROW(AK326)-ROW(AK$15),0),15-13*ORÇAMENTO!$AF$11)),
         0)</f>
        <v>0</v>
      </c>
      <c r="AL326" s="453">
        <f ca="1">IF(AND($D326="Serviço",AL$12&lt;&gt;0,$H326&gt;0,OR(AUTOEVENTO&lt;&gt;"manual",$M326&lt;&gt;$A$15)),
        IF(Import.TipoArredondamento&lt;&gt;"TransfereGOV",
              ROUND(OFFSET($P326,0,AL$13),15-13*ORÇAMENTO!$AF$7)/$H326*OFFSET(ORÇAMENTO!$X$15,ROW(AL326)-ROW(AL$15),0),
              ROUND(ROUND(OFFSET($P326,0,AL$13),15-13*ORÇAMENTO!$AF$7)*OFFSET(ORÇAMENTO!$W$15,ROW(AL326)-ROW(AL$15),0),15-13*ORÇAMENTO!$AF$11)),
         0)</f>
        <v>0</v>
      </c>
      <c r="AM326" s="453">
        <f ca="1">IF(AND($D326="Serviço",AM$12&lt;&gt;0,$H326&gt;0,OR(AUTOEVENTO&lt;&gt;"manual",$M326&lt;&gt;$A$15)),
        IF(Import.TipoArredondamento&lt;&gt;"TransfereGOV",
              ROUND(OFFSET($P326,0,AM$13),15-13*ORÇAMENTO!$AF$7)/$H326*OFFSET(ORÇAMENTO!$X$15,ROW(AM326)-ROW(AM$15),0),
              ROUND(ROUND(OFFSET($P326,0,AM$13),15-13*ORÇAMENTO!$AF$7)*OFFSET(ORÇAMENTO!$W$15,ROW(AM326)-ROW(AM$15),0),15-13*ORÇAMENTO!$AF$11)),
         0)</f>
        <v>0</v>
      </c>
      <c r="AN326" s="453">
        <f ca="1">IF(AND($D326="Serviço",AN$12&lt;&gt;0,$H326&gt;0,OR(AUTOEVENTO&lt;&gt;"manual",$M326&lt;&gt;$A$15)),
        IF(Import.TipoArredondamento&lt;&gt;"TransfereGOV",
              ROUND(OFFSET($P326,0,AN$13),15-13*ORÇAMENTO!$AF$7)/$H326*OFFSET(ORÇAMENTO!$X$15,ROW(AN326)-ROW(AN$15),0),
              ROUND(ROUND(OFFSET($P326,0,AN$13),15-13*ORÇAMENTO!$AF$7)*OFFSET(ORÇAMENTO!$W$15,ROW(AN326)-ROW(AN$15),0),15-13*ORÇAMENTO!$AF$11)),
         0)</f>
        <v>0</v>
      </c>
      <c r="AO326" s="453">
        <f ca="1">IF(AND($D326="Serviço",AO$12&lt;&gt;0,$H326&gt;0,OR(AUTOEVENTO&lt;&gt;"manual",$M326&lt;&gt;$A$15)),
        IF(Import.TipoArredondamento&lt;&gt;"TransfereGOV",
              ROUND(OFFSET($P326,0,AO$13),15-13*ORÇAMENTO!$AF$7)/$H326*OFFSET(ORÇAMENTO!$X$15,ROW(AO326)-ROW(AO$15),0),
              ROUND(ROUND(OFFSET($P326,0,AO$13),15-13*ORÇAMENTO!$AF$7)*OFFSET(ORÇAMENTO!$W$15,ROW(AO326)-ROW(AO$15),0),15-13*ORÇAMENTO!$AF$11)),
         0)</f>
        <v>0</v>
      </c>
      <c r="AP326" s="453">
        <f ca="1">IF(AND($D326="Serviço",AP$12&lt;&gt;0,$H326&gt;0,OR(AUTOEVENTO&lt;&gt;"manual",$M326&lt;&gt;$A$15)),
        IF(Import.TipoArredondamento&lt;&gt;"TransfereGOV",
              ROUND(OFFSET($P326,0,AP$13),15-13*ORÇAMENTO!$AF$7)/$H326*OFFSET(ORÇAMENTO!$X$15,ROW(AP326)-ROW(AP$15),0),
              ROUND(ROUND(OFFSET($P326,0,AP$13),15-13*ORÇAMENTO!$AF$7)*OFFSET(ORÇAMENTO!$W$15,ROW(AP326)-ROW(AP$15),0),15-13*ORÇAMENTO!$AF$11)),
         0)</f>
        <v>0</v>
      </c>
      <c r="AQ326" s="453">
        <f ca="1">IF(AND($D326="Serviço",AQ$12&lt;&gt;0,$H326&gt;0,OR(AUTOEVENTO&lt;&gt;"manual",$M326&lt;&gt;$A$15)),
        IF(Import.TipoArredondamento&lt;&gt;"TransfereGOV",
              ROUND(OFFSET($P326,0,AQ$13),15-13*ORÇAMENTO!$AF$7)/$H326*OFFSET(ORÇAMENTO!$X$15,ROW(AQ326)-ROW(AQ$15),0),
              ROUND(ROUND(OFFSET($P326,0,AQ$13),15-13*ORÇAMENTO!$AF$7)*OFFSET(ORÇAMENTO!$W$15,ROW(AQ326)-ROW(AQ$15),0),15-13*ORÇAMENTO!$AF$11)),
         0)</f>
        <v>0</v>
      </c>
      <c r="AR326" s="453">
        <f ca="1">IF(AND($D326="Serviço",AR$12&lt;&gt;0,$H326&gt;0,OR(AUTOEVENTO&lt;&gt;"manual",$M326&lt;&gt;$A$15)),
        IF(Import.TipoArredondamento&lt;&gt;"TransfereGOV",
              ROUND(OFFSET($P326,0,AR$13),15-13*ORÇAMENTO!$AF$7)/$H326*OFFSET(ORÇAMENTO!$X$15,ROW(AR326)-ROW(AR$15),0),
              ROUND(ROUND(OFFSET($P326,0,AR$13),15-13*ORÇAMENTO!$AF$7)*OFFSET(ORÇAMENTO!$W$15,ROW(AR326)-ROW(AR$15),0),15-13*ORÇAMENTO!$AF$11)),
         0)</f>
        <v>0</v>
      </c>
      <c r="AS326" s="453">
        <f ca="1">IF(AND($D326="Serviço",AS$12&lt;&gt;0,$H326&gt;0,OR(AUTOEVENTO&lt;&gt;"manual",$M326&lt;&gt;$A$15)),
        IF(Import.TipoArredondamento&lt;&gt;"TransfereGOV",
              ROUND(OFFSET($P326,0,AS$13),15-13*ORÇAMENTO!$AF$7)/$H326*OFFSET(ORÇAMENTO!$X$15,ROW(AS326)-ROW(AS$15),0),
              ROUND(ROUND(OFFSET($P326,0,AS$13),15-13*ORÇAMENTO!$AF$7)*OFFSET(ORÇAMENTO!$W$15,ROW(AS326)-ROW(AS$15),0),15-13*ORÇAMENTO!$AF$11)),
         0)</f>
        <v>0</v>
      </c>
      <c r="AT326" s="453">
        <f ca="1">IF(AND($D326="Serviço",AT$12&lt;&gt;0,$H326&gt;0,OR(AUTOEVENTO&lt;&gt;"manual",$M326&lt;&gt;$A$15)),
        IF(Import.TipoArredondamento&lt;&gt;"TransfereGOV",
              ROUND(OFFSET($P326,0,AT$13),15-13*ORÇAMENTO!$AF$7)/$H326*OFFSET(ORÇAMENTO!$X$15,ROW(AT326)-ROW(AT$15),0),
              ROUND(ROUND(OFFSET($P326,0,AT$13),15-13*ORÇAMENTO!$AF$7)*OFFSET(ORÇAMENTO!$W$15,ROW(AT326)-ROW(AT$15),0),15-13*ORÇAMENTO!$AF$11)),
         0)</f>
        <v>0</v>
      </c>
      <c r="AU326" s="453">
        <f ca="1">IF(AND($D326="Serviço",AU$12&lt;&gt;0,$H326&gt;0,OR(AUTOEVENTO&lt;&gt;"manual",$M326&lt;&gt;$A$15)),
        IF(Import.TipoArredondamento&lt;&gt;"TransfereGOV",
              ROUND(OFFSET($P326,0,AU$13),15-13*ORÇAMENTO!$AF$7)/$H326*OFFSET(ORÇAMENTO!$X$15,ROW(AU326)-ROW(AU$15),0),
              ROUND(ROUND(OFFSET($P326,0,AU$13),15-13*ORÇAMENTO!$AF$7)*OFFSET(ORÇAMENTO!$W$15,ROW(AU326)-ROW(AU$15),0),15-13*ORÇAMENTO!$AF$11)),
         0)</f>
        <v>0</v>
      </c>
      <c r="AV326" s="453">
        <f ca="1">IF(AND($D326="Serviço",AV$12&lt;&gt;0,$H326&gt;0,OR(AUTOEVENTO&lt;&gt;"manual",$M326&lt;&gt;$A$15)),
        IF(Import.TipoArredondamento&lt;&gt;"TransfereGOV",
              ROUND(OFFSET($P326,0,AV$13),15-13*ORÇAMENTO!$AF$7)/$H326*OFFSET(ORÇAMENTO!$X$15,ROW(AV326)-ROW(AV$15),0),
              ROUND(ROUND(OFFSET($P326,0,AV$13),15-13*ORÇAMENTO!$AF$7)*OFFSET(ORÇAMENTO!$W$15,ROW(AV326)-ROW(AV$15),0),15-13*ORÇAMENTO!$AF$11)),
         0)</f>
        <v>0</v>
      </c>
      <c r="AW326" s="453">
        <f ca="1">IF(AND($D326="Serviço",AW$12&lt;&gt;0,$H326&gt;0,OR(AUTOEVENTO&lt;&gt;"manual",$M326&lt;&gt;$A$15)),
        IF(Import.TipoArredondamento&lt;&gt;"TransfereGOV",
              ROUND(OFFSET($P326,0,AW$13),15-13*ORÇAMENTO!$AF$7)/$H326*OFFSET(ORÇAMENTO!$X$15,ROW(AW326)-ROW(AW$15),0),
              ROUND(ROUND(OFFSET($P326,0,AW$13),15-13*ORÇAMENTO!$AF$7)*OFFSET(ORÇAMENTO!$W$15,ROW(AW326)-ROW(AW$15),0),15-13*ORÇAMENTO!$AF$11)),
         0)</f>
        <v>0</v>
      </c>
      <c r="AX326" s="453">
        <f ca="1">IF(AND($D326="Serviço",AX$12&lt;&gt;0,$H326&gt;0,OR(AUTOEVENTO&lt;&gt;"manual",$M326&lt;&gt;$A$15)),
        IF(Import.TipoArredondamento&lt;&gt;"TransfereGOV",
              ROUND(OFFSET($P326,0,AX$13),15-13*ORÇAMENTO!$AF$7)/$H326*OFFSET(ORÇAMENTO!$X$15,ROW(AX326)-ROW(AX$15),0),
              ROUND(ROUND(OFFSET($P326,0,AX$13),15-13*ORÇAMENTO!$AF$7)*OFFSET(ORÇAMENTO!$W$15,ROW(AX326)-ROW(AX$15),0),15-13*ORÇAMENTO!$AF$11)),
         0)</f>
        <v>0</v>
      </c>
      <c r="AY326" s="453">
        <f ca="1">IF(AND($D326="Serviço",AY$12&lt;&gt;0,$H326&gt;0,OR(AUTOEVENTO&lt;&gt;"manual",$M326&lt;&gt;$A$15)),
        IF(Import.TipoArredondamento&lt;&gt;"TransfereGOV",
              ROUND(OFFSET($P326,0,AY$13),15-13*ORÇAMENTO!$AF$7)/$H326*OFFSET(ORÇAMENTO!$X$15,ROW(AY326)-ROW(AY$15),0),
              ROUND(ROUND(OFFSET($P326,0,AY$13),15-13*ORÇAMENTO!$AF$7)*OFFSET(ORÇAMENTO!$W$15,ROW(AY326)-ROW(AY$15),0),15-13*ORÇAMENTO!$AF$11)),
         0)</f>
        <v>0</v>
      </c>
      <c r="AZ326" s="453">
        <f ca="1">IF(AND($D326="Serviço",AZ$12&lt;&gt;0,$H326&gt;0,OR(AUTOEVENTO&lt;&gt;"manual",$M326&lt;&gt;$A$15)),
        IF(Import.TipoArredondamento&lt;&gt;"TransfereGOV",
              ROUND(OFFSET($P326,0,AZ$13),15-13*ORÇAMENTO!$AF$7)/$H326*OFFSET(ORÇAMENTO!$X$15,ROW(AZ326)-ROW(AZ$15),0),
              ROUND(ROUND(OFFSET($P326,0,AZ$13),15-13*ORÇAMENTO!$AF$7)*OFFSET(ORÇAMENTO!$W$15,ROW(AZ326)-ROW(AZ$15),0),15-13*ORÇAMENTO!$AF$11)),
         0)</f>
        <v>0</v>
      </c>
      <c r="BA326" s="453">
        <f ca="1">IF(AND($D326="Serviço",BA$12&lt;&gt;0,$H326&gt;0,OR(AUTOEVENTO&lt;&gt;"manual",$M326&lt;&gt;$A$15)),
        IF(Import.TipoArredondamento&lt;&gt;"TransfereGOV",
              ROUND(OFFSET($P326,0,BA$13),15-13*ORÇAMENTO!$AF$7)/$H326*OFFSET(ORÇAMENTO!$X$15,ROW(BA326)-ROW(BA$15),0),
              ROUND(ROUND(OFFSET($P326,0,BA$13),15-13*ORÇAMENTO!$AF$7)*OFFSET(ORÇAMENTO!$W$15,ROW(BA326)-ROW(BA$15),0),15-13*ORÇAMENTO!$AF$11)),
         0)</f>
        <v>0</v>
      </c>
      <c r="BC326" s="171">
        <f ca="1">IF(OR($D326&lt;&gt;"Serviço",AND(AUTOEVENTO="Manual",$M326=$A$15)),0,
         IF(OFFSET(CRONOPLE!$F$15,$M326-$A$15,BC$13)=0,10^12,OFFSET(CRONOPLE!$F$15,$M326-$A$15,BC$13)))</f>
        <v>0</v>
      </c>
      <c r="BD326" s="171">
        <f ca="1">IF(OR($D326&lt;&gt;"Serviço",AND(AUTOEVENTO="Manual",$M326=$A$15)),0,
         IF(OFFSET(CRONOPLE!$F$15,$M326-$A$15,BD$13)=0,10^12,OFFSET(CRONOPLE!$F$15,$M326-$A$15,BD$13)))</f>
        <v>0</v>
      </c>
      <c r="BE326" s="171">
        <f ca="1">IF(OR($D326&lt;&gt;"Serviço",AND(AUTOEVENTO="Manual",$M326=$A$15)),0,
         IF(OFFSET(CRONOPLE!$F$15,$M326-$A$15,BE$13)=0,10^12,OFFSET(CRONOPLE!$F$15,$M326-$A$15,BE$13)))</f>
        <v>0</v>
      </c>
      <c r="BF326" s="171">
        <f ca="1">IF(OR($D326&lt;&gt;"Serviço",AND(AUTOEVENTO="Manual",$M326=$A$15)),0,
         IF(OFFSET(CRONOPLE!$F$15,$M326-$A$15,BF$13)=0,10^12,OFFSET(CRONOPLE!$F$15,$M326-$A$15,BF$13)))</f>
        <v>0</v>
      </c>
      <c r="BG326" s="171">
        <f ca="1">IF(OR($D326&lt;&gt;"Serviço",AND(AUTOEVENTO="Manual",$M326=$A$15)),0,
         IF(OFFSET(CRONOPLE!$F$15,$M326-$A$15,BG$13)=0,10^12,OFFSET(CRONOPLE!$F$15,$M326-$A$15,BG$13)))</f>
        <v>0</v>
      </c>
      <c r="BH326" s="171">
        <f ca="1">IF(OR($D326&lt;&gt;"Serviço",AND(AUTOEVENTO="Manual",$M326=$A$15)),0,
         IF(OFFSET(CRONOPLE!$F$15,$M326-$A$15,BH$13)=0,10^12,OFFSET(CRONOPLE!$F$15,$M326-$A$15,BH$13)))</f>
        <v>0</v>
      </c>
      <c r="BI326" s="171">
        <f ca="1">IF(OR($D326&lt;&gt;"Serviço",AND(AUTOEVENTO="Manual",$M326=$A$15)),0,
         IF(OFFSET(CRONOPLE!$F$15,$M326-$A$15,BI$13)=0,10^12,OFFSET(CRONOPLE!$F$15,$M326-$A$15,BI$13)))</f>
        <v>0</v>
      </c>
      <c r="BJ326" s="171">
        <f ca="1">IF(OR($D326&lt;&gt;"Serviço",AND(AUTOEVENTO="Manual",$M326=$A$15)),0,
         IF(OFFSET(CRONOPLE!$F$15,$M326-$A$15,BJ$13)=0,10^12,OFFSET(CRONOPLE!$F$15,$M326-$A$15,BJ$13)))</f>
        <v>0</v>
      </c>
      <c r="BK326" s="171">
        <f ca="1">IF(OR($D326&lt;&gt;"Serviço",AND(AUTOEVENTO="Manual",$M326=$A$15)),0,
         IF(OFFSET(CRONOPLE!$F$15,$M326-$A$15,BK$13)=0,10^12,OFFSET(CRONOPLE!$F$15,$M326-$A$15,BK$13)))</f>
        <v>0</v>
      </c>
      <c r="BL326" s="171">
        <f ca="1">IF(OR($D326&lt;&gt;"Serviço",AND(AUTOEVENTO="Manual",$M326=$A$15)),0,
         IF(OFFSET(CRONOPLE!$F$15,$M326-$A$15,BL$13)=0,10^12,OFFSET(CRONOPLE!$F$15,$M326-$A$15,BL$13)))</f>
        <v>0</v>
      </c>
      <c r="BM326" s="171">
        <f ca="1">IF(OR($D326&lt;&gt;"Serviço",AND(AUTOEVENTO="Manual",$M326=$A$15)),0,
         IF(OFFSET(CRONOPLE!$F$15,$M326-$A$15,BM$13)=0,10^12,OFFSET(CRONOPLE!$F$15,$M326-$A$15,BM$13)))</f>
        <v>0</v>
      </c>
      <c r="BN326" s="171">
        <f ca="1">IF(OR($D326&lt;&gt;"Serviço",AND(AUTOEVENTO="Manual",$M326=$A$15)),0,
         IF(OFFSET(CRONOPLE!$F$15,$M326-$A$15,BN$13)=0,10^12,OFFSET(CRONOPLE!$F$15,$M326-$A$15,BN$13)))</f>
        <v>0</v>
      </c>
      <c r="BO326" s="171">
        <f ca="1">IF(OR($D326&lt;&gt;"Serviço",AND(AUTOEVENTO="Manual",$M326=$A$15)),0,
         IF(OFFSET(CRONOPLE!$F$15,$M326-$A$15,BO$13)=0,10^12,OFFSET(CRONOPLE!$F$15,$M326-$A$15,BO$13)))</f>
        <v>0</v>
      </c>
      <c r="BP326" s="171">
        <f ca="1">IF(OR($D326&lt;&gt;"Serviço",AND(AUTOEVENTO="Manual",$M326=$A$15)),0,
         IF(OFFSET(CRONOPLE!$F$15,$M326-$A$15,BP$13)=0,10^12,OFFSET(CRONOPLE!$F$15,$M326-$A$15,BP$13)))</f>
        <v>0</v>
      </c>
      <c r="BQ326" s="171">
        <f ca="1">IF(OR($D326&lt;&gt;"Serviço",AND(AUTOEVENTO="Manual",$M326=$A$15)),0,
         IF(OFFSET(CRONOPLE!$F$15,$M326-$A$15,BQ$13)=0,10^12,OFFSET(CRONOPLE!$F$15,$M326-$A$15,BQ$13)))</f>
        <v>0</v>
      </c>
      <c r="BR326" s="171">
        <f ca="1">IF(OR($D326&lt;&gt;"Serviço",AND(AUTOEVENTO="Manual",$M326=$A$15)),0,
         IF(OFFSET(CRONOPLE!$F$15,$M326-$A$15,BR$13)=0,10^12,OFFSET(CRONOPLE!$F$15,$M326-$A$15,BR$13)))</f>
        <v>0</v>
      </c>
      <c r="BS326" s="171">
        <f ca="1">IF(OR($D326&lt;&gt;"Serviço",AND(AUTOEVENTO="Manual",$M326=$A$15)),0,
         IF(OFFSET(CRONOPLE!$F$15,$M326-$A$15,BS$13)=0,10^12,OFFSET(CRONOPLE!$F$15,$M326-$A$15,BS$13)))</f>
        <v>0</v>
      </c>
      <c r="BT326" s="171">
        <f ca="1">IF(OR($D326&lt;&gt;"Serviço",AND(AUTOEVENTO="Manual",$M326=$A$15)),0,
         IF(OFFSET(CRONOPLE!$F$15,$M326-$A$15,BT$13)=0,10^12,OFFSET(CRONOPLE!$F$15,$M326-$A$15,BT$13)))</f>
        <v>0</v>
      </c>
      <c r="BV326" s="172">
        <f ca="1">IF(OR($D326&lt;&gt;"Serviço",AND(AUTOEVENTO="Manual",$M326=$A$15),$M326&gt;(ROW(PLE.lastrow)-ROW(PLE.firstrow))),0,
           IF(OFFSET(PLE!$G$15,$M326-$A$15,BV$13)="",10^12,OFFSET(PLE!$G$15,$M326-$A$15,BV$13)))</f>
        <v>0</v>
      </c>
      <c r="BW326" s="172">
        <f ca="1">IF(OR($D326&lt;&gt;"Serviço",AND(AUTOEVENTO="Manual",$M326=$A$15),$M326&gt;(ROW(PLE.lastrow)-ROW(PLE.firstrow))),0,
           IF(OFFSET(PLE!$G$15,$M326-$A$15,BW$13)="",10^12,OFFSET(PLE!$G$15,$M326-$A$15,BW$13)))</f>
        <v>0</v>
      </c>
      <c r="BX326" s="172">
        <f ca="1">IF(OR($D326&lt;&gt;"Serviço",AND(AUTOEVENTO="Manual",$M326=$A$15),$M326&gt;(ROW(PLE.lastrow)-ROW(PLE.firstrow))),0,
           IF(OFFSET(PLE!$G$15,$M326-$A$15,BX$13)="",10^12,OFFSET(PLE!$G$15,$M326-$A$15,BX$13)))</f>
        <v>0</v>
      </c>
      <c r="BY326" s="172">
        <f ca="1">IF(OR($D326&lt;&gt;"Serviço",AND(AUTOEVENTO="Manual",$M326=$A$15),$M326&gt;(ROW(PLE.lastrow)-ROW(PLE.firstrow))),0,
           IF(OFFSET(PLE!$G$15,$M326-$A$15,BY$13)="",10^12,OFFSET(PLE!$G$15,$M326-$A$15,BY$13)))</f>
        <v>0</v>
      </c>
      <c r="BZ326" s="172">
        <f ca="1">IF(OR($D326&lt;&gt;"Serviço",AND(AUTOEVENTO="Manual",$M326=$A$15),$M326&gt;(ROW(PLE.lastrow)-ROW(PLE.firstrow))),0,
           IF(OFFSET(PLE!$G$15,$M326-$A$15,BZ$13)="",10^12,OFFSET(PLE!$G$15,$M326-$A$15,BZ$13)))</f>
        <v>0</v>
      </c>
      <c r="CA326" s="172">
        <f ca="1">IF(OR($D326&lt;&gt;"Serviço",AND(AUTOEVENTO="Manual",$M326=$A$15),$M326&gt;(ROW(PLE.lastrow)-ROW(PLE.firstrow))),0,
           IF(OFFSET(PLE!$G$15,$M326-$A$15,CA$13)="",10^12,OFFSET(PLE!$G$15,$M326-$A$15,CA$13)))</f>
        <v>0</v>
      </c>
      <c r="CB326" s="172">
        <f ca="1">IF(OR($D326&lt;&gt;"Serviço",AND(AUTOEVENTO="Manual",$M326=$A$15),$M326&gt;(ROW(PLE.lastrow)-ROW(PLE.firstrow))),0,
           IF(OFFSET(PLE!$G$15,$M326-$A$15,CB$13)="",10^12,OFFSET(PLE!$G$15,$M326-$A$15,CB$13)))</f>
        <v>0</v>
      </c>
      <c r="CC326" s="172">
        <f ca="1">IF(OR($D326&lt;&gt;"Serviço",AND(AUTOEVENTO="Manual",$M326=$A$15),$M326&gt;(ROW(PLE.lastrow)-ROW(PLE.firstrow))),0,
           IF(OFFSET(PLE!$G$15,$M326-$A$15,CC$13)="",10^12,OFFSET(PLE!$G$15,$M326-$A$15,CC$13)))</f>
        <v>0</v>
      </c>
      <c r="CD326" s="172">
        <f ca="1">IF(OR($D326&lt;&gt;"Serviço",AND(AUTOEVENTO="Manual",$M326=$A$15),$M326&gt;(ROW(PLE.lastrow)-ROW(PLE.firstrow))),0,
           IF(OFFSET(PLE!$G$15,$M326-$A$15,CD$13)="",10^12,OFFSET(PLE!$G$15,$M326-$A$15,CD$13)))</f>
        <v>0</v>
      </c>
      <c r="CE326" s="172">
        <f ca="1">IF(OR($D326&lt;&gt;"Serviço",AND(AUTOEVENTO="Manual",$M326=$A$15),$M326&gt;(ROW(PLE.lastrow)-ROW(PLE.firstrow))),0,
           IF(OFFSET(PLE!$G$15,$M326-$A$15,CE$13)="",10^12,OFFSET(PLE!$G$15,$M326-$A$15,CE$13)))</f>
        <v>0</v>
      </c>
      <c r="CF326" s="172">
        <f ca="1">IF(OR($D326&lt;&gt;"Serviço",AND(AUTOEVENTO="Manual",$M326=$A$15),$M326&gt;(ROW(PLE.lastrow)-ROW(PLE.firstrow))),0,
           IF(OFFSET(PLE!$G$15,$M326-$A$15,CF$13)="",10^12,OFFSET(PLE!$G$15,$M326-$A$15,CF$13)))</f>
        <v>0</v>
      </c>
      <c r="CG326" s="172">
        <f ca="1">IF(OR($D326&lt;&gt;"Serviço",AND(AUTOEVENTO="Manual",$M326=$A$15),$M326&gt;(ROW(PLE.lastrow)-ROW(PLE.firstrow))),0,
           IF(OFFSET(PLE!$G$15,$M326-$A$15,CG$13)="",10^12,OFFSET(PLE!$G$15,$M326-$A$15,CG$13)))</f>
        <v>0</v>
      </c>
      <c r="CH326" s="172">
        <f ca="1">IF(OR($D326&lt;&gt;"Serviço",AND(AUTOEVENTO="Manual",$M326=$A$15),$M326&gt;(ROW(PLE.lastrow)-ROW(PLE.firstrow))),0,
           IF(OFFSET(PLE!$G$15,$M326-$A$15,CH$13)="",10^12,OFFSET(PLE!$G$15,$M326-$A$15,CH$13)))</f>
        <v>0</v>
      </c>
      <c r="CI326" s="172">
        <f ca="1">IF(OR($D326&lt;&gt;"Serviço",AND(AUTOEVENTO="Manual",$M326=$A$15),$M326&gt;(ROW(PLE.lastrow)-ROW(PLE.firstrow))),0,
           IF(OFFSET(PLE!$G$15,$M326-$A$15,CI$13)="",10^12,OFFSET(PLE!$G$15,$M326-$A$15,CI$13)))</f>
        <v>0</v>
      </c>
      <c r="CJ326" s="172">
        <f ca="1">IF(OR($D326&lt;&gt;"Serviço",AND(AUTOEVENTO="Manual",$M326=$A$15),$M326&gt;(ROW(PLE.lastrow)-ROW(PLE.firstrow))),0,
           IF(OFFSET(PLE!$G$15,$M326-$A$15,CJ$13)="",10^12,OFFSET(PLE!$G$15,$M326-$A$15,CJ$13)))</f>
        <v>0</v>
      </c>
      <c r="CK326" s="172">
        <f ca="1">IF(OR($D326&lt;&gt;"Serviço",AND(AUTOEVENTO="Manual",$M326=$A$15),$M326&gt;(ROW(PLE.lastrow)-ROW(PLE.firstrow))),0,
           IF(OFFSET(PLE!$G$15,$M326-$A$15,CK$13)="",10^12,OFFSET(PLE!$G$15,$M326-$A$15,CK$13)))</f>
        <v>0</v>
      </c>
      <c r="CL326" s="172">
        <f ca="1">IF(OR($D326&lt;&gt;"Serviço",AND(AUTOEVENTO="Manual",$M326=$A$15),$M326&gt;(ROW(PLE.lastrow)-ROW(PLE.firstrow))),0,
           IF(OFFSET(PLE!$G$15,$M326-$A$15,CL$13)="",10^12,OFFSET(PLE!$G$15,$M326-$A$15,CL$13)))</f>
        <v>0</v>
      </c>
      <c r="CM326" s="172">
        <f ca="1">IF(OR($D326&lt;&gt;"Serviço",AND(AUTOEVENTO="Manual",$M326=$A$15),$M326&gt;(ROW(PLE.lastrow)-ROW(PLE.firstrow))),0,
           IF(OFFSET(PLE!$G$15,$M326-$A$15,CM$13)="",10^12,OFFSET(PLE!$G$15,$M326-$A$15,CM$13)))</f>
        <v>0</v>
      </c>
    </row>
    <row r="327" spans="1:91" ht="12.75" x14ac:dyDescent="0.2">
      <c r="A327" s="7">
        <f t="shared" ca="1" si="14"/>
        <v>0</v>
      </c>
      <c r="B327" s="7">
        <f ca="1">OFFSET(ORÇAMENTO!C$15,ROW(B327)-ROW(B$15),0)</f>
        <v>4</v>
      </c>
      <c r="C327" s="7" t="str">
        <f ca="1">OFFSET(ORÇAMENTO!L$15,ROW(C327)-ROW(C$15),0)</f>
        <v>F</v>
      </c>
      <c r="D327" s="116" t="str">
        <f ca="1">OFFSET(ORÇAMENTO!N$15,ROW(D327)-ROW(D$15),0)</f>
        <v>Nível 4</v>
      </c>
      <c r="E327" s="117" t="str">
        <f ca="1">OFFSET(ORÇAMENTO!O$15,ROW(E327)-ROW(E$15),0)</f>
        <v>1.7.5.1.</v>
      </c>
      <c r="F327" s="163" t="str">
        <f ca="1">OFFSET(ORÇAMENTO!R$15,ROW(F327)-ROW(F$15),0)</f>
        <v>FORNECIMENTO DE MATERIAIS E EQUIPAMENTOS</v>
      </c>
      <c r="G327" s="164" t="str">
        <f ca="1">IF($D327&lt;&gt;"Serviço","",OFFSET(ORÇAMENTO!S$15,ROW(G327)-ROW(G$15),0))</f>
        <v/>
      </c>
      <c r="H327" s="122" cm="1">
        <f t="array" aca="1" ref="H327" ca="1">IF($D327&lt;&gt;"Serviço",0,IF(ACOMPANHAMENTO="BM",ROUND(OFFSET(ORÇAMENTO!AJ$15,ROW(H327)-ROW(H$15),0),15-13*ORÇAMENTO!$AF$7),SUMPRODUCT(($Q$1:$AI$1=1)*ROUND($Q327:$AI327,15-13*ORÇAMENTO!$AF$7))))</f>
        <v>0</v>
      </c>
      <c r="I327" s="468"/>
      <c r="J327" s="640" t="str" cm="1">
        <f t="array" aca="1" ref="J327" ca="1">IF(OR(B327&lt;&gt;"S",CÁLCULO.FrentesPreenchidas=0),"",IF(AND(ACOMPANHAMENTO="PLE",AUTOEVENTO="Manual",OR(H327&gt;0,ORÇAMENTO!AC327="QUANT."),OR(K327="",M327=0,N327="")),"►E",IF(AND(ACOMPANHAMENTO="PLE",ORÇAMENTO!AC327="QUANT."),"►Q",IF(AND(ACOMPANHAMENTO="PLE",H327&lt;&gt;SUMPRODUCT(($Q$1:$AI$1=1)*ROUND(Q327:AI327,15))),"►S",IF(AND(COUNTIF($P$11:$AI$11,"▼")=0,H327&gt;0,I327=""),"◄M","")))))</f>
        <v/>
      </c>
      <c r="K327" s="641"/>
      <c r="L327" s="165" t="s">
        <v>764</v>
      </c>
      <c r="M327" s="166" t="str">
        <f ca="1">IF($D327&lt;&gt;"Serviço","",
          IF(AUTOEVENTO="manual",$A327,
                IF(ISERROR(MATCH($A327,$A$15:OFFSET($A327,-1,0),0)),MAX($M$15:OFFSET(M327,-1,0))+1,
                      INDEX($M$15:OFFSET(M327,-1,0),MATCH($A327,$A$15:OFFSET($A327,-1,0),0)))))</f>
        <v/>
      </c>
      <c r="N327" s="167" t="str">
        <f ca="1">IF($D327&lt;&gt;"Serviço","",
         IF(AUTOEVENTO="Manual",
                IF($A327=0,"&lt;-- defina o número do agrupador",
                       OFFSET(EVENTOS!$D$15,$A327-$A$15,0)),
                OFFSET($F$15,$A327,0)))</f>
        <v/>
      </c>
      <c r="O327" s="168"/>
      <c r="Q327" s="168"/>
      <c r="R327" s="169"/>
      <c r="S327" s="169"/>
      <c r="T327" s="169"/>
      <c r="U327" s="169"/>
      <c r="V327" s="169"/>
      <c r="W327" s="169"/>
      <c r="X327" s="169"/>
      <c r="Y327" s="169"/>
      <c r="Z327" s="170"/>
      <c r="AA327" s="169"/>
      <c r="AB327" s="169"/>
      <c r="AC327" s="169"/>
      <c r="AD327" s="169"/>
      <c r="AE327" s="169"/>
      <c r="AF327" s="169"/>
      <c r="AG327" s="169"/>
      <c r="AH327" s="170"/>
      <c r="AJ327" s="453">
        <f ca="1">IF(AND($D327="Serviço",AJ$12&lt;&gt;0,$H327&gt;0,OR(AUTOEVENTO&lt;&gt;"manual",$M327&lt;&gt;$A$15)),
        IF(Import.TipoArredondamento&lt;&gt;"TransfereGOV",
              ROUND(OFFSET($P327,0,AJ$13),15-13*ORÇAMENTO!$AF$7)/$H327*OFFSET(ORÇAMENTO!$X$15,ROW(AJ327)-ROW(AJ$15),0),
              ROUND(ROUND(OFFSET($P327,0,AJ$13),15-13*ORÇAMENTO!$AF$7)*OFFSET(ORÇAMENTO!$W$15,ROW(AJ327)-ROW(AJ$15),0),15-13*ORÇAMENTO!$AF$11)),
         0)</f>
        <v>0</v>
      </c>
      <c r="AK327" s="453">
        <f ca="1">IF(AND($D327="Serviço",AK$12&lt;&gt;0,$H327&gt;0,OR(AUTOEVENTO&lt;&gt;"manual",$M327&lt;&gt;$A$15)),
        IF(Import.TipoArredondamento&lt;&gt;"TransfereGOV",
              ROUND(OFFSET($P327,0,AK$13),15-13*ORÇAMENTO!$AF$7)/$H327*OFFSET(ORÇAMENTO!$X$15,ROW(AK327)-ROW(AK$15),0),
              ROUND(ROUND(OFFSET($P327,0,AK$13),15-13*ORÇAMENTO!$AF$7)*OFFSET(ORÇAMENTO!$W$15,ROW(AK327)-ROW(AK$15),0),15-13*ORÇAMENTO!$AF$11)),
         0)</f>
        <v>0</v>
      </c>
      <c r="AL327" s="453">
        <f ca="1">IF(AND($D327="Serviço",AL$12&lt;&gt;0,$H327&gt;0,OR(AUTOEVENTO&lt;&gt;"manual",$M327&lt;&gt;$A$15)),
        IF(Import.TipoArredondamento&lt;&gt;"TransfereGOV",
              ROUND(OFFSET($P327,0,AL$13),15-13*ORÇAMENTO!$AF$7)/$H327*OFFSET(ORÇAMENTO!$X$15,ROW(AL327)-ROW(AL$15),0),
              ROUND(ROUND(OFFSET($P327,0,AL$13),15-13*ORÇAMENTO!$AF$7)*OFFSET(ORÇAMENTO!$W$15,ROW(AL327)-ROW(AL$15),0),15-13*ORÇAMENTO!$AF$11)),
         0)</f>
        <v>0</v>
      </c>
      <c r="AM327" s="453">
        <f ca="1">IF(AND($D327="Serviço",AM$12&lt;&gt;0,$H327&gt;0,OR(AUTOEVENTO&lt;&gt;"manual",$M327&lt;&gt;$A$15)),
        IF(Import.TipoArredondamento&lt;&gt;"TransfereGOV",
              ROUND(OFFSET($P327,0,AM$13),15-13*ORÇAMENTO!$AF$7)/$H327*OFFSET(ORÇAMENTO!$X$15,ROW(AM327)-ROW(AM$15),0),
              ROUND(ROUND(OFFSET($P327,0,AM$13),15-13*ORÇAMENTO!$AF$7)*OFFSET(ORÇAMENTO!$W$15,ROW(AM327)-ROW(AM$15),0),15-13*ORÇAMENTO!$AF$11)),
         0)</f>
        <v>0</v>
      </c>
      <c r="AN327" s="453">
        <f ca="1">IF(AND($D327="Serviço",AN$12&lt;&gt;0,$H327&gt;0,OR(AUTOEVENTO&lt;&gt;"manual",$M327&lt;&gt;$A$15)),
        IF(Import.TipoArredondamento&lt;&gt;"TransfereGOV",
              ROUND(OFFSET($P327,0,AN$13),15-13*ORÇAMENTO!$AF$7)/$H327*OFFSET(ORÇAMENTO!$X$15,ROW(AN327)-ROW(AN$15),0),
              ROUND(ROUND(OFFSET($P327,0,AN$13),15-13*ORÇAMENTO!$AF$7)*OFFSET(ORÇAMENTO!$W$15,ROW(AN327)-ROW(AN$15),0),15-13*ORÇAMENTO!$AF$11)),
         0)</f>
        <v>0</v>
      </c>
      <c r="AO327" s="453">
        <f ca="1">IF(AND($D327="Serviço",AO$12&lt;&gt;0,$H327&gt;0,OR(AUTOEVENTO&lt;&gt;"manual",$M327&lt;&gt;$A$15)),
        IF(Import.TipoArredondamento&lt;&gt;"TransfereGOV",
              ROUND(OFFSET($P327,0,AO$13),15-13*ORÇAMENTO!$AF$7)/$H327*OFFSET(ORÇAMENTO!$X$15,ROW(AO327)-ROW(AO$15),0),
              ROUND(ROUND(OFFSET($P327,0,AO$13),15-13*ORÇAMENTO!$AF$7)*OFFSET(ORÇAMENTO!$W$15,ROW(AO327)-ROW(AO$15),0),15-13*ORÇAMENTO!$AF$11)),
         0)</f>
        <v>0</v>
      </c>
      <c r="AP327" s="453">
        <f ca="1">IF(AND($D327="Serviço",AP$12&lt;&gt;0,$H327&gt;0,OR(AUTOEVENTO&lt;&gt;"manual",$M327&lt;&gt;$A$15)),
        IF(Import.TipoArredondamento&lt;&gt;"TransfereGOV",
              ROUND(OFFSET($P327,0,AP$13),15-13*ORÇAMENTO!$AF$7)/$H327*OFFSET(ORÇAMENTO!$X$15,ROW(AP327)-ROW(AP$15),0),
              ROUND(ROUND(OFFSET($P327,0,AP$13),15-13*ORÇAMENTO!$AF$7)*OFFSET(ORÇAMENTO!$W$15,ROW(AP327)-ROW(AP$15),0),15-13*ORÇAMENTO!$AF$11)),
         0)</f>
        <v>0</v>
      </c>
      <c r="AQ327" s="453">
        <f ca="1">IF(AND($D327="Serviço",AQ$12&lt;&gt;0,$H327&gt;0,OR(AUTOEVENTO&lt;&gt;"manual",$M327&lt;&gt;$A$15)),
        IF(Import.TipoArredondamento&lt;&gt;"TransfereGOV",
              ROUND(OFFSET($P327,0,AQ$13),15-13*ORÇAMENTO!$AF$7)/$H327*OFFSET(ORÇAMENTO!$X$15,ROW(AQ327)-ROW(AQ$15),0),
              ROUND(ROUND(OFFSET($P327,0,AQ$13),15-13*ORÇAMENTO!$AF$7)*OFFSET(ORÇAMENTO!$W$15,ROW(AQ327)-ROW(AQ$15),0),15-13*ORÇAMENTO!$AF$11)),
         0)</f>
        <v>0</v>
      </c>
      <c r="AR327" s="453">
        <f ca="1">IF(AND($D327="Serviço",AR$12&lt;&gt;0,$H327&gt;0,OR(AUTOEVENTO&lt;&gt;"manual",$M327&lt;&gt;$A$15)),
        IF(Import.TipoArredondamento&lt;&gt;"TransfereGOV",
              ROUND(OFFSET($P327,0,AR$13),15-13*ORÇAMENTO!$AF$7)/$H327*OFFSET(ORÇAMENTO!$X$15,ROW(AR327)-ROW(AR$15),0),
              ROUND(ROUND(OFFSET($P327,0,AR$13),15-13*ORÇAMENTO!$AF$7)*OFFSET(ORÇAMENTO!$W$15,ROW(AR327)-ROW(AR$15),0),15-13*ORÇAMENTO!$AF$11)),
         0)</f>
        <v>0</v>
      </c>
      <c r="AS327" s="453">
        <f ca="1">IF(AND($D327="Serviço",AS$12&lt;&gt;0,$H327&gt;0,OR(AUTOEVENTO&lt;&gt;"manual",$M327&lt;&gt;$A$15)),
        IF(Import.TipoArredondamento&lt;&gt;"TransfereGOV",
              ROUND(OFFSET($P327,0,AS$13),15-13*ORÇAMENTO!$AF$7)/$H327*OFFSET(ORÇAMENTO!$X$15,ROW(AS327)-ROW(AS$15),0),
              ROUND(ROUND(OFFSET($P327,0,AS$13),15-13*ORÇAMENTO!$AF$7)*OFFSET(ORÇAMENTO!$W$15,ROW(AS327)-ROW(AS$15),0),15-13*ORÇAMENTO!$AF$11)),
         0)</f>
        <v>0</v>
      </c>
      <c r="AT327" s="453">
        <f ca="1">IF(AND($D327="Serviço",AT$12&lt;&gt;0,$H327&gt;0,OR(AUTOEVENTO&lt;&gt;"manual",$M327&lt;&gt;$A$15)),
        IF(Import.TipoArredondamento&lt;&gt;"TransfereGOV",
              ROUND(OFFSET($P327,0,AT$13),15-13*ORÇAMENTO!$AF$7)/$H327*OFFSET(ORÇAMENTO!$X$15,ROW(AT327)-ROW(AT$15),0),
              ROUND(ROUND(OFFSET($P327,0,AT$13),15-13*ORÇAMENTO!$AF$7)*OFFSET(ORÇAMENTO!$W$15,ROW(AT327)-ROW(AT$15),0),15-13*ORÇAMENTO!$AF$11)),
         0)</f>
        <v>0</v>
      </c>
      <c r="AU327" s="453">
        <f ca="1">IF(AND($D327="Serviço",AU$12&lt;&gt;0,$H327&gt;0,OR(AUTOEVENTO&lt;&gt;"manual",$M327&lt;&gt;$A$15)),
        IF(Import.TipoArredondamento&lt;&gt;"TransfereGOV",
              ROUND(OFFSET($P327,0,AU$13),15-13*ORÇAMENTO!$AF$7)/$H327*OFFSET(ORÇAMENTO!$X$15,ROW(AU327)-ROW(AU$15),0),
              ROUND(ROUND(OFFSET($P327,0,AU$13),15-13*ORÇAMENTO!$AF$7)*OFFSET(ORÇAMENTO!$W$15,ROW(AU327)-ROW(AU$15),0),15-13*ORÇAMENTO!$AF$11)),
         0)</f>
        <v>0</v>
      </c>
      <c r="AV327" s="453">
        <f ca="1">IF(AND($D327="Serviço",AV$12&lt;&gt;0,$H327&gt;0,OR(AUTOEVENTO&lt;&gt;"manual",$M327&lt;&gt;$A$15)),
        IF(Import.TipoArredondamento&lt;&gt;"TransfereGOV",
              ROUND(OFFSET($P327,0,AV$13),15-13*ORÇAMENTO!$AF$7)/$H327*OFFSET(ORÇAMENTO!$X$15,ROW(AV327)-ROW(AV$15),0),
              ROUND(ROUND(OFFSET($P327,0,AV$13),15-13*ORÇAMENTO!$AF$7)*OFFSET(ORÇAMENTO!$W$15,ROW(AV327)-ROW(AV$15),0),15-13*ORÇAMENTO!$AF$11)),
         0)</f>
        <v>0</v>
      </c>
      <c r="AW327" s="453">
        <f ca="1">IF(AND($D327="Serviço",AW$12&lt;&gt;0,$H327&gt;0,OR(AUTOEVENTO&lt;&gt;"manual",$M327&lt;&gt;$A$15)),
        IF(Import.TipoArredondamento&lt;&gt;"TransfereGOV",
              ROUND(OFFSET($P327,0,AW$13),15-13*ORÇAMENTO!$AF$7)/$H327*OFFSET(ORÇAMENTO!$X$15,ROW(AW327)-ROW(AW$15),0),
              ROUND(ROUND(OFFSET($P327,0,AW$13),15-13*ORÇAMENTO!$AF$7)*OFFSET(ORÇAMENTO!$W$15,ROW(AW327)-ROW(AW$15),0),15-13*ORÇAMENTO!$AF$11)),
         0)</f>
        <v>0</v>
      </c>
      <c r="AX327" s="453">
        <f ca="1">IF(AND($D327="Serviço",AX$12&lt;&gt;0,$H327&gt;0,OR(AUTOEVENTO&lt;&gt;"manual",$M327&lt;&gt;$A$15)),
        IF(Import.TipoArredondamento&lt;&gt;"TransfereGOV",
              ROUND(OFFSET($P327,0,AX$13),15-13*ORÇAMENTO!$AF$7)/$H327*OFFSET(ORÇAMENTO!$X$15,ROW(AX327)-ROW(AX$15),0),
              ROUND(ROUND(OFFSET($P327,0,AX$13),15-13*ORÇAMENTO!$AF$7)*OFFSET(ORÇAMENTO!$W$15,ROW(AX327)-ROW(AX$15),0),15-13*ORÇAMENTO!$AF$11)),
         0)</f>
        <v>0</v>
      </c>
      <c r="AY327" s="453">
        <f ca="1">IF(AND($D327="Serviço",AY$12&lt;&gt;0,$H327&gt;0,OR(AUTOEVENTO&lt;&gt;"manual",$M327&lt;&gt;$A$15)),
        IF(Import.TipoArredondamento&lt;&gt;"TransfereGOV",
              ROUND(OFFSET($P327,0,AY$13),15-13*ORÇAMENTO!$AF$7)/$H327*OFFSET(ORÇAMENTO!$X$15,ROW(AY327)-ROW(AY$15),0),
              ROUND(ROUND(OFFSET($P327,0,AY$13),15-13*ORÇAMENTO!$AF$7)*OFFSET(ORÇAMENTO!$W$15,ROW(AY327)-ROW(AY$15),0),15-13*ORÇAMENTO!$AF$11)),
         0)</f>
        <v>0</v>
      </c>
      <c r="AZ327" s="453">
        <f ca="1">IF(AND($D327="Serviço",AZ$12&lt;&gt;0,$H327&gt;0,OR(AUTOEVENTO&lt;&gt;"manual",$M327&lt;&gt;$A$15)),
        IF(Import.TipoArredondamento&lt;&gt;"TransfereGOV",
              ROUND(OFFSET($P327,0,AZ$13),15-13*ORÇAMENTO!$AF$7)/$H327*OFFSET(ORÇAMENTO!$X$15,ROW(AZ327)-ROW(AZ$15),0),
              ROUND(ROUND(OFFSET($P327,0,AZ$13),15-13*ORÇAMENTO!$AF$7)*OFFSET(ORÇAMENTO!$W$15,ROW(AZ327)-ROW(AZ$15),0),15-13*ORÇAMENTO!$AF$11)),
         0)</f>
        <v>0</v>
      </c>
      <c r="BA327" s="453">
        <f ca="1">IF(AND($D327="Serviço",BA$12&lt;&gt;0,$H327&gt;0,OR(AUTOEVENTO&lt;&gt;"manual",$M327&lt;&gt;$A$15)),
        IF(Import.TipoArredondamento&lt;&gt;"TransfereGOV",
              ROUND(OFFSET($P327,0,BA$13),15-13*ORÇAMENTO!$AF$7)/$H327*OFFSET(ORÇAMENTO!$X$15,ROW(BA327)-ROW(BA$15),0),
              ROUND(ROUND(OFFSET($P327,0,BA$13),15-13*ORÇAMENTO!$AF$7)*OFFSET(ORÇAMENTO!$W$15,ROW(BA327)-ROW(BA$15),0),15-13*ORÇAMENTO!$AF$11)),
         0)</f>
        <v>0</v>
      </c>
      <c r="BC327" s="171">
        <f ca="1">IF(OR($D327&lt;&gt;"Serviço",AND(AUTOEVENTO="Manual",$M327=$A$15)),0,
         IF(OFFSET(CRONOPLE!$F$15,$M327-$A$15,BC$13)=0,10^12,OFFSET(CRONOPLE!$F$15,$M327-$A$15,BC$13)))</f>
        <v>0</v>
      </c>
      <c r="BD327" s="171">
        <f ca="1">IF(OR($D327&lt;&gt;"Serviço",AND(AUTOEVENTO="Manual",$M327=$A$15)),0,
         IF(OFFSET(CRONOPLE!$F$15,$M327-$A$15,BD$13)=0,10^12,OFFSET(CRONOPLE!$F$15,$M327-$A$15,BD$13)))</f>
        <v>0</v>
      </c>
      <c r="BE327" s="171">
        <f ca="1">IF(OR($D327&lt;&gt;"Serviço",AND(AUTOEVENTO="Manual",$M327=$A$15)),0,
         IF(OFFSET(CRONOPLE!$F$15,$M327-$A$15,BE$13)=0,10^12,OFFSET(CRONOPLE!$F$15,$M327-$A$15,BE$13)))</f>
        <v>0</v>
      </c>
      <c r="BF327" s="171">
        <f ca="1">IF(OR($D327&lt;&gt;"Serviço",AND(AUTOEVENTO="Manual",$M327=$A$15)),0,
         IF(OFFSET(CRONOPLE!$F$15,$M327-$A$15,BF$13)=0,10^12,OFFSET(CRONOPLE!$F$15,$M327-$A$15,BF$13)))</f>
        <v>0</v>
      </c>
      <c r="BG327" s="171">
        <f ca="1">IF(OR($D327&lt;&gt;"Serviço",AND(AUTOEVENTO="Manual",$M327=$A$15)),0,
         IF(OFFSET(CRONOPLE!$F$15,$M327-$A$15,BG$13)=0,10^12,OFFSET(CRONOPLE!$F$15,$M327-$A$15,BG$13)))</f>
        <v>0</v>
      </c>
      <c r="BH327" s="171">
        <f ca="1">IF(OR($D327&lt;&gt;"Serviço",AND(AUTOEVENTO="Manual",$M327=$A$15)),0,
         IF(OFFSET(CRONOPLE!$F$15,$M327-$A$15,BH$13)=0,10^12,OFFSET(CRONOPLE!$F$15,$M327-$A$15,BH$13)))</f>
        <v>0</v>
      </c>
      <c r="BI327" s="171">
        <f ca="1">IF(OR($D327&lt;&gt;"Serviço",AND(AUTOEVENTO="Manual",$M327=$A$15)),0,
         IF(OFFSET(CRONOPLE!$F$15,$M327-$A$15,BI$13)=0,10^12,OFFSET(CRONOPLE!$F$15,$M327-$A$15,BI$13)))</f>
        <v>0</v>
      </c>
      <c r="BJ327" s="171">
        <f ca="1">IF(OR($D327&lt;&gt;"Serviço",AND(AUTOEVENTO="Manual",$M327=$A$15)),0,
         IF(OFFSET(CRONOPLE!$F$15,$M327-$A$15,BJ$13)=0,10^12,OFFSET(CRONOPLE!$F$15,$M327-$A$15,BJ$13)))</f>
        <v>0</v>
      </c>
      <c r="BK327" s="171">
        <f ca="1">IF(OR($D327&lt;&gt;"Serviço",AND(AUTOEVENTO="Manual",$M327=$A$15)),0,
         IF(OFFSET(CRONOPLE!$F$15,$M327-$A$15,BK$13)=0,10^12,OFFSET(CRONOPLE!$F$15,$M327-$A$15,BK$13)))</f>
        <v>0</v>
      </c>
      <c r="BL327" s="171">
        <f ca="1">IF(OR($D327&lt;&gt;"Serviço",AND(AUTOEVENTO="Manual",$M327=$A$15)),0,
         IF(OFFSET(CRONOPLE!$F$15,$M327-$A$15,BL$13)=0,10^12,OFFSET(CRONOPLE!$F$15,$M327-$A$15,BL$13)))</f>
        <v>0</v>
      </c>
      <c r="BM327" s="171">
        <f ca="1">IF(OR($D327&lt;&gt;"Serviço",AND(AUTOEVENTO="Manual",$M327=$A$15)),0,
         IF(OFFSET(CRONOPLE!$F$15,$M327-$A$15,BM$13)=0,10^12,OFFSET(CRONOPLE!$F$15,$M327-$A$15,BM$13)))</f>
        <v>0</v>
      </c>
      <c r="BN327" s="171">
        <f ca="1">IF(OR($D327&lt;&gt;"Serviço",AND(AUTOEVENTO="Manual",$M327=$A$15)),0,
         IF(OFFSET(CRONOPLE!$F$15,$M327-$A$15,BN$13)=0,10^12,OFFSET(CRONOPLE!$F$15,$M327-$A$15,BN$13)))</f>
        <v>0</v>
      </c>
      <c r="BO327" s="171">
        <f ca="1">IF(OR($D327&lt;&gt;"Serviço",AND(AUTOEVENTO="Manual",$M327=$A$15)),0,
         IF(OFFSET(CRONOPLE!$F$15,$M327-$A$15,BO$13)=0,10^12,OFFSET(CRONOPLE!$F$15,$M327-$A$15,BO$13)))</f>
        <v>0</v>
      </c>
      <c r="BP327" s="171">
        <f ca="1">IF(OR($D327&lt;&gt;"Serviço",AND(AUTOEVENTO="Manual",$M327=$A$15)),0,
         IF(OFFSET(CRONOPLE!$F$15,$M327-$A$15,BP$13)=0,10^12,OFFSET(CRONOPLE!$F$15,$M327-$A$15,BP$13)))</f>
        <v>0</v>
      </c>
      <c r="BQ327" s="171">
        <f ca="1">IF(OR($D327&lt;&gt;"Serviço",AND(AUTOEVENTO="Manual",$M327=$A$15)),0,
         IF(OFFSET(CRONOPLE!$F$15,$M327-$A$15,BQ$13)=0,10^12,OFFSET(CRONOPLE!$F$15,$M327-$A$15,BQ$13)))</f>
        <v>0</v>
      </c>
      <c r="BR327" s="171">
        <f ca="1">IF(OR($D327&lt;&gt;"Serviço",AND(AUTOEVENTO="Manual",$M327=$A$15)),0,
         IF(OFFSET(CRONOPLE!$F$15,$M327-$A$15,BR$13)=0,10^12,OFFSET(CRONOPLE!$F$15,$M327-$A$15,BR$13)))</f>
        <v>0</v>
      </c>
      <c r="BS327" s="171">
        <f ca="1">IF(OR($D327&lt;&gt;"Serviço",AND(AUTOEVENTO="Manual",$M327=$A$15)),0,
         IF(OFFSET(CRONOPLE!$F$15,$M327-$A$15,BS$13)=0,10^12,OFFSET(CRONOPLE!$F$15,$M327-$A$15,BS$13)))</f>
        <v>0</v>
      </c>
      <c r="BT327" s="171">
        <f ca="1">IF(OR($D327&lt;&gt;"Serviço",AND(AUTOEVENTO="Manual",$M327=$A$15)),0,
         IF(OFFSET(CRONOPLE!$F$15,$M327-$A$15,BT$13)=0,10^12,OFFSET(CRONOPLE!$F$15,$M327-$A$15,BT$13)))</f>
        <v>0</v>
      </c>
      <c r="BV327" s="172">
        <f ca="1">IF(OR($D327&lt;&gt;"Serviço",AND(AUTOEVENTO="Manual",$M327=$A$15),$M327&gt;(ROW(PLE.lastrow)-ROW(PLE.firstrow))),0,
           IF(OFFSET(PLE!$G$15,$M327-$A$15,BV$13)="",10^12,OFFSET(PLE!$G$15,$M327-$A$15,BV$13)))</f>
        <v>0</v>
      </c>
      <c r="BW327" s="172">
        <f ca="1">IF(OR($D327&lt;&gt;"Serviço",AND(AUTOEVENTO="Manual",$M327=$A$15),$M327&gt;(ROW(PLE.lastrow)-ROW(PLE.firstrow))),0,
           IF(OFFSET(PLE!$G$15,$M327-$A$15,BW$13)="",10^12,OFFSET(PLE!$G$15,$M327-$A$15,BW$13)))</f>
        <v>0</v>
      </c>
      <c r="BX327" s="172">
        <f ca="1">IF(OR($D327&lt;&gt;"Serviço",AND(AUTOEVENTO="Manual",$M327=$A$15),$M327&gt;(ROW(PLE.lastrow)-ROW(PLE.firstrow))),0,
           IF(OFFSET(PLE!$G$15,$M327-$A$15,BX$13)="",10^12,OFFSET(PLE!$G$15,$M327-$A$15,BX$13)))</f>
        <v>0</v>
      </c>
      <c r="BY327" s="172">
        <f ca="1">IF(OR($D327&lt;&gt;"Serviço",AND(AUTOEVENTO="Manual",$M327=$A$15),$M327&gt;(ROW(PLE.lastrow)-ROW(PLE.firstrow))),0,
           IF(OFFSET(PLE!$G$15,$M327-$A$15,BY$13)="",10^12,OFFSET(PLE!$G$15,$M327-$A$15,BY$13)))</f>
        <v>0</v>
      </c>
      <c r="BZ327" s="172">
        <f ca="1">IF(OR($D327&lt;&gt;"Serviço",AND(AUTOEVENTO="Manual",$M327=$A$15),$M327&gt;(ROW(PLE.lastrow)-ROW(PLE.firstrow))),0,
           IF(OFFSET(PLE!$G$15,$M327-$A$15,BZ$13)="",10^12,OFFSET(PLE!$G$15,$M327-$A$15,BZ$13)))</f>
        <v>0</v>
      </c>
      <c r="CA327" s="172">
        <f ca="1">IF(OR($D327&lt;&gt;"Serviço",AND(AUTOEVENTO="Manual",$M327=$A$15),$M327&gt;(ROW(PLE.lastrow)-ROW(PLE.firstrow))),0,
           IF(OFFSET(PLE!$G$15,$M327-$A$15,CA$13)="",10^12,OFFSET(PLE!$G$15,$M327-$A$15,CA$13)))</f>
        <v>0</v>
      </c>
      <c r="CB327" s="172">
        <f ca="1">IF(OR($D327&lt;&gt;"Serviço",AND(AUTOEVENTO="Manual",$M327=$A$15),$M327&gt;(ROW(PLE.lastrow)-ROW(PLE.firstrow))),0,
           IF(OFFSET(PLE!$G$15,$M327-$A$15,CB$13)="",10^12,OFFSET(PLE!$G$15,$M327-$A$15,CB$13)))</f>
        <v>0</v>
      </c>
      <c r="CC327" s="172">
        <f ca="1">IF(OR($D327&lt;&gt;"Serviço",AND(AUTOEVENTO="Manual",$M327=$A$15),$M327&gt;(ROW(PLE.lastrow)-ROW(PLE.firstrow))),0,
           IF(OFFSET(PLE!$G$15,$M327-$A$15,CC$13)="",10^12,OFFSET(PLE!$G$15,$M327-$A$15,CC$13)))</f>
        <v>0</v>
      </c>
      <c r="CD327" s="172">
        <f ca="1">IF(OR($D327&lt;&gt;"Serviço",AND(AUTOEVENTO="Manual",$M327=$A$15),$M327&gt;(ROW(PLE.lastrow)-ROW(PLE.firstrow))),0,
           IF(OFFSET(PLE!$G$15,$M327-$A$15,CD$13)="",10^12,OFFSET(PLE!$G$15,$M327-$A$15,CD$13)))</f>
        <v>0</v>
      </c>
      <c r="CE327" s="172">
        <f ca="1">IF(OR($D327&lt;&gt;"Serviço",AND(AUTOEVENTO="Manual",$M327=$A$15),$M327&gt;(ROW(PLE.lastrow)-ROW(PLE.firstrow))),0,
           IF(OFFSET(PLE!$G$15,$M327-$A$15,CE$13)="",10^12,OFFSET(PLE!$G$15,$M327-$A$15,CE$13)))</f>
        <v>0</v>
      </c>
      <c r="CF327" s="172">
        <f ca="1">IF(OR($D327&lt;&gt;"Serviço",AND(AUTOEVENTO="Manual",$M327=$A$15),$M327&gt;(ROW(PLE.lastrow)-ROW(PLE.firstrow))),0,
           IF(OFFSET(PLE!$G$15,$M327-$A$15,CF$13)="",10^12,OFFSET(PLE!$G$15,$M327-$A$15,CF$13)))</f>
        <v>0</v>
      </c>
      <c r="CG327" s="172">
        <f ca="1">IF(OR($D327&lt;&gt;"Serviço",AND(AUTOEVENTO="Manual",$M327=$A$15),$M327&gt;(ROW(PLE.lastrow)-ROW(PLE.firstrow))),0,
           IF(OFFSET(PLE!$G$15,$M327-$A$15,CG$13)="",10^12,OFFSET(PLE!$G$15,$M327-$A$15,CG$13)))</f>
        <v>0</v>
      </c>
      <c r="CH327" s="172">
        <f ca="1">IF(OR($D327&lt;&gt;"Serviço",AND(AUTOEVENTO="Manual",$M327=$A$15),$M327&gt;(ROW(PLE.lastrow)-ROW(PLE.firstrow))),0,
           IF(OFFSET(PLE!$G$15,$M327-$A$15,CH$13)="",10^12,OFFSET(PLE!$G$15,$M327-$A$15,CH$13)))</f>
        <v>0</v>
      </c>
      <c r="CI327" s="172">
        <f ca="1">IF(OR($D327&lt;&gt;"Serviço",AND(AUTOEVENTO="Manual",$M327=$A$15),$M327&gt;(ROW(PLE.lastrow)-ROW(PLE.firstrow))),0,
           IF(OFFSET(PLE!$G$15,$M327-$A$15,CI$13)="",10^12,OFFSET(PLE!$G$15,$M327-$A$15,CI$13)))</f>
        <v>0</v>
      </c>
      <c r="CJ327" s="172">
        <f ca="1">IF(OR($D327&lt;&gt;"Serviço",AND(AUTOEVENTO="Manual",$M327=$A$15),$M327&gt;(ROW(PLE.lastrow)-ROW(PLE.firstrow))),0,
           IF(OFFSET(PLE!$G$15,$M327-$A$15,CJ$13)="",10^12,OFFSET(PLE!$G$15,$M327-$A$15,CJ$13)))</f>
        <v>0</v>
      </c>
      <c r="CK327" s="172">
        <f ca="1">IF(OR($D327&lt;&gt;"Serviço",AND(AUTOEVENTO="Manual",$M327=$A$15),$M327&gt;(ROW(PLE.lastrow)-ROW(PLE.firstrow))),0,
           IF(OFFSET(PLE!$G$15,$M327-$A$15,CK$13)="",10^12,OFFSET(PLE!$G$15,$M327-$A$15,CK$13)))</f>
        <v>0</v>
      </c>
      <c r="CL327" s="172">
        <f ca="1">IF(OR($D327&lt;&gt;"Serviço",AND(AUTOEVENTO="Manual",$M327=$A$15),$M327&gt;(ROW(PLE.lastrow)-ROW(PLE.firstrow))),0,
           IF(OFFSET(PLE!$G$15,$M327-$A$15,CL$13)="",10^12,OFFSET(PLE!$G$15,$M327-$A$15,CL$13)))</f>
        <v>0</v>
      </c>
      <c r="CM327" s="172">
        <f ca="1">IF(OR($D327&lt;&gt;"Serviço",AND(AUTOEVENTO="Manual",$M327=$A$15),$M327&gt;(ROW(PLE.lastrow)-ROW(PLE.firstrow))),0,
           IF(OFFSET(PLE!$G$15,$M327-$A$15,CM$13)="",10^12,OFFSET(PLE!$G$15,$M327-$A$15,CM$13)))</f>
        <v>0</v>
      </c>
    </row>
    <row r="328" spans="1:91" ht="63.75" x14ac:dyDescent="0.2">
      <c r="A328" s="7">
        <f t="shared" ca="1" si="14"/>
        <v>6</v>
      </c>
      <c r="B328" s="7" t="str">
        <f ca="1">OFFSET(ORÇAMENTO!C$15,ROW(B328)-ROW(B$15),0)</f>
        <v>S</v>
      </c>
      <c r="C328" s="7" t="str">
        <f ca="1">OFFSET(ORÇAMENTO!L$15,ROW(C328)-ROW(C$15),0)</f>
        <v>F</v>
      </c>
      <c r="D328" s="116" t="str">
        <f ca="1">OFFSET(ORÇAMENTO!N$15,ROW(D328)-ROW(D$15),0)</f>
        <v>Serviço</v>
      </c>
      <c r="E328" s="117" t="str">
        <f ca="1">OFFSET(ORÇAMENTO!O$15,ROW(E328)-ROW(E$15),0)</f>
        <v>1.7.5.1.1.</v>
      </c>
      <c r="F328" s="163" t="str">
        <f ca="1">OFFSET(ORÇAMENTO!R$15,ROW(F328)-ROW(F$15),0)</f>
        <v>SISTEMA DE DESINFECÇÃO POR RADIAÇÃO UV (INCLUSO 02 MÓDULOS DE BAIXA PRESSÃO E ALTA INTENSIDADE, DISPOSITIVO DE LIMPEZA, TEMPORIZADO, COMPORTA EM AÇO INOX E MEDIDOR PARA CONTROLE DE NÍVEL  - FORNECIMENTO E INSTALAÇÃO</v>
      </c>
      <c r="G328" s="164" t="str">
        <f ca="1">IF($D328&lt;&gt;"Serviço","",OFFSET(ORÇAMENTO!S$15,ROW(G328)-ROW(G$15),0))</f>
        <v>CJ</v>
      </c>
      <c r="H328" s="122" cm="1">
        <f t="array" aca="1" ref="H328" ca="1">IF($D328&lt;&gt;"Serviço",0,IF(ACOMPANHAMENTO="BM",ROUND(OFFSET(ORÇAMENTO!AJ$15,ROW(H328)-ROW(H$15),0),15-13*ORÇAMENTO!$AF$7),SUMPRODUCT(($Q$1:$AI$1=1)*ROUND($Q328:$AI328,15-13*ORÇAMENTO!$AF$7))))</f>
        <v>1</v>
      </c>
      <c r="I328" s="468" t="s">
        <v>1359</v>
      </c>
      <c r="J328" s="640" t="str" cm="1">
        <f t="array" aca="1" ref="J328" ca="1">IF(OR(B328&lt;&gt;"S",CÁLCULO.FrentesPreenchidas=0),"",IF(AND(ACOMPANHAMENTO="PLE",AUTOEVENTO="Manual",OR(H328&gt;0,ORÇAMENTO!AC328="QUANT."),OR(K328="",M328=0,N328="")),"►E",IF(AND(ACOMPANHAMENTO="PLE",ORÇAMENTO!AC328="QUANT."),"►Q",IF(AND(ACOMPANHAMENTO="PLE",H328&lt;&gt;SUMPRODUCT(($Q$1:$AI$1=1)*ROUND(Q328:AI328,15))),"►S",IF(AND(COUNTIF($P$11:$AI$11,"▼")=0,H328&gt;0,I328=""),"◄M","")))))</f>
        <v/>
      </c>
      <c r="K328" s="641" t="s">
        <v>1385</v>
      </c>
      <c r="L328" s="165" t="s">
        <v>764</v>
      </c>
      <c r="M328" s="166">
        <f ca="1">IF($D328&lt;&gt;"Serviço","",
          IF(AUTOEVENTO="manual",$A328,
                IF(ISERROR(MATCH($A328,$A$15:OFFSET($A328,-1,0),0)),MAX($M$15:OFFSET(M328,-1,0))+1,
                      INDEX($M$15:OFFSET(M328,-1,0),MATCH($A328,$A$15:OFFSET($A328,-1,0),0)))))</f>
        <v>6</v>
      </c>
      <c r="N328" s="167" t="str">
        <f ca="1">IF($D328&lt;&gt;"Serviço","",
         IF(AUTOEVENTO="Manual",
                IF($A328=0,"&lt;-- defina o número do agrupador",
                       OFFSET(EVENTOS!$D$15,$A328-$A$15,0)),
                OFFSET($F$15,$A328,0)))</f>
        <v>Saneamento</v>
      </c>
      <c r="O328" s="168"/>
      <c r="Q328" s="168"/>
      <c r="R328" s="169"/>
      <c r="S328" s="169"/>
      <c r="T328" s="169"/>
      <c r="U328" s="169"/>
      <c r="V328" s="169">
        <v>1</v>
      </c>
      <c r="W328" s="169"/>
      <c r="X328" s="169"/>
      <c r="Y328" s="169"/>
      <c r="Z328" s="170"/>
      <c r="AA328" s="169"/>
      <c r="AB328" s="169"/>
      <c r="AC328" s="169"/>
      <c r="AD328" s="169"/>
      <c r="AE328" s="169"/>
      <c r="AF328" s="169"/>
      <c r="AG328" s="169"/>
      <c r="AH328" s="170"/>
      <c r="AJ328" s="453">
        <f ca="1">IF(AND($D328="Serviço",AJ$12&lt;&gt;0,$H328&gt;0,OR(AUTOEVENTO&lt;&gt;"manual",$M328&lt;&gt;$A$15)),
        IF(Import.TipoArredondamento&lt;&gt;"TransfereGOV",
              ROUND(OFFSET($P328,0,AJ$13),15-13*ORÇAMENTO!$AF$7)/$H328*OFFSET(ORÇAMENTO!$X$15,ROW(AJ328)-ROW(AJ$15),0),
              ROUND(ROUND(OFFSET($P328,0,AJ$13),15-13*ORÇAMENTO!$AF$7)*OFFSET(ORÇAMENTO!$W$15,ROW(AJ328)-ROW(AJ$15),0),15-13*ORÇAMENTO!$AF$11)),
         0)</f>
        <v>0</v>
      </c>
      <c r="AK328" s="453">
        <f ca="1">IF(AND($D328="Serviço",AK$12&lt;&gt;0,$H328&gt;0,OR(AUTOEVENTO&lt;&gt;"manual",$M328&lt;&gt;$A$15)),
        IF(Import.TipoArredondamento&lt;&gt;"TransfereGOV",
              ROUND(OFFSET($P328,0,AK$13),15-13*ORÇAMENTO!$AF$7)/$H328*OFFSET(ORÇAMENTO!$X$15,ROW(AK328)-ROW(AK$15),0),
              ROUND(ROUND(OFFSET($P328,0,AK$13),15-13*ORÇAMENTO!$AF$7)*OFFSET(ORÇAMENTO!$W$15,ROW(AK328)-ROW(AK$15),0),15-13*ORÇAMENTO!$AF$11)),
         0)</f>
        <v>0</v>
      </c>
      <c r="AL328" s="453">
        <f ca="1">IF(AND($D328="Serviço",AL$12&lt;&gt;0,$H328&gt;0,OR(AUTOEVENTO&lt;&gt;"manual",$M328&lt;&gt;$A$15)),
        IF(Import.TipoArredondamento&lt;&gt;"TransfereGOV",
              ROUND(OFFSET($P328,0,AL$13),15-13*ORÇAMENTO!$AF$7)/$H328*OFFSET(ORÇAMENTO!$X$15,ROW(AL328)-ROW(AL$15),0),
              ROUND(ROUND(OFFSET($P328,0,AL$13),15-13*ORÇAMENTO!$AF$7)*OFFSET(ORÇAMENTO!$W$15,ROW(AL328)-ROW(AL$15),0),15-13*ORÇAMENTO!$AF$11)),
         0)</f>
        <v>0</v>
      </c>
      <c r="AM328" s="453">
        <f ca="1">IF(AND($D328="Serviço",AM$12&lt;&gt;0,$H328&gt;0,OR(AUTOEVENTO&lt;&gt;"manual",$M328&lt;&gt;$A$15)),
        IF(Import.TipoArredondamento&lt;&gt;"TransfereGOV",
              ROUND(OFFSET($P328,0,AM$13),15-13*ORÇAMENTO!$AF$7)/$H328*OFFSET(ORÇAMENTO!$X$15,ROW(AM328)-ROW(AM$15),0),
              ROUND(ROUND(OFFSET($P328,0,AM$13),15-13*ORÇAMENTO!$AF$7)*OFFSET(ORÇAMENTO!$W$15,ROW(AM328)-ROW(AM$15),0),15-13*ORÇAMENTO!$AF$11)),
         0)</f>
        <v>0</v>
      </c>
      <c r="AN328" s="453">
        <f ca="1">IF(AND($D328="Serviço",AN$12&lt;&gt;0,$H328&gt;0,OR(AUTOEVENTO&lt;&gt;"manual",$M328&lt;&gt;$A$15)),
        IF(Import.TipoArredondamento&lt;&gt;"TransfereGOV",
              ROUND(OFFSET($P328,0,AN$13),15-13*ORÇAMENTO!$AF$7)/$H328*OFFSET(ORÇAMENTO!$X$15,ROW(AN328)-ROW(AN$15),0),
              ROUND(ROUND(OFFSET($P328,0,AN$13),15-13*ORÇAMENTO!$AF$7)*OFFSET(ORÇAMENTO!$W$15,ROW(AN328)-ROW(AN$15),0),15-13*ORÇAMENTO!$AF$11)),
         0)</f>
        <v>0</v>
      </c>
      <c r="AO328" s="453">
        <f ca="1">IF(AND($D328="Serviço",AO$12&lt;&gt;0,$H328&gt;0,OR(AUTOEVENTO&lt;&gt;"manual",$M328&lt;&gt;$A$15)),
        IF(Import.TipoArredondamento&lt;&gt;"TransfereGOV",
              ROUND(OFFSET($P328,0,AO$13),15-13*ORÇAMENTO!$AF$7)/$H328*OFFSET(ORÇAMENTO!$X$15,ROW(AO328)-ROW(AO$15),0),
              ROUND(ROUND(OFFSET($P328,0,AO$13),15-13*ORÇAMENTO!$AF$7)*OFFSET(ORÇAMENTO!$W$15,ROW(AO328)-ROW(AO$15),0),15-13*ORÇAMENTO!$AF$11)),
         0)</f>
        <v>0</v>
      </c>
      <c r="AP328" s="453">
        <f ca="1">IF(AND($D328="Serviço",AP$12&lt;&gt;0,$H328&gt;0,OR(AUTOEVENTO&lt;&gt;"manual",$M328&lt;&gt;$A$15)),
        IF(Import.TipoArredondamento&lt;&gt;"TransfereGOV",
              ROUND(OFFSET($P328,0,AP$13),15-13*ORÇAMENTO!$AF$7)/$H328*OFFSET(ORÇAMENTO!$X$15,ROW(AP328)-ROW(AP$15),0),
              ROUND(ROUND(OFFSET($P328,0,AP$13),15-13*ORÇAMENTO!$AF$7)*OFFSET(ORÇAMENTO!$W$15,ROW(AP328)-ROW(AP$15),0),15-13*ORÇAMENTO!$AF$11)),
         0)</f>
        <v>0</v>
      </c>
      <c r="AQ328" s="453">
        <f ca="1">IF(AND($D328="Serviço",AQ$12&lt;&gt;0,$H328&gt;0,OR(AUTOEVENTO&lt;&gt;"manual",$M328&lt;&gt;$A$15)),
        IF(Import.TipoArredondamento&lt;&gt;"TransfereGOV",
              ROUND(OFFSET($P328,0,AQ$13),15-13*ORÇAMENTO!$AF$7)/$H328*OFFSET(ORÇAMENTO!$X$15,ROW(AQ328)-ROW(AQ$15),0),
              ROUND(ROUND(OFFSET($P328,0,AQ$13),15-13*ORÇAMENTO!$AF$7)*OFFSET(ORÇAMENTO!$W$15,ROW(AQ328)-ROW(AQ$15),0),15-13*ORÇAMENTO!$AF$11)),
         0)</f>
        <v>0</v>
      </c>
      <c r="AR328" s="453">
        <f ca="1">IF(AND($D328="Serviço",AR$12&lt;&gt;0,$H328&gt;0,OR(AUTOEVENTO&lt;&gt;"manual",$M328&lt;&gt;$A$15)),
        IF(Import.TipoArredondamento&lt;&gt;"TransfereGOV",
              ROUND(OFFSET($P328,0,AR$13),15-13*ORÇAMENTO!$AF$7)/$H328*OFFSET(ORÇAMENTO!$X$15,ROW(AR328)-ROW(AR$15),0),
              ROUND(ROUND(OFFSET($P328,0,AR$13),15-13*ORÇAMENTO!$AF$7)*OFFSET(ORÇAMENTO!$W$15,ROW(AR328)-ROW(AR$15),0),15-13*ORÇAMENTO!$AF$11)),
         0)</f>
        <v>0</v>
      </c>
      <c r="AS328" s="453">
        <f ca="1">IF(AND($D328="Serviço",AS$12&lt;&gt;0,$H328&gt;0,OR(AUTOEVENTO&lt;&gt;"manual",$M328&lt;&gt;$A$15)),
        IF(Import.TipoArredondamento&lt;&gt;"TransfereGOV",
              ROUND(OFFSET($P328,0,AS$13),15-13*ORÇAMENTO!$AF$7)/$H328*OFFSET(ORÇAMENTO!$X$15,ROW(AS328)-ROW(AS$15),0),
              ROUND(ROUND(OFFSET($P328,0,AS$13),15-13*ORÇAMENTO!$AF$7)*OFFSET(ORÇAMENTO!$W$15,ROW(AS328)-ROW(AS$15),0),15-13*ORÇAMENTO!$AF$11)),
         0)</f>
        <v>0</v>
      </c>
      <c r="AT328" s="453">
        <f ca="1">IF(AND($D328="Serviço",AT$12&lt;&gt;0,$H328&gt;0,OR(AUTOEVENTO&lt;&gt;"manual",$M328&lt;&gt;$A$15)),
        IF(Import.TipoArredondamento&lt;&gt;"TransfereGOV",
              ROUND(OFFSET($P328,0,AT$13),15-13*ORÇAMENTO!$AF$7)/$H328*OFFSET(ORÇAMENTO!$X$15,ROW(AT328)-ROW(AT$15),0),
              ROUND(ROUND(OFFSET($P328,0,AT$13),15-13*ORÇAMENTO!$AF$7)*OFFSET(ORÇAMENTO!$W$15,ROW(AT328)-ROW(AT$15),0),15-13*ORÇAMENTO!$AF$11)),
         0)</f>
        <v>0</v>
      </c>
      <c r="AU328" s="453">
        <f ca="1">IF(AND($D328="Serviço",AU$12&lt;&gt;0,$H328&gt;0,OR(AUTOEVENTO&lt;&gt;"manual",$M328&lt;&gt;$A$15)),
        IF(Import.TipoArredondamento&lt;&gt;"TransfereGOV",
              ROUND(OFFSET($P328,0,AU$13),15-13*ORÇAMENTO!$AF$7)/$H328*OFFSET(ORÇAMENTO!$X$15,ROW(AU328)-ROW(AU$15),0),
              ROUND(ROUND(OFFSET($P328,0,AU$13),15-13*ORÇAMENTO!$AF$7)*OFFSET(ORÇAMENTO!$W$15,ROW(AU328)-ROW(AU$15),0),15-13*ORÇAMENTO!$AF$11)),
         0)</f>
        <v>0</v>
      </c>
      <c r="AV328" s="453">
        <f ca="1">IF(AND($D328="Serviço",AV$12&lt;&gt;0,$H328&gt;0,OR(AUTOEVENTO&lt;&gt;"manual",$M328&lt;&gt;$A$15)),
        IF(Import.TipoArredondamento&lt;&gt;"TransfereGOV",
              ROUND(OFFSET($P328,0,AV$13),15-13*ORÇAMENTO!$AF$7)/$H328*OFFSET(ORÇAMENTO!$X$15,ROW(AV328)-ROW(AV$15),0),
              ROUND(ROUND(OFFSET($P328,0,AV$13),15-13*ORÇAMENTO!$AF$7)*OFFSET(ORÇAMENTO!$W$15,ROW(AV328)-ROW(AV$15),0),15-13*ORÇAMENTO!$AF$11)),
         0)</f>
        <v>0</v>
      </c>
      <c r="AW328" s="453">
        <f ca="1">IF(AND($D328="Serviço",AW$12&lt;&gt;0,$H328&gt;0,OR(AUTOEVENTO&lt;&gt;"manual",$M328&lt;&gt;$A$15)),
        IF(Import.TipoArredondamento&lt;&gt;"TransfereGOV",
              ROUND(OFFSET($P328,0,AW$13),15-13*ORÇAMENTO!$AF$7)/$H328*OFFSET(ORÇAMENTO!$X$15,ROW(AW328)-ROW(AW$15),0),
              ROUND(ROUND(OFFSET($P328,0,AW$13),15-13*ORÇAMENTO!$AF$7)*OFFSET(ORÇAMENTO!$W$15,ROW(AW328)-ROW(AW$15),0),15-13*ORÇAMENTO!$AF$11)),
         0)</f>
        <v>0</v>
      </c>
      <c r="AX328" s="453">
        <f ca="1">IF(AND($D328="Serviço",AX$12&lt;&gt;0,$H328&gt;0,OR(AUTOEVENTO&lt;&gt;"manual",$M328&lt;&gt;$A$15)),
        IF(Import.TipoArredondamento&lt;&gt;"TransfereGOV",
              ROUND(OFFSET($P328,0,AX$13),15-13*ORÇAMENTO!$AF$7)/$H328*OFFSET(ORÇAMENTO!$X$15,ROW(AX328)-ROW(AX$15),0),
              ROUND(ROUND(OFFSET($P328,0,AX$13),15-13*ORÇAMENTO!$AF$7)*OFFSET(ORÇAMENTO!$W$15,ROW(AX328)-ROW(AX$15),0),15-13*ORÇAMENTO!$AF$11)),
         0)</f>
        <v>0</v>
      </c>
      <c r="AY328" s="453">
        <f ca="1">IF(AND($D328="Serviço",AY$12&lt;&gt;0,$H328&gt;0,OR(AUTOEVENTO&lt;&gt;"manual",$M328&lt;&gt;$A$15)),
        IF(Import.TipoArredondamento&lt;&gt;"TransfereGOV",
              ROUND(OFFSET($P328,0,AY$13),15-13*ORÇAMENTO!$AF$7)/$H328*OFFSET(ORÇAMENTO!$X$15,ROW(AY328)-ROW(AY$15),0),
              ROUND(ROUND(OFFSET($P328,0,AY$13),15-13*ORÇAMENTO!$AF$7)*OFFSET(ORÇAMENTO!$W$15,ROW(AY328)-ROW(AY$15),0),15-13*ORÇAMENTO!$AF$11)),
         0)</f>
        <v>0</v>
      </c>
      <c r="AZ328" s="453">
        <f ca="1">IF(AND($D328="Serviço",AZ$12&lt;&gt;0,$H328&gt;0,OR(AUTOEVENTO&lt;&gt;"manual",$M328&lt;&gt;$A$15)),
        IF(Import.TipoArredondamento&lt;&gt;"TransfereGOV",
              ROUND(OFFSET($P328,0,AZ$13),15-13*ORÇAMENTO!$AF$7)/$H328*OFFSET(ORÇAMENTO!$X$15,ROW(AZ328)-ROW(AZ$15),0),
              ROUND(ROUND(OFFSET($P328,0,AZ$13),15-13*ORÇAMENTO!$AF$7)*OFFSET(ORÇAMENTO!$W$15,ROW(AZ328)-ROW(AZ$15),0),15-13*ORÇAMENTO!$AF$11)),
         0)</f>
        <v>0</v>
      </c>
      <c r="BA328" s="453">
        <f ca="1">IF(AND($D328="Serviço",BA$12&lt;&gt;0,$H328&gt;0,OR(AUTOEVENTO&lt;&gt;"manual",$M328&lt;&gt;$A$15)),
        IF(Import.TipoArredondamento&lt;&gt;"TransfereGOV",
              ROUND(OFFSET($P328,0,BA$13),15-13*ORÇAMENTO!$AF$7)/$H328*OFFSET(ORÇAMENTO!$X$15,ROW(BA328)-ROW(BA$15),0),
              ROUND(ROUND(OFFSET($P328,0,BA$13),15-13*ORÇAMENTO!$AF$7)*OFFSET(ORÇAMENTO!$W$15,ROW(BA328)-ROW(BA$15),0),15-13*ORÇAMENTO!$AF$11)),
         0)</f>
        <v>0</v>
      </c>
      <c r="BC328" s="171">
        <f ca="1">IF(OR($D328&lt;&gt;"Serviço",AND(AUTOEVENTO="Manual",$M328=$A$15)),0,
         IF(OFFSET(CRONOPLE!$F$15,$M328-$A$15,BC$13)=0,10^12,OFFSET(CRONOPLE!$F$15,$M328-$A$15,BC$13)))</f>
        <v>1</v>
      </c>
      <c r="BD328" s="171">
        <f ca="1">IF(OR($D328&lt;&gt;"Serviço",AND(AUTOEVENTO="Manual",$M328=$A$15)),0,
         IF(OFFSET(CRONOPLE!$F$15,$M328-$A$15,BD$13)=0,10^12,OFFSET(CRONOPLE!$F$15,$M328-$A$15,BD$13)))</f>
        <v>2</v>
      </c>
      <c r="BE328" s="171">
        <f ca="1">IF(OR($D328&lt;&gt;"Serviço",AND(AUTOEVENTO="Manual",$M328=$A$15)),0,
         IF(OFFSET(CRONOPLE!$F$15,$M328-$A$15,BE$13)=0,10^12,OFFSET(CRONOPLE!$F$15,$M328-$A$15,BE$13)))</f>
        <v>3</v>
      </c>
      <c r="BF328" s="171">
        <f ca="1">IF(OR($D328&lt;&gt;"Serviço",AND(AUTOEVENTO="Manual",$M328=$A$15)),0,
         IF(OFFSET(CRONOPLE!$F$15,$M328-$A$15,BF$13)=0,10^12,OFFSET(CRONOPLE!$F$15,$M328-$A$15,BF$13)))</f>
        <v>4</v>
      </c>
      <c r="BG328" s="171">
        <f ca="1">IF(OR($D328&lt;&gt;"Serviço",AND(AUTOEVENTO="Manual",$M328=$A$15)),0,
         IF(OFFSET(CRONOPLE!$F$15,$M328-$A$15,BG$13)=0,10^12,OFFSET(CRONOPLE!$F$15,$M328-$A$15,BG$13)))</f>
        <v>5</v>
      </c>
      <c r="BH328" s="171">
        <f ca="1">IF(OR($D328&lt;&gt;"Serviço",AND(AUTOEVENTO="Manual",$M328=$A$15)),0,
         IF(OFFSET(CRONOPLE!$F$15,$M328-$A$15,BH$13)=0,10^12,OFFSET(CRONOPLE!$F$15,$M328-$A$15,BH$13)))</f>
        <v>6</v>
      </c>
      <c r="BI328" s="171">
        <f ca="1">IF(OR($D328&lt;&gt;"Serviço",AND(AUTOEVENTO="Manual",$M328=$A$15)),0,
         IF(OFFSET(CRONOPLE!$F$15,$M328-$A$15,BI$13)=0,10^12,OFFSET(CRONOPLE!$F$15,$M328-$A$15,BI$13)))</f>
        <v>7</v>
      </c>
      <c r="BJ328" s="171">
        <f ca="1">IF(OR($D328&lt;&gt;"Serviço",AND(AUTOEVENTO="Manual",$M328=$A$15)),0,
         IF(OFFSET(CRONOPLE!$F$15,$M328-$A$15,BJ$13)=0,10^12,OFFSET(CRONOPLE!$F$15,$M328-$A$15,BJ$13)))</f>
        <v>8</v>
      </c>
      <c r="BK328" s="171">
        <f ca="1">IF(OR($D328&lt;&gt;"Serviço",AND(AUTOEVENTO="Manual",$M328=$A$15)),0,
         IF(OFFSET(CRONOPLE!$F$15,$M328-$A$15,BK$13)=0,10^12,OFFSET(CRONOPLE!$F$15,$M328-$A$15,BK$13)))</f>
        <v>9</v>
      </c>
      <c r="BL328" s="171">
        <f ca="1">IF(OR($D328&lt;&gt;"Serviço",AND(AUTOEVENTO="Manual",$M328=$A$15)),0,
         IF(OFFSET(CRONOPLE!$F$15,$M328-$A$15,BL$13)=0,10^12,OFFSET(CRONOPLE!$F$15,$M328-$A$15,BL$13)))</f>
        <v>1000000000000</v>
      </c>
      <c r="BM328" s="171">
        <f ca="1">IF(OR($D328&lt;&gt;"Serviço",AND(AUTOEVENTO="Manual",$M328=$A$15)),0,
         IF(OFFSET(CRONOPLE!$F$15,$M328-$A$15,BM$13)=0,10^12,OFFSET(CRONOPLE!$F$15,$M328-$A$15,BM$13)))</f>
        <v>1000000000000</v>
      </c>
      <c r="BN328" s="171">
        <f ca="1">IF(OR($D328&lt;&gt;"Serviço",AND(AUTOEVENTO="Manual",$M328=$A$15)),0,
         IF(OFFSET(CRONOPLE!$F$15,$M328-$A$15,BN$13)=0,10^12,OFFSET(CRONOPLE!$F$15,$M328-$A$15,BN$13)))</f>
        <v>1000000000000</v>
      </c>
      <c r="BO328" s="171">
        <f ca="1">IF(OR($D328&lt;&gt;"Serviço",AND(AUTOEVENTO="Manual",$M328=$A$15)),0,
         IF(OFFSET(CRONOPLE!$F$15,$M328-$A$15,BO$13)=0,10^12,OFFSET(CRONOPLE!$F$15,$M328-$A$15,BO$13)))</f>
        <v>1000000000000</v>
      </c>
      <c r="BP328" s="171">
        <f ca="1">IF(OR($D328&lt;&gt;"Serviço",AND(AUTOEVENTO="Manual",$M328=$A$15)),0,
         IF(OFFSET(CRONOPLE!$F$15,$M328-$A$15,BP$13)=0,10^12,OFFSET(CRONOPLE!$F$15,$M328-$A$15,BP$13)))</f>
        <v>1000000000000</v>
      </c>
      <c r="BQ328" s="171">
        <f ca="1">IF(OR($D328&lt;&gt;"Serviço",AND(AUTOEVENTO="Manual",$M328=$A$15)),0,
         IF(OFFSET(CRONOPLE!$F$15,$M328-$A$15,BQ$13)=0,10^12,OFFSET(CRONOPLE!$F$15,$M328-$A$15,BQ$13)))</f>
        <v>1000000000000</v>
      </c>
      <c r="BR328" s="171">
        <f ca="1">IF(OR($D328&lt;&gt;"Serviço",AND(AUTOEVENTO="Manual",$M328=$A$15)),0,
         IF(OFFSET(CRONOPLE!$F$15,$M328-$A$15,BR$13)=0,10^12,OFFSET(CRONOPLE!$F$15,$M328-$A$15,BR$13)))</f>
        <v>1000000000000</v>
      </c>
      <c r="BS328" s="171">
        <f ca="1">IF(OR($D328&lt;&gt;"Serviço",AND(AUTOEVENTO="Manual",$M328=$A$15)),0,
         IF(OFFSET(CRONOPLE!$F$15,$M328-$A$15,BS$13)=0,10^12,OFFSET(CRONOPLE!$F$15,$M328-$A$15,BS$13)))</f>
        <v>1000000000000</v>
      </c>
      <c r="BT328" s="171">
        <f ca="1">IF(OR($D328&lt;&gt;"Serviço",AND(AUTOEVENTO="Manual",$M328=$A$15)),0,
         IF(OFFSET(CRONOPLE!$F$15,$M328-$A$15,BT$13)=0,10^12,OFFSET(CRONOPLE!$F$15,$M328-$A$15,BT$13)))</f>
        <v>1000000000000</v>
      </c>
      <c r="BV328" s="172">
        <f ca="1">IF(OR($D328&lt;&gt;"Serviço",AND(AUTOEVENTO="Manual",$M328=$A$15),$M328&gt;(ROW(PLE.lastrow)-ROW(PLE.firstrow))),0,
           IF(OFFSET(PLE!$G$15,$M328-$A$15,BV$13)="",10^12,OFFSET(PLE!$G$15,$M328-$A$15,BV$13)))</f>
        <v>1000000000000</v>
      </c>
      <c r="BW328" s="172">
        <f ca="1">IF(OR($D328&lt;&gt;"Serviço",AND(AUTOEVENTO="Manual",$M328=$A$15),$M328&gt;(ROW(PLE.lastrow)-ROW(PLE.firstrow))),0,
           IF(OFFSET(PLE!$G$15,$M328-$A$15,BW$13)="",10^12,OFFSET(PLE!$G$15,$M328-$A$15,BW$13)))</f>
        <v>1000000000000</v>
      </c>
      <c r="BX328" s="172">
        <f ca="1">IF(OR($D328&lt;&gt;"Serviço",AND(AUTOEVENTO="Manual",$M328=$A$15),$M328&gt;(ROW(PLE.lastrow)-ROW(PLE.firstrow))),0,
           IF(OFFSET(PLE!$G$15,$M328-$A$15,BX$13)="",10^12,OFFSET(PLE!$G$15,$M328-$A$15,BX$13)))</f>
        <v>1000000000000</v>
      </c>
      <c r="BY328" s="172">
        <f ca="1">IF(OR($D328&lt;&gt;"Serviço",AND(AUTOEVENTO="Manual",$M328=$A$15),$M328&gt;(ROW(PLE.lastrow)-ROW(PLE.firstrow))),0,
           IF(OFFSET(PLE!$G$15,$M328-$A$15,BY$13)="",10^12,OFFSET(PLE!$G$15,$M328-$A$15,BY$13)))</f>
        <v>1000000000000</v>
      </c>
      <c r="BZ328" s="172">
        <f ca="1">IF(OR($D328&lt;&gt;"Serviço",AND(AUTOEVENTO="Manual",$M328=$A$15),$M328&gt;(ROW(PLE.lastrow)-ROW(PLE.firstrow))),0,
           IF(OFFSET(PLE!$G$15,$M328-$A$15,BZ$13)="",10^12,OFFSET(PLE!$G$15,$M328-$A$15,BZ$13)))</f>
        <v>1000000000000</v>
      </c>
      <c r="CA328" s="172">
        <f ca="1">IF(OR($D328&lt;&gt;"Serviço",AND(AUTOEVENTO="Manual",$M328=$A$15),$M328&gt;(ROW(PLE.lastrow)-ROW(PLE.firstrow))),0,
           IF(OFFSET(PLE!$G$15,$M328-$A$15,CA$13)="",10^12,OFFSET(PLE!$G$15,$M328-$A$15,CA$13)))</f>
        <v>1000000000000</v>
      </c>
      <c r="CB328" s="172">
        <f ca="1">IF(OR($D328&lt;&gt;"Serviço",AND(AUTOEVENTO="Manual",$M328=$A$15),$M328&gt;(ROW(PLE.lastrow)-ROW(PLE.firstrow))),0,
           IF(OFFSET(PLE!$G$15,$M328-$A$15,CB$13)="",10^12,OFFSET(PLE!$G$15,$M328-$A$15,CB$13)))</f>
        <v>1000000000000</v>
      </c>
      <c r="CC328" s="172">
        <f ca="1">IF(OR($D328&lt;&gt;"Serviço",AND(AUTOEVENTO="Manual",$M328=$A$15),$M328&gt;(ROW(PLE.lastrow)-ROW(PLE.firstrow))),0,
           IF(OFFSET(PLE!$G$15,$M328-$A$15,CC$13)="",10^12,OFFSET(PLE!$G$15,$M328-$A$15,CC$13)))</f>
        <v>1000000000000</v>
      </c>
      <c r="CD328" s="172">
        <f ca="1">IF(OR($D328&lt;&gt;"Serviço",AND(AUTOEVENTO="Manual",$M328=$A$15),$M328&gt;(ROW(PLE.lastrow)-ROW(PLE.firstrow))),0,
           IF(OFFSET(PLE!$G$15,$M328-$A$15,CD$13)="",10^12,OFFSET(PLE!$G$15,$M328-$A$15,CD$13)))</f>
        <v>1000000000000</v>
      </c>
      <c r="CE328" s="172">
        <f ca="1">IF(OR($D328&lt;&gt;"Serviço",AND(AUTOEVENTO="Manual",$M328=$A$15),$M328&gt;(ROW(PLE.lastrow)-ROW(PLE.firstrow))),0,
           IF(OFFSET(PLE!$G$15,$M328-$A$15,CE$13)="",10^12,OFFSET(PLE!$G$15,$M328-$A$15,CE$13)))</f>
        <v>1000000000000</v>
      </c>
      <c r="CF328" s="172">
        <f ca="1">IF(OR($D328&lt;&gt;"Serviço",AND(AUTOEVENTO="Manual",$M328=$A$15),$M328&gt;(ROW(PLE.lastrow)-ROW(PLE.firstrow))),0,
           IF(OFFSET(PLE!$G$15,$M328-$A$15,CF$13)="",10^12,OFFSET(PLE!$G$15,$M328-$A$15,CF$13)))</f>
        <v>1000000000000</v>
      </c>
      <c r="CG328" s="172">
        <f ca="1">IF(OR($D328&lt;&gt;"Serviço",AND(AUTOEVENTO="Manual",$M328=$A$15),$M328&gt;(ROW(PLE.lastrow)-ROW(PLE.firstrow))),0,
           IF(OFFSET(PLE!$G$15,$M328-$A$15,CG$13)="",10^12,OFFSET(PLE!$G$15,$M328-$A$15,CG$13)))</f>
        <v>1000000000000</v>
      </c>
      <c r="CH328" s="172">
        <f ca="1">IF(OR($D328&lt;&gt;"Serviço",AND(AUTOEVENTO="Manual",$M328=$A$15),$M328&gt;(ROW(PLE.lastrow)-ROW(PLE.firstrow))),0,
           IF(OFFSET(PLE!$G$15,$M328-$A$15,CH$13)="",10^12,OFFSET(PLE!$G$15,$M328-$A$15,CH$13)))</f>
        <v>1000000000000</v>
      </c>
      <c r="CI328" s="172">
        <f ca="1">IF(OR($D328&lt;&gt;"Serviço",AND(AUTOEVENTO="Manual",$M328=$A$15),$M328&gt;(ROW(PLE.lastrow)-ROW(PLE.firstrow))),0,
           IF(OFFSET(PLE!$G$15,$M328-$A$15,CI$13)="",10^12,OFFSET(PLE!$G$15,$M328-$A$15,CI$13)))</f>
        <v>1000000000000</v>
      </c>
      <c r="CJ328" s="172">
        <f ca="1">IF(OR($D328&lt;&gt;"Serviço",AND(AUTOEVENTO="Manual",$M328=$A$15),$M328&gt;(ROW(PLE.lastrow)-ROW(PLE.firstrow))),0,
           IF(OFFSET(PLE!$G$15,$M328-$A$15,CJ$13)="",10^12,OFFSET(PLE!$G$15,$M328-$A$15,CJ$13)))</f>
        <v>1000000000000</v>
      </c>
      <c r="CK328" s="172">
        <f ca="1">IF(OR($D328&lt;&gt;"Serviço",AND(AUTOEVENTO="Manual",$M328=$A$15),$M328&gt;(ROW(PLE.lastrow)-ROW(PLE.firstrow))),0,
           IF(OFFSET(PLE!$G$15,$M328-$A$15,CK$13)="",10^12,OFFSET(PLE!$G$15,$M328-$A$15,CK$13)))</f>
        <v>1000000000000</v>
      </c>
      <c r="CL328" s="172">
        <f ca="1">IF(OR($D328&lt;&gt;"Serviço",AND(AUTOEVENTO="Manual",$M328=$A$15),$M328&gt;(ROW(PLE.lastrow)-ROW(PLE.firstrow))),0,
           IF(OFFSET(PLE!$G$15,$M328-$A$15,CL$13)="",10^12,OFFSET(PLE!$G$15,$M328-$A$15,CL$13)))</f>
        <v>1000000000000</v>
      </c>
      <c r="CM328" s="172">
        <f ca="1">IF(OR($D328&lt;&gt;"Serviço",AND(AUTOEVENTO="Manual",$M328=$A$15),$M328&gt;(ROW(PLE.lastrow)-ROW(PLE.firstrow))),0,
           IF(OFFSET(PLE!$G$15,$M328-$A$15,CM$13)="",10^12,OFFSET(PLE!$G$15,$M328-$A$15,CM$13)))</f>
        <v>1000000000000</v>
      </c>
    </row>
    <row r="329" spans="1:91" ht="63.75" x14ac:dyDescent="0.2">
      <c r="A329" s="7">
        <f t="shared" ca="1" si="14"/>
        <v>6</v>
      </c>
      <c r="B329" s="7" t="str">
        <f ca="1">OFFSET(ORÇAMENTO!C$15,ROW(B329)-ROW(B$15),0)</f>
        <v>S</v>
      </c>
      <c r="C329" s="7" t="str">
        <f ca="1">OFFSET(ORÇAMENTO!L$15,ROW(C329)-ROW(C$15),0)</f>
        <v>F</v>
      </c>
      <c r="D329" s="116" t="str">
        <f ca="1">OFFSET(ORÇAMENTO!N$15,ROW(D329)-ROW(D$15),0)</f>
        <v>Serviço</v>
      </c>
      <c r="E329" s="117" t="str">
        <f ca="1">OFFSET(ORÇAMENTO!O$15,ROW(E329)-ROW(E$15),0)</f>
        <v>1.7.5.1.2.</v>
      </c>
      <c r="F329" s="163" t="str">
        <f ca="1">OFFSET(ORÇAMENTO!R$15,ROW(F329)-ROW(F$15),0)</f>
        <v>EXTREMIDADE PONTA/FLANGE FoFo - DN 600 MM</v>
      </c>
      <c r="G329" s="164" t="str">
        <f ca="1">IF($D329&lt;&gt;"Serviço","",OFFSET(ORÇAMENTO!S$15,ROW(G329)-ROW(G$15),0))</f>
        <v>UN</v>
      </c>
      <c r="H329" s="122" cm="1">
        <f t="array" aca="1" ref="H329" ca="1">IF($D329&lt;&gt;"Serviço",0,IF(ACOMPANHAMENTO="BM",ROUND(OFFSET(ORÇAMENTO!AJ$15,ROW(H329)-ROW(H$15),0),15-13*ORÇAMENTO!$AF$7),SUMPRODUCT(($Q$1:$AI$1=1)*ROUND($Q329:$AI329,15-13*ORÇAMENTO!$AF$7))))</f>
        <v>2</v>
      </c>
      <c r="I329" s="468" t="s">
        <v>1359</v>
      </c>
      <c r="J329" s="640" t="str" cm="1">
        <f t="array" aca="1" ref="J329" ca="1">IF(OR(B329&lt;&gt;"S",CÁLCULO.FrentesPreenchidas=0),"",IF(AND(ACOMPANHAMENTO="PLE",AUTOEVENTO="Manual",OR(H329&gt;0,ORÇAMENTO!AC329="QUANT."),OR(K329="",M329=0,N329="")),"►E",IF(AND(ACOMPANHAMENTO="PLE",ORÇAMENTO!AC329="QUANT."),"►Q",IF(AND(ACOMPANHAMENTO="PLE",H329&lt;&gt;SUMPRODUCT(($Q$1:$AI$1=1)*ROUND(Q329:AI329,15))),"►S",IF(AND(COUNTIF($P$11:$AI$11,"▼")=0,H329&gt;0,I329=""),"◄M","")))))</f>
        <v/>
      </c>
      <c r="K329" s="641" t="s">
        <v>1385</v>
      </c>
      <c r="L329" s="165" t="s">
        <v>764</v>
      </c>
      <c r="M329" s="166">
        <f ca="1">IF($D329&lt;&gt;"Serviço","",
          IF(AUTOEVENTO="manual",$A329,
                IF(ISERROR(MATCH($A329,$A$15:OFFSET($A329,-1,0),0)),MAX($M$15:OFFSET(M329,-1,0))+1,
                      INDEX($M$15:OFFSET(M329,-1,0),MATCH($A329,$A$15:OFFSET($A329,-1,0),0)))))</f>
        <v>6</v>
      </c>
      <c r="N329" s="167" t="str">
        <f ca="1">IF($D329&lt;&gt;"Serviço","",
         IF(AUTOEVENTO="Manual",
                IF($A329=0,"&lt;-- defina o número do agrupador",
                       OFFSET(EVENTOS!$D$15,$A329-$A$15,0)),
                OFFSET($F$15,$A329,0)))</f>
        <v>Saneamento</v>
      </c>
      <c r="O329" s="168"/>
      <c r="Q329" s="168"/>
      <c r="R329" s="169"/>
      <c r="S329" s="169"/>
      <c r="T329" s="169"/>
      <c r="U329" s="169"/>
      <c r="V329" s="169">
        <v>2</v>
      </c>
      <c r="W329" s="169"/>
      <c r="X329" s="169"/>
      <c r="Y329" s="169"/>
      <c r="Z329" s="170"/>
      <c r="AA329" s="169"/>
      <c r="AB329" s="169"/>
      <c r="AC329" s="169"/>
      <c r="AD329" s="169"/>
      <c r="AE329" s="169"/>
      <c r="AF329" s="169"/>
      <c r="AG329" s="169"/>
      <c r="AH329" s="170"/>
      <c r="AJ329" s="453">
        <f ca="1">IF(AND($D329="Serviço",AJ$12&lt;&gt;0,$H329&gt;0,OR(AUTOEVENTO&lt;&gt;"manual",$M329&lt;&gt;$A$15)),
        IF(Import.TipoArredondamento&lt;&gt;"TransfereGOV",
              ROUND(OFFSET($P329,0,AJ$13),15-13*ORÇAMENTO!$AF$7)/$H329*OFFSET(ORÇAMENTO!$X$15,ROW(AJ329)-ROW(AJ$15),0),
              ROUND(ROUND(OFFSET($P329,0,AJ$13),15-13*ORÇAMENTO!$AF$7)*OFFSET(ORÇAMENTO!$W$15,ROW(AJ329)-ROW(AJ$15),0),15-13*ORÇAMENTO!$AF$11)),
         0)</f>
        <v>0</v>
      </c>
      <c r="AK329" s="453">
        <f ca="1">IF(AND($D329="Serviço",AK$12&lt;&gt;0,$H329&gt;0,OR(AUTOEVENTO&lt;&gt;"manual",$M329&lt;&gt;$A$15)),
        IF(Import.TipoArredondamento&lt;&gt;"TransfereGOV",
              ROUND(OFFSET($P329,0,AK$13),15-13*ORÇAMENTO!$AF$7)/$H329*OFFSET(ORÇAMENTO!$X$15,ROW(AK329)-ROW(AK$15),0),
              ROUND(ROUND(OFFSET($P329,0,AK$13),15-13*ORÇAMENTO!$AF$7)*OFFSET(ORÇAMENTO!$W$15,ROW(AK329)-ROW(AK$15),0),15-13*ORÇAMENTO!$AF$11)),
         0)</f>
        <v>0</v>
      </c>
      <c r="AL329" s="453">
        <f ca="1">IF(AND($D329="Serviço",AL$12&lt;&gt;0,$H329&gt;0,OR(AUTOEVENTO&lt;&gt;"manual",$M329&lt;&gt;$A$15)),
        IF(Import.TipoArredondamento&lt;&gt;"TransfereGOV",
              ROUND(OFFSET($P329,0,AL$13),15-13*ORÇAMENTO!$AF$7)/$H329*OFFSET(ORÇAMENTO!$X$15,ROW(AL329)-ROW(AL$15),0),
              ROUND(ROUND(OFFSET($P329,0,AL$13),15-13*ORÇAMENTO!$AF$7)*OFFSET(ORÇAMENTO!$W$15,ROW(AL329)-ROW(AL$15),0),15-13*ORÇAMENTO!$AF$11)),
         0)</f>
        <v>0</v>
      </c>
      <c r="AM329" s="453">
        <f ca="1">IF(AND($D329="Serviço",AM$12&lt;&gt;0,$H329&gt;0,OR(AUTOEVENTO&lt;&gt;"manual",$M329&lt;&gt;$A$15)),
        IF(Import.TipoArredondamento&lt;&gt;"TransfereGOV",
              ROUND(OFFSET($P329,0,AM$13),15-13*ORÇAMENTO!$AF$7)/$H329*OFFSET(ORÇAMENTO!$X$15,ROW(AM329)-ROW(AM$15),0),
              ROUND(ROUND(OFFSET($P329,0,AM$13),15-13*ORÇAMENTO!$AF$7)*OFFSET(ORÇAMENTO!$W$15,ROW(AM329)-ROW(AM$15),0),15-13*ORÇAMENTO!$AF$11)),
         0)</f>
        <v>0</v>
      </c>
      <c r="AN329" s="453">
        <f ca="1">IF(AND($D329="Serviço",AN$12&lt;&gt;0,$H329&gt;0,OR(AUTOEVENTO&lt;&gt;"manual",$M329&lt;&gt;$A$15)),
        IF(Import.TipoArredondamento&lt;&gt;"TransfereGOV",
              ROUND(OFFSET($P329,0,AN$13),15-13*ORÇAMENTO!$AF$7)/$H329*OFFSET(ORÇAMENTO!$X$15,ROW(AN329)-ROW(AN$15),0),
              ROUND(ROUND(OFFSET($P329,0,AN$13),15-13*ORÇAMENTO!$AF$7)*OFFSET(ORÇAMENTO!$W$15,ROW(AN329)-ROW(AN$15),0),15-13*ORÇAMENTO!$AF$11)),
         0)</f>
        <v>0</v>
      </c>
      <c r="AO329" s="453">
        <f ca="1">IF(AND($D329="Serviço",AO$12&lt;&gt;0,$H329&gt;0,OR(AUTOEVENTO&lt;&gt;"manual",$M329&lt;&gt;$A$15)),
        IF(Import.TipoArredondamento&lt;&gt;"TransfereGOV",
              ROUND(OFFSET($P329,0,AO$13),15-13*ORÇAMENTO!$AF$7)/$H329*OFFSET(ORÇAMENTO!$X$15,ROW(AO329)-ROW(AO$15),0),
              ROUND(ROUND(OFFSET($P329,0,AO$13),15-13*ORÇAMENTO!$AF$7)*OFFSET(ORÇAMENTO!$W$15,ROW(AO329)-ROW(AO$15),0),15-13*ORÇAMENTO!$AF$11)),
         0)</f>
        <v>0</v>
      </c>
      <c r="AP329" s="453">
        <f ca="1">IF(AND($D329="Serviço",AP$12&lt;&gt;0,$H329&gt;0,OR(AUTOEVENTO&lt;&gt;"manual",$M329&lt;&gt;$A$15)),
        IF(Import.TipoArredondamento&lt;&gt;"TransfereGOV",
              ROUND(OFFSET($P329,0,AP$13),15-13*ORÇAMENTO!$AF$7)/$H329*OFFSET(ORÇAMENTO!$X$15,ROW(AP329)-ROW(AP$15),0),
              ROUND(ROUND(OFFSET($P329,0,AP$13),15-13*ORÇAMENTO!$AF$7)*OFFSET(ORÇAMENTO!$W$15,ROW(AP329)-ROW(AP$15),0),15-13*ORÇAMENTO!$AF$11)),
         0)</f>
        <v>0</v>
      </c>
      <c r="AQ329" s="453">
        <f ca="1">IF(AND($D329="Serviço",AQ$12&lt;&gt;0,$H329&gt;0,OR(AUTOEVENTO&lt;&gt;"manual",$M329&lt;&gt;$A$15)),
        IF(Import.TipoArredondamento&lt;&gt;"TransfereGOV",
              ROUND(OFFSET($P329,0,AQ$13),15-13*ORÇAMENTO!$AF$7)/$H329*OFFSET(ORÇAMENTO!$X$15,ROW(AQ329)-ROW(AQ$15),0),
              ROUND(ROUND(OFFSET($P329,0,AQ$13),15-13*ORÇAMENTO!$AF$7)*OFFSET(ORÇAMENTO!$W$15,ROW(AQ329)-ROW(AQ$15),0),15-13*ORÇAMENTO!$AF$11)),
         0)</f>
        <v>0</v>
      </c>
      <c r="AR329" s="453">
        <f ca="1">IF(AND($D329="Serviço",AR$12&lt;&gt;0,$H329&gt;0,OR(AUTOEVENTO&lt;&gt;"manual",$M329&lt;&gt;$A$15)),
        IF(Import.TipoArredondamento&lt;&gt;"TransfereGOV",
              ROUND(OFFSET($P329,0,AR$13),15-13*ORÇAMENTO!$AF$7)/$H329*OFFSET(ORÇAMENTO!$X$15,ROW(AR329)-ROW(AR$15),0),
              ROUND(ROUND(OFFSET($P329,0,AR$13),15-13*ORÇAMENTO!$AF$7)*OFFSET(ORÇAMENTO!$W$15,ROW(AR329)-ROW(AR$15),0),15-13*ORÇAMENTO!$AF$11)),
         0)</f>
        <v>0</v>
      </c>
      <c r="AS329" s="453">
        <f ca="1">IF(AND($D329="Serviço",AS$12&lt;&gt;0,$H329&gt;0,OR(AUTOEVENTO&lt;&gt;"manual",$M329&lt;&gt;$A$15)),
        IF(Import.TipoArredondamento&lt;&gt;"TransfereGOV",
              ROUND(OFFSET($P329,0,AS$13),15-13*ORÇAMENTO!$AF$7)/$H329*OFFSET(ORÇAMENTO!$X$15,ROW(AS329)-ROW(AS$15),0),
              ROUND(ROUND(OFFSET($P329,0,AS$13),15-13*ORÇAMENTO!$AF$7)*OFFSET(ORÇAMENTO!$W$15,ROW(AS329)-ROW(AS$15),0),15-13*ORÇAMENTO!$AF$11)),
         0)</f>
        <v>0</v>
      </c>
      <c r="AT329" s="453">
        <f ca="1">IF(AND($D329="Serviço",AT$12&lt;&gt;0,$H329&gt;0,OR(AUTOEVENTO&lt;&gt;"manual",$M329&lt;&gt;$A$15)),
        IF(Import.TipoArredondamento&lt;&gt;"TransfereGOV",
              ROUND(OFFSET($P329,0,AT$13),15-13*ORÇAMENTO!$AF$7)/$H329*OFFSET(ORÇAMENTO!$X$15,ROW(AT329)-ROW(AT$15),0),
              ROUND(ROUND(OFFSET($P329,0,AT$13),15-13*ORÇAMENTO!$AF$7)*OFFSET(ORÇAMENTO!$W$15,ROW(AT329)-ROW(AT$15),0),15-13*ORÇAMENTO!$AF$11)),
         0)</f>
        <v>0</v>
      </c>
      <c r="AU329" s="453">
        <f ca="1">IF(AND($D329="Serviço",AU$12&lt;&gt;0,$H329&gt;0,OR(AUTOEVENTO&lt;&gt;"manual",$M329&lt;&gt;$A$15)),
        IF(Import.TipoArredondamento&lt;&gt;"TransfereGOV",
              ROUND(OFFSET($P329,0,AU$13),15-13*ORÇAMENTO!$AF$7)/$H329*OFFSET(ORÇAMENTO!$X$15,ROW(AU329)-ROW(AU$15),0),
              ROUND(ROUND(OFFSET($P329,0,AU$13),15-13*ORÇAMENTO!$AF$7)*OFFSET(ORÇAMENTO!$W$15,ROW(AU329)-ROW(AU$15),0),15-13*ORÇAMENTO!$AF$11)),
         0)</f>
        <v>0</v>
      </c>
      <c r="AV329" s="453">
        <f ca="1">IF(AND($D329="Serviço",AV$12&lt;&gt;0,$H329&gt;0,OR(AUTOEVENTO&lt;&gt;"manual",$M329&lt;&gt;$A$15)),
        IF(Import.TipoArredondamento&lt;&gt;"TransfereGOV",
              ROUND(OFFSET($P329,0,AV$13),15-13*ORÇAMENTO!$AF$7)/$H329*OFFSET(ORÇAMENTO!$X$15,ROW(AV329)-ROW(AV$15),0),
              ROUND(ROUND(OFFSET($P329,0,AV$13),15-13*ORÇAMENTO!$AF$7)*OFFSET(ORÇAMENTO!$W$15,ROW(AV329)-ROW(AV$15),0),15-13*ORÇAMENTO!$AF$11)),
         0)</f>
        <v>0</v>
      </c>
      <c r="AW329" s="453">
        <f ca="1">IF(AND($D329="Serviço",AW$12&lt;&gt;0,$H329&gt;0,OR(AUTOEVENTO&lt;&gt;"manual",$M329&lt;&gt;$A$15)),
        IF(Import.TipoArredondamento&lt;&gt;"TransfereGOV",
              ROUND(OFFSET($P329,0,AW$13),15-13*ORÇAMENTO!$AF$7)/$H329*OFFSET(ORÇAMENTO!$X$15,ROW(AW329)-ROW(AW$15),0),
              ROUND(ROUND(OFFSET($P329,0,AW$13),15-13*ORÇAMENTO!$AF$7)*OFFSET(ORÇAMENTO!$W$15,ROW(AW329)-ROW(AW$15),0),15-13*ORÇAMENTO!$AF$11)),
         0)</f>
        <v>0</v>
      </c>
      <c r="AX329" s="453">
        <f ca="1">IF(AND($D329="Serviço",AX$12&lt;&gt;0,$H329&gt;0,OR(AUTOEVENTO&lt;&gt;"manual",$M329&lt;&gt;$A$15)),
        IF(Import.TipoArredondamento&lt;&gt;"TransfereGOV",
              ROUND(OFFSET($P329,0,AX$13),15-13*ORÇAMENTO!$AF$7)/$H329*OFFSET(ORÇAMENTO!$X$15,ROW(AX329)-ROW(AX$15),0),
              ROUND(ROUND(OFFSET($P329,0,AX$13),15-13*ORÇAMENTO!$AF$7)*OFFSET(ORÇAMENTO!$W$15,ROW(AX329)-ROW(AX$15),0),15-13*ORÇAMENTO!$AF$11)),
         0)</f>
        <v>0</v>
      </c>
      <c r="AY329" s="453">
        <f ca="1">IF(AND($D329="Serviço",AY$12&lt;&gt;0,$H329&gt;0,OR(AUTOEVENTO&lt;&gt;"manual",$M329&lt;&gt;$A$15)),
        IF(Import.TipoArredondamento&lt;&gt;"TransfereGOV",
              ROUND(OFFSET($P329,0,AY$13),15-13*ORÇAMENTO!$AF$7)/$H329*OFFSET(ORÇAMENTO!$X$15,ROW(AY329)-ROW(AY$15),0),
              ROUND(ROUND(OFFSET($P329,0,AY$13),15-13*ORÇAMENTO!$AF$7)*OFFSET(ORÇAMENTO!$W$15,ROW(AY329)-ROW(AY$15),0),15-13*ORÇAMENTO!$AF$11)),
         0)</f>
        <v>0</v>
      </c>
      <c r="AZ329" s="453">
        <f ca="1">IF(AND($D329="Serviço",AZ$12&lt;&gt;0,$H329&gt;0,OR(AUTOEVENTO&lt;&gt;"manual",$M329&lt;&gt;$A$15)),
        IF(Import.TipoArredondamento&lt;&gt;"TransfereGOV",
              ROUND(OFFSET($P329,0,AZ$13),15-13*ORÇAMENTO!$AF$7)/$H329*OFFSET(ORÇAMENTO!$X$15,ROW(AZ329)-ROW(AZ$15),0),
              ROUND(ROUND(OFFSET($P329,0,AZ$13),15-13*ORÇAMENTO!$AF$7)*OFFSET(ORÇAMENTO!$W$15,ROW(AZ329)-ROW(AZ$15),0),15-13*ORÇAMENTO!$AF$11)),
         0)</f>
        <v>0</v>
      </c>
      <c r="BA329" s="453">
        <f ca="1">IF(AND($D329="Serviço",BA$12&lt;&gt;0,$H329&gt;0,OR(AUTOEVENTO&lt;&gt;"manual",$M329&lt;&gt;$A$15)),
        IF(Import.TipoArredondamento&lt;&gt;"TransfereGOV",
              ROUND(OFFSET($P329,0,BA$13),15-13*ORÇAMENTO!$AF$7)/$H329*OFFSET(ORÇAMENTO!$X$15,ROW(BA329)-ROW(BA$15),0),
              ROUND(ROUND(OFFSET($P329,0,BA$13),15-13*ORÇAMENTO!$AF$7)*OFFSET(ORÇAMENTO!$W$15,ROW(BA329)-ROW(BA$15),0),15-13*ORÇAMENTO!$AF$11)),
         0)</f>
        <v>0</v>
      </c>
      <c r="BC329" s="171">
        <f ca="1">IF(OR($D329&lt;&gt;"Serviço",AND(AUTOEVENTO="Manual",$M329=$A$15)),0,
         IF(OFFSET(CRONOPLE!$F$15,$M329-$A$15,BC$13)=0,10^12,OFFSET(CRONOPLE!$F$15,$M329-$A$15,BC$13)))</f>
        <v>1</v>
      </c>
      <c r="BD329" s="171">
        <f ca="1">IF(OR($D329&lt;&gt;"Serviço",AND(AUTOEVENTO="Manual",$M329=$A$15)),0,
         IF(OFFSET(CRONOPLE!$F$15,$M329-$A$15,BD$13)=0,10^12,OFFSET(CRONOPLE!$F$15,$M329-$A$15,BD$13)))</f>
        <v>2</v>
      </c>
      <c r="BE329" s="171">
        <f ca="1">IF(OR($D329&lt;&gt;"Serviço",AND(AUTOEVENTO="Manual",$M329=$A$15)),0,
         IF(OFFSET(CRONOPLE!$F$15,$M329-$A$15,BE$13)=0,10^12,OFFSET(CRONOPLE!$F$15,$M329-$A$15,BE$13)))</f>
        <v>3</v>
      </c>
      <c r="BF329" s="171">
        <f ca="1">IF(OR($D329&lt;&gt;"Serviço",AND(AUTOEVENTO="Manual",$M329=$A$15)),0,
         IF(OFFSET(CRONOPLE!$F$15,$M329-$A$15,BF$13)=0,10^12,OFFSET(CRONOPLE!$F$15,$M329-$A$15,BF$13)))</f>
        <v>4</v>
      </c>
      <c r="BG329" s="171">
        <f ca="1">IF(OR($D329&lt;&gt;"Serviço",AND(AUTOEVENTO="Manual",$M329=$A$15)),0,
         IF(OFFSET(CRONOPLE!$F$15,$M329-$A$15,BG$13)=0,10^12,OFFSET(CRONOPLE!$F$15,$M329-$A$15,BG$13)))</f>
        <v>5</v>
      </c>
      <c r="BH329" s="171">
        <f ca="1">IF(OR($D329&lt;&gt;"Serviço",AND(AUTOEVENTO="Manual",$M329=$A$15)),0,
         IF(OFFSET(CRONOPLE!$F$15,$M329-$A$15,BH$13)=0,10^12,OFFSET(CRONOPLE!$F$15,$M329-$A$15,BH$13)))</f>
        <v>6</v>
      </c>
      <c r="BI329" s="171">
        <f ca="1">IF(OR($D329&lt;&gt;"Serviço",AND(AUTOEVENTO="Manual",$M329=$A$15)),0,
         IF(OFFSET(CRONOPLE!$F$15,$M329-$A$15,BI$13)=0,10^12,OFFSET(CRONOPLE!$F$15,$M329-$A$15,BI$13)))</f>
        <v>7</v>
      </c>
      <c r="BJ329" s="171">
        <f ca="1">IF(OR($D329&lt;&gt;"Serviço",AND(AUTOEVENTO="Manual",$M329=$A$15)),0,
         IF(OFFSET(CRONOPLE!$F$15,$M329-$A$15,BJ$13)=0,10^12,OFFSET(CRONOPLE!$F$15,$M329-$A$15,BJ$13)))</f>
        <v>8</v>
      </c>
      <c r="BK329" s="171">
        <f ca="1">IF(OR($D329&lt;&gt;"Serviço",AND(AUTOEVENTO="Manual",$M329=$A$15)),0,
         IF(OFFSET(CRONOPLE!$F$15,$M329-$A$15,BK$13)=0,10^12,OFFSET(CRONOPLE!$F$15,$M329-$A$15,BK$13)))</f>
        <v>9</v>
      </c>
      <c r="BL329" s="171">
        <f ca="1">IF(OR($D329&lt;&gt;"Serviço",AND(AUTOEVENTO="Manual",$M329=$A$15)),0,
         IF(OFFSET(CRONOPLE!$F$15,$M329-$A$15,BL$13)=0,10^12,OFFSET(CRONOPLE!$F$15,$M329-$A$15,BL$13)))</f>
        <v>1000000000000</v>
      </c>
      <c r="BM329" s="171">
        <f ca="1">IF(OR($D329&lt;&gt;"Serviço",AND(AUTOEVENTO="Manual",$M329=$A$15)),0,
         IF(OFFSET(CRONOPLE!$F$15,$M329-$A$15,BM$13)=0,10^12,OFFSET(CRONOPLE!$F$15,$M329-$A$15,BM$13)))</f>
        <v>1000000000000</v>
      </c>
      <c r="BN329" s="171">
        <f ca="1">IF(OR($D329&lt;&gt;"Serviço",AND(AUTOEVENTO="Manual",$M329=$A$15)),0,
         IF(OFFSET(CRONOPLE!$F$15,$M329-$A$15,BN$13)=0,10^12,OFFSET(CRONOPLE!$F$15,$M329-$A$15,BN$13)))</f>
        <v>1000000000000</v>
      </c>
      <c r="BO329" s="171">
        <f ca="1">IF(OR($D329&lt;&gt;"Serviço",AND(AUTOEVENTO="Manual",$M329=$A$15)),0,
         IF(OFFSET(CRONOPLE!$F$15,$M329-$A$15,BO$13)=0,10^12,OFFSET(CRONOPLE!$F$15,$M329-$A$15,BO$13)))</f>
        <v>1000000000000</v>
      </c>
      <c r="BP329" s="171">
        <f ca="1">IF(OR($D329&lt;&gt;"Serviço",AND(AUTOEVENTO="Manual",$M329=$A$15)),0,
         IF(OFFSET(CRONOPLE!$F$15,$M329-$A$15,BP$13)=0,10^12,OFFSET(CRONOPLE!$F$15,$M329-$A$15,BP$13)))</f>
        <v>1000000000000</v>
      </c>
      <c r="BQ329" s="171">
        <f ca="1">IF(OR($D329&lt;&gt;"Serviço",AND(AUTOEVENTO="Manual",$M329=$A$15)),0,
         IF(OFFSET(CRONOPLE!$F$15,$M329-$A$15,BQ$13)=0,10^12,OFFSET(CRONOPLE!$F$15,$M329-$A$15,BQ$13)))</f>
        <v>1000000000000</v>
      </c>
      <c r="BR329" s="171">
        <f ca="1">IF(OR($D329&lt;&gt;"Serviço",AND(AUTOEVENTO="Manual",$M329=$A$15)),0,
         IF(OFFSET(CRONOPLE!$F$15,$M329-$A$15,BR$13)=0,10^12,OFFSET(CRONOPLE!$F$15,$M329-$A$15,BR$13)))</f>
        <v>1000000000000</v>
      </c>
      <c r="BS329" s="171">
        <f ca="1">IF(OR($D329&lt;&gt;"Serviço",AND(AUTOEVENTO="Manual",$M329=$A$15)),0,
         IF(OFFSET(CRONOPLE!$F$15,$M329-$A$15,BS$13)=0,10^12,OFFSET(CRONOPLE!$F$15,$M329-$A$15,BS$13)))</f>
        <v>1000000000000</v>
      </c>
      <c r="BT329" s="171">
        <f ca="1">IF(OR($D329&lt;&gt;"Serviço",AND(AUTOEVENTO="Manual",$M329=$A$15)),0,
         IF(OFFSET(CRONOPLE!$F$15,$M329-$A$15,BT$13)=0,10^12,OFFSET(CRONOPLE!$F$15,$M329-$A$15,BT$13)))</f>
        <v>1000000000000</v>
      </c>
      <c r="BV329" s="172">
        <f ca="1">IF(OR($D329&lt;&gt;"Serviço",AND(AUTOEVENTO="Manual",$M329=$A$15),$M329&gt;(ROW(PLE.lastrow)-ROW(PLE.firstrow))),0,
           IF(OFFSET(PLE!$G$15,$M329-$A$15,BV$13)="",10^12,OFFSET(PLE!$G$15,$M329-$A$15,BV$13)))</f>
        <v>1000000000000</v>
      </c>
      <c r="BW329" s="172">
        <f ca="1">IF(OR($D329&lt;&gt;"Serviço",AND(AUTOEVENTO="Manual",$M329=$A$15),$M329&gt;(ROW(PLE.lastrow)-ROW(PLE.firstrow))),0,
           IF(OFFSET(PLE!$G$15,$M329-$A$15,BW$13)="",10^12,OFFSET(PLE!$G$15,$M329-$A$15,BW$13)))</f>
        <v>1000000000000</v>
      </c>
      <c r="BX329" s="172">
        <f ca="1">IF(OR($D329&lt;&gt;"Serviço",AND(AUTOEVENTO="Manual",$M329=$A$15),$M329&gt;(ROW(PLE.lastrow)-ROW(PLE.firstrow))),0,
           IF(OFFSET(PLE!$G$15,$M329-$A$15,BX$13)="",10^12,OFFSET(PLE!$G$15,$M329-$A$15,BX$13)))</f>
        <v>1000000000000</v>
      </c>
      <c r="BY329" s="172">
        <f ca="1">IF(OR($D329&lt;&gt;"Serviço",AND(AUTOEVENTO="Manual",$M329=$A$15),$M329&gt;(ROW(PLE.lastrow)-ROW(PLE.firstrow))),0,
           IF(OFFSET(PLE!$G$15,$M329-$A$15,BY$13)="",10^12,OFFSET(PLE!$G$15,$M329-$A$15,BY$13)))</f>
        <v>1000000000000</v>
      </c>
      <c r="BZ329" s="172">
        <f ca="1">IF(OR($D329&lt;&gt;"Serviço",AND(AUTOEVENTO="Manual",$M329=$A$15),$M329&gt;(ROW(PLE.lastrow)-ROW(PLE.firstrow))),0,
           IF(OFFSET(PLE!$G$15,$M329-$A$15,BZ$13)="",10^12,OFFSET(PLE!$G$15,$M329-$A$15,BZ$13)))</f>
        <v>1000000000000</v>
      </c>
      <c r="CA329" s="172">
        <f ca="1">IF(OR($D329&lt;&gt;"Serviço",AND(AUTOEVENTO="Manual",$M329=$A$15),$M329&gt;(ROW(PLE.lastrow)-ROW(PLE.firstrow))),0,
           IF(OFFSET(PLE!$G$15,$M329-$A$15,CA$13)="",10^12,OFFSET(PLE!$G$15,$M329-$A$15,CA$13)))</f>
        <v>1000000000000</v>
      </c>
      <c r="CB329" s="172">
        <f ca="1">IF(OR($D329&lt;&gt;"Serviço",AND(AUTOEVENTO="Manual",$M329=$A$15),$M329&gt;(ROW(PLE.lastrow)-ROW(PLE.firstrow))),0,
           IF(OFFSET(PLE!$G$15,$M329-$A$15,CB$13)="",10^12,OFFSET(PLE!$G$15,$M329-$A$15,CB$13)))</f>
        <v>1000000000000</v>
      </c>
      <c r="CC329" s="172">
        <f ca="1">IF(OR($D329&lt;&gt;"Serviço",AND(AUTOEVENTO="Manual",$M329=$A$15),$M329&gt;(ROW(PLE.lastrow)-ROW(PLE.firstrow))),0,
           IF(OFFSET(PLE!$G$15,$M329-$A$15,CC$13)="",10^12,OFFSET(PLE!$G$15,$M329-$A$15,CC$13)))</f>
        <v>1000000000000</v>
      </c>
      <c r="CD329" s="172">
        <f ca="1">IF(OR($D329&lt;&gt;"Serviço",AND(AUTOEVENTO="Manual",$M329=$A$15),$M329&gt;(ROW(PLE.lastrow)-ROW(PLE.firstrow))),0,
           IF(OFFSET(PLE!$G$15,$M329-$A$15,CD$13)="",10^12,OFFSET(PLE!$G$15,$M329-$A$15,CD$13)))</f>
        <v>1000000000000</v>
      </c>
      <c r="CE329" s="172">
        <f ca="1">IF(OR($D329&lt;&gt;"Serviço",AND(AUTOEVENTO="Manual",$M329=$A$15),$M329&gt;(ROW(PLE.lastrow)-ROW(PLE.firstrow))),0,
           IF(OFFSET(PLE!$G$15,$M329-$A$15,CE$13)="",10^12,OFFSET(PLE!$G$15,$M329-$A$15,CE$13)))</f>
        <v>1000000000000</v>
      </c>
      <c r="CF329" s="172">
        <f ca="1">IF(OR($D329&lt;&gt;"Serviço",AND(AUTOEVENTO="Manual",$M329=$A$15),$M329&gt;(ROW(PLE.lastrow)-ROW(PLE.firstrow))),0,
           IF(OFFSET(PLE!$G$15,$M329-$A$15,CF$13)="",10^12,OFFSET(PLE!$G$15,$M329-$A$15,CF$13)))</f>
        <v>1000000000000</v>
      </c>
      <c r="CG329" s="172">
        <f ca="1">IF(OR($D329&lt;&gt;"Serviço",AND(AUTOEVENTO="Manual",$M329=$A$15),$M329&gt;(ROW(PLE.lastrow)-ROW(PLE.firstrow))),0,
           IF(OFFSET(PLE!$G$15,$M329-$A$15,CG$13)="",10^12,OFFSET(PLE!$G$15,$M329-$A$15,CG$13)))</f>
        <v>1000000000000</v>
      </c>
      <c r="CH329" s="172">
        <f ca="1">IF(OR($D329&lt;&gt;"Serviço",AND(AUTOEVENTO="Manual",$M329=$A$15),$M329&gt;(ROW(PLE.lastrow)-ROW(PLE.firstrow))),0,
           IF(OFFSET(PLE!$G$15,$M329-$A$15,CH$13)="",10^12,OFFSET(PLE!$G$15,$M329-$A$15,CH$13)))</f>
        <v>1000000000000</v>
      </c>
      <c r="CI329" s="172">
        <f ca="1">IF(OR($D329&lt;&gt;"Serviço",AND(AUTOEVENTO="Manual",$M329=$A$15),$M329&gt;(ROW(PLE.lastrow)-ROW(PLE.firstrow))),0,
           IF(OFFSET(PLE!$G$15,$M329-$A$15,CI$13)="",10^12,OFFSET(PLE!$G$15,$M329-$A$15,CI$13)))</f>
        <v>1000000000000</v>
      </c>
      <c r="CJ329" s="172">
        <f ca="1">IF(OR($D329&lt;&gt;"Serviço",AND(AUTOEVENTO="Manual",$M329=$A$15),$M329&gt;(ROW(PLE.lastrow)-ROW(PLE.firstrow))),0,
           IF(OFFSET(PLE!$G$15,$M329-$A$15,CJ$13)="",10^12,OFFSET(PLE!$G$15,$M329-$A$15,CJ$13)))</f>
        <v>1000000000000</v>
      </c>
      <c r="CK329" s="172">
        <f ca="1">IF(OR($D329&lt;&gt;"Serviço",AND(AUTOEVENTO="Manual",$M329=$A$15),$M329&gt;(ROW(PLE.lastrow)-ROW(PLE.firstrow))),0,
           IF(OFFSET(PLE!$G$15,$M329-$A$15,CK$13)="",10^12,OFFSET(PLE!$G$15,$M329-$A$15,CK$13)))</f>
        <v>1000000000000</v>
      </c>
      <c r="CL329" s="172">
        <f ca="1">IF(OR($D329&lt;&gt;"Serviço",AND(AUTOEVENTO="Manual",$M329=$A$15),$M329&gt;(ROW(PLE.lastrow)-ROW(PLE.firstrow))),0,
           IF(OFFSET(PLE!$G$15,$M329-$A$15,CL$13)="",10^12,OFFSET(PLE!$G$15,$M329-$A$15,CL$13)))</f>
        <v>1000000000000</v>
      </c>
      <c r="CM329" s="172">
        <f ca="1">IF(OR($D329&lt;&gt;"Serviço",AND(AUTOEVENTO="Manual",$M329=$A$15),$M329&gt;(ROW(PLE.lastrow)-ROW(PLE.firstrow))),0,
           IF(OFFSET(PLE!$G$15,$M329-$A$15,CM$13)="",10^12,OFFSET(PLE!$G$15,$M329-$A$15,CM$13)))</f>
        <v>1000000000000</v>
      </c>
    </row>
    <row r="330" spans="1:91" ht="63.75" x14ac:dyDescent="0.2">
      <c r="A330" s="7">
        <f t="shared" ca="1" si="14"/>
        <v>6</v>
      </c>
      <c r="B330" s="7" t="str">
        <f ca="1">OFFSET(ORÇAMENTO!C$15,ROW(B330)-ROW(B$15),0)</f>
        <v>S</v>
      </c>
      <c r="C330" s="7" t="str">
        <f ca="1">OFFSET(ORÇAMENTO!L$15,ROW(C330)-ROW(C$15),0)</f>
        <v>F</v>
      </c>
      <c r="D330" s="116" t="str">
        <f ca="1">OFFSET(ORÇAMENTO!N$15,ROW(D330)-ROW(D$15),0)</f>
        <v>Serviço</v>
      </c>
      <c r="E330" s="117" t="str">
        <f ca="1">OFFSET(ORÇAMENTO!O$15,ROW(E330)-ROW(E$15),0)</f>
        <v>1.7.5.1.3.</v>
      </c>
      <c r="F330" s="163" t="str">
        <f ca="1">OFFSET(ORÇAMENTO!R$15,ROW(F330)-ROW(F$15),0)</f>
        <v>LUVA COM BOLSAS FoFo - DN 600 MM</v>
      </c>
      <c r="G330" s="164" t="str">
        <f ca="1">IF($D330&lt;&gt;"Serviço","",OFFSET(ORÇAMENTO!S$15,ROW(G330)-ROW(G$15),0))</f>
        <v>UN</v>
      </c>
      <c r="H330" s="122" cm="1">
        <f t="array" aca="1" ref="H330" ca="1">IF($D330&lt;&gt;"Serviço",0,IF(ACOMPANHAMENTO="BM",ROUND(OFFSET(ORÇAMENTO!AJ$15,ROW(H330)-ROW(H$15),0),15-13*ORÇAMENTO!$AF$7),SUMPRODUCT(($Q$1:$AI$1=1)*ROUND($Q330:$AI330,15-13*ORÇAMENTO!$AF$7))))</f>
        <v>1</v>
      </c>
      <c r="I330" s="468" t="s">
        <v>1359</v>
      </c>
      <c r="J330" s="640" t="str" cm="1">
        <f t="array" aca="1" ref="J330" ca="1">IF(OR(B330&lt;&gt;"S",CÁLCULO.FrentesPreenchidas=0),"",IF(AND(ACOMPANHAMENTO="PLE",AUTOEVENTO="Manual",OR(H330&gt;0,ORÇAMENTO!AC330="QUANT."),OR(K330="",M330=0,N330="")),"►E",IF(AND(ACOMPANHAMENTO="PLE",ORÇAMENTO!AC330="QUANT."),"►Q",IF(AND(ACOMPANHAMENTO="PLE",H330&lt;&gt;SUMPRODUCT(($Q$1:$AI$1=1)*ROUND(Q330:AI330,15))),"►S",IF(AND(COUNTIF($P$11:$AI$11,"▼")=0,H330&gt;0,I330=""),"◄M","")))))</f>
        <v/>
      </c>
      <c r="K330" s="641" t="s">
        <v>1385</v>
      </c>
      <c r="L330" s="165" t="s">
        <v>764</v>
      </c>
      <c r="M330" s="166">
        <f ca="1">IF($D330&lt;&gt;"Serviço","",
          IF(AUTOEVENTO="manual",$A330,
                IF(ISERROR(MATCH($A330,$A$15:OFFSET($A330,-1,0),0)),MAX($M$15:OFFSET(M330,-1,0))+1,
                      INDEX($M$15:OFFSET(M330,-1,0),MATCH($A330,$A$15:OFFSET($A330,-1,0),0)))))</f>
        <v>6</v>
      </c>
      <c r="N330" s="167" t="str">
        <f ca="1">IF($D330&lt;&gt;"Serviço","",
         IF(AUTOEVENTO="Manual",
                IF($A330=0,"&lt;-- defina o número do agrupador",
                       OFFSET(EVENTOS!$D$15,$A330-$A$15,0)),
                OFFSET($F$15,$A330,0)))</f>
        <v>Saneamento</v>
      </c>
      <c r="O330" s="168"/>
      <c r="Q330" s="168"/>
      <c r="R330" s="169"/>
      <c r="S330" s="169"/>
      <c r="T330" s="169"/>
      <c r="U330" s="169"/>
      <c r="V330" s="169">
        <v>1</v>
      </c>
      <c r="W330" s="169"/>
      <c r="X330" s="169"/>
      <c r="Y330" s="169"/>
      <c r="Z330" s="170"/>
      <c r="AA330" s="169"/>
      <c r="AB330" s="169"/>
      <c r="AC330" s="169"/>
      <c r="AD330" s="169"/>
      <c r="AE330" s="169"/>
      <c r="AF330" s="169"/>
      <c r="AG330" s="169"/>
      <c r="AH330" s="170"/>
      <c r="AJ330" s="453">
        <f ca="1">IF(AND($D330="Serviço",AJ$12&lt;&gt;0,$H330&gt;0,OR(AUTOEVENTO&lt;&gt;"manual",$M330&lt;&gt;$A$15)),
        IF(Import.TipoArredondamento&lt;&gt;"TransfereGOV",
              ROUND(OFFSET($P330,0,AJ$13),15-13*ORÇAMENTO!$AF$7)/$H330*OFFSET(ORÇAMENTO!$X$15,ROW(AJ330)-ROW(AJ$15),0),
              ROUND(ROUND(OFFSET($P330,0,AJ$13),15-13*ORÇAMENTO!$AF$7)*OFFSET(ORÇAMENTO!$W$15,ROW(AJ330)-ROW(AJ$15),0),15-13*ORÇAMENTO!$AF$11)),
         0)</f>
        <v>0</v>
      </c>
      <c r="AK330" s="453">
        <f ca="1">IF(AND($D330="Serviço",AK$12&lt;&gt;0,$H330&gt;0,OR(AUTOEVENTO&lt;&gt;"manual",$M330&lt;&gt;$A$15)),
        IF(Import.TipoArredondamento&lt;&gt;"TransfereGOV",
              ROUND(OFFSET($P330,0,AK$13),15-13*ORÇAMENTO!$AF$7)/$H330*OFFSET(ORÇAMENTO!$X$15,ROW(AK330)-ROW(AK$15),0),
              ROUND(ROUND(OFFSET($P330,0,AK$13),15-13*ORÇAMENTO!$AF$7)*OFFSET(ORÇAMENTO!$W$15,ROW(AK330)-ROW(AK$15),0),15-13*ORÇAMENTO!$AF$11)),
         0)</f>
        <v>0</v>
      </c>
      <c r="AL330" s="453">
        <f ca="1">IF(AND($D330="Serviço",AL$12&lt;&gt;0,$H330&gt;0,OR(AUTOEVENTO&lt;&gt;"manual",$M330&lt;&gt;$A$15)),
        IF(Import.TipoArredondamento&lt;&gt;"TransfereGOV",
              ROUND(OFFSET($P330,0,AL$13),15-13*ORÇAMENTO!$AF$7)/$H330*OFFSET(ORÇAMENTO!$X$15,ROW(AL330)-ROW(AL$15),0),
              ROUND(ROUND(OFFSET($P330,0,AL$13),15-13*ORÇAMENTO!$AF$7)*OFFSET(ORÇAMENTO!$W$15,ROW(AL330)-ROW(AL$15),0),15-13*ORÇAMENTO!$AF$11)),
         0)</f>
        <v>0</v>
      </c>
      <c r="AM330" s="453">
        <f ca="1">IF(AND($D330="Serviço",AM$12&lt;&gt;0,$H330&gt;0,OR(AUTOEVENTO&lt;&gt;"manual",$M330&lt;&gt;$A$15)),
        IF(Import.TipoArredondamento&lt;&gt;"TransfereGOV",
              ROUND(OFFSET($P330,0,AM$13),15-13*ORÇAMENTO!$AF$7)/$H330*OFFSET(ORÇAMENTO!$X$15,ROW(AM330)-ROW(AM$15),0),
              ROUND(ROUND(OFFSET($P330,0,AM$13),15-13*ORÇAMENTO!$AF$7)*OFFSET(ORÇAMENTO!$W$15,ROW(AM330)-ROW(AM$15),0),15-13*ORÇAMENTO!$AF$11)),
         0)</f>
        <v>0</v>
      </c>
      <c r="AN330" s="453">
        <f ca="1">IF(AND($D330="Serviço",AN$12&lt;&gt;0,$H330&gt;0,OR(AUTOEVENTO&lt;&gt;"manual",$M330&lt;&gt;$A$15)),
        IF(Import.TipoArredondamento&lt;&gt;"TransfereGOV",
              ROUND(OFFSET($P330,0,AN$13),15-13*ORÇAMENTO!$AF$7)/$H330*OFFSET(ORÇAMENTO!$X$15,ROW(AN330)-ROW(AN$15),0),
              ROUND(ROUND(OFFSET($P330,0,AN$13),15-13*ORÇAMENTO!$AF$7)*OFFSET(ORÇAMENTO!$W$15,ROW(AN330)-ROW(AN$15),0),15-13*ORÇAMENTO!$AF$11)),
         0)</f>
        <v>0</v>
      </c>
      <c r="AO330" s="453">
        <f ca="1">IF(AND($D330="Serviço",AO$12&lt;&gt;0,$H330&gt;0,OR(AUTOEVENTO&lt;&gt;"manual",$M330&lt;&gt;$A$15)),
        IF(Import.TipoArredondamento&lt;&gt;"TransfereGOV",
              ROUND(OFFSET($P330,0,AO$13),15-13*ORÇAMENTO!$AF$7)/$H330*OFFSET(ORÇAMENTO!$X$15,ROW(AO330)-ROW(AO$15),0),
              ROUND(ROUND(OFFSET($P330,0,AO$13),15-13*ORÇAMENTO!$AF$7)*OFFSET(ORÇAMENTO!$W$15,ROW(AO330)-ROW(AO$15),0),15-13*ORÇAMENTO!$AF$11)),
         0)</f>
        <v>0</v>
      </c>
      <c r="AP330" s="453">
        <f ca="1">IF(AND($D330="Serviço",AP$12&lt;&gt;0,$H330&gt;0,OR(AUTOEVENTO&lt;&gt;"manual",$M330&lt;&gt;$A$15)),
        IF(Import.TipoArredondamento&lt;&gt;"TransfereGOV",
              ROUND(OFFSET($P330,0,AP$13),15-13*ORÇAMENTO!$AF$7)/$H330*OFFSET(ORÇAMENTO!$X$15,ROW(AP330)-ROW(AP$15),0),
              ROUND(ROUND(OFFSET($P330,0,AP$13),15-13*ORÇAMENTO!$AF$7)*OFFSET(ORÇAMENTO!$W$15,ROW(AP330)-ROW(AP$15),0),15-13*ORÇAMENTO!$AF$11)),
         0)</f>
        <v>0</v>
      </c>
      <c r="AQ330" s="453">
        <f ca="1">IF(AND($D330="Serviço",AQ$12&lt;&gt;0,$H330&gt;0,OR(AUTOEVENTO&lt;&gt;"manual",$M330&lt;&gt;$A$15)),
        IF(Import.TipoArredondamento&lt;&gt;"TransfereGOV",
              ROUND(OFFSET($P330,0,AQ$13),15-13*ORÇAMENTO!$AF$7)/$H330*OFFSET(ORÇAMENTO!$X$15,ROW(AQ330)-ROW(AQ$15),0),
              ROUND(ROUND(OFFSET($P330,0,AQ$13),15-13*ORÇAMENTO!$AF$7)*OFFSET(ORÇAMENTO!$W$15,ROW(AQ330)-ROW(AQ$15),0),15-13*ORÇAMENTO!$AF$11)),
         0)</f>
        <v>0</v>
      </c>
      <c r="AR330" s="453">
        <f ca="1">IF(AND($D330="Serviço",AR$12&lt;&gt;0,$H330&gt;0,OR(AUTOEVENTO&lt;&gt;"manual",$M330&lt;&gt;$A$15)),
        IF(Import.TipoArredondamento&lt;&gt;"TransfereGOV",
              ROUND(OFFSET($P330,0,AR$13),15-13*ORÇAMENTO!$AF$7)/$H330*OFFSET(ORÇAMENTO!$X$15,ROW(AR330)-ROW(AR$15),0),
              ROUND(ROUND(OFFSET($P330,0,AR$13),15-13*ORÇAMENTO!$AF$7)*OFFSET(ORÇAMENTO!$W$15,ROW(AR330)-ROW(AR$15),0),15-13*ORÇAMENTO!$AF$11)),
         0)</f>
        <v>0</v>
      </c>
      <c r="AS330" s="453">
        <f ca="1">IF(AND($D330="Serviço",AS$12&lt;&gt;0,$H330&gt;0,OR(AUTOEVENTO&lt;&gt;"manual",$M330&lt;&gt;$A$15)),
        IF(Import.TipoArredondamento&lt;&gt;"TransfereGOV",
              ROUND(OFFSET($P330,0,AS$13),15-13*ORÇAMENTO!$AF$7)/$H330*OFFSET(ORÇAMENTO!$X$15,ROW(AS330)-ROW(AS$15),0),
              ROUND(ROUND(OFFSET($P330,0,AS$13),15-13*ORÇAMENTO!$AF$7)*OFFSET(ORÇAMENTO!$W$15,ROW(AS330)-ROW(AS$15),0),15-13*ORÇAMENTO!$AF$11)),
         0)</f>
        <v>0</v>
      </c>
      <c r="AT330" s="453">
        <f ca="1">IF(AND($D330="Serviço",AT$12&lt;&gt;0,$H330&gt;0,OR(AUTOEVENTO&lt;&gt;"manual",$M330&lt;&gt;$A$15)),
        IF(Import.TipoArredondamento&lt;&gt;"TransfereGOV",
              ROUND(OFFSET($P330,0,AT$13),15-13*ORÇAMENTO!$AF$7)/$H330*OFFSET(ORÇAMENTO!$X$15,ROW(AT330)-ROW(AT$15),0),
              ROUND(ROUND(OFFSET($P330,0,AT$13),15-13*ORÇAMENTO!$AF$7)*OFFSET(ORÇAMENTO!$W$15,ROW(AT330)-ROW(AT$15),0),15-13*ORÇAMENTO!$AF$11)),
         0)</f>
        <v>0</v>
      </c>
      <c r="AU330" s="453">
        <f ca="1">IF(AND($D330="Serviço",AU$12&lt;&gt;0,$H330&gt;0,OR(AUTOEVENTO&lt;&gt;"manual",$M330&lt;&gt;$A$15)),
        IF(Import.TipoArredondamento&lt;&gt;"TransfereGOV",
              ROUND(OFFSET($P330,0,AU$13),15-13*ORÇAMENTO!$AF$7)/$H330*OFFSET(ORÇAMENTO!$X$15,ROW(AU330)-ROW(AU$15),0),
              ROUND(ROUND(OFFSET($P330,0,AU$13),15-13*ORÇAMENTO!$AF$7)*OFFSET(ORÇAMENTO!$W$15,ROW(AU330)-ROW(AU$15),0),15-13*ORÇAMENTO!$AF$11)),
         0)</f>
        <v>0</v>
      </c>
      <c r="AV330" s="453">
        <f ca="1">IF(AND($D330="Serviço",AV$12&lt;&gt;0,$H330&gt;0,OR(AUTOEVENTO&lt;&gt;"manual",$M330&lt;&gt;$A$15)),
        IF(Import.TipoArredondamento&lt;&gt;"TransfereGOV",
              ROUND(OFFSET($P330,0,AV$13),15-13*ORÇAMENTO!$AF$7)/$H330*OFFSET(ORÇAMENTO!$X$15,ROW(AV330)-ROW(AV$15),0),
              ROUND(ROUND(OFFSET($P330,0,AV$13),15-13*ORÇAMENTO!$AF$7)*OFFSET(ORÇAMENTO!$W$15,ROW(AV330)-ROW(AV$15),0),15-13*ORÇAMENTO!$AF$11)),
         0)</f>
        <v>0</v>
      </c>
      <c r="AW330" s="453">
        <f ca="1">IF(AND($D330="Serviço",AW$12&lt;&gt;0,$H330&gt;0,OR(AUTOEVENTO&lt;&gt;"manual",$M330&lt;&gt;$A$15)),
        IF(Import.TipoArredondamento&lt;&gt;"TransfereGOV",
              ROUND(OFFSET($P330,0,AW$13),15-13*ORÇAMENTO!$AF$7)/$H330*OFFSET(ORÇAMENTO!$X$15,ROW(AW330)-ROW(AW$15),0),
              ROUND(ROUND(OFFSET($P330,0,AW$13),15-13*ORÇAMENTO!$AF$7)*OFFSET(ORÇAMENTO!$W$15,ROW(AW330)-ROW(AW$15),0),15-13*ORÇAMENTO!$AF$11)),
         0)</f>
        <v>0</v>
      </c>
      <c r="AX330" s="453">
        <f ca="1">IF(AND($D330="Serviço",AX$12&lt;&gt;0,$H330&gt;0,OR(AUTOEVENTO&lt;&gt;"manual",$M330&lt;&gt;$A$15)),
        IF(Import.TipoArredondamento&lt;&gt;"TransfereGOV",
              ROUND(OFFSET($P330,0,AX$13),15-13*ORÇAMENTO!$AF$7)/$H330*OFFSET(ORÇAMENTO!$X$15,ROW(AX330)-ROW(AX$15),0),
              ROUND(ROUND(OFFSET($P330,0,AX$13),15-13*ORÇAMENTO!$AF$7)*OFFSET(ORÇAMENTO!$W$15,ROW(AX330)-ROW(AX$15),0),15-13*ORÇAMENTO!$AF$11)),
         0)</f>
        <v>0</v>
      </c>
      <c r="AY330" s="453">
        <f ca="1">IF(AND($D330="Serviço",AY$12&lt;&gt;0,$H330&gt;0,OR(AUTOEVENTO&lt;&gt;"manual",$M330&lt;&gt;$A$15)),
        IF(Import.TipoArredondamento&lt;&gt;"TransfereGOV",
              ROUND(OFFSET($P330,0,AY$13),15-13*ORÇAMENTO!$AF$7)/$H330*OFFSET(ORÇAMENTO!$X$15,ROW(AY330)-ROW(AY$15),0),
              ROUND(ROUND(OFFSET($P330,0,AY$13),15-13*ORÇAMENTO!$AF$7)*OFFSET(ORÇAMENTO!$W$15,ROW(AY330)-ROW(AY$15),0),15-13*ORÇAMENTO!$AF$11)),
         0)</f>
        <v>0</v>
      </c>
      <c r="AZ330" s="453">
        <f ca="1">IF(AND($D330="Serviço",AZ$12&lt;&gt;0,$H330&gt;0,OR(AUTOEVENTO&lt;&gt;"manual",$M330&lt;&gt;$A$15)),
        IF(Import.TipoArredondamento&lt;&gt;"TransfereGOV",
              ROUND(OFFSET($P330,0,AZ$13),15-13*ORÇAMENTO!$AF$7)/$H330*OFFSET(ORÇAMENTO!$X$15,ROW(AZ330)-ROW(AZ$15),0),
              ROUND(ROUND(OFFSET($P330,0,AZ$13),15-13*ORÇAMENTO!$AF$7)*OFFSET(ORÇAMENTO!$W$15,ROW(AZ330)-ROW(AZ$15),0),15-13*ORÇAMENTO!$AF$11)),
         0)</f>
        <v>0</v>
      </c>
      <c r="BA330" s="453">
        <f ca="1">IF(AND($D330="Serviço",BA$12&lt;&gt;0,$H330&gt;0,OR(AUTOEVENTO&lt;&gt;"manual",$M330&lt;&gt;$A$15)),
        IF(Import.TipoArredondamento&lt;&gt;"TransfereGOV",
              ROUND(OFFSET($P330,0,BA$13),15-13*ORÇAMENTO!$AF$7)/$H330*OFFSET(ORÇAMENTO!$X$15,ROW(BA330)-ROW(BA$15),0),
              ROUND(ROUND(OFFSET($P330,0,BA$13),15-13*ORÇAMENTO!$AF$7)*OFFSET(ORÇAMENTO!$W$15,ROW(BA330)-ROW(BA$15),0),15-13*ORÇAMENTO!$AF$11)),
         0)</f>
        <v>0</v>
      </c>
      <c r="BC330" s="171">
        <f ca="1">IF(OR($D330&lt;&gt;"Serviço",AND(AUTOEVENTO="Manual",$M330=$A$15)),0,
         IF(OFFSET(CRONOPLE!$F$15,$M330-$A$15,BC$13)=0,10^12,OFFSET(CRONOPLE!$F$15,$M330-$A$15,BC$13)))</f>
        <v>1</v>
      </c>
      <c r="BD330" s="171">
        <f ca="1">IF(OR($D330&lt;&gt;"Serviço",AND(AUTOEVENTO="Manual",$M330=$A$15)),0,
         IF(OFFSET(CRONOPLE!$F$15,$M330-$A$15,BD$13)=0,10^12,OFFSET(CRONOPLE!$F$15,$M330-$A$15,BD$13)))</f>
        <v>2</v>
      </c>
      <c r="BE330" s="171">
        <f ca="1">IF(OR($D330&lt;&gt;"Serviço",AND(AUTOEVENTO="Manual",$M330=$A$15)),0,
         IF(OFFSET(CRONOPLE!$F$15,$M330-$A$15,BE$13)=0,10^12,OFFSET(CRONOPLE!$F$15,$M330-$A$15,BE$13)))</f>
        <v>3</v>
      </c>
      <c r="BF330" s="171">
        <f ca="1">IF(OR($D330&lt;&gt;"Serviço",AND(AUTOEVENTO="Manual",$M330=$A$15)),0,
         IF(OFFSET(CRONOPLE!$F$15,$M330-$A$15,BF$13)=0,10^12,OFFSET(CRONOPLE!$F$15,$M330-$A$15,BF$13)))</f>
        <v>4</v>
      </c>
      <c r="BG330" s="171">
        <f ca="1">IF(OR($D330&lt;&gt;"Serviço",AND(AUTOEVENTO="Manual",$M330=$A$15)),0,
         IF(OFFSET(CRONOPLE!$F$15,$M330-$A$15,BG$13)=0,10^12,OFFSET(CRONOPLE!$F$15,$M330-$A$15,BG$13)))</f>
        <v>5</v>
      </c>
      <c r="BH330" s="171">
        <f ca="1">IF(OR($D330&lt;&gt;"Serviço",AND(AUTOEVENTO="Manual",$M330=$A$15)),0,
         IF(OFFSET(CRONOPLE!$F$15,$M330-$A$15,BH$13)=0,10^12,OFFSET(CRONOPLE!$F$15,$M330-$A$15,BH$13)))</f>
        <v>6</v>
      </c>
      <c r="BI330" s="171">
        <f ca="1">IF(OR($D330&lt;&gt;"Serviço",AND(AUTOEVENTO="Manual",$M330=$A$15)),0,
         IF(OFFSET(CRONOPLE!$F$15,$M330-$A$15,BI$13)=0,10^12,OFFSET(CRONOPLE!$F$15,$M330-$A$15,BI$13)))</f>
        <v>7</v>
      </c>
      <c r="BJ330" s="171">
        <f ca="1">IF(OR($D330&lt;&gt;"Serviço",AND(AUTOEVENTO="Manual",$M330=$A$15)),0,
         IF(OFFSET(CRONOPLE!$F$15,$M330-$A$15,BJ$13)=0,10^12,OFFSET(CRONOPLE!$F$15,$M330-$A$15,BJ$13)))</f>
        <v>8</v>
      </c>
      <c r="BK330" s="171">
        <f ca="1">IF(OR($D330&lt;&gt;"Serviço",AND(AUTOEVENTO="Manual",$M330=$A$15)),0,
         IF(OFFSET(CRONOPLE!$F$15,$M330-$A$15,BK$13)=0,10^12,OFFSET(CRONOPLE!$F$15,$M330-$A$15,BK$13)))</f>
        <v>9</v>
      </c>
      <c r="BL330" s="171">
        <f ca="1">IF(OR($D330&lt;&gt;"Serviço",AND(AUTOEVENTO="Manual",$M330=$A$15)),0,
         IF(OFFSET(CRONOPLE!$F$15,$M330-$A$15,BL$13)=0,10^12,OFFSET(CRONOPLE!$F$15,$M330-$A$15,BL$13)))</f>
        <v>1000000000000</v>
      </c>
      <c r="BM330" s="171">
        <f ca="1">IF(OR($D330&lt;&gt;"Serviço",AND(AUTOEVENTO="Manual",$M330=$A$15)),0,
         IF(OFFSET(CRONOPLE!$F$15,$M330-$A$15,BM$13)=0,10^12,OFFSET(CRONOPLE!$F$15,$M330-$A$15,BM$13)))</f>
        <v>1000000000000</v>
      </c>
      <c r="BN330" s="171">
        <f ca="1">IF(OR($D330&lt;&gt;"Serviço",AND(AUTOEVENTO="Manual",$M330=$A$15)),0,
         IF(OFFSET(CRONOPLE!$F$15,$M330-$A$15,BN$13)=0,10^12,OFFSET(CRONOPLE!$F$15,$M330-$A$15,BN$13)))</f>
        <v>1000000000000</v>
      </c>
      <c r="BO330" s="171">
        <f ca="1">IF(OR($D330&lt;&gt;"Serviço",AND(AUTOEVENTO="Manual",$M330=$A$15)),0,
         IF(OFFSET(CRONOPLE!$F$15,$M330-$A$15,BO$13)=0,10^12,OFFSET(CRONOPLE!$F$15,$M330-$A$15,BO$13)))</f>
        <v>1000000000000</v>
      </c>
      <c r="BP330" s="171">
        <f ca="1">IF(OR($D330&lt;&gt;"Serviço",AND(AUTOEVENTO="Manual",$M330=$A$15)),0,
         IF(OFFSET(CRONOPLE!$F$15,$M330-$A$15,BP$13)=0,10^12,OFFSET(CRONOPLE!$F$15,$M330-$A$15,BP$13)))</f>
        <v>1000000000000</v>
      </c>
      <c r="BQ330" s="171">
        <f ca="1">IF(OR($D330&lt;&gt;"Serviço",AND(AUTOEVENTO="Manual",$M330=$A$15)),0,
         IF(OFFSET(CRONOPLE!$F$15,$M330-$A$15,BQ$13)=0,10^12,OFFSET(CRONOPLE!$F$15,$M330-$A$15,BQ$13)))</f>
        <v>1000000000000</v>
      </c>
      <c r="BR330" s="171">
        <f ca="1">IF(OR($D330&lt;&gt;"Serviço",AND(AUTOEVENTO="Manual",$M330=$A$15)),0,
         IF(OFFSET(CRONOPLE!$F$15,$M330-$A$15,BR$13)=0,10^12,OFFSET(CRONOPLE!$F$15,$M330-$A$15,BR$13)))</f>
        <v>1000000000000</v>
      </c>
      <c r="BS330" s="171">
        <f ca="1">IF(OR($D330&lt;&gt;"Serviço",AND(AUTOEVENTO="Manual",$M330=$A$15)),0,
         IF(OFFSET(CRONOPLE!$F$15,$M330-$A$15,BS$13)=0,10^12,OFFSET(CRONOPLE!$F$15,$M330-$A$15,BS$13)))</f>
        <v>1000000000000</v>
      </c>
      <c r="BT330" s="171">
        <f ca="1">IF(OR($D330&lt;&gt;"Serviço",AND(AUTOEVENTO="Manual",$M330=$A$15)),0,
         IF(OFFSET(CRONOPLE!$F$15,$M330-$A$15,BT$13)=0,10^12,OFFSET(CRONOPLE!$F$15,$M330-$A$15,BT$13)))</f>
        <v>1000000000000</v>
      </c>
      <c r="BV330" s="172">
        <f ca="1">IF(OR($D330&lt;&gt;"Serviço",AND(AUTOEVENTO="Manual",$M330=$A$15),$M330&gt;(ROW(PLE.lastrow)-ROW(PLE.firstrow))),0,
           IF(OFFSET(PLE!$G$15,$M330-$A$15,BV$13)="",10^12,OFFSET(PLE!$G$15,$M330-$A$15,BV$13)))</f>
        <v>1000000000000</v>
      </c>
      <c r="BW330" s="172">
        <f ca="1">IF(OR($D330&lt;&gt;"Serviço",AND(AUTOEVENTO="Manual",$M330=$A$15),$M330&gt;(ROW(PLE.lastrow)-ROW(PLE.firstrow))),0,
           IF(OFFSET(PLE!$G$15,$M330-$A$15,BW$13)="",10^12,OFFSET(PLE!$G$15,$M330-$A$15,BW$13)))</f>
        <v>1000000000000</v>
      </c>
      <c r="BX330" s="172">
        <f ca="1">IF(OR($D330&lt;&gt;"Serviço",AND(AUTOEVENTO="Manual",$M330=$A$15),$M330&gt;(ROW(PLE.lastrow)-ROW(PLE.firstrow))),0,
           IF(OFFSET(PLE!$G$15,$M330-$A$15,BX$13)="",10^12,OFFSET(PLE!$G$15,$M330-$A$15,BX$13)))</f>
        <v>1000000000000</v>
      </c>
      <c r="BY330" s="172">
        <f ca="1">IF(OR($D330&lt;&gt;"Serviço",AND(AUTOEVENTO="Manual",$M330=$A$15),$M330&gt;(ROW(PLE.lastrow)-ROW(PLE.firstrow))),0,
           IF(OFFSET(PLE!$G$15,$M330-$A$15,BY$13)="",10^12,OFFSET(PLE!$G$15,$M330-$A$15,BY$13)))</f>
        <v>1000000000000</v>
      </c>
      <c r="BZ330" s="172">
        <f ca="1">IF(OR($D330&lt;&gt;"Serviço",AND(AUTOEVENTO="Manual",$M330=$A$15),$M330&gt;(ROW(PLE.lastrow)-ROW(PLE.firstrow))),0,
           IF(OFFSET(PLE!$G$15,$M330-$A$15,BZ$13)="",10^12,OFFSET(PLE!$G$15,$M330-$A$15,BZ$13)))</f>
        <v>1000000000000</v>
      </c>
      <c r="CA330" s="172">
        <f ca="1">IF(OR($D330&lt;&gt;"Serviço",AND(AUTOEVENTO="Manual",$M330=$A$15),$M330&gt;(ROW(PLE.lastrow)-ROW(PLE.firstrow))),0,
           IF(OFFSET(PLE!$G$15,$M330-$A$15,CA$13)="",10^12,OFFSET(PLE!$G$15,$M330-$A$15,CA$13)))</f>
        <v>1000000000000</v>
      </c>
      <c r="CB330" s="172">
        <f ca="1">IF(OR($D330&lt;&gt;"Serviço",AND(AUTOEVENTO="Manual",$M330=$A$15),$M330&gt;(ROW(PLE.lastrow)-ROW(PLE.firstrow))),0,
           IF(OFFSET(PLE!$G$15,$M330-$A$15,CB$13)="",10^12,OFFSET(PLE!$G$15,$M330-$A$15,CB$13)))</f>
        <v>1000000000000</v>
      </c>
      <c r="CC330" s="172">
        <f ca="1">IF(OR($D330&lt;&gt;"Serviço",AND(AUTOEVENTO="Manual",$M330=$A$15),$M330&gt;(ROW(PLE.lastrow)-ROW(PLE.firstrow))),0,
           IF(OFFSET(PLE!$G$15,$M330-$A$15,CC$13)="",10^12,OFFSET(PLE!$G$15,$M330-$A$15,CC$13)))</f>
        <v>1000000000000</v>
      </c>
      <c r="CD330" s="172">
        <f ca="1">IF(OR($D330&lt;&gt;"Serviço",AND(AUTOEVENTO="Manual",$M330=$A$15),$M330&gt;(ROW(PLE.lastrow)-ROW(PLE.firstrow))),0,
           IF(OFFSET(PLE!$G$15,$M330-$A$15,CD$13)="",10^12,OFFSET(PLE!$G$15,$M330-$A$15,CD$13)))</f>
        <v>1000000000000</v>
      </c>
      <c r="CE330" s="172">
        <f ca="1">IF(OR($D330&lt;&gt;"Serviço",AND(AUTOEVENTO="Manual",$M330=$A$15),$M330&gt;(ROW(PLE.lastrow)-ROW(PLE.firstrow))),0,
           IF(OFFSET(PLE!$G$15,$M330-$A$15,CE$13)="",10^12,OFFSET(PLE!$G$15,$M330-$A$15,CE$13)))</f>
        <v>1000000000000</v>
      </c>
      <c r="CF330" s="172">
        <f ca="1">IF(OR($D330&lt;&gt;"Serviço",AND(AUTOEVENTO="Manual",$M330=$A$15),$M330&gt;(ROW(PLE.lastrow)-ROW(PLE.firstrow))),0,
           IF(OFFSET(PLE!$G$15,$M330-$A$15,CF$13)="",10^12,OFFSET(PLE!$G$15,$M330-$A$15,CF$13)))</f>
        <v>1000000000000</v>
      </c>
      <c r="CG330" s="172">
        <f ca="1">IF(OR($D330&lt;&gt;"Serviço",AND(AUTOEVENTO="Manual",$M330=$A$15),$M330&gt;(ROW(PLE.lastrow)-ROW(PLE.firstrow))),0,
           IF(OFFSET(PLE!$G$15,$M330-$A$15,CG$13)="",10^12,OFFSET(PLE!$G$15,$M330-$A$15,CG$13)))</f>
        <v>1000000000000</v>
      </c>
      <c r="CH330" s="172">
        <f ca="1">IF(OR($D330&lt;&gt;"Serviço",AND(AUTOEVENTO="Manual",$M330=$A$15),$M330&gt;(ROW(PLE.lastrow)-ROW(PLE.firstrow))),0,
           IF(OFFSET(PLE!$G$15,$M330-$A$15,CH$13)="",10^12,OFFSET(PLE!$G$15,$M330-$A$15,CH$13)))</f>
        <v>1000000000000</v>
      </c>
      <c r="CI330" s="172">
        <f ca="1">IF(OR($D330&lt;&gt;"Serviço",AND(AUTOEVENTO="Manual",$M330=$A$15),$M330&gt;(ROW(PLE.lastrow)-ROW(PLE.firstrow))),0,
           IF(OFFSET(PLE!$G$15,$M330-$A$15,CI$13)="",10^12,OFFSET(PLE!$G$15,$M330-$A$15,CI$13)))</f>
        <v>1000000000000</v>
      </c>
      <c r="CJ330" s="172">
        <f ca="1">IF(OR($D330&lt;&gt;"Serviço",AND(AUTOEVENTO="Manual",$M330=$A$15),$M330&gt;(ROW(PLE.lastrow)-ROW(PLE.firstrow))),0,
           IF(OFFSET(PLE!$G$15,$M330-$A$15,CJ$13)="",10^12,OFFSET(PLE!$G$15,$M330-$A$15,CJ$13)))</f>
        <v>1000000000000</v>
      </c>
      <c r="CK330" s="172">
        <f ca="1">IF(OR($D330&lt;&gt;"Serviço",AND(AUTOEVENTO="Manual",$M330=$A$15),$M330&gt;(ROW(PLE.lastrow)-ROW(PLE.firstrow))),0,
           IF(OFFSET(PLE!$G$15,$M330-$A$15,CK$13)="",10^12,OFFSET(PLE!$G$15,$M330-$A$15,CK$13)))</f>
        <v>1000000000000</v>
      </c>
      <c r="CL330" s="172">
        <f ca="1">IF(OR($D330&lt;&gt;"Serviço",AND(AUTOEVENTO="Manual",$M330=$A$15),$M330&gt;(ROW(PLE.lastrow)-ROW(PLE.firstrow))),0,
           IF(OFFSET(PLE!$G$15,$M330-$A$15,CL$13)="",10^12,OFFSET(PLE!$G$15,$M330-$A$15,CL$13)))</f>
        <v>1000000000000</v>
      </c>
      <c r="CM330" s="172">
        <f ca="1">IF(OR($D330&lt;&gt;"Serviço",AND(AUTOEVENTO="Manual",$M330=$A$15),$M330&gt;(ROW(PLE.lastrow)-ROW(PLE.firstrow))),0,
           IF(OFFSET(PLE!$G$15,$M330-$A$15,CM$13)="",10^12,OFFSET(PLE!$G$15,$M330-$A$15,CM$13)))</f>
        <v>1000000000000</v>
      </c>
    </row>
    <row r="331" spans="1:91" ht="63.75" x14ac:dyDescent="0.2">
      <c r="A331" s="7">
        <f t="shared" ca="1" si="14"/>
        <v>6</v>
      </c>
      <c r="B331" s="7" t="str">
        <f ca="1">OFFSET(ORÇAMENTO!C$15,ROW(B331)-ROW(B$15),0)</f>
        <v>S</v>
      </c>
      <c r="C331" s="7" t="str">
        <f ca="1">OFFSET(ORÇAMENTO!L$15,ROW(C331)-ROW(C$15),0)</f>
        <v>F</v>
      </c>
      <c r="D331" s="116" t="str">
        <f ca="1">OFFSET(ORÇAMENTO!N$15,ROW(D331)-ROW(D$15),0)</f>
        <v>Serviço</v>
      </c>
      <c r="E331" s="117" t="str">
        <f ca="1">OFFSET(ORÇAMENTO!O$15,ROW(E331)-ROW(E$15),0)</f>
        <v>1.7.5.1.4.</v>
      </c>
      <c r="F331" s="163" t="str">
        <f ca="1">OFFSET(ORÇAMENTO!R$15,ROW(F331)-ROW(F$15),0)</f>
        <v>TUBO CILÍNDRICO FoFo L=1,20 M - DN 600 MM</v>
      </c>
      <c r="G331" s="164" t="str">
        <f ca="1">IF($D331&lt;&gt;"Serviço","",OFFSET(ORÇAMENTO!S$15,ROW(G331)-ROW(G$15),0))</f>
        <v>UN</v>
      </c>
      <c r="H331" s="122" cm="1">
        <f t="array" aca="1" ref="H331" ca="1">IF($D331&lt;&gt;"Serviço",0,IF(ACOMPANHAMENTO="BM",ROUND(OFFSET(ORÇAMENTO!AJ$15,ROW(H331)-ROW(H$15),0),15-13*ORÇAMENTO!$AF$7),SUMPRODUCT(($Q$1:$AI$1=1)*ROUND($Q331:$AI331,15-13*ORÇAMENTO!$AF$7))))</f>
        <v>2</v>
      </c>
      <c r="I331" s="468" t="s">
        <v>1359</v>
      </c>
      <c r="J331" s="640" t="str" cm="1">
        <f t="array" aca="1" ref="J331" ca="1">IF(OR(B331&lt;&gt;"S",CÁLCULO.FrentesPreenchidas=0),"",IF(AND(ACOMPANHAMENTO="PLE",AUTOEVENTO="Manual",OR(H331&gt;0,ORÇAMENTO!AC331="QUANT."),OR(K331="",M331=0,N331="")),"►E",IF(AND(ACOMPANHAMENTO="PLE",ORÇAMENTO!AC331="QUANT."),"►Q",IF(AND(ACOMPANHAMENTO="PLE",H331&lt;&gt;SUMPRODUCT(($Q$1:$AI$1=1)*ROUND(Q331:AI331,15))),"►S",IF(AND(COUNTIF($P$11:$AI$11,"▼")=0,H331&gt;0,I331=""),"◄M","")))))</f>
        <v/>
      </c>
      <c r="K331" s="641" t="s">
        <v>1385</v>
      </c>
      <c r="L331" s="165" t="s">
        <v>764</v>
      </c>
      <c r="M331" s="166">
        <f ca="1">IF($D331&lt;&gt;"Serviço","",
          IF(AUTOEVENTO="manual",$A331,
                IF(ISERROR(MATCH($A331,$A$15:OFFSET($A331,-1,0),0)),MAX($M$15:OFFSET(M331,-1,0))+1,
                      INDEX($M$15:OFFSET(M331,-1,0),MATCH($A331,$A$15:OFFSET($A331,-1,0),0)))))</f>
        <v>6</v>
      </c>
      <c r="N331" s="167" t="str">
        <f ca="1">IF($D331&lt;&gt;"Serviço","",
         IF(AUTOEVENTO="Manual",
                IF($A331=0,"&lt;-- defina o número do agrupador",
                       OFFSET(EVENTOS!$D$15,$A331-$A$15,0)),
                OFFSET($F$15,$A331,0)))</f>
        <v>Saneamento</v>
      </c>
      <c r="O331" s="168"/>
      <c r="Q331" s="168"/>
      <c r="R331" s="169"/>
      <c r="S331" s="169"/>
      <c r="T331" s="169"/>
      <c r="U331" s="169"/>
      <c r="V331" s="169">
        <v>2</v>
      </c>
      <c r="W331" s="169"/>
      <c r="X331" s="169"/>
      <c r="Y331" s="169"/>
      <c r="Z331" s="170"/>
      <c r="AA331" s="169"/>
      <c r="AB331" s="169"/>
      <c r="AC331" s="169"/>
      <c r="AD331" s="169"/>
      <c r="AE331" s="169"/>
      <c r="AF331" s="169"/>
      <c r="AG331" s="169"/>
      <c r="AH331" s="170"/>
      <c r="AJ331" s="453">
        <f ca="1">IF(AND($D331="Serviço",AJ$12&lt;&gt;0,$H331&gt;0,OR(AUTOEVENTO&lt;&gt;"manual",$M331&lt;&gt;$A$15)),
        IF(Import.TipoArredondamento&lt;&gt;"TransfereGOV",
              ROUND(OFFSET($P331,0,AJ$13),15-13*ORÇAMENTO!$AF$7)/$H331*OFFSET(ORÇAMENTO!$X$15,ROW(AJ331)-ROW(AJ$15),0),
              ROUND(ROUND(OFFSET($P331,0,AJ$13),15-13*ORÇAMENTO!$AF$7)*OFFSET(ORÇAMENTO!$W$15,ROW(AJ331)-ROW(AJ$15),0),15-13*ORÇAMENTO!$AF$11)),
         0)</f>
        <v>0</v>
      </c>
      <c r="AK331" s="453">
        <f ca="1">IF(AND($D331="Serviço",AK$12&lt;&gt;0,$H331&gt;0,OR(AUTOEVENTO&lt;&gt;"manual",$M331&lt;&gt;$A$15)),
        IF(Import.TipoArredondamento&lt;&gt;"TransfereGOV",
              ROUND(OFFSET($P331,0,AK$13),15-13*ORÇAMENTO!$AF$7)/$H331*OFFSET(ORÇAMENTO!$X$15,ROW(AK331)-ROW(AK$15),0),
              ROUND(ROUND(OFFSET($P331,0,AK$13),15-13*ORÇAMENTO!$AF$7)*OFFSET(ORÇAMENTO!$W$15,ROW(AK331)-ROW(AK$15),0),15-13*ORÇAMENTO!$AF$11)),
         0)</f>
        <v>0</v>
      </c>
      <c r="AL331" s="453">
        <f ca="1">IF(AND($D331="Serviço",AL$12&lt;&gt;0,$H331&gt;0,OR(AUTOEVENTO&lt;&gt;"manual",$M331&lt;&gt;$A$15)),
        IF(Import.TipoArredondamento&lt;&gt;"TransfereGOV",
              ROUND(OFFSET($P331,0,AL$13),15-13*ORÇAMENTO!$AF$7)/$H331*OFFSET(ORÇAMENTO!$X$15,ROW(AL331)-ROW(AL$15),0),
              ROUND(ROUND(OFFSET($P331,0,AL$13),15-13*ORÇAMENTO!$AF$7)*OFFSET(ORÇAMENTO!$W$15,ROW(AL331)-ROW(AL$15),0),15-13*ORÇAMENTO!$AF$11)),
         0)</f>
        <v>0</v>
      </c>
      <c r="AM331" s="453">
        <f ca="1">IF(AND($D331="Serviço",AM$12&lt;&gt;0,$H331&gt;0,OR(AUTOEVENTO&lt;&gt;"manual",$M331&lt;&gt;$A$15)),
        IF(Import.TipoArredondamento&lt;&gt;"TransfereGOV",
              ROUND(OFFSET($P331,0,AM$13),15-13*ORÇAMENTO!$AF$7)/$H331*OFFSET(ORÇAMENTO!$X$15,ROW(AM331)-ROW(AM$15),0),
              ROUND(ROUND(OFFSET($P331,0,AM$13),15-13*ORÇAMENTO!$AF$7)*OFFSET(ORÇAMENTO!$W$15,ROW(AM331)-ROW(AM$15),0),15-13*ORÇAMENTO!$AF$11)),
         0)</f>
        <v>0</v>
      </c>
      <c r="AN331" s="453">
        <f ca="1">IF(AND($D331="Serviço",AN$12&lt;&gt;0,$H331&gt;0,OR(AUTOEVENTO&lt;&gt;"manual",$M331&lt;&gt;$A$15)),
        IF(Import.TipoArredondamento&lt;&gt;"TransfereGOV",
              ROUND(OFFSET($P331,0,AN$13),15-13*ORÇAMENTO!$AF$7)/$H331*OFFSET(ORÇAMENTO!$X$15,ROW(AN331)-ROW(AN$15),0),
              ROUND(ROUND(OFFSET($P331,0,AN$13),15-13*ORÇAMENTO!$AF$7)*OFFSET(ORÇAMENTO!$W$15,ROW(AN331)-ROW(AN$15),0),15-13*ORÇAMENTO!$AF$11)),
         0)</f>
        <v>0</v>
      </c>
      <c r="AO331" s="453">
        <f ca="1">IF(AND($D331="Serviço",AO$12&lt;&gt;0,$H331&gt;0,OR(AUTOEVENTO&lt;&gt;"manual",$M331&lt;&gt;$A$15)),
        IF(Import.TipoArredondamento&lt;&gt;"TransfereGOV",
              ROUND(OFFSET($P331,0,AO$13),15-13*ORÇAMENTO!$AF$7)/$H331*OFFSET(ORÇAMENTO!$X$15,ROW(AO331)-ROW(AO$15),0),
              ROUND(ROUND(OFFSET($P331,0,AO$13),15-13*ORÇAMENTO!$AF$7)*OFFSET(ORÇAMENTO!$W$15,ROW(AO331)-ROW(AO$15),0),15-13*ORÇAMENTO!$AF$11)),
         0)</f>
        <v>0</v>
      </c>
      <c r="AP331" s="453">
        <f ca="1">IF(AND($D331="Serviço",AP$12&lt;&gt;0,$H331&gt;0,OR(AUTOEVENTO&lt;&gt;"manual",$M331&lt;&gt;$A$15)),
        IF(Import.TipoArredondamento&lt;&gt;"TransfereGOV",
              ROUND(OFFSET($P331,0,AP$13),15-13*ORÇAMENTO!$AF$7)/$H331*OFFSET(ORÇAMENTO!$X$15,ROW(AP331)-ROW(AP$15),0),
              ROUND(ROUND(OFFSET($P331,0,AP$13),15-13*ORÇAMENTO!$AF$7)*OFFSET(ORÇAMENTO!$W$15,ROW(AP331)-ROW(AP$15),0),15-13*ORÇAMENTO!$AF$11)),
         0)</f>
        <v>0</v>
      </c>
      <c r="AQ331" s="453">
        <f ca="1">IF(AND($D331="Serviço",AQ$12&lt;&gt;0,$H331&gt;0,OR(AUTOEVENTO&lt;&gt;"manual",$M331&lt;&gt;$A$15)),
        IF(Import.TipoArredondamento&lt;&gt;"TransfereGOV",
              ROUND(OFFSET($P331,0,AQ$13),15-13*ORÇAMENTO!$AF$7)/$H331*OFFSET(ORÇAMENTO!$X$15,ROW(AQ331)-ROW(AQ$15),0),
              ROUND(ROUND(OFFSET($P331,0,AQ$13),15-13*ORÇAMENTO!$AF$7)*OFFSET(ORÇAMENTO!$W$15,ROW(AQ331)-ROW(AQ$15),0),15-13*ORÇAMENTO!$AF$11)),
         0)</f>
        <v>0</v>
      </c>
      <c r="AR331" s="453">
        <f ca="1">IF(AND($D331="Serviço",AR$12&lt;&gt;0,$H331&gt;0,OR(AUTOEVENTO&lt;&gt;"manual",$M331&lt;&gt;$A$15)),
        IF(Import.TipoArredondamento&lt;&gt;"TransfereGOV",
              ROUND(OFFSET($P331,0,AR$13),15-13*ORÇAMENTO!$AF$7)/$H331*OFFSET(ORÇAMENTO!$X$15,ROW(AR331)-ROW(AR$15),0),
              ROUND(ROUND(OFFSET($P331,0,AR$13),15-13*ORÇAMENTO!$AF$7)*OFFSET(ORÇAMENTO!$W$15,ROW(AR331)-ROW(AR$15),0),15-13*ORÇAMENTO!$AF$11)),
         0)</f>
        <v>0</v>
      </c>
      <c r="AS331" s="453">
        <f ca="1">IF(AND($D331="Serviço",AS$12&lt;&gt;0,$H331&gt;0,OR(AUTOEVENTO&lt;&gt;"manual",$M331&lt;&gt;$A$15)),
        IF(Import.TipoArredondamento&lt;&gt;"TransfereGOV",
              ROUND(OFFSET($P331,0,AS$13),15-13*ORÇAMENTO!$AF$7)/$H331*OFFSET(ORÇAMENTO!$X$15,ROW(AS331)-ROW(AS$15),0),
              ROUND(ROUND(OFFSET($P331,0,AS$13),15-13*ORÇAMENTO!$AF$7)*OFFSET(ORÇAMENTO!$W$15,ROW(AS331)-ROW(AS$15),0),15-13*ORÇAMENTO!$AF$11)),
         0)</f>
        <v>0</v>
      </c>
      <c r="AT331" s="453">
        <f ca="1">IF(AND($D331="Serviço",AT$12&lt;&gt;0,$H331&gt;0,OR(AUTOEVENTO&lt;&gt;"manual",$M331&lt;&gt;$A$15)),
        IF(Import.TipoArredondamento&lt;&gt;"TransfereGOV",
              ROUND(OFFSET($P331,0,AT$13),15-13*ORÇAMENTO!$AF$7)/$H331*OFFSET(ORÇAMENTO!$X$15,ROW(AT331)-ROW(AT$15),0),
              ROUND(ROUND(OFFSET($P331,0,AT$13),15-13*ORÇAMENTO!$AF$7)*OFFSET(ORÇAMENTO!$W$15,ROW(AT331)-ROW(AT$15),0),15-13*ORÇAMENTO!$AF$11)),
         0)</f>
        <v>0</v>
      </c>
      <c r="AU331" s="453">
        <f ca="1">IF(AND($D331="Serviço",AU$12&lt;&gt;0,$H331&gt;0,OR(AUTOEVENTO&lt;&gt;"manual",$M331&lt;&gt;$A$15)),
        IF(Import.TipoArredondamento&lt;&gt;"TransfereGOV",
              ROUND(OFFSET($P331,0,AU$13),15-13*ORÇAMENTO!$AF$7)/$H331*OFFSET(ORÇAMENTO!$X$15,ROW(AU331)-ROW(AU$15),0),
              ROUND(ROUND(OFFSET($P331,0,AU$13),15-13*ORÇAMENTO!$AF$7)*OFFSET(ORÇAMENTO!$W$15,ROW(AU331)-ROW(AU$15),0),15-13*ORÇAMENTO!$AF$11)),
         0)</f>
        <v>0</v>
      </c>
      <c r="AV331" s="453">
        <f ca="1">IF(AND($D331="Serviço",AV$12&lt;&gt;0,$H331&gt;0,OR(AUTOEVENTO&lt;&gt;"manual",$M331&lt;&gt;$A$15)),
        IF(Import.TipoArredondamento&lt;&gt;"TransfereGOV",
              ROUND(OFFSET($P331,0,AV$13),15-13*ORÇAMENTO!$AF$7)/$H331*OFFSET(ORÇAMENTO!$X$15,ROW(AV331)-ROW(AV$15),0),
              ROUND(ROUND(OFFSET($P331,0,AV$13),15-13*ORÇAMENTO!$AF$7)*OFFSET(ORÇAMENTO!$W$15,ROW(AV331)-ROW(AV$15),0),15-13*ORÇAMENTO!$AF$11)),
         0)</f>
        <v>0</v>
      </c>
      <c r="AW331" s="453">
        <f ca="1">IF(AND($D331="Serviço",AW$12&lt;&gt;0,$H331&gt;0,OR(AUTOEVENTO&lt;&gt;"manual",$M331&lt;&gt;$A$15)),
        IF(Import.TipoArredondamento&lt;&gt;"TransfereGOV",
              ROUND(OFFSET($P331,0,AW$13),15-13*ORÇAMENTO!$AF$7)/$H331*OFFSET(ORÇAMENTO!$X$15,ROW(AW331)-ROW(AW$15),0),
              ROUND(ROUND(OFFSET($P331,0,AW$13),15-13*ORÇAMENTO!$AF$7)*OFFSET(ORÇAMENTO!$W$15,ROW(AW331)-ROW(AW$15),0),15-13*ORÇAMENTO!$AF$11)),
         0)</f>
        <v>0</v>
      </c>
      <c r="AX331" s="453">
        <f ca="1">IF(AND($D331="Serviço",AX$12&lt;&gt;0,$H331&gt;0,OR(AUTOEVENTO&lt;&gt;"manual",$M331&lt;&gt;$A$15)),
        IF(Import.TipoArredondamento&lt;&gt;"TransfereGOV",
              ROUND(OFFSET($P331,0,AX$13),15-13*ORÇAMENTO!$AF$7)/$H331*OFFSET(ORÇAMENTO!$X$15,ROW(AX331)-ROW(AX$15),0),
              ROUND(ROUND(OFFSET($P331,0,AX$13),15-13*ORÇAMENTO!$AF$7)*OFFSET(ORÇAMENTO!$W$15,ROW(AX331)-ROW(AX$15),0),15-13*ORÇAMENTO!$AF$11)),
         0)</f>
        <v>0</v>
      </c>
      <c r="AY331" s="453">
        <f ca="1">IF(AND($D331="Serviço",AY$12&lt;&gt;0,$H331&gt;0,OR(AUTOEVENTO&lt;&gt;"manual",$M331&lt;&gt;$A$15)),
        IF(Import.TipoArredondamento&lt;&gt;"TransfereGOV",
              ROUND(OFFSET($P331,0,AY$13),15-13*ORÇAMENTO!$AF$7)/$H331*OFFSET(ORÇAMENTO!$X$15,ROW(AY331)-ROW(AY$15),0),
              ROUND(ROUND(OFFSET($P331,0,AY$13),15-13*ORÇAMENTO!$AF$7)*OFFSET(ORÇAMENTO!$W$15,ROW(AY331)-ROW(AY$15),0),15-13*ORÇAMENTO!$AF$11)),
         0)</f>
        <v>0</v>
      </c>
      <c r="AZ331" s="453">
        <f ca="1">IF(AND($D331="Serviço",AZ$12&lt;&gt;0,$H331&gt;0,OR(AUTOEVENTO&lt;&gt;"manual",$M331&lt;&gt;$A$15)),
        IF(Import.TipoArredondamento&lt;&gt;"TransfereGOV",
              ROUND(OFFSET($P331,0,AZ$13),15-13*ORÇAMENTO!$AF$7)/$H331*OFFSET(ORÇAMENTO!$X$15,ROW(AZ331)-ROW(AZ$15),0),
              ROUND(ROUND(OFFSET($P331,0,AZ$13),15-13*ORÇAMENTO!$AF$7)*OFFSET(ORÇAMENTO!$W$15,ROW(AZ331)-ROW(AZ$15),0),15-13*ORÇAMENTO!$AF$11)),
         0)</f>
        <v>0</v>
      </c>
      <c r="BA331" s="453">
        <f ca="1">IF(AND($D331="Serviço",BA$12&lt;&gt;0,$H331&gt;0,OR(AUTOEVENTO&lt;&gt;"manual",$M331&lt;&gt;$A$15)),
        IF(Import.TipoArredondamento&lt;&gt;"TransfereGOV",
              ROUND(OFFSET($P331,0,BA$13),15-13*ORÇAMENTO!$AF$7)/$H331*OFFSET(ORÇAMENTO!$X$15,ROW(BA331)-ROW(BA$15),0),
              ROUND(ROUND(OFFSET($P331,0,BA$13),15-13*ORÇAMENTO!$AF$7)*OFFSET(ORÇAMENTO!$W$15,ROW(BA331)-ROW(BA$15),0),15-13*ORÇAMENTO!$AF$11)),
         0)</f>
        <v>0</v>
      </c>
      <c r="BC331" s="171">
        <f ca="1">IF(OR($D331&lt;&gt;"Serviço",AND(AUTOEVENTO="Manual",$M331=$A$15)),0,
         IF(OFFSET(CRONOPLE!$F$15,$M331-$A$15,BC$13)=0,10^12,OFFSET(CRONOPLE!$F$15,$M331-$A$15,BC$13)))</f>
        <v>1</v>
      </c>
      <c r="BD331" s="171">
        <f ca="1">IF(OR($D331&lt;&gt;"Serviço",AND(AUTOEVENTO="Manual",$M331=$A$15)),0,
         IF(OFFSET(CRONOPLE!$F$15,$M331-$A$15,BD$13)=0,10^12,OFFSET(CRONOPLE!$F$15,$M331-$A$15,BD$13)))</f>
        <v>2</v>
      </c>
      <c r="BE331" s="171">
        <f ca="1">IF(OR($D331&lt;&gt;"Serviço",AND(AUTOEVENTO="Manual",$M331=$A$15)),0,
         IF(OFFSET(CRONOPLE!$F$15,$M331-$A$15,BE$13)=0,10^12,OFFSET(CRONOPLE!$F$15,$M331-$A$15,BE$13)))</f>
        <v>3</v>
      </c>
      <c r="BF331" s="171">
        <f ca="1">IF(OR($D331&lt;&gt;"Serviço",AND(AUTOEVENTO="Manual",$M331=$A$15)),0,
         IF(OFFSET(CRONOPLE!$F$15,$M331-$A$15,BF$13)=0,10^12,OFFSET(CRONOPLE!$F$15,$M331-$A$15,BF$13)))</f>
        <v>4</v>
      </c>
      <c r="BG331" s="171">
        <f ca="1">IF(OR($D331&lt;&gt;"Serviço",AND(AUTOEVENTO="Manual",$M331=$A$15)),0,
         IF(OFFSET(CRONOPLE!$F$15,$M331-$A$15,BG$13)=0,10^12,OFFSET(CRONOPLE!$F$15,$M331-$A$15,BG$13)))</f>
        <v>5</v>
      </c>
      <c r="BH331" s="171">
        <f ca="1">IF(OR($D331&lt;&gt;"Serviço",AND(AUTOEVENTO="Manual",$M331=$A$15)),0,
         IF(OFFSET(CRONOPLE!$F$15,$M331-$A$15,BH$13)=0,10^12,OFFSET(CRONOPLE!$F$15,$M331-$A$15,BH$13)))</f>
        <v>6</v>
      </c>
      <c r="BI331" s="171">
        <f ca="1">IF(OR($D331&lt;&gt;"Serviço",AND(AUTOEVENTO="Manual",$M331=$A$15)),0,
         IF(OFFSET(CRONOPLE!$F$15,$M331-$A$15,BI$13)=0,10^12,OFFSET(CRONOPLE!$F$15,$M331-$A$15,BI$13)))</f>
        <v>7</v>
      </c>
      <c r="BJ331" s="171">
        <f ca="1">IF(OR($D331&lt;&gt;"Serviço",AND(AUTOEVENTO="Manual",$M331=$A$15)),0,
         IF(OFFSET(CRONOPLE!$F$15,$M331-$A$15,BJ$13)=0,10^12,OFFSET(CRONOPLE!$F$15,$M331-$A$15,BJ$13)))</f>
        <v>8</v>
      </c>
      <c r="BK331" s="171">
        <f ca="1">IF(OR($D331&lt;&gt;"Serviço",AND(AUTOEVENTO="Manual",$M331=$A$15)),0,
         IF(OFFSET(CRONOPLE!$F$15,$M331-$A$15,BK$13)=0,10^12,OFFSET(CRONOPLE!$F$15,$M331-$A$15,BK$13)))</f>
        <v>9</v>
      </c>
      <c r="BL331" s="171">
        <f ca="1">IF(OR($D331&lt;&gt;"Serviço",AND(AUTOEVENTO="Manual",$M331=$A$15)),0,
         IF(OFFSET(CRONOPLE!$F$15,$M331-$A$15,BL$13)=0,10^12,OFFSET(CRONOPLE!$F$15,$M331-$A$15,BL$13)))</f>
        <v>1000000000000</v>
      </c>
      <c r="BM331" s="171">
        <f ca="1">IF(OR($D331&lt;&gt;"Serviço",AND(AUTOEVENTO="Manual",$M331=$A$15)),0,
         IF(OFFSET(CRONOPLE!$F$15,$M331-$A$15,BM$13)=0,10^12,OFFSET(CRONOPLE!$F$15,$M331-$A$15,BM$13)))</f>
        <v>1000000000000</v>
      </c>
      <c r="BN331" s="171">
        <f ca="1">IF(OR($D331&lt;&gt;"Serviço",AND(AUTOEVENTO="Manual",$M331=$A$15)),0,
         IF(OFFSET(CRONOPLE!$F$15,$M331-$A$15,BN$13)=0,10^12,OFFSET(CRONOPLE!$F$15,$M331-$A$15,BN$13)))</f>
        <v>1000000000000</v>
      </c>
      <c r="BO331" s="171">
        <f ca="1">IF(OR($D331&lt;&gt;"Serviço",AND(AUTOEVENTO="Manual",$M331=$A$15)),0,
         IF(OFFSET(CRONOPLE!$F$15,$M331-$A$15,BO$13)=0,10^12,OFFSET(CRONOPLE!$F$15,$M331-$A$15,BO$13)))</f>
        <v>1000000000000</v>
      </c>
      <c r="BP331" s="171">
        <f ca="1">IF(OR($D331&lt;&gt;"Serviço",AND(AUTOEVENTO="Manual",$M331=$A$15)),0,
         IF(OFFSET(CRONOPLE!$F$15,$M331-$A$15,BP$13)=0,10^12,OFFSET(CRONOPLE!$F$15,$M331-$A$15,BP$13)))</f>
        <v>1000000000000</v>
      </c>
      <c r="BQ331" s="171">
        <f ca="1">IF(OR($D331&lt;&gt;"Serviço",AND(AUTOEVENTO="Manual",$M331=$A$15)),0,
         IF(OFFSET(CRONOPLE!$F$15,$M331-$A$15,BQ$13)=0,10^12,OFFSET(CRONOPLE!$F$15,$M331-$A$15,BQ$13)))</f>
        <v>1000000000000</v>
      </c>
      <c r="BR331" s="171">
        <f ca="1">IF(OR($D331&lt;&gt;"Serviço",AND(AUTOEVENTO="Manual",$M331=$A$15)),0,
         IF(OFFSET(CRONOPLE!$F$15,$M331-$A$15,BR$13)=0,10^12,OFFSET(CRONOPLE!$F$15,$M331-$A$15,BR$13)))</f>
        <v>1000000000000</v>
      </c>
      <c r="BS331" s="171">
        <f ca="1">IF(OR($D331&lt;&gt;"Serviço",AND(AUTOEVENTO="Manual",$M331=$A$15)),0,
         IF(OFFSET(CRONOPLE!$F$15,$M331-$A$15,BS$13)=0,10^12,OFFSET(CRONOPLE!$F$15,$M331-$A$15,BS$13)))</f>
        <v>1000000000000</v>
      </c>
      <c r="BT331" s="171">
        <f ca="1">IF(OR($D331&lt;&gt;"Serviço",AND(AUTOEVENTO="Manual",$M331=$A$15)),0,
         IF(OFFSET(CRONOPLE!$F$15,$M331-$A$15,BT$13)=0,10^12,OFFSET(CRONOPLE!$F$15,$M331-$A$15,BT$13)))</f>
        <v>1000000000000</v>
      </c>
      <c r="BV331" s="172">
        <f ca="1">IF(OR($D331&lt;&gt;"Serviço",AND(AUTOEVENTO="Manual",$M331=$A$15),$M331&gt;(ROW(PLE.lastrow)-ROW(PLE.firstrow))),0,
           IF(OFFSET(PLE!$G$15,$M331-$A$15,BV$13)="",10^12,OFFSET(PLE!$G$15,$M331-$A$15,BV$13)))</f>
        <v>1000000000000</v>
      </c>
      <c r="BW331" s="172">
        <f ca="1">IF(OR($D331&lt;&gt;"Serviço",AND(AUTOEVENTO="Manual",$M331=$A$15),$M331&gt;(ROW(PLE.lastrow)-ROW(PLE.firstrow))),0,
           IF(OFFSET(PLE!$G$15,$M331-$A$15,BW$13)="",10^12,OFFSET(PLE!$G$15,$M331-$A$15,BW$13)))</f>
        <v>1000000000000</v>
      </c>
      <c r="BX331" s="172">
        <f ca="1">IF(OR($D331&lt;&gt;"Serviço",AND(AUTOEVENTO="Manual",$M331=$A$15),$M331&gt;(ROW(PLE.lastrow)-ROW(PLE.firstrow))),0,
           IF(OFFSET(PLE!$G$15,$M331-$A$15,BX$13)="",10^12,OFFSET(PLE!$G$15,$M331-$A$15,BX$13)))</f>
        <v>1000000000000</v>
      </c>
      <c r="BY331" s="172">
        <f ca="1">IF(OR($D331&lt;&gt;"Serviço",AND(AUTOEVENTO="Manual",$M331=$A$15),$M331&gt;(ROW(PLE.lastrow)-ROW(PLE.firstrow))),0,
           IF(OFFSET(PLE!$G$15,$M331-$A$15,BY$13)="",10^12,OFFSET(PLE!$G$15,$M331-$A$15,BY$13)))</f>
        <v>1000000000000</v>
      </c>
      <c r="BZ331" s="172">
        <f ca="1">IF(OR($D331&lt;&gt;"Serviço",AND(AUTOEVENTO="Manual",$M331=$A$15),$M331&gt;(ROW(PLE.lastrow)-ROW(PLE.firstrow))),0,
           IF(OFFSET(PLE!$G$15,$M331-$A$15,BZ$13)="",10^12,OFFSET(PLE!$G$15,$M331-$A$15,BZ$13)))</f>
        <v>1000000000000</v>
      </c>
      <c r="CA331" s="172">
        <f ca="1">IF(OR($D331&lt;&gt;"Serviço",AND(AUTOEVENTO="Manual",$M331=$A$15),$M331&gt;(ROW(PLE.lastrow)-ROW(PLE.firstrow))),0,
           IF(OFFSET(PLE!$G$15,$M331-$A$15,CA$13)="",10^12,OFFSET(PLE!$G$15,$M331-$A$15,CA$13)))</f>
        <v>1000000000000</v>
      </c>
      <c r="CB331" s="172">
        <f ca="1">IF(OR($D331&lt;&gt;"Serviço",AND(AUTOEVENTO="Manual",$M331=$A$15),$M331&gt;(ROW(PLE.lastrow)-ROW(PLE.firstrow))),0,
           IF(OFFSET(PLE!$G$15,$M331-$A$15,CB$13)="",10^12,OFFSET(PLE!$G$15,$M331-$A$15,CB$13)))</f>
        <v>1000000000000</v>
      </c>
      <c r="CC331" s="172">
        <f ca="1">IF(OR($D331&lt;&gt;"Serviço",AND(AUTOEVENTO="Manual",$M331=$A$15),$M331&gt;(ROW(PLE.lastrow)-ROW(PLE.firstrow))),0,
           IF(OFFSET(PLE!$G$15,$M331-$A$15,CC$13)="",10^12,OFFSET(PLE!$G$15,$M331-$A$15,CC$13)))</f>
        <v>1000000000000</v>
      </c>
      <c r="CD331" s="172">
        <f ca="1">IF(OR($D331&lt;&gt;"Serviço",AND(AUTOEVENTO="Manual",$M331=$A$15),$M331&gt;(ROW(PLE.lastrow)-ROW(PLE.firstrow))),0,
           IF(OFFSET(PLE!$G$15,$M331-$A$15,CD$13)="",10^12,OFFSET(PLE!$G$15,$M331-$A$15,CD$13)))</f>
        <v>1000000000000</v>
      </c>
      <c r="CE331" s="172">
        <f ca="1">IF(OR($D331&lt;&gt;"Serviço",AND(AUTOEVENTO="Manual",$M331=$A$15),$M331&gt;(ROW(PLE.lastrow)-ROW(PLE.firstrow))),0,
           IF(OFFSET(PLE!$G$15,$M331-$A$15,CE$13)="",10^12,OFFSET(PLE!$G$15,$M331-$A$15,CE$13)))</f>
        <v>1000000000000</v>
      </c>
      <c r="CF331" s="172">
        <f ca="1">IF(OR($D331&lt;&gt;"Serviço",AND(AUTOEVENTO="Manual",$M331=$A$15),$M331&gt;(ROW(PLE.lastrow)-ROW(PLE.firstrow))),0,
           IF(OFFSET(PLE!$G$15,$M331-$A$15,CF$13)="",10^12,OFFSET(PLE!$G$15,$M331-$A$15,CF$13)))</f>
        <v>1000000000000</v>
      </c>
      <c r="CG331" s="172">
        <f ca="1">IF(OR($D331&lt;&gt;"Serviço",AND(AUTOEVENTO="Manual",$M331=$A$15),$M331&gt;(ROW(PLE.lastrow)-ROW(PLE.firstrow))),0,
           IF(OFFSET(PLE!$G$15,$M331-$A$15,CG$13)="",10^12,OFFSET(PLE!$G$15,$M331-$A$15,CG$13)))</f>
        <v>1000000000000</v>
      </c>
      <c r="CH331" s="172">
        <f ca="1">IF(OR($D331&lt;&gt;"Serviço",AND(AUTOEVENTO="Manual",$M331=$A$15),$M331&gt;(ROW(PLE.lastrow)-ROW(PLE.firstrow))),0,
           IF(OFFSET(PLE!$G$15,$M331-$A$15,CH$13)="",10^12,OFFSET(PLE!$G$15,$M331-$A$15,CH$13)))</f>
        <v>1000000000000</v>
      </c>
      <c r="CI331" s="172">
        <f ca="1">IF(OR($D331&lt;&gt;"Serviço",AND(AUTOEVENTO="Manual",$M331=$A$15),$M331&gt;(ROW(PLE.lastrow)-ROW(PLE.firstrow))),0,
           IF(OFFSET(PLE!$G$15,$M331-$A$15,CI$13)="",10^12,OFFSET(PLE!$G$15,$M331-$A$15,CI$13)))</f>
        <v>1000000000000</v>
      </c>
      <c r="CJ331" s="172">
        <f ca="1">IF(OR($D331&lt;&gt;"Serviço",AND(AUTOEVENTO="Manual",$M331=$A$15),$M331&gt;(ROW(PLE.lastrow)-ROW(PLE.firstrow))),0,
           IF(OFFSET(PLE!$G$15,$M331-$A$15,CJ$13)="",10^12,OFFSET(PLE!$G$15,$M331-$A$15,CJ$13)))</f>
        <v>1000000000000</v>
      </c>
      <c r="CK331" s="172">
        <f ca="1">IF(OR($D331&lt;&gt;"Serviço",AND(AUTOEVENTO="Manual",$M331=$A$15),$M331&gt;(ROW(PLE.lastrow)-ROW(PLE.firstrow))),0,
           IF(OFFSET(PLE!$G$15,$M331-$A$15,CK$13)="",10^12,OFFSET(PLE!$G$15,$M331-$A$15,CK$13)))</f>
        <v>1000000000000</v>
      </c>
      <c r="CL331" s="172">
        <f ca="1">IF(OR($D331&lt;&gt;"Serviço",AND(AUTOEVENTO="Manual",$M331=$A$15),$M331&gt;(ROW(PLE.lastrow)-ROW(PLE.firstrow))),0,
           IF(OFFSET(PLE!$G$15,$M331-$A$15,CL$13)="",10^12,OFFSET(PLE!$G$15,$M331-$A$15,CL$13)))</f>
        <v>1000000000000</v>
      </c>
      <c r="CM331" s="172">
        <f ca="1">IF(OR($D331&lt;&gt;"Serviço",AND(AUTOEVENTO="Manual",$M331=$A$15),$M331&gt;(ROW(PLE.lastrow)-ROW(PLE.firstrow))),0,
           IF(OFFSET(PLE!$G$15,$M331-$A$15,CM$13)="",10^12,OFFSET(PLE!$G$15,$M331-$A$15,CM$13)))</f>
        <v>1000000000000</v>
      </c>
    </row>
    <row r="332" spans="1:91" ht="63.75" x14ac:dyDescent="0.2">
      <c r="A332" s="7">
        <f t="shared" ca="1" si="14"/>
        <v>6</v>
      </c>
      <c r="B332" s="7" t="str">
        <f ca="1">OFFSET(ORÇAMENTO!C$15,ROW(B332)-ROW(B$15),0)</f>
        <v>S</v>
      </c>
      <c r="C332" s="7" t="str">
        <f ca="1">OFFSET(ORÇAMENTO!L$15,ROW(C332)-ROW(C$15),0)</f>
        <v>F</v>
      </c>
      <c r="D332" s="116" t="str">
        <f ca="1">OFFSET(ORÇAMENTO!N$15,ROW(D332)-ROW(D$15),0)</f>
        <v>Serviço</v>
      </c>
      <c r="E332" s="117" t="str">
        <f ca="1">OFFSET(ORÇAMENTO!O$15,ROW(E332)-ROW(E$15),0)</f>
        <v>1.7.5.1.5.</v>
      </c>
      <c r="F332" s="163" t="str">
        <f ca="1">OFFSET(ORÇAMENTO!R$15,ROW(F332)-ROW(F$15),0)</f>
        <v>CURVA 90 BOLSAS FoFo - DN 600 MM</v>
      </c>
      <c r="G332" s="164" t="str">
        <f ca="1">IF($D332&lt;&gt;"Serviço","",OFFSET(ORÇAMENTO!S$15,ROW(G332)-ROW(G$15),0))</f>
        <v>UN</v>
      </c>
      <c r="H332" s="122" cm="1">
        <f t="array" aca="1" ref="H332" ca="1">IF($D332&lt;&gt;"Serviço",0,IF(ACOMPANHAMENTO="BM",ROUND(OFFSET(ORÇAMENTO!AJ$15,ROW(H332)-ROW(H$15),0),15-13*ORÇAMENTO!$AF$7),SUMPRODUCT(($Q$1:$AI$1=1)*ROUND($Q332:$AI332,15-13*ORÇAMENTO!$AF$7))))</f>
        <v>2</v>
      </c>
      <c r="I332" s="468" t="s">
        <v>1359</v>
      </c>
      <c r="J332" s="640" t="str" cm="1">
        <f t="array" aca="1" ref="J332" ca="1">IF(OR(B332&lt;&gt;"S",CÁLCULO.FrentesPreenchidas=0),"",IF(AND(ACOMPANHAMENTO="PLE",AUTOEVENTO="Manual",OR(H332&gt;0,ORÇAMENTO!AC332="QUANT."),OR(K332="",M332=0,N332="")),"►E",IF(AND(ACOMPANHAMENTO="PLE",ORÇAMENTO!AC332="QUANT."),"►Q",IF(AND(ACOMPANHAMENTO="PLE",H332&lt;&gt;SUMPRODUCT(($Q$1:$AI$1=1)*ROUND(Q332:AI332,15))),"►S",IF(AND(COUNTIF($P$11:$AI$11,"▼")=0,H332&gt;0,I332=""),"◄M","")))))</f>
        <v/>
      </c>
      <c r="K332" s="641" t="s">
        <v>1385</v>
      </c>
      <c r="L332" s="165" t="s">
        <v>764</v>
      </c>
      <c r="M332" s="166">
        <f ca="1">IF($D332&lt;&gt;"Serviço","",
          IF(AUTOEVENTO="manual",$A332,
                IF(ISERROR(MATCH($A332,$A$15:OFFSET($A332,-1,0),0)),MAX($M$15:OFFSET(M332,-1,0))+1,
                      INDEX($M$15:OFFSET(M332,-1,0),MATCH($A332,$A$15:OFFSET($A332,-1,0),0)))))</f>
        <v>6</v>
      </c>
      <c r="N332" s="167" t="str">
        <f ca="1">IF($D332&lt;&gt;"Serviço","",
         IF(AUTOEVENTO="Manual",
                IF($A332=0,"&lt;-- defina o número do agrupador",
                       OFFSET(EVENTOS!$D$15,$A332-$A$15,0)),
                OFFSET($F$15,$A332,0)))</f>
        <v>Saneamento</v>
      </c>
      <c r="O332" s="168"/>
      <c r="Q332" s="168"/>
      <c r="R332" s="169"/>
      <c r="S332" s="169"/>
      <c r="T332" s="169"/>
      <c r="U332" s="169"/>
      <c r="V332" s="169">
        <v>2</v>
      </c>
      <c r="W332" s="169"/>
      <c r="X332" s="169"/>
      <c r="Y332" s="169"/>
      <c r="Z332" s="170"/>
      <c r="AA332" s="169"/>
      <c r="AB332" s="169"/>
      <c r="AC332" s="169"/>
      <c r="AD332" s="169"/>
      <c r="AE332" s="169"/>
      <c r="AF332" s="169"/>
      <c r="AG332" s="169"/>
      <c r="AH332" s="170"/>
      <c r="AJ332" s="453">
        <f ca="1">IF(AND($D332="Serviço",AJ$12&lt;&gt;0,$H332&gt;0,OR(AUTOEVENTO&lt;&gt;"manual",$M332&lt;&gt;$A$15)),
        IF(Import.TipoArredondamento&lt;&gt;"TransfereGOV",
              ROUND(OFFSET($P332,0,AJ$13),15-13*ORÇAMENTO!$AF$7)/$H332*OFFSET(ORÇAMENTO!$X$15,ROW(AJ332)-ROW(AJ$15),0),
              ROUND(ROUND(OFFSET($P332,0,AJ$13),15-13*ORÇAMENTO!$AF$7)*OFFSET(ORÇAMENTO!$W$15,ROW(AJ332)-ROW(AJ$15),0),15-13*ORÇAMENTO!$AF$11)),
         0)</f>
        <v>0</v>
      </c>
      <c r="AK332" s="453">
        <f ca="1">IF(AND($D332="Serviço",AK$12&lt;&gt;0,$H332&gt;0,OR(AUTOEVENTO&lt;&gt;"manual",$M332&lt;&gt;$A$15)),
        IF(Import.TipoArredondamento&lt;&gt;"TransfereGOV",
              ROUND(OFFSET($P332,0,AK$13),15-13*ORÇAMENTO!$AF$7)/$H332*OFFSET(ORÇAMENTO!$X$15,ROW(AK332)-ROW(AK$15),0),
              ROUND(ROUND(OFFSET($P332,0,AK$13),15-13*ORÇAMENTO!$AF$7)*OFFSET(ORÇAMENTO!$W$15,ROW(AK332)-ROW(AK$15),0),15-13*ORÇAMENTO!$AF$11)),
         0)</f>
        <v>0</v>
      </c>
      <c r="AL332" s="453">
        <f ca="1">IF(AND($D332="Serviço",AL$12&lt;&gt;0,$H332&gt;0,OR(AUTOEVENTO&lt;&gt;"manual",$M332&lt;&gt;$A$15)),
        IF(Import.TipoArredondamento&lt;&gt;"TransfereGOV",
              ROUND(OFFSET($P332,0,AL$13),15-13*ORÇAMENTO!$AF$7)/$H332*OFFSET(ORÇAMENTO!$X$15,ROW(AL332)-ROW(AL$15),0),
              ROUND(ROUND(OFFSET($P332,0,AL$13),15-13*ORÇAMENTO!$AF$7)*OFFSET(ORÇAMENTO!$W$15,ROW(AL332)-ROW(AL$15),0),15-13*ORÇAMENTO!$AF$11)),
         0)</f>
        <v>0</v>
      </c>
      <c r="AM332" s="453">
        <f ca="1">IF(AND($D332="Serviço",AM$12&lt;&gt;0,$H332&gt;0,OR(AUTOEVENTO&lt;&gt;"manual",$M332&lt;&gt;$A$15)),
        IF(Import.TipoArredondamento&lt;&gt;"TransfereGOV",
              ROUND(OFFSET($P332,0,AM$13),15-13*ORÇAMENTO!$AF$7)/$H332*OFFSET(ORÇAMENTO!$X$15,ROW(AM332)-ROW(AM$15),0),
              ROUND(ROUND(OFFSET($P332,0,AM$13),15-13*ORÇAMENTO!$AF$7)*OFFSET(ORÇAMENTO!$W$15,ROW(AM332)-ROW(AM$15),0),15-13*ORÇAMENTO!$AF$11)),
         0)</f>
        <v>0</v>
      </c>
      <c r="AN332" s="453">
        <f ca="1">IF(AND($D332="Serviço",AN$12&lt;&gt;0,$H332&gt;0,OR(AUTOEVENTO&lt;&gt;"manual",$M332&lt;&gt;$A$15)),
        IF(Import.TipoArredondamento&lt;&gt;"TransfereGOV",
              ROUND(OFFSET($P332,0,AN$13),15-13*ORÇAMENTO!$AF$7)/$H332*OFFSET(ORÇAMENTO!$X$15,ROW(AN332)-ROW(AN$15),0),
              ROUND(ROUND(OFFSET($P332,0,AN$13),15-13*ORÇAMENTO!$AF$7)*OFFSET(ORÇAMENTO!$W$15,ROW(AN332)-ROW(AN$15),0),15-13*ORÇAMENTO!$AF$11)),
         0)</f>
        <v>0</v>
      </c>
      <c r="AO332" s="453">
        <f ca="1">IF(AND($D332="Serviço",AO$12&lt;&gt;0,$H332&gt;0,OR(AUTOEVENTO&lt;&gt;"manual",$M332&lt;&gt;$A$15)),
        IF(Import.TipoArredondamento&lt;&gt;"TransfereGOV",
              ROUND(OFFSET($P332,0,AO$13),15-13*ORÇAMENTO!$AF$7)/$H332*OFFSET(ORÇAMENTO!$X$15,ROW(AO332)-ROW(AO$15),0),
              ROUND(ROUND(OFFSET($P332,0,AO$13),15-13*ORÇAMENTO!$AF$7)*OFFSET(ORÇAMENTO!$W$15,ROW(AO332)-ROW(AO$15),0),15-13*ORÇAMENTO!$AF$11)),
         0)</f>
        <v>0</v>
      </c>
      <c r="AP332" s="453">
        <f ca="1">IF(AND($D332="Serviço",AP$12&lt;&gt;0,$H332&gt;0,OR(AUTOEVENTO&lt;&gt;"manual",$M332&lt;&gt;$A$15)),
        IF(Import.TipoArredondamento&lt;&gt;"TransfereGOV",
              ROUND(OFFSET($P332,0,AP$13),15-13*ORÇAMENTO!$AF$7)/$H332*OFFSET(ORÇAMENTO!$X$15,ROW(AP332)-ROW(AP$15),0),
              ROUND(ROUND(OFFSET($P332,0,AP$13),15-13*ORÇAMENTO!$AF$7)*OFFSET(ORÇAMENTO!$W$15,ROW(AP332)-ROW(AP$15),0),15-13*ORÇAMENTO!$AF$11)),
         0)</f>
        <v>0</v>
      </c>
      <c r="AQ332" s="453">
        <f ca="1">IF(AND($D332="Serviço",AQ$12&lt;&gt;0,$H332&gt;0,OR(AUTOEVENTO&lt;&gt;"manual",$M332&lt;&gt;$A$15)),
        IF(Import.TipoArredondamento&lt;&gt;"TransfereGOV",
              ROUND(OFFSET($P332,0,AQ$13),15-13*ORÇAMENTO!$AF$7)/$H332*OFFSET(ORÇAMENTO!$X$15,ROW(AQ332)-ROW(AQ$15),0),
              ROUND(ROUND(OFFSET($P332,0,AQ$13),15-13*ORÇAMENTO!$AF$7)*OFFSET(ORÇAMENTO!$W$15,ROW(AQ332)-ROW(AQ$15),0),15-13*ORÇAMENTO!$AF$11)),
         0)</f>
        <v>0</v>
      </c>
      <c r="AR332" s="453">
        <f ca="1">IF(AND($D332="Serviço",AR$12&lt;&gt;0,$H332&gt;0,OR(AUTOEVENTO&lt;&gt;"manual",$M332&lt;&gt;$A$15)),
        IF(Import.TipoArredondamento&lt;&gt;"TransfereGOV",
              ROUND(OFFSET($P332,0,AR$13),15-13*ORÇAMENTO!$AF$7)/$H332*OFFSET(ORÇAMENTO!$X$15,ROW(AR332)-ROW(AR$15),0),
              ROUND(ROUND(OFFSET($P332,0,AR$13),15-13*ORÇAMENTO!$AF$7)*OFFSET(ORÇAMENTO!$W$15,ROW(AR332)-ROW(AR$15),0),15-13*ORÇAMENTO!$AF$11)),
         0)</f>
        <v>0</v>
      </c>
      <c r="AS332" s="453">
        <f ca="1">IF(AND($D332="Serviço",AS$12&lt;&gt;0,$H332&gt;0,OR(AUTOEVENTO&lt;&gt;"manual",$M332&lt;&gt;$A$15)),
        IF(Import.TipoArredondamento&lt;&gt;"TransfereGOV",
              ROUND(OFFSET($P332,0,AS$13),15-13*ORÇAMENTO!$AF$7)/$H332*OFFSET(ORÇAMENTO!$X$15,ROW(AS332)-ROW(AS$15),0),
              ROUND(ROUND(OFFSET($P332,0,AS$13),15-13*ORÇAMENTO!$AF$7)*OFFSET(ORÇAMENTO!$W$15,ROW(AS332)-ROW(AS$15),0),15-13*ORÇAMENTO!$AF$11)),
         0)</f>
        <v>0</v>
      </c>
      <c r="AT332" s="453">
        <f ca="1">IF(AND($D332="Serviço",AT$12&lt;&gt;0,$H332&gt;0,OR(AUTOEVENTO&lt;&gt;"manual",$M332&lt;&gt;$A$15)),
        IF(Import.TipoArredondamento&lt;&gt;"TransfereGOV",
              ROUND(OFFSET($P332,0,AT$13),15-13*ORÇAMENTO!$AF$7)/$H332*OFFSET(ORÇAMENTO!$X$15,ROW(AT332)-ROW(AT$15),0),
              ROUND(ROUND(OFFSET($P332,0,AT$13),15-13*ORÇAMENTO!$AF$7)*OFFSET(ORÇAMENTO!$W$15,ROW(AT332)-ROW(AT$15),0),15-13*ORÇAMENTO!$AF$11)),
         0)</f>
        <v>0</v>
      </c>
      <c r="AU332" s="453">
        <f ca="1">IF(AND($D332="Serviço",AU$12&lt;&gt;0,$H332&gt;0,OR(AUTOEVENTO&lt;&gt;"manual",$M332&lt;&gt;$A$15)),
        IF(Import.TipoArredondamento&lt;&gt;"TransfereGOV",
              ROUND(OFFSET($P332,0,AU$13),15-13*ORÇAMENTO!$AF$7)/$H332*OFFSET(ORÇAMENTO!$X$15,ROW(AU332)-ROW(AU$15),0),
              ROUND(ROUND(OFFSET($P332,0,AU$13),15-13*ORÇAMENTO!$AF$7)*OFFSET(ORÇAMENTO!$W$15,ROW(AU332)-ROW(AU$15),0),15-13*ORÇAMENTO!$AF$11)),
         0)</f>
        <v>0</v>
      </c>
      <c r="AV332" s="453">
        <f ca="1">IF(AND($D332="Serviço",AV$12&lt;&gt;0,$H332&gt;0,OR(AUTOEVENTO&lt;&gt;"manual",$M332&lt;&gt;$A$15)),
        IF(Import.TipoArredondamento&lt;&gt;"TransfereGOV",
              ROUND(OFFSET($P332,0,AV$13),15-13*ORÇAMENTO!$AF$7)/$H332*OFFSET(ORÇAMENTO!$X$15,ROW(AV332)-ROW(AV$15),0),
              ROUND(ROUND(OFFSET($P332,0,AV$13),15-13*ORÇAMENTO!$AF$7)*OFFSET(ORÇAMENTO!$W$15,ROW(AV332)-ROW(AV$15),0),15-13*ORÇAMENTO!$AF$11)),
         0)</f>
        <v>0</v>
      </c>
      <c r="AW332" s="453">
        <f ca="1">IF(AND($D332="Serviço",AW$12&lt;&gt;0,$H332&gt;0,OR(AUTOEVENTO&lt;&gt;"manual",$M332&lt;&gt;$A$15)),
        IF(Import.TipoArredondamento&lt;&gt;"TransfereGOV",
              ROUND(OFFSET($P332,0,AW$13),15-13*ORÇAMENTO!$AF$7)/$H332*OFFSET(ORÇAMENTO!$X$15,ROW(AW332)-ROW(AW$15),0),
              ROUND(ROUND(OFFSET($P332,0,AW$13),15-13*ORÇAMENTO!$AF$7)*OFFSET(ORÇAMENTO!$W$15,ROW(AW332)-ROW(AW$15),0),15-13*ORÇAMENTO!$AF$11)),
         0)</f>
        <v>0</v>
      </c>
      <c r="AX332" s="453">
        <f ca="1">IF(AND($D332="Serviço",AX$12&lt;&gt;0,$H332&gt;0,OR(AUTOEVENTO&lt;&gt;"manual",$M332&lt;&gt;$A$15)),
        IF(Import.TipoArredondamento&lt;&gt;"TransfereGOV",
              ROUND(OFFSET($P332,0,AX$13),15-13*ORÇAMENTO!$AF$7)/$H332*OFFSET(ORÇAMENTO!$X$15,ROW(AX332)-ROW(AX$15),0),
              ROUND(ROUND(OFFSET($P332,0,AX$13),15-13*ORÇAMENTO!$AF$7)*OFFSET(ORÇAMENTO!$W$15,ROW(AX332)-ROW(AX$15),0),15-13*ORÇAMENTO!$AF$11)),
         0)</f>
        <v>0</v>
      </c>
      <c r="AY332" s="453">
        <f ca="1">IF(AND($D332="Serviço",AY$12&lt;&gt;0,$H332&gt;0,OR(AUTOEVENTO&lt;&gt;"manual",$M332&lt;&gt;$A$15)),
        IF(Import.TipoArredondamento&lt;&gt;"TransfereGOV",
              ROUND(OFFSET($P332,0,AY$13),15-13*ORÇAMENTO!$AF$7)/$H332*OFFSET(ORÇAMENTO!$X$15,ROW(AY332)-ROW(AY$15),0),
              ROUND(ROUND(OFFSET($P332,0,AY$13),15-13*ORÇAMENTO!$AF$7)*OFFSET(ORÇAMENTO!$W$15,ROW(AY332)-ROW(AY$15),0),15-13*ORÇAMENTO!$AF$11)),
         0)</f>
        <v>0</v>
      </c>
      <c r="AZ332" s="453">
        <f ca="1">IF(AND($D332="Serviço",AZ$12&lt;&gt;0,$H332&gt;0,OR(AUTOEVENTO&lt;&gt;"manual",$M332&lt;&gt;$A$15)),
        IF(Import.TipoArredondamento&lt;&gt;"TransfereGOV",
              ROUND(OFFSET($P332,0,AZ$13),15-13*ORÇAMENTO!$AF$7)/$H332*OFFSET(ORÇAMENTO!$X$15,ROW(AZ332)-ROW(AZ$15),0),
              ROUND(ROUND(OFFSET($P332,0,AZ$13),15-13*ORÇAMENTO!$AF$7)*OFFSET(ORÇAMENTO!$W$15,ROW(AZ332)-ROW(AZ$15),0),15-13*ORÇAMENTO!$AF$11)),
         0)</f>
        <v>0</v>
      </c>
      <c r="BA332" s="453">
        <f ca="1">IF(AND($D332="Serviço",BA$12&lt;&gt;0,$H332&gt;0,OR(AUTOEVENTO&lt;&gt;"manual",$M332&lt;&gt;$A$15)),
        IF(Import.TipoArredondamento&lt;&gt;"TransfereGOV",
              ROUND(OFFSET($P332,0,BA$13),15-13*ORÇAMENTO!$AF$7)/$H332*OFFSET(ORÇAMENTO!$X$15,ROW(BA332)-ROW(BA$15),0),
              ROUND(ROUND(OFFSET($P332,0,BA$13),15-13*ORÇAMENTO!$AF$7)*OFFSET(ORÇAMENTO!$W$15,ROW(BA332)-ROW(BA$15),0),15-13*ORÇAMENTO!$AF$11)),
         0)</f>
        <v>0</v>
      </c>
      <c r="BC332" s="171">
        <f ca="1">IF(OR($D332&lt;&gt;"Serviço",AND(AUTOEVENTO="Manual",$M332=$A$15)),0,
         IF(OFFSET(CRONOPLE!$F$15,$M332-$A$15,BC$13)=0,10^12,OFFSET(CRONOPLE!$F$15,$M332-$A$15,BC$13)))</f>
        <v>1</v>
      </c>
      <c r="BD332" s="171">
        <f ca="1">IF(OR($D332&lt;&gt;"Serviço",AND(AUTOEVENTO="Manual",$M332=$A$15)),0,
         IF(OFFSET(CRONOPLE!$F$15,$M332-$A$15,BD$13)=0,10^12,OFFSET(CRONOPLE!$F$15,$M332-$A$15,BD$13)))</f>
        <v>2</v>
      </c>
      <c r="BE332" s="171">
        <f ca="1">IF(OR($D332&lt;&gt;"Serviço",AND(AUTOEVENTO="Manual",$M332=$A$15)),0,
         IF(OFFSET(CRONOPLE!$F$15,$M332-$A$15,BE$13)=0,10^12,OFFSET(CRONOPLE!$F$15,$M332-$A$15,BE$13)))</f>
        <v>3</v>
      </c>
      <c r="BF332" s="171">
        <f ca="1">IF(OR($D332&lt;&gt;"Serviço",AND(AUTOEVENTO="Manual",$M332=$A$15)),0,
         IF(OFFSET(CRONOPLE!$F$15,$M332-$A$15,BF$13)=0,10^12,OFFSET(CRONOPLE!$F$15,$M332-$A$15,BF$13)))</f>
        <v>4</v>
      </c>
      <c r="BG332" s="171">
        <f ca="1">IF(OR($D332&lt;&gt;"Serviço",AND(AUTOEVENTO="Manual",$M332=$A$15)),0,
         IF(OFFSET(CRONOPLE!$F$15,$M332-$A$15,BG$13)=0,10^12,OFFSET(CRONOPLE!$F$15,$M332-$A$15,BG$13)))</f>
        <v>5</v>
      </c>
      <c r="BH332" s="171">
        <f ca="1">IF(OR($D332&lt;&gt;"Serviço",AND(AUTOEVENTO="Manual",$M332=$A$15)),0,
         IF(OFFSET(CRONOPLE!$F$15,$M332-$A$15,BH$13)=0,10^12,OFFSET(CRONOPLE!$F$15,$M332-$A$15,BH$13)))</f>
        <v>6</v>
      </c>
      <c r="BI332" s="171">
        <f ca="1">IF(OR($D332&lt;&gt;"Serviço",AND(AUTOEVENTO="Manual",$M332=$A$15)),0,
         IF(OFFSET(CRONOPLE!$F$15,$M332-$A$15,BI$13)=0,10^12,OFFSET(CRONOPLE!$F$15,$M332-$A$15,BI$13)))</f>
        <v>7</v>
      </c>
      <c r="BJ332" s="171">
        <f ca="1">IF(OR($D332&lt;&gt;"Serviço",AND(AUTOEVENTO="Manual",$M332=$A$15)),0,
         IF(OFFSET(CRONOPLE!$F$15,$M332-$A$15,BJ$13)=0,10^12,OFFSET(CRONOPLE!$F$15,$M332-$A$15,BJ$13)))</f>
        <v>8</v>
      </c>
      <c r="BK332" s="171">
        <f ca="1">IF(OR($D332&lt;&gt;"Serviço",AND(AUTOEVENTO="Manual",$M332=$A$15)),0,
         IF(OFFSET(CRONOPLE!$F$15,$M332-$A$15,BK$13)=0,10^12,OFFSET(CRONOPLE!$F$15,$M332-$A$15,BK$13)))</f>
        <v>9</v>
      </c>
      <c r="BL332" s="171">
        <f ca="1">IF(OR($D332&lt;&gt;"Serviço",AND(AUTOEVENTO="Manual",$M332=$A$15)),0,
         IF(OFFSET(CRONOPLE!$F$15,$M332-$A$15,BL$13)=0,10^12,OFFSET(CRONOPLE!$F$15,$M332-$A$15,BL$13)))</f>
        <v>1000000000000</v>
      </c>
      <c r="BM332" s="171">
        <f ca="1">IF(OR($D332&lt;&gt;"Serviço",AND(AUTOEVENTO="Manual",$M332=$A$15)),0,
         IF(OFFSET(CRONOPLE!$F$15,$M332-$A$15,BM$13)=0,10^12,OFFSET(CRONOPLE!$F$15,$M332-$A$15,BM$13)))</f>
        <v>1000000000000</v>
      </c>
      <c r="BN332" s="171">
        <f ca="1">IF(OR($D332&lt;&gt;"Serviço",AND(AUTOEVENTO="Manual",$M332=$A$15)),0,
         IF(OFFSET(CRONOPLE!$F$15,$M332-$A$15,BN$13)=0,10^12,OFFSET(CRONOPLE!$F$15,$M332-$A$15,BN$13)))</f>
        <v>1000000000000</v>
      </c>
      <c r="BO332" s="171">
        <f ca="1">IF(OR($D332&lt;&gt;"Serviço",AND(AUTOEVENTO="Manual",$M332=$A$15)),0,
         IF(OFFSET(CRONOPLE!$F$15,$M332-$A$15,BO$13)=0,10^12,OFFSET(CRONOPLE!$F$15,$M332-$A$15,BO$13)))</f>
        <v>1000000000000</v>
      </c>
      <c r="BP332" s="171">
        <f ca="1">IF(OR($D332&lt;&gt;"Serviço",AND(AUTOEVENTO="Manual",$M332=$A$15)),0,
         IF(OFFSET(CRONOPLE!$F$15,$M332-$A$15,BP$13)=0,10^12,OFFSET(CRONOPLE!$F$15,$M332-$A$15,BP$13)))</f>
        <v>1000000000000</v>
      </c>
      <c r="BQ332" s="171">
        <f ca="1">IF(OR($D332&lt;&gt;"Serviço",AND(AUTOEVENTO="Manual",$M332=$A$15)),0,
         IF(OFFSET(CRONOPLE!$F$15,$M332-$A$15,BQ$13)=0,10^12,OFFSET(CRONOPLE!$F$15,$M332-$A$15,BQ$13)))</f>
        <v>1000000000000</v>
      </c>
      <c r="BR332" s="171">
        <f ca="1">IF(OR($D332&lt;&gt;"Serviço",AND(AUTOEVENTO="Manual",$M332=$A$15)),0,
         IF(OFFSET(CRONOPLE!$F$15,$M332-$A$15,BR$13)=0,10^12,OFFSET(CRONOPLE!$F$15,$M332-$A$15,BR$13)))</f>
        <v>1000000000000</v>
      </c>
      <c r="BS332" s="171">
        <f ca="1">IF(OR($D332&lt;&gt;"Serviço",AND(AUTOEVENTO="Manual",$M332=$A$15)),0,
         IF(OFFSET(CRONOPLE!$F$15,$M332-$A$15,BS$13)=0,10^12,OFFSET(CRONOPLE!$F$15,$M332-$A$15,BS$13)))</f>
        <v>1000000000000</v>
      </c>
      <c r="BT332" s="171">
        <f ca="1">IF(OR($D332&lt;&gt;"Serviço",AND(AUTOEVENTO="Manual",$M332=$A$15)),0,
         IF(OFFSET(CRONOPLE!$F$15,$M332-$A$15,BT$13)=0,10^12,OFFSET(CRONOPLE!$F$15,$M332-$A$15,BT$13)))</f>
        <v>1000000000000</v>
      </c>
      <c r="BV332" s="172">
        <f ca="1">IF(OR($D332&lt;&gt;"Serviço",AND(AUTOEVENTO="Manual",$M332=$A$15),$M332&gt;(ROW(PLE.lastrow)-ROW(PLE.firstrow))),0,
           IF(OFFSET(PLE!$G$15,$M332-$A$15,BV$13)="",10^12,OFFSET(PLE!$G$15,$M332-$A$15,BV$13)))</f>
        <v>1000000000000</v>
      </c>
      <c r="BW332" s="172">
        <f ca="1">IF(OR($D332&lt;&gt;"Serviço",AND(AUTOEVENTO="Manual",$M332=$A$15),$M332&gt;(ROW(PLE.lastrow)-ROW(PLE.firstrow))),0,
           IF(OFFSET(PLE!$G$15,$M332-$A$15,BW$13)="",10^12,OFFSET(PLE!$G$15,$M332-$A$15,BW$13)))</f>
        <v>1000000000000</v>
      </c>
      <c r="BX332" s="172">
        <f ca="1">IF(OR($D332&lt;&gt;"Serviço",AND(AUTOEVENTO="Manual",$M332=$A$15),$M332&gt;(ROW(PLE.lastrow)-ROW(PLE.firstrow))),0,
           IF(OFFSET(PLE!$G$15,$M332-$A$15,BX$13)="",10^12,OFFSET(PLE!$G$15,$M332-$A$15,BX$13)))</f>
        <v>1000000000000</v>
      </c>
      <c r="BY332" s="172">
        <f ca="1">IF(OR($D332&lt;&gt;"Serviço",AND(AUTOEVENTO="Manual",$M332=$A$15),$M332&gt;(ROW(PLE.lastrow)-ROW(PLE.firstrow))),0,
           IF(OFFSET(PLE!$G$15,$M332-$A$15,BY$13)="",10^12,OFFSET(PLE!$G$15,$M332-$A$15,BY$13)))</f>
        <v>1000000000000</v>
      </c>
      <c r="BZ332" s="172">
        <f ca="1">IF(OR($D332&lt;&gt;"Serviço",AND(AUTOEVENTO="Manual",$M332=$A$15),$M332&gt;(ROW(PLE.lastrow)-ROW(PLE.firstrow))),0,
           IF(OFFSET(PLE!$G$15,$M332-$A$15,BZ$13)="",10^12,OFFSET(PLE!$G$15,$M332-$A$15,BZ$13)))</f>
        <v>1000000000000</v>
      </c>
      <c r="CA332" s="172">
        <f ca="1">IF(OR($D332&lt;&gt;"Serviço",AND(AUTOEVENTO="Manual",$M332=$A$15),$M332&gt;(ROW(PLE.lastrow)-ROW(PLE.firstrow))),0,
           IF(OFFSET(PLE!$G$15,$M332-$A$15,CA$13)="",10^12,OFFSET(PLE!$G$15,$M332-$A$15,CA$13)))</f>
        <v>1000000000000</v>
      </c>
      <c r="CB332" s="172">
        <f ca="1">IF(OR($D332&lt;&gt;"Serviço",AND(AUTOEVENTO="Manual",$M332=$A$15),$M332&gt;(ROW(PLE.lastrow)-ROW(PLE.firstrow))),0,
           IF(OFFSET(PLE!$G$15,$M332-$A$15,CB$13)="",10^12,OFFSET(PLE!$G$15,$M332-$A$15,CB$13)))</f>
        <v>1000000000000</v>
      </c>
      <c r="CC332" s="172">
        <f ca="1">IF(OR($D332&lt;&gt;"Serviço",AND(AUTOEVENTO="Manual",$M332=$A$15),$M332&gt;(ROW(PLE.lastrow)-ROW(PLE.firstrow))),0,
           IF(OFFSET(PLE!$G$15,$M332-$A$15,CC$13)="",10^12,OFFSET(PLE!$G$15,$M332-$A$15,CC$13)))</f>
        <v>1000000000000</v>
      </c>
      <c r="CD332" s="172">
        <f ca="1">IF(OR($D332&lt;&gt;"Serviço",AND(AUTOEVENTO="Manual",$M332=$A$15),$M332&gt;(ROW(PLE.lastrow)-ROW(PLE.firstrow))),0,
           IF(OFFSET(PLE!$G$15,$M332-$A$15,CD$13)="",10^12,OFFSET(PLE!$G$15,$M332-$A$15,CD$13)))</f>
        <v>1000000000000</v>
      </c>
      <c r="CE332" s="172">
        <f ca="1">IF(OR($D332&lt;&gt;"Serviço",AND(AUTOEVENTO="Manual",$M332=$A$15),$M332&gt;(ROW(PLE.lastrow)-ROW(PLE.firstrow))),0,
           IF(OFFSET(PLE!$G$15,$M332-$A$15,CE$13)="",10^12,OFFSET(PLE!$G$15,$M332-$A$15,CE$13)))</f>
        <v>1000000000000</v>
      </c>
      <c r="CF332" s="172">
        <f ca="1">IF(OR($D332&lt;&gt;"Serviço",AND(AUTOEVENTO="Manual",$M332=$A$15),$M332&gt;(ROW(PLE.lastrow)-ROW(PLE.firstrow))),0,
           IF(OFFSET(PLE!$G$15,$M332-$A$15,CF$13)="",10^12,OFFSET(PLE!$G$15,$M332-$A$15,CF$13)))</f>
        <v>1000000000000</v>
      </c>
      <c r="CG332" s="172">
        <f ca="1">IF(OR($D332&lt;&gt;"Serviço",AND(AUTOEVENTO="Manual",$M332=$A$15),$M332&gt;(ROW(PLE.lastrow)-ROW(PLE.firstrow))),0,
           IF(OFFSET(PLE!$G$15,$M332-$A$15,CG$13)="",10^12,OFFSET(PLE!$G$15,$M332-$A$15,CG$13)))</f>
        <v>1000000000000</v>
      </c>
      <c r="CH332" s="172">
        <f ca="1">IF(OR($D332&lt;&gt;"Serviço",AND(AUTOEVENTO="Manual",$M332=$A$15),$M332&gt;(ROW(PLE.lastrow)-ROW(PLE.firstrow))),0,
           IF(OFFSET(PLE!$G$15,$M332-$A$15,CH$13)="",10^12,OFFSET(PLE!$G$15,$M332-$A$15,CH$13)))</f>
        <v>1000000000000</v>
      </c>
      <c r="CI332" s="172">
        <f ca="1">IF(OR($D332&lt;&gt;"Serviço",AND(AUTOEVENTO="Manual",$M332=$A$15),$M332&gt;(ROW(PLE.lastrow)-ROW(PLE.firstrow))),0,
           IF(OFFSET(PLE!$G$15,$M332-$A$15,CI$13)="",10^12,OFFSET(PLE!$G$15,$M332-$A$15,CI$13)))</f>
        <v>1000000000000</v>
      </c>
      <c r="CJ332" s="172">
        <f ca="1">IF(OR($D332&lt;&gt;"Serviço",AND(AUTOEVENTO="Manual",$M332=$A$15),$M332&gt;(ROW(PLE.lastrow)-ROW(PLE.firstrow))),0,
           IF(OFFSET(PLE!$G$15,$M332-$A$15,CJ$13)="",10^12,OFFSET(PLE!$G$15,$M332-$A$15,CJ$13)))</f>
        <v>1000000000000</v>
      </c>
      <c r="CK332" s="172">
        <f ca="1">IF(OR($D332&lt;&gt;"Serviço",AND(AUTOEVENTO="Manual",$M332=$A$15),$M332&gt;(ROW(PLE.lastrow)-ROW(PLE.firstrow))),0,
           IF(OFFSET(PLE!$G$15,$M332-$A$15,CK$13)="",10^12,OFFSET(PLE!$G$15,$M332-$A$15,CK$13)))</f>
        <v>1000000000000</v>
      </c>
      <c r="CL332" s="172">
        <f ca="1">IF(OR($D332&lt;&gt;"Serviço",AND(AUTOEVENTO="Manual",$M332=$A$15),$M332&gt;(ROW(PLE.lastrow)-ROW(PLE.firstrow))),0,
           IF(OFFSET(PLE!$G$15,$M332-$A$15,CL$13)="",10^12,OFFSET(PLE!$G$15,$M332-$A$15,CL$13)))</f>
        <v>1000000000000</v>
      </c>
      <c r="CM332" s="172">
        <f ca="1">IF(OR($D332&lt;&gt;"Serviço",AND(AUTOEVENTO="Manual",$M332=$A$15),$M332&gt;(ROW(PLE.lastrow)-ROW(PLE.firstrow))),0,
           IF(OFFSET(PLE!$G$15,$M332-$A$15,CM$13)="",10^12,OFFSET(PLE!$G$15,$M332-$A$15,CM$13)))</f>
        <v>1000000000000</v>
      </c>
    </row>
    <row r="333" spans="1:91" ht="63.75" x14ac:dyDescent="0.2">
      <c r="A333" s="7">
        <f t="shared" ca="1" si="14"/>
        <v>6</v>
      </c>
      <c r="B333" s="7" t="str">
        <f ca="1">OFFSET(ORÇAMENTO!C$15,ROW(B333)-ROW(B$15),0)</f>
        <v>S</v>
      </c>
      <c r="C333" s="7" t="str">
        <f ca="1">OFFSET(ORÇAMENTO!L$15,ROW(C333)-ROW(C$15),0)</f>
        <v>F</v>
      </c>
      <c r="D333" s="116" t="str">
        <f ca="1">OFFSET(ORÇAMENTO!N$15,ROW(D333)-ROW(D$15),0)</f>
        <v>Serviço</v>
      </c>
      <c r="E333" s="117" t="str">
        <f ca="1">OFFSET(ORÇAMENTO!O$15,ROW(E333)-ROW(E$15),0)</f>
        <v>1.7.5.1.6.</v>
      </c>
      <c r="F333" s="163" t="str">
        <f ca="1">OFFSET(ORÇAMENTO!R$15,ROW(F333)-ROW(F$15),0)</f>
        <v>TUBO CILÍNDRICO FoFo L=0,40 M - DN 600 MM</v>
      </c>
      <c r="G333" s="164" t="str">
        <f ca="1">IF($D333&lt;&gt;"Serviço","",OFFSET(ORÇAMENTO!S$15,ROW(G333)-ROW(G$15),0))</f>
        <v>UN</v>
      </c>
      <c r="H333" s="122" cm="1">
        <f t="array" aca="1" ref="H333" ca="1">IF($D333&lt;&gt;"Serviço",0,IF(ACOMPANHAMENTO="BM",ROUND(OFFSET(ORÇAMENTO!AJ$15,ROW(H333)-ROW(H$15),0),15-13*ORÇAMENTO!$AF$7),SUMPRODUCT(($Q$1:$AI$1=1)*ROUND($Q333:$AI333,15-13*ORÇAMENTO!$AF$7))))</f>
        <v>1</v>
      </c>
      <c r="I333" s="468" t="s">
        <v>1359</v>
      </c>
      <c r="J333" s="640" t="str" cm="1">
        <f t="array" aca="1" ref="J333" ca="1">IF(OR(B333&lt;&gt;"S",CÁLCULO.FrentesPreenchidas=0),"",IF(AND(ACOMPANHAMENTO="PLE",AUTOEVENTO="Manual",OR(H333&gt;0,ORÇAMENTO!AC333="QUANT."),OR(K333="",M333=0,N333="")),"►E",IF(AND(ACOMPANHAMENTO="PLE",ORÇAMENTO!AC333="QUANT."),"►Q",IF(AND(ACOMPANHAMENTO="PLE",H333&lt;&gt;SUMPRODUCT(($Q$1:$AI$1=1)*ROUND(Q333:AI333,15))),"►S",IF(AND(COUNTIF($P$11:$AI$11,"▼")=0,H333&gt;0,I333=""),"◄M","")))))</f>
        <v/>
      </c>
      <c r="K333" s="641" t="s">
        <v>1385</v>
      </c>
      <c r="L333" s="165" t="s">
        <v>764</v>
      </c>
      <c r="M333" s="166">
        <f ca="1">IF($D333&lt;&gt;"Serviço","",
          IF(AUTOEVENTO="manual",$A333,
                IF(ISERROR(MATCH($A333,$A$15:OFFSET($A333,-1,0),0)),MAX($M$15:OFFSET(M333,-1,0))+1,
                      INDEX($M$15:OFFSET(M333,-1,0),MATCH($A333,$A$15:OFFSET($A333,-1,0),0)))))</f>
        <v>6</v>
      </c>
      <c r="N333" s="167" t="str">
        <f ca="1">IF($D333&lt;&gt;"Serviço","",
         IF(AUTOEVENTO="Manual",
                IF($A333=0,"&lt;-- defina o número do agrupador",
                       OFFSET(EVENTOS!$D$15,$A333-$A$15,0)),
                OFFSET($F$15,$A333,0)))</f>
        <v>Saneamento</v>
      </c>
      <c r="O333" s="168"/>
      <c r="Q333" s="168"/>
      <c r="R333" s="169"/>
      <c r="S333" s="169"/>
      <c r="T333" s="169"/>
      <c r="U333" s="169"/>
      <c r="V333" s="169">
        <v>1</v>
      </c>
      <c r="W333" s="169"/>
      <c r="X333" s="169"/>
      <c r="Y333" s="169"/>
      <c r="Z333" s="170"/>
      <c r="AA333" s="169"/>
      <c r="AB333" s="169"/>
      <c r="AC333" s="169"/>
      <c r="AD333" s="169"/>
      <c r="AE333" s="169"/>
      <c r="AF333" s="169"/>
      <c r="AG333" s="169"/>
      <c r="AH333" s="170"/>
      <c r="AJ333" s="453">
        <f ca="1">IF(AND($D333="Serviço",AJ$12&lt;&gt;0,$H333&gt;0,OR(AUTOEVENTO&lt;&gt;"manual",$M333&lt;&gt;$A$15)),
        IF(Import.TipoArredondamento&lt;&gt;"TransfereGOV",
              ROUND(OFFSET($P333,0,AJ$13),15-13*ORÇAMENTO!$AF$7)/$H333*OFFSET(ORÇAMENTO!$X$15,ROW(AJ333)-ROW(AJ$15),0),
              ROUND(ROUND(OFFSET($P333,0,AJ$13),15-13*ORÇAMENTO!$AF$7)*OFFSET(ORÇAMENTO!$W$15,ROW(AJ333)-ROW(AJ$15),0),15-13*ORÇAMENTO!$AF$11)),
         0)</f>
        <v>0</v>
      </c>
      <c r="AK333" s="453">
        <f ca="1">IF(AND($D333="Serviço",AK$12&lt;&gt;0,$H333&gt;0,OR(AUTOEVENTO&lt;&gt;"manual",$M333&lt;&gt;$A$15)),
        IF(Import.TipoArredondamento&lt;&gt;"TransfereGOV",
              ROUND(OFFSET($P333,0,AK$13),15-13*ORÇAMENTO!$AF$7)/$H333*OFFSET(ORÇAMENTO!$X$15,ROW(AK333)-ROW(AK$15),0),
              ROUND(ROUND(OFFSET($P333,0,AK$13),15-13*ORÇAMENTO!$AF$7)*OFFSET(ORÇAMENTO!$W$15,ROW(AK333)-ROW(AK$15),0),15-13*ORÇAMENTO!$AF$11)),
         0)</f>
        <v>0</v>
      </c>
      <c r="AL333" s="453">
        <f ca="1">IF(AND($D333="Serviço",AL$12&lt;&gt;0,$H333&gt;0,OR(AUTOEVENTO&lt;&gt;"manual",$M333&lt;&gt;$A$15)),
        IF(Import.TipoArredondamento&lt;&gt;"TransfereGOV",
              ROUND(OFFSET($P333,0,AL$13),15-13*ORÇAMENTO!$AF$7)/$H333*OFFSET(ORÇAMENTO!$X$15,ROW(AL333)-ROW(AL$15),0),
              ROUND(ROUND(OFFSET($P333,0,AL$13),15-13*ORÇAMENTO!$AF$7)*OFFSET(ORÇAMENTO!$W$15,ROW(AL333)-ROW(AL$15),0),15-13*ORÇAMENTO!$AF$11)),
         0)</f>
        <v>0</v>
      </c>
      <c r="AM333" s="453">
        <f ca="1">IF(AND($D333="Serviço",AM$12&lt;&gt;0,$H333&gt;0,OR(AUTOEVENTO&lt;&gt;"manual",$M333&lt;&gt;$A$15)),
        IF(Import.TipoArredondamento&lt;&gt;"TransfereGOV",
              ROUND(OFFSET($P333,0,AM$13),15-13*ORÇAMENTO!$AF$7)/$H333*OFFSET(ORÇAMENTO!$X$15,ROW(AM333)-ROW(AM$15),0),
              ROUND(ROUND(OFFSET($P333,0,AM$13),15-13*ORÇAMENTO!$AF$7)*OFFSET(ORÇAMENTO!$W$15,ROW(AM333)-ROW(AM$15),0),15-13*ORÇAMENTO!$AF$11)),
         0)</f>
        <v>0</v>
      </c>
      <c r="AN333" s="453">
        <f ca="1">IF(AND($D333="Serviço",AN$12&lt;&gt;0,$H333&gt;0,OR(AUTOEVENTO&lt;&gt;"manual",$M333&lt;&gt;$A$15)),
        IF(Import.TipoArredondamento&lt;&gt;"TransfereGOV",
              ROUND(OFFSET($P333,0,AN$13),15-13*ORÇAMENTO!$AF$7)/$H333*OFFSET(ORÇAMENTO!$X$15,ROW(AN333)-ROW(AN$15),0),
              ROUND(ROUND(OFFSET($P333,0,AN$13),15-13*ORÇAMENTO!$AF$7)*OFFSET(ORÇAMENTO!$W$15,ROW(AN333)-ROW(AN$15),0),15-13*ORÇAMENTO!$AF$11)),
         0)</f>
        <v>0</v>
      </c>
      <c r="AO333" s="453">
        <f ca="1">IF(AND($D333="Serviço",AO$12&lt;&gt;0,$H333&gt;0,OR(AUTOEVENTO&lt;&gt;"manual",$M333&lt;&gt;$A$15)),
        IF(Import.TipoArredondamento&lt;&gt;"TransfereGOV",
              ROUND(OFFSET($P333,0,AO$13),15-13*ORÇAMENTO!$AF$7)/$H333*OFFSET(ORÇAMENTO!$X$15,ROW(AO333)-ROW(AO$15),0),
              ROUND(ROUND(OFFSET($P333,0,AO$13),15-13*ORÇAMENTO!$AF$7)*OFFSET(ORÇAMENTO!$W$15,ROW(AO333)-ROW(AO$15),0),15-13*ORÇAMENTO!$AF$11)),
         0)</f>
        <v>0</v>
      </c>
      <c r="AP333" s="453">
        <f ca="1">IF(AND($D333="Serviço",AP$12&lt;&gt;0,$H333&gt;0,OR(AUTOEVENTO&lt;&gt;"manual",$M333&lt;&gt;$A$15)),
        IF(Import.TipoArredondamento&lt;&gt;"TransfereGOV",
              ROUND(OFFSET($P333,0,AP$13),15-13*ORÇAMENTO!$AF$7)/$H333*OFFSET(ORÇAMENTO!$X$15,ROW(AP333)-ROW(AP$15),0),
              ROUND(ROUND(OFFSET($P333,0,AP$13),15-13*ORÇAMENTO!$AF$7)*OFFSET(ORÇAMENTO!$W$15,ROW(AP333)-ROW(AP$15),0),15-13*ORÇAMENTO!$AF$11)),
         0)</f>
        <v>0</v>
      </c>
      <c r="AQ333" s="453">
        <f ca="1">IF(AND($D333="Serviço",AQ$12&lt;&gt;0,$H333&gt;0,OR(AUTOEVENTO&lt;&gt;"manual",$M333&lt;&gt;$A$15)),
        IF(Import.TipoArredondamento&lt;&gt;"TransfereGOV",
              ROUND(OFFSET($P333,0,AQ$13),15-13*ORÇAMENTO!$AF$7)/$H333*OFFSET(ORÇAMENTO!$X$15,ROW(AQ333)-ROW(AQ$15),0),
              ROUND(ROUND(OFFSET($P333,0,AQ$13),15-13*ORÇAMENTO!$AF$7)*OFFSET(ORÇAMENTO!$W$15,ROW(AQ333)-ROW(AQ$15),0),15-13*ORÇAMENTO!$AF$11)),
         0)</f>
        <v>0</v>
      </c>
      <c r="AR333" s="453">
        <f ca="1">IF(AND($D333="Serviço",AR$12&lt;&gt;0,$H333&gt;0,OR(AUTOEVENTO&lt;&gt;"manual",$M333&lt;&gt;$A$15)),
        IF(Import.TipoArredondamento&lt;&gt;"TransfereGOV",
              ROUND(OFFSET($P333,0,AR$13),15-13*ORÇAMENTO!$AF$7)/$H333*OFFSET(ORÇAMENTO!$X$15,ROW(AR333)-ROW(AR$15),0),
              ROUND(ROUND(OFFSET($P333,0,AR$13),15-13*ORÇAMENTO!$AF$7)*OFFSET(ORÇAMENTO!$W$15,ROW(AR333)-ROW(AR$15),0),15-13*ORÇAMENTO!$AF$11)),
         0)</f>
        <v>0</v>
      </c>
      <c r="AS333" s="453">
        <f ca="1">IF(AND($D333="Serviço",AS$12&lt;&gt;0,$H333&gt;0,OR(AUTOEVENTO&lt;&gt;"manual",$M333&lt;&gt;$A$15)),
        IF(Import.TipoArredondamento&lt;&gt;"TransfereGOV",
              ROUND(OFFSET($P333,0,AS$13),15-13*ORÇAMENTO!$AF$7)/$H333*OFFSET(ORÇAMENTO!$X$15,ROW(AS333)-ROW(AS$15),0),
              ROUND(ROUND(OFFSET($P333,0,AS$13),15-13*ORÇAMENTO!$AF$7)*OFFSET(ORÇAMENTO!$W$15,ROW(AS333)-ROW(AS$15),0),15-13*ORÇAMENTO!$AF$11)),
         0)</f>
        <v>0</v>
      </c>
      <c r="AT333" s="453">
        <f ca="1">IF(AND($D333="Serviço",AT$12&lt;&gt;0,$H333&gt;0,OR(AUTOEVENTO&lt;&gt;"manual",$M333&lt;&gt;$A$15)),
        IF(Import.TipoArredondamento&lt;&gt;"TransfereGOV",
              ROUND(OFFSET($P333,0,AT$13),15-13*ORÇAMENTO!$AF$7)/$H333*OFFSET(ORÇAMENTO!$X$15,ROW(AT333)-ROW(AT$15),0),
              ROUND(ROUND(OFFSET($P333,0,AT$13),15-13*ORÇAMENTO!$AF$7)*OFFSET(ORÇAMENTO!$W$15,ROW(AT333)-ROW(AT$15),0),15-13*ORÇAMENTO!$AF$11)),
         0)</f>
        <v>0</v>
      </c>
      <c r="AU333" s="453">
        <f ca="1">IF(AND($D333="Serviço",AU$12&lt;&gt;0,$H333&gt;0,OR(AUTOEVENTO&lt;&gt;"manual",$M333&lt;&gt;$A$15)),
        IF(Import.TipoArredondamento&lt;&gt;"TransfereGOV",
              ROUND(OFFSET($P333,0,AU$13),15-13*ORÇAMENTO!$AF$7)/$H333*OFFSET(ORÇAMENTO!$X$15,ROW(AU333)-ROW(AU$15),0),
              ROUND(ROUND(OFFSET($P333,0,AU$13),15-13*ORÇAMENTO!$AF$7)*OFFSET(ORÇAMENTO!$W$15,ROW(AU333)-ROW(AU$15),0),15-13*ORÇAMENTO!$AF$11)),
         0)</f>
        <v>0</v>
      </c>
      <c r="AV333" s="453">
        <f ca="1">IF(AND($D333="Serviço",AV$12&lt;&gt;0,$H333&gt;0,OR(AUTOEVENTO&lt;&gt;"manual",$M333&lt;&gt;$A$15)),
        IF(Import.TipoArredondamento&lt;&gt;"TransfereGOV",
              ROUND(OFFSET($P333,0,AV$13),15-13*ORÇAMENTO!$AF$7)/$H333*OFFSET(ORÇAMENTO!$X$15,ROW(AV333)-ROW(AV$15),0),
              ROUND(ROUND(OFFSET($P333,0,AV$13),15-13*ORÇAMENTO!$AF$7)*OFFSET(ORÇAMENTO!$W$15,ROW(AV333)-ROW(AV$15),0),15-13*ORÇAMENTO!$AF$11)),
         0)</f>
        <v>0</v>
      </c>
      <c r="AW333" s="453">
        <f ca="1">IF(AND($D333="Serviço",AW$12&lt;&gt;0,$H333&gt;0,OR(AUTOEVENTO&lt;&gt;"manual",$M333&lt;&gt;$A$15)),
        IF(Import.TipoArredondamento&lt;&gt;"TransfereGOV",
              ROUND(OFFSET($P333,0,AW$13),15-13*ORÇAMENTO!$AF$7)/$H333*OFFSET(ORÇAMENTO!$X$15,ROW(AW333)-ROW(AW$15),0),
              ROUND(ROUND(OFFSET($P333,0,AW$13),15-13*ORÇAMENTO!$AF$7)*OFFSET(ORÇAMENTO!$W$15,ROW(AW333)-ROW(AW$15),0),15-13*ORÇAMENTO!$AF$11)),
         0)</f>
        <v>0</v>
      </c>
      <c r="AX333" s="453">
        <f ca="1">IF(AND($D333="Serviço",AX$12&lt;&gt;0,$H333&gt;0,OR(AUTOEVENTO&lt;&gt;"manual",$M333&lt;&gt;$A$15)),
        IF(Import.TipoArredondamento&lt;&gt;"TransfereGOV",
              ROUND(OFFSET($P333,0,AX$13),15-13*ORÇAMENTO!$AF$7)/$H333*OFFSET(ORÇAMENTO!$X$15,ROW(AX333)-ROW(AX$15),0),
              ROUND(ROUND(OFFSET($P333,0,AX$13),15-13*ORÇAMENTO!$AF$7)*OFFSET(ORÇAMENTO!$W$15,ROW(AX333)-ROW(AX$15),0),15-13*ORÇAMENTO!$AF$11)),
         0)</f>
        <v>0</v>
      </c>
      <c r="AY333" s="453">
        <f ca="1">IF(AND($D333="Serviço",AY$12&lt;&gt;0,$H333&gt;0,OR(AUTOEVENTO&lt;&gt;"manual",$M333&lt;&gt;$A$15)),
        IF(Import.TipoArredondamento&lt;&gt;"TransfereGOV",
              ROUND(OFFSET($P333,0,AY$13),15-13*ORÇAMENTO!$AF$7)/$H333*OFFSET(ORÇAMENTO!$X$15,ROW(AY333)-ROW(AY$15),0),
              ROUND(ROUND(OFFSET($P333,0,AY$13),15-13*ORÇAMENTO!$AF$7)*OFFSET(ORÇAMENTO!$W$15,ROW(AY333)-ROW(AY$15),0),15-13*ORÇAMENTO!$AF$11)),
         0)</f>
        <v>0</v>
      </c>
      <c r="AZ333" s="453">
        <f ca="1">IF(AND($D333="Serviço",AZ$12&lt;&gt;0,$H333&gt;0,OR(AUTOEVENTO&lt;&gt;"manual",$M333&lt;&gt;$A$15)),
        IF(Import.TipoArredondamento&lt;&gt;"TransfereGOV",
              ROUND(OFFSET($P333,0,AZ$13),15-13*ORÇAMENTO!$AF$7)/$H333*OFFSET(ORÇAMENTO!$X$15,ROW(AZ333)-ROW(AZ$15),0),
              ROUND(ROUND(OFFSET($P333,0,AZ$13),15-13*ORÇAMENTO!$AF$7)*OFFSET(ORÇAMENTO!$W$15,ROW(AZ333)-ROW(AZ$15),0),15-13*ORÇAMENTO!$AF$11)),
         0)</f>
        <v>0</v>
      </c>
      <c r="BA333" s="453">
        <f ca="1">IF(AND($D333="Serviço",BA$12&lt;&gt;0,$H333&gt;0,OR(AUTOEVENTO&lt;&gt;"manual",$M333&lt;&gt;$A$15)),
        IF(Import.TipoArredondamento&lt;&gt;"TransfereGOV",
              ROUND(OFFSET($P333,0,BA$13),15-13*ORÇAMENTO!$AF$7)/$H333*OFFSET(ORÇAMENTO!$X$15,ROW(BA333)-ROW(BA$15),0),
              ROUND(ROUND(OFFSET($P333,0,BA$13),15-13*ORÇAMENTO!$AF$7)*OFFSET(ORÇAMENTO!$W$15,ROW(BA333)-ROW(BA$15),0),15-13*ORÇAMENTO!$AF$11)),
         0)</f>
        <v>0</v>
      </c>
      <c r="BC333" s="171">
        <f ca="1">IF(OR($D333&lt;&gt;"Serviço",AND(AUTOEVENTO="Manual",$M333=$A$15)),0,
         IF(OFFSET(CRONOPLE!$F$15,$M333-$A$15,BC$13)=0,10^12,OFFSET(CRONOPLE!$F$15,$M333-$A$15,BC$13)))</f>
        <v>1</v>
      </c>
      <c r="BD333" s="171">
        <f ca="1">IF(OR($D333&lt;&gt;"Serviço",AND(AUTOEVENTO="Manual",$M333=$A$15)),0,
         IF(OFFSET(CRONOPLE!$F$15,$M333-$A$15,BD$13)=0,10^12,OFFSET(CRONOPLE!$F$15,$M333-$A$15,BD$13)))</f>
        <v>2</v>
      </c>
      <c r="BE333" s="171">
        <f ca="1">IF(OR($D333&lt;&gt;"Serviço",AND(AUTOEVENTO="Manual",$M333=$A$15)),0,
         IF(OFFSET(CRONOPLE!$F$15,$M333-$A$15,BE$13)=0,10^12,OFFSET(CRONOPLE!$F$15,$M333-$A$15,BE$13)))</f>
        <v>3</v>
      </c>
      <c r="BF333" s="171">
        <f ca="1">IF(OR($D333&lt;&gt;"Serviço",AND(AUTOEVENTO="Manual",$M333=$A$15)),0,
         IF(OFFSET(CRONOPLE!$F$15,$M333-$A$15,BF$13)=0,10^12,OFFSET(CRONOPLE!$F$15,$M333-$A$15,BF$13)))</f>
        <v>4</v>
      </c>
      <c r="BG333" s="171">
        <f ca="1">IF(OR($D333&lt;&gt;"Serviço",AND(AUTOEVENTO="Manual",$M333=$A$15)),0,
         IF(OFFSET(CRONOPLE!$F$15,$M333-$A$15,BG$13)=0,10^12,OFFSET(CRONOPLE!$F$15,$M333-$A$15,BG$13)))</f>
        <v>5</v>
      </c>
      <c r="BH333" s="171">
        <f ca="1">IF(OR($D333&lt;&gt;"Serviço",AND(AUTOEVENTO="Manual",$M333=$A$15)),0,
         IF(OFFSET(CRONOPLE!$F$15,$M333-$A$15,BH$13)=0,10^12,OFFSET(CRONOPLE!$F$15,$M333-$A$15,BH$13)))</f>
        <v>6</v>
      </c>
      <c r="BI333" s="171">
        <f ca="1">IF(OR($D333&lt;&gt;"Serviço",AND(AUTOEVENTO="Manual",$M333=$A$15)),0,
         IF(OFFSET(CRONOPLE!$F$15,$M333-$A$15,BI$13)=0,10^12,OFFSET(CRONOPLE!$F$15,$M333-$A$15,BI$13)))</f>
        <v>7</v>
      </c>
      <c r="BJ333" s="171">
        <f ca="1">IF(OR($D333&lt;&gt;"Serviço",AND(AUTOEVENTO="Manual",$M333=$A$15)),0,
         IF(OFFSET(CRONOPLE!$F$15,$M333-$A$15,BJ$13)=0,10^12,OFFSET(CRONOPLE!$F$15,$M333-$A$15,BJ$13)))</f>
        <v>8</v>
      </c>
      <c r="BK333" s="171">
        <f ca="1">IF(OR($D333&lt;&gt;"Serviço",AND(AUTOEVENTO="Manual",$M333=$A$15)),0,
         IF(OFFSET(CRONOPLE!$F$15,$M333-$A$15,BK$13)=0,10^12,OFFSET(CRONOPLE!$F$15,$M333-$A$15,BK$13)))</f>
        <v>9</v>
      </c>
      <c r="BL333" s="171">
        <f ca="1">IF(OR($D333&lt;&gt;"Serviço",AND(AUTOEVENTO="Manual",$M333=$A$15)),0,
         IF(OFFSET(CRONOPLE!$F$15,$M333-$A$15,BL$13)=0,10^12,OFFSET(CRONOPLE!$F$15,$M333-$A$15,BL$13)))</f>
        <v>1000000000000</v>
      </c>
      <c r="BM333" s="171">
        <f ca="1">IF(OR($D333&lt;&gt;"Serviço",AND(AUTOEVENTO="Manual",$M333=$A$15)),0,
         IF(OFFSET(CRONOPLE!$F$15,$M333-$A$15,BM$13)=0,10^12,OFFSET(CRONOPLE!$F$15,$M333-$A$15,BM$13)))</f>
        <v>1000000000000</v>
      </c>
      <c r="BN333" s="171">
        <f ca="1">IF(OR($D333&lt;&gt;"Serviço",AND(AUTOEVENTO="Manual",$M333=$A$15)),0,
         IF(OFFSET(CRONOPLE!$F$15,$M333-$A$15,BN$13)=0,10^12,OFFSET(CRONOPLE!$F$15,$M333-$A$15,BN$13)))</f>
        <v>1000000000000</v>
      </c>
      <c r="BO333" s="171">
        <f ca="1">IF(OR($D333&lt;&gt;"Serviço",AND(AUTOEVENTO="Manual",$M333=$A$15)),0,
         IF(OFFSET(CRONOPLE!$F$15,$M333-$A$15,BO$13)=0,10^12,OFFSET(CRONOPLE!$F$15,$M333-$A$15,BO$13)))</f>
        <v>1000000000000</v>
      </c>
      <c r="BP333" s="171">
        <f ca="1">IF(OR($D333&lt;&gt;"Serviço",AND(AUTOEVENTO="Manual",$M333=$A$15)),0,
         IF(OFFSET(CRONOPLE!$F$15,$M333-$A$15,BP$13)=0,10^12,OFFSET(CRONOPLE!$F$15,$M333-$A$15,BP$13)))</f>
        <v>1000000000000</v>
      </c>
      <c r="BQ333" s="171">
        <f ca="1">IF(OR($D333&lt;&gt;"Serviço",AND(AUTOEVENTO="Manual",$M333=$A$15)),0,
         IF(OFFSET(CRONOPLE!$F$15,$M333-$A$15,BQ$13)=0,10^12,OFFSET(CRONOPLE!$F$15,$M333-$A$15,BQ$13)))</f>
        <v>1000000000000</v>
      </c>
      <c r="BR333" s="171">
        <f ca="1">IF(OR($D333&lt;&gt;"Serviço",AND(AUTOEVENTO="Manual",$M333=$A$15)),0,
         IF(OFFSET(CRONOPLE!$F$15,$M333-$A$15,BR$13)=0,10^12,OFFSET(CRONOPLE!$F$15,$M333-$A$15,BR$13)))</f>
        <v>1000000000000</v>
      </c>
      <c r="BS333" s="171">
        <f ca="1">IF(OR($D333&lt;&gt;"Serviço",AND(AUTOEVENTO="Manual",$M333=$A$15)),0,
         IF(OFFSET(CRONOPLE!$F$15,$M333-$A$15,BS$13)=0,10^12,OFFSET(CRONOPLE!$F$15,$M333-$A$15,BS$13)))</f>
        <v>1000000000000</v>
      </c>
      <c r="BT333" s="171">
        <f ca="1">IF(OR($D333&lt;&gt;"Serviço",AND(AUTOEVENTO="Manual",$M333=$A$15)),0,
         IF(OFFSET(CRONOPLE!$F$15,$M333-$A$15,BT$13)=0,10^12,OFFSET(CRONOPLE!$F$15,$M333-$A$15,BT$13)))</f>
        <v>1000000000000</v>
      </c>
      <c r="BV333" s="172">
        <f ca="1">IF(OR($D333&lt;&gt;"Serviço",AND(AUTOEVENTO="Manual",$M333=$A$15),$M333&gt;(ROW(PLE.lastrow)-ROW(PLE.firstrow))),0,
           IF(OFFSET(PLE!$G$15,$M333-$A$15,BV$13)="",10^12,OFFSET(PLE!$G$15,$M333-$A$15,BV$13)))</f>
        <v>1000000000000</v>
      </c>
      <c r="BW333" s="172">
        <f ca="1">IF(OR($D333&lt;&gt;"Serviço",AND(AUTOEVENTO="Manual",$M333=$A$15),$M333&gt;(ROW(PLE.lastrow)-ROW(PLE.firstrow))),0,
           IF(OFFSET(PLE!$G$15,$M333-$A$15,BW$13)="",10^12,OFFSET(PLE!$G$15,$M333-$A$15,BW$13)))</f>
        <v>1000000000000</v>
      </c>
      <c r="BX333" s="172">
        <f ca="1">IF(OR($D333&lt;&gt;"Serviço",AND(AUTOEVENTO="Manual",$M333=$A$15),$M333&gt;(ROW(PLE.lastrow)-ROW(PLE.firstrow))),0,
           IF(OFFSET(PLE!$G$15,$M333-$A$15,BX$13)="",10^12,OFFSET(PLE!$G$15,$M333-$A$15,BX$13)))</f>
        <v>1000000000000</v>
      </c>
      <c r="BY333" s="172">
        <f ca="1">IF(OR($D333&lt;&gt;"Serviço",AND(AUTOEVENTO="Manual",$M333=$A$15),$M333&gt;(ROW(PLE.lastrow)-ROW(PLE.firstrow))),0,
           IF(OFFSET(PLE!$G$15,$M333-$A$15,BY$13)="",10^12,OFFSET(PLE!$G$15,$M333-$A$15,BY$13)))</f>
        <v>1000000000000</v>
      </c>
      <c r="BZ333" s="172">
        <f ca="1">IF(OR($D333&lt;&gt;"Serviço",AND(AUTOEVENTO="Manual",$M333=$A$15),$M333&gt;(ROW(PLE.lastrow)-ROW(PLE.firstrow))),0,
           IF(OFFSET(PLE!$G$15,$M333-$A$15,BZ$13)="",10^12,OFFSET(PLE!$G$15,$M333-$A$15,BZ$13)))</f>
        <v>1000000000000</v>
      </c>
      <c r="CA333" s="172">
        <f ca="1">IF(OR($D333&lt;&gt;"Serviço",AND(AUTOEVENTO="Manual",$M333=$A$15),$M333&gt;(ROW(PLE.lastrow)-ROW(PLE.firstrow))),0,
           IF(OFFSET(PLE!$G$15,$M333-$A$15,CA$13)="",10^12,OFFSET(PLE!$G$15,$M333-$A$15,CA$13)))</f>
        <v>1000000000000</v>
      </c>
      <c r="CB333" s="172">
        <f ca="1">IF(OR($D333&lt;&gt;"Serviço",AND(AUTOEVENTO="Manual",$M333=$A$15),$M333&gt;(ROW(PLE.lastrow)-ROW(PLE.firstrow))),0,
           IF(OFFSET(PLE!$G$15,$M333-$A$15,CB$13)="",10^12,OFFSET(PLE!$G$15,$M333-$A$15,CB$13)))</f>
        <v>1000000000000</v>
      </c>
      <c r="CC333" s="172">
        <f ca="1">IF(OR($D333&lt;&gt;"Serviço",AND(AUTOEVENTO="Manual",$M333=$A$15),$M333&gt;(ROW(PLE.lastrow)-ROW(PLE.firstrow))),0,
           IF(OFFSET(PLE!$G$15,$M333-$A$15,CC$13)="",10^12,OFFSET(PLE!$G$15,$M333-$A$15,CC$13)))</f>
        <v>1000000000000</v>
      </c>
      <c r="CD333" s="172">
        <f ca="1">IF(OR($D333&lt;&gt;"Serviço",AND(AUTOEVENTO="Manual",$M333=$A$15),$M333&gt;(ROW(PLE.lastrow)-ROW(PLE.firstrow))),0,
           IF(OFFSET(PLE!$G$15,$M333-$A$15,CD$13)="",10^12,OFFSET(PLE!$G$15,$M333-$A$15,CD$13)))</f>
        <v>1000000000000</v>
      </c>
      <c r="CE333" s="172">
        <f ca="1">IF(OR($D333&lt;&gt;"Serviço",AND(AUTOEVENTO="Manual",$M333=$A$15),$M333&gt;(ROW(PLE.lastrow)-ROW(PLE.firstrow))),0,
           IF(OFFSET(PLE!$G$15,$M333-$A$15,CE$13)="",10^12,OFFSET(PLE!$G$15,$M333-$A$15,CE$13)))</f>
        <v>1000000000000</v>
      </c>
      <c r="CF333" s="172">
        <f ca="1">IF(OR($D333&lt;&gt;"Serviço",AND(AUTOEVENTO="Manual",$M333=$A$15),$M333&gt;(ROW(PLE.lastrow)-ROW(PLE.firstrow))),0,
           IF(OFFSET(PLE!$G$15,$M333-$A$15,CF$13)="",10^12,OFFSET(PLE!$G$15,$M333-$A$15,CF$13)))</f>
        <v>1000000000000</v>
      </c>
      <c r="CG333" s="172">
        <f ca="1">IF(OR($D333&lt;&gt;"Serviço",AND(AUTOEVENTO="Manual",$M333=$A$15),$M333&gt;(ROW(PLE.lastrow)-ROW(PLE.firstrow))),0,
           IF(OFFSET(PLE!$G$15,$M333-$A$15,CG$13)="",10^12,OFFSET(PLE!$G$15,$M333-$A$15,CG$13)))</f>
        <v>1000000000000</v>
      </c>
      <c r="CH333" s="172">
        <f ca="1">IF(OR($D333&lt;&gt;"Serviço",AND(AUTOEVENTO="Manual",$M333=$A$15),$M333&gt;(ROW(PLE.lastrow)-ROW(PLE.firstrow))),0,
           IF(OFFSET(PLE!$G$15,$M333-$A$15,CH$13)="",10^12,OFFSET(PLE!$G$15,$M333-$A$15,CH$13)))</f>
        <v>1000000000000</v>
      </c>
      <c r="CI333" s="172">
        <f ca="1">IF(OR($D333&lt;&gt;"Serviço",AND(AUTOEVENTO="Manual",$M333=$A$15),$M333&gt;(ROW(PLE.lastrow)-ROW(PLE.firstrow))),0,
           IF(OFFSET(PLE!$G$15,$M333-$A$15,CI$13)="",10^12,OFFSET(PLE!$G$15,$M333-$A$15,CI$13)))</f>
        <v>1000000000000</v>
      </c>
      <c r="CJ333" s="172">
        <f ca="1">IF(OR($D333&lt;&gt;"Serviço",AND(AUTOEVENTO="Manual",$M333=$A$15),$M333&gt;(ROW(PLE.lastrow)-ROW(PLE.firstrow))),0,
           IF(OFFSET(PLE!$G$15,$M333-$A$15,CJ$13)="",10^12,OFFSET(PLE!$G$15,$M333-$A$15,CJ$13)))</f>
        <v>1000000000000</v>
      </c>
      <c r="CK333" s="172">
        <f ca="1">IF(OR($D333&lt;&gt;"Serviço",AND(AUTOEVENTO="Manual",$M333=$A$15),$M333&gt;(ROW(PLE.lastrow)-ROW(PLE.firstrow))),0,
           IF(OFFSET(PLE!$G$15,$M333-$A$15,CK$13)="",10^12,OFFSET(PLE!$G$15,$M333-$A$15,CK$13)))</f>
        <v>1000000000000</v>
      </c>
      <c r="CL333" s="172">
        <f ca="1">IF(OR($D333&lt;&gt;"Serviço",AND(AUTOEVENTO="Manual",$M333=$A$15),$M333&gt;(ROW(PLE.lastrow)-ROW(PLE.firstrow))),0,
           IF(OFFSET(PLE!$G$15,$M333-$A$15,CL$13)="",10^12,OFFSET(PLE!$G$15,$M333-$A$15,CL$13)))</f>
        <v>1000000000000</v>
      </c>
      <c r="CM333" s="172">
        <f ca="1">IF(OR($D333&lt;&gt;"Serviço",AND(AUTOEVENTO="Manual",$M333=$A$15),$M333&gt;(ROW(PLE.lastrow)-ROW(PLE.firstrow))),0,
           IF(OFFSET(PLE!$G$15,$M333-$A$15,CM$13)="",10^12,OFFSET(PLE!$G$15,$M333-$A$15,CM$13)))</f>
        <v>1000000000000</v>
      </c>
    </row>
    <row r="334" spans="1:91" ht="63.75" x14ac:dyDescent="0.2">
      <c r="A334" s="7">
        <f t="shared" ca="1" si="14"/>
        <v>6</v>
      </c>
      <c r="B334" s="7" t="str">
        <f ca="1">OFFSET(ORÇAMENTO!C$15,ROW(B334)-ROW(B$15),0)</f>
        <v>S</v>
      </c>
      <c r="C334" s="7" t="str">
        <f ca="1">OFFSET(ORÇAMENTO!L$15,ROW(C334)-ROW(C$15),0)</f>
        <v>F</v>
      </c>
      <c r="D334" s="116" t="str">
        <f ca="1">OFFSET(ORÇAMENTO!N$15,ROW(D334)-ROW(D$15),0)</f>
        <v>Serviço</v>
      </c>
      <c r="E334" s="117" t="str">
        <f ca="1">OFFSET(ORÇAMENTO!O$15,ROW(E334)-ROW(E$15),0)</f>
        <v>1.7.5.1.7.</v>
      </c>
      <c r="F334" s="163" t="str">
        <f ca="1">OFFSET(ORÇAMENTO!R$15,ROW(F334)-ROW(F$15),0)</f>
        <v>TUBO PONTA/BOLSA FoFo L=6,00 M - DN 600 MM</v>
      </c>
      <c r="G334" s="164" t="str">
        <f ca="1">IF($D334&lt;&gt;"Serviço","",OFFSET(ORÇAMENTO!S$15,ROW(G334)-ROW(G$15),0))</f>
        <v>UN</v>
      </c>
      <c r="H334" s="122" cm="1">
        <f t="array" aca="1" ref="H334" ca="1">IF($D334&lt;&gt;"Serviço",0,IF(ACOMPANHAMENTO="BM",ROUND(OFFSET(ORÇAMENTO!AJ$15,ROW(H334)-ROW(H$15),0),15-13*ORÇAMENTO!$AF$7),SUMPRODUCT(($Q$1:$AI$1=1)*ROUND($Q334:$AI334,15-13*ORÇAMENTO!$AF$7))))</f>
        <v>2</v>
      </c>
      <c r="I334" s="468" t="s">
        <v>1359</v>
      </c>
      <c r="J334" s="640" t="str" cm="1">
        <f t="array" aca="1" ref="J334" ca="1">IF(OR(B334&lt;&gt;"S",CÁLCULO.FrentesPreenchidas=0),"",IF(AND(ACOMPANHAMENTO="PLE",AUTOEVENTO="Manual",OR(H334&gt;0,ORÇAMENTO!AC334="QUANT."),OR(K334="",M334=0,N334="")),"►E",IF(AND(ACOMPANHAMENTO="PLE",ORÇAMENTO!AC334="QUANT."),"►Q",IF(AND(ACOMPANHAMENTO="PLE",H334&lt;&gt;SUMPRODUCT(($Q$1:$AI$1=1)*ROUND(Q334:AI334,15))),"►S",IF(AND(COUNTIF($P$11:$AI$11,"▼")=0,H334&gt;0,I334=""),"◄M","")))))</f>
        <v/>
      </c>
      <c r="K334" s="641" t="s">
        <v>1385</v>
      </c>
      <c r="L334" s="165" t="s">
        <v>764</v>
      </c>
      <c r="M334" s="166">
        <f ca="1">IF($D334&lt;&gt;"Serviço","",
          IF(AUTOEVENTO="manual",$A334,
                IF(ISERROR(MATCH($A334,$A$15:OFFSET($A334,-1,0),0)),MAX($M$15:OFFSET(M334,-1,0))+1,
                      INDEX($M$15:OFFSET(M334,-1,0),MATCH($A334,$A$15:OFFSET($A334,-1,0),0)))))</f>
        <v>6</v>
      </c>
      <c r="N334" s="167" t="str">
        <f ca="1">IF($D334&lt;&gt;"Serviço","",
         IF(AUTOEVENTO="Manual",
                IF($A334=0,"&lt;-- defina o número do agrupador",
                       OFFSET(EVENTOS!$D$15,$A334-$A$15,0)),
                OFFSET($F$15,$A334,0)))</f>
        <v>Saneamento</v>
      </c>
      <c r="O334" s="168"/>
      <c r="Q334" s="168"/>
      <c r="R334" s="169"/>
      <c r="S334" s="169"/>
      <c r="T334" s="169"/>
      <c r="U334" s="169"/>
      <c r="V334" s="169">
        <v>2</v>
      </c>
      <c r="W334" s="169"/>
      <c r="X334" s="169"/>
      <c r="Y334" s="169"/>
      <c r="Z334" s="170"/>
      <c r="AA334" s="169"/>
      <c r="AB334" s="169"/>
      <c r="AC334" s="169"/>
      <c r="AD334" s="169"/>
      <c r="AE334" s="169"/>
      <c r="AF334" s="169"/>
      <c r="AG334" s="169"/>
      <c r="AH334" s="170"/>
      <c r="AJ334" s="453">
        <f ca="1">IF(AND($D334="Serviço",AJ$12&lt;&gt;0,$H334&gt;0,OR(AUTOEVENTO&lt;&gt;"manual",$M334&lt;&gt;$A$15)),
        IF(Import.TipoArredondamento&lt;&gt;"TransfereGOV",
              ROUND(OFFSET($P334,0,AJ$13),15-13*ORÇAMENTO!$AF$7)/$H334*OFFSET(ORÇAMENTO!$X$15,ROW(AJ334)-ROW(AJ$15),0),
              ROUND(ROUND(OFFSET($P334,0,AJ$13),15-13*ORÇAMENTO!$AF$7)*OFFSET(ORÇAMENTO!$W$15,ROW(AJ334)-ROW(AJ$15),0),15-13*ORÇAMENTO!$AF$11)),
         0)</f>
        <v>0</v>
      </c>
      <c r="AK334" s="453">
        <f ca="1">IF(AND($D334="Serviço",AK$12&lt;&gt;0,$H334&gt;0,OR(AUTOEVENTO&lt;&gt;"manual",$M334&lt;&gt;$A$15)),
        IF(Import.TipoArredondamento&lt;&gt;"TransfereGOV",
              ROUND(OFFSET($P334,0,AK$13),15-13*ORÇAMENTO!$AF$7)/$H334*OFFSET(ORÇAMENTO!$X$15,ROW(AK334)-ROW(AK$15),0),
              ROUND(ROUND(OFFSET($P334,0,AK$13),15-13*ORÇAMENTO!$AF$7)*OFFSET(ORÇAMENTO!$W$15,ROW(AK334)-ROW(AK$15),0),15-13*ORÇAMENTO!$AF$11)),
         0)</f>
        <v>0</v>
      </c>
      <c r="AL334" s="453">
        <f ca="1">IF(AND($D334="Serviço",AL$12&lt;&gt;0,$H334&gt;0,OR(AUTOEVENTO&lt;&gt;"manual",$M334&lt;&gt;$A$15)),
        IF(Import.TipoArredondamento&lt;&gt;"TransfereGOV",
              ROUND(OFFSET($P334,0,AL$13),15-13*ORÇAMENTO!$AF$7)/$H334*OFFSET(ORÇAMENTO!$X$15,ROW(AL334)-ROW(AL$15),0),
              ROUND(ROUND(OFFSET($P334,0,AL$13),15-13*ORÇAMENTO!$AF$7)*OFFSET(ORÇAMENTO!$W$15,ROW(AL334)-ROW(AL$15),0),15-13*ORÇAMENTO!$AF$11)),
         0)</f>
        <v>0</v>
      </c>
      <c r="AM334" s="453">
        <f ca="1">IF(AND($D334="Serviço",AM$12&lt;&gt;0,$H334&gt;0,OR(AUTOEVENTO&lt;&gt;"manual",$M334&lt;&gt;$A$15)),
        IF(Import.TipoArredondamento&lt;&gt;"TransfereGOV",
              ROUND(OFFSET($P334,0,AM$13),15-13*ORÇAMENTO!$AF$7)/$H334*OFFSET(ORÇAMENTO!$X$15,ROW(AM334)-ROW(AM$15),0),
              ROUND(ROUND(OFFSET($P334,0,AM$13),15-13*ORÇAMENTO!$AF$7)*OFFSET(ORÇAMENTO!$W$15,ROW(AM334)-ROW(AM$15),0),15-13*ORÇAMENTO!$AF$11)),
         0)</f>
        <v>0</v>
      </c>
      <c r="AN334" s="453">
        <f ca="1">IF(AND($D334="Serviço",AN$12&lt;&gt;0,$H334&gt;0,OR(AUTOEVENTO&lt;&gt;"manual",$M334&lt;&gt;$A$15)),
        IF(Import.TipoArredondamento&lt;&gt;"TransfereGOV",
              ROUND(OFFSET($P334,0,AN$13),15-13*ORÇAMENTO!$AF$7)/$H334*OFFSET(ORÇAMENTO!$X$15,ROW(AN334)-ROW(AN$15),0),
              ROUND(ROUND(OFFSET($P334,0,AN$13),15-13*ORÇAMENTO!$AF$7)*OFFSET(ORÇAMENTO!$W$15,ROW(AN334)-ROW(AN$15),0),15-13*ORÇAMENTO!$AF$11)),
         0)</f>
        <v>0</v>
      </c>
      <c r="AO334" s="453">
        <f ca="1">IF(AND($D334="Serviço",AO$12&lt;&gt;0,$H334&gt;0,OR(AUTOEVENTO&lt;&gt;"manual",$M334&lt;&gt;$A$15)),
        IF(Import.TipoArredondamento&lt;&gt;"TransfereGOV",
              ROUND(OFFSET($P334,0,AO$13),15-13*ORÇAMENTO!$AF$7)/$H334*OFFSET(ORÇAMENTO!$X$15,ROW(AO334)-ROW(AO$15),0),
              ROUND(ROUND(OFFSET($P334,0,AO$13),15-13*ORÇAMENTO!$AF$7)*OFFSET(ORÇAMENTO!$W$15,ROW(AO334)-ROW(AO$15),0),15-13*ORÇAMENTO!$AF$11)),
         0)</f>
        <v>0</v>
      </c>
      <c r="AP334" s="453">
        <f ca="1">IF(AND($D334="Serviço",AP$12&lt;&gt;0,$H334&gt;0,OR(AUTOEVENTO&lt;&gt;"manual",$M334&lt;&gt;$A$15)),
        IF(Import.TipoArredondamento&lt;&gt;"TransfereGOV",
              ROUND(OFFSET($P334,0,AP$13),15-13*ORÇAMENTO!$AF$7)/$H334*OFFSET(ORÇAMENTO!$X$15,ROW(AP334)-ROW(AP$15),0),
              ROUND(ROUND(OFFSET($P334,0,AP$13),15-13*ORÇAMENTO!$AF$7)*OFFSET(ORÇAMENTO!$W$15,ROW(AP334)-ROW(AP$15),0),15-13*ORÇAMENTO!$AF$11)),
         0)</f>
        <v>0</v>
      </c>
      <c r="AQ334" s="453">
        <f ca="1">IF(AND($D334="Serviço",AQ$12&lt;&gt;0,$H334&gt;0,OR(AUTOEVENTO&lt;&gt;"manual",$M334&lt;&gt;$A$15)),
        IF(Import.TipoArredondamento&lt;&gt;"TransfereGOV",
              ROUND(OFFSET($P334,0,AQ$13),15-13*ORÇAMENTO!$AF$7)/$H334*OFFSET(ORÇAMENTO!$X$15,ROW(AQ334)-ROW(AQ$15),0),
              ROUND(ROUND(OFFSET($P334,0,AQ$13),15-13*ORÇAMENTO!$AF$7)*OFFSET(ORÇAMENTO!$W$15,ROW(AQ334)-ROW(AQ$15),0),15-13*ORÇAMENTO!$AF$11)),
         0)</f>
        <v>0</v>
      </c>
      <c r="AR334" s="453">
        <f ca="1">IF(AND($D334="Serviço",AR$12&lt;&gt;0,$H334&gt;0,OR(AUTOEVENTO&lt;&gt;"manual",$M334&lt;&gt;$A$15)),
        IF(Import.TipoArredondamento&lt;&gt;"TransfereGOV",
              ROUND(OFFSET($P334,0,AR$13),15-13*ORÇAMENTO!$AF$7)/$H334*OFFSET(ORÇAMENTO!$X$15,ROW(AR334)-ROW(AR$15),0),
              ROUND(ROUND(OFFSET($P334,0,AR$13),15-13*ORÇAMENTO!$AF$7)*OFFSET(ORÇAMENTO!$W$15,ROW(AR334)-ROW(AR$15),0),15-13*ORÇAMENTO!$AF$11)),
         0)</f>
        <v>0</v>
      </c>
      <c r="AS334" s="453">
        <f ca="1">IF(AND($D334="Serviço",AS$12&lt;&gt;0,$H334&gt;0,OR(AUTOEVENTO&lt;&gt;"manual",$M334&lt;&gt;$A$15)),
        IF(Import.TipoArredondamento&lt;&gt;"TransfereGOV",
              ROUND(OFFSET($P334,0,AS$13),15-13*ORÇAMENTO!$AF$7)/$H334*OFFSET(ORÇAMENTO!$X$15,ROW(AS334)-ROW(AS$15),0),
              ROUND(ROUND(OFFSET($P334,0,AS$13),15-13*ORÇAMENTO!$AF$7)*OFFSET(ORÇAMENTO!$W$15,ROW(AS334)-ROW(AS$15),0),15-13*ORÇAMENTO!$AF$11)),
         0)</f>
        <v>0</v>
      </c>
      <c r="AT334" s="453">
        <f ca="1">IF(AND($D334="Serviço",AT$12&lt;&gt;0,$H334&gt;0,OR(AUTOEVENTO&lt;&gt;"manual",$M334&lt;&gt;$A$15)),
        IF(Import.TipoArredondamento&lt;&gt;"TransfereGOV",
              ROUND(OFFSET($P334,0,AT$13),15-13*ORÇAMENTO!$AF$7)/$H334*OFFSET(ORÇAMENTO!$X$15,ROW(AT334)-ROW(AT$15),0),
              ROUND(ROUND(OFFSET($P334,0,AT$13),15-13*ORÇAMENTO!$AF$7)*OFFSET(ORÇAMENTO!$W$15,ROW(AT334)-ROW(AT$15),0),15-13*ORÇAMENTO!$AF$11)),
         0)</f>
        <v>0</v>
      </c>
      <c r="AU334" s="453">
        <f ca="1">IF(AND($D334="Serviço",AU$12&lt;&gt;0,$H334&gt;0,OR(AUTOEVENTO&lt;&gt;"manual",$M334&lt;&gt;$A$15)),
        IF(Import.TipoArredondamento&lt;&gt;"TransfereGOV",
              ROUND(OFFSET($P334,0,AU$13),15-13*ORÇAMENTO!$AF$7)/$H334*OFFSET(ORÇAMENTO!$X$15,ROW(AU334)-ROW(AU$15),0),
              ROUND(ROUND(OFFSET($P334,0,AU$13),15-13*ORÇAMENTO!$AF$7)*OFFSET(ORÇAMENTO!$W$15,ROW(AU334)-ROW(AU$15),0),15-13*ORÇAMENTO!$AF$11)),
         0)</f>
        <v>0</v>
      </c>
      <c r="AV334" s="453">
        <f ca="1">IF(AND($D334="Serviço",AV$12&lt;&gt;0,$H334&gt;0,OR(AUTOEVENTO&lt;&gt;"manual",$M334&lt;&gt;$A$15)),
        IF(Import.TipoArredondamento&lt;&gt;"TransfereGOV",
              ROUND(OFFSET($P334,0,AV$13),15-13*ORÇAMENTO!$AF$7)/$H334*OFFSET(ORÇAMENTO!$X$15,ROW(AV334)-ROW(AV$15),0),
              ROUND(ROUND(OFFSET($P334,0,AV$13),15-13*ORÇAMENTO!$AF$7)*OFFSET(ORÇAMENTO!$W$15,ROW(AV334)-ROW(AV$15),0),15-13*ORÇAMENTO!$AF$11)),
         0)</f>
        <v>0</v>
      </c>
      <c r="AW334" s="453">
        <f ca="1">IF(AND($D334="Serviço",AW$12&lt;&gt;0,$H334&gt;0,OR(AUTOEVENTO&lt;&gt;"manual",$M334&lt;&gt;$A$15)),
        IF(Import.TipoArredondamento&lt;&gt;"TransfereGOV",
              ROUND(OFFSET($P334,0,AW$13),15-13*ORÇAMENTO!$AF$7)/$H334*OFFSET(ORÇAMENTO!$X$15,ROW(AW334)-ROW(AW$15),0),
              ROUND(ROUND(OFFSET($P334,0,AW$13),15-13*ORÇAMENTO!$AF$7)*OFFSET(ORÇAMENTO!$W$15,ROW(AW334)-ROW(AW$15),0),15-13*ORÇAMENTO!$AF$11)),
         0)</f>
        <v>0</v>
      </c>
      <c r="AX334" s="453">
        <f ca="1">IF(AND($D334="Serviço",AX$12&lt;&gt;0,$H334&gt;0,OR(AUTOEVENTO&lt;&gt;"manual",$M334&lt;&gt;$A$15)),
        IF(Import.TipoArredondamento&lt;&gt;"TransfereGOV",
              ROUND(OFFSET($P334,0,AX$13),15-13*ORÇAMENTO!$AF$7)/$H334*OFFSET(ORÇAMENTO!$X$15,ROW(AX334)-ROW(AX$15),0),
              ROUND(ROUND(OFFSET($P334,0,AX$13),15-13*ORÇAMENTO!$AF$7)*OFFSET(ORÇAMENTO!$W$15,ROW(AX334)-ROW(AX$15),0),15-13*ORÇAMENTO!$AF$11)),
         0)</f>
        <v>0</v>
      </c>
      <c r="AY334" s="453">
        <f ca="1">IF(AND($D334="Serviço",AY$12&lt;&gt;0,$H334&gt;0,OR(AUTOEVENTO&lt;&gt;"manual",$M334&lt;&gt;$A$15)),
        IF(Import.TipoArredondamento&lt;&gt;"TransfereGOV",
              ROUND(OFFSET($P334,0,AY$13),15-13*ORÇAMENTO!$AF$7)/$H334*OFFSET(ORÇAMENTO!$X$15,ROW(AY334)-ROW(AY$15),0),
              ROUND(ROUND(OFFSET($P334,0,AY$13),15-13*ORÇAMENTO!$AF$7)*OFFSET(ORÇAMENTO!$W$15,ROW(AY334)-ROW(AY$15),0),15-13*ORÇAMENTO!$AF$11)),
         0)</f>
        <v>0</v>
      </c>
      <c r="AZ334" s="453">
        <f ca="1">IF(AND($D334="Serviço",AZ$12&lt;&gt;0,$H334&gt;0,OR(AUTOEVENTO&lt;&gt;"manual",$M334&lt;&gt;$A$15)),
        IF(Import.TipoArredondamento&lt;&gt;"TransfereGOV",
              ROUND(OFFSET($P334,0,AZ$13),15-13*ORÇAMENTO!$AF$7)/$H334*OFFSET(ORÇAMENTO!$X$15,ROW(AZ334)-ROW(AZ$15),0),
              ROUND(ROUND(OFFSET($P334,0,AZ$13),15-13*ORÇAMENTO!$AF$7)*OFFSET(ORÇAMENTO!$W$15,ROW(AZ334)-ROW(AZ$15),0),15-13*ORÇAMENTO!$AF$11)),
         0)</f>
        <v>0</v>
      </c>
      <c r="BA334" s="453">
        <f ca="1">IF(AND($D334="Serviço",BA$12&lt;&gt;0,$H334&gt;0,OR(AUTOEVENTO&lt;&gt;"manual",$M334&lt;&gt;$A$15)),
        IF(Import.TipoArredondamento&lt;&gt;"TransfereGOV",
              ROUND(OFFSET($P334,0,BA$13),15-13*ORÇAMENTO!$AF$7)/$H334*OFFSET(ORÇAMENTO!$X$15,ROW(BA334)-ROW(BA$15),0),
              ROUND(ROUND(OFFSET($P334,0,BA$13),15-13*ORÇAMENTO!$AF$7)*OFFSET(ORÇAMENTO!$W$15,ROW(BA334)-ROW(BA$15),0),15-13*ORÇAMENTO!$AF$11)),
         0)</f>
        <v>0</v>
      </c>
      <c r="BC334" s="171">
        <f ca="1">IF(OR($D334&lt;&gt;"Serviço",AND(AUTOEVENTO="Manual",$M334=$A$15)),0,
         IF(OFFSET(CRONOPLE!$F$15,$M334-$A$15,BC$13)=0,10^12,OFFSET(CRONOPLE!$F$15,$M334-$A$15,BC$13)))</f>
        <v>1</v>
      </c>
      <c r="BD334" s="171">
        <f ca="1">IF(OR($D334&lt;&gt;"Serviço",AND(AUTOEVENTO="Manual",$M334=$A$15)),0,
         IF(OFFSET(CRONOPLE!$F$15,$M334-$A$15,BD$13)=0,10^12,OFFSET(CRONOPLE!$F$15,$M334-$A$15,BD$13)))</f>
        <v>2</v>
      </c>
      <c r="BE334" s="171">
        <f ca="1">IF(OR($D334&lt;&gt;"Serviço",AND(AUTOEVENTO="Manual",$M334=$A$15)),0,
         IF(OFFSET(CRONOPLE!$F$15,$M334-$A$15,BE$13)=0,10^12,OFFSET(CRONOPLE!$F$15,$M334-$A$15,BE$13)))</f>
        <v>3</v>
      </c>
      <c r="BF334" s="171">
        <f ca="1">IF(OR($D334&lt;&gt;"Serviço",AND(AUTOEVENTO="Manual",$M334=$A$15)),0,
         IF(OFFSET(CRONOPLE!$F$15,$M334-$A$15,BF$13)=0,10^12,OFFSET(CRONOPLE!$F$15,$M334-$A$15,BF$13)))</f>
        <v>4</v>
      </c>
      <c r="BG334" s="171">
        <f ca="1">IF(OR($D334&lt;&gt;"Serviço",AND(AUTOEVENTO="Manual",$M334=$A$15)),0,
         IF(OFFSET(CRONOPLE!$F$15,$M334-$A$15,BG$13)=0,10^12,OFFSET(CRONOPLE!$F$15,$M334-$A$15,BG$13)))</f>
        <v>5</v>
      </c>
      <c r="BH334" s="171">
        <f ca="1">IF(OR($D334&lt;&gt;"Serviço",AND(AUTOEVENTO="Manual",$M334=$A$15)),0,
         IF(OFFSET(CRONOPLE!$F$15,$M334-$A$15,BH$13)=0,10^12,OFFSET(CRONOPLE!$F$15,$M334-$A$15,BH$13)))</f>
        <v>6</v>
      </c>
      <c r="BI334" s="171">
        <f ca="1">IF(OR($D334&lt;&gt;"Serviço",AND(AUTOEVENTO="Manual",$M334=$A$15)),0,
         IF(OFFSET(CRONOPLE!$F$15,$M334-$A$15,BI$13)=0,10^12,OFFSET(CRONOPLE!$F$15,$M334-$A$15,BI$13)))</f>
        <v>7</v>
      </c>
      <c r="BJ334" s="171">
        <f ca="1">IF(OR($D334&lt;&gt;"Serviço",AND(AUTOEVENTO="Manual",$M334=$A$15)),0,
         IF(OFFSET(CRONOPLE!$F$15,$M334-$A$15,BJ$13)=0,10^12,OFFSET(CRONOPLE!$F$15,$M334-$A$15,BJ$13)))</f>
        <v>8</v>
      </c>
      <c r="BK334" s="171">
        <f ca="1">IF(OR($D334&lt;&gt;"Serviço",AND(AUTOEVENTO="Manual",$M334=$A$15)),0,
         IF(OFFSET(CRONOPLE!$F$15,$M334-$A$15,BK$13)=0,10^12,OFFSET(CRONOPLE!$F$15,$M334-$A$15,BK$13)))</f>
        <v>9</v>
      </c>
      <c r="BL334" s="171">
        <f ca="1">IF(OR($D334&lt;&gt;"Serviço",AND(AUTOEVENTO="Manual",$M334=$A$15)),0,
         IF(OFFSET(CRONOPLE!$F$15,$M334-$A$15,BL$13)=0,10^12,OFFSET(CRONOPLE!$F$15,$M334-$A$15,BL$13)))</f>
        <v>1000000000000</v>
      </c>
      <c r="BM334" s="171">
        <f ca="1">IF(OR($D334&lt;&gt;"Serviço",AND(AUTOEVENTO="Manual",$M334=$A$15)),0,
         IF(OFFSET(CRONOPLE!$F$15,$M334-$A$15,BM$13)=0,10^12,OFFSET(CRONOPLE!$F$15,$M334-$A$15,BM$13)))</f>
        <v>1000000000000</v>
      </c>
      <c r="BN334" s="171">
        <f ca="1">IF(OR($D334&lt;&gt;"Serviço",AND(AUTOEVENTO="Manual",$M334=$A$15)),0,
         IF(OFFSET(CRONOPLE!$F$15,$M334-$A$15,BN$13)=0,10^12,OFFSET(CRONOPLE!$F$15,$M334-$A$15,BN$13)))</f>
        <v>1000000000000</v>
      </c>
      <c r="BO334" s="171">
        <f ca="1">IF(OR($D334&lt;&gt;"Serviço",AND(AUTOEVENTO="Manual",$M334=$A$15)),0,
         IF(OFFSET(CRONOPLE!$F$15,$M334-$A$15,BO$13)=0,10^12,OFFSET(CRONOPLE!$F$15,$M334-$A$15,BO$13)))</f>
        <v>1000000000000</v>
      </c>
      <c r="BP334" s="171">
        <f ca="1">IF(OR($D334&lt;&gt;"Serviço",AND(AUTOEVENTO="Manual",$M334=$A$15)),0,
         IF(OFFSET(CRONOPLE!$F$15,$M334-$A$15,BP$13)=0,10^12,OFFSET(CRONOPLE!$F$15,$M334-$A$15,BP$13)))</f>
        <v>1000000000000</v>
      </c>
      <c r="BQ334" s="171">
        <f ca="1">IF(OR($D334&lt;&gt;"Serviço",AND(AUTOEVENTO="Manual",$M334=$A$15)),0,
         IF(OFFSET(CRONOPLE!$F$15,$M334-$A$15,BQ$13)=0,10^12,OFFSET(CRONOPLE!$F$15,$M334-$A$15,BQ$13)))</f>
        <v>1000000000000</v>
      </c>
      <c r="BR334" s="171">
        <f ca="1">IF(OR($D334&lt;&gt;"Serviço",AND(AUTOEVENTO="Manual",$M334=$A$15)),0,
         IF(OFFSET(CRONOPLE!$F$15,$M334-$A$15,BR$13)=0,10^12,OFFSET(CRONOPLE!$F$15,$M334-$A$15,BR$13)))</f>
        <v>1000000000000</v>
      </c>
      <c r="BS334" s="171">
        <f ca="1">IF(OR($D334&lt;&gt;"Serviço",AND(AUTOEVENTO="Manual",$M334=$A$15)),0,
         IF(OFFSET(CRONOPLE!$F$15,$M334-$A$15,BS$13)=0,10^12,OFFSET(CRONOPLE!$F$15,$M334-$A$15,BS$13)))</f>
        <v>1000000000000</v>
      </c>
      <c r="BT334" s="171">
        <f ca="1">IF(OR($D334&lt;&gt;"Serviço",AND(AUTOEVENTO="Manual",$M334=$A$15)),0,
         IF(OFFSET(CRONOPLE!$F$15,$M334-$A$15,BT$13)=0,10^12,OFFSET(CRONOPLE!$F$15,$M334-$A$15,BT$13)))</f>
        <v>1000000000000</v>
      </c>
      <c r="BV334" s="172">
        <f ca="1">IF(OR($D334&lt;&gt;"Serviço",AND(AUTOEVENTO="Manual",$M334=$A$15),$M334&gt;(ROW(PLE.lastrow)-ROW(PLE.firstrow))),0,
           IF(OFFSET(PLE!$G$15,$M334-$A$15,BV$13)="",10^12,OFFSET(PLE!$G$15,$M334-$A$15,BV$13)))</f>
        <v>1000000000000</v>
      </c>
      <c r="BW334" s="172">
        <f ca="1">IF(OR($D334&lt;&gt;"Serviço",AND(AUTOEVENTO="Manual",$M334=$A$15),$M334&gt;(ROW(PLE.lastrow)-ROW(PLE.firstrow))),0,
           IF(OFFSET(PLE!$G$15,$M334-$A$15,BW$13)="",10^12,OFFSET(PLE!$G$15,$M334-$A$15,BW$13)))</f>
        <v>1000000000000</v>
      </c>
      <c r="BX334" s="172">
        <f ca="1">IF(OR($D334&lt;&gt;"Serviço",AND(AUTOEVENTO="Manual",$M334=$A$15),$M334&gt;(ROW(PLE.lastrow)-ROW(PLE.firstrow))),0,
           IF(OFFSET(PLE!$G$15,$M334-$A$15,BX$13)="",10^12,OFFSET(PLE!$G$15,$M334-$A$15,BX$13)))</f>
        <v>1000000000000</v>
      </c>
      <c r="BY334" s="172">
        <f ca="1">IF(OR($D334&lt;&gt;"Serviço",AND(AUTOEVENTO="Manual",$M334=$A$15),$M334&gt;(ROW(PLE.lastrow)-ROW(PLE.firstrow))),0,
           IF(OFFSET(PLE!$G$15,$M334-$A$15,BY$13)="",10^12,OFFSET(PLE!$G$15,$M334-$A$15,BY$13)))</f>
        <v>1000000000000</v>
      </c>
      <c r="BZ334" s="172">
        <f ca="1">IF(OR($D334&lt;&gt;"Serviço",AND(AUTOEVENTO="Manual",$M334=$A$15),$M334&gt;(ROW(PLE.lastrow)-ROW(PLE.firstrow))),0,
           IF(OFFSET(PLE!$G$15,$M334-$A$15,BZ$13)="",10^12,OFFSET(PLE!$G$15,$M334-$A$15,BZ$13)))</f>
        <v>1000000000000</v>
      </c>
      <c r="CA334" s="172">
        <f ca="1">IF(OR($D334&lt;&gt;"Serviço",AND(AUTOEVENTO="Manual",$M334=$A$15),$M334&gt;(ROW(PLE.lastrow)-ROW(PLE.firstrow))),0,
           IF(OFFSET(PLE!$G$15,$M334-$A$15,CA$13)="",10^12,OFFSET(PLE!$G$15,$M334-$A$15,CA$13)))</f>
        <v>1000000000000</v>
      </c>
      <c r="CB334" s="172">
        <f ca="1">IF(OR($D334&lt;&gt;"Serviço",AND(AUTOEVENTO="Manual",$M334=$A$15),$M334&gt;(ROW(PLE.lastrow)-ROW(PLE.firstrow))),0,
           IF(OFFSET(PLE!$G$15,$M334-$A$15,CB$13)="",10^12,OFFSET(PLE!$G$15,$M334-$A$15,CB$13)))</f>
        <v>1000000000000</v>
      </c>
      <c r="CC334" s="172">
        <f ca="1">IF(OR($D334&lt;&gt;"Serviço",AND(AUTOEVENTO="Manual",$M334=$A$15),$M334&gt;(ROW(PLE.lastrow)-ROW(PLE.firstrow))),0,
           IF(OFFSET(PLE!$G$15,$M334-$A$15,CC$13)="",10^12,OFFSET(PLE!$G$15,$M334-$A$15,CC$13)))</f>
        <v>1000000000000</v>
      </c>
      <c r="CD334" s="172">
        <f ca="1">IF(OR($D334&lt;&gt;"Serviço",AND(AUTOEVENTO="Manual",$M334=$A$15),$M334&gt;(ROW(PLE.lastrow)-ROW(PLE.firstrow))),0,
           IF(OFFSET(PLE!$G$15,$M334-$A$15,CD$13)="",10^12,OFFSET(PLE!$G$15,$M334-$A$15,CD$13)))</f>
        <v>1000000000000</v>
      </c>
      <c r="CE334" s="172">
        <f ca="1">IF(OR($D334&lt;&gt;"Serviço",AND(AUTOEVENTO="Manual",$M334=$A$15),$M334&gt;(ROW(PLE.lastrow)-ROW(PLE.firstrow))),0,
           IF(OFFSET(PLE!$G$15,$M334-$A$15,CE$13)="",10^12,OFFSET(PLE!$G$15,$M334-$A$15,CE$13)))</f>
        <v>1000000000000</v>
      </c>
      <c r="CF334" s="172">
        <f ca="1">IF(OR($D334&lt;&gt;"Serviço",AND(AUTOEVENTO="Manual",$M334=$A$15),$M334&gt;(ROW(PLE.lastrow)-ROW(PLE.firstrow))),0,
           IF(OFFSET(PLE!$G$15,$M334-$A$15,CF$13)="",10^12,OFFSET(PLE!$G$15,$M334-$A$15,CF$13)))</f>
        <v>1000000000000</v>
      </c>
      <c r="CG334" s="172">
        <f ca="1">IF(OR($D334&lt;&gt;"Serviço",AND(AUTOEVENTO="Manual",$M334=$A$15),$M334&gt;(ROW(PLE.lastrow)-ROW(PLE.firstrow))),0,
           IF(OFFSET(PLE!$G$15,$M334-$A$15,CG$13)="",10^12,OFFSET(PLE!$G$15,$M334-$A$15,CG$13)))</f>
        <v>1000000000000</v>
      </c>
      <c r="CH334" s="172">
        <f ca="1">IF(OR($D334&lt;&gt;"Serviço",AND(AUTOEVENTO="Manual",$M334=$A$15),$M334&gt;(ROW(PLE.lastrow)-ROW(PLE.firstrow))),0,
           IF(OFFSET(PLE!$G$15,$M334-$A$15,CH$13)="",10^12,OFFSET(PLE!$G$15,$M334-$A$15,CH$13)))</f>
        <v>1000000000000</v>
      </c>
      <c r="CI334" s="172">
        <f ca="1">IF(OR($D334&lt;&gt;"Serviço",AND(AUTOEVENTO="Manual",$M334=$A$15),$M334&gt;(ROW(PLE.lastrow)-ROW(PLE.firstrow))),0,
           IF(OFFSET(PLE!$G$15,$M334-$A$15,CI$13)="",10^12,OFFSET(PLE!$G$15,$M334-$A$15,CI$13)))</f>
        <v>1000000000000</v>
      </c>
      <c r="CJ334" s="172">
        <f ca="1">IF(OR($D334&lt;&gt;"Serviço",AND(AUTOEVENTO="Manual",$M334=$A$15),$M334&gt;(ROW(PLE.lastrow)-ROW(PLE.firstrow))),0,
           IF(OFFSET(PLE!$G$15,$M334-$A$15,CJ$13)="",10^12,OFFSET(PLE!$G$15,$M334-$A$15,CJ$13)))</f>
        <v>1000000000000</v>
      </c>
      <c r="CK334" s="172">
        <f ca="1">IF(OR($D334&lt;&gt;"Serviço",AND(AUTOEVENTO="Manual",$M334=$A$15),$M334&gt;(ROW(PLE.lastrow)-ROW(PLE.firstrow))),0,
           IF(OFFSET(PLE!$G$15,$M334-$A$15,CK$13)="",10^12,OFFSET(PLE!$G$15,$M334-$A$15,CK$13)))</f>
        <v>1000000000000</v>
      </c>
      <c r="CL334" s="172">
        <f ca="1">IF(OR($D334&lt;&gt;"Serviço",AND(AUTOEVENTO="Manual",$M334=$A$15),$M334&gt;(ROW(PLE.lastrow)-ROW(PLE.firstrow))),0,
           IF(OFFSET(PLE!$G$15,$M334-$A$15,CL$13)="",10^12,OFFSET(PLE!$G$15,$M334-$A$15,CL$13)))</f>
        <v>1000000000000</v>
      </c>
      <c r="CM334" s="172">
        <f ca="1">IF(OR($D334&lt;&gt;"Serviço",AND(AUTOEVENTO="Manual",$M334=$A$15),$M334&gt;(ROW(PLE.lastrow)-ROW(PLE.firstrow))),0,
           IF(OFFSET(PLE!$G$15,$M334-$A$15,CM$13)="",10^12,OFFSET(PLE!$G$15,$M334-$A$15,CM$13)))</f>
        <v>1000000000000</v>
      </c>
    </row>
    <row r="335" spans="1:91" ht="63.75" x14ac:dyDescent="0.2">
      <c r="A335" s="7">
        <f t="shared" ca="1" si="14"/>
        <v>6</v>
      </c>
      <c r="B335" s="7" t="str">
        <f ca="1">OFFSET(ORÇAMENTO!C$15,ROW(B335)-ROW(B$15),0)</f>
        <v>S</v>
      </c>
      <c r="C335" s="7" t="str">
        <f ca="1">OFFSET(ORÇAMENTO!L$15,ROW(C335)-ROW(C$15),0)</f>
        <v>F</v>
      </c>
      <c r="D335" s="116" t="str">
        <f ca="1">OFFSET(ORÇAMENTO!N$15,ROW(D335)-ROW(D$15),0)</f>
        <v>Serviço</v>
      </c>
      <c r="E335" s="117" t="str">
        <f ca="1">OFFSET(ORÇAMENTO!O$15,ROW(E335)-ROW(E$15),0)</f>
        <v>1.7.5.1.8.</v>
      </c>
      <c r="F335" s="163" t="str">
        <f ca="1">OFFSET(ORÇAMENTO!R$15,ROW(F335)-ROW(F$15),0)</f>
        <v>TUBO DE CONCRETO PA2 COMERCIAL PARA DRENAGEM - D = 0,80 M - FORNECIMENTO E INSTALAÇÃO</v>
      </c>
      <c r="G335" s="164" t="str">
        <f ca="1">IF($D335&lt;&gt;"Serviço","",OFFSET(ORÇAMENTO!S$15,ROW(G335)-ROW(G$15),0))</f>
        <v>M</v>
      </c>
      <c r="H335" s="122" cm="1">
        <f t="array" aca="1" ref="H335" ca="1">IF($D335&lt;&gt;"Serviço",0,IF(ACOMPANHAMENTO="BM",ROUND(OFFSET(ORÇAMENTO!AJ$15,ROW(H335)-ROW(H$15),0),15-13*ORÇAMENTO!$AF$7),SUMPRODUCT(($Q$1:$AI$1=1)*ROUND($Q335:$AI335,15-13*ORÇAMENTO!$AF$7))))</f>
        <v>1.2</v>
      </c>
      <c r="I335" s="468" t="s">
        <v>1359</v>
      </c>
      <c r="J335" s="640" t="str" cm="1">
        <f t="array" aca="1" ref="J335" ca="1">IF(OR(B335&lt;&gt;"S",CÁLCULO.FrentesPreenchidas=0),"",IF(AND(ACOMPANHAMENTO="PLE",AUTOEVENTO="Manual",OR(H335&gt;0,ORÇAMENTO!AC335="QUANT."),OR(K335="",M335=0,N335="")),"►E",IF(AND(ACOMPANHAMENTO="PLE",ORÇAMENTO!AC335="QUANT."),"►Q",IF(AND(ACOMPANHAMENTO="PLE",H335&lt;&gt;SUMPRODUCT(($Q$1:$AI$1=1)*ROUND(Q335:AI335,15))),"►S",IF(AND(COUNTIF($P$11:$AI$11,"▼")=0,H335&gt;0,I335=""),"◄M","")))))</f>
        <v/>
      </c>
      <c r="K335" s="641" t="s">
        <v>1385</v>
      </c>
      <c r="L335" s="165" t="s">
        <v>764</v>
      </c>
      <c r="M335" s="166">
        <f ca="1">IF($D335&lt;&gt;"Serviço","",
          IF(AUTOEVENTO="manual",$A335,
                IF(ISERROR(MATCH($A335,$A$15:OFFSET($A335,-1,0),0)),MAX($M$15:OFFSET(M335,-1,0))+1,
                      INDEX($M$15:OFFSET(M335,-1,0),MATCH($A335,$A$15:OFFSET($A335,-1,0),0)))))</f>
        <v>6</v>
      </c>
      <c r="N335" s="167" t="str">
        <f ca="1">IF($D335&lt;&gt;"Serviço","",
         IF(AUTOEVENTO="Manual",
                IF($A335=0,"&lt;-- defina o número do agrupador",
                       OFFSET(EVENTOS!$D$15,$A335-$A$15,0)),
                OFFSET($F$15,$A335,0)))</f>
        <v>Saneamento</v>
      </c>
      <c r="O335" s="168"/>
      <c r="Q335" s="168"/>
      <c r="R335" s="169"/>
      <c r="S335" s="169"/>
      <c r="T335" s="169"/>
      <c r="U335" s="169"/>
      <c r="V335" s="169">
        <v>1.2</v>
      </c>
      <c r="W335" s="169"/>
      <c r="X335" s="169"/>
      <c r="Y335" s="169"/>
      <c r="Z335" s="170"/>
      <c r="AA335" s="169"/>
      <c r="AB335" s="169"/>
      <c r="AC335" s="169"/>
      <c r="AD335" s="169"/>
      <c r="AE335" s="169"/>
      <c r="AF335" s="169"/>
      <c r="AG335" s="169"/>
      <c r="AH335" s="170"/>
      <c r="AJ335" s="453">
        <f ca="1">IF(AND($D335="Serviço",AJ$12&lt;&gt;0,$H335&gt;0,OR(AUTOEVENTO&lt;&gt;"manual",$M335&lt;&gt;$A$15)),
        IF(Import.TipoArredondamento&lt;&gt;"TransfereGOV",
              ROUND(OFFSET($P335,0,AJ$13),15-13*ORÇAMENTO!$AF$7)/$H335*OFFSET(ORÇAMENTO!$X$15,ROW(AJ335)-ROW(AJ$15),0),
              ROUND(ROUND(OFFSET($P335,0,AJ$13),15-13*ORÇAMENTO!$AF$7)*OFFSET(ORÇAMENTO!$W$15,ROW(AJ335)-ROW(AJ$15),0),15-13*ORÇAMENTO!$AF$11)),
         0)</f>
        <v>0</v>
      </c>
      <c r="AK335" s="453">
        <f ca="1">IF(AND($D335="Serviço",AK$12&lt;&gt;0,$H335&gt;0,OR(AUTOEVENTO&lt;&gt;"manual",$M335&lt;&gt;$A$15)),
        IF(Import.TipoArredondamento&lt;&gt;"TransfereGOV",
              ROUND(OFFSET($P335,0,AK$13),15-13*ORÇAMENTO!$AF$7)/$H335*OFFSET(ORÇAMENTO!$X$15,ROW(AK335)-ROW(AK$15),0),
              ROUND(ROUND(OFFSET($P335,0,AK$13),15-13*ORÇAMENTO!$AF$7)*OFFSET(ORÇAMENTO!$W$15,ROW(AK335)-ROW(AK$15),0),15-13*ORÇAMENTO!$AF$11)),
         0)</f>
        <v>0</v>
      </c>
      <c r="AL335" s="453">
        <f ca="1">IF(AND($D335="Serviço",AL$12&lt;&gt;0,$H335&gt;0,OR(AUTOEVENTO&lt;&gt;"manual",$M335&lt;&gt;$A$15)),
        IF(Import.TipoArredondamento&lt;&gt;"TransfereGOV",
              ROUND(OFFSET($P335,0,AL$13),15-13*ORÇAMENTO!$AF$7)/$H335*OFFSET(ORÇAMENTO!$X$15,ROW(AL335)-ROW(AL$15),0),
              ROUND(ROUND(OFFSET($P335,0,AL$13),15-13*ORÇAMENTO!$AF$7)*OFFSET(ORÇAMENTO!$W$15,ROW(AL335)-ROW(AL$15),0),15-13*ORÇAMENTO!$AF$11)),
         0)</f>
        <v>0</v>
      </c>
      <c r="AM335" s="453">
        <f ca="1">IF(AND($D335="Serviço",AM$12&lt;&gt;0,$H335&gt;0,OR(AUTOEVENTO&lt;&gt;"manual",$M335&lt;&gt;$A$15)),
        IF(Import.TipoArredondamento&lt;&gt;"TransfereGOV",
              ROUND(OFFSET($P335,0,AM$13),15-13*ORÇAMENTO!$AF$7)/$H335*OFFSET(ORÇAMENTO!$X$15,ROW(AM335)-ROW(AM$15),0),
              ROUND(ROUND(OFFSET($P335,0,AM$13),15-13*ORÇAMENTO!$AF$7)*OFFSET(ORÇAMENTO!$W$15,ROW(AM335)-ROW(AM$15),0),15-13*ORÇAMENTO!$AF$11)),
         0)</f>
        <v>0</v>
      </c>
      <c r="AN335" s="453">
        <f ca="1">IF(AND($D335="Serviço",AN$12&lt;&gt;0,$H335&gt;0,OR(AUTOEVENTO&lt;&gt;"manual",$M335&lt;&gt;$A$15)),
        IF(Import.TipoArredondamento&lt;&gt;"TransfereGOV",
              ROUND(OFFSET($P335,0,AN$13),15-13*ORÇAMENTO!$AF$7)/$H335*OFFSET(ORÇAMENTO!$X$15,ROW(AN335)-ROW(AN$15),0),
              ROUND(ROUND(OFFSET($P335,0,AN$13),15-13*ORÇAMENTO!$AF$7)*OFFSET(ORÇAMENTO!$W$15,ROW(AN335)-ROW(AN$15),0),15-13*ORÇAMENTO!$AF$11)),
         0)</f>
        <v>0</v>
      </c>
      <c r="AO335" s="453">
        <f ca="1">IF(AND($D335="Serviço",AO$12&lt;&gt;0,$H335&gt;0,OR(AUTOEVENTO&lt;&gt;"manual",$M335&lt;&gt;$A$15)),
        IF(Import.TipoArredondamento&lt;&gt;"TransfereGOV",
              ROUND(OFFSET($P335,0,AO$13),15-13*ORÇAMENTO!$AF$7)/$H335*OFFSET(ORÇAMENTO!$X$15,ROW(AO335)-ROW(AO$15),0),
              ROUND(ROUND(OFFSET($P335,0,AO$13),15-13*ORÇAMENTO!$AF$7)*OFFSET(ORÇAMENTO!$W$15,ROW(AO335)-ROW(AO$15),0),15-13*ORÇAMENTO!$AF$11)),
         0)</f>
        <v>0</v>
      </c>
      <c r="AP335" s="453">
        <f ca="1">IF(AND($D335="Serviço",AP$12&lt;&gt;0,$H335&gt;0,OR(AUTOEVENTO&lt;&gt;"manual",$M335&lt;&gt;$A$15)),
        IF(Import.TipoArredondamento&lt;&gt;"TransfereGOV",
              ROUND(OFFSET($P335,0,AP$13),15-13*ORÇAMENTO!$AF$7)/$H335*OFFSET(ORÇAMENTO!$X$15,ROW(AP335)-ROW(AP$15),0),
              ROUND(ROUND(OFFSET($P335,0,AP$13),15-13*ORÇAMENTO!$AF$7)*OFFSET(ORÇAMENTO!$W$15,ROW(AP335)-ROW(AP$15),0),15-13*ORÇAMENTO!$AF$11)),
         0)</f>
        <v>0</v>
      </c>
      <c r="AQ335" s="453">
        <f ca="1">IF(AND($D335="Serviço",AQ$12&lt;&gt;0,$H335&gt;0,OR(AUTOEVENTO&lt;&gt;"manual",$M335&lt;&gt;$A$15)),
        IF(Import.TipoArredondamento&lt;&gt;"TransfereGOV",
              ROUND(OFFSET($P335,0,AQ$13),15-13*ORÇAMENTO!$AF$7)/$H335*OFFSET(ORÇAMENTO!$X$15,ROW(AQ335)-ROW(AQ$15),0),
              ROUND(ROUND(OFFSET($P335,0,AQ$13),15-13*ORÇAMENTO!$AF$7)*OFFSET(ORÇAMENTO!$W$15,ROW(AQ335)-ROW(AQ$15),0),15-13*ORÇAMENTO!$AF$11)),
         0)</f>
        <v>0</v>
      </c>
      <c r="AR335" s="453">
        <f ca="1">IF(AND($D335="Serviço",AR$12&lt;&gt;0,$H335&gt;0,OR(AUTOEVENTO&lt;&gt;"manual",$M335&lt;&gt;$A$15)),
        IF(Import.TipoArredondamento&lt;&gt;"TransfereGOV",
              ROUND(OFFSET($P335,0,AR$13),15-13*ORÇAMENTO!$AF$7)/$H335*OFFSET(ORÇAMENTO!$X$15,ROW(AR335)-ROW(AR$15),0),
              ROUND(ROUND(OFFSET($P335,0,AR$13),15-13*ORÇAMENTO!$AF$7)*OFFSET(ORÇAMENTO!$W$15,ROW(AR335)-ROW(AR$15),0),15-13*ORÇAMENTO!$AF$11)),
         0)</f>
        <v>0</v>
      </c>
      <c r="AS335" s="453">
        <f ca="1">IF(AND($D335="Serviço",AS$12&lt;&gt;0,$H335&gt;0,OR(AUTOEVENTO&lt;&gt;"manual",$M335&lt;&gt;$A$15)),
        IF(Import.TipoArredondamento&lt;&gt;"TransfereGOV",
              ROUND(OFFSET($P335,0,AS$13),15-13*ORÇAMENTO!$AF$7)/$H335*OFFSET(ORÇAMENTO!$X$15,ROW(AS335)-ROW(AS$15),0),
              ROUND(ROUND(OFFSET($P335,0,AS$13),15-13*ORÇAMENTO!$AF$7)*OFFSET(ORÇAMENTO!$W$15,ROW(AS335)-ROW(AS$15),0),15-13*ORÇAMENTO!$AF$11)),
         0)</f>
        <v>0</v>
      </c>
      <c r="AT335" s="453">
        <f ca="1">IF(AND($D335="Serviço",AT$12&lt;&gt;0,$H335&gt;0,OR(AUTOEVENTO&lt;&gt;"manual",$M335&lt;&gt;$A$15)),
        IF(Import.TipoArredondamento&lt;&gt;"TransfereGOV",
              ROUND(OFFSET($P335,0,AT$13),15-13*ORÇAMENTO!$AF$7)/$H335*OFFSET(ORÇAMENTO!$X$15,ROW(AT335)-ROW(AT$15),0),
              ROUND(ROUND(OFFSET($P335,0,AT$13),15-13*ORÇAMENTO!$AF$7)*OFFSET(ORÇAMENTO!$W$15,ROW(AT335)-ROW(AT$15),0),15-13*ORÇAMENTO!$AF$11)),
         0)</f>
        <v>0</v>
      </c>
      <c r="AU335" s="453">
        <f ca="1">IF(AND($D335="Serviço",AU$12&lt;&gt;0,$H335&gt;0,OR(AUTOEVENTO&lt;&gt;"manual",$M335&lt;&gt;$A$15)),
        IF(Import.TipoArredondamento&lt;&gt;"TransfereGOV",
              ROUND(OFFSET($P335,0,AU$13),15-13*ORÇAMENTO!$AF$7)/$H335*OFFSET(ORÇAMENTO!$X$15,ROW(AU335)-ROW(AU$15),0),
              ROUND(ROUND(OFFSET($P335,0,AU$13),15-13*ORÇAMENTO!$AF$7)*OFFSET(ORÇAMENTO!$W$15,ROW(AU335)-ROW(AU$15),0),15-13*ORÇAMENTO!$AF$11)),
         0)</f>
        <v>0</v>
      </c>
      <c r="AV335" s="453">
        <f ca="1">IF(AND($D335="Serviço",AV$12&lt;&gt;0,$H335&gt;0,OR(AUTOEVENTO&lt;&gt;"manual",$M335&lt;&gt;$A$15)),
        IF(Import.TipoArredondamento&lt;&gt;"TransfereGOV",
              ROUND(OFFSET($P335,0,AV$13),15-13*ORÇAMENTO!$AF$7)/$H335*OFFSET(ORÇAMENTO!$X$15,ROW(AV335)-ROW(AV$15),0),
              ROUND(ROUND(OFFSET($P335,0,AV$13),15-13*ORÇAMENTO!$AF$7)*OFFSET(ORÇAMENTO!$W$15,ROW(AV335)-ROW(AV$15),0),15-13*ORÇAMENTO!$AF$11)),
         0)</f>
        <v>0</v>
      </c>
      <c r="AW335" s="453">
        <f ca="1">IF(AND($D335="Serviço",AW$12&lt;&gt;0,$H335&gt;0,OR(AUTOEVENTO&lt;&gt;"manual",$M335&lt;&gt;$A$15)),
        IF(Import.TipoArredondamento&lt;&gt;"TransfereGOV",
              ROUND(OFFSET($P335,0,AW$13),15-13*ORÇAMENTO!$AF$7)/$H335*OFFSET(ORÇAMENTO!$X$15,ROW(AW335)-ROW(AW$15),0),
              ROUND(ROUND(OFFSET($P335,0,AW$13),15-13*ORÇAMENTO!$AF$7)*OFFSET(ORÇAMENTO!$W$15,ROW(AW335)-ROW(AW$15),0),15-13*ORÇAMENTO!$AF$11)),
         0)</f>
        <v>0</v>
      </c>
      <c r="AX335" s="453">
        <f ca="1">IF(AND($D335="Serviço",AX$12&lt;&gt;0,$H335&gt;0,OR(AUTOEVENTO&lt;&gt;"manual",$M335&lt;&gt;$A$15)),
        IF(Import.TipoArredondamento&lt;&gt;"TransfereGOV",
              ROUND(OFFSET($P335,0,AX$13),15-13*ORÇAMENTO!$AF$7)/$H335*OFFSET(ORÇAMENTO!$X$15,ROW(AX335)-ROW(AX$15),0),
              ROUND(ROUND(OFFSET($P335,0,AX$13),15-13*ORÇAMENTO!$AF$7)*OFFSET(ORÇAMENTO!$W$15,ROW(AX335)-ROW(AX$15),0),15-13*ORÇAMENTO!$AF$11)),
         0)</f>
        <v>0</v>
      </c>
      <c r="AY335" s="453">
        <f ca="1">IF(AND($D335="Serviço",AY$12&lt;&gt;0,$H335&gt;0,OR(AUTOEVENTO&lt;&gt;"manual",$M335&lt;&gt;$A$15)),
        IF(Import.TipoArredondamento&lt;&gt;"TransfereGOV",
              ROUND(OFFSET($P335,0,AY$13),15-13*ORÇAMENTO!$AF$7)/$H335*OFFSET(ORÇAMENTO!$X$15,ROW(AY335)-ROW(AY$15),0),
              ROUND(ROUND(OFFSET($P335,0,AY$13),15-13*ORÇAMENTO!$AF$7)*OFFSET(ORÇAMENTO!$W$15,ROW(AY335)-ROW(AY$15),0),15-13*ORÇAMENTO!$AF$11)),
         0)</f>
        <v>0</v>
      </c>
      <c r="AZ335" s="453">
        <f ca="1">IF(AND($D335="Serviço",AZ$12&lt;&gt;0,$H335&gt;0,OR(AUTOEVENTO&lt;&gt;"manual",$M335&lt;&gt;$A$15)),
        IF(Import.TipoArredondamento&lt;&gt;"TransfereGOV",
              ROUND(OFFSET($P335,0,AZ$13),15-13*ORÇAMENTO!$AF$7)/$H335*OFFSET(ORÇAMENTO!$X$15,ROW(AZ335)-ROW(AZ$15),0),
              ROUND(ROUND(OFFSET($P335,0,AZ$13),15-13*ORÇAMENTO!$AF$7)*OFFSET(ORÇAMENTO!$W$15,ROW(AZ335)-ROW(AZ$15),0),15-13*ORÇAMENTO!$AF$11)),
         0)</f>
        <v>0</v>
      </c>
      <c r="BA335" s="453">
        <f ca="1">IF(AND($D335="Serviço",BA$12&lt;&gt;0,$H335&gt;0,OR(AUTOEVENTO&lt;&gt;"manual",$M335&lt;&gt;$A$15)),
        IF(Import.TipoArredondamento&lt;&gt;"TransfereGOV",
              ROUND(OFFSET($P335,0,BA$13),15-13*ORÇAMENTO!$AF$7)/$H335*OFFSET(ORÇAMENTO!$X$15,ROW(BA335)-ROW(BA$15),0),
              ROUND(ROUND(OFFSET($P335,0,BA$13),15-13*ORÇAMENTO!$AF$7)*OFFSET(ORÇAMENTO!$W$15,ROW(BA335)-ROW(BA$15),0),15-13*ORÇAMENTO!$AF$11)),
         0)</f>
        <v>0</v>
      </c>
      <c r="BC335" s="171">
        <f ca="1">IF(OR($D335&lt;&gt;"Serviço",AND(AUTOEVENTO="Manual",$M335=$A$15)),0,
         IF(OFFSET(CRONOPLE!$F$15,$M335-$A$15,BC$13)=0,10^12,OFFSET(CRONOPLE!$F$15,$M335-$A$15,BC$13)))</f>
        <v>1</v>
      </c>
      <c r="BD335" s="171">
        <f ca="1">IF(OR($D335&lt;&gt;"Serviço",AND(AUTOEVENTO="Manual",$M335=$A$15)),0,
         IF(OFFSET(CRONOPLE!$F$15,$M335-$A$15,BD$13)=0,10^12,OFFSET(CRONOPLE!$F$15,$M335-$A$15,BD$13)))</f>
        <v>2</v>
      </c>
      <c r="BE335" s="171">
        <f ca="1">IF(OR($D335&lt;&gt;"Serviço",AND(AUTOEVENTO="Manual",$M335=$A$15)),0,
         IF(OFFSET(CRONOPLE!$F$15,$M335-$A$15,BE$13)=0,10^12,OFFSET(CRONOPLE!$F$15,$M335-$A$15,BE$13)))</f>
        <v>3</v>
      </c>
      <c r="BF335" s="171">
        <f ca="1">IF(OR($D335&lt;&gt;"Serviço",AND(AUTOEVENTO="Manual",$M335=$A$15)),0,
         IF(OFFSET(CRONOPLE!$F$15,$M335-$A$15,BF$13)=0,10^12,OFFSET(CRONOPLE!$F$15,$M335-$A$15,BF$13)))</f>
        <v>4</v>
      </c>
      <c r="BG335" s="171">
        <f ca="1">IF(OR($D335&lt;&gt;"Serviço",AND(AUTOEVENTO="Manual",$M335=$A$15)),0,
         IF(OFFSET(CRONOPLE!$F$15,$M335-$A$15,BG$13)=0,10^12,OFFSET(CRONOPLE!$F$15,$M335-$A$15,BG$13)))</f>
        <v>5</v>
      </c>
      <c r="BH335" s="171">
        <f ca="1">IF(OR($D335&lt;&gt;"Serviço",AND(AUTOEVENTO="Manual",$M335=$A$15)),0,
         IF(OFFSET(CRONOPLE!$F$15,$M335-$A$15,BH$13)=0,10^12,OFFSET(CRONOPLE!$F$15,$M335-$A$15,BH$13)))</f>
        <v>6</v>
      </c>
      <c r="BI335" s="171">
        <f ca="1">IF(OR($D335&lt;&gt;"Serviço",AND(AUTOEVENTO="Manual",$M335=$A$15)),0,
         IF(OFFSET(CRONOPLE!$F$15,$M335-$A$15,BI$13)=0,10^12,OFFSET(CRONOPLE!$F$15,$M335-$A$15,BI$13)))</f>
        <v>7</v>
      </c>
      <c r="BJ335" s="171">
        <f ca="1">IF(OR($D335&lt;&gt;"Serviço",AND(AUTOEVENTO="Manual",$M335=$A$15)),0,
         IF(OFFSET(CRONOPLE!$F$15,$M335-$A$15,BJ$13)=0,10^12,OFFSET(CRONOPLE!$F$15,$M335-$A$15,BJ$13)))</f>
        <v>8</v>
      </c>
      <c r="BK335" s="171">
        <f ca="1">IF(OR($D335&lt;&gt;"Serviço",AND(AUTOEVENTO="Manual",$M335=$A$15)),0,
         IF(OFFSET(CRONOPLE!$F$15,$M335-$A$15,BK$13)=0,10^12,OFFSET(CRONOPLE!$F$15,$M335-$A$15,BK$13)))</f>
        <v>9</v>
      </c>
      <c r="BL335" s="171">
        <f ca="1">IF(OR($D335&lt;&gt;"Serviço",AND(AUTOEVENTO="Manual",$M335=$A$15)),0,
         IF(OFFSET(CRONOPLE!$F$15,$M335-$A$15,BL$13)=0,10^12,OFFSET(CRONOPLE!$F$15,$M335-$A$15,BL$13)))</f>
        <v>1000000000000</v>
      </c>
      <c r="BM335" s="171">
        <f ca="1">IF(OR($D335&lt;&gt;"Serviço",AND(AUTOEVENTO="Manual",$M335=$A$15)),0,
         IF(OFFSET(CRONOPLE!$F$15,$M335-$A$15,BM$13)=0,10^12,OFFSET(CRONOPLE!$F$15,$M335-$A$15,BM$13)))</f>
        <v>1000000000000</v>
      </c>
      <c r="BN335" s="171">
        <f ca="1">IF(OR($D335&lt;&gt;"Serviço",AND(AUTOEVENTO="Manual",$M335=$A$15)),0,
         IF(OFFSET(CRONOPLE!$F$15,$M335-$A$15,BN$13)=0,10^12,OFFSET(CRONOPLE!$F$15,$M335-$A$15,BN$13)))</f>
        <v>1000000000000</v>
      </c>
      <c r="BO335" s="171">
        <f ca="1">IF(OR($D335&lt;&gt;"Serviço",AND(AUTOEVENTO="Manual",$M335=$A$15)),0,
         IF(OFFSET(CRONOPLE!$F$15,$M335-$A$15,BO$13)=0,10^12,OFFSET(CRONOPLE!$F$15,$M335-$A$15,BO$13)))</f>
        <v>1000000000000</v>
      </c>
      <c r="BP335" s="171">
        <f ca="1">IF(OR($D335&lt;&gt;"Serviço",AND(AUTOEVENTO="Manual",$M335=$A$15)),0,
         IF(OFFSET(CRONOPLE!$F$15,$M335-$A$15,BP$13)=0,10^12,OFFSET(CRONOPLE!$F$15,$M335-$A$15,BP$13)))</f>
        <v>1000000000000</v>
      </c>
      <c r="BQ335" s="171">
        <f ca="1">IF(OR($D335&lt;&gt;"Serviço",AND(AUTOEVENTO="Manual",$M335=$A$15)),0,
         IF(OFFSET(CRONOPLE!$F$15,$M335-$A$15,BQ$13)=0,10^12,OFFSET(CRONOPLE!$F$15,$M335-$A$15,BQ$13)))</f>
        <v>1000000000000</v>
      </c>
      <c r="BR335" s="171">
        <f ca="1">IF(OR($D335&lt;&gt;"Serviço",AND(AUTOEVENTO="Manual",$M335=$A$15)),0,
         IF(OFFSET(CRONOPLE!$F$15,$M335-$A$15,BR$13)=0,10^12,OFFSET(CRONOPLE!$F$15,$M335-$A$15,BR$13)))</f>
        <v>1000000000000</v>
      </c>
      <c r="BS335" s="171">
        <f ca="1">IF(OR($D335&lt;&gt;"Serviço",AND(AUTOEVENTO="Manual",$M335=$A$15)),0,
         IF(OFFSET(CRONOPLE!$F$15,$M335-$A$15,BS$13)=0,10^12,OFFSET(CRONOPLE!$F$15,$M335-$A$15,BS$13)))</f>
        <v>1000000000000</v>
      </c>
      <c r="BT335" s="171">
        <f ca="1">IF(OR($D335&lt;&gt;"Serviço",AND(AUTOEVENTO="Manual",$M335=$A$15)),0,
         IF(OFFSET(CRONOPLE!$F$15,$M335-$A$15,BT$13)=0,10^12,OFFSET(CRONOPLE!$F$15,$M335-$A$15,BT$13)))</f>
        <v>1000000000000</v>
      </c>
      <c r="BV335" s="172">
        <f ca="1">IF(OR($D335&lt;&gt;"Serviço",AND(AUTOEVENTO="Manual",$M335=$A$15),$M335&gt;(ROW(PLE.lastrow)-ROW(PLE.firstrow))),0,
           IF(OFFSET(PLE!$G$15,$M335-$A$15,BV$13)="",10^12,OFFSET(PLE!$G$15,$M335-$A$15,BV$13)))</f>
        <v>1000000000000</v>
      </c>
      <c r="BW335" s="172">
        <f ca="1">IF(OR($D335&lt;&gt;"Serviço",AND(AUTOEVENTO="Manual",$M335=$A$15),$M335&gt;(ROW(PLE.lastrow)-ROW(PLE.firstrow))),0,
           IF(OFFSET(PLE!$G$15,$M335-$A$15,BW$13)="",10^12,OFFSET(PLE!$G$15,$M335-$A$15,BW$13)))</f>
        <v>1000000000000</v>
      </c>
      <c r="BX335" s="172">
        <f ca="1">IF(OR($D335&lt;&gt;"Serviço",AND(AUTOEVENTO="Manual",$M335=$A$15),$M335&gt;(ROW(PLE.lastrow)-ROW(PLE.firstrow))),0,
           IF(OFFSET(PLE!$G$15,$M335-$A$15,BX$13)="",10^12,OFFSET(PLE!$G$15,$M335-$A$15,BX$13)))</f>
        <v>1000000000000</v>
      </c>
      <c r="BY335" s="172">
        <f ca="1">IF(OR($D335&lt;&gt;"Serviço",AND(AUTOEVENTO="Manual",$M335=$A$15),$M335&gt;(ROW(PLE.lastrow)-ROW(PLE.firstrow))),0,
           IF(OFFSET(PLE!$G$15,$M335-$A$15,BY$13)="",10^12,OFFSET(PLE!$G$15,$M335-$A$15,BY$13)))</f>
        <v>1000000000000</v>
      </c>
      <c r="BZ335" s="172">
        <f ca="1">IF(OR($D335&lt;&gt;"Serviço",AND(AUTOEVENTO="Manual",$M335=$A$15),$M335&gt;(ROW(PLE.lastrow)-ROW(PLE.firstrow))),0,
           IF(OFFSET(PLE!$G$15,$M335-$A$15,BZ$13)="",10^12,OFFSET(PLE!$G$15,$M335-$A$15,BZ$13)))</f>
        <v>1000000000000</v>
      </c>
      <c r="CA335" s="172">
        <f ca="1">IF(OR($D335&lt;&gt;"Serviço",AND(AUTOEVENTO="Manual",$M335=$A$15),$M335&gt;(ROW(PLE.lastrow)-ROW(PLE.firstrow))),0,
           IF(OFFSET(PLE!$G$15,$M335-$A$15,CA$13)="",10^12,OFFSET(PLE!$G$15,$M335-$A$15,CA$13)))</f>
        <v>1000000000000</v>
      </c>
      <c r="CB335" s="172">
        <f ca="1">IF(OR($D335&lt;&gt;"Serviço",AND(AUTOEVENTO="Manual",$M335=$A$15),$M335&gt;(ROW(PLE.lastrow)-ROW(PLE.firstrow))),0,
           IF(OFFSET(PLE!$G$15,$M335-$A$15,CB$13)="",10^12,OFFSET(PLE!$G$15,$M335-$A$15,CB$13)))</f>
        <v>1000000000000</v>
      </c>
      <c r="CC335" s="172">
        <f ca="1">IF(OR($D335&lt;&gt;"Serviço",AND(AUTOEVENTO="Manual",$M335=$A$15),$M335&gt;(ROW(PLE.lastrow)-ROW(PLE.firstrow))),0,
           IF(OFFSET(PLE!$G$15,$M335-$A$15,CC$13)="",10^12,OFFSET(PLE!$G$15,$M335-$A$15,CC$13)))</f>
        <v>1000000000000</v>
      </c>
      <c r="CD335" s="172">
        <f ca="1">IF(OR($D335&lt;&gt;"Serviço",AND(AUTOEVENTO="Manual",$M335=$A$15),$M335&gt;(ROW(PLE.lastrow)-ROW(PLE.firstrow))),0,
           IF(OFFSET(PLE!$G$15,$M335-$A$15,CD$13)="",10^12,OFFSET(PLE!$G$15,$M335-$A$15,CD$13)))</f>
        <v>1000000000000</v>
      </c>
      <c r="CE335" s="172">
        <f ca="1">IF(OR($D335&lt;&gt;"Serviço",AND(AUTOEVENTO="Manual",$M335=$A$15),$M335&gt;(ROW(PLE.lastrow)-ROW(PLE.firstrow))),0,
           IF(OFFSET(PLE!$G$15,$M335-$A$15,CE$13)="",10^12,OFFSET(PLE!$G$15,$M335-$A$15,CE$13)))</f>
        <v>1000000000000</v>
      </c>
      <c r="CF335" s="172">
        <f ca="1">IF(OR($D335&lt;&gt;"Serviço",AND(AUTOEVENTO="Manual",$M335=$A$15),$M335&gt;(ROW(PLE.lastrow)-ROW(PLE.firstrow))),0,
           IF(OFFSET(PLE!$G$15,$M335-$A$15,CF$13)="",10^12,OFFSET(PLE!$G$15,$M335-$A$15,CF$13)))</f>
        <v>1000000000000</v>
      </c>
      <c r="CG335" s="172">
        <f ca="1">IF(OR($D335&lt;&gt;"Serviço",AND(AUTOEVENTO="Manual",$M335=$A$15),$M335&gt;(ROW(PLE.lastrow)-ROW(PLE.firstrow))),0,
           IF(OFFSET(PLE!$G$15,$M335-$A$15,CG$13)="",10^12,OFFSET(PLE!$G$15,$M335-$A$15,CG$13)))</f>
        <v>1000000000000</v>
      </c>
      <c r="CH335" s="172">
        <f ca="1">IF(OR($D335&lt;&gt;"Serviço",AND(AUTOEVENTO="Manual",$M335=$A$15),$M335&gt;(ROW(PLE.lastrow)-ROW(PLE.firstrow))),0,
           IF(OFFSET(PLE!$G$15,$M335-$A$15,CH$13)="",10^12,OFFSET(PLE!$G$15,$M335-$A$15,CH$13)))</f>
        <v>1000000000000</v>
      </c>
      <c r="CI335" s="172">
        <f ca="1">IF(OR($D335&lt;&gt;"Serviço",AND(AUTOEVENTO="Manual",$M335=$A$15),$M335&gt;(ROW(PLE.lastrow)-ROW(PLE.firstrow))),0,
           IF(OFFSET(PLE!$G$15,$M335-$A$15,CI$13)="",10^12,OFFSET(PLE!$G$15,$M335-$A$15,CI$13)))</f>
        <v>1000000000000</v>
      </c>
      <c r="CJ335" s="172">
        <f ca="1">IF(OR($D335&lt;&gt;"Serviço",AND(AUTOEVENTO="Manual",$M335=$A$15),$M335&gt;(ROW(PLE.lastrow)-ROW(PLE.firstrow))),0,
           IF(OFFSET(PLE!$G$15,$M335-$A$15,CJ$13)="",10^12,OFFSET(PLE!$G$15,$M335-$A$15,CJ$13)))</f>
        <v>1000000000000</v>
      </c>
      <c r="CK335" s="172">
        <f ca="1">IF(OR($D335&lt;&gt;"Serviço",AND(AUTOEVENTO="Manual",$M335=$A$15),$M335&gt;(ROW(PLE.lastrow)-ROW(PLE.firstrow))),0,
           IF(OFFSET(PLE!$G$15,$M335-$A$15,CK$13)="",10^12,OFFSET(PLE!$G$15,$M335-$A$15,CK$13)))</f>
        <v>1000000000000</v>
      </c>
      <c r="CL335" s="172">
        <f ca="1">IF(OR($D335&lt;&gt;"Serviço",AND(AUTOEVENTO="Manual",$M335=$A$15),$M335&gt;(ROW(PLE.lastrow)-ROW(PLE.firstrow))),0,
           IF(OFFSET(PLE!$G$15,$M335-$A$15,CL$13)="",10^12,OFFSET(PLE!$G$15,$M335-$A$15,CL$13)))</f>
        <v>1000000000000</v>
      </c>
      <c r="CM335" s="172">
        <f ca="1">IF(OR($D335&lt;&gt;"Serviço",AND(AUTOEVENTO="Manual",$M335=$A$15),$M335&gt;(ROW(PLE.lastrow)-ROW(PLE.firstrow))),0,
           IF(OFFSET(PLE!$G$15,$M335-$A$15,CM$13)="",10^12,OFFSET(PLE!$G$15,$M335-$A$15,CM$13)))</f>
        <v>1000000000000</v>
      </c>
    </row>
    <row r="336" spans="1:91" ht="63.75" x14ac:dyDescent="0.2">
      <c r="A336" s="7">
        <f t="shared" ca="1" si="14"/>
        <v>6</v>
      </c>
      <c r="B336" s="7" t="str">
        <f ca="1">OFFSET(ORÇAMENTO!C$15,ROW(B336)-ROW(B$15),0)</f>
        <v>S</v>
      </c>
      <c r="C336" s="7" t="str">
        <f ca="1">OFFSET(ORÇAMENTO!L$15,ROW(C336)-ROW(C$15),0)</f>
        <v>F</v>
      </c>
      <c r="D336" s="116" t="str">
        <f ca="1">OFFSET(ORÇAMENTO!N$15,ROW(D336)-ROW(D$15),0)</f>
        <v>Serviço</v>
      </c>
      <c r="E336" s="117" t="str">
        <f ca="1">OFFSET(ORÇAMENTO!O$15,ROW(E336)-ROW(E$15),0)</f>
        <v>1.7.5.1.9.</v>
      </c>
      <c r="F336" s="163" t="str">
        <f ca="1">OFFSET(ORÇAMENTO!R$15,ROW(F336)-ROW(F$15),0)</f>
        <v>TUBO PONTA/BOLSA FoFo L=2,00 M - DN 600 MM</v>
      </c>
      <c r="G336" s="164" t="str">
        <f ca="1">IF($D336&lt;&gt;"Serviço","",OFFSET(ORÇAMENTO!S$15,ROW(G336)-ROW(G$15),0))</f>
        <v>UN</v>
      </c>
      <c r="H336" s="122" cm="1">
        <f t="array" aca="1" ref="H336" ca="1">IF($D336&lt;&gt;"Serviço",0,IF(ACOMPANHAMENTO="BM",ROUND(OFFSET(ORÇAMENTO!AJ$15,ROW(H336)-ROW(H$15),0),15-13*ORÇAMENTO!$AF$7),SUMPRODUCT(($Q$1:$AI$1=1)*ROUND($Q336:$AI336,15-13*ORÇAMENTO!$AF$7))))</f>
        <v>1</v>
      </c>
      <c r="I336" s="468" t="s">
        <v>1359</v>
      </c>
      <c r="J336" s="640" t="str" cm="1">
        <f t="array" aca="1" ref="J336" ca="1">IF(OR(B336&lt;&gt;"S",CÁLCULO.FrentesPreenchidas=0),"",IF(AND(ACOMPANHAMENTO="PLE",AUTOEVENTO="Manual",OR(H336&gt;0,ORÇAMENTO!AC336="QUANT."),OR(K336="",M336=0,N336="")),"►E",IF(AND(ACOMPANHAMENTO="PLE",ORÇAMENTO!AC336="QUANT."),"►Q",IF(AND(ACOMPANHAMENTO="PLE",H336&lt;&gt;SUMPRODUCT(($Q$1:$AI$1=1)*ROUND(Q336:AI336,15))),"►S",IF(AND(COUNTIF($P$11:$AI$11,"▼")=0,H336&gt;0,I336=""),"◄M","")))))</f>
        <v/>
      </c>
      <c r="K336" s="641" t="s">
        <v>1385</v>
      </c>
      <c r="L336" s="165" t="s">
        <v>764</v>
      </c>
      <c r="M336" s="166">
        <f ca="1">IF($D336&lt;&gt;"Serviço","",
          IF(AUTOEVENTO="manual",$A336,
                IF(ISERROR(MATCH($A336,$A$15:OFFSET($A336,-1,0),0)),MAX($M$15:OFFSET(M336,-1,0))+1,
                      INDEX($M$15:OFFSET(M336,-1,0),MATCH($A336,$A$15:OFFSET($A336,-1,0),0)))))</f>
        <v>6</v>
      </c>
      <c r="N336" s="167" t="str">
        <f ca="1">IF($D336&lt;&gt;"Serviço","",
         IF(AUTOEVENTO="Manual",
                IF($A336=0,"&lt;-- defina o número do agrupador",
                       OFFSET(EVENTOS!$D$15,$A336-$A$15,0)),
                OFFSET($F$15,$A336,0)))</f>
        <v>Saneamento</v>
      </c>
      <c r="O336" s="168"/>
      <c r="Q336" s="168"/>
      <c r="R336" s="169"/>
      <c r="S336" s="169"/>
      <c r="T336" s="169"/>
      <c r="U336" s="169"/>
      <c r="V336" s="169">
        <v>1</v>
      </c>
      <c r="W336" s="169"/>
      <c r="X336" s="169"/>
      <c r="Y336" s="169"/>
      <c r="Z336" s="170"/>
      <c r="AA336" s="169"/>
      <c r="AB336" s="169"/>
      <c r="AC336" s="169"/>
      <c r="AD336" s="169"/>
      <c r="AE336" s="169"/>
      <c r="AF336" s="169"/>
      <c r="AG336" s="169"/>
      <c r="AH336" s="170"/>
      <c r="AJ336" s="453">
        <f ca="1">IF(AND($D336="Serviço",AJ$12&lt;&gt;0,$H336&gt;0,OR(AUTOEVENTO&lt;&gt;"manual",$M336&lt;&gt;$A$15)),
        IF(Import.TipoArredondamento&lt;&gt;"TransfereGOV",
              ROUND(OFFSET($P336,0,AJ$13),15-13*ORÇAMENTO!$AF$7)/$H336*OFFSET(ORÇAMENTO!$X$15,ROW(AJ336)-ROW(AJ$15),0),
              ROUND(ROUND(OFFSET($P336,0,AJ$13),15-13*ORÇAMENTO!$AF$7)*OFFSET(ORÇAMENTO!$W$15,ROW(AJ336)-ROW(AJ$15),0),15-13*ORÇAMENTO!$AF$11)),
         0)</f>
        <v>0</v>
      </c>
      <c r="AK336" s="453">
        <f ca="1">IF(AND($D336="Serviço",AK$12&lt;&gt;0,$H336&gt;0,OR(AUTOEVENTO&lt;&gt;"manual",$M336&lt;&gt;$A$15)),
        IF(Import.TipoArredondamento&lt;&gt;"TransfereGOV",
              ROUND(OFFSET($P336,0,AK$13),15-13*ORÇAMENTO!$AF$7)/$H336*OFFSET(ORÇAMENTO!$X$15,ROW(AK336)-ROW(AK$15),0),
              ROUND(ROUND(OFFSET($P336,0,AK$13),15-13*ORÇAMENTO!$AF$7)*OFFSET(ORÇAMENTO!$W$15,ROW(AK336)-ROW(AK$15),0),15-13*ORÇAMENTO!$AF$11)),
         0)</f>
        <v>0</v>
      </c>
      <c r="AL336" s="453">
        <f ca="1">IF(AND($D336="Serviço",AL$12&lt;&gt;0,$H336&gt;0,OR(AUTOEVENTO&lt;&gt;"manual",$M336&lt;&gt;$A$15)),
        IF(Import.TipoArredondamento&lt;&gt;"TransfereGOV",
              ROUND(OFFSET($P336,0,AL$13),15-13*ORÇAMENTO!$AF$7)/$H336*OFFSET(ORÇAMENTO!$X$15,ROW(AL336)-ROW(AL$15),0),
              ROUND(ROUND(OFFSET($P336,0,AL$13),15-13*ORÇAMENTO!$AF$7)*OFFSET(ORÇAMENTO!$W$15,ROW(AL336)-ROW(AL$15),0),15-13*ORÇAMENTO!$AF$11)),
         0)</f>
        <v>0</v>
      </c>
      <c r="AM336" s="453">
        <f ca="1">IF(AND($D336="Serviço",AM$12&lt;&gt;0,$H336&gt;0,OR(AUTOEVENTO&lt;&gt;"manual",$M336&lt;&gt;$A$15)),
        IF(Import.TipoArredondamento&lt;&gt;"TransfereGOV",
              ROUND(OFFSET($P336,0,AM$13),15-13*ORÇAMENTO!$AF$7)/$H336*OFFSET(ORÇAMENTO!$X$15,ROW(AM336)-ROW(AM$15),0),
              ROUND(ROUND(OFFSET($P336,0,AM$13),15-13*ORÇAMENTO!$AF$7)*OFFSET(ORÇAMENTO!$W$15,ROW(AM336)-ROW(AM$15),0),15-13*ORÇAMENTO!$AF$11)),
         0)</f>
        <v>0</v>
      </c>
      <c r="AN336" s="453">
        <f ca="1">IF(AND($D336="Serviço",AN$12&lt;&gt;0,$H336&gt;0,OR(AUTOEVENTO&lt;&gt;"manual",$M336&lt;&gt;$A$15)),
        IF(Import.TipoArredondamento&lt;&gt;"TransfereGOV",
              ROUND(OFFSET($P336,0,AN$13),15-13*ORÇAMENTO!$AF$7)/$H336*OFFSET(ORÇAMENTO!$X$15,ROW(AN336)-ROW(AN$15),0),
              ROUND(ROUND(OFFSET($P336,0,AN$13),15-13*ORÇAMENTO!$AF$7)*OFFSET(ORÇAMENTO!$W$15,ROW(AN336)-ROW(AN$15),0),15-13*ORÇAMENTO!$AF$11)),
         0)</f>
        <v>0</v>
      </c>
      <c r="AO336" s="453">
        <f ca="1">IF(AND($D336="Serviço",AO$12&lt;&gt;0,$H336&gt;0,OR(AUTOEVENTO&lt;&gt;"manual",$M336&lt;&gt;$A$15)),
        IF(Import.TipoArredondamento&lt;&gt;"TransfereGOV",
              ROUND(OFFSET($P336,0,AO$13),15-13*ORÇAMENTO!$AF$7)/$H336*OFFSET(ORÇAMENTO!$X$15,ROW(AO336)-ROW(AO$15),0),
              ROUND(ROUND(OFFSET($P336,0,AO$13),15-13*ORÇAMENTO!$AF$7)*OFFSET(ORÇAMENTO!$W$15,ROW(AO336)-ROW(AO$15),0),15-13*ORÇAMENTO!$AF$11)),
         0)</f>
        <v>0</v>
      </c>
      <c r="AP336" s="453">
        <f ca="1">IF(AND($D336="Serviço",AP$12&lt;&gt;0,$H336&gt;0,OR(AUTOEVENTO&lt;&gt;"manual",$M336&lt;&gt;$A$15)),
        IF(Import.TipoArredondamento&lt;&gt;"TransfereGOV",
              ROUND(OFFSET($P336,0,AP$13),15-13*ORÇAMENTO!$AF$7)/$H336*OFFSET(ORÇAMENTO!$X$15,ROW(AP336)-ROW(AP$15),0),
              ROUND(ROUND(OFFSET($P336,0,AP$13),15-13*ORÇAMENTO!$AF$7)*OFFSET(ORÇAMENTO!$W$15,ROW(AP336)-ROW(AP$15),0),15-13*ORÇAMENTO!$AF$11)),
         0)</f>
        <v>0</v>
      </c>
      <c r="AQ336" s="453">
        <f ca="1">IF(AND($D336="Serviço",AQ$12&lt;&gt;0,$H336&gt;0,OR(AUTOEVENTO&lt;&gt;"manual",$M336&lt;&gt;$A$15)),
        IF(Import.TipoArredondamento&lt;&gt;"TransfereGOV",
              ROUND(OFFSET($P336,0,AQ$13),15-13*ORÇAMENTO!$AF$7)/$H336*OFFSET(ORÇAMENTO!$X$15,ROW(AQ336)-ROW(AQ$15),0),
              ROUND(ROUND(OFFSET($P336,0,AQ$13),15-13*ORÇAMENTO!$AF$7)*OFFSET(ORÇAMENTO!$W$15,ROW(AQ336)-ROW(AQ$15),0),15-13*ORÇAMENTO!$AF$11)),
         0)</f>
        <v>0</v>
      </c>
      <c r="AR336" s="453">
        <f ca="1">IF(AND($D336="Serviço",AR$12&lt;&gt;0,$H336&gt;0,OR(AUTOEVENTO&lt;&gt;"manual",$M336&lt;&gt;$A$15)),
        IF(Import.TipoArredondamento&lt;&gt;"TransfereGOV",
              ROUND(OFFSET($P336,0,AR$13),15-13*ORÇAMENTO!$AF$7)/$H336*OFFSET(ORÇAMENTO!$X$15,ROW(AR336)-ROW(AR$15),0),
              ROUND(ROUND(OFFSET($P336,0,AR$13),15-13*ORÇAMENTO!$AF$7)*OFFSET(ORÇAMENTO!$W$15,ROW(AR336)-ROW(AR$15),0),15-13*ORÇAMENTO!$AF$11)),
         0)</f>
        <v>0</v>
      </c>
      <c r="AS336" s="453">
        <f ca="1">IF(AND($D336="Serviço",AS$12&lt;&gt;0,$H336&gt;0,OR(AUTOEVENTO&lt;&gt;"manual",$M336&lt;&gt;$A$15)),
        IF(Import.TipoArredondamento&lt;&gt;"TransfereGOV",
              ROUND(OFFSET($P336,0,AS$13),15-13*ORÇAMENTO!$AF$7)/$H336*OFFSET(ORÇAMENTO!$X$15,ROW(AS336)-ROW(AS$15),0),
              ROUND(ROUND(OFFSET($P336,0,AS$13),15-13*ORÇAMENTO!$AF$7)*OFFSET(ORÇAMENTO!$W$15,ROW(AS336)-ROW(AS$15),0),15-13*ORÇAMENTO!$AF$11)),
         0)</f>
        <v>0</v>
      </c>
      <c r="AT336" s="453">
        <f ca="1">IF(AND($D336="Serviço",AT$12&lt;&gt;0,$H336&gt;0,OR(AUTOEVENTO&lt;&gt;"manual",$M336&lt;&gt;$A$15)),
        IF(Import.TipoArredondamento&lt;&gt;"TransfereGOV",
              ROUND(OFFSET($P336,0,AT$13),15-13*ORÇAMENTO!$AF$7)/$H336*OFFSET(ORÇAMENTO!$X$15,ROW(AT336)-ROW(AT$15),0),
              ROUND(ROUND(OFFSET($P336,0,AT$13),15-13*ORÇAMENTO!$AF$7)*OFFSET(ORÇAMENTO!$W$15,ROW(AT336)-ROW(AT$15),0),15-13*ORÇAMENTO!$AF$11)),
         0)</f>
        <v>0</v>
      </c>
      <c r="AU336" s="453">
        <f ca="1">IF(AND($D336="Serviço",AU$12&lt;&gt;0,$H336&gt;0,OR(AUTOEVENTO&lt;&gt;"manual",$M336&lt;&gt;$A$15)),
        IF(Import.TipoArredondamento&lt;&gt;"TransfereGOV",
              ROUND(OFFSET($P336,0,AU$13),15-13*ORÇAMENTO!$AF$7)/$H336*OFFSET(ORÇAMENTO!$X$15,ROW(AU336)-ROW(AU$15),0),
              ROUND(ROUND(OFFSET($P336,0,AU$13),15-13*ORÇAMENTO!$AF$7)*OFFSET(ORÇAMENTO!$W$15,ROW(AU336)-ROW(AU$15),0),15-13*ORÇAMENTO!$AF$11)),
         0)</f>
        <v>0</v>
      </c>
      <c r="AV336" s="453">
        <f ca="1">IF(AND($D336="Serviço",AV$12&lt;&gt;0,$H336&gt;0,OR(AUTOEVENTO&lt;&gt;"manual",$M336&lt;&gt;$A$15)),
        IF(Import.TipoArredondamento&lt;&gt;"TransfereGOV",
              ROUND(OFFSET($P336,0,AV$13),15-13*ORÇAMENTO!$AF$7)/$H336*OFFSET(ORÇAMENTO!$X$15,ROW(AV336)-ROW(AV$15),0),
              ROUND(ROUND(OFFSET($P336,0,AV$13),15-13*ORÇAMENTO!$AF$7)*OFFSET(ORÇAMENTO!$W$15,ROW(AV336)-ROW(AV$15),0),15-13*ORÇAMENTO!$AF$11)),
         0)</f>
        <v>0</v>
      </c>
      <c r="AW336" s="453">
        <f ca="1">IF(AND($D336="Serviço",AW$12&lt;&gt;0,$H336&gt;0,OR(AUTOEVENTO&lt;&gt;"manual",$M336&lt;&gt;$A$15)),
        IF(Import.TipoArredondamento&lt;&gt;"TransfereGOV",
              ROUND(OFFSET($P336,0,AW$13),15-13*ORÇAMENTO!$AF$7)/$H336*OFFSET(ORÇAMENTO!$X$15,ROW(AW336)-ROW(AW$15),0),
              ROUND(ROUND(OFFSET($P336,0,AW$13),15-13*ORÇAMENTO!$AF$7)*OFFSET(ORÇAMENTO!$W$15,ROW(AW336)-ROW(AW$15),0),15-13*ORÇAMENTO!$AF$11)),
         0)</f>
        <v>0</v>
      </c>
      <c r="AX336" s="453">
        <f ca="1">IF(AND($D336="Serviço",AX$12&lt;&gt;0,$H336&gt;0,OR(AUTOEVENTO&lt;&gt;"manual",$M336&lt;&gt;$A$15)),
        IF(Import.TipoArredondamento&lt;&gt;"TransfereGOV",
              ROUND(OFFSET($P336,0,AX$13),15-13*ORÇAMENTO!$AF$7)/$H336*OFFSET(ORÇAMENTO!$X$15,ROW(AX336)-ROW(AX$15),0),
              ROUND(ROUND(OFFSET($P336,0,AX$13),15-13*ORÇAMENTO!$AF$7)*OFFSET(ORÇAMENTO!$W$15,ROW(AX336)-ROW(AX$15),0),15-13*ORÇAMENTO!$AF$11)),
         0)</f>
        <v>0</v>
      </c>
      <c r="AY336" s="453">
        <f ca="1">IF(AND($D336="Serviço",AY$12&lt;&gt;0,$H336&gt;0,OR(AUTOEVENTO&lt;&gt;"manual",$M336&lt;&gt;$A$15)),
        IF(Import.TipoArredondamento&lt;&gt;"TransfereGOV",
              ROUND(OFFSET($P336,0,AY$13),15-13*ORÇAMENTO!$AF$7)/$H336*OFFSET(ORÇAMENTO!$X$15,ROW(AY336)-ROW(AY$15),0),
              ROUND(ROUND(OFFSET($P336,0,AY$13),15-13*ORÇAMENTO!$AF$7)*OFFSET(ORÇAMENTO!$W$15,ROW(AY336)-ROW(AY$15),0),15-13*ORÇAMENTO!$AF$11)),
         0)</f>
        <v>0</v>
      </c>
      <c r="AZ336" s="453">
        <f ca="1">IF(AND($D336="Serviço",AZ$12&lt;&gt;0,$H336&gt;0,OR(AUTOEVENTO&lt;&gt;"manual",$M336&lt;&gt;$A$15)),
        IF(Import.TipoArredondamento&lt;&gt;"TransfereGOV",
              ROUND(OFFSET($P336,0,AZ$13),15-13*ORÇAMENTO!$AF$7)/$H336*OFFSET(ORÇAMENTO!$X$15,ROW(AZ336)-ROW(AZ$15),0),
              ROUND(ROUND(OFFSET($P336,0,AZ$13),15-13*ORÇAMENTO!$AF$7)*OFFSET(ORÇAMENTO!$W$15,ROW(AZ336)-ROW(AZ$15),0),15-13*ORÇAMENTO!$AF$11)),
         0)</f>
        <v>0</v>
      </c>
      <c r="BA336" s="453">
        <f ca="1">IF(AND($D336="Serviço",BA$12&lt;&gt;0,$H336&gt;0,OR(AUTOEVENTO&lt;&gt;"manual",$M336&lt;&gt;$A$15)),
        IF(Import.TipoArredondamento&lt;&gt;"TransfereGOV",
              ROUND(OFFSET($P336,0,BA$13),15-13*ORÇAMENTO!$AF$7)/$H336*OFFSET(ORÇAMENTO!$X$15,ROW(BA336)-ROW(BA$15),0),
              ROUND(ROUND(OFFSET($P336,0,BA$13),15-13*ORÇAMENTO!$AF$7)*OFFSET(ORÇAMENTO!$W$15,ROW(BA336)-ROW(BA$15),0),15-13*ORÇAMENTO!$AF$11)),
         0)</f>
        <v>0</v>
      </c>
      <c r="BC336" s="171">
        <f ca="1">IF(OR($D336&lt;&gt;"Serviço",AND(AUTOEVENTO="Manual",$M336=$A$15)),0,
         IF(OFFSET(CRONOPLE!$F$15,$M336-$A$15,BC$13)=0,10^12,OFFSET(CRONOPLE!$F$15,$M336-$A$15,BC$13)))</f>
        <v>1</v>
      </c>
      <c r="BD336" s="171">
        <f ca="1">IF(OR($D336&lt;&gt;"Serviço",AND(AUTOEVENTO="Manual",$M336=$A$15)),0,
         IF(OFFSET(CRONOPLE!$F$15,$M336-$A$15,BD$13)=0,10^12,OFFSET(CRONOPLE!$F$15,$M336-$A$15,BD$13)))</f>
        <v>2</v>
      </c>
      <c r="BE336" s="171">
        <f ca="1">IF(OR($D336&lt;&gt;"Serviço",AND(AUTOEVENTO="Manual",$M336=$A$15)),0,
         IF(OFFSET(CRONOPLE!$F$15,$M336-$A$15,BE$13)=0,10^12,OFFSET(CRONOPLE!$F$15,$M336-$A$15,BE$13)))</f>
        <v>3</v>
      </c>
      <c r="BF336" s="171">
        <f ca="1">IF(OR($D336&lt;&gt;"Serviço",AND(AUTOEVENTO="Manual",$M336=$A$15)),0,
         IF(OFFSET(CRONOPLE!$F$15,$M336-$A$15,BF$13)=0,10^12,OFFSET(CRONOPLE!$F$15,$M336-$A$15,BF$13)))</f>
        <v>4</v>
      </c>
      <c r="BG336" s="171">
        <f ca="1">IF(OR($D336&lt;&gt;"Serviço",AND(AUTOEVENTO="Manual",$M336=$A$15)),0,
         IF(OFFSET(CRONOPLE!$F$15,$M336-$A$15,BG$13)=0,10^12,OFFSET(CRONOPLE!$F$15,$M336-$A$15,BG$13)))</f>
        <v>5</v>
      </c>
      <c r="BH336" s="171">
        <f ca="1">IF(OR($D336&lt;&gt;"Serviço",AND(AUTOEVENTO="Manual",$M336=$A$15)),0,
         IF(OFFSET(CRONOPLE!$F$15,$M336-$A$15,BH$13)=0,10^12,OFFSET(CRONOPLE!$F$15,$M336-$A$15,BH$13)))</f>
        <v>6</v>
      </c>
      <c r="BI336" s="171">
        <f ca="1">IF(OR($D336&lt;&gt;"Serviço",AND(AUTOEVENTO="Manual",$M336=$A$15)),0,
         IF(OFFSET(CRONOPLE!$F$15,$M336-$A$15,BI$13)=0,10^12,OFFSET(CRONOPLE!$F$15,$M336-$A$15,BI$13)))</f>
        <v>7</v>
      </c>
      <c r="BJ336" s="171">
        <f ca="1">IF(OR($D336&lt;&gt;"Serviço",AND(AUTOEVENTO="Manual",$M336=$A$15)),0,
         IF(OFFSET(CRONOPLE!$F$15,$M336-$A$15,BJ$13)=0,10^12,OFFSET(CRONOPLE!$F$15,$M336-$A$15,BJ$13)))</f>
        <v>8</v>
      </c>
      <c r="BK336" s="171">
        <f ca="1">IF(OR($D336&lt;&gt;"Serviço",AND(AUTOEVENTO="Manual",$M336=$A$15)),0,
         IF(OFFSET(CRONOPLE!$F$15,$M336-$A$15,BK$13)=0,10^12,OFFSET(CRONOPLE!$F$15,$M336-$A$15,BK$13)))</f>
        <v>9</v>
      </c>
      <c r="BL336" s="171">
        <f ca="1">IF(OR($D336&lt;&gt;"Serviço",AND(AUTOEVENTO="Manual",$M336=$A$15)),0,
         IF(OFFSET(CRONOPLE!$F$15,$M336-$A$15,BL$13)=0,10^12,OFFSET(CRONOPLE!$F$15,$M336-$A$15,BL$13)))</f>
        <v>1000000000000</v>
      </c>
      <c r="BM336" s="171">
        <f ca="1">IF(OR($D336&lt;&gt;"Serviço",AND(AUTOEVENTO="Manual",$M336=$A$15)),0,
         IF(OFFSET(CRONOPLE!$F$15,$M336-$A$15,BM$13)=0,10^12,OFFSET(CRONOPLE!$F$15,$M336-$A$15,BM$13)))</f>
        <v>1000000000000</v>
      </c>
      <c r="BN336" s="171">
        <f ca="1">IF(OR($D336&lt;&gt;"Serviço",AND(AUTOEVENTO="Manual",$M336=$A$15)),0,
         IF(OFFSET(CRONOPLE!$F$15,$M336-$A$15,BN$13)=0,10^12,OFFSET(CRONOPLE!$F$15,$M336-$A$15,BN$13)))</f>
        <v>1000000000000</v>
      </c>
      <c r="BO336" s="171">
        <f ca="1">IF(OR($D336&lt;&gt;"Serviço",AND(AUTOEVENTO="Manual",$M336=$A$15)),0,
         IF(OFFSET(CRONOPLE!$F$15,$M336-$A$15,BO$13)=0,10^12,OFFSET(CRONOPLE!$F$15,$M336-$A$15,BO$13)))</f>
        <v>1000000000000</v>
      </c>
      <c r="BP336" s="171">
        <f ca="1">IF(OR($D336&lt;&gt;"Serviço",AND(AUTOEVENTO="Manual",$M336=$A$15)),0,
         IF(OFFSET(CRONOPLE!$F$15,$M336-$A$15,BP$13)=0,10^12,OFFSET(CRONOPLE!$F$15,$M336-$A$15,BP$13)))</f>
        <v>1000000000000</v>
      </c>
      <c r="BQ336" s="171">
        <f ca="1">IF(OR($D336&lt;&gt;"Serviço",AND(AUTOEVENTO="Manual",$M336=$A$15)),0,
         IF(OFFSET(CRONOPLE!$F$15,$M336-$A$15,BQ$13)=0,10^12,OFFSET(CRONOPLE!$F$15,$M336-$A$15,BQ$13)))</f>
        <v>1000000000000</v>
      </c>
      <c r="BR336" s="171">
        <f ca="1">IF(OR($D336&lt;&gt;"Serviço",AND(AUTOEVENTO="Manual",$M336=$A$15)),0,
         IF(OFFSET(CRONOPLE!$F$15,$M336-$A$15,BR$13)=0,10^12,OFFSET(CRONOPLE!$F$15,$M336-$A$15,BR$13)))</f>
        <v>1000000000000</v>
      </c>
      <c r="BS336" s="171">
        <f ca="1">IF(OR($D336&lt;&gt;"Serviço",AND(AUTOEVENTO="Manual",$M336=$A$15)),0,
         IF(OFFSET(CRONOPLE!$F$15,$M336-$A$15,BS$13)=0,10^12,OFFSET(CRONOPLE!$F$15,$M336-$A$15,BS$13)))</f>
        <v>1000000000000</v>
      </c>
      <c r="BT336" s="171">
        <f ca="1">IF(OR($D336&lt;&gt;"Serviço",AND(AUTOEVENTO="Manual",$M336=$A$15)),0,
         IF(OFFSET(CRONOPLE!$F$15,$M336-$A$15,BT$13)=0,10^12,OFFSET(CRONOPLE!$F$15,$M336-$A$15,BT$13)))</f>
        <v>1000000000000</v>
      </c>
      <c r="BV336" s="172">
        <f ca="1">IF(OR($D336&lt;&gt;"Serviço",AND(AUTOEVENTO="Manual",$M336=$A$15),$M336&gt;(ROW(PLE.lastrow)-ROW(PLE.firstrow))),0,
           IF(OFFSET(PLE!$G$15,$M336-$A$15,BV$13)="",10^12,OFFSET(PLE!$G$15,$M336-$A$15,BV$13)))</f>
        <v>1000000000000</v>
      </c>
      <c r="BW336" s="172">
        <f ca="1">IF(OR($D336&lt;&gt;"Serviço",AND(AUTOEVENTO="Manual",$M336=$A$15),$M336&gt;(ROW(PLE.lastrow)-ROW(PLE.firstrow))),0,
           IF(OFFSET(PLE!$G$15,$M336-$A$15,BW$13)="",10^12,OFFSET(PLE!$G$15,$M336-$A$15,BW$13)))</f>
        <v>1000000000000</v>
      </c>
      <c r="BX336" s="172">
        <f ca="1">IF(OR($D336&lt;&gt;"Serviço",AND(AUTOEVENTO="Manual",$M336=$A$15),$M336&gt;(ROW(PLE.lastrow)-ROW(PLE.firstrow))),0,
           IF(OFFSET(PLE!$G$15,$M336-$A$15,BX$13)="",10^12,OFFSET(PLE!$G$15,$M336-$A$15,BX$13)))</f>
        <v>1000000000000</v>
      </c>
      <c r="BY336" s="172">
        <f ca="1">IF(OR($D336&lt;&gt;"Serviço",AND(AUTOEVENTO="Manual",$M336=$A$15),$M336&gt;(ROW(PLE.lastrow)-ROW(PLE.firstrow))),0,
           IF(OFFSET(PLE!$G$15,$M336-$A$15,BY$13)="",10^12,OFFSET(PLE!$G$15,$M336-$A$15,BY$13)))</f>
        <v>1000000000000</v>
      </c>
      <c r="BZ336" s="172">
        <f ca="1">IF(OR($D336&lt;&gt;"Serviço",AND(AUTOEVENTO="Manual",$M336=$A$15),$M336&gt;(ROW(PLE.lastrow)-ROW(PLE.firstrow))),0,
           IF(OFFSET(PLE!$G$15,$M336-$A$15,BZ$13)="",10^12,OFFSET(PLE!$G$15,$M336-$A$15,BZ$13)))</f>
        <v>1000000000000</v>
      </c>
      <c r="CA336" s="172">
        <f ca="1">IF(OR($D336&lt;&gt;"Serviço",AND(AUTOEVENTO="Manual",$M336=$A$15),$M336&gt;(ROW(PLE.lastrow)-ROW(PLE.firstrow))),0,
           IF(OFFSET(PLE!$G$15,$M336-$A$15,CA$13)="",10^12,OFFSET(PLE!$G$15,$M336-$A$15,CA$13)))</f>
        <v>1000000000000</v>
      </c>
      <c r="CB336" s="172">
        <f ca="1">IF(OR($D336&lt;&gt;"Serviço",AND(AUTOEVENTO="Manual",$M336=$A$15),$M336&gt;(ROW(PLE.lastrow)-ROW(PLE.firstrow))),0,
           IF(OFFSET(PLE!$G$15,$M336-$A$15,CB$13)="",10^12,OFFSET(PLE!$G$15,$M336-$A$15,CB$13)))</f>
        <v>1000000000000</v>
      </c>
      <c r="CC336" s="172">
        <f ca="1">IF(OR($D336&lt;&gt;"Serviço",AND(AUTOEVENTO="Manual",$M336=$A$15),$M336&gt;(ROW(PLE.lastrow)-ROW(PLE.firstrow))),0,
           IF(OFFSET(PLE!$G$15,$M336-$A$15,CC$13)="",10^12,OFFSET(PLE!$G$15,$M336-$A$15,CC$13)))</f>
        <v>1000000000000</v>
      </c>
      <c r="CD336" s="172">
        <f ca="1">IF(OR($D336&lt;&gt;"Serviço",AND(AUTOEVENTO="Manual",$M336=$A$15),$M336&gt;(ROW(PLE.lastrow)-ROW(PLE.firstrow))),0,
           IF(OFFSET(PLE!$G$15,$M336-$A$15,CD$13)="",10^12,OFFSET(PLE!$G$15,$M336-$A$15,CD$13)))</f>
        <v>1000000000000</v>
      </c>
      <c r="CE336" s="172">
        <f ca="1">IF(OR($D336&lt;&gt;"Serviço",AND(AUTOEVENTO="Manual",$M336=$A$15),$M336&gt;(ROW(PLE.lastrow)-ROW(PLE.firstrow))),0,
           IF(OFFSET(PLE!$G$15,$M336-$A$15,CE$13)="",10^12,OFFSET(PLE!$G$15,$M336-$A$15,CE$13)))</f>
        <v>1000000000000</v>
      </c>
      <c r="CF336" s="172">
        <f ca="1">IF(OR($D336&lt;&gt;"Serviço",AND(AUTOEVENTO="Manual",$M336=$A$15),$M336&gt;(ROW(PLE.lastrow)-ROW(PLE.firstrow))),0,
           IF(OFFSET(PLE!$G$15,$M336-$A$15,CF$13)="",10^12,OFFSET(PLE!$G$15,$M336-$A$15,CF$13)))</f>
        <v>1000000000000</v>
      </c>
      <c r="CG336" s="172">
        <f ca="1">IF(OR($D336&lt;&gt;"Serviço",AND(AUTOEVENTO="Manual",$M336=$A$15),$M336&gt;(ROW(PLE.lastrow)-ROW(PLE.firstrow))),0,
           IF(OFFSET(PLE!$G$15,$M336-$A$15,CG$13)="",10^12,OFFSET(PLE!$G$15,$M336-$A$15,CG$13)))</f>
        <v>1000000000000</v>
      </c>
      <c r="CH336" s="172">
        <f ca="1">IF(OR($D336&lt;&gt;"Serviço",AND(AUTOEVENTO="Manual",$M336=$A$15),$M336&gt;(ROW(PLE.lastrow)-ROW(PLE.firstrow))),0,
           IF(OFFSET(PLE!$G$15,$M336-$A$15,CH$13)="",10^12,OFFSET(PLE!$G$15,$M336-$A$15,CH$13)))</f>
        <v>1000000000000</v>
      </c>
      <c r="CI336" s="172">
        <f ca="1">IF(OR($D336&lt;&gt;"Serviço",AND(AUTOEVENTO="Manual",$M336=$A$15),$M336&gt;(ROW(PLE.lastrow)-ROW(PLE.firstrow))),0,
           IF(OFFSET(PLE!$G$15,$M336-$A$15,CI$13)="",10^12,OFFSET(PLE!$G$15,$M336-$A$15,CI$13)))</f>
        <v>1000000000000</v>
      </c>
      <c r="CJ336" s="172">
        <f ca="1">IF(OR($D336&lt;&gt;"Serviço",AND(AUTOEVENTO="Manual",$M336=$A$15),$M336&gt;(ROW(PLE.lastrow)-ROW(PLE.firstrow))),0,
           IF(OFFSET(PLE!$G$15,$M336-$A$15,CJ$13)="",10^12,OFFSET(PLE!$G$15,$M336-$A$15,CJ$13)))</f>
        <v>1000000000000</v>
      </c>
      <c r="CK336" s="172">
        <f ca="1">IF(OR($D336&lt;&gt;"Serviço",AND(AUTOEVENTO="Manual",$M336=$A$15),$M336&gt;(ROW(PLE.lastrow)-ROW(PLE.firstrow))),0,
           IF(OFFSET(PLE!$G$15,$M336-$A$15,CK$13)="",10^12,OFFSET(PLE!$G$15,$M336-$A$15,CK$13)))</f>
        <v>1000000000000</v>
      </c>
      <c r="CL336" s="172">
        <f ca="1">IF(OR($D336&lt;&gt;"Serviço",AND(AUTOEVENTO="Manual",$M336=$A$15),$M336&gt;(ROW(PLE.lastrow)-ROW(PLE.firstrow))),0,
           IF(OFFSET(PLE!$G$15,$M336-$A$15,CL$13)="",10^12,OFFSET(PLE!$G$15,$M336-$A$15,CL$13)))</f>
        <v>1000000000000</v>
      </c>
      <c r="CM336" s="172">
        <f ca="1">IF(OR($D336&lt;&gt;"Serviço",AND(AUTOEVENTO="Manual",$M336=$A$15),$M336&gt;(ROW(PLE.lastrow)-ROW(PLE.firstrow))),0,
           IF(OFFSET(PLE!$G$15,$M336-$A$15,CM$13)="",10^12,OFFSET(PLE!$G$15,$M336-$A$15,CM$13)))</f>
        <v>1000000000000</v>
      </c>
    </row>
    <row r="337" spans="1:91" ht="12.75" x14ac:dyDescent="0.2">
      <c r="A337" s="7">
        <f t="shared" ca="1" si="14"/>
        <v>7</v>
      </c>
      <c r="B337" s="7">
        <f ca="1">OFFSET(ORÇAMENTO!C$15,ROW(B337)-ROW(B$15),0)</f>
        <v>4</v>
      </c>
      <c r="C337" s="7" t="str">
        <f ca="1">OFFSET(ORÇAMENTO!L$15,ROW(C337)-ROW(C$15),0)</f>
        <v>F</v>
      </c>
      <c r="D337" s="116" t="str">
        <f ca="1">OFFSET(ORÇAMENTO!N$15,ROW(D337)-ROW(D$15),0)</f>
        <v>Nível 4</v>
      </c>
      <c r="E337" s="117" t="str">
        <f ca="1">OFFSET(ORÇAMENTO!O$15,ROW(E337)-ROW(E$15),0)</f>
        <v>1.7.5.2.</v>
      </c>
      <c r="F337" s="163" t="str">
        <f ca="1">OFFSET(ORÇAMENTO!R$15,ROW(F337)-ROW(F$15),0)</f>
        <v>INSTALAÇÃO DE MATERIAIS</v>
      </c>
      <c r="G337" s="164" t="str">
        <f ca="1">IF($D337&lt;&gt;"Serviço","",OFFSET(ORÇAMENTO!S$15,ROW(G337)-ROW(G$15),0))</f>
        <v/>
      </c>
      <c r="H337" s="122" cm="1">
        <f t="array" aca="1" ref="H337" ca="1">IF($D337&lt;&gt;"Serviço",0,IF(ACOMPANHAMENTO="BM",ROUND(OFFSET(ORÇAMENTO!AJ$15,ROW(H337)-ROW(H$15),0),15-13*ORÇAMENTO!$AF$7),SUMPRODUCT(($Q$1:$AI$1=1)*ROUND($Q337:$AI337,15-13*ORÇAMENTO!$AF$7))))</f>
        <v>0</v>
      </c>
      <c r="I337" s="468"/>
      <c r="J337" s="640" t="str" cm="1">
        <f t="array" aca="1" ref="J337" ca="1">IF(OR(B337&lt;&gt;"S",CÁLCULO.FrentesPreenchidas=0),"",IF(AND(ACOMPANHAMENTO="PLE",AUTOEVENTO="Manual",OR(H337&gt;0,ORÇAMENTO!AC337="QUANT."),OR(K337="",M337=0,N337="")),"►E",IF(AND(ACOMPANHAMENTO="PLE",ORÇAMENTO!AC337="QUANT."),"►Q",IF(AND(ACOMPANHAMENTO="PLE",H337&lt;&gt;SUMPRODUCT(($Q$1:$AI$1=1)*ROUND(Q337:AI337,15))),"►S",IF(AND(COUNTIF($P$11:$AI$11,"▼")=0,H337&gt;0,I337=""),"◄M","")))))</f>
        <v/>
      </c>
      <c r="K337" s="641" t="s">
        <v>1365</v>
      </c>
      <c r="L337" s="165" t="s">
        <v>764</v>
      </c>
      <c r="M337" s="166" t="str">
        <f ca="1">IF($D337&lt;&gt;"Serviço","",
          IF(AUTOEVENTO="manual",$A337,
                IF(ISERROR(MATCH($A337,$A$15:OFFSET($A337,-1,0),0)),MAX($M$15:OFFSET(M337,-1,0))+1,
                      INDEX($M$15:OFFSET(M337,-1,0),MATCH($A337,$A$15:OFFSET($A337,-1,0),0)))))</f>
        <v/>
      </c>
      <c r="N337" s="167" t="str">
        <f ca="1">IF($D337&lt;&gt;"Serviço","",
         IF(AUTOEVENTO="Manual",
                IF($A337=0,"&lt;-- defina o número do agrupador",
                       OFFSET(EVENTOS!$D$15,$A337-$A$15,0)),
                OFFSET($F$15,$A337,0)))</f>
        <v/>
      </c>
      <c r="O337" s="168"/>
      <c r="Q337" s="168"/>
      <c r="R337" s="169"/>
      <c r="S337" s="169"/>
      <c r="T337" s="169"/>
      <c r="U337" s="169"/>
      <c r="V337" s="169"/>
      <c r="W337" s="169"/>
      <c r="X337" s="169"/>
      <c r="Y337" s="169"/>
      <c r="Z337" s="170"/>
      <c r="AA337" s="169"/>
      <c r="AB337" s="169"/>
      <c r="AC337" s="169"/>
      <c r="AD337" s="169"/>
      <c r="AE337" s="169"/>
      <c r="AF337" s="169"/>
      <c r="AG337" s="169"/>
      <c r="AH337" s="170"/>
      <c r="AJ337" s="453">
        <f ca="1">IF(AND($D337="Serviço",AJ$12&lt;&gt;0,$H337&gt;0,OR(AUTOEVENTO&lt;&gt;"manual",$M337&lt;&gt;$A$15)),
        IF(Import.TipoArredondamento&lt;&gt;"TransfereGOV",
              ROUND(OFFSET($P337,0,AJ$13),15-13*ORÇAMENTO!$AF$7)/$H337*OFFSET(ORÇAMENTO!$X$15,ROW(AJ337)-ROW(AJ$15),0),
              ROUND(ROUND(OFFSET($P337,0,AJ$13),15-13*ORÇAMENTO!$AF$7)*OFFSET(ORÇAMENTO!$W$15,ROW(AJ337)-ROW(AJ$15),0),15-13*ORÇAMENTO!$AF$11)),
         0)</f>
        <v>0</v>
      </c>
      <c r="AK337" s="453">
        <f ca="1">IF(AND($D337="Serviço",AK$12&lt;&gt;0,$H337&gt;0,OR(AUTOEVENTO&lt;&gt;"manual",$M337&lt;&gt;$A$15)),
        IF(Import.TipoArredondamento&lt;&gt;"TransfereGOV",
              ROUND(OFFSET($P337,0,AK$13),15-13*ORÇAMENTO!$AF$7)/$H337*OFFSET(ORÇAMENTO!$X$15,ROW(AK337)-ROW(AK$15),0),
              ROUND(ROUND(OFFSET($P337,0,AK$13),15-13*ORÇAMENTO!$AF$7)*OFFSET(ORÇAMENTO!$W$15,ROW(AK337)-ROW(AK$15),0),15-13*ORÇAMENTO!$AF$11)),
         0)</f>
        <v>0</v>
      </c>
      <c r="AL337" s="453">
        <f ca="1">IF(AND($D337="Serviço",AL$12&lt;&gt;0,$H337&gt;0,OR(AUTOEVENTO&lt;&gt;"manual",$M337&lt;&gt;$A$15)),
        IF(Import.TipoArredondamento&lt;&gt;"TransfereGOV",
              ROUND(OFFSET($P337,0,AL$13),15-13*ORÇAMENTO!$AF$7)/$H337*OFFSET(ORÇAMENTO!$X$15,ROW(AL337)-ROW(AL$15),0),
              ROUND(ROUND(OFFSET($P337,0,AL$13),15-13*ORÇAMENTO!$AF$7)*OFFSET(ORÇAMENTO!$W$15,ROW(AL337)-ROW(AL$15),0),15-13*ORÇAMENTO!$AF$11)),
         0)</f>
        <v>0</v>
      </c>
      <c r="AM337" s="453">
        <f ca="1">IF(AND($D337="Serviço",AM$12&lt;&gt;0,$H337&gt;0,OR(AUTOEVENTO&lt;&gt;"manual",$M337&lt;&gt;$A$15)),
        IF(Import.TipoArredondamento&lt;&gt;"TransfereGOV",
              ROUND(OFFSET($P337,0,AM$13),15-13*ORÇAMENTO!$AF$7)/$H337*OFFSET(ORÇAMENTO!$X$15,ROW(AM337)-ROW(AM$15),0),
              ROUND(ROUND(OFFSET($P337,0,AM$13),15-13*ORÇAMENTO!$AF$7)*OFFSET(ORÇAMENTO!$W$15,ROW(AM337)-ROW(AM$15),0),15-13*ORÇAMENTO!$AF$11)),
         0)</f>
        <v>0</v>
      </c>
      <c r="AN337" s="453">
        <f ca="1">IF(AND($D337="Serviço",AN$12&lt;&gt;0,$H337&gt;0,OR(AUTOEVENTO&lt;&gt;"manual",$M337&lt;&gt;$A$15)),
        IF(Import.TipoArredondamento&lt;&gt;"TransfereGOV",
              ROUND(OFFSET($P337,0,AN$13),15-13*ORÇAMENTO!$AF$7)/$H337*OFFSET(ORÇAMENTO!$X$15,ROW(AN337)-ROW(AN$15),0),
              ROUND(ROUND(OFFSET($P337,0,AN$13),15-13*ORÇAMENTO!$AF$7)*OFFSET(ORÇAMENTO!$W$15,ROW(AN337)-ROW(AN$15),0),15-13*ORÇAMENTO!$AF$11)),
         0)</f>
        <v>0</v>
      </c>
      <c r="AO337" s="453">
        <f ca="1">IF(AND($D337="Serviço",AO$12&lt;&gt;0,$H337&gt;0,OR(AUTOEVENTO&lt;&gt;"manual",$M337&lt;&gt;$A$15)),
        IF(Import.TipoArredondamento&lt;&gt;"TransfereGOV",
              ROUND(OFFSET($P337,0,AO$13),15-13*ORÇAMENTO!$AF$7)/$H337*OFFSET(ORÇAMENTO!$X$15,ROW(AO337)-ROW(AO$15),0),
              ROUND(ROUND(OFFSET($P337,0,AO$13),15-13*ORÇAMENTO!$AF$7)*OFFSET(ORÇAMENTO!$W$15,ROW(AO337)-ROW(AO$15),0),15-13*ORÇAMENTO!$AF$11)),
         0)</f>
        <v>0</v>
      </c>
      <c r="AP337" s="453">
        <f ca="1">IF(AND($D337="Serviço",AP$12&lt;&gt;0,$H337&gt;0,OR(AUTOEVENTO&lt;&gt;"manual",$M337&lt;&gt;$A$15)),
        IF(Import.TipoArredondamento&lt;&gt;"TransfereGOV",
              ROUND(OFFSET($P337,0,AP$13),15-13*ORÇAMENTO!$AF$7)/$H337*OFFSET(ORÇAMENTO!$X$15,ROW(AP337)-ROW(AP$15),0),
              ROUND(ROUND(OFFSET($P337,0,AP$13),15-13*ORÇAMENTO!$AF$7)*OFFSET(ORÇAMENTO!$W$15,ROW(AP337)-ROW(AP$15),0),15-13*ORÇAMENTO!$AF$11)),
         0)</f>
        <v>0</v>
      </c>
      <c r="AQ337" s="453">
        <f ca="1">IF(AND($D337="Serviço",AQ$12&lt;&gt;0,$H337&gt;0,OR(AUTOEVENTO&lt;&gt;"manual",$M337&lt;&gt;$A$15)),
        IF(Import.TipoArredondamento&lt;&gt;"TransfereGOV",
              ROUND(OFFSET($P337,0,AQ$13),15-13*ORÇAMENTO!$AF$7)/$H337*OFFSET(ORÇAMENTO!$X$15,ROW(AQ337)-ROW(AQ$15),0),
              ROUND(ROUND(OFFSET($P337,0,AQ$13),15-13*ORÇAMENTO!$AF$7)*OFFSET(ORÇAMENTO!$W$15,ROW(AQ337)-ROW(AQ$15),0),15-13*ORÇAMENTO!$AF$11)),
         0)</f>
        <v>0</v>
      </c>
      <c r="AR337" s="453">
        <f ca="1">IF(AND($D337="Serviço",AR$12&lt;&gt;0,$H337&gt;0,OR(AUTOEVENTO&lt;&gt;"manual",$M337&lt;&gt;$A$15)),
        IF(Import.TipoArredondamento&lt;&gt;"TransfereGOV",
              ROUND(OFFSET($P337,0,AR$13),15-13*ORÇAMENTO!$AF$7)/$H337*OFFSET(ORÇAMENTO!$X$15,ROW(AR337)-ROW(AR$15),0),
              ROUND(ROUND(OFFSET($P337,0,AR$13),15-13*ORÇAMENTO!$AF$7)*OFFSET(ORÇAMENTO!$W$15,ROW(AR337)-ROW(AR$15),0),15-13*ORÇAMENTO!$AF$11)),
         0)</f>
        <v>0</v>
      </c>
      <c r="AS337" s="453">
        <f ca="1">IF(AND($D337="Serviço",AS$12&lt;&gt;0,$H337&gt;0,OR(AUTOEVENTO&lt;&gt;"manual",$M337&lt;&gt;$A$15)),
        IF(Import.TipoArredondamento&lt;&gt;"TransfereGOV",
              ROUND(OFFSET($P337,0,AS$13),15-13*ORÇAMENTO!$AF$7)/$H337*OFFSET(ORÇAMENTO!$X$15,ROW(AS337)-ROW(AS$15),0),
              ROUND(ROUND(OFFSET($P337,0,AS$13),15-13*ORÇAMENTO!$AF$7)*OFFSET(ORÇAMENTO!$W$15,ROW(AS337)-ROW(AS$15),0),15-13*ORÇAMENTO!$AF$11)),
         0)</f>
        <v>0</v>
      </c>
      <c r="AT337" s="453">
        <f ca="1">IF(AND($D337="Serviço",AT$12&lt;&gt;0,$H337&gt;0,OR(AUTOEVENTO&lt;&gt;"manual",$M337&lt;&gt;$A$15)),
        IF(Import.TipoArredondamento&lt;&gt;"TransfereGOV",
              ROUND(OFFSET($P337,0,AT$13),15-13*ORÇAMENTO!$AF$7)/$H337*OFFSET(ORÇAMENTO!$X$15,ROW(AT337)-ROW(AT$15),0),
              ROUND(ROUND(OFFSET($P337,0,AT$13),15-13*ORÇAMENTO!$AF$7)*OFFSET(ORÇAMENTO!$W$15,ROW(AT337)-ROW(AT$15),0),15-13*ORÇAMENTO!$AF$11)),
         0)</f>
        <v>0</v>
      </c>
      <c r="AU337" s="453">
        <f ca="1">IF(AND($D337="Serviço",AU$12&lt;&gt;0,$H337&gt;0,OR(AUTOEVENTO&lt;&gt;"manual",$M337&lt;&gt;$A$15)),
        IF(Import.TipoArredondamento&lt;&gt;"TransfereGOV",
              ROUND(OFFSET($P337,0,AU$13),15-13*ORÇAMENTO!$AF$7)/$H337*OFFSET(ORÇAMENTO!$X$15,ROW(AU337)-ROW(AU$15),0),
              ROUND(ROUND(OFFSET($P337,0,AU$13),15-13*ORÇAMENTO!$AF$7)*OFFSET(ORÇAMENTO!$W$15,ROW(AU337)-ROW(AU$15),0),15-13*ORÇAMENTO!$AF$11)),
         0)</f>
        <v>0</v>
      </c>
      <c r="AV337" s="453">
        <f ca="1">IF(AND($D337="Serviço",AV$12&lt;&gt;0,$H337&gt;0,OR(AUTOEVENTO&lt;&gt;"manual",$M337&lt;&gt;$A$15)),
        IF(Import.TipoArredondamento&lt;&gt;"TransfereGOV",
              ROUND(OFFSET($P337,0,AV$13),15-13*ORÇAMENTO!$AF$7)/$H337*OFFSET(ORÇAMENTO!$X$15,ROW(AV337)-ROW(AV$15),0),
              ROUND(ROUND(OFFSET($P337,0,AV$13),15-13*ORÇAMENTO!$AF$7)*OFFSET(ORÇAMENTO!$W$15,ROW(AV337)-ROW(AV$15),0),15-13*ORÇAMENTO!$AF$11)),
         0)</f>
        <v>0</v>
      </c>
      <c r="AW337" s="453">
        <f ca="1">IF(AND($D337="Serviço",AW$12&lt;&gt;0,$H337&gt;0,OR(AUTOEVENTO&lt;&gt;"manual",$M337&lt;&gt;$A$15)),
        IF(Import.TipoArredondamento&lt;&gt;"TransfereGOV",
              ROUND(OFFSET($P337,0,AW$13),15-13*ORÇAMENTO!$AF$7)/$H337*OFFSET(ORÇAMENTO!$X$15,ROW(AW337)-ROW(AW$15),0),
              ROUND(ROUND(OFFSET($P337,0,AW$13),15-13*ORÇAMENTO!$AF$7)*OFFSET(ORÇAMENTO!$W$15,ROW(AW337)-ROW(AW$15),0),15-13*ORÇAMENTO!$AF$11)),
         0)</f>
        <v>0</v>
      </c>
      <c r="AX337" s="453">
        <f ca="1">IF(AND($D337="Serviço",AX$12&lt;&gt;0,$H337&gt;0,OR(AUTOEVENTO&lt;&gt;"manual",$M337&lt;&gt;$A$15)),
        IF(Import.TipoArredondamento&lt;&gt;"TransfereGOV",
              ROUND(OFFSET($P337,0,AX$13),15-13*ORÇAMENTO!$AF$7)/$H337*OFFSET(ORÇAMENTO!$X$15,ROW(AX337)-ROW(AX$15),0),
              ROUND(ROUND(OFFSET($P337,0,AX$13),15-13*ORÇAMENTO!$AF$7)*OFFSET(ORÇAMENTO!$W$15,ROW(AX337)-ROW(AX$15),0),15-13*ORÇAMENTO!$AF$11)),
         0)</f>
        <v>0</v>
      </c>
      <c r="AY337" s="453">
        <f ca="1">IF(AND($D337="Serviço",AY$12&lt;&gt;0,$H337&gt;0,OR(AUTOEVENTO&lt;&gt;"manual",$M337&lt;&gt;$A$15)),
        IF(Import.TipoArredondamento&lt;&gt;"TransfereGOV",
              ROUND(OFFSET($P337,0,AY$13),15-13*ORÇAMENTO!$AF$7)/$H337*OFFSET(ORÇAMENTO!$X$15,ROW(AY337)-ROW(AY$15),0),
              ROUND(ROUND(OFFSET($P337,0,AY$13),15-13*ORÇAMENTO!$AF$7)*OFFSET(ORÇAMENTO!$W$15,ROW(AY337)-ROW(AY$15),0),15-13*ORÇAMENTO!$AF$11)),
         0)</f>
        <v>0</v>
      </c>
      <c r="AZ337" s="453">
        <f ca="1">IF(AND($D337="Serviço",AZ$12&lt;&gt;0,$H337&gt;0,OR(AUTOEVENTO&lt;&gt;"manual",$M337&lt;&gt;$A$15)),
        IF(Import.TipoArredondamento&lt;&gt;"TransfereGOV",
              ROUND(OFFSET($P337,0,AZ$13),15-13*ORÇAMENTO!$AF$7)/$H337*OFFSET(ORÇAMENTO!$X$15,ROW(AZ337)-ROW(AZ$15),0),
              ROUND(ROUND(OFFSET($P337,0,AZ$13),15-13*ORÇAMENTO!$AF$7)*OFFSET(ORÇAMENTO!$W$15,ROW(AZ337)-ROW(AZ$15),0),15-13*ORÇAMENTO!$AF$11)),
         0)</f>
        <v>0</v>
      </c>
      <c r="BA337" s="453">
        <f ca="1">IF(AND($D337="Serviço",BA$12&lt;&gt;0,$H337&gt;0,OR(AUTOEVENTO&lt;&gt;"manual",$M337&lt;&gt;$A$15)),
        IF(Import.TipoArredondamento&lt;&gt;"TransfereGOV",
              ROUND(OFFSET($P337,0,BA$13),15-13*ORÇAMENTO!$AF$7)/$H337*OFFSET(ORÇAMENTO!$X$15,ROW(BA337)-ROW(BA$15),0),
              ROUND(ROUND(OFFSET($P337,0,BA$13),15-13*ORÇAMENTO!$AF$7)*OFFSET(ORÇAMENTO!$W$15,ROW(BA337)-ROW(BA$15),0),15-13*ORÇAMENTO!$AF$11)),
         0)</f>
        <v>0</v>
      </c>
      <c r="BC337" s="171">
        <f ca="1">IF(OR($D337&lt;&gt;"Serviço",AND(AUTOEVENTO="Manual",$M337=$A$15)),0,
         IF(OFFSET(CRONOPLE!$F$15,$M337-$A$15,BC$13)=0,10^12,OFFSET(CRONOPLE!$F$15,$M337-$A$15,BC$13)))</f>
        <v>0</v>
      </c>
      <c r="BD337" s="171">
        <f ca="1">IF(OR($D337&lt;&gt;"Serviço",AND(AUTOEVENTO="Manual",$M337=$A$15)),0,
         IF(OFFSET(CRONOPLE!$F$15,$M337-$A$15,BD$13)=0,10^12,OFFSET(CRONOPLE!$F$15,$M337-$A$15,BD$13)))</f>
        <v>0</v>
      </c>
      <c r="BE337" s="171">
        <f ca="1">IF(OR($D337&lt;&gt;"Serviço",AND(AUTOEVENTO="Manual",$M337=$A$15)),0,
         IF(OFFSET(CRONOPLE!$F$15,$M337-$A$15,BE$13)=0,10^12,OFFSET(CRONOPLE!$F$15,$M337-$A$15,BE$13)))</f>
        <v>0</v>
      </c>
      <c r="BF337" s="171">
        <f ca="1">IF(OR($D337&lt;&gt;"Serviço",AND(AUTOEVENTO="Manual",$M337=$A$15)),0,
         IF(OFFSET(CRONOPLE!$F$15,$M337-$A$15,BF$13)=0,10^12,OFFSET(CRONOPLE!$F$15,$M337-$A$15,BF$13)))</f>
        <v>0</v>
      </c>
      <c r="BG337" s="171">
        <f ca="1">IF(OR($D337&lt;&gt;"Serviço",AND(AUTOEVENTO="Manual",$M337=$A$15)),0,
         IF(OFFSET(CRONOPLE!$F$15,$M337-$A$15,BG$13)=0,10^12,OFFSET(CRONOPLE!$F$15,$M337-$A$15,BG$13)))</f>
        <v>0</v>
      </c>
      <c r="BH337" s="171">
        <f ca="1">IF(OR($D337&lt;&gt;"Serviço",AND(AUTOEVENTO="Manual",$M337=$A$15)),0,
         IF(OFFSET(CRONOPLE!$F$15,$M337-$A$15,BH$13)=0,10^12,OFFSET(CRONOPLE!$F$15,$M337-$A$15,BH$13)))</f>
        <v>0</v>
      </c>
      <c r="BI337" s="171">
        <f ca="1">IF(OR($D337&lt;&gt;"Serviço",AND(AUTOEVENTO="Manual",$M337=$A$15)),0,
         IF(OFFSET(CRONOPLE!$F$15,$M337-$A$15,BI$13)=0,10^12,OFFSET(CRONOPLE!$F$15,$M337-$A$15,BI$13)))</f>
        <v>0</v>
      </c>
      <c r="BJ337" s="171">
        <f ca="1">IF(OR($D337&lt;&gt;"Serviço",AND(AUTOEVENTO="Manual",$M337=$A$15)),0,
         IF(OFFSET(CRONOPLE!$F$15,$M337-$A$15,BJ$13)=0,10^12,OFFSET(CRONOPLE!$F$15,$M337-$A$15,BJ$13)))</f>
        <v>0</v>
      </c>
      <c r="BK337" s="171">
        <f ca="1">IF(OR($D337&lt;&gt;"Serviço",AND(AUTOEVENTO="Manual",$M337=$A$15)),0,
         IF(OFFSET(CRONOPLE!$F$15,$M337-$A$15,BK$13)=0,10^12,OFFSET(CRONOPLE!$F$15,$M337-$A$15,BK$13)))</f>
        <v>0</v>
      </c>
      <c r="BL337" s="171">
        <f ca="1">IF(OR($D337&lt;&gt;"Serviço",AND(AUTOEVENTO="Manual",$M337=$A$15)),0,
         IF(OFFSET(CRONOPLE!$F$15,$M337-$A$15,BL$13)=0,10^12,OFFSET(CRONOPLE!$F$15,$M337-$A$15,BL$13)))</f>
        <v>0</v>
      </c>
      <c r="BM337" s="171">
        <f ca="1">IF(OR($D337&lt;&gt;"Serviço",AND(AUTOEVENTO="Manual",$M337=$A$15)),0,
         IF(OFFSET(CRONOPLE!$F$15,$M337-$A$15,BM$13)=0,10^12,OFFSET(CRONOPLE!$F$15,$M337-$A$15,BM$13)))</f>
        <v>0</v>
      </c>
      <c r="BN337" s="171">
        <f ca="1">IF(OR($D337&lt;&gt;"Serviço",AND(AUTOEVENTO="Manual",$M337=$A$15)),0,
         IF(OFFSET(CRONOPLE!$F$15,$M337-$A$15,BN$13)=0,10^12,OFFSET(CRONOPLE!$F$15,$M337-$A$15,BN$13)))</f>
        <v>0</v>
      </c>
      <c r="BO337" s="171">
        <f ca="1">IF(OR($D337&lt;&gt;"Serviço",AND(AUTOEVENTO="Manual",$M337=$A$15)),0,
         IF(OFFSET(CRONOPLE!$F$15,$M337-$A$15,BO$13)=0,10^12,OFFSET(CRONOPLE!$F$15,$M337-$A$15,BO$13)))</f>
        <v>0</v>
      </c>
      <c r="BP337" s="171">
        <f ca="1">IF(OR($D337&lt;&gt;"Serviço",AND(AUTOEVENTO="Manual",$M337=$A$15)),0,
         IF(OFFSET(CRONOPLE!$F$15,$M337-$A$15,BP$13)=0,10^12,OFFSET(CRONOPLE!$F$15,$M337-$A$15,BP$13)))</f>
        <v>0</v>
      </c>
      <c r="BQ337" s="171">
        <f ca="1">IF(OR($D337&lt;&gt;"Serviço",AND(AUTOEVENTO="Manual",$M337=$A$15)),0,
         IF(OFFSET(CRONOPLE!$F$15,$M337-$A$15,BQ$13)=0,10^12,OFFSET(CRONOPLE!$F$15,$M337-$A$15,BQ$13)))</f>
        <v>0</v>
      </c>
      <c r="BR337" s="171">
        <f ca="1">IF(OR($D337&lt;&gt;"Serviço",AND(AUTOEVENTO="Manual",$M337=$A$15)),0,
         IF(OFFSET(CRONOPLE!$F$15,$M337-$A$15,BR$13)=0,10^12,OFFSET(CRONOPLE!$F$15,$M337-$A$15,BR$13)))</f>
        <v>0</v>
      </c>
      <c r="BS337" s="171">
        <f ca="1">IF(OR($D337&lt;&gt;"Serviço",AND(AUTOEVENTO="Manual",$M337=$A$15)),0,
         IF(OFFSET(CRONOPLE!$F$15,$M337-$A$15,BS$13)=0,10^12,OFFSET(CRONOPLE!$F$15,$M337-$A$15,BS$13)))</f>
        <v>0</v>
      </c>
      <c r="BT337" s="171">
        <f ca="1">IF(OR($D337&lt;&gt;"Serviço",AND(AUTOEVENTO="Manual",$M337=$A$15)),0,
         IF(OFFSET(CRONOPLE!$F$15,$M337-$A$15,BT$13)=0,10^12,OFFSET(CRONOPLE!$F$15,$M337-$A$15,BT$13)))</f>
        <v>0</v>
      </c>
      <c r="BV337" s="172">
        <f ca="1">IF(OR($D337&lt;&gt;"Serviço",AND(AUTOEVENTO="Manual",$M337=$A$15),$M337&gt;(ROW(PLE.lastrow)-ROW(PLE.firstrow))),0,
           IF(OFFSET(PLE!$G$15,$M337-$A$15,BV$13)="",10^12,OFFSET(PLE!$G$15,$M337-$A$15,BV$13)))</f>
        <v>0</v>
      </c>
      <c r="BW337" s="172">
        <f ca="1">IF(OR($D337&lt;&gt;"Serviço",AND(AUTOEVENTO="Manual",$M337=$A$15),$M337&gt;(ROW(PLE.lastrow)-ROW(PLE.firstrow))),0,
           IF(OFFSET(PLE!$G$15,$M337-$A$15,BW$13)="",10^12,OFFSET(PLE!$G$15,$M337-$A$15,BW$13)))</f>
        <v>0</v>
      </c>
      <c r="BX337" s="172">
        <f ca="1">IF(OR($D337&lt;&gt;"Serviço",AND(AUTOEVENTO="Manual",$M337=$A$15),$M337&gt;(ROW(PLE.lastrow)-ROW(PLE.firstrow))),0,
           IF(OFFSET(PLE!$G$15,$M337-$A$15,BX$13)="",10^12,OFFSET(PLE!$G$15,$M337-$A$15,BX$13)))</f>
        <v>0</v>
      </c>
      <c r="BY337" s="172">
        <f ca="1">IF(OR($D337&lt;&gt;"Serviço",AND(AUTOEVENTO="Manual",$M337=$A$15),$M337&gt;(ROW(PLE.lastrow)-ROW(PLE.firstrow))),0,
           IF(OFFSET(PLE!$G$15,$M337-$A$15,BY$13)="",10^12,OFFSET(PLE!$G$15,$M337-$A$15,BY$13)))</f>
        <v>0</v>
      </c>
      <c r="BZ337" s="172">
        <f ca="1">IF(OR($D337&lt;&gt;"Serviço",AND(AUTOEVENTO="Manual",$M337=$A$15),$M337&gt;(ROW(PLE.lastrow)-ROW(PLE.firstrow))),0,
           IF(OFFSET(PLE!$G$15,$M337-$A$15,BZ$13)="",10^12,OFFSET(PLE!$G$15,$M337-$A$15,BZ$13)))</f>
        <v>0</v>
      </c>
      <c r="CA337" s="172">
        <f ca="1">IF(OR($D337&lt;&gt;"Serviço",AND(AUTOEVENTO="Manual",$M337=$A$15),$M337&gt;(ROW(PLE.lastrow)-ROW(PLE.firstrow))),0,
           IF(OFFSET(PLE!$G$15,$M337-$A$15,CA$13)="",10^12,OFFSET(PLE!$G$15,$M337-$A$15,CA$13)))</f>
        <v>0</v>
      </c>
      <c r="CB337" s="172">
        <f ca="1">IF(OR($D337&lt;&gt;"Serviço",AND(AUTOEVENTO="Manual",$M337=$A$15),$M337&gt;(ROW(PLE.lastrow)-ROW(PLE.firstrow))),0,
           IF(OFFSET(PLE!$G$15,$M337-$A$15,CB$13)="",10^12,OFFSET(PLE!$G$15,$M337-$A$15,CB$13)))</f>
        <v>0</v>
      </c>
      <c r="CC337" s="172">
        <f ca="1">IF(OR($D337&lt;&gt;"Serviço",AND(AUTOEVENTO="Manual",$M337=$A$15),$M337&gt;(ROW(PLE.lastrow)-ROW(PLE.firstrow))),0,
           IF(OFFSET(PLE!$G$15,$M337-$A$15,CC$13)="",10^12,OFFSET(PLE!$G$15,$M337-$A$15,CC$13)))</f>
        <v>0</v>
      </c>
      <c r="CD337" s="172">
        <f ca="1">IF(OR($D337&lt;&gt;"Serviço",AND(AUTOEVENTO="Manual",$M337=$A$15),$M337&gt;(ROW(PLE.lastrow)-ROW(PLE.firstrow))),0,
           IF(OFFSET(PLE!$G$15,$M337-$A$15,CD$13)="",10^12,OFFSET(PLE!$G$15,$M337-$A$15,CD$13)))</f>
        <v>0</v>
      </c>
      <c r="CE337" s="172">
        <f ca="1">IF(OR($D337&lt;&gt;"Serviço",AND(AUTOEVENTO="Manual",$M337=$A$15),$M337&gt;(ROW(PLE.lastrow)-ROW(PLE.firstrow))),0,
           IF(OFFSET(PLE!$G$15,$M337-$A$15,CE$13)="",10^12,OFFSET(PLE!$G$15,$M337-$A$15,CE$13)))</f>
        <v>0</v>
      </c>
      <c r="CF337" s="172">
        <f ca="1">IF(OR($D337&lt;&gt;"Serviço",AND(AUTOEVENTO="Manual",$M337=$A$15),$M337&gt;(ROW(PLE.lastrow)-ROW(PLE.firstrow))),0,
           IF(OFFSET(PLE!$G$15,$M337-$A$15,CF$13)="",10^12,OFFSET(PLE!$G$15,$M337-$A$15,CF$13)))</f>
        <v>0</v>
      </c>
      <c r="CG337" s="172">
        <f ca="1">IF(OR($D337&lt;&gt;"Serviço",AND(AUTOEVENTO="Manual",$M337=$A$15),$M337&gt;(ROW(PLE.lastrow)-ROW(PLE.firstrow))),0,
           IF(OFFSET(PLE!$G$15,$M337-$A$15,CG$13)="",10^12,OFFSET(PLE!$G$15,$M337-$A$15,CG$13)))</f>
        <v>0</v>
      </c>
      <c r="CH337" s="172">
        <f ca="1">IF(OR($D337&lt;&gt;"Serviço",AND(AUTOEVENTO="Manual",$M337=$A$15),$M337&gt;(ROW(PLE.lastrow)-ROW(PLE.firstrow))),0,
           IF(OFFSET(PLE!$G$15,$M337-$A$15,CH$13)="",10^12,OFFSET(PLE!$G$15,$M337-$A$15,CH$13)))</f>
        <v>0</v>
      </c>
      <c r="CI337" s="172">
        <f ca="1">IF(OR($D337&lt;&gt;"Serviço",AND(AUTOEVENTO="Manual",$M337=$A$15),$M337&gt;(ROW(PLE.lastrow)-ROW(PLE.firstrow))),0,
           IF(OFFSET(PLE!$G$15,$M337-$A$15,CI$13)="",10^12,OFFSET(PLE!$G$15,$M337-$A$15,CI$13)))</f>
        <v>0</v>
      </c>
      <c r="CJ337" s="172">
        <f ca="1">IF(OR($D337&lt;&gt;"Serviço",AND(AUTOEVENTO="Manual",$M337=$A$15),$M337&gt;(ROW(PLE.lastrow)-ROW(PLE.firstrow))),0,
           IF(OFFSET(PLE!$G$15,$M337-$A$15,CJ$13)="",10^12,OFFSET(PLE!$G$15,$M337-$A$15,CJ$13)))</f>
        <v>0</v>
      </c>
      <c r="CK337" s="172">
        <f ca="1">IF(OR($D337&lt;&gt;"Serviço",AND(AUTOEVENTO="Manual",$M337=$A$15),$M337&gt;(ROW(PLE.lastrow)-ROW(PLE.firstrow))),0,
           IF(OFFSET(PLE!$G$15,$M337-$A$15,CK$13)="",10^12,OFFSET(PLE!$G$15,$M337-$A$15,CK$13)))</f>
        <v>0</v>
      </c>
      <c r="CL337" s="172">
        <f ca="1">IF(OR($D337&lt;&gt;"Serviço",AND(AUTOEVENTO="Manual",$M337=$A$15),$M337&gt;(ROW(PLE.lastrow)-ROW(PLE.firstrow))),0,
           IF(OFFSET(PLE!$G$15,$M337-$A$15,CL$13)="",10^12,OFFSET(PLE!$G$15,$M337-$A$15,CL$13)))</f>
        <v>0</v>
      </c>
      <c r="CM337" s="172">
        <f ca="1">IF(OR($D337&lt;&gt;"Serviço",AND(AUTOEVENTO="Manual",$M337=$A$15),$M337&gt;(ROW(PLE.lastrow)-ROW(PLE.firstrow))),0,
           IF(OFFSET(PLE!$G$15,$M337-$A$15,CM$13)="",10^12,OFFSET(PLE!$G$15,$M337-$A$15,CM$13)))</f>
        <v>0</v>
      </c>
    </row>
    <row r="338" spans="1:91" ht="25.5" x14ac:dyDescent="0.2">
      <c r="A338" s="7">
        <f t="shared" ca="1" si="14"/>
        <v>6</v>
      </c>
      <c r="B338" s="7" t="str">
        <f ca="1">OFFSET(ORÇAMENTO!C$15,ROW(B338)-ROW(B$15),0)</f>
        <v>S</v>
      </c>
      <c r="C338" s="7" t="str">
        <f ca="1">OFFSET(ORÇAMENTO!L$15,ROW(C338)-ROW(C$15),0)</f>
        <v>F</v>
      </c>
      <c r="D338" s="116" t="str">
        <f ca="1">OFFSET(ORÇAMENTO!N$15,ROW(D338)-ROW(D$15),0)</f>
        <v>Serviço</v>
      </c>
      <c r="E338" s="117" t="str">
        <f ca="1">OFFSET(ORÇAMENTO!O$15,ROW(E338)-ROW(E$15),0)</f>
        <v>1.7.5.2.1.</v>
      </c>
      <c r="F338" s="163" t="str">
        <f ca="1">OFFSET(ORÇAMENTO!R$15,ROW(F338)-ROW(F$15),0)</f>
        <v>ASSENTAMENTO DE CONEXÕES EM FERRO FUNDIDO, JUNTA ELÁSTICA, DN = 600 MM - BASEADO EM ORSE (5291)</v>
      </c>
      <c r="G338" s="164" t="str">
        <f ca="1">IF($D338&lt;&gt;"Serviço","",OFFSET(ORÇAMENTO!S$15,ROW(G338)-ROW(G$15),0))</f>
        <v>UN</v>
      </c>
      <c r="H338" s="122" cm="1">
        <f t="array" aca="1" ref="H338" ca="1">IF($D338&lt;&gt;"Serviço",0,IF(ACOMPANHAMENTO="BM",ROUND(OFFSET(ORÇAMENTO!AJ$15,ROW(H338)-ROW(H$15),0),15-13*ORÇAMENTO!$AF$7),SUMPRODUCT(($Q$1:$AI$1=1)*ROUND($Q338:$AI338,15-13*ORÇAMENTO!$AF$7))))</f>
        <v>5</v>
      </c>
      <c r="I338" s="468" t="s">
        <v>1347</v>
      </c>
      <c r="J338" s="640" t="str" cm="1">
        <f t="array" aca="1" ref="J338" ca="1">IF(OR(B338&lt;&gt;"S",CÁLCULO.FrentesPreenchidas=0),"",IF(AND(ACOMPANHAMENTO="PLE",AUTOEVENTO="Manual",OR(H338&gt;0,ORÇAMENTO!AC338="QUANT."),OR(K338="",M338=0,N338="")),"►E",IF(AND(ACOMPANHAMENTO="PLE",ORÇAMENTO!AC338="QUANT."),"►Q",IF(AND(ACOMPANHAMENTO="PLE",H338&lt;&gt;SUMPRODUCT(($Q$1:$AI$1=1)*ROUND(Q338:AI338,15))),"►S",IF(AND(COUNTIF($P$11:$AI$11,"▼")=0,H338&gt;0,I338=""),"◄M","")))))</f>
        <v/>
      </c>
      <c r="K338" s="641" t="s">
        <v>1385</v>
      </c>
      <c r="L338" s="165" t="s">
        <v>764</v>
      </c>
      <c r="M338" s="166">
        <f ca="1">IF($D338&lt;&gt;"Serviço","",
          IF(AUTOEVENTO="manual",$A338,
                IF(ISERROR(MATCH($A338,$A$15:OFFSET($A338,-1,0),0)),MAX($M$15:OFFSET(M338,-1,0))+1,
                      INDEX($M$15:OFFSET(M338,-1,0),MATCH($A338,$A$15:OFFSET($A338,-1,0),0)))))</f>
        <v>6</v>
      </c>
      <c r="N338" s="167" t="str">
        <f ca="1">IF($D338&lt;&gt;"Serviço","",
         IF(AUTOEVENTO="Manual",
                IF($A338=0,"&lt;-- defina o número do agrupador",
                       OFFSET(EVENTOS!$D$15,$A338-$A$15,0)),
                OFFSET($F$15,$A338,0)))</f>
        <v>Saneamento</v>
      </c>
      <c r="O338" s="168"/>
      <c r="Q338" s="168"/>
      <c r="R338" s="169"/>
      <c r="S338" s="169"/>
      <c r="T338" s="169"/>
      <c r="U338" s="169"/>
      <c r="V338" s="169">
        <f>V329+V330+V332</f>
        <v>5</v>
      </c>
      <c r="W338" s="169"/>
      <c r="X338" s="169"/>
      <c r="Y338" s="169"/>
      <c r="Z338" s="170"/>
      <c r="AA338" s="169"/>
      <c r="AB338" s="169"/>
      <c r="AC338" s="169"/>
      <c r="AD338" s="169"/>
      <c r="AE338" s="169"/>
      <c r="AF338" s="169"/>
      <c r="AG338" s="169"/>
      <c r="AH338" s="170"/>
      <c r="AJ338" s="453">
        <f ca="1">IF(AND($D338="Serviço",AJ$12&lt;&gt;0,$H338&gt;0,OR(AUTOEVENTO&lt;&gt;"manual",$M338&lt;&gt;$A$15)),
        IF(Import.TipoArredondamento&lt;&gt;"TransfereGOV",
              ROUND(OFFSET($P338,0,AJ$13),15-13*ORÇAMENTO!$AF$7)/$H338*OFFSET(ORÇAMENTO!$X$15,ROW(AJ338)-ROW(AJ$15),0),
              ROUND(ROUND(OFFSET($P338,0,AJ$13),15-13*ORÇAMENTO!$AF$7)*OFFSET(ORÇAMENTO!$W$15,ROW(AJ338)-ROW(AJ$15),0),15-13*ORÇAMENTO!$AF$11)),
         0)</f>
        <v>0</v>
      </c>
      <c r="AK338" s="453">
        <f ca="1">IF(AND($D338="Serviço",AK$12&lt;&gt;0,$H338&gt;0,OR(AUTOEVENTO&lt;&gt;"manual",$M338&lt;&gt;$A$15)),
        IF(Import.TipoArredondamento&lt;&gt;"TransfereGOV",
              ROUND(OFFSET($P338,0,AK$13),15-13*ORÇAMENTO!$AF$7)/$H338*OFFSET(ORÇAMENTO!$X$15,ROW(AK338)-ROW(AK$15),0),
              ROUND(ROUND(OFFSET($P338,0,AK$13),15-13*ORÇAMENTO!$AF$7)*OFFSET(ORÇAMENTO!$W$15,ROW(AK338)-ROW(AK$15),0),15-13*ORÇAMENTO!$AF$11)),
         0)</f>
        <v>0</v>
      </c>
      <c r="AL338" s="453">
        <f ca="1">IF(AND($D338="Serviço",AL$12&lt;&gt;0,$H338&gt;0,OR(AUTOEVENTO&lt;&gt;"manual",$M338&lt;&gt;$A$15)),
        IF(Import.TipoArredondamento&lt;&gt;"TransfereGOV",
              ROUND(OFFSET($P338,0,AL$13),15-13*ORÇAMENTO!$AF$7)/$H338*OFFSET(ORÇAMENTO!$X$15,ROW(AL338)-ROW(AL$15),0),
              ROUND(ROUND(OFFSET($P338,0,AL$13),15-13*ORÇAMENTO!$AF$7)*OFFSET(ORÇAMENTO!$W$15,ROW(AL338)-ROW(AL$15),0),15-13*ORÇAMENTO!$AF$11)),
         0)</f>
        <v>0</v>
      </c>
      <c r="AM338" s="453">
        <f ca="1">IF(AND($D338="Serviço",AM$12&lt;&gt;0,$H338&gt;0,OR(AUTOEVENTO&lt;&gt;"manual",$M338&lt;&gt;$A$15)),
        IF(Import.TipoArredondamento&lt;&gt;"TransfereGOV",
              ROUND(OFFSET($P338,0,AM$13),15-13*ORÇAMENTO!$AF$7)/$H338*OFFSET(ORÇAMENTO!$X$15,ROW(AM338)-ROW(AM$15),0),
              ROUND(ROUND(OFFSET($P338,0,AM$13),15-13*ORÇAMENTO!$AF$7)*OFFSET(ORÇAMENTO!$W$15,ROW(AM338)-ROW(AM$15),0),15-13*ORÇAMENTO!$AF$11)),
         0)</f>
        <v>0</v>
      </c>
      <c r="AN338" s="453">
        <f ca="1">IF(AND($D338="Serviço",AN$12&lt;&gt;0,$H338&gt;0,OR(AUTOEVENTO&lt;&gt;"manual",$M338&lt;&gt;$A$15)),
        IF(Import.TipoArredondamento&lt;&gt;"TransfereGOV",
              ROUND(OFFSET($P338,0,AN$13),15-13*ORÇAMENTO!$AF$7)/$H338*OFFSET(ORÇAMENTO!$X$15,ROW(AN338)-ROW(AN$15),0),
              ROUND(ROUND(OFFSET($P338,0,AN$13),15-13*ORÇAMENTO!$AF$7)*OFFSET(ORÇAMENTO!$W$15,ROW(AN338)-ROW(AN$15),0),15-13*ORÇAMENTO!$AF$11)),
         0)</f>
        <v>0</v>
      </c>
      <c r="AO338" s="453">
        <f ca="1">IF(AND($D338="Serviço",AO$12&lt;&gt;0,$H338&gt;0,OR(AUTOEVENTO&lt;&gt;"manual",$M338&lt;&gt;$A$15)),
        IF(Import.TipoArredondamento&lt;&gt;"TransfereGOV",
              ROUND(OFFSET($P338,0,AO$13),15-13*ORÇAMENTO!$AF$7)/$H338*OFFSET(ORÇAMENTO!$X$15,ROW(AO338)-ROW(AO$15),0),
              ROUND(ROUND(OFFSET($P338,0,AO$13),15-13*ORÇAMENTO!$AF$7)*OFFSET(ORÇAMENTO!$W$15,ROW(AO338)-ROW(AO$15),0),15-13*ORÇAMENTO!$AF$11)),
         0)</f>
        <v>0</v>
      </c>
      <c r="AP338" s="453">
        <f ca="1">IF(AND($D338="Serviço",AP$12&lt;&gt;0,$H338&gt;0,OR(AUTOEVENTO&lt;&gt;"manual",$M338&lt;&gt;$A$15)),
        IF(Import.TipoArredondamento&lt;&gt;"TransfereGOV",
              ROUND(OFFSET($P338,0,AP$13),15-13*ORÇAMENTO!$AF$7)/$H338*OFFSET(ORÇAMENTO!$X$15,ROW(AP338)-ROW(AP$15),0),
              ROUND(ROUND(OFFSET($P338,0,AP$13),15-13*ORÇAMENTO!$AF$7)*OFFSET(ORÇAMENTO!$W$15,ROW(AP338)-ROW(AP$15),0),15-13*ORÇAMENTO!$AF$11)),
         0)</f>
        <v>0</v>
      </c>
      <c r="AQ338" s="453">
        <f ca="1">IF(AND($D338="Serviço",AQ$12&lt;&gt;0,$H338&gt;0,OR(AUTOEVENTO&lt;&gt;"manual",$M338&lt;&gt;$A$15)),
        IF(Import.TipoArredondamento&lt;&gt;"TransfereGOV",
              ROUND(OFFSET($P338,0,AQ$13),15-13*ORÇAMENTO!$AF$7)/$H338*OFFSET(ORÇAMENTO!$X$15,ROW(AQ338)-ROW(AQ$15),0),
              ROUND(ROUND(OFFSET($P338,0,AQ$13),15-13*ORÇAMENTO!$AF$7)*OFFSET(ORÇAMENTO!$W$15,ROW(AQ338)-ROW(AQ$15),0),15-13*ORÇAMENTO!$AF$11)),
         0)</f>
        <v>0</v>
      </c>
      <c r="AR338" s="453">
        <f ca="1">IF(AND($D338="Serviço",AR$12&lt;&gt;0,$H338&gt;0,OR(AUTOEVENTO&lt;&gt;"manual",$M338&lt;&gt;$A$15)),
        IF(Import.TipoArredondamento&lt;&gt;"TransfereGOV",
              ROUND(OFFSET($P338,0,AR$13),15-13*ORÇAMENTO!$AF$7)/$H338*OFFSET(ORÇAMENTO!$X$15,ROW(AR338)-ROW(AR$15),0),
              ROUND(ROUND(OFFSET($P338,0,AR$13),15-13*ORÇAMENTO!$AF$7)*OFFSET(ORÇAMENTO!$W$15,ROW(AR338)-ROW(AR$15),0),15-13*ORÇAMENTO!$AF$11)),
         0)</f>
        <v>0</v>
      </c>
      <c r="AS338" s="453">
        <f ca="1">IF(AND($D338="Serviço",AS$12&lt;&gt;0,$H338&gt;0,OR(AUTOEVENTO&lt;&gt;"manual",$M338&lt;&gt;$A$15)),
        IF(Import.TipoArredondamento&lt;&gt;"TransfereGOV",
              ROUND(OFFSET($P338,0,AS$13),15-13*ORÇAMENTO!$AF$7)/$H338*OFFSET(ORÇAMENTO!$X$15,ROW(AS338)-ROW(AS$15),0),
              ROUND(ROUND(OFFSET($P338,0,AS$13),15-13*ORÇAMENTO!$AF$7)*OFFSET(ORÇAMENTO!$W$15,ROW(AS338)-ROW(AS$15),0),15-13*ORÇAMENTO!$AF$11)),
         0)</f>
        <v>0</v>
      </c>
      <c r="AT338" s="453">
        <f ca="1">IF(AND($D338="Serviço",AT$12&lt;&gt;0,$H338&gt;0,OR(AUTOEVENTO&lt;&gt;"manual",$M338&lt;&gt;$A$15)),
        IF(Import.TipoArredondamento&lt;&gt;"TransfereGOV",
              ROUND(OFFSET($P338,0,AT$13),15-13*ORÇAMENTO!$AF$7)/$H338*OFFSET(ORÇAMENTO!$X$15,ROW(AT338)-ROW(AT$15),0),
              ROUND(ROUND(OFFSET($P338,0,AT$13),15-13*ORÇAMENTO!$AF$7)*OFFSET(ORÇAMENTO!$W$15,ROW(AT338)-ROW(AT$15),0),15-13*ORÇAMENTO!$AF$11)),
         0)</f>
        <v>0</v>
      </c>
      <c r="AU338" s="453">
        <f ca="1">IF(AND($D338="Serviço",AU$12&lt;&gt;0,$H338&gt;0,OR(AUTOEVENTO&lt;&gt;"manual",$M338&lt;&gt;$A$15)),
        IF(Import.TipoArredondamento&lt;&gt;"TransfereGOV",
              ROUND(OFFSET($P338,0,AU$13),15-13*ORÇAMENTO!$AF$7)/$H338*OFFSET(ORÇAMENTO!$X$15,ROW(AU338)-ROW(AU$15),0),
              ROUND(ROUND(OFFSET($P338,0,AU$13),15-13*ORÇAMENTO!$AF$7)*OFFSET(ORÇAMENTO!$W$15,ROW(AU338)-ROW(AU$15),0),15-13*ORÇAMENTO!$AF$11)),
         0)</f>
        <v>0</v>
      </c>
      <c r="AV338" s="453">
        <f ca="1">IF(AND($D338="Serviço",AV$12&lt;&gt;0,$H338&gt;0,OR(AUTOEVENTO&lt;&gt;"manual",$M338&lt;&gt;$A$15)),
        IF(Import.TipoArredondamento&lt;&gt;"TransfereGOV",
              ROUND(OFFSET($P338,0,AV$13),15-13*ORÇAMENTO!$AF$7)/$H338*OFFSET(ORÇAMENTO!$X$15,ROW(AV338)-ROW(AV$15),0),
              ROUND(ROUND(OFFSET($P338,0,AV$13),15-13*ORÇAMENTO!$AF$7)*OFFSET(ORÇAMENTO!$W$15,ROW(AV338)-ROW(AV$15),0),15-13*ORÇAMENTO!$AF$11)),
         0)</f>
        <v>0</v>
      </c>
      <c r="AW338" s="453">
        <f ca="1">IF(AND($D338="Serviço",AW$12&lt;&gt;0,$H338&gt;0,OR(AUTOEVENTO&lt;&gt;"manual",$M338&lt;&gt;$A$15)),
        IF(Import.TipoArredondamento&lt;&gt;"TransfereGOV",
              ROUND(OFFSET($P338,0,AW$13),15-13*ORÇAMENTO!$AF$7)/$H338*OFFSET(ORÇAMENTO!$X$15,ROW(AW338)-ROW(AW$15),0),
              ROUND(ROUND(OFFSET($P338,0,AW$13),15-13*ORÇAMENTO!$AF$7)*OFFSET(ORÇAMENTO!$W$15,ROW(AW338)-ROW(AW$15),0),15-13*ORÇAMENTO!$AF$11)),
         0)</f>
        <v>0</v>
      </c>
      <c r="AX338" s="453">
        <f ca="1">IF(AND($D338="Serviço",AX$12&lt;&gt;0,$H338&gt;0,OR(AUTOEVENTO&lt;&gt;"manual",$M338&lt;&gt;$A$15)),
        IF(Import.TipoArredondamento&lt;&gt;"TransfereGOV",
              ROUND(OFFSET($P338,0,AX$13),15-13*ORÇAMENTO!$AF$7)/$H338*OFFSET(ORÇAMENTO!$X$15,ROW(AX338)-ROW(AX$15),0),
              ROUND(ROUND(OFFSET($P338,0,AX$13),15-13*ORÇAMENTO!$AF$7)*OFFSET(ORÇAMENTO!$W$15,ROW(AX338)-ROW(AX$15),0),15-13*ORÇAMENTO!$AF$11)),
         0)</f>
        <v>0</v>
      </c>
      <c r="AY338" s="453">
        <f ca="1">IF(AND($D338="Serviço",AY$12&lt;&gt;0,$H338&gt;0,OR(AUTOEVENTO&lt;&gt;"manual",$M338&lt;&gt;$A$15)),
        IF(Import.TipoArredondamento&lt;&gt;"TransfereGOV",
              ROUND(OFFSET($P338,0,AY$13),15-13*ORÇAMENTO!$AF$7)/$H338*OFFSET(ORÇAMENTO!$X$15,ROW(AY338)-ROW(AY$15),0),
              ROUND(ROUND(OFFSET($P338,0,AY$13),15-13*ORÇAMENTO!$AF$7)*OFFSET(ORÇAMENTO!$W$15,ROW(AY338)-ROW(AY$15),0),15-13*ORÇAMENTO!$AF$11)),
         0)</f>
        <v>0</v>
      </c>
      <c r="AZ338" s="453">
        <f ca="1">IF(AND($D338="Serviço",AZ$12&lt;&gt;0,$H338&gt;0,OR(AUTOEVENTO&lt;&gt;"manual",$M338&lt;&gt;$A$15)),
        IF(Import.TipoArredondamento&lt;&gt;"TransfereGOV",
              ROUND(OFFSET($P338,0,AZ$13),15-13*ORÇAMENTO!$AF$7)/$H338*OFFSET(ORÇAMENTO!$X$15,ROW(AZ338)-ROW(AZ$15),0),
              ROUND(ROUND(OFFSET($P338,0,AZ$13),15-13*ORÇAMENTO!$AF$7)*OFFSET(ORÇAMENTO!$W$15,ROW(AZ338)-ROW(AZ$15),0),15-13*ORÇAMENTO!$AF$11)),
         0)</f>
        <v>0</v>
      </c>
      <c r="BA338" s="453">
        <f ca="1">IF(AND($D338="Serviço",BA$12&lt;&gt;0,$H338&gt;0,OR(AUTOEVENTO&lt;&gt;"manual",$M338&lt;&gt;$A$15)),
        IF(Import.TipoArredondamento&lt;&gt;"TransfereGOV",
              ROUND(OFFSET($P338,0,BA$13),15-13*ORÇAMENTO!$AF$7)/$H338*OFFSET(ORÇAMENTO!$X$15,ROW(BA338)-ROW(BA$15),0),
              ROUND(ROUND(OFFSET($P338,0,BA$13),15-13*ORÇAMENTO!$AF$7)*OFFSET(ORÇAMENTO!$W$15,ROW(BA338)-ROW(BA$15),0),15-13*ORÇAMENTO!$AF$11)),
         0)</f>
        <v>0</v>
      </c>
      <c r="BC338" s="171">
        <f ca="1">IF(OR($D338&lt;&gt;"Serviço",AND(AUTOEVENTO="Manual",$M338=$A$15)),0,
         IF(OFFSET(CRONOPLE!$F$15,$M338-$A$15,BC$13)=0,10^12,OFFSET(CRONOPLE!$F$15,$M338-$A$15,BC$13)))</f>
        <v>1</v>
      </c>
      <c r="BD338" s="171">
        <f ca="1">IF(OR($D338&lt;&gt;"Serviço",AND(AUTOEVENTO="Manual",$M338=$A$15)),0,
         IF(OFFSET(CRONOPLE!$F$15,$M338-$A$15,BD$13)=0,10^12,OFFSET(CRONOPLE!$F$15,$M338-$A$15,BD$13)))</f>
        <v>2</v>
      </c>
      <c r="BE338" s="171">
        <f ca="1">IF(OR($D338&lt;&gt;"Serviço",AND(AUTOEVENTO="Manual",$M338=$A$15)),0,
         IF(OFFSET(CRONOPLE!$F$15,$M338-$A$15,BE$13)=0,10^12,OFFSET(CRONOPLE!$F$15,$M338-$A$15,BE$13)))</f>
        <v>3</v>
      </c>
      <c r="BF338" s="171">
        <f ca="1">IF(OR($D338&lt;&gt;"Serviço",AND(AUTOEVENTO="Manual",$M338=$A$15)),0,
         IF(OFFSET(CRONOPLE!$F$15,$M338-$A$15,BF$13)=0,10^12,OFFSET(CRONOPLE!$F$15,$M338-$A$15,BF$13)))</f>
        <v>4</v>
      </c>
      <c r="BG338" s="171">
        <f ca="1">IF(OR($D338&lt;&gt;"Serviço",AND(AUTOEVENTO="Manual",$M338=$A$15)),0,
         IF(OFFSET(CRONOPLE!$F$15,$M338-$A$15,BG$13)=0,10^12,OFFSET(CRONOPLE!$F$15,$M338-$A$15,BG$13)))</f>
        <v>5</v>
      </c>
      <c r="BH338" s="171">
        <f ca="1">IF(OR($D338&lt;&gt;"Serviço",AND(AUTOEVENTO="Manual",$M338=$A$15)),0,
         IF(OFFSET(CRONOPLE!$F$15,$M338-$A$15,BH$13)=0,10^12,OFFSET(CRONOPLE!$F$15,$M338-$A$15,BH$13)))</f>
        <v>6</v>
      </c>
      <c r="BI338" s="171">
        <f ca="1">IF(OR($D338&lt;&gt;"Serviço",AND(AUTOEVENTO="Manual",$M338=$A$15)),0,
         IF(OFFSET(CRONOPLE!$F$15,$M338-$A$15,BI$13)=0,10^12,OFFSET(CRONOPLE!$F$15,$M338-$A$15,BI$13)))</f>
        <v>7</v>
      </c>
      <c r="BJ338" s="171">
        <f ca="1">IF(OR($D338&lt;&gt;"Serviço",AND(AUTOEVENTO="Manual",$M338=$A$15)),0,
         IF(OFFSET(CRONOPLE!$F$15,$M338-$A$15,BJ$13)=0,10^12,OFFSET(CRONOPLE!$F$15,$M338-$A$15,BJ$13)))</f>
        <v>8</v>
      </c>
      <c r="BK338" s="171">
        <f ca="1">IF(OR($D338&lt;&gt;"Serviço",AND(AUTOEVENTO="Manual",$M338=$A$15)),0,
         IF(OFFSET(CRONOPLE!$F$15,$M338-$A$15,BK$13)=0,10^12,OFFSET(CRONOPLE!$F$15,$M338-$A$15,BK$13)))</f>
        <v>9</v>
      </c>
      <c r="BL338" s="171">
        <f ca="1">IF(OR($D338&lt;&gt;"Serviço",AND(AUTOEVENTO="Manual",$M338=$A$15)),0,
         IF(OFFSET(CRONOPLE!$F$15,$M338-$A$15,BL$13)=0,10^12,OFFSET(CRONOPLE!$F$15,$M338-$A$15,BL$13)))</f>
        <v>1000000000000</v>
      </c>
      <c r="BM338" s="171">
        <f ca="1">IF(OR($D338&lt;&gt;"Serviço",AND(AUTOEVENTO="Manual",$M338=$A$15)),0,
         IF(OFFSET(CRONOPLE!$F$15,$M338-$A$15,BM$13)=0,10^12,OFFSET(CRONOPLE!$F$15,$M338-$A$15,BM$13)))</f>
        <v>1000000000000</v>
      </c>
      <c r="BN338" s="171">
        <f ca="1">IF(OR($D338&lt;&gt;"Serviço",AND(AUTOEVENTO="Manual",$M338=$A$15)),0,
         IF(OFFSET(CRONOPLE!$F$15,$M338-$A$15,BN$13)=0,10^12,OFFSET(CRONOPLE!$F$15,$M338-$A$15,BN$13)))</f>
        <v>1000000000000</v>
      </c>
      <c r="BO338" s="171">
        <f ca="1">IF(OR($D338&lt;&gt;"Serviço",AND(AUTOEVENTO="Manual",$M338=$A$15)),0,
         IF(OFFSET(CRONOPLE!$F$15,$M338-$A$15,BO$13)=0,10^12,OFFSET(CRONOPLE!$F$15,$M338-$A$15,BO$13)))</f>
        <v>1000000000000</v>
      </c>
      <c r="BP338" s="171">
        <f ca="1">IF(OR($D338&lt;&gt;"Serviço",AND(AUTOEVENTO="Manual",$M338=$A$15)),0,
         IF(OFFSET(CRONOPLE!$F$15,$M338-$A$15,BP$13)=0,10^12,OFFSET(CRONOPLE!$F$15,$M338-$A$15,BP$13)))</f>
        <v>1000000000000</v>
      </c>
      <c r="BQ338" s="171">
        <f ca="1">IF(OR($D338&lt;&gt;"Serviço",AND(AUTOEVENTO="Manual",$M338=$A$15)),0,
         IF(OFFSET(CRONOPLE!$F$15,$M338-$A$15,BQ$13)=0,10^12,OFFSET(CRONOPLE!$F$15,$M338-$A$15,BQ$13)))</f>
        <v>1000000000000</v>
      </c>
      <c r="BR338" s="171">
        <f ca="1">IF(OR($D338&lt;&gt;"Serviço",AND(AUTOEVENTO="Manual",$M338=$A$15)),0,
         IF(OFFSET(CRONOPLE!$F$15,$M338-$A$15,BR$13)=0,10^12,OFFSET(CRONOPLE!$F$15,$M338-$A$15,BR$13)))</f>
        <v>1000000000000</v>
      </c>
      <c r="BS338" s="171">
        <f ca="1">IF(OR($D338&lt;&gt;"Serviço",AND(AUTOEVENTO="Manual",$M338=$A$15)),0,
         IF(OFFSET(CRONOPLE!$F$15,$M338-$A$15,BS$13)=0,10^12,OFFSET(CRONOPLE!$F$15,$M338-$A$15,BS$13)))</f>
        <v>1000000000000</v>
      </c>
      <c r="BT338" s="171">
        <f ca="1">IF(OR($D338&lt;&gt;"Serviço",AND(AUTOEVENTO="Manual",$M338=$A$15)),0,
         IF(OFFSET(CRONOPLE!$F$15,$M338-$A$15,BT$13)=0,10^12,OFFSET(CRONOPLE!$F$15,$M338-$A$15,BT$13)))</f>
        <v>1000000000000</v>
      </c>
      <c r="BV338" s="172">
        <f ca="1">IF(OR($D338&lt;&gt;"Serviço",AND(AUTOEVENTO="Manual",$M338=$A$15),$M338&gt;(ROW(PLE.lastrow)-ROW(PLE.firstrow))),0,
           IF(OFFSET(PLE!$G$15,$M338-$A$15,BV$13)="",10^12,OFFSET(PLE!$G$15,$M338-$A$15,BV$13)))</f>
        <v>1000000000000</v>
      </c>
      <c r="BW338" s="172">
        <f ca="1">IF(OR($D338&lt;&gt;"Serviço",AND(AUTOEVENTO="Manual",$M338=$A$15),$M338&gt;(ROW(PLE.lastrow)-ROW(PLE.firstrow))),0,
           IF(OFFSET(PLE!$G$15,$M338-$A$15,BW$13)="",10^12,OFFSET(PLE!$G$15,$M338-$A$15,BW$13)))</f>
        <v>1000000000000</v>
      </c>
      <c r="BX338" s="172">
        <f ca="1">IF(OR($D338&lt;&gt;"Serviço",AND(AUTOEVENTO="Manual",$M338=$A$15),$M338&gt;(ROW(PLE.lastrow)-ROW(PLE.firstrow))),0,
           IF(OFFSET(PLE!$G$15,$M338-$A$15,BX$13)="",10^12,OFFSET(PLE!$G$15,$M338-$A$15,BX$13)))</f>
        <v>1000000000000</v>
      </c>
      <c r="BY338" s="172">
        <f ca="1">IF(OR($D338&lt;&gt;"Serviço",AND(AUTOEVENTO="Manual",$M338=$A$15),$M338&gt;(ROW(PLE.lastrow)-ROW(PLE.firstrow))),0,
           IF(OFFSET(PLE!$G$15,$M338-$A$15,BY$13)="",10^12,OFFSET(PLE!$G$15,$M338-$A$15,BY$13)))</f>
        <v>1000000000000</v>
      </c>
      <c r="BZ338" s="172">
        <f ca="1">IF(OR($D338&lt;&gt;"Serviço",AND(AUTOEVENTO="Manual",$M338=$A$15),$M338&gt;(ROW(PLE.lastrow)-ROW(PLE.firstrow))),0,
           IF(OFFSET(PLE!$G$15,$M338-$A$15,BZ$13)="",10^12,OFFSET(PLE!$G$15,$M338-$A$15,BZ$13)))</f>
        <v>1000000000000</v>
      </c>
      <c r="CA338" s="172">
        <f ca="1">IF(OR($D338&lt;&gt;"Serviço",AND(AUTOEVENTO="Manual",$M338=$A$15),$M338&gt;(ROW(PLE.lastrow)-ROW(PLE.firstrow))),0,
           IF(OFFSET(PLE!$G$15,$M338-$A$15,CA$13)="",10^12,OFFSET(PLE!$G$15,$M338-$A$15,CA$13)))</f>
        <v>1000000000000</v>
      </c>
      <c r="CB338" s="172">
        <f ca="1">IF(OR($D338&lt;&gt;"Serviço",AND(AUTOEVENTO="Manual",$M338=$A$15),$M338&gt;(ROW(PLE.lastrow)-ROW(PLE.firstrow))),0,
           IF(OFFSET(PLE!$G$15,$M338-$A$15,CB$13)="",10^12,OFFSET(PLE!$G$15,$M338-$A$15,CB$13)))</f>
        <v>1000000000000</v>
      </c>
      <c r="CC338" s="172">
        <f ca="1">IF(OR($D338&lt;&gt;"Serviço",AND(AUTOEVENTO="Manual",$M338=$A$15),$M338&gt;(ROW(PLE.lastrow)-ROW(PLE.firstrow))),0,
           IF(OFFSET(PLE!$G$15,$M338-$A$15,CC$13)="",10^12,OFFSET(PLE!$G$15,$M338-$A$15,CC$13)))</f>
        <v>1000000000000</v>
      </c>
      <c r="CD338" s="172">
        <f ca="1">IF(OR($D338&lt;&gt;"Serviço",AND(AUTOEVENTO="Manual",$M338=$A$15),$M338&gt;(ROW(PLE.lastrow)-ROW(PLE.firstrow))),0,
           IF(OFFSET(PLE!$G$15,$M338-$A$15,CD$13)="",10^12,OFFSET(PLE!$G$15,$M338-$A$15,CD$13)))</f>
        <v>1000000000000</v>
      </c>
      <c r="CE338" s="172">
        <f ca="1">IF(OR($D338&lt;&gt;"Serviço",AND(AUTOEVENTO="Manual",$M338=$A$15),$M338&gt;(ROW(PLE.lastrow)-ROW(PLE.firstrow))),0,
           IF(OFFSET(PLE!$G$15,$M338-$A$15,CE$13)="",10^12,OFFSET(PLE!$G$15,$M338-$A$15,CE$13)))</f>
        <v>1000000000000</v>
      </c>
      <c r="CF338" s="172">
        <f ca="1">IF(OR($D338&lt;&gt;"Serviço",AND(AUTOEVENTO="Manual",$M338=$A$15),$M338&gt;(ROW(PLE.lastrow)-ROW(PLE.firstrow))),0,
           IF(OFFSET(PLE!$G$15,$M338-$A$15,CF$13)="",10^12,OFFSET(PLE!$G$15,$M338-$A$15,CF$13)))</f>
        <v>1000000000000</v>
      </c>
      <c r="CG338" s="172">
        <f ca="1">IF(OR($D338&lt;&gt;"Serviço",AND(AUTOEVENTO="Manual",$M338=$A$15),$M338&gt;(ROW(PLE.lastrow)-ROW(PLE.firstrow))),0,
           IF(OFFSET(PLE!$G$15,$M338-$A$15,CG$13)="",10^12,OFFSET(PLE!$G$15,$M338-$A$15,CG$13)))</f>
        <v>1000000000000</v>
      </c>
      <c r="CH338" s="172">
        <f ca="1">IF(OR($D338&lt;&gt;"Serviço",AND(AUTOEVENTO="Manual",$M338=$A$15),$M338&gt;(ROW(PLE.lastrow)-ROW(PLE.firstrow))),0,
           IF(OFFSET(PLE!$G$15,$M338-$A$15,CH$13)="",10^12,OFFSET(PLE!$G$15,$M338-$A$15,CH$13)))</f>
        <v>1000000000000</v>
      </c>
      <c r="CI338" s="172">
        <f ca="1">IF(OR($D338&lt;&gt;"Serviço",AND(AUTOEVENTO="Manual",$M338=$A$15),$M338&gt;(ROW(PLE.lastrow)-ROW(PLE.firstrow))),0,
           IF(OFFSET(PLE!$G$15,$M338-$A$15,CI$13)="",10^12,OFFSET(PLE!$G$15,$M338-$A$15,CI$13)))</f>
        <v>1000000000000</v>
      </c>
      <c r="CJ338" s="172">
        <f ca="1">IF(OR($D338&lt;&gt;"Serviço",AND(AUTOEVENTO="Manual",$M338=$A$15),$M338&gt;(ROW(PLE.lastrow)-ROW(PLE.firstrow))),0,
           IF(OFFSET(PLE!$G$15,$M338-$A$15,CJ$13)="",10^12,OFFSET(PLE!$G$15,$M338-$A$15,CJ$13)))</f>
        <v>1000000000000</v>
      </c>
      <c r="CK338" s="172">
        <f ca="1">IF(OR($D338&lt;&gt;"Serviço",AND(AUTOEVENTO="Manual",$M338=$A$15),$M338&gt;(ROW(PLE.lastrow)-ROW(PLE.firstrow))),0,
           IF(OFFSET(PLE!$G$15,$M338-$A$15,CK$13)="",10^12,OFFSET(PLE!$G$15,$M338-$A$15,CK$13)))</f>
        <v>1000000000000</v>
      </c>
      <c r="CL338" s="172">
        <f ca="1">IF(OR($D338&lt;&gt;"Serviço",AND(AUTOEVENTO="Manual",$M338=$A$15),$M338&gt;(ROW(PLE.lastrow)-ROW(PLE.firstrow))),0,
           IF(OFFSET(PLE!$G$15,$M338-$A$15,CL$13)="",10^12,OFFSET(PLE!$G$15,$M338-$A$15,CL$13)))</f>
        <v>1000000000000</v>
      </c>
      <c r="CM338" s="172">
        <f ca="1">IF(OR($D338&lt;&gt;"Serviço",AND(AUTOEVENTO="Manual",$M338=$A$15),$M338&gt;(ROW(PLE.lastrow)-ROW(PLE.firstrow))),0,
           IF(OFFSET(PLE!$G$15,$M338-$A$15,CM$13)="",10^12,OFFSET(PLE!$G$15,$M338-$A$15,CM$13)))</f>
        <v>1000000000000</v>
      </c>
    </row>
    <row r="339" spans="1:91" ht="51" x14ac:dyDescent="0.2">
      <c r="A339" s="7">
        <f t="shared" ref="A339:A401" ca="1" si="15">IFERROR(IF(AUTOEVENTO="Manual",IF(K339&lt;&gt;"",MIN(VALUE(LEFT(K339,FIND(".",K339)-1)),COUNTA(EVENTOS.Lista)),0),IF(OR($B339&gt;AUTOEVENTO,$B339="S",$B339=0),SUBSTITUTE(OFFSET($A339,-1,0),IF($D339="Serviço",".",""),""),ROW(A339)-ROW($A$15)&amp;".")),0)</f>
        <v>6</v>
      </c>
      <c r="B339" s="7" t="str">
        <f ca="1">OFFSET(ORÇAMENTO!C$15,ROW(B339)-ROW(B$15),0)</f>
        <v>S</v>
      </c>
      <c r="C339" s="7" t="str">
        <f ca="1">OFFSET(ORÇAMENTO!L$15,ROW(C339)-ROW(C$15),0)</f>
        <v>F</v>
      </c>
      <c r="D339" s="116" t="str">
        <f ca="1">OFFSET(ORÇAMENTO!N$15,ROW(D339)-ROW(D$15),0)</f>
        <v>Serviço</v>
      </c>
      <c r="E339" s="117" t="str">
        <f ca="1">OFFSET(ORÇAMENTO!O$15,ROW(E339)-ROW(E$15),0)</f>
        <v>1.7.5.2.2.</v>
      </c>
      <c r="F339" s="163" t="str">
        <f ca="1">OFFSET(ORÇAMENTO!R$15,ROW(F339)-ROW(F$15),0)</f>
        <v>ASSENTAMENTO DE TUBO DE FERRO FUNDIDO PARA REDE DE ÁGUA, DN 600 MM, JUNTA ELÁSTICA, INSTALADO EM LOCAL COM NÍVEL BAIXO DE INTERFERÊNCIAS (NÃO INCLUI FORNECIMENTO). AF_05/2024</v>
      </c>
      <c r="G339" s="164" t="str">
        <f ca="1">IF($D339&lt;&gt;"Serviço","",OFFSET(ORÇAMENTO!S$15,ROW(G339)-ROW(G$15),0))</f>
        <v>M</v>
      </c>
      <c r="H339" s="122" cm="1">
        <f t="array" aca="1" ref="H339" ca="1">IF($D339&lt;&gt;"Serviço",0,IF(ACOMPANHAMENTO="BM",ROUND(OFFSET(ORÇAMENTO!AJ$15,ROW(H339)-ROW(H$15),0),15-13*ORÇAMENTO!$AF$7),SUMPRODUCT(($Q$1:$AI$1=1)*ROUND($Q339:$AI339,15-13*ORÇAMENTO!$AF$7))))</f>
        <v>16.8</v>
      </c>
      <c r="I339" s="468" t="s">
        <v>1347</v>
      </c>
      <c r="J339" s="640" t="str" cm="1">
        <f t="array" aca="1" ref="J339" ca="1">IF(OR(B339&lt;&gt;"S",CÁLCULO.FrentesPreenchidas=0),"",IF(AND(ACOMPANHAMENTO="PLE",AUTOEVENTO="Manual",OR(H339&gt;0,ORÇAMENTO!AC339="QUANT."),OR(K339="",M339=0,N339="")),"►E",IF(AND(ACOMPANHAMENTO="PLE",ORÇAMENTO!AC339="QUANT."),"►Q",IF(AND(ACOMPANHAMENTO="PLE",H339&lt;&gt;SUMPRODUCT(($Q$1:$AI$1=1)*ROUND(Q339:AI339,15))),"►S",IF(AND(COUNTIF($P$11:$AI$11,"▼")=0,H339&gt;0,I339=""),"◄M","")))))</f>
        <v/>
      </c>
      <c r="K339" s="641" t="s">
        <v>1385</v>
      </c>
      <c r="L339" s="165" t="s">
        <v>764</v>
      </c>
      <c r="M339" s="166">
        <f ca="1">IF($D339&lt;&gt;"Serviço","",
          IF(AUTOEVENTO="manual",$A339,
                IF(ISERROR(MATCH($A339,$A$15:OFFSET($A339,-1,0),0)),MAX($M$15:OFFSET(M339,-1,0))+1,
                      INDEX($M$15:OFFSET(M339,-1,0),MATCH($A339,$A$15:OFFSET($A339,-1,0),0)))))</f>
        <v>6</v>
      </c>
      <c r="N339" s="167" t="str">
        <f ca="1">IF($D339&lt;&gt;"Serviço","",
         IF(AUTOEVENTO="Manual",
                IF($A339=0,"&lt;-- defina o número do agrupador",
                       OFFSET(EVENTOS!$D$15,$A339-$A$15,0)),
                OFFSET($F$15,$A339,0)))</f>
        <v>Saneamento</v>
      </c>
      <c r="O339" s="168"/>
      <c r="Q339" s="168"/>
      <c r="R339" s="169"/>
      <c r="S339" s="169"/>
      <c r="T339" s="169"/>
      <c r="U339" s="169"/>
      <c r="V339" s="169">
        <f>V331*1.2+V333*0.4+V334*6+V336*2</f>
        <v>16.8</v>
      </c>
      <c r="W339" s="169"/>
      <c r="X339" s="169"/>
      <c r="Y339" s="169"/>
      <c r="Z339" s="170"/>
      <c r="AA339" s="169"/>
      <c r="AB339" s="169"/>
      <c r="AC339" s="169"/>
      <c r="AD339" s="169"/>
      <c r="AE339" s="169"/>
      <c r="AF339" s="169"/>
      <c r="AG339" s="169"/>
      <c r="AH339" s="170"/>
      <c r="AJ339" s="453">
        <f ca="1">IF(AND($D339="Serviço",AJ$12&lt;&gt;0,$H339&gt;0,OR(AUTOEVENTO&lt;&gt;"manual",$M339&lt;&gt;$A$15)),
        IF(Import.TipoArredondamento&lt;&gt;"TransfereGOV",
              ROUND(OFFSET($P339,0,AJ$13),15-13*ORÇAMENTO!$AF$7)/$H339*OFFSET(ORÇAMENTO!$X$15,ROW(AJ339)-ROW(AJ$15),0),
              ROUND(ROUND(OFFSET($P339,0,AJ$13),15-13*ORÇAMENTO!$AF$7)*OFFSET(ORÇAMENTO!$W$15,ROW(AJ339)-ROW(AJ$15),0),15-13*ORÇAMENTO!$AF$11)),
         0)</f>
        <v>0</v>
      </c>
      <c r="AK339" s="453">
        <f ca="1">IF(AND($D339="Serviço",AK$12&lt;&gt;0,$H339&gt;0,OR(AUTOEVENTO&lt;&gt;"manual",$M339&lt;&gt;$A$15)),
        IF(Import.TipoArredondamento&lt;&gt;"TransfereGOV",
              ROUND(OFFSET($P339,0,AK$13),15-13*ORÇAMENTO!$AF$7)/$H339*OFFSET(ORÇAMENTO!$X$15,ROW(AK339)-ROW(AK$15),0),
              ROUND(ROUND(OFFSET($P339,0,AK$13),15-13*ORÇAMENTO!$AF$7)*OFFSET(ORÇAMENTO!$W$15,ROW(AK339)-ROW(AK$15),0),15-13*ORÇAMENTO!$AF$11)),
         0)</f>
        <v>0</v>
      </c>
      <c r="AL339" s="453">
        <f ca="1">IF(AND($D339="Serviço",AL$12&lt;&gt;0,$H339&gt;0,OR(AUTOEVENTO&lt;&gt;"manual",$M339&lt;&gt;$A$15)),
        IF(Import.TipoArredondamento&lt;&gt;"TransfereGOV",
              ROUND(OFFSET($P339,0,AL$13),15-13*ORÇAMENTO!$AF$7)/$H339*OFFSET(ORÇAMENTO!$X$15,ROW(AL339)-ROW(AL$15),0),
              ROUND(ROUND(OFFSET($P339,0,AL$13),15-13*ORÇAMENTO!$AF$7)*OFFSET(ORÇAMENTO!$W$15,ROW(AL339)-ROW(AL$15),0),15-13*ORÇAMENTO!$AF$11)),
         0)</f>
        <v>0</v>
      </c>
      <c r="AM339" s="453">
        <f ca="1">IF(AND($D339="Serviço",AM$12&lt;&gt;0,$H339&gt;0,OR(AUTOEVENTO&lt;&gt;"manual",$M339&lt;&gt;$A$15)),
        IF(Import.TipoArredondamento&lt;&gt;"TransfereGOV",
              ROUND(OFFSET($P339,0,AM$13),15-13*ORÇAMENTO!$AF$7)/$H339*OFFSET(ORÇAMENTO!$X$15,ROW(AM339)-ROW(AM$15),0),
              ROUND(ROUND(OFFSET($P339,0,AM$13),15-13*ORÇAMENTO!$AF$7)*OFFSET(ORÇAMENTO!$W$15,ROW(AM339)-ROW(AM$15),0),15-13*ORÇAMENTO!$AF$11)),
         0)</f>
        <v>0</v>
      </c>
      <c r="AN339" s="453">
        <f ca="1">IF(AND($D339="Serviço",AN$12&lt;&gt;0,$H339&gt;0,OR(AUTOEVENTO&lt;&gt;"manual",$M339&lt;&gt;$A$15)),
        IF(Import.TipoArredondamento&lt;&gt;"TransfereGOV",
              ROUND(OFFSET($P339,0,AN$13),15-13*ORÇAMENTO!$AF$7)/$H339*OFFSET(ORÇAMENTO!$X$15,ROW(AN339)-ROW(AN$15),0),
              ROUND(ROUND(OFFSET($P339,0,AN$13),15-13*ORÇAMENTO!$AF$7)*OFFSET(ORÇAMENTO!$W$15,ROW(AN339)-ROW(AN$15),0),15-13*ORÇAMENTO!$AF$11)),
         0)</f>
        <v>0</v>
      </c>
      <c r="AO339" s="453">
        <f ca="1">IF(AND($D339="Serviço",AO$12&lt;&gt;0,$H339&gt;0,OR(AUTOEVENTO&lt;&gt;"manual",$M339&lt;&gt;$A$15)),
        IF(Import.TipoArredondamento&lt;&gt;"TransfereGOV",
              ROUND(OFFSET($P339,0,AO$13),15-13*ORÇAMENTO!$AF$7)/$H339*OFFSET(ORÇAMENTO!$X$15,ROW(AO339)-ROW(AO$15),0),
              ROUND(ROUND(OFFSET($P339,0,AO$13),15-13*ORÇAMENTO!$AF$7)*OFFSET(ORÇAMENTO!$W$15,ROW(AO339)-ROW(AO$15),0),15-13*ORÇAMENTO!$AF$11)),
         0)</f>
        <v>0</v>
      </c>
      <c r="AP339" s="453">
        <f ca="1">IF(AND($D339="Serviço",AP$12&lt;&gt;0,$H339&gt;0,OR(AUTOEVENTO&lt;&gt;"manual",$M339&lt;&gt;$A$15)),
        IF(Import.TipoArredondamento&lt;&gt;"TransfereGOV",
              ROUND(OFFSET($P339,0,AP$13),15-13*ORÇAMENTO!$AF$7)/$H339*OFFSET(ORÇAMENTO!$X$15,ROW(AP339)-ROW(AP$15),0),
              ROUND(ROUND(OFFSET($P339,0,AP$13),15-13*ORÇAMENTO!$AF$7)*OFFSET(ORÇAMENTO!$W$15,ROW(AP339)-ROW(AP$15),0),15-13*ORÇAMENTO!$AF$11)),
         0)</f>
        <v>0</v>
      </c>
      <c r="AQ339" s="453">
        <f ca="1">IF(AND($D339="Serviço",AQ$12&lt;&gt;0,$H339&gt;0,OR(AUTOEVENTO&lt;&gt;"manual",$M339&lt;&gt;$A$15)),
        IF(Import.TipoArredondamento&lt;&gt;"TransfereGOV",
              ROUND(OFFSET($P339,0,AQ$13),15-13*ORÇAMENTO!$AF$7)/$H339*OFFSET(ORÇAMENTO!$X$15,ROW(AQ339)-ROW(AQ$15),0),
              ROUND(ROUND(OFFSET($P339,0,AQ$13),15-13*ORÇAMENTO!$AF$7)*OFFSET(ORÇAMENTO!$W$15,ROW(AQ339)-ROW(AQ$15),0),15-13*ORÇAMENTO!$AF$11)),
         0)</f>
        <v>0</v>
      </c>
      <c r="AR339" s="453">
        <f ca="1">IF(AND($D339="Serviço",AR$12&lt;&gt;0,$H339&gt;0,OR(AUTOEVENTO&lt;&gt;"manual",$M339&lt;&gt;$A$15)),
        IF(Import.TipoArredondamento&lt;&gt;"TransfereGOV",
              ROUND(OFFSET($P339,0,AR$13),15-13*ORÇAMENTO!$AF$7)/$H339*OFFSET(ORÇAMENTO!$X$15,ROW(AR339)-ROW(AR$15),0),
              ROUND(ROUND(OFFSET($P339,0,AR$13),15-13*ORÇAMENTO!$AF$7)*OFFSET(ORÇAMENTO!$W$15,ROW(AR339)-ROW(AR$15),0),15-13*ORÇAMENTO!$AF$11)),
         0)</f>
        <v>0</v>
      </c>
      <c r="AS339" s="453">
        <f ca="1">IF(AND($D339="Serviço",AS$12&lt;&gt;0,$H339&gt;0,OR(AUTOEVENTO&lt;&gt;"manual",$M339&lt;&gt;$A$15)),
        IF(Import.TipoArredondamento&lt;&gt;"TransfereGOV",
              ROUND(OFFSET($P339,0,AS$13),15-13*ORÇAMENTO!$AF$7)/$H339*OFFSET(ORÇAMENTO!$X$15,ROW(AS339)-ROW(AS$15),0),
              ROUND(ROUND(OFFSET($P339,0,AS$13),15-13*ORÇAMENTO!$AF$7)*OFFSET(ORÇAMENTO!$W$15,ROW(AS339)-ROW(AS$15),0),15-13*ORÇAMENTO!$AF$11)),
         0)</f>
        <v>0</v>
      </c>
      <c r="AT339" s="453">
        <f ca="1">IF(AND($D339="Serviço",AT$12&lt;&gt;0,$H339&gt;0,OR(AUTOEVENTO&lt;&gt;"manual",$M339&lt;&gt;$A$15)),
        IF(Import.TipoArredondamento&lt;&gt;"TransfereGOV",
              ROUND(OFFSET($P339,0,AT$13),15-13*ORÇAMENTO!$AF$7)/$H339*OFFSET(ORÇAMENTO!$X$15,ROW(AT339)-ROW(AT$15),0),
              ROUND(ROUND(OFFSET($P339,0,AT$13),15-13*ORÇAMENTO!$AF$7)*OFFSET(ORÇAMENTO!$W$15,ROW(AT339)-ROW(AT$15),0),15-13*ORÇAMENTO!$AF$11)),
         0)</f>
        <v>0</v>
      </c>
      <c r="AU339" s="453">
        <f ca="1">IF(AND($D339="Serviço",AU$12&lt;&gt;0,$H339&gt;0,OR(AUTOEVENTO&lt;&gt;"manual",$M339&lt;&gt;$A$15)),
        IF(Import.TipoArredondamento&lt;&gt;"TransfereGOV",
              ROUND(OFFSET($P339,0,AU$13),15-13*ORÇAMENTO!$AF$7)/$H339*OFFSET(ORÇAMENTO!$X$15,ROW(AU339)-ROW(AU$15),0),
              ROUND(ROUND(OFFSET($P339,0,AU$13),15-13*ORÇAMENTO!$AF$7)*OFFSET(ORÇAMENTO!$W$15,ROW(AU339)-ROW(AU$15),0),15-13*ORÇAMENTO!$AF$11)),
         0)</f>
        <v>0</v>
      </c>
      <c r="AV339" s="453">
        <f ca="1">IF(AND($D339="Serviço",AV$12&lt;&gt;0,$H339&gt;0,OR(AUTOEVENTO&lt;&gt;"manual",$M339&lt;&gt;$A$15)),
        IF(Import.TipoArredondamento&lt;&gt;"TransfereGOV",
              ROUND(OFFSET($P339,0,AV$13),15-13*ORÇAMENTO!$AF$7)/$H339*OFFSET(ORÇAMENTO!$X$15,ROW(AV339)-ROW(AV$15),0),
              ROUND(ROUND(OFFSET($P339,0,AV$13),15-13*ORÇAMENTO!$AF$7)*OFFSET(ORÇAMENTO!$W$15,ROW(AV339)-ROW(AV$15),0),15-13*ORÇAMENTO!$AF$11)),
         0)</f>
        <v>0</v>
      </c>
      <c r="AW339" s="453">
        <f ca="1">IF(AND($D339="Serviço",AW$12&lt;&gt;0,$H339&gt;0,OR(AUTOEVENTO&lt;&gt;"manual",$M339&lt;&gt;$A$15)),
        IF(Import.TipoArredondamento&lt;&gt;"TransfereGOV",
              ROUND(OFFSET($P339,0,AW$13),15-13*ORÇAMENTO!$AF$7)/$H339*OFFSET(ORÇAMENTO!$X$15,ROW(AW339)-ROW(AW$15),0),
              ROUND(ROUND(OFFSET($P339,0,AW$13),15-13*ORÇAMENTO!$AF$7)*OFFSET(ORÇAMENTO!$W$15,ROW(AW339)-ROW(AW$15),0),15-13*ORÇAMENTO!$AF$11)),
         0)</f>
        <v>0</v>
      </c>
      <c r="AX339" s="453">
        <f ca="1">IF(AND($D339="Serviço",AX$12&lt;&gt;0,$H339&gt;0,OR(AUTOEVENTO&lt;&gt;"manual",$M339&lt;&gt;$A$15)),
        IF(Import.TipoArredondamento&lt;&gt;"TransfereGOV",
              ROUND(OFFSET($P339,0,AX$13),15-13*ORÇAMENTO!$AF$7)/$H339*OFFSET(ORÇAMENTO!$X$15,ROW(AX339)-ROW(AX$15),0),
              ROUND(ROUND(OFFSET($P339,0,AX$13),15-13*ORÇAMENTO!$AF$7)*OFFSET(ORÇAMENTO!$W$15,ROW(AX339)-ROW(AX$15),0),15-13*ORÇAMENTO!$AF$11)),
         0)</f>
        <v>0</v>
      </c>
      <c r="AY339" s="453">
        <f ca="1">IF(AND($D339="Serviço",AY$12&lt;&gt;0,$H339&gt;0,OR(AUTOEVENTO&lt;&gt;"manual",$M339&lt;&gt;$A$15)),
        IF(Import.TipoArredondamento&lt;&gt;"TransfereGOV",
              ROUND(OFFSET($P339,0,AY$13),15-13*ORÇAMENTO!$AF$7)/$H339*OFFSET(ORÇAMENTO!$X$15,ROW(AY339)-ROW(AY$15),0),
              ROUND(ROUND(OFFSET($P339,0,AY$13),15-13*ORÇAMENTO!$AF$7)*OFFSET(ORÇAMENTO!$W$15,ROW(AY339)-ROW(AY$15),0),15-13*ORÇAMENTO!$AF$11)),
         0)</f>
        <v>0</v>
      </c>
      <c r="AZ339" s="453">
        <f ca="1">IF(AND($D339="Serviço",AZ$12&lt;&gt;0,$H339&gt;0,OR(AUTOEVENTO&lt;&gt;"manual",$M339&lt;&gt;$A$15)),
        IF(Import.TipoArredondamento&lt;&gt;"TransfereGOV",
              ROUND(OFFSET($P339,0,AZ$13),15-13*ORÇAMENTO!$AF$7)/$H339*OFFSET(ORÇAMENTO!$X$15,ROW(AZ339)-ROW(AZ$15),0),
              ROUND(ROUND(OFFSET($P339,0,AZ$13),15-13*ORÇAMENTO!$AF$7)*OFFSET(ORÇAMENTO!$W$15,ROW(AZ339)-ROW(AZ$15),0),15-13*ORÇAMENTO!$AF$11)),
         0)</f>
        <v>0</v>
      </c>
      <c r="BA339" s="453">
        <f ca="1">IF(AND($D339="Serviço",BA$12&lt;&gt;0,$H339&gt;0,OR(AUTOEVENTO&lt;&gt;"manual",$M339&lt;&gt;$A$15)),
        IF(Import.TipoArredondamento&lt;&gt;"TransfereGOV",
              ROUND(OFFSET($P339,0,BA$13),15-13*ORÇAMENTO!$AF$7)/$H339*OFFSET(ORÇAMENTO!$X$15,ROW(BA339)-ROW(BA$15),0),
              ROUND(ROUND(OFFSET($P339,0,BA$13),15-13*ORÇAMENTO!$AF$7)*OFFSET(ORÇAMENTO!$W$15,ROW(BA339)-ROW(BA$15),0),15-13*ORÇAMENTO!$AF$11)),
         0)</f>
        <v>0</v>
      </c>
      <c r="BC339" s="171">
        <f ca="1">IF(OR($D339&lt;&gt;"Serviço",AND(AUTOEVENTO="Manual",$M339=$A$15)),0,
         IF(OFFSET(CRONOPLE!$F$15,$M339-$A$15,BC$13)=0,10^12,OFFSET(CRONOPLE!$F$15,$M339-$A$15,BC$13)))</f>
        <v>1</v>
      </c>
      <c r="BD339" s="171">
        <f ca="1">IF(OR($D339&lt;&gt;"Serviço",AND(AUTOEVENTO="Manual",$M339=$A$15)),0,
         IF(OFFSET(CRONOPLE!$F$15,$M339-$A$15,BD$13)=0,10^12,OFFSET(CRONOPLE!$F$15,$M339-$A$15,BD$13)))</f>
        <v>2</v>
      </c>
      <c r="BE339" s="171">
        <f ca="1">IF(OR($D339&lt;&gt;"Serviço",AND(AUTOEVENTO="Manual",$M339=$A$15)),0,
         IF(OFFSET(CRONOPLE!$F$15,$M339-$A$15,BE$13)=0,10^12,OFFSET(CRONOPLE!$F$15,$M339-$A$15,BE$13)))</f>
        <v>3</v>
      </c>
      <c r="BF339" s="171">
        <f ca="1">IF(OR($D339&lt;&gt;"Serviço",AND(AUTOEVENTO="Manual",$M339=$A$15)),0,
         IF(OFFSET(CRONOPLE!$F$15,$M339-$A$15,BF$13)=0,10^12,OFFSET(CRONOPLE!$F$15,$M339-$A$15,BF$13)))</f>
        <v>4</v>
      </c>
      <c r="BG339" s="171">
        <f ca="1">IF(OR($D339&lt;&gt;"Serviço",AND(AUTOEVENTO="Manual",$M339=$A$15)),0,
         IF(OFFSET(CRONOPLE!$F$15,$M339-$A$15,BG$13)=0,10^12,OFFSET(CRONOPLE!$F$15,$M339-$A$15,BG$13)))</f>
        <v>5</v>
      </c>
      <c r="BH339" s="171">
        <f ca="1">IF(OR($D339&lt;&gt;"Serviço",AND(AUTOEVENTO="Manual",$M339=$A$15)),0,
         IF(OFFSET(CRONOPLE!$F$15,$M339-$A$15,BH$13)=0,10^12,OFFSET(CRONOPLE!$F$15,$M339-$A$15,BH$13)))</f>
        <v>6</v>
      </c>
      <c r="BI339" s="171">
        <f ca="1">IF(OR($D339&lt;&gt;"Serviço",AND(AUTOEVENTO="Manual",$M339=$A$15)),0,
         IF(OFFSET(CRONOPLE!$F$15,$M339-$A$15,BI$13)=0,10^12,OFFSET(CRONOPLE!$F$15,$M339-$A$15,BI$13)))</f>
        <v>7</v>
      </c>
      <c r="BJ339" s="171">
        <f ca="1">IF(OR($D339&lt;&gt;"Serviço",AND(AUTOEVENTO="Manual",$M339=$A$15)),0,
         IF(OFFSET(CRONOPLE!$F$15,$M339-$A$15,BJ$13)=0,10^12,OFFSET(CRONOPLE!$F$15,$M339-$A$15,BJ$13)))</f>
        <v>8</v>
      </c>
      <c r="BK339" s="171">
        <f ca="1">IF(OR($D339&lt;&gt;"Serviço",AND(AUTOEVENTO="Manual",$M339=$A$15)),0,
         IF(OFFSET(CRONOPLE!$F$15,$M339-$A$15,BK$13)=0,10^12,OFFSET(CRONOPLE!$F$15,$M339-$A$15,BK$13)))</f>
        <v>9</v>
      </c>
      <c r="BL339" s="171">
        <f ca="1">IF(OR($D339&lt;&gt;"Serviço",AND(AUTOEVENTO="Manual",$M339=$A$15)),0,
         IF(OFFSET(CRONOPLE!$F$15,$M339-$A$15,BL$13)=0,10^12,OFFSET(CRONOPLE!$F$15,$M339-$A$15,BL$13)))</f>
        <v>1000000000000</v>
      </c>
      <c r="BM339" s="171">
        <f ca="1">IF(OR($D339&lt;&gt;"Serviço",AND(AUTOEVENTO="Manual",$M339=$A$15)),0,
         IF(OFFSET(CRONOPLE!$F$15,$M339-$A$15,BM$13)=0,10^12,OFFSET(CRONOPLE!$F$15,$M339-$A$15,BM$13)))</f>
        <v>1000000000000</v>
      </c>
      <c r="BN339" s="171">
        <f ca="1">IF(OR($D339&lt;&gt;"Serviço",AND(AUTOEVENTO="Manual",$M339=$A$15)),0,
         IF(OFFSET(CRONOPLE!$F$15,$M339-$A$15,BN$13)=0,10^12,OFFSET(CRONOPLE!$F$15,$M339-$A$15,BN$13)))</f>
        <v>1000000000000</v>
      </c>
      <c r="BO339" s="171">
        <f ca="1">IF(OR($D339&lt;&gt;"Serviço",AND(AUTOEVENTO="Manual",$M339=$A$15)),0,
         IF(OFFSET(CRONOPLE!$F$15,$M339-$A$15,BO$13)=0,10^12,OFFSET(CRONOPLE!$F$15,$M339-$A$15,BO$13)))</f>
        <v>1000000000000</v>
      </c>
      <c r="BP339" s="171">
        <f ca="1">IF(OR($D339&lt;&gt;"Serviço",AND(AUTOEVENTO="Manual",$M339=$A$15)),0,
         IF(OFFSET(CRONOPLE!$F$15,$M339-$A$15,BP$13)=0,10^12,OFFSET(CRONOPLE!$F$15,$M339-$A$15,BP$13)))</f>
        <v>1000000000000</v>
      </c>
      <c r="BQ339" s="171">
        <f ca="1">IF(OR($D339&lt;&gt;"Serviço",AND(AUTOEVENTO="Manual",$M339=$A$15)),0,
         IF(OFFSET(CRONOPLE!$F$15,$M339-$A$15,BQ$13)=0,10^12,OFFSET(CRONOPLE!$F$15,$M339-$A$15,BQ$13)))</f>
        <v>1000000000000</v>
      </c>
      <c r="BR339" s="171">
        <f ca="1">IF(OR($D339&lt;&gt;"Serviço",AND(AUTOEVENTO="Manual",$M339=$A$15)),0,
         IF(OFFSET(CRONOPLE!$F$15,$M339-$A$15,BR$13)=0,10^12,OFFSET(CRONOPLE!$F$15,$M339-$A$15,BR$13)))</f>
        <v>1000000000000</v>
      </c>
      <c r="BS339" s="171">
        <f ca="1">IF(OR($D339&lt;&gt;"Serviço",AND(AUTOEVENTO="Manual",$M339=$A$15)),0,
         IF(OFFSET(CRONOPLE!$F$15,$M339-$A$15,BS$13)=0,10^12,OFFSET(CRONOPLE!$F$15,$M339-$A$15,BS$13)))</f>
        <v>1000000000000</v>
      </c>
      <c r="BT339" s="171">
        <f ca="1">IF(OR($D339&lt;&gt;"Serviço",AND(AUTOEVENTO="Manual",$M339=$A$15)),0,
         IF(OFFSET(CRONOPLE!$F$15,$M339-$A$15,BT$13)=0,10^12,OFFSET(CRONOPLE!$F$15,$M339-$A$15,BT$13)))</f>
        <v>1000000000000</v>
      </c>
      <c r="BV339" s="172">
        <f ca="1">IF(OR($D339&lt;&gt;"Serviço",AND(AUTOEVENTO="Manual",$M339=$A$15),$M339&gt;(ROW(PLE.lastrow)-ROW(PLE.firstrow))),0,
           IF(OFFSET(PLE!$G$15,$M339-$A$15,BV$13)="",10^12,OFFSET(PLE!$G$15,$M339-$A$15,BV$13)))</f>
        <v>1000000000000</v>
      </c>
      <c r="BW339" s="172">
        <f ca="1">IF(OR($D339&lt;&gt;"Serviço",AND(AUTOEVENTO="Manual",$M339=$A$15),$M339&gt;(ROW(PLE.lastrow)-ROW(PLE.firstrow))),0,
           IF(OFFSET(PLE!$G$15,$M339-$A$15,BW$13)="",10^12,OFFSET(PLE!$G$15,$M339-$A$15,BW$13)))</f>
        <v>1000000000000</v>
      </c>
      <c r="BX339" s="172">
        <f ca="1">IF(OR($D339&lt;&gt;"Serviço",AND(AUTOEVENTO="Manual",$M339=$A$15),$M339&gt;(ROW(PLE.lastrow)-ROW(PLE.firstrow))),0,
           IF(OFFSET(PLE!$G$15,$M339-$A$15,BX$13)="",10^12,OFFSET(PLE!$G$15,$M339-$A$15,BX$13)))</f>
        <v>1000000000000</v>
      </c>
      <c r="BY339" s="172">
        <f ca="1">IF(OR($D339&lt;&gt;"Serviço",AND(AUTOEVENTO="Manual",$M339=$A$15),$M339&gt;(ROW(PLE.lastrow)-ROW(PLE.firstrow))),0,
           IF(OFFSET(PLE!$G$15,$M339-$A$15,BY$13)="",10^12,OFFSET(PLE!$G$15,$M339-$A$15,BY$13)))</f>
        <v>1000000000000</v>
      </c>
      <c r="BZ339" s="172">
        <f ca="1">IF(OR($D339&lt;&gt;"Serviço",AND(AUTOEVENTO="Manual",$M339=$A$15),$M339&gt;(ROW(PLE.lastrow)-ROW(PLE.firstrow))),0,
           IF(OFFSET(PLE!$G$15,$M339-$A$15,BZ$13)="",10^12,OFFSET(PLE!$G$15,$M339-$A$15,BZ$13)))</f>
        <v>1000000000000</v>
      </c>
      <c r="CA339" s="172">
        <f ca="1">IF(OR($D339&lt;&gt;"Serviço",AND(AUTOEVENTO="Manual",$M339=$A$15),$M339&gt;(ROW(PLE.lastrow)-ROW(PLE.firstrow))),0,
           IF(OFFSET(PLE!$G$15,$M339-$A$15,CA$13)="",10^12,OFFSET(PLE!$G$15,$M339-$A$15,CA$13)))</f>
        <v>1000000000000</v>
      </c>
      <c r="CB339" s="172">
        <f ca="1">IF(OR($D339&lt;&gt;"Serviço",AND(AUTOEVENTO="Manual",$M339=$A$15),$M339&gt;(ROW(PLE.lastrow)-ROW(PLE.firstrow))),0,
           IF(OFFSET(PLE!$G$15,$M339-$A$15,CB$13)="",10^12,OFFSET(PLE!$G$15,$M339-$A$15,CB$13)))</f>
        <v>1000000000000</v>
      </c>
      <c r="CC339" s="172">
        <f ca="1">IF(OR($D339&lt;&gt;"Serviço",AND(AUTOEVENTO="Manual",$M339=$A$15),$M339&gt;(ROW(PLE.lastrow)-ROW(PLE.firstrow))),0,
           IF(OFFSET(PLE!$G$15,$M339-$A$15,CC$13)="",10^12,OFFSET(PLE!$G$15,$M339-$A$15,CC$13)))</f>
        <v>1000000000000</v>
      </c>
      <c r="CD339" s="172">
        <f ca="1">IF(OR($D339&lt;&gt;"Serviço",AND(AUTOEVENTO="Manual",$M339=$A$15),$M339&gt;(ROW(PLE.lastrow)-ROW(PLE.firstrow))),0,
           IF(OFFSET(PLE!$G$15,$M339-$A$15,CD$13)="",10^12,OFFSET(PLE!$G$15,$M339-$A$15,CD$13)))</f>
        <v>1000000000000</v>
      </c>
      <c r="CE339" s="172">
        <f ca="1">IF(OR($D339&lt;&gt;"Serviço",AND(AUTOEVENTO="Manual",$M339=$A$15),$M339&gt;(ROW(PLE.lastrow)-ROW(PLE.firstrow))),0,
           IF(OFFSET(PLE!$G$15,$M339-$A$15,CE$13)="",10^12,OFFSET(PLE!$G$15,$M339-$A$15,CE$13)))</f>
        <v>1000000000000</v>
      </c>
      <c r="CF339" s="172">
        <f ca="1">IF(OR($D339&lt;&gt;"Serviço",AND(AUTOEVENTO="Manual",$M339=$A$15),$M339&gt;(ROW(PLE.lastrow)-ROW(PLE.firstrow))),0,
           IF(OFFSET(PLE!$G$15,$M339-$A$15,CF$13)="",10^12,OFFSET(PLE!$G$15,$M339-$A$15,CF$13)))</f>
        <v>1000000000000</v>
      </c>
      <c r="CG339" s="172">
        <f ca="1">IF(OR($D339&lt;&gt;"Serviço",AND(AUTOEVENTO="Manual",$M339=$A$15),$M339&gt;(ROW(PLE.lastrow)-ROW(PLE.firstrow))),0,
           IF(OFFSET(PLE!$G$15,$M339-$A$15,CG$13)="",10^12,OFFSET(PLE!$G$15,$M339-$A$15,CG$13)))</f>
        <v>1000000000000</v>
      </c>
      <c r="CH339" s="172">
        <f ca="1">IF(OR($D339&lt;&gt;"Serviço",AND(AUTOEVENTO="Manual",$M339=$A$15),$M339&gt;(ROW(PLE.lastrow)-ROW(PLE.firstrow))),0,
           IF(OFFSET(PLE!$G$15,$M339-$A$15,CH$13)="",10^12,OFFSET(PLE!$G$15,$M339-$A$15,CH$13)))</f>
        <v>1000000000000</v>
      </c>
      <c r="CI339" s="172">
        <f ca="1">IF(OR($D339&lt;&gt;"Serviço",AND(AUTOEVENTO="Manual",$M339=$A$15),$M339&gt;(ROW(PLE.lastrow)-ROW(PLE.firstrow))),0,
           IF(OFFSET(PLE!$G$15,$M339-$A$15,CI$13)="",10^12,OFFSET(PLE!$G$15,$M339-$A$15,CI$13)))</f>
        <v>1000000000000</v>
      </c>
      <c r="CJ339" s="172">
        <f ca="1">IF(OR($D339&lt;&gt;"Serviço",AND(AUTOEVENTO="Manual",$M339=$A$15),$M339&gt;(ROW(PLE.lastrow)-ROW(PLE.firstrow))),0,
           IF(OFFSET(PLE!$G$15,$M339-$A$15,CJ$13)="",10^12,OFFSET(PLE!$G$15,$M339-$A$15,CJ$13)))</f>
        <v>1000000000000</v>
      </c>
      <c r="CK339" s="172">
        <f ca="1">IF(OR($D339&lt;&gt;"Serviço",AND(AUTOEVENTO="Manual",$M339=$A$15),$M339&gt;(ROW(PLE.lastrow)-ROW(PLE.firstrow))),0,
           IF(OFFSET(PLE!$G$15,$M339-$A$15,CK$13)="",10^12,OFFSET(PLE!$G$15,$M339-$A$15,CK$13)))</f>
        <v>1000000000000</v>
      </c>
      <c r="CL339" s="172">
        <f ca="1">IF(OR($D339&lt;&gt;"Serviço",AND(AUTOEVENTO="Manual",$M339=$A$15),$M339&gt;(ROW(PLE.lastrow)-ROW(PLE.firstrow))),0,
           IF(OFFSET(PLE!$G$15,$M339-$A$15,CL$13)="",10^12,OFFSET(PLE!$G$15,$M339-$A$15,CL$13)))</f>
        <v>1000000000000</v>
      </c>
      <c r="CM339" s="172">
        <f ca="1">IF(OR($D339&lt;&gt;"Serviço",AND(AUTOEVENTO="Manual",$M339=$A$15),$M339&gt;(ROW(PLE.lastrow)-ROW(PLE.firstrow))),0,
           IF(OFFSET(PLE!$G$15,$M339-$A$15,CM$13)="",10^12,OFFSET(PLE!$G$15,$M339-$A$15,CM$13)))</f>
        <v>1000000000000</v>
      </c>
    </row>
    <row r="340" spans="1:91" ht="12.75" x14ac:dyDescent="0.2">
      <c r="A340" s="7">
        <f t="shared" ca="1" si="15"/>
        <v>7</v>
      </c>
      <c r="B340" s="7">
        <f ca="1">OFFSET(ORÇAMENTO!C$15,ROW(B340)-ROW(B$15),0)</f>
        <v>3</v>
      </c>
      <c r="C340" s="7" t="str">
        <f ca="1">OFFSET(ORÇAMENTO!L$15,ROW(C340)-ROW(C$15),0)</f>
        <v>F</v>
      </c>
      <c r="D340" s="116" t="str">
        <f ca="1">OFFSET(ORÇAMENTO!N$15,ROW(D340)-ROW(D$15),0)</f>
        <v>Nível 3</v>
      </c>
      <c r="E340" s="117" t="str">
        <f ca="1">OFFSET(ORÇAMENTO!O$15,ROW(E340)-ROW(E$15),0)</f>
        <v>1.7.6.</v>
      </c>
      <c r="F340" s="163" t="str">
        <f ca="1">OFFSET(ORÇAMENTO!R$15,ROW(F340)-ROW(F$15),0)</f>
        <v>INTERLIGAÇÕES</v>
      </c>
      <c r="G340" s="164" t="str">
        <f ca="1">IF($D340&lt;&gt;"Serviço","",OFFSET(ORÇAMENTO!S$15,ROW(G340)-ROW(G$15),0))</f>
        <v/>
      </c>
      <c r="H340" s="122" cm="1">
        <f t="array" aca="1" ref="H340" ca="1">IF($D340&lt;&gt;"Serviço",0,IF(ACOMPANHAMENTO="BM",ROUND(OFFSET(ORÇAMENTO!AJ$15,ROW(H340)-ROW(H$15),0),15-13*ORÇAMENTO!$AF$7),SUMPRODUCT(($Q$1:$AI$1=1)*ROUND($Q340:$AI340,15-13*ORÇAMENTO!$AF$7))))</f>
        <v>0</v>
      </c>
      <c r="I340" s="468"/>
      <c r="J340" s="640" t="str" cm="1">
        <f t="array" aca="1" ref="J340" ca="1">IF(OR(B340&lt;&gt;"S",CÁLCULO.FrentesPreenchidas=0),"",IF(AND(ACOMPANHAMENTO="PLE",AUTOEVENTO="Manual",OR(H340&gt;0,ORÇAMENTO!AC340="QUANT."),OR(K340="",M340=0,N340="")),"►E",IF(AND(ACOMPANHAMENTO="PLE",ORÇAMENTO!AC340="QUANT."),"►Q",IF(AND(ACOMPANHAMENTO="PLE",H340&lt;&gt;SUMPRODUCT(($Q$1:$AI$1=1)*ROUND(Q340:AI340,15))),"►S",IF(AND(COUNTIF($P$11:$AI$11,"▼")=0,H340&gt;0,I340=""),"◄M","")))))</f>
        <v/>
      </c>
      <c r="K340" s="641" t="s">
        <v>1365</v>
      </c>
      <c r="L340" s="165" t="s">
        <v>764</v>
      </c>
      <c r="M340" s="166" t="str">
        <f ca="1">IF($D340&lt;&gt;"Serviço","",
          IF(AUTOEVENTO="manual",$A340,
                IF(ISERROR(MATCH($A340,$A$15:OFFSET($A340,-1,0),0)),MAX($M$15:OFFSET(M340,-1,0))+1,
                      INDEX($M$15:OFFSET(M340,-1,0),MATCH($A340,$A$15:OFFSET($A340,-1,0),0)))))</f>
        <v/>
      </c>
      <c r="N340" s="167" t="str">
        <f ca="1">IF($D340&lt;&gt;"Serviço","",
         IF(AUTOEVENTO="Manual",
                IF($A340=0,"&lt;-- defina o número do agrupador",
                       OFFSET(EVENTOS!$D$15,$A340-$A$15,0)),
                OFFSET($F$15,$A340,0)))</f>
        <v/>
      </c>
      <c r="O340" s="168"/>
      <c r="Q340" s="168"/>
      <c r="R340" s="169"/>
      <c r="S340" s="169"/>
      <c r="T340" s="169"/>
      <c r="U340" s="169"/>
      <c r="V340" s="169"/>
      <c r="W340" s="169"/>
      <c r="X340" s="169"/>
      <c r="Y340" s="169"/>
      <c r="Z340" s="170"/>
      <c r="AA340" s="169"/>
      <c r="AB340" s="169"/>
      <c r="AC340" s="169"/>
      <c r="AD340" s="169"/>
      <c r="AE340" s="169"/>
      <c r="AF340" s="169"/>
      <c r="AG340" s="169"/>
      <c r="AH340" s="170"/>
      <c r="AJ340" s="453">
        <f ca="1">IF(AND($D340="Serviço",AJ$12&lt;&gt;0,$H340&gt;0,OR(AUTOEVENTO&lt;&gt;"manual",$M340&lt;&gt;$A$15)),
        IF(Import.TipoArredondamento&lt;&gt;"TransfereGOV",
              ROUND(OFFSET($P340,0,AJ$13),15-13*ORÇAMENTO!$AF$7)/$H340*OFFSET(ORÇAMENTO!$X$15,ROW(AJ340)-ROW(AJ$15),0),
              ROUND(ROUND(OFFSET($P340,0,AJ$13),15-13*ORÇAMENTO!$AF$7)*OFFSET(ORÇAMENTO!$W$15,ROW(AJ340)-ROW(AJ$15),0),15-13*ORÇAMENTO!$AF$11)),
         0)</f>
        <v>0</v>
      </c>
      <c r="AK340" s="453">
        <f ca="1">IF(AND($D340="Serviço",AK$12&lt;&gt;0,$H340&gt;0,OR(AUTOEVENTO&lt;&gt;"manual",$M340&lt;&gt;$A$15)),
        IF(Import.TipoArredondamento&lt;&gt;"TransfereGOV",
              ROUND(OFFSET($P340,0,AK$13),15-13*ORÇAMENTO!$AF$7)/$H340*OFFSET(ORÇAMENTO!$X$15,ROW(AK340)-ROW(AK$15),0),
              ROUND(ROUND(OFFSET($P340,0,AK$13),15-13*ORÇAMENTO!$AF$7)*OFFSET(ORÇAMENTO!$W$15,ROW(AK340)-ROW(AK$15),0),15-13*ORÇAMENTO!$AF$11)),
         0)</f>
        <v>0</v>
      </c>
      <c r="AL340" s="453">
        <f ca="1">IF(AND($D340="Serviço",AL$12&lt;&gt;0,$H340&gt;0,OR(AUTOEVENTO&lt;&gt;"manual",$M340&lt;&gt;$A$15)),
        IF(Import.TipoArredondamento&lt;&gt;"TransfereGOV",
              ROUND(OFFSET($P340,0,AL$13),15-13*ORÇAMENTO!$AF$7)/$H340*OFFSET(ORÇAMENTO!$X$15,ROW(AL340)-ROW(AL$15),0),
              ROUND(ROUND(OFFSET($P340,0,AL$13),15-13*ORÇAMENTO!$AF$7)*OFFSET(ORÇAMENTO!$W$15,ROW(AL340)-ROW(AL$15),0),15-13*ORÇAMENTO!$AF$11)),
         0)</f>
        <v>0</v>
      </c>
      <c r="AM340" s="453">
        <f ca="1">IF(AND($D340="Serviço",AM$12&lt;&gt;0,$H340&gt;0,OR(AUTOEVENTO&lt;&gt;"manual",$M340&lt;&gt;$A$15)),
        IF(Import.TipoArredondamento&lt;&gt;"TransfereGOV",
              ROUND(OFFSET($P340,0,AM$13),15-13*ORÇAMENTO!$AF$7)/$H340*OFFSET(ORÇAMENTO!$X$15,ROW(AM340)-ROW(AM$15),0),
              ROUND(ROUND(OFFSET($P340,0,AM$13),15-13*ORÇAMENTO!$AF$7)*OFFSET(ORÇAMENTO!$W$15,ROW(AM340)-ROW(AM$15),0),15-13*ORÇAMENTO!$AF$11)),
         0)</f>
        <v>0</v>
      </c>
      <c r="AN340" s="453">
        <f ca="1">IF(AND($D340="Serviço",AN$12&lt;&gt;0,$H340&gt;0,OR(AUTOEVENTO&lt;&gt;"manual",$M340&lt;&gt;$A$15)),
        IF(Import.TipoArredondamento&lt;&gt;"TransfereGOV",
              ROUND(OFFSET($P340,0,AN$13),15-13*ORÇAMENTO!$AF$7)/$H340*OFFSET(ORÇAMENTO!$X$15,ROW(AN340)-ROW(AN$15),0),
              ROUND(ROUND(OFFSET($P340,0,AN$13),15-13*ORÇAMENTO!$AF$7)*OFFSET(ORÇAMENTO!$W$15,ROW(AN340)-ROW(AN$15),0),15-13*ORÇAMENTO!$AF$11)),
         0)</f>
        <v>0</v>
      </c>
      <c r="AO340" s="453">
        <f ca="1">IF(AND($D340="Serviço",AO$12&lt;&gt;0,$H340&gt;0,OR(AUTOEVENTO&lt;&gt;"manual",$M340&lt;&gt;$A$15)),
        IF(Import.TipoArredondamento&lt;&gt;"TransfereGOV",
              ROUND(OFFSET($P340,0,AO$13),15-13*ORÇAMENTO!$AF$7)/$H340*OFFSET(ORÇAMENTO!$X$15,ROW(AO340)-ROW(AO$15),0),
              ROUND(ROUND(OFFSET($P340,0,AO$13),15-13*ORÇAMENTO!$AF$7)*OFFSET(ORÇAMENTO!$W$15,ROW(AO340)-ROW(AO$15),0),15-13*ORÇAMENTO!$AF$11)),
         0)</f>
        <v>0</v>
      </c>
      <c r="AP340" s="453">
        <f ca="1">IF(AND($D340="Serviço",AP$12&lt;&gt;0,$H340&gt;0,OR(AUTOEVENTO&lt;&gt;"manual",$M340&lt;&gt;$A$15)),
        IF(Import.TipoArredondamento&lt;&gt;"TransfereGOV",
              ROUND(OFFSET($P340,0,AP$13),15-13*ORÇAMENTO!$AF$7)/$H340*OFFSET(ORÇAMENTO!$X$15,ROW(AP340)-ROW(AP$15),0),
              ROUND(ROUND(OFFSET($P340,0,AP$13),15-13*ORÇAMENTO!$AF$7)*OFFSET(ORÇAMENTO!$W$15,ROW(AP340)-ROW(AP$15),0),15-13*ORÇAMENTO!$AF$11)),
         0)</f>
        <v>0</v>
      </c>
      <c r="AQ340" s="453">
        <f ca="1">IF(AND($D340="Serviço",AQ$12&lt;&gt;0,$H340&gt;0,OR(AUTOEVENTO&lt;&gt;"manual",$M340&lt;&gt;$A$15)),
        IF(Import.TipoArredondamento&lt;&gt;"TransfereGOV",
              ROUND(OFFSET($P340,0,AQ$13),15-13*ORÇAMENTO!$AF$7)/$H340*OFFSET(ORÇAMENTO!$X$15,ROW(AQ340)-ROW(AQ$15),0),
              ROUND(ROUND(OFFSET($P340,0,AQ$13),15-13*ORÇAMENTO!$AF$7)*OFFSET(ORÇAMENTO!$W$15,ROW(AQ340)-ROW(AQ$15),0),15-13*ORÇAMENTO!$AF$11)),
         0)</f>
        <v>0</v>
      </c>
      <c r="AR340" s="453">
        <f ca="1">IF(AND($D340="Serviço",AR$12&lt;&gt;0,$H340&gt;0,OR(AUTOEVENTO&lt;&gt;"manual",$M340&lt;&gt;$A$15)),
        IF(Import.TipoArredondamento&lt;&gt;"TransfereGOV",
              ROUND(OFFSET($P340,0,AR$13),15-13*ORÇAMENTO!$AF$7)/$H340*OFFSET(ORÇAMENTO!$X$15,ROW(AR340)-ROW(AR$15),0),
              ROUND(ROUND(OFFSET($P340,0,AR$13),15-13*ORÇAMENTO!$AF$7)*OFFSET(ORÇAMENTO!$W$15,ROW(AR340)-ROW(AR$15),0),15-13*ORÇAMENTO!$AF$11)),
         0)</f>
        <v>0</v>
      </c>
      <c r="AS340" s="453">
        <f ca="1">IF(AND($D340="Serviço",AS$12&lt;&gt;0,$H340&gt;0,OR(AUTOEVENTO&lt;&gt;"manual",$M340&lt;&gt;$A$15)),
        IF(Import.TipoArredondamento&lt;&gt;"TransfereGOV",
              ROUND(OFFSET($P340,0,AS$13),15-13*ORÇAMENTO!$AF$7)/$H340*OFFSET(ORÇAMENTO!$X$15,ROW(AS340)-ROW(AS$15),0),
              ROUND(ROUND(OFFSET($P340,0,AS$13),15-13*ORÇAMENTO!$AF$7)*OFFSET(ORÇAMENTO!$W$15,ROW(AS340)-ROW(AS$15),0),15-13*ORÇAMENTO!$AF$11)),
         0)</f>
        <v>0</v>
      </c>
      <c r="AT340" s="453">
        <f ca="1">IF(AND($D340="Serviço",AT$12&lt;&gt;0,$H340&gt;0,OR(AUTOEVENTO&lt;&gt;"manual",$M340&lt;&gt;$A$15)),
        IF(Import.TipoArredondamento&lt;&gt;"TransfereGOV",
              ROUND(OFFSET($P340,0,AT$13),15-13*ORÇAMENTO!$AF$7)/$H340*OFFSET(ORÇAMENTO!$X$15,ROW(AT340)-ROW(AT$15),0),
              ROUND(ROUND(OFFSET($P340,0,AT$13),15-13*ORÇAMENTO!$AF$7)*OFFSET(ORÇAMENTO!$W$15,ROW(AT340)-ROW(AT$15),0),15-13*ORÇAMENTO!$AF$11)),
         0)</f>
        <v>0</v>
      </c>
      <c r="AU340" s="453">
        <f ca="1">IF(AND($D340="Serviço",AU$12&lt;&gt;0,$H340&gt;0,OR(AUTOEVENTO&lt;&gt;"manual",$M340&lt;&gt;$A$15)),
        IF(Import.TipoArredondamento&lt;&gt;"TransfereGOV",
              ROUND(OFFSET($P340,0,AU$13),15-13*ORÇAMENTO!$AF$7)/$H340*OFFSET(ORÇAMENTO!$X$15,ROW(AU340)-ROW(AU$15),0),
              ROUND(ROUND(OFFSET($P340,0,AU$13),15-13*ORÇAMENTO!$AF$7)*OFFSET(ORÇAMENTO!$W$15,ROW(AU340)-ROW(AU$15),0),15-13*ORÇAMENTO!$AF$11)),
         0)</f>
        <v>0</v>
      </c>
      <c r="AV340" s="453">
        <f ca="1">IF(AND($D340="Serviço",AV$12&lt;&gt;0,$H340&gt;0,OR(AUTOEVENTO&lt;&gt;"manual",$M340&lt;&gt;$A$15)),
        IF(Import.TipoArredondamento&lt;&gt;"TransfereGOV",
              ROUND(OFFSET($P340,0,AV$13),15-13*ORÇAMENTO!$AF$7)/$H340*OFFSET(ORÇAMENTO!$X$15,ROW(AV340)-ROW(AV$15),0),
              ROUND(ROUND(OFFSET($P340,0,AV$13),15-13*ORÇAMENTO!$AF$7)*OFFSET(ORÇAMENTO!$W$15,ROW(AV340)-ROW(AV$15),0),15-13*ORÇAMENTO!$AF$11)),
         0)</f>
        <v>0</v>
      </c>
      <c r="AW340" s="453">
        <f ca="1">IF(AND($D340="Serviço",AW$12&lt;&gt;0,$H340&gt;0,OR(AUTOEVENTO&lt;&gt;"manual",$M340&lt;&gt;$A$15)),
        IF(Import.TipoArredondamento&lt;&gt;"TransfereGOV",
              ROUND(OFFSET($P340,0,AW$13),15-13*ORÇAMENTO!$AF$7)/$H340*OFFSET(ORÇAMENTO!$X$15,ROW(AW340)-ROW(AW$15),0),
              ROUND(ROUND(OFFSET($P340,0,AW$13),15-13*ORÇAMENTO!$AF$7)*OFFSET(ORÇAMENTO!$W$15,ROW(AW340)-ROW(AW$15),0),15-13*ORÇAMENTO!$AF$11)),
         0)</f>
        <v>0</v>
      </c>
      <c r="AX340" s="453">
        <f ca="1">IF(AND($D340="Serviço",AX$12&lt;&gt;0,$H340&gt;0,OR(AUTOEVENTO&lt;&gt;"manual",$M340&lt;&gt;$A$15)),
        IF(Import.TipoArredondamento&lt;&gt;"TransfereGOV",
              ROUND(OFFSET($P340,0,AX$13),15-13*ORÇAMENTO!$AF$7)/$H340*OFFSET(ORÇAMENTO!$X$15,ROW(AX340)-ROW(AX$15),0),
              ROUND(ROUND(OFFSET($P340,0,AX$13),15-13*ORÇAMENTO!$AF$7)*OFFSET(ORÇAMENTO!$W$15,ROW(AX340)-ROW(AX$15),0),15-13*ORÇAMENTO!$AF$11)),
         0)</f>
        <v>0</v>
      </c>
      <c r="AY340" s="453">
        <f ca="1">IF(AND($D340="Serviço",AY$12&lt;&gt;0,$H340&gt;0,OR(AUTOEVENTO&lt;&gt;"manual",$M340&lt;&gt;$A$15)),
        IF(Import.TipoArredondamento&lt;&gt;"TransfereGOV",
              ROUND(OFFSET($P340,0,AY$13),15-13*ORÇAMENTO!$AF$7)/$H340*OFFSET(ORÇAMENTO!$X$15,ROW(AY340)-ROW(AY$15),0),
              ROUND(ROUND(OFFSET($P340,0,AY$13),15-13*ORÇAMENTO!$AF$7)*OFFSET(ORÇAMENTO!$W$15,ROW(AY340)-ROW(AY$15),0),15-13*ORÇAMENTO!$AF$11)),
         0)</f>
        <v>0</v>
      </c>
      <c r="AZ340" s="453">
        <f ca="1">IF(AND($D340="Serviço",AZ$12&lt;&gt;0,$H340&gt;0,OR(AUTOEVENTO&lt;&gt;"manual",$M340&lt;&gt;$A$15)),
        IF(Import.TipoArredondamento&lt;&gt;"TransfereGOV",
              ROUND(OFFSET($P340,0,AZ$13),15-13*ORÇAMENTO!$AF$7)/$H340*OFFSET(ORÇAMENTO!$X$15,ROW(AZ340)-ROW(AZ$15),0),
              ROUND(ROUND(OFFSET($P340,0,AZ$13),15-13*ORÇAMENTO!$AF$7)*OFFSET(ORÇAMENTO!$W$15,ROW(AZ340)-ROW(AZ$15),0),15-13*ORÇAMENTO!$AF$11)),
         0)</f>
        <v>0</v>
      </c>
      <c r="BA340" s="453">
        <f ca="1">IF(AND($D340="Serviço",BA$12&lt;&gt;0,$H340&gt;0,OR(AUTOEVENTO&lt;&gt;"manual",$M340&lt;&gt;$A$15)),
        IF(Import.TipoArredondamento&lt;&gt;"TransfereGOV",
              ROUND(OFFSET($P340,0,BA$13),15-13*ORÇAMENTO!$AF$7)/$H340*OFFSET(ORÇAMENTO!$X$15,ROW(BA340)-ROW(BA$15),0),
              ROUND(ROUND(OFFSET($P340,0,BA$13),15-13*ORÇAMENTO!$AF$7)*OFFSET(ORÇAMENTO!$W$15,ROW(BA340)-ROW(BA$15),0),15-13*ORÇAMENTO!$AF$11)),
         0)</f>
        <v>0</v>
      </c>
      <c r="BC340" s="171">
        <f ca="1">IF(OR($D340&lt;&gt;"Serviço",AND(AUTOEVENTO="Manual",$M340=$A$15)),0,
         IF(OFFSET(CRONOPLE!$F$15,$M340-$A$15,BC$13)=0,10^12,OFFSET(CRONOPLE!$F$15,$M340-$A$15,BC$13)))</f>
        <v>0</v>
      </c>
      <c r="BD340" s="171">
        <f ca="1">IF(OR($D340&lt;&gt;"Serviço",AND(AUTOEVENTO="Manual",$M340=$A$15)),0,
         IF(OFFSET(CRONOPLE!$F$15,$M340-$A$15,BD$13)=0,10^12,OFFSET(CRONOPLE!$F$15,$M340-$A$15,BD$13)))</f>
        <v>0</v>
      </c>
      <c r="BE340" s="171">
        <f ca="1">IF(OR($D340&lt;&gt;"Serviço",AND(AUTOEVENTO="Manual",$M340=$A$15)),0,
         IF(OFFSET(CRONOPLE!$F$15,$M340-$A$15,BE$13)=0,10^12,OFFSET(CRONOPLE!$F$15,$M340-$A$15,BE$13)))</f>
        <v>0</v>
      </c>
      <c r="BF340" s="171">
        <f ca="1">IF(OR($D340&lt;&gt;"Serviço",AND(AUTOEVENTO="Manual",$M340=$A$15)),0,
         IF(OFFSET(CRONOPLE!$F$15,$M340-$A$15,BF$13)=0,10^12,OFFSET(CRONOPLE!$F$15,$M340-$A$15,BF$13)))</f>
        <v>0</v>
      </c>
      <c r="BG340" s="171">
        <f ca="1">IF(OR($D340&lt;&gt;"Serviço",AND(AUTOEVENTO="Manual",$M340=$A$15)),0,
         IF(OFFSET(CRONOPLE!$F$15,$M340-$A$15,BG$13)=0,10^12,OFFSET(CRONOPLE!$F$15,$M340-$A$15,BG$13)))</f>
        <v>0</v>
      </c>
      <c r="BH340" s="171">
        <f ca="1">IF(OR($D340&lt;&gt;"Serviço",AND(AUTOEVENTO="Manual",$M340=$A$15)),0,
         IF(OFFSET(CRONOPLE!$F$15,$M340-$A$15,BH$13)=0,10^12,OFFSET(CRONOPLE!$F$15,$M340-$A$15,BH$13)))</f>
        <v>0</v>
      </c>
      <c r="BI340" s="171">
        <f ca="1">IF(OR($D340&lt;&gt;"Serviço",AND(AUTOEVENTO="Manual",$M340=$A$15)),0,
         IF(OFFSET(CRONOPLE!$F$15,$M340-$A$15,BI$13)=0,10^12,OFFSET(CRONOPLE!$F$15,$M340-$A$15,BI$13)))</f>
        <v>0</v>
      </c>
      <c r="BJ340" s="171">
        <f ca="1">IF(OR($D340&lt;&gt;"Serviço",AND(AUTOEVENTO="Manual",$M340=$A$15)),0,
         IF(OFFSET(CRONOPLE!$F$15,$M340-$A$15,BJ$13)=0,10^12,OFFSET(CRONOPLE!$F$15,$M340-$A$15,BJ$13)))</f>
        <v>0</v>
      </c>
      <c r="BK340" s="171">
        <f ca="1">IF(OR($D340&lt;&gt;"Serviço",AND(AUTOEVENTO="Manual",$M340=$A$15)),0,
         IF(OFFSET(CRONOPLE!$F$15,$M340-$A$15,BK$13)=0,10^12,OFFSET(CRONOPLE!$F$15,$M340-$A$15,BK$13)))</f>
        <v>0</v>
      </c>
      <c r="BL340" s="171">
        <f ca="1">IF(OR($D340&lt;&gt;"Serviço",AND(AUTOEVENTO="Manual",$M340=$A$15)),0,
         IF(OFFSET(CRONOPLE!$F$15,$M340-$A$15,BL$13)=0,10^12,OFFSET(CRONOPLE!$F$15,$M340-$A$15,BL$13)))</f>
        <v>0</v>
      </c>
      <c r="BM340" s="171">
        <f ca="1">IF(OR($D340&lt;&gt;"Serviço",AND(AUTOEVENTO="Manual",$M340=$A$15)),0,
         IF(OFFSET(CRONOPLE!$F$15,$M340-$A$15,BM$13)=0,10^12,OFFSET(CRONOPLE!$F$15,$M340-$A$15,BM$13)))</f>
        <v>0</v>
      </c>
      <c r="BN340" s="171">
        <f ca="1">IF(OR($D340&lt;&gt;"Serviço",AND(AUTOEVENTO="Manual",$M340=$A$15)),0,
         IF(OFFSET(CRONOPLE!$F$15,$M340-$A$15,BN$13)=0,10^12,OFFSET(CRONOPLE!$F$15,$M340-$A$15,BN$13)))</f>
        <v>0</v>
      </c>
      <c r="BO340" s="171">
        <f ca="1">IF(OR($D340&lt;&gt;"Serviço",AND(AUTOEVENTO="Manual",$M340=$A$15)),0,
         IF(OFFSET(CRONOPLE!$F$15,$M340-$A$15,BO$13)=0,10^12,OFFSET(CRONOPLE!$F$15,$M340-$A$15,BO$13)))</f>
        <v>0</v>
      </c>
      <c r="BP340" s="171">
        <f ca="1">IF(OR($D340&lt;&gt;"Serviço",AND(AUTOEVENTO="Manual",$M340=$A$15)),0,
         IF(OFFSET(CRONOPLE!$F$15,$M340-$A$15,BP$13)=0,10^12,OFFSET(CRONOPLE!$F$15,$M340-$A$15,BP$13)))</f>
        <v>0</v>
      </c>
      <c r="BQ340" s="171">
        <f ca="1">IF(OR($D340&lt;&gt;"Serviço",AND(AUTOEVENTO="Manual",$M340=$A$15)),0,
         IF(OFFSET(CRONOPLE!$F$15,$M340-$A$15,BQ$13)=0,10^12,OFFSET(CRONOPLE!$F$15,$M340-$A$15,BQ$13)))</f>
        <v>0</v>
      </c>
      <c r="BR340" s="171">
        <f ca="1">IF(OR($D340&lt;&gt;"Serviço",AND(AUTOEVENTO="Manual",$M340=$A$15)),0,
         IF(OFFSET(CRONOPLE!$F$15,$M340-$A$15,BR$13)=0,10^12,OFFSET(CRONOPLE!$F$15,$M340-$A$15,BR$13)))</f>
        <v>0</v>
      </c>
      <c r="BS340" s="171">
        <f ca="1">IF(OR($D340&lt;&gt;"Serviço",AND(AUTOEVENTO="Manual",$M340=$A$15)),0,
         IF(OFFSET(CRONOPLE!$F$15,$M340-$A$15,BS$13)=0,10^12,OFFSET(CRONOPLE!$F$15,$M340-$A$15,BS$13)))</f>
        <v>0</v>
      </c>
      <c r="BT340" s="171">
        <f ca="1">IF(OR($D340&lt;&gt;"Serviço",AND(AUTOEVENTO="Manual",$M340=$A$15)),0,
         IF(OFFSET(CRONOPLE!$F$15,$M340-$A$15,BT$13)=0,10^12,OFFSET(CRONOPLE!$F$15,$M340-$A$15,BT$13)))</f>
        <v>0</v>
      </c>
      <c r="BV340" s="172">
        <f ca="1">IF(OR($D340&lt;&gt;"Serviço",AND(AUTOEVENTO="Manual",$M340=$A$15),$M340&gt;(ROW(PLE.lastrow)-ROW(PLE.firstrow))),0,
           IF(OFFSET(PLE!$G$15,$M340-$A$15,BV$13)="",10^12,OFFSET(PLE!$G$15,$M340-$A$15,BV$13)))</f>
        <v>0</v>
      </c>
      <c r="BW340" s="172">
        <f ca="1">IF(OR($D340&lt;&gt;"Serviço",AND(AUTOEVENTO="Manual",$M340=$A$15),$M340&gt;(ROW(PLE.lastrow)-ROW(PLE.firstrow))),0,
           IF(OFFSET(PLE!$G$15,$M340-$A$15,BW$13)="",10^12,OFFSET(PLE!$G$15,$M340-$A$15,BW$13)))</f>
        <v>0</v>
      </c>
      <c r="BX340" s="172">
        <f ca="1">IF(OR($D340&lt;&gt;"Serviço",AND(AUTOEVENTO="Manual",$M340=$A$15),$M340&gt;(ROW(PLE.lastrow)-ROW(PLE.firstrow))),0,
           IF(OFFSET(PLE!$G$15,$M340-$A$15,BX$13)="",10^12,OFFSET(PLE!$G$15,$M340-$A$15,BX$13)))</f>
        <v>0</v>
      </c>
      <c r="BY340" s="172">
        <f ca="1">IF(OR($D340&lt;&gt;"Serviço",AND(AUTOEVENTO="Manual",$M340=$A$15),$M340&gt;(ROW(PLE.lastrow)-ROW(PLE.firstrow))),0,
           IF(OFFSET(PLE!$G$15,$M340-$A$15,BY$13)="",10^12,OFFSET(PLE!$G$15,$M340-$A$15,BY$13)))</f>
        <v>0</v>
      </c>
      <c r="BZ340" s="172">
        <f ca="1">IF(OR($D340&lt;&gt;"Serviço",AND(AUTOEVENTO="Manual",$M340=$A$15),$M340&gt;(ROW(PLE.lastrow)-ROW(PLE.firstrow))),0,
           IF(OFFSET(PLE!$G$15,$M340-$A$15,BZ$13)="",10^12,OFFSET(PLE!$G$15,$M340-$A$15,BZ$13)))</f>
        <v>0</v>
      </c>
      <c r="CA340" s="172">
        <f ca="1">IF(OR($D340&lt;&gt;"Serviço",AND(AUTOEVENTO="Manual",$M340=$A$15),$M340&gt;(ROW(PLE.lastrow)-ROW(PLE.firstrow))),0,
           IF(OFFSET(PLE!$G$15,$M340-$A$15,CA$13)="",10^12,OFFSET(PLE!$G$15,$M340-$A$15,CA$13)))</f>
        <v>0</v>
      </c>
      <c r="CB340" s="172">
        <f ca="1">IF(OR($D340&lt;&gt;"Serviço",AND(AUTOEVENTO="Manual",$M340=$A$15),$M340&gt;(ROW(PLE.lastrow)-ROW(PLE.firstrow))),0,
           IF(OFFSET(PLE!$G$15,$M340-$A$15,CB$13)="",10^12,OFFSET(PLE!$G$15,$M340-$A$15,CB$13)))</f>
        <v>0</v>
      </c>
      <c r="CC340" s="172">
        <f ca="1">IF(OR($D340&lt;&gt;"Serviço",AND(AUTOEVENTO="Manual",$M340=$A$15),$M340&gt;(ROW(PLE.lastrow)-ROW(PLE.firstrow))),0,
           IF(OFFSET(PLE!$G$15,$M340-$A$15,CC$13)="",10^12,OFFSET(PLE!$G$15,$M340-$A$15,CC$13)))</f>
        <v>0</v>
      </c>
      <c r="CD340" s="172">
        <f ca="1">IF(OR($D340&lt;&gt;"Serviço",AND(AUTOEVENTO="Manual",$M340=$A$15),$M340&gt;(ROW(PLE.lastrow)-ROW(PLE.firstrow))),0,
           IF(OFFSET(PLE!$G$15,$M340-$A$15,CD$13)="",10^12,OFFSET(PLE!$G$15,$M340-$A$15,CD$13)))</f>
        <v>0</v>
      </c>
      <c r="CE340" s="172">
        <f ca="1">IF(OR($D340&lt;&gt;"Serviço",AND(AUTOEVENTO="Manual",$M340=$A$15),$M340&gt;(ROW(PLE.lastrow)-ROW(PLE.firstrow))),0,
           IF(OFFSET(PLE!$G$15,$M340-$A$15,CE$13)="",10^12,OFFSET(PLE!$G$15,$M340-$A$15,CE$13)))</f>
        <v>0</v>
      </c>
      <c r="CF340" s="172">
        <f ca="1">IF(OR($D340&lt;&gt;"Serviço",AND(AUTOEVENTO="Manual",$M340=$A$15),$M340&gt;(ROW(PLE.lastrow)-ROW(PLE.firstrow))),0,
           IF(OFFSET(PLE!$G$15,$M340-$A$15,CF$13)="",10^12,OFFSET(PLE!$G$15,$M340-$A$15,CF$13)))</f>
        <v>0</v>
      </c>
      <c r="CG340" s="172">
        <f ca="1">IF(OR($D340&lt;&gt;"Serviço",AND(AUTOEVENTO="Manual",$M340=$A$15),$M340&gt;(ROW(PLE.lastrow)-ROW(PLE.firstrow))),0,
           IF(OFFSET(PLE!$G$15,$M340-$A$15,CG$13)="",10^12,OFFSET(PLE!$G$15,$M340-$A$15,CG$13)))</f>
        <v>0</v>
      </c>
      <c r="CH340" s="172">
        <f ca="1">IF(OR($D340&lt;&gt;"Serviço",AND(AUTOEVENTO="Manual",$M340=$A$15),$M340&gt;(ROW(PLE.lastrow)-ROW(PLE.firstrow))),0,
           IF(OFFSET(PLE!$G$15,$M340-$A$15,CH$13)="",10^12,OFFSET(PLE!$G$15,$M340-$A$15,CH$13)))</f>
        <v>0</v>
      </c>
      <c r="CI340" s="172">
        <f ca="1">IF(OR($D340&lt;&gt;"Serviço",AND(AUTOEVENTO="Manual",$M340=$A$15),$M340&gt;(ROW(PLE.lastrow)-ROW(PLE.firstrow))),0,
           IF(OFFSET(PLE!$G$15,$M340-$A$15,CI$13)="",10^12,OFFSET(PLE!$G$15,$M340-$A$15,CI$13)))</f>
        <v>0</v>
      </c>
      <c r="CJ340" s="172">
        <f ca="1">IF(OR($D340&lt;&gt;"Serviço",AND(AUTOEVENTO="Manual",$M340=$A$15),$M340&gt;(ROW(PLE.lastrow)-ROW(PLE.firstrow))),0,
           IF(OFFSET(PLE!$G$15,$M340-$A$15,CJ$13)="",10^12,OFFSET(PLE!$G$15,$M340-$A$15,CJ$13)))</f>
        <v>0</v>
      </c>
      <c r="CK340" s="172">
        <f ca="1">IF(OR($D340&lt;&gt;"Serviço",AND(AUTOEVENTO="Manual",$M340=$A$15),$M340&gt;(ROW(PLE.lastrow)-ROW(PLE.firstrow))),0,
           IF(OFFSET(PLE!$G$15,$M340-$A$15,CK$13)="",10^12,OFFSET(PLE!$G$15,$M340-$A$15,CK$13)))</f>
        <v>0</v>
      </c>
      <c r="CL340" s="172">
        <f ca="1">IF(OR($D340&lt;&gt;"Serviço",AND(AUTOEVENTO="Manual",$M340=$A$15),$M340&gt;(ROW(PLE.lastrow)-ROW(PLE.firstrow))),0,
           IF(OFFSET(PLE!$G$15,$M340-$A$15,CL$13)="",10^12,OFFSET(PLE!$G$15,$M340-$A$15,CL$13)))</f>
        <v>0</v>
      </c>
      <c r="CM340" s="172">
        <f ca="1">IF(OR($D340&lt;&gt;"Serviço",AND(AUTOEVENTO="Manual",$M340=$A$15),$M340&gt;(ROW(PLE.lastrow)-ROW(PLE.firstrow))),0,
           IF(OFFSET(PLE!$G$15,$M340-$A$15,CM$13)="",10^12,OFFSET(PLE!$G$15,$M340-$A$15,CM$13)))</f>
        <v>0</v>
      </c>
    </row>
    <row r="341" spans="1:91" ht="12.75" x14ac:dyDescent="0.2">
      <c r="A341" s="7">
        <f t="shared" ca="1" si="15"/>
        <v>7</v>
      </c>
      <c r="B341" s="7">
        <f ca="1">OFFSET(ORÇAMENTO!C$15,ROW(B341)-ROW(B$15),0)</f>
        <v>4</v>
      </c>
      <c r="C341" s="7" t="str">
        <f ca="1">OFFSET(ORÇAMENTO!L$15,ROW(C341)-ROW(C$15),0)</f>
        <v>F</v>
      </c>
      <c r="D341" s="116" t="str">
        <f ca="1">OFFSET(ORÇAMENTO!N$15,ROW(D341)-ROW(D$15),0)</f>
        <v>Nível 4</v>
      </c>
      <c r="E341" s="117" t="str">
        <f ca="1">OFFSET(ORÇAMENTO!O$15,ROW(E341)-ROW(E$15),0)</f>
        <v>1.7.6.1.</v>
      </c>
      <c r="F341" s="163" t="str">
        <f ca="1">OFFSET(ORÇAMENTO!R$15,ROW(F341)-ROW(F$15),0)</f>
        <v>FORNECIMENTO DE MATERIAIS</v>
      </c>
      <c r="G341" s="164" t="str">
        <f ca="1">IF($D341&lt;&gt;"Serviço","",OFFSET(ORÇAMENTO!S$15,ROW(G341)-ROW(G$15),0))</f>
        <v/>
      </c>
      <c r="H341" s="122" cm="1">
        <f t="array" aca="1" ref="H341" ca="1">IF($D341&lt;&gt;"Serviço",0,IF(ACOMPANHAMENTO="BM",ROUND(OFFSET(ORÇAMENTO!AJ$15,ROW(H341)-ROW(H$15),0),15-13*ORÇAMENTO!$AF$7),SUMPRODUCT(($Q$1:$AI$1=1)*ROUND($Q341:$AI341,15-13*ORÇAMENTO!$AF$7))))</f>
        <v>0</v>
      </c>
      <c r="I341" s="468"/>
      <c r="J341" s="640" t="str" cm="1">
        <f t="array" aca="1" ref="J341" ca="1">IF(OR(B341&lt;&gt;"S",CÁLCULO.FrentesPreenchidas=0),"",IF(AND(ACOMPANHAMENTO="PLE",AUTOEVENTO="Manual",OR(H341&gt;0,ORÇAMENTO!AC341="QUANT."),OR(K341="",M341=0,N341="")),"►E",IF(AND(ACOMPANHAMENTO="PLE",ORÇAMENTO!AC341="QUANT."),"►Q",IF(AND(ACOMPANHAMENTO="PLE",H341&lt;&gt;SUMPRODUCT(($Q$1:$AI$1=1)*ROUND(Q341:AI341,15))),"►S",IF(AND(COUNTIF($P$11:$AI$11,"▼")=0,H341&gt;0,I341=""),"◄M","")))))</f>
        <v/>
      </c>
      <c r="K341" s="641" t="s">
        <v>1365</v>
      </c>
      <c r="L341" s="165" t="s">
        <v>764</v>
      </c>
      <c r="M341" s="166" t="str">
        <f ca="1">IF($D341&lt;&gt;"Serviço","",
          IF(AUTOEVENTO="manual",$A341,
                IF(ISERROR(MATCH($A341,$A$15:OFFSET($A341,-1,0),0)),MAX($M$15:OFFSET(M341,-1,0))+1,
                      INDEX($M$15:OFFSET(M341,-1,0),MATCH($A341,$A$15:OFFSET($A341,-1,0),0)))))</f>
        <v/>
      </c>
      <c r="N341" s="167" t="str">
        <f ca="1">IF($D341&lt;&gt;"Serviço","",
         IF(AUTOEVENTO="Manual",
                IF($A341=0,"&lt;-- defina o número do agrupador",
                       OFFSET(EVENTOS!$D$15,$A341-$A$15,0)),
                OFFSET($F$15,$A341,0)))</f>
        <v/>
      </c>
      <c r="O341" s="168"/>
      <c r="Q341" s="168"/>
      <c r="R341" s="169"/>
      <c r="S341" s="169"/>
      <c r="T341" s="169"/>
      <c r="U341" s="169"/>
      <c r="V341" s="169"/>
      <c r="W341" s="169"/>
      <c r="X341" s="169"/>
      <c r="Y341" s="169"/>
      <c r="Z341" s="170"/>
      <c r="AA341" s="169"/>
      <c r="AB341" s="169"/>
      <c r="AC341" s="169"/>
      <c r="AD341" s="169"/>
      <c r="AE341" s="169"/>
      <c r="AF341" s="169"/>
      <c r="AG341" s="169"/>
      <c r="AH341" s="170"/>
      <c r="AJ341" s="453">
        <f ca="1">IF(AND($D341="Serviço",AJ$12&lt;&gt;0,$H341&gt;0,OR(AUTOEVENTO&lt;&gt;"manual",$M341&lt;&gt;$A$15)),
        IF(Import.TipoArredondamento&lt;&gt;"TransfereGOV",
              ROUND(OFFSET($P341,0,AJ$13),15-13*ORÇAMENTO!$AF$7)/$H341*OFFSET(ORÇAMENTO!$X$15,ROW(AJ341)-ROW(AJ$15),0),
              ROUND(ROUND(OFFSET($P341,0,AJ$13),15-13*ORÇAMENTO!$AF$7)*OFFSET(ORÇAMENTO!$W$15,ROW(AJ341)-ROW(AJ$15),0),15-13*ORÇAMENTO!$AF$11)),
         0)</f>
        <v>0</v>
      </c>
      <c r="AK341" s="453">
        <f ca="1">IF(AND($D341="Serviço",AK$12&lt;&gt;0,$H341&gt;0,OR(AUTOEVENTO&lt;&gt;"manual",$M341&lt;&gt;$A$15)),
        IF(Import.TipoArredondamento&lt;&gt;"TransfereGOV",
              ROUND(OFFSET($P341,0,AK$13),15-13*ORÇAMENTO!$AF$7)/$H341*OFFSET(ORÇAMENTO!$X$15,ROW(AK341)-ROW(AK$15),0),
              ROUND(ROUND(OFFSET($P341,0,AK$13),15-13*ORÇAMENTO!$AF$7)*OFFSET(ORÇAMENTO!$W$15,ROW(AK341)-ROW(AK$15),0),15-13*ORÇAMENTO!$AF$11)),
         0)</f>
        <v>0</v>
      </c>
      <c r="AL341" s="453">
        <f ca="1">IF(AND($D341="Serviço",AL$12&lt;&gt;0,$H341&gt;0,OR(AUTOEVENTO&lt;&gt;"manual",$M341&lt;&gt;$A$15)),
        IF(Import.TipoArredondamento&lt;&gt;"TransfereGOV",
              ROUND(OFFSET($P341,0,AL$13),15-13*ORÇAMENTO!$AF$7)/$H341*OFFSET(ORÇAMENTO!$X$15,ROW(AL341)-ROW(AL$15),0),
              ROUND(ROUND(OFFSET($P341,0,AL$13),15-13*ORÇAMENTO!$AF$7)*OFFSET(ORÇAMENTO!$W$15,ROW(AL341)-ROW(AL$15),0),15-13*ORÇAMENTO!$AF$11)),
         0)</f>
        <v>0</v>
      </c>
      <c r="AM341" s="453">
        <f ca="1">IF(AND($D341="Serviço",AM$12&lt;&gt;0,$H341&gt;0,OR(AUTOEVENTO&lt;&gt;"manual",$M341&lt;&gt;$A$15)),
        IF(Import.TipoArredondamento&lt;&gt;"TransfereGOV",
              ROUND(OFFSET($P341,0,AM$13),15-13*ORÇAMENTO!$AF$7)/$H341*OFFSET(ORÇAMENTO!$X$15,ROW(AM341)-ROW(AM$15),0),
              ROUND(ROUND(OFFSET($P341,0,AM$13),15-13*ORÇAMENTO!$AF$7)*OFFSET(ORÇAMENTO!$W$15,ROW(AM341)-ROW(AM$15),0),15-13*ORÇAMENTO!$AF$11)),
         0)</f>
        <v>0</v>
      </c>
      <c r="AN341" s="453">
        <f ca="1">IF(AND($D341="Serviço",AN$12&lt;&gt;0,$H341&gt;0,OR(AUTOEVENTO&lt;&gt;"manual",$M341&lt;&gt;$A$15)),
        IF(Import.TipoArredondamento&lt;&gt;"TransfereGOV",
              ROUND(OFFSET($P341,0,AN$13),15-13*ORÇAMENTO!$AF$7)/$H341*OFFSET(ORÇAMENTO!$X$15,ROW(AN341)-ROW(AN$15),0),
              ROUND(ROUND(OFFSET($P341,0,AN$13),15-13*ORÇAMENTO!$AF$7)*OFFSET(ORÇAMENTO!$W$15,ROW(AN341)-ROW(AN$15),0),15-13*ORÇAMENTO!$AF$11)),
         0)</f>
        <v>0</v>
      </c>
      <c r="AO341" s="453">
        <f ca="1">IF(AND($D341="Serviço",AO$12&lt;&gt;0,$H341&gt;0,OR(AUTOEVENTO&lt;&gt;"manual",$M341&lt;&gt;$A$15)),
        IF(Import.TipoArredondamento&lt;&gt;"TransfereGOV",
              ROUND(OFFSET($P341,0,AO$13),15-13*ORÇAMENTO!$AF$7)/$H341*OFFSET(ORÇAMENTO!$X$15,ROW(AO341)-ROW(AO$15),0),
              ROUND(ROUND(OFFSET($P341,0,AO$13),15-13*ORÇAMENTO!$AF$7)*OFFSET(ORÇAMENTO!$W$15,ROW(AO341)-ROW(AO$15),0),15-13*ORÇAMENTO!$AF$11)),
         0)</f>
        <v>0</v>
      </c>
      <c r="AP341" s="453">
        <f ca="1">IF(AND($D341="Serviço",AP$12&lt;&gt;0,$H341&gt;0,OR(AUTOEVENTO&lt;&gt;"manual",$M341&lt;&gt;$A$15)),
        IF(Import.TipoArredondamento&lt;&gt;"TransfereGOV",
              ROUND(OFFSET($P341,0,AP$13),15-13*ORÇAMENTO!$AF$7)/$H341*OFFSET(ORÇAMENTO!$X$15,ROW(AP341)-ROW(AP$15),0),
              ROUND(ROUND(OFFSET($P341,0,AP$13),15-13*ORÇAMENTO!$AF$7)*OFFSET(ORÇAMENTO!$W$15,ROW(AP341)-ROW(AP$15),0),15-13*ORÇAMENTO!$AF$11)),
         0)</f>
        <v>0</v>
      </c>
      <c r="AQ341" s="453">
        <f ca="1">IF(AND($D341="Serviço",AQ$12&lt;&gt;0,$H341&gt;0,OR(AUTOEVENTO&lt;&gt;"manual",$M341&lt;&gt;$A$15)),
        IF(Import.TipoArredondamento&lt;&gt;"TransfereGOV",
              ROUND(OFFSET($P341,0,AQ$13),15-13*ORÇAMENTO!$AF$7)/$H341*OFFSET(ORÇAMENTO!$X$15,ROW(AQ341)-ROW(AQ$15),0),
              ROUND(ROUND(OFFSET($P341,0,AQ$13),15-13*ORÇAMENTO!$AF$7)*OFFSET(ORÇAMENTO!$W$15,ROW(AQ341)-ROW(AQ$15),0),15-13*ORÇAMENTO!$AF$11)),
         0)</f>
        <v>0</v>
      </c>
      <c r="AR341" s="453">
        <f ca="1">IF(AND($D341="Serviço",AR$12&lt;&gt;0,$H341&gt;0,OR(AUTOEVENTO&lt;&gt;"manual",$M341&lt;&gt;$A$15)),
        IF(Import.TipoArredondamento&lt;&gt;"TransfereGOV",
              ROUND(OFFSET($P341,0,AR$13),15-13*ORÇAMENTO!$AF$7)/$H341*OFFSET(ORÇAMENTO!$X$15,ROW(AR341)-ROW(AR$15),0),
              ROUND(ROUND(OFFSET($P341,0,AR$13),15-13*ORÇAMENTO!$AF$7)*OFFSET(ORÇAMENTO!$W$15,ROW(AR341)-ROW(AR$15),0),15-13*ORÇAMENTO!$AF$11)),
         0)</f>
        <v>0</v>
      </c>
      <c r="AS341" s="453">
        <f ca="1">IF(AND($D341="Serviço",AS$12&lt;&gt;0,$H341&gt;0,OR(AUTOEVENTO&lt;&gt;"manual",$M341&lt;&gt;$A$15)),
        IF(Import.TipoArredondamento&lt;&gt;"TransfereGOV",
              ROUND(OFFSET($P341,0,AS$13),15-13*ORÇAMENTO!$AF$7)/$H341*OFFSET(ORÇAMENTO!$X$15,ROW(AS341)-ROW(AS$15),0),
              ROUND(ROUND(OFFSET($P341,0,AS$13),15-13*ORÇAMENTO!$AF$7)*OFFSET(ORÇAMENTO!$W$15,ROW(AS341)-ROW(AS$15),0),15-13*ORÇAMENTO!$AF$11)),
         0)</f>
        <v>0</v>
      </c>
      <c r="AT341" s="453">
        <f ca="1">IF(AND($D341="Serviço",AT$12&lt;&gt;0,$H341&gt;0,OR(AUTOEVENTO&lt;&gt;"manual",$M341&lt;&gt;$A$15)),
        IF(Import.TipoArredondamento&lt;&gt;"TransfereGOV",
              ROUND(OFFSET($P341,0,AT$13),15-13*ORÇAMENTO!$AF$7)/$H341*OFFSET(ORÇAMENTO!$X$15,ROW(AT341)-ROW(AT$15),0),
              ROUND(ROUND(OFFSET($P341,0,AT$13),15-13*ORÇAMENTO!$AF$7)*OFFSET(ORÇAMENTO!$W$15,ROW(AT341)-ROW(AT$15),0),15-13*ORÇAMENTO!$AF$11)),
         0)</f>
        <v>0</v>
      </c>
      <c r="AU341" s="453">
        <f ca="1">IF(AND($D341="Serviço",AU$12&lt;&gt;0,$H341&gt;0,OR(AUTOEVENTO&lt;&gt;"manual",$M341&lt;&gt;$A$15)),
        IF(Import.TipoArredondamento&lt;&gt;"TransfereGOV",
              ROUND(OFFSET($P341,0,AU$13),15-13*ORÇAMENTO!$AF$7)/$H341*OFFSET(ORÇAMENTO!$X$15,ROW(AU341)-ROW(AU$15),0),
              ROUND(ROUND(OFFSET($P341,0,AU$13),15-13*ORÇAMENTO!$AF$7)*OFFSET(ORÇAMENTO!$W$15,ROW(AU341)-ROW(AU$15),0),15-13*ORÇAMENTO!$AF$11)),
         0)</f>
        <v>0</v>
      </c>
      <c r="AV341" s="453">
        <f ca="1">IF(AND($D341="Serviço",AV$12&lt;&gt;0,$H341&gt;0,OR(AUTOEVENTO&lt;&gt;"manual",$M341&lt;&gt;$A$15)),
        IF(Import.TipoArredondamento&lt;&gt;"TransfereGOV",
              ROUND(OFFSET($P341,0,AV$13),15-13*ORÇAMENTO!$AF$7)/$H341*OFFSET(ORÇAMENTO!$X$15,ROW(AV341)-ROW(AV$15),0),
              ROUND(ROUND(OFFSET($P341,0,AV$13),15-13*ORÇAMENTO!$AF$7)*OFFSET(ORÇAMENTO!$W$15,ROW(AV341)-ROW(AV$15),0),15-13*ORÇAMENTO!$AF$11)),
         0)</f>
        <v>0</v>
      </c>
      <c r="AW341" s="453">
        <f ca="1">IF(AND($D341="Serviço",AW$12&lt;&gt;0,$H341&gt;0,OR(AUTOEVENTO&lt;&gt;"manual",$M341&lt;&gt;$A$15)),
        IF(Import.TipoArredondamento&lt;&gt;"TransfereGOV",
              ROUND(OFFSET($P341,0,AW$13),15-13*ORÇAMENTO!$AF$7)/$H341*OFFSET(ORÇAMENTO!$X$15,ROW(AW341)-ROW(AW$15),0),
              ROUND(ROUND(OFFSET($P341,0,AW$13),15-13*ORÇAMENTO!$AF$7)*OFFSET(ORÇAMENTO!$W$15,ROW(AW341)-ROW(AW$15),0),15-13*ORÇAMENTO!$AF$11)),
         0)</f>
        <v>0</v>
      </c>
      <c r="AX341" s="453">
        <f ca="1">IF(AND($D341="Serviço",AX$12&lt;&gt;0,$H341&gt;0,OR(AUTOEVENTO&lt;&gt;"manual",$M341&lt;&gt;$A$15)),
        IF(Import.TipoArredondamento&lt;&gt;"TransfereGOV",
              ROUND(OFFSET($P341,0,AX$13),15-13*ORÇAMENTO!$AF$7)/$H341*OFFSET(ORÇAMENTO!$X$15,ROW(AX341)-ROW(AX$15),0),
              ROUND(ROUND(OFFSET($P341,0,AX$13),15-13*ORÇAMENTO!$AF$7)*OFFSET(ORÇAMENTO!$W$15,ROW(AX341)-ROW(AX$15),0),15-13*ORÇAMENTO!$AF$11)),
         0)</f>
        <v>0</v>
      </c>
      <c r="AY341" s="453">
        <f ca="1">IF(AND($D341="Serviço",AY$12&lt;&gt;0,$H341&gt;0,OR(AUTOEVENTO&lt;&gt;"manual",$M341&lt;&gt;$A$15)),
        IF(Import.TipoArredondamento&lt;&gt;"TransfereGOV",
              ROUND(OFFSET($P341,0,AY$13),15-13*ORÇAMENTO!$AF$7)/$H341*OFFSET(ORÇAMENTO!$X$15,ROW(AY341)-ROW(AY$15),0),
              ROUND(ROUND(OFFSET($P341,0,AY$13),15-13*ORÇAMENTO!$AF$7)*OFFSET(ORÇAMENTO!$W$15,ROW(AY341)-ROW(AY$15),0),15-13*ORÇAMENTO!$AF$11)),
         0)</f>
        <v>0</v>
      </c>
      <c r="AZ341" s="453">
        <f ca="1">IF(AND($D341="Serviço",AZ$12&lt;&gt;0,$H341&gt;0,OR(AUTOEVENTO&lt;&gt;"manual",$M341&lt;&gt;$A$15)),
        IF(Import.TipoArredondamento&lt;&gt;"TransfereGOV",
              ROUND(OFFSET($P341,0,AZ$13),15-13*ORÇAMENTO!$AF$7)/$H341*OFFSET(ORÇAMENTO!$X$15,ROW(AZ341)-ROW(AZ$15),0),
              ROUND(ROUND(OFFSET($P341,0,AZ$13),15-13*ORÇAMENTO!$AF$7)*OFFSET(ORÇAMENTO!$W$15,ROW(AZ341)-ROW(AZ$15),0),15-13*ORÇAMENTO!$AF$11)),
         0)</f>
        <v>0</v>
      </c>
      <c r="BA341" s="453">
        <f ca="1">IF(AND($D341="Serviço",BA$12&lt;&gt;0,$H341&gt;0,OR(AUTOEVENTO&lt;&gt;"manual",$M341&lt;&gt;$A$15)),
        IF(Import.TipoArredondamento&lt;&gt;"TransfereGOV",
              ROUND(OFFSET($P341,0,BA$13),15-13*ORÇAMENTO!$AF$7)/$H341*OFFSET(ORÇAMENTO!$X$15,ROW(BA341)-ROW(BA$15),0),
              ROUND(ROUND(OFFSET($P341,0,BA$13),15-13*ORÇAMENTO!$AF$7)*OFFSET(ORÇAMENTO!$W$15,ROW(BA341)-ROW(BA$15),0),15-13*ORÇAMENTO!$AF$11)),
         0)</f>
        <v>0</v>
      </c>
      <c r="BC341" s="171">
        <f ca="1">IF(OR($D341&lt;&gt;"Serviço",AND(AUTOEVENTO="Manual",$M341=$A$15)),0,
         IF(OFFSET(CRONOPLE!$F$15,$M341-$A$15,BC$13)=0,10^12,OFFSET(CRONOPLE!$F$15,$M341-$A$15,BC$13)))</f>
        <v>0</v>
      </c>
      <c r="BD341" s="171">
        <f ca="1">IF(OR($D341&lt;&gt;"Serviço",AND(AUTOEVENTO="Manual",$M341=$A$15)),0,
         IF(OFFSET(CRONOPLE!$F$15,$M341-$A$15,BD$13)=0,10^12,OFFSET(CRONOPLE!$F$15,$M341-$A$15,BD$13)))</f>
        <v>0</v>
      </c>
      <c r="BE341" s="171">
        <f ca="1">IF(OR($D341&lt;&gt;"Serviço",AND(AUTOEVENTO="Manual",$M341=$A$15)),0,
         IF(OFFSET(CRONOPLE!$F$15,$M341-$A$15,BE$13)=0,10^12,OFFSET(CRONOPLE!$F$15,$M341-$A$15,BE$13)))</f>
        <v>0</v>
      </c>
      <c r="BF341" s="171">
        <f ca="1">IF(OR($D341&lt;&gt;"Serviço",AND(AUTOEVENTO="Manual",$M341=$A$15)),0,
         IF(OFFSET(CRONOPLE!$F$15,$M341-$A$15,BF$13)=0,10^12,OFFSET(CRONOPLE!$F$15,$M341-$A$15,BF$13)))</f>
        <v>0</v>
      </c>
      <c r="BG341" s="171">
        <f ca="1">IF(OR($D341&lt;&gt;"Serviço",AND(AUTOEVENTO="Manual",$M341=$A$15)),0,
         IF(OFFSET(CRONOPLE!$F$15,$M341-$A$15,BG$13)=0,10^12,OFFSET(CRONOPLE!$F$15,$M341-$A$15,BG$13)))</f>
        <v>0</v>
      </c>
      <c r="BH341" s="171">
        <f ca="1">IF(OR($D341&lt;&gt;"Serviço",AND(AUTOEVENTO="Manual",$M341=$A$15)),0,
         IF(OFFSET(CRONOPLE!$F$15,$M341-$A$15,BH$13)=0,10^12,OFFSET(CRONOPLE!$F$15,$M341-$A$15,BH$13)))</f>
        <v>0</v>
      </c>
      <c r="BI341" s="171">
        <f ca="1">IF(OR($D341&lt;&gt;"Serviço",AND(AUTOEVENTO="Manual",$M341=$A$15)),0,
         IF(OFFSET(CRONOPLE!$F$15,$M341-$A$15,BI$13)=0,10^12,OFFSET(CRONOPLE!$F$15,$M341-$A$15,BI$13)))</f>
        <v>0</v>
      </c>
      <c r="BJ341" s="171">
        <f ca="1">IF(OR($D341&lt;&gt;"Serviço",AND(AUTOEVENTO="Manual",$M341=$A$15)),0,
         IF(OFFSET(CRONOPLE!$F$15,$M341-$A$15,BJ$13)=0,10^12,OFFSET(CRONOPLE!$F$15,$M341-$A$15,BJ$13)))</f>
        <v>0</v>
      </c>
      <c r="BK341" s="171">
        <f ca="1">IF(OR($D341&lt;&gt;"Serviço",AND(AUTOEVENTO="Manual",$M341=$A$15)),0,
         IF(OFFSET(CRONOPLE!$F$15,$M341-$A$15,BK$13)=0,10^12,OFFSET(CRONOPLE!$F$15,$M341-$A$15,BK$13)))</f>
        <v>0</v>
      </c>
      <c r="BL341" s="171">
        <f ca="1">IF(OR($D341&lt;&gt;"Serviço",AND(AUTOEVENTO="Manual",$M341=$A$15)),0,
         IF(OFFSET(CRONOPLE!$F$15,$M341-$A$15,BL$13)=0,10^12,OFFSET(CRONOPLE!$F$15,$M341-$A$15,BL$13)))</f>
        <v>0</v>
      </c>
      <c r="BM341" s="171">
        <f ca="1">IF(OR($D341&lt;&gt;"Serviço",AND(AUTOEVENTO="Manual",$M341=$A$15)),0,
         IF(OFFSET(CRONOPLE!$F$15,$M341-$A$15,BM$13)=0,10^12,OFFSET(CRONOPLE!$F$15,$M341-$A$15,BM$13)))</f>
        <v>0</v>
      </c>
      <c r="BN341" s="171">
        <f ca="1">IF(OR($D341&lt;&gt;"Serviço",AND(AUTOEVENTO="Manual",$M341=$A$15)),0,
         IF(OFFSET(CRONOPLE!$F$15,$M341-$A$15,BN$13)=0,10^12,OFFSET(CRONOPLE!$F$15,$M341-$A$15,BN$13)))</f>
        <v>0</v>
      </c>
      <c r="BO341" s="171">
        <f ca="1">IF(OR($D341&lt;&gt;"Serviço",AND(AUTOEVENTO="Manual",$M341=$A$15)),0,
         IF(OFFSET(CRONOPLE!$F$15,$M341-$A$15,BO$13)=0,10^12,OFFSET(CRONOPLE!$F$15,$M341-$A$15,BO$13)))</f>
        <v>0</v>
      </c>
      <c r="BP341" s="171">
        <f ca="1">IF(OR($D341&lt;&gt;"Serviço",AND(AUTOEVENTO="Manual",$M341=$A$15)),0,
         IF(OFFSET(CRONOPLE!$F$15,$M341-$A$15,BP$13)=0,10^12,OFFSET(CRONOPLE!$F$15,$M341-$A$15,BP$13)))</f>
        <v>0</v>
      </c>
      <c r="BQ341" s="171">
        <f ca="1">IF(OR($D341&lt;&gt;"Serviço",AND(AUTOEVENTO="Manual",$M341=$A$15)),0,
         IF(OFFSET(CRONOPLE!$F$15,$M341-$A$15,BQ$13)=0,10^12,OFFSET(CRONOPLE!$F$15,$M341-$A$15,BQ$13)))</f>
        <v>0</v>
      </c>
      <c r="BR341" s="171">
        <f ca="1">IF(OR($D341&lt;&gt;"Serviço",AND(AUTOEVENTO="Manual",$M341=$A$15)),0,
         IF(OFFSET(CRONOPLE!$F$15,$M341-$A$15,BR$13)=0,10^12,OFFSET(CRONOPLE!$F$15,$M341-$A$15,BR$13)))</f>
        <v>0</v>
      </c>
      <c r="BS341" s="171">
        <f ca="1">IF(OR($D341&lt;&gt;"Serviço",AND(AUTOEVENTO="Manual",$M341=$A$15)),0,
         IF(OFFSET(CRONOPLE!$F$15,$M341-$A$15,BS$13)=0,10^12,OFFSET(CRONOPLE!$F$15,$M341-$A$15,BS$13)))</f>
        <v>0</v>
      </c>
      <c r="BT341" s="171">
        <f ca="1">IF(OR($D341&lt;&gt;"Serviço",AND(AUTOEVENTO="Manual",$M341=$A$15)),0,
         IF(OFFSET(CRONOPLE!$F$15,$M341-$A$15,BT$13)=0,10^12,OFFSET(CRONOPLE!$F$15,$M341-$A$15,BT$13)))</f>
        <v>0</v>
      </c>
      <c r="BV341" s="172">
        <f ca="1">IF(OR($D341&lt;&gt;"Serviço",AND(AUTOEVENTO="Manual",$M341=$A$15),$M341&gt;(ROW(PLE.lastrow)-ROW(PLE.firstrow))),0,
           IF(OFFSET(PLE!$G$15,$M341-$A$15,BV$13)="",10^12,OFFSET(PLE!$G$15,$M341-$A$15,BV$13)))</f>
        <v>0</v>
      </c>
      <c r="BW341" s="172">
        <f ca="1">IF(OR($D341&lt;&gt;"Serviço",AND(AUTOEVENTO="Manual",$M341=$A$15),$M341&gt;(ROW(PLE.lastrow)-ROW(PLE.firstrow))),0,
           IF(OFFSET(PLE!$G$15,$M341-$A$15,BW$13)="",10^12,OFFSET(PLE!$G$15,$M341-$A$15,BW$13)))</f>
        <v>0</v>
      </c>
      <c r="BX341" s="172">
        <f ca="1">IF(OR($D341&lt;&gt;"Serviço",AND(AUTOEVENTO="Manual",$M341=$A$15),$M341&gt;(ROW(PLE.lastrow)-ROW(PLE.firstrow))),0,
           IF(OFFSET(PLE!$G$15,$M341-$A$15,BX$13)="",10^12,OFFSET(PLE!$G$15,$M341-$A$15,BX$13)))</f>
        <v>0</v>
      </c>
      <c r="BY341" s="172">
        <f ca="1">IF(OR($D341&lt;&gt;"Serviço",AND(AUTOEVENTO="Manual",$M341=$A$15),$M341&gt;(ROW(PLE.lastrow)-ROW(PLE.firstrow))),0,
           IF(OFFSET(PLE!$G$15,$M341-$A$15,BY$13)="",10^12,OFFSET(PLE!$G$15,$M341-$A$15,BY$13)))</f>
        <v>0</v>
      </c>
      <c r="BZ341" s="172">
        <f ca="1">IF(OR($D341&lt;&gt;"Serviço",AND(AUTOEVENTO="Manual",$M341=$A$15),$M341&gt;(ROW(PLE.lastrow)-ROW(PLE.firstrow))),0,
           IF(OFFSET(PLE!$G$15,$M341-$A$15,BZ$13)="",10^12,OFFSET(PLE!$G$15,$M341-$A$15,BZ$13)))</f>
        <v>0</v>
      </c>
      <c r="CA341" s="172">
        <f ca="1">IF(OR($D341&lt;&gt;"Serviço",AND(AUTOEVENTO="Manual",$M341=$A$15),$M341&gt;(ROW(PLE.lastrow)-ROW(PLE.firstrow))),0,
           IF(OFFSET(PLE!$G$15,$M341-$A$15,CA$13)="",10^12,OFFSET(PLE!$G$15,$M341-$A$15,CA$13)))</f>
        <v>0</v>
      </c>
      <c r="CB341" s="172">
        <f ca="1">IF(OR($D341&lt;&gt;"Serviço",AND(AUTOEVENTO="Manual",$M341=$A$15),$M341&gt;(ROW(PLE.lastrow)-ROW(PLE.firstrow))),0,
           IF(OFFSET(PLE!$G$15,$M341-$A$15,CB$13)="",10^12,OFFSET(PLE!$G$15,$M341-$A$15,CB$13)))</f>
        <v>0</v>
      </c>
      <c r="CC341" s="172">
        <f ca="1">IF(OR($D341&lt;&gt;"Serviço",AND(AUTOEVENTO="Manual",$M341=$A$15),$M341&gt;(ROW(PLE.lastrow)-ROW(PLE.firstrow))),0,
           IF(OFFSET(PLE!$G$15,$M341-$A$15,CC$13)="",10^12,OFFSET(PLE!$G$15,$M341-$A$15,CC$13)))</f>
        <v>0</v>
      </c>
      <c r="CD341" s="172">
        <f ca="1">IF(OR($D341&lt;&gt;"Serviço",AND(AUTOEVENTO="Manual",$M341=$A$15),$M341&gt;(ROW(PLE.lastrow)-ROW(PLE.firstrow))),0,
           IF(OFFSET(PLE!$G$15,$M341-$A$15,CD$13)="",10^12,OFFSET(PLE!$G$15,$M341-$A$15,CD$13)))</f>
        <v>0</v>
      </c>
      <c r="CE341" s="172">
        <f ca="1">IF(OR($D341&lt;&gt;"Serviço",AND(AUTOEVENTO="Manual",$M341=$A$15),$M341&gt;(ROW(PLE.lastrow)-ROW(PLE.firstrow))),0,
           IF(OFFSET(PLE!$G$15,$M341-$A$15,CE$13)="",10^12,OFFSET(PLE!$G$15,$M341-$A$15,CE$13)))</f>
        <v>0</v>
      </c>
      <c r="CF341" s="172">
        <f ca="1">IF(OR($D341&lt;&gt;"Serviço",AND(AUTOEVENTO="Manual",$M341=$A$15),$M341&gt;(ROW(PLE.lastrow)-ROW(PLE.firstrow))),0,
           IF(OFFSET(PLE!$G$15,$M341-$A$15,CF$13)="",10^12,OFFSET(PLE!$G$15,$M341-$A$15,CF$13)))</f>
        <v>0</v>
      </c>
      <c r="CG341" s="172">
        <f ca="1">IF(OR($D341&lt;&gt;"Serviço",AND(AUTOEVENTO="Manual",$M341=$A$15),$M341&gt;(ROW(PLE.lastrow)-ROW(PLE.firstrow))),0,
           IF(OFFSET(PLE!$G$15,$M341-$A$15,CG$13)="",10^12,OFFSET(PLE!$G$15,$M341-$A$15,CG$13)))</f>
        <v>0</v>
      </c>
      <c r="CH341" s="172">
        <f ca="1">IF(OR($D341&lt;&gt;"Serviço",AND(AUTOEVENTO="Manual",$M341=$A$15),$M341&gt;(ROW(PLE.lastrow)-ROW(PLE.firstrow))),0,
           IF(OFFSET(PLE!$G$15,$M341-$A$15,CH$13)="",10^12,OFFSET(PLE!$G$15,$M341-$A$15,CH$13)))</f>
        <v>0</v>
      </c>
      <c r="CI341" s="172">
        <f ca="1">IF(OR($D341&lt;&gt;"Serviço",AND(AUTOEVENTO="Manual",$M341=$A$15),$M341&gt;(ROW(PLE.lastrow)-ROW(PLE.firstrow))),0,
           IF(OFFSET(PLE!$G$15,$M341-$A$15,CI$13)="",10^12,OFFSET(PLE!$G$15,$M341-$A$15,CI$13)))</f>
        <v>0</v>
      </c>
      <c r="CJ341" s="172">
        <f ca="1">IF(OR($D341&lt;&gt;"Serviço",AND(AUTOEVENTO="Manual",$M341=$A$15),$M341&gt;(ROW(PLE.lastrow)-ROW(PLE.firstrow))),0,
           IF(OFFSET(PLE!$G$15,$M341-$A$15,CJ$13)="",10^12,OFFSET(PLE!$G$15,$M341-$A$15,CJ$13)))</f>
        <v>0</v>
      </c>
      <c r="CK341" s="172">
        <f ca="1">IF(OR($D341&lt;&gt;"Serviço",AND(AUTOEVENTO="Manual",$M341=$A$15),$M341&gt;(ROW(PLE.lastrow)-ROW(PLE.firstrow))),0,
           IF(OFFSET(PLE!$G$15,$M341-$A$15,CK$13)="",10^12,OFFSET(PLE!$G$15,$M341-$A$15,CK$13)))</f>
        <v>0</v>
      </c>
      <c r="CL341" s="172">
        <f ca="1">IF(OR($D341&lt;&gt;"Serviço",AND(AUTOEVENTO="Manual",$M341=$A$15),$M341&gt;(ROW(PLE.lastrow)-ROW(PLE.firstrow))),0,
           IF(OFFSET(PLE!$G$15,$M341-$A$15,CL$13)="",10^12,OFFSET(PLE!$G$15,$M341-$A$15,CL$13)))</f>
        <v>0</v>
      </c>
      <c r="CM341" s="172">
        <f ca="1">IF(OR($D341&lt;&gt;"Serviço",AND(AUTOEVENTO="Manual",$M341=$A$15),$M341&gt;(ROW(PLE.lastrow)-ROW(PLE.firstrow))),0,
           IF(OFFSET(PLE!$G$15,$M341-$A$15,CM$13)="",10^12,OFFSET(PLE!$G$15,$M341-$A$15,CM$13)))</f>
        <v>0</v>
      </c>
    </row>
    <row r="342" spans="1:91" ht="63.75" x14ac:dyDescent="0.2">
      <c r="A342" s="7">
        <f t="shared" ca="1" si="15"/>
        <v>6</v>
      </c>
      <c r="B342" s="7" t="str">
        <f ca="1">OFFSET(ORÇAMENTO!C$15,ROW(B342)-ROW(B$15),0)</f>
        <v>S</v>
      </c>
      <c r="C342" s="7" t="str">
        <f ca="1">OFFSET(ORÇAMENTO!L$15,ROW(C342)-ROW(C$15),0)</f>
        <v>F</v>
      </c>
      <c r="D342" s="116" t="str">
        <f ca="1">OFFSET(ORÇAMENTO!N$15,ROW(D342)-ROW(D$15),0)</f>
        <v>Serviço</v>
      </c>
      <c r="E342" s="117" t="str">
        <f ca="1">OFFSET(ORÇAMENTO!O$15,ROW(E342)-ROW(E$15),0)</f>
        <v>1.7.6.1.1.</v>
      </c>
      <c r="F342" s="163" t="str">
        <f ca="1">OFFSET(ORÇAMENTO!R$15,ROW(F342)-ROW(F$15),0)</f>
        <v>FORNECIMENTO E ASSENTAMENTO DE TUBO DE PVC DEFOFO, DN 150 MM, JUNTA ELÁSTICA INTEGRADA - BASEADO EM SINAPI (97134)</v>
      </c>
      <c r="G342" s="164" t="str">
        <f ca="1">IF($D342&lt;&gt;"Serviço","",OFFSET(ORÇAMENTO!S$15,ROW(G342)-ROW(G$15),0))</f>
        <v>M</v>
      </c>
      <c r="H342" s="122" cm="1">
        <f t="array" aca="1" ref="H342" ca="1">IF($D342&lt;&gt;"Serviço",0,IF(ACOMPANHAMENTO="BM",ROUND(OFFSET(ORÇAMENTO!AJ$15,ROW(H342)-ROW(H$15),0),15-13*ORÇAMENTO!$AF$7),SUMPRODUCT(($Q$1:$AI$1=1)*ROUND($Q342:$AI342,15-13*ORÇAMENTO!$AF$7))))</f>
        <v>498.13</v>
      </c>
      <c r="I342" s="468" t="s">
        <v>1360</v>
      </c>
      <c r="J342" s="640" t="str" cm="1">
        <f t="array" aca="1" ref="J342" ca="1">IF(OR(B342&lt;&gt;"S",CÁLCULO.FrentesPreenchidas=0),"",IF(AND(ACOMPANHAMENTO="PLE",AUTOEVENTO="Manual",OR(H342&gt;0,ORÇAMENTO!AC342="QUANT."),OR(K342="",M342=0,N342="")),"►E",IF(AND(ACOMPANHAMENTO="PLE",ORÇAMENTO!AC342="QUANT."),"►Q",IF(AND(ACOMPANHAMENTO="PLE",H342&lt;&gt;SUMPRODUCT(($Q$1:$AI$1=1)*ROUND(Q342:AI342,15))),"►S",IF(AND(COUNTIF($P$11:$AI$11,"▼")=0,H342&gt;0,I342=""),"◄M","")))))</f>
        <v/>
      </c>
      <c r="K342" s="641" t="s">
        <v>1385</v>
      </c>
      <c r="L342" s="165" t="s">
        <v>764</v>
      </c>
      <c r="M342" s="166">
        <f ca="1">IF($D342&lt;&gt;"Serviço","",
          IF(AUTOEVENTO="manual",$A342,
                IF(ISERROR(MATCH($A342,$A$15:OFFSET($A342,-1,0),0)),MAX($M$15:OFFSET(M342,-1,0))+1,
                      INDEX($M$15:OFFSET(M342,-1,0),MATCH($A342,$A$15:OFFSET($A342,-1,0),0)))))</f>
        <v>6</v>
      </c>
      <c r="N342" s="167" t="str">
        <f ca="1">IF($D342&lt;&gt;"Serviço","",
         IF(AUTOEVENTO="Manual",
                IF($A342=0,"&lt;-- defina o número do agrupador",
                       OFFSET(EVENTOS!$D$15,$A342-$A$15,0)),
                OFFSET($F$15,$A342,0)))</f>
        <v>Saneamento</v>
      </c>
      <c r="O342" s="168"/>
      <c r="Q342" s="168"/>
      <c r="R342" s="169"/>
      <c r="S342" s="169"/>
      <c r="T342" s="169"/>
      <c r="U342" s="169"/>
      <c r="V342" s="169">
        <f>ROUND(253.131+240+4*0.5+1*3,2)</f>
        <v>498.13</v>
      </c>
      <c r="W342" s="169"/>
      <c r="X342" s="169"/>
      <c r="Y342" s="169"/>
      <c r="Z342" s="170"/>
      <c r="AA342" s="169"/>
      <c r="AB342" s="169"/>
      <c r="AC342" s="169"/>
      <c r="AD342" s="169"/>
      <c r="AE342" s="169"/>
      <c r="AF342" s="169"/>
      <c r="AG342" s="169"/>
      <c r="AH342" s="170"/>
      <c r="AJ342" s="453">
        <f ca="1">IF(AND($D342="Serviço",AJ$12&lt;&gt;0,$H342&gt;0,OR(AUTOEVENTO&lt;&gt;"manual",$M342&lt;&gt;$A$15)),
        IF(Import.TipoArredondamento&lt;&gt;"TransfereGOV",
              ROUND(OFFSET($P342,0,AJ$13),15-13*ORÇAMENTO!$AF$7)/$H342*OFFSET(ORÇAMENTO!$X$15,ROW(AJ342)-ROW(AJ$15),0),
              ROUND(ROUND(OFFSET($P342,0,AJ$13),15-13*ORÇAMENTO!$AF$7)*OFFSET(ORÇAMENTO!$W$15,ROW(AJ342)-ROW(AJ$15),0),15-13*ORÇAMENTO!$AF$11)),
         0)</f>
        <v>0</v>
      </c>
      <c r="AK342" s="453">
        <f ca="1">IF(AND($D342="Serviço",AK$12&lt;&gt;0,$H342&gt;0,OR(AUTOEVENTO&lt;&gt;"manual",$M342&lt;&gt;$A$15)),
        IF(Import.TipoArredondamento&lt;&gt;"TransfereGOV",
              ROUND(OFFSET($P342,0,AK$13),15-13*ORÇAMENTO!$AF$7)/$H342*OFFSET(ORÇAMENTO!$X$15,ROW(AK342)-ROW(AK$15),0),
              ROUND(ROUND(OFFSET($P342,0,AK$13),15-13*ORÇAMENTO!$AF$7)*OFFSET(ORÇAMENTO!$W$15,ROW(AK342)-ROW(AK$15),0),15-13*ORÇAMENTO!$AF$11)),
         0)</f>
        <v>0</v>
      </c>
      <c r="AL342" s="453">
        <f ca="1">IF(AND($D342="Serviço",AL$12&lt;&gt;0,$H342&gt;0,OR(AUTOEVENTO&lt;&gt;"manual",$M342&lt;&gt;$A$15)),
        IF(Import.TipoArredondamento&lt;&gt;"TransfereGOV",
              ROUND(OFFSET($P342,0,AL$13),15-13*ORÇAMENTO!$AF$7)/$H342*OFFSET(ORÇAMENTO!$X$15,ROW(AL342)-ROW(AL$15),0),
              ROUND(ROUND(OFFSET($P342,0,AL$13),15-13*ORÇAMENTO!$AF$7)*OFFSET(ORÇAMENTO!$W$15,ROW(AL342)-ROW(AL$15),0),15-13*ORÇAMENTO!$AF$11)),
         0)</f>
        <v>0</v>
      </c>
      <c r="AM342" s="453">
        <f ca="1">IF(AND($D342="Serviço",AM$12&lt;&gt;0,$H342&gt;0,OR(AUTOEVENTO&lt;&gt;"manual",$M342&lt;&gt;$A$15)),
        IF(Import.TipoArredondamento&lt;&gt;"TransfereGOV",
              ROUND(OFFSET($P342,0,AM$13),15-13*ORÇAMENTO!$AF$7)/$H342*OFFSET(ORÇAMENTO!$X$15,ROW(AM342)-ROW(AM$15),0),
              ROUND(ROUND(OFFSET($P342,0,AM$13),15-13*ORÇAMENTO!$AF$7)*OFFSET(ORÇAMENTO!$W$15,ROW(AM342)-ROW(AM$15),0),15-13*ORÇAMENTO!$AF$11)),
         0)</f>
        <v>0</v>
      </c>
      <c r="AN342" s="453">
        <f ca="1">IF(AND($D342="Serviço",AN$12&lt;&gt;0,$H342&gt;0,OR(AUTOEVENTO&lt;&gt;"manual",$M342&lt;&gt;$A$15)),
        IF(Import.TipoArredondamento&lt;&gt;"TransfereGOV",
              ROUND(OFFSET($P342,0,AN$13),15-13*ORÇAMENTO!$AF$7)/$H342*OFFSET(ORÇAMENTO!$X$15,ROW(AN342)-ROW(AN$15),0),
              ROUND(ROUND(OFFSET($P342,0,AN$13),15-13*ORÇAMENTO!$AF$7)*OFFSET(ORÇAMENTO!$W$15,ROW(AN342)-ROW(AN$15),0),15-13*ORÇAMENTO!$AF$11)),
         0)</f>
        <v>0</v>
      </c>
      <c r="AO342" s="453">
        <f ca="1">IF(AND($D342="Serviço",AO$12&lt;&gt;0,$H342&gt;0,OR(AUTOEVENTO&lt;&gt;"manual",$M342&lt;&gt;$A$15)),
        IF(Import.TipoArredondamento&lt;&gt;"TransfereGOV",
              ROUND(OFFSET($P342,0,AO$13),15-13*ORÇAMENTO!$AF$7)/$H342*OFFSET(ORÇAMENTO!$X$15,ROW(AO342)-ROW(AO$15),0),
              ROUND(ROUND(OFFSET($P342,0,AO$13),15-13*ORÇAMENTO!$AF$7)*OFFSET(ORÇAMENTO!$W$15,ROW(AO342)-ROW(AO$15),0),15-13*ORÇAMENTO!$AF$11)),
         0)</f>
        <v>0</v>
      </c>
      <c r="AP342" s="453">
        <f ca="1">IF(AND($D342="Serviço",AP$12&lt;&gt;0,$H342&gt;0,OR(AUTOEVENTO&lt;&gt;"manual",$M342&lt;&gt;$A$15)),
        IF(Import.TipoArredondamento&lt;&gt;"TransfereGOV",
              ROUND(OFFSET($P342,0,AP$13),15-13*ORÇAMENTO!$AF$7)/$H342*OFFSET(ORÇAMENTO!$X$15,ROW(AP342)-ROW(AP$15),0),
              ROUND(ROUND(OFFSET($P342,0,AP$13),15-13*ORÇAMENTO!$AF$7)*OFFSET(ORÇAMENTO!$W$15,ROW(AP342)-ROW(AP$15),0),15-13*ORÇAMENTO!$AF$11)),
         0)</f>
        <v>0</v>
      </c>
      <c r="AQ342" s="453">
        <f ca="1">IF(AND($D342="Serviço",AQ$12&lt;&gt;0,$H342&gt;0,OR(AUTOEVENTO&lt;&gt;"manual",$M342&lt;&gt;$A$15)),
        IF(Import.TipoArredondamento&lt;&gt;"TransfereGOV",
              ROUND(OFFSET($P342,0,AQ$13),15-13*ORÇAMENTO!$AF$7)/$H342*OFFSET(ORÇAMENTO!$X$15,ROW(AQ342)-ROW(AQ$15),0),
              ROUND(ROUND(OFFSET($P342,0,AQ$13),15-13*ORÇAMENTO!$AF$7)*OFFSET(ORÇAMENTO!$W$15,ROW(AQ342)-ROW(AQ$15),0),15-13*ORÇAMENTO!$AF$11)),
         0)</f>
        <v>0</v>
      </c>
      <c r="AR342" s="453">
        <f ca="1">IF(AND($D342="Serviço",AR$12&lt;&gt;0,$H342&gt;0,OR(AUTOEVENTO&lt;&gt;"manual",$M342&lt;&gt;$A$15)),
        IF(Import.TipoArredondamento&lt;&gt;"TransfereGOV",
              ROUND(OFFSET($P342,0,AR$13),15-13*ORÇAMENTO!$AF$7)/$H342*OFFSET(ORÇAMENTO!$X$15,ROW(AR342)-ROW(AR$15),0),
              ROUND(ROUND(OFFSET($P342,0,AR$13),15-13*ORÇAMENTO!$AF$7)*OFFSET(ORÇAMENTO!$W$15,ROW(AR342)-ROW(AR$15),0),15-13*ORÇAMENTO!$AF$11)),
         0)</f>
        <v>0</v>
      </c>
      <c r="AS342" s="453">
        <f ca="1">IF(AND($D342="Serviço",AS$12&lt;&gt;0,$H342&gt;0,OR(AUTOEVENTO&lt;&gt;"manual",$M342&lt;&gt;$A$15)),
        IF(Import.TipoArredondamento&lt;&gt;"TransfereGOV",
              ROUND(OFFSET($P342,0,AS$13),15-13*ORÇAMENTO!$AF$7)/$H342*OFFSET(ORÇAMENTO!$X$15,ROW(AS342)-ROW(AS$15),0),
              ROUND(ROUND(OFFSET($P342,0,AS$13),15-13*ORÇAMENTO!$AF$7)*OFFSET(ORÇAMENTO!$W$15,ROW(AS342)-ROW(AS$15),0),15-13*ORÇAMENTO!$AF$11)),
         0)</f>
        <v>0</v>
      </c>
      <c r="AT342" s="453">
        <f ca="1">IF(AND($D342="Serviço",AT$12&lt;&gt;0,$H342&gt;0,OR(AUTOEVENTO&lt;&gt;"manual",$M342&lt;&gt;$A$15)),
        IF(Import.TipoArredondamento&lt;&gt;"TransfereGOV",
              ROUND(OFFSET($P342,0,AT$13),15-13*ORÇAMENTO!$AF$7)/$H342*OFFSET(ORÇAMENTO!$X$15,ROW(AT342)-ROW(AT$15),0),
              ROUND(ROUND(OFFSET($P342,0,AT$13),15-13*ORÇAMENTO!$AF$7)*OFFSET(ORÇAMENTO!$W$15,ROW(AT342)-ROW(AT$15),0),15-13*ORÇAMENTO!$AF$11)),
         0)</f>
        <v>0</v>
      </c>
      <c r="AU342" s="453">
        <f ca="1">IF(AND($D342="Serviço",AU$12&lt;&gt;0,$H342&gt;0,OR(AUTOEVENTO&lt;&gt;"manual",$M342&lt;&gt;$A$15)),
        IF(Import.TipoArredondamento&lt;&gt;"TransfereGOV",
              ROUND(OFFSET($P342,0,AU$13),15-13*ORÇAMENTO!$AF$7)/$H342*OFFSET(ORÇAMENTO!$X$15,ROW(AU342)-ROW(AU$15),0),
              ROUND(ROUND(OFFSET($P342,0,AU$13),15-13*ORÇAMENTO!$AF$7)*OFFSET(ORÇAMENTO!$W$15,ROW(AU342)-ROW(AU$15),0),15-13*ORÇAMENTO!$AF$11)),
         0)</f>
        <v>0</v>
      </c>
      <c r="AV342" s="453">
        <f ca="1">IF(AND($D342="Serviço",AV$12&lt;&gt;0,$H342&gt;0,OR(AUTOEVENTO&lt;&gt;"manual",$M342&lt;&gt;$A$15)),
        IF(Import.TipoArredondamento&lt;&gt;"TransfereGOV",
              ROUND(OFFSET($P342,0,AV$13),15-13*ORÇAMENTO!$AF$7)/$H342*OFFSET(ORÇAMENTO!$X$15,ROW(AV342)-ROW(AV$15),0),
              ROUND(ROUND(OFFSET($P342,0,AV$13),15-13*ORÇAMENTO!$AF$7)*OFFSET(ORÇAMENTO!$W$15,ROW(AV342)-ROW(AV$15),0),15-13*ORÇAMENTO!$AF$11)),
         0)</f>
        <v>0</v>
      </c>
      <c r="AW342" s="453">
        <f ca="1">IF(AND($D342="Serviço",AW$12&lt;&gt;0,$H342&gt;0,OR(AUTOEVENTO&lt;&gt;"manual",$M342&lt;&gt;$A$15)),
        IF(Import.TipoArredondamento&lt;&gt;"TransfereGOV",
              ROUND(OFFSET($P342,0,AW$13),15-13*ORÇAMENTO!$AF$7)/$H342*OFFSET(ORÇAMENTO!$X$15,ROW(AW342)-ROW(AW$15),0),
              ROUND(ROUND(OFFSET($P342,0,AW$13),15-13*ORÇAMENTO!$AF$7)*OFFSET(ORÇAMENTO!$W$15,ROW(AW342)-ROW(AW$15),0),15-13*ORÇAMENTO!$AF$11)),
         0)</f>
        <v>0</v>
      </c>
      <c r="AX342" s="453">
        <f ca="1">IF(AND($D342="Serviço",AX$12&lt;&gt;0,$H342&gt;0,OR(AUTOEVENTO&lt;&gt;"manual",$M342&lt;&gt;$A$15)),
        IF(Import.TipoArredondamento&lt;&gt;"TransfereGOV",
              ROUND(OFFSET($P342,0,AX$13),15-13*ORÇAMENTO!$AF$7)/$H342*OFFSET(ORÇAMENTO!$X$15,ROW(AX342)-ROW(AX$15),0),
              ROUND(ROUND(OFFSET($P342,0,AX$13),15-13*ORÇAMENTO!$AF$7)*OFFSET(ORÇAMENTO!$W$15,ROW(AX342)-ROW(AX$15),0),15-13*ORÇAMENTO!$AF$11)),
         0)</f>
        <v>0</v>
      </c>
      <c r="AY342" s="453">
        <f ca="1">IF(AND($D342="Serviço",AY$12&lt;&gt;0,$H342&gt;0,OR(AUTOEVENTO&lt;&gt;"manual",$M342&lt;&gt;$A$15)),
        IF(Import.TipoArredondamento&lt;&gt;"TransfereGOV",
              ROUND(OFFSET($P342,0,AY$13),15-13*ORÇAMENTO!$AF$7)/$H342*OFFSET(ORÇAMENTO!$X$15,ROW(AY342)-ROW(AY$15),0),
              ROUND(ROUND(OFFSET($P342,0,AY$13),15-13*ORÇAMENTO!$AF$7)*OFFSET(ORÇAMENTO!$W$15,ROW(AY342)-ROW(AY$15),0),15-13*ORÇAMENTO!$AF$11)),
         0)</f>
        <v>0</v>
      </c>
      <c r="AZ342" s="453">
        <f ca="1">IF(AND($D342="Serviço",AZ$12&lt;&gt;0,$H342&gt;0,OR(AUTOEVENTO&lt;&gt;"manual",$M342&lt;&gt;$A$15)),
        IF(Import.TipoArredondamento&lt;&gt;"TransfereGOV",
              ROUND(OFFSET($P342,0,AZ$13),15-13*ORÇAMENTO!$AF$7)/$H342*OFFSET(ORÇAMENTO!$X$15,ROW(AZ342)-ROW(AZ$15),0),
              ROUND(ROUND(OFFSET($P342,0,AZ$13),15-13*ORÇAMENTO!$AF$7)*OFFSET(ORÇAMENTO!$W$15,ROW(AZ342)-ROW(AZ$15),0),15-13*ORÇAMENTO!$AF$11)),
         0)</f>
        <v>0</v>
      </c>
      <c r="BA342" s="453">
        <f ca="1">IF(AND($D342="Serviço",BA$12&lt;&gt;0,$H342&gt;0,OR(AUTOEVENTO&lt;&gt;"manual",$M342&lt;&gt;$A$15)),
        IF(Import.TipoArredondamento&lt;&gt;"TransfereGOV",
              ROUND(OFFSET($P342,0,BA$13),15-13*ORÇAMENTO!$AF$7)/$H342*OFFSET(ORÇAMENTO!$X$15,ROW(BA342)-ROW(BA$15),0),
              ROUND(ROUND(OFFSET($P342,0,BA$13),15-13*ORÇAMENTO!$AF$7)*OFFSET(ORÇAMENTO!$W$15,ROW(BA342)-ROW(BA$15),0),15-13*ORÇAMENTO!$AF$11)),
         0)</f>
        <v>0</v>
      </c>
      <c r="BC342" s="171">
        <f ca="1">IF(OR($D342&lt;&gt;"Serviço",AND(AUTOEVENTO="Manual",$M342=$A$15)),0,
         IF(OFFSET(CRONOPLE!$F$15,$M342-$A$15,BC$13)=0,10^12,OFFSET(CRONOPLE!$F$15,$M342-$A$15,BC$13)))</f>
        <v>1</v>
      </c>
      <c r="BD342" s="171">
        <f ca="1">IF(OR($D342&lt;&gt;"Serviço",AND(AUTOEVENTO="Manual",$M342=$A$15)),0,
         IF(OFFSET(CRONOPLE!$F$15,$M342-$A$15,BD$13)=0,10^12,OFFSET(CRONOPLE!$F$15,$M342-$A$15,BD$13)))</f>
        <v>2</v>
      </c>
      <c r="BE342" s="171">
        <f ca="1">IF(OR($D342&lt;&gt;"Serviço",AND(AUTOEVENTO="Manual",$M342=$A$15)),0,
         IF(OFFSET(CRONOPLE!$F$15,$M342-$A$15,BE$13)=0,10^12,OFFSET(CRONOPLE!$F$15,$M342-$A$15,BE$13)))</f>
        <v>3</v>
      </c>
      <c r="BF342" s="171">
        <f ca="1">IF(OR($D342&lt;&gt;"Serviço",AND(AUTOEVENTO="Manual",$M342=$A$15)),0,
         IF(OFFSET(CRONOPLE!$F$15,$M342-$A$15,BF$13)=0,10^12,OFFSET(CRONOPLE!$F$15,$M342-$A$15,BF$13)))</f>
        <v>4</v>
      </c>
      <c r="BG342" s="171">
        <f ca="1">IF(OR($D342&lt;&gt;"Serviço",AND(AUTOEVENTO="Manual",$M342=$A$15)),0,
         IF(OFFSET(CRONOPLE!$F$15,$M342-$A$15,BG$13)=0,10^12,OFFSET(CRONOPLE!$F$15,$M342-$A$15,BG$13)))</f>
        <v>5</v>
      </c>
      <c r="BH342" s="171">
        <f ca="1">IF(OR($D342&lt;&gt;"Serviço",AND(AUTOEVENTO="Manual",$M342=$A$15)),0,
         IF(OFFSET(CRONOPLE!$F$15,$M342-$A$15,BH$13)=0,10^12,OFFSET(CRONOPLE!$F$15,$M342-$A$15,BH$13)))</f>
        <v>6</v>
      </c>
      <c r="BI342" s="171">
        <f ca="1">IF(OR($D342&lt;&gt;"Serviço",AND(AUTOEVENTO="Manual",$M342=$A$15)),0,
         IF(OFFSET(CRONOPLE!$F$15,$M342-$A$15,BI$13)=0,10^12,OFFSET(CRONOPLE!$F$15,$M342-$A$15,BI$13)))</f>
        <v>7</v>
      </c>
      <c r="BJ342" s="171">
        <f ca="1">IF(OR($D342&lt;&gt;"Serviço",AND(AUTOEVENTO="Manual",$M342=$A$15)),0,
         IF(OFFSET(CRONOPLE!$F$15,$M342-$A$15,BJ$13)=0,10^12,OFFSET(CRONOPLE!$F$15,$M342-$A$15,BJ$13)))</f>
        <v>8</v>
      </c>
      <c r="BK342" s="171">
        <f ca="1">IF(OR($D342&lt;&gt;"Serviço",AND(AUTOEVENTO="Manual",$M342=$A$15)),0,
         IF(OFFSET(CRONOPLE!$F$15,$M342-$A$15,BK$13)=0,10^12,OFFSET(CRONOPLE!$F$15,$M342-$A$15,BK$13)))</f>
        <v>9</v>
      </c>
      <c r="BL342" s="171">
        <f ca="1">IF(OR($D342&lt;&gt;"Serviço",AND(AUTOEVENTO="Manual",$M342=$A$15)),0,
         IF(OFFSET(CRONOPLE!$F$15,$M342-$A$15,BL$13)=0,10^12,OFFSET(CRONOPLE!$F$15,$M342-$A$15,BL$13)))</f>
        <v>1000000000000</v>
      </c>
      <c r="BM342" s="171">
        <f ca="1">IF(OR($D342&lt;&gt;"Serviço",AND(AUTOEVENTO="Manual",$M342=$A$15)),0,
         IF(OFFSET(CRONOPLE!$F$15,$M342-$A$15,BM$13)=0,10^12,OFFSET(CRONOPLE!$F$15,$M342-$A$15,BM$13)))</f>
        <v>1000000000000</v>
      </c>
      <c r="BN342" s="171">
        <f ca="1">IF(OR($D342&lt;&gt;"Serviço",AND(AUTOEVENTO="Manual",$M342=$A$15)),0,
         IF(OFFSET(CRONOPLE!$F$15,$M342-$A$15,BN$13)=0,10^12,OFFSET(CRONOPLE!$F$15,$M342-$A$15,BN$13)))</f>
        <v>1000000000000</v>
      </c>
      <c r="BO342" s="171">
        <f ca="1">IF(OR($D342&lt;&gt;"Serviço",AND(AUTOEVENTO="Manual",$M342=$A$15)),0,
         IF(OFFSET(CRONOPLE!$F$15,$M342-$A$15,BO$13)=0,10^12,OFFSET(CRONOPLE!$F$15,$M342-$A$15,BO$13)))</f>
        <v>1000000000000</v>
      </c>
      <c r="BP342" s="171">
        <f ca="1">IF(OR($D342&lt;&gt;"Serviço",AND(AUTOEVENTO="Manual",$M342=$A$15)),0,
         IF(OFFSET(CRONOPLE!$F$15,$M342-$A$15,BP$13)=0,10^12,OFFSET(CRONOPLE!$F$15,$M342-$A$15,BP$13)))</f>
        <v>1000000000000</v>
      </c>
      <c r="BQ342" s="171">
        <f ca="1">IF(OR($D342&lt;&gt;"Serviço",AND(AUTOEVENTO="Manual",$M342=$A$15)),0,
         IF(OFFSET(CRONOPLE!$F$15,$M342-$A$15,BQ$13)=0,10^12,OFFSET(CRONOPLE!$F$15,$M342-$A$15,BQ$13)))</f>
        <v>1000000000000</v>
      </c>
      <c r="BR342" s="171">
        <f ca="1">IF(OR($D342&lt;&gt;"Serviço",AND(AUTOEVENTO="Manual",$M342=$A$15)),0,
         IF(OFFSET(CRONOPLE!$F$15,$M342-$A$15,BR$13)=0,10^12,OFFSET(CRONOPLE!$F$15,$M342-$A$15,BR$13)))</f>
        <v>1000000000000</v>
      </c>
      <c r="BS342" s="171">
        <f ca="1">IF(OR($D342&lt;&gt;"Serviço",AND(AUTOEVENTO="Manual",$M342=$A$15)),0,
         IF(OFFSET(CRONOPLE!$F$15,$M342-$A$15,BS$13)=0,10^12,OFFSET(CRONOPLE!$F$15,$M342-$A$15,BS$13)))</f>
        <v>1000000000000</v>
      </c>
      <c r="BT342" s="171">
        <f ca="1">IF(OR($D342&lt;&gt;"Serviço",AND(AUTOEVENTO="Manual",$M342=$A$15)),0,
         IF(OFFSET(CRONOPLE!$F$15,$M342-$A$15,BT$13)=0,10^12,OFFSET(CRONOPLE!$F$15,$M342-$A$15,BT$13)))</f>
        <v>1000000000000</v>
      </c>
      <c r="BV342" s="172">
        <f ca="1">IF(OR($D342&lt;&gt;"Serviço",AND(AUTOEVENTO="Manual",$M342=$A$15),$M342&gt;(ROW(PLE.lastrow)-ROW(PLE.firstrow))),0,
           IF(OFFSET(PLE!$G$15,$M342-$A$15,BV$13)="",10^12,OFFSET(PLE!$G$15,$M342-$A$15,BV$13)))</f>
        <v>1000000000000</v>
      </c>
      <c r="BW342" s="172">
        <f ca="1">IF(OR($D342&lt;&gt;"Serviço",AND(AUTOEVENTO="Manual",$M342=$A$15),$M342&gt;(ROW(PLE.lastrow)-ROW(PLE.firstrow))),0,
           IF(OFFSET(PLE!$G$15,$M342-$A$15,BW$13)="",10^12,OFFSET(PLE!$G$15,$M342-$A$15,BW$13)))</f>
        <v>1000000000000</v>
      </c>
      <c r="BX342" s="172">
        <f ca="1">IF(OR($D342&lt;&gt;"Serviço",AND(AUTOEVENTO="Manual",$M342=$A$15),$M342&gt;(ROW(PLE.lastrow)-ROW(PLE.firstrow))),0,
           IF(OFFSET(PLE!$G$15,$M342-$A$15,BX$13)="",10^12,OFFSET(PLE!$G$15,$M342-$A$15,BX$13)))</f>
        <v>1000000000000</v>
      </c>
      <c r="BY342" s="172">
        <f ca="1">IF(OR($D342&lt;&gt;"Serviço",AND(AUTOEVENTO="Manual",$M342=$A$15),$M342&gt;(ROW(PLE.lastrow)-ROW(PLE.firstrow))),0,
           IF(OFFSET(PLE!$G$15,$M342-$A$15,BY$13)="",10^12,OFFSET(PLE!$G$15,$M342-$A$15,BY$13)))</f>
        <v>1000000000000</v>
      </c>
      <c r="BZ342" s="172">
        <f ca="1">IF(OR($D342&lt;&gt;"Serviço",AND(AUTOEVENTO="Manual",$M342=$A$15),$M342&gt;(ROW(PLE.lastrow)-ROW(PLE.firstrow))),0,
           IF(OFFSET(PLE!$G$15,$M342-$A$15,BZ$13)="",10^12,OFFSET(PLE!$G$15,$M342-$A$15,BZ$13)))</f>
        <v>1000000000000</v>
      </c>
      <c r="CA342" s="172">
        <f ca="1">IF(OR($D342&lt;&gt;"Serviço",AND(AUTOEVENTO="Manual",$M342=$A$15),$M342&gt;(ROW(PLE.lastrow)-ROW(PLE.firstrow))),0,
           IF(OFFSET(PLE!$G$15,$M342-$A$15,CA$13)="",10^12,OFFSET(PLE!$G$15,$M342-$A$15,CA$13)))</f>
        <v>1000000000000</v>
      </c>
      <c r="CB342" s="172">
        <f ca="1">IF(OR($D342&lt;&gt;"Serviço",AND(AUTOEVENTO="Manual",$M342=$A$15),$M342&gt;(ROW(PLE.lastrow)-ROW(PLE.firstrow))),0,
           IF(OFFSET(PLE!$G$15,$M342-$A$15,CB$13)="",10^12,OFFSET(PLE!$G$15,$M342-$A$15,CB$13)))</f>
        <v>1000000000000</v>
      </c>
      <c r="CC342" s="172">
        <f ca="1">IF(OR($D342&lt;&gt;"Serviço",AND(AUTOEVENTO="Manual",$M342=$A$15),$M342&gt;(ROW(PLE.lastrow)-ROW(PLE.firstrow))),0,
           IF(OFFSET(PLE!$G$15,$M342-$A$15,CC$13)="",10^12,OFFSET(PLE!$G$15,$M342-$A$15,CC$13)))</f>
        <v>1000000000000</v>
      </c>
      <c r="CD342" s="172">
        <f ca="1">IF(OR($D342&lt;&gt;"Serviço",AND(AUTOEVENTO="Manual",$M342=$A$15),$M342&gt;(ROW(PLE.lastrow)-ROW(PLE.firstrow))),0,
           IF(OFFSET(PLE!$G$15,$M342-$A$15,CD$13)="",10^12,OFFSET(PLE!$G$15,$M342-$A$15,CD$13)))</f>
        <v>1000000000000</v>
      </c>
      <c r="CE342" s="172">
        <f ca="1">IF(OR($D342&lt;&gt;"Serviço",AND(AUTOEVENTO="Manual",$M342=$A$15),$M342&gt;(ROW(PLE.lastrow)-ROW(PLE.firstrow))),0,
           IF(OFFSET(PLE!$G$15,$M342-$A$15,CE$13)="",10^12,OFFSET(PLE!$G$15,$M342-$A$15,CE$13)))</f>
        <v>1000000000000</v>
      </c>
      <c r="CF342" s="172">
        <f ca="1">IF(OR($D342&lt;&gt;"Serviço",AND(AUTOEVENTO="Manual",$M342=$A$15),$M342&gt;(ROW(PLE.lastrow)-ROW(PLE.firstrow))),0,
           IF(OFFSET(PLE!$G$15,$M342-$A$15,CF$13)="",10^12,OFFSET(PLE!$G$15,$M342-$A$15,CF$13)))</f>
        <v>1000000000000</v>
      </c>
      <c r="CG342" s="172">
        <f ca="1">IF(OR($D342&lt;&gt;"Serviço",AND(AUTOEVENTO="Manual",$M342=$A$15),$M342&gt;(ROW(PLE.lastrow)-ROW(PLE.firstrow))),0,
           IF(OFFSET(PLE!$G$15,$M342-$A$15,CG$13)="",10^12,OFFSET(PLE!$G$15,$M342-$A$15,CG$13)))</f>
        <v>1000000000000</v>
      </c>
      <c r="CH342" s="172">
        <f ca="1">IF(OR($D342&lt;&gt;"Serviço",AND(AUTOEVENTO="Manual",$M342=$A$15),$M342&gt;(ROW(PLE.lastrow)-ROW(PLE.firstrow))),0,
           IF(OFFSET(PLE!$G$15,$M342-$A$15,CH$13)="",10^12,OFFSET(PLE!$G$15,$M342-$A$15,CH$13)))</f>
        <v>1000000000000</v>
      </c>
      <c r="CI342" s="172">
        <f ca="1">IF(OR($D342&lt;&gt;"Serviço",AND(AUTOEVENTO="Manual",$M342=$A$15),$M342&gt;(ROW(PLE.lastrow)-ROW(PLE.firstrow))),0,
           IF(OFFSET(PLE!$G$15,$M342-$A$15,CI$13)="",10^12,OFFSET(PLE!$G$15,$M342-$A$15,CI$13)))</f>
        <v>1000000000000</v>
      </c>
      <c r="CJ342" s="172">
        <f ca="1">IF(OR($D342&lt;&gt;"Serviço",AND(AUTOEVENTO="Manual",$M342=$A$15),$M342&gt;(ROW(PLE.lastrow)-ROW(PLE.firstrow))),0,
           IF(OFFSET(PLE!$G$15,$M342-$A$15,CJ$13)="",10^12,OFFSET(PLE!$G$15,$M342-$A$15,CJ$13)))</f>
        <v>1000000000000</v>
      </c>
      <c r="CK342" s="172">
        <f ca="1">IF(OR($D342&lt;&gt;"Serviço",AND(AUTOEVENTO="Manual",$M342=$A$15),$M342&gt;(ROW(PLE.lastrow)-ROW(PLE.firstrow))),0,
           IF(OFFSET(PLE!$G$15,$M342-$A$15,CK$13)="",10^12,OFFSET(PLE!$G$15,$M342-$A$15,CK$13)))</f>
        <v>1000000000000</v>
      </c>
      <c r="CL342" s="172">
        <f ca="1">IF(OR($D342&lt;&gt;"Serviço",AND(AUTOEVENTO="Manual",$M342=$A$15),$M342&gt;(ROW(PLE.lastrow)-ROW(PLE.firstrow))),0,
           IF(OFFSET(PLE!$G$15,$M342-$A$15,CL$13)="",10^12,OFFSET(PLE!$G$15,$M342-$A$15,CL$13)))</f>
        <v>1000000000000</v>
      </c>
      <c r="CM342" s="172">
        <f ca="1">IF(OR($D342&lt;&gt;"Serviço",AND(AUTOEVENTO="Manual",$M342=$A$15),$M342&gt;(ROW(PLE.lastrow)-ROW(PLE.firstrow))),0,
           IF(OFFSET(PLE!$G$15,$M342-$A$15,CM$13)="",10^12,OFFSET(PLE!$G$15,$M342-$A$15,CM$13)))</f>
        <v>1000000000000</v>
      </c>
    </row>
    <row r="343" spans="1:91" ht="63.75" x14ac:dyDescent="0.2">
      <c r="A343" s="7">
        <f t="shared" ca="1" si="15"/>
        <v>6</v>
      </c>
      <c r="B343" s="7" t="str">
        <f ca="1">OFFSET(ORÇAMENTO!C$15,ROW(B343)-ROW(B$15),0)</f>
        <v>S</v>
      </c>
      <c r="C343" s="7" t="str">
        <f ca="1">OFFSET(ORÇAMENTO!L$15,ROW(C343)-ROW(C$15),0)</f>
        <v>F</v>
      </c>
      <c r="D343" s="116" t="str">
        <f ca="1">OFFSET(ORÇAMENTO!N$15,ROW(D343)-ROW(D$15),0)</f>
        <v>Serviço</v>
      </c>
      <c r="E343" s="117" t="str">
        <f ca="1">OFFSET(ORÇAMENTO!O$15,ROW(E343)-ROW(E$15),0)</f>
        <v>1.7.6.1.2.</v>
      </c>
      <c r="F343" s="163" t="str">
        <f ca="1">OFFSET(ORÇAMENTO!R$15,ROW(F343)-ROW(F$15),0)</f>
        <v>CURVA 90 BOLSAS FoFo - DN 150 MM</v>
      </c>
      <c r="G343" s="164" t="str">
        <f ca="1">IF($D343&lt;&gt;"Serviço","",OFFSET(ORÇAMENTO!S$15,ROW(G343)-ROW(G$15),0))</f>
        <v>UN</v>
      </c>
      <c r="H343" s="122" cm="1">
        <f t="array" aca="1" ref="H343" ca="1">IF($D343&lt;&gt;"Serviço",0,IF(ACOMPANHAMENTO="BM",ROUND(OFFSET(ORÇAMENTO!AJ$15,ROW(H343)-ROW(H$15),0),15-13*ORÇAMENTO!$AF$7),SUMPRODUCT(($Q$1:$AI$1=1)*ROUND($Q343:$AI343,15-13*ORÇAMENTO!$AF$7))))</f>
        <v>8</v>
      </c>
      <c r="I343" s="468" t="s">
        <v>1360</v>
      </c>
      <c r="J343" s="640" t="str" cm="1">
        <f t="array" aca="1" ref="J343" ca="1">IF(OR(B343&lt;&gt;"S",CÁLCULO.FrentesPreenchidas=0),"",IF(AND(ACOMPANHAMENTO="PLE",AUTOEVENTO="Manual",OR(H343&gt;0,ORÇAMENTO!AC343="QUANT."),OR(K343="",M343=0,N343="")),"►E",IF(AND(ACOMPANHAMENTO="PLE",ORÇAMENTO!AC343="QUANT."),"►Q",IF(AND(ACOMPANHAMENTO="PLE",H343&lt;&gt;SUMPRODUCT(($Q$1:$AI$1=1)*ROUND(Q343:AI343,15))),"►S",IF(AND(COUNTIF($P$11:$AI$11,"▼")=0,H343&gt;0,I343=""),"◄M","")))))</f>
        <v/>
      </c>
      <c r="K343" s="641" t="s">
        <v>1385</v>
      </c>
      <c r="L343" s="165" t="s">
        <v>764</v>
      </c>
      <c r="M343" s="166">
        <f ca="1">IF($D343&lt;&gt;"Serviço","",
          IF(AUTOEVENTO="manual",$A343,
                IF(ISERROR(MATCH($A343,$A$15:OFFSET($A343,-1,0),0)),MAX($M$15:OFFSET(M343,-1,0))+1,
                      INDEX($M$15:OFFSET(M343,-1,0),MATCH($A343,$A$15:OFFSET($A343,-1,0),0)))))</f>
        <v>6</v>
      </c>
      <c r="N343" s="167" t="str">
        <f ca="1">IF($D343&lt;&gt;"Serviço","",
         IF(AUTOEVENTO="Manual",
                IF($A343=0,"&lt;-- defina o número do agrupador",
                       OFFSET(EVENTOS!$D$15,$A343-$A$15,0)),
                OFFSET($F$15,$A343,0)))</f>
        <v>Saneamento</v>
      </c>
      <c r="O343" s="168"/>
      <c r="Q343" s="168"/>
      <c r="R343" s="169"/>
      <c r="S343" s="169"/>
      <c r="T343" s="169"/>
      <c r="U343" s="169"/>
      <c r="V343" s="169">
        <f>3+4+1</f>
        <v>8</v>
      </c>
      <c r="W343" s="169"/>
      <c r="X343" s="169"/>
      <c r="Y343" s="169"/>
      <c r="Z343" s="170"/>
      <c r="AA343" s="169"/>
      <c r="AB343" s="169"/>
      <c r="AC343" s="169"/>
      <c r="AD343" s="169"/>
      <c r="AE343" s="169"/>
      <c r="AF343" s="169"/>
      <c r="AG343" s="169"/>
      <c r="AH343" s="170"/>
      <c r="AJ343" s="453">
        <f ca="1">IF(AND($D343="Serviço",AJ$12&lt;&gt;0,$H343&gt;0,OR(AUTOEVENTO&lt;&gt;"manual",$M343&lt;&gt;$A$15)),
        IF(Import.TipoArredondamento&lt;&gt;"TransfereGOV",
              ROUND(OFFSET($P343,0,AJ$13),15-13*ORÇAMENTO!$AF$7)/$H343*OFFSET(ORÇAMENTO!$X$15,ROW(AJ343)-ROW(AJ$15),0),
              ROUND(ROUND(OFFSET($P343,0,AJ$13),15-13*ORÇAMENTO!$AF$7)*OFFSET(ORÇAMENTO!$W$15,ROW(AJ343)-ROW(AJ$15),0),15-13*ORÇAMENTO!$AF$11)),
         0)</f>
        <v>0</v>
      </c>
      <c r="AK343" s="453">
        <f ca="1">IF(AND($D343="Serviço",AK$12&lt;&gt;0,$H343&gt;0,OR(AUTOEVENTO&lt;&gt;"manual",$M343&lt;&gt;$A$15)),
        IF(Import.TipoArredondamento&lt;&gt;"TransfereGOV",
              ROUND(OFFSET($P343,0,AK$13),15-13*ORÇAMENTO!$AF$7)/$H343*OFFSET(ORÇAMENTO!$X$15,ROW(AK343)-ROW(AK$15),0),
              ROUND(ROUND(OFFSET($P343,0,AK$13),15-13*ORÇAMENTO!$AF$7)*OFFSET(ORÇAMENTO!$W$15,ROW(AK343)-ROW(AK$15),0),15-13*ORÇAMENTO!$AF$11)),
         0)</f>
        <v>0</v>
      </c>
      <c r="AL343" s="453">
        <f ca="1">IF(AND($D343="Serviço",AL$12&lt;&gt;0,$H343&gt;0,OR(AUTOEVENTO&lt;&gt;"manual",$M343&lt;&gt;$A$15)),
        IF(Import.TipoArredondamento&lt;&gt;"TransfereGOV",
              ROUND(OFFSET($P343,0,AL$13),15-13*ORÇAMENTO!$AF$7)/$H343*OFFSET(ORÇAMENTO!$X$15,ROW(AL343)-ROW(AL$15),0),
              ROUND(ROUND(OFFSET($P343,0,AL$13),15-13*ORÇAMENTO!$AF$7)*OFFSET(ORÇAMENTO!$W$15,ROW(AL343)-ROW(AL$15),0),15-13*ORÇAMENTO!$AF$11)),
         0)</f>
        <v>0</v>
      </c>
      <c r="AM343" s="453">
        <f ca="1">IF(AND($D343="Serviço",AM$12&lt;&gt;0,$H343&gt;0,OR(AUTOEVENTO&lt;&gt;"manual",$M343&lt;&gt;$A$15)),
        IF(Import.TipoArredondamento&lt;&gt;"TransfereGOV",
              ROUND(OFFSET($P343,0,AM$13),15-13*ORÇAMENTO!$AF$7)/$H343*OFFSET(ORÇAMENTO!$X$15,ROW(AM343)-ROW(AM$15),0),
              ROUND(ROUND(OFFSET($P343,0,AM$13),15-13*ORÇAMENTO!$AF$7)*OFFSET(ORÇAMENTO!$W$15,ROW(AM343)-ROW(AM$15),0),15-13*ORÇAMENTO!$AF$11)),
         0)</f>
        <v>0</v>
      </c>
      <c r="AN343" s="453">
        <f ca="1">IF(AND($D343="Serviço",AN$12&lt;&gt;0,$H343&gt;0,OR(AUTOEVENTO&lt;&gt;"manual",$M343&lt;&gt;$A$15)),
        IF(Import.TipoArredondamento&lt;&gt;"TransfereGOV",
              ROUND(OFFSET($P343,0,AN$13),15-13*ORÇAMENTO!$AF$7)/$H343*OFFSET(ORÇAMENTO!$X$15,ROW(AN343)-ROW(AN$15),0),
              ROUND(ROUND(OFFSET($P343,0,AN$13),15-13*ORÇAMENTO!$AF$7)*OFFSET(ORÇAMENTO!$W$15,ROW(AN343)-ROW(AN$15),0),15-13*ORÇAMENTO!$AF$11)),
         0)</f>
        <v>0</v>
      </c>
      <c r="AO343" s="453">
        <f ca="1">IF(AND($D343="Serviço",AO$12&lt;&gt;0,$H343&gt;0,OR(AUTOEVENTO&lt;&gt;"manual",$M343&lt;&gt;$A$15)),
        IF(Import.TipoArredondamento&lt;&gt;"TransfereGOV",
              ROUND(OFFSET($P343,0,AO$13),15-13*ORÇAMENTO!$AF$7)/$H343*OFFSET(ORÇAMENTO!$X$15,ROW(AO343)-ROW(AO$15),0),
              ROUND(ROUND(OFFSET($P343,0,AO$13),15-13*ORÇAMENTO!$AF$7)*OFFSET(ORÇAMENTO!$W$15,ROW(AO343)-ROW(AO$15),0),15-13*ORÇAMENTO!$AF$11)),
         0)</f>
        <v>0</v>
      </c>
      <c r="AP343" s="453">
        <f ca="1">IF(AND($D343="Serviço",AP$12&lt;&gt;0,$H343&gt;0,OR(AUTOEVENTO&lt;&gt;"manual",$M343&lt;&gt;$A$15)),
        IF(Import.TipoArredondamento&lt;&gt;"TransfereGOV",
              ROUND(OFFSET($P343,0,AP$13),15-13*ORÇAMENTO!$AF$7)/$H343*OFFSET(ORÇAMENTO!$X$15,ROW(AP343)-ROW(AP$15),0),
              ROUND(ROUND(OFFSET($P343,0,AP$13),15-13*ORÇAMENTO!$AF$7)*OFFSET(ORÇAMENTO!$W$15,ROW(AP343)-ROW(AP$15),0),15-13*ORÇAMENTO!$AF$11)),
         0)</f>
        <v>0</v>
      </c>
      <c r="AQ343" s="453">
        <f ca="1">IF(AND($D343="Serviço",AQ$12&lt;&gt;0,$H343&gt;0,OR(AUTOEVENTO&lt;&gt;"manual",$M343&lt;&gt;$A$15)),
        IF(Import.TipoArredondamento&lt;&gt;"TransfereGOV",
              ROUND(OFFSET($P343,0,AQ$13),15-13*ORÇAMENTO!$AF$7)/$H343*OFFSET(ORÇAMENTO!$X$15,ROW(AQ343)-ROW(AQ$15),0),
              ROUND(ROUND(OFFSET($P343,0,AQ$13),15-13*ORÇAMENTO!$AF$7)*OFFSET(ORÇAMENTO!$W$15,ROW(AQ343)-ROW(AQ$15),0),15-13*ORÇAMENTO!$AF$11)),
         0)</f>
        <v>0</v>
      </c>
      <c r="AR343" s="453">
        <f ca="1">IF(AND($D343="Serviço",AR$12&lt;&gt;0,$H343&gt;0,OR(AUTOEVENTO&lt;&gt;"manual",$M343&lt;&gt;$A$15)),
        IF(Import.TipoArredondamento&lt;&gt;"TransfereGOV",
              ROUND(OFFSET($P343,0,AR$13),15-13*ORÇAMENTO!$AF$7)/$H343*OFFSET(ORÇAMENTO!$X$15,ROW(AR343)-ROW(AR$15),0),
              ROUND(ROUND(OFFSET($P343,0,AR$13),15-13*ORÇAMENTO!$AF$7)*OFFSET(ORÇAMENTO!$W$15,ROW(AR343)-ROW(AR$15),0),15-13*ORÇAMENTO!$AF$11)),
         0)</f>
        <v>0</v>
      </c>
      <c r="AS343" s="453">
        <f ca="1">IF(AND($D343="Serviço",AS$12&lt;&gt;0,$H343&gt;0,OR(AUTOEVENTO&lt;&gt;"manual",$M343&lt;&gt;$A$15)),
        IF(Import.TipoArredondamento&lt;&gt;"TransfereGOV",
              ROUND(OFFSET($P343,0,AS$13),15-13*ORÇAMENTO!$AF$7)/$H343*OFFSET(ORÇAMENTO!$X$15,ROW(AS343)-ROW(AS$15),0),
              ROUND(ROUND(OFFSET($P343,0,AS$13),15-13*ORÇAMENTO!$AF$7)*OFFSET(ORÇAMENTO!$W$15,ROW(AS343)-ROW(AS$15),0),15-13*ORÇAMENTO!$AF$11)),
         0)</f>
        <v>0</v>
      </c>
      <c r="AT343" s="453">
        <f ca="1">IF(AND($D343="Serviço",AT$12&lt;&gt;0,$H343&gt;0,OR(AUTOEVENTO&lt;&gt;"manual",$M343&lt;&gt;$A$15)),
        IF(Import.TipoArredondamento&lt;&gt;"TransfereGOV",
              ROUND(OFFSET($P343,0,AT$13),15-13*ORÇAMENTO!$AF$7)/$H343*OFFSET(ORÇAMENTO!$X$15,ROW(AT343)-ROW(AT$15),0),
              ROUND(ROUND(OFFSET($P343,0,AT$13),15-13*ORÇAMENTO!$AF$7)*OFFSET(ORÇAMENTO!$W$15,ROW(AT343)-ROW(AT$15),0),15-13*ORÇAMENTO!$AF$11)),
         0)</f>
        <v>0</v>
      </c>
      <c r="AU343" s="453">
        <f ca="1">IF(AND($D343="Serviço",AU$12&lt;&gt;0,$H343&gt;0,OR(AUTOEVENTO&lt;&gt;"manual",$M343&lt;&gt;$A$15)),
        IF(Import.TipoArredondamento&lt;&gt;"TransfereGOV",
              ROUND(OFFSET($P343,0,AU$13),15-13*ORÇAMENTO!$AF$7)/$H343*OFFSET(ORÇAMENTO!$X$15,ROW(AU343)-ROW(AU$15),0),
              ROUND(ROUND(OFFSET($P343,0,AU$13),15-13*ORÇAMENTO!$AF$7)*OFFSET(ORÇAMENTO!$W$15,ROW(AU343)-ROW(AU$15),0),15-13*ORÇAMENTO!$AF$11)),
         0)</f>
        <v>0</v>
      </c>
      <c r="AV343" s="453">
        <f ca="1">IF(AND($D343="Serviço",AV$12&lt;&gt;0,$H343&gt;0,OR(AUTOEVENTO&lt;&gt;"manual",$M343&lt;&gt;$A$15)),
        IF(Import.TipoArredondamento&lt;&gt;"TransfereGOV",
              ROUND(OFFSET($P343,0,AV$13),15-13*ORÇAMENTO!$AF$7)/$H343*OFFSET(ORÇAMENTO!$X$15,ROW(AV343)-ROW(AV$15),0),
              ROUND(ROUND(OFFSET($P343,0,AV$13),15-13*ORÇAMENTO!$AF$7)*OFFSET(ORÇAMENTO!$W$15,ROW(AV343)-ROW(AV$15),0),15-13*ORÇAMENTO!$AF$11)),
         0)</f>
        <v>0</v>
      </c>
      <c r="AW343" s="453">
        <f ca="1">IF(AND($D343="Serviço",AW$12&lt;&gt;0,$H343&gt;0,OR(AUTOEVENTO&lt;&gt;"manual",$M343&lt;&gt;$A$15)),
        IF(Import.TipoArredondamento&lt;&gt;"TransfereGOV",
              ROUND(OFFSET($P343,0,AW$13),15-13*ORÇAMENTO!$AF$7)/$H343*OFFSET(ORÇAMENTO!$X$15,ROW(AW343)-ROW(AW$15),0),
              ROUND(ROUND(OFFSET($P343,0,AW$13),15-13*ORÇAMENTO!$AF$7)*OFFSET(ORÇAMENTO!$W$15,ROW(AW343)-ROW(AW$15),0),15-13*ORÇAMENTO!$AF$11)),
         0)</f>
        <v>0</v>
      </c>
      <c r="AX343" s="453">
        <f ca="1">IF(AND($D343="Serviço",AX$12&lt;&gt;0,$H343&gt;0,OR(AUTOEVENTO&lt;&gt;"manual",$M343&lt;&gt;$A$15)),
        IF(Import.TipoArredondamento&lt;&gt;"TransfereGOV",
              ROUND(OFFSET($P343,0,AX$13),15-13*ORÇAMENTO!$AF$7)/$H343*OFFSET(ORÇAMENTO!$X$15,ROW(AX343)-ROW(AX$15),0),
              ROUND(ROUND(OFFSET($P343,0,AX$13),15-13*ORÇAMENTO!$AF$7)*OFFSET(ORÇAMENTO!$W$15,ROW(AX343)-ROW(AX$15),0),15-13*ORÇAMENTO!$AF$11)),
         0)</f>
        <v>0</v>
      </c>
      <c r="AY343" s="453">
        <f ca="1">IF(AND($D343="Serviço",AY$12&lt;&gt;0,$H343&gt;0,OR(AUTOEVENTO&lt;&gt;"manual",$M343&lt;&gt;$A$15)),
        IF(Import.TipoArredondamento&lt;&gt;"TransfereGOV",
              ROUND(OFFSET($P343,0,AY$13),15-13*ORÇAMENTO!$AF$7)/$H343*OFFSET(ORÇAMENTO!$X$15,ROW(AY343)-ROW(AY$15),0),
              ROUND(ROUND(OFFSET($P343,0,AY$13),15-13*ORÇAMENTO!$AF$7)*OFFSET(ORÇAMENTO!$W$15,ROW(AY343)-ROW(AY$15),0),15-13*ORÇAMENTO!$AF$11)),
         0)</f>
        <v>0</v>
      </c>
      <c r="AZ343" s="453">
        <f ca="1">IF(AND($D343="Serviço",AZ$12&lt;&gt;0,$H343&gt;0,OR(AUTOEVENTO&lt;&gt;"manual",$M343&lt;&gt;$A$15)),
        IF(Import.TipoArredondamento&lt;&gt;"TransfereGOV",
              ROUND(OFFSET($P343,0,AZ$13),15-13*ORÇAMENTO!$AF$7)/$H343*OFFSET(ORÇAMENTO!$X$15,ROW(AZ343)-ROW(AZ$15),0),
              ROUND(ROUND(OFFSET($P343,0,AZ$13),15-13*ORÇAMENTO!$AF$7)*OFFSET(ORÇAMENTO!$W$15,ROW(AZ343)-ROW(AZ$15),0),15-13*ORÇAMENTO!$AF$11)),
         0)</f>
        <v>0</v>
      </c>
      <c r="BA343" s="453">
        <f ca="1">IF(AND($D343="Serviço",BA$12&lt;&gt;0,$H343&gt;0,OR(AUTOEVENTO&lt;&gt;"manual",$M343&lt;&gt;$A$15)),
        IF(Import.TipoArredondamento&lt;&gt;"TransfereGOV",
              ROUND(OFFSET($P343,0,BA$13),15-13*ORÇAMENTO!$AF$7)/$H343*OFFSET(ORÇAMENTO!$X$15,ROW(BA343)-ROW(BA$15),0),
              ROUND(ROUND(OFFSET($P343,0,BA$13),15-13*ORÇAMENTO!$AF$7)*OFFSET(ORÇAMENTO!$W$15,ROW(BA343)-ROW(BA$15),0),15-13*ORÇAMENTO!$AF$11)),
         0)</f>
        <v>0</v>
      </c>
      <c r="BC343" s="171">
        <f ca="1">IF(OR($D343&lt;&gt;"Serviço",AND(AUTOEVENTO="Manual",$M343=$A$15)),0,
         IF(OFFSET(CRONOPLE!$F$15,$M343-$A$15,BC$13)=0,10^12,OFFSET(CRONOPLE!$F$15,$M343-$A$15,BC$13)))</f>
        <v>1</v>
      </c>
      <c r="BD343" s="171">
        <f ca="1">IF(OR($D343&lt;&gt;"Serviço",AND(AUTOEVENTO="Manual",$M343=$A$15)),0,
         IF(OFFSET(CRONOPLE!$F$15,$M343-$A$15,BD$13)=0,10^12,OFFSET(CRONOPLE!$F$15,$M343-$A$15,BD$13)))</f>
        <v>2</v>
      </c>
      <c r="BE343" s="171">
        <f ca="1">IF(OR($D343&lt;&gt;"Serviço",AND(AUTOEVENTO="Manual",$M343=$A$15)),0,
         IF(OFFSET(CRONOPLE!$F$15,$M343-$A$15,BE$13)=0,10^12,OFFSET(CRONOPLE!$F$15,$M343-$A$15,BE$13)))</f>
        <v>3</v>
      </c>
      <c r="BF343" s="171">
        <f ca="1">IF(OR($D343&lt;&gt;"Serviço",AND(AUTOEVENTO="Manual",$M343=$A$15)),0,
         IF(OFFSET(CRONOPLE!$F$15,$M343-$A$15,BF$13)=0,10^12,OFFSET(CRONOPLE!$F$15,$M343-$A$15,BF$13)))</f>
        <v>4</v>
      </c>
      <c r="BG343" s="171">
        <f ca="1">IF(OR($D343&lt;&gt;"Serviço",AND(AUTOEVENTO="Manual",$M343=$A$15)),0,
         IF(OFFSET(CRONOPLE!$F$15,$M343-$A$15,BG$13)=0,10^12,OFFSET(CRONOPLE!$F$15,$M343-$A$15,BG$13)))</f>
        <v>5</v>
      </c>
      <c r="BH343" s="171">
        <f ca="1">IF(OR($D343&lt;&gt;"Serviço",AND(AUTOEVENTO="Manual",$M343=$A$15)),0,
         IF(OFFSET(CRONOPLE!$F$15,$M343-$A$15,BH$13)=0,10^12,OFFSET(CRONOPLE!$F$15,$M343-$A$15,BH$13)))</f>
        <v>6</v>
      </c>
      <c r="BI343" s="171">
        <f ca="1">IF(OR($D343&lt;&gt;"Serviço",AND(AUTOEVENTO="Manual",$M343=$A$15)),0,
         IF(OFFSET(CRONOPLE!$F$15,$M343-$A$15,BI$13)=0,10^12,OFFSET(CRONOPLE!$F$15,$M343-$A$15,BI$13)))</f>
        <v>7</v>
      </c>
      <c r="BJ343" s="171">
        <f ca="1">IF(OR($D343&lt;&gt;"Serviço",AND(AUTOEVENTO="Manual",$M343=$A$15)),0,
         IF(OFFSET(CRONOPLE!$F$15,$M343-$A$15,BJ$13)=0,10^12,OFFSET(CRONOPLE!$F$15,$M343-$A$15,BJ$13)))</f>
        <v>8</v>
      </c>
      <c r="BK343" s="171">
        <f ca="1">IF(OR($D343&lt;&gt;"Serviço",AND(AUTOEVENTO="Manual",$M343=$A$15)),0,
         IF(OFFSET(CRONOPLE!$F$15,$M343-$A$15,BK$13)=0,10^12,OFFSET(CRONOPLE!$F$15,$M343-$A$15,BK$13)))</f>
        <v>9</v>
      </c>
      <c r="BL343" s="171">
        <f ca="1">IF(OR($D343&lt;&gt;"Serviço",AND(AUTOEVENTO="Manual",$M343=$A$15)),0,
         IF(OFFSET(CRONOPLE!$F$15,$M343-$A$15,BL$13)=0,10^12,OFFSET(CRONOPLE!$F$15,$M343-$A$15,BL$13)))</f>
        <v>1000000000000</v>
      </c>
      <c r="BM343" s="171">
        <f ca="1">IF(OR($D343&lt;&gt;"Serviço",AND(AUTOEVENTO="Manual",$M343=$A$15)),0,
         IF(OFFSET(CRONOPLE!$F$15,$M343-$A$15,BM$13)=0,10^12,OFFSET(CRONOPLE!$F$15,$M343-$A$15,BM$13)))</f>
        <v>1000000000000</v>
      </c>
      <c r="BN343" s="171">
        <f ca="1">IF(OR($D343&lt;&gt;"Serviço",AND(AUTOEVENTO="Manual",$M343=$A$15)),0,
         IF(OFFSET(CRONOPLE!$F$15,$M343-$A$15,BN$13)=0,10^12,OFFSET(CRONOPLE!$F$15,$M343-$A$15,BN$13)))</f>
        <v>1000000000000</v>
      </c>
      <c r="BO343" s="171">
        <f ca="1">IF(OR($D343&lt;&gt;"Serviço",AND(AUTOEVENTO="Manual",$M343=$A$15)),0,
         IF(OFFSET(CRONOPLE!$F$15,$M343-$A$15,BO$13)=0,10^12,OFFSET(CRONOPLE!$F$15,$M343-$A$15,BO$13)))</f>
        <v>1000000000000</v>
      </c>
      <c r="BP343" s="171">
        <f ca="1">IF(OR($D343&lt;&gt;"Serviço",AND(AUTOEVENTO="Manual",$M343=$A$15)),0,
         IF(OFFSET(CRONOPLE!$F$15,$M343-$A$15,BP$13)=0,10^12,OFFSET(CRONOPLE!$F$15,$M343-$A$15,BP$13)))</f>
        <v>1000000000000</v>
      </c>
      <c r="BQ343" s="171">
        <f ca="1">IF(OR($D343&lt;&gt;"Serviço",AND(AUTOEVENTO="Manual",$M343=$A$15)),0,
         IF(OFFSET(CRONOPLE!$F$15,$M343-$A$15,BQ$13)=0,10^12,OFFSET(CRONOPLE!$F$15,$M343-$A$15,BQ$13)))</f>
        <v>1000000000000</v>
      </c>
      <c r="BR343" s="171">
        <f ca="1">IF(OR($D343&lt;&gt;"Serviço",AND(AUTOEVENTO="Manual",$M343=$A$15)),0,
         IF(OFFSET(CRONOPLE!$F$15,$M343-$A$15,BR$13)=0,10^12,OFFSET(CRONOPLE!$F$15,$M343-$A$15,BR$13)))</f>
        <v>1000000000000</v>
      </c>
      <c r="BS343" s="171">
        <f ca="1">IF(OR($D343&lt;&gt;"Serviço",AND(AUTOEVENTO="Manual",$M343=$A$15)),0,
         IF(OFFSET(CRONOPLE!$F$15,$M343-$A$15,BS$13)=0,10^12,OFFSET(CRONOPLE!$F$15,$M343-$A$15,BS$13)))</f>
        <v>1000000000000</v>
      </c>
      <c r="BT343" s="171">
        <f ca="1">IF(OR($D343&lt;&gt;"Serviço",AND(AUTOEVENTO="Manual",$M343=$A$15)),0,
         IF(OFFSET(CRONOPLE!$F$15,$M343-$A$15,BT$13)=0,10^12,OFFSET(CRONOPLE!$F$15,$M343-$A$15,BT$13)))</f>
        <v>1000000000000</v>
      </c>
      <c r="BV343" s="172">
        <f ca="1">IF(OR($D343&lt;&gt;"Serviço",AND(AUTOEVENTO="Manual",$M343=$A$15),$M343&gt;(ROW(PLE.lastrow)-ROW(PLE.firstrow))),0,
           IF(OFFSET(PLE!$G$15,$M343-$A$15,BV$13)="",10^12,OFFSET(PLE!$G$15,$M343-$A$15,BV$13)))</f>
        <v>1000000000000</v>
      </c>
      <c r="BW343" s="172">
        <f ca="1">IF(OR($D343&lt;&gt;"Serviço",AND(AUTOEVENTO="Manual",$M343=$A$15),$M343&gt;(ROW(PLE.lastrow)-ROW(PLE.firstrow))),0,
           IF(OFFSET(PLE!$G$15,$M343-$A$15,BW$13)="",10^12,OFFSET(PLE!$G$15,$M343-$A$15,BW$13)))</f>
        <v>1000000000000</v>
      </c>
      <c r="BX343" s="172">
        <f ca="1">IF(OR($D343&lt;&gt;"Serviço",AND(AUTOEVENTO="Manual",$M343=$A$15),$M343&gt;(ROW(PLE.lastrow)-ROW(PLE.firstrow))),0,
           IF(OFFSET(PLE!$G$15,$M343-$A$15,BX$13)="",10^12,OFFSET(PLE!$G$15,$M343-$A$15,BX$13)))</f>
        <v>1000000000000</v>
      </c>
      <c r="BY343" s="172">
        <f ca="1">IF(OR($D343&lt;&gt;"Serviço",AND(AUTOEVENTO="Manual",$M343=$A$15),$M343&gt;(ROW(PLE.lastrow)-ROW(PLE.firstrow))),0,
           IF(OFFSET(PLE!$G$15,$M343-$A$15,BY$13)="",10^12,OFFSET(PLE!$G$15,$M343-$A$15,BY$13)))</f>
        <v>1000000000000</v>
      </c>
      <c r="BZ343" s="172">
        <f ca="1">IF(OR($D343&lt;&gt;"Serviço",AND(AUTOEVENTO="Manual",$M343=$A$15),$M343&gt;(ROW(PLE.lastrow)-ROW(PLE.firstrow))),0,
           IF(OFFSET(PLE!$G$15,$M343-$A$15,BZ$13)="",10^12,OFFSET(PLE!$G$15,$M343-$A$15,BZ$13)))</f>
        <v>1000000000000</v>
      </c>
      <c r="CA343" s="172">
        <f ca="1">IF(OR($D343&lt;&gt;"Serviço",AND(AUTOEVENTO="Manual",$M343=$A$15),$M343&gt;(ROW(PLE.lastrow)-ROW(PLE.firstrow))),0,
           IF(OFFSET(PLE!$G$15,$M343-$A$15,CA$13)="",10^12,OFFSET(PLE!$G$15,$M343-$A$15,CA$13)))</f>
        <v>1000000000000</v>
      </c>
      <c r="CB343" s="172">
        <f ca="1">IF(OR($D343&lt;&gt;"Serviço",AND(AUTOEVENTO="Manual",$M343=$A$15),$M343&gt;(ROW(PLE.lastrow)-ROW(PLE.firstrow))),0,
           IF(OFFSET(PLE!$G$15,$M343-$A$15,CB$13)="",10^12,OFFSET(PLE!$G$15,$M343-$A$15,CB$13)))</f>
        <v>1000000000000</v>
      </c>
      <c r="CC343" s="172">
        <f ca="1">IF(OR($D343&lt;&gt;"Serviço",AND(AUTOEVENTO="Manual",$M343=$A$15),$M343&gt;(ROW(PLE.lastrow)-ROW(PLE.firstrow))),0,
           IF(OFFSET(PLE!$G$15,$M343-$A$15,CC$13)="",10^12,OFFSET(PLE!$G$15,$M343-$A$15,CC$13)))</f>
        <v>1000000000000</v>
      </c>
      <c r="CD343" s="172">
        <f ca="1">IF(OR($D343&lt;&gt;"Serviço",AND(AUTOEVENTO="Manual",$M343=$A$15),$M343&gt;(ROW(PLE.lastrow)-ROW(PLE.firstrow))),0,
           IF(OFFSET(PLE!$G$15,$M343-$A$15,CD$13)="",10^12,OFFSET(PLE!$G$15,$M343-$A$15,CD$13)))</f>
        <v>1000000000000</v>
      </c>
      <c r="CE343" s="172">
        <f ca="1">IF(OR($D343&lt;&gt;"Serviço",AND(AUTOEVENTO="Manual",$M343=$A$15),$M343&gt;(ROW(PLE.lastrow)-ROW(PLE.firstrow))),0,
           IF(OFFSET(PLE!$G$15,$M343-$A$15,CE$13)="",10^12,OFFSET(PLE!$G$15,$M343-$A$15,CE$13)))</f>
        <v>1000000000000</v>
      </c>
      <c r="CF343" s="172">
        <f ca="1">IF(OR($D343&lt;&gt;"Serviço",AND(AUTOEVENTO="Manual",$M343=$A$15),$M343&gt;(ROW(PLE.lastrow)-ROW(PLE.firstrow))),0,
           IF(OFFSET(PLE!$G$15,$M343-$A$15,CF$13)="",10^12,OFFSET(PLE!$G$15,$M343-$A$15,CF$13)))</f>
        <v>1000000000000</v>
      </c>
      <c r="CG343" s="172">
        <f ca="1">IF(OR($D343&lt;&gt;"Serviço",AND(AUTOEVENTO="Manual",$M343=$A$15),$M343&gt;(ROW(PLE.lastrow)-ROW(PLE.firstrow))),0,
           IF(OFFSET(PLE!$G$15,$M343-$A$15,CG$13)="",10^12,OFFSET(PLE!$G$15,$M343-$A$15,CG$13)))</f>
        <v>1000000000000</v>
      </c>
      <c r="CH343" s="172">
        <f ca="1">IF(OR($D343&lt;&gt;"Serviço",AND(AUTOEVENTO="Manual",$M343=$A$15),$M343&gt;(ROW(PLE.lastrow)-ROW(PLE.firstrow))),0,
           IF(OFFSET(PLE!$G$15,$M343-$A$15,CH$13)="",10^12,OFFSET(PLE!$G$15,$M343-$A$15,CH$13)))</f>
        <v>1000000000000</v>
      </c>
      <c r="CI343" s="172">
        <f ca="1">IF(OR($D343&lt;&gt;"Serviço",AND(AUTOEVENTO="Manual",$M343=$A$15),$M343&gt;(ROW(PLE.lastrow)-ROW(PLE.firstrow))),0,
           IF(OFFSET(PLE!$G$15,$M343-$A$15,CI$13)="",10^12,OFFSET(PLE!$G$15,$M343-$A$15,CI$13)))</f>
        <v>1000000000000</v>
      </c>
      <c r="CJ343" s="172">
        <f ca="1">IF(OR($D343&lt;&gt;"Serviço",AND(AUTOEVENTO="Manual",$M343=$A$15),$M343&gt;(ROW(PLE.lastrow)-ROW(PLE.firstrow))),0,
           IF(OFFSET(PLE!$G$15,$M343-$A$15,CJ$13)="",10^12,OFFSET(PLE!$G$15,$M343-$A$15,CJ$13)))</f>
        <v>1000000000000</v>
      </c>
      <c r="CK343" s="172">
        <f ca="1">IF(OR($D343&lt;&gt;"Serviço",AND(AUTOEVENTO="Manual",$M343=$A$15),$M343&gt;(ROW(PLE.lastrow)-ROW(PLE.firstrow))),0,
           IF(OFFSET(PLE!$G$15,$M343-$A$15,CK$13)="",10^12,OFFSET(PLE!$G$15,$M343-$A$15,CK$13)))</f>
        <v>1000000000000</v>
      </c>
      <c r="CL343" s="172">
        <f ca="1">IF(OR($D343&lt;&gt;"Serviço",AND(AUTOEVENTO="Manual",$M343=$A$15),$M343&gt;(ROW(PLE.lastrow)-ROW(PLE.firstrow))),0,
           IF(OFFSET(PLE!$G$15,$M343-$A$15,CL$13)="",10^12,OFFSET(PLE!$G$15,$M343-$A$15,CL$13)))</f>
        <v>1000000000000</v>
      </c>
      <c r="CM343" s="172">
        <f ca="1">IF(OR($D343&lt;&gt;"Serviço",AND(AUTOEVENTO="Manual",$M343=$A$15),$M343&gt;(ROW(PLE.lastrow)-ROW(PLE.firstrow))),0,
           IF(OFFSET(PLE!$G$15,$M343-$A$15,CM$13)="",10^12,OFFSET(PLE!$G$15,$M343-$A$15,CM$13)))</f>
        <v>1000000000000</v>
      </c>
    </row>
    <row r="344" spans="1:91" ht="63.75" x14ac:dyDescent="0.2">
      <c r="A344" s="7">
        <f t="shared" ca="1" si="15"/>
        <v>6</v>
      </c>
      <c r="B344" s="7" t="str">
        <f ca="1">OFFSET(ORÇAMENTO!C$15,ROW(B344)-ROW(B$15),0)</f>
        <v>S</v>
      </c>
      <c r="C344" s="7" t="str">
        <f ca="1">OFFSET(ORÇAMENTO!L$15,ROW(C344)-ROW(C$15),0)</f>
        <v>F</v>
      </c>
      <c r="D344" s="116" t="str">
        <f ca="1">OFFSET(ORÇAMENTO!N$15,ROW(D344)-ROW(D$15),0)</f>
        <v>Serviço</v>
      </c>
      <c r="E344" s="117" t="str">
        <f ca="1">OFFSET(ORÇAMENTO!O$15,ROW(E344)-ROW(E$15),0)</f>
        <v>1.7.6.1.3.</v>
      </c>
      <c r="F344" s="163" t="str">
        <f ca="1">OFFSET(ORÇAMENTO!R$15,ROW(F344)-ROW(F$15),0)</f>
        <v>TÊ COM BOLSAS FoFo - DN 150 MM</v>
      </c>
      <c r="G344" s="164" t="str">
        <f ca="1">IF($D344&lt;&gt;"Serviço","",OFFSET(ORÇAMENTO!S$15,ROW(G344)-ROW(G$15),0))</f>
        <v>UN</v>
      </c>
      <c r="H344" s="122" cm="1">
        <f t="array" aca="1" ref="H344" ca="1">IF($D344&lt;&gt;"Serviço",0,IF(ACOMPANHAMENTO="BM",ROUND(OFFSET(ORÇAMENTO!AJ$15,ROW(H344)-ROW(H$15),0),15-13*ORÇAMENTO!$AF$7),SUMPRODUCT(($Q$1:$AI$1=1)*ROUND($Q344:$AI344,15-13*ORÇAMENTO!$AF$7))))</f>
        <v>18</v>
      </c>
      <c r="I344" s="468" t="s">
        <v>1360</v>
      </c>
      <c r="J344" s="640" t="str" cm="1">
        <f t="array" aca="1" ref="J344" ca="1">IF(OR(B344&lt;&gt;"S",CÁLCULO.FrentesPreenchidas=0),"",IF(AND(ACOMPANHAMENTO="PLE",AUTOEVENTO="Manual",OR(H344&gt;0,ORÇAMENTO!AC344="QUANT."),OR(K344="",M344=0,N344="")),"►E",IF(AND(ACOMPANHAMENTO="PLE",ORÇAMENTO!AC344="QUANT."),"►Q",IF(AND(ACOMPANHAMENTO="PLE",H344&lt;&gt;SUMPRODUCT(($Q$1:$AI$1=1)*ROUND(Q344:AI344,15))),"►S",IF(AND(COUNTIF($P$11:$AI$11,"▼")=0,H344&gt;0,I344=""),"◄M","")))))</f>
        <v/>
      </c>
      <c r="K344" s="641" t="s">
        <v>1385</v>
      </c>
      <c r="L344" s="165" t="s">
        <v>764</v>
      </c>
      <c r="M344" s="166">
        <f ca="1">IF($D344&lt;&gt;"Serviço","",
          IF(AUTOEVENTO="manual",$A344,
                IF(ISERROR(MATCH($A344,$A$15:OFFSET($A344,-1,0),0)),MAX($M$15:OFFSET(M344,-1,0))+1,
                      INDEX($M$15:OFFSET(M344,-1,0),MATCH($A344,$A$15:OFFSET($A344,-1,0),0)))))</f>
        <v>6</v>
      </c>
      <c r="N344" s="167" t="str">
        <f ca="1">IF($D344&lt;&gt;"Serviço","",
         IF(AUTOEVENTO="Manual",
                IF($A344=0,"&lt;-- defina o número do agrupador",
                       OFFSET(EVENTOS!$D$15,$A344-$A$15,0)),
                OFFSET($F$15,$A344,0)))</f>
        <v>Saneamento</v>
      </c>
      <c r="O344" s="168"/>
      <c r="Q344" s="168"/>
      <c r="R344" s="169"/>
      <c r="S344" s="169"/>
      <c r="T344" s="169"/>
      <c r="U344" s="169"/>
      <c r="V344" s="169">
        <f>10+8</f>
        <v>18</v>
      </c>
      <c r="W344" s="169"/>
      <c r="X344" s="169"/>
      <c r="Y344" s="169"/>
      <c r="Z344" s="170"/>
      <c r="AA344" s="169"/>
      <c r="AB344" s="169"/>
      <c r="AC344" s="169"/>
      <c r="AD344" s="169"/>
      <c r="AE344" s="169"/>
      <c r="AF344" s="169"/>
      <c r="AG344" s="169"/>
      <c r="AH344" s="170"/>
      <c r="AJ344" s="453">
        <f ca="1">IF(AND($D344="Serviço",AJ$12&lt;&gt;0,$H344&gt;0,OR(AUTOEVENTO&lt;&gt;"manual",$M344&lt;&gt;$A$15)),
        IF(Import.TipoArredondamento&lt;&gt;"TransfereGOV",
              ROUND(OFFSET($P344,0,AJ$13),15-13*ORÇAMENTO!$AF$7)/$H344*OFFSET(ORÇAMENTO!$X$15,ROW(AJ344)-ROW(AJ$15),0),
              ROUND(ROUND(OFFSET($P344,0,AJ$13),15-13*ORÇAMENTO!$AF$7)*OFFSET(ORÇAMENTO!$W$15,ROW(AJ344)-ROW(AJ$15),0),15-13*ORÇAMENTO!$AF$11)),
         0)</f>
        <v>0</v>
      </c>
      <c r="AK344" s="453">
        <f ca="1">IF(AND($D344="Serviço",AK$12&lt;&gt;0,$H344&gt;0,OR(AUTOEVENTO&lt;&gt;"manual",$M344&lt;&gt;$A$15)),
        IF(Import.TipoArredondamento&lt;&gt;"TransfereGOV",
              ROUND(OFFSET($P344,0,AK$13),15-13*ORÇAMENTO!$AF$7)/$H344*OFFSET(ORÇAMENTO!$X$15,ROW(AK344)-ROW(AK$15),0),
              ROUND(ROUND(OFFSET($P344,0,AK$13),15-13*ORÇAMENTO!$AF$7)*OFFSET(ORÇAMENTO!$W$15,ROW(AK344)-ROW(AK$15),0),15-13*ORÇAMENTO!$AF$11)),
         0)</f>
        <v>0</v>
      </c>
      <c r="AL344" s="453">
        <f ca="1">IF(AND($D344="Serviço",AL$12&lt;&gt;0,$H344&gt;0,OR(AUTOEVENTO&lt;&gt;"manual",$M344&lt;&gt;$A$15)),
        IF(Import.TipoArredondamento&lt;&gt;"TransfereGOV",
              ROUND(OFFSET($P344,0,AL$13),15-13*ORÇAMENTO!$AF$7)/$H344*OFFSET(ORÇAMENTO!$X$15,ROW(AL344)-ROW(AL$15),0),
              ROUND(ROUND(OFFSET($P344,0,AL$13),15-13*ORÇAMENTO!$AF$7)*OFFSET(ORÇAMENTO!$W$15,ROW(AL344)-ROW(AL$15),0),15-13*ORÇAMENTO!$AF$11)),
         0)</f>
        <v>0</v>
      </c>
      <c r="AM344" s="453">
        <f ca="1">IF(AND($D344="Serviço",AM$12&lt;&gt;0,$H344&gt;0,OR(AUTOEVENTO&lt;&gt;"manual",$M344&lt;&gt;$A$15)),
        IF(Import.TipoArredondamento&lt;&gt;"TransfereGOV",
              ROUND(OFFSET($P344,0,AM$13),15-13*ORÇAMENTO!$AF$7)/$H344*OFFSET(ORÇAMENTO!$X$15,ROW(AM344)-ROW(AM$15),0),
              ROUND(ROUND(OFFSET($P344,0,AM$13),15-13*ORÇAMENTO!$AF$7)*OFFSET(ORÇAMENTO!$W$15,ROW(AM344)-ROW(AM$15),0),15-13*ORÇAMENTO!$AF$11)),
         0)</f>
        <v>0</v>
      </c>
      <c r="AN344" s="453">
        <f ca="1">IF(AND($D344="Serviço",AN$12&lt;&gt;0,$H344&gt;0,OR(AUTOEVENTO&lt;&gt;"manual",$M344&lt;&gt;$A$15)),
        IF(Import.TipoArredondamento&lt;&gt;"TransfereGOV",
              ROUND(OFFSET($P344,0,AN$13),15-13*ORÇAMENTO!$AF$7)/$H344*OFFSET(ORÇAMENTO!$X$15,ROW(AN344)-ROW(AN$15),0),
              ROUND(ROUND(OFFSET($P344,0,AN$13),15-13*ORÇAMENTO!$AF$7)*OFFSET(ORÇAMENTO!$W$15,ROW(AN344)-ROW(AN$15),0),15-13*ORÇAMENTO!$AF$11)),
         0)</f>
        <v>0</v>
      </c>
      <c r="AO344" s="453">
        <f ca="1">IF(AND($D344="Serviço",AO$12&lt;&gt;0,$H344&gt;0,OR(AUTOEVENTO&lt;&gt;"manual",$M344&lt;&gt;$A$15)),
        IF(Import.TipoArredondamento&lt;&gt;"TransfereGOV",
              ROUND(OFFSET($P344,0,AO$13),15-13*ORÇAMENTO!$AF$7)/$H344*OFFSET(ORÇAMENTO!$X$15,ROW(AO344)-ROW(AO$15),0),
              ROUND(ROUND(OFFSET($P344,0,AO$13),15-13*ORÇAMENTO!$AF$7)*OFFSET(ORÇAMENTO!$W$15,ROW(AO344)-ROW(AO$15),0),15-13*ORÇAMENTO!$AF$11)),
         0)</f>
        <v>0</v>
      </c>
      <c r="AP344" s="453">
        <f ca="1">IF(AND($D344="Serviço",AP$12&lt;&gt;0,$H344&gt;0,OR(AUTOEVENTO&lt;&gt;"manual",$M344&lt;&gt;$A$15)),
        IF(Import.TipoArredondamento&lt;&gt;"TransfereGOV",
              ROUND(OFFSET($P344,0,AP$13),15-13*ORÇAMENTO!$AF$7)/$H344*OFFSET(ORÇAMENTO!$X$15,ROW(AP344)-ROW(AP$15),0),
              ROUND(ROUND(OFFSET($P344,0,AP$13),15-13*ORÇAMENTO!$AF$7)*OFFSET(ORÇAMENTO!$W$15,ROW(AP344)-ROW(AP$15),0),15-13*ORÇAMENTO!$AF$11)),
         0)</f>
        <v>0</v>
      </c>
      <c r="AQ344" s="453">
        <f ca="1">IF(AND($D344="Serviço",AQ$12&lt;&gt;0,$H344&gt;0,OR(AUTOEVENTO&lt;&gt;"manual",$M344&lt;&gt;$A$15)),
        IF(Import.TipoArredondamento&lt;&gt;"TransfereGOV",
              ROUND(OFFSET($P344,0,AQ$13),15-13*ORÇAMENTO!$AF$7)/$H344*OFFSET(ORÇAMENTO!$X$15,ROW(AQ344)-ROW(AQ$15),0),
              ROUND(ROUND(OFFSET($P344,0,AQ$13),15-13*ORÇAMENTO!$AF$7)*OFFSET(ORÇAMENTO!$W$15,ROW(AQ344)-ROW(AQ$15),0),15-13*ORÇAMENTO!$AF$11)),
         0)</f>
        <v>0</v>
      </c>
      <c r="AR344" s="453">
        <f ca="1">IF(AND($D344="Serviço",AR$12&lt;&gt;0,$H344&gt;0,OR(AUTOEVENTO&lt;&gt;"manual",$M344&lt;&gt;$A$15)),
        IF(Import.TipoArredondamento&lt;&gt;"TransfereGOV",
              ROUND(OFFSET($P344,0,AR$13),15-13*ORÇAMENTO!$AF$7)/$H344*OFFSET(ORÇAMENTO!$X$15,ROW(AR344)-ROW(AR$15),0),
              ROUND(ROUND(OFFSET($P344,0,AR$13),15-13*ORÇAMENTO!$AF$7)*OFFSET(ORÇAMENTO!$W$15,ROW(AR344)-ROW(AR$15),0),15-13*ORÇAMENTO!$AF$11)),
         0)</f>
        <v>0</v>
      </c>
      <c r="AS344" s="453">
        <f ca="1">IF(AND($D344="Serviço",AS$12&lt;&gt;0,$H344&gt;0,OR(AUTOEVENTO&lt;&gt;"manual",$M344&lt;&gt;$A$15)),
        IF(Import.TipoArredondamento&lt;&gt;"TransfereGOV",
              ROUND(OFFSET($P344,0,AS$13),15-13*ORÇAMENTO!$AF$7)/$H344*OFFSET(ORÇAMENTO!$X$15,ROW(AS344)-ROW(AS$15),0),
              ROUND(ROUND(OFFSET($P344,0,AS$13),15-13*ORÇAMENTO!$AF$7)*OFFSET(ORÇAMENTO!$W$15,ROW(AS344)-ROW(AS$15),0),15-13*ORÇAMENTO!$AF$11)),
         0)</f>
        <v>0</v>
      </c>
      <c r="AT344" s="453">
        <f ca="1">IF(AND($D344="Serviço",AT$12&lt;&gt;0,$H344&gt;0,OR(AUTOEVENTO&lt;&gt;"manual",$M344&lt;&gt;$A$15)),
        IF(Import.TipoArredondamento&lt;&gt;"TransfereGOV",
              ROUND(OFFSET($P344,0,AT$13),15-13*ORÇAMENTO!$AF$7)/$H344*OFFSET(ORÇAMENTO!$X$15,ROW(AT344)-ROW(AT$15),0),
              ROUND(ROUND(OFFSET($P344,0,AT$13),15-13*ORÇAMENTO!$AF$7)*OFFSET(ORÇAMENTO!$W$15,ROW(AT344)-ROW(AT$15),0),15-13*ORÇAMENTO!$AF$11)),
         0)</f>
        <v>0</v>
      </c>
      <c r="AU344" s="453">
        <f ca="1">IF(AND($D344="Serviço",AU$12&lt;&gt;0,$H344&gt;0,OR(AUTOEVENTO&lt;&gt;"manual",$M344&lt;&gt;$A$15)),
        IF(Import.TipoArredondamento&lt;&gt;"TransfereGOV",
              ROUND(OFFSET($P344,0,AU$13),15-13*ORÇAMENTO!$AF$7)/$H344*OFFSET(ORÇAMENTO!$X$15,ROW(AU344)-ROW(AU$15),0),
              ROUND(ROUND(OFFSET($P344,0,AU$13),15-13*ORÇAMENTO!$AF$7)*OFFSET(ORÇAMENTO!$W$15,ROW(AU344)-ROW(AU$15),0),15-13*ORÇAMENTO!$AF$11)),
         0)</f>
        <v>0</v>
      </c>
      <c r="AV344" s="453">
        <f ca="1">IF(AND($D344="Serviço",AV$12&lt;&gt;0,$H344&gt;0,OR(AUTOEVENTO&lt;&gt;"manual",$M344&lt;&gt;$A$15)),
        IF(Import.TipoArredondamento&lt;&gt;"TransfereGOV",
              ROUND(OFFSET($P344,0,AV$13),15-13*ORÇAMENTO!$AF$7)/$H344*OFFSET(ORÇAMENTO!$X$15,ROW(AV344)-ROW(AV$15),0),
              ROUND(ROUND(OFFSET($P344,0,AV$13),15-13*ORÇAMENTO!$AF$7)*OFFSET(ORÇAMENTO!$W$15,ROW(AV344)-ROW(AV$15),0),15-13*ORÇAMENTO!$AF$11)),
         0)</f>
        <v>0</v>
      </c>
      <c r="AW344" s="453">
        <f ca="1">IF(AND($D344="Serviço",AW$12&lt;&gt;0,$H344&gt;0,OR(AUTOEVENTO&lt;&gt;"manual",$M344&lt;&gt;$A$15)),
        IF(Import.TipoArredondamento&lt;&gt;"TransfereGOV",
              ROUND(OFFSET($P344,0,AW$13),15-13*ORÇAMENTO!$AF$7)/$H344*OFFSET(ORÇAMENTO!$X$15,ROW(AW344)-ROW(AW$15),0),
              ROUND(ROUND(OFFSET($P344,0,AW$13),15-13*ORÇAMENTO!$AF$7)*OFFSET(ORÇAMENTO!$W$15,ROW(AW344)-ROW(AW$15),0),15-13*ORÇAMENTO!$AF$11)),
         0)</f>
        <v>0</v>
      </c>
      <c r="AX344" s="453">
        <f ca="1">IF(AND($D344="Serviço",AX$12&lt;&gt;0,$H344&gt;0,OR(AUTOEVENTO&lt;&gt;"manual",$M344&lt;&gt;$A$15)),
        IF(Import.TipoArredondamento&lt;&gt;"TransfereGOV",
              ROUND(OFFSET($P344,0,AX$13),15-13*ORÇAMENTO!$AF$7)/$H344*OFFSET(ORÇAMENTO!$X$15,ROW(AX344)-ROW(AX$15),0),
              ROUND(ROUND(OFFSET($P344,0,AX$13),15-13*ORÇAMENTO!$AF$7)*OFFSET(ORÇAMENTO!$W$15,ROW(AX344)-ROW(AX$15),0),15-13*ORÇAMENTO!$AF$11)),
         0)</f>
        <v>0</v>
      </c>
      <c r="AY344" s="453">
        <f ca="1">IF(AND($D344="Serviço",AY$12&lt;&gt;0,$H344&gt;0,OR(AUTOEVENTO&lt;&gt;"manual",$M344&lt;&gt;$A$15)),
        IF(Import.TipoArredondamento&lt;&gt;"TransfereGOV",
              ROUND(OFFSET($P344,0,AY$13),15-13*ORÇAMENTO!$AF$7)/$H344*OFFSET(ORÇAMENTO!$X$15,ROW(AY344)-ROW(AY$15),0),
              ROUND(ROUND(OFFSET($P344,0,AY$13),15-13*ORÇAMENTO!$AF$7)*OFFSET(ORÇAMENTO!$W$15,ROW(AY344)-ROW(AY$15),0),15-13*ORÇAMENTO!$AF$11)),
         0)</f>
        <v>0</v>
      </c>
      <c r="AZ344" s="453">
        <f ca="1">IF(AND($D344="Serviço",AZ$12&lt;&gt;0,$H344&gt;0,OR(AUTOEVENTO&lt;&gt;"manual",$M344&lt;&gt;$A$15)),
        IF(Import.TipoArredondamento&lt;&gt;"TransfereGOV",
              ROUND(OFFSET($P344,0,AZ$13),15-13*ORÇAMENTO!$AF$7)/$H344*OFFSET(ORÇAMENTO!$X$15,ROW(AZ344)-ROW(AZ$15),0),
              ROUND(ROUND(OFFSET($P344,0,AZ$13),15-13*ORÇAMENTO!$AF$7)*OFFSET(ORÇAMENTO!$W$15,ROW(AZ344)-ROW(AZ$15),0),15-13*ORÇAMENTO!$AF$11)),
         0)</f>
        <v>0</v>
      </c>
      <c r="BA344" s="453">
        <f ca="1">IF(AND($D344="Serviço",BA$12&lt;&gt;0,$H344&gt;0,OR(AUTOEVENTO&lt;&gt;"manual",$M344&lt;&gt;$A$15)),
        IF(Import.TipoArredondamento&lt;&gt;"TransfereGOV",
              ROUND(OFFSET($P344,0,BA$13),15-13*ORÇAMENTO!$AF$7)/$H344*OFFSET(ORÇAMENTO!$X$15,ROW(BA344)-ROW(BA$15),0),
              ROUND(ROUND(OFFSET($P344,0,BA$13),15-13*ORÇAMENTO!$AF$7)*OFFSET(ORÇAMENTO!$W$15,ROW(BA344)-ROW(BA$15),0),15-13*ORÇAMENTO!$AF$11)),
         0)</f>
        <v>0</v>
      </c>
      <c r="BC344" s="171">
        <f ca="1">IF(OR($D344&lt;&gt;"Serviço",AND(AUTOEVENTO="Manual",$M344=$A$15)),0,
         IF(OFFSET(CRONOPLE!$F$15,$M344-$A$15,BC$13)=0,10^12,OFFSET(CRONOPLE!$F$15,$M344-$A$15,BC$13)))</f>
        <v>1</v>
      </c>
      <c r="BD344" s="171">
        <f ca="1">IF(OR($D344&lt;&gt;"Serviço",AND(AUTOEVENTO="Manual",$M344=$A$15)),0,
         IF(OFFSET(CRONOPLE!$F$15,$M344-$A$15,BD$13)=0,10^12,OFFSET(CRONOPLE!$F$15,$M344-$A$15,BD$13)))</f>
        <v>2</v>
      </c>
      <c r="BE344" s="171">
        <f ca="1">IF(OR($D344&lt;&gt;"Serviço",AND(AUTOEVENTO="Manual",$M344=$A$15)),0,
         IF(OFFSET(CRONOPLE!$F$15,$M344-$A$15,BE$13)=0,10^12,OFFSET(CRONOPLE!$F$15,$M344-$A$15,BE$13)))</f>
        <v>3</v>
      </c>
      <c r="BF344" s="171">
        <f ca="1">IF(OR($D344&lt;&gt;"Serviço",AND(AUTOEVENTO="Manual",$M344=$A$15)),0,
         IF(OFFSET(CRONOPLE!$F$15,$M344-$A$15,BF$13)=0,10^12,OFFSET(CRONOPLE!$F$15,$M344-$A$15,BF$13)))</f>
        <v>4</v>
      </c>
      <c r="BG344" s="171">
        <f ca="1">IF(OR($D344&lt;&gt;"Serviço",AND(AUTOEVENTO="Manual",$M344=$A$15)),0,
         IF(OFFSET(CRONOPLE!$F$15,$M344-$A$15,BG$13)=0,10^12,OFFSET(CRONOPLE!$F$15,$M344-$A$15,BG$13)))</f>
        <v>5</v>
      </c>
      <c r="BH344" s="171">
        <f ca="1">IF(OR($D344&lt;&gt;"Serviço",AND(AUTOEVENTO="Manual",$M344=$A$15)),0,
         IF(OFFSET(CRONOPLE!$F$15,$M344-$A$15,BH$13)=0,10^12,OFFSET(CRONOPLE!$F$15,$M344-$A$15,BH$13)))</f>
        <v>6</v>
      </c>
      <c r="BI344" s="171">
        <f ca="1">IF(OR($D344&lt;&gt;"Serviço",AND(AUTOEVENTO="Manual",$M344=$A$15)),0,
         IF(OFFSET(CRONOPLE!$F$15,$M344-$A$15,BI$13)=0,10^12,OFFSET(CRONOPLE!$F$15,$M344-$A$15,BI$13)))</f>
        <v>7</v>
      </c>
      <c r="BJ344" s="171">
        <f ca="1">IF(OR($D344&lt;&gt;"Serviço",AND(AUTOEVENTO="Manual",$M344=$A$15)),0,
         IF(OFFSET(CRONOPLE!$F$15,$M344-$A$15,BJ$13)=0,10^12,OFFSET(CRONOPLE!$F$15,$M344-$A$15,BJ$13)))</f>
        <v>8</v>
      </c>
      <c r="BK344" s="171">
        <f ca="1">IF(OR($D344&lt;&gt;"Serviço",AND(AUTOEVENTO="Manual",$M344=$A$15)),0,
         IF(OFFSET(CRONOPLE!$F$15,$M344-$A$15,BK$13)=0,10^12,OFFSET(CRONOPLE!$F$15,$M344-$A$15,BK$13)))</f>
        <v>9</v>
      </c>
      <c r="BL344" s="171">
        <f ca="1">IF(OR($D344&lt;&gt;"Serviço",AND(AUTOEVENTO="Manual",$M344=$A$15)),0,
         IF(OFFSET(CRONOPLE!$F$15,$M344-$A$15,BL$13)=0,10^12,OFFSET(CRONOPLE!$F$15,$M344-$A$15,BL$13)))</f>
        <v>1000000000000</v>
      </c>
      <c r="BM344" s="171">
        <f ca="1">IF(OR($D344&lt;&gt;"Serviço",AND(AUTOEVENTO="Manual",$M344=$A$15)),0,
         IF(OFFSET(CRONOPLE!$F$15,$M344-$A$15,BM$13)=0,10^12,OFFSET(CRONOPLE!$F$15,$M344-$A$15,BM$13)))</f>
        <v>1000000000000</v>
      </c>
      <c r="BN344" s="171">
        <f ca="1">IF(OR($D344&lt;&gt;"Serviço",AND(AUTOEVENTO="Manual",$M344=$A$15)),0,
         IF(OFFSET(CRONOPLE!$F$15,$M344-$A$15,BN$13)=0,10^12,OFFSET(CRONOPLE!$F$15,$M344-$A$15,BN$13)))</f>
        <v>1000000000000</v>
      </c>
      <c r="BO344" s="171">
        <f ca="1">IF(OR($D344&lt;&gt;"Serviço",AND(AUTOEVENTO="Manual",$M344=$A$15)),0,
         IF(OFFSET(CRONOPLE!$F$15,$M344-$A$15,BO$13)=0,10^12,OFFSET(CRONOPLE!$F$15,$M344-$A$15,BO$13)))</f>
        <v>1000000000000</v>
      </c>
      <c r="BP344" s="171">
        <f ca="1">IF(OR($D344&lt;&gt;"Serviço",AND(AUTOEVENTO="Manual",$M344=$A$15)),0,
         IF(OFFSET(CRONOPLE!$F$15,$M344-$A$15,BP$13)=0,10^12,OFFSET(CRONOPLE!$F$15,$M344-$A$15,BP$13)))</f>
        <v>1000000000000</v>
      </c>
      <c r="BQ344" s="171">
        <f ca="1">IF(OR($D344&lt;&gt;"Serviço",AND(AUTOEVENTO="Manual",$M344=$A$15)),0,
         IF(OFFSET(CRONOPLE!$F$15,$M344-$A$15,BQ$13)=0,10^12,OFFSET(CRONOPLE!$F$15,$M344-$A$15,BQ$13)))</f>
        <v>1000000000000</v>
      </c>
      <c r="BR344" s="171">
        <f ca="1">IF(OR($D344&lt;&gt;"Serviço",AND(AUTOEVENTO="Manual",$M344=$A$15)),0,
         IF(OFFSET(CRONOPLE!$F$15,$M344-$A$15,BR$13)=0,10^12,OFFSET(CRONOPLE!$F$15,$M344-$A$15,BR$13)))</f>
        <v>1000000000000</v>
      </c>
      <c r="BS344" s="171">
        <f ca="1">IF(OR($D344&lt;&gt;"Serviço",AND(AUTOEVENTO="Manual",$M344=$A$15)),0,
         IF(OFFSET(CRONOPLE!$F$15,$M344-$A$15,BS$13)=0,10^12,OFFSET(CRONOPLE!$F$15,$M344-$A$15,BS$13)))</f>
        <v>1000000000000</v>
      </c>
      <c r="BT344" s="171">
        <f ca="1">IF(OR($D344&lt;&gt;"Serviço",AND(AUTOEVENTO="Manual",$M344=$A$15)),0,
         IF(OFFSET(CRONOPLE!$F$15,$M344-$A$15,BT$13)=0,10^12,OFFSET(CRONOPLE!$F$15,$M344-$A$15,BT$13)))</f>
        <v>1000000000000</v>
      </c>
      <c r="BV344" s="172">
        <f ca="1">IF(OR($D344&lt;&gt;"Serviço",AND(AUTOEVENTO="Manual",$M344=$A$15),$M344&gt;(ROW(PLE.lastrow)-ROW(PLE.firstrow))),0,
           IF(OFFSET(PLE!$G$15,$M344-$A$15,BV$13)="",10^12,OFFSET(PLE!$G$15,$M344-$A$15,BV$13)))</f>
        <v>1000000000000</v>
      </c>
      <c r="BW344" s="172">
        <f ca="1">IF(OR($D344&lt;&gt;"Serviço",AND(AUTOEVENTO="Manual",$M344=$A$15),$M344&gt;(ROW(PLE.lastrow)-ROW(PLE.firstrow))),0,
           IF(OFFSET(PLE!$G$15,$M344-$A$15,BW$13)="",10^12,OFFSET(PLE!$G$15,$M344-$A$15,BW$13)))</f>
        <v>1000000000000</v>
      </c>
      <c r="BX344" s="172">
        <f ca="1">IF(OR($D344&lt;&gt;"Serviço",AND(AUTOEVENTO="Manual",$M344=$A$15),$M344&gt;(ROW(PLE.lastrow)-ROW(PLE.firstrow))),0,
           IF(OFFSET(PLE!$G$15,$M344-$A$15,BX$13)="",10^12,OFFSET(PLE!$G$15,$M344-$A$15,BX$13)))</f>
        <v>1000000000000</v>
      </c>
      <c r="BY344" s="172">
        <f ca="1">IF(OR($D344&lt;&gt;"Serviço",AND(AUTOEVENTO="Manual",$M344=$A$15),$M344&gt;(ROW(PLE.lastrow)-ROW(PLE.firstrow))),0,
           IF(OFFSET(PLE!$G$15,$M344-$A$15,BY$13)="",10^12,OFFSET(PLE!$G$15,$M344-$A$15,BY$13)))</f>
        <v>1000000000000</v>
      </c>
      <c r="BZ344" s="172">
        <f ca="1">IF(OR($D344&lt;&gt;"Serviço",AND(AUTOEVENTO="Manual",$M344=$A$15),$M344&gt;(ROW(PLE.lastrow)-ROW(PLE.firstrow))),0,
           IF(OFFSET(PLE!$G$15,$M344-$A$15,BZ$13)="",10^12,OFFSET(PLE!$G$15,$M344-$A$15,BZ$13)))</f>
        <v>1000000000000</v>
      </c>
      <c r="CA344" s="172">
        <f ca="1">IF(OR($D344&lt;&gt;"Serviço",AND(AUTOEVENTO="Manual",$M344=$A$15),$M344&gt;(ROW(PLE.lastrow)-ROW(PLE.firstrow))),0,
           IF(OFFSET(PLE!$G$15,$M344-$A$15,CA$13)="",10^12,OFFSET(PLE!$G$15,$M344-$A$15,CA$13)))</f>
        <v>1000000000000</v>
      </c>
      <c r="CB344" s="172">
        <f ca="1">IF(OR($D344&lt;&gt;"Serviço",AND(AUTOEVENTO="Manual",$M344=$A$15),$M344&gt;(ROW(PLE.lastrow)-ROW(PLE.firstrow))),0,
           IF(OFFSET(PLE!$G$15,$M344-$A$15,CB$13)="",10^12,OFFSET(PLE!$G$15,$M344-$A$15,CB$13)))</f>
        <v>1000000000000</v>
      </c>
      <c r="CC344" s="172">
        <f ca="1">IF(OR($D344&lt;&gt;"Serviço",AND(AUTOEVENTO="Manual",$M344=$A$15),$M344&gt;(ROW(PLE.lastrow)-ROW(PLE.firstrow))),0,
           IF(OFFSET(PLE!$G$15,$M344-$A$15,CC$13)="",10^12,OFFSET(PLE!$G$15,$M344-$A$15,CC$13)))</f>
        <v>1000000000000</v>
      </c>
      <c r="CD344" s="172">
        <f ca="1">IF(OR($D344&lt;&gt;"Serviço",AND(AUTOEVENTO="Manual",$M344=$A$15),$M344&gt;(ROW(PLE.lastrow)-ROW(PLE.firstrow))),0,
           IF(OFFSET(PLE!$G$15,$M344-$A$15,CD$13)="",10^12,OFFSET(PLE!$G$15,$M344-$A$15,CD$13)))</f>
        <v>1000000000000</v>
      </c>
      <c r="CE344" s="172">
        <f ca="1">IF(OR($D344&lt;&gt;"Serviço",AND(AUTOEVENTO="Manual",$M344=$A$15),$M344&gt;(ROW(PLE.lastrow)-ROW(PLE.firstrow))),0,
           IF(OFFSET(PLE!$G$15,$M344-$A$15,CE$13)="",10^12,OFFSET(PLE!$G$15,$M344-$A$15,CE$13)))</f>
        <v>1000000000000</v>
      </c>
      <c r="CF344" s="172">
        <f ca="1">IF(OR($D344&lt;&gt;"Serviço",AND(AUTOEVENTO="Manual",$M344=$A$15),$M344&gt;(ROW(PLE.lastrow)-ROW(PLE.firstrow))),0,
           IF(OFFSET(PLE!$G$15,$M344-$A$15,CF$13)="",10^12,OFFSET(PLE!$G$15,$M344-$A$15,CF$13)))</f>
        <v>1000000000000</v>
      </c>
      <c r="CG344" s="172">
        <f ca="1">IF(OR($D344&lt;&gt;"Serviço",AND(AUTOEVENTO="Manual",$M344=$A$15),$M344&gt;(ROW(PLE.lastrow)-ROW(PLE.firstrow))),0,
           IF(OFFSET(PLE!$G$15,$M344-$A$15,CG$13)="",10^12,OFFSET(PLE!$G$15,$M344-$A$15,CG$13)))</f>
        <v>1000000000000</v>
      </c>
      <c r="CH344" s="172">
        <f ca="1">IF(OR($D344&lt;&gt;"Serviço",AND(AUTOEVENTO="Manual",$M344=$A$15),$M344&gt;(ROW(PLE.lastrow)-ROW(PLE.firstrow))),0,
           IF(OFFSET(PLE!$G$15,$M344-$A$15,CH$13)="",10^12,OFFSET(PLE!$G$15,$M344-$A$15,CH$13)))</f>
        <v>1000000000000</v>
      </c>
      <c r="CI344" s="172">
        <f ca="1">IF(OR($D344&lt;&gt;"Serviço",AND(AUTOEVENTO="Manual",$M344=$A$15),$M344&gt;(ROW(PLE.lastrow)-ROW(PLE.firstrow))),0,
           IF(OFFSET(PLE!$G$15,$M344-$A$15,CI$13)="",10^12,OFFSET(PLE!$G$15,$M344-$A$15,CI$13)))</f>
        <v>1000000000000</v>
      </c>
      <c r="CJ344" s="172">
        <f ca="1">IF(OR($D344&lt;&gt;"Serviço",AND(AUTOEVENTO="Manual",$M344=$A$15),$M344&gt;(ROW(PLE.lastrow)-ROW(PLE.firstrow))),0,
           IF(OFFSET(PLE!$G$15,$M344-$A$15,CJ$13)="",10^12,OFFSET(PLE!$G$15,$M344-$A$15,CJ$13)))</f>
        <v>1000000000000</v>
      </c>
      <c r="CK344" s="172">
        <f ca="1">IF(OR($D344&lt;&gt;"Serviço",AND(AUTOEVENTO="Manual",$M344=$A$15),$M344&gt;(ROW(PLE.lastrow)-ROW(PLE.firstrow))),0,
           IF(OFFSET(PLE!$G$15,$M344-$A$15,CK$13)="",10^12,OFFSET(PLE!$G$15,$M344-$A$15,CK$13)))</f>
        <v>1000000000000</v>
      </c>
      <c r="CL344" s="172">
        <f ca="1">IF(OR($D344&lt;&gt;"Serviço",AND(AUTOEVENTO="Manual",$M344=$A$15),$M344&gt;(ROW(PLE.lastrow)-ROW(PLE.firstrow))),0,
           IF(OFFSET(PLE!$G$15,$M344-$A$15,CL$13)="",10^12,OFFSET(PLE!$G$15,$M344-$A$15,CL$13)))</f>
        <v>1000000000000</v>
      </c>
      <c r="CM344" s="172">
        <f ca="1">IF(OR($D344&lt;&gt;"Serviço",AND(AUTOEVENTO="Manual",$M344=$A$15),$M344&gt;(ROW(PLE.lastrow)-ROW(PLE.firstrow))),0,
           IF(OFFSET(PLE!$G$15,$M344-$A$15,CM$13)="",10^12,OFFSET(PLE!$G$15,$M344-$A$15,CM$13)))</f>
        <v>1000000000000</v>
      </c>
    </row>
    <row r="345" spans="1:91" ht="63.75" x14ac:dyDescent="0.2">
      <c r="A345" s="7">
        <f t="shared" ca="1" si="15"/>
        <v>6</v>
      </c>
      <c r="B345" s="7" t="str">
        <f ca="1">OFFSET(ORÇAMENTO!C$15,ROW(B345)-ROW(B$15),0)</f>
        <v>S</v>
      </c>
      <c r="C345" s="7" t="str">
        <f ca="1">OFFSET(ORÇAMENTO!L$15,ROW(C345)-ROW(C$15),0)</f>
        <v>F</v>
      </c>
      <c r="D345" s="116" t="str">
        <f ca="1">OFFSET(ORÇAMENTO!N$15,ROW(D345)-ROW(D$15),0)</f>
        <v>Serviço</v>
      </c>
      <c r="E345" s="117" t="str">
        <f ca="1">OFFSET(ORÇAMENTO!O$15,ROW(E345)-ROW(E$15),0)</f>
        <v>1.7.6.1.4.</v>
      </c>
      <c r="F345" s="163" t="str">
        <f ca="1">OFFSET(ORÇAMENTO!R$15,ROW(F345)-ROW(F$15),0)</f>
        <v>CRUZETA FoFo - DN 150 MM</v>
      </c>
      <c r="G345" s="164" t="str">
        <f ca="1">IF($D345&lt;&gt;"Serviço","",OFFSET(ORÇAMENTO!S$15,ROW(G345)-ROW(G$15),0))</f>
        <v>UN</v>
      </c>
      <c r="H345" s="122" cm="1">
        <f t="array" aca="1" ref="H345" ca="1">IF($D345&lt;&gt;"Serviço",0,IF(ACOMPANHAMENTO="BM",ROUND(OFFSET(ORÇAMENTO!AJ$15,ROW(H345)-ROW(H$15),0),15-13*ORÇAMENTO!$AF$7),SUMPRODUCT(($Q$1:$AI$1=1)*ROUND($Q345:$AI345,15-13*ORÇAMENTO!$AF$7))))</f>
        <v>7</v>
      </c>
      <c r="I345" s="468" t="s">
        <v>1360</v>
      </c>
      <c r="J345" s="640" t="str" cm="1">
        <f t="array" aca="1" ref="J345" ca="1">IF(OR(B345&lt;&gt;"S",CÁLCULO.FrentesPreenchidas=0),"",IF(AND(ACOMPANHAMENTO="PLE",AUTOEVENTO="Manual",OR(H345&gt;0,ORÇAMENTO!AC345="QUANT."),OR(K345="",M345=0,N345="")),"►E",IF(AND(ACOMPANHAMENTO="PLE",ORÇAMENTO!AC345="QUANT."),"►Q",IF(AND(ACOMPANHAMENTO="PLE",H345&lt;&gt;SUMPRODUCT(($Q$1:$AI$1=1)*ROUND(Q345:AI345,15))),"►S",IF(AND(COUNTIF($P$11:$AI$11,"▼")=0,H345&gt;0,I345=""),"◄M","")))))</f>
        <v/>
      </c>
      <c r="K345" s="641" t="s">
        <v>1385</v>
      </c>
      <c r="L345" s="165" t="s">
        <v>764</v>
      </c>
      <c r="M345" s="166">
        <f ca="1">IF($D345&lt;&gt;"Serviço","",
          IF(AUTOEVENTO="manual",$A345,
                IF(ISERROR(MATCH($A345,$A$15:OFFSET($A345,-1,0),0)),MAX($M$15:OFFSET(M345,-1,0))+1,
                      INDEX($M$15:OFFSET(M345,-1,0),MATCH($A345,$A$15:OFFSET($A345,-1,0),0)))))</f>
        <v>6</v>
      </c>
      <c r="N345" s="167" t="str">
        <f ca="1">IF($D345&lt;&gt;"Serviço","",
         IF(AUTOEVENTO="Manual",
                IF($A345=0,"&lt;-- defina o número do agrupador",
                       OFFSET(EVENTOS!$D$15,$A345-$A$15,0)),
                OFFSET($F$15,$A345,0)))</f>
        <v>Saneamento</v>
      </c>
      <c r="O345" s="168"/>
      <c r="Q345" s="168"/>
      <c r="R345" s="169"/>
      <c r="S345" s="169"/>
      <c r="T345" s="169"/>
      <c r="U345" s="169"/>
      <c r="V345" s="169">
        <f>3+4</f>
        <v>7</v>
      </c>
      <c r="W345" s="169"/>
      <c r="X345" s="169"/>
      <c r="Y345" s="169"/>
      <c r="Z345" s="170"/>
      <c r="AA345" s="169"/>
      <c r="AB345" s="169"/>
      <c r="AC345" s="169"/>
      <c r="AD345" s="169"/>
      <c r="AE345" s="169"/>
      <c r="AF345" s="169"/>
      <c r="AG345" s="169"/>
      <c r="AH345" s="170"/>
      <c r="AJ345" s="453">
        <f ca="1">IF(AND($D345="Serviço",AJ$12&lt;&gt;0,$H345&gt;0,OR(AUTOEVENTO&lt;&gt;"manual",$M345&lt;&gt;$A$15)),
        IF(Import.TipoArredondamento&lt;&gt;"TransfereGOV",
              ROUND(OFFSET($P345,0,AJ$13),15-13*ORÇAMENTO!$AF$7)/$H345*OFFSET(ORÇAMENTO!$X$15,ROW(AJ345)-ROW(AJ$15),0),
              ROUND(ROUND(OFFSET($P345,0,AJ$13),15-13*ORÇAMENTO!$AF$7)*OFFSET(ORÇAMENTO!$W$15,ROW(AJ345)-ROW(AJ$15),0),15-13*ORÇAMENTO!$AF$11)),
         0)</f>
        <v>0</v>
      </c>
      <c r="AK345" s="453">
        <f ca="1">IF(AND($D345="Serviço",AK$12&lt;&gt;0,$H345&gt;0,OR(AUTOEVENTO&lt;&gt;"manual",$M345&lt;&gt;$A$15)),
        IF(Import.TipoArredondamento&lt;&gt;"TransfereGOV",
              ROUND(OFFSET($P345,0,AK$13),15-13*ORÇAMENTO!$AF$7)/$H345*OFFSET(ORÇAMENTO!$X$15,ROW(AK345)-ROW(AK$15),0),
              ROUND(ROUND(OFFSET($P345,0,AK$13),15-13*ORÇAMENTO!$AF$7)*OFFSET(ORÇAMENTO!$W$15,ROW(AK345)-ROW(AK$15),0),15-13*ORÇAMENTO!$AF$11)),
         0)</f>
        <v>0</v>
      </c>
      <c r="AL345" s="453">
        <f ca="1">IF(AND($D345="Serviço",AL$12&lt;&gt;0,$H345&gt;0,OR(AUTOEVENTO&lt;&gt;"manual",$M345&lt;&gt;$A$15)),
        IF(Import.TipoArredondamento&lt;&gt;"TransfereGOV",
              ROUND(OFFSET($P345,0,AL$13),15-13*ORÇAMENTO!$AF$7)/$H345*OFFSET(ORÇAMENTO!$X$15,ROW(AL345)-ROW(AL$15),0),
              ROUND(ROUND(OFFSET($P345,0,AL$13),15-13*ORÇAMENTO!$AF$7)*OFFSET(ORÇAMENTO!$W$15,ROW(AL345)-ROW(AL$15),0),15-13*ORÇAMENTO!$AF$11)),
         0)</f>
        <v>0</v>
      </c>
      <c r="AM345" s="453">
        <f ca="1">IF(AND($D345="Serviço",AM$12&lt;&gt;0,$H345&gt;0,OR(AUTOEVENTO&lt;&gt;"manual",$M345&lt;&gt;$A$15)),
        IF(Import.TipoArredondamento&lt;&gt;"TransfereGOV",
              ROUND(OFFSET($P345,0,AM$13),15-13*ORÇAMENTO!$AF$7)/$H345*OFFSET(ORÇAMENTO!$X$15,ROW(AM345)-ROW(AM$15),0),
              ROUND(ROUND(OFFSET($P345,0,AM$13),15-13*ORÇAMENTO!$AF$7)*OFFSET(ORÇAMENTO!$W$15,ROW(AM345)-ROW(AM$15),0),15-13*ORÇAMENTO!$AF$11)),
         0)</f>
        <v>0</v>
      </c>
      <c r="AN345" s="453">
        <f ca="1">IF(AND($D345="Serviço",AN$12&lt;&gt;0,$H345&gt;0,OR(AUTOEVENTO&lt;&gt;"manual",$M345&lt;&gt;$A$15)),
        IF(Import.TipoArredondamento&lt;&gt;"TransfereGOV",
              ROUND(OFFSET($P345,0,AN$13),15-13*ORÇAMENTO!$AF$7)/$H345*OFFSET(ORÇAMENTO!$X$15,ROW(AN345)-ROW(AN$15),0),
              ROUND(ROUND(OFFSET($P345,0,AN$13),15-13*ORÇAMENTO!$AF$7)*OFFSET(ORÇAMENTO!$W$15,ROW(AN345)-ROW(AN$15),0),15-13*ORÇAMENTO!$AF$11)),
         0)</f>
        <v>0</v>
      </c>
      <c r="AO345" s="453">
        <f ca="1">IF(AND($D345="Serviço",AO$12&lt;&gt;0,$H345&gt;0,OR(AUTOEVENTO&lt;&gt;"manual",$M345&lt;&gt;$A$15)),
        IF(Import.TipoArredondamento&lt;&gt;"TransfereGOV",
              ROUND(OFFSET($P345,0,AO$13),15-13*ORÇAMENTO!$AF$7)/$H345*OFFSET(ORÇAMENTO!$X$15,ROW(AO345)-ROW(AO$15),0),
              ROUND(ROUND(OFFSET($P345,0,AO$13),15-13*ORÇAMENTO!$AF$7)*OFFSET(ORÇAMENTO!$W$15,ROW(AO345)-ROW(AO$15),0),15-13*ORÇAMENTO!$AF$11)),
         0)</f>
        <v>0</v>
      </c>
      <c r="AP345" s="453">
        <f ca="1">IF(AND($D345="Serviço",AP$12&lt;&gt;0,$H345&gt;0,OR(AUTOEVENTO&lt;&gt;"manual",$M345&lt;&gt;$A$15)),
        IF(Import.TipoArredondamento&lt;&gt;"TransfereGOV",
              ROUND(OFFSET($P345,0,AP$13),15-13*ORÇAMENTO!$AF$7)/$H345*OFFSET(ORÇAMENTO!$X$15,ROW(AP345)-ROW(AP$15),0),
              ROUND(ROUND(OFFSET($P345,0,AP$13),15-13*ORÇAMENTO!$AF$7)*OFFSET(ORÇAMENTO!$W$15,ROW(AP345)-ROW(AP$15),0),15-13*ORÇAMENTO!$AF$11)),
         0)</f>
        <v>0</v>
      </c>
      <c r="AQ345" s="453">
        <f ca="1">IF(AND($D345="Serviço",AQ$12&lt;&gt;0,$H345&gt;0,OR(AUTOEVENTO&lt;&gt;"manual",$M345&lt;&gt;$A$15)),
        IF(Import.TipoArredondamento&lt;&gt;"TransfereGOV",
              ROUND(OFFSET($P345,0,AQ$13),15-13*ORÇAMENTO!$AF$7)/$H345*OFFSET(ORÇAMENTO!$X$15,ROW(AQ345)-ROW(AQ$15),0),
              ROUND(ROUND(OFFSET($P345,0,AQ$13),15-13*ORÇAMENTO!$AF$7)*OFFSET(ORÇAMENTO!$W$15,ROW(AQ345)-ROW(AQ$15),0),15-13*ORÇAMENTO!$AF$11)),
         0)</f>
        <v>0</v>
      </c>
      <c r="AR345" s="453">
        <f ca="1">IF(AND($D345="Serviço",AR$12&lt;&gt;0,$H345&gt;0,OR(AUTOEVENTO&lt;&gt;"manual",$M345&lt;&gt;$A$15)),
        IF(Import.TipoArredondamento&lt;&gt;"TransfereGOV",
              ROUND(OFFSET($P345,0,AR$13),15-13*ORÇAMENTO!$AF$7)/$H345*OFFSET(ORÇAMENTO!$X$15,ROW(AR345)-ROW(AR$15),0),
              ROUND(ROUND(OFFSET($P345,0,AR$13),15-13*ORÇAMENTO!$AF$7)*OFFSET(ORÇAMENTO!$W$15,ROW(AR345)-ROW(AR$15),0),15-13*ORÇAMENTO!$AF$11)),
         0)</f>
        <v>0</v>
      </c>
      <c r="AS345" s="453">
        <f ca="1">IF(AND($D345="Serviço",AS$12&lt;&gt;0,$H345&gt;0,OR(AUTOEVENTO&lt;&gt;"manual",$M345&lt;&gt;$A$15)),
        IF(Import.TipoArredondamento&lt;&gt;"TransfereGOV",
              ROUND(OFFSET($P345,0,AS$13),15-13*ORÇAMENTO!$AF$7)/$H345*OFFSET(ORÇAMENTO!$X$15,ROW(AS345)-ROW(AS$15),0),
              ROUND(ROUND(OFFSET($P345,0,AS$13),15-13*ORÇAMENTO!$AF$7)*OFFSET(ORÇAMENTO!$W$15,ROW(AS345)-ROW(AS$15),0),15-13*ORÇAMENTO!$AF$11)),
         0)</f>
        <v>0</v>
      </c>
      <c r="AT345" s="453">
        <f ca="1">IF(AND($D345="Serviço",AT$12&lt;&gt;0,$H345&gt;0,OR(AUTOEVENTO&lt;&gt;"manual",$M345&lt;&gt;$A$15)),
        IF(Import.TipoArredondamento&lt;&gt;"TransfereGOV",
              ROUND(OFFSET($P345,0,AT$13),15-13*ORÇAMENTO!$AF$7)/$H345*OFFSET(ORÇAMENTO!$X$15,ROW(AT345)-ROW(AT$15),0),
              ROUND(ROUND(OFFSET($P345,0,AT$13),15-13*ORÇAMENTO!$AF$7)*OFFSET(ORÇAMENTO!$W$15,ROW(AT345)-ROW(AT$15),0),15-13*ORÇAMENTO!$AF$11)),
         0)</f>
        <v>0</v>
      </c>
      <c r="AU345" s="453">
        <f ca="1">IF(AND($D345="Serviço",AU$12&lt;&gt;0,$H345&gt;0,OR(AUTOEVENTO&lt;&gt;"manual",$M345&lt;&gt;$A$15)),
        IF(Import.TipoArredondamento&lt;&gt;"TransfereGOV",
              ROUND(OFFSET($P345,0,AU$13),15-13*ORÇAMENTO!$AF$7)/$H345*OFFSET(ORÇAMENTO!$X$15,ROW(AU345)-ROW(AU$15),0),
              ROUND(ROUND(OFFSET($P345,0,AU$13),15-13*ORÇAMENTO!$AF$7)*OFFSET(ORÇAMENTO!$W$15,ROW(AU345)-ROW(AU$15),0),15-13*ORÇAMENTO!$AF$11)),
         0)</f>
        <v>0</v>
      </c>
      <c r="AV345" s="453">
        <f ca="1">IF(AND($D345="Serviço",AV$12&lt;&gt;0,$H345&gt;0,OR(AUTOEVENTO&lt;&gt;"manual",$M345&lt;&gt;$A$15)),
        IF(Import.TipoArredondamento&lt;&gt;"TransfereGOV",
              ROUND(OFFSET($P345,0,AV$13),15-13*ORÇAMENTO!$AF$7)/$H345*OFFSET(ORÇAMENTO!$X$15,ROW(AV345)-ROW(AV$15),0),
              ROUND(ROUND(OFFSET($P345,0,AV$13),15-13*ORÇAMENTO!$AF$7)*OFFSET(ORÇAMENTO!$W$15,ROW(AV345)-ROW(AV$15),0),15-13*ORÇAMENTO!$AF$11)),
         0)</f>
        <v>0</v>
      </c>
      <c r="AW345" s="453">
        <f ca="1">IF(AND($D345="Serviço",AW$12&lt;&gt;0,$H345&gt;0,OR(AUTOEVENTO&lt;&gt;"manual",$M345&lt;&gt;$A$15)),
        IF(Import.TipoArredondamento&lt;&gt;"TransfereGOV",
              ROUND(OFFSET($P345,0,AW$13),15-13*ORÇAMENTO!$AF$7)/$H345*OFFSET(ORÇAMENTO!$X$15,ROW(AW345)-ROW(AW$15),0),
              ROUND(ROUND(OFFSET($P345,0,AW$13),15-13*ORÇAMENTO!$AF$7)*OFFSET(ORÇAMENTO!$W$15,ROW(AW345)-ROW(AW$15),0),15-13*ORÇAMENTO!$AF$11)),
         0)</f>
        <v>0</v>
      </c>
      <c r="AX345" s="453">
        <f ca="1">IF(AND($D345="Serviço",AX$12&lt;&gt;0,$H345&gt;0,OR(AUTOEVENTO&lt;&gt;"manual",$M345&lt;&gt;$A$15)),
        IF(Import.TipoArredondamento&lt;&gt;"TransfereGOV",
              ROUND(OFFSET($P345,0,AX$13),15-13*ORÇAMENTO!$AF$7)/$H345*OFFSET(ORÇAMENTO!$X$15,ROW(AX345)-ROW(AX$15),0),
              ROUND(ROUND(OFFSET($P345,0,AX$13),15-13*ORÇAMENTO!$AF$7)*OFFSET(ORÇAMENTO!$W$15,ROW(AX345)-ROW(AX$15),0),15-13*ORÇAMENTO!$AF$11)),
         0)</f>
        <v>0</v>
      </c>
      <c r="AY345" s="453">
        <f ca="1">IF(AND($D345="Serviço",AY$12&lt;&gt;0,$H345&gt;0,OR(AUTOEVENTO&lt;&gt;"manual",$M345&lt;&gt;$A$15)),
        IF(Import.TipoArredondamento&lt;&gt;"TransfereGOV",
              ROUND(OFFSET($P345,0,AY$13),15-13*ORÇAMENTO!$AF$7)/$H345*OFFSET(ORÇAMENTO!$X$15,ROW(AY345)-ROW(AY$15),0),
              ROUND(ROUND(OFFSET($P345,0,AY$13),15-13*ORÇAMENTO!$AF$7)*OFFSET(ORÇAMENTO!$W$15,ROW(AY345)-ROW(AY$15),0),15-13*ORÇAMENTO!$AF$11)),
         0)</f>
        <v>0</v>
      </c>
      <c r="AZ345" s="453">
        <f ca="1">IF(AND($D345="Serviço",AZ$12&lt;&gt;0,$H345&gt;0,OR(AUTOEVENTO&lt;&gt;"manual",$M345&lt;&gt;$A$15)),
        IF(Import.TipoArredondamento&lt;&gt;"TransfereGOV",
              ROUND(OFFSET($P345,0,AZ$13),15-13*ORÇAMENTO!$AF$7)/$H345*OFFSET(ORÇAMENTO!$X$15,ROW(AZ345)-ROW(AZ$15),0),
              ROUND(ROUND(OFFSET($P345,0,AZ$13),15-13*ORÇAMENTO!$AF$7)*OFFSET(ORÇAMENTO!$W$15,ROW(AZ345)-ROW(AZ$15),0),15-13*ORÇAMENTO!$AF$11)),
         0)</f>
        <v>0</v>
      </c>
      <c r="BA345" s="453">
        <f ca="1">IF(AND($D345="Serviço",BA$12&lt;&gt;0,$H345&gt;0,OR(AUTOEVENTO&lt;&gt;"manual",$M345&lt;&gt;$A$15)),
        IF(Import.TipoArredondamento&lt;&gt;"TransfereGOV",
              ROUND(OFFSET($P345,0,BA$13),15-13*ORÇAMENTO!$AF$7)/$H345*OFFSET(ORÇAMENTO!$X$15,ROW(BA345)-ROW(BA$15),0),
              ROUND(ROUND(OFFSET($P345,0,BA$13),15-13*ORÇAMENTO!$AF$7)*OFFSET(ORÇAMENTO!$W$15,ROW(BA345)-ROW(BA$15),0),15-13*ORÇAMENTO!$AF$11)),
         0)</f>
        <v>0</v>
      </c>
      <c r="BC345" s="171">
        <f ca="1">IF(OR($D345&lt;&gt;"Serviço",AND(AUTOEVENTO="Manual",$M345=$A$15)),0,
         IF(OFFSET(CRONOPLE!$F$15,$M345-$A$15,BC$13)=0,10^12,OFFSET(CRONOPLE!$F$15,$M345-$A$15,BC$13)))</f>
        <v>1</v>
      </c>
      <c r="BD345" s="171">
        <f ca="1">IF(OR($D345&lt;&gt;"Serviço",AND(AUTOEVENTO="Manual",$M345=$A$15)),0,
         IF(OFFSET(CRONOPLE!$F$15,$M345-$A$15,BD$13)=0,10^12,OFFSET(CRONOPLE!$F$15,$M345-$A$15,BD$13)))</f>
        <v>2</v>
      </c>
      <c r="BE345" s="171">
        <f ca="1">IF(OR($D345&lt;&gt;"Serviço",AND(AUTOEVENTO="Manual",$M345=$A$15)),0,
         IF(OFFSET(CRONOPLE!$F$15,$M345-$A$15,BE$13)=0,10^12,OFFSET(CRONOPLE!$F$15,$M345-$A$15,BE$13)))</f>
        <v>3</v>
      </c>
      <c r="BF345" s="171">
        <f ca="1">IF(OR($D345&lt;&gt;"Serviço",AND(AUTOEVENTO="Manual",$M345=$A$15)),0,
         IF(OFFSET(CRONOPLE!$F$15,$M345-$A$15,BF$13)=0,10^12,OFFSET(CRONOPLE!$F$15,$M345-$A$15,BF$13)))</f>
        <v>4</v>
      </c>
      <c r="BG345" s="171">
        <f ca="1">IF(OR($D345&lt;&gt;"Serviço",AND(AUTOEVENTO="Manual",$M345=$A$15)),0,
         IF(OFFSET(CRONOPLE!$F$15,$M345-$A$15,BG$13)=0,10^12,OFFSET(CRONOPLE!$F$15,$M345-$A$15,BG$13)))</f>
        <v>5</v>
      </c>
      <c r="BH345" s="171">
        <f ca="1">IF(OR($D345&lt;&gt;"Serviço",AND(AUTOEVENTO="Manual",$M345=$A$15)),0,
         IF(OFFSET(CRONOPLE!$F$15,$M345-$A$15,BH$13)=0,10^12,OFFSET(CRONOPLE!$F$15,$M345-$A$15,BH$13)))</f>
        <v>6</v>
      </c>
      <c r="BI345" s="171">
        <f ca="1">IF(OR($D345&lt;&gt;"Serviço",AND(AUTOEVENTO="Manual",$M345=$A$15)),0,
         IF(OFFSET(CRONOPLE!$F$15,$M345-$A$15,BI$13)=0,10^12,OFFSET(CRONOPLE!$F$15,$M345-$A$15,BI$13)))</f>
        <v>7</v>
      </c>
      <c r="BJ345" s="171">
        <f ca="1">IF(OR($D345&lt;&gt;"Serviço",AND(AUTOEVENTO="Manual",$M345=$A$15)),0,
         IF(OFFSET(CRONOPLE!$F$15,$M345-$A$15,BJ$13)=0,10^12,OFFSET(CRONOPLE!$F$15,$M345-$A$15,BJ$13)))</f>
        <v>8</v>
      </c>
      <c r="BK345" s="171">
        <f ca="1">IF(OR($D345&lt;&gt;"Serviço",AND(AUTOEVENTO="Manual",$M345=$A$15)),0,
         IF(OFFSET(CRONOPLE!$F$15,$M345-$A$15,BK$13)=0,10^12,OFFSET(CRONOPLE!$F$15,$M345-$A$15,BK$13)))</f>
        <v>9</v>
      </c>
      <c r="BL345" s="171">
        <f ca="1">IF(OR($D345&lt;&gt;"Serviço",AND(AUTOEVENTO="Manual",$M345=$A$15)),0,
         IF(OFFSET(CRONOPLE!$F$15,$M345-$A$15,BL$13)=0,10^12,OFFSET(CRONOPLE!$F$15,$M345-$A$15,BL$13)))</f>
        <v>1000000000000</v>
      </c>
      <c r="BM345" s="171">
        <f ca="1">IF(OR($D345&lt;&gt;"Serviço",AND(AUTOEVENTO="Manual",$M345=$A$15)),0,
         IF(OFFSET(CRONOPLE!$F$15,$M345-$A$15,BM$13)=0,10^12,OFFSET(CRONOPLE!$F$15,$M345-$A$15,BM$13)))</f>
        <v>1000000000000</v>
      </c>
      <c r="BN345" s="171">
        <f ca="1">IF(OR($D345&lt;&gt;"Serviço",AND(AUTOEVENTO="Manual",$M345=$A$15)),0,
         IF(OFFSET(CRONOPLE!$F$15,$M345-$A$15,BN$13)=0,10^12,OFFSET(CRONOPLE!$F$15,$M345-$A$15,BN$13)))</f>
        <v>1000000000000</v>
      </c>
      <c r="BO345" s="171">
        <f ca="1">IF(OR($D345&lt;&gt;"Serviço",AND(AUTOEVENTO="Manual",$M345=$A$15)),0,
         IF(OFFSET(CRONOPLE!$F$15,$M345-$A$15,BO$13)=0,10^12,OFFSET(CRONOPLE!$F$15,$M345-$A$15,BO$13)))</f>
        <v>1000000000000</v>
      </c>
      <c r="BP345" s="171">
        <f ca="1">IF(OR($D345&lt;&gt;"Serviço",AND(AUTOEVENTO="Manual",$M345=$A$15)),0,
         IF(OFFSET(CRONOPLE!$F$15,$M345-$A$15,BP$13)=0,10^12,OFFSET(CRONOPLE!$F$15,$M345-$A$15,BP$13)))</f>
        <v>1000000000000</v>
      </c>
      <c r="BQ345" s="171">
        <f ca="1">IF(OR($D345&lt;&gt;"Serviço",AND(AUTOEVENTO="Manual",$M345=$A$15)),0,
         IF(OFFSET(CRONOPLE!$F$15,$M345-$A$15,BQ$13)=0,10^12,OFFSET(CRONOPLE!$F$15,$M345-$A$15,BQ$13)))</f>
        <v>1000000000000</v>
      </c>
      <c r="BR345" s="171">
        <f ca="1">IF(OR($D345&lt;&gt;"Serviço",AND(AUTOEVENTO="Manual",$M345=$A$15)),0,
         IF(OFFSET(CRONOPLE!$F$15,$M345-$A$15,BR$13)=0,10^12,OFFSET(CRONOPLE!$F$15,$M345-$A$15,BR$13)))</f>
        <v>1000000000000</v>
      </c>
      <c r="BS345" s="171">
        <f ca="1">IF(OR($D345&lt;&gt;"Serviço",AND(AUTOEVENTO="Manual",$M345=$A$15)),0,
         IF(OFFSET(CRONOPLE!$F$15,$M345-$A$15,BS$13)=0,10^12,OFFSET(CRONOPLE!$F$15,$M345-$A$15,BS$13)))</f>
        <v>1000000000000</v>
      </c>
      <c r="BT345" s="171">
        <f ca="1">IF(OR($D345&lt;&gt;"Serviço",AND(AUTOEVENTO="Manual",$M345=$A$15)),0,
         IF(OFFSET(CRONOPLE!$F$15,$M345-$A$15,BT$13)=0,10^12,OFFSET(CRONOPLE!$F$15,$M345-$A$15,BT$13)))</f>
        <v>1000000000000</v>
      </c>
      <c r="BV345" s="172">
        <f ca="1">IF(OR($D345&lt;&gt;"Serviço",AND(AUTOEVENTO="Manual",$M345=$A$15),$M345&gt;(ROW(PLE.lastrow)-ROW(PLE.firstrow))),0,
           IF(OFFSET(PLE!$G$15,$M345-$A$15,BV$13)="",10^12,OFFSET(PLE!$G$15,$M345-$A$15,BV$13)))</f>
        <v>1000000000000</v>
      </c>
      <c r="BW345" s="172">
        <f ca="1">IF(OR($D345&lt;&gt;"Serviço",AND(AUTOEVENTO="Manual",$M345=$A$15),$M345&gt;(ROW(PLE.lastrow)-ROW(PLE.firstrow))),0,
           IF(OFFSET(PLE!$G$15,$M345-$A$15,BW$13)="",10^12,OFFSET(PLE!$G$15,$M345-$A$15,BW$13)))</f>
        <v>1000000000000</v>
      </c>
      <c r="BX345" s="172">
        <f ca="1">IF(OR($D345&lt;&gt;"Serviço",AND(AUTOEVENTO="Manual",$M345=$A$15),$M345&gt;(ROW(PLE.lastrow)-ROW(PLE.firstrow))),0,
           IF(OFFSET(PLE!$G$15,$M345-$A$15,BX$13)="",10^12,OFFSET(PLE!$G$15,$M345-$A$15,BX$13)))</f>
        <v>1000000000000</v>
      </c>
      <c r="BY345" s="172">
        <f ca="1">IF(OR($D345&lt;&gt;"Serviço",AND(AUTOEVENTO="Manual",$M345=$A$15),$M345&gt;(ROW(PLE.lastrow)-ROW(PLE.firstrow))),0,
           IF(OFFSET(PLE!$G$15,$M345-$A$15,BY$13)="",10^12,OFFSET(PLE!$G$15,$M345-$A$15,BY$13)))</f>
        <v>1000000000000</v>
      </c>
      <c r="BZ345" s="172">
        <f ca="1">IF(OR($D345&lt;&gt;"Serviço",AND(AUTOEVENTO="Manual",$M345=$A$15),$M345&gt;(ROW(PLE.lastrow)-ROW(PLE.firstrow))),0,
           IF(OFFSET(PLE!$G$15,$M345-$A$15,BZ$13)="",10^12,OFFSET(PLE!$G$15,$M345-$A$15,BZ$13)))</f>
        <v>1000000000000</v>
      </c>
      <c r="CA345" s="172">
        <f ca="1">IF(OR($D345&lt;&gt;"Serviço",AND(AUTOEVENTO="Manual",$M345=$A$15),$M345&gt;(ROW(PLE.lastrow)-ROW(PLE.firstrow))),0,
           IF(OFFSET(PLE!$G$15,$M345-$A$15,CA$13)="",10^12,OFFSET(PLE!$G$15,$M345-$A$15,CA$13)))</f>
        <v>1000000000000</v>
      </c>
      <c r="CB345" s="172">
        <f ca="1">IF(OR($D345&lt;&gt;"Serviço",AND(AUTOEVENTO="Manual",$M345=$A$15),$M345&gt;(ROW(PLE.lastrow)-ROW(PLE.firstrow))),0,
           IF(OFFSET(PLE!$G$15,$M345-$A$15,CB$13)="",10^12,OFFSET(PLE!$G$15,$M345-$A$15,CB$13)))</f>
        <v>1000000000000</v>
      </c>
      <c r="CC345" s="172">
        <f ca="1">IF(OR($D345&lt;&gt;"Serviço",AND(AUTOEVENTO="Manual",$M345=$A$15),$M345&gt;(ROW(PLE.lastrow)-ROW(PLE.firstrow))),0,
           IF(OFFSET(PLE!$G$15,$M345-$A$15,CC$13)="",10^12,OFFSET(PLE!$G$15,$M345-$A$15,CC$13)))</f>
        <v>1000000000000</v>
      </c>
      <c r="CD345" s="172">
        <f ca="1">IF(OR($D345&lt;&gt;"Serviço",AND(AUTOEVENTO="Manual",$M345=$A$15),$M345&gt;(ROW(PLE.lastrow)-ROW(PLE.firstrow))),0,
           IF(OFFSET(PLE!$G$15,$M345-$A$15,CD$13)="",10^12,OFFSET(PLE!$G$15,$M345-$A$15,CD$13)))</f>
        <v>1000000000000</v>
      </c>
      <c r="CE345" s="172">
        <f ca="1">IF(OR($D345&lt;&gt;"Serviço",AND(AUTOEVENTO="Manual",$M345=$A$15),$M345&gt;(ROW(PLE.lastrow)-ROW(PLE.firstrow))),0,
           IF(OFFSET(PLE!$G$15,$M345-$A$15,CE$13)="",10^12,OFFSET(PLE!$G$15,$M345-$A$15,CE$13)))</f>
        <v>1000000000000</v>
      </c>
      <c r="CF345" s="172">
        <f ca="1">IF(OR($D345&lt;&gt;"Serviço",AND(AUTOEVENTO="Manual",$M345=$A$15),$M345&gt;(ROW(PLE.lastrow)-ROW(PLE.firstrow))),0,
           IF(OFFSET(PLE!$G$15,$M345-$A$15,CF$13)="",10^12,OFFSET(PLE!$G$15,$M345-$A$15,CF$13)))</f>
        <v>1000000000000</v>
      </c>
      <c r="CG345" s="172">
        <f ca="1">IF(OR($D345&lt;&gt;"Serviço",AND(AUTOEVENTO="Manual",$M345=$A$15),$M345&gt;(ROW(PLE.lastrow)-ROW(PLE.firstrow))),0,
           IF(OFFSET(PLE!$G$15,$M345-$A$15,CG$13)="",10^12,OFFSET(PLE!$G$15,$M345-$A$15,CG$13)))</f>
        <v>1000000000000</v>
      </c>
      <c r="CH345" s="172">
        <f ca="1">IF(OR($D345&lt;&gt;"Serviço",AND(AUTOEVENTO="Manual",$M345=$A$15),$M345&gt;(ROW(PLE.lastrow)-ROW(PLE.firstrow))),0,
           IF(OFFSET(PLE!$G$15,$M345-$A$15,CH$13)="",10^12,OFFSET(PLE!$G$15,$M345-$A$15,CH$13)))</f>
        <v>1000000000000</v>
      </c>
      <c r="CI345" s="172">
        <f ca="1">IF(OR($D345&lt;&gt;"Serviço",AND(AUTOEVENTO="Manual",$M345=$A$15),$M345&gt;(ROW(PLE.lastrow)-ROW(PLE.firstrow))),0,
           IF(OFFSET(PLE!$G$15,$M345-$A$15,CI$13)="",10^12,OFFSET(PLE!$G$15,$M345-$A$15,CI$13)))</f>
        <v>1000000000000</v>
      </c>
      <c r="CJ345" s="172">
        <f ca="1">IF(OR($D345&lt;&gt;"Serviço",AND(AUTOEVENTO="Manual",$M345=$A$15),$M345&gt;(ROW(PLE.lastrow)-ROW(PLE.firstrow))),0,
           IF(OFFSET(PLE!$G$15,$M345-$A$15,CJ$13)="",10^12,OFFSET(PLE!$G$15,$M345-$A$15,CJ$13)))</f>
        <v>1000000000000</v>
      </c>
      <c r="CK345" s="172">
        <f ca="1">IF(OR($D345&lt;&gt;"Serviço",AND(AUTOEVENTO="Manual",$M345=$A$15),$M345&gt;(ROW(PLE.lastrow)-ROW(PLE.firstrow))),0,
           IF(OFFSET(PLE!$G$15,$M345-$A$15,CK$13)="",10^12,OFFSET(PLE!$G$15,$M345-$A$15,CK$13)))</f>
        <v>1000000000000</v>
      </c>
      <c r="CL345" s="172">
        <f ca="1">IF(OR($D345&lt;&gt;"Serviço",AND(AUTOEVENTO="Manual",$M345=$A$15),$M345&gt;(ROW(PLE.lastrow)-ROW(PLE.firstrow))),0,
           IF(OFFSET(PLE!$G$15,$M345-$A$15,CL$13)="",10^12,OFFSET(PLE!$G$15,$M345-$A$15,CL$13)))</f>
        <v>1000000000000</v>
      </c>
      <c r="CM345" s="172">
        <f ca="1">IF(OR($D345&lt;&gt;"Serviço",AND(AUTOEVENTO="Manual",$M345=$A$15),$M345&gt;(ROW(PLE.lastrow)-ROW(PLE.firstrow))),0,
           IF(OFFSET(PLE!$G$15,$M345-$A$15,CM$13)="",10^12,OFFSET(PLE!$G$15,$M345-$A$15,CM$13)))</f>
        <v>1000000000000</v>
      </c>
    </row>
    <row r="346" spans="1:91" ht="63.75" x14ac:dyDescent="0.2">
      <c r="A346" s="7">
        <f t="shared" ca="1" si="15"/>
        <v>6</v>
      </c>
      <c r="B346" s="7" t="str">
        <f ca="1">OFFSET(ORÇAMENTO!C$15,ROW(B346)-ROW(B$15),0)</f>
        <v>S</v>
      </c>
      <c r="C346" s="7" t="str">
        <f ca="1">OFFSET(ORÇAMENTO!L$15,ROW(C346)-ROW(C$15),0)</f>
        <v>F</v>
      </c>
      <c r="D346" s="116" t="str">
        <f ca="1">OFFSET(ORÇAMENTO!N$15,ROW(D346)-ROW(D$15),0)</f>
        <v>Serviço</v>
      </c>
      <c r="E346" s="117" t="str">
        <f ca="1">OFFSET(ORÇAMENTO!O$15,ROW(E346)-ROW(E$15),0)</f>
        <v>1.7.6.1.5.</v>
      </c>
      <c r="F346" s="163" t="str">
        <f ca="1">OFFSET(ORÇAMENTO!R$15,ROW(F346)-ROW(F$15),0)</f>
        <v>LUVA COM BOLSAS FoFo - DN 150 MM</v>
      </c>
      <c r="G346" s="164" t="str">
        <f ca="1">IF($D346&lt;&gt;"Serviço","",OFFSET(ORÇAMENTO!S$15,ROW(G346)-ROW(G$15),0))</f>
        <v>UN</v>
      </c>
      <c r="H346" s="122" cm="1">
        <f t="array" aca="1" ref="H346" ca="1">IF($D346&lt;&gt;"Serviço",0,IF(ACOMPANHAMENTO="BM",ROUND(OFFSET(ORÇAMENTO!AJ$15,ROW(H346)-ROW(H$15),0),15-13*ORÇAMENTO!$AF$7),SUMPRODUCT(($Q$1:$AI$1=1)*ROUND($Q346:$AI346,15-13*ORÇAMENTO!$AF$7))))</f>
        <v>4</v>
      </c>
      <c r="I346" s="468" t="s">
        <v>1360</v>
      </c>
      <c r="J346" s="640" t="str" cm="1">
        <f t="array" aca="1" ref="J346" ca="1">IF(OR(B346&lt;&gt;"S",CÁLCULO.FrentesPreenchidas=0),"",IF(AND(ACOMPANHAMENTO="PLE",AUTOEVENTO="Manual",OR(H346&gt;0,ORÇAMENTO!AC346="QUANT."),OR(K346="",M346=0,N346="")),"►E",IF(AND(ACOMPANHAMENTO="PLE",ORÇAMENTO!AC346="QUANT."),"►Q",IF(AND(ACOMPANHAMENTO="PLE",H346&lt;&gt;SUMPRODUCT(($Q$1:$AI$1=1)*ROUND(Q346:AI346,15))),"►S",IF(AND(COUNTIF($P$11:$AI$11,"▼")=0,H346&gt;0,I346=""),"◄M","")))))</f>
        <v/>
      </c>
      <c r="K346" s="641" t="s">
        <v>1385</v>
      </c>
      <c r="L346" s="165" t="s">
        <v>764</v>
      </c>
      <c r="M346" s="166">
        <f ca="1">IF($D346&lt;&gt;"Serviço","",
          IF(AUTOEVENTO="manual",$A346,
                IF(ISERROR(MATCH($A346,$A$15:OFFSET($A346,-1,0),0)),MAX($M$15:OFFSET(M346,-1,0))+1,
                      INDEX($M$15:OFFSET(M346,-1,0),MATCH($A346,$A$15:OFFSET($A346,-1,0),0)))))</f>
        <v>6</v>
      </c>
      <c r="N346" s="167" t="str">
        <f ca="1">IF($D346&lt;&gt;"Serviço","",
         IF(AUTOEVENTO="Manual",
                IF($A346=0,"&lt;-- defina o número do agrupador",
                       OFFSET(EVENTOS!$D$15,$A346-$A$15,0)),
                OFFSET($F$15,$A346,0)))</f>
        <v>Saneamento</v>
      </c>
      <c r="O346" s="168"/>
      <c r="Q346" s="168"/>
      <c r="R346" s="169"/>
      <c r="S346" s="169"/>
      <c r="T346" s="169"/>
      <c r="U346" s="169"/>
      <c r="V346" s="169">
        <f>4</f>
        <v>4</v>
      </c>
      <c r="W346" s="169"/>
      <c r="X346" s="169"/>
      <c r="Y346" s="169"/>
      <c r="Z346" s="170"/>
      <c r="AA346" s="169"/>
      <c r="AB346" s="169"/>
      <c r="AC346" s="169"/>
      <c r="AD346" s="169"/>
      <c r="AE346" s="169"/>
      <c r="AF346" s="169"/>
      <c r="AG346" s="169"/>
      <c r="AH346" s="170"/>
      <c r="AJ346" s="453">
        <f ca="1">IF(AND($D346="Serviço",AJ$12&lt;&gt;0,$H346&gt;0,OR(AUTOEVENTO&lt;&gt;"manual",$M346&lt;&gt;$A$15)),
        IF(Import.TipoArredondamento&lt;&gt;"TransfereGOV",
              ROUND(OFFSET($P346,0,AJ$13),15-13*ORÇAMENTO!$AF$7)/$H346*OFFSET(ORÇAMENTO!$X$15,ROW(AJ346)-ROW(AJ$15),0),
              ROUND(ROUND(OFFSET($P346,0,AJ$13),15-13*ORÇAMENTO!$AF$7)*OFFSET(ORÇAMENTO!$W$15,ROW(AJ346)-ROW(AJ$15),0),15-13*ORÇAMENTO!$AF$11)),
         0)</f>
        <v>0</v>
      </c>
      <c r="AK346" s="453">
        <f ca="1">IF(AND($D346="Serviço",AK$12&lt;&gt;0,$H346&gt;0,OR(AUTOEVENTO&lt;&gt;"manual",$M346&lt;&gt;$A$15)),
        IF(Import.TipoArredondamento&lt;&gt;"TransfereGOV",
              ROUND(OFFSET($P346,0,AK$13),15-13*ORÇAMENTO!$AF$7)/$H346*OFFSET(ORÇAMENTO!$X$15,ROW(AK346)-ROW(AK$15),0),
              ROUND(ROUND(OFFSET($P346,0,AK$13),15-13*ORÇAMENTO!$AF$7)*OFFSET(ORÇAMENTO!$W$15,ROW(AK346)-ROW(AK$15),0),15-13*ORÇAMENTO!$AF$11)),
         0)</f>
        <v>0</v>
      </c>
      <c r="AL346" s="453">
        <f ca="1">IF(AND($D346="Serviço",AL$12&lt;&gt;0,$H346&gt;0,OR(AUTOEVENTO&lt;&gt;"manual",$M346&lt;&gt;$A$15)),
        IF(Import.TipoArredondamento&lt;&gt;"TransfereGOV",
              ROUND(OFFSET($P346,0,AL$13),15-13*ORÇAMENTO!$AF$7)/$H346*OFFSET(ORÇAMENTO!$X$15,ROW(AL346)-ROW(AL$15),0),
              ROUND(ROUND(OFFSET($P346,0,AL$13),15-13*ORÇAMENTO!$AF$7)*OFFSET(ORÇAMENTO!$W$15,ROW(AL346)-ROW(AL$15),0),15-13*ORÇAMENTO!$AF$11)),
         0)</f>
        <v>0</v>
      </c>
      <c r="AM346" s="453">
        <f ca="1">IF(AND($D346="Serviço",AM$12&lt;&gt;0,$H346&gt;0,OR(AUTOEVENTO&lt;&gt;"manual",$M346&lt;&gt;$A$15)),
        IF(Import.TipoArredondamento&lt;&gt;"TransfereGOV",
              ROUND(OFFSET($P346,0,AM$13),15-13*ORÇAMENTO!$AF$7)/$H346*OFFSET(ORÇAMENTO!$X$15,ROW(AM346)-ROW(AM$15),0),
              ROUND(ROUND(OFFSET($P346,0,AM$13),15-13*ORÇAMENTO!$AF$7)*OFFSET(ORÇAMENTO!$W$15,ROW(AM346)-ROW(AM$15),0),15-13*ORÇAMENTO!$AF$11)),
         0)</f>
        <v>0</v>
      </c>
      <c r="AN346" s="453">
        <f ca="1">IF(AND($D346="Serviço",AN$12&lt;&gt;0,$H346&gt;0,OR(AUTOEVENTO&lt;&gt;"manual",$M346&lt;&gt;$A$15)),
        IF(Import.TipoArredondamento&lt;&gt;"TransfereGOV",
              ROUND(OFFSET($P346,0,AN$13),15-13*ORÇAMENTO!$AF$7)/$H346*OFFSET(ORÇAMENTO!$X$15,ROW(AN346)-ROW(AN$15),0),
              ROUND(ROUND(OFFSET($P346,0,AN$13),15-13*ORÇAMENTO!$AF$7)*OFFSET(ORÇAMENTO!$W$15,ROW(AN346)-ROW(AN$15),0),15-13*ORÇAMENTO!$AF$11)),
         0)</f>
        <v>0</v>
      </c>
      <c r="AO346" s="453">
        <f ca="1">IF(AND($D346="Serviço",AO$12&lt;&gt;0,$H346&gt;0,OR(AUTOEVENTO&lt;&gt;"manual",$M346&lt;&gt;$A$15)),
        IF(Import.TipoArredondamento&lt;&gt;"TransfereGOV",
              ROUND(OFFSET($P346,0,AO$13),15-13*ORÇAMENTO!$AF$7)/$H346*OFFSET(ORÇAMENTO!$X$15,ROW(AO346)-ROW(AO$15),0),
              ROUND(ROUND(OFFSET($P346,0,AO$13),15-13*ORÇAMENTO!$AF$7)*OFFSET(ORÇAMENTO!$W$15,ROW(AO346)-ROW(AO$15),0),15-13*ORÇAMENTO!$AF$11)),
         0)</f>
        <v>0</v>
      </c>
      <c r="AP346" s="453">
        <f ca="1">IF(AND($D346="Serviço",AP$12&lt;&gt;0,$H346&gt;0,OR(AUTOEVENTO&lt;&gt;"manual",$M346&lt;&gt;$A$15)),
        IF(Import.TipoArredondamento&lt;&gt;"TransfereGOV",
              ROUND(OFFSET($P346,0,AP$13),15-13*ORÇAMENTO!$AF$7)/$H346*OFFSET(ORÇAMENTO!$X$15,ROW(AP346)-ROW(AP$15),0),
              ROUND(ROUND(OFFSET($P346,0,AP$13),15-13*ORÇAMENTO!$AF$7)*OFFSET(ORÇAMENTO!$W$15,ROW(AP346)-ROW(AP$15),0),15-13*ORÇAMENTO!$AF$11)),
         0)</f>
        <v>0</v>
      </c>
      <c r="AQ346" s="453">
        <f ca="1">IF(AND($D346="Serviço",AQ$12&lt;&gt;0,$H346&gt;0,OR(AUTOEVENTO&lt;&gt;"manual",$M346&lt;&gt;$A$15)),
        IF(Import.TipoArredondamento&lt;&gt;"TransfereGOV",
              ROUND(OFFSET($P346,0,AQ$13),15-13*ORÇAMENTO!$AF$7)/$H346*OFFSET(ORÇAMENTO!$X$15,ROW(AQ346)-ROW(AQ$15),0),
              ROUND(ROUND(OFFSET($P346,0,AQ$13),15-13*ORÇAMENTO!$AF$7)*OFFSET(ORÇAMENTO!$W$15,ROW(AQ346)-ROW(AQ$15),0),15-13*ORÇAMENTO!$AF$11)),
         0)</f>
        <v>0</v>
      </c>
      <c r="AR346" s="453">
        <f ca="1">IF(AND($D346="Serviço",AR$12&lt;&gt;0,$H346&gt;0,OR(AUTOEVENTO&lt;&gt;"manual",$M346&lt;&gt;$A$15)),
        IF(Import.TipoArredondamento&lt;&gt;"TransfereGOV",
              ROUND(OFFSET($P346,0,AR$13),15-13*ORÇAMENTO!$AF$7)/$H346*OFFSET(ORÇAMENTO!$X$15,ROW(AR346)-ROW(AR$15),0),
              ROUND(ROUND(OFFSET($P346,0,AR$13),15-13*ORÇAMENTO!$AF$7)*OFFSET(ORÇAMENTO!$W$15,ROW(AR346)-ROW(AR$15),0),15-13*ORÇAMENTO!$AF$11)),
         0)</f>
        <v>0</v>
      </c>
      <c r="AS346" s="453">
        <f ca="1">IF(AND($D346="Serviço",AS$12&lt;&gt;0,$H346&gt;0,OR(AUTOEVENTO&lt;&gt;"manual",$M346&lt;&gt;$A$15)),
        IF(Import.TipoArredondamento&lt;&gt;"TransfereGOV",
              ROUND(OFFSET($P346,0,AS$13),15-13*ORÇAMENTO!$AF$7)/$H346*OFFSET(ORÇAMENTO!$X$15,ROW(AS346)-ROW(AS$15),0),
              ROUND(ROUND(OFFSET($P346,0,AS$13),15-13*ORÇAMENTO!$AF$7)*OFFSET(ORÇAMENTO!$W$15,ROW(AS346)-ROW(AS$15),0),15-13*ORÇAMENTO!$AF$11)),
         0)</f>
        <v>0</v>
      </c>
      <c r="AT346" s="453">
        <f ca="1">IF(AND($D346="Serviço",AT$12&lt;&gt;0,$H346&gt;0,OR(AUTOEVENTO&lt;&gt;"manual",$M346&lt;&gt;$A$15)),
        IF(Import.TipoArredondamento&lt;&gt;"TransfereGOV",
              ROUND(OFFSET($P346,0,AT$13),15-13*ORÇAMENTO!$AF$7)/$H346*OFFSET(ORÇAMENTO!$X$15,ROW(AT346)-ROW(AT$15),0),
              ROUND(ROUND(OFFSET($P346,0,AT$13),15-13*ORÇAMENTO!$AF$7)*OFFSET(ORÇAMENTO!$W$15,ROW(AT346)-ROW(AT$15),0),15-13*ORÇAMENTO!$AF$11)),
         0)</f>
        <v>0</v>
      </c>
      <c r="AU346" s="453">
        <f ca="1">IF(AND($D346="Serviço",AU$12&lt;&gt;0,$H346&gt;0,OR(AUTOEVENTO&lt;&gt;"manual",$M346&lt;&gt;$A$15)),
        IF(Import.TipoArredondamento&lt;&gt;"TransfereGOV",
              ROUND(OFFSET($P346,0,AU$13),15-13*ORÇAMENTO!$AF$7)/$H346*OFFSET(ORÇAMENTO!$X$15,ROW(AU346)-ROW(AU$15),0),
              ROUND(ROUND(OFFSET($P346,0,AU$13),15-13*ORÇAMENTO!$AF$7)*OFFSET(ORÇAMENTO!$W$15,ROW(AU346)-ROW(AU$15),0),15-13*ORÇAMENTO!$AF$11)),
         0)</f>
        <v>0</v>
      </c>
      <c r="AV346" s="453">
        <f ca="1">IF(AND($D346="Serviço",AV$12&lt;&gt;0,$H346&gt;0,OR(AUTOEVENTO&lt;&gt;"manual",$M346&lt;&gt;$A$15)),
        IF(Import.TipoArredondamento&lt;&gt;"TransfereGOV",
              ROUND(OFFSET($P346,0,AV$13),15-13*ORÇAMENTO!$AF$7)/$H346*OFFSET(ORÇAMENTO!$X$15,ROW(AV346)-ROW(AV$15),0),
              ROUND(ROUND(OFFSET($P346,0,AV$13),15-13*ORÇAMENTO!$AF$7)*OFFSET(ORÇAMENTO!$W$15,ROW(AV346)-ROW(AV$15),0),15-13*ORÇAMENTO!$AF$11)),
         0)</f>
        <v>0</v>
      </c>
      <c r="AW346" s="453">
        <f ca="1">IF(AND($D346="Serviço",AW$12&lt;&gt;0,$H346&gt;0,OR(AUTOEVENTO&lt;&gt;"manual",$M346&lt;&gt;$A$15)),
        IF(Import.TipoArredondamento&lt;&gt;"TransfereGOV",
              ROUND(OFFSET($P346,0,AW$13),15-13*ORÇAMENTO!$AF$7)/$H346*OFFSET(ORÇAMENTO!$X$15,ROW(AW346)-ROW(AW$15),0),
              ROUND(ROUND(OFFSET($P346,0,AW$13),15-13*ORÇAMENTO!$AF$7)*OFFSET(ORÇAMENTO!$W$15,ROW(AW346)-ROW(AW$15),0),15-13*ORÇAMENTO!$AF$11)),
         0)</f>
        <v>0</v>
      </c>
      <c r="AX346" s="453">
        <f ca="1">IF(AND($D346="Serviço",AX$12&lt;&gt;0,$H346&gt;0,OR(AUTOEVENTO&lt;&gt;"manual",$M346&lt;&gt;$A$15)),
        IF(Import.TipoArredondamento&lt;&gt;"TransfereGOV",
              ROUND(OFFSET($P346,0,AX$13),15-13*ORÇAMENTO!$AF$7)/$H346*OFFSET(ORÇAMENTO!$X$15,ROW(AX346)-ROW(AX$15),0),
              ROUND(ROUND(OFFSET($P346,0,AX$13),15-13*ORÇAMENTO!$AF$7)*OFFSET(ORÇAMENTO!$W$15,ROW(AX346)-ROW(AX$15),0),15-13*ORÇAMENTO!$AF$11)),
         0)</f>
        <v>0</v>
      </c>
      <c r="AY346" s="453">
        <f ca="1">IF(AND($D346="Serviço",AY$12&lt;&gt;0,$H346&gt;0,OR(AUTOEVENTO&lt;&gt;"manual",$M346&lt;&gt;$A$15)),
        IF(Import.TipoArredondamento&lt;&gt;"TransfereGOV",
              ROUND(OFFSET($P346,0,AY$13),15-13*ORÇAMENTO!$AF$7)/$H346*OFFSET(ORÇAMENTO!$X$15,ROW(AY346)-ROW(AY$15),0),
              ROUND(ROUND(OFFSET($P346,0,AY$13),15-13*ORÇAMENTO!$AF$7)*OFFSET(ORÇAMENTO!$W$15,ROW(AY346)-ROW(AY$15),0),15-13*ORÇAMENTO!$AF$11)),
         0)</f>
        <v>0</v>
      </c>
      <c r="AZ346" s="453">
        <f ca="1">IF(AND($D346="Serviço",AZ$12&lt;&gt;0,$H346&gt;0,OR(AUTOEVENTO&lt;&gt;"manual",$M346&lt;&gt;$A$15)),
        IF(Import.TipoArredondamento&lt;&gt;"TransfereGOV",
              ROUND(OFFSET($P346,0,AZ$13),15-13*ORÇAMENTO!$AF$7)/$H346*OFFSET(ORÇAMENTO!$X$15,ROW(AZ346)-ROW(AZ$15),0),
              ROUND(ROUND(OFFSET($P346,0,AZ$13),15-13*ORÇAMENTO!$AF$7)*OFFSET(ORÇAMENTO!$W$15,ROW(AZ346)-ROW(AZ$15),0),15-13*ORÇAMENTO!$AF$11)),
         0)</f>
        <v>0</v>
      </c>
      <c r="BA346" s="453">
        <f ca="1">IF(AND($D346="Serviço",BA$12&lt;&gt;0,$H346&gt;0,OR(AUTOEVENTO&lt;&gt;"manual",$M346&lt;&gt;$A$15)),
        IF(Import.TipoArredondamento&lt;&gt;"TransfereGOV",
              ROUND(OFFSET($P346,0,BA$13),15-13*ORÇAMENTO!$AF$7)/$H346*OFFSET(ORÇAMENTO!$X$15,ROW(BA346)-ROW(BA$15),0),
              ROUND(ROUND(OFFSET($P346,0,BA$13),15-13*ORÇAMENTO!$AF$7)*OFFSET(ORÇAMENTO!$W$15,ROW(BA346)-ROW(BA$15),0),15-13*ORÇAMENTO!$AF$11)),
         0)</f>
        <v>0</v>
      </c>
      <c r="BC346" s="171">
        <f ca="1">IF(OR($D346&lt;&gt;"Serviço",AND(AUTOEVENTO="Manual",$M346=$A$15)),0,
         IF(OFFSET(CRONOPLE!$F$15,$M346-$A$15,BC$13)=0,10^12,OFFSET(CRONOPLE!$F$15,$M346-$A$15,BC$13)))</f>
        <v>1</v>
      </c>
      <c r="BD346" s="171">
        <f ca="1">IF(OR($D346&lt;&gt;"Serviço",AND(AUTOEVENTO="Manual",$M346=$A$15)),0,
         IF(OFFSET(CRONOPLE!$F$15,$M346-$A$15,BD$13)=0,10^12,OFFSET(CRONOPLE!$F$15,$M346-$A$15,BD$13)))</f>
        <v>2</v>
      </c>
      <c r="BE346" s="171">
        <f ca="1">IF(OR($D346&lt;&gt;"Serviço",AND(AUTOEVENTO="Manual",$M346=$A$15)),0,
         IF(OFFSET(CRONOPLE!$F$15,$M346-$A$15,BE$13)=0,10^12,OFFSET(CRONOPLE!$F$15,$M346-$A$15,BE$13)))</f>
        <v>3</v>
      </c>
      <c r="BF346" s="171">
        <f ca="1">IF(OR($D346&lt;&gt;"Serviço",AND(AUTOEVENTO="Manual",$M346=$A$15)),0,
         IF(OFFSET(CRONOPLE!$F$15,$M346-$A$15,BF$13)=0,10^12,OFFSET(CRONOPLE!$F$15,$M346-$A$15,BF$13)))</f>
        <v>4</v>
      </c>
      <c r="BG346" s="171">
        <f ca="1">IF(OR($D346&lt;&gt;"Serviço",AND(AUTOEVENTO="Manual",$M346=$A$15)),0,
         IF(OFFSET(CRONOPLE!$F$15,$M346-$A$15,BG$13)=0,10^12,OFFSET(CRONOPLE!$F$15,$M346-$A$15,BG$13)))</f>
        <v>5</v>
      </c>
      <c r="BH346" s="171">
        <f ca="1">IF(OR($D346&lt;&gt;"Serviço",AND(AUTOEVENTO="Manual",$M346=$A$15)),0,
         IF(OFFSET(CRONOPLE!$F$15,$M346-$A$15,BH$13)=0,10^12,OFFSET(CRONOPLE!$F$15,$M346-$A$15,BH$13)))</f>
        <v>6</v>
      </c>
      <c r="BI346" s="171">
        <f ca="1">IF(OR($D346&lt;&gt;"Serviço",AND(AUTOEVENTO="Manual",$M346=$A$15)),0,
         IF(OFFSET(CRONOPLE!$F$15,$M346-$A$15,BI$13)=0,10^12,OFFSET(CRONOPLE!$F$15,$M346-$A$15,BI$13)))</f>
        <v>7</v>
      </c>
      <c r="BJ346" s="171">
        <f ca="1">IF(OR($D346&lt;&gt;"Serviço",AND(AUTOEVENTO="Manual",$M346=$A$15)),0,
         IF(OFFSET(CRONOPLE!$F$15,$M346-$A$15,BJ$13)=0,10^12,OFFSET(CRONOPLE!$F$15,$M346-$A$15,BJ$13)))</f>
        <v>8</v>
      </c>
      <c r="BK346" s="171">
        <f ca="1">IF(OR($D346&lt;&gt;"Serviço",AND(AUTOEVENTO="Manual",$M346=$A$15)),0,
         IF(OFFSET(CRONOPLE!$F$15,$M346-$A$15,BK$13)=0,10^12,OFFSET(CRONOPLE!$F$15,$M346-$A$15,BK$13)))</f>
        <v>9</v>
      </c>
      <c r="BL346" s="171">
        <f ca="1">IF(OR($D346&lt;&gt;"Serviço",AND(AUTOEVENTO="Manual",$M346=$A$15)),0,
         IF(OFFSET(CRONOPLE!$F$15,$M346-$A$15,BL$13)=0,10^12,OFFSET(CRONOPLE!$F$15,$M346-$A$15,BL$13)))</f>
        <v>1000000000000</v>
      </c>
      <c r="BM346" s="171">
        <f ca="1">IF(OR($D346&lt;&gt;"Serviço",AND(AUTOEVENTO="Manual",$M346=$A$15)),0,
         IF(OFFSET(CRONOPLE!$F$15,$M346-$A$15,BM$13)=0,10^12,OFFSET(CRONOPLE!$F$15,$M346-$A$15,BM$13)))</f>
        <v>1000000000000</v>
      </c>
      <c r="BN346" s="171">
        <f ca="1">IF(OR($D346&lt;&gt;"Serviço",AND(AUTOEVENTO="Manual",$M346=$A$15)),0,
         IF(OFFSET(CRONOPLE!$F$15,$M346-$A$15,BN$13)=0,10^12,OFFSET(CRONOPLE!$F$15,$M346-$A$15,BN$13)))</f>
        <v>1000000000000</v>
      </c>
      <c r="BO346" s="171">
        <f ca="1">IF(OR($D346&lt;&gt;"Serviço",AND(AUTOEVENTO="Manual",$M346=$A$15)),0,
         IF(OFFSET(CRONOPLE!$F$15,$M346-$A$15,BO$13)=0,10^12,OFFSET(CRONOPLE!$F$15,$M346-$A$15,BO$13)))</f>
        <v>1000000000000</v>
      </c>
      <c r="BP346" s="171">
        <f ca="1">IF(OR($D346&lt;&gt;"Serviço",AND(AUTOEVENTO="Manual",$M346=$A$15)),0,
         IF(OFFSET(CRONOPLE!$F$15,$M346-$A$15,BP$13)=0,10^12,OFFSET(CRONOPLE!$F$15,$M346-$A$15,BP$13)))</f>
        <v>1000000000000</v>
      </c>
      <c r="BQ346" s="171">
        <f ca="1">IF(OR($D346&lt;&gt;"Serviço",AND(AUTOEVENTO="Manual",$M346=$A$15)),0,
         IF(OFFSET(CRONOPLE!$F$15,$M346-$A$15,BQ$13)=0,10^12,OFFSET(CRONOPLE!$F$15,$M346-$A$15,BQ$13)))</f>
        <v>1000000000000</v>
      </c>
      <c r="BR346" s="171">
        <f ca="1">IF(OR($D346&lt;&gt;"Serviço",AND(AUTOEVENTO="Manual",$M346=$A$15)),0,
         IF(OFFSET(CRONOPLE!$F$15,$M346-$A$15,BR$13)=0,10^12,OFFSET(CRONOPLE!$F$15,$M346-$A$15,BR$13)))</f>
        <v>1000000000000</v>
      </c>
      <c r="BS346" s="171">
        <f ca="1">IF(OR($D346&lt;&gt;"Serviço",AND(AUTOEVENTO="Manual",$M346=$A$15)),0,
         IF(OFFSET(CRONOPLE!$F$15,$M346-$A$15,BS$13)=0,10^12,OFFSET(CRONOPLE!$F$15,$M346-$A$15,BS$13)))</f>
        <v>1000000000000</v>
      </c>
      <c r="BT346" s="171">
        <f ca="1">IF(OR($D346&lt;&gt;"Serviço",AND(AUTOEVENTO="Manual",$M346=$A$15)),0,
         IF(OFFSET(CRONOPLE!$F$15,$M346-$A$15,BT$13)=0,10^12,OFFSET(CRONOPLE!$F$15,$M346-$A$15,BT$13)))</f>
        <v>1000000000000</v>
      </c>
      <c r="BV346" s="172">
        <f ca="1">IF(OR($D346&lt;&gt;"Serviço",AND(AUTOEVENTO="Manual",$M346=$A$15),$M346&gt;(ROW(PLE.lastrow)-ROW(PLE.firstrow))),0,
           IF(OFFSET(PLE!$G$15,$M346-$A$15,BV$13)="",10^12,OFFSET(PLE!$G$15,$M346-$A$15,BV$13)))</f>
        <v>1000000000000</v>
      </c>
      <c r="BW346" s="172">
        <f ca="1">IF(OR($D346&lt;&gt;"Serviço",AND(AUTOEVENTO="Manual",$M346=$A$15),$M346&gt;(ROW(PLE.lastrow)-ROW(PLE.firstrow))),0,
           IF(OFFSET(PLE!$G$15,$M346-$A$15,BW$13)="",10^12,OFFSET(PLE!$G$15,$M346-$A$15,BW$13)))</f>
        <v>1000000000000</v>
      </c>
      <c r="BX346" s="172">
        <f ca="1">IF(OR($D346&lt;&gt;"Serviço",AND(AUTOEVENTO="Manual",$M346=$A$15),$M346&gt;(ROW(PLE.lastrow)-ROW(PLE.firstrow))),0,
           IF(OFFSET(PLE!$G$15,$M346-$A$15,BX$13)="",10^12,OFFSET(PLE!$G$15,$M346-$A$15,BX$13)))</f>
        <v>1000000000000</v>
      </c>
      <c r="BY346" s="172">
        <f ca="1">IF(OR($D346&lt;&gt;"Serviço",AND(AUTOEVENTO="Manual",$M346=$A$15),$M346&gt;(ROW(PLE.lastrow)-ROW(PLE.firstrow))),0,
           IF(OFFSET(PLE!$G$15,$M346-$A$15,BY$13)="",10^12,OFFSET(PLE!$G$15,$M346-$A$15,BY$13)))</f>
        <v>1000000000000</v>
      </c>
      <c r="BZ346" s="172">
        <f ca="1">IF(OR($D346&lt;&gt;"Serviço",AND(AUTOEVENTO="Manual",$M346=$A$15),$M346&gt;(ROW(PLE.lastrow)-ROW(PLE.firstrow))),0,
           IF(OFFSET(PLE!$G$15,$M346-$A$15,BZ$13)="",10^12,OFFSET(PLE!$G$15,$M346-$A$15,BZ$13)))</f>
        <v>1000000000000</v>
      </c>
      <c r="CA346" s="172">
        <f ca="1">IF(OR($D346&lt;&gt;"Serviço",AND(AUTOEVENTO="Manual",$M346=$A$15),$M346&gt;(ROW(PLE.lastrow)-ROW(PLE.firstrow))),0,
           IF(OFFSET(PLE!$G$15,$M346-$A$15,CA$13)="",10^12,OFFSET(PLE!$G$15,$M346-$A$15,CA$13)))</f>
        <v>1000000000000</v>
      </c>
      <c r="CB346" s="172">
        <f ca="1">IF(OR($D346&lt;&gt;"Serviço",AND(AUTOEVENTO="Manual",$M346=$A$15),$M346&gt;(ROW(PLE.lastrow)-ROW(PLE.firstrow))),0,
           IF(OFFSET(PLE!$G$15,$M346-$A$15,CB$13)="",10^12,OFFSET(PLE!$G$15,$M346-$A$15,CB$13)))</f>
        <v>1000000000000</v>
      </c>
      <c r="CC346" s="172">
        <f ca="1">IF(OR($D346&lt;&gt;"Serviço",AND(AUTOEVENTO="Manual",$M346=$A$15),$M346&gt;(ROW(PLE.lastrow)-ROW(PLE.firstrow))),0,
           IF(OFFSET(PLE!$G$15,$M346-$A$15,CC$13)="",10^12,OFFSET(PLE!$G$15,$M346-$A$15,CC$13)))</f>
        <v>1000000000000</v>
      </c>
      <c r="CD346" s="172">
        <f ca="1">IF(OR($D346&lt;&gt;"Serviço",AND(AUTOEVENTO="Manual",$M346=$A$15),$M346&gt;(ROW(PLE.lastrow)-ROW(PLE.firstrow))),0,
           IF(OFFSET(PLE!$G$15,$M346-$A$15,CD$13)="",10^12,OFFSET(PLE!$G$15,$M346-$A$15,CD$13)))</f>
        <v>1000000000000</v>
      </c>
      <c r="CE346" s="172">
        <f ca="1">IF(OR($D346&lt;&gt;"Serviço",AND(AUTOEVENTO="Manual",$M346=$A$15),$M346&gt;(ROW(PLE.lastrow)-ROW(PLE.firstrow))),0,
           IF(OFFSET(PLE!$G$15,$M346-$A$15,CE$13)="",10^12,OFFSET(PLE!$G$15,$M346-$A$15,CE$13)))</f>
        <v>1000000000000</v>
      </c>
      <c r="CF346" s="172">
        <f ca="1">IF(OR($D346&lt;&gt;"Serviço",AND(AUTOEVENTO="Manual",$M346=$A$15),$M346&gt;(ROW(PLE.lastrow)-ROW(PLE.firstrow))),0,
           IF(OFFSET(PLE!$G$15,$M346-$A$15,CF$13)="",10^12,OFFSET(PLE!$G$15,$M346-$A$15,CF$13)))</f>
        <v>1000000000000</v>
      </c>
      <c r="CG346" s="172">
        <f ca="1">IF(OR($D346&lt;&gt;"Serviço",AND(AUTOEVENTO="Manual",$M346=$A$15),$M346&gt;(ROW(PLE.lastrow)-ROW(PLE.firstrow))),0,
           IF(OFFSET(PLE!$G$15,$M346-$A$15,CG$13)="",10^12,OFFSET(PLE!$G$15,$M346-$A$15,CG$13)))</f>
        <v>1000000000000</v>
      </c>
      <c r="CH346" s="172">
        <f ca="1">IF(OR($D346&lt;&gt;"Serviço",AND(AUTOEVENTO="Manual",$M346=$A$15),$M346&gt;(ROW(PLE.lastrow)-ROW(PLE.firstrow))),0,
           IF(OFFSET(PLE!$G$15,$M346-$A$15,CH$13)="",10^12,OFFSET(PLE!$G$15,$M346-$A$15,CH$13)))</f>
        <v>1000000000000</v>
      </c>
      <c r="CI346" s="172">
        <f ca="1">IF(OR($D346&lt;&gt;"Serviço",AND(AUTOEVENTO="Manual",$M346=$A$15),$M346&gt;(ROW(PLE.lastrow)-ROW(PLE.firstrow))),0,
           IF(OFFSET(PLE!$G$15,$M346-$A$15,CI$13)="",10^12,OFFSET(PLE!$G$15,$M346-$A$15,CI$13)))</f>
        <v>1000000000000</v>
      </c>
      <c r="CJ346" s="172">
        <f ca="1">IF(OR($D346&lt;&gt;"Serviço",AND(AUTOEVENTO="Manual",$M346=$A$15),$M346&gt;(ROW(PLE.lastrow)-ROW(PLE.firstrow))),0,
           IF(OFFSET(PLE!$G$15,$M346-$A$15,CJ$13)="",10^12,OFFSET(PLE!$G$15,$M346-$A$15,CJ$13)))</f>
        <v>1000000000000</v>
      </c>
      <c r="CK346" s="172">
        <f ca="1">IF(OR($D346&lt;&gt;"Serviço",AND(AUTOEVENTO="Manual",$M346=$A$15),$M346&gt;(ROW(PLE.lastrow)-ROW(PLE.firstrow))),0,
           IF(OFFSET(PLE!$G$15,$M346-$A$15,CK$13)="",10^12,OFFSET(PLE!$G$15,$M346-$A$15,CK$13)))</f>
        <v>1000000000000</v>
      </c>
      <c r="CL346" s="172">
        <f ca="1">IF(OR($D346&lt;&gt;"Serviço",AND(AUTOEVENTO="Manual",$M346=$A$15),$M346&gt;(ROW(PLE.lastrow)-ROW(PLE.firstrow))),0,
           IF(OFFSET(PLE!$G$15,$M346-$A$15,CL$13)="",10^12,OFFSET(PLE!$G$15,$M346-$A$15,CL$13)))</f>
        <v>1000000000000</v>
      </c>
      <c r="CM346" s="172">
        <f ca="1">IF(OR($D346&lt;&gt;"Serviço",AND(AUTOEVENTO="Manual",$M346=$A$15),$M346&gt;(ROW(PLE.lastrow)-ROW(PLE.firstrow))),0,
           IF(OFFSET(PLE!$G$15,$M346-$A$15,CM$13)="",10^12,OFFSET(PLE!$G$15,$M346-$A$15,CM$13)))</f>
        <v>1000000000000</v>
      </c>
    </row>
    <row r="347" spans="1:91" ht="63.75" x14ac:dyDescent="0.2">
      <c r="A347" s="7">
        <f t="shared" ca="1" si="15"/>
        <v>6</v>
      </c>
      <c r="B347" s="7" t="str">
        <f ca="1">OFFSET(ORÇAMENTO!C$15,ROW(B347)-ROW(B$15),0)</f>
        <v>S</v>
      </c>
      <c r="C347" s="7" t="str">
        <f ca="1">OFFSET(ORÇAMENTO!L$15,ROW(C347)-ROW(C$15),0)</f>
        <v>F</v>
      </c>
      <c r="D347" s="116" t="str">
        <f ca="1">OFFSET(ORÇAMENTO!N$15,ROW(D347)-ROW(D$15),0)</f>
        <v>Serviço</v>
      </c>
      <c r="E347" s="117" t="str">
        <f ca="1">OFFSET(ORÇAMENTO!O$15,ROW(E347)-ROW(E$15),0)</f>
        <v>1.7.6.1.6.</v>
      </c>
      <c r="F347" s="163" t="str">
        <f ca="1">OFFSET(ORÇAMENTO!R$15,ROW(F347)-ROW(F$15),0)</f>
        <v>EXTREMIDADE PONTA/FLANGE FoFo - DN 150 MM</v>
      </c>
      <c r="G347" s="164" t="str">
        <f ca="1">IF($D347&lt;&gt;"Serviço","",OFFSET(ORÇAMENTO!S$15,ROW(G347)-ROW(G$15),0))</f>
        <v>UN</v>
      </c>
      <c r="H347" s="122" cm="1">
        <f t="array" aca="1" ref="H347" ca="1">IF($D347&lt;&gt;"Serviço",0,IF(ACOMPANHAMENTO="BM",ROUND(OFFSET(ORÇAMENTO!AJ$15,ROW(H347)-ROW(H$15),0),15-13*ORÇAMENTO!$AF$7),SUMPRODUCT(($Q$1:$AI$1=1)*ROUND($Q347:$AI347,15-13*ORÇAMENTO!$AF$7))))</f>
        <v>4</v>
      </c>
      <c r="I347" s="468" t="s">
        <v>1360</v>
      </c>
      <c r="J347" s="640" t="str" cm="1">
        <f t="array" aca="1" ref="J347" ca="1">IF(OR(B347&lt;&gt;"S",CÁLCULO.FrentesPreenchidas=0),"",IF(AND(ACOMPANHAMENTO="PLE",AUTOEVENTO="Manual",OR(H347&gt;0,ORÇAMENTO!AC347="QUANT."),OR(K347="",M347=0,N347="")),"►E",IF(AND(ACOMPANHAMENTO="PLE",ORÇAMENTO!AC347="QUANT."),"►Q",IF(AND(ACOMPANHAMENTO="PLE",H347&lt;&gt;SUMPRODUCT(($Q$1:$AI$1=1)*ROUND(Q347:AI347,15))),"►S",IF(AND(COUNTIF($P$11:$AI$11,"▼")=0,H347&gt;0,I347=""),"◄M","")))))</f>
        <v/>
      </c>
      <c r="K347" s="641" t="s">
        <v>1385</v>
      </c>
      <c r="L347" s="165" t="s">
        <v>764</v>
      </c>
      <c r="M347" s="166">
        <f ca="1">IF($D347&lt;&gt;"Serviço","",
          IF(AUTOEVENTO="manual",$A347,
                IF(ISERROR(MATCH($A347,$A$15:OFFSET($A347,-1,0),0)),MAX($M$15:OFFSET(M347,-1,0))+1,
                      INDEX($M$15:OFFSET(M347,-1,0),MATCH($A347,$A$15:OFFSET($A347,-1,0),0)))))</f>
        <v>6</v>
      </c>
      <c r="N347" s="167" t="str">
        <f ca="1">IF($D347&lt;&gt;"Serviço","",
         IF(AUTOEVENTO="Manual",
                IF($A347=0,"&lt;-- defina o número do agrupador",
                       OFFSET(EVENTOS!$D$15,$A347-$A$15,0)),
                OFFSET($F$15,$A347,0)))</f>
        <v>Saneamento</v>
      </c>
      <c r="O347" s="168"/>
      <c r="Q347" s="168"/>
      <c r="R347" s="169"/>
      <c r="S347" s="169"/>
      <c r="T347" s="169"/>
      <c r="U347" s="169"/>
      <c r="V347" s="169">
        <f>4</f>
        <v>4</v>
      </c>
      <c r="W347" s="169"/>
      <c r="X347" s="169"/>
      <c r="Y347" s="169"/>
      <c r="Z347" s="170"/>
      <c r="AA347" s="169"/>
      <c r="AB347" s="169"/>
      <c r="AC347" s="169"/>
      <c r="AD347" s="169"/>
      <c r="AE347" s="169"/>
      <c r="AF347" s="169"/>
      <c r="AG347" s="169"/>
      <c r="AH347" s="170"/>
      <c r="AJ347" s="453">
        <f ca="1">IF(AND($D347="Serviço",AJ$12&lt;&gt;0,$H347&gt;0,OR(AUTOEVENTO&lt;&gt;"manual",$M347&lt;&gt;$A$15)),
        IF(Import.TipoArredondamento&lt;&gt;"TransfereGOV",
              ROUND(OFFSET($P347,0,AJ$13),15-13*ORÇAMENTO!$AF$7)/$H347*OFFSET(ORÇAMENTO!$X$15,ROW(AJ347)-ROW(AJ$15),0),
              ROUND(ROUND(OFFSET($P347,0,AJ$13),15-13*ORÇAMENTO!$AF$7)*OFFSET(ORÇAMENTO!$W$15,ROW(AJ347)-ROW(AJ$15),0),15-13*ORÇAMENTO!$AF$11)),
         0)</f>
        <v>0</v>
      </c>
      <c r="AK347" s="453">
        <f ca="1">IF(AND($D347="Serviço",AK$12&lt;&gt;0,$H347&gt;0,OR(AUTOEVENTO&lt;&gt;"manual",$M347&lt;&gt;$A$15)),
        IF(Import.TipoArredondamento&lt;&gt;"TransfereGOV",
              ROUND(OFFSET($P347,0,AK$13),15-13*ORÇAMENTO!$AF$7)/$H347*OFFSET(ORÇAMENTO!$X$15,ROW(AK347)-ROW(AK$15),0),
              ROUND(ROUND(OFFSET($P347,0,AK$13),15-13*ORÇAMENTO!$AF$7)*OFFSET(ORÇAMENTO!$W$15,ROW(AK347)-ROW(AK$15),0),15-13*ORÇAMENTO!$AF$11)),
         0)</f>
        <v>0</v>
      </c>
      <c r="AL347" s="453">
        <f ca="1">IF(AND($D347="Serviço",AL$12&lt;&gt;0,$H347&gt;0,OR(AUTOEVENTO&lt;&gt;"manual",$M347&lt;&gt;$A$15)),
        IF(Import.TipoArredondamento&lt;&gt;"TransfereGOV",
              ROUND(OFFSET($P347,0,AL$13),15-13*ORÇAMENTO!$AF$7)/$H347*OFFSET(ORÇAMENTO!$X$15,ROW(AL347)-ROW(AL$15),0),
              ROUND(ROUND(OFFSET($P347,0,AL$13),15-13*ORÇAMENTO!$AF$7)*OFFSET(ORÇAMENTO!$W$15,ROW(AL347)-ROW(AL$15),0),15-13*ORÇAMENTO!$AF$11)),
         0)</f>
        <v>0</v>
      </c>
      <c r="AM347" s="453">
        <f ca="1">IF(AND($D347="Serviço",AM$12&lt;&gt;0,$H347&gt;0,OR(AUTOEVENTO&lt;&gt;"manual",$M347&lt;&gt;$A$15)),
        IF(Import.TipoArredondamento&lt;&gt;"TransfereGOV",
              ROUND(OFFSET($P347,0,AM$13),15-13*ORÇAMENTO!$AF$7)/$H347*OFFSET(ORÇAMENTO!$X$15,ROW(AM347)-ROW(AM$15),0),
              ROUND(ROUND(OFFSET($P347,0,AM$13),15-13*ORÇAMENTO!$AF$7)*OFFSET(ORÇAMENTO!$W$15,ROW(AM347)-ROW(AM$15),0),15-13*ORÇAMENTO!$AF$11)),
         0)</f>
        <v>0</v>
      </c>
      <c r="AN347" s="453">
        <f ca="1">IF(AND($D347="Serviço",AN$12&lt;&gt;0,$H347&gt;0,OR(AUTOEVENTO&lt;&gt;"manual",$M347&lt;&gt;$A$15)),
        IF(Import.TipoArredondamento&lt;&gt;"TransfereGOV",
              ROUND(OFFSET($P347,0,AN$13),15-13*ORÇAMENTO!$AF$7)/$H347*OFFSET(ORÇAMENTO!$X$15,ROW(AN347)-ROW(AN$15),0),
              ROUND(ROUND(OFFSET($P347,0,AN$13),15-13*ORÇAMENTO!$AF$7)*OFFSET(ORÇAMENTO!$W$15,ROW(AN347)-ROW(AN$15),0),15-13*ORÇAMENTO!$AF$11)),
         0)</f>
        <v>0</v>
      </c>
      <c r="AO347" s="453">
        <f ca="1">IF(AND($D347="Serviço",AO$12&lt;&gt;0,$H347&gt;0,OR(AUTOEVENTO&lt;&gt;"manual",$M347&lt;&gt;$A$15)),
        IF(Import.TipoArredondamento&lt;&gt;"TransfereGOV",
              ROUND(OFFSET($P347,0,AO$13),15-13*ORÇAMENTO!$AF$7)/$H347*OFFSET(ORÇAMENTO!$X$15,ROW(AO347)-ROW(AO$15),0),
              ROUND(ROUND(OFFSET($P347,0,AO$13),15-13*ORÇAMENTO!$AF$7)*OFFSET(ORÇAMENTO!$W$15,ROW(AO347)-ROW(AO$15),0),15-13*ORÇAMENTO!$AF$11)),
         0)</f>
        <v>0</v>
      </c>
      <c r="AP347" s="453">
        <f ca="1">IF(AND($D347="Serviço",AP$12&lt;&gt;0,$H347&gt;0,OR(AUTOEVENTO&lt;&gt;"manual",$M347&lt;&gt;$A$15)),
        IF(Import.TipoArredondamento&lt;&gt;"TransfereGOV",
              ROUND(OFFSET($P347,0,AP$13),15-13*ORÇAMENTO!$AF$7)/$H347*OFFSET(ORÇAMENTO!$X$15,ROW(AP347)-ROW(AP$15),0),
              ROUND(ROUND(OFFSET($P347,0,AP$13),15-13*ORÇAMENTO!$AF$7)*OFFSET(ORÇAMENTO!$W$15,ROW(AP347)-ROW(AP$15),0),15-13*ORÇAMENTO!$AF$11)),
         0)</f>
        <v>0</v>
      </c>
      <c r="AQ347" s="453">
        <f ca="1">IF(AND($D347="Serviço",AQ$12&lt;&gt;0,$H347&gt;0,OR(AUTOEVENTO&lt;&gt;"manual",$M347&lt;&gt;$A$15)),
        IF(Import.TipoArredondamento&lt;&gt;"TransfereGOV",
              ROUND(OFFSET($P347,0,AQ$13),15-13*ORÇAMENTO!$AF$7)/$H347*OFFSET(ORÇAMENTO!$X$15,ROW(AQ347)-ROW(AQ$15),0),
              ROUND(ROUND(OFFSET($P347,0,AQ$13),15-13*ORÇAMENTO!$AF$7)*OFFSET(ORÇAMENTO!$W$15,ROW(AQ347)-ROW(AQ$15),0),15-13*ORÇAMENTO!$AF$11)),
         0)</f>
        <v>0</v>
      </c>
      <c r="AR347" s="453">
        <f ca="1">IF(AND($D347="Serviço",AR$12&lt;&gt;0,$H347&gt;0,OR(AUTOEVENTO&lt;&gt;"manual",$M347&lt;&gt;$A$15)),
        IF(Import.TipoArredondamento&lt;&gt;"TransfereGOV",
              ROUND(OFFSET($P347,0,AR$13),15-13*ORÇAMENTO!$AF$7)/$H347*OFFSET(ORÇAMENTO!$X$15,ROW(AR347)-ROW(AR$15),0),
              ROUND(ROUND(OFFSET($P347,0,AR$13),15-13*ORÇAMENTO!$AF$7)*OFFSET(ORÇAMENTO!$W$15,ROW(AR347)-ROW(AR$15),0),15-13*ORÇAMENTO!$AF$11)),
         0)</f>
        <v>0</v>
      </c>
      <c r="AS347" s="453">
        <f ca="1">IF(AND($D347="Serviço",AS$12&lt;&gt;0,$H347&gt;0,OR(AUTOEVENTO&lt;&gt;"manual",$M347&lt;&gt;$A$15)),
        IF(Import.TipoArredondamento&lt;&gt;"TransfereGOV",
              ROUND(OFFSET($P347,0,AS$13),15-13*ORÇAMENTO!$AF$7)/$H347*OFFSET(ORÇAMENTO!$X$15,ROW(AS347)-ROW(AS$15),0),
              ROUND(ROUND(OFFSET($P347,0,AS$13),15-13*ORÇAMENTO!$AF$7)*OFFSET(ORÇAMENTO!$W$15,ROW(AS347)-ROW(AS$15),0),15-13*ORÇAMENTO!$AF$11)),
         0)</f>
        <v>0</v>
      </c>
      <c r="AT347" s="453">
        <f ca="1">IF(AND($D347="Serviço",AT$12&lt;&gt;0,$H347&gt;0,OR(AUTOEVENTO&lt;&gt;"manual",$M347&lt;&gt;$A$15)),
        IF(Import.TipoArredondamento&lt;&gt;"TransfereGOV",
              ROUND(OFFSET($P347,0,AT$13),15-13*ORÇAMENTO!$AF$7)/$H347*OFFSET(ORÇAMENTO!$X$15,ROW(AT347)-ROW(AT$15),0),
              ROUND(ROUND(OFFSET($P347,0,AT$13),15-13*ORÇAMENTO!$AF$7)*OFFSET(ORÇAMENTO!$W$15,ROW(AT347)-ROW(AT$15),0),15-13*ORÇAMENTO!$AF$11)),
         0)</f>
        <v>0</v>
      </c>
      <c r="AU347" s="453">
        <f ca="1">IF(AND($D347="Serviço",AU$12&lt;&gt;0,$H347&gt;0,OR(AUTOEVENTO&lt;&gt;"manual",$M347&lt;&gt;$A$15)),
        IF(Import.TipoArredondamento&lt;&gt;"TransfereGOV",
              ROUND(OFFSET($P347,0,AU$13),15-13*ORÇAMENTO!$AF$7)/$H347*OFFSET(ORÇAMENTO!$X$15,ROW(AU347)-ROW(AU$15),0),
              ROUND(ROUND(OFFSET($P347,0,AU$13),15-13*ORÇAMENTO!$AF$7)*OFFSET(ORÇAMENTO!$W$15,ROW(AU347)-ROW(AU$15),0),15-13*ORÇAMENTO!$AF$11)),
         0)</f>
        <v>0</v>
      </c>
      <c r="AV347" s="453">
        <f ca="1">IF(AND($D347="Serviço",AV$12&lt;&gt;0,$H347&gt;0,OR(AUTOEVENTO&lt;&gt;"manual",$M347&lt;&gt;$A$15)),
        IF(Import.TipoArredondamento&lt;&gt;"TransfereGOV",
              ROUND(OFFSET($P347,0,AV$13),15-13*ORÇAMENTO!$AF$7)/$H347*OFFSET(ORÇAMENTO!$X$15,ROW(AV347)-ROW(AV$15),0),
              ROUND(ROUND(OFFSET($P347,0,AV$13),15-13*ORÇAMENTO!$AF$7)*OFFSET(ORÇAMENTO!$W$15,ROW(AV347)-ROW(AV$15),0),15-13*ORÇAMENTO!$AF$11)),
         0)</f>
        <v>0</v>
      </c>
      <c r="AW347" s="453">
        <f ca="1">IF(AND($D347="Serviço",AW$12&lt;&gt;0,$H347&gt;0,OR(AUTOEVENTO&lt;&gt;"manual",$M347&lt;&gt;$A$15)),
        IF(Import.TipoArredondamento&lt;&gt;"TransfereGOV",
              ROUND(OFFSET($P347,0,AW$13),15-13*ORÇAMENTO!$AF$7)/$H347*OFFSET(ORÇAMENTO!$X$15,ROW(AW347)-ROW(AW$15),0),
              ROUND(ROUND(OFFSET($P347,0,AW$13),15-13*ORÇAMENTO!$AF$7)*OFFSET(ORÇAMENTO!$W$15,ROW(AW347)-ROW(AW$15),0),15-13*ORÇAMENTO!$AF$11)),
         0)</f>
        <v>0</v>
      </c>
      <c r="AX347" s="453">
        <f ca="1">IF(AND($D347="Serviço",AX$12&lt;&gt;0,$H347&gt;0,OR(AUTOEVENTO&lt;&gt;"manual",$M347&lt;&gt;$A$15)),
        IF(Import.TipoArredondamento&lt;&gt;"TransfereGOV",
              ROUND(OFFSET($P347,0,AX$13),15-13*ORÇAMENTO!$AF$7)/$H347*OFFSET(ORÇAMENTO!$X$15,ROW(AX347)-ROW(AX$15),0),
              ROUND(ROUND(OFFSET($P347,0,AX$13),15-13*ORÇAMENTO!$AF$7)*OFFSET(ORÇAMENTO!$W$15,ROW(AX347)-ROW(AX$15),0),15-13*ORÇAMENTO!$AF$11)),
         0)</f>
        <v>0</v>
      </c>
      <c r="AY347" s="453">
        <f ca="1">IF(AND($D347="Serviço",AY$12&lt;&gt;0,$H347&gt;0,OR(AUTOEVENTO&lt;&gt;"manual",$M347&lt;&gt;$A$15)),
        IF(Import.TipoArredondamento&lt;&gt;"TransfereGOV",
              ROUND(OFFSET($P347,0,AY$13),15-13*ORÇAMENTO!$AF$7)/$H347*OFFSET(ORÇAMENTO!$X$15,ROW(AY347)-ROW(AY$15),0),
              ROUND(ROUND(OFFSET($P347,0,AY$13),15-13*ORÇAMENTO!$AF$7)*OFFSET(ORÇAMENTO!$W$15,ROW(AY347)-ROW(AY$15),0),15-13*ORÇAMENTO!$AF$11)),
         0)</f>
        <v>0</v>
      </c>
      <c r="AZ347" s="453">
        <f ca="1">IF(AND($D347="Serviço",AZ$12&lt;&gt;0,$H347&gt;0,OR(AUTOEVENTO&lt;&gt;"manual",$M347&lt;&gt;$A$15)),
        IF(Import.TipoArredondamento&lt;&gt;"TransfereGOV",
              ROUND(OFFSET($P347,0,AZ$13),15-13*ORÇAMENTO!$AF$7)/$H347*OFFSET(ORÇAMENTO!$X$15,ROW(AZ347)-ROW(AZ$15),0),
              ROUND(ROUND(OFFSET($P347,0,AZ$13),15-13*ORÇAMENTO!$AF$7)*OFFSET(ORÇAMENTO!$W$15,ROW(AZ347)-ROW(AZ$15),0),15-13*ORÇAMENTO!$AF$11)),
         0)</f>
        <v>0</v>
      </c>
      <c r="BA347" s="453">
        <f ca="1">IF(AND($D347="Serviço",BA$12&lt;&gt;0,$H347&gt;0,OR(AUTOEVENTO&lt;&gt;"manual",$M347&lt;&gt;$A$15)),
        IF(Import.TipoArredondamento&lt;&gt;"TransfereGOV",
              ROUND(OFFSET($P347,0,BA$13),15-13*ORÇAMENTO!$AF$7)/$H347*OFFSET(ORÇAMENTO!$X$15,ROW(BA347)-ROW(BA$15),0),
              ROUND(ROUND(OFFSET($P347,0,BA$13),15-13*ORÇAMENTO!$AF$7)*OFFSET(ORÇAMENTO!$W$15,ROW(BA347)-ROW(BA$15),0),15-13*ORÇAMENTO!$AF$11)),
         0)</f>
        <v>0</v>
      </c>
      <c r="BC347" s="171">
        <f ca="1">IF(OR($D347&lt;&gt;"Serviço",AND(AUTOEVENTO="Manual",$M347=$A$15)),0,
         IF(OFFSET(CRONOPLE!$F$15,$M347-$A$15,BC$13)=0,10^12,OFFSET(CRONOPLE!$F$15,$M347-$A$15,BC$13)))</f>
        <v>1</v>
      </c>
      <c r="BD347" s="171">
        <f ca="1">IF(OR($D347&lt;&gt;"Serviço",AND(AUTOEVENTO="Manual",$M347=$A$15)),0,
         IF(OFFSET(CRONOPLE!$F$15,$M347-$A$15,BD$13)=0,10^12,OFFSET(CRONOPLE!$F$15,$M347-$A$15,BD$13)))</f>
        <v>2</v>
      </c>
      <c r="BE347" s="171">
        <f ca="1">IF(OR($D347&lt;&gt;"Serviço",AND(AUTOEVENTO="Manual",$M347=$A$15)),0,
         IF(OFFSET(CRONOPLE!$F$15,$M347-$A$15,BE$13)=0,10^12,OFFSET(CRONOPLE!$F$15,$M347-$A$15,BE$13)))</f>
        <v>3</v>
      </c>
      <c r="BF347" s="171">
        <f ca="1">IF(OR($D347&lt;&gt;"Serviço",AND(AUTOEVENTO="Manual",$M347=$A$15)),0,
         IF(OFFSET(CRONOPLE!$F$15,$M347-$A$15,BF$13)=0,10^12,OFFSET(CRONOPLE!$F$15,$M347-$A$15,BF$13)))</f>
        <v>4</v>
      </c>
      <c r="BG347" s="171">
        <f ca="1">IF(OR($D347&lt;&gt;"Serviço",AND(AUTOEVENTO="Manual",$M347=$A$15)),0,
         IF(OFFSET(CRONOPLE!$F$15,$M347-$A$15,BG$13)=0,10^12,OFFSET(CRONOPLE!$F$15,$M347-$A$15,BG$13)))</f>
        <v>5</v>
      </c>
      <c r="BH347" s="171">
        <f ca="1">IF(OR($D347&lt;&gt;"Serviço",AND(AUTOEVENTO="Manual",$M347=$A$15)),0,
         IF(OFFSET(CRONOPLE!$F$15,$M347-$A$15,BH$13)=0,10^12,OFFSET(CRONOPLE!$F$15,$M347-$A$15,BH$13)))</f>
        <v>6</v>
      </c>
      <c r="BI347" s="171">
        <f ca="1">IF(OR($D347&lt;&gt;"Serviço",AND(AUTOEVENTO="Manual",$M347=$A$15)),0,
         IF(OFFSET(CRONOPLE!$F$15,$M347-$A$15,BI$13)=0,10^12,OFFSET(CRONOPLE!$F$15,$M347-$A$15,BI$13)))</f>
        <v>7</v>
      </c>
      <c r="BJ347" s="171">
        <f ca="1">IF(OR($D347&lt;&gt;"Serviço",AND(AUTOEVENTO="Manual",$M347=$A$15)),0,
         IF(OFFSET(CRONOPLE!$F$15,$M347-$A$15,BJ$13)=0,10^12,OFFSET(CRONOPLE!$F$15,$M347-$A$15,BJ$13)))</f>
        <v>8</v>
      </c>
      <c r="BK347" s="171">
        <f ca="1">IF(OR($D347&lt;&gt;"Serviço",AND(AUTOEVENTO="Manual",$M347=$A$15)),0,
         IF(OFFSET(CRONOPLE!$F$15,$M347-$A$15,BK$13)=0,10^12,OFFSET(CRONOPLE!$F$15,$M347-$A$15,BK$13)))</f>
        <v>9</v>
      </c>
      <c r="BL347" s="171">
        <f ca="1">IF(OR($D347&lt;&gt;"Serviço",AND(AUTOEVENTO="Manual",$M347=$A$15)),0,
         IF(OFFSET(CRONOPLE!$F$15,$M347-$A$15,BL$13)=0,10^12,OFFSET(CRONOPLE!$F$15,$M347-$A$15,BL$13)))</f>
        <v>1000000000000</v>
      </c>
      <c r="BM347" s="171">
        <f ca="1">IF(OR($D347&lt;&gt;"Serviço",AND(AUTOEVENTO="Manual",$M347=$A$15)),0,
         IF(OFFSET(CRONOPLE!$F$15,$M347-$A$15,BM$13)=0,10^12,OFFSET(CRONOPLE!$F$15,$M347-$A$15,BM$13)))</f>
        <v>1000000000000</v>
      </c>
      <c r="BN347" s="171">
        <f ca="1">IF(OR($D347&lt;&gt;"Serviço",AND(AUTOEVENTO="Manual",$M347=$A$15)),0,
         IF(OFFSET(CRONOPLE!$F$15,$M347-$A$15,BN$13)=0,10^12,OFFSET(CRONOPLE!$F$15,$M347-$A$15,BN$13)))</f>
        <v>1000000000000</v>
      </c>
      <c r="BO347" s="171">
        <f ca="1">IF(OR($D347&lt;&gt;"Serviço",AND(AUTOEVENTO="Manual",$M347=$A$15)),0,
         IF(OFFSET(CRONOPLE!$F$15,$M347-$A$15,BO$13)=0,10^12,OFFSET(CRONOPLE!$F$15,$M347-$A$15,BO$13)))</f>
        <v>1000000000000</v>
      </c>
      <c r="BP347" s="171">
        <f ca="1">IF(OR($D347&lt;&gt;"Serviço",AND(AUTOEVENTO="Manual",$M347=$A$15)),0,
         IF(OFFSET(CRONOPLE!$F$15,$M347-$A$15,BP$13)=0,10^12,OFFSET(CRONOPLE!$F$15,$M347-$A$15,BP$13)))</f>
        <v>1000000000000</v>
      </c>
      <c r="BQ347" s="171">
        <f ca="1">IF(OR($D347&lt;&gt;"Serviço",AND(AUTOEVENTO="Manual",$M347=$A$15)),0,
         IF(OFFSET(CRONOPLE!$F$15,$M347-$A$15,BQ$13)=0,10^12,OFFSET(CRONOPLE!$F$15,$M347-$A$15,BQ$13)))</f>
        <v>1000000000000</v>
      </c>
      <c r="BR347" s="171">
        <f ca="1">IF(OR($D347&lt;&gt;"Serviço",AND(AUTOEVENTO="Manual",$M347=$A$15)),0,
         IF(OFFSET(CRONOPLE!$F$15,$M347-$A$15,BR$13)=0,10^12,OFFSET(CRONOPLE!$F$15,$M347-$A$15,BR$13)))</f>
        <v>1000000000000</v>
      </c>
      <c r="BS347" s="171">
        <f ca="1">IF(OR($D347&lt;&gt;"Serviço",AND(AUTOEVENTO="Manual",$M347=$A$15)),0,
         IF(OFFSET(CRONOPLE!$F$15,$M347-$A$15,BS$13)=0,10^12,OFFSET(CRONOPLE!$F$15,$M347-$A$15,BS$13)))</f>
        <v>1000000000000</v>
      </c>
      <c r="BT347" s="171">
        <f ca="1">IF(OR($D347&lt;&gt;"Serviço",AND(AUTOEVENTO="Manual",$M347=$A$15)),0,
         IF(OFFSET(CRONOPLE!$F$15,$M347-$A$15,BT$13)=0,10^12,OFFSET(CRONOPLE!$F$15,$M347-$A$15,BT$13)))</f>
        <v>1000000000000</v>
      </c>
      <c r="BV347" s="172">
        <f ca="1">IF(OR($D347&lt;&gt;"Serviço",AND(AUTOEVENTO="Manual",$M347=$A$15),$M347&gt;(ROW(PLE.lastrow)-ROW(PLE.firstrow))),0,
           IF(OFFSET(PLE!$G$15,$M347-$A$15,BV$13)="",10^12,OFFSET(PLE!$G$15,$M347-$A$15,BV$13)))</f>
        <v>1000000000000</v>
      </c>
      <c r="BW347" s="172">
        <f ca="1">IF(OR($D347&lt;&gt;"Serviço",AND(AUTOEVENTO="Manual",$M347=$A$15),$M347&gt;(ROW(PLE.lastrow)-ROW(PLE.firstrow))),0,
           IF(OFFSET(PLE!$G$15,$M347-$A$15,BW$13)="",10^12,OFFSET(PLE!$G$15,$M347-$A$15,BW$13)))</f>
        <v>1000000000000</v>
      </c>
      <c r="BX347" s="172">
        <f ca="1">IF(OR($D347&lt;&gt;"Serviço",AND(AUTOEVENTO="Manual",$M347=$A$15),$M347&gt;(ROW(PLE.lastrow)-ROW(PLE.firstrow))),0,
           IF(OFFSET(PLE!$G$15,$M347-$A$15,BX$13)="",10^12,OFFSET(PLE!$G$15,$M347-$A$15,BX$13)))</f>
        <v>1000000000000</v>
      </c>
      <c r="BY347" s="172">
        <f ca="1">IF(OR($D347&lt;&gt;"Serviço",AND(AUTOEVENTO="Manual",$M347=$A$15),$M347&gt;(ROW(PLE.lastrow)-ROW(PLE.firstrow))),0,
           IF(OFFSET(PLE!$G$15,$M347-$A$15,BY$13)="",10^12,OFFSET(PLE!$G$15,$M347-$A$15,BY$13)))</f>
        <v>1000000000000</v>
      </c>
      <c r="BZ347" s="172">
        <f ca="1">IF(OR($D347&lt;&gt;"Serviço",AND(AUTOEVENTO="Manual",$M347=$A$15),$M347&gt;(ROW(PLE.lastrow)-ROW(PLE.firstrow))),0,
           IF(OFFSET(PLE!$G$15,$M347-$A$15,BZ$13)="",10^12,OFFSET(PLE!$G$15,$M347-$A$15,BZ$13)))</f>
        <v>1000000000000</v>
      </c>
      <c r="CA347" s="172">
        <f ca="1">IF(OR($D347&lt;&gt;"Serviço",AND(AUTOEVENTO="Manual",$M347=$A$15),$M347&gt;(ROW(PLE.lastrow)-ROW(PLE.firstrow))),0,
           IF(OFFSET(PLE!$G$15,$M347-$A$15,CA$13)="",10^12,OFFSET(PLE!$G$15,$M347-$A$15,CA$13)))</f>
        <v>1000000000000</v>
      </c>
      <c r="CB347" s="172">
        <f ca="1">IF(OR($D347&lt;&gt;"Serviço",AND(AUTOEVENTO="Manual",$M347=$A$15),$M347&gt;(ROW(PLE.lastrow)-ROW(PLE.firstrow))),0,
           IF(OFFSET(PLE!$G$15,$M347-$A$15,CB$13)="",10^12,OFFSET(PLE!$G$15,$M347-$A$15,CB$13)))</f>
        <v>1000000000000</v>
      </c>
      <c r="CC347" s="172">
        <f ca="1">IF(OR($D347&lt;&gt;"Serviço",AND(AUTOEVENTO="Manual",$M347=$A$15),$M347&gt;(ROW(PLE.lastrow)-ROW(PLE.firstrow))),0,
           IF(OFFSET(PLE!$G$15,$M347-$A$15,CC$13)="",10^12,OFFSET(PLE!$G$15,$M347-$A$15,CC$13)))</f>
        <v>1000000000000</v>
      </c>
      <c r="CD347" s="172">
        <f ca="1">IF(OR($D347&lt;&gt;"Serviço",AND(AUTOEVENTO="Manual",$M347=$A$15),$M347&gt;(ROW(PLE.lastrow)-ROW(PLE.firstrow))),0,
           IF(OFFSET(PLE!$G$15,$M347-$A$15,CD$13)="",10^12,OFFSET(PLE!$G$15,$M347-$A$15,CD$13)))</f>
        <v>1000000000000</v>
      </c>
      <c r="CE347" s="172">
        <f ca="1">IF(OR($D347&lt;&gt;"Serviço",AND(AUTOEVENTO="Manual",$M347=$A$15),$M347&gt;(ROW(PLE.lastrow)-ROW(PLE.firstrow))),0,
           IF(OFFSET(PLE!$G$15,$M347-$A$15,CE$13)="",10^12,OFFSET(PLE!$G$15,$M347-$A$15,CE$13)))</f>
        <v>1000000000000</v>
      </c>
      <c r="CF347" s="172">
        <f ca="1">IF(OR($D347&lt;&gt;"Serviço",AND(AUTOEVENTO="Manual",$M347=$A$15),$M347&gt;(ROW(PLE.lastrow)-ROW(PLE.firstrow))),0,
           IF(OFFSET(PLE!$G$15,$M347-$A$15,CF$13)="",10^12,OFFSET(PLE!$G$15,$M347-$A$15,CF$13)))</f>
        <v>1000000000000</v>
      </c>
      <c r="CG347" s="172">
        <f ca="1">IF(OR($D347&lt;&gt;"Serviço",AND(AUTOEVENTO="Manual",$M347=$A$15),$M347&gt;(ROW(PLE.lastrow)-ROW(PLE.firstrow))),0,
           IF(OFFSET(PLE!$G$15,$M347-$A$15,CG$13)="",10^12,OFFSET(PLE!$G$15,$M347-$A$15,CG$13)))</f>
        <v>1000000000000</v>
      </c>
      <c r="CH347" s="172">
        <f ca="1">IF(OR($D347&lt;&gt;"Serviço",AND(AUTOEVENTO="Manual",$M347=$A$15),$M347&gt;(ROW(PLE.lastrow)-ROW(PLE.firstrow))),0,
           IF(OFFSET(PLE!$G$15,$M347-$A$15,CH$13)="",10^12,OFFSET(PLE!$G$15,$M347-$A$15,CH$13)))</f>
        <v>1000000000000</v>
      </c>
      <c r="CI347" s="172">
        <f ca="1">IF(OR($D347&lt;&gt;"Serviço",AND(AUTOEVENTO="Manual",$M347=$A$15),$M347&gt;(ROW(PLE.lastrow)-ROW(PLE.firstrow))),0,
           IF(OFFSET(PLE!$G$15,$M347-$A$15,CI$13)="",10^12,OFFSET(PLE!$G$15,$M347-$A$15,CI$13)))</f>
        <v>1000000000000</v>
      </c>
      <c r="CJ347" s="172">
        <f ca="1">IF(OR($D347&lt;&gt;"Serviço",AND(AUTOEVENTO="Manual",$M347=$A$15),$M347&gt;(ROW(PLE.lastrow)-ROW(PLE.firstrow))),0,
           IF(OFFSET(PLE!$G$15,$M347-$A$15,CJ$13)="",10^12,OFFSET(PLE!$G$15,$M347-$A$15,CJ$13)))</f>
        <v>1000000000000</v>
      </c>
      <c r="CK347" s="172">
        <f ca="1">IF(OR($D347&lt;&gt;"Serviço",AND(AUTOEVENTO="Manual",$M347=$A$15),$M347&gt;(ROW(PLE.lastrow)-ROW(PLE.firstrow))),0,
           IF(OFFSET(PLE!$G$15,$M347-$A$15,CK$13)="",10^12,OFFSET(PLE!$G$15,$M347-$A$15,CK$13)))</f>
        <v>1000000000000</v>
      </c>
      <c r="CL347" s="172">
        <f ca="1">IF(OR($D347&lt;&gt;"Serviço",AND(AUTOEVENTO="Manual",$M347=$A$15),$M347&gt;(ROW(PLE.lastrow)-ROW(PLE.firstrow))),0,
           IF(OFFSET(PLE!$G$15,$M347-$A$15,CL$13)="",10^12,OFFSET(PLE!$G$15,$M347-$A$15,CL$13)))</f>
        <v>1000000000000</v>
      </c>
      <c r="CM347" s="172">
        <f ca="1">IF(OR($D347&lt;&gt;"Serviço",AND(AUTOEVENTO="Manual",$M347=$A$15),$M347&gt;(ROW(PLE.lastrow)-ROW(PLE.firstrow))),0,
           IF(OFFSET(PLE!$G$15,$M347-$A$15,CM$13)="",10^12,OFFSET(PLE!$G$15,$M347-$A$15,CM$13)))</f>
        <v>1000000000000</v>
      </c>
    </row>
    <row r="348" spans="1:91" ht="63.75" x14ac:dyDescent="0.2">
      <c r="A348" s="7">
        <f t="shared" ca="1" si="15"/>
        <v>6</v>
      </c>
      <c r="B348" s="7" t="str">
        <f ca="1">OFFSET(ORÇAMENTO!C$15,ROW(B348)-ROW(B$15),0)</f>
        <v>S</v>
      </c>
      <c r="C348" s="7" t="str">
        <f ca="1">OFFSET(ORÇAMENTO!L$15,ROW(C348)-ROW(C$15),0)</f>
        <v>F</v>
      </c>
      <c r="D348" s="116" t="str">
        <f ca="1">OFFSET(ORÇAMENTO!N$15,ROW(D348)-ROW(D$15),0)</f>
        <v>Serviço</v>
      </c>
      <c r="E348" s="117" t="str">
        <f ca="1">OFFSET(ORÇAMENTO!O$15,ROW(E348)-ROW(E$15),0)</f>
        <v>1.7.6.1.7.</v>
      </c>
      <c r="F348" s="163" t="str">
        <f ca="1">OFFSET(ORÇAMENTO!R$15,ROW(F348)-ROW(F$15),0)</f>
        <v>REGISTRO GAVETA FLANGE E CABEÇOTE PN10 DN150MM</v>
      </c>
      <c r="G348" s="164" t="str">
        <f ca="1">IF($D348&lt;&gt;"Serviço","",OFFSET(ORÇAMENTO!S$15,ROW(G348)-ROW(G$15),0))</f>
        <v>UN</v>
      </c>
      <c r="H348" s="122" cm="1">
        <f t="array" aca="1" ref="H348" ca="1">IF($D348&lt;&gt;"Serviço",0,IF(ACOMPANHAMENTO="BM",ROUND(OFFSET(ORÇAMENTO!AJ$15,ROW(H348)-ROW(H$15),0),15-13*ORÇAMENTO!$AF$7),SUMPRODUCT(($Q$1:$AI$1=1)*ROUND($Q348:$AI348,15-13*ORÇAMENTO!$AF$7))))</f>
        <v>2</v>
      </c>
      <c r="I348" s="468" t="s">
        <v>1360</v>
      </c>
      <c r="J348" s="640" t="str" cm="1">
        <f t="array" aca="1" ref="J348" ca="1">IF(OR(B348&lt;&gt;"S",CÁLCULO.FrentesPreenchidas=0),"",IF(AND(ACOMPANHAMENTO="PLE",AUTOEVENTO="Manual",OR(H348&gt;0,ORÇAMENTO!AC348="QUANT."),OR(K348="",M348=0,N348="")),"►E",IF(AND(ACOMPANHAMENTO="PLE",ORÇAMENTO!AC348="QUANT."),"►Q",IF(AND(ACOMPANHAMENTO="PLE",H348&lt;&gt;SUMPRODUCT(($Q$1:$AI$1=1)*ROUND(Q348:AI348,15))),"►S",IF(AND(COUNTIF($P$11:$AI$11,"▼")=0,H348&gt;0,I348=""),"◄M","")))))</f>
        <v/>
      </c>
      <c r="K348" s="641" t="s">
        <v>1385</v>
      </c>
      <c r="L348" s="165" t="s">
        <v>764</v>
      </c>
      <c r="M348" s="166">
        <f ca="1">IF($D348&lt;&gt;"Serviço","",
          IF(AUTOEVENTO="manual",$A348,
                IF(ISERROR(MATCH($A348,$A$15:OFFSET($A348,-1,0),0)),MAX($M$15:OFFSET(M348,-1,0))+1,
                      INDEX($M$15:OFFSET(M348,-1,0),MATCH($A348,$A$15:OFFSET($A348,-1,0),0)))))</f>
        <v>6</v>
      </c>
      <c r="N348" s="167" t="str">
        <f ca="1">IF($D348&lt;&gt;"Serviço","",
         IF(AUTOEVENTO="Manual",
                IF($A348=0,"&lt;-- defina o número do agrupador",
                       OFFSET(EVENTOS!$D$15,$A348-$A$15,0)),
                OFFSET($F$15,$A348,0)))</f>
        <v>Saneamento</v>
      </c>
      <c r="O348" s="168"/>
      <c r="Q348" s="168"/>
      <c r="R348" s="169"/>
      <c r="S348" s="169"/>
      <c r="T348" s="169"/>
      <c r="U348" s="169"/>
      <c r="V348" s="169">
        <f>2</f>
        <v>2</v>
      </c>
      <c r="W348" s="169"/>
      <c r="X348" s="169"/>
      <c r="Y348" s="169"/>
      <c r="Z348" s="170"/>
      <c r="AA348" s="169"/>
      <c r="AB348" s="169"/>
      <c r="AC348" s="169"/>
      <c r="AD348" s="169"/>
      <c r="AE348" s="169"/>
      <c r="AF348" s="169"/>
      <c r="AG348" s="169"/>
      <c r="AH348" s="170"/>
      <c r="AJ348" s="453">
        <f ca="1">IF(AND($D348="Serviço",AJ$12&lt;&gt;0,$H348&gt;0,OR(AUTOEVENTO&lt;&gt;"manual",$M348&lt;&gt;$A$15)),
        IF(Import.TipoArredondamento&lt;&gt;"TransfereGOV",
              ROUND(OFFSET($P348,0,AJ$13),15-13*ORÇAMENTO!$AF$7)/$H348*OFFSET(ORÇAMENTO!$X$15,ROW(AJ348)-ROW(AJ$15),0),
              ROUND(ROUND(OFFSET($P348,0,AJ$13),15-13*ORÇAMENTO!$AF$7)*OFFSET(ORÇAMENTO!$W$15,ROW(AJ348)-ROW(AJ$15),0),15-13*ORÇAMENTO!$AF$11)),
         0)</f>
        <v>0</v>
      </c>
      <c r="AK348" s="453">
        <f ca="1">IF(AND($D348="Serviço",AK$12&lt;&gt;0,$H348&gt;0,OR(AUTOEVENTO&lt;&gt;"manual",$M348&lt;&gt;$A$15)),
        IF(Import.TipoArredondamento&lt;&gt;"TransfereGOV",
              ROUND(OFFSET($P348,0,AK$13),15-13*ORÇAMENTO!$AF$7)/$H348*OFFSET(ORÇAMENTO!$X$15,ROW(AK348)-ROW(AK$15),0),
              ROUND(ROUND(OFFSET($P348,0,AK$13),15-13*ORÇAMENTO!$AF$7)*OFFSET(ORÇAMENTO!$W$15,ROW(AK348)-ROW(AK$15),0),15-13*ORÇAMENTO!$AF$11)),
         0)</f>
        <v>0</v>
      </c>
      <c r="AL348" s="453">
        <f ca="1">IF(AND($D348="Serviço",AL$12&lt;&gt;0,$H348&gt;0,OR(AUTOEVENTO&lt;&gt;"manual",$M348&lt;&gt;$A$15)),
        IF(Import.TipoArredondamento&lt;&gt;"TransfereGOV",
              ROUND(OFFSET($P348,0,AL$13),15-13*ORÇAMENTO!$AF$7)/$H348*OFFSET(ORÇAMENTO!$X$15,ROW(AL348)-ROW(AL$15),0),
              ROUND(ROUND(OFFSET($P348,0,AL$13),15-13*ORÇAMENTO!$AF$7)*OFFSET(ORÇAMENTO!$W$15,ROW(AL348)-ROW(AL$15),0),15-13*ORÇAMENTO!$AF$11)),
         0)</f>
        <v>0</v>
      </c>
      <c r="AM348" s="453">
        <f ca="1">IF(AND($D348="Serviço",AM$12&lt;&gt;0,$H348&gt;0,OR(AUTOEVENTO&lt;&gt;"manual",$M348&lt;&gt;$A$15)),
        IF(Import.TipoArredondamento&lt;&gt;"TransfereGOV",
              ROUND(OFFSET($P348,0,AM$13),15-13*ORÇAMENTO!$AF$7)/$H348*OFFSET(ORÇAMENTO!$X$15,ROW(AM348)-ROW(AM$15),0),
              ROUND(ROUND(OFFSET($P348,0,AM$13),15-13*ORÇAMENTO!$AF$7)*OFFSET(ORÇAMENTO!$W$15,ROW(AM348)-ROW(AM$15),0),15-13*ORÇAMENTO!$AF$11)),
         0)</f>
        <v>0</v>
      </c>
      <c r="AN348" s="453">
        <f ca="1">IF(AND($D348="Serviço",AN$12&lt;&gt;0,$H348&gt;0,OR(AUTOEVENTO&lt;&gt;"manual",$M348&lt;&gt;$A$15)),
        IF(Import.TipoArredondamento&lt;&gt;"TransfereGOV",
              ROUND(OFFSET($P348,0,AN$13),15-13*ORÇAMENTO!$AF$7)/$H348*OFFSET(ORÇAMENTO!$X$15,ROW(AN348)-ROW(AN$15),0),
              ROUND(ROUND(OFFSET($P348,0,AN$13),15-13*ORÇAMENTO!$AF$7)*OFFSET(ORÇAMENTO!$W$15,ROW(AN348)-ROW(AN$15),0),15-13*ORÇAMENTO!$AF$11)),
         0)</f>
        <v>0</v>
      </c>
      <c r="AO348" s="453">
        <f ca="1">IF(AND($D348="Serviço",AO$12&lt;&gt;0,$H348&gt;0,OR(AUTOEVENTO&lt;&gt;"manual",$M348&lt;&gt;$A$15)),
        IF(Import.TipoArredondamento&lt;&gt;"TransfereGOV",
              ROUND(OFFSET($P348,0,AO$13),15-13*ORÇAMENTO!$AF$7)/$H348*OFFSET(ORÇAMENTO!$X$15,ROW(AO348)-ROW(AO$15),0),
              ROUND(ROUND(OFFSET($P348,0,AO$13),15-13*ORÇAMENTO!$AF$7)*OFFSET(ORÇAMENTO!$W$15,ROW(AO348)-ROW(AO$15),0),15-13*ORÇAMENTO!$AF$11)),
         0)</f>
        <v>0</v>
      </c>
      <c r="AP348" s="453">
        <f ca="1">IF(AND($D348="Serviço",AP$12&lt;&gt;0,$H348&gt;0,OR(AUTOEVENTO&lt;&gt;"manual",$M348&lt;&gt;$A$15)),
        IF(Import.TipoArredondamento&lt;&gt;"TransfereGOV",
              ROUND(OFFSET($P348,0,AP$13),15-13*ORÇAMENTO!$AF$7)/$H348*OFFSET(ORÇAMENTO!$X$15,ROW(AP348)-ROW(AP$15),0),
              ROUND(ROUND(OFFSET($P348,0,AP$13),15-13*ORÇAMENTO!$AF$7)*OFFSET(ORÇAMENTO!$W$15,ROW(AP348)-ROW(AP$15),0),15-13*ORÇAMENTO!$AF$11)),
         0)</f>
        <v>0</v>
      </c>
      <c r="AQ348" s="453">
        <f ca="1">IF(AND($D348="Serviço",AQ$12&lt;&gt;0,$H348&gt;0,OR(AUTOEVENTO&lt;&gt;"manual",$M348&lt;&gt;$A$15)),
        IF(Import.TipoArredondamento&lt;&gt;"TransfereGOV",
              ROUND(OFFSET($P348,0,AQ$13),15-13*ORÇAMENTO!$AF$7)/$H348*OFFSET(ORÇAMENTO!$X$15,ROW(AQ348)-ROW(AQ$15),0),
              ROUND(ROUND(OFFSET($P348,0,AQ$13),15-13*ORÇAMENTO!$AF$7)*OFFSET(ORÇAMENTO!$W$15,ROW(AQ348)-ROW(AQ$15),0),15-13*ORÇAMENTO!$AF$11)),
         0)</f>
        <v>0</v>
      </c>
      <c r="AR348" s="453">
        <f ca="1">IF(AND($D348="Serviço",AR$12&lt;&gt;0,$H348&gt;0,OR(AUTOEVENTO&lt;&gt;"manual",$M348&lt;&gt;$A$15)),
        IF(Import.TipoArredondamento&lt;&gt;"TransfereGOV",
              ROUND(OFFSET($P348,0,AR$13),15-13*ORÇAMENTO!$AF$7)/$H348*OFFSET(ORÇAMENTO!$X$15,ROW(AR348)-ROW(AR$15),0),
              ROUND(ROUND(OFFSET($P348,0,AR$13),15-13*ORÇAMENTO!$AF$7)*OFFSET(ORÇAMENTO!$W$15,ROW(AR348)-ROW(AR$15),0),15-13*ORÇAMENTO!$AF$11)),
         0)</f>
        <v>0</v>
      </c>
      <c r="AS348" s="453">
        <f ca="1">IF(AND($D348="Serviço",AS$12&lt;&gt;0,$H348&gt;0,OR(AUTOEVENTO&lt;&gt;"manual",$M348&lt;&gt;$A$15)),
        IF(Import.TipoArredondamento&lt;&gt;"TransfereGOV",
              ROUND(OFFSET($P348,0,AS$13),15-13*ORÇAMENTO!$AF$7)/$H348*OFFSET(ORÇAMENTO!$X$15,ROW(AS348)-ROW(AS$15),0),
              ROUND(ROUND(OFFSET($P348,0,AS$13),15-13*ORÇAMENTO!$AF$7)*OFFSET(ORÇAMENTO!$W$15,ROW(AS348)-ROW(AS$15),0),15-13*ORÇAMENTO!$AF$11)),
         0)</f>
        <v>0</v>
      </c>
      <c r="AT348" s="453">
        <f ca="1">IF(AND($D348="Serviço",AT$12&lt;&gt;0,$H348&gt;0,OR(AUTOEVENTO&lt;&gt;"manual",$M348&lt;&gt;$A$15)),
        IF(Import.TipoArredondamento&lt;&gt;"TransfereGOV",
              ROUND(OFFSET($P348,0,AT$13),15-13*ORÇAMENTO!$AF$7)/$H348*OFFSET(ORÇAMENTO!$X$15,ROW(AT348)-ROW(AT$15),0),
              ROUND(ROUND(OFFSET($P348,0,AT$13),15-13*ORÇAMENTO!$AF$7)*OFFSET(ORÇAMENTO!$W$15,ROW(AT348)-ROW(AT$15),0),15-13*ORÇAMENTO!$AF$11)),
         0)</f>
        <v>0</v>
      </c>
      <c r="AU348" s="453">
        <f ca="1">IF(AND($D348="Serviço",AU$12&lt;&gt;0,$H348&gt;0,OR(AUTOEVENTO&lt;&gt;"manual",$M348&lt;&gt;$A$15)),
        IF(Import.TipoArredondamento&lt;&gt;"TransfereGOV",
              ROUND(OFFSET($P348,0,AU$13),15-13*ORÇAMENTO!$AF$7)/$H348*OFFSET(ORÇAMENTO!$X$15,ROW(AU348)-ROW(AU$15),0),
              ROUND(ROUND(OFFSET($P348,0,AU$13),15-13*ORÇAMENTO!$AF$7)*OFFSET(ORÇAMENTO!$W$15,ROW(AU348)-ROW(AU$15),0),15-13*ORÇAMENTO!$AF$11)),
         0)</f>
        <v>0</v>
      </c>
      <c r="AV348" s="453">
        <f ca="1">IF(AND($D348="Serviço",AV$12&lt;&gt;0,$H348&gt;0,OR(AUTOEVENTO&lt;&gt;"manual",$M348&lt;&gt;$A$15)),
        IF(Import.TipoArredondamento&lt;&gt;"TransfereGOV",
              ROUND(OFFSET($P348,0,AV$13),15-13*ORÇAMENTO!$AF$7)/$H348*OFFSET(ORÇAMENTO!$X$15,ROW(AV348)-ROW(AV$15),0),
              ROUND(ROUND(OFFSET($P348,0,AV$13),15-13*ORÇAMENTO!$AF$7)*OFFSET(ORÇAMENTO!$W$15,ROW(AV348)-ROW(AV$15),0),15-13*ORÇAMENTO!$AF$11)),
         0)</f>
        <v>0</v>
      </c>
      <c r="AW348" s="453">
        <f ca="1">IF(AND($D348="Serviço",AW$12&lt;&gt;0,$H348&gt;0,OR(AUTOEVENTO&lt;&gt;"manual",$M348&lt;&gt;$A$15)),
        IF(Import.TipoArredondamento&lt;&gt;"TransfereGOV",
              ROUND(OFFSET($P348,0,AW$13),15-13*ORÇAMENTO!$AF$7)/$H348*OFFSET(ORÇAMENTO!$X$15,ROW(AW348)-ROW(AW$15),0),
              ROUND(ROUND(OFFSET($P348,0,AW$13),15-13*ORÇAMENTO!$AF$7)*OFFSET(ORÇAMENTO!$W$15,ROW(AW348)-ROW(AW$15),0),15-13*ORÇAMENTO!$AF$11)),
         0)</f>
        <v>0</v>
      </c>
      <c r="AX348" s="453">
        <f ca="1">IF(AND($D348="Serviço",AX$12&lt;&gt;0,$H348&gt;0,OR(AUTOEVENTO&lt;&gt;"manual",$M348&lt;&gt;$A$15)),
        IF(Import.TipoArredondamento&lt;&gt;"TransfereGOV",
              ROUND(OFFSET($P348,0,AX$13),15-13*ORÇAMENTO!$AF$7)/$H348*OFFSET(ORÇAMENTO!$X$15,ROW(AX348)-ROW(AX$15),0),
              ROUND(ROUND(OFFSET($P348,0,AX$13),15-13*ORÇAMENTO!$AF$7)*OFFSET(ORÇAMENTO!$W$15,ROW(AX348)-ROW(AX$15),0),15-13*ORÇAMENTO!$AF$11)),
         0)</f>
        <v>0</v>
      </c>
      <c r="AY348" s="453">
        <f ca="1">IF(AND($D348="Serviço",AY$12&lt;&gt;0,$H348&gt;0,OR(AUTOEVENTO&lt;&gt;"manual",$M348&lt;&gt;$A$15)),
        IF(Import.TipoArredondamento&lt;&gt;"TransfereGOV",
              ROUND(OFFSET($P348,0,AY$13),15-13*ORÇAMENTO!$AF$7)/$H348*OFFSET(ORÇAMENTO!$X$15,ROW(AY348)-ROW(AY$15),0),
              ROUND(ROUND(OFFSET($P348,0,AY$13),15-13*ORÇAMENTO!$AF$7)*OFFSET(ORÇAMENTO!$W$15,ROW(AY348)-ROW(AY$15),0),15-13*ORÇAMENTO!$AF$11)),
         0)</f>
        <v>0</v>
      </c>
      <c r="AZ348" s="453">
        <f ca="1">IF(AND($D348="Serviço",AZ$12&lt;&gt;0,$H348&gt;0,OR(AUTOEVENTO&lt;&gt;"manual",$M348&lt;&gt;$A$15)),
        IF(Import.TipoArredondamento&lt;&gt;"TransfereGOV",
              ROUND(OFFSET($P348,0,AZ$13),15-13*ORÇAMENTO!$AF$7)/$H348*OFFSET(ORÇAMENTO!$X$15,ROW(AZ348)-ROW(AZ$15),0),
              ROUND(ROUND(OFFSET($P348,0,AZ$13),15-13*ORÇAMENTO!$AF$7)*OFFSET(ORÇAMENTO!$W$15,ROW(AZ348)-ROW(AZ$15),0),15-13*ORÇAMENTO!$AF$11)),
         0)</f>
        <v>0</v>
      </c>
      <c r="BA348" s="453">
        <f ca="1">IF(AND($D348="Serviço",BA$12&lt;&gt;0,$H348&gt;0,OR(AUTOEVENTO&lt;&gt;"manual",$M348&lt;&gt;$A$15)),
        IF(Import.TipoArredondamento&lt;&gt;"TransfereGOV",
              ROUND(OFFSET($P348,0,BA$13),15-13*ORÇAMENTO!$AF$7)/$H348*OFFSET(ORÇAMENTO!$X$15,ROW(BA348)-ROW(BA$15),0),
              ROUND(ROUND(OFFSET($P348,0,BA$13),15-13*ORÇAMENTO!$AF$7)*OFFSET(ORÇAMENTO!$W$15,ROW(BA348)-ROW(BA$15),0),15-13*ORÇAMENTO!$AF$11)),
         0)</f>
        <v>0</v>
      </c>
      <c r="BC348" s="171">
        <f ca="1">IF(OR($D348&lt;&gt;"Serviço",AND(AUTOEVENTO="Manual",$M348=$A$15)),0,
         IF(OFFSET(CRONOPLE!$F$15,$M348-$A$15,BC$13)=0,10^12,OFFSET(CRONOPLE!$F$15,$M348-$A$15,BC$13)))</f>
        <v>1</v>
      </c>
      <c r="BD348" s="171">
        <f ca="1">IF(OR($D348&lt;&gt;"Serviço",AND(AUTOEVENTO="Manual",$M348=$A$15)),0,
         IF(OFFSET(CRONOPLE!$F$15,$M348-$A$15,BD$13)=0,10^12,OFFSET(CRONOPLE!$F$15,$M348-$A$15,BD$13)))</f>
        <v>2</v>
      </c>
      <c r="BE348" s="171">
        <f ca="1">IF(OR($D348&lt;&gt;"Serviço",AND(AUTOEVENTO="Manual",$M348=$A$15)),0,
         IF(OFFSET(CRONOPLE!$F$15,$M348-$A$15,BE$13)=0,10^12,OFFSET(CRONOPLE!$F$15,$M348-$A$15,BE$13)))</f>
        <v>3</v>
      </c>
      <c r="BF348" s="171">
        <f ca="1">IF(OR($D348&lt;&gt;"Serviço",AND(AUTOEVENTO="Manual",$M348=$A$15)),0,
         IF(OFFSET(CRONOPLE!$F$15,$M348-$A$15,BF$13)=0,10^12,OFFSET(CRONOPLE!$F$15,$M348-$A$15,BF$13)))</f>
        <v>4</v>
      </c>
      <c r="BG348" s="171">
        <f ca="1">IF(OR($D348&lt;&gt;"Serviço",AND(AUTOEVENTO="Manual",$M348=$A$15)),0,
         IF(OFFSET(CRONOPLE!$F$15,$M348-$A$15,BG$13)=0,10^12,OFFSET(CRONOPLE!$F$15,$M348-$A$15,BG$13)))</f>
        <v>5</v>
      </c>
      <c r="BH348" s="171">
        <f ca="1">IF(OR($D348&lt;&gt;"Serviço",AND(AUTOEVENTO="Manual",$M348=$A$15)),0,
         IF(OFFSET(CRONOPLE!$F$15,$M348-$A$15,BH$13)=0,10^12,OFFSET(CRONOPLE!$F$15,$M348-$A$15,BH$13)))</f>
        <v>6</v>
      </c>
      <c r="BI348" s="171">
        <f ca="1">IF(OR($D348&lt;&gt;"Serviço",AND(AUTOEVENTO="Manual",$M348=$A$15)),0,
         IF(OFFSET(CRONOPLE!$F$15,$M348-$A$15,BI$13)=0,10^12,OFFSET(CRONOPLE!$F$15,$M348-$A$15,BI$13)))</f>
        <v>7</v>
      </c>
      <c r="BJ348" s="171">
        <f ca="1">IF(OR($D348&lt;&gt;"Serviço",AND(AUTOEVENTO="Manual",$M348=$A$15)),0,
         IF(OFFSET(CRONOPLE!$F$15,$M348-$A$15,BJ$13)=0,10^12,OFFSET(CRONOPLE!$F$15,$M348-$A$15,BJ$13)))</f>
        <v>8</v>
      </c>
      <c r="BK348" s="171">
        <f ca="1">IF(OR($D348&lt;&gt;"Serviço",AND(AUTOEVENTO="Manual",$M348=$A$15)),0,
         IF(OFFSET(CRONOPLE!$F$15,$M348-$A$15,BK$13)=0,10^12,OFFSET(CRONOPLE!$F$15,$M348-$A$15,BK$13)))</f>
        <v>9</v>
      </c>
      <c r="BL348" s="171">
        <f ca="1">IF(OR($D348&lt;&gt;"Serviço",AND(AUTOEVENTO="Manual",$M348=$A$15)),0,
         IF(OFFSET(CRONOPLE!$F$15,$M348-$A$15,BL$13)=0,10^12,OFFSET(CRONOPLE!$F$15,$M348-$A$15,BL$13)))</f>
        <v>1000000000000</v>
      </c>
      <c r="BM348" s="171">
        <f ca="1">IF(OR($D348&lt;&gt;"Serviço",AND(AUTOEVENTO="Manual",$M348=$A$15)),0,
         IF(OFFSET(CRONOPLE!$F$15,$M348-$A$15,BM$13)=0,10^12,OFFSET(CRONOPLE!$F$15,$M348-$A$15,BM$13)))</f>
        <v>1000000000000</v>
      </c>
      <c r="BN348" s="171">
        <f ca="1">IF(OR($D348&lt;&gt;"Serviço",AND(AUTOEVENTO="Manual",$M348=$A$15)),0,
         IF(OFFSET(CRONOPLE!$F$15,$M348-$A$15,BN$13)=0,10^12,OFFSET(CRONOPLE!$F$15,$M348-$A$15,BN$13)))</f>
        <v>1000000000000</v>
      </c>
      <c r="BO348" s="171">
        <f ca="1">IF(OR($D348&lt;&gt;"Serviço",AND(AUTOEVENTO="Manual",$M348=$A$15)),0,
         IF(OFFSET(CRONOPLE!$F$15,$M348-$A$15,BO$13)=0,10^12,OFFSET(CRONOPLE!$F$15,$M348-$A$15,BO$13)))</f>
        <v>1000000000000</v>
      </c>
      <c r="BP348" s="171">
        <f ca="1">IF(OR($D348&lt;&gt;"Serviço",AND(AUTOEVENTO="Manual",$M348=$A$15)),0,
         IF(OFFSET(CRONOPLE!$F$15,$M348-$A$15,BP$13)=0,10^12,OFFSET(CRONOPLE!$F$15,$M348-$A$15,BP$13)))</f>
        <v>1000000000000</v>
      </c>
      <c r="BQ348" s="171">
        <f ca="1">IF(OR($D348&lt;&gt;"Serviço",AND(AUTOEVENTO="Manual",$M348=$A$15)),0,
         IF(OFFSET(CRONOPLE!$F$15,$M348-$A$15,BQ$13)=0,10^12,OFFSET(CRONOPLE!$F$15,$M348-$A$15,BQ$13)))</f>
        <v>1000000000000</v>
      </c>
      <c r="BR348" s="171">
        <f ca="1">IF(OR($D348&lt;&gt;"Serviço",AND(AUTOEVENTO="Manual",$M348=$A$15)),0,
         IF(OFFSET(CRONOPLE!$F$15,$M348-$A$15,BR$13)=0,10^12,OFFSET(CRONOPLE!$F$15,$M348-$A$15,BR$13)))</f>
        <v>1000000000000</v>
      </c>
      <c r="BS348" s="171">
        <f ca="1">IF(OR($D348&lt;&gt;"Serviço",AND(AUTOEVENTO="Manual",$M348=$A$15)),0,
         IF(OFFSET(CRONOPLE!$F$15,$M348-$A$15,BS$13)=0,10^12,OFFSET(CRONOPLE!$F$15,$M348-$A$15,BS$13)))</f>
        <v>1000000000000</v>
      </c>
      <c r="BT348" s="171">
        <f ca="1">IF(OR($D348&lt;&gt;"Serviço",AND(AUTOEVENTO="Manual",$M348=$A$15)),0,
         IF(OFFSET(CRONOPLE!$F$15,$M348-$A$15,BT$13)=0,10^12,OFFSET(CRONOPLE!$F$15,$M348-$A$15,BT$13)))</f>
        <v>1000000000000</v>
      </c>
      <c r="BV348" s="172">
        <f ca="1">IF(OR($D348&lt;&gt;"Serviço",AND(AUTOEVENTO="Manual",$M348=$A$15),$M348&gt;(ROW(PLE.lastrow)-ROW(PLE.firstrow))),0,
           IF(OFFSET(PLE!$G$15,$M348-$A$15,BV$13)="",10^12,OFFSET(PLE!$G$15,$M348-$A$15,BV$13)))</f>
        <v>1000000000000</v>
      </c>
      <c r="BW348" s="172">
        <f ca="1">IF(OR($D348&lt;&gt;"Serviço",AND(AUTOEVENTO="Manual",$M348=$A$15),$M348&gt;(ROW(PLE.lastrow)-ROW(PLE.firstrow))),0,
           IF(OFFSET(PLE!$G$15,$M348-$A$15,BW$13)="",10^12,OFFSET(PLE!$G$15,$M348-$A$15,BW$13)))</f>
        <v>1000000000000</v>
      </c>
      <c r="BX348" s="172">
        <f ca="1">IF(OR($D348&lt;&gt;"Serviço",AND(AUTOEVENTO="Manual",$M348=$A$15),$M348&gt;(ROW(PLE.lastrow)-ROW(PLE.firstrow))),0,
           IF(OFFSET(PLE!$G$15,$M348-$A$15,BX$13)="",10^12,OFFSET(PLE!$G$15,$M348-$A$15,BX$13)))</f>
        <v>1000000000000</v>
      </c>
      <c r="BY348" s="172">
        <f ca="1">IF(OR($D348&lt;&gt;"Serviço",AND(AUTOEVENTO="Manual",$M348=$A$15),$M348&gt;(ROW(PLE.lastrow)-ROW(PLE.firstrow))),0,
           IF(OFFSET(PLE!$G$15,$M348-$A$15,BY$13)="",10^12,OFFSET(PLE!$G$15,$M348-$A$15,BY$13)))</f>
        <v>1000000000000</v>
      </c>
      <c r="BZ348" s="172">
        <f ca="1">IF(OR($D348&lt;&gt;"Serviço",AND(AUTOEVENTO="Manual",$M348=$A$15),$M348&gt;(ROW(PLE.lastrow)-ROW(PLE.firstrow))),0,
           IF(OFFSET(PLE!$G$15,$M348-$A$15,BZ$13)="",10^12,OFFSET(PLE!$G$15,$M348-$A$15,BZ$13)))</f>
        <v>1000000000000</v>
      </c>
      <c r="CA348" s="172">
        <f ca="1">IF(OR($D348&lt;&gt;"Serviço",AND(AUTOEVENTO="Manual",$M348=$A$15),$M348&gt;(ROW(PLE.lastrow)-ROW(PLE.firstrow))),0,
           IF(OFFSET(PLE!$G$15,$M348-$A$15,CA$13)="",10^12,OFFSET(PLE!$G$15,$M348-$A$15,CA$13)))</f>
        <v>1000000000000</v>
      </c>
      <c r="CB348" s="172">
        <f ca="1">IF(OR($D348&lt;&gt;"Serviço",AND(AUTOEVENTO="Manual",$M348=$A$15),$M348&gt;(ROW(PLE.lastrow)-ROW(PLE.firstrow))),0,
           IF(OFFSET(PLE!$G$15,$M348-$A$15,CB$13)="",10^12,OFFSET(PLE!$G$15,$M348-$A$15,CB$13)))</f>
        <v>1000000000000</v>
      </c>
      <c r="CC348" s="172">
        <f ca="1">IF(OR($D348&lt;&gt;"Serviço",AND(AUTOEVENTO="Manual",$M348=$A$15),$M348&gt;(ROW(PLE.lastrow)-ROW(PLE.firstrow))),0,
           IF(OFFSET(PLE!$G$15,$M348-$A$15,CC$13)="",10^12,OFFSET(PLE!$G$15,$M348-$A$15,CC$13)))</f>
        <v>1000000000000</v>
      </c>
      <c r="CD348" s="172">
        <f ca="1">IF(OR($D348&lt;&gt;"Serviço",AND(AUTOEVENTO="Manual",$M348=$A$15),$M348&gt;(ROW(PLE.lastrow)-ROW(PLE.firstrow))),0,
           IF(OFFSET(PLE!$G$15,$M348-$A$15,CD$13)="",10^12,OFFSET(PLE!$G$15,$M348-$A$15,CD$13)))</f>
        <v>1000000000000</v>
      </c>
      <c r="CE348" s="172">
        <f ca="1">IF(OR($D348&lt;&gt;"Serviço",AND(AUTOEVENTO="Manual",$M348=$A$15),$M348&gt;(ROW(PLE.lastrow)-ROW(PLE.firstrow))),0,
           IF(OFFSET(PLE!$G$15,$M348-$A$15,CE$13)="",10^12,OFFSET(PLE!$G$15,$M348-$A$15,CE$13)))</f>
        <v>1000000000000</v>
      </c>
      <c r="CF348" s="172">
        <f ca="1">IF(OR($D348&lt;&gt;"Serviço",AND(AUTOEVENTO="Manual",$M348=$A$15),$M348&gt;(ROW(PLE.lastrow)-ROW(PLE.firstrow))),0,
           IF(OFFSET(PLE!$G$15,$M348-$A$15,CF$13)="",10^12,OFFSET(PLE!$G$15,$M348-$A$15,CF$13)))</f>
        <v>1000000000000</v>
      </c>
      <c r="CG348" s="172">
        <f ca="1">IF(OR($D348&lt;&gt;"Serviço",AND(AUTOEVENTO="Manual",$M348=$A$15),$M348&gt;(ROW(PLE.lastrow)-ROW(PLE.firstrow))),0,
           IF(OFFSET(PLE!$G$15,$M348-$A$15,CG$13)="",10^12,OFFSET(PLE!$G$15,$M348-$A$15,CG$13)))</f>
        <v>1000000000000</v>
      </c>
      <c r="CH348" s="172">
        <f ca="1">IF(OR($D348&lt;&gt;"Serviço",AND(AUTOEVENTO="Manual",$M348=$A$15),$M348&gt;(ROW(PLE.lastrow)-ROW(PLE.firstrow))),0,
           IF(OFFSET(PLE!$G$15,$M348-$A$15,CH$13)="",10^12,OFFSET(PLE!$G$15,$M348-$A$15,CH$13)))</f>
        <v>1000000000000</v>
      </c>
      <c r="CI348" s="172">
        <f ca="1">IF(OR($D348&lt;&gt;"Serviço",AND(AUTOEVENTO="Manual",$M348=$A$15),$M348&gt;(ROW(PLE.lastrow)-ROW(PLE.firstrow))),0,
           IF(OFFSET(PLE!$G$15,$M348-$A$15,CI$13)="",10^12,OFFSET(PLE!$G$15,$M348-$A$15,CI$13)))</f>
        <v>1000000000000</v>
      </c>
      <c r="CJ348" s="172">
        <f ca="1">IF(OR($D348&lt;&gt;"Serviço",AND(AUTOEVENTO="Manual",$M348=$A$15),$M348&gt;(ROW(PLE.lastrow)-ROW(PLE.firstrow))),0,
           IF(OFFSET(PLE!$G$15,$M348-$A$15,CJ$13)="",10^12,OFFSET(PLE!$G$15,$M348-$A$15,CJ$13)))</f>
        <v>1000000000000</v>
      </c>
      <c r="CK348" s="172">
        <f ca="1">IF(OR($D348&lt;&gt;"Serviço",AND(AUTOEVENTO="Manual",$M348=$A$15),$M348&gt;(ROW(PLE.lastrow)-ROW(PLE.firstrow))),0,
           IF(OFFSET(PLE!$G$15,$M348-$A$15,CK$13)="",10^12,OFFSET(PLE!$G$15,$M348-$A$15,CK$13)))</f>
        <v>1000000000000</v>
      </c>
      <c r="CL348" s="172">
        <f ca="1">IF(OR($D348&lt;&gt;"Serviço",AND(AUTOEVENTO="Manual",$M348=$A$15),$M348&gt;(ROW(PLE.lastrow)-ROW(PLE.firstrow))),0,
           IF(OFFSET(PLE!$G$15,$M348-$A$15,CL$13)="",10^12,OFFSET(PLE!$G$15,$M348-$A$15,CL$13)))</f>
        <v>1000000000000</v>
      </c>
      <c r="CM348" s="172">
        <f ca="1">IF(OR($D348&lt;&gt;"Serviço",AND(AUTOEVENTO="Manual",$M348=$A$15),$M348&gt;(ROW(PLE.lastrow)-ROW(PLE.firstrow))),0,
           IF(OFFSET(PLE!$G$15,$M348-$A$15,CM$13)="",10^12,OFFSET(PLE!$G$15,$M348-$A$15,CM$13)))</f>
        <v>1000000000000</v>
      </c>
    </row>
    <row r="349" spans="1:91" ht="63.75" x14ac:dyDescent="0.2">
      <c r="A349" s="7">
        <f t="shared" ca="1" si="15"/>
        <v>6</v>
      </c>
      <c r="B349" s="7" t="str">
        <f ca="1">OFFSET(ORÇAMENTO!C$15,ROW(B349)-ROW(B$15),0)</f>
        <v>S</v>
      </c>
      <c r="C349" s="7" t="str">
        <f ca="1">OFFSET(ORÇAMENTO!L$15,ROW(C349)-ROW(C$15),0)</f>
        <v>F</v>
      </c>
      <c r="D349" s="116" t="str">
        <f ca="1">OFFSET(ORÇAMENTO!N$15,ROW(D349)-ROW(D$15),0)</f>
        <v>Serviço</v>
      </c>
      <c r="E349" s="117" t="str">
        <f ca="1">OFFSET(ORÇAMENTO!O$15,ROW(E349)-ROW(E$15),0)</f>
        <v>1.7.6.1.8.</v>
      </c>
      <c r="F349" s="163" t="str">
        <f ca="1">OFFSET(ORÇAMENTO!R$15,ROW(F349)-ROW(F$15),0)</f>
        <v>JUNTA DE DESMONTAGEM AXIAL FoFo - DN 150 MM</v>
      </c>
      <c r="G349" s="164" t="str">
        <f ca="1">IF($D349&lt;&gt;"Serviço","",OFFSET(ORÇAMENTO!S$15,ROW(G349)-ROW(G$15),0))</f>
        <v>UN</v>
      </c>
      <c r="H349" s="122" cm="1">
        <f t="array" aca="1" ref="H349" ca="1">IF($D349&lt;&gt;"Serviço",0,IF(ACOMPANHAMENTO="BM",ROUND(OFFSET(ORÇAMENTO!AJ$15,ROW(H349)-ROW(H$15),0),15-13*ORÇAMENTO!$AF$7),SUMPRODUCT(($Q$1:$AI$1=1)*ROUND($Q349:$AI349,15-13*ORÇAMENTO!$AF$7))))</f>
        <v>2</v>
      </c>
      <c r="I349" s="468" t="s">
        <v>1360</v>
      </c>
      <c r="J349" s="640" t="str" cm="1">
        <f t="array" aca="1" ref="J349" ca="1">IF(OR(B349&lt;&gt;"S",CÁLCULO.FrentesPreenchidas=0),"",IF(AND(ACOMPANHAMENTO="PLE",AUTOEVENTO="Manual",OR(H349&gt;0,ORÇAMENTO!AC349="QUANT."),OR(K349="",M349=0,N349="")),"►E",IF(AND(ACOMPANHAMENTO="PLE",ORÇAMENTO!AC349="QUANT."),"►Q",IF(AND(ACOMPANHAMENTO="PLE",H349&lt;&gt;SUMPRODUCT(($Q$1:$AI$1=1)*ROUND(Q349:AI349,15))),"►S",IF(AND(COUNTIF($P$11:$AI$11,"▼")=0,H349&gt;0,I349=""),"◄M","")))))</f>
        <v/>
      </c>
      <c r="K349" s="641" t="s">
        <v>1385</v>
      </c>
      <c r="L349" s="165" t="s">
        <v>764</v>
      </c>
      <c r="M349" s="166">
        <f ca="1">IF($D349&lt;&gt;"Serviço","",
          IF(AUTOEVENTO="manual",$A349,
                IF(ISERROR(MATCH($A349,$A$15:OFFSET($A349,-1,0),0)),MAX($M$15:OFFSET(M349,-1,0))+1,
                      INDEX($M$15:OFFSET(M349,-1,0),MATCH($A349,$A$15:OFFSET($A349,-1,0),0)))))</f>
        <v>6</v>
      </c>
      <c r="N349" s="167" t="str">
        <f ca="1">IF($D349&lt;&gt;"Serviço","",
         IF(AUTOEVENTO="Manual",
                IF($A349=0,"&lt;-- defina o número do agrupador",
                       OFFSET(EVENTOS!$D$15,$A349-$A$15,0)),
                OFFSET($F$15,$A349,0)))</f>
        <v>Saneamento</v>
      </c>
      <c r="O349" s="168"/>
      <c r="Q349" s="168"/>
      <c r="R349" s="169"/>
      <c r="S349" s="169"/>
      <c r="T349" s="169"/>
      <c r="U349" s="169"/>
      <c r="V349" s="169">
        <f>2</f>
        <v>2</v>
      </c>
      <c r="W349" s="169"/>
      <c r="X349" s="169"/>
      <c r="Y349" s="169"/>
      <c r="Z349" s="170"/>
      <c r="AA349" s="169"/>
      <c r="AB349" s="169"/>
      <c r="AC349" s="169"/>
      <c r="AD349" s="169"/>
      <c r="AE349" s="169"/>
      <c r="AF349" s="169"/>
      <c r="AG349" s="169"/>
      <c r="AH349" s="170"/>
      <c r="AJ349" s="453">
        <f ca="1">IF(AND($D349="Serviço",AJ$12&lt;&gt;0,$H349&gt;0,OR(AUTOEVENTO&lt;&gt;"manual",$M349&lt;&gt;$A$15)),
        IF(Import.TipoArredondamento&lt;&gt;"TransfereGOV",
              ROUND(OFFSET($P349,0,AJ$13),15-13*ORÇAMENTO!$AF$7)/$H349*OFFSET(ORÇAMENTO!$X$15,ROW(AJ349)-ROW(AJ$15),0),
              ROUND(ROUND(OFFSET($P349,0,AJ$13),15-13*ORÇAMENTO!$AF$7)*OFFSET(ORÇAMENTO!$W$15,ROW(AJ349)-ROW(AJ$15),0),15-13*ORÇAMENTO!$AF$11)),
         0)</f>
        <v>0</v>
      </c>
      <c r="AK349" s="453">
        <f ca="1">IF(AND($D349="Serviço",AK$12&lt;&gt;0,$H349&gt;0,OR(AUTOEVENTO&lt;&gt;"manual",$M349&lt;&gt;$A$15)),
        IF(Import.TipoArredondamento&lt;&gt;"TransfereGOV",
              ROUND(OFFSET($P349,0,AK$13),15-13*ORÇAMENTO!$AF$7)/$H349*OFFSET(ORÇAMENTO!$X$15,ROW(AK349)-ROW(AK$15),0),
              ROUND(ROUND(OFFSET($P349,0,AK$13),15-13*ORÇAMENTO!$AF$7)*OFFSET(ORÇAMENTO!$W$15,ROW(AK349)-ROW(AK$15),0),15-13*ORÇAMENTO!$AF$11)),
         0)</f>
        <v>0</v>
      </c>
      <c r="AL349" s="453">
        <f ca="1">IF(AND($D349="Serviço",AL$12&lt;&gt;0,$H349&gt;0,OR(AUTOEVENTO&lt;&gt;"manual",$M349&lt;&gt;$A$15)),
        IF(Import.TipoArredondamento&lt;&gt;"TransfereGOV",
              ROUND(OFFSET($P349,0,AL$13),15-13*ORÇAMENTO!$AF$7)/$H349*OFFSET(ORÇAMENTO!$X$15,ROW(AL349)-ROW(AL$15),0),
              ROUND(ROUND(OFFSET($P349,0,AL$13),15-13*ORÇAMENTO!$AF$7)*OFFSET(ORÇAMENTO!$W$15,ROW(AL349)-ROW(AL$15),0),15-13*ORÇAMENTO!$AF$11)),
         0)</f>
        <v>0</v>
      </c>
      <c r="AM349" s="453">
        <f ca="1">IF(AND($D349="Serviço",AM$12&lt;&gt;0,$H349&gt;0,OR(AUTOEVENTO&lt;&gt;"manual",$M349&lt;&gt;$A$15)),
        IF(Import.TipoArredondamento&lt;&gt;"TransfereGOV",
              ROUND(OFFSET($P349,0,AM$13),15-13*ORÇAMENTO!$AF$7)/$H349*OFFSET(ORÇAMENTO!$X$15,ROW(AM349)-ROW(AM$15),0),
              ROUND(ROUND(OFFSET($P349,0,AM$13),15-13*ORÇAMENTO!$AF$7)*OFFSET(ORÇAMENTO!$W$15,ROW(AM349)-ROW(AM$15),0),15-13*ORÇAMENTO!$AF$11)),
         0)</f>
        <v>0</v>
      </c>
      <c r="AN349" s="453">
        <f ca="1">IF(AND($D349="Serviço",AN$12&lt;&gt;0,$H349&gt;0,OR(AUTOEVENTO&lt;&gt;"manual",$M349&lt;&gt;$A$15)),
        IF(Import.TipoArredondamento&lt;&gt;"TransfereGOV",
              ROUND(OFFSET($P349,0,AN$13),15-13*ORÇAMENTO!$AF$7)/$H349*OFFSET(ORÇAMENTO!$X$15,ROW(AN349)-ROW(AN$15),0),
              ROUND(ROUND(OFFSET($P349,0,AN$13),15-13*ORÇAMENTO!$AF$7)*OFFSET(ORÇAMENTO!$W$15,ROW(AN349)-ROW(AN$15),0),15-13*ORÇAMENTO!$AF$11)),
         0)</f>
        <v>0</v>
      </c>
      <c r="AO349" s="453">
        <f ca="1">IF(AND($D349="Serviço",AO$12&lt;&gt;0,$H349&gt;0,OR(AUTOEVENTO&lt;&gt;"manual",$M349&lt;&gt;$A$15)),
        IF(Import.TipoArredondamento&lt;&gt;"TransfereGOV",
              ROUND(OFFSET($P349,0,AO$13),15-13*ORÇAMENTO!$AF$7)/$H349*OFFSET(ORÇAMENTO!$X$15,ROW(AO349)-ROW(AO$15),0),
              ROUND(ROUND(OFFSET($P349,0,AO$13),15-13*ORÇAMENTO!$AF$7)*OFFSET(ORÇAMENTO!$W$15,ROW(AO349)-ROW(AO$15),0),15-13*ORÇAMENTO!$AF$11)),
         0)</f>
        <v>0</v>
      </c>
      <c r="AP349" s="453">
        <f ca="1">IF(AND($D349="Serviço",AP$12&lt;&gt;0,$H349&gt;0,OR(AUTOEVENTO&lt;&gt;"manual",$M349&lt;&gt;$A$15)),
        IF(Import.TipoArredondamento&lt;&gt;"TransfereGOV",
              ROUND(OFFSET($P349,0,AP$13),15-13*ORÇAMENTO!$AF$7)/$H349*OFFSET(ORÇAMENTO!$X$15,ROW(AP349)-ROW(AP$15),0),
              ROUND(ROUND(OFFSET($P349,0,AP$13),15-13*ORÇAMENTO!$AF$7)*OFFSET(ORÇAMENTO!$W$15,ROW(AP349)-ROW(AP$15),0),15-13*ORÇAMENTO!$AF$11)),
         0)</f>
        <v>0</v>
      </c>
      <c r="AQ349" s="453">
        <f ca="1">IF(AND($D349="Serviço",AQ$12&lt;&gt;0,$H349&gt;0,OR(AUTOEVENTO&lt;&gt;"manual",$M349&lt;&gt;$A$15)),
        IF(Import.TipoArredondamento&lt;&gt;"TransfereGOV",
              ROUND(OFFSET($P349,0,AQ$13),15-13*ORÇAMENTO!$AF$7)/$H349*OFFSET(ORÇAMENTO!$X$15,ROW(AQ349)-ROW(AQ$15),0),
              ROUND(ROUND(OFFSET($P349,0,AQ$13),15-13*ORÇAMENTO!$AF$7)*OFFSET(ORÇAMENTO!$W$15,ROW(AQ349)-ROW(AQ$15),0),15-13*ORÇAMENTO!$AF$11)),
         0)</f>
        <v>0</v>
      </c>
      <c r="AR349" s="453">
        <f ca="1">IF(AND($D349="Serviço",AR$12&lt;&gt;0,$H349&gt;0,OR(AUTOEVENTO&lt;&gt;"manual",$M349&lt;&gt;$A$15)),
        IF(Import.TipoArredondamento&lt;&gt;"TransfereGOV",
              ROUND(OFFSET($P349,0,AR$13),15-13*ORÇAMENTO!$AF$7)/$H349*OFFSET(ORÇAMENTO!$X$15,ROW(AR349)-ROW(AR$15),0),
              ROUND(ROUND(OFFSET($P349,0,AR$13),15-13*ORÇAMENTO!$AF$7)*OFFSET(ORÇAMENTO!$W$15,ROW(AR349)-ROW(AR$15),0),15-13*ORÇAMENTO!$AF$11)),
         0)</f>
        <v>0</v>
      </c>
      <c r="AS349" s="453">
        <f ca="1">IF(AND($D349="Serviço",AS$12&lt;&gt;0,$H349&gt;0,OR(AUTOEVENTO&lt;&gt;"manual",$M349&lt;&gt;$A$15)),
        IF(Import.TipoArredondamento&lt;&gt;"TransfereGOV",
              ROUND(OFFSET($P349,0,AS$13),15-13*ORÇAMENTO!$AF$7)/$H349*OFFSET(ORÇAMENTO!$X$15,ROW(AS349)-ROW(AS$15),0),
              ROUND(ROUND(OFFSET($P349,0,AS$13),15-13*ORÇAMENTO!$AF$7)*OFFSET(ORÇAMENTO!$W$15,ROW(AS349)-ROW(AS$15),0),15-13*ORÇAMENTO!$AF$11)),
         0)</f>
        <v>0</v>
      </c>
      <c r="AT349" s="453">
        <f ca="1">IF(AND($D349="Serviço",AT$12&lt;&gt;0,$H349&gt;0,OR(AUTOEVENTO&lt;&gt;"manual",$M349&lt;&gt;$A$15)),
        IF(Import.TipoArredondamento&lt;&gt;"TransfereGOV",
              ROUND(OFFSET($P349,0,AT$13),15-13*ORÇAMENTO!$AF$7)/$H349*OFFSET(ORÇAMENTO!$X$15,ROW(AT349)-ROW(AT$15),0),
              ROUND(ROUND(OFFSET($P349,0,AT$13),15-13*ORÇAMENTO!$AF$7)*OFFSET(ORÇAMENTO!$W$15,ROW(AT349)-ROW(AT$15),0),15-13*ORÇAMENTO!$AF$11)),
         0)</f>
        <v>0</v>
      </c>
      <c r="AU349" s="453">
        <f ca="1">IF(AND($D349="Serviço",AU$12&lt;&gt;0,$H349&gt;0,OR(AUTOEVENTO&lt;&gt;"manual",$M349&lt;&gt;$A$15)),
        IF(Import.TipoArredondamento&lt;&gt;"TransfereGOV",
              ROUND(OFFSET($P349,0,AU$13),15-13*ORÇAMENTO!$AF$7)/$H349*OFFSET(ORÇAMENTO!$X$15,ROW(AU349)-ROW(AU$15),0),
              ROUND(ROUND(OFFSET($P349,0,AU$13),15-13*ORÇAMENTO!$AF$7)*OFFSET(ORÇAMENTO!$W$15,ROW(AU349)-ROW(AU$15),0),15-13*ORÇAMENTO!$AF$11)),
         0)</f>
        <v>0</v>
      </c>
      <c r="AV349" s="453">
        <f ca="1">IF(AND($D349="Serviço",AV$12&lt;&gt;0,$H349&gt;0,OR(AUTOEVENTO&lt;&gt;"manual",$M349&lt;&gt;$A$15)),
        IF(Import.TipoArredondamento&lt;&gt;"TransfereGOV",
              ROUND(OFFSET($P349,0,AV$13),15-13*ORÇAMENTO!$AF$7)/$H349*OFFSET(ORÇAMENTO!$X$15,ROW(AV349)-ROW(AV$15),0),
              ROUND(ROUND(OFFSET($P349,0,AV$13),15-13*ORÇAMENTO!$AF$7)*OFFSET(ORÇAMENTO!$W$15,ROW(AV349)-ROW(AV$15),0),15-13*ORÇAMENTO!$AF$11)),
         0)</f>
        <v>0</v>
      </c>
      <c r="AW349" s="453">
        <f ca="1">IF(AND($D349="Serviço",AW$12&lt;&gt;0,$H349&gt;0,OR(AUTOEVENTO&lt;&gt;"manual",$M349&lt;&gt;$A$15)),
        IF(Import.TipoArredondamento&lt;&gt;"TransfereGOV",
              ROUND(OFFSET($P349,0,AW$13),15-13*ORÇAMENTO!$AF$7)/$H349*OFFSET(ORÇAMENTO!$X$15,ROW(AW349)-ROW(AW$15),0),
              ROUND(ROUND(OFFSET($P349,0,AW$13),15-13*ORÇAMENTO!$AF$7)*OFFSET(ORÇAMENTO!$W$15,ROW(AW349)-ROW(AW$15),0),15-13*ORÇAMENTO!$AF$11)),
         0)</f>
        <v>0</v>
      </c>
      <c r="AX349" s="453">
        <f ca="1">IF(AND($D349="Serviço",AX$12&lt;&gt;0,$H349&gt;0,OR(AUTOEVENTO&lt;&gt;"manual",$M349&lt;&gt;$A$15)),
        IF(Import.TipoArredondamento&lt;&gt;"TransfereGOV",
              ROUND(OFFSET($P349,0,AX$13),15-13*ORÇAMENTO!$AF$7)/$H349*OFFSET(ORÇAMENTO!$X$15,ROW(AX349)-ROW(AX$15),0),
              ROUND(ROUND(OFFSET($P349,0,AX$13),15-13*ORÇAMENTO!$AF$7)*OFFSET(ORÇAMENTO!$W$15,ROW(AX349)-ROW(AX$15),0),15-13*ORÇAMENTO!$AF$11)),
         0)</f>
        <v>0</v>
      </c>
      <c r="AY349" s="453">
        <f ca="1">IF(AND($D349="Serviço",AY$12&lt;&gt;0,$H349&gt;0,OR(AUTOEVENTO&lt;&gt;"manual",$M349&lt;&gt;$A$15)),
        IF(Import.TipoArredondamento&lt;&gt;"TransfereGOV",
              ROUND(OFFSET($P349,0,AY$13),15-13*ORÇAMENTO!$AF$7)/$H349*OFFSET(ORÇAMENTO!$X$15,ROW(AY349)-ROW(AY$15),0),
              ROUND(ROUND(OFFSET($P349,0,AY$13),15-13*ORÇAMENTO!$AF$7)*OFFSET(ORÇAMENTO!$W$15,ROW(AY349)-ROW(AY$15),0),15-13*ORÇAMENTO!$AF$11)),
         0)</f>
        <v>0</v>
      </c>
      <c r="AZ349" s="453">
        <f ca="1">IF(AND($D349="Serviço",AZ$12&lt;&gt;0,$H349&gt;0,OR(AUTOEVENTO&lt;&gt;"manual",$M349&lt;&gt;$A$15)),
        IF(Import.TipoArredondamento&lt;&gt;"TransfereGOV",
              ROUND(OFFSET($P349,0,AZ$13),15-13*ORÇAMENTO!$AF$7)/$H349*OFFSET(ORÇAMENTO!$X$15,ROW(AZ349)-ROW(AZ$15),0),
              ROUND(ROUND(OFFSET($P349,0,AZ$13),15-13*ORÇAMENTO!$AF$7)*OFFSET(ORÇAMENTO!$W$15,ROW(AZ349)-ROW(AZ$15),0),15-13*ORÇAMENTO!$AF$11)),
         0)</f>
        <v>0</v>
      </c>
      <c r="BA349" s="453">
        <f ca="1">IF(AND($D349="Serviço",BA$12&lt;&gt;0,$H349&gt;0,OR(AUTOEVENTO&lt;&gt;"manual",$M349&lt;&gt;$A$15)),
        IF(Import.TipoArredondamento&lt;&gt;"TransfereGOV",
              ROUND(OFFSET($P349,0,BA$13),15-13*ORÇAMENTO!$AF$7)/$H349*OFFSET(ORÇAMENTO!$X$15,ROW(BA349)-ROW(BA$15),0),
              ROUND(ROUND(OFFSET($P349,0,BA$13),15-13*ORÇAMENTO!$AF$7)*OFFSET(ORÇAMENTO!$W$15,ROW(BA349)-ROW(BA$15),0),15-13*ORÇAMENTO!$AF$11)),
         0)</f>
        <v>0</v>
      </c>
      <c r="BC349" s="171">
        <f ca="1">IF(OR($D349&lt;&gt;"Serviço",AND(AUTOEVENTO="Manual",$M349=$A$15)),0,
         IF(OFFSET(CRONOPLE!$F$15,$M349-$A$15,BC$13)=0,10^12,OFFSET(CRONOPLE!$F$15,$M349-$A$15,BC$13)))</f>
        <v>1</v>
      </c>
      <c r="BD349" s="171">
        <f ca="1">IF(OR($D349&lt;&gt;"Serviço",AND(AUTOEVENTO="Manual",$M349=$A$15)),0,
         IF(OFFSET(CRONOPLE!$F$15,$M349-$A$15,BD$13)=0,10^12,OFFSET(CRONOPLE!$F$15,$M349-$A$15,BD$13)))</f>
        <v>2</v>
      </c>
      <c r="BE349" s="171">
        <f ca="1">IF(OR($D349&lt;&gt;"Serviço",AND(AUTOEVENTO="Manual",$M349=$A$15)),0,
         IF(OFFSET(CRONOPLE!$F$15,$M349-$A$15,BE$13)=0,10^12,OFFSET(CRONOPLE!$F$15,$M349-$A$15,BE$13)))</f>
        <v>3</v>
      </c>
      <c r="BF349" s="171">
        <f ca="1">IF(OR($D349&lt;&gt;"Serviço",AND(AUTOEVENTO="Manual",$M349=$A$15)),0,
         IF(OFFSET(CRONOPLE!$F$15,$M349-$A$15,BF$13)=0,10^12,OFFSET(CRONOPLE!$F$15,$M349-$A$15,BF$13)))</f>
        <v>4</v>
      </c>
      <c r="BG349" s="171">
        <f ca="1">IF(OR($D349&lt;&gt;"Serviço",AND(AUTOEVENTO="Manual",$M349=$A$15)),0,
         IF(OFFSET(CRONOPLE!$F$15,$M349-$A$15,BG$13)=0,10^12,OFFSET(CRONOPLE!$F$15,$M349-$A$15,BG$13)))</f>
        <v>5</v>
      </c>
      <c r="BH349" s="171">
        <f ca="1">IF(OR($D349&lt;&gt;"Serviço",AND(AUTOEVENTO="Manual",$M349=$A$15)),0,
         IF(OFFSET(CRONOPLE!$F$15,$M349-$A$15,BH$13)=0,10^12,OFFSET(CRONOPLE!$F$15,$M349-$A$15,BH$13)))</f>
        <v>6</v>
      </c>
      <c r="BI349" s="171">
        <f ca="1">IF(OR($D349&lt;&gt;"Serviço",AND(AUTOEVENTO="Manual",$M349=$A$15)),0,
         IF(OFFSET(CRONOPLE!$F$15,$M349-$A$15,BI$13)=0,10^12,OFFSET(CRONOPLE!$F$15,$M349-$A$15,BI$13)))</f>
        <v>7</v>
      </c>
      <c r="BJ349" s="171">
        <f ca="1">IF(OR($D349&lt;&gt;"Serviço",AND(AUTOEVENTO="Manual",$M349=$A$15)),0,
         IF(OFFSET(CRONOPLE!$F$15,$M349-$A$15,BJ$13)=0,10^12,OFFSET(CRONOPLE!$F$15,$M349-$A$15,BJ$13)))</f>
        <v>8</v>
      </c>
      <c r="BK349" s="171">
        <f ca="1">IF(OR($D349&lt;&gt;"Serviço",AND(AUTOEVENTO="Manual",$M349=$A$15)),0,
         IF(OFFSET(CRONOPLE!$F$15,$M349-$A$15,BK$13)=0,10^12,OFFSET(CRONOPLE!$F$15,$M349-$A$15,BK$13)))</f>
        <v>9</v>
      </c>
      <c r="BL349" s="171">
        <f ca="1">IF(OR($D349&lt;&gt;"Serviço",AND(AUTOEVENTO="Manual",$M349=$A$15)),0,
         IF(OFFSET(CRONOPLE!$F$15,$M349-$A$15,BL$13)=0,10^12,OFFSET(CRONOPLE!$F$15,$M349-$A$15,BL$13)))</f>
        <v>1000000000000</v>
      </c>
      <c r="BM349" s="171">
        <f ca="1">IF(OR($D349&lt;&gt;"Serviço",AND(AUTOEVENTO="Manual",$M349=$A$15)),0,
         IF(OFFSET(CRONOPLE!$F$15,$M349-$A$15,BM$13)=0,10^12,OFFSET(CRONOPLE!$F$15,$M349-$A$15,BM$13)))</f>
        <v>1000000000000</v>
      </c>
      <c r="BN349" s="171">
        <f ca="1">IF(OR($D349&lt;&gt;"Serviço",AND(AUTOEVENTO="Manual",$M349=$A$15)),0,
         IF(OFFSET(CRONOPLE!$F$15,$M349-$A$15,BN$13)=0,10^12,OFFSET(CRONOPLE!$F$15,$M349-$A$15,BN$13)))</f>
        <v>1000000000000</v>
      </c>
      <c r="BO349" s="171">
        <f ca="1">IF(OR($D349&lt;&gt;"Serviço",AND(AUTOEVENTO="Manual",$M349=$A$15)),0,
         IF(OFFSET(CRONOPLE!$F$15,$M349-$A$15,BO$13)=0,10^12,OFFSET(CRONOPLE!$F$15,$M349-$A$15,BO$13)))</f>
        <v>1000000000000</v>
      </c>
      <c r="BP349" s="171">
        <f ca="1">IF(OR($D349&lt;&gt;"Serviço",AND(AUTOEVENTO="Manual",$M349=$A$15)),0,
         IF(OFFSET(CRONOPLE!$F$15,$M349-$A$15,BP$13)=0,10^12,OFFSET(CRONOPLE!$F$15,$M349-$A$15,BP$13)))</f>
        <v>1000000000000</v>
      </c>
      <c r="BQ349" s="171">
        <f ca="1">IF(OR($D349&lt;&gt;"Serviço",AND(AUTOEVENTO="Manual",$M349=$A$15)),0,
         IF(OFFSET(CRONOPLE!$F$15,$M349-$A$15,BQ$13)=0,10^12,OFFSET(CRONOPLE!$F$15,$M349-$A$15,BQ$13)))</f>
        <v>1000000000000</v>
      </c>
      <c r="BR349" s="171">
        <f ca="1">IF(OR($D349&lt;&gt;"Serviço",AND(AUTOEVENTO="Manual",$M349=$A$15)),0,
         IF(OFFSET(CRONOPLE!$F$15,$M349-$A$15,BR$13)=0,10^12,OFFSET(CRONOPLE!$F$15,$M349-$A$15,BR$13)))</f>
        <v>1000000000000</v>
      </c>
      <c r="BS349" s="171">
        <f ca="1">IF(OR($D349&lt;&gt;"Serviço",AND(AUTOEVENTO="Manual",$M349=$A$15)),0,
         IF(OFFSET(CRONOPLE!$F$15,$M349-$A$15,BS$13)=0,10^12,OFFSET(CRONOPLE!$F$15,$M349-$A$15,BS$13)))</f>
        <v>1000000000000</v>
      </c>
      <c r="BT349" s="171">
        <f ca="1">IF(OR($D349&lt;&gt;"Serviço",AND(AUTOEVENTO="Manual",$M349=$A$15)),0,
         IF(OFFSET(CRONOPLE!$F$15,$M349-$A$15,BT$13)=0,10^12,OFFSET(CRONOPLE!$F$15,$M349-$A$15,BT$13)))</f>
        <v>1000000000000</v>
      </c>
      <c r="BV349" s="172">
        <f ca="1">IF(OR($D349&lt;&gt;"Serviço",AND(AUTOEVENTO="Manual",$M349=$A$15),$M349&gt;(ROW(PLE.lastrow)-ROW(PLE.firstrow))),0,
           IF(OFFSET(PLE!$G$15,$M349-$A$15,BV$13)="",10^12,OFFSET(PLE!$G$15,$M349-$A$15,BV$13)))</f>
        <v>1000000000000</v>
      </c>
      <c r="BW349" s="172">
        <f ca="1">IF(OR($D349&lt;&gt;"Serviço",AND(AUTOEVENTO="Manual",$M349=$A$15),$M349&gt;(ROW(PLE.lastrow)-ROW(PLE.firstrow))),0,
           IF(OFFSET(PLE!$G$15,$M349-$A$15,BW$13)="",10^12,OFFSET(PLE!$G$15,$M349-$A$15,BW$13)))</f>
        <v>1000000000000</v>
      </c>
      <c r="BX349" s="172">
        <f ca="1">IF(OR($D349&lt;&gt;"Serviço",AND(AUTOEVENTO="Manual",$M349=$A$15),$M349&gt;(ROW(PLE.lastrow)-ROW(PLE.firstrow))),0,
           IF(OFFSET(PLE!$G$15,$M349-$A$15,BX$13)="",10^12,OFFSET(PLE!$G$15,$M349-$A$15,BX$13)))</f>
        <v>1000000000000</v>
      </c>
      <c r="BY349" s="172">
        <f ca="1">IF(OR($D349&lt;&gt;"Serviço",AND(AUTOEVENTO="Manual",$M349=$A$15),$M349&gt;(ROW(PLE.lastrow)-ROW(PLE.firstrow))),0,
           IF(OFFSET(PLE!$G$15,$M349-$A$15,BY$13)="",10^12,OFFSET(PLE!$G$15,$M349-$A$15,BY$13)))</f>
        <v>1000000000000</v>
      </c>
      <c r="BZ349" s="172">
        <f ca="1">IF(OR($D349&lt;&gt;"Serviço",AND(AUTOEVENTO="Manual",$M349=$A$15),$M349&gt;(ROW(PLE.lastrow)-ROW(PLE.firstrow))),0,
           IF(OFFSET(PLE!$G$15,$M349-$A$15,BZ$13)="",10^12,OFFSET(PLE!$G$15,$M349-$A$15,BZ$13)))</f>
        <v>1000000000000</v>
      </c>
      <c r="CA349" s="172">
        <f ca="1">IF(OR($D349&lt;&gt;"Serviço",AND(AUTOEVENTO="Manual",$M349=$A$15),$M349&gt;(ROW(PLE.lastrow)-ROW(PLE.firstrow))),0,
           IF(OFFSET(PLE!$G$15,$M349-$A$15,CA$13)="",10^12,OFFSET(PLE!$G$15,$M349-$A$15,CA$13)))</f>
        <v>1000000000000</v>
      </c>
      <c r="CB349" s="172">
        <f ca="1">IF(OR($D349&lt;&gt;"Serviço",AND(AUTOEVENTO="Manual",$M349=$A$15),$M349&gt;(ROW(PLE.lastrow)-ROW(PLE.firstrow))),0,
           IF(OFFSET(PLE!$G$15,$M349-$A$15,CB$13)="",10^12,OFFSET(PLE!$G$15,$M349-$A$15,CB$13)))</f>
        <v>1000000000000</v>
      </c>
      <c r="CC349" s="172">
        <f ca="1">IF(OR($D349&lt;&gt;"Serviço",AND(AUTOEVENTO="Manual",$M349=$A$15),$M349&gt;(ROW(PLE.lastrow)-ROW(PLE.firstrow))),0,
           IF(OFFSET(PLE!$G$15,$M349-$A$15,CC$13)="",10^12,OFFSET(PLE!$G$15,$M349-$A$15,CC$13)))</f>
        <v>1000000000000</v>
      </c>
      <c r="CD349" s="172">
        <f ca="1">IF(OR($D349&lt;&gt;"Serviço",AND(AUTOEVENTO="Manual",$M349=$A$15),$M349&gt;(ROW(PLE.lastrow)-ROW(PLE.firstrow))),0,
           IF(OFFSET(PLE!$G$15,$M349-$A$15,CD$13)="",10^12,OFFSET(PLE!$G$15,$M349-$A$15,CD$13)))</f>
        <v>1000000000000</v>
      </c>
      <c r="CE349" s="172">
        <f ca="1">IF(OR($D349&lt;&gt;"Serviço",AND(AUTOEVENTO="Manual",$M349=$A$15),$M349&gt;(ROW(PLE.lastrow)-ROW(PLE.firstrow))),0,
           IF(OFFSET(PLE!$G$15,$M349-$A$15,CE$13)="",10^12,OFFSET(PLE!$G$15,$M349-$A$15,CE$13)))</f>
        <v>1000000000000</v>
      </c>
      <c r="CF349" s="172">
        <f ca="1">IF(OR($D349&lt;&gt;"Serviço",AND(AUTOEVENTO="Manual",$M349=$A$15),$M349&gt;(ROW(PLE.lastrow)-ROW(PLE.firstrow))),0,
           IF(OFFSET(PLE!$G$15,$M349-$A$15,CF$13)="",10^12,OFFSET(PLE!$G$15,$M349-$A$15,CF$13)))</f>
        <v>1000000000000</v>
      </c>
      <c r="CG349" s="172">
        <f ca="1">IF(OR($D349&lt;&gt;"Serviço",AND(AUTOEVENTO="Manual",$M349=$A$15),$M349&gt;(ROW(PLE.lastrow)-ROW(PLE.firstrow))),0,
           IF(OFFSET(PLE!$G$15,$M349-$A$15,CG$13)="",10^12,OFFSET(PLE!$G$15,$M349-$A$15,CG$13)))</f>
        <v>1000000000000</v>
      </c>
      <c r="CH349" s="172">
        <f ca="1">IF(OR($D349&lt;&gt;"Serviço",AND(AUTOEVENTO="Manual",$M349=$A$15),$M349&gt;(ROW(PLE.lastrow)-ROW(PLE.firstrow))),0,
           IF(OFFSET(PLE!$G$15,$M349-$A$15,CH$13)="",10^12,OFFSET(PLE!$G$15,$M349-$A$15,CH$13)))</f>
        <v>1000000000000</v>
      </c>
      <c r="CI349" s="172">
        <f ca="1">IF(OR($D349&lt;&gt;"Serviço",AND(AUTOEVENTO="Manual",$M349=$A$15),$M349&gt;(ROW(PLE.lastrow)-ROW(PLE.firstrow))),0,
           IF(OFFSET(PLE!$G$15,$M349-$A$15,CI$13)="",10^12,OFFSET(PLE!$G$15,$M349-$A$15,CI$13)))</f>
        <v>1000000000000</v>
      </c>
      <c r="CJ349" s="172">
        <f ca="1">IF(OR($D349&lt;&gt;"Serviço",AND(AUTOEVENTO="Manual",$M349=$A$15),$M349&gt;(ROW(PLE.lastrow)-ROW(PLE.firstrow))),0,
           IF(OFFSET(PLE!$G$15,$M349-$A$15,CJ$13)="",10^12,OFFSET(PLE!$G$15,$M349-$A$15,CJ$13)))</f>
        <v>1000000000000</v>
      </c>
      <c r="CK349" s="172">
        <f ca="1">IF(OR($D349&lt;&gt;"Serviço",AND(AUTOEVENTO="Manual",$M349=$A$15),$M349&gt;(ROW(PLE.lastrow)-ROW(PLE.firstrow))),0,
           IF(OFFSET(PLE!$G$15,$M349-$A$15,CK$13)="",10^12,OFFSET(PLE!$G$15,$M349-$A$15,CK$13)))</f>
        <v>1000000000000</v>
      </c>
      <c r="CL349" s="172">
        <f ca="1">IF(OR($D349&lt;&gt;"Serviço",AND(AUTOEVENTO="Manual",$M349=$A$15),$M349&gt;(ROW(PLE.lastrow)-ROW(PLE.firstrow))),0,
           IF(OFFSET(PLE!$G$15,$M349-$A$15,CL$13)="",10^12,OFFSET(PLE!$G$15,$M349-$A$15,CL$13)))</f>
        <v>1000000000000</v>
      </c>
      <c r="CM349" s="172">
        <f ca="1">IF(OR($D349&lt;&gt;"Serviço",AND(AUTOEVENTO="Manual",$M349=$A$15),$M349&gt;(ROW(PLE.lastrow)-ROW(PLE.firstrow))),0,
           IF(OFFSET(PLE!$G$15,$M349-$A$15,CM$13)="",10^12,OFFSET(PLE!$G$15,$M349-$A$15,CM$13)))</f>
        <v>1000000000000</v>
      </c>
    </row>
    <row r="350" spans="1:91" ht="63.75" x14ac:dyDescent="0.2">
      <c r="A350" s="7">
        <f t="shared" ca="1" si="15"/>
        <v>6</v>
      </c>
      <c r="B350" s="7" t="str">
        <f ca="1">OFFSET(ORÇAMENTO!C$15,ROW(B350)-ROW(B$15),0)</f>
        <v>S</v>
      </c>
      <c r="C350" s="7" t="str">
        <f ca="1">OFFSET(ORÇAMENTO!L$15,ROW(C350)-ROW(C$15),0)</f>
        <v>F</v>
      </c>
      <c r="D350" s="116" t="str">
        <f ca="1">OFFSET(ORÇAMENTO!N$15,ROW(D350)-ROW(D$15),0)</f>
        <v>Serviço</v>
      </c>
      <c r="E350" s="117" t="str">
        <f ca="1">OFFSET(ORÇAMENTO!O$15,ROW(E350)-ROW(E$15),0)</f>
        <v>1.7.6.1.9.</v>
      </c>
      <c r="F350" s="163" t="str">
        <f ca="1">OFFSET(ORÇAMENTO!R$15,ROW(F350)-ROW(F$15),0)</f>
        <v>CURVA 90 BOLSAS FoFo - DN 350 MM</v>
      </c>
      <c r="G350" s="164" t="str">
        <f ca="1">IF($D350&lt;&gt;"Serviço","",OFFSET(ORÇAMENTO!S$15,ROW(G350)-ROW(G$15),0))</f>
        <v>UN</v>
      </c>
      <c r="H350" s="122" cm="1">
        <f t="array" aca="1" ref="H350" ca="1">IF($D350&lt;&gt;"Serviço",0,IF(ACOMPANHAMENTO="BM",ROUND(OFFSET(ORÇAMENTO!AJ$15,ROW(H350)-ROW(H$15),0),15-13*ORÇAMENTO!$AF$7),SUMPRODUCT(($Q$1:$AI$1=1)*ROUND($Q350:$AI350,15-13*ORÇAMENTO!$AF$7))))</f>
        <v>2</v>
      </c>
      <c r="I350" s="468" t="s">
        <v>1360</v>
      </c>
      <c r="J350" s="640" t="str" cm="1">
        <f t="array" aca="1" ref="J350" ca="1">IF(OR(B350&lt;&gt;"S",CÁLCULO.FrentesPreenchidas=0),"",IF(AND(ACOMPANHAMENTO="PLE",AUTOEVENTO="Manual",OR(H350&gt;0,ORÇAMENTO!AC350="QUANT."),OR(K350="",M350=0,N350="")),"►E",IF(AND(ACOMPANHAMENTO="PLE",ORÇAMENTO!AC350="QUANT."),"►Q",IF(AND(ACOMPANHAMENTO="PLE",H350&lt;&gt;SUMPRODUCT(($Q$1:$AI$1=1)*ROUND(Q350:AI350,15))),"►S",IF(AND(COUNTIF($P$11:$AI$11,"▼")=0,H350&gt;0,I350=""),"◄M","")))))</f>
        <v/>
      </c>
      <c r="K350" s="641" t="s">
        <v>1385</v>
      </c>
      <c r="L350" s="165" t="s">
        <v>764</v>
      </c>
      <c r="M350" s="166">
        <f ca="1">IF($D350&lt;&gt;"Serviço","",
          IF(AUTOEVENTO="manual",$A350,
                IF(ISERROR(MATCH($A350,$A$15:OFFSET($A350,-1,0),0)),MAX($M$15:OFFSET(M350,-1,0))+1,
                      INDEX($M$15:OFFSET(M350,-1,0),MATCH($A350,$A$15:OFFSET($A350,-1,0),0)))))</f>
        <v>6</v>
      </c>
      <c r="N350" s="167" t="str">
        <f ca="1">IF($D350&lt;&gt;"Serviço","",
         IF(AUTOEVENTO="Manual",
                IF($A350=0,"&lt;-- defina o número do agrupador",
                       OFFSET(EVENTOS!$D$15,$A350-$A$15,0)),
                OFFSET($F$15,$A350,0)))</f>
        <v>Saneamento</v>
      </c>
      <c r="O350" s="168"/>
      <c r="Q350" s="168"/>
      <c r="R350" s="169"/>
      <c r="S350" s="169"/>
      <c r="T350" s="169"/>
      <c r="U350" s="169"/>
      <c r="V350" s="169">
        <v>2</v>
      </c>
      <c r="W350" s="169"/>
      <c r="X350" s="169"/>
      <c r="Y350" s="169"/>
      <c r="Z350" s="170"/>
      <c r="AA350" s="169"/>
      <c r="AB350" s="169"/>
      <c r="AC350" s="169"/>
      <c r="AD350" s="169"/>
      <c r="AE350" s="169"/>
      <c r="AF350" s="169"/>
      <c r="AG350" s="169"/>
      <c r="AH350" s="170"/>
      <c r="AJ350" s="453">
        <f ca="1">IF(AND($D350="Serviço",AJ$12&lt;&gt;0,$H350&gt;0,OR(AUTOEVENTO&lt;&gt;"manual",$M350&lt;&gt;$A$15)),
        IF(Import.TipoArredondamento&lt;&gt;"TransfereGOV",
              ROUND(OFFSET($P350,0,AJ$13),15-13*ORÇAMENTO!$AF$7)/$H350*OFFSET(ORÇAMENTO!$X$15,ROW(AJ350)-ROW(AJ$15),0),
              ROUND(ROUND(OFFSET($P350,0,AJ$13),15-13*ORÇAMENTO!$AF$7)*OFFSET(ORÇAMENTO!$W$15,ROW(AJ350)-ROW(AJ$15),0),15-13*ORÇAMENTO!$AF$11)),
         0)</f>
        <v>0</v>
      </c>
      <c r="AK350" s="453">
        <f ca="1">IF(AND($D350="Serviço",AK$12&lt;&gt;0,$H350&gt;0,OR(AUTOEVENTO&lt;&gt;"manual",$M350&lt;&gt;$A$15)),
        IF(Import.TipoArredondamento&lt;&gt;"TransfereGOV",
              ROUND(OFFSET($P350,0,AK$13),15-13*ORÇAMENTO!$AF$7)/$H350*OFFSET(ORÇAMENTO!$X$15,ROW(AK350)-ROW(AK$15),0),
              ROUND(ROUND(OFFSET($P350,0,AK$13),15-13*ORÇAMENTO!$AF$7)*OFFSET(ORÇAMENTO!$W$15,ROW(AK350)-ROW(AK$15),0),15-13*ORÇAMENTO!$AF$11)),
         0)</f>
        <v>0</v>
      </c>
      <c r="AL350" s="453">
        <f ca="1">IF(AND($D350="Serviço",AL$12&lt;&gt;0,$H350&gt;0,OR(AUTOEVENTO&lt;&gt;"manual",$M350&lt;&gt;$A$15)),
        IF(Import.TipoArredondamento&lt;&gt;"TransfereGOV",
              ROUND(OFFSET($P350,0,AL$13),15-13*ORÇAMENTO!$AF$7)/$H350*OFFSET(ORÇAMENTO!$X$15,ROW(AL350)-ROW(AL$15),0),
              ROUND(ROUND(OFFSET($P350,0,AL$13),15-13*ORÇAMENTO!$AF$7)*OFFSET(ORÇAMENTO!$W$15,ROW(AL350)-ROW(AL$15),0),15-13*ORÇAMENTO!$AF$11)),
         0)</f>
        <v>0</v>
      </c>
      <c r="AM350" s="453">
        <f ca="1">IF(AND($D350="Serviço",AM$12&lt;&gt;0,$H350&gt;0,OR(AUTOEVENTO&lt;&gt;"manual",$M350&lt;&gt;$A$15)),
        IF(Import.TipoArredondamento&lt;&gt;"TransfereGOV",
              ROUND(OFFSET($P350,0,AM$13),15-13*ORÇAMENTO!$AF$7)/$H350*OFFSET(ORÇAMENTO!$X$15,ROW(AM350)-ROW(AM$15),0),
              ROUND(ROUND(OFFSET($P350,0,AM$13),15-13*ORÇAMENTO!$AF$7)*OFFSET(ORÇAMENTO!$W$15,ROW(AM350)-ROW(AM$15),0),15-13*ORÇAMENTO!$AF$11)),
         0)</f>
        <v>0</v>
      </c>
      <c r="AN350" s="453">
        <f ca="1">IF(AND($D350="Serviço",AN$12&lt;&gt;0,$H350&gt;0,OR(AUTOEVENTO&lt;&gt;"manual",$M350&lt;&gt;$A$15)),
        IF(Import.TipoArredondamento&lt;&gt;"TransfereGOV",
              ROUND(OFFSET($P350,0,AN$13),15-13*ORÇAMENTO!$AF$7)/$H350*OFFSET(ORÇAMENTO!$X$15,ROW(AN350)-ROW(AN$15),0),
              ROUND(ROUND(OFFSET($P350,0,AN$13),15-13*ORÇAMENTO!$AF$7)*OFFSET(ORÇAMENTO!$W$15,ROW(AN350)-ROW(AN$15),0),15-13*ORÇAMENTO!$AF$11)),
         0)</f>
        <v>0</v>
      </c>
      <c r="AO350" s="453">
        <f ca="1">IF(AND($D350="Serviço",AO$12&lt;&gt;0,$H350&gt;0,OR(AUTOEVENTO&lt;&gt;"manual",$M350&lt;&gt;$A$15)),
        IF(Import.TipoArredondamento&lt;&gt;"TransfereGOV",
              ROUND(OFFSET($P350,0,AO$13),15-13*ORÇAMENTO!$AF$7)/$H350*OFFSET(ORÇAMENTO!$X$15,ROW(AO350)-ROW(AO$15),0),
              ROUND(ROUND(OFFSET($P350,0,AO$13),15-13*ORÇAMENTO!$AF$7)*OFFSET(ORÇAMENTO!$W$15,ROW(AO350)-ROW(AO$15),0),15-13*ORÇAMENTO!$AF$11)),
         0)</f>
        <v>0</v>
      </c>
      <c r="AP350" s="453">
        <f ca="1">IF(AND($D350="Serviço",AP$12&lt;&gt;0,$H350&gt;0,OR(AUTOEVENTO&lt;&gt;"manual",$M350&lt;&gt;$A$15)),
        IF(Import.TipoArredondamento&lt;&gt;"TransfereGOV",
              ROUND(OFFSET($P350,0,AP$13),15-13*ORÇAMENTO!$AF$7)/$H350*OFFSET(ORÇAMENTO!$X$15,ROW(AP350)-ROW(AP$15),0),
              ROUND(ROUND(OFFSET($P350,0,AP$13),15-13*ORÇAMENTO!$AF$7)*OFFSET(ORÇAMENTO!$W$15,ROW(AP350)-ROW(AP$15),0),15-13*ORÇAMENTO!$AF$11)),
         0)</f>
        <v>0</v>
      </c>
      <c r="AQ350" s="453">
        <f ca="1">IF(AND($D350="Serviço",AQ$12&lt;&gt;0,$H350&gt;0,OR(AUTOEVENTO&lt;&gt;"manual",$M350&lt;&gt;$A$15)),
        IF(Import.TipoArredondamento&lt;&gt;"TransfereGOV",
              ROUND(OFFSET($P350,0,AQ$13),15-13*ORÇAMENTO!$AF$7)/$H350*OFFSET(ORÇAMENTO!$X$15,ROW(AQ350)-ROW(AQ$15),0),
              ROUND(ROUND(OFFSET($P350,0,AQ$13),15-13*ORÇAMENTO!$AF$7)*OFFSET(ORÇAMENTO!$W$15,ROW(AQ350)-ROW(AQ$15),0),15-13*ORÇAMENTO!$AF$11)),
         0)</f>
        <v>0</v>
      </c>
      <c r="AR350" s="453">
        <f ca="1">IF(AND($D350="Serviço",AR$12&lt;&gt;0,$H350&gt;0,OR(AUTOEVENTO&lt;&gt;"manual",$M350&lt;&gt;$A$15)),
        IF(Import.TipoArredondamento&lt;&gt;"TransfereGOV",
              ROUND(OFFSET($P350,0,AR$13),15-13*ORÇAMENTO!$AF$7)/$H350*OFFSET(ORÇAMENTO!$X$15,ROW(AR350)-ROW(AR$15),0),
              ROUND(ROUND(OFFSET($P350,0,AR$13),15-13*ORÇAMENTO!$AF$7)*OFFSET(ORÇAMENTO!$W$15,ROW(AR350)-ROW(AR$15),0),15-13*ORÇAMENTO!$AF$11)),
         0)</f>
        <v>0</v>
      </c>
      <c r="AS350" s="453">
        <f ca="1">IF(AND($D350="Serviço",AS$12&lt;&gt;0,$H350&gt;0,OR(AUTOEVENTO&lt;&gt;"manual",$M350&lt;&gt;$A$15)),
        IF(Import.TipoArredondamento&lt;&gt;"TransfereGOV",
              ROUND(OFFSET($P350,0,AS$13),15-13*ORÇAMENTO!$AF$7)/$H350*OFFSET(ORÇAMENTO!$X$15,ROW(AS350)-ROW(AS$15),0),
              ROUND(ROUND(OFFSET($P350,0,AS$13),15-13*ORÇAMENTO!$AF$7)*OFFSET(ORÇAMENTO!$W$15,ROW(AS350)-ROW(AS$15),0),15-13*ORÇAMENTO!$AF$11)),
         0)</f>
        <v>0</v>
      </c>
      <c r="AT350" s="453">
        <f ca="1">IF(AND($D350="Serviço",AT$12&lt;&gt;0,$H350&gt;0,OR(AUTOEVENTO&lt;&gt;"manual",$M350&lt;&gt;$A$15)),
        IF(Import.TipoArredondamento&lt;&gt;"TransfereGOV",
              ROUND(OFFSET($P350,0,AT$13),15-13*ORÇAMENTO!$AF$7)/$H350*OFFSET(ORÇAMENTO!$X$15,ROW(AT350)-ROW(AT$15),0),
              ROUND(ROUND(OFFSET($P350,0,AT$13),15-13*ORÇAMENTO!$AF$7)*OFFSET(ORÇAMENTO!$W$15,ROW(AT350)-ROW(AT$15),0),15-13*ORÇAMENTO!$AF$11)),
         0)</f>
        <v>0</v>
      </c>
      <c r="AU350" s="453">
        <f ca="1">IF(AND($D350="Serviço",AU$12&lt;&gt;0,$H350&gt;0,OR(AUTOEVENTO&lt;&gt;"manual",$M350&lt;&gt;$A$15)),
        IF(Import.TipoArredondamento&lt;&gt;"TransfereGOV",
              ROUND(OFFSET($P350,0,AU$13),15-13*ORÇAMENTO!$AF$7)/$H350*OFFSET(ORÇAMENTO!$X$15,ROW(AU350)-ROW(AU$15),0),
              ROUND(ROUND(OFFSET($P350,0,AU$13),15-13*ORÇAMENTO!$AF$7)*OFFSET(ORÇAMENTO!$W$15,ROW(AU350)-ROW(AU$15),0),15-13*ORÇAMENTO!$AF$11)),
         0)</f>
        <v>0</v>
      </c>
      <c r="AV350" s="453">
        <f ca="1">IF(AND($D350="Serviço",AV$12&lt;&gt;0,$H350&gt;0,OR(AUTOEVENTO&lt;&gt;"manual",$M350&lt;&gt;$A$15)),
        IF(Import.TipoArredondamento&lt;&gt;"TransfereGOV",
              ROUND(OFFSET($P350,0,AV$13),15-13*ORÇAMENTO!$AF$7)/$H350*OFFSET(ORÇAMENTO!$X$15,ROW(AV350)-ROW(AV$15),0),
              ROUND(ROUND(OFFSET($P350,0,AV$13),15-13*ORÇAMENTO!$AF$7)*OFFSET(ORÇAMENTO!$W$15,ROW(AV350)-ROW(AV$15),0),15-13*ORÇAMENTO!$AF$11)),
         0)</f>
        <v>0</v>
      </c>
      <c r="AW350" s="453">
        <f ca="1">IF(AND($D350="Serviço",AW$12&lt;&gt;0,$H350&gt;0,OR(AUTOEVENTO&lt;&gt;"manual",$M350&lt;&gt;$A$15)),
        IF(Import.TipoArredondamento&lt;&gt;"TransfereGOV",
              ROUND(OFFSET($P350,0,AW$13),15-13*ORÇAMENTO!$AF$7)/$H350*OFFSET(ORÇAMENTO!$X$15,ROW(AW350)-ROW(AW$15),0),
              ROUND(ROUND(OFFSET($P350,0,AW$13),15-13*ORÇAMENTO!$AF$7)*OFFSET(ORÇAMENTO!$W$15,ROW(AW350)-ROW(AW$15),0),15-13*ORÇAMENTO!$AF$11)),
         0)</f>
        <v>0</v>
      </c>
      <c r="AX350" s="453">
        <f ca="1">IF(AND($D350="Serviço",AX$12&lt;&gt;0,$H350&gt;0,OR(AUTOEVENTO&lt;&gt;"manual",$M350&lt;&gt;$A$15)),
        IF(Import.TipoArredondamento&lt;&gt;"TransfereGOV",
              ROUND(OFFSET($P350,0,AX$13),15-13*ORÇAMENTO!$AF$7)/$H350*OFFSET(ORÇAMENTO!$X$15,ROW(AX350)-ROW(AX$15),0),
              ROUND(ROUND(OFFSET($P350,0,AX$13),15-13*ORÇAMENTO!$AF$7)*OFFSET(ORÇAMENTO!$W$15,ROW(AX350)-ROW(AX$15),0),15-13*ORÇAMENTO!$AF$11)),
         0)</f>
        <v>0</v>
      </c>
      <c r="AY350" s="453">
        <f ca="1">IF(AND($D350="Serviço",AY$12&lt;&gt;0,$H350&gt;0,OR(AUTOEVENTO&lt;&gt;"manual",$M350&lt;&gt;$A$15)),
        IF(Import.TipoArredondamento&lt;&gt;"TransfereGOV",
              ROUND(OFFSET($P350,0,AY$13),15-13*ORÇAMENTO!$AF$7)/$H350*OFFSET(ORÇAMENTO!$X$15,ROW(AY350)-ROW(AY$15),0),
              ROUND(ROUND(OFFSET($P350,0,AY$13),15-13*ORÇAMENTO!$AF$7)*OFFSET(ORÇAMENTO!$W$15,ROW(AY350)-ROW(AY$15),0),15-13*ORÇAMENTO!$AF$11)),
         0)</f>
        <v>0</v>
      </c>
      <c r="AZ350" s="453">
        <f ca="1">IF(AND($D350="Serviço",AZ$12&lt;&gt;0,$H350&gt;0,OR(AUTOEVENTO&lt;&gt;"manual",$M350&lt;&gt;$A$15)),
        IF(Import.TipoArredondamento&lt;&gt;"TransfereGOV",
              ROUND(OFFSET($P350,0,AZ$13),15-13*ORÇAMENTO!$AF$7)/$H350*OFFSET(ORÇAMENTO!$X$15,ROW(AZ350)-ROW(AZ$15),0),
              ROUND(ROUND(OFFSET($P350,0,AZ$13),15-13*ORÇAMENTO!$AF$7)*OFFSET(ORÇAMENTO!$W$15,ROW(AZ350)-ROW(AZ$15),0),15-13*ORÇAMENTO!$AF$11)),
         0)</f>
        <v>0</v>
      </c>
      <c r="BA350" s="453">
        <f ca="1">IF(AND($D350="Serviço",BA$12&lt;&gt;0,$H350&gt;0,OR(AUTOEVENTO&lt;&gt;"manual",$M350&lt;&gt;$A$15)),
        IF(Import.TipoArredondamento&lt;&gt;"TransfereGOV",
              ROUND(OFFSET($P350,0,BA$13),15-13*ORÇAMENTO!$AF$7)/$H350*OFFSET(ORÇAMENTO!$X$15,ROW(BA350)-ROW(BA$15),0),
              ROUND(ROUND(OFFSET($P350,0,BA$13),15-13*ORÇAMENTO!$AF$7)*OFFSET(ORÇAMENTO!$W$15,ROW(BA350)-ROW(BA$15),0),15-13*ORÇAMENTO!$AF$11)),
         0)</f>
        <v>0</v>
      </c>
      <c r="BC350" s="171">
        <f ca="1">IF(OR($D350&lt;&gt;"Serviço",AND(AUTOEVENTO="Manual",$M350=$A$15)),0,
         IF(OFFSET(CRONOPLE!$F$15,$M350-$A$15,BC$13)=0,10^12,OFFSET(CRONOPLE!$F$15,$M350-$A$15,BC$13)))</f>
        <v>1</v>
      </c>
      <c r="BD350" s="171">
        <f ca="1">IF(OR($D350&lt;&gt;"Serviço",AND(AUTOEVENTO="Manual",$M350=$A$15)),0,
         IF(OFFSET(CRONOPLE!$F$15,$M350-$A$15,BD$13)=0,10^12,OFFSET(CRONOPLE!$F$15,$M350-$A$15,BD$13)))</f>
        <v>2</v>
      </c>
      <c r="BE350" s="171">
        <f ca="1">IF(OR($D350&lt;&gt;"Serviço",AND(AUTOEVENTO="Manual",$M350=$A$15)),0,
         IF(OFFSET(CRONOPLE!$F$15,$M350-$A$15,BE$13)=0,10^12,OFFSET(CRONOPLE!$F$15,$M350-$A$15,BE$13)))</f>
        <v>3</v>
      </c>
      <c r="BF350" s="171">
        <f ca="1">IF(OR($D350&lt;&gt;"Serviço",AND(AUTOEVENTO="Manual",$M350=$A$15)),0,
         IF(OFFSET(CRONOPLE!$F$15,$M350-$A$15,BF$13)=0,10^12,OFFSET(CRONOPLE!$F$15,$M350-$A$15,BF$13)))</f>
        <v>4</v>
      </c>
      <c r="BG350" s="171">
        <f ca="1">IF(OR($D350&lt;&gt;"Serviço",AND(AUTOEVENTO="Manual",$M350=$A$15)),0,
         IF(OFFSET(CRONOPLE!$F$15,$M350-$A$15,BG$13)=0,10^12,OFFSET(CRONOPLE!$F$15,$M350-$A$15,BG$13)))</f>
        <v>5</v>
      </c>
      <c r="BH350" s="171">
        <f ca="1">IF(OR($D350&lt;&gt;"Serviço",AND(AUTOEVENTO="Manual",$M350=$A$15)),0,
         IF(OFFSET(CRONOPLE!$F$15,$M350-$A$15,BH$13)=0,10^12,OFFSET(CRONOPLE!$F$15,$M350-$A$15,BH$13)))</f>
        <v>6</v>
      </c>
      <c r="BI350" s="171">
        <f ca="1">IF(OR($D350&lt;&gt;"Serviço",AND(AUTOEVENTO="Manual",$M350=$A$15)),0,
         IF(OFFSET(CRONOPLE!$F$15,$M350-$A$15,BI$13)=0,10^12,OFFSET(CRONOPLE!$F$15,$M350-$A$15,BI$13)))</f>
        <v>7</v>
      </c>
      <c r="BJ350" s="171">
        <f ca="1">IF(OR($D350&lt;&gt;"Serviço",AND(AUTOEVENTO="Manual",$M350=$A$15)),0,
         IF(OFFSET(CRONOPLE!$F$15,$M350-$A$15,BJ$13)=0,10^12,OFFSET(CRONOPLE!$F$15,$M350-$A$15,BJ$13)))</f>
        <v>8</v>
      </c>
      <c r="BK350" s="171">
        <f ca="1">IF(OR($D350&lt;&gt;"Serviço",AND(AUTOEVENTO="Manual",$M350=$A$15)),0,
         IF(OFFSET(CRONOPLE!$F$15,$M350-$A$15,BK$13)=0,10^12,OFFSET(CRONOPLE!$F$15,$M350-$A$15,BK$13)))</f>
        <v>9</v>
      </c>
      <c r="BL350" s="171">
        <f ca="1">IF(OR($D350&lt;&gt;"Serviço",AND(AUTOEVENTO="Manual",$M350=$A$15)),0,
         IF(OFFSET(CRONOPLE!$F$15,$M350-$A$15,BL$13)=0,10^12,OFFSET(CRONOPLE!$F$15,$M350-$A$15,BL$13)))</f>
        <v>1000000000000</v>
      </c>
      <c r="BM350" s="171">
        <f ca="1">IF(OR($D350&lt;&gt;"Serviço",AND(AUTOEVENTO="Manual",$M350=$A$15)),0,
         IF(OFFSET(CRONOPLE!$F$15,$M350-$A$15,BM$13)=0,10^12,OFFSET(CRONOPLE!$F$15,$M350-$A$15,BM$13)))</f>
        <v>1000000000000</v>
      </c>
      <c r="BN350" s="171">
        <f ca="1">IF(OR($D350&lt;&gt;"Serviço",AND(AUTOEVENTO="Manual",$M350=$A$15)),0,
         IF(OFFSET(CRONOPLE!$F$15,$M350-$A$15,BN$13)=0,10^12,OFFSET(CRONOPLE!$F$15,$M350-$A$15,BN$13)))</f>
        <v>1000000000000</v>
      </c>
      <c r="BO350" s="171">
        <f ca="1">IF(OR($D350&lt;&gt;"Serviço",AND(AUTOEVENTO="Manual",$M350=$A$15)),0,
         IF(OFFSET(CRONOPLE!$F$15,$M350-$A$15,BO$13)=0,10^12,OFFSET(CRONOPLE!$F$15,$M350-$A$15,BO$13)))</f>
        <v>1000000000000</v>
      </c>
      <c r="BP350" s="171">
        <f ca="1">IF(OR($D350&lt;&gt;"Serviço",AND(AUTOEVENTO="Manual",$M350=$A$15)),0,
         IF(OFFSET(CRONOPLE!$F$15,$M350-$A$15,BP$13)=0,10^12,OFFSET(CRONOPLE!$F$15,$M350-$A$15,BP$13)))</f>
        <v>1000000000000</v>
      </c>
      <c r="BQ350" s="171">
        <f ca="1">IF(OR($D350&lt;&gt;"Serviço",AND(AUTOEVENTO="Manual",$M350=$A$15)),0,
         IF(OFFSET(CRONOPLE!$F$15,$M350-$A$15,BQ$13)=0,10^12,OFFSET(CRONOPLE!$F$15,$M350-$A$15,BQ$13)))</f>
        <v>1000000000000</v>
      </c>
      <c r="BR350" s="171">
        <f ca="1">IF(OR($D350&lt;&gt;"Serviço",AND(AUTOEVENTO="Manual",$M350=$A$15)),0,
         IF(OFFSET(CRONOPLE!$F$15,$M350-$A$15,BR$13)=0,10^12,OFFSET(CRONOPLE!$F$15,$M350-$A$15,BR$13)))</f>
        <v>1000000000000</v>
      </c>
      <c r="BS350" s="171">
        <f ca="1">IF(OR($D350&lt;&gt;"Serviço",AND(AUTOEVENTO="Manual",$M350=$A$15)),0,
         IF(OFFSET(CRONOPLE!$F$15,$M350-$A$15,BS$13)=0,10^12,OFFSET(CRONOPLE!$F$15,$M350-$A$15,BS$13)))</f>
        <v>1000000000000</v>
      </c>
      <c r="BT350" s="171">
        <f ca="1">IF(OR($D350&lt;&gt;"Serviço",AND(AUTOEVENTO="Manual",$M350=$A$15)),0,
         IF(OFFSET(CRONOPLE!$F$15,$M350-$A$15,BT$13)=0,10^12,OFFSET(CRONOPLE!$F$15,$M350-$A$15,BT$13)))</f>
        <v>1000000000000</v>
      </c>
      <c r="BV350" s="172">
        <f ca="1">IF(OR($D350&lt;&gt;"Serviço",AND(AUTOEVENTO="Manual",$M350=$A$15),$M350&gt;(ROW(PLE.lastrow)-ROW(PLE.firstrow))),0,
           IF(OFFSET(PLE!$G$15,$M350-$A$15,BV$13)="",10^12,OFFSET(PLE!$G$15,$M350-$A$15,BV$13)))</f>
        <v>1000000000000</v>
      </c>
      <c r="BW350" s="172">
        <f ca="1">IF(OR($D350&lt;&gt;"Serviço",AND(AUTOEVENTO="Manual",$M350=$A$15),$M350&gt;(ROW(PLE.lastrow)-ROW(PLE.firstrow))),0,
           IF(OFFSET(PLE!$G$15,$M350-$A$15,BW$13)="",10^12,OFFSET(PLE!$G$15,$M350-$A$15,BW$13)))</f>
        <v>1000000000000</v>
      </c>
      <c r="BX350" s="172">
        <f ca="1">IF(OR($D350&lt;&gt;"Serviço",AND(AUTOEVENTO="Manual",$M350=$A$15),$M350&gt;(ROW(PLE.lastrow)-ROW(PLE.firstrow))),0,
           IF(OFFSET(PLE!$G$15,$M350-$A$15,BX$13)="",10^12,OFFSET(PLE!$G$15,$M350-$A$15,BX$13)))</f>
        <v>1000000000000</v>
      </c>
      <c r="BY350" s="172">
        <f ca="1">IF(OR($D350&lt;&gt;"Serviço",AND(AUTOEVENTO="Manual",$M350=$A$15),$M350&gt;(ROW(PLE.lastrow)-ROW(PLE.firstrow))),0,
           IF(OFFSET(PLE!$G$15,$M350-$A$15,BY$13)="",10^12,OFFSET(PLE!$G$15,$M350-$A$15,BY$13)))</f>
        <v>1000000000000</v>
      </c>
      <c r="BZ350" s="172">
        <f ca="1">IF(OR($D350&lt;&gt;"Serviço",AND(AUTOEVENTO="Manual",$M350=$A$15),$M350&gt;(ROW(PLE.lastrow)-ROW(PLE.firstrow))),0,
           IF(OFFSET(PLE!$G$15,$M350-$A$15,BZ$13)="",10^12,OFFSET(PLE!$G$15,$M350-$A$15,BZ$13)))</f>
        <v>1000000000000</v>
      </c>
      <c r="CA350" s="172">
        <f ca="1">IF(OR($D350&lt;&gt;"Serviço",AND(AUTOEVENTO="Manual",$M350=$A$15),$M350&gt;(ROW(PLE.lastrow)-ROW(PLE.firstrow))),0,
           IF(OFFSET(PLE!$G$15,$M350-$A$15,CA$13)="",10^12,OFFSET(PLE!$G$15,$M350-$A$15,CA$13)))</f>
        <v>1000000000000</v>
      </c>
      <c r="CB350" s="172">
        <f ca="1">IF(OR($D350&lt;&gt;"Serviço",AND(AUTOEVENTO="Manual",$M350=$A$15),$M350&gt;(ROW(PLE.lastrow)-ROW(PLE.firstrow))),0,
           IF(OFFSET(PLE!$G$15,$M350-$A$15,CB$13)="",10^12,OFFSET(PLE!$G$15,$M350-$A$15,CB$13)))</f>
        <v>1000000000000</v>
      </c>
      <c r="CC350" s="172">
        <f ca="1">IF(OR($D350&lt;&gt;"Serviço",AND(AUTOEVENTO="Manual",$M350=$A$15),$M350&gt;(ROW(PLE.lastrow)-ROW(PLE.firstrow))),0,
           IF(OFFSET(PLE!$G$15,$M350-$A$15,CC$13)="",10^12,OFFSET(PLE!$G$15,$M350-$A$15,CC$13)))</f>
        <v>1000000000000</v>
      </c>
      <c r="CD350" s="172">
        <f ca="1">IF(OR($D350&lt;&gt;"Serviço",AND(AUTOEVENTO="Manual",$M350=$A$15),$M350&gt;(ROW(PLE.lastrow)-ROW(PLE.firstrow))),0,
           IF(OFFSET(PLE!$G$15,$M350-$A$15,CD$13)="",10^12,OFFSET(PLE!$G$15,$M350-$A$15,CD$13)))</f>
        <v>1000000000000</v>
      </c>
      <c r="CE350" s="172">
        <f ca="1">IF(OR($D350&lt;&gt;"Serviço",AND(AUTOEVENTO="Manual",$M350=$A$15),$M350&gt;(ROW(PLE.lastrow)-ROW(PLE.firstrow))),0,
           IF(OFFSET(PLE!$G$15,$M350-$A$15,CE$13)="",10^12,OFFSET(PLE!$G$15,$M350-$A$15,CE$13)))</f>
        <v>1000000000000</v>
      </c>
      <c r="CF350" s="172">
        <f ca="1">IF(OR($D350&lt;&gt;"Serviço",AND(AUTOEVENTO="Manual",$M350=$A$15),$M350&gt;(ROW(PLE.lastrow)-ROW(PLE.firstrow))),0,
           IF(OFFSET(PLE!$G$15,$M350-$A$15,CF$13)="",10^12,OFFSET(PLE!$G$15,$M350-$A$15,CF$13)))</f>
        <v>1000000000000</v>
      </c>
      <c r="CG350" s="172">
        <f ca="1">IF(OR($D350&lt;&gt;"Serviço",AND(AUTOEVENTO="Manual",$M350=$A$15),$M350&gt;(ROW(PLE.lastrow)-ROW(PLE.firstrow))),0,
           IF(OFFSET(PLE!$G$15,$M350-$A$15,CG$13)="",10^12,OFFSET(PLE!$G$15,$M350-$A$15,CG$13)))</f>
        <v>1000000000000</v>
      </c>
      <c r="CH350" s="172">
        <f ca="1">IF(OR($D350&lt;&gt;"Serviço",AND(AUTOEVENTO="Manual",$M350=$A$15),$M350&gt;(ROW(PLE.lastrow)-ROW(PLE.firstrow))),0,
           IF(OFFSET(PLE!$G$15,$M350-$A$15,CH$13)="",10^12,OFFSET(PLE!$G$15,$M350-$A$15,CH$13)))</f>
        <v>1000000000000</v>
      </c>
      <c r="CI350" s="172">
        <f ca="1">IF(OR($D350&lt;&gt;"Serviço",AND(AUTOEVENTO="Manual",$M350=$A$15),$M350&gt;(ROW(PLE.lastrow)-ROW(PLE.firstrow))),0,
           IF(OFFSET(PLE!$G$15,$M350-$A$15,CI$13)="",10^12,OFFSET(PLE!$G$15,$M350-$A$15,CI$13)))</f>
        <v>1000000000000</v>
      </c>
      <c r="CJ350" s="172">
        <f ca="1">IF(OR($D350&lt;&gt;"Serviço",AND(AUTOEVENTO="Manual",$M350=$A$15),$M350&gt;(ROW(PLE.lastrow)-ROW(PLE.firstrow))),0,
           IF(OFFSET(PLE!$G$15,$M350-$A$15,CJ$13)="",10^12,OFFSET(PLE!$G$15,$M350-$A$15,CJ$13)))</f>
        <v>1000000000000</v>
      </c>
      <c r="CK350" s="172">
        <f ca="1">IF(OR($D350&lt;&gt;"Serviço",AND(AUTOEVENTO="Manual",$M350=$A$15),$M350&gt;(ROW(PLE.lastrow)-ROW(PLE.firstrow))),0,
           IF(OFFSET(PLE!$G$15,$M350-$A$15,CK$13)="",10^12,OFFSET(PLE!$G$15,$M350-$A$15,CK$13)))</f>
        <v>1000000000000</v>
      </c>
      <c r="CL350" s="172">
        <f ca="1">IF(OR($D350&lt;&gt;"Serviço",AND(AUTOEVENTO="Manual",$M350=$A$15),$M350&gt;(ROW(PLE.lastrow)-ROW(PLE.firstrow))),0,
           IF(OFFSET(PLE!$G$15,$M350-$A$15,CL$13)="",10^12,OFFSET(PLE!$G$15,$M350-$A$15,CL$13)))</f>
        <v>1000000000000</v>
      </c>
      <c r="CM350" s="172">
        <f ca="1">IF(OR($D350&lt;&gt;"Serviço",AND(AUTOEVENTO="Manual",$M350=$A$15),$M350&gt;(ROW(PLE.lastrow)-ROW(PLE.firstrow))),0,
           IF(OFFSET(PLE!$G$15,$M350-$A$15,CM$13)="",10^12,OFFSET(PLE!$G$15,$M350-$A$15,CM$13)))</f>
        <v>1000000000000</v>
      </c>
    </row>
    <row r="351" spans="1:91" ht="63.75" x14ac:dyDescent="0.2">
      <c r="A351" s="7">
        <f t="shared" ca="1" si="15"/>
        <v>6</v>
      </c>
      <c r="B351" s="7" t="str">
        <f ca="1">OFFSET(ORÇAMENTO!C$15,ROW(B351)-ROW(B$15),0)</f>
        <v>S</v>
      </c>
      <c r="C351" s="7" t="str">
        <f ca="1">OFFSET(ORÇAMENTO!L$15,ROW(C351)-ROW(C$15),0)</f>
        <v>F</v>
      </c>
      <c r="D351" s="116" t="str">
        <f ca="1">OFFSET(ORÇAMENTO!N$15,ROW(D351)-ROW(D$15),0)</f>
        <v>Serviço</v>
      </c>
      <c r="E351" s="117" t="str">
        <f ca="1">OFFSET(ORÇAMENTO!O$15,ROW(E351)-ROW(E$15),0)</f>
        <v>1.7.6.1.10.</v>
      </c>
      <c r="F351" s="163" t="str">
        <f ca="1">OFFSET(ORÇAMENTO!R$15,ROW(F351)-ROW(F$15),0)</f>
        <v>FORNECIMENTO E ASSENTAMENTO DE TUBO DE PVC DEFOFO, DN 350 MM, JUNTA ELÁSTICA INTEGRADA - BASEADO EM SINAPI (97138)</v>
      </c>
      <c r="G351" s="164" t="str">
        <f ca="1">IF($D351&lt;&gt;"Serviço","",OFFSET(ORÇAMENTO!S$15,ROW(G351)-ROW(G$15),0))</f>
        <v>M</v>
      </c>
      <c r="H351" s="122" cm="1">
        <f t="array" aca="1" ref="H351" ca="1">IF($D351&lt;&gt;"Serviço",0,IF(ACOMPANHAMENTO="BM",ROUND(OFFSET(ORÇAMENTO!AJ$15,ROW(H351)-ROW(H$15),0),15-13*ORÇAMENTO!$AF$7),SUMPRODUCT(($Q$1:$AI$1=1)*ROUND($Q351:$AI351,15-13*ORÇAMENTO!$AF$7))))</f>
        <v>92.5</v>
      </c>
      <c r="I351" s="468" t="s">
        <v>1360</v>
      </c>
      <c r="J351" s="640" t="str" cm="1">
        <f t="array" aca="1" ref="J351" ca="1">IF(OR(B351&lt;&gt;"S",CÁLCULO.FrentesPreenchidas=0),"",IF(AND(ACOMPANHAMENTO="PLE",AUTOEVENTO="Manual",OR(H351&gt;0,ORÇAMENTO!AC351="QUANT."),OR(K351="",M351=0,N351="")),"►E",IF(AND(ACOMPANHAMENTO="PLE",ORÇAMENTO!AC351="QUANT."),"►Q",IF(AND(ACOMPANHAMENTO="PLE",H351&lt;&gt;SUMPRODUCT(($Q$1:$AI$1=1)*ROUND(Q351:AI351,15))),"►S",IF(AND(COUNTIF($P$11:$AI$11,"▼")=0,H351&gt;0,I351=""),"◄M","")))))</f>
        <v/>
      </c>
      <c r="K351" s="641" t="s">
        <v>1385</v>
      </c>
      <c r="L351" s="165" t="s">
        <v>764</v>
      </c>
      <c r="M351" s="166">
        <f ca="1">IF($D351&lt;&gt;"Serviço","",
          IF(AUTOEVENTO="manual",$A351,
                IF(ISERROR(MATCH($A351,$A$15:OFFSET($A351,-1,0),0)),MAX($M$15:OFFSET(M351,-1,0))+1,
                      INDEX($M$15:OFFSET(M351,-1,0),MATCH($A351,$A$15:OFFSET($A351,-1,0),0)))))</f>
        <v>6</v>
      </c>
      <c r="N351" s="167" t="str">
        <f ca="1">IF($D351&lt;&gt;"Serviço","",
         IF(AUTOEVENTO="Manual",
                IF($A351=0,"&lt;-- defina o número do agrupador",
                       OFFSET(EVENTOS!$D$15,$A351-$A$15,0)),
                OFFSET($F$15,$A351,0)))</f>
        <v>Saneamento</v>
      </c>
      <c r="O351" s="168"/>
      <c r="Q351" s="168"/>
      <c r="R351" s="169"/>
      <c r="S351" s="169"/>
      <c r="T351" s="169"/>
      <c r="U351" s="169"/>
      <c r="V351" s="169">
        <v>92.5</v>
      </c>
      <c r="W351" s="169"/>
      <c r="X351" s="169"/>
      <c r="Y351" s="169"/>
      <c r="Z351" s="170"/>
      <c r="AA351" s="169"/>
      <c r="AB351" s="169"/>
      <c r="AC351" s="169"/>
      <c r="AD351" s="169"/>
      <c r="AE351" s="169"/>
      <c r="AF351" s="169"/>
      <c r="AG351" s="169"/>
      <c r="AH351" s="170"/>
      <c r="AJ351" s="453">
        <f ca="1">IF(AND($D351="Serviço",AJ$12&lt;&gt;0,$H351&gt;0,OR(AUTOEVENTO&lt;&gt;"manual",$M351&lt;&gt;$A$15)),
        IF(Import.TipoArredondamento&lt;&gt;"TransfereGOV",
              ROUND(OFFSET($P351,0,AJ$13),15-13*ORÇAMENTO!$AF$7)/$H351*OFFSET(ORÇAMENTO!$X$15,ROW(AJ351)-ROW(AJ$15),0),
              ROUND(ROUND(OFFSET($P351,0,AJ$13),15-13*ORÇAMENTO!$AF$7)*OFFSET(ORÇAMENTO!$W$15,ROW(AJ351)-ROW(AJ$15),0),15-13*ORÇAMENTO!$AF$11)),
         0)</f>
        <v>0</v>
      </c>
      <c r="AK351" s="453">
        <f ca="1">IF(AND($D351="Serviço",AK$12&lt;&gt;0,$H351&gt;0,OR(AUTOEVENTO&lt;&gt;"manual",$M351&lt;&gt;$A$15)),
        IF(Import.TipoArredondamento&lt;&gt;"TransfereGOV",
              ROUND(OFFSET($P351,0,AK$13),15-13*ORÇAMENTO!$AF$7)/$H351*OFFSET(ORÇAMENTO!$X$15,ROW(AK351)-ROW(AK$15),0),
              ROUND(ROUND(OFFSET($P351,0,AK$13),15-13*ORÇAMENTO!$AF$7)*OFFSET(ORÇAMENTO!$W$15,ROW(AK351)-ROW(AK$15),0),15-13*ORÇAMENTO!$AF$11)),
         0)</f>
        <v>0</v>
      </c>
      <c r="AL351" s="453">
        <f ca="1">IF(AND($D351="Serviço",AL$12&lt;&gt;0,$H351&gt;0,OR(AUTOEVENTO&lt;&gt;"manual",$M351&lt;&gt;$A$15)),
        IF(Import.TipoArredondamento&lt;&gt;"TransfereGOV",
              ROUND(OFFSET($P351,0,AL$13),15-13*ORÇAMENTO!$AF$7)/$H351*OFFSET(ORÇAMENTO!$X$15,ROW(AL351)-ROW(AL$15),0),
              ROUND(ROUND(OFFSET($P351,0,AL$13),15-13*ORÇAMENTO!$AF$7)*OFFSET(ORÇAMENTO!$W$15,ROW(AL351)-ROW(AL$15),0),15-13*ORÇAMENTO!$AF$11)),
         0)</f>
        <v>0</v>
      </c>
      <c r="AM351" s="453">
        <f ca="1">IF(AND($D351="Serviço",AM$12&lt;&gt;0,$H351&gt;0,OR(AUTOEVENTO&lt;&gt;"manual",$M351&lt;&gt;$A$15)),
        IF(Import.TipoArredondamento&lt;&gt;"TransfereGOV",
              ROUND(OFFSET($P351,0,AM$13),15-13*ORÇAMENTO!$AF$7)/$H351*OFFSET(ORÇAMENTO!$X$15,ROW(AM351)-ROW(AM$15),0),
              ROUND(ROUND(OFFSET($P351,0,AM$13),15-13*ORÇAMENTO!$AF$7)*OFFSET(ORÇAMENTO!$W$15,ROW(AM351)-ROW(AM$15),0),15-13*ORÇAMENTO!$AF$11)),
         0)</f>
        <v>0</v>
      </c>
      <c r="AN351" s="453">
        <f ca="1">IF(AND($D351="Serviço",AN$12&lt;&gt;0,$H351&gt;0,OR(AUTOEVENTO&lt;&gt;"manual",$M351&lt;&gt;$A$15)),
        IF(Import.TipoArredondamento&lt;&gt;"TransfereGOV",
              ROUND(OFFSET($P351,0,AN$13),15-13*ORÇAMENTO!$AF$7)/$H351*OFFSET(ORÇAMENTO!$X$15,ROW(AN351)-ROW(AN$15),0),
              ROUND(ROUND(OFFSET($P351,0,AN$13),15-13*ORÇAMENTO!$AF$7)*OFFSET(ORÇAMENTO!$W$15,ROW(AN351)-ROW(AN$15),0),15-13*ORÇAMENTO!$AF$11)),
         0)</f>
        <v>0</v>
      </c>
      <c r="AO351" s="453">
        <f ca="1">IF(AND($D351="Serviço",AO$12&lt;&gt;0,$H351&gt;0,OR(AUTOEVENTO&lt;&gt;"manual",$M351&lt;&gt;$A$15)),
        IF(Import.TipoArredondamento&lt;&gt;"TransfereGOV",
              ROUND(OFFSET($P351,0,AO$13),15-13*ORÇAMENTO!$AF$7)/$H351*OFFSET(ORÇAMENTO!$X$15,ROW(AO351)-ROW(AO$15),0),
              ROUND(ROUND(OFFSET($P351,0,AO$13),15-13*ORÇAMENTO!$AF$7)*OFFSET(ORÇAMENTO!$W$15,ROW(AO351)-ROW(AO$15),0),15-13*ORÇAMENTO!$AF$11)),
         0)</f>
        <v>0</v>
      </c>
      <c r="AP351" s="453">
        <f ca="1">IF(AND($D351="Serviço",AP$12&lt;&gt;0,$H351&gt;0,OR(AUTOEVENTO&lt;&gt;"manual",$M351&lt;&gt;$A$15)),
        IF(Import.TipoArredondamento&lt;&gt;"TransfereGOV",
              ROUND(OFFSET($P351,0,AP$13),15-13*ORÇAMENTO!$AF$7)/$H351*OFFSET(ORÇAMENTO!$X$15,ROW(AP351)-ROW(AP$15),0),
              ROUND(ROUND(OFFSET($P351,0,AP$13),15-13*ORÇAMENTO!$AF$7)*OFFSET(ORÇAMENTO!$W$15,ROW(AP351)-ROW(AP$15),0),15-13*ORÇAMENTO!$AF$11)),
         0)</f>
        <v>0</v>
      </c>
      <c r="AQ351" s="453">
        <f ca="1">IF(AND($D351="Serviço",AQ$12&lt;&gt;0,$H351&gt;0,OR(AUTOEVENTO&lt;&gt;"manual",$M351&lt;&gt;$A$15)),
        IF(Import.TipoArredondamento&lt;&gt;"TransfereGOV",
              ROUND(OFFSET($P351,0,AQ$13),15-13*ORÇAMENTO!$AF$7)/$H351*OFFSET(ORÇAMENTO!$X$15,ROW(AQ351)-ROW(AQ$15),0),
              ROUND(ROUND(OFFSET($P351,0,AQ$13),15-13*ORÇAMENTO!$AF$7)*OFFSET(ORÇAMENTO!$W$15,ROW(AQ351)-ROW(AQ$15),0),15-13*ORÇAMENTO!$AF$11)),
         0)</f>
        <v>0</v>
      </c>
      <c r="AR351" s="453">
        <f ca="1">IF(AND($D351="Serviço",AR$12&lt;&gt;0,$H351&gt;0,OR(AUTOEVENTO&lt;&gt;"manual",$M351&lt;&gt;$A$15)),
        IF(Import.TipoArredondamento&lt;&gt;"TransfereGOV",
              ROUND(OFFSET($P351,0,AR$13),15-13*ORÇAMENTO!$AF$7)/$H351*OFFSET(ORÇAMENTO!$X$15,ROW(AR351)-ROW(AR$15),0),
              ROUND(ROUND(OFFSET($P351,0,AR$13),15-13*ORÇAMENTO!$AF$7)*OFFSET(ORÇAMENTO!$W$15,ROW(AR351)-ROW(AR$15),0),15-13*ORÇAMENTO!$AF$11)),
         0)</f>
        <v>0</v>
      </c>
      <c r="AS351" s="453">
        <f ca="1">IF(AND($D351="Serviço",AS$12&lt;&gt;0,$H351&gt;0,OR(AUTOEVENTO&lt;&gt;"manual",$M351&lt;&gt;$A$15)),
        IF(Import.TipoArredondamento&lt;&gt;"TransfereGOV",
              ROUND(OFFSET($P351,0,AS$13),15-13*ORÇAMENTO!$AF$7)/$H351*OFFSET(ORÇAMENTO!$X$15,ROW(AS351)-ROW(AS$15),0),
              ROUND(ROUND(OFFSET($P351,0,AS$13),15-13*ORÇAMENTO!$AF$7)*OFFSET(ORÇAMENTO!$W$15,ROW(AS351)-ROW(AS$15),0),15-13*ORÇAMENTO!$AF$11)),
         0)</f>
        <v>0</v>
      </c>
      <c r="AT351" s="453">
        <f ca="1">IF(AND($D351="Serviço",AT$12&lt;&gt;0,$H351&gt;0,OR(AUTOEVENTO&lt;&gt;"manual",$M351&lt;&gt;$A$15)),
        IF(Import.TipoArredondamento&lt;&gt;"TransfereGOV",
              ROUND(OFFSET($P351,0,AT$13),15-13*ORÇAMENTO!$AF$7)/$H351*OFFSET(ORÇAMENTO!$X$15,ROW(AT351)-ROW(AT$15),0),
              ROUND(ROUND(OFFSET($P351,0,AT$13),15-13*ORÇAMENTO!$AF$7)*OFFSET(ORÇAMENTO!$W$15,ROW(AT351)-ROW(AT$15),0),15-13*ORÇAMENTO!$AF$11)),
         0)</f>
        <v>0</v>
      </c>
      <c r="AU351" s="453">
        <f ca="1">IF(AND($D351="Serviço",AU$12&lt;&gt;0,$H351&gt;0,OR(AUTOEVENTO&lt;&gt;"manual",$M351&lt;&gt;$A$15)),
        IF(Import.TipoArredondamento&lt;&gt;"TransfereGOV",
              ROUND(OFFSET($P351,0,AU$13),15-13*ORÇAMENTO!$AF$7)/$H351*OFFSET(ORÇAMENTO!$X$15,ROW(AU351)-ROW(AU$15),0),
              ROUND(ROUND(OFFSET($P351,0,AU$13),15-13*ORÇAMENTO!$AF$7)*OFFSET(ORÇAMENTO!$W$15,ROW(AU351)-ROW(AU$15),0),15-13*ORÇAMENTO!$AF$11)),
         0)</f>
        <v>0</v>
      </c>
      <c r="AV351" s="453">
        <f ca="1">IF(AND($D351="Serviço",AV$12&lt;&gt;0,$H351&gt;0,OR(AUTOEVENTO&lt;&gt;"manual",$M351&lt;&gt;$A$15)),
        IF(Import.TipoArredondamento&lt;&gt;"TransfereGOV",
              ROUND(OFFSET($P351,0,AV$13),15-13*ORÇAMENTO!$AF$7)/$H351*OFFSET(ORÇAMENTO!$X$15,ROW(AV351)-ROW(AV$15),0),
              ROUND(ROUND(OFFSET($P351,0,AV$13),15-13*ORÇAMENTO!$AF$7)*OFFSET(ORÇAMENTO!$W$15,ROW(AV351)-ROW(AV$15),0),15-13*ORÇAMENTO!$AF$11)),
         0)</f>
        <v>0</v>
      </c>
      <c r="AW351" s="453">
        <f ca="1">IF(AND($D351="Serviço",AW$12&lt;&gt;0,$H351&gt;0,OR(AUTOEVENTO&lt;&gt;"manual",$M351&lt;&gt;$A$15)),
        IF(Import.TipoArredondamento&lt;&gt;"TransfereGOV",
              ROUND(OFFSET($P351,0,AW$13),15-13*ORÇAMENTO!$AF$7)/$H351*OFFSET(ORÇAMENTO!$X$15,ROW(AW351)-ROW(AW$15),0),
              ROUND(ROUND(OFFSET($P351,0,AW$13),15-13*ORÇAMENTO!$AF$7)*OFFSET(ORÇAMENTO!$W$15,ROW(AW351)-ROW(AW$15),0),15-13*ORÇAMENTO!$AF$11)),
         0)</f>
        <v>0</v>
      </c>
      <c r="AX351" s="453">
        <f ca="1">IF(AND($D351="Serviço",AX$12&lt;&gt;0,$H351&gt;0,OR(AUTOEVENTO&lt;&gt;"manual",$M351&lt;&gt;$A$15)),
        IF(Import.TipoArredondamento&lt;&gt;"TransfereGOV",
              ROUND(OFFSET($P351,0,AX$13),15-13*ORÇAMENTO!$AF$7)/$H351*OFFSET(ORÇAMENTO!$X$15,ROW(AX351)-ROW(AX$15),0),
              ROUND(ROUND(OFFSET($P351,0,AX$13),15-13*ORÇAMENTO!$AF$7)*OFFSET(ORÇAMENTO!$W$15,ROW(AX351)-ROW(AX$15),0),15-13*ORÇAMENTO!$AF$11)),
         0)</f>
        <v>0</v>
      </c>
      <c r="AY351" s="453">
        <f ca="1">IF(AND($D351="Serviço",AY$12&lt;&gt;0,$H351&gt;0,OR(AUTOEVENTO&lt;&gt;"manual",$M351&lt;&gt;$A$15)),
        IF(Import.TipoArredondamento&lt;&gt;"TransfereGOV",
              ROUND(OFFSET($P351,0,AY$13),15-13*ORÇAMENTO!$AF$7)/$H351*OFFSET(ORÇAMENTO!$X$15,ROW(AY351)-ROW(AY$15),0),
              ROUND(ROUND(OFFSET($P351,0,AY$13),15-13*ORÇAMENTO!$AF$7)*OFFSET(ORÇAMENTO!$W$15,ROW(AY351)-ROW(AY$15),0),15-13*ORÇAMENTO!$AF$11)),
         0)</f>
        <v>0</v>
      </c>
      <c r="AZ351" s="453">
        <f ca="1">IF(AND($D351="Serviço",AZ$12&lt;&gt;0,$H351&gt;0,OR(AUTOEVENTO&lt;&gt;"manual",$M351&lt;&gt;$A$15)),
        IF(Import.TipoArredondamento&lt;&gt;"TransfereGOV",
              ROUND(OFFSET($P351,0,AZ$13),15-13*ORÇAMENTO!$AF$7)/$H351*OFFSET(ORÇAMENTO!$X$15,ROW(AZ351)-ROW(AZ$15),0),
              ROUND(ROUND(OFFSET($P351,0,AZ$13),15-13*ORÇAMENTO!$AF$7)*OFFSET(ORÇAMENTO!$W$15,ROW(AZ351)-ROW(AZ$15),0),15-13*ORÇAMENTO!$AF$11)),
         0)</f>
        <v>0</v>
      </c>
      <c r="BA351" s="453">
        <f ca="1">IF(AND($D351="Serviço",BA$12&lt;&gt;0,$H351&gt;0,OR(AUTOEVENTO&lt;&gt;"manual",$M351&lt;&gt;$A$15)),
        IF(Import.TipoArredondamento&lt;&gt;"TransfereGOV",
              ROUND(OFFSET($P351,0,BA$13),15-13*ORÇAMENTO!$AF$7)/$H351*OFFSET(ORÇAMENTO!$X$15,ROW(BA351)-ROW(BA$15),0),
              ROUND(ROUND(OFFSET($P351,0,BA$13),15-13*ORÇAMENTO!$AF$7)*OFFSET(ORÇAMENTO!$W$15,ROW(BA351)-ROW(BA$15),0),15-13*ORÇAMENTO!$AF$11)),
         0)</f>
        <v>0</v>
      </c>
      <c r="BC351" s="171">
        <f ca="1">IF(OR($D351&lt;&gt;"Serviço",AND(AUTOEVENTO="Manual",$M351=$A$15)),0,
         IF(OFFSET(CRONOPLE!$F$15,$M351-$A$15,BC$13)=0,10^12,OFFSET(CRONOPLE!$F$15,$M351-$A$15,BC$13)))</f>
        <v>1</v>
      </c>
      <c r="BD351" s="171">
        <f ca="1">IF(OR($D351&lt;&gt;"Serviço",AND(AUTOEVENTO="Manual",$M351=$A$15)),0,
         IF(OFFSET(CRONOPLE!$F$15,$M351-$A$15,BD$13)=0,10^12,OFFSET(CRONOPLE!$F$15,$M351-$A$15,BD$13)))</f>
        <v>2</v>
      </c>
      <c r="BE351" s="171">
        <f ca="1">IF(OR($D351&lt;&gt;"Serviço",AND(AUTOEVENTO="Manual",$M351=$A$15)),0,
         IF(OFFSET(CRONOPLE!$F$15,$M351-$A$15,BE$13)=0,10^12,OFFSET(CRONOPLE!$F$15,$M351-$A$15,BE$13)))</f>
        <v>3</v>
      </c>
      <c r="BF351" s="171">
        <f ca="1">IF(OR($D351&lt;&gt;"Serviço",AND(AUTOEVENTO="Manual",$M351=$A$15)),0,
         IF(OFFSET(CRONOPLE!$F$15,$M351-$A$15,BF$13)=0,10^12,OFFSET(CRONOPLE!$F$15,$M351-$A$15,BF$13)))</f>
        <v>4</v>
      </c>
      <c r="BG351" s="171">
        <f ca="1">IF(OR($D351&lt;&gt;"Serviço",AND(AUTOEVENTO="Manual",$M351=$A$15)),0,
         IF(OFFSET(CRONOPLE!$F$15,$M351-$A$15,BG$13)=0,10^12,OFFSET(CRONOPLE!$F$15,$M351-$A$15,BG$13)))</f>
        <v>5</v>
      </c>
      <c r="BH351" s="171">
        <f ca="1">IF(OR($D351&lt;&gt;"Serviço",AND(AUTOEVENTO="Manual",$M351=$A$15)),0,
         IF(OFFSET(CRONOPLE!$F$15,$M351-$A$15,BH$13)=0,10^12,OFFSET(CRONOPLE!$F$15,$M351-$A$15,BH$13)))</f>
        <v>6</v>
      </c>
      <c r="BI351" s="171">
        <f ca="1">IF(OR($D351&lt;&gt;"Serviço",AND(AUTOEVENTO="Manual",$M351=$A$15)),0,
         IF(OFFSET(CRONOPLE!$F$15,$M351-$A$15,BI$13)=0,10^12,OFFSET(CRONOPLE!$F$15,$M351-$A$15,BI$13)))</f>
        <v>7</v>
      </c>
      <c r="BJ351" s="171">
        <f ca="1">IF(OR($D351&lt;&gt;"Serviço",AND(AUTOEVENTO="Manual",$M351=$A$15)),0,
         IF(OFFSET(CRONOPLE!$F$15,$M351-$A$15,BJ$13)=0,10^12,OFFSET(CRONOPLE!$F$15,$M351-$A$15,BJ$13)))</f>
        <v>8</v>
      </c>
      <c r="BK351" s="171">
        <f ca="1">IF(OR($D351&lt;&gt;"Serviço",AND(AUTOEVENTO="Manual",$M351=$A$15)),0,
         IF(OFFSET(CRONOPLE!$F$15,$M351-$A$15,BK$13)=0,10^12,OFFSET(CRONOPLE!$F$15,$M351-$A$15,BK$13)))</f>
        <v>9</v>
      </c>
      <c r="BL351" s="171">
        <f ca="1">IF(OR($D351&lt;&gt;"Serviço",AND(AUTOEVENTO="Manual",$M351=$A$15)),0,
         IF(OFFSET(CRONOPLE!$F$15,$M351-$A$15,BL$13)=0,10^12,OFFSET(CRONOPLE!$F$15,$M351-$A$15,BL$13)))</f>
        <v>1000000000000</v>
      </c>
      <c r="BM351" s="171">
        <f ca="1">IF(OR($D351&lt;&gt;"Serviço",AND(AUTOEVENTO="Manual",$M351=$A$15)),0,
         IF(OFFSET(CRONOPLE!$F$15,$M351-$A$15,BM$13)=0,10^12,OFFSET(CRONOPLE!$F$15,$M351-$A$15,BM$13)))</f>
        <v>1000000000000</v>
      </c>
      <c r="BN351" s="171">
        <f ca="1">IF(OR($D351&lt;&gt;"Serviço",AND(AUTOEVENTO="Manual",$M351=$A$15)),0,
         IF(OFFSET(CRONOPLE!$F$15,$M351-$A$15,BN$13)=0,10^12,OFFSET(CRONOPLE!$F$15,$M351-$A$15,BN$13)))</f>
        <v>1000000000000</v>
      </c>
      <c r="BO351" s="171">
        <f ca="1">IF(OR($D351&lt;&gt;"Serviço",AND(AUTOEVENTO="Manual",$M351=$A$15)),0,
         IF(OFFSET(CRONOPLE!$F$15,$M351-$A$15,BO$13)=0,10^12,OFFSET(CRONOPLE!$F$15,$M351-$A$15,BO$13)))</f>
        <v>1000000000000</v>
      </c>
      <c r="BP351" s="171">
        <f ca="1">IF(OR($D351&lt;&gt;"Serviço",AND(AUTOEVENTO="Manual",$M351=$A$15)),0,
         IF(OFFSET(CRONOPLE!$F$15,$M351-$A$15,BP$13)=0,10^12,OFFSET(CRONOPLE!$F$15,$M351-$A$15,BP$13)))</f>
        <v>1000000000000</v>
      </c>
      <c r="BQ351" s="171">
        <f ca="1">IF(OR($D351&lt;&gt;"Serviço",AND(AUTOEVENTO="Manual",$M351=$A$15)),0,
         IF(OFFSET(CRONOPLE!$F$15,$M351-$A$15,BQ$13)=0,10^12,OFFSET(CRONOPLE!$F$15,$M351-$A$15,BQ$13)))</f>
        <v>1000000000000</v>
      </c>
      <c r="BR351" s="171">
        <f ca="1">IF(OR($D351&lt;&gt;"Serviço",AND(AUTOEVENTO="Manual",$M351=$A$15)),0,
         IF(OFFSET(CRONOPLE!$F$15,$M351-$A$15,BR$13)=0,10^12,OFFSET(CRONOPLE!$F$15,$M351-$A$15,BR$13)))</f>
        <v>1000000000000</v>
      </c>
      <c r="BS351" s="171">
        <f ca="1">IF(OR($D351&lt;&gt;"Serviço",AND(AUTOEVENTO="Manual",$M351=$A$15)),0,
         IF(OFFSET(CRONOPLE!$F$15,$M351-$A$15,BS$13)=0,10^12,OFFSET(CRONOPLE!$F$15,$M351-$A$15,BS$13)))</f>
        <v>1000000000000</v>
      </c>
      <c r="BT351" s="171">
        <f ca="1">IF(OR($D351&lt;&gt;"Serviço",AND(AUTOEVENTO="Manual",$M351=$A$15)),0,
         IF(OFFSET(CRONOPLE!$F$15,$M351-$A$15,BT$13)=0,10^12,OFFSET(CRONOPLE!$F$15,$M351-$A$15,BT$13)))</f>
        <v>1000000000000</v>
      </c>
      <c r="BV351" s="172">
        <f ca="1">IF(OR($D351&lt;&gt;"Serviço",AND(AUTOEVENTO="Manual",$M351=$A$15),$M351&gt;(ROW(PLE.lastrow)-ROW(PLE.firstrow))),0,
           IF(OFFSET(PLE!$G$15,$M351-$A$15,BV$13)="",10^12,OFFSET(PLE!$G$15,$M351-$A$15,BV$13)))</f>
        <v>1000000000000</v>
      </c>
      <c r="BW351" s="172">
        <f ca="1">IF(OR($D351&lt;&gt;"Serviço",AND(AUTOEVENTO="Manual",$M351=$A$15),$M351&gt;(ROW(PLE.lastrow)-ROW(PLE.firstrow))),0,
           IF(OFFSET(PLE!$G$15,$M351-$A$15,BW$13)="",10^12,OFFSET(PLE!$G$15,$M351-$A$15,BW$13)))</f>
        <v>1000000000000</v>
      </c>
      <c r="BX351" s="172">
        <f ca="1">IF(OR($D351&lt;&gt;"Serviço",AND(AUTOEVENTO="Manual",$M351=$A$15),$M351&gt;(ROW(PLE.lastrow)-ROW(PLE.firstrow))),0,
           IF(OFFSET(PLE!$G$15,$M351-$A$15,BX$13)="",10^12,OFFSET(PLE!$G$15,$M351-$A$15,BX$13)))</f>
        <v>1000000000000</v>
      </c>
      <c r="BY351" s="172">
        <f ca="1">IF(OR($D351&lt;&gt;"Serviço",AND(AUTOEVENTO="Manual",$M351=$A$15),$M351&gt;(ROW(PLE.lastrow)-ROW(PLE.firstrow))),0,
           IF(OFFSET(PLE!$G$15,$M351-$A$15,BY$13)="",10^12,OFFSET(PLE!$G$15,$M351-$A$15,BY$13)))</f>
        <v>1000000000000</v>
      </c>
      <c r="BZ351" s="172">
        <f ca="1">IF(OR($D351&lt;&gt;"Serviço",AND(AUTOEVENTO="Manual",$M351=$A$15),$M351&gt;(ROW(PLE.lastrow)-ROW(PLE.firstrow))),0,
           IF(OFFSET(PLE!$G$15,$M351-$A$15,BZ$13)="",10^12,OFFSET(PLE!$G$15,$M351-$A$15,BZ$13)))</f>
        <v>1000000000000</v>
      </c>
      <c r="CA351" s="172">
        <f ca="1">IF(OR($D351&lt;&gt;"Serviço",AND(AUTOEVENTO="Manual",$M351=$A$15),$M351&gt;(ROW(PLE.lastrow)-ROW(PLE.firstrow))),0,
           IF(OFFSET(PLE!$G$15,$M351-$A$15,CA$13)="",10^12,OFFSET(PLE!$G$15,$M351-$A$15,CA$13)))</f>
        <v>1000000000000</v>
      </c>
      <c r="CB351" s="172">
        <f ca="1">IF(OR($D351&lt;&gt;"Serviço",AND(AUTOEVENTO="Manual",$M351=$A$15),$M351&gt;(ROW(PLE.lastrow)-ROW(PLE.firstrow))),0,
           IF(OFFSET(PLE!$G$15,$M351-$A$15,CB$13)="",10^12,OFFSET(PLE!$G$15,$M351-$A$15,CB$13)))</f>
        <v>1000000000000</v>
      </c>
      <c r="CC351" s="172">
        <f ca="1">IF(OR($D351&lt;&gt;"Serviço",AND(AUTOEVENTO="Manual",$M351=$A$15),$M351&gt;(ROW(PLE.lastrow)-ROW(PLE.firstrow))),0,
           IF(OFFSET(PLE!$G$15,$M351-$A$15,CC$13)="",10^12,OFFSET(PLE!$G$15,$M351-$A$15,CC$13)))</f>
        <v>1000000000000</v>
      </c>
      <c r="CD351" s="172">
        <f ca="1">IF(OR($D351&lt;&gt;"Serviço",AND(AUTOEVENTO="Manual",$M351=$A$15),$M351&gt;(ROW(PLE.lastrow)-ROW(PLE.firstrow))),0,
           IF(OFFSET(PLE!$G$15,$M351-$A$15,CD$13)="",10^12,OFFSET(PLE!$G$15,$M351-$A$15,CD$13)))</f>
        <v>1000000000000</v>
      </c>
      <c r="CE351" s="172">
        <f ca="1">IF(OR($D351&lt;&gt;"Serviço",AND(AUTOEVENTO="Manual",$M351=$A$15),$M351&gt;(ROW(PLE.lastrow)-ROW(PLE.firstrow))),0,
           IF(OFFSET(PLE!$G$15,$M351-$A$15,CE$13)="",10^12,OFFSET(PLE!$G$15,$M351-$A$15,CE$13)))</f>
        <v>1000000000000</v>
      </c>
      <c r="CF351" s="172">
        <f ca="1">IF(OR($D351&lt;&gt;"Serviço",AND(AUTOEVENTO="Manual",$M351=$A$15),$M351&gt;(ROW(PLE.lastrow)-ROW(PLE.firstrow))),0,
           IF(OFFSET(PLE!$G$15,$M351-$A$15,CF$13)="",10^12,OFFSET(PLE!$G$15,$M351-$A$15,CF$13)))</f>
        <v>1000000000000</v>
      </c>
      <c r="CG351" s="172">
        <f ca="1">IF(OR($D351&lt;&gt;"Serviço",AND(AUTOEVENTO="Manual",$M351=$A$15),$M351&gt;(ROW(PLE.lastrow)-ROW(PLE.firstrow))),0,
           IF(OFFSET(PLE!$G$15,$M351-$A$15,CG$13)="",10^12,OFFSET(PLE!$G$15,$M351-$A$15,CG$13)))</f>
        <v>1000000000000</v>
      </c>
      <c r="CH351" s="172">
        <f ca="1">IF(OR($D351&lt;&gt;"Serviço",AND(AUTOEVENTO="Manual",$M351=$A$15),$M351&gt;(ROW(PLE.lastrow)-ROW(PLE.firstrow))),0,
           IF(OFFSET(PLE!$G$15,$M351-$A$15,CH$13)="",10^12,OFFSET(PLE!$G$15,$M351-$A$15,CH$13)))</f>
        <v>1000000000000</v>
      </c>
      <c r="CI351" s="172">
        <f ca="1">IF(OR($D351&lt;&gt;"Serviço",AND(AUTOEVENTO="Manual",$M351=$A$15),$M351&gt;(ROW(PLE.lastrow)-ROW(PLE.firstrow))),0,
           IF(OFFSET(PLE!$G$15,$M351-$A$15,CI$13)="",10^12,OFFSET(PLE!$G$15,$M351-$A$15,CI$13)))</f>
        <v>1000000000000</v>
      </c>
      <c r="CJ351" s="172">
        <f ca="1">IF(OR($D351&lt;&gt;"Serviço",AND(AUTOEVENTO="Manual",$M351=$A$15),$M351&gt;(ROW(PLE.lastrow)-ROW(PLE.firstrow))),0,
           IF(OFFSET(PLE!$G$15,$M351-$A$15,CJ$13)="",10^12,OFFSET(PLE!$G$15,$M351-$A$15,CJ$13)))</f>
        <v>1000000000000</v>
      </c>
      <c r="CK351" s="172">
        <f ca="1">IF(OR($D351&lt;&gt;"Serviço",AND(AUTOEVENTO="Manual",$M351=$A$15),$M351&gt;(ROW(PLE.lastrow)-ROW(PLE.firstrow))),0,
           IF(OFFSET(PLE!$G$15,$M351-$A$15,CK$13)="",10^12,OFFSET(PLE!$G$15,$M351-$A$15,CK$13)))</f>
        <v>1000000000000</v>
      </c>
      <c r="CL351" s="172">
        <f ca="1">IF(OR($D351&lt;&gt;"Serviço",AND(AUTOEVENTO="Manual",$M351=$A$15),$M351&gt;(ROW(PLE.lastrow)-ROW(PLE.firstrow))),0,
           IF(OFFSET(PLE!$G$15,$M351-$A$15,CL$13)="",10^12,OFFSET(PLE!$G$15,$M351-$A$15,CL$13)))</f>
        <v>1000000000000</v>
      </c>
      <c r="CM351" s="172">
        <f ca="1">IF(OR($D351&lt;&gt;"Serviço",AND(AUTOEVENTO="Manual",$M351=$A$15),$M351&gt;(ROW(PLE.lastrow)-ROW(PLE.firstrow))),0,
           IF(OFFSET(PLE!$G$15,$M351-$A$15,CM$13)="",10^12,OFFSET(PLE!$G$15,$M351-$A$15,CM$13)))</f>
        <v>1000000000000</v>
      </c>
    </row>
    <row r="352" spans="1:91" ht="63.75" x14ac:dyDescent="0.2">
      <c r="A352" s="7">
        <f t="shared" ca="1" si="15"/>
        <v>6</v>
      </c>
      <c r="B352" s="7" t="str">
        <f ca="1">OFFSET(ORÇAMENTO!C$15,ROW(B352)-ROW(B$15),0)</f>
        <v>S</v>
      </c>
      <c r="C352" s="7" t="str">
        <f ca="1">OFFSET(ORÇAMENTO!L$15,ROW(C352)-ROW(C$15),0)</f>
        <v>F</v>
      </c>
      <c r="D352" s="116" t="str">
        <f ca="1">OFFSET(ORÇAMENTO!N$15,ROW(D352)-ROW(D$15),0)</f>
        <v>Serviço</v>
      </c>
      <c r="E352" s="117" t="str">
        <f ca="1">OFFSET(ORÇAMENTO!O$15,ROW(E352)-ROW(E$15),0)</f>
        <v>1.7.6.1.11.</v>
      </c>
      <c r="F352" s="163" t="str">
        <f ca="1">OFFSET(ORÇAMENTO!R$15,ROW(F352)-ROW(F$15),0)</f>
        <v>ARRUELA BORRACHA PARA FLANGE - DN 150 MM</v>
      </c>
      <c r="G352" s="164" t="str">
        <f ca="1">IF($D352&lt;&gt;"Serviço","",OFFSET(ORÇAMENTO!S$15,ROW(G352)-ROW(G$15),0))</f>
        <v>UN</v>
      </c>
      <c r="H352" s="122" cm="1">
        <f t="array" aca="1" ref="H352" ca="1">IF($D352&lt;&gt;"Serviço",0,IF(ACOMPANHAMENTO="BM",ROUND(OFFSET(ORÇAMENTO!AJ$15,ROW(H352)-ROW(H$15),0),15-13*ORÇAMENTO!$AF$7),SUMPRODUCT(($Q$1:$AI$1=1)*ROUND($Q352:$AI352,15-13*ORÇAMENTO!$AF$7))))</f>
        <v>6</v>
      </c>
      <c r="I352" s="468" t="s">
        <v>1360</v>
      </c>
      <c r="J352" s="640" t="str" cm="1">
        <f t="array" aca="1" ref="J352" ca="1">IF(OR(B352&lt;&gt;"S",CÁLCULO.FrentesPreenchidas=0),"",IF(AND(ACOMPANHAMENTO="PLE",AUTOEVENTO="Manual",OR(H352&gt;0,ORÇAMENTO!AC352="QUANT."),OR(K352="",M352=0,N352="")),"►E",IF(AND(ACOMPANHAMENTO="PLE",ORÇAMENTO!AC352="QUANT."),"►Q",IF(AND(ACOMPANHAMENTO="PLE",H352&lt;&gt;SUMPRODUCT(($Q$1:$AI$1=1)*ROUND(Q352:AI352,15))),"►S",IF(AND(COUNTIF($P$11:$AI$11,"▼")=0,H352&gt;0,I352=""),"◄M","")))))</f>
        <v/>
      </c>
      <c r="K352" s="641" t="s">
        <v>1385</v>
      </c>
      <c r="L352" s="165" t="s">
        <v>764</v>
      </c>
      <c r="M352" s="166">
        <f ca="1">IF($D352&lt;&gt;"Serviço","",
          IF(AUTOEVENTO="manual",$A352,
                IF(ISERROR(MATCH($A352,$A$15:OFFSET($A352,-1,0),0)),MAX($M$15:OFFSET(M352,-1,0))+1,
                      INDEX($M$15:OFFSET(M352,-1,0),MATCH($A352,$A$15:OFFSET($A352,-1,0),0)))))</f>
        <v>6</v>
      </c>
      <c r="N352" s="167" t="str">
        <f ca="1">IF($D352&lt;&gt;"Serviço","",
         IF(AUTOEVENTO="Manual",
                IF($A352=0,"&lt;-- defina o número do agrupador",
                       OFFSET(EVENTOS!$D$15,$A352-$A$15,0)),
                OFFSET($F$15,$A352,0)))</f>
        <v>Saneamento</v>
      </c>
      <c r="O352" s="168"/>
      <c r="Q352" s="168"/>
      <c r="R352" s="169"/>
      <c r="S352" s="169"/>
      <c r="T352" s="169"/>
      <c r="U352" s="169"/>
      <c r="V352" s="169">
        <v>6</v>
      </c>
      <c r="W352" s="169"/>
      <c r="X352" s="169"/>
      <c r="Y352" s="169"/>
      <c r="Z352" s="170"/>
      <c r="AA352" s="169"/>
      <c r="AB352" s="169"/>
      <c r="AC352" s="169"/>
      <c r="AD352" s="169"/>
      <c r="AE352" s="169"/>
      <c r="AF352" s="169"/>
      <c r="AG352" s="169"/>
      <c r="AH352" s="170"/>
      <c r="AJ352" s="453">
        <f ca="1">IF(AND($D352="Serviço",AJ$12&lt;&gt;0,$H352&gt;0,OR(AUTOEVENTO&lt;&gt;"manual",$M352&lt;&gt;$A$15)),
        IF(Import.TipoArredondamento&lt;&gt;"TransfereGOV",
              ROUND(OFFSET($P352,0,AJ$13),15-13*ORÇAMENTO!$AF$7)/$H352*OFFSET(ORÇAMENTO!$X$15,ROW(AJ352)-ROW(AJ$15),0),
              ROUND(ROUND(OFFSET($P352,0,AJ$13),15-13*ORÇAMENTO!$AF$7)*OFFSET(ORÇAMENTO!$W$15,ROW(AJ352)-ROW(AJ$15),0),15-13*ORÇAMENTO!$AF$11)),
         0)</f>
        <v>0</v>
      </c>
      <c r="AK352" s="453">
        <f ca="1">IF(AND($D352="Serviço",AK$12&lt;&gt;0,$H352&gt;0,OR(AUTOEVENTO&lt;&gt;"manual",$M352&lt;&gt;$A$15)),
        IF(Import.TipoArredondamento&lt;&gt;"TransfereGOV",
              ROUND(OFFSET($P352,0,AK$13),15-13*ORÇAMENTO!$AF$7)/$H352*OFFSET(ORÇAMENTO!$X$15,ROW(AK352)-ROW(AK$15),0),
              ROUND(ROUND(OFFSET($P352,0,AK$13),15-13*ORÇAMENTO!$AF$7)*OFFSET(ORÇAMENTO!$W$15,ROW(AK352)-ROW(AK$15),0),15-13*ORÇAMENTO!$AF$11)),
         0)</f>
        <v>0</v>
      </c>
      <c r="AL352" s="453">
        <f ca="1">IF(AND($D352="Serviço",AL$12&lt;&gt;0,$H352&gt;0,OR(AUTOEVENTO&lt;&gt;"manual",$M352&lt;&gt;$A$15)),
        IF(Import.TipoArredondamento&lt;&gt;"TransfereGOV",
              ROUND(OFFSET($P352,0,AL$13),15-13*ORÇAMENTO!$AF$7)/$H352*OFFSET(ORÇAMENTO!$X$15,ROW(AL352)-ROW(AL$15),0),
              ROUND(ROUND(OFFSET($P352,0,AL$13),15-13*ORÇAMENTO!$AF$7)*OFFSET(ORÇAMENTO!$W$15,ROW(AL352)-ROW(AL$15),0),15-13*ORÇAMENTO!$AF$11)),
         0)</f>
        <v>0</v>
      </c>
      <c r="AM352" s="453">
        <f ca="1">IF(AND($D352="Serviço",AM$12&lt;&gt;0,$H352&gt;0,OR(AUTOEVENTO&lt;&gt;"manual",$M352&lt;&gt;$A$15)),
        IF(Import.TipoArredondamento&lt;&gt;"TransfereGOV",
              ROUND(OFFSET($P352,0,AM$13),15-13*ORÇAMENTO!$AF$7)/$H352*OFFSET(ORÇAMENTO!$X$15,ROW(AM352)-ROW(AM$15),0),
              ROUND(ROUND(OFFSET($P352,0,AM$13),15-13*ORÇAMENTO!$AF$7)*OFFSET(ORÇAMENTO!$W$15,ROW(AM352)-ROW(AM$15),0),15-13*ORÇAMENTO!$AF$11)),
         0)</f>
        <v>0</v>
      </c>
      <c r="AN352" s="453">
        <f ca="1">IF(AND($D352="Serviço",AN$12&lt;&gt;0,$H352&gt;0,OR(AUTOEVENTO&lt;&gt;"manual",$M352&lt;&gt;$A$15)),
        IF(Import.TipoArredondamento&lt;&gt;"TransfereGOV",
              ROUND(OFFSET($P352,0,AN$13),15-13*ORÇAMENTO!$AF$7)/$H352*OFFSET(ORÇAMENTO!$X$15,ROW(AN352)-ROW(AN$15),0),
              ROUND(ROUND(OFFSET($P352,0,AN$13),15-13*ORÇAMENTO!$AF$7)*OFFSET(ORÇAMENTO!$W$15,ROW(AN352)-ROW(AN$15),0),15-13*ORÇAMENTO!$AF$11)),
         0)</f>
        <v>0</v>
      </c>
      <c r="AO352" s="453">
        <f ca="1">IF(AND($D352="Serviço",AO$12&lt;&gt;0,$H352&gt;0,OR(AUTOEVENTO&lt;&gt;"manual",$M352&lt;&gt;$A$15)),
        IF(Import.TipoArredondamento&lt;&gt;"TransfereGOV",
              ROUND(OFFSET($P352,0,AO$13),15-13*ORÇAMENTO!$AF$7)/$H352*OFFSET(ORÇAMENTO!$X$15,ROW(AO352)-ROW(AO$15),0),
              ROUND(ROUND(OFFSET($P352,0,AO$13),15-13*ORÇAMENTO!$AF$7)*OFFSET(ORÇAMENTO!$W$15,ROW(AO352)-ROW(AO$15),0),15-13*ORÇAMENTO!$AF$11)),
         0)</f>
        <v>0</v>
      </c>
      <c r="AP352" s="453">
        <f ca="1">IF(AND($D352="Serviço",AP$12&lt;&gt;0,$H352&gt;0,OR(AUTOEVENTO&lt;&gt;"manual",$M352&lt;&gt;$A$15)),
        IF(Import.TipoArredondamento&lt;&gt;"TransfereGOV",
              ROUND(OFFSET($P352,0,AP$13),15-13*ORÇAMENTO!$AF$7)/$H352*OFFSET(ORÇAMENTO!$X$15,ROW(AP352)-ROW(AP$15),0),
              ROUND(ROUND(OFFSET($P352,0,AP$13),15-13*ORÇAMENTO!$AF$7)*OFFSET(ORÇAMENTO!$W$15,ROW(AP352)-ROW(AP$15),0),15-13*ORÇAMENTO!$AF$11)),
         0)</f>
        <v>0</v>
      </c>
      <c r="AQ352" s="453">
        <f ca="1">IF(AND($D352="Serviço",AQ$12&lt;&gt;0,$H352&gt;0,OR(AUTOEVENTO&lt;&gt;"manual",$M352&lt;&gt;$A$15)),
        IF(Import.TipoArredondamento&lt;&gt;"TransfereGOV",
              ROUND(OFFSET($P352,0,AQ$13),15-13*ORÇAMENTO!$AF$7)/$H352*OFFSET(ORÇAMENTO!$X$15,ROW(AQ352)-ROW(AQ$15),0),
              ROUND(ROUND(OFFSET($P352,0,AQ$13),15-13*ORÇAMENTO!$AF$7)*OFFSET(ORÇAMENTO!$W$15,ROW(AQ352)-ROW(AQ$15),0),15-13*ORÇAMENTO!$AF$11)),
         0)</f>
        <v>0</v>
      </c>
      <c r="AR352" s="453">
        <f ca="1">IF(AND($D352="Serviço",AR$12&lt;&gt;0,$H352&gt;0,OR(AUTOEVENTO&lt;&gt;"manual",$M352&lt;&gt;$A$15)),
        IF(Import.TipoArredondamento&lt;&gt;"TransfereGOV",
              ROUND(OFFSET($P352,0,AR$13),15-13*ORÇAMENTO!$AF$7)/$H352*OFFSET(ORÇAMENTO!$X$15,ROW(AR352)-ROW(AR$15),0),
              ROUND(ROUND(OFFSET($P352,0,AR$13),15-13*ORÇAMENTO!$AF$7)*OFFSET(ORÇAMENTO!$W$15,ROW(AR352)-ROW(AR$15),0),15-13*ORÇAMENTO!$AF$11)),
         0)</f>
        <v>0</v>
      </c>
      <c r="AS352" s="453">
        <f ca="1">IF(AND($D352="Serviço",AS$12&lt;&gt;0,$H352&gt;0,OR(AUTOEVENTO&lt;&gt;"manual",$M352&lt;&gt;$A$15)),
        IF(Import.TipoArredondamento&lt;&gt;"TransfereGOV",
              ROUND(OFFSET($P352,0,AS$13),15-13*ORÇAMENTO!$AF$7)/$H352*OFFSET(ORÇAMENTO!$X$15,ROW(AS352)-ROW(AS$15),0),
              ROUND(ROUND(OFFSET($P352,0,AS$13),15-13*ORÇAMENTO!$AF$7)*OFFSET(ORÇAMENTO!$W$15,ROW(AS352)-ROW(AS$15),0),15-13*ORÇAMENTO!$AF$11)),
         0)</f>
        <v>0</v>
      </c>
      <c r="AT352" s="453">
        <f ca="1">IF(AND($D352="Serviço",AT$12&lt;&gt;0,$H352&gt;0,OR(AUTOEVENTO&lt;&gt;"manual",$M352&lt;&gt;$A$15)),
        IF(Import.TipoArredondamento&lt;&gt;"TransfereGOV",
              ROUND(OFFSET($P352,0,AT$13),15-13*ORÇAMENTO!$AF$7)/$H352*OFFSET(ORÇAMENTO!$X$15,ROW(AT352)-ROW(AT$15),0),
              ROUND(ROUND(OFFSET($P352,0,AT$13),15-13*ORÇAMENTO!$AF$7)*OFFSET(ORÇAMENTO!$W$15,ROW(AT352)-ROW(AT$15),0),15-13*ORÇAMENTO!$AF$11)),
         0)</f>
        <v>0</v>
      </c>
      <c r="AU352" s="453">
        <f ca="1">IF(AND($D352="Serviço",AU$12&lt;&gt;0,$H352&gt;0,OR(AUTOEVENTO&lt;&gt;"manual",$M352&lt;&gt;$A$15)),
        IF(Import.TipoArredondamento&lt;&gt;"TransfereGOV",
              ROUND(OFFSET($P352,0,AU$13),15-13*ORÇAMENTO!$AF$7)/$H352*OFFSET(ORÇAMENTO!$X$15,ROW(AU352)-ROW(AU$15),0),
              ROUND(ROUND(OFFSET($P352,0,AU$13),15-13*ORÇAMENTO!$AF$7)*OFFSET(ORÇAMENTO!$W$15,ROW(AU352)-ROW(AU$15),0),15-13*ORÇAMENTO!$AF$11)),
         0)</f>
        <v>0</v>
      </c>
      <c r="AV352" s="453">
        <f ca="1">IF(AND($D352="Serviço",AV$12&lt;&gt;0,$H352&gt;0,OR(AUTOEVENTO&lt;&gt;"manual",$M352&lt;&gt;$A$15)),
        IF(Import.TipoArredondamento&lt;&gt;"TransfereGOV",
              ROUND(OFFSET($P352,0,AV$13),15-13*ORÇAMENTO!$AF$7)/$H352*OFFSET(ORÇAMENTO!$X$15,ROW(AV352)-ROW(AV$15),0),
              ROUND(ROUND(OFFSET($P352,0,AV$13),15-13*ORÇAMENTO!$AF$7)*OFFSET(ORÇAMENTO!$W$15,ROW(AV352)-ROW(AV$15),0),15-13*ORÇAMENTO!$AF$11)),
         0)</f>
        <v>0</v>
      </c>
      <c r="AW352" s="453">
        <f ca="1">IF(AND($D352="Serviço",AW$12&lt;&gt;0,$H352&gt;0,OR(AUTOEVENTO&lt;&gt;"manual",$M352&lt;&gt;$A$15)),
        IF(Import.TipoArredondamento&lt;&gt;"TransfereGOV",
              ROUND(OFFSET($P352,0,AW$13),15-13*ORÇAMENTO!$AF$7)/$H352*OFFSET(ORÇAMENTO!$X$15,ROW(AW352)-ROW(AW$15),0),
              ROUND(ROUND(OFFSET($P352,0,AW$13),15-13*ORÇAMENTO!$AF$7)*OFFSET(ORÇAMENTO!$W$15,ROW(AW352)-ROW(AW$15),0),15-13*ORÇAMENTO!$AF$11)),
         0)</f>
        <v>0</v>
      </c>
      <c r="AX352" s="453">
        <f ca="1">IF(AND($D352="Serviço",AX$12&lt;&gt;0,$H352&gt;0,OR(AUTOEVENTO&lt;&gt;"manual",$M352&lt;&gt;$A$15)),
        IF(Import.TipoArredondamento&lt;&gt;"TransfereGOV",
              ROUND(OFFSET($P352,0,AX$13),15-13*ORÇAMENTO!$AF$7)/$H352*OFFSET(ORÇAMENTO!$X$15,ROW(AX352)-ROW(AX$15),0),
              ROUND(ROUND(OFFSET($P352,0,AX$13),15-13*ORÇAMENTO!$AF$7)*OFFSET(ORÇAMENTO!$W$15,ROW(AX352)-ROW(AX$15),0),15-13*ORÇAMENTO!$AF$11)),
         0)</f>
        <v>0</v>
      </c>
      <c r="AY352" s="453">
        <f ca="1">IF(AND($D352="Serviço",AY$12&lt;&gt;0,$H352&gt;0,OR(AUTOEVENTO&lt;&gt;"manual",$M352&lt;&gt;$A$15)),
        IF(Import.TipoArredondamento&lt;&gt;"TransfereGOV",
              ROUND(OFFSET($P352,0,AY$13),15-13*ORÇAMENTO!$AF$7)/$H352*OFFSET(ORÇAMENTO!$X$15,ROW(AY352)-ROW(AY$15),0),
              ROUND(ROUND(OFFSET($P352,0,AY$13),15-13*ORÇAMENTO!$AF$7)*OFFSET(ORÇAMENTO!$W$15,ROW(AY352)-ROW(AY$15),0),15-13*ORÇAMENTO!$AF$11)),
         0)</f>
        <v>0</v>
      </c>
      <c r="AZ352" s="453">
        <f ca="1">IF(AND($D352="Serviço",AZ$12&lt;&gt;0,$H352&gt;0,OR(AUTOEVENTO&lt;&gt;"manual",$M352&lt;&gt;$A$15)),
        IF(Import.TipoArredondamento&lt;&gt;"TransfereGOV",
              ROUND(OFFSET($P352,0,AZ$13),15-13*ORÇAMENTO!$AF$7)/$H352*OFFSET(ORÇAMENTO!$X$15,ROW(AZ352)-ROW(AZ$15),0),
              ROUND(ROUND(OFFSET($P352,0,AZ$13),15-13*ORÇAMENTO!$AF$7)*OFFSET(ORÇAMENTO!$W$15,ROW(AZ352)-ROW(AZ$15),0),15-13*ORÇAMENTO!$AF$11)),
         0)</f>
        <v>0</v>
      </c>
      <c r="BA352" s="453">
        <f ca="1">IF(AND($D352="Serviço",BA$12&lt;&gt;0,$H352&gt;0,OR(AUTOEVENTO&lt;&gt;"manual",$M352&lt;&gt;$A$15)),
        IF(Import.TipoArredondamento&lt;&gt;"TransfereGOV",
              ROUND(OFFSET($P352,0,BA$13),15-13*ORÇAMENTO!$AF$7)/$H352*OFFSET(ORÇAMENTO!$X$15,ROW(BA352)-ROW(BA$15),0),
              ROUND(ROUND(OFFSET($P352,0,BA$13),15-13*ORÇAMENTO!$AF$7)*OFFSET(ORÇAMENTO!$W$15,ROW(BA352)-ROW(BA$15),0),15-13*ORÇAMENTO!$AF$11)),
         0)</f>
        <v>0</v>
      </c>
      <c r="BC352" s="171">
        <f ca="1">IF(OR($D352&lt;&gt;"Serviço",AND(AUTOEVENTO="Manual",$M352=$A$15)),0,
         IF(OFFSET(CRONOPLE!$F$15,$M352-$A$15,BC$13)=0,10^12,OFFSET(CRONOPLE!$F$15,$M352-$A$15,BC$13)))</f>
        <v>1</v>
      </c>
      <c r="BD352" s="171">
        <f ca="1">IF(OR($D352&lt;&gt;"Serviço",AND(AUTOEVENTO="Manual",$M352=$A$15)),0,
         IF(OFFSET(CRONOPLE!$F$15,$M352-$A$15,BD$13)=0,10^12,OFFSET(CRONOPLE!$F$15,$M352-$A$15,BD$13)))</f>
        <v>2</v>
      </c>
      <c r="BE352" s="171">
        <f ca="1">IF(OR($D352&lt;&gt;"Serviço",AND(AUTOEVENTO="Manual",$M352=$A$15)),0,
         IF(OFFSET(CRONOPLE!$F$15,$M352-$A$15,BE$13)=0,10^12,OFFSET(CRONOPLE!$F$15,$M352-$A$15,BE$13)))</f>
        <v>3</v>
      </c>
      <c r="BF352" s="171">
        <f ca="1">IF(OR($D352&lt;&gt;"Serviço",AND(AUTOEVENTO="Manual",$M352=$A$15)),0,
         IF(OFFSET(CRONOPLE!$F$15,$M352-$A$15,BF$13)=0,10^12,OFFSET(CRONOPLE!$F$15,$M352-$A$15,BF$13)))</f>
        <v>4</v>
      </c>
      <c r="BG352" s="171">
        <f ca="1">IF(OR($D352&lt;&gt;"Serviço",AND(AUTOEVENTO="Manual",$M352=$A$15)),0,
         IF(OFFSET(CRONOPLE!$F$15,$M352-$A$15,BG$13)=0,10^12,OFFSET(CRONOPLE!$F$15,$M352-$A$15,BG$13)))</f>
        <v>5</v>
      </c>
      <c r="BH352" s="171">
        <f ca="1">IF(OR($D352&lt;&gt;"Serviço",AND(AUTOEVENTO="Manual",$M352=$A$15)),0,
         IF(OFFSET(CRONOPLE!$F$15,$M352-$A$15,BH$13)=0,10^12,OFFSET(CRONOPLE!$F$15,$M352-$A$15,BH$13)))</f>
        <v>6</v>
      </c>
      <c r="BI352" s="171">
        <f ca="1">IF(OR($D352&lt;&gt;"Serviço",AND(AUTOEVENTO="Manual",$M352=$A$15)),0,
         IF(OFFSET(CRONOPLE!$F$15,$M352-$A$15,BI$13)=0,10^12,OFFSET(CRONOPLE!$F$15,$M352-$A$15,BI$13)))</f>
        <v>7</v>
      </c>
      <c r="BJ352" s="171">
        <f ca="1">IF(OR($D352&lt;&gt;"Serviço",AND(AUTOEVENTO="Manual",$M352=$A$15)),0,
         IF(OFFSET(CRONOPLE!$F$15,$M352-$A$15,BJ$13)=0,10^12,OFFSET(CRONOPLE!$F$15,$M352-$A$15,BJ$13)))</f>
        <v>8</v>
      </c>
      <c r="BK352" s="171">
        <f ca="1">IF(OR($D352&lt;&gt;"Serviço",AND(AUTOEVENTO="Manual",$M352=$A$15)),0,
         IF(OFFSET(CRONOPLE!$F$15,$M352-$A$15,BK$13)=0,10^12,OFFSET(CRONOPLE!$F$15,$M352-$A$15,BK$13)))</f>
        <v>9</v>
      </c>
      <c r="BL352" s="171">
        <f ca="1">IF(OR($D352&lt;&gt;"Serviço",AND(AUTOEVENTO="Manual",$M352=$A$15)),0,
         IF(OFFSET(CRONOPLE!$F$15,$M352-$A$15,BL$13)=0,10^12,OFFSET(CRONOPLE!$F$15,$M352-$A$15,BL$13)))</f>
        <v>1000000000000</v>
      </c>
      <c r="BM352" s="171">
        <f ca="1">IF(OR($D352&lt;&gt;"Serviço",AND(AUTOEVENTO="Manual",$M352=$A$15)),0,
         IF(OFFSET(CRONOPLE!$F$15,$M352-$A$15,BM$13)=0,10^12,OFFSET(CRONOPLE!$F$15,$M352-$A$15,BM$13)))</f>
        <v>1000000000000</v>
      </c>
      <c r="BN352" s="171">
        <f ca="1">IF(OR($D352&lt;&gt;"Serviço",AND(AUTOEVENTO="Manual",$M352=$A$15)),0,
         IF(OFFSET(CRONOPLE!$F$15,$M352-$A$15,BN$13)=0,10^12,OFFSET(CRONOPLE!$F$15,$M352-$A$15,BN$13)))</f>
        <v>1000000000000</v>
      </c>
      <c r="BO352" s="171">
        <f ca="1">IF(OR($D352&lt;&gt;"Serviço",AND(AUTOEVENTO="Manual",$M352=$A$15)),0,
         IF(OFFSET(CRONOPLE!$F$15,$M352-$A$15,BO$13)=0,10^12,OFFSET(CRONOPLE!$F$15,$M352-$A$15,BO$13)))</f>
        <v>1000000000000</v>
      </c>
      <c r="BP352" s="171">
        <f ca="1">IF(OR($D352&lt;&gt;"Serviço",AND(AUTOEVENTO="Manual",$M352=$A$15)),0,
         IF(OFFSET(CRONOPLE!$F$15,$M352-$A$15,BP$13)=0,10^12,OFFSET(CRONOPLE!$F$15,$M352-$A$15,BP$13)))</f>
        <v>1000000000000</v>
      </c>
      <c r="BQ352" s="171">
        <f ca="1">IF(OR($D352&lt;&gt;"Serviço",AND(AUTOEVENTO="Manual",$M352=$A$15)),0,
         IF(OFFSET(CRONOPLE!$F$15,$M352-$A$15,BQ$13)=0,10^12,OFFSET(CRONOPLE!$F$15,$M352-$A$15,BQ$13)))</f>
        <v>1000000000000</v>
      </c>
      <c r="BR352" s="171">
        <f ca="1">IF(OR($D352&lt;&gt;"Serviço",AND(AUTOEVENTO="Manual",$M352=$A$15)),0,
         IF(OFFSET(CRONOPLE!$F$15,$M352-$A$15,BR$13)=0,10^12,OFFSET(CRONOPLE!$F$15,$M352-$A$15,BR$13)))</f>
        <v>1000000000000</v>
      </c>
      <c r="BS352" s="171">
        <f ca="1">IF(OR($D352&lt;&gt;"Serviço",AND(AUTOEVENTO="Manual",$M352=$A$15)),0,
         IF(OFFSET(CRONOPLE!$F$15,$M352-$A$15,BS$13)=0,10^12,OFFSET(CRONOPLE!$F$15,$M352-$A$15,BS$13)))</f>
        <v>1000000000000</v>
      </c>
      <c r="BT352" s="171">
        <f ca="1">IF(OR($D352&lt;&gt;"Serviço",AND(AUTOEVENTO="Manual",$M352=$A$15)),0,
         IF(OFFSET(CRONOPLE!$F$15,$M352-$A$15,BT$13)=0,10^12,OFFSET(CRONOPLE!$F$15,$M352-$A$15,BT$13)))</f>
        <v>1000000000000</v>
      </c>
      <c r="BV352" s="172">
        <f ca="1">IF(OR($D352&lt;&gt;"Serviço",AND(AUTOEVENTO="Manual",$M352=$A$15),$M352&gt;(ROW(PLE.lastrow)-ROW(PLE.firstrow))),0,
           IF(OFFSET(PLE!$G$15,$M352-$A$15,BV$13)="",10^12,OFFSET(PLE!$G$15,$M352-$A$15,BV$13)))</f>
        <v>1000000000000</v>
      </c>
      <c r="BW352" s="172">
        <f ca="1">IF(OR($D352&lt;&gt;"Serviço",AND(AUTOEVENTO="Manual",$M352=$A$15),$M352&gt;(ROW(PLE.lastrow)-ROW(PLE.firstrow))),0,
           IF(OFFSET(PLE!$G$15,$M352-$A$15,BW$13)="",10^12,OFFSET(PLE!$G$15,$M352-$A$15,BW$13)))</f>
        <v>1000000000000</v>
      </c>
      <c r="BX352" s="172">
        <f ca="1">IF(OR($D352&lt;&gt;"Serviço",AND(AUTOEVENTO="Manual",$M352=$A$15),$M352&gt;(ROW(PLE.lastrow)-ROW(PLE.firstrow))),0,
           IF(OFFSET(PLE!$G$15,$M352-$A$15,BX$13)="",10^12,OFFSET(PLE!$G$15,$M352-$A$15,BX$13)))</f>
        <v>1000000000000</v>
      </c>
      <c r="BY352" s="172">
        <f ca="1">IF(OR($D352&lt;&gt;"Serviço",AND(AUTOEVENTO="Manual",$M352=$A$15),$M352&gt;(ROW(PLE.lastrow)-ROW(PLE.firstrow))),0,
           IF(OFFSET(PLE!$G$15,$M352-$A$15,BY$13)="",10^12,OFFSET(PLE!$G$15,$M352-$A$15,BY$13)))</f>
        <v>1000000000000</v>
      </c>
      <c r="BZ352" s="172">
        <f ca="1">IF(OR($D352&lt;&gt;"Serviço",AND(AUTOEVENTO="Manual",$M352=$A$15),$M352&gt;(ROW(PLE.lastrow)-ROW(PLE.firstrow))),0,
           IF(OFFSET(PLE!$G$15,$M352-$A$15,BZ$13)="",10^12,OFFSET(PLE!$G$15,$M352-$A$15,BZ$13)))</f>
        <v>1000000000000</v>
      </c>
      <c r="CA352" s="172">
        <f ca="1">IF(OR($D352&lt;&gt;"Serviço",AND(AUTOEVENTO="Manual",$M352=$A$15),$M352&gt;(ROW(PLE.lastrow)-ROW(PLE.firstrow))),0,
           IF(OFFSET(PLE!$G$15,$M352-$A$15,CA$13)="",10^12,OFFSET(PLE!$G$15,$M352-$A$15,CA$13)))</f>
        <v>1000000000000</v>
      </c>
      <c r="CB352" s="172">
        <f ca="1">IF(OR($D352&lt;&gt;"Serviço",AND(AUTOEVENTO="Manual",$M352=$A$15),$M352&gt;(ROW(PLE.lastrow)-ROW(PLE.firstrow))),0,
           IF(OFFSET(PLE!$G$15,$M352-$A$15,CB$13)="",10^12,OFFSET(PLE!$G$15,$M352-$A$15,CB$13)))</f>
        <v>1000000000000</v>
      </c>
      <c r="CC352" s="172">
        <f ca="1">IF(OR($D352&lt;&gt;"Serviço",AND(AUTOEVENTO="Manual",$M352=$A$15),$M352&gt;(ROW(PLE.lastrow)-ROW(PLE.firstrow))),0,
           IF(OFFSET(PLE!$G$15,$M352-$A$15,CC$13)="",10^12,OFFSET(PLE!$G$15,$M352-$A$15,CC$13)))</f>
        <v>1000000000000</v>
      </c>
      <c r="CD352" s="172">
        <f ca="1">IF(OR($D352&lt;&gt;"Serviço",AND(AUTOEVENTO="Manual",$M352=$A$15),$M352&gt;(ROW(PLE.lastrow)-ROW(PLE.firstrow))),0,
           IF(OFFSET(PLE!$G$15,$M352-$A$15,CD$13)="",10^12,OFFSET(PLE!$G$15,$M352-$A$15,CD$13)))</f>
        <v>1000000000000</v>
      </c>
      <c r="CE352" s="172">
        <f ca="1">IF(OR($D352&lt;&gt;"Serviço",AND(AUTOEVENTO="Manual",$M352=$A$15),$M352&gt;(ROW(PLE.lastrow)-ROW(PLE.firstrow))),0,
           IF(OFFSET(PLE!$G$15,$M352-$A$15,CE$13)="",10^12,OFFSET(PLE!$G$15,$M352-$A$15,CE$13)))</f>
        <v>1000000000000</v>
      </c>
      <c r="CF352" s="172">
        <f ca="1">IF(OR($D352&lt;&gt;"Serviço",AND(AUTOEVENTO="Manual",$M352=$A$15),$M352&gt;(ROW(PLE.lastrow)-ROW(PLE.firstrow))),0,
           IF(OFFSET(PLE!$G$15,$M352-$A$15,CF$13)="",10^12,OFFSET(PLE!$G$15,$M352-$A$15,CF$13)))</f>
        <v>1000000000000</v>
      </c>
      <c r="CG352" s="172">
        <f ca="1">IF(OR($D352&lt;&gt;"Serviço",AND(AUTOEVENTO="Manual",$M352=$A$15),$M352&gt;(ROW(PLE.lastrow)-ROW(PLE.firstrow))),0,
           IF(OFFSET(PLE!$G$15,$M352-$A$15,CG$13)="",10^12,OFFSET(PLE!$G$15,$M352-$A$15,CG$13)))</f>
        <v>1000000000000</v>
      </c>
      <c r="CH352" s="172">
        <f ca="1">IF(OR($D352&lt;&gt;"Serviço",AND(AUTOEVENTO="Manual",$M352=$A$15),$M352&gt;(ROW(PLE.lastrow)-ROW(PLE.firstrow))),0,
           IF(OFFSET(PLE!$G$15,$M352-$A$15,CH$13)="",10^12,OFFSET(PLE!$G$15,$M352-$A$15,CH$13)))</f>
        <v>1000000000000</v>
      </c>
      <c r="CI352" s="172">
        <f ca="1">IF(OR($D352&lt;&gt;"Serviço",AND(AUTOEVENTO="Manual",$M352=$A$15),$M352&gt;(ROW(PLE.lastrow)-ROW(PLE.firstrow))),0,
           IF(OFFSET(PLE!$G$15,$M352-$A$15,CI$13)="",10^12,OFFSET(PLE!$G$15,$M352-$A$15,CI$13)))</f>
        <v>1000000000000</v>
      </c>
      <c r="CJ352" s="172">
        <f ca="1">IF(OR($D352&lt;&gt;"Serviço",AND(AUTOEVENTO="Manual",$M352=$A$15),$M352&gt;(ROW(PLE.lastrow)-ROW(PLE.firstrow))),0,
           IF(OFFSET(PLE!$G$15,$M352-$A$15,CJ$13)="",10^12,OFFSET(PLE!$G$15,$M352-$A$15,CJ$13)))</f>
        <v>1000000000000</v>
      </c>
      <c r="CK352" s="172">
        <f ca="1">IF(OR($D352&lt;&gt;"Serviço",AND(AUTOEVENTO="Manual",$M352=$A$15),$M352&gt;(ROW(PLE.lastrow)-ROW(PLE.firstrow))),0,
           IF(OFFSET(PLE!$G$15,$M352-$A$15,CK$13)="",10^12,OFFSET(PLE!$G$15,$M352-$A$15,CK$13)))</f>
        <v>1000000000000</v>
      </c>
      <c r="CL352" s="172">
        <f ca="1">IF(OR($D352&lt;&gt;"Serviço",AND(AUTOEVENTO="Manual",$M352=$A$15),$M352&gt;(ROW(PLE.lastrow)-ROW(PLE.firstrow))),0,
           IF(OFFSET(PLE!$G$15,$M352-$A$15,CL$13)="",10^12,OFFSET(PLE!$G$15,$M352-$A$15,CL$13)))</f>
        <v>1000000000000</v>
      </c>
      <c r="CM352" s="172">
        <f ca="1">IF(OR($D352&lt;&gt;"Serviço",AND(AUTOEVENTO="Manual",$M352=$A$15),$M352&gt;(ROW(PLE.lastrow)-ROW(PLE.firstrow))),0,
           IF(OFFSET(PLE!$G$15,$M352-$A$15,CM$13)="",10^12,OFFSET(PLE!$G$15,$M352-$A$15,CM$13)))</f>
        <v>1000000000000</v>
      </c>
    </row>
    <row r="353" spans="1:91" ht="63.75" x14ac:dyDescent="0.2">
      <c r="A353" s="7">
        <f t="shared" ca="1" si="15"/>
        <v>6</v>
      </c>
      <c r="B353" s="7" t="str">
        <f ca="1">OFFSET(ORÇAMENTO!C$15,ROW(B353)-ROW(B$15),0)</f>
        <v>S</v>
      </c>
      <c r="C353" s="7" t="str">
        <f ca="1">OFFSET(ORÇAMENTO!L$15,ROW(C353)-ROW(C$15),0)</f>
        <v>F</v>
      </c>
      <c r="D353" s="116" t="str">
        <f ca="1">OFFSET(ORÇAMENTO!N$15,ROW(D353)-ROW(D$15),0)</f>
        <v>Serviço</v>
      </c>
      <c r="E353" s="117" t="str">
        <f ca="1">OFFSET(ORÇAMENTO!O$15,ROW(E353)-ROW(E$15),0)</f>
        <v>1.7.6.1.12.</v>
      </c>
      <c r="F353" s="163" t="str">
        <f ca="1">OFFSET(ORÇAMENTO!R$15,ROW(F353)-ROW(F$15),0)</f>
        <v>PARAFUSO PARA FLANGE - 20 X 90 MM</v>
      </c>
      <c r="G353" s="164" t="str">
        <f ca="1">IF($D353&lt;&gt;"Serviço","",OFFSET(ORÇAMENTO!S$15,ROW(G353)-ROW(G$15),0))</f>
        <v>UN</v>
      </c>
      <c r="H353" s="122" cm="1">
        <f t="array" aca="1" ref="H353" ca="1">IF($D353&lt;&gt;"Serviço",0,IF(ACOMPANHAMENTO="BM",ROUND(OFFSET(ORÇAMENTO!AJ$15,ROW(H353)-ROW(H$15),0),15-13*ORÇAMENTO!$AF$7),SUMPRODUCT(($Q$1:$AI$1=1)*ROUND($Q353:$AI353,15-13*ORÇAMENTO!$AF$7))))</f>
        <v>48</v>
      </c>
      <c r="I353" s="468" t="s">
        <v>1360</v>
      </c>
      <c r="J353" s="640" t="str" cm="1">
        <f t="array" aca="1" ref="J353" ca="1">IF(OR(B353&lt;&gt;"S",CÁLCULO.FrentesPreenchidas=0),"",IF(AND(ACOMPANHAMENTO="PLE",AUTOEVENTO="Manual",OR(H353&gt;0,ORÇAMENTO!AC353="QUANT."),OR(K353="",M353=0,N353="")),"►E",IF(AND(ACOMPANHAMENTO="PLE",ORÇAMENTO!AC353="QUANT."),"►Q",IF(AND(ACOMPANHAMENTO="PLE",H353&lt;&gt;SUMPRODUCT(($Q$1:$AI$1=1)*ROUND(Q353:AI353,15))),"►S",IF(AND(COUNTIF($P$11:$AI$11,"▼")=0,H353&gt;0,I353=""),"◄M","")))))</f>
        <v/>
      </c>
      <c r="K353" s="641" t="s">
        <v>1385</v>
      </c>
      <c r="L353" s="165" t="s">
        <v>764</v>
      </c>
      <c r="M353" s="166">
        <f ca="1">IF($D353&lt;&gt;"Serviço","",
          IF(AUTOEVENTO="manual",$A353,
                IF(ISERROR(MATCH($A353,$A$15:OFFSET($A353,-1,0),0)),MAX($M$15:OFFSET(M353,-1,0))+1,
                      INDEX($M$15:OFFSET(M353,-1,0),MATCH($A353,$A$15:OFFSET($A353,-1,0),0)))))</f>
        <v>6</v>
      </c>
      <c r="N353" s="167" t="str">
        <f ca="1">IF($D353&lt;&gt;"Serviço","",
         IF(AUTOEVENTO="Manual",
                IF($A353=0,"&lt;-- defina o número do agrupador",
                       OFFSET(EVENTOS!$D$15,$A353-$A$15,0)),
                OFFSET($F$15,$A353,0)))</f>
        <v>Saneamento</v>
      </c>
      <c r="O353" s="168"/>
      <c r="Q353" s="168"/>
      <c r="R353" s="169"/>
      <c r="S353" s="169"/>
      <c r="T353" s="169"/>
      <c r="U353" s="169"/>
      <c r="V353" s="169">
        <v>48</v>
      </c>
      <c r="W353" s="169"/>
      <c r="X353" s="169"/>
      <c r="Y353" s="169"/>
      <c r="Z353" s="170"/>
      <c r="AA353" s="169"/>
      <c r="AB353" s="169"/>
      <c r="AC353" s="169"/>
      <c r="AD353" s="169"/>
      <c r="AE353" s="169"/>
      <c r="AF353" s="169"/>
      <c r="AG353" s="169"/>
      <c r="AH353" s="170"/>
      <c r="AJ353" s="453">
        <f ca="1">IF(AND($D353="Serviço",AJ$12&lt;&gt;0,$H353&gt;0,OR(AUTOEVENTO&lt;&gt;"manual",$M353&lt;&gt;$A$15)),
        IF(Import.TipoArredondamento&lt;&gt;"TransfereGOV",
              ROUND(OFFSET($P353,0,AJ$13),15-13*ORÇAMENTO!$AF$7)/$H353*OFFSET(ORÇAMENTO!$X$15,ROW(AJ353)-ROW(AJ$15),0),
              ROUND(ROUND(OFFSET($P353,0,AJ$13),15-13*ORÇAMENTO!$AF$7)*OFFSET(ORÇAMENTO!$W$15,ROW(AJ353)-ROW(AJ$15),0),15-13*ORÇAMENTO!$AF$11)),
         0)</f>
        <v>0</v>
      </c>
      <c r="AK353" s="453">
        <f ca="1">IF(AND($D353="Serviço",AK$12&lt;&gt;0,$H353&gt;0,OR(AUTOEVENTO&lt;&gt;"manual",$M353&lt;&gt;$A$15)),
        IF(Import.TipoArredondamento&lt;&gt;"TransfereGOV",
              ROUND(OFFSET($P353,0,AK$13),15-13*ORÇAMENTO!$AF$7)/$H353*OFFSET(ORÇAMENTO!$X$15,ROW(AK353)-ROW(AK$15),0),
              ROUND(ROUND(OFFSET($P353,0,AK$13),15-13*ORÇAMENTO!$AF$7)*OFFSET(ORÇAMENTO!$W$15,ROW(AK353)-ROW(AK$15),0),15-13*ORÇAMENTO!$AF$11)),
         0)</f>
        <v>0</v>
      </c>
      <c r="AL353" s="453">
        <f ca="1">IF(AND($D353="Serviço",AL$12&lt;&gt;0,$H353&gt;0,OR(AUTOEVENTO&lt;&gt;"manual",$M353&lt;&gt;$A$15)),
        IF(Import.TipoArredondamento&lt;&gt;"TransfereGOV",
              ROUND(OFFSET($P353,0,AL$13),15-13*ORÇAMENTO!$AF$7)/$H353*OFFSET(ORÇAMENTO!$X$15,ROW(AL353)-ROW(AL$15),0),
              ROUND(ROUND(OFFSET($P353,0,AL$13),15-13*ORÇAMENTO!$AF$7)*OFFSET(ORÇAMENTO!$W$15,ROW(AL353)-ROW(AL$15),0),15-13*ORÇAMENTO!$AF$11)),
         0)</f>
        <v>0</v>
      </c>
      <c r="AM353" s="453">
        <f ca="1">IF(AND($D353="Serviço",AM$12&lt;&gt;0,$H353&gt;0,OR(AUTOEVENTO&lt;&gt;"manual",$M353&lt;&gt;$A$15)),
        IF(Import.TipoArredondamento&lt;&gt;"TransfereGOV",
              ROUND(OFFSET($P353,0,AM$13),15-13*ORÇAMENTO!$AF$7)/$H353*OFFSET(ORÇAMENTO!$X$15,ROW(AM353)-ROW(AM$15),0),
              ROUND(ROUND(OFFSET($P353,0,AM$13),15-13*ORÇAMENTO!$AF$7)*OFFSET(ORÇAMENTO!$W$15,ROW(AM353)-ROW(AM$15),0),15-13*ORÇAMENTO!$AF$11)),
         0)</f>
        <v>0</v>
      </c>
      <c r="AN353" s="453">
        <f ca="1">IF(AND($D353="Serviço",AN$12&lt;&gt;0,$H353&gt;0,OR(AUTOEVENTO&lt;&gt;"manual",$M353&lt;&gt;$A$15)),
        IF(Import.TipoArredondamento&lt;&gt;"TransfereGOV",
              ROUND(OFFSET($P353,0,AN$13),15-13*ORÇAMENTO!$AF$7)/$H353*OFFSET(ORÇAMENTO!$X$15,ROW(AN353)-ROW(AN$15),0),
              ROUND(ROUND(OFFSET($P353,0,AN$13),15-13*ORÇAMENTO!$AF$7)*OFFSET(ORÇAMENTO!$W$15,ROW(AN353)-ROW(AN$15),0),15-13*ORÇAMENTO!$AF$11)),
         0)</f>
        <v>0</v>
      </c>
      <c r="AO353" s="453">
        <f ca="1">IF(AND($D353="Serviço",AO$12&lt;&gt;0,$H353&gt;0,OR(AUTOEVENTO&lt;&gt;"manual",$M353&lt;&gt;$A$15)),
        IF(Import.TipoArredondamento&lt;&gt;"TransfereGOV",
              ROUND(OFFSET($P353,0,AO$13),15-13*ORÇAMENTO!$AF$7)/$H353*OFFSET(ORÇAMENTO!$X$15,ROW(AO353)-ROW(AO$15),0),
              ROUND(ROUND(OFFSET($P353,0,AO$13),15-13*ORÇAMENTO!$AF$7)*OFFSET(ORÇAMENTO!$W$15,ROW(AO353)-ROW(AO$15),0),15-13*ORÇAMENTO!$AF$11)),
         0)</f>
        <v>0</v>
      </c>
      <c r="AP353" s="453">
        <f ca="1">IF(AND($D353="Serviço",AP$12&lt;&gt;0,$H353&gt;0,OR(AUTOEVENTO&lt;&gt;"manual",$M353&lt;&gt;$A$15)),
        IF(Import.TipoArredondamento&lt;&gt;"TransfereGOV",
              ROUND(OFFSET($P353,0,AP$13),15-13*ORÇAMENTO!$AF$7)/$H353*OFFSET(ORÇAMENTO!$X$15,ROW(AP353)-ROW(AP$15),0),
              ROUND(ROUND(OFFSET($P353,0,AP$13),15-13*ORÇAMENTO!$AF$7)*OFFSET(ORÇAMENTO!$W$15,ROW(AP353)-ROW(AP$15),0),15-13*ORÇAMENTO!$AF$11)),
         0)</f>
        <v>0</v>
      </c>
      <c r="AQ353" s="453">
        <f ca="1">IF(AND($D353="Serviço",AQ$12&lt;&gt;0,$H353&gt;0,OR(AUTOEVENTO&lt;&gt;"manual",$M353&lt;&gt;$A$15)),
        IF(Import.TipoArredondamento&lt;&gt;"TransfereGOV",
              ROUND(OFFSET($P353,0,AQ$13),15-13*ORÇAMENTO!$AF$7)/$H353*OFFSET(ORÇAMENTO!$X$15,ROW(AQ353)-ROW(AQ$15),0),
              ROUND(ROUND(OFFSET($P353,0,AQ$13),15-13*ORÇAMENTO!$AF$7)*OFFSET(ORÇAMENTO!$W$15,ROW(AQ353)-ROW(AQ$15),0),15-13*ORÇAMENTO!$AF$11)),
         0)</f>
        <v>0</v>
      </c>
      <c r="AR353" s="453">
        <f ca="1">IF(AND($D353="Serviço",AR$12&lt;&gt;0,$H353&gt;0,OR(AUTOEVENTO&lt;&gt;"manual",$M353&lt;&gt;$A$15)),
        IF(Import.TipoArredondamento&lt;&gt;"TransfereGOV",
              ROUND(OFFSET($P353,0,AR$13),15-13*ORÇAMENTO!$AF$7)/$H353*OFFSET(ORÇAMENTO!$X$15,ROW(AR353)-ROW(AR$15),0),
              ROUND(ROUND(OFFSET($P353,0,AR$13),15-13*ORÇAMENTO!$AF$7)*OFFSET(ORÇAMENTO!$W$15,ROW(AR353)-ROW(AR$15),0),15-13*ORÇAMENTO!$AF$11)),
         0)</f>
        <v>0</v>
      </c>
      <c r="AS353" s="453">
        <f ca="1">IF(AND($D353="Serviço",AS$12&lt;&gt;0,$H353&gt;0,OR(AUTOEVENTO&lt;&gt;"manual",$M353&lt;&gt;$A$15)),
        IF(Import.TipoArredondamento&lt;&gt;"TransfereGOV",
              ROUND(OFFSET($P353,0,AS$13),15-13*ORÇAMENTO!$AF$7)/$H353*OFFSET(ORÇAMENTO!$X$15,ROW(AS353)-ROW(AS$15),0),
              ROUND(ROUND(OFFSET($P353,0,AS$13),15-13*ORÇAMENTO!$AF$7)*OFFSET(ORÇAMENTO!$W$15,ROW(AS353)-ROW(AS$15),0),15-13*ORÇAMENTO!$AF$11)),
         0)</f>
        <v>0</v>
      </c>
      <c r="AT353" s="453">
        <f ca="1">IF(AND($D353="Serviço",AT$12&lt;&gt;0,$H353&gt;0,OR(AUTOEVENTO&lt;&gt;"manual",$M353&lt;&gt;$A$15)),
        IF(Import.TipoArredondamento&lt;&gt;"TransfereGOV",
              ROUND(OFFSET($P353,0,AT$13),15-13*ORÇAMENTO!$AF$7)/$H353*OFFSET(ORÇAMENTO!$X$15,ROW(AT353)-ROW(AT$15),0),
              ROUND(ROUND(OFFSET($P353,0,AT$13),15-13*ORÇAMENTO!$AF$7)*OFFSET(ORÇAMENTO!$W$15,ROW(AT353)-ROW(AT$15),0),15-13*ORÇAMENTO!$AF$11)),
         0)</f>
        <v>0</v>
      </c>
      <c r="AU353" s="453">
        <f ca="1">IF(AND($D353="Serviço",AU$12&lt;&gt;0,$H353&gt;0,OR(AUTOEVENTO&lt;&gt;"manual",$M353&lt;&gt;$A$15)),
        IF(Import.TipoArredondamento&lt;&gt;"TransfereGOV",
              ROUND(OFFSET($P353,0,AU$13),15-13*ORÇAMENTO!$AF$7)/$H353*OFFSET(ORÇAMENTO!$X$15,ROW(AU353)-ROW(AU$15),0),
              ROUND(ROUND(OFFSET($P353,0,AU$13),15-13*ORÇAMENTO!$AF$7)*OFFSET(ORÇAMENTO!$W$15,ROW(AU353)-ROW(AU$15),0),15-13*ORÇAMENTO!$AF$11)),
         0)</f>
        <v>0</v>
      </c>
      <c r="AV353" s="453">
        <f ca="1">IF(AND($D353="Serviço",AV$12&lt;&gt;0,$H353&gt;0,OR(AUTOEVENTO&lt;&gt;"manual",$M353&lt;&gt;$A$15)),
        IF(Import.TipoArredondamento&lt;&gt;"TransfereGOV",
              ROUND(OFFSET($P353,0,AV$13),15-13*ORÇAMENTO!$AF$7)/$H353*OFFSET(ORÇAMENTO!$X$15,ROW(AV353)-ROW(AV$15),0),
              ROUND(ROUND(OFFSET($P353,0,AV$13),15-13*ORÇAMENTO!$AF$7)*OFFSET(ORÇAMENTO!$W$15,ROW(AV353)-ROW(AV$15),0),15-13*ORÇAMENTO!$AF$11)),
         0)</f>
        <v>0</v>
      </c>
      <c r="AW353" s="453">
        <f ca="1">IF(AND($D353="Serviço",AW$12&lt;&gt;0,$H353&gt;0,OR(AUTOEVENTO&lt;&gt;"manual",$M353&lt;&gt;$A$15)),
        IF(Import.TipoArredondamento&lt;&gt;"TransfereGOV",
              ROUND(OFFSET($P353,0,AW$13),15-13*ORÇAMENTO!$AF$7)/$H353*OFFSET(ORÇAMENTO!$X$15,ROW(AW353)-ROW(AW$15),0),
              ROUND(ROUND(OFFSET($P353,0,AW$13),15-13*ORÇAMENTO!$AF$7)*OFFSET(ORÇAMENTO!$W$15,ROW(AW353)-ROW(AW$15),0),15-13*ORÇAMENTO!$AF$11)),
         0)</f>
        <v>0</v>
      </c>
      <c r="AX353" s="453">
        <f ca="1">IF(AND($D353="Serviço",AX$12&lt;&gt;0,$H353&gt;0,OR(AUTOEVENTO&lt;&gt;"manual",$M353&lt;&gt;$A$15)),
        IF(Import.TipoArredondamento&lt;&gt;"TransfereGOV",
              ROUND(OFFSET($P353,0,AX$13),15-13*ORÇAMENTO!$AF$7)/$H353*OFFSET(ORÇAMENTO!$X$15,ROW(AX353)-ROW(AX$15),0),
              ROUND(ROUND(OFFSET($P353,0,AX$13),15-13*ORÇAMENTO!$AF$7)*OFFSET(ORÇAMENTO!$W$15,ROW(AX353)-ROW(AX$15),0),15-13*ORÇAMENTO!$AF$11)),
         0)</f>
        <v>0</v>
      </c>
      <c r="AY353" s="453">
        <f ca="1">IF(AND($D353="Serviço",AY$12&lt;&gt;0,$H353&gt;0,OR(AUTOEVENTO&lt;&gt;"manual",$M353&lt;&gt;$A$15)),
        IF(Import.TipoArredondamento&lt;&gt;"TransfereGOV",
              ROUND(OFFSET($P353,0,AY$13),15-13*ORÇAMENTO!$AF$7)/$H353*OFFSET(ORÇAMENTO!$X$15,ROW(AY353)-ROW(AY$15),0),
              ROUND(ROUND(OFFSET($P353,0,AY$13),15-13*ORÇAMENTO!$AF$7)*OFFSET(ORÇAMENTO!$W$15,ROW(AY353)-ROW(AY$15),0),15-13*ORÇAMENTO!$AF$11)),
         0)</f>
        <v>0</v>
      </c>
      <c r="AZ353" s="453">
        <f ca="1">IF(AND($D353="Serviço",AZ$12&lt;&gt;0,$H353&gt;0,OR(AUTOEVENTO&lt;&gt;"manual",$M353&lt;&gt;$A$15)),
        IF(Import.TipoArredondamento&lt;&gt;"TransfereGOV",
              ROUND(OFFSET($P353,0,AZ$13),15-13*ORÇAMENTO!$AF$7)/$H353*OFFSET(ORÇAMENTO!$X$15,ROW(AZ353)-ROW(AZ$15),0),
              ROUND(ROUND(OFFSET($P353,0,AZ$13),15-13*ORÇAMENTO!$AF$7)*OFFSET(ORÇAMENTO!$W$15,ROW(AZ353)-ROW(AZ$15),0),15-13*ORÇAMENTO!$AF$11)),
         0)</f>
        <v>0</v>
      </c>
      <c r="BA353" s="453">
        <f ca="1">IF(AND($D353="Serviço",BA$12&lt;&gt;0,$H353&gt;0,OR(AUTOEVENTO&lt;&gt;"manual",$M353&lt;&gt;$A$15)),
        IF(Import.TipoArredondamento&lt;&gt;"TransfereGOV",
              ROUND(OFFSET($P353,0,BA$13),15-13*ORÇAMENTO!$AF$7)/$H353*OFFSET(ORÇAMENTO!$X$15,ROW(BA353)-ROW(BA$15),0),
              ROUND(ROUND(OFFSET($P353,0,BA$13),15-13*ORÇAMENTO!$AF$7)*OFFSET(ORÇAMENTO!$W$15,ROW(BA353)-ROW(BA$15),0),15-13*ORÇAMENTO!$AF$11)),
         0)</f>
        <v>0</v>
      </c>
      <c r="BC353" s="171">
        <f ca="1">IF(OR($D353&lt;&gt;"Serviço",AND(AUTOEVENTO="Manual",$M353=$A$15)),0,
         IF(OFFSET(CRONOPLE!$F$15,$M353-$A$15,BC$13)=0,10^12,OFFSET(CRONOPLE!$F$15,$M353-$A$15,BC$13)))</f>
        <v>1</v>
      </c>
      <c r="BD353" s="171">
        <f ca="1">IF(OR($D353&lt;&gt;"Serviço",AND(AUTOEVENTO="Manual",$M353=$A$15)),0,
         IF(OFFSET(CRONOPLE!$F$15,$M353-$A$15,BD$13)=0,10^12,OFFSET(CRONOPLE!$F$15,$M353-$A$15,BD$13)))</f>
        <v>2</v>
      </c>
      <c r="BE353" s="171">
        <f ca="1">IF(OR($D353&lt;&gt;"Serviço",AND(AUTOEVENTO="Manual",$M353=$A$15)),0,
         IF(OFFSET(CRONOPLE!$F$15,$M353-$A$15,BE$13)=0,10^12,OFFSET(CRONOPLE!$F$15,$M353-$A$15,BE$13)))</f>
        <v>3</v>
      </c>
      <c r="BF353" s="171">
        <f ca="1">IF(OR($D353&lt;&gt;"Serviço",AND(AUTOEVENTO="Manual",$M353=$A$15)),0,
         IF(OFFSET(CRONOPLE!$F$15,$M353-$A$15,BF$13)=0,10^12,OFFSET(CRONOPLE!$F$15,$M353-$A$15,BF$13)))</f>
        <v>4</v>
      </c>
      <c r="BG353" s="171">
        <f ca="1">IF(OR($D353&lt;&gt;"Serviço",AND(AUTOEVENTO="Manual",$M353=$A$15)),0,
         IF(OFFSET(CRONOPLE!$F$15,$M353-$A$15,BG$13)=0,10^12,OFFSET(CRONOPLE!$F$15,$M353-$A$15,BG$13)))</f>
        <v>5</v>
      </c>
      <c r="BH353" s="171">
        <f ca="1">IF(OR($D353&lt;&gt;"Serviço",AND(AUTOEVENTO="Manual",$M353=$A$15)),0,
         IF(OFFSET(CRONOPLE!$F$15,$M353-$A$15,BH$13)=0,10^12,OFFSET(CRONOPLE!$F$15,$M353-$A$15,BH$13)))</f>
        <v>6</v>
      </c>
      <c r="BI353" s="171">
        <f ca="1">IF(OR($D353&lt;&gt;"Serviço",AND(AUTOEVENTO="Manual",$M353=$A$15)),0,
         IF(OFFSET(CRONOPLE!$F$15,$M353-$A$15,BI$13)=0,10^12,OFFSET(CRONOPLE!$F$15,$M353-$A$15,BI$13)))</f>
        <v>7</v>
      </c>
      <c r="BJ353" s="171">
        <f ca="1">IF(OR($D353&lt;&gt;"Serviço",AND(AUTOEVENTO="Manual",$M353=$A$15)),0,
         IF(OFFSET(CRONOPLE!$F$15,$M353-$A$15,BJ$13)=0,10^12,OFFSET(CRONOPLE!$F$15,$M353-$A$15,BJ$13)))</f>
        <v>8</v>
      </c>
      <c r="BK353" s="171">
        <f ca="1">IF(OR($D353&lt;&gt;"Serviço",AND(AUTOEVENTO="Manual",$M353=$A$15)),0,
         IF(OFFSET(CRONOPLE!$F$15,$M353-$A$15,BK$13)=0,10^12,OFFSET(CRONOPLE!$F$15,$M353-$A$15,BK$13)))</f>
        <v>9</v>
      </c>
      <c r="BL353" s="171">
        <f ca="1">IF(OR($D353&lt;&gt;"Serviço",AND(AUTOEVENTO="Manual",$M353=$A$15)),0,
         IF(OFFSET(CRONOPLE!$F$15,$M353-$A$15,BL$13)=0,10^12,OFFSET(CRONOPLE!$F$15,$M353-$A$15,BL$13)))</f>
        <v>1000000000000</v>
      </c>
      <c r="BM353" s="171">
        <f ca="1">IF(OR($D353&lt;&gt;"Serviço",AND(AUTOEVENTO="Manual",$M353=$A$15)),0,
         IF(OFFSET(CRONOPLE!$F$15,$M353-$A$15,BM$13)=0,10^12,OFFSET(CRONOPLE!$F$15,$M353-$A$15,BM$13)))</f>
        <v>1000000000000</v>
      </c>
      <c r="BN353" s="171">
        <f ca="1">IF(OR($D353&lt;&gt;"Serviço",AND(AUTOEVENTO="Manual",$M353=$A$15)),0,
         IF(OFFSET(CRONOPLE!$F$15,$M353-$A$15,BN$13)=0,10^12,OFFSET(CRONOPLE!$F$15,$M353-$A$15,BN$13)))</f>
        <v>1000000000000</v>
      </c>
      <c r="BO353" s="171">
        <f ca="1">IF(OR($D353&lt;&gt;"Serviço",AND(AUTOEVENTO="Manual",$M353=$A$15)),0,
         IF(OFFSET(CRONOPLE!$F$15,$M353-$A$15,BO$13)=0,10^12,OFFSET(CRONOPLE!$F$15,$M353-$A$15,BO$13)))</f>
        <v>1000000000000</v>
      </c>
      <c r="BP353" s="171">
        <f ca="1">IF(OR($D353&lt;&gt;"Serviço",AND(AUTOEVENTO="Manual",$M353=$A$15)),0,
         IF(OFFSET(CRONOPLE!$F$15,$M353-$A$15,BP$13)=0,10^12,OFFSET(CRONOPLE!$F$15,$M353-$A$15,BP$13)))</f>
        <v>1000000000000</v>
      </c>
      <c r="BQ353" s="171">
        <f ca="1">IF(OR($D353&lt;&gt;"Serviço",AND(AUTOEVENTO="Manual",$M353=$A$15)),0,
         IF(OFFSET(CRONOPLE!$F$15,$M353-$A$15,BQ$13)=0,10^12,OFFSET(CRONOPLE!$F$15,$M353-$A$15,BQ$13)))</f>
        <v>1000000000000</v>
      </c>
      <c r="BR353" s="171">
        <f ca="1">IF(OR($D353&lt;&gt;"Serviço",AND(AUTOEVENTO="Manual",$M353=$A$15)),0,
         IF(OFFSET(CRONOPLE!$F$15,$M353-$A$15,BR$13)=0,10^12,OFFSET(CRONOPLE!$F$15,$M353-$A$15,BR$13)))</f>
        <v>1000000000000</v>
      </c>
      <c r="BS353" s="171">
        <f ca="1">IF(OR($D353&lt;&gt;"Serviço",AND(AUTOEVENTO="Manual",$M353=$A$15)),0,
         IF(OFFSET(CRONOPLE!$F$15,$M353-$A$15,BS$13)=0,10^12,OFFSET(CRONOPLE!$F$15,$M353-$A$15,BS$13)))</f>
        <v>1000000000000</v>
      </c>
      <c r="BT353" s="171">
        <f ca="1">IF(OR($D353&lt;&gt;"Serviço",AND(AUTOEVENTO="Manual",$M353=$A$15)),0,
         IF(OFFSET(CRONOPLE!$F$15,$M353-$A$15,BT$13)=0,10^12,OFFSET(CRONOPLE!$F$15,$M353-$A$15,BT$13)))</f>
        <v>1000000000000</v>
      </c>
      <c r="BV353" s="172">
        <f ca="1">IF(OR($D353&lt;&gt;"Serviço",AND(AUTOEVENTO="Manual",$M353=$A$15),$M353&gt;(ROW(PLE.lastrow)-ROW(PLE.firstrow))),0,
           IF(OFFSET(PLE!$G$15,$M353-$A$15,BV$13)="",10^12,OFFSET(PLE!$G$15,$M353-$A$15,BV$13)))</f>
        <v>1000000000000</v>
      </c>
      <c r="BW353" s="172">
        <f ca="1">IF(OR($D353&lt;&gt;"Serviço",AND(AUTOEVENTO="Manual",$M353=$A$15),$M353&gt;(ROW(PLE.lastrow)-ROW(PLE.firstrow))),0,
           IF(OFFSET(PLE!$G$15,$M353-$A$15,BW$13)="",10^12,OFFSET(PLE!$G$15,$M353-$A$15,BW$13)))</f>
        <v>1000000000000</v>
      </c>
      <c r="BX353" s="172">
        <f ca="1">IF(OR($D353&lt;&gt;"Serviço",AND(AUTOEVENTO="Manual",$M353=$A$15),$M353&gt;(ROW(PLE.lastrow)-ROW(PLE.firstrow))),0,
           IF(OFFSET(PLE!$G$15,$M353-$A$15,BX$13)="",10^12,OFFSET(PLE!$G$15,$M353-$A$15,BX$13)))</f>
        <v>1000000000000</v>
      </c>
      <c r="BY353" s="172">
        <f ca="1">IF(OR($D353&lt;&gt;"Serviço",AND(AUTOEVENTO="Manual",$M353=$A$15),$M353&gt;(ROW(PLE.lastrow)-ROW(PLE.firstrow))),0,
           IF(OFFSET(PLE!$G$15,$M353-$A$15,BY$13)="",10^12,OFFSET(PLE!$G$15,$M353-$A$15,BY$13)))</f>
        <v>1000000000000</v>
      </c>
      <c r="BZ353" s="172">
        <f ca="1">IF(OR($D353&lt;&gt;"Serviço",AND(AUTOEVENTO="Manual",$M353=$A$15),$M353&gt;(ROW(PLE.lastrow)-ROW(PLE.firstrow))),0,
           IF(OFFSET(PLE!$G$15,$M353-$A$15,BZ$13)="",10^12,OFFSET(PLE!$G$15,$M353-$A$15,BZ$13)))</f>
        <v>1000000000000</v>
      </c>
      <c r="CA353" s="172">
        <f ca="1">IF(OR($D353&lt;&gt;"Serviço",AND(AUTOEVENTO="Manual",$M353=$A$15),$M353&gt;(ROW(PLE.lastrow)-ROW(PLE.firstrow))),0,
           IF(OFFSET(PLE!$G$15,$M353-$A$15,CA$13)="",10^12,OFFSET(PLE!$G$15,$M353-$A$15,CA$13)))</f>
        <v>1000000000000</v>
      </c>
      <c r="CB353" s="172">
        <f ca="1">IF(OR($D353&lt;&gt;"Serviço",AND(AUTOEVENTO="Manual",$M353=$A$15),$M353&gt;(ROW(PLE.lastrow)-ROW(PLE.firstrow))),0,
           IF(OFFSET(PLE!$G$15,$M353-$A$15,CB$13)="",10^12,OFFSET(PLE!$G$15,$M353-$A$15,CB$13)))</f>
        <v>1000000000000</v>
      </c>
      <c r="CC353" s="172">
        <f ca="1">IF(OR($D353&lt;&gt;"Serviço",AND(AUTOEVENTO="Manual",$M353=$A$15),$M353&gt;(ROW(PLE.lastrow)-ROW(PLE.firstrow))),0,
           IF(OFFSET(PLE!$G$15,$M353-$A$15,CC$13)="",10^12,OFFSET(PLE!$G$15,$M353-$A$15,CC$13)))</f>
        <v>1000000000000</v>
      </c>
      <c r="CD353" s="172">
        <f ca="1">IF(OR($D353&lt;&gt;"Serviço",AND(AUTOEVENTO="Manual",$M353=$A$15),$M353&gt;(ROW(PLE.lastrow)-ROW(PLE.firstrow))),0,
           IF(OFFSET(PLE!$G$15,$M353-$A$15,CD$13)="",10^12,OFFSET(PLE!$G$15,$M353-$A$15,CD$13)))</f>
        <v>1000000000000</v>
      </c>
      <c r="CE353" s="172">
        <f ca="1">IF(OR($D353&lt;&gt;"Serviço",AND(AUTOEVENTO="Manual",$M353=$A$15),$M353&gt;(ROW(PLE.lastrow)-ROW(PLE.firstrow))),0,
           IF(OFFSET(PLE!$G$15,$M353-$A$15,CE$13)="",10^12,OFFSET(PLE!$G$15,$M353-$A$15,CE$13)))</f>
        <v>1000000000000</v>
      </c>
      <c r="CF353" s="172">
        <f ca="1">IF(OR($D353&lt;&gt;"Serviço",AND(AUTOEVENTO="Manual",$M353=$A$15),$M353&gt;(ROW(PLE.lastrow)-ROW(PLE.firstrow))),0,
           IF(OFFSET(PLE!$G$15,$M353-$A$15,CF$13)="",10^12,OFFSET(PLE!$G$15,$M353-$A$15,CF$13)))</f>
        <v>1000000000000</v>
      </c>
      <c r="CG353" s="172">
        <f ca="1">IF(OR($D353&lt;&gt;"Serviço",AND(AUTOEVENTO="Manual",$M353=$A$15),$M353&gt;(ROW(PLE.lastrow)-ROW(PLE.firstrow))),0,
           IF(OFFSET(PLE!$G$15,$M353-$A$15,CG$13)="",10^12,OFFSET(PLE!$G$15,$M353-$A$15,CG$13)))</f>
        <v>1000000000000</v>
      </c>
      <c r="CH353" s="172">
        <f ca="1">IF(OR($D353&lt;&gt;"Serviço",AND(AUTOEVENTO="Manual",$M353=$A$15),$M353&gt;(ROW(PLE.lastrow)-ROW(PLE.firstrow))),0,
           IF(OFFSET(PLE!$G$15,$M353-$A$15,CH$13)="",10^12,OFFSET(PLE!$G$15,$M353-$A$15,CH$13)))</f>
        <v>1000000000000</v>
      </c>
      <c r="CI353" s="172">
        <f ca="1">IF(OR($D353&lt;&gt;"Serviço",AND(AUTOEVENTO="Manual",$M353=$A$15),$M353&gt;(ROW(PLE.lastrow)-ROW(PLE.firstrow))),0,
           IF(OFFSET(PLE!$G$15,$M353-$A$15,CI$13)="",10^12,OFFSET(PLE!$G$15,$M353-$A$15,CI$13)))</f>
        <v>1000000000000</v>
      </c>
      <c r="CJ353" s="172">
        <f ca="1">IF(OR($D353&lt;&gt;"Serviço",AND(AUTOEVENTO="Manual",$M353=$A$15),$M353&gt;(ROW(PLE.lastrow)-ROW(PLE.firstrow))),0,
           IF(OFFSET(PLE!$G$15,$M353-$A$15,CJ$13)="",10^12,OFFSET(PLE!$G$15,$M353-$A$15,CJ$13)))</f>
        <v>1000000000000</v>
      </c>
      <c r="CK353" s="172">
        <f ca="1">IF(OR($D353&lt;&gt;"Serviço",AND(AUTOEVENTO="Manual",$M353=$A$15),$M353&gt;(ROW(PLE.lastrow)-ROW(PLE.firstrow))),0,
           IF(OFFSET(PLE!$G$15,$M353-$A$15,CK$13)="",10^12,OFFSET(PLE!$G$15,$M353-$A$15,CK$13)))</f>
        <v>1000000000000</v>
      </c>
      <c r="CL353" s="172">
        <f ca="1">IF(OR($D353&lt;&gt;"Serviço",AND(AUTOEVENTO="Manual",$M353=$A$15),$M353&gt;(ROW(PLE.lastrow)-ROW(PLE.firstrow))),0,
           IF(OFFSET(PLE!$G$15,$M353-$A$15,CL$13)="",10^12,OFFSET(PLE!$G$15,$M353-$A$15,CL$13)))</f>
        <v>1000000000000</v>
      </c>
      <c r="CM353" s="172">
        <f ca="1">IF(OR($D353&lt;&gt;"Serviço",AND(AUTOEVENTO="Manual",$M353=$A$15),$M353&gt;(ROW(PLE.lastrow)-ROW(PLE.firstrow))),0,
           IF(OFFSET(PLE!$G$15,$M353-$A$15,CM$13)="",10^12,OFFSET(PLE!$G$15,$M353-$A$15,CM$13)))</f>
        <v>1000000000000</v>
      </c>
    </row>
    <row r="354" spans="1:91" ht="12.75" x14ac:dyDescent="0.2">
      <c r="A354" s="7">
        <f t="shared" ca="1" si="15"/>
        <v>7</v>
      </c>
      <c r="B354" s="7">
        <f ca="1">OFFSET(ORÇAMENTO!C$15,ROW(B354)-ROW(B$15),0)</f>
        <v>4</v>
      </c>
      <c r="C354" s="7" t="str">
        <f ca="1">OFFSET(ORÇAMENTO!L$15,ROW(C354)-ROW(C$15),0)</f>
        <v>F</v>
      </c>
      <c r="D354" s="116" t="str">
        <f ca="1">OFFSET(ORÇAMENTO!N$15,ROW(D354)-ROW(D$15),0)</f>
        <v>Nível 4</v>
      </c>
      <c r="E354" s="117" t="str">
        <f ca="1">OFFSET(ORÇAMENTO!O$15,ROW(E354)-ROW(E$15),0)</f>
        <v>1.7.6.2.</v>
      </c>
      <c r="F354" s="163" t="str">
        <f ca="1">OFFSET(ORÇAMENTO!R$15,ROW(F354)-ROW(F$15),0)</f>
        <v>INSTALAÇÃO DE MATERIAIS</v>
      </c>
      <c r="G354" s="164" t="str">
        <f ca="1">IF($D354&lt;&gt;"Serviço","",OFFSET(ORÇAMENTO!S$15,ROW(G354)-ROW(G$15),0))</f>
        <v/>
      </c>
      <c r="H354" s="122" cm="1">
        <f t="array" aca="1" ref="H354" ca="1">IF($D354&lt;&gt;"Serviço",0,IF(ACOMPANHAMENTO="BM",ROUND(OFFSET(ORÇAMENTO!AJ$15,ROW(H354)-ROW(H$15),0),15-13*ORÇAMENTO!$AF$7),SUMPRODUCT(($Q$1:$AI$1=1)*ROUND($Q354:$AI354,15-13*ORÇAMENTO!$AF$7))))</f>
        <v>0</v>
      </c>
      <c r="I354" s="468"/>
      <c r="J354" s="640" t="str" cm="1">
        <f t="array" aca="1" ref="J354" ca="1">IF(OR(B354&lt;&gt;"S",CÁLCULO.FrentesPreenchidas=0),"",IF(AND(ACOMPANHAMENTO="PLE",AUTOEVENTO="Manual",OR(H354&gt;0,ORÇAMENTO!AC354="QUANT."),OR(K354="",M354=0,N354="")),"►E",IF(AND(ACOMPANHAMENTO="PLE",ORÇAMENTO!AC354="QUANT."),"►Q",IF(AND(ACOMPANHAMENTO="PLE",H354&lt;&gt;SUMPRODUCT(($Q$1:$AI$1=1)*ROUND(Q354:AI354,15))),"►S",IF(AND(COUNTIF($P$11:$AI$11,"▼")=0,H354&gt;0,I354=""),"◄M","")))))</f>
        <v/>
      </c>
      <c r="K354" s="641" t="s">
        <v>1365</v>
      </c>
      <c r="L354" s="165" t="s">
        <v>764</v>
      </c>
      <c r="M354" s="166" t="str">
        <f ca="1">IF($D354&lt;&gt;"Serviço","",
          IF(AUTOEVENTO="manual",$A354,
                IF(ISERROR(MATCH($A354,$A$15:OFFSET($A354,-1,0),0)),MAX($M$15:OFFSET(M354,-1,0))+1,
                      INDEX($M$15:OFFSET(M354,-1,0),MATCH($A354,$A$15:OFFSET($A354,-1,0),0)))))</f>
        <v/>
      </c>
      <c r="N354" s="167" t="str">
        <f ca="1">IF($D354&lt;&gt;"Serviço","",
         IF(AUTOEVENTO="Manual",
                IF($A354=0,"&lt;-- defina o número do agrupador",
                       OFFSET(EVENTOS!$D$15,$A354-$A$15,0)),
                OFFSET($F$15,$A354,0)))</f>
        <v/>
      </c>
      <c r="O354" s="168"/>
      <c r="Q354" s="168"/>
      <c r="R354" s="169"/>
      <c r="S354" s="169"/>
      <c r="T354" s="169"/>
      <c r="U354" s="169"/>
      <c r="V354" s="169"/>
      <c r="W354" s="169"/>
      <c r="X354" s="169"/>
      <c r="Y354" s="169"/>
      <c r="Z354" s="170"/>
      <c r="AA354" s="169"/>
      <c r="AB354" s="169"/>
      <c r="AC354" s="169"/>
      <c r="AD354" s="169"/>
      <c r="AE354" s="169"/>
      <c r="AF354" s="169"/>
      <c r="AG354" s="169"/>
      <c r="AH354" s="170"/>
      <c r="AJ354" s="453">
        <f ca="1">IF(AND($D354="Serviço",AJ$12&lt;&gt;0,$H354&gt;0,OR(AUTOEVENTO&lt;&gt;"manual",$M354&lt;&gt;$A$15)),
        IF(Import.TipoArredondamento&lt;&gt;"TransfereGOV",
              ROUND(OFFSET($P354,0,AJ$13),15-13*ORÇAMENTO!$AF$7)/$H354*OFFSET(ORÇAMENTO!$X$15,ROW(AJ354)-ROW(AJ$15),0),
              ROUND(ROUND(OFFSET($P354,0,AJ$13),15-13*ORÇAMENTO!$AF$7)*OFFSET(ORÇAMENTO!$W$15,ROW(AJ354)-ROW(AJ$15),0),15-13*ORÇAMENTO!$AF$11)),
         0)</f>
        <v>0</v>
      </c>
      <c r="AK354" s="453">
        <f ca="1">IF(AND($D354="Serviço",AK$12&lt;&gt;0,$H354&gt;0,OR(AUTOEVENTO&lt;&gt;"manual",$M354&lt;&gt;$A$15)),
        IF(Import.TipoArredondamento&lt;&gt;"TransfereGOV",
              ROUND(OFFSET($P354,0,AK$13),15-13*ORÇAMENTO!$AF$7)/$H354*OFFSET(ORÇAMENTO!$X$15,ROW(AK354)-ROW(AK$15),0),
              ROUND(ROUND(OFFSET($P354,0,AK$13),15-13*ORÇAMENTO!$AF$7)*OFFSET(ORÇAMENTO!$W$15,ROW(AK354)-ROW(AK$15),0),15-13*ORÇAMENTO!$AF$11)),
         0)</f>
        <v>0</v>
      </c>
      <c r="AL354" s="453">
        <f ca="1">IF(AND($D354="Serviço",AL$12&lt;&gt;0,$H354&gt;0,OR(AUTOEVENTO&lt;&gt;"manual",$M354&lt;&gt;$A$15)),
        IF(Import.TipoArredondamento&lt;&gt;"TransfereGOV",
              ROUND(OFFSET($P354,0,AL$13),15-13*ORÇAMENTO!$AF$7)/$H354*OFFSET(ORÇAMENTO!$X$15,ROW(AL354)-ROW(AL$15),0),
              ROUND(ROUND(OFFSET($P354,0,AL$13),15-13*ORÇAMENTO!$AF$7)*OFFSET(ORÇAMENTO!$W$15,ROW(AL354)-ROW(AL$15),0),15-13*ORÇAMENTO!$AF$11)),
         0)</f>
        <v>0</v>
      </c>
      <c r="AM354" s="453">
        <f ca="1">IF(AND($D354="Serviço",AM$12&lt;&gt;0,$H354&gt;0,OR(AUTOEVENTO&lt;&gt;"manual",$M354&lt;&gt;$A$15)),
        IF(Import.TipoArredondamento&lt;&gt;"TransfereGOV",
              ROUND(OFFSET($P354,0,AM$13),15-13*ORÇAMENTO!$AF$7)/$H354*OFFSET(ORÇAMENTO!$X$15,ROW(AM354)-ROW(AM$15),0),
              ROUND(ROUND(OFFSET($P354,0,AM$13),15-13*ORÇAMENTO!$AF$7)*OFFSET(ORÇAMENTO!$W$15,ROW(AM354)-ROW(AM$15),0),15-13*ORÇAMENTO!$AF$11)),
         0)</f>
        <v>0</v>
      </c>
      <c r="AN354" s="453">
        <f ca="1">IF(AND($D354="Serviço",AN$12&lt;&gt;0,$H354&gt;0,OR(AUTOEVENTO&lt;&gt;"manual",$M354&lt;&gt;$A$15)),
        IF(Import.TipoArredondamento&lt;&gt;"TransfereGOV",
              ROUND(OFFSET($P354,0,AN$13),15-13*ORÇAMENTO!$AF$7)/$H354*OFFSET(ORÇAMENTO!$X$15,ROW(AN354)-ROW(AN$15),0),
              ROUND(ROUND(OFFSET($P354,0,AN$13),15-13*ORÇAMENTO!$AF$7)*OFFSET(ORÇAMENTO!$W$15,ROW(AN354)-ROW(AN$15),0),15-13*ORÇAMENTO!$AF$11)),
         0)</f>
        <v>0</v>
      </c>
      <c r="AO354" s="453">
        <f ca="1">IF(AND($D354="Serviço",AO$12&lt;&gt;0,$H354&gt;0,OR(AUTOEVENTO&lt;&gt;"manual",$M354&lt;&gt;$A$15)),
        IF(Import.TipoArredondamento&lt;&gt;"TransfereGOV",
              ROUND(OFFSET($P354,0,AO$13),15-13*ORÇAMENTO!$AF$7)/$H354*OFFSET(ORÇAMENTO!$X$15,ROW(AO354)-ROW(AO$15),0),
              ROUND(ROUND(OFFSET($P354,0,AO$13),15-13*ORÇAMENTO!$AF$7)*OFFSET(ORÇAMENTO!$W$15,ROW(AO354)-ROW(AO$15),0),15-13*ORÇAMENTO!$AF$11)),
         0)</f>
        <v>0</v>
      </c>
      <c r="AP354" s="453">
        <f ca="1">IF(AND($D354="Serviço",AP$12&lt;&gt;0,$H354&gt;0,OR(AUTOEVENTO&lt;&gt;"manual",$M354&lt;&gt;$A$15)),
        IF(Import.TipoArredondamento&lt;&gt;"TransfereGOV",
              ROUND(OFFSET($P354,0,AP$13),15-13*ORÇAMENTO!$AF$7)/$H354*OFFSET(ORÇAMENTO!$X$15,ROW(AP354)-ROW(AP$15),0),
              ROUND(ROUND(OFFSET($P354,0,AP$13),15-13*ORÇAMENTO!$AF$7)*OFFSET(ORÇAMENTO!$W$15,ROW(AP354)-ROW(AP$15),0),15-13*ORÇAMENTO!$AF$11)),
         0)</f>
        <v>0</v>
      </c>
      <c r="AQ354" s="453">
        <f ca="1">IF(AND($D354="Serviço",AQ$12&lt;&gt;0,$H354&gt;0,OR(AUTOEVENTO&lt;&gt;"manual",$M354&lt;&gt;$A$15)),
        IF(Import.TipoArredondamento&lt;&gt;"TransfereGOV",
              ROUND(OFFSET($P354,0,AQ$13),15-13*ORÇAMENTO!$AF$7)/$H354*OFFSET(ORÇAMENTO!$X$15,ROW(AQ354)-ROW(AQ$15),0),
              ROUND(ROUND(OFFSET($P354,0,AQ$13),15-13*ORÇAMENTO!$AF$7)*OFFSET(ORÇAMENTO!$W$15,ROW(AQ354)-ROW(AQ$15),0),15-13*ORÇAMENTO!$AF$11)),
         0)</f>
        <v>0</v>
      </c>
      <c r="AR354" s="453">
        <f ca="1">IF(AND($D354="Serviço",AR$12&lt;&gt;0,$H354&gt;0,OR(AUTOEVENTO&lt;&gt;"manual",$M354&lt;&gt;$A$15)),
        IF(Import.TipoArredondamento&lt;&gt;"TransfereGOV",
              ROUND(OFFSET($P354,0,AR$13),15-13*ORÇAMENTO!$AF$7)/$H354*OFFSET(ORÇAMENTO!$X$15,ROW(AR354)-ROW(AR$15),0),
              ROUND(ROUND(OFFSET($P354,0,AR$13),15-13*ORÇAMENTO!$AF$7)*OFFSET(ORÇAMENTO!$W$15,ROW(AR354)-ROW(AR$15),0),15-13*ORÇAMENTO!$AF$11)),
         0)</f>
        <v>0</v>
      </c>
      <c r="AS354" s="453">
        <f ca="1">IF(AND($D354="Serviço",AS$12&lt;&gt;0,$H354&gt;0,OR(AUTOEVENTO&lt;&gt;"manual",$M354&lt;&gt;$A$15)),
        IF(Import.TipoArredondamento&lt;&gt;"TransfereGOV",
              ROUND(OFFSET($P354,0,AS$13),15-13*ORÇAMENTO!$AF$7)/$H354*OFFSET(ORÇAMENTO!$X$15,ROW(AS354)-ROW(AS$15),0),
              ROUND(ROUND(OFFSET($P354,0,AS$13),15-13*ORÇAMENTO!$AF$7)*OFFSET(ORÇAMENTO!$W$15,ROW(AS354)-ROW(AS$15),0),15-13*ORÇAMENTO!$AF$11)),
         0)</f>
        <v>0</v>
      </c>
      <c r="AT354" s="453">
        <f ca="1">IF(AND($D354="Serviço",AT$12&lt;&gt;0,$H354&gt;0,OR(AUTOEVENTO&lt;&gt;"manual",$M354&lt;&gt;$A$15)),
        IF(Import.TipoArredondamento&lt;&gt;"TransfereGOV",
              ROUND(OFFSET($P354,0,AT$13),15-13*ORÇAMENTO!$AF$7)/$H354*OFFSET(ORÇAMENTO!$X$15,ROW(AT354)-ROW(AT$15),0),
              ROUND(ROUND(OFFSET($P354,0,AT$13),15-13*ORÇAMENTO!$AF$7)*OFFSET(ORÇAMENTO!$W$15,ROW(AT354)-ROW(AT$15),0),15-13*ORÇAMENTO!$AF$11)),
         0)</f>
        <v>0</v>
      </c>
      <c r="AU354" s="453">
        <f ca="1">IF(AND($D354="Serviço",AU$12&lt;&gt;0,$H354&gt;0,OR(AUTOEVENTO&lt;&gt;"manual",$M354&lt;&gt;$A$15)),
        IF(Import.TipoArredondamento&lt;&gt;"TransfereGOV",
              ROUND(OFFSET($P354,0,AU$13),15-13*ORÇAMENTO!$AF$7)/$H354*OFFSET(ORÇAMENTO!$X$15,ROW(AU354)-ROW(AU$15),0),
              ROUND(ROUND(OFFSET($P354,0,AU$13),15-13*ORÇAMENTO!$AF$7)*OFFSET(ORÇAMENTO!$W$15,ROW(AU354)-ROW(AU$15),0),15-13*ORÇAMENTO!$AF$11)),
         0)</f>
        <v>0</v>
      </c>
      <c r="AV354" s="453">
        <f ca="1">IF(AND($D354="Serviço",AV$12&lt;&gt;0,$H354&gt;0,OR(AUTOEVENTO&lt;&gt;"manual",$M354&lt;&gt;$A$15)),
        IF(Import.TipoArredondamento&lt;&gt;"TransfereGOV",
              ROUND(OFFSET($P354,0,AV$13),15-13*ORÇAMENTO!$AF$7)/$H354*OFFSET(ORÇAMENTO!$X$15,ROW(AV354)-ROW(AV$15),0),
              ROUND(ROUND(OFFSET($P354,0,AV$13),15-13*ORÇAMENTO!$AF$7)*OFFSET(ORÇAMENTO!$W$15,ROW(AV354)-ROW(AV$15),0),15-13*ORÇAMENTO!$AF$11)),
         0)</f>
        <v>0</v>
      </c>
      <c r="AW354" s="453">
        <f ca="1">IF(AND($D354="Serviço",AW$12&lt;&gt;0,$H354&gt;0,OR(AUTOEVENTO&lt;&gt;"manual",$M354&lt;&gt;$A$15)),
        IF(Import.TipoArredondamento&lt;&gt;"TransfereGOV",
              ROUND(OFFSET($P354,0,AW$13),15-13*ORÇAMENTO!$AF$7)/$H354*OFFSET(ORÇAMENTO!$X$15,ROW(AW354)-ROW(AW$15),0),
              ROUND(ROUND(OFFSET($P354,0,AW$13),15-13*ORÇAMENTO!$AF$7)*OFFSET(ORÇAMENTO!$W$15,ROW(AW354)-ROW(AW$15),0),15-13*ORÇAMENTO!$AF$11)),
         0)</f>
        <v>0</v>
      </c>
      <c r="AX354" s="453">
        <f ca="1">IF(AND($D354="Serviço",AX$12&lt;&gt;0,$H354&gt;0,OR(AUTOEVENTO&lt;&gt;"manual",$M354&lt;&gt;$A$15)),
        IF(Import.TipoArredondamento&lt;&gt;"TransfereGOV",
              ROUND(OFFSET($P354,0,AX$13),15-13*ORÇAMENTO!$AF$7)/$H354*OFFSET(ORÇAMENTO!$X$15,ROW(AX354)-ROW(AX$15),0),
              ROUND(ROUND(OFFSET($P354,0,AX$13),15-13*ORÇAMENTO!$AF$7)*OFFSET(ORÇAMENTO!$W$15,ROW(AX354)-ROW(AX$15),0),15-13*ORÇAMENTO!$AF$11)),
         0)</f>
        <v>0</v>
      </c>
      <c r="AY354" s="453">
        <f ca="1">IF(AND($D354="Serviço",AY$12&lt;&gt;0,$H354&gt;0,OR(AUTOEVENTO&lt;&gt;"manual",$M354&lt;&gt;$A$15)),
        IF(Import.TipoArredondamento&lt;&gt;"TransfereGOV",
              ROUND(OFFSET($P354,0,AY$13),15-13*ORÇAMENTO!$AF$7)/$H354*OFFSET(ORÇAMENTO!$X$15,ROW(AY354)-ROW(AY$15),0),
              ROUND(ROUND(OFFSET($P354,0,AY$13),15-13*ORÇAMENTO!$AF$7)*OFFSET(ORÇAMENTO!$W$15,ROW(AY354)-ROW(AY$15),0),15-13*ORÇAMENTO!$AF$11)),
         0)</f>
        <v>0</v>
      </c>
      <c r="AZ354" s="453">
        <f ca="1">IF(AND($D354="Serviço",AZ$12&lt;&gt;0,$H354&gt;0,OR(AUTOEVENTO&lt;&gt;"manual",$M354&lt;&gt;$A$15)),
        IF(Import.TipoArredondamento&lt;&gt;"TransfereGOV",
              ROUND(OFFSET($P354,0,AZ$13),15-13*ORÇAMENTO!$AF$7)/$H354*OFFSET(ORÇAMENTO!$X$15,ROW(AZ354)-ROW(AZ$15),0),
              ROUND(ROUND(OFFSET($P354,0,AZ$13),15-13*ORÇAMENTO!$AF$7)*OFFSET(ORÇAMENTO!$W$15,ROW(AZ354)-ROW(AZ$15),0),15-13*ORÇAMENTO!$AF$11)),
         0)</f>
        <v>0</v>
      </c>
      <c r="BA354" s="453">
        <f ca="1">IF(AND($D354="Serviço",BA$12&lt;&gt;0,$H354&gt;0,OR(AUTOEVENTO&lt;&gt;"manual",$M354&lt;&gt;$A$15)),
        IF(Import.TipoArredondamento&lt;&gt;"TransfereGOV",
              ROUND(OFFSET($P354,0,BA$13),15-13*ORÇAMENTO!$AF$7)/$H354*OFFSET(ORÇAMENTO!$X$15,ROW(BA354)-ROW(BA$15),0),
              ROUND(ROUND(OFFSET($P354,0,BA$13),15-13*ORÇAMENTO!$AF$7)*OFFSET(ORÇAMENTO!$W$15,ROW(BA354)-ROW(BA$15),0),15-13*ORÇAMENTO!$AF$11)),
         0)</f>
        <v>0</v>
      </c>
      <c r="BC354" s="171">
        <f ca="1">IF(OR($D354&lt;&gt;"Serviço",AND(AUTOEVENTO="Manual",$M354=$A$15)),0,
         IF(OFFSET(CRONOPLE!$F$15,$M354-$A$15,BC$13)=0,10^12,OFFSET(CRONOPLE!$F$15,$M354-$A$15,BC$13)))</f>
        <v>0</v>
      </c>
      <c r="BD354" s="171">
        <f ca="1">IF(OR($D354&lt;&gt;"Serviço",AND(AUTOEVENTO="Manual",$M354=$A$15)),0,
         IF(OFFSET(CRONOPLE!$F$15,$M354-$A$15,BD$13)=0,10^12,OFFSET(CRONOPLE!$F$15,$M354-$A$15,BD$13)))</f>
        <v>0</v>
      </c>
      <c r="BE354" s="171">
        <f ca="1">IF(OR($D354&lt;&gt;"Serviço",AND(AUTOEVENTO="Manual",$M354=$A$15)),0,
         IF(OFFSET(CRONOPLE!$F$15,$M354-$A$15,BE$13)=0,10^12,OFFSET(CRONOPLE!$F$15,$M354-$A$15,BE$13)))</f>
        <v>0</v>
      </c>
      <c r="BF354" s="171">
        <f ca="1">IF(OR($D354&lt;&gt;"Serviço",AND(AUTOEVENTO="Manual",$M354=$A$15)),0,
         IF(OFFSET(CRONOPLE!$F$15,$M354-$A$15,BF$13)=0,10^12,OFFSET(CRONOPLE!$F$15,$M354-$A$15,BF$13)))</f>
        <v>0</v>
      </c>
      <c r="BG354" s="171">
        <f ca="1">IF(OR($D354&lt;&gt;"Serviço",AND(AUTOEVENTO="Manual",$M354=$A$15)),0,
         IF(OFFSET(CRONOPLE!$F$15,$M354-$A$15,BG$13)=0,10^12,OFFSET(CRONOPLE!$F$15,$M354-$A$15,BG$13)))</f>
        <v>0</v>
      </c>
      <c r="BH354" s="171">
        <f ca="1">IF(OR($D354&lt;&gt;"Serviço",AND(AUTOEVENTO="Manual",$M354=$A$15)),0,
         IF(OFFSET(CRONOPLE!$F$15,$M354-$A$15,BH$13)=0,10^12,OFFSET(CRONOPLE!$F$15,$M354-$A$15,BH$13)))</f>
        <v>0</v>
      </c>
      <c r="BI354" s="171">
        <f ca="1">IF(OR($D354&lt;&gt;"Serviço",AND(AUTOEVENTO="Manual",$M354=$A$15)),0,
         IF(OFFSET(CRONOPLE!$F$15,$M354-$A$15,BI$13)=0,10^12,OFFSET(CRONOPLE!$F$15,$M354-$A$15,BI$13)))</f>
        <v>0</v>
      </c>
      <c r="BJ354" s="171">
        <f ca="1">IF(OR($D354&lt;&gt;"Serviço",AND(AUTOEVENTO="Manual",$M354=$A$15)),0,
         IF(OFFSET(CRONOPLE!$F$15,$M354-$A$15,BJ$13)=0,10^12,OFFSET(CRONOPLE!$F$15,$M354-$A$15,BJ$13)))</f>
        <v>0</v>
      </c>
      <c r="BK354" s="171">
        <f ca="1">IF(OR($D354&lt;&gt;"Serviço",AND(AUTOEVENTO="Manual",$M354=$A$15)),0,
         IF(OFFSET(CRONOPLE!$F$15,$M354-$A$15,BK$13)=0,10^12,OFFSET(CRONOPLE!$F$15,$M354-$A$15,BK$13)))</f>
        <v>0</v>
      </c>
      <c r="BL354" s="171">
        <f ca="1">IF(OR($D354&lt;&gt;"Serviço",AND(AUTOEVENTO="Manual",$M354=$A$15)),0,
         IF(OFFSET(CRONOPLE!$F$15,$M354-$A$15,BL$13)=0,10^12,OFFSET(CRONOPLE!$F$15,$M354-$A$15,BL$13)))</f>
        <v>0</v>
      </c>
      <c r="BM354" s="171">
        <f ca="1">IF(OR($D354&lt;&gt;"Serviço",AND(AUTOEVENTO="Manual",$M354=$A$15)),0,
         IF(OFFSET(CRONOPLE!$F$15,$M354-$A$15,BM$13)=0,10^12,OFFSET(CRONOPLE!$F$15,$M354-$A$15,BM$13)))</f>
        <v>0</v>
      </c>
      <c r="BN354" s="171">
        <f ca="1">IF(OR($D354&lt;&gt;"Serviço",AND(AUTOEVENTO="Manual",$M354=$A$15)),0,
         IF(OFFSET(CRONOPLE!$F$15,$M354-$A$15,BN$13)=0,10^12,OFFSET(CRONOPLE!$F$15,$M354-$A$15,BN$13)))</f>
        <v>0</v>
      </c>
      <c r="BO354" s="171">
        <f ca="1">IF(OR($D354&lt;&gt;"Serviço",AND(AUTOEVENTO="Manual",$M354=$A$15)),0,
         IF(OFFSET(CRONOPLE!$F$15,$M354-$A$15,BO$13)=0,10^12,OFFSET(CRONOPLE!$F$15,$M354-$A$15,BO$13)))</f>
        <v>0</v>
      </c>
      <c r="BP354" s="171">
        <f ca="1">IF(OR($D354&lt;&gt;"Serviço",AND(AUTOEVENTO="Manual",$M354=$A$15)),0,
         IF(OFFSET(CRONOPLE!$F$15,$M354-$A$15,BP$13)=0,10^12,OFFSET(CRONOPLE!$F$15,$M354-$A$15,BP$13)))</f>
        <v>0</v>
      </c>
      <c r="BQ354" s="171">
        <f ca="1">IF(OR($D354&lt;&gt;"Serviço",AND(AUTOEVENTO="Manual",$M354=$A$15)),0,
         IF(OFFSET(CRONOPLE!$F$15,$M354-$A$15,BQ$13)=0,10^12,OFFSET(CRONOPLE!$F$15,$M354-$A$15,BQ$13)))</f>
        <v>0</v>
      </c>
      <c r="BR354" s="171">
        <f ca="1">IF(OR($D354&lt;&gt;"Serviço",AND(AUTOEVENTO="Manual",$M354=$A$15)),0,
         IF(OFFSET(CRONOPLE!$F$15,$M354-$A$15,BR$13)=0,10^12,OFFSET(CRONOPLE!$F$15,$M354-$A$15,BR$13)))</f>
        <v>0</v>
      </c>
      <c r="BS354" s="171">
        <f ca="1">IF(OR($D354&lt;&gt;"Serviço",AND(AUTOEVENTO="Manual",$M354=$A$15)),0,
         IF(OFFSET(CRONOPLE!$F$15,$M354-$A$15,BS$13)=0,10^12,OFFSET(CRONOPLE!$F$15,$M354-$A$15,BS$13)))</f>
        <v>0</v>
      </c>
      <c r="BT354" s="171">
        <f ca="1">IF(OR($D354&lt;&gt;"Serviço",AND(AUTOEVENTO="Manual",$M354=$A$15)),0,
         IF(OFFSET(CRONOPLE!$F$15,$M354-$A$15,BT$13)=0,10^12,OFFSET(CRONOPLE!$F$15,$M354-$A$15,BT$13)))</f>
        <v>0</v>
      </c>
      <c r="BV354" s="172">
        <f ca="1">IF(OR($D354&lt;&gt;"Serviço",AND(AUTOEVENTO="Manual",$M354=$A$15),$M354&gt;(ROW(PLE.lastrow)-ROW(PLE.firstrow))),0,
           IF(OFFSET(PLE!$G$15,$M354-$A$15,BV$13)="",10^12,OFFSET(PLE!$G$15,$M354-$A$15,BV$13)))</f>
        <v>0</v>
      </c>
      <c r="BW354" s="172">
        <f ca="1">IF(OR($D354&lt;&gt;"Serviço",AND(AUTOEVENTO="Manual",$M354=$A$15),$M354&gt;(ROW(PLE.lastrow)-ROW(PLE.firstrow))),0,
           IF(OFFSET(PLE!$G$15,$M354-$A$15,BW$13)="",10^12,OFFSET(PLE!$G$15,$M354-$A$15,BW$13)))</f>
        <v>0</v>
      </c>
      <c r="BX354" s="172">
        <f ca="1">IF(OR($D354&lt;&gt;"Serviço",AND(AUTOEVENTO="Manual",$M354=$A$15),$M354&gt;(ROW(PLE.lastrow)-ROW(PLE.firstrow))),0,
           IF(OFFSET(PLE!$G$15,$M354-$A$15,BX$13)="",10^12,OFFSET(PLE!$G$15,$M354-$A$15,BX$13)))</f>
        <v>0</v>
      </c>
      <c r="BY354" s="172">
        <f ca="1">IF(OR($D354&lt;&gt;"Serviço",AND(AUTOEVENTO="Manual",$M354=$A$15),$M354&gt;(ROW(PLE.lastrow)-ROW(PLE.firstrow))),0,
           IF(OFFSET(PLE!$G$15,$M354-$A$15,BY$13)="",10^12,OFFSET(PLE!$G$15,$M354-$A$15,BY$13)))</f>
        <v>0</v>
      </c>
      <c r="BZ354" s="172">
        <f ca="1">IF(OR($D354&lt;&gt;"Serviço",AND(AUTOEVENTO="Manual",$M354=$A$15),$M354&gt;(ROW(PLE.lastrow)-ROW(PLE.firstrow))),0,
           IF(OFFSET(PLE!$G$15,$M354-$A$15,BZ$13)="",10^12,OFFSET(PLE!$G$15,$M354-$A$15,BZ$13)))</f>
        <v>0</v>
      </c>
      <c r="CA354" s="172">
        <f ca="1">IF(OR($D354&lt;&gt;"Serviço",AND(AUTOEVENTO="Manual",$M354=$A$15),$M354&gt;(ROW(PLE.lastrow)-ROW(PLE.firstrow))),0,
           IF(OFFSET(PLE!$G$15,$M354-$A$15,CA$13)="",10^12,OFFSET(PLE!$G$15,$M354-$A$15,CA$13)))</f>
        <v>0</v>
      </c>
      <c r="CB354" s="172">
        <f ca="1">IF(OR($D354&lt;&gt;"Serviço",AND(AUTOEVENTO="Manual",$M354=$A$15),$M354&gt;(ROW(PLE.lastrow)-ROW(PLE.firstrow))),0,
           IF(OFFSET(PLE!$G$15,$M354-$A$15,CB$13)="",10^12,OFFSET(PLE!$G$15,$M354-$A$15,CB$13)))</f>
        <v>0</v>
      </c>
      <c r="CC354" s="172">
        <f ca="1">IF(OR($D354&lt;&gt;"Serviço",AND(AUTOEVENTO="Manual",$M354=$A$15),$M354&gt;(ROW(PLE.lastrow)-ROW(PLE.firstrow))),0,
           IF(OFFSET(PLE!$G$15,$M354-$A$15,CC$13)="",10^12,OFFSET(PLE!$G$15,$M354-$A$15,CC$13)))</f>
        <v>0</v>
      </c>
      <c r="CD354" s="172">
        <f ca="1">IF(OR($D354&lt;&gt;"Serviço",AND(AUTOEVENTO="Manual",$M354=$A$15),$M354&gt;(ROW(PLE.lastrow)-ROW(PLE.firstrow))),0,
           IF(OFFSET(PLE!$G$15,$M354-$A$15,CD$13)="",10^12,OFFSET(PLE!$G$15,$M354-$A$15,CD$13)))</f>
        <v>0</v>
      </c>
      <c r="CE354" s="172">
        <f ca="1">IF(OR($D354&lt;&gt;"Serviço",AND(AUTOEVENTO="Manual",$M354=$A$15),$M354&gt;(ROW(PLE.lastrow)-ROW(PLE.firstrow))),0,
           IF(OFFSET(PLE!$G$15,$M354-$A$15,CE$13)="",10^12,OFFSET(PLE!$G$15,$M354-$A$15,CE$13)))</f>
        <v>0</v>
      </c>
      <c r="CF354" s="172">
        <f ca="1">IF(OR($D354&lt;&gt;"Serviço",AND(AUTOEVENTO="Manual",$M354=$A$15),$M354&gt;(ROW(PLE.lastrow)-ROW(PLE.firstrow))),0,
           IF(OFFSET(PLE!$G$15,$M354-$A$15,CF$13)="",10^12,OFFSET(PLE!$G$15,$M354-$A$15,CF$13)))</f>
        <v>0</v>
      </c>
      <c r="CG354" s="172">
        <f ca="1">IF(OR($D354&lt;&gt;"Serviço",AND(AUTOEVENTO="Manual",$M354=$A$15),$M354&gt;(ROW(PLE.lastrow)-ROW(PLE.firstrow))),0,
           IF(OFFSET(PLE!$G$15,$M354-$A$15,CG$13)="",10^12,OFFSET(PLE!$G$15,$M354-$A$15,CG$13)))</f>
        <v>0</v>
      </c>
      <c r="CH354" s="172">
        <f ca="1">IF(OR($D354&lt;&gt;"Serviço",AND(AUTOEVENTO="Manual",$M354=$A$15),$M354&gt;(ROW(PLE.lastrow)-ROW(PLE.firstrow))),0,
           IF(OFFSET(PLE!$G$15,$M354-$A$15,CH$13)="",10^12,OFFSET(PLE!$G$15,$M354-$A$15,CH$13)))</f>
        <v>0</v>
      </c>
      <c r="CI354" s="172">
        <f ca="1">IF(OR($D354&lt;&gt;"Serviço",AND(AUTOEVENTO="Manual",$M354=$A$15),$M354&gt;(ROW(PLE.lastrow)-ROW(PLE.firstrow))),0,
           IF(OFFSET(PLE!$G$15,$M354-$A$15,CI$13)="",10^12,OFFSET(PLE!$G$15,$M354-$A$15,CI$13)))</f>
        <v>0</v>
      </c>
      <c r="CJ354" s="172">
        <f ca="1">IF(OR($D354&lt;&gt;"Serviço",AND(AUTOEVENTO="Manual",$M354=$A$15),$M354&gt;(ROW(PLE.lastrow)-ROW(PLE.firstrow))),0,
           IF(OFFSET(PLE!$G$15,$M354-$A$15,CJ$13)="",10^12,OFFSET(PLE!$G$15,$M354-$A$15,CJ$13)))</f>
        <v>0</v>
      </c>
      <c r="CK354" s="172">
        <f ca="1">IF(OR($D354&lt;&gt;"Serviço",AND(AUTOEVENTO="Manual",$M354=$A$15),$M354&gt;(ROW(PLE.lastrow)-ROW(PLE.firstrow))),0,
           IF(OFFSET(PLE!$G$15,$M354-$A$15,CK$13)="",10^12,OFFSET(PLE!$G$15,$M354-$A$15,CK$13)))</f>
        <v>0</v>
      </c>
      <c r="CL354" s="172">
        <f ca="1">IF(OR($D354&lt;&gt;"Serviço",AND(AUTOEVENTO="Manual",$M354=$A$15),$M354&gt;(ROW(PLE.lastrow)-ROW(PLE.firstrow))),0,
           IF(OFFSET(PLE!$G$15,$M354-$A$15,CL$13)="",10^12,OFFSET(PLE!$G$15,$M354-$A$15,CL$13)))</f>
        <v>0</v>
      </c>
      <c r="CM354" s="172">
        <f ca="1">IF(OR($D354&lt;&gt;"Serviço",AND(AUTOEVENTO="Manual",$M354=$A$15),$M354&gt;(ROW(PLE.lastrow)-ROW(PLE.firstrow))),0,
           IF(OFFSET(PLE!$G$15,$M354-$A$15,CM$13)="",10^12,OFFSET(PLE!$G$15,$M354-$A$15,CM$13)))</f>
        <v>0</v>
      </c>
    </row>
    <row r="355" spans="1:91" ht="25.5" x14ac:dyDescent="0.2">
      <c r="A355" s="7">
        <f t="shared" ca="1" si="15"/>
        <v>6</v>
      </c>
      <c r="B355" s="7" t="str">
        <f ca="1">OFFSET(ORÇAMENTO!C$15,ROW(B355)-ROW(B$15),0)</f>
        <v>S</v>
      </c>
      <c r="C355" s="7" t="str">
        <f ca="1">OFFSET(ORÇAMENTO!L$15,ROW(C355)-ROW(C$15),0)</f>
        <v>F</v>
      </c>
      <c r="D355" s="116" t="str">
        <f ca="1">OFFSET(ORÇAMENTO!N$15,ROW(D355)-ROW(D$15),0)</f>
        <v>Serviço</v>
      </c>
      <c r="E355" s="117" t="str">
        <f ca="1">OFFSET(ORÇAMENTO!O$15,ROW(E355)-ROW(E$15),0)</f>
        <v>1.7.6.2.1.</v>
      </c>
      <c r="F355" s="163" t="str">
        <f ca="1">OFFSET(ORÇAMENTO!R$15,ROW(F355)-ROW(F$15),0)</f>
        <v>ASSENTAMENTO DE CONEXÕES EM FERRO FUNDIDO, JUNTA ELÁSTICA, DN = 150 MM - BASEADO EM ORSE (5283)</v>
      </c>
      <c r="G355" s="164" t="str">
        <f ca="1">IF($D355&lt;&gt;"Serviço","",OFFSET(ORÇAMENTO!S$15,ROW(G355)-ROW(G$15),0))</f>
        <v>UN</v>
      </c>
      <c r="H355" s="122" cm="1">
        <f t="array" aca="1" ref="H355" ca="1">IF($D355&lt;&gt;"Serviço",0,IF(ACOMPANHAMENTO="BM",ROUND(OFFSET(ORÇAMENTO!AJ$15,ROW(H355)-ROW(H$15),0),15-13*ORÇAMENTO!$AF$7),SUMPRODUCT(($Q$1:$AI$1=1)*ROUND($Q355:$AI355,15-13*ORÇAMENTO!$AF$7))))</f>
        <v>45</v>
      </c>
      <c r="I355" s="468" t="s">
        <v>1347</v>
      </c>
      <c r="J355" s="640" t="str" cm="1">
        <f t="array" aca="1" ref="J355" ca="1">IF(OR(B355&lt;&gt;"S",CÁLCULO.FrentesPreenchidas=0),"",IF(AND(ACOMPANHAMENTO="PLE",AUTOEVENTO="Manual",OR(H355&gt;0,ORÇAMENTO!AC355="QUANT."),OR(K355="",M355=0,N355="")),"►E",IF(AND(ACOMPANHAMENTO="PLE",ORÇAMENTO!AC355="QUANT."),"►Q",IF(AND(ACOMPANHAMENTO="PLE",H355&lt;&gt;SUMPRODUCT(($Q$1:$AI$1=1)*ROUND(Q355:AI355,15))),"►S",IF(AND(COUNTIF($P$11:$AI$11,"▼")=0,H355&gt;0,I355=""),"◄M","")))))</f>
        <v/>
      </c>
      <c r="K355" s="641" t="s">
        <v>1385</v>
      </c>
      <c r="L355" s="165" t="s">
        <v>764</v>
      </c>
      <c r="M355" s="166">
        <f ca="1">IF($D355&lt;&gt;"Serviço","",
          IF(AUTOEVENTO="manual",$A355,
                IF(ISERROR(MATCH($A355,$A$15:OFFSET($A355,-1,0),0)),MAX($M$15:OFFSET(M355,-1,0))+1,
                      INDEX($M$15:OFFSET(M355,-1,0),MATCH($A355,$A$15:OFFSET($A355,-1,0),0)))))</f>
        <v>6</v>
      </c>
      <c r="N355" s="167" t="str">
        <f ca="1">IF($D355&lt;&gt;"Serviço","",
         IF(AUTOEVENTO="Manual",
                IF($A355=0,"&lt;-- defina o número do agrupador",
                       OFFSET(EVENTOS!$D$15,$A355-$A$15,0)),
                OFFSET($F$15,$A355,0)))</f>
        <v>Saneamento</v>
      </c>
      <c r="O355" s="168"/>
      <c r="Q355" s="168"/>
      <c r="R355" s="169"/>
      <c r="S355" s="169"/>
      <c r="T355" s="169"/>
      <c r="U355" s="169"/>
      <c r="V355" s="169">
        <f>SUM(V343:V349)</f>
        <v>45</v>
      </c>
      <c r="W355" s="169"/>
      <c r="X355" s="169"/>
      <c r="Y355" s="169"/>
      <c r="Z355" s="170"/>
      <c r="AA355" s="169"/>
      <c r="AB355" s="169"/>
      <c r="AC355" s="169"/>
      <c r="AD355" s="169"/>
      <c r="AE355" s="169"/>
      <c r="AF355" s="169"/>
      <c r="AG355" s="169"/>
      <c r="AH355" s="170"/>
      <c r="AJ355" s="453">
        <f ca="1">IF(AND($D355="Serviço",AJ$12&lt;&gt;0,$H355&gt;0,OR(AUTOEVENTO&lt;&gt;"manual",$M355&lt;&gt;$A$15)),
        IF(Import.TipoArredondamento&lt;&gt;"TransfereGOV",
              ROUND(OFFSET($P355,0,AJ$13),15-13*ORÇAMENTO!$AF$7)/$H355*OFFSET(ORÇAMENTO!$X$15,ROW(AJ355)-ROW(AJ$15),0),
              ROUND(ROUND(OFFSET($P355,0,AJ$13),15-13*ORÇAMENTO!$AF$7)*OFFSET(ORÇAMENTO!$W$15,ROW(AJ355)-ROW(AJ$15),0),15-13*ORÇAMENTO!$AF$11)),
         0)</f>
        <v>0</v>
      </c>
      <c r="AK355" s="453">
        <f ca="1">IF(AND($D355="Serviço",AK$12&lt;&gt;0,$H355&gt;0,OR(AUTOEVENTO&lt;&gt;"manual",$M355&lt;&gt;$A$15)),
        IF(Import.TipoArredondamento&lt;&gt;"TransfereGOV",
              ROUND(OFFSET($P355,0,AK$13),15-13*ORÇAMENTO!$AF$7)/$H355*OFFSET(ORÇAMENTO!$X$15,ROW(AK355)-ROW(AK$15),0),
              ROUND(ROUND(OFFSET($P355,0,AK$13),15-13*ORÇAMENTO!$AF$7)*OFFSET(ORÇAMENTO!$W$15,ROW(AK355)-ROW(AK$15),0),15-13*ORÇAMENTO!$AF$11)),
         0)</f>
        <v>0</v>
      </c>
      <c r="AL355" s="453">
        <f ca="1">IF(AND($D355="Serviço",AL$12&lt;&gt;0,$H355&gt;0,OR(AUTOEVENTO&lt;&gt;"manual",$M355&lt;&gt;$A$15)),
        IF(Import.TipoArredondamento&lt;&gt;"TransfereGOV",
              ROUND(OFFSET($P355,0,AL$13),15-13*ORÇAMENTO!$AF$7)/$H355*OFFSET(ORÇAMENTO!$X$15,ROW(AL355)-ROW(AL$15),0),
              ROUND(ROUND(OFFSET($P355,0,AL$13),15-13*ORÇAMENTO!$AF$7)*OFFSET(ORÇAMENTO!$W$15,ROW(AL355)-ROW(AL$15),0),15-13*ORÇAMENTO!$AF$11)),
         0)</f>
        <v>0</v>
      </c>
      <c r="AM355" s="453">
        <f ca="1">IF(AND($D355="Serviço",AM$12&lt;&gt;0,$H355&gt;0,OR(AUTOEVENTO&lt;&gt;"manual",$M355&lt;&gt;$A$15)),
        IF(Import.TipoArredondamento&lt;&gt;"TransfereGOV",
              ROUND(OFFSET($P355,0,AM$13),15-13*ORÇAMENTO!$AF$7)/$H355*OFFSET(ORÇAMENTO!$X$15,ROW(AM355)-ROW(AM$15),0),
              ROUND(ROUND(OFFSET($P355,0,AM$13),15-13*ORÇAMENTO!$AF$7)*OFFSET(ORÇAMENTO!$W$15,ROW(AM355)-ROW(AM$15),0),15-13*ORÇAMENTO!$AF$11)),
         0)</f>
        <v>0</v>
      </c>
      <c r="AN355" s="453">
        <f ca="1">IF(AND($D355="Serviço",AN$12&lt;&gt;0,$H355&gt;0,OR(AUTOEVENTO&lt;&gt;"manual",$M355&lt;&gt;$A$15)),
        IF(Import.TipoArredondamento&lt;&gt;"TransfereGOV",
              ROUND(OFFSET($P355,0,AN$13),15-13*ORÇAMENTO!$AF$7)/$H355*OFFSET(ORÇAMENTO!$X$15,ROW(AN355)-ROW(AN$15),0),
              ROUND(ROUND(OFFSET($P355,0,AN$13),15-13*ORÇAMENTO!$AF$7)*OFFSET(ORÇAMENTO!$W$15,ROW(AN355)-ROW(AN$15),0),15-13*ORÇAMENTO!$AF$11)),
         0)</f>
        <v>0</v>
      </c>
      <c r="AO355" s="453">
        <f ca="1">IF(AND($D355="Serviço",AO$12&lt;&gt;0,$H355&gt;0,OR(AUTOEVENTO&lt;&gt;"manual",$M355&lt;&gt;$A$15)),
        IF(Import.TipoArredondamento&lt;&gt;"TransfereGOV",
              ROUND(OFFSET($P355,0,AO$13),15-13*ORÇAMENTO!$AF$7)/$H355*OFFSET(ORÇAMENTO!$X$15,ROW(AO355)-ROW(AO$15),0),
              ROUND(ROUND(OFFSET($P355,0,AO$13),15-13*ORÇAMENTO!$AF$7)*OFFSET(ORÇAMENTO!$W$15,ROW(AO355)-ROW(AO$15),0),15-13*ORÇAMENTO!$AF$11)),
         0)</f>
        <v>0</v>
      </c>
      <c r="AP355" s="453">
        <f ca="1">IF(AND($D355="Serviço",AP$12&lt;&gt;0,$H355&gt;0,OR(AUTOEVENTO&lt;&gt;"manual",$M355&lt;&gt;$A$15)),
        IF(Import.TipoArredondamento&lt;&gt;"TransfereGOV",
              ROUND(OFFSET($P355,0,AP$13),15-13*ORÇAMENTO!$AF$7)/$H355*OFFSET(ORÇAMENTO!$X$15,ROW(AP355)-ROW(AP$15),0),
              ROUND(ROUND(OFFSET($P355,0,AP$13),15-13*ORÇAMENTO!$AF$7)*OFFSET(ORÇAMENTO!$W$15,ROW(AP355)-ROW(AP$15),0),15-13*ORÇAMENTO!$AF$11)),
         0)</f>
        <v>0</v>
      </c>
      <c r="AQ355" s="453">
        <f ca="1">IF(AND($D355="Serviço",AQ$12&lt;&gt;0,$H355&gt;0,OR(AUTOEVENTO&lt;&gt;"manual",$M355&lt;&gt;$A$15)),
        IF(Import.TipoArredondamento&lt;&gt;"TransfereGOV",
              ROUND(OFFSET($P355,0,AQ$13),15-13*ORÇAMENTO!$AF$7)/$H355*OFFSET(ORÇAMENTO!$X$15,ROW(AQ355)-ROW(AQ$15),0),
              ROUND(ROUND(OFFSET($P355,0,AQ$13),15-13*ORÇAMENTO!$AF$7)*OFFSET(ORÇAMENTO!$W$15,ROW(AQ355)-ROW(AQ$15),0),15-13*ORÇAMENTO!$AF$11)),
         0)</f>
        <v>0</v>
      </c>
      <c r="AR355" s="453">
        <f ca="1">IF(AND($D355="Serviço",AR$12&lt;&gt;0,$H355&gt;0,OR(AUTOEVENTO&lt;&gt;"manual",$M355&lt;&gt;$A$15)),
        IF(Import.TipoArredondamento&lt;&gt;"TransfereGOV",
              ROUND(OFFSET($P355,0,AR$13),15-13*ORÇAMENTO!$AF$7)/$H355*OFFSET(ORÇAMENTO!$X$15,ROW(AR355)-ROW(AR$15),0),
              ROUND(ROUND(OFFSET($P355,0,AR$13),15-13*ORÇAMENTO!$AF$7)*OFFSET(ORÇAMENTO!$W$15,ROW(AR355)-ROW(AR$15),0),15-13*ORÇAMENTO!$AF$11)),
         0)</f>
        <v>0</v>
      </c>
      <c r="AS355" s="453">
        <f ca="1">IF(AND($D355="Serviço",AS$12&lt;&gt;0,$H355&gt;0,OR(AUTOEVENTO&lt;&gt;"manual",$M355&lt;&gt;$A$15)),
        IF(Import.TipoArredondamento&lt;&gt;"TransfereGOV",
              ROUND(OFFSET($P355,0,AS$13),15-13*ORÇAMENTO!$AF$7)/$H355*OFFSET(ORÇAMENTO!$X$15,ROW(AS355)-ROW(AS$15),0),
              ROUND(ROUND(OFFSET($P355,0,AS$13),15-13*ORÇAMENTO!$AF$7)*OFFSET(ORÇAMENTO!$W$15,ROW(AS355)-ROW(AS$15),0),15-13*ORÇAMENTO!$AF$11)),
         0)</f>
        <v>0</v>
      </c>
      <c r="AT355" s="453">
        <f ca="1">IF(AND($D355="Serviço",AT$12&lt;&gt;0,$H355&gt;0,OR(AUTOEVENTO&lt;&gt;"manual",$M355&lt;&gt;$A$15)),
        IF(Import.TipoArredondamento&lt;&gt;"TransfereGOV",
              ROUND(OFFSET($P355,0,AT$13),15-13*ORÇAMENTO!$AF$7)/$H355*OFFSET(ORÇAMENTO!$X$15,ROW(AT355)-ROW(AT$15),0),
              ROUND(ROUND(OFFSET($P355,0,AT$13),15-13*ORÇAMENTO!$AF$7)*OFFSET(ORÇAMENTO!$W$15,ROW(AT355)-ROW(AT$15),0),15-13*ORÇAMENTO!$AF$11)),
         0)</f>
        <v>0</v>
      </c>
      <c r="AU355" s="453">
        <f ca="1">IF(AND($D355="Serviço",AU$12&lt;&gt;0,$H355&gt;0,OR(AUTOEVENTO&lt;&gt;"manual",$M355&lt;&gt;$A$15)),
        IF(Import.TipoArredondamento&lt;&gt;"TransfereGOV",
              ROUND(OFFSET($P355,0,AU$13),15-13*ORÇAMENTO!$AF$7)/$H355*OFFSET(ORÇAMENTO!$X$15,ROW(AU355)-ROW(AU$15),0),
              ROUND(ROUND(OFFSET($P355,0,AU$13),15-13*ORÇAMENTO!$AF$7)*OFFSET(ORÇAMENTO!$W$15,ROW(AU355)-ROW(AU$15),0),15-13*ORÇAMENTO!$AF$11)),
         0)</f>
        <v>0</v>
      </c>
      <c r="AV355" s="453">
        <f ca="1">IF(AND($D355="Serviço",AV$12&lt;&gt;0,$H355&gt;0,OR(AUTOEVENTO&lt;&gt;"manual",$M355&lt;&gt;$A$15)),
        IF(Import.TipoArredondamento&lt;&gt;"TransfereGOV",
              ROUND(OFFSET($P355,0,AV$13),15-13*ORÇAMENTO!$AF$7)/$H355*OFFSET(ORÇAMENTO!$X$15,ROW(AV355)-ROW(AV$15),0),
              ROUND(ROUND(OFFSET($P355,0,AV$13),15-13*ORÇAMENTO!$AF$7)*OFFSET(ORÇAMENTO!$W$15,ROW(AV355)-ROW(AV$15),0),15-13*ORÇAMENTO!$AF$11)),
         0)</f>
        <v>0</v>
      </c>
      <c r="AW355" s="453">
        <f ca="1">IF(AND($D355="Serviço",AW$12&lt;&gt;0,$H355&gt;0,OR(AUTOEVENTO&lt;&gt;"manual",$M355&lt;&gt;$A$15)),
        IF(Import.TipoArredondamento&lt;&gt;"TransfereGOV",
              ROUND(OFFSET($P355,0,AW$13),15-13*ORÇAMENTO!$AF$7)/$H355*OFFSET(ORÇAMENTO!$X$15,ROW(AW355)-ROW(AW$15),0),
              ROUND(ROUND(OFFSET($P355,0,AW$13),15-13*ORÇAMENTO!$AF$7)*OFFSET(ORÇAMENTO!$W$15,ROW(AW355)-ROW(AW$15),0),15-13*ORÇAMENTO!$AF$11)),
         0)</f>
        <v>0</v>
      </c>
      <c r="AX355" s="453">
        <f ca="1">IF(AND($D355="Serviço",AX$12&lt;&gt;0,$H355&gt;0,OR(AUTOEVENTO&lt;&gt;"manual",$M355&lt;&gt;$A$15)),
        IF(Import.TipoArredondamento&lt;&gt;"TransfereGOV",
              ROUND(OFFSET($P355,0,AX$13),15-13*ORÇAMENTO!$AF$7)/$H355*OFFSET(ORÇAMENTO!$X$15,ROW(AX355)-ROW(AX$15),0),
              ROUND(ROUND(OFFSET($P355,0,AX$13),15-13*ORÇAMENTO!$AF$7)*OFFSET(ORÇAMENTO!$W$15,ROW(AX355)-ROW(AX$15),0),15-13*ORÇAMENTO!$AF$11)),
         0)</f>
        <v>0</v>
      </c>
      <c r="AY355" s="453">
        <f ca="1">IF(AND($D355="Serviço",AY$12&lt;&gt;0,$H355&gt;0,OR(AUTOEVENTO&lt;&gt;"manual",$M355&lt;&gt;$A$15)),
        IF(Import.TipoArredondamento&lt;&gt;"TransfereGOV",
              ROUND(OFFSET($P355,0,AY$13),15-13*ORÇAMENTO!$AF$7)/$H355*OFFSET(ORÇAMENTO!$X$15,ROW(AY355)-ROW(AY$15),0),
              ROUND(ROUND(OFFSET($P355,0,AY$13),15-13*ORÇAMENTO!$AF$7)*OFFSET(ORÇAMENTO!$W$15,ROW(AY355)-ROW(AY$15),0),15-13*ORÇAMENTO!$AF$11)),
         0)</f>
        <v>0</v>
      </c>
      <c r="AZ355" s="453">
        <f ca="1">IF(AND($D355="Serviço",AZ$12&lt;&gt;0,$H355&gt;0,OR(AUTOEVENTO&lt;&gt;"manual",$M355&lt;&gt;$A$15)),
        IF(Import.TipoArredondamento&lt;&gt;"TransfereGOV",
              ROUND(OFFSET($P355,0,AZ$13),15-13*ORÇAMENTO!$AF$7)/$H355*OFFSET(ORÇAMENTO!$X$15,ROW(AZ355)-ROW(AZ$15),0),
              ROUND(ROUND(OFFSET($P355,0,AZ$13),15-13*ORÇAMENTO!$AF$7)*OFFSET(ORÇAMENTO!$W$15,ROW(AZ355)-ROW(AZ$15),0),15-13*ORÇAMENTO!$AF$11)),
         0)</f>
        <v>0</v>
      </c>
      <c r="BA355" s="453">
        <f ca="1">IF(AND($D355="Serviço",BA$12&lt;&gt;0,$H355&gt;0,OR(AUTOEVENTO&lt;&gt;"manual",$M355&lt;&gt;$A$15)),
        IF(Import.TipoArredondamento&lt;&gt;"TransfereGOV",
              ROUND(OFFSET($P355,0,BA$13),15-13*ORÇAMENTO!$AF$7)/$H355*OFFSET(ORÇAMENTO!$X$15,ROW(BA355)-ROW(BA$15),0),
              ROUND(ROUND(OFFSET($P355,0,BA$13),15-13*ORÇAMENTO!$AF$7)*OFFSET(ORÇAMENTO!$W$15,ROW(BA355)-ROW(BA$15),0),15-13*ORÇAMENTO!$AF$11)),
         0)</f>
        <v>0</v>
      </c>
      <c r="BC355" s="171">
        <f ca="1">IF(OR($D355&lt;&gt;"Serviço",AND(AUTOEVENTO="Manual",$M355=$A$15)),0,
         IF(OFFSET(CRONOPLE!$F$15,$M355-$A$15,BC$13)=0,10^12,OFFSET(CRONOPLE!$F$15,$M355-$A$15,BC$13)))</f>
        <v>1</v>
      </c>
      <c r="BD355" s="171">
        <f ca="1">IF(OR($D355&lt;&gt;"Serviço",AND(AUTOEVENTO="Manual",$M355=$A$15)),0,
         IF(OFFSET(CRONOPLE!$F$15,$M355-$A$15,BD$13)=0,10^12,OFFSET(CRONOPLE!$F$15,$M355-$A$15,BD$13)))</f>
        <v>2</v>
      </c>
      <c r="BE355" s="171">
        <f ca="1">IF(OR($D355&lt;&gt;"Serviço",AND(AUTOEVENTO="Manual",$M355=$A$15)),0,
         IF(OFFSET(CRONOPLE!$F$15,$M355-$A$15,BE$13)=0,10^12,OFFSET(CRONOPLE!$F$15,$M355-$A$15,BE$13)))</f>
        <v>3</v>
      </c>
      <c r="BF355" s="171">
        <f ca="1">IF(OR($D355&lt;&gt;"Serviço",AND(AUTOEVENTO="Manual",$M355=$A$15)),0,
         IF(OFFSET(CRONOPLE!$F$15,$M355-$A$15,BF$13)=0,10^12,OFFSET(CRONOPLE!$F$15,$M355-$A$15,BF$13)))</f>
        <v>4</v>
      </c>
      <c r="BG355" s="171">
        <f ca="1">IF(OR($D355&lt;&gt;"Serviço",AND(AUTOEVENTO="Manual",$M355=$A$15)),0,
         IF(OFFSET(CRONOPLE!$F$15,$M355-$A$15,BG$13)=0,10^12,OFFSET(CRONOPLE!$F$15,$M355-$A$15,BG$13)))</f>
        <v>5</v>
      </c>
      <c r="BH355" s="171">
        <f ca="1">IF(OR($D355&lt;&gt;"Serviço",AND(AUTOEVENTO="Manual",$M355=$A$15)),0,
         IF(OFFSET(CRONOPLE!$F$15,$M355-$A$15,BH$13)=0,10^12,OFFSET(CRONOPLE!$F$15,$M355-$A$15,BH$13)))</f>
        <v>6</v>
      </c>
      <c r="BI355" s="171">
        <f ca="1">IF(OR($D355&lt;&gt;"Serviço",AND(AUTOEVENTO="Manual",$M355=$A$15)),0,
         IF(OFFSET(CRONOPLE!$F$15,$M355-$A$15,BI$13)=0,10^12,OFFSET(CRONOPLE!$F$15,$M355-$A$15,BI$13)))</f>
        <v>7</v>
      </c>
      <c r="BJ355" s="171">
        <f ca="1">IF(OR($D355&lt;&gt;"Serviço",AND(AUTOEVENTO="Manual",$M355=$A$15)),0,
         IF(OFFSET(CRONOPLE!$F$15,$M355-$A$15,BJ$13)=0,10^12,OFFSET(CRONOPLE!$F$15,$M355-$A$15,BJ$13)))</f>
        <v>8</v>
      </c>
      <c r="BK355" s="171">
        <f ca="1">IF(OR($D355&lt;&gt;"Serviço",AND(AUTOEVENTO="Manual",$M355=$A$15)),0,
         IF(OFFSET(CRONOPLE!$F$15,$M355-$A$15,BK$13)=0,10^12,OFFSET(CRONOPLE!$F$15,$M355-$A$15,BK$13)))</f>
        <v>9</v>
      </c>
      <c r="BL355" s="171">
        <f ca="1">IF(OR($D355&lt;&gt;"Serviço",AND(AUTOEVENTO="Manual",$M355=$A$15)),0,
         IF(OFFSET(CRONOPLE!$F$15,$M355-$A$15,BL$13)=0,10^12,OFFSET(CRONOPLE!$F$15,$M355-$A$15,BL$13)))</f>
        <v>1000000000000</v>
      </c>
      <c r="BM355" s="171">
        <f ca="1">IF(OR($D355&lt;&gt;"Serviço",AND(AUTOEVENTO="Manual",$M355=$A$15)),0,
         IF(OFFSET(CRONOPLE!$F$15,$M355-$A$15,BM$13)=0,10^12,OFFSET(CRONOPLE!$F$15,$M355-$A$15,BM$13)))</f>
        <v>1000000000000</v>
      </c>
      <c r="BN355" s="171">
        <f ca="1">IF(OR($D355&lt;&gt;"Serviço",AND(AUTOEVENTO="Manual",$M355=$A$15)),0,
         IF(OFFSET(CRONOPLE!$F$15,$M355-$A$15,BN$13)=0,10^12,OFFSET(CRONOPLE!$F$15,$M355-$A$15,BN$13)))</f>
        <v>1000000000000</v>
      </c>
      <c r="BO355" s="171">
        <f ca="1">IF(OR($D355&lt;&gt;"Serviço",AND(AUTOEVENTO="Manual",$M355=$A$15)),0,
         IF(OFFSET(CRONOPLE!$F$15,$M355-$A$15,BO$13)=0,10^12,OFFSET(CRONOPLE!$F$15,$M355-$A$15,BO$13)))</f>
        <v>1000000000000</v>
      </c>
      <c r="BP355" s="171">
        <f ca="1">IF(OR($D355&lt;&gt;"Serviço",AND(AUTOEVENTO="Manual",$M355=$A$15)),0,
         IF(OFFSET(CRONOPLE!$F$15,$M355-$A$15,BP$13)=0,10^12,OFFSET(CRONOPLE!$F$15,$M355-$A$15,BP$13)))</f>
        <v>1000000000000</v>
      </c>
      <c r="BQ355" s="171">
        <f ca="1">IF(OR($D355&lt;&gt;"Serviço",AND(AUTOEVENTO="Manual",$M355=$A$15)),0,
         IF(OFFSET(CRONOPLE!$F$15,$M355-$A$15,BQ$13)=0,10^12,OFFSET(CRONOPLE!$F$15,$M355-$A$15,BQ$13)))</f>
        <v>1000000000000</v>
      </c>
      <c r="BR355" s="171">
        <f ca="1">IF(OR($D355&lt;&gt;"Serviço",AND(AUTOEVENTO="Manual",$M355=$A$15)),0,
         IF(OFFSET(CRONOPLE!$F$15,$M355-$A$15,BR$13)=0,10^12,OFFSET(CRONOPLE!$F$15,$M355-$A$15,BR$13)))</f>
        <v>1000000000000</v>
      </c>
      <c r="BS355" s="171">
        <f ca="1">IF(OR($D355&lt;&gt;"Serviço",AND(AUTOEVENTO="Manual",$M355=$A$15)),0,
         IF(OFFSET(CRONOPLE!$F$15,$M355-$A$15,BS$13)=0,10^12,OFFSET(CRONOPLE!$F$15,$M355-$A$15,BS$13)))</f>
        <v>1000000000000</v>
      </c>
      <c r="BT355" s="171">
        <f ca="1">IF(OR($D355&lt;&gt;"Serviço",AND(AUTOEVENTO="Manual",$M355=$A$15)),0,
         IF(OFFSET(CRONOPLE!$F$15,$M355-$A$15,BT$13)=0,10^12,OFFSET(CRONOPLE!$F$15,$M355-$A$15,BT$13)))</f>
        <v>1000000000000</v>
      </c>
      <c r="BV355" s="172">
        <f ca="1">IF(OR($D355&lt;&gt;"Serviço",AND(AUTOEVENTO="Manual",$M355=$A$15),$M355&gt;(ROW(PLE.lastrow)-ROW(PLE.firstrow))),0,
           IF(OFFSET(PLE!$G$15,$M355-$A$15,BV$13)="",10^12,OFFSET(PLE!$G$15,$M355-$A$15,BV$13)))</f>
        <v>1000000000000</v>
      </c>
      <c r="BW355" s="172">
        <f ca="1">IF(OR($D355&lt;&gt;"Serviço",AND(AUTOEVENTO="Manual",$M355=$A$15),$M355&gt;(ROW(PLE.lastrow)-ROW(PLE.firstrow))),0,
           IF(OFFSET(PLE!$G$15,$M355-$A$15,BW$13)="",10^12,OFFSET(PLE!$G$15,$M355-$A$15,BW$13)))</f>
        <v>1000000000000</v>
      </c>
      <c r="BX355" s="172">
        <f ca="1">IF(OR($D355&lt;&gt;"Serviço",AND(AUTOEVENTO="Manual",$M355=$A$15),$M355&gt;(ROW(PLE.lastrow)-ROW(PLE.firstrow))),0,
           IF(OFFSET(PLE!$G$15,$M355-$A$15,BX$13)="",10^12,OFFSET(PLE!$G$15,$M355-$A$15,BX$13)))</f>
        <v>1000000000000</v>
      </c>
      <c r="BY355" s="172">
        <f ca="1">IF(OR($D355&lt;&gt;"Serviço",AND(AUTOEVENTO="Manual",$M355=$A$15),$M355&gt;(ROW(PLE.lastrow)-ROW(PLE.firstrow))),0,
           IF(OFFSET(PLE!$G$15,$M355-$A$15,BY$13)="",10^12,OFFSET(PLE!$G$15,$M355-$A$15,BY$13)))</f>
        <v>1000000000000</v>
      </c>
      <c r="BZ355" s="172">
        <f ca="1">IF(OR($D355&lt;&gt;"Serviço",AND(AUTOEVENTO="Manual",$M355=$A$15),$M355&gt;(ROW(PLE.lastrow)-ROW(PLE.firstrow))),0,
           IF(OFFSET(PLE!$G$15,$M355-$A$15,BZ$13)="",10^12,OFFSET(PLE!$G$15,$M355-$A$15,BZ$13)))</f>
        <v>1000000000000</v>
      </c>
      <c r="CA355" s="172">
        <f ca="1">IF(OR($D355&lt;&gt;"Serviço",AND(AUTOEVENTO="Manual",$M355=$A$15),$M355&gt;(ROW(PLE.lastrow)-ROW(PLE.firstrow))),0,
           IF(OFFSET(PLE!$G$15,$M355-$A$15,CA$13)="",10^12,OFFSET(PLE!$G$15,$M355-$A$15,CA$13)))</f>
        <v>1000000000000</v>
      </c>
      <c r="CB355" s="172">
        <f ca="1">IF(OR($D355&lt;&gt;"Serviço",AND(AUTOEVENTO="Manual",$M355=$A$15),$M355&gt;(ROW(PLE.lastrow)-ROW(PLE.firstrow))),0,
           IF(OFFSET(PLE!$G$15,$M355-$A$15,CB$13)="",10^12,OFFSET(PLE!$G$15,$M355-$A$15,CB$13)))</f>
        <v>1000000000000</v>
      </c>
      <c r="CC355" s="172">
        <f ca="1">IF(OR($D355&lt;&gt;"Serviço",AND(AUTOEVENTO="Manual",$M355=$A$15),$M355&gt;(ROW(PLE.lastrow)-ROW(PLE.firstrow))),0,
           IF(OFFSET(PLE!$G$15,$M355-$A$15,CC$13)="",10^12,OFFSET(PLE!$G$15,$M355-$A$15,CC$13)))</f>
        <v>1000000000000</v>
      </c>
      <c r="CD355" s="172">
        <f ca="1">IF(OR($D355&lt;&gt;"Serviço",AND(AUTOEVENTO="Manual",$M355=$A$15),$M355&gt;(ROW(PLE.lastrow)-ROW(PLE.firstrow))),0,
           IF(OFFSET(PLE!$G$15,$M355-$A$15,CD$13)="",10^12,OFFSET(PLE!$G$15,$M355-$A$15,CD$13)))</f>
        <v>1000000000000</v>
      </c>
      <c r="CE355" s="172">
        <f ca="1">IF(OR($D355&lt;&gt;"Serviço",AND(AUTOEVENTO="Manual",$M355=$A$15),$M355&gt;(ROW(PLE.lastrow)-ROW(PLE.firstrow))),0,
           IF(OFFSET(PLE!$G$15,$M355-$A$15,CE$13)="",10^12,OFFSET(PLE!$G$15,$M355-$A$15,CE$13)))</f>
        <v>1000000000000</v>
      </c>
      <c r="CF355" s="172">
        <f ca="1">IF(OR($D355&lt;&gt;"Serviço",AND(AUTOEVENTO="Manual",$M355=$A$15),$M355&gt;(ROW(PLE.lastrow)-ROW(PLE.firstrow))),0,
           IF(OFFSET(PLE!$G$15,$M355-$A$15,CF$13)="",10^12,OFFSET(PLE!$G$15,$M355-$A$15,CF$13)))</f>
        <v>1000000000000</v>
      </c>
      <c r="CG355" s="172">
        <f ca="1">IF(OR($D355&lt;&gt;"Serviço",AND(AUTOEVENTO="Manual",$M355=$A$15),$M355&gt;(ROW(PLE.lastrow)-ROW(PLE.firstrow))),0,
           IF(OFFSET(PLE!$G$15,$M355-$A$15,CG$13)="",10^12,OFFSET(PLE!$G$15,$M355-$A$15,CG$13)))</f>
        <v>1000000000000</v>
      </c>
      <c r="CH355" s="172">
        <f ca="1">IF(OR($D355&lt;&gt;"Serviço",AND(AUTOEVENTO="Manual",$M355=$A$15),$M355&gt;(ROW(PLE.lastrow)-ROW(PLE.firstrow))),0,
           IF(OFFSET(PLE!$G$15,$M355-$A$15,CH$13)="",10^12,OFFSET(PLE!$G$15,$M355-$A$15,CH$13)))</f>
        <v>1000000000000</v>
      </c>
      <c r="CI355" s="172">
        <f ca="1">IF(OR($D355&lt;&gt;"Serviço",AND(AUTOEVENTO="Manual",$M355=$A$15),$M355&gt;(ROW(PLE.lastrow)-ROW(PLE.firstrow))),0,
           IF(OFFSET(PLE!$G$15,$M355-$A$15,CI$13)="",10^12,OFFSET(PLE!$G$15,$M355-$A$15,CI$13)))</f>
        <v>1000000000000</v>
      </c>
      <c r="CJ355" s="172">
        <f ca="1">IF(OR($D355&lt;&gt;"Serviço",AND(AUTOEVENTO="Manual",$M355=$A$15),$M355&gt;(ROW(PLE.lastrow)-ROW(PLE.firstrow))),0,
           IF(OFFSET(PLE!$G$15,$M355-$A$15,CJ$13)="",10^12,OFFSET(PLE!$G$15,$M355-$A$15,CJ$13)))</f>
        <v>1000000000000</v>
      </c>
      <c r="CK355" s="172">
        <f ca="1">IF(OR($D355&lt;&gt;"Serviço",AND(AUTOEVENTO="Manual",$M355=$A$15),$M355&gt;(ROW(PLE.lastrow)-ROW(PLE.firstrow))),0,
           IF(OFFSET(PLE!$G$15,$M355-$A$15,CK$13)="",10^12,OFFSET(PLE!$G$15,$M355-$A$15,CK$13)))</f>
        <v>1000000000000</v>
      </c>
      <c r="CL355" s="172">
        <f ca="1">IF(OR($D355&lt;&gt;"Serviço",AND(AUTOEVENTO="Manual",$M355=$A$15),$M355&gt;(ROW(PLE.lastrow)-ROW(PLE.firstrow))),0,
           IF(OFFSET(PLE!$G$15,$M355-$A$15,CL$13)="",10^12,OFFSET(PLE!$G$15,$M355-$A$15,CL$13)))</f>
        <v>1000000000000</v>
      </c>
      <c r="CM355" s="172">
        <f ca="1">IF(OR($D355&lt;&gt;"Serviço",AND(AUTOEVENTO="Manual",$M355=$A$15),$M355&gt;(ROW(PLE.lastrow)-ROW(PLE.firstrow))),0,
           IF(OFFSET(PLE!$G$15,$M355-$A$15,CM$13)="",10^12,OFFSET(PLE!$G$15,$M355-$A$15,CM$13)))</f>
        <v>1000000000000</v>
      </c>
    </row>
    <row r="356" spans="1:91" ht="25.5" x14ac:dyDescent="0.2">
      <c r="A356" s="7">
        <f t="shared" ca="1" si="15"/>
        <v>6</v>
      </c>
      <c r="B356" s="7" t="str">
        <f ca="1">OFFSET(ORÇAMENTO!C$15,ROW(B356)-ROW(B$15),0)</f>
        <v>S</v>
      </c>
      <c r="C356" s="7" t="str">
        <f ca="1">OFFSET(ORÇAMENTO!L$15,ROW(C356)-ROW(C$15),0)</f>
        <v>F</v>
      </c>
      <c r="D356" s="116" t="str">
        <f ca="1">OFFSET(ORÇAMENTO!N$15,ROW(D356)-ROW(D$15),0)</f>
        <v>Serviço</v>
      </c>
      <c r="E356" s="117" t="str">
        <f ca="1">OFFSET(ORÇAMENTO!O$15,ROW(E356)-ROW(E$15),0)</f>
        <v>1.7.6.2.2.</v>
      </c>
      <c r="F356" s="163" t="str">
        <f ca="1">OFFSET(ORÇAMENTO!R$15,ROW(F356)-ROW(F$15),0)</f>
        <v>ASSENTAMENTO DE CONEXÕES EM FERRO FUNDIDO, JUNTA ELÁSTICA, DN = 350 MM - BASEADO EM ORSE (5287)</v>
      </c>
      <c r="G356" s="164" t="str">
        <f ca="1">IF($D356&lt;&gt;"Serviço","",OFFSET(ORÇAMENTO!S$15,ROW(G356)-ROW(G$15),0))</f>
        <v>UN</v>
      </c>
      <c r="H356" s="122" cm="1">
        <f t="array" aca="1" ref="H356" ca="1">IF($D356&lt;&gt;"Serviço",0,IF(ACOMPANHAMENTO="BM",ROUND(OFFSET(ORÇAMENTO!AJ$15,ROW(H356)-ROW(H$15),0),15-13*ORÇAMENTO!$AF$7),SUMPRODUCT(($Q$1:$AI$1=1)*ROUND($Q356:$AI356,15-13*ORÇAMENTO!$AF$7))))</f>
        <v>2</v>
      </c>
      <c r="I356" s="468" t="s">
        <v>1347</v>
      </c>
      <c r="J356" s="640" t="str" cm="1">
        <f t="array" aca="1" ref="J356" ca="1">IF(OR(B356&lt;&gt;"S",CÁLCULO.FrentesPreenchidas=0),"",IF(AND(ACOMPANHAMENTO="PLE",AUTOEVENTO="Manual",OR(H356&gt;0,ORÇAMENTO!AC356="QUANT."),OR(K356="",M356=0,N356="")),"►E",IF(AND(ACOMPANHAMENTO="PLE",ORÇAMENTO!AC356="QUANT."),"►Q",IF(AND(ACOMPANHAMENTO="PLE",H356&lt;&gt;SUMPRODUCT(($Q$1:$AI$1=1)*ROUND(Q356:AI356,15))),"►S",IF(AND(COUNTIF($P$11:$AI$11,"▼")=0,H356&gt;0,I356=""),"◄M","")))))</f>
        <v/>
      </c>
      <c r="K356" s="641" t="s">
        <v>1385</v>
      </c>
      <c r="L356" s="165" t="s">
        <v>764</v>
      </c>
      <c r="M356" s="166">
        <f ca="1">IF($D356&lt;&gt;"Serviço","",
          IF(AUTOEVENTO="manual",$A356,
                IF(ISERROR(MATCH($A356,$A$15:OFFSET($A356,-1,0),0)),MAX($M$15:OFFSET(M356,-1,0))+1,
                      INDEX($M$15:OFFSET(M356,-1,0),MATCH($A356,$A$15:OFFSET($A356,-1,0),0)))))</f>
        <v>6</v>
      </c>
      <c r="N356" s="167" t="str">
        <f ca="1">IF($D356&lt;&gt;"Serviço","",
         IF(AUTOEVENTO="Manual",
                IF($A356=0,"&lt;-- defina o número do agrupador",
                       OFFSET(EVENTOS!$D$15,$A356-$A$15,0)),
                OFFSET($F$15,$A356,0)))</f>
        <v>Saneamento</v>
      </c>
      <c r="O356" s="168"/>
      <c r="Q356" s="168"/>
      <c r="R356" s="169"/>
      <c r="S356" s="169"/>
      <c r="T356" s="169"/>
      <c r="U356" s="169"/>
      <c r="V356" s="169">
        <f>V350</f>
        <v>2</v>
      </c>
      <c r="W356" s="169"/>
      <c r="X356" s="169"/>
      <c r="Y356" s="169"/>
      <c r="Z356" s="170"/>
      <c r="AA356" s="169"/>
      <c r="AB356" s="169"/>
      <c r="AC356" s="169"/>
      <c r="AD356" s="169"/>
      <c r="AE356" s="169"/>
      <c r="AF356" s="169"/>
      <c r="AG356" s="169"/>
      <c r="AH356" s="170"/>
      <c r="AJ356" s="453">
        <f ca="1">IF(AND($D356="Serviço",AJ$12&lt;&gt;0,$H356&gt;0,OR(AUTOEVENTO&lt;&gt;"manual",$M356&lt;&gt;$A$15)),
        IF(Import.TipoArredondamento&lt;&gt;"TransfereGOV",
              ROUND(OFFSET($P356,0,AJ$13),15-13*ORÇAMENTO!$AF$7)/$H356*OFFSET(ORÇAMENTO!$X$15,ROW(AJ356)-ROW(AJ$15),0),
              ROUND(ROUND(OFFSET($P356,0,AJ$13),15-13*ORÇAMENTO!$AF$7)*OFFSET(ORÇAMENTO!$W$15,ROW(AJ356)-ROW(AJ$15),0),15-13*ORÇAMENTO!$AF$11)),
         0)</f>
        <v>0</v>
      </c>
      <c r="AK356" s="453">
        <f ca="1">IF(AND($D356="Serviço",AK$12&lt;&gt;0,$H356&gt;0,OR(AUTOEVENTO&lt;&gt;"manual",$M356&lt;&gt;$A$15)),
        IF(Import.TipoArredondamento&lt;&gt;"TransfereGOV",
              ROUND(OFFSET($P356,0,AK$13),15-13*ORÇAMENTO!$AF$7)/$H356*OFFSET(ORÇAMENTO!$X$15,ROW(AK356)-ROW(AK$15),0),
              ROUND(ROUND(OFFSET($P356,0,AK$13),15-13*ORÇAMENTO!$AF$7)*OFFSET(ORÇAMENTO!$W$15,ROW(AK356)-ROW(AK$15),0),15-13*ORÇAMENTO!$AF$11)),
         0)</f>
        <v>0</v>
      </c>
      <c r="AL356" s="453">
        <f ca="1">IF(AND($D356="Serviço",AL$12&lt;&gt;0,$H356&gt;0,OR(AUTOEVENTO&lt;&gt;"manual",$M356&lt;&gt;$A$15)),
        IF(Import.TipoArredondamento&lt;&gt;"TransfereGOV",
              ROUND(OFFSET($P356,0,AL$13),15-13*ORÇAMENTO!$AF$7)/$H356*OFFSET(ORÇAMENTO!$X$15,ROW(AL356)-ROW(AL$15),0),
              ROUND(ROUND(OFFSET($P356,0,AL$13),15-13*ORÇAMENTO!$AF$7)*OFFSET(ORÇAMENTO!$W$15,ROW(AL356)-ROW(AL$15),0),15-13*ORÇAMENTO!$AF$11)),
         0)</f>
        <v>0</v>
      </c>
      <c r="AM356" s="453">
        <f ca="1">IF(AND($D356="Serviço",AM$12&lt;&gt;0,$H356&gt;0,OR(AUTOEVENTO&lt;&gt;"manual",$M356&lt;&gt;$A$15)),
        IF(Import.TipoArredondamento&lt;&gt;"TransfereGOV",
              ROUND(OFFSET($P356,0,AM$13),15-13*ORÇAMENTO!$AF$7)/$H356*OFFSET(ORÇAMENTO!$X$15,ROW(AM356)-ROW(AM$15),0),
              ROUND(ROUND(OFFSET($P356,0,AM$13),15-13*ORÇAMENTO!$AF$7)*OFFSET(ORÇAMENTO!$W$15,ROW(AM356)-ROW(AM$15),0),15-13*ORÇAMENTO!$AF$11)),
         0)</f>
        <v>0</v>
      </c>
      <c r="AN356" s="453">
        <f ca="1">IF(AND($D356="Serviço",AN$12&lt;&gt;0,$H356&gt;0,OR(AUTOEVENTO&lt;&gt;"manual",$M356&lt;&gt;$A$15)),
        IF(Import.TipoArredondamento&lt;&gt;"TransfereGOV",
              ROUND(OFFSET($P356,0,AN$13),15-13*ORÇAMENTO!$AF$7)/$H356*OFFSET(ORÇAMENTO!$X$15,ROW(AN356)-ROW(AN$15),0),
              ROUND(ROUND(OFFSET($P356,0,AN$13),15-13*ORÇAMENTO!$AF$7)*OFFSET(ORÇAMENTO!$W$15,ROW(AN356)-ROW(AN$15),0),15-13*ORÇAMENTO!$AF$11)),
         0)</f>
        <v>0</v>
      </c>
      <c r="AO356" s="453">
        <f ca="1">IF(AND($D356="Serviço",AO$12&lt;&gt;0,$H356&gt;0,OR(AUTOEVENTO&lt;&gt;"manual",$M356&lt;&gt;$A$15)),
        IF(Import.TipoArredondamento&lt;&gt;"TransfereGOV",
              ROUND(OFFSET($P356,0,AO$13),15-13*ORÇAMENTO!$AF$7)/$H356*OFFSET(ORÇAMENTO!$X$15,ROW(AO356)-ROW(AO$15),0),
              ROUND(ROUND(OFFSET($P356,0,AO$13),15-13*ORÇAMENTO!$AF$7)*OFFSET(ORÇAMENTO!$W$15,ROW(AO356)-ROW(AO$15),0),15-13*ORÇAMENTO!$AF$11)),
         0)</f>
        <v>0</v>
      </c>
      <c r="AP356" s="453">
        <f ca="1">IF(AND($D356="Serviço",AP$12&lt;&gt;0,$H356&gt;0,OR(AUTOEVENTO&lt;&gt;"manual",$M356&lt;&gt;$A$15)),
        IF(Import.TipoArredondamento&lt;&gt;"TransfereGOV",
              ROUND(OFFSET($P356,0,AP$13),15-13*ORÇAMENTO!$AF$7)/$H356*OFFSET(ORÇAMENTO!$X$15,ROW(AP356)-ROW(AP$15),0),
              ROUND(ROUND(OFFSET($P356,0,AP$13),15-13*ORÇAMENTO!$AF$7)*OFFSET(ORÇAMENTO!$W$15,ROW(AP356)-ROW(AP$15),0),15-13*ORÇAMENTO!$AF$11)),
         0)</f>
        <v>0</v>
      </c>
      <c r="AQ356" s="453">
        <f ca="1">IF(AND($D356="Serviço",AQ$12&lt;&gt;0,$H356&gt;0,OR(AUTOEVENTO&lt;&gt;"manual",$M356&lt;&gt;$A$15)),
        IF(Import.TipoArredondamento&lt;&gt;"TransfereGOV",
              ROUND(OFFSET($P356,0,AQ$13),15-13*ORÇAMENTO!$AF$7)/$H356*OFFSET(ORÇAMENTO!$X$15,ROW(AQ356)-ROW(AQ$15),0),
              ROUND(ROUND(OFFSET($P356,0,AQ$13),15-13*ORÇAMENTO!$AF$7)*OFFSET(ORÇAMENTO!$W$15,ROW(AQ356)-ROW(AQ$15),0),15-13*ORÇAMENTO!$AF$11)),
         0)</f>
        <v>0</v>
      </c>
      <c r="AR356" s="453">
        <f ca="1">IF(AND($D356="Serviço",AR$12&lt;&gt;0,$H356&gt;0,OR(AUTOEVENTO&lt;&gt;"manual",$M356&lt;&gt;$A$15)),
        IF(Import.TipoArredondamento&lt;&gt;"TransfereGOV",
              ROUND(OFFSET($P356,0,AR$13),15-13*ORÇAMENTO!$AF$7)/$H356*OFFSET(ORÇAMENTO!$X$15,ROW(AR356)-ROW(AR$15),0),
              ROUND(ROUND(OFFSET($P356,0,AR$13),15-13*ORÇAMENTO!$AF$7)*OFFSET(ORÇAMENTO!$W$15,ROW(AR356)-ROW(AR$15),0),15-13*ORÇAMENTO!$AF$11)),
         0)</f>
        <v>0</v>
      </c>
      <c r="AS356" s="453">
        <f ca="1">IF(AND($D356="Serviço",AS$12&lt;&gt;0,$H356&gt;0,OR(AUTOEVENTO&lt;&gt;"manual",$M356&lt;&gt;$A$15)),
        IF(Import.TipoArredondamento&lt;&gt;"TransfereGOV",
              ROUND(OFFSET($P356,0,AS$13),15-13*ORÇAMENTO!$AF$7)/$H356*OFFSET(ORÇAMENTO!$X$15,ROW(AS356)-ROW(AS$15),0),
              ROUND(ROUND(OFFSET($P356,0,AS$13),15-13*ORÇAMENTO!$AF$7)*OFFSET(ORÇAMENTO!$W$15,ROW(AS356)-ROW(AS$15),0),15-13*ORÇAMENTO!$AF$11)),
         0)</f>
        <v>0</v>
      </c>
      <c r="AT356" s="453">
        <f ca="1">IF(AND($D356="Serviço",AT$12&lt;&gt;0,$H356&gt;0,OR(AUTOEVENTO&lt;&gt;"manual",$M356&lt;&gt;$A$15)),
        IF(Import.TipoArredondamento&lt;&gt;"TransfereGOV",
              ROUND(OFFSET($P356,0,AT$13),15-13*ORÇAMENTO!$AF$7)/$H356*OFFSET(ORÇAMENTO!$X$15,ROW(AT356)-ROW(AT$15),0),
              ROUND(ROUND(OFFSET($P356,0,AT$13),15-13*ORÇAMENTO!$AF$7)*OFFSET(ORÇAMENTO!$W$15,ROW(AT356)-ROW(AT$15),0),15-13*ORÇAMENTO!$AF$11)),
         0)</f>
        <v>0</v>
      </c>
      <c r="AU356" s="453">
        <f ca="1">IF(AND($D356="Serviço",AU$12&lt;&gt;0,$H356&gt;0,OR(AUTOEVENTO&lt;&gt;"manual",$M356&lt;&gt;$A$15)),
        IF(Import.TipoArredondamento&lt;&gt;"TransfereGOV",
              ROUND(OFFSET($P356,0,AU$13),15-13*ORÇAMENTO!$AF$7)/$H356*OFFSET(ORÇAMENTO!$X$15,ROW(AU356)-ROW(AU$15),0),
              ROUND(ROUND(OFFSET($P356,0,AU$13),15-13*ORÇAMENTO!$AF$7)*OFFSET(ORÇAMENTO!$W$15,ROW(AU356)-ROW(AU$15),0),15-13*ORÇAMENTO!$AF$11)),
         0)</f>
        <v>0</v>
      </c>
      <c r="AV356" s="453">
        <f ca="1">IF(AND($D356="Serviço",AV$12&lt;&gt;0,$H356&gt;0,OR(AUTOEVENTO&lt;&gt;"manual",$M356&lt;&gt;$A$15)),
        IF(Import.TipoArredondamento&lt;&gt;"TransfereGOV",
              ROUND(OFFSET($P356,0,AV$13),15-13*ORÇAMENTO!$AF$7)/$H356*OFFSET(ORÇAMENTO!$X$15,ROW(AV356)-ROW(AV$15),0),
              ROUND(ROUND(OFFSET($P356,0,AV$13),15-13*ORÇAMENTO!$AF$7)*OFFSET(ORÇAMENTO!$W$15,ROW(AV356)-ROW(AV$15),0),15-13*ORÇAMENTO!$AF$11)),
         0)</f>
        <v>0</v>
      </c>
      <c r="AW356" s="453">
        <f ca="1">IF(AND($D356="Serviço",AW$12&lt;&gt;0,$H356&gt;0,OR(AUTOEVENTO&lt;&gt;"manual",$M356&lt;&gt;$A$15)),
        IF(Import.TipoArredondamento&lt;&gt;"TransfereGOV",
              ROUND(OFFSET($P356,0,AW$13),15-13*ORÇAMENTO!$AF$7)/$H356*OFFSET(ORÇAMENTO!$X$15,ROW(AW356)-ROW(AW$15),0),
              ROUND(ROUND(OFFSET($P356,0,AW$13),15-13*ORÇAMENTO!$AF$7)*OFFSET(ORÇAMENTO!$W$15,ROW(AW356)-ROW(AW$15),0),15-13*ORÇAMENTO!$AF$11)),
         0)</f>
        <v>0</v>
      </c>
      <c r="AX356" s="453">
        <f ca="1">IF(AND($D356="Serviço",AX$12&lt;&gt;0,$H356&gt;0,OR(AUTOEVENTO&lt;&gt;"manual",$M356&lt;&gt;$A$15)),
        IF(Import.TipoArredondamento&lt;&gt;"TransfereGOV",
              ROUND(OFFSET($P356,0,AX$13),15-13*ORÇAMENTO!$AF$7)/$H356*OFFSET(ORÇAMENTO!$X$15,ROW(AX356)-ROW(AX$15),0),
              ROUND(ROUND(OFFSET($P356,0,AX$13),15-13*ORÇAMENTO!$AF$7)*OFFSET(ORÇAMENTO!$W$15,ROW(AX356)-ROW(AX$15),0),15-13*ORÇAMENTO!$AF$11)),
         0)</f>
        <v>0</v>
      </c>
      <c r="AY356" s="453">
        <f ca="1">IF(AND($D356="Serviço",AY$12&lt;&gt;0,$H356&gt;0,OR(AUTOEVENTO&lt;&gt;"manual",$M356&lt;&gt;$A$15)),
        IF(Import.TipoArredondamento&lt;&gt;"TransfereGOV",
              ROUND(OFFSET($P356,0,AY$13),15-13*ORÇAMENTO!$AF$7)/$H356*OFFSET(ORÇAMENTO!$X$15,ROW(AY356)-ROW(AY$15),0),
              ROUND(ROUND(OFFSET($P356,0,AY$13),15-13*ORÇAMENTO!$AF$7)*OFFSET(ORÇAMENTO!$W$15,ROW(AY356)-ROW(AY$15),0),15-13*ORÇAMENTO!$AF$11)),
         0)</f>
        <v>0</v>
      </c>
      <c r="AZ356" s="453">
        <f ca="1">IF(AND($D356="Serviço",AZ$12&lt;&gt;0,$H356&gt;0,OR(AUTOEVENTO&lt;&gt;"manual",$M356&lt;&gt;$A$15)),
        IF(Import.TipoArredondamento&lt;&gt;"TransfereGOV",
              ROUND(OFFSET($P356,0,AZ$13),15-13*ORÇAMENTO!$AF$7)/$H356*OFFSET(ORÇAMENTO!$X$15,ROW(AZ356)-ROW(AZ$15),0),
              ROUND(ROUND(OFFSET($P356,0,AZ$13),15-13*ORÇAMENTO!$AF$7)*OFFSET(ORÇAMENTO!$W$15,ROW(AZ356)-ROW(AZ$15),0),15-13*ORÇAMENTO!$AF$11)),
         0)</f>
        <v>0</v>
      </c>
      <c r="BA356" s="453">
        <f ca="1">IF(AND($D356="Serviço",BA$12&lt;&gt;0,$H356&gt;0,OR(AUTOEVENTO&lt;&gt;"manual",$M356&lt;&gt;$A$15)),
        IF(Import.TipoArredondamento&lt;&gt;"TransfereGOV",
              ROUND(OFFSET($P356,0,BA$13),15-13*ORÇAMENTO!$AF$7)/$H356*OFFSET(ORÇAMENTO!$X$15,ROW(BA356)-ROW(BA$15),0),
              ROUND(ROUND(OFFSET($P356,0,BA$13),15-13*ORÇAMENTO!$AF$7)*OFFSET(ORÇAMENTO!$W$15,ROW(BA356)-ROW(BA$15),0),15-13*ORÇAMENTO!$AF$11)),
         0)</f>
        <v>0</v>
      </c>
      <c r="BC356" s="171">
        <f ca="1">IF(OR($D356&lt;&gt;"Serviço",AND(AUTOEVENTO="Manual",$M356=$A$15)),0,
         IF(OFFSET(CRONOPLE!$F$15,$M356-$A$15,BC$13)=0,10^12,OFFSET(CRONOPLE!$F$15,$M356-$A$15,BC$13)))</f>
        <v>1</v>
      </c>
      <c r="BD356" s="171">
        <f ca="1">IF(OR($D356&lt;&gt;"Serviço",AND(AUTOEVENTO="Manual",$M356=$A$15)),0,
         IF(OFFSET(CRONOPLE!$F$15,$M356-$A$15,BD$13)=0,10^12,OFFSET(CRONOPLE!$F$15,$M356-$A$15,BD$13)))</f>
        <v>2</v>
      </c>
      <c r="BE356" s="171">
        <f ca="1">IF(OR($D356&lt;&gt;"Serviço",AND(AUTOEVENTO="Manual",$M356=$A$15)),0,
         IF(OFFSET(CRONOPLE!$F$15,$M356-$A$15,BE$13)=0,10^12,OFFSET(CRONOPLE!$F$15,$M356-$A$15,BE$13)))</f>
        <v>3</v>
      </c>
      <c r="BF356" s="171">
        <f ca="1">IF(OR($D356&lt;&gt;"Serviço",AND(AUTOEVENTO="Manual",$M356=$A$15)),0,
         IF(OFFSET(CRONOPLE!$F$15,$M356-$A$15,BF$13)=0,10^12,OFFSET(CRONOPLE!$F$15,$M356-$A$15,BF$13)))</f>
        <v>4</v>
      </c>
      <c r="BG356" s="171">
        <f ca="1">IF(OR($D356&lt;&gt;"Serviço",AND(AUTOEVENTO="Manual",$M356=$A$15)),0,
         IF(OFFSET(CRONOPLE!$F$15,$M356-$A$15,BG$13)=0,10^12,OFFSET(CRONOPLE!$F$15,$M356-$A$15,BG$13)))</f>
        <v>5</v>
      </c>
      <c r="BH356" s="171">
        <f ca="1">IF(OR($D356&lt;&gt;"Serviço",AND(AUTOEVENTO="Manual",$M356=$A$15)),0,
         IF(OFFSET(CRONOPLE!$F$15,$M356-$A$15,BH$13)=0,10^12,OFFSET(CRONOPLE!$F$15,$M356-$A$15,BH$13)))</f>
        <v>6</v>
      </c>
      <c r="BI356" s="171">
        <f ca="1">IF(OR($D356&lt;&gt;"Serviço",AND(AUTOEVENTO="Manual",$M356=$A$15)),0,
         IF(OFFSET(CRONOPLE!$F$15,$M356-$A$15,BI$13)=0,10^12,OFFSET(CRONOPLE!$F$15,$M356-$A$15,BI$13)))</f>
        <v>7</v>
      </c>
      <c r="BJ356" s="171">
        <f ca="1">IF(OR($D356&lt;&gt;"Serviço",AND(AUTOEVENTO="Manual",$M356=$A$15)),0,
         IF(OFFSET(CRONOPLE!$F$15,$M356-$A$15,BJ$13)=0,10^12,OFFSET(CRONOPLE!$F$15,$M356-$A$15,BJ$13)))</f>
        <v>8</v>
      </c>
      <c r="BK356" s="171">
        <f ca="1">IF(OR($D356&lt;&gt;"Serviço",AND(AUTOEVENTO="Manual",$M356=$A$15)),0,
         IF(OFFSET(CRONOPLE!$F$15,$M356-$A$15,BK$13)=0,10^12,OFFSET(CRONOPLE!$F$15,$M356-$A$15,BK$13)))</f>
        <v>9</v>
      </c>
      <c r="BL356" s="171">
        <f ca="1">IF(OR($D356&lt;&gt;"Serviço",AND(AUTOEVENTO="Manual",$M356=$A$15)),0,
         IF(OFFSET(CRONOPLE!$F$15,$M356-$A$15,BL$13)=0,10^12,OFFSET(CRONOPLE!$F$15,$M356-$A$15,BL$13)))</f>
        <v>1000000000000</v>
      </c>
      <c r="BM356" s="171">
        <f ca="1">IF(OR($D356&lt;&gt;"Serviço",AND(AUTOEVENTO="Manual",$M356=$A$15)),0,
         IF(OFFSET(CRONOPLE!$F$15,$M356-$A$15,BM$13)=0,10^12,OFFSET(CRONOPLE!$F$15,$M356-$A$15,BM$13)))</f>
        <v>1000000000000</v>
      </c>
      <c r="BN356" s="171">
        <f ca="1">IF(OR($D356&lt;&gt;"Serviço",AND(AUTOEVENTO="Manual",$M356=$A$15)),0,
         IF(OFFSET(CRONOPLE!$F$15,$M356-$A$15,BN$13)=0,10^12,OFFSET(CRONOPLE!$F$15,$M356-$A$15,BN$13)))</f>
        <v>1000000000000</v>
      </c>
      <c r="BO356" s="171">
        <f ca="1">IF(OR($D356&lt;&gt;"Serviço",AND(AUTOEVENTO="Manual",$M356=$A$15)),0,
         IF(OFFSET(CRONOPLE!$F$15,$M356-$A$15,BO$13)=0,10^12,OFFSET(CRONOPLE!$F$15,$M356-$A$15,BO$13)))</f>
        <v>1000000000000</v>
      </c>
      <c r="BP356" s="171">
        <f ca="1">IF(OR($D356&lt;&gt;"Serviço",AND(AUTOEVENTO="Manual",$M356=$A$15)),0,
         IF(OFFSET(CRONOPLE!$F$15,$M356-$A$15,BP$13)=0,10^12,OFFSET(CRONOPLE!$F$15,$M356-$A$15,BP$13)))</f>
        <v>1000000000000</v>
      </c>
      <c r="BQ356" s="171">
        <f ca="1">IF(OR($D356&lt;&gt;"Serviço",AND(AUTOEVENTO="Manual",$M356=$A$15)),0,
         IF(OFFSET(CRONOPLE!$F$15,$M356-$A$15,BQ$13)=0,10^12,OFFSET(CRONOPLE!$F$15,$M356-$A$15,BQ$13)))</f>
        <v>1000000000000</v>
      </c>
      <c r="BR356" s="171">
        <f ca="1">IF(OR($D356&lt;&gt;"Serviço",AND(AUTOEVENTO="Manual",$M356=$A$15)),0,
         IF(OFFSET(CRONOPLE!$F$15,$M356-$A$15,BR$13)=0,10^12,OFFSET(CRONOPLE!$F$15,$M356-$A$15,BR$13)))</f>
        <v>1000000000000</v>
      </c>
      <c r="BS356" s="171">
        <f ca="1">IF(OR($D356&lt;&gt;"Serviço",AND(AUTOEVENTO="Manual",$M356=$A$15)),0,
         IF(OFFSET(CRONOPLE!$F$15,$M356-$A$15,BS$13)=0,10^12,OFFSET(CRONOPLE!$F$15,$M356-$A$15,BS$13)))</f>
        <v>1000000000000</v>
      </c>
      <c r="BT356" s="171">
        <f ca="1">IF(OR($D356&lt;&gt;"Serviço",AND(AUTOEVENTO="Manual",$M356=$A$15)),0,
         IF(OFFSET(CRONOPLE!$F$15,$M356-$A$15,BT$13)=0,10^12,OFFSET(CRONOPLE!$F$15,$M356-$A$15,BT$13)))</f>
        <v>1000000000000</v>
      </c>
      <c r="BV356" s="172">
        <f ca="1">IF(OR($D356&lt;&gt;"Serviço",AND(AUTOEVENTO="Manual",$M356=$A$15),$M356&gt;(ROW(PLE.lastrow)-ROW(PLE.firstrow))),0,
           IF(OFFSET(PLE!$G$15,$M356-$A$15,BV$13)="",10^12,OFFSET(PLE!$G$15,$M356-$A$15,BV$13)))</f>
        <v>1000000000000</v>
      </c>
      <c r="BW356" s="172">
        <f ca="1">IF(OR($D356&lt;&gt;"Serviço",AND(AUTOEVENTO="Manual",$M356=$A$15),$M356&gt;(ROW(PLE.lastrow)-ROW(PLE.firstrow))),0,
           IF(OFFSET(PLE!$G$15,$M356-$A$15,BW$13)="",10^12,OFFSET(PLE!$G$15,$M356-$A$15,BW$13)))</f>
        <v>1000000000000</v>
      </c>
      <c r="BX356" s="172">
        <f ca="1">IF(OR($D356&lt;&gt;"Serviço",AND(AUTOEVENTO="Manual",$M356=$A$15),$M356&gt;(ROW(PLE.lastrow)-ROW(PLE.firstrow))),0,
           IF(OFFSET(PLE!$G$15,$M356-$A$15,BX$13)="",10^12,OFFSET(PLE!$G$15,$M356-$A$15,BX$13)))</f>
        <v>1000000000000</v>
      </c>
      <c r="BY356" s="172">
        <f ca="1">IF(OR($D356&lt;&gt;"Serviço",AND(AUTOEVENTO="Manual",$M356=$A$15),$M356&gt;(ROW(PLE.lastrow)-ROW(PLE.firstrow))),0,
           IF(OFFSET(PLE!$G$15,$M356-$A$15,BY$13)="",10^12,OFFSET(PLE!$G$15,$M356-$A$15,BY$13)))</f>
        <v>1000000000000</v>
      </c>
      <c r="BZ356" s="172">
        <f ca="1">IF(OR($D356&lt;&gt;"Serviço",AND(AUTOEVENTO="Manual",$M356=$A$15),$M356&gt;(ROW(PLE.lastrow)-ROW(PLE.firstrow))),0,
           IF(OFFSET(PLE!$G$15,$M356-$A$15,BZ$13)="",10^12,OFFSET(PLE!$G$15,$M356-$A$15,BZ$13)))</f>
        <v>1000000000000</v>
      </c>
      <c r="CA356" s="172">
        <f ca="1">IF(OR($D356&lt;&gt;"Serviço",AND(AUTOEVENTO="Manual",$M356=$A$15),$M356&gt;(ROW(PLE.lastrow)-ROW(PLE.firstrow))),0,
           IF(OFFSET(PLE!$G$15,$M356-$A$15,CA$13)="",10^12,OFFSET(PLE!$G$15,$M356-$A$15,CA$13)))</f>
        <v>1000000000000</v>
      </c>
      <c r="CB356" s="172">
        <f ca="1">IF(OR($D356&lt;&gt;"Serviço",AND(AUTOEVENTO="Manual",$M356=$A$15),$M356&gt;(ROW(PLE.lastrow)-ROW(PLE.firstrow))),0,
           IF(OFFSET(PLE!$G$15,$M356-$A$15,CB$13)="",10^12,OFFSET(PLE!$G$15,$M356-$A$15,CB$13)))</f>
        <v>1000000000000</v>
      </c>
      <c r="CC356" s="172">
        <f ca="1">IF(OR($D356&lt;&gt;"Serviço",AND(AUTOEVENTO="Manual",$M356=$A$15),$M356&gt;(ROW(PLE.lastrow)-ROW(PLE.firstrow))),0,
           IF(OFFSET(PLE!$G$15,$M356-$A$15,CC$13)="",10^12,OFFSET(PLE!$G$15,$M356-$A$15,CC$13)))</f>
        <v>1000000000000</v>
      </c>
      <c r="CD356" s="172">
        <f ca="1">IF(OR($D356&lt;&gt;"Serviço",AND(AUTOEVENTO="Manual",$M356=$A$15),$M356&gt;(ROW(PLE.lastrow)-ROW(PLE.firstrow))),0,
           IF(OFFSET(PLE!$G$15,$M356-$A$15,CD$13)="",10^12,OFFSET(PLE!$G$15,$M356-$A$15,CD$13)))</f>
        <v>1000000000000</v>
      </c>
      <c r="CE356" s="172">
        <f ca="1">IF(OR($D356&lt;&gt;"Serviço",AND(AUTOEVENTO="Manual",$M356=$A$15),$M356&gt;(ROW(PLE.lastrow)-ROW(PLE.firstrow))),0,
           IF(OFFSET(PLE!$G$15,$M356-$A$15,CE$13)="",10^12,OFFSET(PLE!$G$15,$M356-$A$15,CE$13)))</f>
        <v>1000000000000</v>
      </c>
      <c r="CF356" s="172">
        <f ca="1">IF(OR($D356&lt;&gt;"Serviço",AND(AUTOEVENTO="Manual",$M356=$A$15),$M356&gt;(ROW(PLE.lastrow)-ROW(PLE.firstrow))),0,
           IF(OFFSET(PLE!$G$15,$M356-$A$15,CF$13)="",10^12,OFFSET(PLE!$G$15,$M356-$A$15,CF$13)))</f>
        <v>1000000000000</v>
      </c>
      <c r="CG356" s="172">
        <f ca="1">IF(OR($D356&lt;&gt;"Serviço",AND(AUTOEVENTO="Manual",$M356=$A$15),$M356&gt;(ROW(PLE.lastrow)-ROW(PLE.firstrow))),0,
           IF(OFFSET(PLE!$G$15,$M356-$A$15,CG$13)="",10^12,OFFSET(PLE!$G$15,$M356-$A$15,CG$13)))</f>
        <v>1000000000000</v>
      </c>
      <c r="CH356" s="172">
        <f ca="1">IF(OR($D356&lt;&gt;"Serviço",AND(AUTOEVENTO="Manual",$M356=$A$15),$M356&gt;(ROW(PLE.lastrow)-ROW(PLE.firstrow))),0,
           IF(OFFSET(PLE!$G$15,$M356-$A$15,CH$13)="",10^12,OFFSET(PLE!$G$15,$M356-$A$15,CH$13)))</f>
        <v>1000000000000</v>
      </c>
      <c r="CI356" s="172">
        <f ca="1">IF(OR($D356&lt;&gt;"Serviço",AND(AUTOEVENTO="Manual",$M356=$A$15),$M356&gt;(ROW(PLE.lastrow)-ROW(PLE.firstrow))),0,
           IF(OFFSET(PLE!$G$15,$M356-$A$15,CI$13)="",10^12,OFFSET(PLE!$G$15,$M356-$A$15,CI$13)))</f>
        <v>1000000000000</v>
      </c>
      <c r="CJ356" s="172">
        <f ca="1">IF(OR($D356&lt;&gt;"Serviço",AND(AUTOEVENTO="Manual",$M356=$A$15),$M356&gt;(ROW(PLE.lastrow)-ROW(PLE.firstrow))),0,
           IF(OFFSET(PLE!$G$15,$M356-$A$15,CJ$13)="",10^12,OFFSET(PLE!$G$15,$M356-$A$15,CJ$13)))</f>
        <v>1000000000000</v>
      </c>
      <c r="CK356" s="172">
        <f ca="1">IF(OR($D356&lt;&gt;"Serviço",AND(AUTOEVENTO="Manual",$M356=$A$15),$M356&gt;(ROW(PLE.lastrow)-ROW(PLE.firstrow))),0,
           IF(OFFSET(PLE!$G$15,$M356-$A$15,CK$13)="",10^12,OFFSET(PLE!$G$15,$M356-$A$15,CK$13)))</f>
        <v>1000000000000</v>
      </c>
      <c r="CL356" s="172">
        <f ca="1">IF(OR($D356&lt;&gt;"Serviço",AND(AUTOEVENTO="Manual",$M356=$A$15),$M356&gt;(ROW(PLE.lastrow)-ROW(PLE.firstrow))),0,
           IF(OFFSET(PLE!$G$15,$M356-$A$15,CL$13)="",10^12,OFFSET(PLE!$G$15,$M356-$A$15,CL$13)))</f>
        <v>1000000000000</v>
      </c>
      <c r="CM356" s="172">
        <f ca="1">IF(OR($D356&lt;&gt;"Serviço",AND(AUTOEVENTO="Manual",$M356=$A$15),$M356&gt;(ROW(PLE.lastrow)-ROW(PLE.firstrow))),0,
           IF(OFFSET(PLE!$G$15,$M356-$A$15,CM$13)="",10^12,OFFSET(PLE!$G$15,$M356-$A$15,CM$13)))</f>
        <v>1000000000000</v>
      </c>
    </row>
    <row r="357" spans="1:91" ht="12.75" x14ac:dyDescent="0.2">
      <c r="A357" s="7">
        <f t="shared" ca="1" si="15"/>
        <v>7</v>
      </c>
      <c r="B357" s="7">
        <f ca="1">OFFSET(ORÇAMENTO!C$15,ROW(B357)-ROW(B$15),0)</f>
        <v>4</v>
      </c>
      <c r="C357" s="7" t="str">
        <f ca="1">OFFSET(ORÇAMENTO!L$15,ROW(C357)-ROW(C$15),0)</f>
        <v>F</v>
      </c>
      <c r="D357" s="116" t="str">
        <f ca="1">OFFSET(ORÇAMENTO!N$15,ROW(D357)-ROW(D$15),0)</f>
        <v>Nível 4</v>
      </c>
      <c r="E357" s="117" t="str">
        <f ca="1">OFFSET(ORÇAMENTO!O$15,ROW(E357)-ROW(E$15),0)</f>
        <v>1.7.6.3.</v>
      </c>
      <c r="F357" s="163" t="str">
        <f ca="1">OFFSET(ORÇAMENTO!R$15,ROW(F357)-ROW(F$15),0)</f>
        <v>LODO SECUNDÁRIO, ESGOTAMENTO E PERCOLADO</v>
      </c>
      <c r="G357" s="164" t="str">
        <f ca="1">IF($D357&lt;&gt;"Serviço","",OFFSET(ORÇAMENTO!S$15,ROW(G357)-ROW(G$15),0))</f>
        <v/>
      </c>
      <c r="H357" s="122" cm="1">
        <f t="array" aca="1" ref="H357" ca="1">IF($D357&lt;&gt;"Serviço",0,IF(ACOMPANHAMENTO="BM",ROUND(OFFSET(ORÇAMENTO!AJ$15,ROW(H357)-ROW(H$15),0),15-13*ORÇAMENTO!$AF$7),SUMPRODUCT(($Q$1:$AI$1=1)*ROUND($Q357:$AI357,15-13*ORÇAMENTO!$AF$7))))</f>
        <v>0</v>
      </c>
      <c r="I357" s="468"/>
      <c r="J357" s="640" t="str" cm="1">
        <f t="array" aca="1" ref="J357" ca="1">IF(OR(B357&lt;&gt;"S",CÁLCULO.FrentesPreenchidas=0),"",IF(AND(ACOMPANHAMENTO="PLE",AUTOEVENTO="Manual",OR(H357&gt;0,ORÇAMENTO!AC357="QUANT."),OR(K357="",M357=0,N357="")),"►E",IF(AND(ACOMPANHAMENTO="PLE",ORÇAMENTO!AC357="QUANT."),"►Q",IF(AND(ACOMPANHAMENTO="PLE",H357&lt;&gt;SUMPRODUCT(($Q$1:$AI$1=1)*ROUND(Q357:AI357,15))),"►S",IF(AND(COUNTIF($P$11:$AI$11,"▼")=0,H357&gt;0,I357=""),"◄M","")))))</f>
        <v/>
      </c>
      <c r="K357" s="641" t="s">
        <v>1365</v>
      </c>
      <c r="L357" s="165" t="s">
        <v>764</v>
      </c>
      <c r="M357" s="166" t="str">
        <f ca="1">IF($D357&lt;&gt;"Serviço","",
          IF(AUTOEVENTO="manual",$A357,
                IF(ISERROR(MATCH($A357,$A$15:OFFSET($A357,-1,0),0)),MAX($M$15:OFFSET(M357,-1,0))+1,
                      INDEX($M$15:OFFSET(M357,-1,0),MATCH($A357,$A$15:OFFSET($A357,-1,0),0)))))</f>
        <v/>
      </c>
      <c r="N357" s="167" t="str">
        <f ca="1">IF($D357&lt;&gt;"Serviço","",
         IF(AUTOEVENTO="Manual",
                IF($A357=0,"&lt;-- defina o número do agrupador",
                       OFFSET(EVENTOS!$D$15,$A357-$A$15,0)),
                OFFSET($F$15,$A357,0)))</f>
        <v/>
      </c>
      <c r="O357" s="168"/>
      <c r="Q357" s="168"/>
      <c r="R357" s="169"/>
      <c r="S357" s="169"/>
      <c r="T357" s="169"/>
      <c r="U357" s="169"/>
      <c r="V357" s="169"/>
      <c r="W357" s="169"/>
      <c r="X357" s="169"/>
      <c r="Y357" s="169"/>
      <c r="Z357" s="170"/>
      <c r="AA357" s="169"/>
      <c r="AB357" s="169"/>
      <c r="AC357" s="169"/>
      <c r="AD357" s="169"/>
      <c r="AE357" s="169"/>
      <c r="AF357" s="169"/>
      <c r="AG357" s="169"/>
      <c r="AH357" s="170"/>
      <c r="AJ357" s="453">
        <f ca="1">IF(AND($D357="Serviço",AJ$12&lt;&gt;0,$H357&gt;0,OR(AUTOEVENTO&lt;&gt;"manual",$M357&lt;&gt;$A$15)),
        IF(Import.TipoArredondamento&lt;&gt;"TransfereGOV",
              ROUND(OFFSET($P357,0,AJ$13),15-13*ORÇAMENTO!$AF$7)/$H357*OFFSET(ORÇAMENTO!$X$15,ROW(AJ357)-ROW(AJ$15),0),
              ROUND(ROUND(OFFSET($P357,0,AJ$13),15-13*ORÇAMENTO!$AF$7)*OFFSET(ORÇAMENTO!$W$15,ROW(AJ357)-ROW(AJ$15),0),15-13*ORÇAMENTO!$AF$11)),
         0)</f>
        <v>0</v>
      </c>
      <c r="AK357" s="453">
        <f ca="1">IF(AND($D357="Serviço",AK$12&lt;&gt;0,$H357&gt;0,OR(AUTOEVENTO&lt;&gt;"manual",$M357&lt;&gt;$A$15)),
        IF(Import.TipoArredondamento&lt;&gt;"TransfereGOV",
              ROUND(OFFSET($P357,0,AK$13),15-13*ORÇAMENTO!$AF$7)/$H357*OFFSET(ORÇAMENTO!$X$15,ROW(AK357)-ROW(AK$15),0),
              ROUND(ROUND(OFFSET($P357,0,AK$13),15-13*ORÇAMENTO!$AF$7)*OFFSET(ORÇAMENTO!$W$15,ROW(AK357)-ROW(AK$15),0),15-13*ORÇAMENTO!$AF$11)),
         0)</f>
        <v>0</v>
      </c>
      <c r="AL357" s="453">
        <f ca="1">IF(AND($D357="Serviço",AL$12&lt;&gt;0,$H357&gt;0,OR(AUTOEVENTO&lt;&gt;"manual",$M357&lt;&gt;$A$15)),
        IF(Import.TipoArredondamento&lt;&gt;"TransfereGOV",
              ROUND(OFFSET($P357,0,AL$13),15-13*ORÇAMENTO!$AF$7)/$H357*OFFSET(ORÇAMENTO!$X$15,ROW(AL357)-ROW(AL$15),0),
              ROUND(ROUND(OFFSET($P357,0,AL$13),15-13*ORÇAMENTO!$AF$7)*OFFSET(ORÇAMENTO!$W$15,ROW(AL357)-ROW(AL$15),0),15-13*ORÇAMENTO!$AF$11)),
         0)</f>
        <v>0</v>
      </c>
      <c r="AM357" s="453">
        <f ca="1">IF(AND($D357="Serviço",AM$12&lt;&gt;0,$H357&gt;0,OR(AUTOEVENTO&lt;&gt;"manual",$M357&lt;&gt;$A$15)),
        IF(Import.TipoArredondamento&lt;&gt;"TransfereGOV",
              ROUND(OFFSET($P357,0,AM$13),15-13*ORÇAMENTO!$AF$7)/$H357*OFFSET(ORÇAMENTO!$X$15,ROW(AM357)-ROW(AM$15),0),
              ROUND(ROUND(OFFSET($P357,0,AM$13),15-13*ORÇAMENTO!$AF$7)*OFFSET(ORÇAMENTO!$W$15,ROW(AM357)-ROW(AM$15),0),15-13*ORÇAMENTO!$AF$11)),
         0)</f>
        <v>0</v>
      </c>
      <c r="AN357" s="453">
        <f ca="1">IF(AND($D357="Serviço",AN$12&lt;&gt;0,$H357&gt;0,OR(AUTOEVENTO&lt;&gt;"manual",$M357&lt;&gt;$A$15)),
        IF(Import.TipoArredondamento&lt;&gt;"TransfereGOV",
              ROUND(OFFSET($P357,0,AN$13),15-13*ORÇAMENTO!$AF$7)/$H357*OFFSET(ORÇAMENTO!$X$15,ROW(AN357)-ROW(AN$15),0),
              ROUND(ROUND(OFFSET($P357,0,AN$13),15-13*ORÇAMENTO!$AF$7)*OFFSET(ORÇAMENTO!$W$15,ROW(AN357)-ROW(AN$15),0),15-13*ORÇAMENTO!$AF$11)),
         0)</f>
        <v>0</v>
      </c>
      <c r="AO357" s="453">
        <f ca="1">IF(AND($D357="Serviço",AO$12&lt;&gt;0,$H357&gt;0,OR(AUTOEVENTO&lt;&gt;"manual",$M357&lt;&gt;$A$15)),
        IF(Import.TipoArredondamento&lt;&gt;"TransfereGOV",
              ROUND(OFFSET($P357,0,AO$13),15-13*ORÇAMENTO!$AF$7)/$H357*OFFSET(ORÇAMENTO!$X$15,ROW(AO357)-ROW(AO$15),0),
              ROUND(ROUND(OFFSET($P357,0,AO$13),15-13*ORÇAMENTO!$AF$7)*OFFSET(ORÇAMENTO!$W$15,ROW(AO357)-ROW(AO$15),0),15-13*ORÇAMENTO!$AF$11)),
         0)</f>
        <v>0</v>
      </c>
      <c r="AP357" s="453">
        <f ca="1">IF(AND($D357="Serviço",AP$12&lt;&gt;0,$H357&gt;0,OR(AUTOEVENTO&lt;&gt;"manual",$M357&lt;&gt;$A$15)),
        IF(Import.TipoArredondamento&lt;&gt;"TransfereGOV",
              ROUND(OFFSET($P357,0,AP$13),15-13*ORÇAMENTO!$AF$7)/$H357*OFFSET(ORÇAMENTO!$X$15,ROW(AP357)-ROW(AP$15),0),
              ROUND(ROUND(OFFSET($P357,0,AP$13),15-13*ORÇAMENTO!$AF$7)*OFFSET(ORÇAMENTO!$W$15,ROW(AP357)-ROW(AP$15),0),15-13*ORÇAMENTO!$AF$11)),
         0)</f>
        <v>0</v>
      </c>
      <c r="AQ357" s="453">
        <f ca="1">IF(AND($D357="Serviço",AQ$12&lt;&gt;0,$H357&gt;0,OR(AUTOEVENTO&lt;&gt;"manual",$M357&lt;&gt;$A$15)),
        IF(Import.TipoArredondamento&lt;&gt;"TransfereGOV",
              ROUND(OFFSET($P357,0,AQ$13),15-13*ORÇAMENTO!$AF$7)/$H357*OFFSET(ORÇAMENTO!$X$15,ROW(AQ357)-ROW(AQ$15),0),
              ROUND(ROUND(OFFSET($P357,0,AQ$13),15-13*ORÇAMENTO!$AF$7)*OFFSET(ORÇAMENTO!$W$15,ROW(AQ357)-ROW(AQ$15),0),15-13*ORÇAMENTO!$AF$11)),
         0)</f>
        <v>0</v>
      </c>
      <c r="AR357" s="453">
        <f ca="1">IF(AND($D357="Serviço",AR$12&lt;&gt;0,$H357&gt;0,OR(AUTOEVENTO&lt;&gt;"manual",$M357&lt;&gt;$A$15)),
        IF(Import.TipoArredondamento&lt;&gt;"TransfereGOV",
              ROUND(OFFSET($P357,0,AR$13),15-13*ORÇAMENTO!$AF$7)/$H357*OFFSET(ORÇAMENTO!$X$15,ROW(AR357)-ROW(AR$15),0),
              ROUND(ROUND(OFFSET($P357,0,AR$13),15-13*ORÇAMENTO!$AF$7)*OFFSET(ORÇAMENTO!$W$15,ROW(AR357)-ROW(AR$15),0),15-13*ORÇAMENTO!$AF$11)),
         0)</f>
        <v>0</v>
      </c>
      <c r="AS357" s="453">
        <f ca="1">IF(AND($D357="Serviço",AS$12&lt;&gt;0,$H357&gt;0,OR(AUTOEVENTO&lt;&gt;"manual",$M357&lt;&gt;$A$15)),
        IF(Import.TipoArredondamento&lt;&gt;"TransfereGOV",
              ROUND(OFFSET($P357,0,AS$13),15-13*ORÇAMENTO!$AF$7)/$H357*OFFSET(ORÇAMENTO!$X$15,ROW(AS357)-ROW(AS$15),0),
              ROUND(ROUND(OFFSET($P357,0,AS$13),15-13*ORÇAMENTO!$AF$7)*OFFSET(ORÇAMENTO!$W$15,ROW(AS357)-ROW(AS$15),0),15-13*ORÇAMENTO!$AF$11)),
         0)</f>
        <v>0</v>
      </c>
      <c r="AT357" s="453">
        <f ca="1">IF(AND($D357="Serviço",AT$12&lt;&gt;0,$H357&gt;0,OR(AUTOEVENTO&lt;&gt;"manual",$M357&lt;&gt;$A$15)),
        IF(Import.TipoArredondamento&lt;&gt;"TransfereGOV",
              ROUND(OFFSET($P357,0,AT$13),15-13*ORÇAMENTO!$AF$7)/$H357*OFFSET(ORÇAMENTO!$X$15,ROW(AT357)-ROW(AT$15),0),
              ROUND(ROUND(OFFSET($P357,0,AT$13),15-13*ORÇAMENTO!$AF$7)*OFFSET(ORÇAMENTO!$W$15,ROW(AT357)-ROW(AT$15),0),15-13*ORÇAMENTO!$AF$11)),
         0)</f>
        <v>0</v>
      </c>
      <c r="AU357" s="453">
        <f ca="1">IF(AND($D357="Serviço",AU$12&lt;&gt;0,$H357&gt;0,OR(AUTOEVENTO&lt;&gt;"manual",$M357&lt;&gt;$A$15)),
        IF(Import.TipoArredondamento&lt;&gt;"TransfereGOV",
              ROUND(OFFSET($P357,0,AU$13),15-13*ORÇAMENTO!$AF$7)/$H357*OFFSET(ORÇAMENTO!$X$15,ROW(AU357)-ROW(AU$15),0),
              ROUND(ROUND(OFFSET($P357,0,AU$13),15-13*ORÇAMENTO!$AF$7)*OFFSET(ORÇAMENTO!$W$15,ROW(AU357)-ROW(AU$15),0),15-13*ORÇAMENTO!$AF$11)),
         0)</f>
        <v>0</v>
      </c>
      <c r="AV357" s="453">
        <f ca="1">IF(AND($D357="Serviço",AV$12&lt;&gt;0,$H357&gt;0,OR(AUTOEVENTO&lt;&gt;"manual",$M357&lt;&gt;$A$15)),
        IF(Import.TipoArredondamento&lt;&gt;"TransfereGOV",
              ROUND(OFFSET($P357,0,AV$13),15-13*ORÇAMENTO!$AF$7)/$H357*OFFSET(ORÇAMENTO!$X$15,ROW(AV357)-ROW(AV$15),0),
              ROUND(ROUND(OFFSET($P357,0,AV$13),15-13*ORÇAMENTO!$AF$7)*OFFSET(ORÇAMENTO!$W$15,ROW(AV357)-ROW(AV$15),0),15-13*ORÇAMENTO!$AF$11)),
         0)</f>
        <v>0</v>
      </c>
      <c r="AW357" s="453">
        <f ca="1">IF(AND($D357="Serviço",AW$12&lt;&gt;0,$H357&gt;0,OR(AUTOEVENTO&lt;&gt;"manual",$M357&lt;&gt;$A$15)),
        IF(Import.TipoArredondamento&lt;&gt;"TransfereGOV",
              ROUND(OFFSET($P357,0,AW$13),15-13*ORÇAMENTO!$AF$7)/$H357*OFFSET(ORÇAMENTO!$X$15,ROW(AW357)-ROW(AW$15),0),
              ROUND(ROUND(OFFSET($P357,0,AW$13),15-13*ORÇAMENTO!$AF$7)*OFFSET(ORÇAMENTO!$W$15,ROW(AW357)-ROW(AW$15),0),15-13*ORÇAMENTO!$AF$11)),
         0)</f>
        <v>0</v>
      </c>
      <c r="AX357" s="453">
        <f ca="1">IF(AND($D357="Serviço",AX$12&lt;&gt;0,$H357&gt;0,OR(AUTOEVENTO&lt;&gt;"manual",$M357&lt;&gt;$A$15)),
        IF(Import.TipoArredondamento&lt;&gt;"TransfereGOV",
              ROUND(OFFSET($P357,0,AX$13),15-13*ORÇAMENTO!$AF$7)/$H357*OFFSET(ORÇAMENTO!$X$15,ROW(AX357)-ROW(AX$15),0),
              ROUND(ROUND(OFFSET($P357,0,AX$13),15-13*ORÇAMENTO!$AF$7)*OFFSET(ORÇAMENTO!$W$15,ROW(AX357)-ROW(AX$15),0),15-13*ORÇAMENTO!$AF$11)),
         0)</f>
        <v>0</v>
      </c>
      <c r="AY357" s="453">
        <f ca="1">IF(AND($D357="Serviço",AY$12&lt;&gt;0,$H357&gt;0,OR(AUTOEVENTO&lt;&gt;"manual",$M357&lt;&gt;$A$15)),
        IF(Import.TipoArredondamento&lt;&gt;"TransfereGOV",
              ROUND(OFFSET($P357,0,AY$13),15-13*ORÇAMENTO!$AF$7)/$H357*OFFSET(ORÇAMENTO!$X$15,ROW(AY357)-ROW(AY$15),0),
              ROUND(ROUND(OFFSET($P357,0,AY$13),15-13*ORÇAMENTO!$AF$7)*OFFSET(ORÇAMENTO!$W$15,ROW(AY357)-ROW(AY$15),0),15-13*ORÇAMENTO!$AF$11)),
         0)</f>
        <v>0</v>
      </c>
      <c r="AZ357" s="453">
        <f ca="1">IF(AND($D357="Serviço",AZ$12&lt;&gt;0,$H357&gt;0,OR(AUTOEVENTO&lt;&gt;"manual",$M357&lt;&gt;$A$15)),
        IF(Import.TipoArredondamento&lt;&gt;"TransfereGOV",
              ROUND(OFFSET($P357,0,AZ$13),15-13*ORÇAMENTO!$AF$7)/$H357*OFFSET(ORÇAMENTO!$X$15,ROW(AZ357)-ROW(AZ$15),0),
              ROUND(ROUND(OFFSET($P357,0,AZ$13),15-13*ORÇAMENTO!$AF$7)*OFFSET(ORÇAMENTO!$W$15,ROW(AZ357)-ROW(AZ$15),0),15-13*ORÇAMENTO!$AF$11)),
         0)</f>
        <v>0</v>
      </c>
      <c r="BA357" s="453">
        <f ca="1">IF(AND($D357="Serviço",BA$12&lt;&gt;0,$H357&gt;0,OR(AUTOEVENTO&lt;&gt;"manual",$M357&lt;&gt;$A$15)),
        IF(Import.TipoArredondamento&lt;&gt;"TransfereGOV",
              ROUND(OFFSET($P357,0,BA$13),15-13*ORÇAMENTO!$AF$7)/$H357*OFFSET(ORÇAMENTO!$X$15,ROW(BA357)-ROW(BA$15),0),
              ROUND(ROUND(OFFSET($P357,0,BA$13),15-13*ORÇAMENTO!$AF$7)*OFFSET(ORÇAMENTO!$W$15,ROW(BA357)-ROW(BA$15),0),15-13*ORÇAMENTO!$AF$11)),
         0)</f>
        <v>0</v>
      </c>
      <c r="BC357" s="171">
        <f ca="1">IF(OR($D357&lt;&gt;"Serviço",AND(AUTOEVENTO="Manual",$M357=$A$15)),0,
         IF(OFFSET(CRONOPLE!$F$15,$M357-$A$15,BC$13)=0,10^12,OFFSET(CRONOPLE!$F$15,$M357-$A$15,BC$13)))</f>
        <v>0</v>
      </c>
      <c r="BD357" s="171">
        <f ca="1">IF(OR($D357&lt;&gt;"Serviço",AND(AUTOEVENTO="Manual",$M357=$A$15)),0,
         IF(OFFSET(CRONOPLE!$F$15,$M357-$A$15,BD$13)=0,10^12,OFFSET(CRONOPLE!$F$15,$M357-$A$15,BD$13)))</f>
        <v>0</v>
      </c>
      <c r="BE357" s="171">
        <f ca="1">IF(OR($D357&lt;&gt;"Serviço",AND(AUTOEVENTO="Manual",$M357=$A$15)),0,
         IF(OFFSET(CRONOPLE!$F$15,$M357-$A$15,BE$13)=0,10^12,OFFSET(CRONOPLE!$F$15,$M357-$A$15,BE$13)))</f>
        <v>0</v>
      </c>
      <c r="BF357" s="171">
        <f ca="1">IF(OR($D357&lt;&gt;"Serviço",AND(AUTOEVENTO="Manual",$M357=$A$15)),0,
         IF(OFFSET(CRONOPLE!$F$15,$M357-$A$15,BF$13)=0,10^12,OFFSET(CRONOPLE!$F$15,$M357-$A$15,BF$13)))</f>
        <v>0</v>
      </c>
      <c r="BG357" s="171">
        <f ca="1">IF(OR($D357&lt;&gt;"Serviço",AND(AUTOEVENTO="Manual",$M357=$A$15)),0,
         IF(OFFSET(CRONOPLE!$F$15,$M357-$A$15,BG$13)=0,10^12,OFFSET(CRONOPLE!$F$15,$M357-$A$15,BG$13)))</f>
        <v>0</v>
      </c>
      <c r="BH357" s="171">
        <f ca="1">IF(OR($D357&lt;&gt;"Serviço",AND(AUTOEVENTO="Manual",$M357=$A$15)),0,
         IF(OFFSET(CRONOPLE!$F$15,$M357-$A$15,BH$13)=0,10^12,OFFSET(CRONOPLE!$F$15,$M357-$A$15,BH$13)))</f>
        <v>0</v>
      </c>
      <c r="BI357" s="171">
        <f ca="1">IF(OR($D357&lt;&gt;"Serviço",AND(AUTOEVENTO="Manual",$M357=$A$15)),0,
         IF(OFFSET(CRONOPLE!$F$15,$M357-$A$15,BI$13)=0,10^12,OFFSET(CRONOPLE!$F$15,$M357-$A$15,BI$13)))</f>
        <v>0</v>
      </c>
      <c r="BJ357" s="171">
        <f ca="1">IF(OR($D357&lt;&gt;"Serviço",AND(AUTOEVENTO="Manual",$M357=$A$15)),0,
         IF(OFFSET(CRONOPLE!$F$15,$M357-$A$15,BJ$13)=0,10^12,OFFSET(CRONOPLE!$F$15,$M357-$A$15,BJ$13)))</f>
        <v>0</v>
      </c>
      <c r="BK357" s="171">
        <f ca="1">IF(OR($D357&lt;&gt;"Serviço",AND(AUTOEVENTO="Manual",$M357=$A$15)),0,
         IF(OFFSET(CRONOPLE!$F$15,$M357-$A$15,BK$13)=0,10^12,OFFSET(CRONOPLE!$F$15,$M357-$A$15,BK$13)))</f>
        <v>0</v>
      </c>
      <c r="BL357" s="171">
        <f ca="1">IF(OR($D357&lt;&gt;"Serviço",AND(AUTOEVENTO="Manual",$M357=$A$15)),0,
         IF(OFFSET(CRONOPLE!$F$15,$M357-$A$15,BL$13)=0,10^12,OFFSET(CRONOPLE!$F$15,$M357-$A$15,BL$13)))</f>
        <v>0</v>
      </c>
      <c r="BM357" s="171">
        <f ca="1">IF(OR($D357&lt;&gt;"Serviço",AND(AUTOEVENTO="Manual",$M357=$A$15)),0,
         IF(OFFSET(CRONOPLE!$F$15,$M357-$A$15,BM$13)=0,10^12,OFFSET(CRONOPLE!$F$15,$M357-$A$15,BM$13)))</f>
        <v>0</v>
      </c>
      <c r="BN357" s="171">
        <f ca="1">IF(OR($D357&lt;&gt;"Serviço",AND(AUTOEVENTO="Manual",$M357=$A$15)),0,
         IF(OFFSET(CRONOPLE!$F$15,$M357-$A$15,BN$13)=0,10^12,OFFSET(CRONOPLE!$F$15,$M357-$A$15,BN$13)))</f>
        <v>0</v>
      </c>
      <c r="BO357" s="171">
        <f ca="1">IF(OR($D357&lt;&gt;"Serviço",AND(AUTOEVENTO="Manual",$M357=$A$15)),0,
         IF(OFFSET(CRONOPLE!$F$15,$M357-$A$15,BO$13)=0,10^12,OFFSET(CRONOPLE!$F$15,$M357-$A$15,BO$13)))</f>
        <v>0</v>
      </c>
      <c r="BP357" s="171">
        <f ca="1">IF(OR($D357&lt;&gt;"Serviço",AND(AUTOEVENTO="Manual",$M357=$A$15)),0,
         IF(OFFSET(CRONOPLE!$F$15,$M357-$A$15,BP$13)=0,10^12,OFFSET(CRONOPLE!$F$15,$M357-$A$15,BP$13)))</f>
        <v>0</v>
      </c>
      <c r="BQ357" s="171">
        <f ca="1">IF(OR($D357&lt;&gt;"Serviço",AND(AUTOEVENTO="Manual",$M357=$A$15)),0,
         IF(OFFSET(CRONOPLE!$F$15,$M357-$A$15,BQ$13)=0,10^12,OFFSET(CRONOPLE!$F$15,$M357-$A$15,BQ$13)))</f>
        <v>0</v>
      </c>
      <c r="BR357" s="171">
        <f ca="1">IF(OR($D357&lt;&gt;"Serviço",AND(AUTOEVENTO="Manual",$M357=$A$15)),0,
         IF(OFFSET(CRONOPLE!$F$15,$M357-$A$15,BR$13)=0,10^12,OFFSET(CRONOPLE!$F$15,$M357-$A$15,BR$13)))</f>
        <v>0</v>
      </c>
      <c r="BS357" s="171">
        <f ca="1">IF(OR($D357&lt;&gt;"Serviço",AND(AUTOEVENTO="Manual",$M357=$A$15)),0,
         IF(OFFSET(CRONOPLE!$F$15,$M357-$A$15,BS$13)=0,10^12,OFFSET(CRONOPLE!$F$15,$M357-$A$15,BS$13)))</f>
        <v>0</v>
      </c>
      <c r="BT357" s="171">
        <f ca="1">IF(OR($D357&lt;&gt;"Serviço",AND(AUTOEVENTO="Manual",$M357=$A$15)),0,
         IF(OFFSET(CRONOPLE!$F$15,$M357-$A$15,BT$13)=0,10^12,OFFSET(CRONOPLE!$F$15,$M357-$A$15,BT$13)))</f>
        <v>0</v>
      </c>
      <c r="BV357" s="172">
        <f ca="1">IF(OR($D357&lt;&gt;"Serviço",AND(AUTOEVENTO="Manual",$M357=$A$15),$M357&gt;(ROW(PLE.lastrow)-ROW(PLE.firstrow))),0,
           IF(OFFSET(PLE!$G$15,$M357-$A$15,BV$13)="",10^12,OFFSET(PLE!$G$15,$M357-$A$15,BV$13)))</f>
        <v>0</v>
      </c>
      <c r="BW357" s="172">
        <f ca="1">IF(OR($D357&lt;&gt;"Serviço",AND(AUTOEVENTO="Manual",$M357=$A$15),$M357&gt;(ROW(PLE.lastrow)-ROW(PLE.firstrow))),0,
           IF(OFFSET(PLE!$G$15,$M357-$A$15,BW$13)="",10^12,OFFSET(PLE!$G$15,$M357-$A$15,BW$13)))</f>
        <v>0</v>
      </c>
      <c r="BX357" s="172">
        <f ca="1">IF(OR($D357&lt;&gt;"Serviço",AND(AUTOEVENTO="Manual",$M357=$A$15),$M357&gt;(ROW(PLE.lastrow)-ROW(PLE.firstrow))),0,
           IF(OFFSET(PLE!$G$15,$M357-$A$15,BX$13)="",10^12,OFFSET(PLE!$G$15,$M357-$A$15,BX$13)))</f>
        <v>0</v>
      </c>
      <c r="BY357" s="172">
        <f ca="1">IF(OR($D357&lt;&gt;"Serviço",AND(AUTOEVENTO="Manual",$M357=$A$15),$M357&gt;(ROW(PLE.lastrow)-ROW(PLE.firstrow))),0,
           IF(OFFSET(PLE!$G$15,$M357-$A$15,BY$13)="",10^12,OFFSET(PLE!$G$15,$M357-$A$15,BY$13)))</f>
        <v>0</v>
      </c>
      <c r="BZ357" s="172">
        <f ca="1">IF(OR($D357&lt;&gt;"Serviço",AND(AUTOEVENTO="Manual",$M357=$A$15),$M357&gt;(ROW(PLE.lastrow)-ROW(PLE.firstrow))),0,
           IF(OFFSET(PLE!$G$15,$M357-$A$15,BZ$13)="",10^12,OFFSET(PLE!$G$15,$M357-$A$15,BZ$13)))</f>
        <v>0</v>
      </c>
      <c r="CA357" s="172">
        <f ca="1">IF(OR($D357&lt;&gt;"Serviço",AND(AUTOEVENTO="Manual",$M357=$A$15),$M357&gt;(ROW(PLE.lastrow)-ROW(PLE.firstrow))),0,
           IF(OFFSET(PLE!$G$15,$M357-$A$15,CA$13)="",10^12,OFFSET(PLE!$G$15,$M357-$A$15,CA$13)))</f>
        <v>0</v>
      </c>
      <c r="CB357" s="172">
        <f ca="1">IF(OR($D357&lt;&gt;"Serviço",AND(AUTOEVENTO="Manual",$M357=$A$15),$M357&gt;(ROW(PLE.lastrow)-ROW(PLE.firstrow))),0,
           IF(OFFSET(PLE!$G$15,$M357-$A$15,CB$13)="",10^12,OFFSET(PLE!$G$15,$M357-$A$15,CB$13)))</f>
        <v>0</v>
      </c>
      <c r="CC357" s="172">
        <f ca="1">IF(OR($D357&lt;&gt;"Serviço",AND(AUTOEVENTO="Manual",$M357=$A$15),$M357&gt;(ROW(PLE.lastrow)-ROW(PLE.firstrow))),0,
           IF(OFFSET(PLE!$G$15,$M357-$A$15,CC$13)="",10^12,OFFSET(PLE!$G$15,$M357-$A$15,CC$13)))</f>
        <v>0</v>
      </c>
      <c r="CD357" s="172">
        <f ca="1">IF(OR($D357&lt;&gt;"Serviço",AND(AUTOEVENTO="Manual",$M357=$A$15),$M357&gt;(ROW(PLE.lastrow)-ROW(PLE.firstrow))),0,
           IF(OFFSET(PLE!$G$15,$M357-$A$15,CD$13)="",10^12,OFFSET(PLE!$G$15,$M357-$A$15,CD$13)))</f>
        <v>0</v>
      </c>
      <c r="CE357" s="172">
        <f ca="1">IF(OR($D357&lt;&gt;"Serviço",AND(AUTOEVENTO="Manual",$M357=$A$15),$M357&gt;(ROW(PLE.lastrow)-ROW(PLE.firstrow))),0,
           IF(OFFSET(PLE!$G$15,$M357-$A$15,CE$13)="",10^12,OFFSET(PLE!$G$15,$M357-$A$15,CE$13)))</f>
        <v>0</v>
      </c>
      <c r="CF357" s="172">
        <f ca="1">IF(OR($D357&lt;&gt;"Serviço",AND(AUTOEVENTO="Manual",$M357=$A$15),$M357&gt;(ROW(PLE.lastrow)-ROW(PLE.firstrow))),0,
           IF(OFFSET(PLE!$G$15,$M357-$A$15,CF$13)="",10^12,OFFSET(PLE!$G$15,$M357-$A$15,CF$13)))</f>
        <v>0</v>
      </c>
      <c r="CG357" s="172">
        <f ca="1">IF(OR($D357&lt;&gt;"Serviço",AND(AUTOEVENTO="Manual",$M357=$A$15),$M357&gt;(ROW(PLE.lastrow)-ROW(PLE.firstrow))),0,
           IF(OFFSET(PLE!$G$15,$M357-$A$15,CG$13)="",10^12,OFFSET(PLE!$G$15,$M357-$A$15,CG$13)))</f>
        <v>0</v>
      </c>
      <c r="CH357" s="172">
        <f ca="1">IF(OR($D357&lt;&gt;"Serviço",AND(AUTOEVENTO="Manual",$M357=$A$15),$M357&gt;(ROW(PLE.lastrow)-ROW(PLE.firstrow))),0,
           IF(OFFSET(PLE!$G$15,$M357-$A$15,CH$13)="",10^12,OFFSET(PLE!$G$15,$M357-$A$15,CH$13)))</f>
        <v>0</v>
      </c>
      <c r="CI357" s="172">
        <f ca="1">IF(OR($D357&lt;&gt;"Serviço",AND(AUTOEVENTO="Manual",$M357=$A$15),$M357&gt;(ROW(PLE.lastrow)-ROW(PLE.firstrow))),0,
           IF(OFFSET(PLE!$G$15,$M357-$A$15,CI$13)="",10^12,OFFSET(PLE!$G$15,$M357-$A$15,CI$13)))</f>
        <v>0</v>
      </c>
      <c r="CJ357" s="172">
        <f ca="1">IF(OR($D357&lt;&gt;"Serviço",AND(AUTOEVENTO="Manual",$M357=$A$15),$M357&gt;(ROW(PLE.lastrow)-ROW(PLE.firstrow))),0,
           IF(OFFSET(PLE!$G$15,$M357-$A$15,CJ$13)="",10^12,OFFSET(PLE!$G$15,$M357-$A$15,CJ$13)))</f>
        <v>0</v>
      </c>
      <c r="CK357" s="172">
        <f ca="1">IF(OR($D357&lt;&gt;"Serviço",AND(AUTOEVENTO="Manual",$M357=$A$15),$M357&gt;(ROW(PLE.lastrow)-ROW(PLE.firstrow))),0,
           IF(OFFSET(PLE!$G$15,$M357-$A$15,CK$13)="",10^12,OFFSET(PLE!$G$15,$M357-$A$15,CK$13)))</f>
        <v>0</v>
      </c>
      <c r="CL357" s="172">
        <f ca="1">IF(OR($D357&lt;&gt;"Serviço",AND(AUTOEVENTO="Manual",$M357=$A$15),$M357&gt;(ROW(PLE.lastrow)-ROW(PLE.firstrow))),0,
           IF(OFFSET(PLE!$G$15,$M357-$A$15,CL$13)="",10^12,OFFSET(PLE!$G$15,$M357-$A$15,CL$13)))</f>
        <v>0</v>
      </c>
      <c r="CM357" s="172">
        <f ca="1">IF(OR($D357&lt;&gt;"Serviço",AND(AUTOEVENTO="Manual",$M357=$A$15),$M357&gt;(ROW(PLE.lastrow)-ROW(PLE.firstrow))),0,
           IF(OFFSET(PLE!$G$15,$M357-$A$15,CM$13)="",10^12,OFFSET(PLE!$G$15,$M357-$A$15,CM$13)))</f>
        <v>0</v>
      </c>
    </row>
    <row r="358" spans="1:91" ht="76.5" x14ac:dyDescent="0.2">
      <c r="A358" s="7">
        <f t="shared" ca="1" si="15"/>
        <v>6</v>
      </c>
      <c r="B358" s="7" t="str">
        <f ca="1">OFFSET(ORÇAMENTO!C$15,ROW(B358)-ROW(B$15),0)</f>
        <v>S</v>
      </c>
      <c r="C358" s="7" t="str">
        <f ca="1">OFFSET(ORÇAMENTO!L$15,ROW(C358)-ROW(C$15),0)</f>
        <v>F</v>
      </c>
      <c r="D358" s="116" t="str">
        <f ca="1">OFFSET(ORÇAMENTO!N$15,ROW(D358)-ROW(D$15),0)</f>
        <v>Serviço</v>
      </c>
      <c r="E358" s="117" t="str">
        <f ca="1">OFFSET(ORÇAMENTO!O$15,ROW(E358)-ROW(E$15),0)</f>
        <v>1.7.6.3.1.</v>
      </c>
      <c r="F358" s="163" t="str">
        <f ca="1">OFFSET(ORÇAMENTO!R$15,ROW(F358)-ROW(F$15),0)</f>
        <v>POÇO DE VISITA H= 1,0M, (BALÃO 0,60) COPASA 062/1 NA 104 EM ANÉIS</v>
      </c>
      <c r="G358" s="164" t="str">
        <f ca="1">IF($D358&lt;&gt;"Serviço","",OFFSET(ORÇAMENTO!S$15,ROW(G358)-ROW(G$15),0))</f>
        <v>UN</v>
      </c>
      <c r="H358" s="122" cm="1">
        <f t="array" aca="1" ref="H358" ca="1">IF($D358&lt;&gt;"Serviço",0,IF(ACOMPANHAMENTO="BM",ROUND(OFFSET(ORÇAMENTO!AJ$15,ROW(H358)-ROW(H$15),0),15-13*ORÇAMENTO!$AF$7),SUMPRODUCT(($Q$1:$AI$1=1)*ROUND($Q358:$AI358,15-13*ORÇAMENTO!$AF$7))))</f>
        <v>21</v>
      </c>
      <c r="I358" s="468" t="s">
        <v>1361</v>
      </c>
      <c r="J358" s="640" t="str" cm="1">
        <f t="array" aca="1" ref="J358" ca="1">IF(OR(B358&lt;&gt;"S",CÁLCULO.FrentesPreenchidas=0),"",IF(AND(ACOMPANHAMENTO="PLE",AUTOEVENTO="Manual",OR(H358&gt;0,ORÇAMENTO!AC358="QUANT."),OR(K358="",M358=0,N358="")),"►E",IF(AND(ACOMPANHAMENTO="PLE",ORÇAMENTO!AC358="QUANT."),"►Q",IF(AND(ACOMPANHAMENTO="PLE",H358&lt;&gt;SUMPRODUCT(($Q$1:$AI$1=1)*ROUND(Q358:AI358,15))),"►S",IF(AND(COUNTIF($P$11:$AI$11,"▼")=0,H358&gt;0,I358=""),"◄M","")))))</f>
        <v/>
      </c>
      <c r="K358" s="641" t="s">
        <v>1385</v>
      </c>
      <c r="L358" s="165" t="s">
        <v>764</v>
      </c>
      <c r="M358" s="166">
        <f ca="1">IF($D358&lt;&gt;"Serviço","",
          IF(AUTOEVENTO="manual",$A358,
                IF(ISERROR(MATCH($A358,$A$15:OFFSET($A358,-1,0),0)),MAX($M$15:OFFSET(M358,-1,0))+1,
                      INDEX($M$15:OFFSET(M358,-1,0),MATCH($A358,$A$15:OFFSET($A358,-1,0),0)))))</f>
        <v>6</v>
      </c>
      <c r="N358" s="167" t="str">
        <f ca="1">IF($D358&lt;&gt;"Serviço","",
         IF(AUTOEVENTO="Manual",
                IF($A358=0,"&lt;-- defina o número do agrupador",
                       OFFSET(EVENTOS!$D$15,$A358-$A$15,0)),
                OFFSET($F$15,$A358,0)))</f>
        <v>Saneamento</v>
      </c>
      <c r="O358" s="168"/>
      <c r="Q358" s="168"/>
      <c r="R358" s="169"/>
      <c r="S358" s="169"/>
      <c r="T358" s="169"/>
      <c r="U358" s="169"/>
      <c r="V358" s="169">
        <v>21</v>
      </c>
      <c r="W358" s="169"/>
      <c r="X358" s="169"/>
      <c r="Y358" s="169"/>
      <c r="Z358" s="170"/>
      <c r="AA358" s="169"/>
      <c r="AB358" s="169"/>
      <c r="AC358" s="169"/>
      <c r="AD358" s="169"/>
      <c r="AE358" s="169"/>
      <c r="AF358" s="169"/>
      <c r="AG358" s="169"/>
      <c r="AH358" s="170"/>
      <c r="AJ358" s="453">
        <f ca="1">IF(AND($D358="Serviço",AJ$12&lt;&gt;0,$H358&gt;0,OR(AUTOEVENTO&lt;&gt;"manual",$M358&lt;&gt;$A$15)),
        IF(Import.TipoArredondamento&lt;&gt;"TransfereGOV",
              ROUND(OFFSET($P358,0,AJ$13),15-13*ORÇAMENTO!$AF$7)/$H358*OFFSET(ORÇAMENTO!$X$15,ROW(AJ358)-ROW(AJ$15),0),
              ROUND(ROUND(OFFSET($P358,0,AJ$13),15-13*ORÇAMENTO!$AF$7)*OFFSET(ORÇAMENTO!$W$15,ROW(AJ358)-ROW(AJ$15),0),15-13*ORÇAMENTO!$AF$11)),
         0)</f>
        <v>0</v>
      </c>
      <c r="AK358" s="453">
        <f ca="1">IF(AND($D358="Serviço",AK$12&lt;&gt;0,$H358&gt;0,OR(AUTOEVENTO&lt;&gt;"manual",$M358&lt;&gt;$A$15)),
        IF(Import.TipoArredondamento&lt;&gt;"TransfereGOV",
              ROUND(OFFSET($P358,0,AK$13),15-13*ORÇAMENTO!$AF$7)/$H358*OFFSET(ORÇAMENTO!$X$15,ROW(AK358)-ROW(AK$15),0),
              ROUND(ROUND(OFFSET($P358,0,AK$13),15-13*ORÇAMENTO!$AF$7)*OFFSET(ORÇAMENTO!$W$15,ROW(AK358)-ROW(AK$15),0),15-13*ORÇAMENTO!$AF$11)),
         0)</f>
        <v>0</v>
      </c>
      <c r="AL358" s="453">
        <f ca="1">IF(AND($D358="Serviço",AL$12&lt;&gt;0,$H358&gt;0,OR(AUTOEVENTO&lt;&gt;"manual",$M358&lt;&gt;$A$15)),
        IF(Import.TipoArredondamento&lt;&gt;"TransfereGOV",
              ROUND(OFFSET($P358,0,AL$13),15-13*ORÇAMENTO!$AF$7)/$H358*OFFSET(ORÇAMENTO!$X$15,ROW(AL358)-ROW(AL$15),0),
              ROUND(ROUND(OFFSET($P358,0,AL$13),15-13*ORÇAMENTO!$AF$7)*OFFSET(ORÇAMENTO!$W$15,ROW(AL358)-ROW(AL$15),0),15-13*ORÇAMENTO!$AF$11)),
         0)</f>
        <v>0</v>
      </c>
      <c r="AM358" s="453">
        <f ca="1">IF(AND($D358="Serviço",AM$12&lt;&gt;0,$H358&gt;0,OR(AUTOEVENTO&lt;&gt;"manual",$M358&lt;&gt;$A$15)),
        IF(Import.TipoArredondamento&lt;&gt;"TransfereGOV",
              ROUND(OFFSET($P358,0,AM$13),15-13*ORÇAMENTO!$AF$7)/$H358*OFFSET(ORÇAMENTO!$X$15,ROW(AM358)-ROW(AM$15),0),
              ROUND(ROUND(OFFSET($P358,0,AM$13),15-13*ORÇAMENTO!$AF$7)*OFFSET(ORÇAMENTO!$W$15,ROW(AM358)-ROW(AM$15),0),15-13*ORÇAMENTO!$AF$11)),
         0)</f>
        <v>0</v>
      </c>
      <c r="AN358" s="453">
        <f ca="1">IF(AND($D358="Serviço",AN$12&lt;&gt;0,$H358&gt;0,OR(AUTOEVENTO&lt;&gt;"manual",$M358&lt;&gt;$A$15)),
        IF(Import.TipoArredondamento&lt;&gt;"TransfereGOV",
              ROUND(OFFSET($P358,0,AN$13),15-13*ORÇAMENTO!$AF$7)/$H358*OFFSET(ORÇAMENTO!$X$15,ROW(AN358)-ROW(AN$15),0),
              ROUND(ROUND(OFFSET($P358,0,AN$13),15-13*ORÇAMENTO!$AF$7)*OFFSET(ORÇAMENTO!$W$15,ROW(AN358)-ROW(AN$15),0),15-13*ORÇAMENTO!$AF$11)),
         0)</f>
        <v>0</v>
      </c>
      <c r="AO358" s="453">
        <f ca="1">IF(AND($D358="Serviço",AO$12&lt;&gt;0,$H358&gt;0,OR(AUTOEVENTO&lt;&gt;"manual",$M358&lt;&gt;$A$15)),
        IF(Import.TipoArredondamento&lt;&gt;"TransfereGOV",
              ROUND(OFFSET($P358,0,AO$13),15-13*ORÇAMENTO!$AF$7)/$H358*OFFSET(ORÇAMENTO!$X$15,ROW(AO358)-ROW(AO$15),0),
              ROUND(ROUND(OFFSET($P358,0,AO$13),15-13*ORÇAMENTO!$AF$7)*OFFSET(ORÇAMENTO!$W$15,ROW(AO358)-ROW(AO$15),0),15-13*ORÇAMENTO!$AF$11)),
         0)</f>
        <v>0</v>
      </c>
      <c r="AP358" s="453">
        <f ca="1">IF(AND($D358="Serviço",AP$12&lt;&gt;0,$H358&gt;0,OR(AUTOEVENTO&lt;&gt;"manual",$M358&lt;&gt;$A$15)),
        IF(Import.TipoArredondamento&lt;&gt;"TransfereGOV",
              ROUND(OFFSET($P358,0,AP$13),15-13*ORÇAMENTO!$AF$7)/$H358*OFFSET(ORÇAMENTO!$X$15,ROW(AP358)-ROW(AP$15),0),
              ROUND(ROUND(OFFSET($P358,0,AP$13),15-13*ORÇAMENTO!$AF$7)*OFFSET(ORÇAMENTO!$W$15,ROW(AP358)-ROW(AP$15),0),15-13*ORÇAMENTO!$AF$11)),
         0)</f>
        <v>0</v>
      </c>
      <c r="AQ358" s="453">
        <f ca="1">IF(AND($D358="Serviço",AQ$12&lt;&gt;0,$H358&gt;0,OR(AUTOEVENTO&lt;&gt;"manual",$M358&lt;&gt;$A$15)),
        IF(Import.TipoArredondamento&lt;&gt;"TransfereGOV",
              ROUND(OFFSET($P358,0,AQ$13),15-13*ORÇAMENTO!$AF$7)/$H358*OFFSET(ORÇAMENTO!$X$15,ROW(AQ358)-ROW(AQ$15),0),
              ROUND(ROUND(OFFSET($P358,0,AQ$13),15-13*ORÇAMENTO!$AF$7)*OFFSET(ORÇAMENTO!$W$15,ROW(AQ358)-ROW(AQ$15),0),15-13*ORÇAMENTO!$AF$11)),
         0)</f>
        <v>0</v>
      </c>
      <c r="AR358" s="453">
        <f ca="1">IF(AND($D358="Serviço",AR$12&lt;&gt;0,$H358&gt;0,OR(AUTOEVENTO&lt;&gt;"manual",$M358&lt;&gt;$A$15)),
        IF(Import.TipoArredondamento&lt;&gt;"TransfereGOV",
              ROUND(OFFSET($P358,0,AR$13),15-13*ORÇAMENTO!$AF$7)/$H358*OFFSET(ORÇAMENTO!$X$15,ROW(AR358)-ROW(AR$15),0),
              ROUND(ROUND(OFFSET($P358,0,AR$13),15-13*ORÇAMENTO!$AF$7)*OFFSET(ORÇAMENTO!$W$15,ROW(AR358)-ROW(AR$15),0),15-13*ORÇAMENTO!$AF$11)),
         0)</f>
        <v>0</v>
      </c>
      <c r="AS358" s="453">
        <f ca="1">IF(AND($D358="Serviço",AS$12&lt;&gt;0,$H358&gt;0,OR(AUTOEVENTO&lt;&gt;"manual",$M358&lt;&gt;$A$15)),
        IF(Import.TipoArredondamento&lt;&gt;"TransfereGOV",
              ROUND(OFFSET($P358,0,AS$13),15-13*ORÇAMENTO!$AF$7)/$H358*OFFSET(ORÇAMENTO!$X$15,ROW(AS358)-ROW(AS$15),0),
              ROUND(ROUND(OFFSET($P358,0,AS$13),15-13*ORÇAMENTO!$AF$7)*OFFSET(ORÇAMENTO!$W$15,ROW(AS358)-ROW(AS$15),0),15-13*ORÇAMENTO!$AF$11)),
         0)</f>
        <v>0</v>
      </c>
      <c r="AT358" s="453">
        <f ca="1">IF(AND($D358="Serviço",AT$12&lt;&gt;0,$H358&gt;0,OR(AUTOEVENTO&lt;&gt;"manual",$M358&lt;&gt;$A$15)),
        IF(Import.TipoArredondamento&lt;&gt;"TransfereGOV",
              ROUND(OFFSET($P358,0,AT$13),15-13*ORÇAMENTO!$AF$7)/$H358*OFFSET(ORÇAMENTO!$X$15,ROW(AT358)-ROW(AT$15),0),
              ROUND(ROUND(OFFSET($P358,0,AT$13),15-13*ORÇAMENTO!$AF$7)*OFFSET(ORÇAMENTO!$W$15,ROW(AT358)-ROW(AT$15),0),15-13*ORÇAMENTO!$AF$11)),
         0)</f>
        <v>0</v>
      </c>
      <c r="AU358" s="453">
        <f ca="1">IF(AND($D358="Serviço",AU$12&lt;&gt;0,$H358&gt;0,OR(AUTOEVENTO&lt;&gt;"manual",$M358&lt;&gt;$A$15)),
        IF(Import.TipoArredondamento&lt;&gt;"TransfereGOV",
              ROUND(OFFSET($P358,0,AU$13),15-13*ORÇAMENTO!$AF$7)/$H358*OFFSET(ORÇAMENTO!$X$15,ROW(AU358)-ROW(AU$15),0),
              ROUND(ROUND(OFFSET($P358,0,AU$13),15-13*ORÇAMENTO!$AF$7)*OFFSET(ORÇAMENTO!$W$15,ROW(AU358)-ROW(AU$15),0),15-13*ORÇAMENTO!$AF$11)),
         0)</f>
        <v>0</v>
      </c>
      <c r="AV358" s="453">
        <f ca="1">IF(AND($D358="Serviço",AV$12&lt;&gt;0,$H358&gt;0,OR(AUTOEVENTO&lt;&gt;"manual",$M358&lt;&gt;$A$15)),
        IF(Import.TipoArredondamento&lt;&gt;"TransfereGOV",
              ROUND(OFFSET($P358,0,AV$13),15-13*ORÇAMENTO!$AF$7)/$H358*OFFSET(ORÇAMENTO!$X$15,ROW(AV358)-ROW(AV$15),0),
              ROUND(ROUND(OFFSET($P358,0,AV$13),15-13*ORÇAMENTO!$AF$7)*OFFSET(ORÇAMENTO!$W$15,ROW(AV358)-ROW(AV$15),0),15-13*ORÇAMENTO!$AF$11)),
         0)</f>
        <v>0</v>
      </c>
      <c r="AW358" s="453">
        <f ca="1">IF(AND($D358="Serviço",AW$12&lt;&gt;0,$H358&gt;0,OR(AUTOEVENTO&lt;&gt;"manual",$M358&lt;&gt;$A$15)),
        IF(Import.TipoArredondamento&lt;&gt;"TransfereGOV",
              ROUND(OFFSET($P358,0,AW$13),15-13*ORÇAMENTO!$AF$7)/$H358*OFFSET(ORÇAMENTO!$X$15,ROW(AW358)-ROW(AW$15),0),
              ROUND(ROUND(OFFSET($P358,0,AW$13),15-13*ORÇAMENTO!$AF$7)*OFFSET(ORÇAMENTO!$W$15,ROW(AW358)-ROW(AW$15),0),15-13*ORÇAMENTO!$AF$11)),
         0)</f>
        <v>0</v>
      </c>
      <c r="AX358" s="453">
        <f ca="1">IF(AND($D358="Serviço",AX$12&lt;&gt;0,$H358&gt;0,OR(AUTOEVENTO&lt;&gt;"manual",$M358&lt;&gt;$A$15)),
        IF(Import.TipoArredondamento&lt;&gt;"TransfereGOV",
              ROUND(OFFSET($P358,0,AX$13),15-13*ORÇAMENTO!$AF$7)/$H358*OFFSET(ORÇAMENTO!$X$15,ROW(AX358)-ROW(AX$15),0),
              ROUND(ROUND(OFFSET($P358,0,AX$13),15-13*ORÇAMENTO!$AF$7)*OFFSET(ORÇAMENTO!$W$15,ROW(AX358)-ROW(AX$15),0),15-13*ORÇAMENTO!$AF$11)),
         0)</f>
        <v>0</v>
      </c>
      <c r="AY358" s="453">
        <f ca="1">IF(AND($D358="Serviço",AY$12&lt;&gt;0,$H358&gt;0,OR(AUTOEVENTO&lt;&gt;"manual",$M358&lt;&gt;$A$15)),
        IF(Import.TipoArredondamento&lt;&gt;"TransfereGOV",
              ROUND(OFFSET($P358,0,AY$13),15-13*ORÇAMENTO!$AF$7)/$H358*OFFSET(ORÇAMENTO!$X$15,ROW(AY358)-ROW(AY$15),0),
              ROUND(ROUND(OFFSET($P358,0,AY$13),15-13*ORÇAMENTO!$AF$7)*OFFSET(ORÇAMENTO!$W$15,ROW(AY358)-ROW(AY$15),0),15-13*ORÇAMENTO!$AF$11)),
         0)</f>
        <v>0</v>
      </c>
      <c r="AZ358" s="453">
        <f ca="1">IF(AND($D358="Serviço",AZ$12&lt;&gt;0,$H358&gt;0,OR(AUTOEVENTO&lt;&gt;"manual",$M358&lt;&gt;$A$15)),
        IF(Import.TipoArredondamento&lt;&gt;"TransfereGOV",
              ROUND(OFFSET($P358,0,AZ$13),15-13*ORÇAMENTO!$AF$7)/$H358*OFFSET(ORÇAMENTO!$X$15,ROW(AZ358)-ROW(AZ$15),0),
              ROUND(ROUND(OFFSET($P358,0,AZ$13),15-13*ORÇAMENTO!$AF$7)*OFFSET(ORÇAMENTO!$W$15,ROW(AZ358)-ROW(AZ$15),0),15-13*ORÇAMENTO!$AF$11)),
         0)</f>
        <v>0</v>
      </c>
      <c r="BA358" s="453">
        <f ca="1">IF(AND($D358="Serviço",BA$12&lt;&gt;0,$H358&gt;0,OR(AUTOEVENTO&lt;&gt;"manual",$M358&lt;&gt;$A$15)),
        IF(Import.TipoArredondamento&lt;&gt;"TransfereGOV",
              ROUND(OFFSET($P358,0,BA$13),15-13*ORÇAMENTO!$AF$7)/$H358*OFFSET(ORÇAMENTO!$X$15,ROW(BA358)-ROW(BA$15),0),
              ROUND(ROUND(OFFSET($P358,0,BA$13),15-13*ORÇAMENTO!$AF$7)*OFFSET(ORÇAMENTO!$W$15,ROW(BA358)-ROW(BA$15),0),15-13*ORÇAMENTO!$AF$11)),
         0)</f>
        <v>0</v>
      </c>
      <c r="BC358" s="171">
        <f ca="1">IF(OR($D358&lt;&gt;"Serviço",AND(AUTOEVENTO="Manual",$M358=$A$15)),0,
         IF(OFFSET(CRONOPLE!$F$15,$M358-$A$15,BC$13)=0,10^12,OFFSET(CRONOPLE!$F$15,$M358-$A$15,BC$13)))</f>
        <v>1</v>
      </c>
      <c r="BD358" s="171">
        <f ca="1">IF(OR($D358&lt;&gt;"Serviço",AND(AUTOEVENTO="Manual",$M358=$A$15)),0,
         IF(OFFSET(CRONOPLE!$F$15,$M358-$A$15,BD$13)=0,10^12,OFFSET(CRONOPLE!$F$15,$M358-$A$15,BD$13)))</f>
        <v>2</v>
      </c>
      <c r="BE358" s="171">
        <f ca="1">IF(OR($D358&lt;&gt;"Serviço",AND(AUTOEVENTO="Manual",$M358=$A$15)),0,
         IF(OFFSET(CRONOPLE!$F$15,$M358-$A$15,BE$13)=0,10^12,OFFSET(CRONOPLE!$F$15,$M358-$A$15,BE$13)))</f>
        <v>3</v>
      </c>
      <c r="BF358" s="171">
        <f ca="1">IF(OR($D358&lt;&gt;"Serviço",AND(AUTOEVENTO="Manual",$M358=$A$15)),0,
         IF(OFFSET(CRONOPLE!$F$15,$M358-$A$15,BF$13)=0,10^12,OFFSET(CRONOPLE!$F$15,$M358-$A$15,BF$13)))</f>
        <v>4</v>
      </c>
      <c r="BG358" s="171">
        <f ca="1">IF(OR($D358&lt;&gt;"Serviço",AND(AUTOEVENTO="Manual",$M358=$A$15)),0,
         IF(OFFSET(CRONOPLE!$F$15,$M358-$A$15,BG$13)=0,10^12,OFFSET(CRONOPLE!$F$15,$M358-$A$15,BG$13)))</f>
        <v>5</v>
      </c>
      <c r="BH358" s="171">
        <f ca="1">IF(OR($D358&lt;&gt;"Serviço",AND(AUTOEVENTO="Manual",$M358=$A$15)),0,
         IF(OFFSET(CRONOPLE!$F$15,$M358-$A$15,BH$13)=0,10^12,OFFSET(CRONOPLE!$F$15,$M358-$A$15,BH$13)))</f>
        <v>6</v>
      </c>
      <c r="BI358" s="171">
        <f ca="1">IF(OR($D358&lt;&gt;"Serviço",AND(AUTOEVENTO="Manual",$M358=$A$15)),0,
         IF(OFFSET(CRONOPLE!$F$15,$M358-$A$15,BI$13)=0,10^12,OFFSET(CRONOPLE!$F$15,$M358-$A$15,BI$13)))</f>
        <v>7</v>
      </c>
      <c r="BJ358" s="171">
        <f ca="1">IF(OR($D358&lt;&gt;"Serviço",AND(AUTOEVENTO="Manual",$M358=$A$15)),0,
         IF(OFFSET(CRONOPLE!$F$15,$M358-$A$15,BJ$13)=0,10^12,OFFSET(CRONOPLE!$F$15,$M358-$A$15,BJ$13)))</f>
        <v>8</v>
      </c>
      <c r="BK358" s="171">
        <f ca="1">IF(OR($D358&lt;&gt;"Serviço",AND(AUTOEVENTO="Manual",$M358=$A$15)),0,
         IF(OFFSET(CRONOPLE!$F$15,$M358-$A$15,BK$13)=0,10^12,OFFSET(CRONOPLE!$F$15,$M358-$A$15,BK$13)))</f>
        <v>9</v>
      </c>
      <c r="BL358" s="171">
        <f ca="1">IF(OR($D358&lt;&gt;"Serviço",AND(AUTOEVENTO="Manual",$M358=$A$15)),0,
         IF(OFFSET(CRONOPLE!$F$15,$M358-$A$15,BL$13)=0,10^12,OFFSET(CRONOPLE!$F$15,$M358-$A$15,BL$13)))</f>
        <v>1000000000000</v>
      </c>
      <c r="BM358" s="171">
        <f ca="1">IF(OR($D358&lt;&gt;"Serviço",AND(AUTOEVENTO="Manual",$M358=$A$15)),0,
         IF(OFFSET(CRONOPLE!$F$15,$M358-$A$15,BM$13)=0,10^12,OFFSET(CRONOPLE!$F$15,$M358-$A$15,BM$13)))</f>
        <v>1000000000000</v>
      </c>
      <c r="BN358" s="171">
        <f ca="1">IF(OR($D358&lt;&gt;"Serviço",AND(AUTOEVENTO="Manual",$M358=$A$15)),0,
         IF(OFFSET(CRONOPLE!$F$15,$M358-$A$15,BN$13)=0,10^12,OFFSET(CRONOPLE!$F$15,$M358-$A$15,BN$13)))</f>
        <v>1000000000000</v>
      </c>
      <c r="BO358" s="171">
        <f ca="1">IF(OR($D358&lt;&gt;"Serviço",AND(AUTOEVENTO="Manual",$M358=$A$15)),0,
         IF(OFFSET(CRONOPLE!$F$15,$M358-$A$15,BO$13)=0,10^12,OFFSET(CRONOPLE!$F$15,$M358-$A$15,BO$13)))</f>
        <v>1000000000000</v>
      </c>
      <c r="BP358" s="171">
        <f ca="1">IF(OR($D358&lt;&gt;"Serviço",AND(AUTOEVENTO="Manual",$M358=$A$15)),0,
         IF(OFFSET(CRONOPLE!$F$15,$M358-$A$15,BP$13)=0,10^12,OFFSET(CRONOPLE!$F$15,$M358-$A$15,BP$13)))</f>
        <v>1000000000000</v>
      </c>
      <c r="BQ358" s="171">
        <f ca="1">IF(OR($D358&lt;&gt;"Serviço",AND(AUTOEVENTO="Manual",$M358=$A$15)),0,
         IF(OFFSET(CRONOPLE!$F$15,$M358-$A$15,BQ$13)=0,10^12,OFFSET(CRONOPLE!$F$15,$M358-$A$15,BQ$13)))</f>
        <v>1000000000000</v>
      </c>
      <c r="BR358" s="171">
        <f ca="1">IF(OR($D358&lt;&gt;"Serviço",AND(AUTOEVENTO="Manual",$M358=$A$15)),0,
         IF(OFFSET(CRONOPLE!$F$15,$M358-$A$15,BR$13)=0,10^12,OFFSET(CRONOPLE!$F$15,$M358-$A$15,BR$13)))</f>
        <v>1000000000000</v>
      </c>
      <c r="BS358" s="171">
        <f ca="1">IF(OR($D358&lt;&gt;"Serviço",AND(AUTOEVENTO="Manual",$M358=$A$15)),0,
         IF(OFFSET(CRONOPLE!$F$15,$M358-$A$15,BS$13)=0,10^12,OFFSET(CRONOPLE!$F$15,$M358-$A$15,BS$13)))</f>
        <v>1000000000000</v>
      </c>
      <c r="BT358" s="171">
        <f ca="1">IF(OR($D358&lt;&gt;"Serviço",AND(AUTOEVENTO="Manual",$M358=$A$15)),0,
         IF(OFFSET(CRONOPLE!$F$15,$M358-$A$15,BT$13)=0,10^12,OFFSET(CRONOPLE!$F$15,$M358-$A$15,BT$13)))</f>
        <v>1000000000000</v>
      </c>
      <c r="BV358" s="172">
        <f ca="1">IF(OR($D358&lt;&gt;"Serviço",AND(AUTOEVENTO="Manual",$M358=$A$15),$M358&gt;(ROW(PLE.lastrow)-ROW(PLE.firstrow))),0,
           IF(OFFSET(PLE!$G$15,$M358-$A$15,BV$13)="",10^12,OFFSET(PLE!$G$15,$M358-$A$15,BV$13)))</f>
        <v>1000000000000</v>
      </c>
      <c r="BW358" s="172">
        <f ca="1">IF(OR($D358&lt;&gt;"Serviço",AND(AUTOEVENTO="Manual",$M358=$A$15),$M358&gt;(ROW(PLE.lastrow)-ROW(PLE.firstrow))),0,
           IF(OFFSET(PLE!$G$15,$M358-$A$15,BW$13)="",10^12,OFFSET(PLE!$G$15,$M358-$A$15,BW$13)))</f>
        <v>1000000000000</v>
      </c>
      <c r="BX358" s="172">
        <f ca="1">IF(OR($D358&lt;&gt;"Serviço",AND(AUTOEVENTO="Manual",$M358=$A$15),$M358&gt;(ROW(PLE.lastrow)-ROW(PLE.firstrow))),0,
           IF(OFFSET(PLE!$G$15,$M358-$A$15,BX$13)="",10^12,OFFSET(PLE!$G$15,$M358-$A$15,BX$13)))</f>
        <v>1000000000000</v>
      </c>
      <c r="BY358" s="172">
        <f ca="1">IF(OR($D358&lt;&gt;"Serviço",AND(AUTOEVENTO="Manual",$M358=$A$15),$M358&gt;(ROW(PLE.lastrow)-ROW(PLE.firstrow))),0,
           IF(OFFSET(PLE!$G$15,$M358-$A$15,BY$13)="",10^12,OFFSET(PLE!$G$15,$M358-$A$15,BY$13)))</f>
        <v>1000000000000</v>
      </c>
      <c r="BZ358" s="172">
        <f ca="1">IF(OR($D358&lt;&gt;"Serviço",AND(AUTOEVENTO="Manual",$M358=$A$15),$M358&gt;(ROW(PLE.lastrow)-ROW(PLE.firstrow))),0,
           IF(OFFSET(PLE!$G$15,$M358-$A$15,BZ$13)="",10^12,OFFSET(PLE!$G$15,$M358-$A$15,BZ$13)))</f>
        <v>1000000000000</v>
      </c>
      <c r="CA358" s="172">
        <f ca="1">IF(OR($D358&lt;&gt;"Serviço",AND(AUTOEVENTO="Manual",$M358=$A$15),$M358&gt;(ROW(PLE.lastrow)-ROW(PLE.firstrow))),0,
           IF(OFFSET(PLE!$G$15,$M358-$A$15,CA$13)="",10^12,OFFSET(PLE!$G$15,$M358-$A$15,CA$13)))</f>
        <v>1000000000000</v>
      </c>
      <c r="CB358" s="172">
        <f ca="1">IF(OR($D358&lt;&gt;"Serviço",AND(AUTOEVENTO="Manual",$M358=$A$15),$M358&gt;(ROW(PLE.lastrow)-ROW(PLE.firstrow))),0,
           IF(OFFSET(PLE!$G$15,$M358-$A$15,CB$13)="",10^12,OFFSET(PLE!$G$15,$M358-$A$15,CB$13)))</f>
        <v>1000000000000</v>
      </c>
      <c r="CC358" s="172">
        <f ca="1">IF(OR($D358&lt;&gt;"Serviço",AND(AUTOEVENTO="Manual",$M358=$A$15),$M358&gt;(ROW(PLE.lastrow)-ROW(PLE.firstrow))),0,
           IF(OFFSET(PLE!$G$15,$M358-$A$15,CC$13)="",10^12,OFFSET(PLE!$G$15,$M358-$A$15,CC$13)))</f>
        <v>1000000000000</v>
      </c>
      <c r="CD358" s="172">
        <f ca="1">IF(OR($D358&lt;&gt;"Serviço",AND(AUTOEVENTO="Manual",$M358=$A$15),$M358&gt;(ROW(PLE.lastrow)-ROW(PLE.firstrow))),0,
           IF(OFFSET(PLE!$G$15,$M358-$A$15,CD$13)="",10^12,OFFSET(PLE!$G$15,$M358-$A$15,CD$13)))</f>
        <v>1000000000000</v>
      </c>
      <c r="CE358" s="172">
        <f ca="1">IF(OR($D358&lt;&gt;"Serviço",AND(AUTOEVENTO="Manual",$M358=$A$15),$M358&gt;(ROW(PLE.lastrow)-ROW(PLE.firstrow))),0,
           IF(OFFSET(PLE!$G$15,$M358-$A$15,CE$13)="",10^12,OFFSET(PLE!$G$15,$M358-$A$15,CE$13)))</f>
        <v>1000000000000</v>
      </c>
      <c r="CF358" s="172">
        <f ca="1">IF(OR($D358&lt;&gt;"Serviço",AND(AUTOEVENTO="Manual",$M358=$A$15),$M358&gt;(ROW(PLE.lastrow)-ROW(PLE.firstrow))),0,
           IF(OFFSET(PLE!$G$15,$M358-$A$15,CF$13)="",10^12,OFFSET(PLE!$G$15,$M358-$A$15,CF$13)))</f>
        <v>1000000000000</v>
      </c>
      <c r="CG358" s="172">
        <f ca="1">IF(OR($D358&lt;&gt;"Serviço",AND(AUTOEVENTO="Manual",$M358=$A$15),$M358&gt;(ROW(PLE.lastrow)-ROW(PLE.firstrow))),0,
           IF(OFFSET(PLE!$G$15,$M358-$A$15,CG$13)="",10^12,OFFSET(PLE!$G$15,$M358-$A$15,CG$13)))</f>
        <v>1000000000000</v>
      </c>
      <c r="CH358" s="172">
        <f ca="1">IF(OR($D358&lt;&gt;"Serviço",AND(AUTOEVENTO="Manual",$M358=$A$15),$M358&gt;(ROW(PLE.lastrow)-ROW(PLE.firstrow))),0,
           IF(OFFSET(PLE!$G$15,$M358-$A$15,CH$13)="",10^12,OFFSET(PLE!$G$15,$M358-$A$15,CH$13)))</f>
        <v>1000000000000</v>
      </c>
      <c r="CI358" s="172">
        <f ca="1">IF(OR($D358&lt;&gt;"Serviço",AND(AUTOEVENTO="Manual",$M358=$A$15),$M358&gt;(ROW(PLE.lastrow)-ROW(PLE.firstrow))),0,
           IF(OFFSET(PLE!$G$15,$M358-$A$15,CI$13)="",10^12,OFFSET(PLE!$G$15,$M358-$A$15,CI$13)))</f>
        <v>1000000000000</v>
      </c>
      <c r="CJ358" s="172">
        <f ca="1">IF(OR($D358&lt;&gt;"Serviço",AND(AUTOEVENTO="Manual",$M358=$A$15),$M358&gt;(ROW(PLE.lastrow)-ROW(PLE.firstrow))),0,
           IF(OFFSET(PLE!$G$15,$M358-$A$15,CJ$13)="",10^12,OFFSET(PLE!$G$15,$M358-$A$15,CJ$13)))</f>
        <v>1000000000000</v>
      </c>
      <c r="CK358" s="172">
        <f ca="1">IF(OR($D358&lt;&gt;"Serviço",AND(AUTOEVENTO="Manual",$M358=$A$15),$M358&gt;(ROW(PLE.lastrow)-ROW(PLE.firstrow))),0,
           IF(OFFSET(PLE!$G$15,$M358-$A$15,CK$13)="",10^12,OFFSET(PLE!$G$15,$M358-$A$15,CK$13)))</f>
        <v>1000000000000</v>
      </c>
      <c r="CL358" s="172">
        <f ca="1">IF(OR($D358&lt;&gt;"Serviço",AND(AUTOEVENTO="Manual",$M358=$A$15),$M358&gt;(ROW(PLE.lastrow)-ROW(PLE.firstrow))),0,
           IF(OFFSET(PLE!$G$15,$M358-$A$15,CL$13)="",10^12,OFFSET(PLE!$G$15,$M358-$A$15,CL$13)))</f>
        <v>1000000000000</v>
      </c>
      <c r="CM358" s="172">
        <f ca="1">IF(OR($D358&lt;&gt;"Serviço",AND(AUTOEVENTO="Manual",$M358=$A$15),$M358&gt;(ROW(PLE.lastrow)-ROW(PLE.firstrow))),0,
           IF(OFFSET(PLE!$G$15,$M358-$A$15,CM$13)="",10^12,OFFSET(PLE!$G$15,$M358-$A$15,CM$13)))</f>
        <v>1000000000000</v>
      </c>
    </row>
    <row r="359" spans="1:91" ht="76.5" x14ac:dyDescent="0.2">
      <c r="A359" s="7">
        <f t="shared" ca="1" si="15"/>
        <v>6</v>
      </c>
      <c r="B359" s="7" t="str">
        <f ca="1">OFFSET(ORÇAMENTO!C$15,ROW(B359)-ROW(B$15),0)</f>
        <v>S</v>
      </c>
      <c r="C359" s="7" t="str">
        <f ca="1">OFFSET(ORÇAMENTO!L$15,ROW(C359)-ROW(C$15),0)</f>
        <v>F</v>
      </c>
      <c r="D359" s="116" t="str">
        <f ca="1">OFFSET(ORÇAMENTO!N$15,ROW(D359)-ROW(D$15),0)</f>
        <v>Serviço</v>
      </c>
      <c r="E359" s="117" t="str">
        <f ca="1">OFFSET(ORÇAMENTO!O$15,ROW(E359)-ROW(E$15),0)</f>
        <v>1.7.6.3.2.</v>
      </c>
      <c r="F359" s="163" t="str">
        <f ca="1">OFFSET(ORÇAMENTO!R$15,ROW(F359)-ROW(F$15),0)</f>
        <v>TUBO, PVC OCRE, JUNTA ELÁSTICA, DN 150 MM, PARA COLETOR PREDIAL DE ESGOTO. AF_06/2022</v>
      </c>
      <c r="G359" s="164" t="str">
        <f ca="1">IF($D359&lt;&gt;"Serviço","",OFFSET(ORÇAMENTO!S$15,ROW(G359)-ROW(G$15),0))</f>
        <v>M</v>
      </c>
      <c r="H359" s="122" cm="1">
        <f t="array" aca="1" ref="H359" ca="1">IF($D359&lt;&gt;"Serviço",0,IF(ACOMPANHAMENTO="BM",ROUND(OFFSET(ORÇAMENTO!AJ$15,ROW(H359)-ROW(H$15),0),15-13*ORÇAMENTO!$AF$7),SUMPRODUCT(($Q$1:$AI$1=1)*ROUND($Q359:$AI359,15-13*ORÇAMENTO!$AF$7))))</f>
        <v>137.16</v>
      </c>
      <c r="I359" s="468" t="s">
        <v>1361</v>
      </c>
      <c r="J359" s="640" t="str" cm="1">
        <f t="array" aca="1" ref="J359" ca="1">IF(OR(B359&lt;&gt;"S",CÁLCULO.FrentesPreenchidas=0),"",IF(AND(ACOMPANHAMENTO="PLE",AUTOEVENTO="Manual",OR(H359&gt;0,ORÇAMENTO!AC359="QUANT."),OR(K359="",M359=0,N359="")),"►E",IF(AND(ACOMPANHAMENTO="PLE",ORÇAMENTO!AC359="QUANT."),"►Q",IF(AND(ACOMPANHAMENTO="PLE",H359&lt;&gt;SUMPRODUCT(($Q$1:$AI$1=1)*ROUND(Q359:AI359,15))),"►S",IF(AND(COUNTIF($P$11:$AI$11,"▼")=0,H359&gt;0,I359=""),"◄M","")))))</f>
        <v/>
      </c>
      <c r="K359" s="641" t="s">
        <v>1385</v>
      </c>
      <c r="L359" s="165" t="s">
        <v>764</v>
      </c>
      <c r="M359" s="166">
        <f ca="1">IF($D359&lt;&gt;"Serviço","",
          IF(AUTOEVENTO="manual",$A359,
                IF(ISERROR(MATCH($A359,$A$15:OFFSET($A359,-1,0),0)),MAX($M$15:OFFSET(M359,-1,0))+1,
                      INDEX($M$15:OFFSET(M359,-1,0),MATCH($A359,$A$15:OFFSET($A359,-1,0),0)))))</f>
        <v>6</v>
      </c>
      <c r="N359" s="167" t="str">
        <f ca="1">IF($D359&lt;&gt;"Serviço","",
         IF(AUTOEVENTO="Manual",
                IF($A359=0,"&lt;-- defina o número do agrupador",
                       OFFSET(EVENTOS!$D$15,$A359-$A$15,0)),
                OFFSET($F$15,$A359,0)))</f>
        <v>Saneamento</v>
      </c>
      <c r="O359" s="168"/>
      <c r="Q359" s="168"/>
      <c r="R359" s="169"/>
      <c r="S359" s="169"/>
      <c r="T359" s="169"/>
      <c r="U359" s="169"/>
      <c r="V359" s="169">
        <v>137.16</v>
      </c>
      <c r="W359" s="169"/>
      <c r="X359" s="169"/>
      <c r="Y359" s="169"/>
      <c r="Z359" s="170"/>
      <c r="AA359" s="169"/>
      <c r="AB359" s="169"/>
      <c r="AC359" s="169"/>
      <c r="AD359" s="169"/>
      <c r="AE359" s="169"/>
      <c r="AF359" s="169"/>
      <c r="AG359" s="169"/>
      <c r="AH359" s="170"/>
      <c r="AJ359" s="453">
        <f ca="1">IF(AND($D359="Serviço",AJ$12&lt;&gt;0,$H359&gt;0,OR(AUTOEVENTO&lt;&gt;"manual",$M359&lt;&gt;$A$15)),
        IF(Import.TipoArredondamento&lt;&gt;"TransfereGOV",
              ROUND(OFFSET($P359,0,AJ$13),15-13*ORÇAMENTO!$AF$7)/$H359*OFFSET(ORÇAMENTO!$X$15,ROW(AJ359)-ROW(AJ$15),0),
              ROUND(ROUND(OFFSET($P359,0,AJ$13),15-13*ORÇAMENTO!$AF$7)*OFFSET(ORÇAMENTO!$W$15,ROW(AJ359)-ROW(AJ$15),0),15-13*ORÇAMENTO!$AF$11)),
         0)</f>
        <v>0</v>
      </c>
      <c r="AK359" s="453">
        <f ca="1">IF(AND($D359="Serviço",AK$12&lt;&gt;0,$H359&gt;0,OR(AUTOEVENTO&lt;&gt;"manual",$M359&lt;&gt;$A$15)),
        IF(Import.TipoArredondamento&lt;&gt;"TransfereGOV",
              ROUND(OFFSET($P359,0,AK$13),15-13*ORÇAMENTO!$AF$7)/$H359*OFFSET(ORÇAMENTO!$X$15,ROW(AK359)-ROW(AK$15),0),
              ROUND(ROUND(OFFSET($P359,0,AK$13),15-13*ORÇAMENTO!$AF$7)*OFFSET(ORÇAMENTO!$W$15,ROW(AK359)-ROW(AK$15),0),15-13*ORÇAMENTO!$AF$11)),
         0)</f>
        <v>0</v>
      </c>
      <c r="AL359" s="453">
        <f ca="1">IF(AND($D359="Serviço",AL$12&lt;&gt;0,$H359&gt;0,OR(AUTOEVENTO&lt;&gt;"manual",$M359&lt;&gt;$A$15)),
        IF(Import.TipoArredondamento&lt;&gt;"TransfereGOV",
              ROUND(OFFSET($P359,0,AL$13),15-13*ORÇAMENTO!$AF$7)/$H359*OFFSET(ORÇAMENTO!$X$15,ROW(AL359)-ROW(AL$15),0),
              ROUND(ROUND(OFFSET($P359,0,AL$13),15-13*ORÇAMENTO!$AF$7)*OFFSET(ORÇAMENTO!$W$15,ROW(AL359)-ROW(AL$15),0),15-13*ORÇAMENTO!$AF$11)),
         0)</f>
        <v>0</v>
      </c>
      <c r="AM359" s="453">
        <f ca="1">IF(AND($D359="Serviço",AM$12&lt;&gt;0,$H359&gt;0,OR(AUTOEVENTO&lt;&gt;"manual",$M359&lt;&gt;$A$15)),
        IF(Import.TipoArredondamento&lt;&gt;"TransfereGOV",
              ROUND(OFFSET($P359,0,AM$13),15-13*ORÇAMENTO!$AF$7)/$H359*OFFSET(ORÇAMENTO!$X$15,ROW(AM359)-ROW(AM$15),0),
              ROUND(ROUND(OFFSET($P359,0,AM$13),15-13*ORÇAMENTO!$AF$7)*OFFSET(ORÇAMENTO!$W$15,ROW(AM359)-ROW(AM$15),0),15-13*ORÇAMENTO!$AF$11)),
         0)</f>
        <v>0</v>
      </c>
      <c r="AN359" s="453">
        <f ca="1">IF(AND($D359="Serviço",AN$12&lt;&gt;0,$H359&gt;0,OR(AUTOEVENTO&lt;&gt;"manual",$M359&lt;&gt;$A$15)),
        IF(Import.TipoArredondamento&lt;&gt;"TransfereGOV",
              ROUND(OFFSET($P359,0,AN$13),15-13*ORÇAMENTO!$AF$7)/$H359*OFFSET(ORÇAMENTO!$X$15,ROW(AN359)-ROW(AN$15),0),
              ROUND(ROUND(OFFSET($P359,0,AN$13),15-13*ORÇAMENTO!$AF$7)*OFFSET(ORÇAMENTO!$W$15,ROW(AN359)-ROW(AN$15),0),15-13*ORÇAMENTO!$AF$11)),
         0)</f>
        <v>0</v>
      </c>
      <c r="AO359" s="453">
        <f ca="1">IF(AND($D359="Serviço",AO$12&lt;&gt;0,$H359&gt;0,OR(AUTOEVENTO&lt;&gt;"manual",$M359&lt;&gt;$A$15)),
        IF(Import.TipoArredondamento&lt;&gt;"TransfereGOV",
              ROUND(OFFSET($P359,0,AO$13),15-13*ORÇAMENTO!$AF$7)/$H359*OFFSET(ORÇAMENTO!$X$15,ROW(AO359)-ROW(AO$15),0),
              ROUND(ROUND(OFFSET($P359,0,AO$13),15-13*ORÇAMENTO!$AF$7)*OFFSET(ORÇAMENTO!$W$15,ROW(AO359)-ROW(AO$15),0),15-13*ORÇAMENTO!$AF$11)),
         0)</f>
        <v>0</v>
      </c>
      <c r="AP359" s="453">
        <f ca="1">IF(AND($D359="Serviço",AP$12&lt;&gt;0,$H359&gt;0,OR(AUTOEVENTO&lt;&gt;"manual",$M359&lt;&gt;$A$15)),
        IF(Import.TipoArredondamento&lt;&gt;"TransfereGOV",
              ROUND(OFFSET($P359,0,AP$13),15-13*ORÇAMENTO!$AF$7)/$H359*OFFSET(ORÇAMENTO!$X$15,ROW(AP359)-ROW(AP$15),0),
              ROUND(ROUND(OFFSET($P359,0,AP$13),15-13*ORÇAMENTO!$AF$7)*OFFSET(ORÇAMENTO!$W$15,ROW(AP359)-ROW(AP$15),0),15-13*ORÇAMENTO!$AF$11)),
         0)</f>
        <v>0</v>
      </c>
      <c r="AQ359" s="453">
        <f ca="1">IF(AND($D359="Serviço",AQ$12&lt;&gt;0,$H359&gt;0,OR(AUTOEVENTO&lt;&gt;"manual",$M359&lt;&gt;$A$15)),
        IF(Import.TipoArredondamento&lt;&gt;"TransfereGOV",
              ROUND(OFFSET($P359,0,AQ$13),15-13*ORÇAMENTO!$AF$7)/$H359*OFFSET(ORÇAMENTO!$X$15,ROW(AQ359)-ROW(AQ$15),0),
              ROUND(ROUND(OFFSET($P359,0,AQ$13),15-13*ORÇAMENTO!$AF$7)*OFFSET(ORÇAMENTO!$W$15,ROW(AQ359)-ROW(AQ$15),0),15-13*ORÇAMENTO!$AF$11)),
         0)</f>
        <v>0</v>
      </c>
      <c r="AR359" s="453">
        <f ca="1">IF(AND($D359="Serviço",AR$12&lt;&gt;0,$H359&gt;0,OR(AUTOEVENTO&lt;&gt;"manual",$M359&lt;&gt;$A$15)),
        IF(Import.TipoArredondamento&lt;&gt;"TransfereGOV",
              ROUND(OFFSET($P359,0,AR$13),15-13*ORÇAMENTO!$AF$7)/$H359*OFFSET(ORÇAMENTO!$X$15,ROW(AR359)-ROW(AR$15),0),
              ROUND(ROUND(OFFSET($P359,0,AR$13),15-13*ORÇAMENTO!$AF$7)*OFFSET(ORÇAMENTO!$W$15,ROW(AR359)-ROW(AR$15),0),15-13*ORÇAMENTO!$AF$11)),
         0)</f>
        <v>0</v>
      </c>
      <c r="AS359" s="453">
        <f ca="1">IF(AND($D359="Serviço",AS$12&lt;&gt;0,$H359&gt;0,OR(AUTOEVENTO&lt;&gt;"manual",$M359&lt;&gt;$A$15)),
        IF(Import.TipoArredondamento&lt;&gt;"TransfereGOV",
              ROUND(OFFSET($P359,0,AS$13),15-13*ORÇAMENTO!$AF$7)/$H359*OFFSET(ORÇAMENTO!$X$15,ROW(AS359)-ROW(AS$15),0),
              ROUND(ROUND(OFFSET($P359,0,AS$13),15-13*ORÇAMENTO!$AF$7)*OFFSET(ORÇAMENTO!$W$15,ROW(AS359)-ROW(AS$15),0),15-13*ORÇAMENTO!$AF$11)),
         0)</f>
        <v>0</v>
      </c>
      <c r="AT359" s="453">
        <f ca="1">IF(AND($D359="Serviço",AT$12&lt;&gt;0,$H359&gt;0,OR(AUTOEVENTO&lt;&gt;"manual",$M359&lt;&gt;$A$15)),
        IF(Import.TipoArredondamento&lt;&gt;"TransfereGOV",
              ROUND(OFFSET($P359,0,AT$13),15-13*ORÇAMENTO!$AF$7)/$H359*OFFSET(ORÇAMENTO!$X$15,ROW(AT359)-ROW(AT$15),0),
              ROUND(ROUND(OFFSET($P359,0,AT$13),15-13*ORÇAMENTO!$AF$7)*OFFSET(ORÇAMENTO!$W$15,ROW(AT359)-ROW(AT$15),0),15-13*ORÇAMENTO!$AF$11)),
         0)</f>
        <v>0</v>
      </c>
      <c r="AU359" s="453">
        <f ca="1">IF(AND($D359="Serviço",AU$12&lt;&gt;0,$H359&gt;0,OR(AUTOEVENTO&lt;&gt;"manual",$M359&lt;&gt;$A$15)),
        IF(Import.TipoArredondamento&lt;&gt;"TransfereGOV",
              ROUND(OFFSET($P359,0,AU$13),15-13*ORÇAMENTO!$AF$7)/$H359*OFFSET(ORÇAMENTO!$X$15,ROW(AU359)-ROW(AU$15),0),
              ROUND(ROUND(OFFSET($P359,0,AU$13),15-13*ORÇAMENTO!$AF$7)*OFFSET(ORÇAMENTO!$W$15,ROW(AU359)-ROW(AU$15),0),15-13*ORÇAMENTO!$AF$11)),
         0)</f>
        <v>0</v>
      </c>
      <c r="AV359" s="453">
        <f ca="1">IF(AND($D359="Serviço",AV$12&lt;&gt;0,$H359&gt;0,OR(AUTOEVENTO&lt;&gt;"manual",$M359&lt;&gt;$A$15)),
        IF(Import.TipoArredondamento&lt;&gt;"TransfereGOV",
              ROUND(OFFSET($P359,0,AV$13),15-13*ORÇAMENTO!$AF$7)/$H359*OFFSET(ORÇAMENTO!$X$15,ROW(AV359)-ROW(AV$15),0),
              ROUND(ROUND(OFFSET($P359,0,AV$13),15-13*ORÇAMENTO!$AF$7)*OFFSET(ORÇAMENTO!$W$15,ROW(AV359)-ROW(AV$15),0),15-13*ORÇAMENTO!$AF$11)),
         0)</f>
        <v>0</v>
      </c>
      <c r="AW359" s="453">
        <f ca="1">IF(AND($D359="Serviço",AW$12&lt;&gt;0,$H359&gt;0,OR(AUTOEVENTO&lt;&gt;"manual",$M359&lt;&gt;$A$15)),
        IF(Import.TipoArredondamento&lt;&gt;"TransfereGOV",
              ROUND(OFFSET($P359,0,AW$13),15-13*ORÇAMENTO!$AF$7)/$H359*OFFSET(ORÇAMENTO!$X$15,ROW(AW359)-ROW(AW$15),0),
              ROUND(ROUND(OFFSET($P359,0,AW$13),15-13*ORÇAMENTO!$AF$7)*OFFSET(ORÇAMENTO!$W$15,ROW(AW359)-ROW(AW$15),0),15-13*ORÇAMENTO!$AF$11)),
         0)</f>
        <v>0</v>
      </c>
      <c r="AX359" s="453">
        <f ca="1">IF(AND($D359="Serviço",AX$12&lt;&gt;0,$H359&gt;0,OR(AUTOEVENTO&lt;&gt;"manual",$M359&lt;&gt;$A$15)),
        IF(Import.TipoArredondamento&lt;&gt;"TransfereGOV",
              ROUND(OFFSET($P359,0,AX$13),15-13*ORÇAMENTO!$AF$7)/$H359*OFFSET(ORÇAMENTO!$X$15,ROW(AX359)-ROW(AX$15),0),
              ROUND(ROUND(OFFSET($P359,0,AX$13),15-13*ORÇAMENTO!$AF$7)*OFFSET(ORÇAMENTO!$W$15,ROW(AX359)-ROW(AX$15),0),15-13*ORÇAMENTO!$AF$11)),
         0)</f>
        <v>0</v>
      </c>
      <c r="AY359" s="453">
        <f ca="1">IF(AND($D359="Serviço",AY$12&lt;&gt;0,$H359&gt;0,OR(AUTOEVENTO&lt;&gt;"manual",$M359&lt;&gt;$A$15)),
        IF(Import.TipoArredondamento&lt;&gt;"TransfereGOV",
              ROUND(OFFSET($P359,0,AY$13),15-13*ORÇAMENTO!$AF$7)/$H359*OFFSET(ORÇAMENTO!$X$15,ROW(AY359)-ROW(AY$15),0),
              ROUND(ROUND(OFFSET($P359,0,AY$13),15-13*ORÇAMENTO!$AF$7)*OFFSET(ORÇAMENTO!$W$15,ROW(AY359)-ROW(AY$15),0),15-13*ORÇAMENTO!$AF$11)),
         0)</f>
        <v>0</v>
      </c>
      <c r="AZ359" s="453">
        <f ca="1">IF(AND($D359="Serviço",AZ$12&lt;&gt;0,$H359&gt;0,OR(AUTOEVENTO&lt;&gt;"manual",$M359&lt;&gt;$A$15)),
        IF(Import.TipoArredondamento&lt;&gt;"TransfereGOV",
              ROUND(OFFSET($P359,0,AZ$13),15-13*ORÇAMENTO!$AF$7)/$H359*OFFSET(ORÇAMENTO!$X$15,ROW(AZ359)-ROW(AZ$15),0),
              ROUND(ROUND(OFFSET($P359,0,AZ$13),15-13*ORÇAMENTO!$AF$7)*OFFSET(ORÇAMENTO!$W$15,ROW(AZ359)-ROW(AZ$15),0),15-13*ORÇAMENTO!$AF$11)),
         0)</f>
        <v>0</v>
      </c>
      <c r="BA359" s="453">
        <f ca="1">IF(AND($D359="Serviço",BA$12&lt;&gt;0,$H359&gt;0,OR(AUTOEVENTO&lt;&gt;"manual",$M359&lt;&gt;$A$15)),
        IF(Import.TipoArredondamento&lt;&gt;"TransfereGOV",
              ROUND(OFFSET($P359,0,BA$13),15-13*ORÇAMENTO!$AF$7)/$H359*OFFSET(ORÇAMENTO!$X$15,ROW(BA359)-ROW(BA$15),0),
              ROUND(ROUND(OFFSET($P359,0,BA$13),15-13*ORÇAMENTO!$AF$7)*OFFSET(ORÇAMENTO!$W$15,ROW(BA359)-ROW(BA$15),0),15-13*ORÇAMENTO!$AF$11)),
         0)</f>
        <v>0</v>
      </c>
      <c r="BC359" s="171">
        <f ca="1">IF(OR($D359&lt;&gt;"Serviço",AND(AUTOEVENTO="Manual",$M359=$A$15)),0,
         IF(OFFSET(CRONOPLE!$F$15,$M359-$A$15,BC$13)=0,10^12,OFFSET(CRONOPLE!$F$15,$M359-$A$15,BC$13)))</f>
        <v>1</v>
      </c>
      <c r="BD359" s="171">
        <f ca="1">IF(OR($D359&lt;&gt;"Serviço",AND(AUTOEVENTO="Manual",$M359=$A$15)),0,
         IF(OFFSET(CRONOPLE!$F$15,$M359-$A$15,BD$13)=0,10^12,OFFSET(CRONOPLE!$F$15,$M359-$A$15,BD$13)))</f>
        <v>2</v>
      </c>
      <c r="BE359" s="171">
        <f ca="1">IF(OR($D359&lt;&gt;"Serviço",AND(AUTOEVENTO="Manual",$M359=$A$15)),0,
         IF(OFFSET(CRONOPLE!$F$15,$M359-$A$15,BE$13)=0,10^12,OFFSET(CRONOPLE!$F$15,$M359-$A$15,BE$13)))</f>
        <v>3</v>
      </c>
      <c r="BF359" s="171">
        <f ca="1">IF(OR($D359&lt;&gt;"Serviço",AND(AUTOEVENTO="Manual",$M359=$A$15)),0,
         IF(OFFSET(CRONOPLE!$F$15,$M359-$A$15,BF$13)=0,10^12,OFFSET(CRONOPLE!$F$15,$M359-$A$15,BF$13)))</f>
        <v>4</v>
      </c>
      <c r="BG359" s="171">
        <f ca="1">IF(OR($D359&lt;&gt;"Serviço",AND(AUTOEVENTO="Manual",$M359=$A$15)),0,
         IF(OFFSET(CRONOPLE!$F$15,$M359-$A$15,BG$13)=0,10^12,OFFSET(CRONOPLE!$F$15,$M359-$A$15,BG$13)))</f>
        <v>5</v>
      </c>
      <c r="BH359" s="171">
        <f ca="1">IF(OR($D359&lt;&gt;"Serviço",AND(AUTOEVENTO="Manual",$M359=$A$15)),0,
         IF(OFFSET(CRONOPLE!$F$15,$M359-$A$15,BH$13)=0,10^12,OFFSET(CRONOPLE!$F$15,$M359-$A$15,BH$13)))</f>
        <v>6</v>
      </c>
      <c r="BI359" s="171">
        <f ca="1">IF(OR($D359&lt;&gt;"Serviço",AND(AUTOEVENTO="Manual",$M359=$A$15)),0,
         IF(OFFSET(CRONOPLE!$F$15,$M359-$A$15,BI$13)=0,10^12,OFFSET(CRONOPLE!$F$15,$M359-$A$15,BI$13)))</f>
        <v>7</v>
      </c>
      <c r="BJ359" s="171">
        <f ca="1">IF(OR($D359&lt;&gt;"Serviço",AND(AUTOEVENTO="Manual",$M359=$A$15)),0,
         IF(OFFSET(CRONOPLE!$F$15,$M359-$A$15,BJ$13)=0,10^12,OFFSET(CRONOPLE!$F$15,$M359-$A$15,BJ$13)))</f>
        <v>8</v>
      </c>
      <c r="BK359" s="171">
        <f ca="1">IF(OR($D359&lt;&gt;"Serviço",AND(AUTOEVENTO="Manual",$M359=$A$15)),0,
         IF(OFFSET(CRONOPLE!$F$15,$M359-$A$15,BK$13)=0,10^12,OFFSET(CRONOPLE!$F$15,$M359-$A$15,BK$13)))</f>
        <v>9</v>
      </c>
      <c r="BL359" s="171">
        <f ca="1">IF(OR($D359&lt;&gt;"Serviço",AND(AUTOEVENTO="Manual",$M359=$A$15)),0,
         IF(OFFSET(CRONOPLE!$F$15,$M359-$A$15,BL$13)=0,10^12,OFFSET(CRONOPLE!$F$15,$M359-$A$15,BL$13)))</f>
        <v>1000000000000</v>
      </c>
      <c r="BM359" s="171">
        <f ca="1">IF(OR($D359&lt;&gt;"Serviço",AND(AUTOEVENTO="Manual",$M359=$A$15)),0,
         IF(OFFSET(CRONOPLE!$F$15,$M359-$A$15,BM$13)=0,10^12,OFFSET(CRONOPLE!$F$15,$M359-$A$15,BM$13)))</f>
        <v>1000000000000</v>
      </c>
      <c r="BN359" s="171">
        <f ca="1">IF(OR($D359&lt;&gt;"Serviço",AND(AUTOEVENTO="Manual",$M359=$A$15)),0,
         IF(OFFSET(CRONOPLE!$F$15,$M359-$A$15,BN$13)=0,10^12,OFFSET(CRONOPLE!$F$15,$M359-$A$15,BN$13)))</f>
        <v>1000000000000</v>
      </c>
      <c r="BO359" s="171">
        <f ca="1">IF(OR($D359&lt;&gt;"Serviço",AND(AUTOEVENTO="Manual",$M359=$A$15)),0,
         IF(OFFSET(CRONOPLE!$F$15,$M359-$A$15,BO$13)=0,10^12,OFFSET(CRONOPLE!$F$15,$M359-$A$15,BO$13)))</f>
        <v>1000000000000</v>
      </c>
      <c r="BP359" s="171">
        <f ca="1">IF(OR($D359&lt;&gt;"Serviço",AND(AUTOEVENTO="Manual",$M359=$A$15)),0,
         IF(OFFSET(CRONOPLE!$F$15,$M359-$A$15,BP$13)=0,10^12,OFFSET(CRONOPLE!$F$15,$M359-$A$15,BP$13)))</f>
        <v>1000000000000</v>
      </c>
      <c r="BQ359" s="171">
        <f ca="1">IF(OR($D359&lt;&gt;"Serviço",AND(AUTOEVENTO="Manual",$M359=$A$15)),0,
         IF(OFFSET(CRONOPLE!$F$15,$M359-$A$15,BQ$13)=0,10^12,OFFSET(CRONOPLE!$F$15,$M359-$A$15,BQ$13)))</f>
        <v>1000000000000</v>
      </c>
      <c r="BR359" s="171">
        <f ca="1">IF(OR($D359&lt;&gt;"Serviço",AND(AUTOEVENTO="Manual",$M359=$A$15)),0,
         IF(OFFSET(CRONOPLE!$F$15,$M359-$A$15,BR$13)=0,10^12,OFFSET(CRONOPLE!$F$15,$M359-$A$15,BR$13)))</f>
        <v>1000000000000</v>
      </c>
      <c r="BS359" s="171">
        <f ca="1">IF(OR($D359&lt;&gt;"Serviço",AND(AUTOEVENTO="Manual",$M359=$A$15)),0,
         IF(OFFSET(CRONOPLE!$F$15,$M359-$A$15,BS$13)=0,10^12,OFFSET(CRONOPLE!$F$15,$M359-$A$15,BS$13)))</f>
        <v>1000000000000</v>
      </c>
      <c r="BT359" s="171">
        <f ca="1">IF(OR($D359&lt;&gt;"Serviço",AND(AUTOEVENTO="Manual",$M359=$A$15)),0,
         IF(OFFSET(CRONOPLE!$F$15,$M359-$A$15,BT$13)=0,10^12,OFFSET(CRONOPLE!$F$15,$M359-$A$15,BT$13)))</f>
        <v>1000000000000</v>
      </c>
      <c r="BV359" s="172">
        <f ca="1">IF(OR($D359&lt;&gt;"Serviço",AND(AUTOEVENTO="Manual",$M359=$A$15),$M359&gt;(ROW(PLE.lastrow)-ROW(PLE.firstrow))),0,
           IF(OFFSET(PLE!$G$15,$M359-$A$15,BV$13)="",10^12,OFFSET(PLE!$G$15,$M359-$A$15,BV$13)))</f>
        <v>1000000000000</v>
      </c>
      <c r="BW359" s="172">
        <f ca="1">IF(OR($D359&lt;&gt;"Serviço",AND(AUTOEVENTO="Manual",$M359=$A$15),$M359&gt;(ROW(PLE.lastrow)-ROW(PLE.firstrow))),0,
           IF(OFFSET(PLE!$G$15,$M359-$A$15,BW$13)="",10^12,OFFSET(PLE!$G$15,$M359-$A$15,BW$13)))</f>
        <v>1000000000000</v>
      </c>
      <c r="BX359" s="172">
        <f ca="1">IF(OR($D359&lt;&gt;"Serviço",AND(AUTOEVENTO="Manual",$M359=$A$15),$M359&gt;(ROW(PLE.lastrow)-ROW(PLE.firstrow))),0,
           IF(OFFSET(PLE!$G$15,$M359-$A$15,BX$13)="",10^12,OFFSET(PLE!$G$15,$M359-$A$15,BX$13)))</f>
        <v>1000000000000</v>
      </c>
      <c r="BY359" s="172">
        <f ca="1">IF(OR($D359&lt;&gt;"Serviço",AND(AUTOEVENTO="Manual",$M359=$A$15),$M359&gt;(ROW(PLE.lastrow)-ROW(PLE.firstrow))),0,
           IF(OFFSET(PLE!$G$15,$M359-$A$15,BY$13)="",10^12,OFFSET(PLE!$G$15,$M359-$A$15,BY$13)))</f>
        <v>1000000000000</v>
      </c>
      <c r="BZ359" s="172">
        <f ca="1">IF(OR($D359&lt;&gt;"Serviço",AND(AUTOEVENTO="Manual",$M359=$A$15),$M359&gt;(ROW(PLE.lastrow)-ROW(PLE.firstrow))),0,
           IF(OFFSET(PLE!$G$15,$M359-$A$15,BZ$13)="",10^12,OFFSET(PLE!$G$15,$M359-$A$15,BZ$13)))</f>
        <v>1000000000000</v>
      </c>
      <c r="CA359" s="172">
        <f ca="1">IF(OR($D359&lt;&gt;"Serviço",AND(AUTOEVENTO="Manual",$M359=$A$15),$M359&gt;(ROW(PLE.lastrow)-ROW(PLE.firstrow))),0,
           IF(OFFSET(PLE!$G$15,$M359-$A$15,CA$13)="",10^12,OFFSET(PLE!$G$15,$M359-$A$15,CA$13)))</f>
        <v>1000000000000</v>
      </c>
      <c r="CB359" s="172">
        <f ca="1">IF(OR($D359&lt;&gt;"Serviço",AND(AUTOEVENTO="Manual",$M359=$A$15),$M359&gt;(ROW(PLE.lastrow)-ROW(PLE.firstrow))),0,
           IF(OFFSET(PLE!$G$15,$M359-$A$15,CB$13)="",10^12,OFFSET(PLE!$G$15,$M359-$A$15,CB$13)))</f>
        <v>1000000000000</v>
      </c>
      <c r="CC359" s="172">
        <f ca="1">IF(OR($D359&lt;&gt;"Serviço",AND(AUTOEVENTO="Manual",$M359=$A$15),$M359&gt;(ROW(PLE.lastrow)-ROW(PLE.firstrow))),0,
           IF(OFFSET(PLE!$G$15,$M359-$A$15,CC$13)="",10^12,OFFSET(PLE!$G$15,$M359-$A$15,CC$13)))</f>
        <v>1000000000000</v>
      </c>
      <c r="CD359" s="172">
        <f ca="1">IF(OR($D359&lt;&gt;"Serviço",AND(AUTOEVENTO="Manual",$M359=$A$15),$M359&gt;(ROW(PLE.lastrow)-ROW(PLE.firstrow))),0,
           IF(OFFSET(PLE!$G$15,$M359-$A$15,CD$13)="",10^12,OFFSET(PLE!$G$15,$M359-$A$15,CD$13)))</f>
        <v>1000000000000</v>
      </c>
      <c r="CE359" s="172">
        <f ca="1">IF(OR($D359&lt;&gt;"Serviço",AND(AUTOEVENTO="Manual",$M359=$A$15),$M359&gt;(ROW(PLE.lastrow)-ROW(PLE.firstrow))),0,
           IF(OFFSET(PLE!$G$15,$M359-$A$15,CE$13)="",10^12,OFFSET(PLE!$G$15,$M359-$A$15,CE$13)))</f>
        <v>1000000000000</v>
      </c>
      <c r="CF359" s="172">
        <f ca="1">IF(OR($D359&lt;&gt;"Serviço",AND(AUTOEVENTO="Manual",$M359=$A$15),$M359&gt;(ROW(PLE.lastrow)-ROW(PLE.firstrow))),0,
           IF(OFFSET(PLE!$G$15,$M359-$A$15,CF$13)="",10^12,OFFSET(PLE!$G$15,$M359-$A$15,CF$13)))</f>
        <v>1000000000000</v>
      </c>
      <c r="CG359" s="172">
        <f ca="1">IF(OR($D359&lt;&gt;"Serviço",AND(AUTOEVENTO="Manual",$M359=$A$15),$M359&gt;(ROW(PLE.lastrow)-ROW(PLE.firstrow))),0,
           IF(OFFSET(PLE!$G$15,$M359-$A$15,CG$13)="",10^12,OFFSET(PLE!$G$15,$M359-$A$15,CG$13)))</f>
        <v>1000000000000</v>
      </c>
      <c r="CH359" s="172">
        <f ca="1">IF(OR($D359&lt;&gt;"Serviço",AND(AUTOEVENTO="Manual",$M359=$A$15),$M359&gt;(ROW(PLE.lastrow)-ROW(PLE.firstrow))),0,
           IF(OFFSET(PLE!$G$15,$M359-$A$15,CH$13)="",10^12,OFFSET(PLE!$G$15,$M359-$A$15,CH$13)))</f>
        <v>1000000000000</v>
      </c>
      <c r="CI359" s="172">
        <f ca="1">IF(OR($D359&lt;&gt;"Serviço",AND(AUTOEVENTO="Manual",$M359=$A$15),$M359&gt;(ROW(PLE.lastrow)-ROW(PLE.firstrow))),0,
           IF(OFFSET(PLE!$G$15,$M359-$A$15,CI$13)="",10^12,OFFSET(PLE!$G$15,$M359-$A$15,CI$13)))</f>
        <v>1000000000000</v>
      </c>
      <c r="CJ359" s="172">
        <f ca="1">IF(OR($D359&lt;&gt;"Serviço",AND(AUTOEVENTO="Manual",$M359=$A$15),$M359&gt;(ROW(PLE.lastrow)-ROW(PLE.firstrow))),0,
           IF(OFFSET(PLE!$G$15,$M359-$A$15,CJ$13)="",10^12,OFFSET(PLE!$G$15,$M359-$A$15,CJ$13)))</f>
        <v>1000000000000</v>
      </c>
      <c r="CK359" s="172">
        <f ca="1">IF(OR($D359&lt;&gt;"Serviço",AND(AUTOEVENTO="Manual",$M359=$A$15),$M359&gt;(ROW(PLE.lastrow)-ROW(PLE.firstrow))),0,
           IF(OFFSET(PLE!$G$15,$M359-$A$15,CK$13)="",10^12,OFFSET(PLE!$G$15,$M359-$A$15,CK$13)))</f>
        <v>1000000000000</v>
      </c>
      <c r="CL359" s="172">
        <f ca="1">IF(OR($D359&lt;&gt;"Serviço",AND(AUTOEVENTO="Manual",$M359=$A$15),$M359&gt;(ROW(PLE.lastrow)-ROW(PLE.firstrow))),0,
           IF(OFFSET(PLE!$G$15,$M359-$A$15,CL$13)="",10^12,OFFSET(PLE!$G$15,$M359-$A$15,CL$13)))</f>
        <v>1000000000000</v>
      </c>
      <c r="CM359" s="172">
        <f ca="1">IF(OR($D359&lt;&gt;"Serviço",AND(AUTOEVENTO="Manual",$M359=$A$15),$M359&gt;(ROW(PLE.lastrow)-ROW(PLE.firstrow))),0,
           IF(OFFSET(PLE!$G$15,$M359-$A$15,CM$13)="",10^12,OFFSET(PLE!$G$15,$M359-$A$15,CM$13)))</f>
        <v>1000000000000</v>
      </c>
    </row>
    <row r="360" spans="1:91" ht="12.75" x14ac:dyDescent="0.2">
      <c r="A360" s="7">
        <f t="shared" ca="1" si="15"/>
        <v>0</v>
      </c>
      <c r="B360" s="7">
        <f ca="1">OFFSET(ORÇAMENTO!C$15,ROW(B360)-ROW(B$15),0)</f>
        <v>2</v>
      </c>
      <c r="C360" s="7" t="str">
        <f ca="1">OFFSET(ORÇAMENTO!L$15,ROW(C360)-ROW(C$15),0)</f>
        <v>F</v>
      </c>
      <c r="D360" s="116" t="str">
        <f ca="1">OFFSET(ORÇAMENTO!N$15,ROW(D360)-ROW(D$15),0)</f>
        <v>Nível 2</v>
      </c>
      <c r="E360" s="117" t="str">
        <f ca="1">OFFSET(ORÇAMENTO!O$15,ROW(E360)-ROW(E$15),0)</f>
        <v>1.8.</v>
      </c>
      <c r="F360" s="163" t="str">
        <f ca="1">OFFSET(ORÇAMENTO!R$15,ROW(F360)-ROW(F$15),0)</f>
        <v>INSTALAÇÕES ELÉTRICAS</v>
      </c>
      <c r="G360" s="164" t="str">
        <f ca="1">IF($D360&lt;&gt;"Serviço","",OFFSET(ORÇAMENTO!S$15,ROW(G360)-ROW(G$15),0))</f>
        <v/>
      </c>
      <c r="H360" s="122" cm="1">
        <f t="array" aca="1" ref="H360" ca="1">IF($D360&lt;&gt;"Serviço",0,IF(ACOMPANHAMENTO="BM",ROUND(OFFSET(ORÇAMENTO!AJ$15,ROW(H360)-ROW(H$15),0),15-13*ORÇAMENTO!$AF$7),SUMPRODUCT(($Q$1:$AI$1=1)*ROUND($Q360:$AI360,15-13*ORÇAMENTO!$AF$7))))</f>
        <v>0</v>
      </c>
      <c r="I360" s="468"/>
      <c r="J360" s="640" t="str" cm="1">
        <f t="array" aca="1" ref="J360" ca="1">IF(OR(B360&lt;&gt;"S",CÁLCULO.FrentesPreenchidas=0),"",IF(AND(ACOMPANHAMENTO="PLE",AUTOEVENTO="Manual",OR(H360&gt;0,ORÇAMENTO!AC360="QUANT."),OR(K360="",M360=0,N360="")),"►E",IF(AND(ACOMPANHAMENTO="PLE",ORÇAMENTO!AC360="QUANT."),"►Q",IF(AND(ACOMPANHAMENTO="PLE",H360&lt;&gt;SUMPRODUCT(($Q$1:$AI$1=1)*ROUND(Q360:AI360,15))),"►S",IF(AND(COUNTIF($P$11:$AI$11,"▼")=0,H360&gt;0,I360=""),"◄M","")))))</f>
        <v/>
      </c>
      <c r="K360" s="641"/>
      <c r="L360" s="165" t="s">
        <v>764</v>
      </c>
      <c r="M360" s="166" t="str">
        <f ca="1">IF($D360&lt;&gt;"Serviço","",
          IF(AUTOEVENTO="manual",$A360,
                IF(ISERROR(MATCH($A360,$A$15:OFFSET($A360,-1,0),0)),MAX($M$15:OFFSET(M360,-1,0))+1,
                      INDEX($M$15:OFFSET(M360,-1,0),MATCH($A360,$A$15:OFFSET($A360,-1,0),0)))))</f>
        <v/>
      </c>
      <c r="N360" s="167" t="str">
        <f ca="1">IF($D360&lt;&gt;"Serviço","",
         IF(AUTOEVENTO="Manual",
                IF($A360=0,"&lt;-- defina o número do agrupador",
                       OFFSET(EVENTOS!$D$15,$A360-$A$15,0)),
                OFFSET($F$15,$A360,0)))</f>
        <v/>
      </c>
      <c r="O360" s="168"/>
      <c r="Q360" s="168"/>
      <c r="R360" s="169"/>
      <c r="S360" s="169"/>
      <c r="T360" s="169"/>
      <c r="U360" s="169"/>
      <c r="V360" s="169"/>
      <c r="W360" s="169"/>
      <c r="X360" s="169"/>
      <c r="Y360" s="169"/>
      <c r="Z360" s="170"/>
      <c r="AA360" s="169"/>
      <c r="AB360" s="169"/>
      <c r="AC360" s="169"/>
      <c r="AD360" s="169"/>
      <c r="AE360" s="169"/>
      <c r="AF360" s="169"/>
      <c r="AG360" s="169"/>
      <c r="AH360" s="170"/>
      <c r="AJ360" s="453">
        <f ca="1">IF(AND($D360="Serviço",AJ$12&lt;&gt;0,$H360&gt;0,OR(AUTOEVENTO&lt;&gt;"manual",$M360&lt;&gt;$A$15)),
        IF(Import.TipoArredondamento&lt;&gt;"TransfereGOV",
              ROUND(OFFSET($P360,0,AJ$13),15-13*ORÇAMENTO!$AF$7)/$H360*OFFSET(ORÇAMENTO!$X$15,ROW(AJ360)-ROW(AJ$15),0),
              ROUND(ROUND(OFFSET($P360,0,AJ$13),15-13*ORÇAMENTO!$AF$7)*OFFSET(ORÇAMENTO!$W$15,ROW(AJ360)-ROW(AJ$15),0),15-13*ORÇAMENTO!$AF$11)),
         0)</f>
        <v>0</v>
      </c>
      <c r="AK360" s="453">
        <f ca="1">IF(AND($D360="Serviço",AK$12&lt;&gt;0,$H360&gt;0,OR(AUTOEVENTO&lt;&gt;"manual",$M360&lt;&gt;$A$15)),
        IF(Import.TipoArredondamento&lt;&gt;"TransfereGOV",
              ROUND(OFFSET($P360,0,AK$13),15-13*ORÇAMENTO!$AF$7)/$H360*OFFSET(ORÇAMENTO!$X$15,ROW(AK360)-ROW(AK$15),0),
              ROUND(ROUND(OFFSET($P360,0,AK$13),15-13*ORÇAMENTO!$AF$7)*OFFSET(ORÇAMENTO!$W$15,ROW(AK360)-ROW(AK$15),0),15-13*ORÇAMENTO!$AF$11)),
         0)</f>
        <v>0</v>
      </c>
      <c r="AL360" s="453">
        <f ca="1">IF(AND($D360="Serviço",AL$12&lt;&gt;0,$H360&gt;0,OR(AUTOEVENTO&lt;&gt;"manual",$M360&lt;&gt;$A$15)),
        IF(Import.TipoArredondamento&lt;&gt;"TransfereGOV",
              ROUND(OFFSET($P360,0,AL$13),15-13*ORÇAMENTO!$AF$7)/$H360*OFFSET(ORÇAMENTO!$X$15,ROW(AL360)-ROW(AL$15),0),
              ROUND(ROUND(OFFSET($P360,0,AL$13),15-13*ORÇAMENTO!$AF$7)*OFFSET(ORÇAMENTO!$W$15,ROW(AL360)-ROW(AL$15),0),15-13*ORÇAMENTO!$AF$11)),
         0)</f>
        <v>0</v>
      </c>
      <c r="AM360" s="453">
        <f ca="1">IF(AND($D360="Serviço",AM$12&lt;&gt;0,$H360&gt;0,OR(AUTOEVENTO&lt;&gt;"manual",$M360&lt;&gt;$A$15)),
        IF(Import.TipoArredondamento&lt;&gt;"TransfereGOV",
              ROUND(OFFSET($P360,0,AM$13),15-13*ORÇAMENTO!$AF$7)/$H360*OFFSET(ORÇAMENTO!$X$15,ROW(AM360)-ROW(AM$15),0),
              ROUND(ROUND(OFFSET($P360,0,AM$13),15-13*ORÇAMENTO!$AF$7)*OFFSET(ORÇAMENTO!$W$15,ROW(AM360)-ROW(AM$15),0),15-13*ORÇAMENTO!$AF$11)),
         0)</f>
        <v>0</v>
      </c>
      <c r="AN360" s="453">
        <f ca="1">IF(AND($D360="Serviço",AN$12&lt;&gt;0,$H360&gt;0,OR(AUTOEVENTO&lt;&gt;"manual",$M360&lt;&gt;$A$15)),
        IF(Import.TipoArredondamento&lt;&gt;"TransfereGOV",
              ROUND(OFFSET($P360,0,AN$13),15-13*ORÇAMENTO!$AF$7)/$H360*OFFSET(ORÇAMENTO!$X$15,ROW(AN360)-ROW(AN$15),0),
              ROUND(ROUND(OFFSET($P360,0,AN$13),15-13*ORÇAMENTO!$AF$7)*OFFSET(ORÇAMENTO!$W$15,ROW(AN360)-ROW(AN$15),0),15-13*ORÇAMENTO!$AF$11)),
         0)</f>
        <v>0</v>
      </c>
      <c r="AO360" s="453">
        <f ca="1">IF(AND($D360="Serviço",AO$12&lt;&gt;0,$H360&gt;0,OR(AUTOEVENTO&lt;&gt;"manual",$M360&lt;&gt;$A$15)),
        IF(Import.TipoArredondamento&lt;&gt;"TransfereGOV",
              ROUND(OFFSET($P360,0,AO$13),15-13*ORÇAMENTO!$AF$7)/$H360*OFFSET(ORÇAMENTO!$X$15,ROW(AO360)-ROW(AO$15),0),
              ROUND(ROUND(OFFSET($P360,0,AO$13),15-13*ORÇAMENTO!$AF$7)*OFFSET(ORÇAMENTO!$W$15,ROW(AO360)-ROW(AO$15),0),15-13*ORÇAMENTO!$AF$11)),
         0)</f>
        <v>0</v>
      </c>
      <c r="AP360" s="453">
        <f ca="1">IF(AND($D360="Serviço",AP$12&lt;&gt;0,$H360&gt;0,OR(AUTOEVENTO&lt;&gt;"manual",$M360&lt;&gt;$A$15)),
        IF(Import.TipoArredondamento&lt;&gt;"TransfereGOV",
              ROUND(OFFSET($P360,0,AP$13),15-13*ORÇAMENTO!$AF$7)/$H360*OFFSET(ORÇAMENTO!$X$15,ROW(AP360)-ROW(AP$15),0),
              ROUND(ROUND(OFFSET($P360,0,AP$13),15-13*ORÇAMENTO!$AF$7)*OFFSET(ORÇAMENTO!$W$15,ROW(AP360)-ROW(AP$15),0),15-13*ORÇAMENTO!$AF$11)),
         0)</f>
        <v>0</v>
      </c>
      <c r="AQ360" s="453">
        <f ca="1">IF(AND($D360="Serviço",AQ$12&lt;&gt;0,$H360&gt;0,OR(AUTOEVENTO&lt;&gt;"manual",$M360&lt;&gt;$A$15)),
        IF(Import.TipoArredondamento&lt;&gt;"TransfereGOV",
              ROUND(OFFSET($P360,0,AQ$13),15-13*ORÇAMENTO!$AF$7)/$H360*OFFSET(ORÇAMENTO!$X$15,ROW(AQ360)-ROW(AQ$15),0),
              ROUND(ROUND(OFFSET($P360,0,AQ$13),15-13*ORÇAMENTO!$AF$7)*OFFSET(ORÇAMENTO!$W$15,ROW(AQ360)-ROW(AQ$15),0),15-13*ORÇAMENTO!$AF$11)),
         0)</f>
        <v>0</v>
      </c>
      <c r="AR360" s="453">
        <f ca="1">IF(AND($D360="Serviço",AR$12&lt;&gt;0,$H360&gt;0,OR(AUTOEVENTO&lt;&gt;"manual",$M360&lt;&gt;$A$15)),
        IF(Import.TipoArredondamento&lt;&gt;"TransfereGOV",
              ROUND(OFFSET($P360,0,AR$13),15-13*ORÇAMENTO!$AF$7)/$H360*OFFSET(ORÇAMENTO!$X$15,ROW(AR360)-ROW(AR$15),0),
              ROUND(ROUND(OFFSET($P360,0,AR$13),15-13*ORÇAMENTO!$AF$7)*OFFSET(ORÇAMENTO!$W$15,ROW(AR360)-ROW(AR$15),0),15-13*ORÇAMENTO!$AF$11)),
         0)</f>
        <v>0</v>
      </c>
      <c r="AS360" s="453">
        <f ca="1">IF(AND($D360="Serviço",AS$12&lt;&gt;0,$H360&gt;0,OR(AUTOEVENTO&lt;&gt;"manual",$M360&lt;&gt;$A$15)),
        IF(Import.TipoArredondamento&lt;&gt;"TransfereGOV",
              ROUND(OFFSET($P360,0,AS$13),15-13*ORÇAMENTO!$AF$7)/$H360*OFFSET(ORÇAMENTO!$X$15,ROW(AS360)-ROW(AS$15),0),
              ROUND(ROUND(OFFSET($P360,0,AS$13),15-13*ORÇAMENTO!$AF$7)*OFFSET(ORÇAMENTO!$W$15,ROW(AS360)-ROW(AS$15),0),15-13*ORÇAMENTO!$AF$11)),
         0)</f>
        <v>0</v>
      </c>
      <c r="AT360" s="453">
        <f ca="1">IF(AND($D360="Serviço",AT$12&lt;&gt;0,$H360&gt;0,OR(AUTOEVENTO&lt;&gt;"manual",$M360&lt;&gt;$A$15)),
        IF(Import.TipoArredondamento&lt;&gt;"TransfereGOV",
              ROUND(OFFSET($P360,0,AT$13),15-13*ORÇAMENTO!$AF$7)/$H360*OFFSET(ORÇAMENTO!$X$15,ROW(AT360)-ROW(AT$15),0),
              ROUND(ROUND(OFFSET($P360,0,AT$13),15-13*ORÇAMENTO!$AF$7)*OFFSET(ORÇAMENTO!$W$15,ROW(AT360)-ROW(AT$15),0),15-13*ORÇAMENTO!$AF$11)),
         0)</f>
        <v>0</v>
      </c>
      <c r="AU360" s="453">
        <f ca="1">IF(AND($D360="Serviço",AU$12&lt;&gt;0,$H360&gt;0,OR(AUTOEVENTO&lt;&gt;"manual",$M360&lt;&gt;$A$15)),
        IF(Import.TipoArredondamento&lt;&gt;"TransfereGOV",
              ROUND(OFFSET($P360,0,AU$13),15-13*ORÇAMENTO!$AF$7)/$H360*OFFSET(ORÇAMENTO!$X$15,ROW(AU360)-ROW(AU$15),0),
              ROUND(ROUND(OFFSET($P360,0,AU$13),15-13*ORÇAMENTO!$AF$7)*OFFSET(ORÇAMENTO!$W$15,ROW(AU360)-ROW(AU$15),0),15-13*ORÇAMENTO!$AF$11)),
         0)</f>
        <v>0</v>
      </c>
      <c r="AV360" s="453">
        <f ca="1">IF(AND($D360="Serviço",AV$12&lt;&gt;0,$H360&gt;0,OR(AUTOEVENTO&lt;&gt;"manual",$M360&lt;&gt;$A$15)),
        IF(Import.TipoArredondamento&lt;&gt;"TransfereGOV",
              ROUND(OFFSET($P360,0,AV$13),15-13*ORÇAMENTO!$AF$7)/$H360*OFFSET(ORÇAMENTO!$X$15,ROW(AV360)-ROW(AV$15),0),
              ROUND(ROUND(OFFSET($P360,0,AV$13),15-13*ORÇAMENTO!$AF$7)*OFFSET(ORÇAMENTO!$W$15,ROW(AV360)-ROW(AV$15),0),15-13*ORÇAMENTO!$AF$11)),
         0)</f>
        <v>0</v>
      </c>
      <c r="AW360" s="453">
        <f ca="1">IF(AND($D360="Serviço",AW$12&lt;&gt;0,$H360&gt;0,OR(AUTOEVENTO&lt;&gt;"manual",$M360&lt;&gt;$A$15)),
        IF(Import.TipoArredondamento&lt;&gt;"TransfereGOV",
              ROUND(OFFSET($P360,0,AW$13),15-13*ORÇAMENTO!$AF$7)/$H360*OFFSET(ORÇAMENTO!$X$15,ROW(AW360)-ROW(AW$15),0),
              ROUND(ROUND(OFFSET($P360,0,AW$13),15-13*ORÇAMENTO!$AF$7)*OFFSET(ORÇAMENTO!$W$15,ROW(AW360)-ROW(AW$15),0),15-13*ORÇAMENTO!$AF$11)),
         0)</f>
        <v>0</v>
      </c>
      <c r="AX360" s="453">
        <f ca="1">IF(AND($D360="Serviço",AX$12&lt;&gt;0,$H360&gt;0,OR(AUTOEVENTO&lt;&gt;"manual",$M360&lt;&gt;$A$15)),
        IF(Import.TipoArredondamento&lt;&gt;"TransfereGOV",
              ROUND(OFFSET($P360,0,AX$13),15-13*ORÇAMENTO!$AF$7)/$H360*OFFSET(ORÇAMENTO!$X$15,ROW(AX360)-ROW(AX$15),0),
              ROUND(ROUND(OFFSET($P360,0,AX$13),15-13*ORÇAMENTO!$AF$7)*OFFSET(ORÇAMENTO!$W$15,ROW(AX360)-ROW(AX$15),0),15-13*ORÇAMENTO!$AF$11)),
         0)</f>
        <v>0</v>
      </c>
      <c r="AY360" s="453">
        <f ca="1">IF(AND($D360="Serviço",AY$12&lt;&gt;0,$H360&gt;0,OR(AUTOEVENTO&lt;&gt;"manual",$M360&lt;&gt;$A$15)),
        IF(Import.TipoArredondamento&lt;&gt;"TransfereGOV",
              ROUND(OFFSET($P360,0,AY$13),15-13*ORÇAMENTO!$AF$7)/$H360*OFFSET(ORÇAMENTO!$X$15,ROW(AY360)-ROW(AY$15),0),
              ROUND(ROUND(OFFSET($P360,0,AY$13),15-13*ORÇAMENTO!$AF$7)*OFFSET(ORÇAMENTO!$W$15,ROW(AY360)-ROW(AY$15),0),15-13*ORÇAMENTO!$AF$11)),
         0)</f>
        <v>0</v>
      </c>
      <c r="AZ360" s="453">
        <f ca="1">IF(AND($D360="Serviço",AZ$12&lt;&gt;0,$H360&gt;0,OR(AUTOEVENTO&lt;&gt;"manual",$M360&lt;&gt;$A$15)),
        IF(Import.TipoArredondamento&lt;&gt;"TransfereGOV",
              ROUND(OFFSET($P360,0,AZ$13),15-13*ORÇAMENTO!$AF$7)/$H360*OFFSET(ORÇAMENTO!$X$15,ROW(AZ360)-ROW(AZ$15),0),
              ROUND(ROUND(OFFSET($P360,0,AZ$13),15-13*ORÇAMENTO!$AF$7)*OFFSET(ORÇAMENTO!$W$15,ROW(AZ360)-ROW(AZ$15),0),15-13*ORÇAMENTO!$AF$11)),
         0)</f>
        <v>0</v>
      </c>
      <c r="BA360" s="453">
        <f ca="1">IF(AND($D360="Serviço",BA$12&lt;&gt;0,$H360&gt;0,OR(AUTOEVENTO&lt;&gt;"manual",$M360&lt;&gt;$A$15)),
        IF(Import.TipoArredondamento&lt;&gt;"TransfereGOV",
              ROUND(OFFSET($P360,0,BA$13),15-13*ORÇAMENTO!$AF$7)/$H360*OFFSET(ORÇAMENTO!$X$15,ROW(BA360)-ROW(BA$15),0),
              ROUND(ROUND(OFFSET($P360,0,BA$13),15-13*ORÇAMENTO!$AF$7)*OFFSET(ORÇAMENTO!$W$15,ROW(BA360)-ROW(BA$15),0),15-13*ORÇAMENTO!$AF$11)),
         0)</f>
        <v>0</v>
      </c>
      <c r="BC360" s="171">
        <f ca="1">IF(OR($D360&lt;&gt;"Serviço",AND(AUTOEVENTO="Manual",$M360=$A$15)),0,
         IF(OFFSET(CRONOPLE!$F$15,$M360-$A$15,BC$13)=0,10^12,OFFSET(CRONOPLE!$F$15,$M360-$A$15,BC$13)))</f>
        <v>0</v>
      </c>
      <c r="BD360" s="171">
        <f ca="1">IF(OR($D360&lt;&gt;"Serviço",AND(AUTOEVENTO="Manual",$M360=$A$15)),0,
         IF(OFFSET(CRONOPLE!$F$15,$M360-$A$15,BD$13)=0,10^12,OFFSET(CRONOPLE!$F$15,$M360-$A$15,BD$13)))</f>
        <v>0</v>
      </c>
      <c r="BE360" s="171">
        <f ca="1">IF(OR($D360&lt;&gt;"Serviço",AND(AUTOEVENTO="Manual",$M360=$A$15)),0,
         IF(OFFSET(CRONOPLE!$F$15,$M360-$A$15,BE$13)=0,10^12,OFFSET(CRONOPLE!$F$15,$M360-$A$15,BE$13)))</f>
        <v>0</v>
      </c>
      <c r="BF360" s="171">
        <f ca="1">IF(OR($D360&lt;&gt;"Serviço",AND(AUTOEVENTO="Manual",$M360=$A$15)),0,
         IF(OFFSET(CRONOPLE!$F$15,$M360-$A$15,BF$13)=0,10^12,OFFSET(CRONOPLE!$F$15,$M360-$A$15,BF$13)))</f>
        <v>0</v>
      </c>
      <c r="BG360" s="171">
        <f ca="1">IF(OR($D360&lt;&gt;"Serviço",AND(AUTOEVENTO="Manual",$M360=$A$15)),0,
         IF(OFFSET(CRONOPLE!$F$15,$M360-$A$15,BG$13)=0,10^12,OFFSET(CRONOPLE!$F$15,$M360-$A$15,BG$13)))</f>
        <v>0</v>
      </c>
      <c r="BH360" s="171">
        <f ca="1">IF(OR($D360&lt;&gt;"Serviço",AND(AUTOEVENTO="Manual",$M360=$A$15)),0,
         IF(OFFSET(CRONOPLE!$F$15,$M360-$A$15,BH$13)=0,10^12,OFFSET(CRONOPLE!$F$15,$M360-$A$15,BH$13)))</f>
        <v>0</v>
      </c>
      <c r="BI360" s="171">
        <f ca="1">IF(OR($D360&lt;&gt;"Serviço",AND(AUTOEVENTO="Manual",$M360=$A$15)),0,
         IF(OFFSET(CRONOPLE!$F$15,$M360-$A$15,BI$13)=0,10^12,OFFSET(CRONOPLE!$F$15,$M360-$A$15,BI$13)))</f>
        <v>0</v>
      </c>
      <c r="BJ360" s="171">
        <f ca="1">IF(OR($D360&lt;&gt;"Serviço",AND(AUTOEVENTO="Manual",$M360=$A$15)),0,
         IF(OFFSET(CRONOPLE!$F$15,$M360-$A$15,BJ$13)=0,10^12,OFFSET(CRONOPLE!$F$15,$M360-$A$15,BJ$13)))</f>
        <v>0</v>
      </c>
      <c r="BK360" s="171">
        <f ca="1">IF(OR($D360&lt;&gt;"Serviço",AND(AUTOEVENTO="Manual",$M360=$A$15)),0,
         IF(OFFSET(CRONOPLE!$F$15,$M360-$A$15,BK$13)=0,10^12,OFFSET(CRONOPLE!$F$15,$M360-$A$15,BK$13)))</f>
        <v>0</v>
      </c>
      <c r="BL360" s="171">
        <f ca="1">IF(OR($D360&lt;&gt;"Serviço",AND(AUTOEVENTO="Manual",$M360=$A$15)),0,
         IF(OFFSET(CRONOPLE!$F$15,$M360-$A$15,BL$13)=0,10^12,OFFSET(CRONOPLE!$F$15,$M360-$A$15,BL$13)))</f>
        <v>0</v>
      </c>
      <c r="BM360" s="171">
        <f ca="1">IF(OR($D360&lt;&gt;"Serviço",AND(AUTOEVENTO="Manual",$M360=$A$15)),0,
         IF(OFFSET(CRONOPLE!$F$15,$M360-$A$15,BM$13)=0,10^12,OFFSET(CRONOPLE!$F$15,$M360-$A$15,BM$13)))</f>
        <v>0</v>
      </c>
      <c r="BN360" s="171">
        <f ca="1">IF(OR($D360&lt;&gt;"Serviço",AND(AUTOEVENTO="Manual",$M360=$A$15)),0,
         IF(OFFSET(CRONOPLE!$F$15,$M360-$A$15,BN$13)=0,10^12,OFFSET(CRONOPLE!$F$15,$M360-$A$15,BN$13)))</f>
        <v>0</v>
      </c>
      <c r="BO360" s="171">
        <f ca="1">IF(OR($D360&lt;&gt;"Serviço",AND(AUTOEVENTO="Manual",$M360=$A$15)),0,
         IF(OFFSET(CRONOPLE!$F$15,$M360-$A$15,BO$13)=0,10^12,OFFSET(CRONOPLE!$F$15,$M360-$A$15,BO$13)))</f>
        <v>0</v>
      </c>
      <c r="BP360" s="171">
        <f ca="1">IF(OR($D360&lt;&gt;"Serviço",AND(AUTOEVENTO="Manual",$M360=$A$15)),0,
         IF(OFFSET(CRONOPLE!$F$15,$M360-$A$15,BP$13)=0,10^12,OFFSET(CRONOPLE!$F$15,$M360-$A$15,BP$13)))</f>
        <v>0</v>
      </c>
      <c r="BQ360" s="171">
        <f ca="1">IF(OR($D360&lt;&gt;"Serviço",AND(AUTOEVENTO="Manual",$M360=$A$15)),0,
         IF(OFFSET(CRONOPLE!$F$15,$M360-$A$15,BQ$13)=0,10^12,OFFSET(CRONOPLE!$F$15,$M360-$A$15,BQ$13)))</f>
        <v>0</v>
      </c>
      <c r="BR360" s="171">
        <f ca="1">IF(OR($D360&lt;&gt;"Serviço",AND(AUTOEVENTO="Manual",$M360=$A$15)),0,
         IF(OFFSET(CRONOPLE!$F$15,$M360-$A$15,BR$13)=0,10^12,OFFSET(CRONOPLE!$F$15,$M360-$A$15,BR$13)))</f>
        <v>0</v>
      </c>
      <c r="BS360" s="171">
        <f ca="1">IF(OR($D360&lt;&gt;"Serviço",AND(AUTOEVENTO="Manual",$M360=$A$15)),0,
         IF(OFFSET(CRONOPLE!$F$15,$M360-$A$15,BS$13)=0,10^12,OFFSET(CRONOPLE!$F$15,$M360-$A$15,BS$13)))</f>
        <v>0</v>
      </c>
      <c r="BT360" s="171">
        <f ca="1">IF(OR($D360&lt;&gt;"Serviço",AND(AUTOEVENTO="Manual",$M360=$A$15)),0,
         IF(OFFSET(CRONOPLE!$F$15,$M360-$A$15,BT$13)=0,10^12,OFFSET(CRONOPLE!$F$15,$M360-$A$15,BT$13)))</f>
        <v>0</v>
      </c>
      <c r="BV360" s="172">
        <f ca="1">IF(OR($D360&lt;&gt;"Serviço",AND(AUTOEVENTO="Manual",$M360=$A$15),$M360&gt;(ROW(PLE.lastrow)-ROW(PLE.firstrow))),0,
           IF(OFFSET(PLE!$G$15,$M360-$A$15,BV$13)="",10^12,OFFSET(PLE!$G$15,$M360-$A$15,BV$13)))</f>
        <v>0</v>
      </c>
      <c r="BW360" s="172">
        <f ca="1">IF(OR($D360&lt;&gt;"Serviço",AND(AUTOEVENTO="Manual",$M360=$A$15),$M360&gt;(ROW(PLE.lastrow)-ROW(PLE.firstrow))),0,
           IF(OFFSET(PLE!$G$15,$M360-$A$15,BW$13)="",10^12,OFFSET(PLE!$G$15,$M360-$A$15,BW$13)))</f>
        <v>0</v>
      </c>
      <c r="BX360" s="172">
        <f ca="1">IF(OR($D360&lt;&gt;"Serviço",AND(AUTOEVENTO="Manual",$M360=$A$15),$M360&gt;(ROW(PLE.lastrow)-ROW(PLE.firstrow))),0,
           IF(OFFSET(PLE!$G$15,$M360-$A$15,BX$13)="",10^12,OFFSET(PLE!$G$15,$M360-$A$15,BX$13)))</f>
        <v>0</v>
      </c>
      <c r="BY360" s="172">
        <f ca="1">IF(OR($D360&lt;&gt;"Serviço",AND(AUTOEVENTO="Manual",$M360=$A$15),$M360&gt;(ROW(PLE.lastrow)-ROW(PLE.firstrow))),0,
           IF(OFFSET(PLE!$G$15,$M360-$A$15,BY$13)="",10^12,OFFSET(PLE!$G$15,$M360-$A$15,BY$13)))</f>
        <v>0</v>
      </c>
      <c r="BZ360" s="172">
        <f ca="1">IF(OR($D360&lt;&gt;"Serviço",AND(AUTOEVENTO="Manual",$M360=$A$15),$M360&gt;(ROW(PLE.lastrow)-ROW(PLE.firstrow))),0,
           IF(OFFSET(PLE!$G$15,$M360-$A$15,BZ$13)="",10^12,OFFSET(PLE!$G$15,$M360-$A$15,BZ$13)))</f>
        <v>0</v>
      </c>
      <c r="CA360" s="172">
        <f ca="1">IF(OR($D360&lt;&gt;"Serviço",AND(AUTOEVENTO="Manual",$M360=$A$15),$M360&gt;(ROW(PLE.lastrow)-ROW(PLE.firstrow))),0,
           IF(OFFSET(PLE!$G$15,$M360-$A$15,CA$13)="",10^12,OFFSET(PLE!$G$15,$M360-$A$15,CA$13)))</f>
        <v>0</v>
      </c>
      <c r="CB360" s="172">
        <f ca="1">IF(OR($D360&lt;&gt;"Serviço",AND(AUTOEVENTO="Manual",$M360=$A$15),$M360&gt;(ROW(PLE.lastrow)-ROW(PLE.firstrow))),0,
           IF(OFFSET(PLE!$G$15,$M360-$A$15,CB$13)="",10^12,OFFSET(PLE!$G$15,$M360-$A$15,CB$13)))</f>
        <v>0</v>
      </c>
      <c r="CC360" s="172">
        <f ca="1">IF(OR($D360&lt;&gt;"Serviço",AND(AUTOEVENTO="Manual",$M360=$A$15),$M360&gt;(ROW(PLE.lastrow)-ROW(PLE.firstrow))),0,
           IF(OFFSET(PLE!$G$15,$M360-$A$15,CC$13)="",10^12,OFFSET(PLE!$G$15,$M360-$A$15,CC$13)))</f>
        <v>0</v>
      </c>
      <c r="CD360" s="172">
        <f ca="1">IF(OR($D360&lt;&gt;"Serviço",AND(AUTOEVENTO="Manual",$M360=$A$15),$M360&gt;(ROW(PLE.lastrow)-ROW(PLE.firstrow))),0,
           IF(OFFSET(PLE!$G$15,$M360-$A$15,CD$13)="",10^12,OFFSET(PLE!$G$15,$M360-$A$15,CD$13)))</f>
        <v>0</v>
      </c>
      <c r="CE360" s="172">
        <f ca="1">IF(OR($D360&lt;&gt;"Serviço",AND(AUTOEVENTO="Manual",$M360=$A$15),$M360&gt;(ROW(PLE.lastrow)-ROW(PLE.firstrow))),0,
           IF(OFFSET(PLE!$G$15,$M360-$A$15,CE$13)="",10^12,OFFSET(PLE!$G$15,$M360-$A$15,CE$13)))</f>
        <v>0</v>
      </c>
      <c r="CF360" s="172">
        <f ca="1">IF(OR($D360&lt;&gt;"Serviço",AND(AUTOEVENTO="Manual",$M360=$A$15),$M360&gt;(ROW(PLE.lastrow)-ROW(PLE.firstrow))),0,
           IF(OFFSET(PLE!$G$15,$M360-$A$15,CF$13)="",10^12,OFFSET(PLE!$G$15,$M360-$A$15,CF$13)))</f>
        <v>0</v>
      </c>
      <c r="CG360" s="172">
        <f ca="1">IF(OR($D360&lt;&gt;"Serviço",AND(AUTOEVENTO="Manual",$M360=$A$15),$M360&gt;(ROW(PLE.lastrow)-ROW(PLE.firstrow))),0,
           IF(OFFSET(PLE!$G$15,$M360-$A$15,CG$13)="",10^12,OFFSET(PLE!$G$15,$M360-$A$15,CG$13)))</f>
        <v>0</v>
      </c>
      <c r="CH360" s="172">
        <f ca="1">IF(OR($D360&lt;&gt;"Serviço",AND(AUTOEVENTO="Manual",$M360=$A$15),$M360&gt;(ROW(PLE.lastrow)-ROW(PLE.firstrow))),0,
           IF(OFFSET(PLE!$G$15,$M360-$A$15,CH$13)="",10^12,OFFSET(PLE!$G$15,$M360-$A$15,CH$13)))</f>
        <v>0</v>
      </c>
      <c r="CI360" s="172">
        <f ca="1">IF(OR($D360&lt;&gt;"Serviço",AND(AUTOEVENTO="Manual",$M360=$A$15),$M360&gt;(ROW(PLE.lastrow)-ROW(PLE.firstrow))),0,
           IF(OFFSET(PLE!$G$15,$M360-$A$15,CI$13)="",10^12,OFFSET(PLE!$G$15,$M360-$A$15,CI$13)))</f>
        <v>0</v>
      </c>
      <c r="CJ360" s="172">
        <f ca="1">IF(OR($D360&lt;&gt;"Serviço",AND(AUTOEVENTO="Manual",$M360=$A$15),$M360&gt;(ROW(PLE.lastrow)-ROW(PLE.firstrow))),0,
           IF(OFFSET(PLE!$G$15,$M360-$A$15,CJ$13)="",10^12,OFFSET(PLE!$G$15,$M360-$A$15,CJ$13)))</f>
        <v>0</v>
      </c>
      <c r="CK360" s="172">
        <f ca="1">IF(OR($D360&lt;&gt;"Serviço",AND(AUTOEVENTO="Manual",$M360=$A$15),$M360&gt;(ROW(PLE.lastrow)-ROW(PLE.firstrow))),0,
           IF(OFFSET(PLE!$G$15,$M360-$A$15,CK$13)="",10^12,OFFSET(PLE!$G$15,$M360-$A$15,CK$13)))</f>
        <v>0</v>
      </c>
      <c r="CL360" s="172">
        <f ca="1">IF(OR($D360&lt;&gt;"Serviço",AND(AUTOEVENTO="Manual",$M360=$A$15),$M360&gt;(ROW(PLE.lastrow)-ROW(PLE.firstrow))),0,
           IF(OFFSET(PLE!$G$15,$M360-$A$15,CL$13)="",10^12,OFFSET(PLE!$G$15,$M360-$A$15,CL$13)))</f>
        <v>0</v>
      </c>
      <c r="CM360" s="172">
        <f ca="1">IF(OR($D360&lt;&gt;"Serviço",AND(AUTOEVENTO="Manual",$M360=$A$15),$M360&gt;(ROW(PLE.lastrow)-ROW(PLE.firstrow))),0,
           IF(OFFSET(PLE!$G$15,$M360-$A$15,CM$13)="",10^12,OFFSET(PLE!$G$15,$M360-$A$15,CM$13)))</f>
        <v>0</v>
      </c>
    </row>
    <row r="361" spans="1:91" ht="12.75" x14ac:dyDescent="0.2">
      <c r="A361" s="7">
        <f t="shared" ca="1" si="15"/>
        <v>0</v>
      </c>
      <c r="B361" s="7">
        <f ca="1">OFFSET(ORÇAMENTO!C$15,ROW(B361)-ROW(B$15),0)</f>
        <v>3</v>
      </c>
      <c r="C361" s="7" t="str">
        <f ca="1">OFFSET(ORÇAMENTO!L$15,ROW(C361)-ROW(C$15),0)</f>
        <v>F</v>
      </c>
      <c r="D361" s="116" t="str">
        <f ca="1">OFFSET(ORÇAMENTO!N$15,ROW(D361)-ROW(D$15),0)</f>
        <v>Nível 3</v>
      </c>
      <c r="E361" s="117" t="str">
        <f ca="1">OFFSET(ORÇAMENTO!O$15,ROW(E361)-ROW(E$15),0)</f>
        <v>1.8.1.</v>
      </c>
      <c r="F361" s="163" t="str">
        <f ca="1">OFFSET(ORÇAMENTO!R$15,ROW(F361)-ROW(F$15),0)</f>
        <v>INSTALAÇÕES ELÉTRICAS - FASE I</v>
      </c>
      <c r="G361" s="164" t="str">
        <f ca="1">IF($D361&lt;&gt;"Serviço","",OFFSET(ORÇAMENTO!S$15,ROW(G361)-ROW(G$15),0))</f>
        <v/>
      </c>
      <c r="H361" s="122" cm="1">
        <f t="array" aca="1" ref="H361" ca="1">IF($D361&lt;&gt;"Serviço",0,IF(ACOMPANHAMENTO="BM",ROUND(OFFSET(ORÇAMENTO!AJ$15,ROW(H361)-ROW(H$15),0),15-13*ORÇAMENTO!$AF$7),SUMPRODUCT(($Q$1:$AI$1=1)*ROUND($Q361:$AI361,15-13*ORÇAMENTO!$AF$7))))</f>
        <v>0</v>
      </c>
      <c r="I361" s="468"/>
      <c r="J361" s="640" t="str" cm="1">
        <f t="array" aca="1" ref="J361" ca="1">IF(OR(B361&lt;&gt;"S",CÁLCULO.FrentesPreenchidas=0),"",IF(AND(ACOMPANHAMENTO="PLE",AUTOEVENTO="Manual",OR(H361&gt;0,ORÇAMENTO!AC361="QUANT."),OR(K361="",M361=0,N361="")),"►E",IF(AND(ACOMPANHAMENTO="PLE",ORÇAMENTO!AC361="QUANT."),"►Q",IF(AND(ACOMPANHAMENTO="PLE",H361&lt;&gt;SUMPRODUCT(($Q$1:$AI$1=1)*ROUND(Q361:AI361,15))),"►S",IF(AND(COUNTIF($P$11:$AI$11,"▼")=0,H361&gt;0,I361=""),"◄M","")))))</f>
        <v/>
      </c>
      <c r="K361" s="641"/>
      <c r="L361" s="165" t="s">
        <v>764</v>
      </c>
      <c r="M361" s="166" t="str">
        <f ca="1">IF($D361&lt;&gt;"Serviço","",
          IF(AUTOEVENTO="manual",$A361,
                IF(ISERROR(MATCH($A361,$A$15:OFFSET($A361,-1,0),0)),MAX($M$15:OFFSET(M361,-1,0))+1,
                      INDEX($M$15:OFFSET(M361,-1,0),MATCH($A361,$A$15:OFFSET($A361,-1,0),0)))))</f>
        <v/>
      </c>
      <c r="N361" s="167" t="str">
        <f ca="1">IF($D361&lt;&gt;"Serviço","",
         IF(AUTOEVENTO="Manual",
                IF($A361=0,"&lt;-- defina o número do agrupador",
                       OFFSET(EVENTOS!$D$15,$A361-$A$15,0)),
                OFFSET($F$15,$A361,0)))</f>
        <v/>
      </c>
      <c r="O361" s="168"/>
      <c r="Q361" s="168"/>
      <c r="R361" s="169"/>
      <c r="S361" s="169"/>
      <c r="T361" s="169"/>
      <c r="U361" s="169"/>
      <c r="V361" s="169"/>
      <c r="W361" s="169"/>
      <c r="X361" s="169"/>
      <c r="Y361" s="169"/>
      <c r="Z361" s="170"/>
      <c r="AA361" s="169"/>
      <c r="AB361" s="169"/>
      <c r="AC361" s="169"/>
      <c r="AD361" s="169"/>
      <c r="AE361" s="169"/>
      <c r="AF361" s="169"/>
      <c r="AG361" s="169"/>
      <c r="AH361" s="170"/>
      <c r="AJ361" s="453">
        <f ca="1">IF(AND($D361="Serviço",AJ$12&lt;&gt;0,$H361&gt;0,OR(AUTOEVENTO&lt;&gt;"manual",$M361&lt;&gt;$A$15)),
        IF(Import.TipoArredondamento&lt;&gt;"TransfereGOV",
              ROUND(OFFSET($P361,0,AJ$13),15-13*ORÇAMENTO!$AF$7)/$H361*OFFSET(ORÇAMENTO!$X$15,ROW(AJ361)-ROW(AJ$15),0),
              ROUND(ROUND(OFFSET($P361,0,AJ$13),15-13*ORÇAMENTO!$AF$7)*OFFSET(ORÇAMENTO!$W$15,ROW(AJ361)-ROW(AJ$15),0),15-13*ORÇAMENTO!$AF$11)),
         0)</f>
        <v>0</v>
      </c>
      <c r="AK361" s="453">
        <f ca="1">IF(AND($D361="Serviço",AK$12&lt;&gt;0,$H361&gt;0,OR(AUTOEVENTO&lt;&gt;"manual",$M361&lt;&gt;$A$15)),
        IF(Import.TipoArredondamento&lt;&gt;"TransfereGOV",
              ROUND(OFFSET($P361,0,AK$13),15-13*ORÇAMENTO!$AF$7)/$H361*OFFSET(ORÇAMENTO!$X$15,ROW(AK361)-ROW(AK$15),0),
              ROUND(ROUND(OFFSET($P361,0,AK$13),15-13*ORÇAMENTO!$AF$7)*OFFSET(ORÇAMENTO!$W$15,ROW(AK361)-ROW(AK$15),0),15-13*ORÇAMENTO!$AF$11)),
         0)</f>
        <v>0</v>
      </c>
      <c r="AL361" s="453">
        <f ca="1">IF(AND($D361="Serviço",AL$12&lt;&gt;0,$H361&gt;0,OR(AUTOEVENTO&lt;&gt;"manual",$M361&lt;&gt;$A$15)),
        IF(Import.TipoArredondamento&lt;&gt;"TransfereGOV",
              ROUND(OFFSET($P361,0,AL$13),15-13*ORÇAMENTO!$AF$7)/$H361*OFFSET(ORÇAMENTO!$X$15,ROW(AL361)-ROW(AL$15),0),
              ROUND(ROUND(OFFSET($P361,0,AL$13),15-13*ORÇAMENTO!$AF$7)*OFFSET(ORÇAMENTO!$W$15,ROW(AL361)-ROW(AL$15),0),15-13*ORÇAMENTO!$AF$11)),
         0)</f>
        <v>0</v>
      </c>
      <c r="AM361" s="453">
        <f ca="1">IF(AND($D361="Serviço",AM$12&lt;&gt;0,$H361&gt;0,OR(AUTOEVENTO&lt;&gt;"manual",$M361&lt;&gt;$A$15)),
        IF(Import.TipoArredondamento&lt;&gt;"TransfereGOV",
              ROUND(OFFSET($P361,0,AM$13),15-13*ORÇAMENTO!$AF$7)/$H361*OFFSET(ORÇAMENTO!$X$15,ROW(AM361)-ROW(AM$15),0),
              ROUND(ROUND(OFFSET($P361,0,AM$13),15-13*ORÇAMENTO!$AF$7)*OFFSET(ORÇAMENTO!$W$15,ROW(AM361)-ROW(AM$15),0),15-13*ORÇAMENTO!$AF$11)),
         0)</f>
        <v>0</v>
      </c>
      <c r="AN361" s="453">
        <f ca="1">IF(AND($D361="Serviço",AN$12&lt;&gt;0,$H361&gt;0,OR(AUTOEVENTO&lt;&gt;"manual",$M361&lt;&gt;$A$15)),
        IF(Import.TipoArredondamento&lt;&gt;"TransfereGOV",
              ROUND(OFFSET($P361,0,AN$13),15-13*ORÇAMENTO!$AF$7)/$H361*OFFSET(ORÇAMENTO!$X$15,ROW(AN361)-ROW(AN$15),0),
              ROUND(ROUND(OFFSET($P361,0,AN$13),15-13*ORÇAMENTO!$AF$7)*OFFSET(ORÇAMENTO!$W$15,ROW(AN361)-ROW(AN$15),0),15-13*ORÇAMENTO!$AF$11)),
         0)</f>
        <v>0</v>
      </c>
      <c r="AO361" s="453">
        <f ca="1">IF(AND($D361="Serviço",AO$12&lt;&gt;0,$H361&gt;0,OR(AUTOEVENTO&lt;&gt;"manual",$M361&lt;&gt;$A$15)),
        IF(Import.TipoArredondamento&lt;&gt;"TransfereGOV",
              ROUND(OFFSET($P361,0,AO$13),15-13*ORÇAMENTO!$AF$7)/$H361*OFFSET(ORÇAMENTO!$X$15,ROW(AO361)-ROW(AO$15),0),
              ROUND(ROUND(OFFSET($P361,0,AO$13),15-13*ORÇAMENTO!$AF$7)*OFFSET(ORÇAMENTO!$W$15,ROW(AO361)-ROW(AO$15),0),15-13*ORÇAMENTO!$AF$11)),
         0)</f>
        <v>0</v>
      </c>
      <c r="AP361" s="453">
        <f ca="1">IF(AND($D361="Serviço",AP$12&lt;&gt;0,$H361&gt;0,OR(AUTOEVENTO&lt;&gt;"manual",$M361&lt;&gt;$A$15)),
        IF(Import.TipoArredondamento&lt;&gt;"TransfereGOV",
              ROUND(OFFSET($P361,0,AP$13),15-13*ORÇAMENTO!$AF$7)/$H361*OFFSET(ORÇAMENTO!$X$15,ROW(AP361)-ROW(AP$15),0),
              ROUND(ROUND(OFFSET($P361,0,AP$13),15-13*ORÇAMENTO!$AF$7)*OFFSET(ORÇAMENTO!$W$15,ROW(AP361)-ROW(AP$15),0),15-13*ORÇAMENTO!$AF$11)),
         0)</f>
        <v>0</v>
      </c>
      <c r="AQ361" s="453">
        <f ca="1">IF(AND($D361="Serviço",AQ$12&lt;&gt;0,$H361&gt;0,OR(AUTOEVENTO&lt;&gt;"manual",$M361&lt;&gt;$A$15)),
        IF(Import.TipoArredondamento&lt;&gt;"TransfereGOV",
              ROUND(OFFSET($P361,0,AQ$13),15-13*ORÇAMENTO!$AF$7)/$H361*OFFSET(ORÇAMENTO!$X$15,ROW(AQ361)-ROW(AQ$15),0),
              ROUND(ROUND(OFFSET($P361,0,AQ$13),15-13*ORÇAMENTO!$AF$7)*OFFSET(ORÇAMENTO!$W$15,ROW(AQ361)-ROW(AQ$15),0),15-13*ORÇAMENTO!$AF$11)),
         0)</f>
        <v>0</v>
      </c>
      <c r="AR361" s="453">
        <f ca="1">IF(AND($D361="Serviço",AR$12&lt;&gt;0,$H361&gt;0,OR(AUTOEVENTO&lt;&gt;"manual",$M361&lt;&gt;$A$15)),
        IF(Import.TipoArredondamento&lt;&gt;"TransfereGOV",
              ROUND(OFFSET($P361,0,AR$13),15-13*ORÇAMENTO!$AF$7)/$H361*OFFSET(ORÇAMENTO!$X$15,ROW(AR361)-ROW(AR$15),0),
              ROUND(ROUND(OFFSET($P361,0,AR$13),15-13*ORÇAMENTO!$AF$7)*OFFSET(ORÇAMENTO!$W$15,ROW(AR361)-ROW(AR$15),0),15-13*ORÇAMENTO!$AF$11)),
         0)</f>
        <v>0</v>
      </c>
      <c r="AS361" s="453">
        <f ca="1">IF(AND($D361="Serviço",AS$12&lt;&gt;0,$H361&gt;0,OR(AUTOEVENTO&lt;&gt;"manual",$M361&lt;&gt;$A$15)),
        IF(Import.TipoArredondamento&lt;&gt;"TransfereGOV",
              ROUND(OFFSET($P361,0,AS$13),15-13*ORÇAMENTO!$AF$7)/$H361*OFFSET(ORÇAMENTO!$X$15,ROW(AS361)-ROW(AS$15),0),
              ROUND(ROUND(OFFSET($P361,0,AS$13),15-13*ORÇAMENTO!$AF$7)*OFFSET(ORÇAMENTO!$W$15,ROW(AS361)-ROW(AS$15),0),15-13*ORÇAMENTO!$AF$11)),
         0)</f>
        <v>0</v>
      </c>
      <c r="AT361" s="453">
        <f ca="1">IF(AND($D361="Serviço",AT$12&lt;&gt;0,$H361&gt;0,OR(AUTOEVENTO&lt;&gt;"manual",$M361&lt;&gt;$A$15)),
        IF(Import.TipoArredondamento&lt;&gt;"TransfereGOV",
              ROUND(OFFSET($P361,0,AT$13),15-13*ORÇAMENTO!$AF$7)/$H361*OFFSET(ORÇAMENTO!$X$15,ROW(AT361)-ROW(AT$15),0),
              ROUND(ROUND(OFFSET($P361,0,AT$13),15-13*ORÇAMENTO!$AF$7)*OFFSET(ORÇAMENTO!$W$15,ROW(AT361)-ROW(AT$15),0),15-13*ORÇAMENTO!$AF$11)),
         0)</f>
        <v>0</v>
      </c>
      <c r="AU361" s="453">
        <f ca="1">IF(AND($D361="Serviço",AU$12&lt;&gt;0,$H361&gt;0,OR(AUTOEVENTO&lt;&gt;"manual",$M361&lt;&gt;$A$15)),
        IF(Import.TipoArredondamento&lt;&gt;"TransfereGOV",
              ROUND(OFFSET($P361,0,AU$13),15-13*ORÇAMENTO!$AF$7)/$H361*OFFSET(ORÇAMENTO!$X$15,ROW(AU361)-ROW(AU$15),0),
              ROUND(ROUND(OFFSET($P361,0,AU$13),15-13*ORÇAMENTO!$AF$7)*OFFSET(ORÇAMENTO!$W$15,ROW(AU361)-ROW(AU$15),0),15-13*ORÇAMENTO!$AF$11)),
         0)</f>
        <v>0</v>
      </c>
      <c r="AV361" s="453">
        <f ca="1">IF(AND($D361="Serviço",AV$12&lt;&gt;0,$H361&gt;0,OR(AUTOEVENTO&lt;&gt;"manual",$M361&lt;&gt;$A$15)),
        IF(Import.TipoArredondamento&lt;&gt;"TransfereGOV",
              ROUND(OFFSET($P361,0,AV$13),15-13*ORÇAMENTO!$AF$7)/$H361*OFFSET(ORÇAMENTO!$X$15,ROW(AV361)-ROW(AV$15),0),
              ROUND(ROUND(OFFSET($P361,0,AV$13),15-13*ORÇAMENTO!$AF$7)*OFFSET(ORÇAMENTO!$W$15,ROW(AV361)-ROW(AV$15),0),15-13*ORÇAMENTO!$AF$11)),
         0)</f>
        <v>0</v>
      </c>
      <c r="AW361" s="453">
        <f ca="1">IF(AND($D361="Serviço",AW$12&lt;&gt;0,$H361&gt;0,OR(AUTOEVENTO&lt;&gt;"manual",$M361&lt;&gt;$A$15)),
        IF(Import.TipoArredondamento&lt;&gt;"TransfereGOV",
              ROUND(OFFSET($P361,0,AW$13),15-13*ORÇAMENTO!$AF$7)/$H361*OFFSET(ORÇAMENTO!$X$15,ROW(AW361)-ROW(AW$15),0),
              ROUND(ROUND(OFFSET($P361,0,AW$13),15-13*ORÇAMENTO!$AF$7)*OFFSET(ORÇAMENTO!$W$15,ROW(AW361)-ROW(AW$15),0),15-13*ORÇAMENTO!$AF$11)),
         0)</f>
        <v>0</v>
      </c>
      <c r="AX361" s="453">
        <f ca="1">IF(AND($D361="Serviço",AX$12&lt;&gt;0,$H361&gt;0,OR(AUTOEVENTO&lt;&gt;"manual",$M361&lt;&gt;$A$15)),
        IF(Import.TipoArredondamento&lt;&gt;"TransfereGOV",
              ROUND(OFFSET($P361,0,AX$13),15-13*ORÇAMENTO!$AF$7)/$H361*OFFSET(ORÇAMENTO!$X$15,ROW(AX361)-ROW(AX$15),0),
              ROUND(ROUND(OFFSET($P361,0,AX$13),15-13*ORÇAMENTO!$AF$7)*OFFSET(ORÇAMENTO!$W$15,ROW(AX361)-ROW(AX$15),0),15-13*ORÇAMENTO!$AF$11)),
         0)</f>
        <v>0</v>
      </c>
      <c r="AY361" s="453">
        <f ca="1">IF(AND($D361="Serviço",AY$12&lt;&gt;0,$H361&gt;0,OR(AUTOEVENTO&lt;&gt;"manual",$M361&lt;&gt;$A$15)),
        IF(Import.TipoArredondamento&lt;&gt;"TransfereGOV",
              ROUND(OFFSET($P361,0,AY$13),15-13*ORÇAMENTO!$AF$7)/$H361*OFFSET(ORÇAMENTO!$X$15,ROW(AY361)-ROW(AY$15),0),
              ROUND(ROUND(OFFSET($P361,0,AY$13),15-13*ORÇAMENTO!$AF$7)*OFFSET(ORÇAMENTO!$W$15,ROW(AY361)-ROW(AY$15),0),15-13*ORÇAMENTO!$AF$11)),
         0)</f>
        <v>0</v>
      </c>
      <c r="AZ361" s="453">
        <f ca="1">IF(AND($D361="Serviço",AZ$12&lt;&gt;0,$H361&gt;0,OR(AUTOEVENTO&lt;&gt;"manual",$M361&lt;&gt;$A$15)),
        IF(Import.TipoArredondamento&lt;&gt;"TransfereGOV",
              ROUND(OFFSET($P361,0,AZ$13),15-13*ORÇAMENTO!$AF$7)/$H361*OFFSET(ORÇAMENTO!$X$15,ROW(AZ361)-ROW(AZ$15),0),
              ROUND(ROUND(OFFSET($P361,0,AZ$13),15-13*ORÇAMENTO!$AF$7)*OFFSET(ORÇAMENTO!$W$15,ROW(AZ361)-ROW(AZ$15),0),15-13*ORÇAMENTO!$AF$11)),
         0)</f>
        <v>0</v>
      </c>
      <c r="BA361" s="453">
        <f ca="1">IF(AND($D361="Serviço",BA$12&lt;&gt;0,$H361&gt;0,OR(AUTOEVENTO&lt;&gt;"manual",$M361&lt;&gt;$A$15)),
        IF(Import.TipoArredondamento&lt;&gt;"TransfereGOV",
              ROUND(OFFSET($P361,0,BA$13),15-13*ORÇAMENTO!$AF$7)/$H361*OFFSET(ORÇAMENTO!$X$15,ROW(BA361)-ROW(BA$15),0),
              ROUND(ROUND(OFFSET($P361,0,BA$13),15-13*ORÇAMENTO!$AF$7)*OFFSET(ORÇAMENTO!$W$15,ROW(BA361)-ROW(BA$15),0),15-13*ORÇAMENTO!$AF$11)),
         0)</f>
        <v>0</v>
      </c>
      <c r="BC361" s="171">
        <f ca="1">IF(OR($D361&lt;&gt;"Serviço",AND(AUTOEVENTO="Manual",$M361=$A$15)),0,
         IF(OFFSET(CRONOPLE!$F$15,$M361-$A$15,BC$13)=0,10^12,OFFSET(CRONOPLE!$F$15,$M361-$A$15,BC$13)))</f>
        <v>0</v>
      </c>
      <c r="BD361" s="171">
        <f ca="1">IF(OR($D361&lt;&gt;"Serviço",AND(AUTOEVENTO="Manual",$M361=$A$15)),0,
         IF(OFFSET(CRONOPLE!$F$15,$M361-$A$15,BD$13)=0,10^12,OFFSET(CRONOPLE!$F$15,$M361-$A$15,BD$13)))</f>
        <v>0</v>
      </c>
      <c r="BE361" s="171">
        <f ca="1">IF(OR($D361&lt;&gt;"Serviço",AND(AUTOEVENTO="Manual",$M361=$A$15)),0,
         IF(OFFSET(CRONOPLE!$F$15,$M361-$A$15,BE$13)=0,10^12,OFFSET(CRONOPLE!$F$15,$M361-$A$15,BE$13)))</f>
        <v>0</v>
      </c>
      <c r="BF361" s="171">
        <f ca="1">IF(OR($D361&lt;&gt;"Serviço",AND(AUTOEVENTO="Manual",$M361=$A$15)),0,
         IF(OFFSET(CRONOPLE!$F$15,$M361-$A$15,BF$13)=0,10^12,OFFSET(CRONOPLE!$F$15,$M361-$A$15,BF$13)))</f>
        <v>0</v>
      </c>
      <c r="BG361" s="171">
        <f ca="1">IF(OR($D361&lt;&gt;"Serviço",AND(AUTOEVENTO="Manual",$M361=$A$15)),0,
         IF(OFFSET(CRONOPLE!$F$15,$M361-$A$15,BG$13)=0,10^12,OFFSET(CRONOPLE!$F$15,$M361-$A$15,BG$13)))</f>
        <v>0</v>
      </c>
      <c r="BH361" s="171">
        <f ca="1">IF(OR($D361&lt;&gt;"Serviço",AND(AUTOEVENTO="Manual",$M361=$A$15)),0,
         IF(OFFSET(CRONOPLE!$F$15,$M361-$A$15,BH$13)=0,10^12,OFFSET(CRONOPLE!$F$15,$M361-$A$15,BH$13)))</f>
        <v>0</v>
      </c>
      <c r="BI361" s="171">
        <f ca="1">IF(OR($D361&lt;&gt;"Serviço",AND(AUTOEVENTO="Manual",$M361=$A$15)),0,
         IF(OFFSET(CRONOPLE!$F$15,$M361-$A$15,BI$13)=0,10^12,OFFSET(CRONOPLE!$F$15,$M361-$A$15,BI$13)))</f>
        <v>0</v>
      </c>
      <c r="BJ361" s="171">
        <f ca="1">IF(OR($D361&lt;&gt;"Serviço",AND(AUTOEVENTO="Manual",$M361=$A$15)),0,
         IF(OFFSET(CRONOPLE!$F$15,$M361-$A$15,BJ$13)=0,10^12,OFFSET(CRONOPLE!$F$15,$M361-$A$15,BJ$13)))</f>
        <v>0</v>
      </c>
      <c r="BK361" s="171">
        <f ca="1">IF(OR($D361&lt;&gt;"Serviço",AND(AUTOEVENTO="Manual",$M361=$A$15)),0,
         IF(OFFSET(CRONOPLE!$F$15,$M361-$A$15,BK$13)=0,10^12,OFFSET(CRONOPLE!$F$15,$M361-$A$15,BK$13)))</f>
        <v>0</v>
      </c>
      <c r="BL361" s="171">
        <f ca="1">IF(OR($D361&lt;&gt;"Serviço",AND(AUTOEVENTO="Manual",$M361=$A$15)),0,
         IF(OFFSET(CRONOPLE!$F$15,$M361-$A$15,BL$13)=0,10^12,OFFSET(CRONOPLE!$F$15,$M361-$A$15,BL$13)))</f>
        <v>0</v>
      </c>
      <c r="BM361" s="171">
        <f ca="1">IF(OR($D361&lt;&gt;"Serviço",AND(AUTOEVENTO="Manual",$M361=$A$15)),0,
         IF(OFFSET(CRONOPLE!$F$15,$M361-$A$15,BM$13)=0,10^12,OFFSET(CRONOPLE!$F$15,$M361-$A$15,BM$13)))</f>
        <v>0</v>
      </c>
      <c r="BN361" s="171">
        <f ca="1">IF(OR($D361&lt;&gt;"Serviço",AND(AUTOEVENTO="Manual",$M361=$A$15)),0,
         IF(OFFSET(CRONOPLE!$F$15,$M361-$A$15,BN$13)=0,10^12,OFFSET(CRONOPLE!$F$15,$M361-$A$15,BN$13)))</f>
        <v>0</v>
      </c>
      <c r="BO361" s="171">
        <f ca="1">IF(OR($D361&lt;&gt;"Serviço",AND(AUTOEVENTO="Manual",$M361=$A$15)),0,
         IF(OFFSET(CRONOPLE!$F$15,$M361-$A$15,BO$13)=0,10^12,OFFSET(CRONOPLE!$F$15,$M361-$A$15,BO$13)))</f>
        <v>0</v>
      </c>
      <c r="BP361" s="171">
        <f ca="1">IF(OR($D361&lt;&gt;"Serviço",AND(AUTOEVENTO="Manual",$M361=$A$15)),0,
         IF(OFFSET(CRONOPLE!$F$15,$M361-$A$15,BP$13)=0,10^12,OFFSET(CRONOPLE!$F$15,$M361-$A$15,BP$13)))</f>
        <v>0</v>
      </c>
      <c r="BQ361" s="171">
        <f ca="1">IF(OR($D361&lt;&gt;"Serviço",AND(AUTOEVENTO="Manual",$M361=$A$15)),0,
         IF(OFFSET(CRONOPLE!$F$15,$M361-$A$15,BQ$13)=0,10^12,OFFSET(CRONOPLE!$F$15,$M361-$A$15,BQ$13)))</f>
        <v>0</v>
      </c>
      <c r="BR361" s="171">
        <f ca="1">IF(OR($D361&lt;&gt;"Serviço",AND(AUTOEVENTO="Manual",$M361=$A$15)),0,
         IF(OFFSET(CRONOPLE!$F$15,$M361-$A$15,BR$13)=0,10^12,OFFSET(CRONOPLE!$F$15,$M361-$A$15,BR$13)))</f>
        <v>0</v>
      </c>
      <c r="BS361" s="171">
        <f ca="1">IF(OR($D361&lt;&gt;"Serviço",AND(AUTOEVENTO="Manual",$M361=$A$15)),0,
         IF(OFFSET(CRONOPLE!$F$15,$M361-$A$15,BS$13)=0,10^12,OFFSET(CRONOPLE!$F$15,$M361-$A$15,BS$13)))</f>
        <v>0</v>
      </c>
      <c r="BT361" s="171">
        <f ca="1">IF(OR($D361&lt;&gt;"Serviço",AND(AUTOEVENTO="Manual",$M361=$A$15)),0,
         IF(OFFSET(CRONOPLE!$F$15,$M361-$A$15,BT$13)=0,10^12,OFFSET(CRONOPLE!$F$15,$M361-$A$15,BT$13)))</f>
        <v>0</v>
      </c>
      <c r="BV361" s="172">
        <f ca="1">IF(OR($D361&lt;&gt;"Serviço",AND(AUTOEVENTO="Manual",$M361=$A$15),$M361&gt;(ROW(PLE.lastrow)-ROW(PLE.firstrow))),0,
           IF(OFFSET(PLE!$G$15,$M361-$A$15,BV$13)="",10^12,OFFSET(PLE!$G$15,$M361-$A$15,BV$13)))</f>
        <v>0</v>
      </c>
      <c r="BW361" s="172">
        <f ca="1">IF(OR($D361&lt;&gt;"Serviço",AND(AUTOEVENTO="Manual",$M361=$A$15),$M361&gt;(ROW(PLE.lastrow)-ROW(PLE.firstrow))),0,
           IF(OFFSET(PLE!$G$15,$M361-$A$15,BW$13)="",10^12,OFFSET(PLE!$G$15,$M361-$A$15,BW$13)))</f>
        <v>0</v>
      </c>
      <c r="BX361" s="172">
        <f ca="1">IF(OR($D361&lt;&gt;"Serviço",AND(AUTOEVENTO="Manual",$M361=$A$15),$M361&gt;(ROW(PLE.lastrow)-ROW(PLE.firstrow))),0,
           IF(OFFSET(PLE!$G$15,$M361-$A$15,BX$13)="",10^12,OFFSET(PLE!$G$15,$M361-$A$15,BX$13)))</f>
        <v>0</v>
      </c>
      <c r="BY361" s="172">
        <f ca="1">IF(OR($D361&lt;&gt;"Serviço",AND(AUTOEVENTO="Manual",$M361=$A$15),$M361&gt;(ROW(PLE.lastrow)-ROW(PLE.firstrow))),0,
           IF(OFFSET(PLE!$G$15,$M361-$A$15,BY$13)="",10^12,OFFSET(PLE!$G$15,$M361-$A$15,BY$13)))</f>
        <v>0</v>
      </c>
      <c r="BZ361" s="172">
        <f ca="1">IF(OR($D361&lt;&gt;"Serviço",AND(AUTOEVENTO="Manual",$M361=$A$15),$M361&gt;(ROW(PLE.lastrow)-ROW(PLE.firstrow))),0,
           IF(OFFSET(PLE!$G$15,$M361-$A$15,BZ$13)="",10^12,OFFSET(PLE!$G$15,$M361-$A$15,BZ$13)))</f>
        <v>0</v>
      </c>
      <c r="CA361" s="172">
        <f ca="1">IF(OR($D361&lt;&gt;"Serviço",AND(AUTOEVENTO="Manual",$M361=$A$15),$M361&gt;(ROW(PLE.lastrow)-ROW(PLE.firstrow))),0,
           IF(OFFSET(PLE!$G$15,$M361-$A$15,CA$13)="",10^12,OFFSET(PLE!$G$15,$M361-$A$15,CA$13)))</f>
        <v>0</v>
      </c>
      <c r="CB361" s="172">
        <f ca="1">IF(OR($D361&lt;&gt;"Serviço",AND(AUTOEVENTO="Manual",$M361=$A$15),$M361&gt;(ROW(PLE.lastrow)-ROW(PLE.firstrow))),0,
           IF(OFFSET(PLE!$G$15,$M361-$A$15,CB$13)="",10^12,OFFSET(PLE!$G$15,$M361-$A$15,CB$13)))</f>
        <v>0</v>
      </c>
      <c r="CC361" s="172">
        <f ca="1">IF(OR($D361&lt;&gt;"Serviço",AND(AUTOEVENTO="Manual",$M361=$A$15),$M361&gt;(ROW(PLE.lastrow)-ROW(PLE.firstrow))),0,
           IF(OFFSET(PLE!$G$15,$M361-$A$15,CC$13)="",10^12,OFFSET(PLE!$G$15,$M361-$A$15,CC$13)))</f>
        <v>0</v>
      </c>
      <c r="CD361" s="172">
        <f ca="1">IF(OR($D361&lt;&gt;"Serviço",AND(AUTOEVENTO="Manual",$M361=$A$15),$M361&gt;(ROW(PLE.lastrow)-ROW(PLE.firstrow))),0,
           IF(OFFSET(PLE!$G$15,$M361-$A$15,CD$13)="",10^12,OFFSET(PLE!$G$15,$M361-$A$15,CD$13)))</f>
        <v>0</v>
      </c>
      <c r="CE361" s="172">
        <f ca="1">IF(OR($D361&lt;&gt;"Serviço",AND(AUTOEVENTO="Manual",$M361=$A$15),$M361&gt;(ROW(PLE.lastrow)-ROW(PLE.firstrow))),0,
           IF(OFFSET(PLE!$G$15,$M361-$A$15,CE$13)="",10^12,OFFSET(PLE!$G$15,$M361-$A$15,CE$13)))</f>
        <v>0</v>
      </c>
      <c r="CF361" s="172">
        <f ca="1">IF(OR($D361&lt;&gt;"Serviço",AND(AUTOEVENTO="Manual",$M361=$A$15),$M361&gt;(ROW(PLE.lastrow)-ROW(PLE.firstrow))),0,
           IF(OFFSET(PLE!$G$15,$M361-$A$15,CF$13)="",10^12,OFFSET(PLE!$G$15,$M361-$A$15,CF$13)))</f>
        <v>0</v>
      </c>
      <c r="CG361" s="172">
        <f ca="1">IF(OR($D361&lt;&gt;"Serviço",AND(AUTOEVENTO="Manual",$M361=$A$15),$M361&gt;(ROW(PLE.lastrow)-ROW(PLE.firstrow))),0,
           IF(OFFSET(PLE!$G$15,$M361-$A$15,CG$13)="",10^12,OFFSET(PLE!$G$15,$M361-$A$15,CG$13)))</f>
        <v>0</v>
      </c>
      <c r="CH361" s="172">
        <f ca="1">IF(OR($D361&lt;&gt;"Serviço",AND(AUTOEVENTO="Manual",$M361=$A$15),$M361&gt;(ROW(PLE.lastrow)-ROW(PLE.firstrow))),0,
           IF(OFFSET(PLE!$G$15,$M361-$A$15,CH$13)="",10^12,OFFSET(PLE!$G$15,$M361-$A$15,CH$13)))</f>
        <v>0</v>
      </c>
      <c r="CI361" s="172">
        <f ca="1">IF(OR($D361&lt;&gt;"Serviço",AND(AUTOEVENTO="Manual",$M361=$A$15),$M361&gt;(ROW(PLE.lastrow)-ROW(PLE.firstrow))),0,
           IF(OFFSET(PLE!$G$15,$M361-$A$15,CI$13)="",10^12,OFFSET(PLE!$G$15,$M361-$A$15,CI$13)))</f>
        <v>0</v>
      </c>
      <c r="CJ361" s="172">
        <f ca="1">IF(OR($D361&lt;&gt;"Serviço",AND(AUTOEVENTO="Manual",$M361=$A$15),$M361&gt;(ROW(PLE.lastrow)-ROW(PLE.firstrow))),0,
           IF(OFFSET(PLE!$G$15,$M361-$A$15,CJ$13)="",10^12,OFFSET(PLE!$G$15,$M361-$A$15,CJ$13)))</f>
        <v>0</v>
      </c>
      <c r="CK361" s="172">
        <f ca="1">IF(OR($D361&lt;&gt;"Serviço",AND(AUTOEVENTO="Manual",$M361=$A$15),$M361&gt;(ROW(PLE.lastrow)-ROW(PLE.firstrow))),0,
           IF(OFFSET(PLE!$G$15,$M361-$A$15,CK$13)="",10^12,OFFSET(PLE!$G$15,$M361-$A$15,CK$13)))</f>
        <v>0</v>
      </c>
      <c r="CL361" s="172">
        <f ca="1">IF(OR($D361&lt;&gt;"Serviço",AND(AUTOEVENTO="Manual",$M361=$A$15),$M361&gt;(ROW(PLE.lastrow)-ROW(PLE.firstrow))),0,
           IF(OFFSET(PLE!$G$15,$M361-$A$15,CL$13)="",10^12,OFFSET(PLE!$G$15,$M361-$A$15,CL$13)))</f>
        <v>0</v>
      </c>
      <c r="CM361" s="172">
        <f ca="1">IF(OR($D361&lt;&gt;"Serviço",AND(AUTOEVENTO="Manual",$M361=$A$15),$M361&gt;(ROW(PLE.lastrow)-ROW(PLE.firstrow))),0,
           IF(OFFSET(PLE!$G$15,$M361-$A$15,CM$13)="",10^12,OFFSET(PLE!$G$15,$M361-$A$15,CM$13)))</f>
        <v>0</v>
      </c>
    </row>
    <row r="362" spans="1:91" ht="12.75" x14ac:dyDescent="0.2">
      <c r="A362" s="7">
        <f t="shared" ca="1" si="15"/>
        <v>8</v>
      </c>
      <c r="B362" s="7">
        <f ca="1">OFFSET(ORÇAMENTO!C$15,ROW(B362)-ROW(B$15),0)</f>
        <v>4</v>
      </c>
      <c r="C362" s="7" t="str">
        <f ca="1">OFFSET(ORÇAMENTO!L$15,ROW(C362)-ROW(C$15),0)</f>
        <v>F</v>
      </c>
      <c r="D362" s="116" t="str">
        <f ca="1">OFFSET(ORÇAMENTO!N$15,ROW(D362)-ROW(D$15),0)</f>
        <v>Nível 4</v>
      </c>
      <c r="E362" s="117" t="str">
        <f ca="1">OFFSET(ORÇAMENTO!O$15,ROW(E362)-ROW(E$15),0)</f>
        <v>1.8.1.1.</v>
      </c>
      <c r="F362" s="163" t="str">
        <f ca="1">OFFSET(ORÇAMENTO!R$15,ROW(F362)-ROW(F$15),0)</f>
        <v>QUADRO DE DISTRIBUIÇÃO DE CIRCUITOS (QDC-03)</v>
      </c>
      <c r="G362" s="164" t="str">
        <f ca="1">IF($D362&lt;&gt;"Serviço","",OFFSET(ORÇAMENTO!S$15,ROW(G362)-ROW(G$15),0))</f>
        <v/>
      </c>
      <c r="H362" s="122" cm="1">
        <f t="array" aca="1" ref="H362" ca="1">IF($D362&lt;&gt;"Serviço",0,IF(ACOMPANHAMENTO="BM",ROUND(OFFSET(ORÇAMENTO!AJ$15,ROW(H362)-ROW(H$15),0),15-13*ORÇAMENTO!$AF$7),SUMPRODUCT(($Q$1:$AI$1=1)*ROUND($Q362:$AI362,15-13*ORÇAMENTO!$AF$7))))</f>
        <v>0</v>
      </c>
      <c r="I362" s="468"/>
      <c r="J362" s="640" t="str" cm="1">
        <f t="array" aca="1" ref="J362" ca="1">IF(OR(B362&lt;&gt;"S",CÁLCULO.FrentesPreenchidas=0),"",IF(AND(ACOMPANHAMENTO="PLE",AUTOEVENTO="Manual",OR(H362&gt;0,ORÇAMENTO!AC362="QUANT."),OR(K362="",M362=0,N362="")),"►E",IF(AND(ACOMPANHAMENTO="PLE",ORÇAMENTO!AC362="QUANT."),"►Q",IF(AND(ACOMPANHAMENTO="PLE",H362&lt;&gt;SUMPRODUCT(($Q$1:$AI$1=1)*ROUND(Q362:AI362,15))),"►S",IF(AND(COUNTIF($P$11:$AI$11,"▼")=0,H362&gt;0,I362=""),"◄M","")))))</f>
        <v/>
      </c>
      <c r="K362" s="641" t="s">
        <v>1366</v>
      </c>
      <c r="L362" s="165" t="s">
        <v>764</v>
      </c>
      <c r="M362" s="166" t="str">
        <f ca="1">IF($D362&lt;&gt;"Serviço","",
          IF(AUTOEVENTO="manual",$A362,
                IF(ISERROR(MATCH($A362,$A$15:OFFSET($A362,-1,0),0)),MAX($M$15:OFFSET(M362,-1,0))+1,
                      INDEX($M$15:OFFSET(M362,-1,0),MATCH($A362,$A$15:OFFSET($A362,-1,0),0)))))</f>
        <v/>
      </c>
      <c r="N362" s="167" t="str">
        <f ca="1">IF($D362&lt;&gt;"Serviço","",
         IF(AUTOEVENTO="Manual",
                IF($A362=0,"&lt;-- defina o número do agrupador",
                       OFFSET(EVENTOS!$D$15,$A362-$A$15,0)),
                OFFSET($F$15,$A362,0)))</f>
        <v/>
      </c>
      <c r="O362" s="168"/>
      <c r="Q362" s="168"/>
      <c r="R362" s="169"/>
      <c r="S362" s="169"/>
      <c r="T362" s="169"/>
      <c r="U362" s="169"/>
      <c r="V362" s="169"/>
      <c r="W362" s="169"/>
      <c r="X362" s="169"/>
      <c r="Y362" s="169"/>
      <c r="Z362" s="170"/>
      <c r="AA362" s="169"/>
      <c r="AB362" s="169"/>
      <c r="AC362" s="169"/>
      <c r="AD362" s="169"/>
      <c r="AE362" s="169"/>
      <c r="AF362" s="169"/>
      <c r="AG362" s="169"/>
      <c r="AH362" s="170"/>
      <c r="AJ362" s="453">
        <f ca="1">IF(AND($D362="Serviço",AJ$12&lt;&gt;0,$H362&gt;0,OR(AUTOEVENTO&lt;&gt;"manual",$M362&lt;&gt;$A$15)),
        IF(Import.TipoArredondamento&lt;&gt;"TransfereGOV",
              ROUND(OFFSET($P362,0,AJ$13),15-13*ORÇAMENTO!$AF$7)/$H362*OFFSET(ORÇAMENTO!$X$15,ROW(AJ362)-ROW(AJ$15),0),
              ROUND(ROUND(OFFSET($P362,0,AJ$13),15-13*ORÇAMENTO!$AF$7)*OFFSET(ORÇAMENTO!$W$15,ROW(AJ362)-ROW(AJ$15),0),15-13*ORÇAMENTO!$AF$11)),
         0)</f>
        <v>0</v>
      </c>
      <c r="AK362" s="453">
        <f ca="1">IF(AND($D362="Serviço",AK$12&lt;&gt;0,$H362&gt;0,OR(AUTOEVENTO&lt;&gt;"manual",$M362&lt;&gt;$A$15)),
        IF(Import.TipoArredondamento&lt;&gt;"TransfereGOV",
              ROUND(OFFSET($P362,0,AK$13),15-13*ORÇAMENTO!$AF$7)/$H362*OFFSET(ORÇAMENTO!$X$15,ROW(AK362)-ROW(AK$15),0),
              ROUND(ROUND(OFFSET($P362,0,AK$13),15-13*ORÇAMENTO!$AF$7)*OFFSET(ORÇAMENTO!$W$15,ROW(AK362)-ROW(AK$15),0),15-13*ORÇAMENTO!$AF$11)),
         0)</f>
        <v>0</v>
      </c>
      <c r="AL362" s="453">
        <f ca="1">IF(AND($D362="Serviço",AL$12&lt;&gt;0,$H362&gt;0,OR(AUTOEVENTO&lt;&gt;"manual",$M362&lt;&gt;$A$15)),
        IF(Import.TipoArredondamento&lt;&gt;"TransfereGOV",
              ROUND(OFFSET($P362,0,AL$13),15-13*ORÇAMENTO!$AF$7)/$H362*OFFSET(ORÇAMENTO!$X$15,ROW(AL362)-ROW(AL$15),0),
              ROUND(ROUND(OFFSET($P362,0,AL$13),15-13*ORÇAMENTO!$AF$7)*OFFSET(ORÇAMENTO!$W$15,ROW(AL362)-ROW(AL$15),0),15-13*ORÇAMENTO!$AF$11)),
         0)</f>
        <v>0</v>
      </c>
      <c r="AM362" s="453">
        <f ca="1">IF(AND($D362="Serviço",AM$12&lt;&gt;0,$H362&gt;0,OR(AUTOEVENTO&lt;&gt;"manual",$M362&lt;&gt;$A$15)),
        IF(Import.TipoArredondamento&lt;&gt;"TransfereGOV",
              ROUND(OFFSET($P362,0,AM$13),15-13*ORÇAMENTO!$AF$7)/$H362*OFFSET(ORÇAMENTO!$X$15,ROW(AM362)-ROW(AM$15),0),
              ROUND(ROUND(OFFSET($P362,0,AM$13),15-13*ORÇAMENTO!$AF$7)*OFFSET(ORÇAMENTO!$W$15,ROW(AM362)-ROW(AM$15),0),15-13*ORÇAMENTO!$AF$11)),
         0)</f>
        <v>0</v>
      </c>
      <c r="AN362" s="453">
        <f ca="1">IF(AND($D362="Serviço",AN$12&lt;&gt;0,$H362&gt;0,OR(AUTOEVENTO&lt;&gt;"manual",$M362&lt;&gt;$A$15)),
        IF(Import.TipoArredondamento&lt;&gt;"TransfereGOV",
              ROUND(OFFSET($P362,0,AN$13),15-13*ORÇAMENTO!$AF$7)/$H362*OFFSET(ORÇAMENTO!$X$15,ROW(AN362)-ROW(AN$15),0),
              ROUND(ROUND(OFFSET($P362,0,AN$13),15-13*ORÇAMENTO!$AF$7)*OFFSET(ORÇAMENTO!$W$15,ROW(AN362)-ROW(AN$15),0),15-13*ORÇAMENTO!$AF$11)),
         0)</f>
        <v>0</v>
      </c>
      <c r="AO362" s="453">
        <f ca="1">IF(AND($D362="Serviço",AO$12&lt;&gt;0,$H362&gt;0,OR(AUTOEVENTO&lt;&gt;"manual",$M362&lt;&gt;$A$15)),
        IF(Import.TipoArredondamento&lt;&gt;"TransfereGOV",
              ROUND(OFFSET($P362,0,AO$13),15-13*ORÇAMENTO!$AF$7)/$H362*OFFSET(ORÇAMENTO!$X$15,ROW(AO362)-ROW(AO$15),0),
              ROUND(ROUND(OFFSET($P362,0,AO$13),15-13*ORÇAMENTO!$AF$7)*OFFSET(ORÇAMENTO!$W$15,ROW(AO362)-ROW(AO$15),0),15-13*ORÇAMENTO!$AF$11)),
         0)</f>
        <v>0</v>
      </c>
      <c r="AP362" s="453">
        <f ca="1">IF(AND($D362="Serviço",AP$12&lt;&gt;0,$H362&gt;0,OR(AUTOEVENTO&lt;&gt;"manual",$M362&lt;&gt;$A$15)),
        IF(Import.TipoArredondamento&lt;&gt;"TransfereGOV",
              ROUND(OFFSET($P362,0,AP$13),15-13*ORÇAMENTO!$AF$7)/$H362*OFFSET(ORÇAMENTO!$X$15,ROW(AP362)-ROW(AP$15),0),
              ROUND(ROUND(OFFSET($P362,0,AP$13),15-13*ORÇAMENTO!$AF$7)*OFFSET(ORÇAMENTO!$W$15,ROW(AP362)-ROW(AP$15),0),15-13*ORÇAMENTO!$AF$11)),
         0)</f>
        <v>0</v>
      </c>
      <c r="AQ362" s="453">
        <f ca="1">IF(AND($D362="Serviço",AQ$12&lt;&gt;0,$H362&gt;0,OR(AUTOEVENTO&lt;&gt;"manual",$M362&lt;&gt;$A$15)),
        IF(Import.TipoArredondamento&lt;&gt;"TransfereGOV",
              ROUND(OFFSET($P362,0,AQ$13),15-13*ORÇAMENTO!$AF$7)/$H362*OFFSET(ORÇAMENTO!$X$15,ROW(AQ362)-ROW(AQ$15),0),
              ROUND(ROUND(OFFSET($P362,0,AQ$13),15-13*ORÇAMENTO!$AF$7)*OFFSET(ORÇAMENTO!$W$15,ROW(AQ362)-ROW(AQ$15),0),15-13*ORÇAMENTO!$AF$11)),
         0)</f>
        <v>0</v>
      </c>
      <c r="AR362" s="453">
        <f ca="1">IF(AND($D362="Serviço",AR$12&lt;&gt;0,$H362&gt;0,OR(AUTOEVENTO&lt;&gt;"manual",$M362&lt;&gt;$A$15)),
        IF(Import.TipoArredondamento&lt;&gt;"TransfereGOV",
              ROUND(OFFSET($P362,0,AR$13),15-13*ORÇAMENTO!$AF$7)/$H362*OFFSET(ORÇAMENTO!$X$15,ROW(AR362)-ROW(AR$15),0),
              ROUND(ROUND(OFFSET($P362,0,AR$13),15-13*ORÇAMENTO!$AF$7)*OFFSET(ORÇAMENTO!$W$15,ROW(AR362)-ROW(AR$15),0),15-13*ORÇAMENTO!$AF$11)),
         0)</f>
        <v>0</v>
      </c>
      <c r="AS362" s="453">
        <f ca="1">IF(AND($D362="Serviço",AS$12&lt;&gt;0,$H362&gt;0,OR(AUTOEVENTO&lt;&gt;"manual",$M362&lt;&gt;$A$15)),
        IF(Import.TipoArredondamento&lt;&gt;"TransfereGOV",
              ROUND(OFFSET($P362,0,AS$13),15-13*ORÇAMENTO!$AF$7)/$H362*OFFSET(ORÇAMENTO!$X$15,ROW(AS362)-ROW(AS$15),0),
              ROUND(ROUND(OFFSET($P362,0,AS$13),15-13*ORÇAMENTO!$AF$7)*OFFSET(ORÇAMENTO!$W$15,ROW(AS362)-ROW(AS$15),0),15-13*ORÇAMENTO!$AF$11)),
         0)</f>
        <v>0</v>
      </c>
      <c r="AT362" s="453">
        <f ca="1">IF(AND($D362="Serviço",AT$12&lt;&gt;0,$H362&gt;0,OR(AUTOEVENTO&lt;&gt;"manual",$M362&lt;&gt;$A$15)),
        IF(Import.TipoArredondamento&lt;&gt;"TransfereGOV",
              ROUND(OFFSET($P362,0,AT$13),15-13*ORÇAMENTO!$AF$7)/$H362*OFFSET(ORÇAMENTO!$X$15,ROW(AT362)-ROW(AT$15),0),
              ROUND(ROUND(OFFSET($P362,0,AT$13),15-13*ORÇAMENTO!$AF$7)*OFFSET(ORÇAMENTO!$W$15,ROW(AT362)-ROW(AT$15),0),15-13*ORÇAMENTO!$AF$11)),
         0)</f>
        <v>0</v>
      </c>
      <c r="AU362" s="453">
        <f ca="1">IF(AND($D362="Serviço",AU$12&lt;&gt;0,$H362&gt;0,OR(AUTOEVENTO&lt;&gt;"manual",$M362&lt;&gt;$A$15)),
        IF(Import.TipoArredondamento&lt;&gt;"TransfereGOV",
              ROUND(OFFSET($P362,0,AU$13),15-13*ORÇAMENTO!$AF$7)/$H362*OFFSET(ORÇAMENTO!$X$15,ROW(AU362)-ROW(AU$15),0),
              ROUND(ROUND(OFFSET($P362,0,AU$13),15-13*ORÇAMENTO!$AF$7)*OFFSET(ORÇAMENTO!$W$15,ROW(AU362)-ROW(AU$15),0),15-13*ORÇAMENTO!$AF$11)),
         0)</f>
        <v>0</v>
      </c>
      <c r="AV362" s="453">
        <f ca="1">IF(AND($D362="Serviço",AV$12&lt;&gt;0,$H362&gt;0,OR(AUTOEVENTO&lt;&gt;"manual",$M362&lt;&gt;$A$15)),
        IF(Import.TipoArredondamento&lt;&gt;"TransfereGOV",
              ROUND(OFFSET($P362,0,AV$13),15-13*ORÇAMENTO!$AF$7)/$H362*OFFSET(ORÇAMENTO!$X$15,ROW(AV362)-ROW(AV$15),0),
              ROUND(ROUND(OFFSET($P362,0,AV$13),15-13*ORÇAMENTO!$AF$7)*OFFSET(ORÇAMENTO!$W$15,ROW(AV362)-ROW(AV$15),0),15-13*ORÇAMENTO!$AF$11)),
         0)</f>
        <v>0</v>
      </c>
      <c r="AW362" s="453">
        <f ca="1">IF(AND($D362="Serviço",AW$12&lt;&gt;0,$H362&gt;0,OR(AUTOEVENTO&lt;&gt;"manual",$M362&lt;&gt;$A$15)),
        IF(Import.TipoArredondamento&lt;&gt;"TransfereGOV",
              ROUND(OFFSET($P362,0,AW$13),15-13*ORÇAMENTO!$AF$7)/$H362*OFFSET(ORÇAMENTO!$X$15,ROW(AW362)-ROW(AW$15),0),
              ROUND(ROUND(OFFSET($P362,0,AW$13),15-13*ORÇAMENTO!$AF$7)*OFFSET(ORÇAMENTO!$W$15,ROW(AW362)-ROW(AW$15),0),15-13*ORÇAMENTO!$AF$11)),
         0)</f>
        <v>0</v>
      </c>
      <c r="AX362" s="453">
        <f ca="1">IF(AND($D362="Serviço",AX$12&lt;&gt;0,$H362&gt;0,OR(AUTOEVENTO&lt;&gt;"manual",$M362&lt;&gt;$A$15)),
        IF(Import.TipoArredondamento&lt;&gt;"TransfereGOV",
              ROUND(OFFSET($P362,0,AX$13),15-13*ORÇAMENTO!$AF$7)/$H362*OFFSET(ORÇAMENTO!$X$15,ROW(AX362)-ROW(AX$15),0),
              ROUND(ROUND(OFFSET($P362,0,AX$13),15-13*ORÇAMENTO!$AF$7)*OFFSET(ORÇAMENTO!$W$15,ROW(AX362)-ROW(AX$15),0),15-13*ORÇAMENTO!$AF$11)),
         0)</f>
        <v>0</v>
      </c>
      <c r="AY362" s="453">
        <f ca="1">IF(AND($D362="Serviço",AY$12&lt;&gt;0,$H362&gt;0,OR(AUTOEVENTO&lt;&gt;"manual",$M362&lt;&gt;$A$15)),
        IF(Import.TipoArredondamento&lt;&gt;"TransfereGOV",
              ROUND(OFFSET($P362,0,AY$13),15-13*ORÇAMENTO!$AF$7)/$H362*OFFSET(ORÇAMENTO!$X$15,ROW(AY362)-ROW(AY$15),0),
              ROUND(ROUND(OFFSET($P362,0,AY$13),15-13*ORÇAMENTO!$AF$7)*OFFSET(ORÇAMENTO!$W$15,ROW(AY362)-ROW(AY$15),0),15-13*ORÇAMENTO!$AF$11)),
         0)</f>
        <v>0</v>
      </c>
      <c r="AZ362" s="453">
        <f ca="1">IF(AND($D362="Serviço",AZ$12&lt;&gt;0,$H362&gt;0,OR(AUTOEVENTO&lt;&gt;"manual",$M362&lt;&gt;$A$15)),
        IF(Import.TipoArredondamento&lt;&gt;"TransfereGOV",
              ROUND(OFFSET($P362,0,AZ$13),15-13*ORÇAMENTO!$AF$7)/$H362*OFFSET(ORÇAMENTO!$X$15,ROW(AZ362)-ROW(AZ$15),0),
              ROUND(ROUND(OFFSET($P362,0,AZ$13),15-13*ORÇAMENTO!$AF$7)*OFFSET(ORÇAMENTO!$W$15,ROW(AZ362)-ROW(AZ$15),0),15-13*ORÇAMENTO!$AF$11)),
         0)</f>
        <v>0</v>
      </c>
      <c r="BA362" s="453">
        <f ca="1">IF(AND($D362="Serviço",BA$12&lt;&gt;0,$H362&gt;0,OR(AUTOEVENTO&lt;&gt;"manual",$M362&lt;&gt;$A$15)),
        IF(Import.TipoArredondamento&lt;&gt;"TransfereGOV",
              ROUND(OFFSET($P362,0,BA$13),15-13*ORÇAMENTO!$AF$7)/$H362*OFFSET(ORÇAMENTO!$X$15,ROW(BA362)-ROW(BA$15),0),
              ROUND(ROUND(OFFSET($P362,0,BA$13),15-13*ORÇAMENTO!$AF$7)*OFFSET(ORÇAMENTO!$W$15,ROW(BA362)-ROW(BA$15),0),15-13*ORÇAMENTO!$AF$11)),
         0)</f>
        <v>0</v>
      </c>
      <c r="BC362" s="171">
        <f ca="1">IF(OR($D362&lt;&gt;"Serviço",AND(AUTOEVENTO="Manual",$M362=$A$15)),0,
         IF(OFFSET(CRONOPLE!$F$15,$M362-$A$15,BC$13)=0,10^12,OFFSET(CRONOPLE!$F$15,$M362-$A$15,BC$13)))</f>
        <v>0</v>
      </c>
      <c r="BD362" s="171">
        <f ca="1">IF(OR($D362&lt;&gt;"Serviço",AND(AUTOEVENTO="Manual",$M362=$A$15)),0,
         IF(OFFSET(CRONOPLE!$F$15,$M362-$A$15,BD$13)=0,10^12,OFFSET(CRONOPLE!$F$15,$M362-$A$15,BD$13)))</f>
        <v>0</v>
      </c>
      <c r="BE362" s="171">
        <f ca="1">IF(OR($D362&lt;&gt;"Serviço",AND(AUTOEVENTO="Manual",$M362=$A$15)),0,
         IF(OFFSET(CRONOPLE!$F$15,$M362-$A$15,BE$13)=0,10^12,OFFSET(CRONOPLE!$F$15,$M362-$A$15,BE$13)))</f>
        <v>0</v>
      </c>
      <c r="BF362" s="171">
        <f ca="1">IF(OR($D362&lt;&gt;"Serviço",AND(AUTOEVENTO="Manual",$M362=$A$15)),0,
         IF(OFFSET(CRONOPLE!$F$15,$M362-$A$15,BF$13)=0,10^12,OFFSET(CRONOPLE!$F$15,$M362-$A$15,BF$13)))</f>
        <v>0</v>
      </c>
      <c r="BG362" s="171">
        <f ca="1">IF(OR($D362&lt;&gt;"Serviço",AND(AUTOEVENTO="Manual",$M362=$A$15)),0,
         IF(OFFSET(CRONOPLE!$F$15,$M362-$A$15,BG$13)=0,10^12,OFFSET(CRONOPLE!$F$15,$M362-$A$15,BG$13)))</f>
        <v>0</v>
      </c>
      <c r="BH362" s="171">
        <f ca="1">IF(OR($D362&lt;&gt;"Serviço",AND(AUTOEVENTO="Manual",$M362=$A$15)),0,
         IF(OFFSET(CRONOPLE!$F$15,$M362-$A$15,BH$13)=0,10^12,OFFSET(CRONOPLE!$F$15,$M362-$A$15,BH$13)))</f>
        <v>0</v>
      </c>
      <c r="BI362" s="171">
        <f ca="1">IF(OR($D362&lt;&gt;"Serviço",AND(AUTOEVENTO="Manual",$M362=$A$15)),0,
         IF(OFFSET(CRONOPLE!$F$15,$M362-$A$15,BI$13)=0,10^12,OFFSET(CRONOPLE!$F$15,$M362-$A$15,BI$13)))</f>
        <v>0</v>
      </c>
      <c r="BJ362" s="171">
        <f ca="1">IF(OR($D362&lt;&gt;"Serviço",AND(AUTOEVENTO="Manual",$M362=$A$15)),0,
         IF(OFFSET(CRONOPLE!$F$15,$M362-$A$15,BJ$13)=0,10^12,OFFSET(CRONOPLE!$F$15,$M362-$A$15,BJ$13)))</f>
        <v>0</v>
      </c>
      <c r="BK362" s="171">
        <f ca="1">IF(OR($D362&lt;&gt;"Serviço",AND(AUTOEVENTO="Manual",$M362=$A$15)),0,
         IF(OFFSET(CRONOPLE!$F$15,$M362-$A$15,BK$13)=0,10^12,OFFSET(CRONOPLE!$F$15,$M362-$A$15,BK$13)))</f>
        <v>0</v>
      </c>
      <c r="BL362" s="171">
        <f ca="1">IF(OR($D362&lt;&gt;"Serviço",AND(AUTOEVENTO="Manual",$M362=$A$15)),0,
         IF(OFFSET(CRONOPLE!$F$15,$M362-$A$15,BL$13)=0,10^12,OFFSET(CRONOPLE!$F$15,$M362-$A$15,BL$13)))</f>
        <v>0</v>
      </c>
      <c r="BM362" s="171">
        <f ca="1">IF(OR($D362&lt;&gt;"Serviço",AND(AUTOEVENTO="Manual",$M362=$A$15)),0,
         IF(OFFSET(CRONOPLE!$F$15,$M362-$A$15,BM$13)=0,10^12,OFFSET(CRONOPLE!$F$15,$M362-$A$15,BM$13)))</f>
        <v>0</v>
      </c>
      <c r="BN362" s="171">
        <f ca="1">IF(OR($D362&lt;&gt;"Serviço",AND(AUTOEVENTO="Manual",$M362=$A$15)),0,
         IF(OFFSET(CRONOPLE!$F$15,$M362-$A$15,BN$13)=0,10^12,OFFSET(CRONOPLE!$F$15,$M362-$A$15,BN$13)))</f>
        <v>0</v>
      </c>
      <c r="BO362" s="171">
        <f ca="1">IF(OR($D362&lt;&gt;"Serviço",AND(AUTOEVENTO="Manual",$M362=$A$15)),0,
         IF(OFFSET(CRONOPLE!$F$15,$M362-$A$15,BO$13)=0,10^12,OFFSET(CRONOPLE!$F$15,$M362-$A$15,BO$13)))</f>
        <v>0</v>
      </c>
      <c r="BP362" s="171">
        <f ca="1">IF(OR($D362&lt;&gt;"Serviço",AND(AUTOEVENTO="Manual",$M362=$A$15)),0,
         IF(OFFSET(CRONOPLE!$F$15,$M362-$A$15,BP$13)=0,10^12,OFFSET(CRONOPLE!$F$15,$M362-$A$15,BP$13)))</f>
        <v>0</v>
      </c>
      <c r="BQ362" s="171">
        <f ca="1">IF(OR($D362&lt;&gt;"Serviço",AND(AUTOEVENTO="Manual",$M362=$A$15)),0,
         IF(OFFSET(CRONOPLE!$F$15,$M362-$A$15,BQ$13)=0,10^12,OFFSET(CRONOPLE!$F$15,$M362-$A$15,BQ$13)))</f>
        <v>0</v>
      </c>
      <c r="BR362" s="171">
        <f ca="1">IF(OR($D362&lt;&gt;"Serviço",AND(AUTOEVENTO="Manual",$M362=$A$15)),0,
         IF(OFFSET(CRONOPLE!$F$15,$M362-$A$15,BR$13)=0,10^12,OFFSET(CRONOPLE!$F$15,$M362-$A$15,BR$13)))</f>
        <v>0</v>
      </c>
      <c r="BS362" s="171">
        <f ca="1">IF(OR($D362&lt;&gt;"Serviço",AND(AUTOEVENTO="Manual",$M362=$A$15)),0,
         IF(OFFSET(CRONOPLE!$F$15,$M362-$A$15,BS$13)=0,10^12,OFFSET(CRONOPLE!$F$15,$M362-$A$15,BS$13)))</f>
        <v>0</v>
      </c>
      <c r="BT362" s="171">
        <f ca="1">IF(OR($D362&lt;&gt;"Serviço",AND(AUTOEVENTO="Manual",$M362=$A$15)),0,
         IF(OFFSET(CRONOPLE!$F$15,$M362-$A$15,BT$13)=0,10^12,OFFSET(CRONOPLE!$F$15,$M362-$A$15,BT$13)))</f>
        <v>0</v>
      </c>
      <c r="BV362" s="172">
        <f ca="1">IF(OR($D362&lt;&gt;"Serviço",AND(AUTOEVENTO="Manual",$M362=$A$15),$M362&gt;(ROW(PLE.lastrow)-ROW(PLE.firstrow))),0,
           IF(OFFSET(PLE!$G$15,$M362-$A$15,BV$13)="",10^12,OFFSET(PLE!$G$15,$M362-$A$15,BV$13)))</f>
        <v>0</v>
      </c>
      <c r="BW362" s="172">
        <f ca="1">IF(OR($D362&lt;&gt;"Serviço",AND(AUTOEVENTO="Manual",$M362=$A$15),$M362&gt;(ROW(PLE.lastrow)-ROW(PLE.firstrow))),0,
           IF(OFFSET(PLE!$G$15,$M362-$A$15,BW$13)="",10^12,OFFSET(PLE!$G$15,$M362-$A$15,BW$13)))</f>
        <v>0</v>
      </c>
      <c r="BX362" s="172">
        <f ca="1">IF(OR($D362&lt;&gt;"Serviço",AND(AUTOEVENTO="Manual",$M362=$A$15),$M362&gt;(ROW(PLE.lastrow)-ROW(PLE.firstrow))),0,
           IF(OFFSET(PLE!$G$15,$M362-$A$15,BX$13)="",10^12,OFFSET(PLE!$G$15,$M362-$A$15,BX$13)))</f>
        <v>0</v>
      </c>
      <c r="BY362" s="172">
        <f ca="1">IF(OR($D362&lt;&gt;"Serviço",AND(AUTOEVENTO="Manual",$M362=$A$15),$M362&gt;(ROW(PLE.lastrow)-ROW(PLE.firstrow))),0,
           IF(OFFSET(PLE!$G$15,$M362-$A$15,BY$13)="",10^12,OFFSET(PLE!$G$15,$M362-$A$15,BY$13)))</f>
        <v>0</v>
      </c>
      <c r="BZ362" s="172">
        <f ca="1">IF(OR($D362&lt;&gt;"Serviço",AND(AUTOEVENTO="Manual",$M362=$A$15),$M362&gt;(ROW(PLE.lastrow)-ROW(PLE.firstrow))),0,
           IF(OFFSET(PLE!$G$15,$M362-$A$15,BZ$13)="",10^12,OFFSET(PLE!$G$15,$M362-$A$15,BZ$13)))</f>
        <v>0</v>
      </c>
      <c r="CA362" s="172">
        <f ca="1">IF(OR($D362&lt;&gt;"Serviço",AND(AUTOEVENTO="Manual",$M362=$A$15),$M362&gt;(ROW(PLE.lastrow)-ROW(PLE.firstrow))),0,
           IF(OFFSET(PLE!$G$15,$M362-$A$15,CA$13)="",10^12,OFFSET(PLE!$G$15,$M362-$A$15,CA$13)))</f>
        <v>0</v>
      </c>
      <c r="CB362" s="172">
        <f ca="1">IF(OR($D362&lt;&gt;"Serviço",AND(AUTOEVENTO="Manual",$M362=$A$15),$M362&gt;(ROW(PLE.lastrow)-ROW(PLE.firstrow))),0,
           IF(OFFSET(PLE!$G$15,$M362-$A$15,CB$13)="",10^12,OFFSET(PLE!$G$15,$M362-$A$15,CB$13)))</f>
        <v>0</v>
      </c>
      <c r="CC362" s="172">
        <f ca="1">IF(OR($D362&lt;&gt;"Serviço",AND(AUTOEVENTO="Manual",$M362=$A$15),$M362&gt;(ROW(PLE.lastrow)-ROW(PLE.firstrow))),0,
           IF(OFFSET(PLE!$G$15,$M362-$A$15,CC$13)="",10^12,OFFSET(PLE!$G$15,$M362-$A$15,CC$13)))</f>
        <v>0</v>
      </c>
      <c r="CD362" s="172">
        <f ca="1">IF(OR($D362&lt;&gt;"Serviço",AND(AUTOEVENTO="Manual",$M362=$A$15),$M362&gt;(ROW(PLE.lastrow)-ROW(PLE.firstrow))),0,
           IF(OFFSET(PLE!$G$15,$M362-$A$15,CD$13)="",10^12,OFFSET(PLE!$G$15,$M362-$A$15,CD$13)))</f>
        <v>0</v>
      </c>
      <c r="CE362" s="172">
        <f ca="1">IF(OR($D362&lt;&gt;"Serviço",AND(AUTOEVENTO="Manual",$M362=$A$15),$M362&gt;(ROW(PLE.lastrow)-ROW(PLE.firstrow))),0,
           IF(OFFSET(PLE!$G$15,$M362-$A$15,CE$13)="",10^12,OFFSET(PLE!$G$15,$M362-$A$15,CE$13)))</f>
        <v>0</v>
      </c>
      <c r="CF362" s="172">
        <f ca="1">IF(OR($D362&lt;&gt;"Serviço",AND(AUTOEVENTO="Manual",$M362=$A$15),$M362&gt;(ROW(PLE.lastrow)-ROW(PLE.firstrow))),0,
           IF(OFFSET(PLE!$G$15,$M362-$A$15,CF$13)="",10^12,OFFSET(PLE!$G$15,$M362-$A$15,CF$13)))</f>
        <v>0</v>
      </c>
      <c r="CG362" s="172">
        <f ca="1">IF(OR($D362&lt;&gt;"Serviço",AND(AUTOEVENTO="Manual",$M362=$A$15),$M362&gt;(ROW(PLE.lastrow)-ROW(PLE.firstrow))),0,
           IF(OFFSET(PLE!$G$15,$M362-$A$15,CG$13)="",10^12,OFFSET(PLE!$G$15,$M362-$A$15,CG$13)))</f>
        <v>0</v>
      </c>
      <c r="CH362" s="172">
        <f ca="1">IF(OR($D362&lt;&gt;"Serviço",AND(AUTOEVENTO="Manual",$M362=$A$15),$M362&gt;(ROW(PLE.lastrow)-ROW(PLE.firstrow))),0,
           IF(OFFSET(PLE!$G$15,$M362-$A$15,CH$13)="",10^12,OFFSET(PLE!$G$15,$M362-$A$15,CH$13)))</f>
        <v>0</v>
      </c>
      <c r="CI362" s="172">
        <f ca="1">IF(OR($D362&lt;&gt;"Serviço",AND(AUTOEVENTO="Manual",$M362=$A$15),$M362&gt;(ROW(PLE.lastrow)-ROW(PLE.firstrow))),0,
           IF(OFFSET(PLE!$G$15,$M362-$A$15,CI$13)="",10^12,OFFSET(PLE!$G$15,$M362-$A$15,CI$13)))</f>
        <v>0</v>
      </c>
      <c r="CJ362" s="172">
        <f ca="1">IF(OR($D362&lt;&gt;"Serviço",AND(AUTOEVENTO="Manual",$M362=$A$15),$M362&gt;(ROW(PLE.lastrow)-ROW(PLE.firstrow))),0,
           IF(OFFSET(PLE!$G$15,$M362-$A$15,CJ$13)="",10^12,OFFSET(PLE!$G$15,$M362-$A$15,CJ$13)))</f>
        <v>0</v>
      </c>
      <c r="CK362" s="172">
        <f ca="1">IF(OR($D362&lt;&gt;"Serviço",AND(AUTOEVENTO="Manual",$M362=$A$15),$M362&gt;(ROW(PLE.lastrow)-ROW(PLE.firstrow))),0,
           IF(OFFSET(PLE!$G$15,$M362-$A$15,CK$13)="",10^12,OFFSET(PLE!$G$15,$M362-$A$15,CK$13)))</f>
        <v>0</v>
      </c>
      <c r="CL362" s="172">
        <f ca="1">IF(OR($D362&lt;&gt;"Serviço",AND(AUTOEVENTO="Manual",$M362=$A$15),$M362&gt;(ROW(PLE.lastrow)-ROW(PLE.firstrow))),0,
           IF(OFFSET(PLE!$G$15,$M362-$A$15,CL$13)="",10^12,OFFSET(PLE!$G$15,$M362-$A$15,CL$13)))</f>
        <v>0</v>
      </c>
      <c r="CM362" s="172">
        <f ca="1">IF(OR($D362&lt;&gt;"Serviço",AND(AUTOEVENTO="Manual",$M362=$A$15),$M362&gt;(ROW(PLE.lastrow)-ROW(PLE.firstrow))),0,
           IF(OFFSET(PLE!$G$15,$M362-$A$15,CM$13)="",10^12,OFFSET(PLE!$G$15,$M362-$A$15,CM$13)))</f>
        <v>0</v>
      </c>
    </row>
    <row r="363" spans="1:91" ht="38.25" x14ac:dyDescent="0.2">
      <c r="A363" s="7">
        <f t="shared" ca="1" si="15"/>
        <v>7</v>
      </c>
      <c r="B363" s="7" t="str">
        <f ca="1">OFFSET(ORÇAMENTO!C$15,ROW(B363)-ROW(B$15),0)</f>
        <v>S</v>
      </c>
      <c r="C363" s="7" t="str">
        <f ca="1">OFFSET(ORÇAMENTO!L$15,ROW(C363)-ROW(C$15),0)</f>
        <v>F</v>
      </c>
      <c r="D363" s="116" t="str">
        <f ca="1">OFFSET(ORÇAMENTO!N$15,ROW(D363)-ROW(D$15),0)</f>
        <v>Serviço</v>
      </c>
      <c r="E363" s="117" t="str">
        <f ca="1">OFFSET(ORÇAMENTO!O$15,ROW(E363)-ROW(E$15),0)</f>
        <v>1.8.1.1.1.</v>
      </c>
      <c r="F363" s="163" t="str">
        <f ca="1">OFFSET(ORÇAMENTO!R$15,ROW(F363)-ROW(F$15),0)</f>
        <v>QUADRO DE DISTRIBUIÇÃO DE SOBREPOR EM CHAPA, PARA 44 DISJUNTORES DIN, INCLUSIVE BARRAMENTOS NEUTRO/TERRA E BARRAMENTO TRIFÁSICO DE 100A</v>
      </c>
      <c r="G363" s="164" t="str">
        <f ca="1">IF($D363&lt;&gt;"Serviço","",OFFSET(ORÇAMENTO!S$15,ROW(G363)-ROW(G$15),0))</f>
        <v>UN</v>
      </c>
      <c r="H363" s="122" cm="1">
        <f t="array" aca="1" ref="H363" ca="1">IF($D363&lt;&gt;"Serviço",0,IF(ACOMPANHAMENTO="BM",ROUND(OFFSET(ORÇAMENTO!AJ$15,ROW(H363)-ROW(H$15),0),15-13*ORÇAMENTO!$AF$7),SUMPRODUCT(($Q$1:$AI$1=1)*ROUND($Q363:$AI363,15-13*ORÇAMENTO!$AF$7))))</f>
        <v>1</v>
      </c>
      <c r="I363" s="468" t="s">
        <v>1431</v>
      </c>
      <c r="J363" s="640" t="str" cm="1">
        <f t="array" aca="1" ref="J363" ca="1">IF(OR(B363&lt;&gt;"S",CÁLCULO.FrentesPreenchidas=0),"",IF(AND(ACOMPANHAMENTO="PLE",AUTOEVENTO="Manual",OR(H363&gt;0,ORÇAMENTO!AC363="QUANT."),OR(K363="",M363=0,N363="")),"►E",IF(AND(ACOMPANHAMENTO="PLE",ORÇAMENTO!AC363="QUANT."),"►Q",IF(AND(ACOMPANHAMENTO="PLE",H363&lt;&gt;SUMPRODUCT(($Q$1:$AI$1=1)*ROUND(Q363:AI363,15))),"►S",IF(AND(COUNTIF($P$11:$AI$11,"▼")=0,H363&gt;0,I363=""),"◄M","")))))</f>
        <v/>
      </c>
      <c r="K363" s="641" t="s">
        <v>1391</v>
      </c>
      <c r="L363" s="165" t="s">
        <v>764</v>
      </c>
      <c r="M363" s="166">
        <f ca="1">IF($D363&lt;&gt;"Serviço","",
          IF(AUTOEVENTO="manual",$A363,
                IF(ISERROR(MATCH($A363,$A$15:OFFSET($A363,-1,0),0)),MAX($M$15:OFFSET(M363,-1,0))+1,
                      INDEX($M$15:OFFSET(M363,-1,0),MATCH($A363,$A$15:OFFSET($A363,-1,0),0)))))</f>
        <v>7</v>
      </c>
      <c r="N363" s="167" t="str">
        <f ca="1">IF($D363&lt;&gt;"Serviço","",
         IF(AUTOEVENTO="Manual",
                IF($A363=0,"&lt;-- defina o número do agrupador",
                       OFFSET(EVENTOS!$D$15,$A363-$A$15,0)),
                OFFSET($F$15,$A363,0)))</f>
        <v>Instalações Elétricas</v>
      </c>
      <c r="O363" s="168"/>
      <c r="Q363" s="168"/>
      <c r="R363" s="169"/>
      <c r="S363" s="169"/>
      <c r="T363" s="169"/>
      <c r="U363" s="169"/>
      <c r="V363" s="169"/>
      <c r="W363" s="169"/>
      <c r="X363" s="169">
        <v>1</v>
      </c>
      <c r="Y363" s="169"/>
      <c r="Z363" s="170"/>
      <c r="AA363" s="169"/>
      <c r="AB363" s="169"/>
      <c r="AC363" s="169"/>
      <c r="AD363" s="169"/>
      <c r="AE363" s="169"/>
      <c r="AF363" s="169"/>
      <c r="AG363" s="169"/>
      <c r="AH363" s="170"/>
      <c r="AJ363" s="453">
        <f ca="1">IF(AND($D363="Serviço",AJ$12&lt;&gt;0,$H363&gt;0,OR(AUTOEVENTO&lt;&gt;"manual",$M363&lt;&gt;$A$15)),
        IF(Import.TipoArredondamento&lt;&gt;"TransfereGOV",
              ROUND(OFFSET($P363,0,AJ$13),15-13*ORÇAMENTO!$AF$7)/$H363*OFFSET(ORÇAMENTO!$X$15,ROW(AJ363)-ROW(AJ$15),0),
              ROUND(ROUND(OFFSET($P363,0,AJ$13),15-13*ORÇAMENTO!$AF$7)*OFFSET(ORÇAMENTO!$W$15,ROW(AJ363)-ROW(AJ$15),0),15-13*ORÇAMENTO!$AF$11)),
         0)</f>
        <v>0</v>
      </c>
      <c r="AK363" s="453">
        <f ca="1">IF(AND($D363="Serviço",AK$12&lt;&gt;0,$H363&gt;0,OR(AUTOEVENTO&lt;&gt;"manual",$M363&lt;&gt;$A$15)),
        IF(Import.TipoArredondamento&lt;&gt;"TransfereGOV",
              ROUND(OFFSET($P363,0,AK$13),15-13*ORÇAMENTO!$AF$7)/$H363*OFFSET(ORÇAMENTO!$X$15,ROW(AK363)-ROW(AK$15),0),
              ROUND(ROUND(OFFSET($P363,0,AK$13),15-13*ORÇAMENTO!$AF$7)*OFFSET(ORÇAMENTO!$W$15,ROW(AK363)-ROW(AK$15),0),15-13*ORÇAMENTO!$AF$11)),
         0)</f>
        <v>0</v>
      </c>
      <c r="AL363" s="453">
        <f ca="1">IF(AND($D363="Serviço",AL$12&lt;&gt;0,$H363&gt;0,OR(AUTOEVENTO&lt;&gt;"manual",$M363&lt;&gt;$A$15)),
        IF(Import.TipoArredondamento&lt;&gt;"TransfereGOV",
              ROUND(OFFSET($P363,0,AL$13),15-13*ORÇAMENTO!$AF$7)/$H363*OFFSET(ORÇAMENTO!$X$15,ROW(AL363)-ROW(AL$15),0),
              ROUND(ROUND(OFFSET($P363,0,AL$13),15-13*ORÇAMENTO!$AF$7)*OFFSET(ORÇAMENTO!$W$15,ROW(AL363)-ROW(AL$15),0),15-13*ORÇAMENTO!$AF$11)),
         0)</f>
        <v>0</v>
      </c>
      <c r="AM363" s="453">
        <f ca="1">IF(AND($D363="Serviço",AM$12&lt;&gt;0,$H363&gt;0,OR(AUTOEVENTO&lt;&gt;"manual",$M363&lt;&gt;$A$15)),
        IF(Import.TipoArredondamento&lt;&gt;"TransfereGOV",
              ROUND(OFFSET($P363,0,AM$13),15-13*ORÇAMENTO!$AF$7)/$H363*OFFSET(ORÇAMENTO!$X$15,ROW(AM363)-ROW(AM$15),0),
              ROUND(ROUND(OFFSET($P363,0,AM$13),15-13*ORÇAMENTO!$AF$7)*OFFSET(ORÇAMENTO!$W$15,ROW(AM363)-ROW(AM$15),0),15-13*ORÇAMENTO!$AF$11)),
         0)</f>
        <v>0</v>
      </c>
      <c r="AN363" s="453">
        <f ca="1">IF(AND($D363="Serviço",AN$12&lt;&gt;0,$H363&gt;0,OR(AUTOEVENTO&lt;&gt;"manual",$M363&lt;&gt;$A$15)),
        IF(Import.TipoArredondamento&lt;&gt;"TransfereGOV",
              ROUND(OFFSET($P363,0,AN$13),15-13*ORÇAMENTO!$AF$7)/$H363*OFFSET(ORÇAMENTO!$X$15,ROW(AN363)-ROW(AN$15),0),
              ROUND(ROUND(OFFSET($P363,0,AN$13),15-13*ORÇAMENTO!$AF$7)*OFFSET(ORÇAMENTO!$W$15,ROW(AN363)-ROW(AN$15),0),15-13*ORÇAMENTO!$AF$11)),
         0)</f>
        <v>0</v>
      </c>
      <c r="AO363" s="453">
        <f ca="1">IF(AND($D363="Serviço",AO$12&lt;&gt;0,$H363&gt;0,OR(AUTOEVENTO&lt;&gt;"manual",$M363&lt;&gt;$A$15)),
        IF(Import.TipoArredondamento&lt;&gt;"TransfereGOV",
              ROUND(OFFSET($P363,0,AO$13),15-13*ORÇAMENTO!$AF$7)/$H363*OFFSET(ORÇAMENTO!$X$15,ROW(AO363)-ROW(AO$15),0),
              ROUND(ROUND(OFFSET($P363,0,AO$13),15-13*ORÇAMENTO!$AF$7)*OFFSET(ORÇAMENTO!$W$15,ROW(AO363)-ROW(AO$15),0),15-13*ORÇAMENTO!$AF$11)),
         0)</f>
        <v>0</v>
      </c>
      <c r="AP363" s="453">
        <f ca="1">IF(AND($D363="Serviço",AP$12&lt;&gt;0,$H363&gt;0,OR(AUTOEVENTO&lt;&gt;"manual",$M363&lt;&gt;$A$15)),
        IF(Import.TipoArredondamento&lt;&gt;"TransfereGOV",
              ROUND(OFFSET($P363,0,AP$13),15-13*ORÇAMENTO!$AF$7)/$H363*OFFSET(ORÇAMENTO!$X$15,ROW(AP363)-ROW(AP$15),0),
              ROUND(ROUND(OFFSET($P363,0,AP$13),15-13*ORÇAMENTO!$AF$7)*OFFSET(ORÇAMENTO!$W$15,ROW(AP363)-ROW(AP$15),0),15-13*ORÇAMENTO!$AF$11)),
         0)</f>
        <v>0</v>
      </c>
      <c r="AQ363" s="453">
        <f ca="1">IF(AND($D363="Serviço",AQ$12&lt;&gt;0,$H363&gt;0,OR(AUTOEVENTO&lt;&gt;"manual",$M363&lt;&gt;$A$15)),
        IF(Import.TipoArredondamento&lt;&gt;"TransfereGOV",
              ROUND(OFFSET($P363,0,AQ$13),15-13*ORÇAMENTO!$AF$7)/$H363*OFFSET(ORÇAMENTO!$X$15,ROW(AQ363)-ROW(AQ$15),0),
              ROUND(ROUND(OFFSET($P363,0,AQ$13),15-13*ORÇAMENTO!$AF$7)*OFFSET(ORÇAMENTO!$W$15,ROW(AQ363)-ROW(AQ$15),0),15-13*ORÇAMENTO!$AF$11)),
         0)</f>
        <v>0</v>
      </c>
      <c r="AR363" s="453">
        <f ca="1">IF(AND($D363="Serviço",AR$12&lt;&gt;0,$H363&gt;0,OR(AUTOEVENTO&lt;&gt;"manual",$M363&lt;&gt;$A$15)),
        IF(Import.TipoArredondamento&lt;&gt;"TransfereGOV",
              ROUND(OFFSET($P363,0,AR$13),15-13*ORÇAMENTO!$AF$7)/$H363*OFFSET(ORÇAMENTO!$X$15,ROW(AR363)-ROW(AR$15),0),
              ROUND(ROUND(OFFSET($P363,0,AR$13),15-13*ORÇAMENTO!$AF$7)*OFFSET(ORÇAMENTO!$W$15,ROW(AR363)-ROW(AR$15),0),15-13*ORÇAMENTO!$AF$11)),
         0)</f>
        <v>0</v>
      </c>
      <c r="AS363" s="453">
        <f ca="1">IF(AND($D363="Serviço",AS$12&lt;&gt;0,$H363&gt;0,OR(AUTOEVENTO&lt;&gt;"manual",$M363&lt;&gt;$A$15)),
        IF(Import.TipoArredondamento&lt;&gt;"TransfereGOV",
              ROUND(OFFSET($P363,0,AS$13),15-13*ORÇAMENTO!$AF$7)/$H363*OFFSET(ORÇAMENTO!$X$15,ROW(AS363)-ROW(AS$15),0),
              ROUND(ROUND(OFFSET($P363,0,AS$13),15-13*ORÇAMENTO!$AF$7)*OFFSET(ORÇAMENTO!$W$15,ROW(AS363)-ROW(AS$15),0),15-13*ORÇAMENTO!$AF$11)),
         0)</f>
        <v>0</v>
      </c>
      <c r="AT363" s="453">
        <f ca="1">IF(AND($D363="Serviço",AT$12&lt;&gt;0,$H363&gt;0,OR(AUTOEVENTO&lt;&gt;"manual",$M363&lt;&gt;$A$15)),
        IF(Import.TipoArredondamento&lt;&gt;"TransfereGOV",
              ROUND(OFFSET($P363,0,AT$13),15-13*ORÇAMENTO!$AF$7)/$H363*OFFSET(ORÇAMENTO!$X$15,ROW(AT363)-ROW(AT$15),0),
              ROUND(ROUND(OFFSET($P363,0,AT$13),15-13*ORÇAMENTO!$AF$7)*OFFSET(ORÇAMENTO!$W$15,ROW(AT363)-ROW(AT$15),0),15-13*ORÇAMENTO!$AF$11)),
         0)</f>
        <v>0</v>
      </c>
      <c r="AU363" s="453">
        <f ca="1">IF(AND($D363="Serviço",AU$12&lt;&gt;0,$H363&gt;0,OR(AUTOEVENTO&lt;&gt;"manual",$M363&lt;&gt;$A$15)),
        IF(Import.TipoArredondamento&lt;&gt;"TransfereGOV",
              ROUND(OFFSET($P363,0,AU$13),15-13*ORÇAMENTO!$AF$7)/$H363*OFFSET(ORÇAMENTO!$X$15,ROW(AU363)-ROW(AU$15),0),
              ROUND(ROUND(OFFSET($P363,0,AU$13),15-13*ORÇAMENTO!$AF$7)*OFFSET(ORÇAMENTO!$W$15,ROW(AU363)-ROW(AU$15),0),15-13*ORÇAMENTO!$AF$11)),
         0)</f>
        <v>0</v>
      </c>
      <c r="AV363" s="453">
        <f ca="1">IF(AND($D363="Serviço",AV$12&lt;&gt;0,$H363&gt;0,OR(AUTOEVENTO&lt;&gt;"manual",$M363&lt;&gt;$A$15)),
        IF(Import.TipoArredondamento&lt;&gt;"TransfereGOV",
              ROUND(OFFSET($P363,0,AV$13),15-13*ORÇAMENTO!$AF$7)/$H363*OFFSET(ORÇAMENTO!$X$15,ROW(AV363)-ROW(AV$15),0),
              ROUND(ROUND(OFFSET($P363,0,AV$13),15-13*ORÇAMENTO!$AF$7)*OFFSET(ORÇAMENTO!$W$15,ROW(AV363)-ROW(AV$15),0),15-13*ORÇAMENTO!$AF$11)),
         0)</f>
        <v>0</v>
      </c>
      <c r="AW363" s="453">
        <f ca="1">IF(AND($D363="Serviço",AW$12&lt;&gt;0,$H363&gt;0,OR(AUTOEVENTO&lt;&gt;"manual",$M363&lt;&gt;$A$15)),
        IF(Import.TipoArredondamento&lt;&gt;"TransfereGOV",
              ROUND(OFFSET($P363,0,AW$13),15-13*ORÇAMENTO!$AF$7)/$H363*OFFSET(ORÇAMENTO!$X$15,ROW(AW363)-ROW(AW$15),0),
              ROUND(ROUND(OFFSET($P363,0,AW$13),15-13*ORÇAMENTO!$AF$7)*OFFSET(ORÇAMENTO!$W$15,ROW(AW363)-ROW(AW$15),0),15-13*ORÇAMENTO!$AF$11)),
         0)</f>
        <v>0</v>
      </c>
      <c r="AX363" s="453">
        <f ca="1">IF(AND($D363="Serviço",AX$12&lt;&gt;0,$H363&gt;0,OR(AUTOEVENTO&lt;&gt;"manual",$M363&lt;&gt;$A$15)),
        IF(Import.TipoArredondamento&lt;&gt;"TransfereGOV",
              ROUND(OFFSET($P363,0,AX$13),15-13*ORÇAMENTO!$AF$7)/$H363*OFFSET(ORÇAMENTO!$X$15,ROW(AX363)-ROW(AX$15),0),
              ROUND(ROUND(OFFSET($P363,0,AX$13),15-13*ORÇAMENTO!$AF$7)*OFFSET(ORÇAMENTO!$W$15,ROW(AX363)-ROW(AX$15),0),15-13*ORÇAMENTO!$AF$11)),
         0)</f>
        <v>0</v>
      </c>
      <c r="AY363" s="453">
        <f ca="1">IF(AND($D363="Serviço",AY$12&lt;&gt;0,$H363&gt;0,OR(AUTOEVENTO&lt;&gt;"manual",$M363&lt;&gt;$A$15)),
        IF(Import.TipoArredondamento&lt;&gt;"TransfereGOV",
              ROUND(OFFSET($P363,0,AY$13),15-13*ORÇAMENTO!$AF$7)/$H363*OFFSET(ORÇAMENTO!$X$15,ROW(AY363)-ROW(AY$15),0),
              ROUND(ROUND(OFFSET($P363,0,AY$13),15-13*ORÇAMENTO!$AF$7)*OFFSET(ORÇAMENTO!$W$15,ROW(AY363)-ROW(AY$15),0),15-13*ORÇAMENTO!$AF$11)),
         0)</f>
        <v>0</v>
      </c>
      <c r="AZ363" s="453">
        <f ca="1">IF(AND($D363="Serviço",AZ$12&lt;&gt;0,$H363&gt;0,OR(AUTOEVENTO&lt;&gt;"manual",$M363&lt;&gt;$A$15)),
        IF(Import.TipoArredondamento&lt;&gt;"TransfereGOV",
              ROUND(OFFSET($P363,0,AZ$13),15-13*ORÇAMENTO!$AF$7)/$H363*OFFSET(ORÇAMENTO!$X$15,ROW(AZ363)-ROW(AZ$15),0),
              ROUND(ROUND(OFFSET($P363,0,AZ$13),15-13*ORÇAMENTO!$AF$7)*OFFSET(ORÇAMENTO!$W$15,ROW(AZ363)-ROW(AZ$15),0),15-13*ORÇAMENTO!$AF$11)),
         0)</f>
        <v>0</v>
      </c>
      <c r="BA363" s="453">
        <f ca="1">IF(AND($D363="Serviço",BA$12&lt;&gt;0,$H363&gt;0,OR(AUTOEVENTO&lt;&gt;"manual",$M363&lt;&gt;$A$15)),
        IF(Import.TipoArredondamento&lt;&gt;"TransfereGOV",
              ROUND(OFFSET($P363,0,BA$13),15-13*ORÇAMENTO!$AF$7)/$H363*OFFSET(ORÇAMENTO!$X$15,ROW(BA363)-ROW(BA$15),0),
              ROUND(ROUND(OFFSET($P363,0,BA$13),15-13*ORÇAMENTO!$AF$7)*OFFSET(ORÇAMENTO!$W$15,ROW(BA363)-ROW(BA$15),0),15-13*ORÇAMENTO!$AF$11)),
         0)</f>
        <v>0</v>
      </c>
      <c r="BC363" s="171">
        <f ca="1">IF(OR($D363&lt;&gt;"Serviço",AND(AUTOEVENTO="Manual",$M363=$A$15)),0,
         IF(OFFSET(CRONOPLE!$F$15,$M363-$A$15,BC$13)=0,10^12,OFFSET(CRONOPLE!$F$15,$M363-$A$15,BC$13)))</f>
        <v>1</v>
      </c>
      <c r="BD363" s="171">
        <f ca="1">IF(OR($D363&lt;&gt;"Serviço",AND(AUTOEVENTO="Manual",$M363=$A$15)),0,
         IF(OFFSET(CRONOPLE!$F$15,$M363-$A$15,BD$13)=0,10^12,OFFSET(CRONOPLE!$F$15,$M363-$A$15,BD$13)))</f>
        <v>2</v>
      </c>
      <c r="BE363" s="171">
        <f ca="1">IF(OR($D363&lt;&gt;"Serviço",AND(AUTOEVENTO="Manual",$M363=$A$15)),0,
         IF(OFFSET(CRONOPLE!$F$15,$M363-$A$15,BE$13)=0,10^12,OFFSET(CRONOPLE!$F$15,$M363-$A$15,BE$13)))</f>
        <v>3</v>
      </c>
      <c r="BF363" s="171">
        <f ca="1">IF(OR($D363&lt;&gt;"Serviço",AND(AUTOEVENTO="Manual",$M363=$A$15)),0,
         IF(OFFSET(CRONOPLE!$F$15,$M363-$A$15,BF$13)=0,10^12,OFFSET(CRONOPLE!$F$15,$M363-$A$15,BF$13)))</f>
        <v>4</v>
      </c>
      <c r="BG363" s="171">
        <f ca="1">IF(OR($D363&lt;&gt;"Serviço",AND(AUTOEVENTO="Manual",$M363=$A$15)),0,
         IF(OFFSET(CRONOPLE!$F$15,$M363-$A$15,BG$13)=0,10^12,OFFSET(CRONOPLE!$F$15,$M363-$A$15,BG$13)))</f>
        <v>5</v>
      </c>
      <c r="BH363" s="171">
        <f ca="1">IF(OR($D363&lt;&gt;"Serviço",AND(AUTOEVENTO="Manual",$M363=$A$15)),0,
         IF(OFFSET(CRONOPLE!$F$15,$M363-$A$15,BH$13)=0,10^12,OFFSET(CRONOPLE!$F$15,$M363-$A$15,BH$13)))</f>
        <v>6</v>
      </c>
      <c r="BI363" s="171">
        <f ca="1">IF(OR($D363&lt;&gt;"Serviço",AND(AUTOEVENTO="Manual",$M363=$A$15)),0,
         IF(OFFSET(CRONOPLE!$F$15,$M363-$A$15,BI$13)=0,10^12,OFFSET(CRONOPLE!$F$15,$M363-$A$15,BI$13)))</f>
        <v>7</v>
      </c>
      <c r="BJ363" s="171">
        <f ca="1">IF(OR($D363&lt;&gt;"Serviço",AND(AUTOEVENTO="Manual",$M363=$A$15)),0,
         IF(OFFSET(CRONOPLE!$F$15,$M363-$A$15,BJ$13)=0,10^12,OFFSET(CRONOPLE!$F$15,$M363-$A$15,BJ$13)))</f>
        <v>8</v>
      </c>
      <c r="BK363" s="171">
        <f ca="1">IF(OR($D363&lt;&gt;"Serviço",AND(AUTOEVENTO="Manual",$M363=$A$15)),0,
         IF(OFFSET(CRONOPLE!$F$15,$M363-$A$15,BK$13)=0,10^12,OFFSET(CRONOPLE!$F$15,$M363-$A$15,BK$13)))</f>
        <v>9</v>
      </c>
      <c r="BL363" s="171">
        <f ca="1">IF(OR($D363&lt;&gt;"Serviço",AND(AUTOEVENTO="Manual",$M363=$A$15)),0,
         IF(OFFSET(CRONOPLE!$F$15,$M363-$A$15,BL$13)=0,10^12,OFFSET(CRONOPLE!$F$15,$M363-$A$15,BL$13)))</f>
        <v>1000000000000</v>
      </c>
      <c r="BM363" s="171">
        <f ca="1">IF(OR($D363&lt;&gt;"Serviço",AND(AUTOEVENTO="Manual",$M363=$A$15)),0,
         IF(OFFSET(CRONOPLE!$F$15,$M363-$A$15,BM$13)=0,10^12,OFFSET(CRONOPLE!$F$15,$M363-$A$15,BM$13)))</f>
        <v>1000000000000</v>
      </c>
      <c r="BN363" s="171">
        <f ca="1">IF(OR($D363&lt;&gt;"Serviço",AND(AUTOEVENTO="Manual",$M363=$A$15)),0,
         IF(OFFSET(CRONOPLE!$F$15,$M363-$A$15,BN$13)=0,10^12,OFFSET(CRONOPLE!$F$15,$M363-$A$15,BN$13)))</f>
        <v>1000000000000</v>
      </c>
      <c r="BO363" s="171">
        <f ca="1">IF(OR($D363&lt;&gt;"Serviço",AND(AUTOEVENTO="Manual",$M363=$A$15)),0,
         IF(OFFSET(CRONOPLE!$F$15,$M363-$A$15,BO$13)=0,10^12,OFFSET(CRONOPLE!$F$15,$M363-$A$15,BO$13)))</f>
        <v>1000000000000</v>
      </c>
      <c r="BP363" s="171">
        <f ca="1">IF(OR($D363&lt;&gt;"Serviço",AND(AUTOEVENTO="Manual",$M363=$A$15)),0,
         IF(OFFSET(CRONOPLE!$F$15,$M363-$A$15,BP$13)=0,10^12,OFFSET(CRONOPLE!$F$15,$M363-$A$15,BP$13)))</f>
        <v>1000000000000</v>
      </c>
      <c r="BQ363" s="171">
        <f ca="1">IF(OR($D363&lt;&gt;"Serviço",AND(AUTOEVENTO="Manual",$M363=$A$15)),0,
         IF(OFFSET(CRONOPLE!$F$15,$M363-$A$15,BQ$13)=0,10^12,OFFSET(CRONOPLE!$F$15,$M363-$A$15,BQ$13)))</f>
        <v>1000000000000</v>
      </c>
      <c r="BR363" s="171">
        <f ca="1">IF(OR($D363&lt;&gt;"Serviço",AND(AUTOEVENTO="Manual",$M363=$A$15)),0,
         IF(OFFSET(CRONOPLE!$F$15,$M363-$A$15,BR$13)=0,10^12,OFFSET(CRONOPLE!$F$15,$M363-$A$15,BR$13)))</f>
        <v>1000000000000</v>
      </c>
      <c r="BS363" s="171">
        <f ca="1">IF(OR($D363&lt;&gt;"Serviço",AND(AUTOEVENTO="Manual",$M363=$A$15)),0,
         IF(OFFSET(CRONOPLE!$F$15,$M363-$A$15,BS$13)=0,10^12,OFFSET(CRONOPLE!$F$15,$M363-$A$15,BS$13)))</f>
        <v>1000000000000</v>
      </c>
      <c r="BT363" s="171">
        <f ca="1">IF(OR($D363&lt;&gt;"Serviço",AND(AUTOEVENTO="Manual",$M363=$A$15)),0,
         IF(OFFSET(CRONOPLE!$F$15,$M363-$A$15,BT$13)=0,10^12,OFFSET(CRONOPLE!$F$15,$M363-$A$15,BT$13)))</f>
        <v>1000000000000</v>
      </c>
      <c r="BV363" s="172">
        <f ca="1">IF(OR($D363&lt;&gt;"Serviço",AND(AUTOEVENTO="Manual",$M363=$A$15),$M363&gt;(ROW(PLE.lastrow)-ROW(PLE.firstrow))),0,
           IF(OFFSET(PLE!$G$15,$M363-$A$15,BV$13)="",10^12,OFFSET(PLE!$G$15,$M363-$A$15,BV$13)))</f>
        <v>1000000000000</v>
      </c>
      <c r="BW363" s="172">
        <f ca="1">IF(OR($D363&lt;&gt;"Serviço",AND(AUTOEVENTO="Manual",$M363=$A$15),$M363&gt;(ROW(PLE.lastrow)-ROW(PLE.firstrow))),0,
           IF(OFFSET(PLE!$G$15,$M363-$A$15,BW$13)="",10^12,OFFSET(PLE!$G$15,$M363-$A$15,BW$13)))</f>
        <v>1000000000000</v>
      </c>
      <c r="BX363" s="172">
        <f ca="1">IF(OR($D363&lt;&gt;"Serviço",AND(AUTOEVENTO="Manual",$M363=$A$15),$M363&gt;(ROW(PLE.lastrow)-ROW(PLE.firstrow))),0,
           IF(OFFSET(PLE!$G$15,$M363-$A$15,BX$13)="",10^12,OFFSET(PLE!$G$15,$M363-$A$15,BX$13)))</f>
        <v>1000000000000</v>
      </c>
      <c r="BY363" s="172">
        <f ca="1">IF(OR($D363&lt;&gt;"Serviço",AND(AUTOEVENTO="Manual",$M363=$A$15),$M363&gt;(ROW(PLE.lastrow)-ROW(PLE.firstrow))),0,
           IF(OFFSET(PLE!$G$15,$M363-$A$15,BY$13)="",10^12,OFFSET(PLE!$G$15,$M363-$A$15,BY$13)))</f>
        <v>1000000000000</v>
      </c>
      <c r="BZ363" s="172">
        <f ca="1">IF(OR($D363&lt;&gt;"Serviço",AND(AUTOEVENTO="Manual",$M363=$A$15),$M363&gt;(ROW(PLE.lastrow)-ROW(PLE.firstrow))),0,
           IF(OFFSET(PLE!$G$15,$M363-$A$15,BZ$13)="",10^12,OFFSET(PLE!$G$15,$M363-$A$15,BZ$13)))</f>
        <v>1000000000000</v>
      </c>
      <c r="CA363" s="172">
        <f ca="1">IF(OR($D363&lt;&gt;"Serviço",AND(AUTOEVENTO="Manual",$M363=$A$15),$M363&gt;(ROW(PLE.lastrow)-ROW(PLE.firstrow))),0,
           IF(OFFSET(PLE!$G$15,$M363-$A$15,CA$13)="",10^12,OFFSET(PLE!$G$15,$M363-$A$15,CA$13)))</f>
        <v>1000000000000</v>
      </c>
      <c r="CB363" s="172">
        <f ca="1">IF(OR($D363&lt;&gt;"Serviço",AND(AUTOEVENTO="Manual",$M363=$A$15),$M363&gt;(ROW(PLE.lastrow)-ROW(PLE.firstrow))),0,
           IF(OFFSET(PLE!$G$15,$M363-$A$15,CB$13)="",10^12,OFFSET(PLE!$G$15,$M363-$A$15,CB$13)))</f>
        <v>1000000000000</v>
      </c>
      <c r="CC363" s="172">
        <f ca="1">IF(OR($D363&lt;&gt;"Serviço",AND(AUTOEVENTO="Manual",$M363=$A$15),$M363&gt;(ROW(PLE.lastrow)-ROW(PLE.firstrow))),0,
           IF(OFFSET(PLE!$G$15,$M363-$A$15,CC$13)="",10^12,OFFSET(PLE!$G$15,$M363-$A$15,CC$13)))</f>
        <v>1000000000000</v>
      </c>
      <c r="CD363" s="172">
        <f ca="1">IF(OR($D363&lt;&gt;"Serviço",AND(AUTOEVENTO="Manual",$M363=$A$15),$M363&gt;(ROW(PLE.lastrow)-ROW(PLE.firstrow))),0,
           IF(OFFSET(PLE!$G$15,$M363-$A$15,CD$13)="",10^12,OFFSET(PLE!$G$15,$M363-$A$15,CD$13)))</f>
        <v>1000000000000</v>
      </c>
      <c r="CE363" s="172">
        <f ca="1">IF(OR($D363&lt;&gt;"Serviço",AND(AUTOEVENTO="Manual",$M363=$A$15),$M363&gt;(ROW(PLE.lastrow)-ROW(PLE.firstrow))),0,
           IF(OFFSET(PLE!$G$15,$M363-$A$15,CE$13)="",10^12,OFFSET(PLE!$G$15,$M363-$A$15,CE$13)))</f>
        <v>1000000000000</v>
      </c>
      <c r="CF363" s="172">
        <f ca="1">IF(OR($D363&lt;&gt;"Serviço",AND(AUTOEVENTO="Manual",$M363=$A$15),$M363&gt;(ROW(PLE.lastrow)-ROW(PLE.firstrow))),0,
           IF(OFFSET(PLE!$G$15,$M363-$A$15,CF$13)="",10^12,OFFSET(PLE!$G$15,$M363-$A$15,CF$13)))</f>
        <v>1000000000000</v>
      </c>
      <c r="CG363" s="172">
        <f ca="1">IF(OR($D363&lt;&gt;"Serviço",AND(AUTOEVENTO="Manual",$M363=$A$15),$M363&gt;(ROW(PLE.lastrow)-ROW(PLE.firstrow))),0,
           IF(OFFSET(PLE!$G$15,$M363-$A$15,CG$13)="",10^12,OFFSET(PLE!$G$15,$M363-$A$15,CG$13)))</f>
        <v>1000000000000</v>
      </c>
      <c r="CH363" s="172">
        <f ca="1">IF(OR($D363&lt;&gt;"Serviço",AND(AUTOEVENTO="Manual",$M363=$A$15),$M363&gt;(ROW(PLE.lastrow)-ROW(PLE.firstrow))),0,
           IF(OFFSET(PLE!$G$15,$M363-$A$15,CH$13)="",10^12,OFFSET(PLE!$G$15,$M363-$A$15,CH$13)))</f>
        <v>1000000000000</v>
      </c>
      <c r="CI363" s="172">
        <f ca="1">IF(OR($D363&lt;&gt;"Serviço",AND(AUTOEVENTO="Manual",$M363=$A$15),$M363&gt;(ROW(PLE.lastrow)-ROW(PLE.firstrow))),0,
           IF(OFFSET(PLE!$G$15,$M363-$A$15,CI$13)="",10^12,OFFSET(PLE!$G$15,$M363-$A$15,CI$13)))</f>
        <v>1000000000000</v>
      </c>
      <c r="CJ363" s="172">
        <f ca="1">IF(OR($D363&lt;&gt;"Serviço",AND(AUTOEVENTO="Manual",$M363=$A$15),$M363&gt;(ROW(PLE.lastrow)-ROW(PLE.firstrow))),0,
           IF(OFFSET(PLE!$G$15,$M363-$A$15,CJ$13)="",10^12,OFFSET(PLE!$G$15,$M363-$A$15,CJ$13)))</f>
        <v>1000000000000</v>
      </c>
      <c r="CK363" s="172">
        <f ca="1">IF(OR($D363&lt;&gt;"Serviço",AND(AUTOEVENTO="Manual",$M363=$A$15),$M363&gt;(ROW(PLE.lastrow)-ROW(PLE.firstrow))),0,
           IF(OFFSET(PLE!$G$15,$M363-$A$15,CK$13)="",10^12,OFFSET(PLE!$G$15,$M363-$A$15,CK$13)))</f>
        <v>1000000000000</v>
      </c>
      <c r="CL363" s="172">
        <f ca="1">IF(OR($D363&lt;&gt;"Serviço",AND(AUTOEVENTO="Manual",$M363=$A$15),$M363&gt;(ROW(PLE.lastrow)-ROW(PLE.firstrow))),0,
           IF(OFFSET(PLE!$G$15,$M363-$A$15,CL$13)="",10^12,OFFSET(PLE!$G$15,$M363-$A$15,CL$13)))</f>
        <v>1000000000000</v>
      </c>
      <c r="CM363" s="172">
        <f ca="1">IF(OR($D363&lt;&gt;"Serviço",AND(AUTOEVENTO="Manual",$M363=$A$15),$M363&gt;(ROW(PLE.lastrow)-ROW(PLE.firstrow))),0,
           IF(OFFSET(PLE!$G$15,$M363-$A$15,CM$13)="",10^12,OFFSET(PLE!$G$15,$M363-$A$15,CM$13)))</f>
        <v>1000000000000</v>
      </c>
    </row>
    <row r="364" spans="1:91" ht="38.25" x14ac:dyDescent="0.2">
      <c r="A364" s="7">
        <f t="shared" ca="1" si="15"/>
        <v>7</v>
      </c>
      <c r="B364" s="7" t="str">
        <f ca="1">OFFSET(ORÇAMENTO!C$15,ROW(B364)-ROW(B$15),0)</f>
        <v>S</v>
      </c>
      <c r="C364" s="7" t="str">
        <f ca="1">OFFSET(ORÇAMENTO!L$15,ROW(C364)-ROW(C$15),0)</f>
        <v>F</v>
      </c>
      <c r="D364" s="116" t="str">
        <f ca="1">OFFSET(ORÇAMENTO!N$15,ROW(D364)-ROW(D$15),0)</f>
        <v>Serviço</v>
      </c>
      <c r="E364" s="117" t="str">
        <f ca="1">OFFSET(ORÇAMENTO!O$15,ROW(E364)-ROW(E$15),0)</f>
        <v>1.8.1.1.2.</v>
      </c>
      <c r="F364" s="163" t="str">
        <f ca="1">OFFSET(ORÇAMENTO!R$15,ROW(F364)-ROW(F$15),0)</f>
        <v>DISJUNTOR BIPOLAR TIPO DIN, CORRENTE NOMINAL DE 16A - FORNECIMENTO E INSTALAÇÃO. AF_10/2020</v>
      </c>
      <c r="G364" s="164" t="str">
        <f ca="1">IF($D364&lt;&gt;"Serviço","",OFFSET(ORÇAMENTO!S$15,ROW(G364)-ROW(G$15),0))</f>
        <v>UN</v>
      </c>
      <c r="H364" s="122" cm="1">
        <f t="array" aca="1" ref="H364" ca="1">IF($D364&lt;&gt;"Serviço",0,IF(ACOMPANHAMENTO="BM",ROUND(OFFSET(ORÇAMENTO!AJ$15,ROW(H364)-ROW(H$15),0),15-13*ORÇAMENTO!$AF$7),SUMPRODUCT(($Q$1:$AI$1=1)*ROUND($Q364:$AI364,15-13*ORÇAMENTO!$AF$7))))</f>
        <v>4</v>
      </c>
      <c r="I364" s="468" t="s">
        <v>1431</v>
      </c>
      <c r="J364" s="640" t="str" cm="1">
        <f t="array" aca="1" ref="J364" ca="1">IF(OR(B364&lt;&gt;"S",CÁLCULO.FrentesPreenchidas=0),"",IF(AND(ACOMPANHAMENTO="PLE",AUTOEVENTO="Manual",OR(H364&gt;0,ORÇAMENTO!AC364="QUANT."),OR(K364="",M364=0,N364="")),"►E",IF(AND(ACOMPANHAMENTO="PLE",ORÇAMENTO!AC364="QUANT."),"►Q",IF(AND(ACOMPANHAMENTO="PLE",H364&lt;&gt;SUMPRODUCT(($Q$1:$AI$1=1)*ROUND(Q364:AI364,15))),"►S",IF(AND(COUNTIF($P$11:$AI$11,"▼")=0,H364&gt;0,I364=""),"◄M","")))))</f>
        <v/>
      </c>
      <c r="K364" s="641" t="s">
        <v>1391</v>
      </c>
      <c r="L364" s="165" t="s">
        <v>764</v>
      </c>
      <c r="M364" s="166">
        <f ca="1">IF($D364&lt;&gt;"Serviço","",
          IF(AUTOEVENTO="manual",$A364,
                IF(ISERROR(MATCH($A364,$A$15:OFFSET($A364,-1,0),0)),MAX($M$15:OFFSET(M364,-1,0))+1,
                      INDEX($M$15:OFFSET(M364,-1,0),MATCH($A364,$A$15:OFFSET($A364,-1,0),0)))))</f>
        <v>7</v>
      </c>
      <c r="N364" s="167" t="str">
        <f ca="1">IF($D364&lt;&gt;"Serviço","",
         IF(AUTOEVENTO="Manual",
                IF($A364=0,"&lt;-- defina o número do agrupador",
                       OFFSET(EVENTOS!$D$15,$A364-$A$15,0)),
                OFFSET($F$15,$A364,0)))</f>
        <v>Instalações Elétricas</v>
      </c>
      <c r="O364" s="168"/>
      <c r="Q364" s="168"/>
      <c r="R364" s="169"/>
      <c r="S364" s="169"/>
      <c r="T364" s="169"/>
      <c r="U364" s="169"/>
      <c r="V364" s="169"/>
      <c r="W364" s="169"/>
      <c r="X364" s="169">
        <v>4</v>
      </c>
      <c r="Y364" s="169"/>
      <c r="Z364" s="170"/>
      <c r="AA364" s="169"/>
      <c r="AB364" s="169"/>
      <c r="AC364" s="169"/>
      <c r="AD364" s="169"/>
      <c r="AE364" s="169"/>
      <c r="AF364" s="169"/>
      <c r="AG364" s="169"/>
      <c r="AH364" s="170"/>
      <c r="AJ364" s="453">
        <f ca="1">IF(AND($D364="Serviço",AJ$12&lt;&gt;0,$H364&gt;0,OR(AUTOEVENTO&lt;&gt;"manual",$M364&lt;&gt;$A$15)),
        IF(Import.TipoArredondamento&lt;&gt;"TransfereGOV",
              ROUND(OFFSET($P364,0,AJ$13),15-13*ORÇAMENTO!$AF$7)/$H364*OFFSET(ORÇAMENTO!$X$15,ROW(AJ364)-ROW(AJ$15),0),
              ROUND(ROUND(OFFSET($P364,0,AJ$13),15-13*ORÇAMENTO!$AF$7)*OFFSET(ORÇAMENTO!$W$15,ROW(AJ364)-ROW(AJ$15),0),15-13*ORÇAMENTO!$AF$11)),
         0)</f>
        <v>0</v>
      </c>
      <c r="AK364" s="453">
        <f ca="1">IF(AND($D364="Serviço",AK$12&lt;&gt;0,$H364&gt;0,OR(AUTOEVENTO&lt;&gt;"manual",$M364&lt;&gt;$A$15)),
        IF(Import.TipoArredondamento&lt;&gt;"TransfereGOV",
              ROUND(OFFSET($P364,0,AK$13),15-13*ORÇAMENTO!$AF$7)/$H364*OFFSET(ORÇAMENTO!$X$15,ROW(AK364)-ROW(AK$15),0),
              ROUND(ROUND(OFFSET($P364,0,AK$13),15-13*ORÇAMENTO!$AF$7)*OFFSET(ORÇAMENTO!$W$15,ROW(AK364)-ROW(AK$15),0),15-13*ORÇAMENTO!$AF$11)),
         0)</f>
        <v>0</v>
      </c>
      <c r="AL364" s="453">
        <f ca="1">IF(AND($D364="Serviço",AL$12&lt;&gt;0,$H364&gt;0,OR(AUTOEVENTO&lt;&gt;"manual",$M364&lt;&gt;$A$15)),
        IF(Import.TipoArredondamento&lt;&gt;"TransfereGOV",
              ROUND(OFFSET($P364,0,AL$13),15-13*ORÇAMENTO!$AF$7)/$H364*OFFSET(ORÇAMENTO!$X$15,ROW(AL364)-ROW(AL$15),0),
              ROUND(ROUND(OFFSET($P364,0,AL$13),15-13*ORÇAMENTO!$AF$7)*OFFSET(ORÇAMENTO!$W$15,ROW(AL364)-ROW(AL$15),0),15-13*ORÇAMENTO!$AF$11)),
         0)</f>
        <v>0</v>
      </c>
      <c r="AM364" s="453">
        <f ca="1">IF(AND($D364="Serviço",AM$12&lt;&gt;0,$H364&gt;0,OR(AUTOEVENTO&lt;&gt;"manual",$M364&lt;&gt;$A$15)),
        IF(Import.TipoArredondamento&lt;&gt;"TransfereGOV",
              ROUND(OFFSET($P364,0,AM$13),15-13*ORÇAMENTO!$AF$7)/$H364*OFFSET(ORÇAMENTO!$X$15,ROW(AM364)-ROW(AM$15),0),
              ROUND(ROUND(OFFSET($P364,0,AM$13),15-13*ORÇAMENTO!$AF$7)*OFFSET(ORÇAMENTO!$W$15,ROW(AM364)-ROW(AM$15),0),15-13*ORÇAMENTO!$AF$11)),
         0)</f>
        <v>0</v>
      </c>
      <c r="AN364" s="453">
        <f ca="1">IF(AND($D364="Serviço",AN$12&lt;&gt;0,$H364&gt;0,OR(AUTOEVENTO&lt;&gt;"manual",$M364&lt;&gt;$A$15)),
        IF(Import.TipoArredondamento&lt;&gt;"TransfereGOV",
              ROUND(OFFSET($P364,0,AN$13),15-13*ORÇAMENTO!$AF$7)/$H364*OFFSET(ORÇAMENTO!$X$15,ROW(AN364)-ROW(AN$15),0),
              ROUND(ROUND(OFFSET($P364,0,AN$13),15-13*ORÇAMENTO!$AF$7)*OFFSET(ORÇAMENTO!$W$15,ROW(AN364)-ROW(AN$15),0),15-13*ORÇAMENTO!$AF$11)),
         0)</f>
        <v>0</v>
      </c>
      <c r="AO364" s="453">
        <f ca="1">IF(AND($D364="Serviço",AO$12&lt;&gt;0,$H364&gt;0,OR(AUTOEVENTO&lt;&gt;"manual",$M364&lt;&gt;$A$15)),
        IF(Import.TipoArredondamento&lt;&gt;"TransfereGOV",
              ROUND(OFFSET($P364,0,AO$13),15-13*ORÇAMENTO!$AF$7)/$H364*OFFSET(ORÇAMENTO!$X$15,ROW(AO364)-ROW(AO$15),0),
              ROUND(ROUND(OFFSET($P364,0,AO$13),15-13*ORÇAMENTO!$AF$7)*OFFSET(ORÇAMENTO!$W$15,ROW(AO364)-ROW(AO$15),0),15-13*ORÇAMENTO!$AF$11)),
         0)</f>
        <v>0</v>
      </c>
      <c r="AP364" s="453">
        <f ca="1">IF(AND($D364="Serviço",AP$12&lt;&gt;0,$H364&gt;0,OR(AUTOEVENTO&lt;&gt;"manual",$M364&lt;&gt;$A$15)),
        IF(Import.TipoArredondamento&lt;&gt;"TransfereGOV",
              ROUND(OFFSET($P364,0,AP$13),15-13*ORÇAMENTO!$AF$7)/$H364*OFFSET(ORÇAMENTO!$X$15,ROW(AP364)-ROW(AP$15),0),
              ROUND(ROUND(OFFSET($P364,0,AP$13),15-13*ORÇAMENTO!$AF$7)*OFFSET(ORÇAMENTO!$W$15,ROW(AP364)-ROW(AP$15),0),15-13*ORÇAMENTO!$AF$11)),
         0)</f>
        <v>0</v>
      </c>
      <c r="AQ364" s="453">
        <f ca="1">IF(AND($D364="Serviço",AQ$12&lt;&gt;0,$H364&gt;0,OR(AUTOEVENTO&lt;&gt;"manual",$M364&lt;&gt;$A$15)),
        IF(Import.TipoArredondamento&lt;&gt;"TransfereGOV",
              ROUND(OFFSET($P364,0,AQ$13),15-13*ORÇAMENTO!$AF$7)/$H364*OFFSET(ORÇAMENTO!$X$15,ROW(AQ364)-ROW(AQ$15),0),
              ROUND(ROUND(OFFSET($P364,0,AQ$13),15-13*ORÇAMENTO!$AF$7)*OFFSET(ORÇAMENTO!$W$15,ROW(AQ364)-ROW(AQ$15),0),15-13*ORÇAMENTO!$AF$11)),
         0)</f>
        <v>0</v>
      </c>
      <c r="AR364" s="453">
        <f ca="1">IF(AND($D364="Serviço",AR$12&lt;&gt;0,$H364&gt;0,OR(AUTOEVENTO&lt;&gt;"manual",$M364&lt;&gt;$A$15)),
        IF(Import.TipoArredondamento&lt;&gt;"TransfereGOV",
              ROUND(OFFSET($P364,0,AR$13),15-13*ORÇAMENTO!$AF$7)/$H364*OFFSET(ORÇAMENTO!$X$15,ROW(AR364)-ROW(AR$15),0),
              ROUND(ROUND(OFFSET($P364,0,AR$13),15-13*ORÇAMENTO!$AF$7)*OFFSET(ORÇAMENTO!$W$15,ROW(AR364)-ROW(AR$15),0),15-13*ORÇAMENTO!$AF$11)),
         0)</f>
        <v>0</v>
      </c>
      <c r="AS364" s="453">
        <f ca="1">IF(AND($D364="Serviço",AS$12&lt;&gt;0,$H364&gt;0,OR(AUTOEVENTO&lt;&gt;"manual",$M364&lt;&gt;$A$15)),
        IF(Import.TipoArredondamento&lt;&gt;"TransfereGOV",
              ROUND(OFFSET($P364,0,AS$13),15-13*ORÇAMENTO!$AF$7)/$H364*OFFSET(ORÇAMENTO!$X$15,ROW(AS364)-ROW(AS$15),0),
              ROUND(ROUND(OFFSET($P364,0,AS$13),15-13*ORÇAMENTO!$AF$7)*OFFSET(ORÇAMENTO!$W$15,ROW(AS364)-ROW(AS$15),0),15-13*ORÇAMENTO!$AF$11)),
         0)</f>
        <v>0</v>
      </c>
      <c r="AT364" s="453">
        <f ca="1">IF(AND($D364="Serviço",AT$12&lt;&gt;0,$H364&gt;0,OR(AUTOEVENTO&lt;&gt;"manual",$M364&lt;&gt;$A$15)),
        IF(Import.TipoArredondamento&lt;&gt;"TransfereGOV",
              ROUND(OFFSET($P364,0,AT$13),15-13*ORÇAMENTO!$AF$7)/$H364*OFFSET(ORÇAMENTO!$X$15,ROW(AT364)-ROW(AT$15),0),
              ROUND(ROUND(OFFSET($P364,0,AT$13),15-13*ORÇAMENTO!$AF$7)*OFFSET(ORÇAMENTO!$W$15,ROW(AT364)-ROW(AT$15),0),15-13*ORÇAMENTO!$AF$11)),
         0)</f>
        <v>0</v>
      </c>
      <c r="AU364" s="453">
        <f ca="1">IF(AND($D364="Serviço",AU$12&lt;&gt;0,$H364&gt;0,OR(AUTOEVENTO&lt;&gt;"manual",$M364&lt;&gt;$A$15)),
        IF(Import.TipoArredondamento&lt;&gt;"TransfereGOV",
              ROUND(OFFSET($P364,0,AU$13),15-13*ORÇAMENTO!$AF$7)/$H364*OFFSET(ORÇAMENTO!$X$15,ROW(AU364)-ROW(AU$15),0),
              ROUND(ROUND(OFFSET($P364,0,AU$13),15-13*ORÇAMENTO!$AF$7)*OFFSET(ORÇAMENTO!$W$15,ROW(AU364)-ROW(AU$15),0),15-13*ORÇAMENTO!$AF$11)),
         0)</f>
        <v>0</v>
      </c>
      <c r="AV364" s="453">
        <f ca="1">IF(AND($D364="Serviço",AV$12&lt;&gt;0,$H364&gt;0,OR(AUTOEVENTO&lt;&gt;"manual",$M364&lt;&gt;$A$15)),
        IF(Import.TipoArredondamento&lt;&gt;"TransfereGOV",
              ROUND(OFFSET($P364,0,AV$13),15-13*ORÇAMENTO!$AF$7)/$H364*OFFSET(ORÇAMENTO!$X$15,ROW(AV364)-ROW(AV$15),0),
              ROUND(ROUND(OFFSET($P364,0,AV$13),15-13*ORÇAMENTO!$AF$7)*OFFSET(ORÇAMENTO!$W$15,ROW(AV364)-ROW(AV$15),0),15-13*ORÇAMENTO!$AF$11)),
         0)</f>
        <v>0</v>
      </c>
      <c r="AW364" s="453">
        <f ca="1">IF(AND($D364="Serviço",AW$12&lt;&gt;0,$H364&gt;0,OR(AUTOEVENTO&lt;&gt;"manual",$M364&lt;&gt;$A$15)),
        IF(Import.TipoArredondamento&lt;&gt;"TransfereGOV",
              ROUND(OFFSET($P364,0,AW$13),15-13*ORÇAMENTO!$AF$7)/$H364*OFFSET(ORÇAMENTO!$X$15,ROW(AW364)-ROW(AW$15),0),
              ROUND(ROUND(OFFSET($P364,0,AW$13),15-13*ORÇAMENTO!$AF$7)*OFFSET(ORÇAMENTO!$W$15,ROW(AW364)-ROW(AW$15),0),15-13*ORÇAMENTO!$AF$11)),
         0)</f>
        <v>0</v>
      </c>
      <c r="AX364" s="453">
        <f ca="1">IF(AND($D364="Serviço",AX$12&lt;&gt;0,$H364&gt;0,OR(AUTOEVENTO&lt;&gt;"manual",$M364&lt;&gt;$A$15)),
        IF(Import.TipoArredondamento&lt;&gt;"TransfereGOV",
              ROUND(OFFSET($P364,0,AX$13),15-13*ORÇAMENTO!$AF$7)/$H364*OFFSET(ORÇAMENTO!$X$15,ROW(AX364)-ROW(AX$15),0),
              ROUND(ROUND(OFFSET($P364,0,AX$13),15-13*ORÇAMENTO!$AF$7)*OFFSET(ORÇAMENTO!$W$15,ROW(AX364)-ROW(AX$15),0),15-13*ORÇAMENTO!$AF$11)),
         0)</f>
        <v>0</v>
      </c>
      <c r="AY364" s="453">
        <f ca="1">IF(AND($D364="Serviço",AY$12&lt;&gt;0,$H364&gt;0,OR(AUTOEVENTO&lt;&gt;"manual",$M364&lt;&gt;$A$15)),
        IF(Import.TipoArredondamento&lt;&gt;"TransfereGOV",
              ROUND(OFFSET($P364,0,AY$13),15-13*ORÇAMENTO!$AF$7)/$H364*OFFSET(ORÇAMENTO!$X$15,ROW(AY364)-ROW(AY$15),0),
              ROUND(ROUND(OFFSET($P364,0,AY$13),15-13*ORÇAMENTO!$AF$7)*OFFSET(ORÇAMENTO!$W$15,ROW(AY364)-ROW(AY$15),0),15-13*ORÇAMENTO!$AF$11)),
         0)</f>
        <v>0</v>
      </c>
      <c r="AZ364" s="453">
        <f ca="1">IF(AND($D364="Serviço",AZ$12&lt;&gt;0,$H364&gt;0,OR(AUTOEVENTO&lt;&gt;"manual",$M364&lt;&gt;$A$15)),
        IF(Import.TipoArredondamento&lt;&gt;"TransfereGOV",
              ROUND(OFFSET($P364,0,AZ$13),15-13*ORÇAMENTO!$AF$7)/$H364*OFFSET(ORÇAMENTO!$X$15,ROW(AZ364)-ROW(AZ$15),0),
              ROUND(ROUND(OFFSET($P364,0,AZ$13),15-13*ORÇAMENTO!$AF$7)*OFFSET(ORÇAMENTO!$W$15,ROW(AZ364)-ROW(AZ$15),0),15-13*ORÇAMENTO!$AF$11)),
         0)</f>
        <v>0</v>
      </c>
      <c r="BA364" s="453">
        <f ca="1">IF(AND($D364="Serviço",BA$12&lt;&gt;0,$H364&gt;0,OR(AUTOEVENTO&lt;&gt;"manual",$M364&lt;&gt;$A$15)),
        IF(Import.TipoArredondamento&lt;&gt;"TransfereGOV",
              ROUND(OFFSET($P364,0,BA$13),15-13*ORÇAMENTO!$AF$7)/$H364*OFFSET(ORÇAMENTO!$X$15,ROW(BA364)-ROW(BA$15),0),
              ROUND(ROUND(OFFSET($P364,0,BA$13),15-13*ORÇAMENTO!$AF$7)*OFFSET(ORÇAMENTO!$W$15,ROW(BA364)-ROW(BA$15),0),15-13*ORÇAMENTO!$AF$11)),
         0)</f>
        <v>0</v>
      </c>
      <c r="BC364" s="171">
        <f ca="1">IF(OR($D364&lt;&gt;"Serviço",AND(AUTOEVENTO="Manual",$M364=$A$15)),0,
         IF(OFFSET(CRONOPLE!$F$15,$M364-$A$15,BC$13)=0,10^12,OFFSET(CRONOPLE!$F$15,$M364-$A$15,BC$13)))</f>
        <v>1</v>
      </c>
      <c r="BD364" s="171">
        <f ca="1">IF(OR($D364&lt;&gt;"Serviço",AND(AUTOEVENTO="Manual",$M364=$A$15)),0,
         IF(OFFSET(CRONOPLE!$F$15,$M364-$A$15,BD$13)=0,10^12,OFFSET(CRONOPLE!$F$15,$M364-$A$15,BD$13)))</f>
        <v>2</v>
      </c>
      <c r="BE364" s="171">
        <f ca="1">IF(OR($D364&lt;&gt;"Serviço",AND(AUTOEVENTO="Manual",$M364=$A$15)),0,
         IF(OFFSET(CRONOPLE!$F$15,$M364-$A$15,BE$13)=0,10^12,OFFSET(CRONOPLE!$F$15,$M364-$A$15,BE$13)))</f>
        <v>3</v>
      </c>
      <c r="BF364" s="171">
        <f ca="1">IF(OR($D364&lt;&gt;"Serviço",AND(AUTOEVENTO="Manual",$M364=$A$15)),0,
         IF(OFFSET(CRONOPLE!$F$15,$M364-$A$15,BF$13)=0,10^12,OFFSET(CRONOPLE!$F$15,$M364-$A$15,BF$13)))</f>
        <v>4</v>
      </c>
      <c r="BG364" s="171">
        <f ca="1">IF(OR($D364&lt;&gt;"Serviço",AND(AUTOEVENTO="Manual",$M364=$A$15)),0,
         IF(OFFSET(CRONOPLE!$F$15,$M364-$A$15,BG$13)=0,10^12,OFFSET(CRONOPLE!$F$15,$M364-$A$15,BG$13)))</f>
        <v>5</v>
      </c>
      <c r="BH364" s="171">
        <f ca="1">IF(OR($D364&lt;&gt;"Serviço",AND(AUTOEVENTO="Manual",$M364=$A$15)),0,
         IF(OFFSET(CRONOPLE!$F$15,$M364-$A$15,BH$13)=0,10^12,OFFSET(CRONOPLE!$F$15,$M364-$A$15,BH$13)))</f>
        <v>6</v>
      </c>
      <c r="BI364" s="171">
        <f ca="1">IF(OR($D364&lt;&gt;"Serviço",AND(AUTOEVENTO="Manual",$M364=$A$15)),0,
         IF(OFFSET(CRONOPLE!$F$15,$M364-$A$15,BI$13)=0,10^12,OFFSET(CRONOPLE!$F$15,$M364-$A$15,BI$13)))</f>
        <v>7</v>
      </c>
      <c r="BJ364" s="171">
        <f ca="1">IF(OR($D364&lt;&gt;"Serviço",AND(AUTOEVENTO="Manual",$M364=$A$15)),0,
         IF(OFFSET(CRONOPLE!$F$15,$M364-$A$15,BJ$13)=0,10^12,OFFSET(CRONOPLE!$F$15,$M364-$A$15,BJ$13)))</f>
        <v>8</v>
      </c>
      <c r="BK364" s="171">
        <f ca="1">IF(OR($D364&lt;&gt;"Serviço",AND(AUTOEVENTO="Manual",$M364=$A$15)),0,
         IF(OFFSET(CRONOPLE!$F$15,$M364-$A$15,BK$13)=0,10^12,OFFSET(CRONOPLE!$F$15,$M364-$A$15,BK$13)))</f>
        <v>9</v>
      </c>
      <c r="BL364" s="171">
        <f ca="1">IF(OR($D364&lt;&gt;"Serviço",AND(AUTOEVENTO="Manual",$M364=$A$15)),0,
         IF(OFFSET(CRONOPLE!$F$15,$M364-$A$15,BL$13)=0,10^12,OFFSET(CRONOPLE!$F$15,$M364-$A$15,BL$13)))</f>
        <v>1000000000000</v>
      </c>
      <c r="BM364" s="171">
        <f ca="1">IF(OR($D364&lt;&gt;"Serviço",AND(AUTOEVENTO="Manual",$M364=$A$15)),0,
         IF(OFFSET(CRONOPLE!$F$15,$M364-$A$15,BM$13)=0,10^12,OFFSET(CRONOPLE!$F$15,$M364-$A$15,BM$13)))</f>
        <v>1000000000000</v>
      </c>
      <c r="BN364" s="171">
        <f ca="1">IF(OR($D364&lt;&gt;"Serviço",AND(AUTOEVENTO="Manual",$M364=$A$15)),0,
         IF(OFFSET(CRONOPLE!$F$15,$M364-$A$15,BN$13)=0,10^12,OFFSET(CRONOPLE!$F$15,$M364-$A$15,BN$13)))</f>
        <v>1000000000000</v>
      </c>
      <c r="BO364" s="171">
        <f ca="1">IF(OR($D364&lt;&gt;"Serviço",AND(AUTOEVENTO="Manual",$M364=$A$15)),0,
         IF(OFFSET(CRONOPLE!$F$15,$M364-$A$15,BO$13)=0,10^12,OFFSET(CRONOPLE!$F$15,$M364-$A$15,BO$13)))</f>
        <v>1000000000000</v>
      </c>
      <c r="BP364" s="171">
        <f ca="1">IF(OR($D364&lt;&gt;"Serviço",AND(AUTOEVENTO="Manual",$M364=$A$15)),0,
         IF(OFFSET(CRONOPLE!$F$15,$M364-$A$15,BP$13)=0,10^12,OFFSET(CRONOPLE!$F$15,$M364-$A$15,BP$13)))</f>
        <v>1000000000000</v>
      </c>
      <c r="BQ364" s="171">
        <f ca="1">IF(OR($D364&lt;&gt;"Serviço",AND(AUTOEVENTO="Manual",$M364=$A$15)),0,
         IF(OFFSET(CRONOPLE!$F$15,$M364-$A$15,BQ$13)=0,10^12,OFFSET(CRONOPLE!$F$15,$M364-$A$15,BQ$13)))</f>
        <v>1000000000000</v>
      </c>
      <c r="BR364" s="171">
        <f ca="1">IF(OR($D364&lt;&gt;"Serviço",AND(AUTOEVENTO="Manual",$M364=$A$15)),0,
         IF(OFFSET(CRONOPLE!$F$15,$M364-$A$15,BR$13)=0,10^12,OFFSET(CRONOPLE!$F$15,$M364-$A$15,BR$13)))</f>
        <v>1000000000000</v>
      </c>
      <c r="BS364" s="171">
        <f ca="1">IF(OR($D364&lt;&gt;"Serviço",AND(AUTOEVENTO="Manual",$M364=$A$15)),0,
         IF(OFFSET(CRONOPLE!$F$15,$M364-$A$15,BS$13)=0,10^12,OFFSET(CRONOPLE!$F$15,$M364-$A$15,BS$13)))</f>
        <v>1000000000000</v>
      </c>
      <c r="BT364" s="171">
        <f ca="1">IF(OR($D364&lt;&gt;"Serviço",AND(AUTOEVENTO="Manual",$M364=$A$15)),0,
         IF(OFFSET(CRONOPLE!$F$15,$M364-$A$15,BT$13)=0,10^12,OFFSET(CRONOPLE!$F$15,$M364-$A$15,BT$13)))</f>
        <v>1000000000000</v>
      </c>
      <c r="BV364" s="172">
        <f ca="1">IF(OR($D364&lt;&gt;"Serviço",AND(AUTOEVENTO="Manual",$M364=$A$15),$M364&gt;(ROW(PLE.lastrow)-ROW(PLE.firstrow))),0,
           IF(OFFSET(PLE!$G$15,$M364-$A$15,BV$13)="",10^12,OFFSET(PLE!$G$15,$M364-$A$15,BV$13)))</f>
        <v>1000000000000</v>
      </c>
      <c r="BW364" s="172">
        <f ca="1">IF(OR($D364&lt;&gt;"Serviço",AND(AUTOEVENTO="Manual",$M364=$A$15),$M364&gt;(ROW(PLE.lastrow)-ROW(PLE.firstrow))),0,
           IF(OFFSET(PLE!$G$15,$M364-$A$15,BW$13)="",10^12,OFFSET(PLE!$G$15,$M364-$A$15,BW$13)))</f>
        <v>1000000000000</v>
      </c>
      <c r="BX364" s="172">
        <f ca="1">IF(OR($D364&lt;&gt;"Serviço",AND(AUTOEVENTO="Manual",$M364=$A$15),$M364&gt;(ROW(PLE.lastrow)-ROW(PLE.firstrow))),0,
           IF(OFFSET(PLE!$G$15,$M364-$A$15,BX$13)="",10^12,OFFSET(PLE!$G$15,$M364-$A$15,BX$13)))</f>
        <v>1000000000000</v>
      </c>
      <c r="BY364" s="172">
        <f ca="1">IF(OR($D364&lt;&gt;"Serviço",AND(AUTOEVENTO="Manual",$M364=$A$15),$M364&gt;(ROW(PLE.lastrow)-ROW(PLE.firstrow))),0,
           IF(OFFSET(PLE!$G$15,$M364-$A$15,BY$13)="",10^12,OFFSET(PLE!$G$15,$M364-$A$15,BY$13)))</f>
        <v>1000000000000</v>
      </c>
      <c r="BZ364" s="172">
        <f ca="1">IF(OR($D364&lt;&gt;"Serviço",AND(AUTOEVENTO="Manual",$M364=$A$15),$M364&gt;(ROW(PLE.lastrow)-ROW(PLE.firstrow))),0,
           IF(OFFSET(PLE!$G$15,$M364-$A$15,BZ$13)="",10^12,OFFSET(PLE!$G$15,$M364-$A$15,BZ$13)))</f>
        <v>1000000000000</v>
      </c>
      <c r="CA364" s="172">
        <f ca="1">IF(OR($D364&lt;&gt;"Serviço",AND(AUTOEVENTO="Manual",$M364=$A$15),$M364&gt;(ROW(PLE.lastrow)-ROW(PLE.firstrow))),0,
           IF(OFFSET(PLE!$G$15,$M364-$A$15,CA$13)="",10^12,OFFSET(PLE!$G$15,$M364-$A$15,CA$13)))</f>
        <v>1000000000000</v>
      </c>
      <c r="CB364" s="172">
        <f ca="1">IF(OR($D364&lt;&gt;"Serviço",AND(AUTOEVENTO="Manual",$M364=$A$15),$M364&gt;(ROW(PLE.lastrow)-ROW(PLE.firstrow))),0,
           IF(OFFSET(PLE!$G$15,$M364-$A$15,CB$13)="",10^12,OFFSET(PLE!$G$15,$M364-$A$15,CB$13)))</f>
        <v>1000000000000</v>
      </c>
      <c r="CC364" s="172">
        <f ca="1">IF(OR($D364&lt;&gt;"Serviço",AND(AUTOEVENTO="Manual",$M364=$A$15),$M364&gt;(ROW(PLE.lastrow)-ROW(PLE.firstrow))),0,
           IF(OFFSET(PLE!$G$15,$M364-$A$15,CC$13)="",10^12,OFFSET(PLE!$G$15,$M364-$A$15,CC$13)))</f>
        <v>1000000000000</v>
      </c>
      <c r="CD364" s="172">
        <f ca="1">IF(OR($D364&lt;&gt;"Serviço",AND(AUTOEVENTO="Manual",$M364=$A$15),$M364&gt;(ROW(PLE.lastrow)-ROW(PLE.firstrow))),0,
           IF(OFFSET(PLE!$G$15,$M364-$A$15,CD$13)="",10^12,OFFSET(PLE!$G$15,$M364-$A$15,CD$13)))</f>
        <v>1000000000000</v>
      </c>
      <c r="CE364" s="172">
        <f ca="1">IF(OR($D364&lt;&gt;"Serviço",AND(AUTOEVENTO="Manual",$M364=$A$15),$M364&gt;(ROW(PLE.lastrow)-ROW(PLE.firstrow))),0,
           IF(OFFSET(PLE!$G$15,$M364-$A$15,CE$13)="",10^12,OFFSET(PLE!$G$15,$M364-$A$15,CE$13)))</f>
        <v>1000000000000</v>
      </c>
      <c r="CF364" s="172">
        <f ca="1">IF(OR($D364&lt;&gt;"Serviço",AND(AUTOEVENTO="Manual",$M364=$A$15),$M364&gt;(ROW(PLE.lastrow)-ROW(PLE.firstrow))),0,
           IF(OFFSET(PLE!$G$15,$M364-$A$15,CF$13)="",10^12,OFFSET(PLE!$G$15,$M364-$A$15,CF$13)))</f>
        <v>1000000000000</v>
      </c>
      <c r="CG364" s="172">
        <f ca="1">IF(OR($D364&lt;&gt;"Serviço",AND(AUTOEVENTO="Manual",$M364=$A$15),$M364&gt;(ROW(PLE.lastrow)-ROW(PLE.firstrow))),0,
           IF(OFFSET(PLE!$G$15,$M364-$A$15,CG$13)="",10^12,OFFSET(PLE!$G$15,$M364-$A$15,CG$13)))</f>
        <v>1000000000000</v>
      </c>
      <c r="CH364" s="172">
        <f ca="1">IF(OR($D364&lt;&gt;"Serviço",AND(AUTOEVENTO="Manual",$M364=$A$15),$M364&gt;(ROW(PLE.lastrow)-ROW(PLE.firstrow))),0,
           IF(OFFSET(PLE!$G$15,$M364-$A$15,CH$13)="",10^12,OFFSET(PLE!$G$15,$M364-$A$15,CH$13)))</f>
        <v>1000000000000</v>
      </c>
      <c r="CI364" s="172">
        <f ca="1">IF(OR($D364&lt;&gt;"Serviço",AND(AUTOEVENTO="Manual",$M364=$A$15),$M364&gt;(ROW(PLE.lastrow)-ROW(PLE.firstrow))),0,
           IF(OFFSET(PLE!$G$15,$M364-$A$15,CI$13)="",10^12,OFFSET(PLE!$G$15,$M364-$A$15,CI$13)))</f>
        <v>1000000000000</v>
      </c>
      <c r="CJ364" s="172">
        <f ca="1">IF(OR($D364&lt;&gt;"Serviço",AND(AUTOEVENTO="Manual",$M364=$A$15),$M364&gt;(ROW(PLE.lastrow)-ROW(PLE.firstrow))),0,
           IF(OFFSET(PLE!$G$15,$M364-$A$15,CJ$13)="",10^12,OFFSET(PLE!$G$15,$M364-$A$15,CJ$13)))</f>
        <v>1000000000000</v>
      </c>
      <c r="CK364" s="172">
        <f ca="1">IF(OR($D364&lt;&gt;"Serviço",AND(AUTOEVENTO="Manual",$M364=$A$15),$M364&gt;(ROW(PLE.lastrow)-ROW(PLE.firstrow))),0,
           IF(OFFSET(PLE!$G$15,$M364-$A$15,CK$13)="",10^12,OFFSET(PLE!$G$15,$M364-$A$15,CK$13)))</f>
        <v>1000000000000</v>
      </c>
      <c r="CL364" s="172">
        <f ca="1">IF(OR($D364&lt;&gt;"Serviço",AND(AUTOEVENTO="Manual",$M364=$A$15),$M364&gt;(ROW(PLE.lastrow)-ROW(PLE.firstrow))),0,
           IF(OFFSET(PLE!$G$15,$M364-$A$15,CL$13)="",10^12,OFFSET(PLE!$G$15,$M364-$A$15,CL$13)))</f>
        <v>1000000000000</v>
      </c>
      <c r="CM364" s="172">
        <f ca="1">IF(OR($D364&lt;&gt;"Serviço",AND(AUTOEVENTO="Manual",$M364=$A$15),$M364&gt;(ROW(PLE.lastrow)-ROW(PLE.firstrow))),0,
           IF(OFFSET(PLE!$G$15,$M364-$A$15,CM$13)="",10^12,OFFSET(PLE!$G$15,$M364-$A$15,CM$13)))</f>
        <v>1000000000000</v>
      </c>
    </row>
    <row r="365" spans="1:91" ht="38.25" x14ac:dyDescent="0.2">
      <c r="A365" s="7">
        <f t="shared" ca="1" si="15"/>
        <v>7</v>
      </c>
      <c r="B365" s="7" t="str">
        <f ca="1">OFFSET(ORÇAMENTO!C$15,ROW(B365)-ROW(B$15),0)</f>
        <v>S</v>
      </c>
      <c r="C365" s="7" t="str">
        <f ca="1">OFFSET(ORÇAMENTO!L$15,ROW(C365)-ROW(C$15),0)</f>
        <v>F</v>
      </c>
      <c r="D365" s="116" t="str">
        <f ca="1">OFFSET(ORÇAMENTO!N$15,ROW(D365)-ROW(D$15),0)</f>
        <v>Serviço</v>
      </c>
      <c r="E365" s="117" t="str">
        <f ca="1">OFFSET(ORÇAMENTO!O$15,ROW(E365)-ROW(E$15),0)</f>
        <v>1.8.1.1.3.</v>
      </c>
      <c r="F365" s="163" t="str">
        <f ca="1">OFFSET(ORÇAMENTO!R$15,ROW(F365)-ROW(F$15),0)</f>
        <v>DISJUNTOR TRIPOLAR TIPO DIN, CORRENTE NOMINAL DE 70A, FORNECIMENTO E INSTALAÇÃO, INCLUSIVE TERMINAL ILHÓS</v>
      </c>
      <c r="G365" s="164" t="str">
        <f ca="1">IF($D365&lt;&gt;"Serviço","",OFFSET(ORÇAMENTO!S$15,ROW(G365)-ROW(G$15),0))</f>
        <v>UN</v>
      </c>
      <c r="H365" s="122" cm="1">
        <f t="array" aca="1" ref="H365" ca="1">IF($D365&lt;&gt;"Serviço",0,IF(ACOMPANHAMENTO="BM",ROUND(OFFSET(ORÇAMENTO!AJ$15,ROW(H365)-ROW(H$15),0),15-13*ORÇAMENTO!$AF$7),SUMPRODUCT(($Q$1:$AI$1=1)*ROUND($Q365:$AI365,15-13*ORÇAMENTO!$AF$7))))</f>
        <v>1</v>
      </c>
      <c r="I365" s="468" t="s">
        <v>1431</v>
      </c>
      <c r="J365" s="640" t="str" cm="1">
        <f t="array" aca="1" ref="J365" ca="1">IF(OR(B365&lt;&gt;"S",CÁLCULO.FrentesPreenchidas=0),"",IF(AND(ACOMPANHAMENTO="PLE",AUTOEVENTO="Manual",OR(H365&gt;0,ORÇAMENTO!AC365="QUANT."),OR(K365="",M365=0,N365="")),"►E",IF(AND(ACOMPANHAMENTO="PLE",ORÇAMENTO!AC365="QUANT."),"►Q",IF(AND(ACOMPANHAMENTO="PLE",H365&lt;&gt;SUMPRODUCT(($Q$1:$AI$1=1)*ROUND(Q365:AI365,15))),"►S",IF(AND(COUNTIF($P$11:$AI$11,"▼")=0,H365&gt;0,I365=""),"◄M","")))))</f>
        <v/>
      </c>
      <c r="K365" s="641" t="s">
        <v>1391</v>
      </c>
      <c r="L365" s="165" t="s">
        <v>764</v>
      </c>
      <c r="M365" s="166">
        <f ca="1">IF($D365&lt;&gt;"Serviço","",
          IF(AUTOEVENTO="manual",$A365,
                IF(ISERROR(MATCH($A365,$A$15:OFFSET($A365,-1,0),0)),MAX($M$15:OFFSET(M365,-1,0))+1,
                      INDEX($M$15:OFFSET(M365,-1,0),MATCH($A365,$A$15:OFFSET($A365,-1,0),0)))))</f>
        <v>7</v>
      </c>
      <c r="N365" s="167" t="str">
        <f ca="1">IF($D365&lt;&gt;"Serviço","",
         IF(AUTOEVENTO="Manual",
                IF($A365=0,"&lt;-- defina o número do agrupador",
                       OFFSET(EVENTOS!$D$15,$A365-$A$15,0)),
                OFFSET($F$15,$A365,0)))</f>
        <v>Instalações Elétricas</v>
      </c>
      <c r="O365" s="168"/>
      <c r="Q365" s="168"/>
      <c r="R365" s="169"/>
      <c r="S365" s="169"/>
      <c r="T365" s="169"/>
      <c r="U365" s="169"/>
      <c r="V365" s="169"/>
      <c r="W365" s="169"/>
      <c r="X365" s="169">
        <v>1</v>
      </c>
      <c r="Y365" s="169"/>
      <c r="Z365" s="170"/>
      <c r="AA365" s="169"/>
      <c r="AB365" s="169"/>
      <c r="AC365" s="169"/>
      <c r="AD365" s="169"/>
      <c r="AE365" s="169"/>
      <c r="AF365" s="169"/>
      <c r="AG365" s="169"/>
      <c r="AH365" s="170"/>
      <c r="AJ365" s="453">
        <f ca="1">IF(AND($D365="Serviço",AJ$12&lt;&gt;0,$H365&gt;0,OR(AUTOEVENTO&lt;&gt;"manual",$M365&lt;&gt;$A$15)),
        IF(Import.TipoArredondamento&lt;&gt;"TransfereGOV",
              ROUND(OFFSET($P365,0,AJ$13),15-13*ORÇAMENTO!$AF$7)/$H365*OFFSET(ORÇAMENTO!$X$15,ROW(AJ365)-ROW(AJ$15),0),
              ROUND(ROUND(OFFSET($P365,0,AJ$13),15-13*ORÇAMENTO!$AF$7)*OFFSET(ORÇAMENTO!$W$15,ROW(AJ365)-ROW(AJ$15),0),15-13*ORÇAMENTO!$AF$11)),
         0)</f>
        <v>0</v>
      </c>
      <c r="AK365" s="453">
        <f ca="1">IF(AND($D365="Serviço",AK$12&lt;&gt;0,$H365&gt;0,OR(AUTOEVENTO&lt;&gt;"manual",$M365&lt;&gt;$A$15)),
        IF(Import.TipoArredondamento&lt;&gt;"TransfereGOV",
              ROUND(OFFSET($P365,0,AK$13),15-13*ORÇAMENTO!$AF$7)/$H365*OFFSET(ORÇAMENTO!$X$15,ROW(AK365)-ROW(AK$15),0),
              ROUND(ROUND(OFFSET($P365,0,AK$13),15-13*ORÇAMENTO!$AF$7)*OFFSET(ORÇAMENTO!$W$15,ROW(AK365)-ROW(AK$15),0),15-13*ORÇAMENTO!$AF$11)),
         0)</f>
        <v>0</v>
      </c>
      <c r="AL365" s="453">
        <f ca="1">IF(AND($D365="Serviço",AL$12&lt;&gt;0,$H365&gt;0,OR(AUTOEVENTO&lt;&gt;"manual",$M365&lt;&gt;$A$15)),
        IF(Import.TipoArredondamento&lt;&gt;"TransfereGOV",
              ROUND(OFFSET($P365,0,AL$13),15-13*ORÇAMENTO!$AF$7)/$H365*OFFSET(ORÇAMENTO!$X$15,ROW(AL365)-ROW(AL$15),0),
              ROUND(ROUND(OFFSET($P365,0,AL$13),15-13*ORÇAMENTO!$AF$7)*OFFSET(ORÇAMENTO!$W$15,ROW(AL365)-ROW(AL$15),0),15-13*ORÇAMENTO!$AF$11)),
         0)</f>
        <v>0</v>
      </c>
      <c r="AM365" s="453">
        <f ca="1">IF(AND($D365="Serviço",AM$12&lt;&gt;0,$H365&gt;0,OR(AUTOEVENTO&lt;&gt;"manual",$M365&lt;&gt;$A$15)),
        IF(Import.TipoArredondamento&lt;&gt;"TransfereGOV",
              ROUND(OFFSET($P365,0,AM$13),15-13*ORÇAMENTO!$AF$7)/$H365*OFFSET(ORÇAMENTO!$X$15,ROW(AM365)-ROW(AM$15),0),
              ROUND(ROUND(OFFSET($P365,0,AM$13),15-13*ORÇAMENTO!$AF$7)*OFFSET(ORÇAMENTO!$W$15,ROW(AM365)-ROW(AM$15),0),15-13*ORÇAMENTO!$AF$11)),
         0)</f>
        <v>0</v>
      </c>
      <c r="AN365" s="453">
        <f ca="1">IF(AND($D365="Serviço",AN$12&lt;&gt;0,$H365&gt;0,OR(AUTOEVENTO&lt;&gt;"manual",$M365&lt;&gt;$A$15)),
        IF(Import.TipoArredondamento&lt;&gt;"TransfereGOV",
              ROUND(OFFSET($P365,0,AN$13),15-13*ORÇAMENTO!$AF$7)/$H365*OFFSET(ORÇAMENTO!$X$15,ROW(AN365)-ROW(AN$15),0),
              ROUND(ROUND(OFFSET($P365,0,AN$13),15-13*ORÇAMENTO!$AF$7)*OFFSET(ORÇAMENTO!$W$15,ROW(AN365)-ROW(AN$15),0),15-13*ORÇAMENTO!$AF$11)),
         0)</f>
        <v>0</v>
      </c>
      <c r="AO365" s="453">
        <f ca="1">IF(AND($D365="Serviço",AO$12&lt;&gt;0,$H365&gt;0,OR(AUTOEVENTO&lt;&gt;"manual",$M365&lt;&gt;$A$15)),
        IF(Import.TipoArredondamento&lt;&gt;"TransfereGOV",
              ROUND(OFFSET($P365,0,AO$13),15-13*ORÇAMENTO!$AF$7)/$H365*OFFSET(ORÇAMENTO!$X$15,ROW(AO365)-ROW(AO$15),0),
              ROUND(ROUND(OFFSET($P365,0,AO$13),15-13*ORÇAMENTO!$AF$7)*OFFSET(ORÇAMENTO!$W$15,ROW(AO365)-ROW(AO$15),0),15-13*ORÇAMENTO!$AF$11)),
         0)</f>
        <v>0</v>
      </c>
      <c r="AP365" s="453">
        <f ca="1">IF(AND($D365="Serviço",AP$12&lt;&gt;0,$H365&gt;0,OR(AUTOEVENTO&lt;&gt;"manual",$M365&lt;&gt;$A$15)),
        IF(Import.TipoArredondamento&lt;&gt;"TransfereGOV",
              ROUND(OFFSET($P365,0,AP$13),15-13*ORÇAMENTO!$AF$7)/$H365*OFFSET(ORÇAMENTO!$X$15,ROW(AP365)-ROW(AP$15),0),
              ROUND(ROUND(OFFSET($P365,0,AP$13),15-13*ORÇAMENTO!$AF$7)*OFFSET(ORÇAMENTO!$W$15,ROW(AP365)-ROW(AP$15),0),15-13*ORÇAMENTO!$AF$11)),
         0)</f>
        <v>0</v>
      </c>
      <c r="AQ365" s="453">
        <f ca="1">IF(AND($D365="Serviço",AQ$12&lt;&gt;0,$H365&gt;0,OR(AUTOEVENTO&lt;&gt;"manual",$M365&lt;&gt;$A$15)),
        IF(Import.TipoArredondamento&lt;&gt;"TransfereGOV",
              ROUND(OFFSET($P365,0,AQ$13),15-13*ORÇAMENTO!$AF$7)/$H365*OFFSET(ORÇAMENTO!$X$15,ROW(AQ365)-ROW(AQ$15),0),
              ROUND(ROUND(OFFSET($P365,0,AQ$13),15-13*ORÇAMENTO!$AF$7)*OFFSET(ORÇAMENTO!$W$15,ROW(AQ365)-ROW(AQ$15),0),15-13*ORÇAMENTO!$AF$11)),
         0)</f>
        <v>0</v>
      </c>
      <c r="AR365" s="453">
        <f ca="1">IF(AND($D365="Serviço",AR$12&lt;&gt;0,$H365&gt;0,OR(AUTOEVENTO&lt;&gt;"manual",$M365&lt;&gt;$A$15)),
        IF(Import.TipoArredondamento&lt;&gt;"TransfereGOV",
              ROUND(OFFSET($P365,0,AR$13),15-13*ORÇAMENTO!$AF$7)/$H365*OFFSET(ORÇAMENTO!$X$15,ROW(AR365)-ROW(AR$15),0),
              ROUND(ROUND(OFFSET($P365,0,AR$13),15-13*ORÇAMENTO!$AF$7)*OFFSET(ORÇAMENTO!$W$15,ROW(AR365)-ROW(AR$15),0),15-13*ORÇAMENTO!$AF$11)),
         0)</f>
        <v>0</v>
      </c>
      <c r="AS365" s="453">
        <f ca="1">IF(AND($D365="Serviço",AS$12&lt;&gt;0,$H365&gt;0,OR(AUTOEVENTO&lt;&gt;"manual",$M365&lt;&gt;$A$15)),
        IF(Import.TipoArredondamento&lt;&gt;"TransfereGOV",
              ROUND(OFFSET($P365,0,AS$13),15-13*ORÇAMENTO!$AF$7)/$H365*OFFSET(ORÇAMENTO!$X$15,ROW(AS365)-ROW(AS$15),0),
              ROUND(ROUND(OFFSET($P365,0,AS$13),15-13*ORÇAMENTO!$AF$7)*OFFSET(ORÇAMENTO!$W$15,ROW(AS365)-ROW(AS$15),0),15-13*ORÇAMENTO!$AF$11)),
         0)</f>
        <v>0</v>
      </c>
      <c r="AT365" s="453">
        <f ca="1">IF(AND($D365="Serviço",AT$12&lt;&gt;0,$H365&gt;0,OR(AUTOEVENTO&lt;&gt;"manual",$M365&lt;&gt;$A$15)),
        IF(Import.TipoArredondamento&lt;&gt;"TransfereGOV",
              ROUND(OFFSET($P365,0,AT$13),15-13*ORÇAMENTO!$AF$7)/$H365*OFFSET(ORÇAMENTO!$X$15,ROW(AT365)-ROW(AT$15),0),
              ROUND(ROUND(OFFSET($P365,0,AT$13),15-13*ORÇAMENTO!$AF$7)*OFFSET(ORÇAMENTO!$W$15,ROW(AT365)-ROW(AT$15),0),15-13*ORÇAMENTO!$AF$11)),
         0)</f>
        <v>0</v>
      </c>
      <c r="AU365" s="453">
        <f ca="1">IF(AND($D365="Serviço",AU$12&lt;&gt;0,$H365&gt;0,OR(AUTOEVENTO&lt;&gt;"manual",$M365&lt;&gt;$A$15)),
        IF(Import.TipoArredondamento&lt;&gt;"TransfereGOV",
              ROUND(OFFSET($P365,0,AU$13),15-13*ORÇAMENTO!$AF$7)/$H365*OFFSET(ORÇAMENTO!$X$15,ROW(AU365)-ROW(AU$15),0),
              ROUND(ROUND(OFFSET($P365,0,AU$13),15-13*ORÇAMENTO!$AF$7)*OFFSET(ORÇAMENTO!$W$15,ROW(AU365)-ROW(AU$15),0),15-13*ORÇAMENTO!$AF$11)),
         0)</f>
        <v>0</v>
      </c>
      <c r="AV365" s="453">
        <f ca="1">IF(AND($D365="Serviço",AV$12&lt;&gt;0,$H365&gt;0,OR(AUTOEVENTO&lt;&gt;"manual",$M365&lt;&gt;$A$15)),
        IF(Import.TipoArredondamento&lt;&gt;"TransfereGOV",
              ROUND(OFFSET($P365,0,AV$13),15-13*ORÇAMENTO!$AF$7)/$H365*OFFSET(ORÇAMENTO!$X$15,ROW(AV365)-ROW(AV$15),0),
              ROUND(ROUND(OFFSET($P365,0,AV$13),15-13*ORÇAMENTO!$AF$7)*OFFSET(ORÇAMENTO!$W$15,ROW(AV365)-ROW(AV$15),0),15-13*ORÇAMENTO!$AF$11)),
         0)</f>
        <v>0</v>
      </c>
      <c r="AW365" s="453">
        <f ca="1">IF(AND($D365="Serviço",AW$12&lt;&gt;0,$H365&gt;0,OR(AUTOEVENTO&lt;&gt;"manual",$M365&lt;&gt;$A$15)),
        IF(Import.TipoArredondamento&lt;&gt;"TransfereGOV",
              ROUND(OFFSET($P365,0,AW$13),15-13*ORÇAMENTO!$AF$7)/$H365*OFFSET(ORÇAMENTO!$X$15,ROW(AW365)-ROW(AW$15),0),
              ROUND(ROUND(OFFSET($P365,0,AW$13),15-13*ORÇAMENTO!$AF$7)*OFFSET(ORÇAMENTO!$W$15,ROW(AW365)-ROW(AW$15),0),15-13*ORÇAMENTO!$AF$11)),
         0)</f>
        <v>0</v>
      </c>
      <c r="AX365" s="453">
        <f ca="1">IF(AND($D365="Serviço",AX$12&lt;&gt;0,$H365&gt;0,OR(AUTOEVENTO&lt;&gt;"manual",$M365&lt;&gt;$A$15)),
        IF(Import.TipoArredondamento&lt;&gt;"TransfereGOV",
              ROUND(OFFSET($P365,0,AX$13),15-13*ORÇAMENTO!$AF$7)/$H365*OFFSET(ORÇAMENTO!$X$15,ROW(AX365)-ROW(AX$15),0),
              ROUND(ROUND(OFFSET($P365,0,AX$13),15-13*ORÇAMENTO!$AF$7)*OFFSET(ORÇAMENTO!$W$15,ROW(AX365)-ROW(AX$15),0),15-13*ORÇAMENTO!$AF$11)),
         0)</f>
        <v>0</v>
      </c>
      <c r="AY365" s="453">
        <f ca="1">IF(AND($D365="Serviço",AY$12&lt;&gt;0,$H365&gt;0,OR(AUTOEVENTO&lt;&gt;"manual",$M365&lt;&gt;$A$15)),
        IF(Import.TipoArredondamento&lt;&gt;"TransfereGOV",
              ROUND(OFFSET($P365,0,AY$13),15-13*ORÇAMENTO!$AF$7)/$H365*OFFSET(ORÇAMENTO!$X$15,ROW(AY365)-ROW(AY$15),0),
              ROUND(ROUND(OFFSET($P365,0,AY$13),15-13*ORÇAMENTO!$AF$7)*OFFSET(ORÇAMENTO!$W$15,ROW(AY365)-ROW(AY$15),0),15-13*ORÇAMENTO!$AF$11)),
         0)</f>
        <v>0</v>
      </c>
      <c r="AZ365" s="453">
        <f ca="1">IF(AND($D365="Serviço",AZ$12&lt;&gt;0,$H365&gt;0,OR(AUTOEVENTO&lt;&gt;"manual",$M365&lt;&gt;$A$15)),
        IF(Import.TipoArredondamento&lt;&gt;"TransfereGOV",
              ROUND(OFFSET($P365,0,AZ$13),15-13*ORÇAMENTO!$AF$7)/$H365*OFFSET(ORÇAMENTO!$X$15,ROW(AZ365)-ROW(AZ$15),0),
              ROUND(ROUND(OFFSET($P365,0,AZ$13),15-13*ORÇAMENTO!$AF$7)*OFFSET(ORÇAMENTO!$W$15,ROW(AZ365)-ROW(AZ$15),0),15-13*ORÇAMENTO!$AF$11)),
         0)</f>
        <v>0</v>
      </c>
      <c r="BA365" s="453">
        <f ca="1">IF(AND($D365="Serviço",BA$12&lt;&gt;0,$H365&gt;0,OR(AUTOEVENTO&lt;&gt;"manual",$M365&lt;&gt;$A$15)),
        IF(Import.TipoArredondamento&lt;&gt;"TransfereGOV",
              ROUND(OFFSET($P365,0,BA$13),15-13*ORÇAMENTO!$AF$7)/$H365*OFFSET(ORÇAMENTO!$X$15,ROW(BA365)-ROW(BA$15),0),
              ROUND(ROUND(OFFSET($P365,0,BA$13),15-13*ORÇAMENTO!$AF$7)*OFFSET(ORÇAMENTO!$W$15,ROW(BA365)-ROW(BA$15),0),15-13*ORÇAMENTO!$AF$11)),
         0)</f>
        <v>0</v>
      </c>
      <c r="BC365" s="171">
        <f ca="1">IF(OR($D365&lt;&gt;"Serviço",AND(AUTOEVENTO="Manual",$M365=$A$15)),0,
         IF(OFFSET(CRONOPLE!$F$15,$M365-$A$15,BC$13)=0,10^12,OFFSET(CRONOPLE!$F$15,$M365-$A$15,BC$13)))</f>
        <v>1</v>
      </c>
      <c r="BD365" s="171">
        <f ca="1">IF(OR($D365&lt;&gt;"Serviço",AND(AUTOEVENTO="Manual",$M365=$A$15)),0,
         IF(OFFSET(CRONOPLE!$F$15,$M365-$A$15,BD$13)=0,10^12,OFFSET(CRONOPLE!$F$15,$M365-$A$15,BD$13)))</f>
        <v>2</v>
      </c>
      <c r="BE365" s="171">
        <f ca="1">IF(OR($D365&lt;&gt;"Serviço",AND(AUTOEVENTO="Manual",$M365=$A$15)),0,
         IF(OFFSET(CRONOPLE!$F$15,$M365-$A$15,BE$13)=0,10^12,OFFSET(CRONOPLE!$F$15,$M365-$A$15,BE$13)))</f>
        <v>3</v>
      </c>
      <c r="BF365" s="171">
        <f ca="1">IF(OR($D365&lt;&gt;"Serviço",AND(AUTOEVENTO="Manual",$M365=$A$15)),0,
         IF(OFFSET(CRONOPLE!$F$15,$M365-$A$15,BF$13)=0,10^12,OFFSET(CRONOPLE!$F$15,$M365-$A$15,BF$13)))</f>
        <v>4</v>
      </c>
      <c r="BG365" s="171">
        <f ca="1">IF(OR($D365&lt;&gt;"Serviço",AND(AUTOEVENTO="Manual",$M365=$A$15)),0,
         IF(OFFSET(CRONOPLE!$F$15,$M365-$A$15,BG$13)=0,10^12,OFFSET(CRONOPLE!$F$15,$M365-$A$15,BG$13)))</f>
        <v>5</v>
      </c>
      <c r="BH365" s="171">
        <f ca="1">IF(OR($D365&lt;&gt;"Serviço",AND(AUTOEVENTO="Manual",$M365=$A$15)),0,
         IF(OFFSET(CRONOPLE!$F$15,$M365-$A$15,BH$13)=0,10^12,OFFSET(CRONOPLE!$F$15,$M365-$A$15,BH$13)))</f>
        <v>6</v>
      </c>
      <c r="BI365" s="171">
        <f ca="1">IF(OR($D365&lt;&gt;"Serviço",AND(AUTOEVENTO="Manual",$M365=$A$15)),0,
         IF(OFFSET(CRONOPLE!$F$15,$M365-$A$15,BI$13)=0,10^12,OFFSET(CRONOPLE!$F$15,$M365-$A$15,BI$13)))</f>
        <v>7</v>
      </c>
      <c r="BJ365" s="171">
        <f ca="1">IF(OR($D365&lt;&gt;"Serviço",AND(AUTOEVENTO="Manual",$M365=$A$15)),0,
         IF(OFFSET(CRONOPLE!$F$15,$M365-$A$15,BJ$13)=0,10^12,OFFSET(CRONOPLE!$F$15,$M365-$A$15,BJ$13)))</f>
        <v>8</v>
      </c>
      <c r="BK365" s="171">
        <f ca="1">IF(OR($D365&lt;&gt;"Serviço",AND(AUTOEVENTO="Manual",$M365=$A$15)),0,
         IF(OFFSET(CRONOPLE!$F$15,$M365-$A$15,BK$13)=0,10^12,OFFSET(CRONOPLE!$F$15,$M365-$A$15,BK$13)))</f>
        <v>9</v>
      </c>
      <c r="BL365" s="171">
        <f ca="1">IF(OR($D365&lt;&gt;"Serviço",AND(AUTOEVENTO="Manual",$M365=$A$15)),0,
         IF(OFFSET(CRONOPLE!$F$15,$M365-$A$15,BL$13)=0,10^12,OFFSET(CRONOPLE!$F$15,$M365-$A$15,BL$13)))</f>
        <v>1000000000000</v>
      </c>
      <c r="BM365" s="171">
        <f ca="1">IF(OR($D365&lt;&gt;"Serviço",AND(AUTOEVENTO="Manual",$M365=$A$15)),0,
         IF(OFFSET(CRONOPLE!$F$15,$M365-$A$15,BM$13)=0,10^12,OFFSET(CRONOPLE!$F$15,$M365-$A$15,BM$13)))</f>
        <v>1000000000000</v>
      </c>
      <c r="BN365" s="171">
        <f ca="1">IF(OR($D365&lt;&gt;"Serviço",AND(AUTOEVENTO="Manual",$M365=$A$15)),0,
         IF(OFFSET(CRONOPLE!$F$15,$M365-$A$15,BN$13)=0,10^12,OFFSET(CRONOPLE!$F$15,$M365-$A$15,BN$13)))</f>
        <v>1000000000000</v>
      </c>
      <c r="BO365" s="171">
        <f ca="1">IF(OR($D365&lt;&gt;"Serviço",AND(AUTOEVENTO="Manual",$M365=$A$15)),0,
         IF(OFFSET(CRONOPLE!$F$15,$M365-$A$15,BO$13)=0,10^12,OFFSET(CRONOPLE!$F$15,$M365-$A$15,BO$13)))</f>
        <v>1000000000000</v>
      </c>
      <c r="BP365" s="171">
        <f ca="1">IF(OR($D365&lt;&gt;"Serviço",AND(AUTOEVENTO="Manual",$M365=$A$15)),0,
         IF(OFFSET(CRONOPLE!$F$15,$M365-$A$15,BP$13)=0,10^12,OFFSET(CRONOPLE!$F$15,$M365-$A$15,BP$13)))</f>
        <v>1000000000000</v>
      </c>
      <c r="BQ365" s="171">
        <f ca="1">IF(OR($D365&lt;&gt;"Serviço",AND(AUTOEVENTO="Manual",$M365=$A$15)),0,
         IF(OFFSET(CRONOPLE!$F$15,$M365-$A$15,BQ$13)=0,10^12,OFFSET(CRONOPLE!$F$15,$M365-$A$15,BQ$13)))</f>
        <v>1000000000000</v>
      </c>
      <c r="BR365" s="171">
        <f ca="1">IF(OR($D365&lt;&gt;"Serviço",AND(AUTOEVENTO="Manual",$M365=$A$15)),0,
         IF(OFFSET(CRONOPLE!$F$15,$M365-$A$15,BR$13)=0,10^12,OFFSET(CRONOPLE!$F$15,$M365-$A$15,BR$13)))</f>
        <v>1000000000000</v>
      </c>
      <c r="BS365" s="171">
        <f ca="1">IF(OR($D365&lt;&gt;"Serviço",AND(AUTOEVENTO="Manual",$M365=$A$15)),0,
         IF(OFFSET(CRONOPLE!$F$15,$M365-$A$15,BS$13)=0,10^12,OFFSET(CRONOPLE!$F$15,$M365-$A$15,BS$13)))</f>
        <v>1000000000000</v>
      </c>
      <c r="BT365" s="171">
        <f ca="1">IF(OR($D365&lt;&gt;"Serviço",AND(AUTOEVENTO="Manual",$M365=$A$15)),0,
         IF(OFFSET(CRONOPLE!$F$15,$M365-$A$15,BT$13)=0,10^12,OFFSET(CRONOPLE!$F$15,$M365-$A$15,BT$13)))</f>
        <v>1000000000000</v>
      </c>
      <c r="BV365" s="172">
        <f ca="1">IF(OR($D365&lt;&gt;"Serviço",AND(AUTOEVENTO="Manual",$M365=$A$15),$M365&gt;(ROW(PLE.lastrow)-ROW(PLE.firstrow))),0,
           IF(OFFSET(PLE!$G$15,$M365-$A$15,BV$13)="",10^12,OFFSET(PLE!$G$15,$M365-$A$15,BV$13)))</f>
        <v>1000000000000</v>
      </c>
      <c r="BW365" s="172">
        <f ca="1">IF(OR($D365&lt;&gt;"Serviço",AND(AUTOEVENTO="Manual",$M365=$A$15),$M365&gt;(ROW(PLE.lastrow)-ROW(PLE.firstrow))),0,
           IF(OFFSET(PLE!$G$15,$M365-$A$15,BW$13)="",10^12,OFFSET(PLE!$G$15,$M365-$A$15,BW$13)))</f>
        <v>1000000000000</v>
      </c>
      <c r="BX365" s="172">
        <f ca="1">IF(OR($D365&lt;&gt;"Serviço",AND(AUTOEVENTO="Manual",$M365=$A$15),$M365&gt;(ROW(PLE.lastrow)-ROW(PLE.firstrow))),0,
           IF(OFFSET(PLE!$G$15,$M365-$A$15,BX$13)="",10^12,OFFSET(PLE!$G$15,$M365-$A$15,BX$13)))</f>
        <v>1000000000000</v>
      </c>
      <c r="BY365" s="172">
        <f ca="1">IF(OR($D365&lt;&gt;"Serviço",AND(AUTOEVENTO="Manual",$M365=$A$15),$M365&gt;(ROW(PLE.lastrow)-ROW(PLE.firstrow))),0,
           IF(OFFSET(PLE!$G$15,$M365-$A$15,BY$13)="",10^12,OFFSET(PLE!$G$15,$M365-$A$15,BY$13)))</f>
        <v>1000000000000</v>
      </c>
      <c r="BZ365" s="172">
        <f ca="1">IF(OR($D365&lt;&gt;"Serviço",AND(AUTOEVENTO="Manual",$M365=$A$15),$M365&gt;(ROW(PLE.lastrow)-ROW(PLE.firstrow))),0,
           IF(OFFSET(PLE!$G$15,$M365-$A$15,BZ$13)="",10^12,OFFSET(PLE!$G$15,$M365-$A$15,BZ$13)))</f>
        <v>1000000000000</v>
      </c>
      <c r="CA365" s="172">
        <f ca="1">IF(OR($D365&lt;&gt;"Serviço",AND(AUTOEVENTO="Manual",$M365=$A$15),$M365&gt;(ROW(PLE.lastrow)-ROW(PLE.firstrow))),0,
           IF(OFFSET(PLE!$G$15,$M365-$A$15,CA$13)="",10^12,OFFSET(PLE!$G$15,$M365-$A$15,CA$13)))</f>
        <v>1000000000000</v>
      </c>
      <c r="CB365" s="172">
        <f ca="1">IF(OR($D365&lt;&gt;"Serviço",AND(AUTOEVENTO="Manual",$M365=$A$15),$M365&gt;(ROW(PLE.lastrow)-ROW(PLE.firstrow))),0,
           IF(OFFSET(PLE!$G$15,$M365-$A$15,CB$13)="",10^12,OFFSET(PLE!$G$15,$M365-$A$15,CB$13)))</f>
        <v>1000000000000</v>
      </c>
      <c r="CC365" s="172">
        <f ca="1">IF(OR($D365&lt;&gt;"Serviço",AND(AUTOEVENTO="Manual",$M365=$A$15),$M365&gt;(ROW(PLE.lastrow)-ROW(PLE.firstrow))),0,
           IF(OFFSET(PLE!$G$15,$M365-$A$15,CC$13)="",10^12,OFFSET(PLE!$G$15,$M365-$A$15,CC$13)))</f>
        <v>1000000000000</v>
      </c>
      <c r="CD365" s="172">
        <f ca="1">IF(OR($D365&lt;&gt;"Serviço",AND(AUTOEVENTO="Manual",$M365=$A$15),$M365&gt;(ROW(PLE.lastrow)-ROW(PLE.firstrow))),0,
           IF(OFFSET(PLE!$G$15,$M365-$A$15,CD$13)="",10^12,OFFSET(PLE!$G$15,$M365-$A$15,CD$13)))</f>
        <v>1000000000000</v>
      </c>
      <c r="CE365" s="172">
        <f ca="1">IF(OR($D365&lt;&gt;"Serviço",AND(AUTOEVENTO="Manual",$M365=$A$15),$M365&gt;(ROW(PLE.lastrow)-ROW(PLE.firstrow))),0,
           IF(OFFSET(PLE!$G$15,$M365-$A$15,CE$13)="",10^12,OFFSET(PLE!$G$15,$M365-$A$15,CE$13)))</f>
        <v>1000000000000</v>
      </c>
      <c r="CF365" s="172">
        <f ca="1">IF(OR($D365&lt;&gt;"Serviço",AND(AUTOEVENTO="Manual",$M365=$A$15),$M365&gt;(ROW(PLE.lastrow)-ROW(PLE.firstrow))),0,
           IF(OFFSET(PLE!$G$15,$M365-$A$15,CF$13)="",10^12,OFFSET(PLE!$G$15,$M365-$A$15,CF$13)))</f>
        <v>1000000000000</v>
      </c>
      <c r="CG365" s="172">
        <f ca="1">IF(OR($D365&lt;&gt;"Serviço",AND(AUTOEVENTO="Manual",$M365=$A$15),$M365&gt;(ROW(PLE.lastrow)-ROW(PLE.firstrow))),0,
           IF(OFFSET(PLE!$G$15,$M365-$A$15,CG$13)="",10^12,OFFSET(PLE!$G$15,$M365-$A$15,CG$13)))</f>
        <v>1000000000000</v>
      </c>
      <c r="CH365" s="172">
        <f ca="1">IF(OR($D365&lt;&gt;"Serviço",AND(AUTOEVENTO="Manual",$M365=$A$15),$M365&gt;(ROW(PLE.lastrow)-ROW(PLE.firstrow))),0,
           IF(OFFSET(PLE!$G$15,$M365-$A$15,CH$13)="",10^12,OFFSET(PLE!$G$15,$M365-$A$15,CH$13)))</f>
        <v>1000000000000</v>
      </c>
      <c r="CI365" s="172">
        <f ca="1">IF(OR($D365&lt;&gt;"Serviço",AND(AUTOEVENTO="Manual",$M365=$A$15),$M365&gt;(ROW(PLE.lastrow)-ROW(PLE.firstrow))),0,
           IF(OFFSET(PLE!$G$15,$M365-$A$15,CI$13)="",10^12,OFFSET(PLE!$G$15,$M365-$A$15,CI$13)))</f>
        <v>1000000000000</v>
      </c>
      <c r="CJ365" s="172">
        <f ca="1">IF(OR($D365&lt;&gt;"Serviço",AND(AUTOEVENTO="Manual",$M365=$A$15),$M365&gt;(ROW(PLE.lastrow)-ROW(PLE.firstrow))),0,
           IF(OFFSET(PLE!$G$15,$M365-$A$15,CJ$13)="",10^12,OFFSET(PLE!$G$15,$M365-$A$15,CJ$13)))</f>
        <v>1000000000000</v>
      </c>
      <c r="CK365" s="172">
        <f ca="1">IF(OR($D365&lt;&gt;"Serviço",AND(AUTOEVENTO="Manual",$M365=$A$15),$M365&gt;(ROW(PLE.lastrow)-ROW(PLE.firstrow))),0,
           IF(OFFSET(PLE!$G$15,$M365-$A$15,CK$13)="",10^12,OFFSET(PLE!$G$15,$M365-$A$15,CK$13)))</f>
        <v>1000000000000</v>
      </c>
      <c r="CL365" s="172">
        <f ca="1">IF(OR($D365&lt;&gt;"Serviço",AND(AUTOEVENTO="Manual",$M365=$A$15),$M365&gt;(ROW(PLE.lastrow)-ROW(PLE.firstrow))),0,
           IF(OFFSET(PLE!$G$15,$M365-$A$15,CL$13)="",10^12,OFFSET(PLE!$G$15,$M365-$A$15,CL$13)))</f>
        <v>1000000000000</v>
      </c>
      <c r="CM365" s="172">
        <f ca="1">IF(OR($D365&lt;&gt;"Serviço",AND(AUTOEVENTO="Manual",$M365=$A$15),$M365&gt;(ROW(PLE.lastrow)-ROW(PLE.firstrow))),0,
           IF(OFFSET(PLE!$G$15,$M365-$A$15,CM$13)="",10^12,OFFSET(PLE!$G$15,$M365-$A$15,CM$13)))</f>
        <v>1000000000000</v>
      </c>
    </row>
    <row r="366" spans="1:91" ht="12.75" x14ac:dyDescent="0.2">
      <c r="A366" s="7">
        <f t="shared" ca="1" si="15"/>
        <v>8</v>
      </c>
      <c r="B366" s="7">
        <f ca="1">OFFSET(ORÇAMENTO!C$15,ROW(B366)-ROW(B$15),0)</f>
        <v>4</v>
      </c>
      <c r="C366" s="7" t="str">
        <f ca="1">OFFSET(ORÇAMENTO!L$15,ROW(C366)-ROW(C$15),0)</f>
        <v>F</v>
      </c>
      <c r="D366" s="116" t="str">
        <f ca="1">OFFSET(ORÇAMENTO!N$15,ROW(D366)-ROW(D$15),0)</f>
        <v>Nível 4</v>
      </c>
      <c r="E366" s="117" t="str">
        <f ca="1">OFFSET(ORÇAMENTO!O$15,ROW(E366)-ROW(E$15),0)</f>
        <v>1.8.1.2.</v>
      </c>
      <c r="F366" s="163" t="str">
        <f ca="1">OFFSET(ORÇAMENTO!R$15,ROW(F366)-ROW(F$15),0)</f>
        <v>QUADRO DE DISTRIBUIÇÃO DE CIRCUITOS (QDCGERAL)</v>
      </c>
      <c r="G366" s="164" t="str">
        <f ca="1">IF($D366&lt;&gt;"Serviço","",OFFSET(ORÇAMENTO!S$15,ROW(G366)-ROW(G$15),0))</f>
        <v/>
      </c>
      <c r="H366" s="122" cm="1">
        <f t="array" aca="1" ref="H366" ca="1">IF($D366&lt;&gt;"Serviço",0,IF(ACOMPANHAMENTO="BM",ROUND(OFFSET(ORÇAMENTO!AJ$15,ROW(H366)-ROW(H$15),0),15-13*ORÇAMENTO!$AF$7),SUMPRODUCT(($Q$1:$AI$1=1)*ROUND($Q366:$AI366,15-13*ORÇAMENTO!$AF$7))))</f>
        <v>0</v>
      </c>
      <c r="I366" s="468"/>
      <c r="J366" s="640" t="str" cm="1">
        <f t="array" aca="1" ref="J366" ca="1">IF(OR(B366&lt;&gt;"S",CÁLCULO.FrentesPreenchidas=0),"",IF(AND(ACOMPANHAMENTO="PLE",AUTOEVENTO="Manual",OR(H366&gt;0,ORÇAMENTO!AC366="QUANT."),OR(K366="",M366=0,N366="")),"►E",IF(AND(ACOMPANHAMENTO="PLE",ORÇAMENTO!AC366="QUANT."),"►Q",IF(AND(ACOMPANHAMENTO="PLE",H366&lt;&gt;SUMPRODUCT(($Q$1:$AI$1=1)*ROUND(Q366:AI366,15))),"►S",IF(AND(COUNTIF($P$11:$AI$11,"▼")=0,H366&gt;0,I366=""),"◄M","")))))</f>
        <v/>
      </c>
      <c r="K366" s="641" t="s">
        <v>1366</v>
      </c>
      <c r="L366" s="165" t="s">
        <v>764</v>
      </c>
      <c r="M366" s="166" t="str">
        <f ca="1">IF($D366&lt;&gt;"Serviço","",
          IF(AUTOEVENTO="manual",$A366,
                IF(ISERROR(MATCH($A366,$A$15:OFFSET($A366,-1,0),0)),MAX($M$15:OFFSET(M366,-1,0))+1,
                      INDEX($M$15:OFFSET(M366,-1,0),MATCH($A366,$A$15:OFFSET($A366,-1,0),0)))))</f>
        <v/>
      </c>
      <c r="N366" s="167" t="str">
        <f ca="1">IF($D366&lt;&gt;"Serviço","",
         IF(AUTOEVENTO="Manual",
                IF($A366=0,"&lt;-- defina o número do agrupador",
                       OFFSET(EVENTOS!$D$15,$A366-$A$15,0)),
                OFFSET($F$15,$A366,0)))</f>
        <v/>
      </c>
      <c r="O366" s="168"/>
      <c r="Q366" s="168"/>
      <c r="R366" s="169"/>
      <c r="S366" s="169"/>
      <c r="T366" s="169"/>
      <c r="U366" s="169"/>
      <c r="V366" s="169"/>
      <c r="W366" s="169"/>
      <c r="X366" s="169"/>
      <c r="Y366" s="169"/>
      <c r="Z366" s="170"/>
      <c r="AA366" s="169"/>
      <c r="AB366" s="169"/>
      <c r="AC366" s="169"/>
      <c r="AD366" s="169"/>
      <c r="AE366" s="169"/>
      <c r="AF366" s="169"/>
      <c r="AG366" s="169"/>
      <c r="AH366" s="170"/>
      <c r="AJ366" s="453">
        <f ca="1">IF(AND($D366="Serviço",AJ$12&lt;&gt;0,$H366&gt;0,OR(AUTOEVENTO&lt;&gt;"manual",$M366&lt;&gt;$A$15)),
        IF(Import.TipoArredondamento&lt;&gt;"TransfereGOV",
              ROUND(OFFSET($P366,0,AJ$13),15-13*ORÇAMENTO!$AF$7)/$H366*OFFSET(ORÇAMENTO!$X$15,ROW(AJ366)-ROW(AJ$15),0),
              ROUND(ROUND(OFFSET($P366,0,AJ$13),15-13*ORÇAMENTO!$AF$7)*OFFSET(ORÇAMENTO!$W$15,ROW(AJ366)-ROW(AJ$15),0),15-13*ORÇAMENTO!$AF$11)),
         0)</f>
        <v>0</v>
      </c>
      <c r="AK366" s="453">
        <f ca="1">IF(AND($D366="Serviço",AK$12&lt;&gt;0,$H366&gt;0,OR(AUTOEVENTO&lt;&gt;"manual",$M366&lt;&gt;$A$15)),
        IF(Import.TipoArredondamento&lt;&gt;"TransfereGOV",
              ROUND(OFFSET($P366,0,AK$13),15-13*ORÇAMENTO!$AF$7)/$H366*OFFSET(ORÇAMENTO!$X$15,ROW(AK366)-ROW(AK$15),0),
              ROUND(ROUND(OFFSET($P366,0,AK$13),15-13*ORÇAMENTO!$AF$7)*OFFSET(ORÇAMENTO!$W$15,ROW(AK366)-ROW(AK$15),0),15-13*ORÇAMENTO!$AF$11)),
         0)</f>
        <v>0</v>
      </c>
      <c r="AL366" s="453">
        <f ca="1">IF(AND($D366="Serviço",AL$12&lt;&gt;0,$H366&gt;0,OR(AUTOEVENTO&lt;&gt;"manual",$M366&lt;&gt;$A$15)),
        IF(Import.TipoArredondamento&lt;&gt;"TransfereGOV",
              ROUND(OFFSET($P366,0,AL$13),15-13*ORÇAMENTO!$AF$7)/$H366*OFFSET(ORÇAMENTO!$X$15,ROW(AL366)-ROW(AL$15),0),
              ROUND(ROUND(OFFSET($P366,0,AL$13),15-13*ORÇAMENTO!$AF$7)*OFFSET(ORÇAMENTO!$W$15,ROW(AL366)-ROW(AL$15),0),15-13*ORÇAMENTO!$AF$11)),
         0)</f>
        <v>0</v>
      </c>
      <c r="AM366" s="453">
        <f ca="1">IF(AND($D366="Serviço",AM$12&lt;&gt;0,$H366&gt;0,OR(AUTOEVENTO&lt;&gt;"manual",$M366&lt;&gt;$A$15)),
        IF(Import.TipoArredondamento&lt;&gt;"TransfereGOV",
              ROUND(OFFSET($P366,0,AM$13),15-13*ORÇAMENTO!$AF$7)/$H366*OFFSET(ORÇAMENTO!$X$15,ROW(AM366)-ROW(AM$15),0),
              ROUND(ROUND(OFFSET($P366,0,AM$13),15-13*ORÇAMENTO!$AF$7)*OFFSET(ORÇAMENTO!$W$15,ROW(AM366)-ROW(AM$15),0),15-13*ORÇAMENTO!$AF$11)),
         0)</f>
        <v>0</v>
      </c>
      <c r="AN366" s="453">
        <f ca="1">IF(AND($D366="Serviço",AN$12&lt;&gt;0,$H366&gt;0,OR(AUTOEVENTO&lt;&gt;"manual",$M366&lt;&gt;$A$15)),
        IF(Import.TipoArredondamento&lt;&gt;"TransfereGOV",
              ROUND(OFFSET($P366,0,AN$13),15-13*ORÇAMENTO!$AF$7)/$H366*OFFSET(ORÇAMENTO!$X$15,ROW(AN366)-ROW(AN$15),0),
              ROUND(ROUND(OFFSET($P366,0,AN$13),15-13*ORÇAMENTO!$AF$7)*OFFSET(ORÇAMENTO!$W$15,ROW(AN366)-ROW(AN$15),0),15-13*ORÇAMENTO!$AF$11)),
         0)</f>
        <v>0</v>
      </c>
      <c r="AO366" s="453">
        <f ca="1">IF(AND($D366="Serviço",AO$12&lt;&gt;0,$H366&gt;0,OR(AUTOEVENTO&lt;&gt;"manual",$M366&lt;&gt;$A$15)),
        IF(Import.TipoArredondamento&lt;&gt;"TransfereGOV",
              ROUND(OFFSET($P366,0,AO$13),15-13*ORÇAMENTO!$AF$7)/$H366*OFFSET(ORÇAMENTO!$X$15,ROW(AO366)-ROW(AO$15),0),
              ROUND(ROUND(OFFSET($P366,0,AO$13),15-13*ORÇAMENTO!$AF$7)*OFFSET(ORÇAMENTO!$W$15,ROW(AO366)-ROW(AO$15),0),15-13*ORÇAMENTO!$AF$11)),
         0)</f>
        <v>0</v>
      </c>
      <c r="AP366" s="453">
        <f ca="1">IF(AND($D366="Serviço",AP$12&lt;&gt;0,$H366&gt;0,OR(AUTOEVENTO&lt;&gt;"manual",$M366&lt;&gt;$A$15)),
        IF(Import.TipoArredondamento&lt;&gt;"TransfereGOV",
              ROUND(OFFSET($P366,0,AP$13),15-13*ORÇAMENTO!$AF$7)/$H366*OFFSET(ORÇAMENTO!$X$15,ROW(AP366)-ROW(AP$15),0),
              ROUND(ROUND(OFFSET($P366,0,AP$13),15-13*ORÇAMENTO!$AF$7)*OFFSET(ORÇAMENTO!$W$15,ROW(AP366)-ROW(AP$15),0),15-13*ORÇAMENTO!$AF$11)),
         0)</f>
        <v>0</v>
      </c>
      <c r="AQ366" s="453">
        <f ca="1">IF(AND($D366="Serviço",AQ$12&lt;&gt;0,$H366&gt;0,OR(AUTOEVENTO&lt;&gt;"manual",$M366&lt;&gt;$A$15)),
        IF(Import.TipoArredondamento&lt;&gt;"TransfereGOV",
              ROUND(OFFSET($P366,0,AQ$13),15-13*ORÇAMENTO!$AF$7)/$H366*OFFSET(ORÇAMENTO!$X$15,ROW(AQ366)-ROW(AQ$15),0),
              ROUND(ROUND(OFFSET($P366,0,AQ$13),15-13*ORÇAMENTO!$AF$7)*OFFSET(ORÇAMENTO!$W$15,ROW(AQ366)-ROW(AQ$15),0),15-13*ORÇAMENTO!$AF$11)),
         0)</f>
        <v>0</v>
      </c>
      <c r="AR366" s="453">
        <f ca="1">IF(AND($D366="Serviço",AR$12&lt;&gt;0,$H366&gt;0,OR(AUTOEVENTO&lt;&gt;"manual",$M366&lt;&gt;$A$15)),
        IF(Import.TipoArredondamento&lt;&gt;"TransfereGOV",
              ROUND(OFFSET($P366,0,AR$13),15-13*ORÇAMENTO!$AF$7)/$H366*OFFSET(ORÇAMENTO!$X$15,ROW(AR366)-ROW(AR$15),0),
              ROUND(ROUND(OFFSET($P366,0,AR$13),15-13*ORÇAMENTO!$AF$7)*OFFSET(ORÇAMENTO!$W$15,ROW(AR366)-ROW(AR$15),0),15-13*ORÇAMENTO!$AF$11)),
         0)</f>
        <v>0</v>
      </c>
      <c r="AS366" s="453">
        <f ca="1">IF(AND($D366="Serviço",AS$12&lt;&gt;0,$H366&gt;0,OR(AUTOEVENTO&lt;&gt;"manual",$M366&lt;&gt;$A$15)),
        IF(Import.TipoArredondamento&lt;&gt;"TransfereGOV",
              ROUND(OFFSET($P366,0,AS$13),15-13*ORÇAMENTO!$AF$7)/$H366*OFFSET(ORÇAMENTO!$X$15,ROW(AS366)-ROW(AS$15),0),
              ROUND(ROUND(OFFSET($P366,0,AS$13),15-13*ORÇAMENTO!$AF$7)*OFFSET(ORÇAMENTO!$W$15,ROW(AS366)-ROW(AS$15),0),15-13*ORÇAMENTO!$AF$11)),
         0)</f>
        <v>0</v>
      </c>
      <c r="AT366" s="453">
        <f ca="1">IF(AND($D366="Serviço",AT$12&lt;&gt;0,$H366&gt;0,OR(AUTOEVENTO&lt;&gt;"manual",$M366&lt;&gt;$A$15)),
        IF(Import.TipoArredondamento&lt;&gt;"TransfereGOV",
              ROUND(OFFSET($P366,0,AT$13),15-13*ORÇAMENTO!$AF$7)/$H366*OFFSET(ORÇAMENTO!$X$15,ROW(AT366)-ROW(AT$15),0),
              ROUND(ROUND(OFFSET($P366,0,AT$13),15-13*ORÇAMENTO!$AF$7)*OFFSET(ORÇAMENTO!$W$15,ROW(AT366)-ROW(AT$15),0),15-13*ORÇAMENTO!$AF$11)),
         0)</f>
        <v>0</v>
      </c>
      <c r="AU366" s="453">
        <f ca="1">IF(AND($D366="Serviço",AU$12&lt;&gt;0,$H366&gt;0,OR(AUTOEVENTO&lt;&gt;"manual",$M366&lt;&gt;$A$15)),
        IF(Import.TipoArredondamento&lt;&gt;"TransfereGOV",
              ROUND(OFFSET($P366,0,AU$13),15-13*ORÇAMENTO!$AF$7)/$H366*OFFSET(ORÇAMENTO!$X$15,ROW(AU366)-ROW(AU$15),0),
              ROUND(ROUND(OFFSET($P366,0,AU$13),15-13*ORÇAMENTO!$AF$7)*OFFSET(ORÇAMENTO!$W$15,ROW(AU366)-ROW(AU$15),0),15-13*ORÇAMENTO!$AF$11)),
         0)</f>
        <v>0</v>
      </c>
      <c r="AV366" s="453">
        <f ca="1">IF(AND($D366="Serviço",AV$12&lt;&gt;0,$H366&gt;0,OR(AUTOEVENTO&lt;&gt;"manual",$M366&lt;&gt;$A$15)),
        IF(Import.TipoArredondamento&lt;&gt;"TransfereGOV",
              ROUND(OFFSET($P366,0,AV$13),15-13*ORÇAMENTO!$AF$7)/$H366*OFFSET(ORÇAMENTO!$X$15,ROW(AV366)-ROW(AV$15),0),
              ROUND(ROUND(OFFSET($P366,0,AV$13),15-13*ORÇAMENTO!$AF$7)*OFFSET(ORÇAMENTO!$W$15,ROW(AV366)-ROW(AV$15),0),15-13*ORÇAMENTO!$AF$11)),
         0)</f>
        <v>0</v>
      </c>
      <c r="AW366" s="453">
        <f ca="1">IF(AND($D366="Serviço",AW$12&lt;&gt;0,$H366&gt;0,OR(AUTOEVENTO&lt;&gt;"manual",$M366&lt;&gt;$A$15)),
        IF(Import.TipoArredondamento&lt;&gt;"TransfereGOV",
              ROUND(OFFSET($P366,0,AW$13),15-13*ORÇAMENTO!$AF$7)/$H366*OFFSET(ORÇAMENTO!$X$15,ROW(AW366)-ROW(AW$15),0),
              ROUND(ROUND(OFFSET($P366,0,AW$13),15-13*ORÇAMENTO!$AF$7)*OFFSET(ORÇAMENTO!$W$15,ROW(AW366)-ROW(AW$15),0),15-13*ORÇAMENTO!$AF$11)),
         0)</f>
        <v>0</v>
      </c>
      <c r="AX366" s="453">
        <f ca="1">IF(AND($D366="Serviço",AX$12&lt;&gt;0,$H366&gt;0,OR(AUTOEVENTO&lt;&gt;"manual",$M366&lt;&gt;$A$15)),
        IF(Import.TipoArredondamento&lt;&gt;"TransfereGOV",
              ROUND(OFFSET($P366,0,AX$13),15-13*ORÇAMENTO!$AF$7)/$H366*OFFSET(ORÇAMENTO!$X$15,ROW(AX366)-ROW(AX$15),0),
              ROUND(ROUND(OFFSET($P366,0,AX$13),15-13*ORÇAMENTO!$AF$7)*OFFSET(ORÇAMENTO!$W$15,ROW(AX366)-ROW(AX$15),0),15-13*ORÇAMENTO!$AF$11)),
         0)</f>
        <v>0</v>
      </c>
      <c r="AY366" s="453">
        <f ca="1">IF(AND($D366="Serviço",AY$12&lt;&gt;0,$H366&gt;0,OR(AUTOEVENTO&lt;&gt;"manual",$M366&lt;&gt;$A$15)),
        IF(Import.TipoArredondamento&lt;&gt;"TransfereGOV",
              ROUND(OFFSET($P366,0,AY$13),15-13*ORÇAMENTO!$AF$7)/$H366*OFFSET(ORÇAMENTO!$X$15,ROW(AY366)-ROW(AY$15),0),
              ROUND(ROUND(OFFSET($P366,0,AY$13),15-13*ORÇAMENTO!$AF$7)*OFFSET(ORÇAMENTO!$W$15,ROW(AY366)-ROW(AY$15),0),15-13*ORÇAMENTO!$AF$11)),
         0)</f>
        <v>0</v>
      </c>
      <c r="AZ366" s="453">
        <f ca="1">IF(AND($D366="Serviço",AZ$12&lt;&gt;0,$H366&gt;0,OR(AUTOEVENTO&lt;&gt;"manual",$M366&lt;&gt;$A$15)),
        IF(Import.TipoArredondamento&lt;&gt;"TransfereGOV",
              ROUND(OFFSET($P366,0,AZ$13),15-13*ORÇAMENTO!$AF$7)/$H366*OFFSET(ORÇAMENTO!$X$15,ROW(AZ366)-ROW(AZ$15),0),
              ROUND(ROUND(OFFSET($P366,0,AZ$13),15-13*ORÇAMENTO!$AF$7)*OFFSET(ORÇAMENTO!$W$15,ROW(AZ366)-ROW(AZ$15),0),15-13*ORÇAMENTO!$AF$11)),
         0)</f>
        <v>0</v>
      </c>
      <c r="BA366" s="453">
        <f ca="1">IF(AND($D366="Serviço",BA$12&lt;&gt;0,$H366&gt;0,OR(AUTOEVENTO&lt;&gt;"manual",$M366&lt;&gt;$A$15)),
        IF(Import.TipoArredondamento&lt;&gt;"TransfereGOV",
              ROUND(OFFSET($P366,0,BA$13),15-13*ORÇAMENTO!$AF$7)/$H366*OFFSET(ORÇAMENTO!$X$15,ROW(BA366)-ROW(BA$15),0),
              ROUND(ROUND(OFFSET($P366,0,BA$13),15-13*ORÇAMENTO!$AF$7)*OFFSET(ORÇAMENTO!$W$15,ROW(BA366)-ROW(BA$15),0),15-13*ORÇAMENTO!$AF$11)),
         0)</f>
        <v>0</v>
      </c>
      <c r="BC366" s="171">
        <f ca="1">IF(OR($D366&lt;&gt;"Serviço",AND(AUTOEVENTO="Manual",$M366=$A$15)),0,
         IF(OFFSET(CRONOPLE!$F$15,$M366-$A$15,BC$13)=0,10^12,OFFSET(CRONOPLE!$F$15,$M366-$A$15,BC$13)))</f>
        <v>0</v>
      </c>
      <c r="BD366" s="171">
        <f ca="1">IF(OR($D366&lt;&gt;"Serviço",AND(AUTOEVENTO="Manual",$M366=$A$15)),0,
         IF(OFFSET(CRONOPLE!$F$15,$M366-$A$15,BD$13)=0,10^12,OFFSET(CRONOPLE!$F$15,$M366-$A$15,BD$13)))</f>
        <v>0</v>
      </c>
      <c r="BE366" s="171">
        <f ca="1">IF(OR($D366&lt;&gt;"Serviço",AND(AUTOEVENTO="Manual",$M366=$A$15)),0,
         IF(OFFSET(CRONOPLE!$F$15,$M366-$A$15,BE$13)=0,10^12,OFFSET(CRONOPLE!$F$15,$M366-$A$15,BE$13)))</f>
        <v>0</v>
      </c>
      <c r="BF366" s="171">
        <f ca="1">IF(OR($D366&lt;&gt;"Serviço",AND(AUTOEVENTO="Manual",$M366=$A$15)),0,
         IF(OFFSET(CRONOPLE!$F$15,$M366-$A$15,BF$13)=0,10^12,OFFSET(CRONOPLE!$F$15,$M366-$A$15,BF$13)))</f>
        <v>0</v>
      </c>
      <c r="BG366" s="171">
        <f ca="1">IF(OR($D366&lt;&gt;"Serviço",AND(AUTOEVENTO="Manual",$M366=$A$15)),0,
         IF(OFFSET(CRONOPLE!$F$15,$M366-$A$15,BG$13)=0,10^12,OFFSET(CRONOPLE!$F$15,$M366-$A$15,BG$13)))</f>
        <v>0</v>
      </c>
      <c r="BH366" s="171">
        <f ca="1">IF(OR($D366&lt;&gt;"Serviço",AND(AUTOEVENTO="Manual",$M366=$A$15)),0,
         IF(OFFSET(CRONOPLE!$F$15,$M366-$A$15,BH$13)=0,10^12,OFFSET(CRONOPLE!$F$15,$M366-$A$15,BH$13)))</f>
        <v>0</v>
      </c>
      <c r="BI366" s="171">
        <f ca="1">IF(OR($D366&lt;&gt;"Serviço",AND(AUTOEVENTO="Manual",$M366=$A$15)),0,
         IF(OFFSET(CRONOPLE!$F$15,$M366-$A$15,BI$13)=0,10^12,OFFSET(CRONOPLE!$F$15,$M366-$A$15,BI$13)))</f>
        <v>0</v>
      </c>
      <c r="BJ366" s="171">
        <f ca="1">IF(OR($D366&lt;&gt;"Serviço",AND(AUTOEVENTO="Manual",$M366=$A$15)),0,
         IF(OFFSET(CRONOPLE!$F$15,$M366-$A$15,BJ$13)=0,10^12,OFFSET(CRONOPLE!$F$15,$M366-$A$15,BJ$13)))</f>
        <v>0</v>
      </c>
      <c r="BK366" s="171">
        <f ca="1">IF(OR($D366&lt;&gt;"Serviço",AND(AUTOEVENTO="Manual",$M366=$A$15)),0,
         IF(OFFSET(CRONOPLE!$F$15,$M366-$A$15,BK$13)=0,10^12,OFFSET(CRONOPLE!$F$15,$M366-$A$15,BK$13)))</f>
        <v>0</v>
      </c>
      <c r="BL366" s="171">
        <f ca="1">IF(OR($D366&lt;&gt;"Serviço",AND(AUTOEVENTO="Manual",$M366=$A$15)),0,
         IF(OFFSET(CRONOPLE!$F$15,$M366-$A$15,BL$13)=0,10^12,OFFSET(CRONOPLE!$F$15,$M366-$A$15,BL$13)))</f>
        <v>0</v>
      </c>
      <c r="BM366" s="171">
        <f ca="1">IF(OR($D366&lt;&gt;"Serviço",AND(AUTOEVENTO="Manual",$M366=$A$15)),0,
         IF(OFFSET(CRONOPLE!$F$15,$M366-$A$15,BM$13)=0,10^12,OFFSET(CRONOPLE!$F$15,$M366-$A$15,BM$13)))</f>
        <v>0</v>
      </c>
      <c r="BN366" s="171">
        <f ca="1">IF(OR($D366&lt;&gt;"Serviço",AND(AUTOEVENTO="Manual",$M366=$A$15)),0,
         IF(OFFSET(CRONOPLE!$F$15,$M366-$A$15,BN$13)=0,10^12,OFFSET(CRONOPLE!$F$15,$M366-$A$15,BN$13)))</f>
        <v>0</v>
      </c>
      <c r="BO366" s="171">
        <f ca="1">IF(OR($D366&lt;&gt;"Serviço",AND(AUTOEVENTO="Manual",$M366=$A$15)),0,
         IF(OFFSET(CRONOPLE!$F$15,$M366-$A$15,BO$13)=0,10^12,OFFSET(CRONOPLE!$F$15,$M366-$A$15,BO$13)))</f>
        <v>0</v>
      </c>
      <c r="BP366" s="171">
        <f ca="1">IF(OR($D366&lt;&gt;"Serviço",AND(AUTOEVENTO="Manual",$M366=$A$15)),0,
         IF(OFFSET(CRONOPLE!$F$15,$M366-$A$15,BP$13)=0,10^12,OFFSET(CRONOPLE!$F$15,$M366-$A$15,BP$13)))</f>
        <v>0</v>
      </c>
      <c r="BQ366" s="171">
        <f ca="1">IF(OR($D366&lt;&gt;"Serviço",AND(AUTOEVENTO="Manual",$M366=$A$15)),0,
         IF(OFFSET(CRONOPLE!$F$15,$M366-$A$15,BQ$13)=0,10^12,OFFSET(CRONOPLE!$F$15,$M366-$A$15,BQ$13)))</f>
        <v>0</v>
      </c>
      <c r="BR366" s="171">
        <f ca="1">IF(OR($D366&lt;&gt;"Serviço",AND(AUTOEVENTO="Manual",$M366=$A$15)),0,
         IF(OFFSET(CRONOPLE!$F$15,$M366-$A$15,BR$13)=0,10^12,OFFSET(CRONOPLE!$F$15,$M366-$A$15,BR$13)))</f>
        <v>0</v>
      </c>
      <c r="BS366" s="171">
        <f ca="1">IF(OR($D366&lt;&gt;"Serviço",AND(AUTOEVENTO="Manual",$M366=$A$15)),0,
         IF(OFFSET(CRONOPLE!$F$15,$M366-$A$15,BS$13)=0,10^12,OFFSET(CRONOPLE!$F$15,$M366-$A$15,BS$13)))</f>
        <v>0</v>
      </c>
      <c r="BT366" s="171">
        <f ca="1">IF(OR($D366&lt;&gt;"Serviço",AND(AUTOEVENTO="Manual",$M366=$A$15)),0,
         IF(OFFSET(CRONOPLE!$F$15,$M366-$A$15,BT$13)=0,10^12,OFFSET(CRONOPLE!$F$15,$M366-$A$15,BT$13)))</f>
        <v>0</v>
      </c>
      <c r="BV366" s="172">
        <f ca="1">IF(OR($D366&lt;&gt;"Serviço",AND(AUTOEVENTO="Manual",$M366=$A$15),$M366&gt;(ROW(PLE.lastrow)-ROW(PLE.firstrow))),0,
           IF(OFFSET(PLE!$G$15,$M366-$A$15,BV$13)="",10^12,OFFSET(PLE!$G$15,$M366-$A$15,BV$13)))</f>
        <v>0</v>
      </c>
      <c r="BW366" s="172">
        <f ca="1">IF(OR($D366&lt;&gt;"Serviço",AND(AUTOEVENTO="Manual",$M366=$A$15),$M366&gt;(ROW(PLE.lastrow)-ROW(PLE.firstrow))),0,
           IF(OFFSET(PLE!$G$15,$M366-$A$15,BW$13)="",10^12,OFFSET(PLE!$G$15,$M366-$A$15,BW$13)))</f>
        <v>0</v>
      </c>
      <c r="BX366" s="172">
        <f ca="1">IF(OR($D366&lt;&gt;"Serviço",AND(AUTOEVENTO="Manual",$M366=$A$15),$M366&gt;(ROW(PLE.lastrow)-ROW(PLE.firstrow))),0,
           IF(OFFSET(PLE!$G$15,$M366-$A$15,BX$13)="",10^12,OFFSET(PLE!$G$15,$M366-$A$15,BX$13)))</f>
        <v>0</v>
      </c>
      <c r="BY366" s="172">
        <f ca="1">IF(OR($D366&lt;&gt;"Serviço",AND(AUTOEVENTO="Manual",$M366=$A$15),$M366&gt;(ROW(PLE.lastrow)-ROW(PLE.firstrow))),0,
           IF(OFFSET(PLE!$G$15,$M366-$A$15,BY$13)="",10^12,OFFSET(PLE!$G$15,$M366-$A$15,BY$13)))</f>
        <v>0</v>
      </c>
      <c r="BZ366" s="172">
        <f ca="1">IF(OR($D366&lt;&gt;"Serviço",AND(AUTOEVENTO="Manual",$M366=$A$15),$M366&gt;(ROW(PLE.lastrow)-ROW(PLE.firstrow))),0,
           IF(OFFSET(PLE!$G$15,$M366-$A$15,BZ$13)="",10^12,OFFSET(PLE!$G$15,$M366-$A$15,BZ$13)))</f>
        <v>0</v>
      </c>
      <c r="CA366" s="172">
        <f ca="1">IF(OR($D366&lt;&gt;"Serviço",AND(AUTOEVENTO="Manual",$M366=$A$15),$M366&gt;(ROW(PLE.lastrow)-ROW(PLE.firstrow))),0,
           IF(OFFSET(PLE!$G$15,$M366-$A$15,CA$13)="",10^12,OFFSET(PLE!$G$15,$M366-$A$15,CA$13)))</f>
        <v>0</v>
      </c>
      <c r="CB366" s="172">
        <f ca="1">IF(OR($D366&lt;&gt;"Serviço",AND(AUTOEVENTO="Manual",$M366=$A$15),$M366&gt;(ROW(PLE.lastrow)-ROW(PLE.firstrow))),0,
           IF(OFFSET(PLE!$G$15,$M366-$A$15,CB$13)="",10^12,OFFSET(PLE!$G$15,$M366-$A$15,CB$13)))</f>
        <v>0</v>
      </c>
      <c r="CC366" s="172">
        <f ca="1">IF(OR($D366&lt;&gt;"Serviço",AND(AUTOEVENTO="Manual",$M366=$A$15),$M366&gt;(ROW(PLE.lastrow)-ROW(PLE.firstrow))),0,
           IF(OFFSET(PLE!$G$15,$M366-$A$15,CC$13)="",10^12,OFFSET(PLE!$G$15,$M366-$A$15,CC$13)))</f>
        <v>0</v>
      </c>
      <c r="CD366" s="172">
        <f ca="1">IF(OR($D366&lt;&gt;"Serviço",AND(AUTOEVENTO="Manual",$M366=$A$15),$M366&gt;(ROW(PLE.lastrow)-ROW(PLE.firstrow))),0,
           IF(OFFSET(PLE!$G$15,$M366-$A$15,CD$13)="",10^12,OFFSET(PLE!$G$15,$M366-$A$15,CD$13)))</f>
        <v>0</v>
      </c>
      <c r="CE366" s="172">
        <f ca="1">IF(OR($D366&lt;&gt;"Serviço",AND(AUTOEVENTO="Manual",$M366=$A$15),$M366&gt;(ROW(PLE.lastrow)-ROW(PLE.firstrow))),0,
           IF(OFFSET(PLE!$G$15,$M366-$A$15,CE$13)="",10^12,OFFSET(PLE!$G$15,$M366-$A$15,CE$13)))</f>
        <v>0</v>
      </c>
      <c r="CF366" s="172">
        <f ca="1">IF(OR($D366&lt;&gt;"Serviço",AND(AUTOEVENTO="Manual",$M366=$A$15),$M366&gt;(ROW(PLE.lastrow)-ROW(PLE.firstrow))),0,
           IF(OFFSET(PLE!$G$15,$M366-$A$15,CF$13)="",10^12,OFFSET(PLE!$G$15,$M366-$A$15,CF$13)))</f>
        <v>0</v>
      </c>
      <c r="CG366" s="172">
        <f ca="1">IF(OR($D366&lt;&gt;"Serviço",AND(AUTOEVENTO="Manual",$M366=$A$15),$M366&gt;(ROW(PLE.lastrow)-ROW(PLE.firstrow))),0,
           IF(OFFSET(PLE!$G$15,$M366-$A$15,CG$13)="",10^12,OFFSET(PLE!$G$15,$M366-$A$15,CG$13)))</f>
        <v>0</v>
      </c>
      <c r="CH366" s="172">
        <f ca="1">IF(OR($D366&lt;&gt;"Serviço",AND(AUTOEVENTO="Manual",$M366=$A$15),$M366&gt;(ROW(PLE.lastrow)-ROW(PLE.firstrow))),0,
           IF(OFFSET(PLE!$G$15,$M366-$A$15,CH$13)="",10^12,OFFSET(PLE!$G$15,$M366-$A$15,CH$13)))</f>
        <v>0</v>
      </c>
      <c r="CI366" s="172">
        <f ca="1">IF(OR($D366&lt;&gt;"Serviço",AND(AUTOEVENTO="Manual",$M366=$A$15),$M366&gt;(ROW(PLE.lastrow)-ROW(PLE.firstrow))),0,
           IF(OFFSET(PLE!$G$15,$M366-$A$15,CI$13)="",10^12,OFFSET(PLE!$G$15,$M366-$A$15,CI$13)))</f>
        <v>0</v>
      </c>
      <c r="CJ366" s="172">
        <f ca="1">IF(OR($D366&lt;&gt;"Serviço",AND(AUTOEVENTO="Manual",$M366=$A$15),$M366&gt;(ROW(PLE.lastrow)-ROW(PLE.firstrow))),0,
           IF(OFFSET(PLE!$G$15,$M366-$A$15,CJ$13)="",10^12,OFFSET(PLE!$G$15,$M366-$A$15,CJ$13)))</f>
        <v>0</v>
      </c>
      <c r="CK366" s="172">
        <f ca="1">IF(OR($D366&lt;&gt;"Serviço",AND(AUTOEVENTO="Manual",$M366=$A$15),$M366&gt;(ROW(PLE.lastrow)-ROW(PLE.firstrow))),0,
           IF(OFFSET(PLE!$G$15,$M366-$A$15,CK$13)="",10^12,OFFSET(PLE!$G$15,$M366-$A$15,CK$13)))</f>
        <v>0</v>
      </c>
      <c r="CL366" s="172">
        <f ca="1">IF(OR($D366&lt;&gt;"Serviço",AND(AUTOEVENTO="Manual",$M366=$A$15),$M366&gt;(ROW(PLE.lastrow)-ROW(PLE.firstrow))),0,
           IF(OFFSET(PLE!$G$15,$M366-$A$15,CL$13)="",10^12,OFFSET(PLE!$G$15,$M366-$A$15,CL$13)))</f>
        <v>0</v>
      </c>
      <c r="CM366" s="172">
        <f ca="1">IF(OR($D366&lt;&gt;"Serviço",AND(AUTOEVENTO="Manual",$M366=$A$15),$M366&gt;(ROW(PLE.lastrow)-ROW(PLE.firstrow))),0,
           IF(OFFSET(PLE!$G$15,$M366-$A$15,CM$13)="",10^12,OFFSET(PLE!$G$15,$M366-$A$15,CM$13)))</f>
        <v>0</v>
      </c>
    </row>
    <row r="367" spans="1:91" ht="38.25" x14ac:dyDescent="0.2">
      <c r="A367" s="7">
        <f t="shared" ca="1" si="15"/>
        <v>7</v>
      </c>
      <c r="B367" s="7" t="str">
        <f ca="1">OFFSET(ORÇAMENTO!C$15,ROW(B367)-ROW(B$15),0)</f>
        <v>S</v>
      </c>
      <c r="C367" s="7" t="str">
        <f ca="1">OFFSET(ORÇAMENTO!L$15,ROW(C367)-ROW(C$15),0)</f>
        <v>F</v>
      </c>
      <c r="D367" s="116" t="str">
        <f ca="1">OFFSET(ORÇAMENTO!N$15,ROW(D367)-ROW(D$15),0)</f>
        <v>Serviço</v>
      </c>
      <c r="E367" s="117" t="str">
        <f ca="1">OFFSET(ORÇAMENTO!O$15,ROW(E367)-ROW(E$15),0)</f>
        <v>1.8.1.2.1.</v>
      </c>
      <c r="F367" s="163" t="str">
        <f ca="1">OFFSET(ORÇAMENTO!R$15,ROW(F367)-ROW(F$15),0)</f>
        <v>QUADRO DE DISTRIBUIÇÃO DE SOBREPOR EM CHAPA, PARA 24 DISJUNTORES DIN, INCLUSIVE BARRAMENTOS NEUTRO/TERRA E BARRAMENTO TRIFÁSICO DE 100A</v>
      </c>
      <c r="G367" s="164" t="str">
        <f ca="1">IF($D367&lt;&gt;"Serviço","",OFFSET(ORÇAMENTO!S$15,ROW(G367)-ROW(G$15),0))</f>
        <v>UN</v>
      </c>
      <c r="H367" s="122" cm="1">
        <f t="array" aca="1" ref="H367" ca="1">IF($D367&lt;&gt;"Serviço",0,IF(ACOMPANHAMENTO="BM",ROUND(OFFSET(ORÇAMENTO!AJ$15,ROW(H367)-ROW(H$15),0),15-13*ORÇAMENTO!$AF$7),SUMPRODUCT(($Q$1:$AI$1=1)*ROUND($Q367:$AI367,15-13*ORÇAMENTO!$AF$7))))</f>
        <v>1</v>
      </c>
      <c r="I367" s="468" t="s">
        <v>1431</v>
      </c>
      <c r="J367" s="640" t="str" cm="1">
        <f t="array" aca="1" ref="J367" ca="1">IF(OR(B367&lt;&gt;"S",CÁLCULO.FrentesPreenchidas=0),"",IF(AND(ACOMPANHAMENTO="PLE",AUTOEVENTO="Manual",OR(H367&gt;0,ORÇAMENTO!AC367="QUANT."),OR(K367="",M367=0,N367="")),"►E",IF(AND(ACOMPANHAMENTO="PLE",ORÇAMENTO!AC367="QUANT."),"►Q",IF(AND(ACOMPANHAMENTO="PLE",H367&lt;&gt;SUMPRODUCT(($Q$1:$AI$1=1)*ROUND(Q367:AI367,15))),"►S",IF(AND(COUNTIF($P$11:$AI$11,"▼")=0,H367&gt;0,I367=""),"◄M","")))))</f>
        <v/>
      </c>
      <c r="K367" s="641" t="s">
        <v>1391</v>
      </c>
      <c r="L367" s="165" t="s">
        <v>764</v>
      </c>
      <c r="M367" s="166">
        <f ca="1">IF($D367&lt;&gt;"Serviço","",
          IF(AUTOEVENTO="manual",$A367,
                IF(ISERROR(MATCH($A367,$A$15:OFFSET($A367,-1,0),0)),MAX($M$15:OFFSET(M367,-1,0))+1,
                      INDEX($M$15:OFFSET(M367,-1,0),MATCH($A367,$A$15:OFFSET($A367,-1,0),0)))))</f>
        <v>7</v>
      </c>
      <c r="N367" s="167" t="str">
        <f ca="1">IF($D367&lt;&gt;"Serviço","",
         IF(AUTOEVENTO="Manual",
                IF($A367=0,"&lt;-- defina o número do agrupador",
                       OFFSET(EVENTOS!$D$15,$A367-$A$15,0)),
                OFFSET($F$15,$A367,0)))</f>
        <v>Instalações Elétricas</v>
      </c>
      <c r="O367" s="168"/>
      <c r="Q367" s="168"/>
      <c r="R367" s="169"/>
      <c r="S367" s="169"/>
      <c r="T367" s="169"/>
      <c r="U367" s="169"/>
      <c r="V367" s="169"/>
      <c r="W367" s="169"/>
      <c r="X367" s="169">
        <v>1</v>
      </c>
      <c r="Y367" s="169"/>
      <c r="Z367" s="170"/>
      <c r="AA367" s="169"/>
      <c r="AB367" s="169"/>
      <c r="AC367" s="169"/>
      <c r="AD367" s="169"/>
      <c r="AE367" s="169"/>
      <c r="AF367" s="169"/>
      <c r="AG367" s="169"/>
      <c r="AH367" s="170"/>
      <c r="AJ367" s="453">
        <f ca="1">IF(AND($D367="Serviço",AJ$12&lt;&gt;0,$H367&gt;0,OR(AUTOEVENTO&lt;&gt;"manual",$M367&lt;&gt;$A$15)),
        IF(Import.TipoArredondamento&lt;&gt;"TransfereGOV",
              ROUND(OFFSET($P367,0,AJ$13),15-13*ORÇAMENTO!$AF$7)/$H367*OFFSET(ORÇAMENTO!$X$15,ROW(AJ367)-ROW(AJ$15),0),
              ROUND(ROUND(OFFSET($P367,0,AJ$13),15-13*ORÇAMENTO!$AF$7)*OFFSET(ORÇAMENTO!$W$15,ROW(AJ367)-ROW(AJ$15),0),15-13*ORÇAMENTO!$AF$11)),
         0)</f>
        <v>0</v>
      </c>
      <c r="AK367" s="453">
        <f ca="1">IF(AND($D367="Serviço",AK$12&lt;&gt;0,$H367&gt;0,OR(AUTOEVENTO&lt;&gt;"manual",$M367&lt;&gt;$A$15)),
        IF(Import.TipoArredondamento&lt;&gt;"TransfereGOV",
              ROUND(OFFSET($P367,0,AK$13),15-13*ORÇAMENTO!$AF$7)/$H367*OFFSET(ORÇAMENTO!$X$15,ROW(AK367)-ROW(AK$15),0),
              ROUND(ROUND(OFFSET($P367,0,AK$13),15-13*ORÇAMENTO!$AF$7)*OFFSET(ORÇAMENTO!$W$15,ROW(AK367)-ROW(AK$15),0),15-13*ORÇAMENTO!$AF$11)),
         0)</f>
        <v>0</v>
      </c>
      <c r="AL367" s="453">
        <f ca="1">IF(AND($D367="Serviço",AL$12&lt;&gt;0,$H367&gt;0,OR(AUTOEVENTO&lt;&gt;"manual",$M367&lt;&gt;$A$15)),
        IF(Import.TipoArredondamento&lt;&gt;"TransfereGOV",
              ROUND(OFFSET($P367,0,AL$13),15-13*ORÇAMENTO!$AF$7)/$H367*OFFSET(ORÇAMENTO!$X$15,ROW(AL367)-ROW(AL$15),0),
              ROUND(ROUND(OFFSET($P367,0,AL$13),15-13*ORÇAMENTO!$AF$7)*OFFSET(ORÇAMENTO!$W$15,ROW(AL367)-ROW(AL$15),0),15-13*ORÇAMENTO!$AF$11)),
         0)</f>
        <v>0</v>
      </c>
      <c r="AM367" s="453">
        <f ca="1">IF(AND($D367="Serviço",AM$12&lt;&gt;0,$H367&gt;0,OR(AUTOEVENTO&lt;&gt;"manual",$M367&lt;&gt;$A$15)),
        IF(Import.TipoArredondamento&lt;&gt;"TransfereGOV",
              ROUND(OFFSET($P367,0,AM$13),15-13*ORÇAMENTO!$AF$7)/$H367*OFFSET(ORÇAMENTO!$X$15,ROW(AM367)-ROW(AM$15),0),
              ROUND(ROUND(OFFSET($P367,0,AM$13),15-13*ORÇAMENTO!$AF$7)*OFFSET(ORÇAMENTO!$W$15,ROW(AM367)-ROW(AM$15),0),15-13*ORÇAMENTO!$AF$11)),
         0)</f>
        <v>0</v>
      </c>
      <c r="AN367" s="453">
        <f ca="1">IF(AND($D367="Serviço",AN$12&lt;&gt;0,$H367&gt;0,OR(AUTOEVENTO&lt;&gt;"manual",$M367&lt;&gt;$A$15)),
        IF(Import.TipoArredondamento&lt;&gt;"TransfereGOV",
              ROUND(OFFSET($P367,0,AN$13),15-13*ORÇAMENTO!$AF$7)/$H367*OFFSET(ORÇAMENTO!$X$15,ROW(AN367)-ROW(AN$15),0),
              ROUND(ROUND(OFFSET($P367,0,AN$13),15-13*ORÇAMENTO!$AF$7)*OFFSET(ORÇAMENTO!$W$15,ROW(AN367)-ROW(AN$15),0),15-13*ORÇAMENTO!$AF$11)),
         0)</f>
        <v>0</v>
      </c>
      <c r="AO367" s="453">
        <f ca="1">IF(AND($D367="Serviço",AO$12&lt;&gt;0,$H367&gt;0,OR(AUTOEVENTO&lt;&gt;"manual",$M367&lt;&gt;$A$15)),
        IF(Import.TipoArredondamento&lt;&gt;"TransfereGOV",
              ROUND(OFFSET($P367,0,AO$13),15-13*ORÇAMENTO!$AF$7)/$H367*OFFSET(ORÇAMENTO!$X$15,ROW(AO367)-ROW(AO$15),0),
              ROUND(ROUND(OFFSET($P367,0,AO$13),15-13*ORÇAMENTO!$AF$7)*OFFSET(ORÇAMENTO!$W$15,ROW(AO367)-ROW(AO$15),0),15-13*ORÇAMENTO!$AF$11)),
         0)</f>
        <v>0</v>
      </c>
      <c r="AP367" s="453">
        <f ca="1">IF(AND($D367="Serviço",AP$12&lt;&gt;0,$H367&gt;0,OR(AUTOEVENTO&lt;&gt;"manual",$M367&lt;&gt;$A$15)),
        IF(Import.TipoArredondamento&lt;&gt;"TransfereGOV",
              ROUND(OFFSET($P367,0,AP$13),15-13*ORÇAMENTO!$AF$7)/$H367*OFFSET(ORÇAMENTO!$X$15,ROW(AP367)-ROW(AP$15),0),
              ROUND(ROUND(OFFSET($P367,0,AP$13),15-13*ORÇAMENTO!$AF$7)*OFFSET(ORÇAMENTO!$W$15,ROW(AP367)-ROW(AP$15),0),15-13*ORÇAMENTO!$AF$11)),
         0)</f>
        <v>0</v>
      </c>
      <c r="AQ367" s="453">
        <f ca="1">IF(AND($D367="Serviço",AQ$12&lt;&gt;0,$H367&gt;0,OR(AUTOEVENTO&lt;&gt;"manual",$M367&lt;&gt;$A$15)),
        IF(Import.TipoArredondamento&lt;&gt;"TransfereGOV",
              ROUND(OFFSET($P367,0,AQ$13),15-13*ORÇAMENTO!$AF$7)/$H367*OFFSET(ORÇAMENTO!$X$15,ROW(AQ367)-ROW(AQ$15),0),
              ROUND(ROUND(OFFSET($P367,0,AQ$13),15-13*ORÇAMENTO!$AF$7)*OFFSET(ORÇAMENTO!$W$15,ROW(AQ367)-ROW(AQ$15),0),15-13*ORÇAMENTO!$AF$11)),
         0)</f>
        <v>0</v>
      </c>
      <c r="AR367" s="453">
        <f ca="1">IF(AND($D367="Serviço",AR$12&lt;&gt;0,$H367&gt;0,OR(AUTOEVENTO&lt;&gt;"manual",$M367&lt;&gt;$A$15)),
        IF(Import.TipoArredondamento&lt;&gt;"TransfereGOV",
              ROUND(OFFSET($P367,0,AR$13),15-13*ORÇAMENTO!$AF$7)/$H367*OFFSET(ORÇAMENTO!$X$15,ROW(AR367)-ROW(AR$15),0),
              ROUND(ROUND(OFFSET($P367,0,AR$13),15-13*ORÇAMENTO!$AF$7)*OFFSET(ORÇAMENTO!$W$15,ROW(AR367)-ROW(AR$15),0),15-13*ORÇAMENTO!$AF$11)),
         0)</f>
        <v>0</v>
      </c>
      <c r="AS367" s="453">
        <f ca="1">IF(AND($D367="Serviço",AS$12&lt;&gt;0,$H367&gt;0,OR(AUTOEVENTO&lt;&gt;"manual",$M367&lt;&gt;$A$15)),
        IF(Import.TipoArredondamento&lt;&gt;"TransfereGOV",
              ROUND(OFFSET($P367,0,AS$13),15-13*ORÇAMENTO!$AF$7)/$H367*OFFSET(ORÇAMENTO!$X$15,ROW(AS367)-ROW(AS$15),0),
              ROUND(ROUND(OFFSET($P367,0,AS$13),15-13*ORÇAMENTO!$AF$7)*OFFSET(ORÇAMENTO!$W$15,ROW(AS367)-ROW(AS$15),0),15-13*ORÇAMENTO!$AF$11)),
         0)</f>
        <v>0</v>
      </c>
      <c r="AT367" s="453">
        <f ca="1">IF(AND($D367="Serviço",AT$12&lt;&gt;0,$H367&gt;0,OR(AUTOEVENTO&lt;&gt;"manual",$M367&lt;&gt;$A$15)),
        IF(Import.TipoArredondamento&lt;&gt;"TransfereGOV",
              ROUND(OFFSET($P367,0,AT$13),15-13*ORÇAMENTO!$AF$7)/$H367*OFFSET(ORÇAMENTO!$X$15,ROW(AT367)-ROW(AT$15),0),
              ROUND(ROUND(OFFSET($P367,0,AT$13),15-13*ORÇAMENTO!$AF$7)*OFFSET(ORÇAMENTO!$W$15,ROW(AT367)-ROW(AT$15),0),15-13*ORÇAMENTO!$AF$11)),
         0)</f>
        <v>0</v>
      </c>
      <c r="AU367" s="453">
        <f ca="1">IF(AND($D367="Serviço",AU$12&lt;&gt;0,$H367&gt;0,OR(AUTOEVENTO&lt;&gt;"manual",$M367&lt;&gt;$A$15)),
        IF(Import.TipoArredondamento&lt;&gt;"TransfereGOV",
              ROUND(OFFSET($P367,0,AU$13),15-13*ORÇAMENTO!$AF$7)/$H367*OFFSET(ORÇAMENTO!$X$15,ROW(AU367)-ROW(AU$15),0),
              ROUND(ROUND(OFFSET($P367,0,AU$13),15-13*ORÇAMENTO!$AF$7)*OFFSET(ORÇAMENTO!$W$15,ROW(AU367)-ROW(AU$15),0),15-13*ORÇAMENTO!$AF$11)),
         0)</f>
        <v>0</v>
      </c>
      <c r="AV367" s="453">
        <f ca="1">IF(AND($D367="Serviço",AV$12&lt;&gt;0,$H367&gt;0,OR(AUTOEVENTO&lt;&gt;"manual",$M367&lt;&gt;$A$15)),
        IF(Import.TipoArredondamento&lt;&gt;"TransfereGOV",
              ROUND(OFFSET($P367,0,AV$13),15-13*ORÇAMENTO!$AF$7)/$H367*OFFSET(ORÇAMENTO!$X$15,ROW(AV367)-ROW(AV$15),0),
              ROUND(ROUND(OFFSET($P367,0,AV$13),15-13*ORÇAMENTO!$AF$7)*OFFSET(ORÇAMENTO!$W$15,ROW(AV367)-ROW(AV$15),0),15-13*ORÇAMENTO!$AF$11)),
         0)</f>
        <v>0</v>
      </c>
      <c r="AW367" s="453">
        <f ca="1">IF(AND($D367="Serviço",AW$12&lt;&gt;0,$H367&gt;0,OR(AUTOEVENTO&lt;&gt;"manual",$M367&lt;&gt;$A$15)),
        IF(Import.TipoArredondamento&lt;&gt;"TransfereGOV",
              ROUND(OFFSET($P367,0,AW$13),15-13*ORÇAMENTO!$AF$7)/$H367*OFFSET(ORÇAMENTO!$X$15,ROW(AW367)-ROW(AW$15),0),
              ROUND(ROUND(OFFSET($P367,0,AW$13),15-13*ORÇAMENTO!$AF$7)*OFFSET(ORÇAMENTO!$W$15,ROW(AW367)-ROW(AW$15),0),15-13*ORÇAMENTO!$AF$11)),
         0)</f>
        <v>0</v>
      </c>
      <c r="AX367" s="453">
        <f ca="1">IF(AND($D367="Serviço",AX$12&lt;&gt;0,$H367&gt;0,OR(AUTOEVENTO&lt;&gt;"manual",$M367&lt;&gt;$A$15)),
        IF(Import.TipoArredondamento&lt;&gt;"TransfereGOV",
              ROUND(OFFSET($P367,0,AX$13),15-13*ORÇAMENTO!$AF$7)/$H367*OFFSET(ORÇAMENTO!$X$15,ROW(AX367)-ROW(AX$15),0),
              ROUND(ROUND(OFFSET($P367,0,AX$13),15-13*ORÇAMENTO!$AF$7)*OFFSET(ORÇAMENTO!$W$15,ROW(AX367)-ROW(AX$15),0),15-13*ORÇAMENTO!$AF$11)),
         0)</f>
        <v>0</v>
      </c>
      <c r="AY367" s="453">
        <f ca="1">IF(AND($D367="Serviço",AY$12&lt;&gt;0,$H367&gt;0,OR(AUTOEVENTO&lt;&gt;"manual",$M367&lt;&gt;$A$15)),
        IF(Import.TipoArredondamento&lt;&gt;"TransfereGOV",
              ROUND(OFFSET($P367,0,AY$13),15-13*ORÇAMENTO!$AF$7)/$H367*OFFSET(ORÇAMENTO!$X$15,ROW(AY367)-ROW(AY$15),0),
              ROUND(ROUND(OFFSET($P367,0,AY$13),15-13*ORÇAMENTO!$AF$7)*OFFSET(ORÇAMENTO!$W$15,ROW(AY367)-ROW(AY$15),0),15-13*ORÇAMENTO!$AF$11)),
         0)</f>
        <v>0</v>
      </c>
      <c r="AZ367" s="453">
        <f ca="1">IF(AND($D367="Serviço",AZ$12&lt;&gt;0,$H367&gt;0,OR(AUTOEVENTO&lt;&gt;"manual",$M367&lt;&gt;$A$15)),
        IF(Import.TipoArredondamento&lt;&gt;"TransfereGOV",
              ROUND(OFFSET($P367,0,AZ$13),15-13*ORÇAMENTO!$AF$7)/$H367*OFFSET(ORÇAMENTO!$X$15,ROW(AZ367)-ROW(AZ$15),0),
              ROUND(ROUND(OFFSET($P367,0,AZ$13),15-13*ORÇAMENTO!$AF$7)*OFFSET(ORÇAMENTO!$W$15,ROW(AZ367)-ROW(AZ$15),0),15-13*ORÇAMENTO!$AF$11)),
         0)</f>
        <v>0</v>
      </c>
      <c r="BA367" s="453">
        <f ca="1">IF(AND($D367="Serviço",BA$12&lt;&gt;0,$H367&gt;0,OR(AUTOEVENTO&lt;&gt;"manual",$M367&lt;&gt;$A$15)),
        IF(Import.TipoArredondamento&lt;&gt;"TransfereGOV",
              ROUND(OFFSET($P367,0,BA$13),15-13*ORÇAMENTO!$AF$7)/$H367*OFFSET(ORÇAMENTO!$X$15,ROW(BA367)-ROW(BA$15),0),
              ROUND(ROUND(OFFSET($P367,0,BA$13),15-13*ORÇAMENTO!$AF$7)*OFFSET(ORÇAMENTO!$W$15,ROW(BA367)-ROW(BA$15),0),15-13*ORÇAMENTO!$AF$11)),
         0)</f>
        <v>0</v>
      </c>
      <c r="BC367" s="171">
        <f ca="1">IF(OR($D367&lt;&gt;"Serviço",AND(AUTOEVENTO="Manual",$M367=$A$15)),0,
         IF(OFFSET(CRONOPLE!$F$15,$M367-$A$15,BC$13)=0,10^12,OFFSET(CRONOPLE!$F$15,$M367-$A$15,BC$13)))</f>
        <v>1</v>
      </c>
      <c r="BD367" s="171">
        <f ca="1">IF(OR($D367&lt;&gt;"Serviço",AND(AUTOEVENTO="Manual",$M367=$A$15)),0,
         IF(OFFSET(CRONOPLE!$F$15,$M367-$A$15,BD$13)=0,10^12,OFFSET(CRONOPLE!$F$15,$M367-$A$15,BD$13)))</f>
        <v>2</v>
      </c>
      <c r="BE367" s="171">
        <f ca="1">IF(OR($D367&lt;&gt;"Serviço",AND(AUTOEVENTO="Manual",$M367=$A$15)),0,
         IF(OFFSET(CRONOPLE!$F$15,$M367-$A$15,BE$13)=0,10^12,OFFSET(CRONOPLE!$F$15,$M367-$A$15,BE$13)))</f>
        <v>3</v>
      </c>
      <c r="BF367" s="171">
        <f ca="1">IF(OR($D367&lt;&gt;"Serviço",AND(AUTOEVENTO="Manual",$M367=$A$15)),0,
         IF(OFFSET(CRONOPLE!$F$15,$M367-$A$15,BF$13)=0,10^12,OFFSET(CRONOPLE!$F$15,$M367-$A$15,BF$13)))</f>
        <v>4</v>
      </c>
      <c r="BG367" s="171">
        <f ca="1">IF(OR($D367&lt;&gt;"Serviço",AND(AUTOEVENTO="Manual",$M367=$A$15)),0,
         IF(OFFSET(CRONOPLE!$F$15,$M367-$A$15,BG$13)=0,10^12,OFFSET(CRONOPLE!$F$15,$M367-$A$15,BG$13)))</f>
        <v>5</v>
      </c>
      <c r="BH367" s="171">
        <f ca="1">IF(OR($D367&lt;&gt;"Serviço",AND(AUTOEVENTO="Manual",$M367=$A$15)),0,
         IF(OFFSET(CRONOPLE!$F$15,$M367-$A$15,BH$13)=0,10^12,OFFSET(CRONOPLE!$F$15,$M367-$A$15,BH$13)))</f>
        <v>6</v>
      </c>
      <c r="BI367" s="171">
        <f ca="1">IF(OR($D367&lt;&gt;"Serviço",AND(AUTOEVENTO="Manual",$M367=$A$15)),0,
         IF(OFFSET(CRONOPLE!$F$15,$M367-$A$15,BI$13)=0,10^12,OFFSET(CRONOPLE!$F$15,$M367-$A$15,BI$13)))</f>
        <v>7</v>
      </c>
      <c r="BJ367" s="171">
        <f ca="1">IF(OR($D367&lt;&gt;"Serviço",AND(AUTOEVENTO="Manual",$M367=$A$15)),0,
         IF(OFFSET(CRONOPLE!$F$15,$M367-$A$15,BJ$13)=0,10^12,OFFSET(CRONOPLE!$F$15,$M367-$A$15,BJ$13)))</f>
        <v>8</v>
      </c>
      <c r="BK367" s="171">
        <f ca="1">IF(OR($D367&lt;&gt;"Serviço",AND(AUTOEVENTO="Manual",$M367=$A$15)),0,
         IF(OFFSET(CRONOPLE!$F$15,$M367-$A$15,BK$13)=0,10^12,OFFSET(CRONOPLE!$F$15,$M367-$A$15,BK$13)))</f>
        <v>9</v>
      </c>
      <c r="BL367" s="171">
        <f ca="1">IF(OR($D367&lt;&gt;"Serviço",AND(AUTOEVENTO="Manual",$M367=$A$15)),0,
         IF(OFFSET(CRONOPLE!$F$15,$M367-$A$15,BL$13)=0,10^12,OFFSET(CRONOPLE!$F$15,$M367-$A$15,BL$13)))</f>
        <v>1000000000000</v>
      </c>
      <c r="BM367" s="171">
        <f ca="1">IF(OR($D367&lt;&gt;"Serviço",AND(AUTOEVENTO="Manual",$M367=$A$15)),0,
         IF(OFFSET(CRONOPLE!$F$15,$M367-$A$15,BM$13)=0,10^12,OFFSET(CRONOPLE!$F$15,$M367-$A$15,BM$13)))</f>
        <v>1000000000000</v>
      </c>
      <c r="BN367" s="171">
        <f ca="1">IF(OR($D367&lt;&gt;"Serviço",AND(AUTOEVENTO="Manual",$M367=$A$15)),0,
         IF(OFFSET(CRONOPLE!$F$15,$M367-$A$15,BN$13)=0,10^12,OFFSET(CRONOPLE!$F$15,$M367-$A$15,BN$13)))</f>
        <v>1000000000000</v>
      </c>
      <c r="BO367" s="171">
        <f ca="1">IF(OR($D367&lt;&gt;"Serviço",AND(AUTOEVENTO="Manual",$M367=$A$15)),0,
         IF(OFFSET(CRONOPLE!$F$15,$M367-$A$15,BO$13)=0,10^12,OFFSET(CRONOPLE!$F$15,$M367-$A$15,BO$13)))</f>
        <v>1000000000000</v>
      </c>
      <c r="BP367" s="171">
        <f ca="1">IF(OR($D367&lt;&gt;"Serviço",AND(AUTOEVENTO="Manual",$M367=$A$15)),0,
         IF(OFFSET(CRONOPLE!$F$15,$M367-$A$15,BP$13)=0,10^12,OFFSET(CRONOPLE!$F$15,$M367-$A$15,BP$13)))</f>
        <v>1000000000000</v>
      </c>
      <c r="BQ367" s="171">
        <f ca="1">IF(OR($D367&lt;&gt;"Serviço",AND(AUTOEVENTO="Manual",$M367=$A$15)),0,
         IF(OFFSET(CRONOPLE!$F$15,$M367-$A$15,BQ$13)=0,10^12,OFFSET(CRONOPLE!$F$15,$M367-$A$15,BQ$13)))</f>
        <v>1000000000000</v>
      </c>
      <c r="BR367" s="171">
        <f ca="1">IF(OR($D367&lt;&gt;"Serviço",AND(AUTOEVENTO="Manual",$M367=$A$15)),0,
         IF(OFFSET(CRONOPLE!$F$15,$M367-$A$15,BR$13)=0,10^12,OFFSET(CRONOPLE!$F$15,$M367-$A$15,BR$13)))</f>
        <v>1000000000000</v>
      </c>
      <c r="BS367" s="171">
        <f ca="1">IF(OR($D367&lt;&gt;"Serviço",AND(AUTOEVENTO="Manual",$M367=$A$15)),0,
         IF(OFFSET(CRONOPLE!$F$15,$M367-$A$15,BS$13)=0,10^12,OFFSET(CRONOPLE!$F$15,$M367-$A$15,BS$13)))</f>
        <v>1000000000000</v>
      </c>
      <c r="BT367" s="171">
        <f ca="1">IF(OR($D367&lt;&gt;"Serviço",AND(AUTOEVENTO="Manual",$M367=$A$15)),0,
         IF(OFFSET(CRONOPLE!$F$15,$M367-$A$15,BT$13)=0,10^12,OFFSET(CRONOPLE!$F$15,$M367-$A$15,BT$13)))</f>
        <v>1000000000000</v>
      </c>
      <c r="BV367" s="172">
        <f ca="1">IF(OR($D367&lt;&gt;"Serviço",AND(AUTOEVENTO="Manual",$M367=$A$15),$M367&gt;(ROW(PLE.lastrow)-ROW(PLE.firstrow))),0,
           IF(OFFSET(PLE!$G$15,$M367-$A$15,BV$13)="",10^12,OFFSET(PLE!$G$15,$M367-$A$15,BV$13)))</f>
        <v>1000000000000</v>
      </c>
      <c r="BW367" s="172">
        <f ca="1">IF(OR($D367&lt;&gt;"Serviço",AND(AUTOEVENTO="Manual",$M367=$A$15),$M367&gt;(ROW(PLE.lastrow)-ROW(PLE.firstrow))),0,
           IF(OFFSET(PLE!$G$15,$M367-$A$15,BW$13)="",10^12,OFFSET(PLE!$G$15,$M367-$A$15,BW$13)))</f>
        <v>1000000000000</v>
      </c>
      <c r="BX367" s="172">
        <f ca="1">IF(OR($D367&lt;&gt;"Serviço",AND(AUTOEVENTO="Manual",$M367=$A$15),$M367&gt;(ROW(PLE.lastrow)-ROW(PLE.firstrow))),0,
           IF(OFFSET(PLE!$G$15,$M367-$A$15,BX$13)="",10^12,OFFSET(PLE!$G$15,$M367-$A$15,BX$13)))</f>
        <v>1000000000000</v>
      </c>
      <c r="BY367" s="172">
        <f ca="1">IF(OR($D367&lt;&gt;"Serviço",AND(AUTOEVENTO="Manual",$M367=$A$15),$M367&gt;(ROW(PLE.lastrow)-ROW(PLE.firstrow))),0,
           IF(OFFSET(PLE!$G$15,$M367-$A$15,BY$13)="",10^12,OFFSET(PLE!$G$15,$M367-$A$15,BY$13)))</f>
        <v>1000000000000</v>
      </c>
      <c r="BZ367" s="172">
        <f ca="1">IF(OR($D367&lt;&gt;"Serviço",AND(AUTOEVENTO="Manual",$M367=$A$15),$M367&gt;(ROW(PLE.lastrow)-ROW(PLE.firstrow))),0,
           IF(OFFSET(PLE!$G$15,$M367-$A$15,BZ$13)="",10^12,OFFSET(PLE!$G$15,$M367-$A$15,BZ$13)))</f>
        <v>1000000000000</v>
      </c>
      <c r="CA367" s="172">
        <f ca="1">IF(OR($D367&lt;&gt;"Serviço",AND(AUTOEVENTO="Manual",$M367=$A$15),$M367&gt;(ROW(PLE.lastrow)-ROW(PLE.firstrow))),0,
           IF(OFFSET(PLE!$G$15,$M367-$A$15,CA$13)="",10^12,OFFSET(PLE!$G$15,$M367-$A$15,CA$13)))</f>
        <v>1000000000000</v>
      </c>
      <c r="CB367" s="172">
        <f ca="1">IF(OR($D367&lt;&gt;"Serviço",AND(AUTOEVENTO="Manual",$M367=$A$15),$M367&gt;(ROW(PLE.lastrow)-ROW(PLE.firstrow))),0,
           IF(OFFSET(PLE!$G$15,$M367-$A$15,CB$13)="",10^12,OFFSET(PLE!$G$15,$M367-$A$15,CB$13)))</f>
        <v>1000000000000</v>
      </c>
      <c r="CC367" s="172">
        <f ca="1">IF(OR($D367&lt;&gt;"Serviço",AND(AUTOEVENTO="Manual",$M367=$A$15),$M367&gt;(ROW(PLE.lastrow)-ROW(PLE.firstrow))),0,
           IF(OFFSET(PLE!$G$15,$M367-$A$15,CC$13)="",10^12,OFFSET(PLE!$G$15,$M367-$A$15,CC$13)))</f>
        <v>1000000000000</v>
      </c>
      <c r="CD367" s="172">
        <f ca="1">IF(OR($D367&lt;&gt;"Serviço",AND(AUTOEVENTO="Manual",$M367=$A$15),$M367&gt;(ROW(PLE.lastrow)-ROW(PLE.firstrow))),0,
           IF(OFFSET(PLE!$G$15,$M367-$A$15,CD$13)="",10^12,OFFSET(PLE!$G$15,$M367-$A$15,CD$13)))</f>
        <v>1000000000000</v>
      </c>
      <c r="CE367" s="172">
        <f ca="1">IF(OR($D367&lt;&gt;"Serviço",AND(AUTOEVENTO="Manual",$M367=$A$15),$M367&gt;(ROW(PLE.lastrow)-ROW(PLE.firstrow))),0,
           IF(OFFSET(PLE!$G$15,$M367-$A$15,CE$13)="",10^12,OFFSET(PLE!$G$15,$M367-$A$15,CE$13)))</f>
        <v>1000000000000</v>
      </c>
      <c r="CF367" s="172">
        <f ca="1">IF(OR($D367&lt;&gt;"Serviço",AND(AUTOEVENTO="Manual",$M367=$A$15),$M367&gt;(ROW(PLE.lastrow)-ROW(PLE.firstrow))),0,
           IF(OFFSET(PLE!$G$15,$M367-$A$15,CF$13)="",10^12,OFFSET(PLE!$G$15,$M367-$A$15,CF$13)))</f>
        <v>1000000000000</v>
      </c>
      <c r="CG367" s="172">
        <f ca="1">IF(OR($D367&lt;&gt;"Serviço",AND(AUTOEVENTO="Manual",$M367=$A$15),$M367&gt;(ROW(PLE.lastrow)-ROW(PLE.firstrow))),0,
           IF(OFFSET(PLE!$G$15,$M367-$A$15,CG$13)="",10^12,OFFSET(PLE!$G$15,$M367-$A$15,CG$13)))</f>
        <v>1000000000000</v>
      </c>
      <c r="CH367" s="172">
        <f ca="1">IF(OR($D367&lt;&gt;"Serviço",AND(AUTOEVENTO="Manual",$M367=$A$15),$M367&gt;(ROW(PLE.lastrow)-ROW(PLE.firstrow))),0,
           IF(OFFSET(PLE!$G$15,$M367-$A$15,CH$13)="",10^12,OFFSET(PLE!$G$15,$M367-$A$15,CH$13)))</f>
        <v>1000000000000</v>
      </c>
      <c r="CI367" s="172">
        <f ca="1">IF(OR($D367&lt;&gt;"Serviço",AND(AUTOEVENTO="Manual",$M367=$A$15),$M367&gt;(ROW(PLE.lastrow)-ROW(PLE.firstrow))),0,
           IF(OFFSET(PLE!$G$15,$M367-$A$15,CI$13)="",10^12,OFFSET(PLE!$G$15,$M367-$A$15,CI$13)))</f>
        <v>1000000000000</v>
      </c>
      <c r="CJ367" s="172">
        <f ca="1">IF(OR($D367&lt;&gt;"Serviço",AND(AUTOEVENTO="Manual",$M367=$A$15),$M367&gt;(ROW(PLE.lastrow)-ROW(PLE.firstrow))),0,
           IF(OFFSET(PLE!$G$15,$M367-$A$15,CJ$13)="",10^12,OFFSET(PLE!$G$15,$M367-$A$15,CJ$13)))</f>
        <v>1000000000000</v>
      </c>
      <c r="CK367" s="172">
        <f ca="1">IF(OR($D367&lt;&gt;"Serviço",AND(AUTOEVENTO="Manual",$M367=$A$15),$M367&gt;(ROW(PLE.lastrow)-ROW(PLE.firstrow))),0,
           IF(OFFSET(PLE!$G$15,$M367-$A$15,CK$13)="",10^12,OFFSET(PLE!$G$15,$M367-$A$15,CK$13)))</f>
        <v>1000000000000</v>
      </c>
      <c r="CL367" s="172">
        <f ca="1">IF(OR($D367&lt;&gt;"Serviço",AND(AUTOEVENTO="Manual",$M367=$A$15),$M367&gt;(ROW(PLE.lastrow)-ROW(PLE.firstrow))),0,
           IF(OFFSET(PLE!$G$15,$M367-$A$15,CL$13)="",10^12,OFFSET(PLE!$G$15,$M367-$A$15,CL$13)))</f>
        <v>1000000000000</v>
      </c>
      <c r="CM367" s="172">
        <f ca="1">IF(OR($D367&lt;&gt;"Serviço",AND(AUTOEVENTO="Manual",$M367=$A$15),$M367&gt;(ROW(PLE.lastrow)-ROW(PLE.firstrow))),0,
           IF(OFFSET(PLE!$G$15,$M367-$A$15,CM$13)="",10^12,OFFSET(PLE!$G$15,$M367-$A$15,CM$13)))</f>
        <v>1000000000000</v>
      </c>
    </row>
    <row r="368" spans="1:91" ht="38.25" x14ac:dyDescent="0.2">
      <c r="A368" s="7">
        <f t="shared" ca="1" si="15"/>
        <v>7</v>
      </c>
      <c r="B368" s="7" t="str">
        <f ca="1">OFFSET(ORÇAMENTO!C$15,ROW(B368)-ROW(B$15),0)</f>
        <v>S</v>
      </c>
      <c r="C368" s="7" t="str">
        <f ca="1">OFFSET(ORÇAMENTO!L$15,ROW(C368)-ROW(C$15),0)</f>
        <v>F</v>
      </c>
      <c r="D368" s="116" t="str">
        <f ca="1">OFFSET(ORÇAMENTO!N$15,ROW(D368)-ROW(D$15),0)</f>
        <v>Serviço</v>
      </c>
      <c r="E368" s="117" t="str">
        <f ca="1">OFFSET(ORÇAMENTO!O$15,ROW(E368)-ROW(E$15),0)</f>
        <v>1.8.1.2.2.</v>
      </c>
      <c r="F368" s="163" t="str">
        <f ca="1">OFFSET(ORÇAMENTO!R$15,ROW(F368)-ROW(F$15),0)</f>
        <v>DISJUNTOR TRIPOLAR TIPO DIN, CORRENTE NOMINAL DE 70A, FORNECIMENTO E INSTALAÇÃO, INCLUSIVE TERMINAL ILHÓS</v>
      </c>
      <c r="G368" s="164" t="str">
        <f ca="1">IF($D368&lt;&gt;"Serviço","",OFFSET(ORÇAMENTO!S$15,ROW(G368)-ROW(G$15),0))</f>
        <v>UN</v>
      </c>
      <c r="H368" s="122" cm="1">
        <f t="array" aca="1" ref="H368" ca="1">IF($D368&lt;&gt;"Serviço",0,IF(ACOMPANHAMENTO="BM",ROUND(OFFSET(ORÇAMENTO!AJ$15,ROW(H368)-ROW(H$15),0),15-13*ORÇAMENTO!$AF$7),SUMPRODUCT(($Q$1:$AI$1=1)*ROUND($Q368:$AI368,15-13*ORÇAMENTO!$AF$7))))</f>
        <v>1</v>
      </c>
      <c r="I368" s="468" t="s">
        <v>1431</v>
      </c>
      <c r="J368" s="640" t="str" cm="1">
        <f t="array" aca="1" ref="J368" ca="1">IF(OR(B368&lt;&gt;"S",CÁLCULO.FrentesPreenchidas=0),"",IF(AND(ACOMPANHAMENTO="PLE",AUTOEVENTO="Manual",OR(H368&gt;0,ORÇAMENTO!AC368="QUANT."),OR(K368="",M368=0,N368="")),"►E",IF(AND(ACOMPANHAMENTO="PLE",ORÇAMENTO!AC368="QUANT."),"►Q",IF(AND(ACOMPANHAMENTO="PLE",H368&lt;&gt;SUMPRODUCT(($Q$1:$AI$1=1)*ROUND(Q368:AI368,15))),"►S",IF(AND(COUNTIF($P$11:$AI$11,"▼")=0,H368&gt;0,I368=""),"◄M","")))))</f>
        <v/>
      </c>
      <c r="K368" s="641" t="s">
        <v>1391</v>
      </c>
      <c r="L368" s="165" t="s">
        <v>764</v>
      </c>
      <c r="M368" s="166">
        <f ca="1">IF($D368&lt;&gt;"Serviço","",
          IF(AUTOEVENTO="manual",$A368,
                IF(ISERROR(MATCH($A368,$A$15:OFFSET($A368,-1,0),0)),MAX($M$15:OFFSET(M368,-1,0))+1,
                      INDEX($M$15:OFFSET(M368,-1,0),MATCH($A368,$A$15:OFFSET($A368,-1,0),0)))))</f>
        <v>7</v>
      </c>
      <c r="N368" s="167" t="str">
        <f ca="1">IF($D368&lt;&gt;"Serviço","",
         IF(AUTOEVENTO="Manual",
                IF($A368=0,"&lt;-- defina o número do agrupador",
                       OFFSET(EVENTOS!$D$15,$A368-$A$15,0)),
                OFFSET($F$15,$A368,0)))</f>
        <v>Instalações Elétricas</v>
      </c>
      <c r="O368" s="168"/>
      <c r="Q368" s="168"/>
      <c r="R368" s="169"/>
      <c r="S368" s="169"/>
      <c r="T368" s="169"/>
      <c r="U368" s="169"/>
      <c r="V368" s="169"/>
      <c r="W368" s="169"/>
      <c r="X368" s="169">
        <v>1</v>
      </c>
      <c r="Y368" s="169"/>
      <c r="Z368" s="170"/>
      <c r="AA368" s="169"/>
      <c r="AB368" s="169"/>
      <c r="AC368" s="169"/>
      <c r="AD368" s="169"/>
      <c r="AE368" s="169"/>
      <c r="AF368" s="169"/>
      <c r="AG368" s="169"/>
      <c r="AH368" s="170"/>
      <c r="AJ368" s="453">
        <f ca="1">IF(AND($D368="Serviço",AJ$12&lt;&gt;0,$H368&gt;0,OR(AUTOEVENTO&lt;&gt;"manual",$M368&lt;&gt;$A$15)),
        IF(Import.TipoArredondamento&lt;&gt;"TransfereGOV",
              ROUND(OFFSET($P368,0,AJ$13),15-13*ORÇAMENTO!$AF$7)/$H368*OFFSET(ORÇAMENTO!$X$15,ROW(AJ368)-ROW(AJ$15),0),
              ROUND(ROUND(OFFSET($P368,0,AJ$13),15-13*ORÇAMENTO!$AF$7)*OFFSET(ORÇAMENTO!$W$15,ROW(AJ368)-ROW(AJ$15),0),15-13*ORÇAMENTO!$AF$11)),
         0)</f>
        <v>0</v>
      </c>
      <c r="AK368" s="453">
        <f ca="1">IF(AND($D368="Serviço",AK$12&lt;&gt;0,$H368&gt;0,OR(AUTOEVENTO&lt;&gt;"manual",$M368&lt;&gt;$A$15)),
        IF(Import.TipoArredondamento&lt;&gt;"TransfereGOV",
              ROUND(OFFSET($P368,0,AK$13),15-13*ORÇAMENTO!$AF$7)/$H368*OFFSET(ORÇAMENTO!$X$15,ROW(AK368)-ROW(AK$15),0),
              ROUND(ROUND(OFFSET($P368,0,AK$13),15-13*ORÇAMENTO!$AF$7)*OFFSET(ORÇAMENTO!$W$15,ROW(AK368)-ROW(AK$15),0),15-13*ORÇAMENTO!$AF$11)),
         0)</f>
        <v>0</v>
      </c>
      <c r="AL368" s="453">
        <f ca="1">IF(AND($D368="Serviço",AL$12&lt;&gt;0,$H368&gt;0,OR(AUTOEVENTO&lt;&gt;"manual",$M368&lt;&gt;$A$15)),
        IF(Import.TipoArredondamento&lt;&gt;"TransfereGOV",
              ROUND(OFFSET($P368,0,AL$13),15-13*ORÇAMENTO!$AF$7)/$H368*OFFSET(ORÇAMENTO!$X$15,ROW(AL368)-ROW(AL$15),0),
              ROUND(ROUND(OFFSET($P368,0,AL$13),15-13*ORÇAMENTO!$AF$7)*OFFSET(ORÇAMENTO!$W$15,ROW(AL368)-ROW(AL$15),0),15-13*ORÇAMENTO!$AF$11)),
         0)</f>
        <v>0</v>
      </c>
      <c r="AM368" s="453">
        <f ca="1">IF(AND($D368="Serviço",AM$12&lt;&gt;0,$H368&gt;0,OR(AUTOEVENTO&lt;&gt;"manual",$M368&lt;&gt;$A$15)),
        IF(Import.TipoArredondamento&lt;&gt;"TransfereGOV",
              ROUND(OFFSET($P368,0,AM$13),15-13*ORÇAMENTO!$AF$7)/$H368*OFFSET(ORÇAMENTO!$X$15,ROW(AM368)-ROW(AM$15),0),
              ROUND(ROUND(OFFSET($P368,0,AM$13),15-13*ORÇAMENTO!$AF$7)*OFFSET(ORÇAMENTO!$W$15,ROW(AM368)-ROW(AM$15),0),15-13*ORÇAMENTO!$AF$11)),
         0)</f>
        <v>0</v>
      </c>
      <c r="AN368" s="453">
        <f ca="1">IF(AND($D368="Serviço",AN$12&lt;&gt;0,$H368&gt;0,OR(AUTOEVENTO&lt;&gt;"manual",$M368&lt;&gt;$A$15)),
        IF(Import.TipoArredondamento&lt;&gt;"TransfereGOV",
              ROUND(OFFSET($P368,0,AN$13),15-13*ORÇAMENTO!$AF$7)/$H368*OFFSET(ORÇAMENTO!$X$15,ROW(AN368)-ROW(AN$15),0),
              ROUND(ROUND(OFFSET($P368,0,AN$13),15-13*ORÇAMENTO!$AF$7)*OFFSET(ORÇAMENTO!$W$15,ROW(AN368)-ROW(AN$15),0),15-13*ORÇAMENTO!$AF$11)),
         0)</f>
        <v>0</v>
      </c>
      <c r="AO368" s="453">
        <f ca="1">IF(AND($D368="Serviço",AO$12&lt;&gt;0,$H368&gt;0,OR(AUTOEVENTO&lt;&gt;"manual",$M368&lt;&gt;$A$15)),
        IF(Import.TipoArredondamento&lt;&gt;"TransfereGOV",
              ROUND(OFFSET($P368,0,AO$13),15-13*ORÇAMENTO!$AF$7)/$H368*OFFSET(ORÇAMENTO!$X$15,ROW(AO368)-ROW(AO$15),0),
              ROUND(ROUND(OFFSET($P368,0,AO$13),15-13*ORÇAMENTO!$AF$7)*OFFSET(ORÇAMENTO!$W$15,ROW(AO368)-ROW(AO$15),0),15-13*ORÇAMENTO!$AF$11)),
         0)</f>
        <v>0</v>
      </c>
      <c r="AP368" s="453">
        <f ca="1">IF(AND($D368="Serviço",AP$12&lt;&gt;0,$H368&gt;0,OR(AUTOEVENTO&lt;&gt;"manual",$M368&lt;&gt;$A$15)),
        IF(Import.TipoArredondamento&lt;&gt;"TransfereGOV",
              ROUND(OFFSET($P368,0,AP$13),15-13*ORÇAMENTO!$AF$7)/$H368*OFFSET(ORÇAMENTO!$X$15,ROW(AP368)-ROW(AP$15),0),
              ROUND(ROUND(OFFSET($P368,0,AP$13),15-13*ORÇAMENTO!$AF$7)*OFFSET(ORÇAMENTO!$W$15,ROW(AP368)-ROW(AP$15),0),15-13*ORÇAMENTO!$AF$11)),
         0)</f>
        <v>0</v>
      </c>
      <c r="AQ368" s="453">
        <f ca="1">IF(AND($D368="Serviço",AQ$12&lt;&gt;0,$H368&gt;0,OR(AUTOEVENTO&lt;&gt;"manual",$M368&lt;&gt;$A$15)),
        IF(Import.TipoArredondamento&lt;&gt;"TransfereGOV",
              ROUND(OFFSET($P368,0,AQ$13),15-13*ORÇAMENTO!$AF$7)/$H368*OFFSET(ORÇAMENTO!$X$15,ROW(AQ368)-ROW(AQ$15),0),
              ROUND(ROUND(OFFSET($P368,0,AQ$13),15-13*ORÇAMENTO!$AF$7)*OFFSET(ORÇAMENTO!$W$15,ROW(AQ368)-ROW(AQ$15),0),15-13*ORÇAMENTO!$AF$11)),
         0)</f>
        <v>0</v>
      </c>
      <c r="AR368" s="453">
        <f ca="1">IF(AND($D368="Serviço",AR$12&lt;&gt;0,$H368&gt;0,OR(AUTOEVENTO&lt;&gt;"manual",$M368&lt;&gt;$A$15)),
        IF(Import.TipoArredondamento&lt;&gt;"TransfereGOV",
              ROUND(OFFSET($P368,0,AR$13),15-13*ORÇAMENTO!$AF$7)/$H368*OFFSET(ORÇAMENTO!$X$15,ROW(AR368)-ROW(AR$15),0),
              ROUND(ROUND(OFFSET($P368,0,AR$13),15-13*ORÇAMENTO!$AF$7)*OFFSET(ORÇAMENTO!$W$15,ROW(AR368)-ROW(AR$15),0),15-13*ORÇAMENTO!$AF$11)),
         0)</f>
        <v>0</v>
      </c>
      <c r="AS368" s="453">
        <f ca="1">IF(AND($D368="Serviço",AS$12&lt;&gt;0,$H368&gt;0,OR(AUTOEVENTO&lt;&gt;"manual",$M368&lt;&gt;$A$15)),
        IF(Import.TipoArredondamento&lt;&gt;"TransfereGOV",
              ROUND(OFFSET($P368,0,AS$13),15-13*ORÇAMENTO!$AF$7)/$H368*OFFSET(ORÇAMENTO!$X$15,ROW(AS368)-ROW(AS$15),0),
              ROUND(ROUND(OFFSET($P368,0,AS$13),15-13*ORÇAMENTO!$AF$7)*OFFSET(ORÇAMENTO!$W$15,ROW(AS368)-ROW(AS$15),0),15-13*ORÇAMENTO!$AF$11)),
         0)</f>
        <v>0</v>
      </c>
      <c r="AT368" s="453">
        <f ca="1">IF(AND($D368="Serviço",AT$12&lt;&gt;0,$H368&gt;0,OR(AUTOEVENTO&lt;&gt;"manual",$M368&lt;&gt;$A$15)),
        IF(Import.TipoArredondamento&lt;&gt;"TransfereGOV",
              ROUND(OFFSET($P368,0,AT$13),15-13*ORÇAMENTO!$AF$7)/$H368*OFFSET(ORÇAMENTO!$X$15,ROW(AT368)-ROW(AT$15),0),
              ROUND(ROUND(OFFSET($P368,0,AT$13),15-13*ORÇAMENTO!$AF$7)*OFFSET(ORÇAMENTO!$W$15,ROW(AT368)-ROW(AT$15),0),15-13*ORÇAMENTO!$AF$11)),
         0)</f>
        <v>0</v>
      </c>
      <c r="AU368" s="453">
        <f ca="1">IF(AND($D368="Serviço",AU$12&lt;&gt;0,$H368&gt;0,OR(AUTOEVENTO&lt;&gt;"manual",$M368&lt;&gt;$A$15)),
        IF(Import.TipoArredondamento&lt;&gt;"TransfereGOV",
              ROUND(OFFSET($P368,0,AU$13),15-13*ORÇAMENTO!$AF$7)/$H368*OFFSET(ORÇAMENTO!$X$15,ROW(AU368)-ROW(AU$15),0),
              ROUND(ROUND(OFFSET($P368,0,AU$13),15-13*ORÇAMENTO!$AF$7)*OFFSET(ORÇAMENTO!$W$15,ROW(AU368)-ROW(AU$15),0),15-13*ORÇAMENTO!$AF$11)),
         0)</f>
        <v>0</v>
      </c>
      <c r="AV368" s="453">
        <f ca="1">IF(AND($D368="Serviço",AV$12&lt;&gt;0,$H368&gt;0,OR(AUTOEVENTO&lt;&gt;"manual",$M368&lt;&gt;$A$15)),
        IF(Import.TipoArredondamento&lt;&gt;"TransfereGOV",
              ROUND(OFFSET($P368,0,AV$13),15-13*ORÇAMENTO!$AF$7)/$H368*OFFSET(ORÇAMENTO!$X$15,ROW(AV368)-ROW(AV$15),0),
              ROUND(ROUND(OFFSET($P368,0,AV$13),15-13*ORÇAMENTO!$AF$7)*OFFSET(ORÇAMENTO!$W$15,ROW(AV368)-ROW(AV$15),0),15-13*ORÇAMENTO!$AF$11)),
         0)</f>
        <v>0</v>
      </c>
      <c r="AW368" s="453">
        <f ca="1">IF(AND($D368="Serviço",AW$12&lt;&gt;0,$H368&gt;0,OR(AUTOEVENTO&lt;&gt;"manual",$M368&lt;&gt;$A$15)),
        IF(Import.TipoArredondamento&lt;&gt;"TransfereGOV",
              ROUND(OFFSET($P368,0,AW$13),15-13*ORÇAMENTO!$AF$7)/$H368*OFFSET(ORÇAMENTO!$X$15,ROW(AW368)-ROW(AW$15),0),
              ROUND(ROUND(OFFSET($P368,0,AW$13),15-13*ORÇAMENTO!$AF$7)*OFFSET(ORÇAMENTO!$W$15,ROW(AW368)-ROW(AW$15),0),15-13*ORÇAMENTO!$AF$11)),
         0)</f>
        <v>0</v>
      </c>
      <c r="AX368" s="453">
        <f ca="1">IF(AND($D368="Serviço",AX$12&lt;&gt;0,$H368&gt;0,OR(AUTOEVENTO&lt;&gt;"manual",$M368&lt;&gt;$A$15)),
        IF(Import.TipoArredondamento&lt;&gt;"TransfereGOV",
              ROUND(OFFSET($P368,0,AX$13),15-13*ORÇAMENTO!$AF$7)/$H368*OFFSET(ORÇAMENTO!$X$15,ROW(AX368)-ROW(AX$15),0),
              ROUND(ROUND(OFFSET($P368,0,AX$13),15-13*ORÇAMENTO!$AF$7)*OFFSET(ORÇAMENTO!$W$15,ROW(AX368)-ROW(AX$15),0),15-13*ORÇAMENTO!$AF$11)),
         0)</f>
        <v>0</v>
      </c>
      <c r="AY368" s="453">
        <f ca="1">IF(AND($D368="Serviço",AY$12&lt;&gt;0,$H368&gt;0,OR(AUTOEVENTO&lt;&gt;"manual",$M368&lt;&gt;$A$15)),
        IF(Import.TipoArredondamento&lt;&gt;"TransfereGOV",
              ROUND(OFFSET($P368,0,AY$13),15-13*ORÇAMENTO!$AF$7)/$H368*OFFSET(ORÇAMENTO!$X$15,ROW(AY368)-ROW(AY$15),0),
              ROUND(ROUND(OFFSET($P368,0,AY$13),15-13*ORÇAMENTO!$AF$7)*OFFSET(ORÇAMENTO!$W$15,ROW(AY368)-ROW(AY$15),0),15-13*ORÇAMENTO!$AF$11)),
         0)</f>
        <v>0</v>
      </c>
      <c r="AZ368" s="453">
        <f ca="1">IF(AND($D368="Serviço",AZ$12&lt;&gt;0,$H368&gt;0,OR(AUTOEVENTO&lt;&gt;"manual",$M368&lt;&gt;$A$15)),
        IF(Import.TipoArredondamento&lt;&gt;"TransfereGOV",
              ROUND(OFFSET($P368,0,AZ$13),15-13*ORÇAMENTO!$AF$7)/$H368*OFFSET(ORÇAMENTO!$X$15,ROW(AZ368)-ROW(AZ$15),0),
              ROUND(ROUND(OFFSET($P368,0,AZ$13),15-13*ORÇAMENTO!$AF$7)*OFFSET(ORÇAMENTO!$W$15,ROW(AZ368)-ROW(AZ$15),0),15-13*ORÇAMENTO!$AF$11)),
         0)</f>
        <v>0</v>
      </c>
      <c r="BA368" s="453">
        <f ca="1">IF(AND($D368="Serviço",BA$12&lt;&gt;0,$H368&gt;0,OR(AUTOEVENTO&lt;&gt;"manual",$M368&lt;&gt;$A$15)),
        IF(Import.TipoArredondamento&lt;&gt;"TransfereGOV",
              ROUND(OFFSET($P368,0,BA$13),15-13*ORÇAMENTO!$AF$7)/$H368*OFFSET(ORÇAMENTO!$X$15,ROW(BA368)-ROW(BA$15),0),
              ROUND(ROUND(OFFSET($P368,0,BA$13),15-13*ORÇAMENTO!$AF$7)*OFFSET(ORÇAMENTO!$W$15,ROW(BA368)-ROW(BA$15),0),15-13*ORÇAMENTO!$AF$11)),
         0)</f>
        <v>0</v>
      </c>
      <c r="BC368" s="171">
        <f ca="1">IF(OR($D368&lt;&gt;"Serviço",AND(AUTOEVENTO="Manual",$M368=$A$15)),0,
         IF(OFFSET(CRONOPLE!$F$15,$M368-$A$15,BC$13)=0,10^12,OFFSET(CRONOPLE!$F$15,$M368-$A$15,BC$13)))</f>
        <v>1</v>
      </c>
      <c r="BD368" s="171">
        <f ca="1">IF(OR($D368&lt;&gt;"Serviço",AND(AUTOEVENTO="Manual",$M368=$A$15)),0,
         IF(OFFSET(CRONOPLE!$F$15,$M368-$A$15,BD$13)=0,10^12,OFFSET(CRONOPLE!$F$15,$M368-$A$15,BD$13)))</f>
        <v>2</v>
      </c>
      <c r="BE368" s="171">
        <f ca="1">IF(OR($D368&lt;&gt;"Serviço",AND(AUTOEVENTO="Manual",$M368=$A$15)),0,
         IF(OFFSET(CRONOPLE!$F$15,$M368-$A$15,BE$13)=0,10^12,OFFSET(CRONOPLE!$F$15,$M368-$A$15,BE$13)))</f>
        <v>3</v>
      </c>
      <c r="BF368" s="171">
        <f ca="1">IF(OR($D368&lt;&gt;"Serviço",AND(AUTOEVENTO="Manual",$M368=$A$15)),0,
         IF(OFFSET(CRONOPLE!$F$15,$M368-$A$15,BF$13)=0,10^12,OFFSET(CRONOPLE!$F$15,$M368-$A$15,BF$13)))</f>
        <v>4</v>
      </c>
      <c r="BG368" s="171">
        <f ca="1">IF(OR($D368&lt;&gt;"Serviço",AND(AUTOEVENTO="Manual",$M368=$A$15)),0,
         IF(OFFSET(CRONOPLE!$F$15,$M368-$A$15,BG$13)=0,10^12,OFFSET(CRONOPLE!$F$15,$M368-$A$15,BG$13)))</f>
        <v>5</v>
      </c>
      <c r="BH368" s="171">
        <f ca="1">IF(OR($D368&lt;&gt;"Serviço",AND(AUTOEVENTO="Manual",$M368=$A$15)),0,
         IF(OFFSET(CRONOPLE!$F$15,$M368-$A$15,BH$13)=0,10^12,OFFSET(CRONOPLE!$F$15,$M368-$A$15,BH$13)))</f>
        <v>6</v>
      </c>
      <c r="BI368" s="171">
        <f ca="1">IF(OR($D368&lt;&gt;"Serviço",AND(AUTOEVENTO="Manual",$M368=$A$15)),0,
         IF(OFFSET(CRONOPLE!$F$15,$M368-$A$15,BI$13)=0,10^12,OFFSET(CRONOPLE!$F$15,$M368-$A$15,BI$13)))</f>
        <v>7</v>
      </c>
      <c r="BJ368" s="171">
        <f ca="1">IF(OR($D368&lt;&gt;"Serviço",AND(AUTOEVENTO="Manual",$M368=$A$15)),0,
         IF(OFFSET(CRONOPLE!$F$15,$M368-$A$15,BJ$13)=0,10^12,OFFSET(CRONOPLE!$F$15,$M368-$A$15,BJ$13)))</f>
        <v>8</v>
      </c>
      <c r="BK368" s="171">
        <f ca="1">IF(OR($D368&lt;&gt;"Serviço",AND(AUTOEVENTO="Manual",$M368=$A$15)),0,
         IF(OFFSET(CRONOPLE!$F$15,$M368-$A$15,BK$13)=0,10^12,OFFSET(CRONOPLE!$F$15,$M368-$A$15,BK$13)))</f>
        <v>9</v>
      </c>
      <c r="BL368" s="171">
        <f ca="1">IF(OR($D368&lt;&gt;"Serviço",AND(AUTOEVENTO="Manual",$M368=$A$15)),0,
         IF(OFFSET(CRONOPLE!$F$15,$M368-$A$15,BL$13)=0,10^12,OFFSET(CRONOPLE!$F$15,$M368-$A$15,BL$13)))</f>
        <v>1000000000000</v>
      </c>
      <c r="BM368" s="171">
        <f ca="1">IF(OR($D368&lt;&gt;"Serviço",AND(AUTOEVENTO="Manual",$M368=$A$15)),0,
         IF(OFFSET(CRONOPLE!$F$15,$M368-$A$15,BM$13)=0,10^12,OFFSET(CRONOPLE!$F$15,$M368-$A$15,BM$13)))</f>
        <v>1000000000000</v>
      </c>
      <c r="BN368" s="171">
        <f ca="1">IF(OR($D368&lt;&gt;"Serviço",AND(AUTOEVENTO="Manual",$M368=$A$15)),0,
         IF(OFFSET(CRONOPLE!$F$15,$M368-$A$15,BN$13)=0,10^12,OFFSET(CRONOPLE!$F$15,$M368-$A$15,BN$13)))</f>
        <v>1000000000000</v>
      </c>
      <c r="BO368" s="171">
        <f ca="1">IF(OR($D368&lt;&gt;"Serviço",AND(AUTOEVENTO="Manual",$M368=$A$15)),0,
         IF(OFFSET(CRONOPLE!$F$15,$M368-$A$15,BO$13)=0,10^12,OFFSET(CRONOPLE!$F$15,$M368-$A$15,BO$13)))</f>
        <v>1000000000000</v>
      </c>
      <c r="BP368" s="171">
        <f ca="1">IF(OR($D368&lt;&gt;"Serviço",AND(AUTOEVENTO="Manual",$M368=$A$15)),0,
         IF(OFFSET(CRONOPLE!$F$15,$M368-$A$15,BP$13)=0,10^12,OFFSET(CRONOPLE!$F$15,$M368-$A$15,BP$13)))</f>
        <v>1000000000000</v>
      </c>
      <c r="BQ368" s="171">
        <f ca="1">IF(OR($D368&lt;&gt;"Serviço",AND(AUTOEVENTO="Manual",$M368=$A$15)),0,
         IF(OFFSET(CRONOPLE!$F$15,$M368-$A$15,BQ$13)=0,10^12,OFFSET(CRONOPLE!$F$15,$M368-$A$15,BQ$13)))</f>
        <v>1000000000000</v>
      </c>
      <c r="BR368" s="171">
        <f ca="1">IF(OR($D368&lt;&gt;"Serviço",AND(AUTOEVENTO="Manual",$M368=$A$15)),0,
         IF(OFFSET(CRONOPLE!$F$15,$M368-$A$15,BR$13)=0,10^12,OFFSET(CRONOPLE!$F$15,$M368-$A$15,BR$13)))</f>
        <v>1000000000000</v>
      </c>
      <c r="BS368" s="171">
        <f ca="1">IF(OR($D368&lt;&gt;"Serviço",AND(AUTOEVENTO="Manual",$M368=$A$15)),0,
         IF(OFFSET(CRONOPLE!$F$15,$M368-$A$15,BS$13)=0,10^12,OFFSET(CRONOPLE!$F$15,$M368-$A$15,BS$13)))</f>
        <v>1000000000000</v>
      </c>
      <c r="BT368" s="171">
        <f ca="1">IF(OR($D368&lt;&gt;"Serviço",AND(AUTOEVENTO="Manual",$M368=$A$15)),0,
         IF(OFFSET(CRONOPLE!$F$15,$M368-$A$15,BT$13)=0,10^12,OFFSET(CRONOPLE!$F$15,$M368-$A$15,BT$13)))</f>
        <v>1000000000000</v>
      </c>
      <c r="BV368" s="172">
        <f ca="1">IF(OR($D368&lt;&gt;"Serviço",AND(AUTOEVENTO="Manual",$M368=$A$15),$M368&gt;(ROW(PLE.lastrow)-ROW(PLE.firstrow))),0,
           IF(OFFSET(PLE!$G$15,$M368-$A$15,BV$13)="",10^12,OFFSET(PLE!$G$15,$M368-$A$15,BV$13)))</f>
        <v>1000000000000</v>
      </c>
      <c r="BW368" s="172">
        <f ca="1">IF(OR($D368&lt;&gt;"Serviço",AND(AUTOEVENTO="Manual",$M368=$A$15),$M368&gt;(ROW(PLE.lastrow)-ROW(PLE.firstrow))),0,
           IF(OFFSET(PLE!$G$15,$M368-$A$15,BW$13)="",10^12,OFFSET(PLE!$G$15,$M368-$A$15,BW$13)))</f>
        <v>1000000000000</v>
      </c>
      <c r="BX368" s="172">
        <f ca="1">IF(OR($D368&lt;&gt;"Serviço",AND(AUTOEVENTO="Manual",$M368=$A$15),$M368&gt;(ROW(PLE.lastrow)-ROW(PLE.firstrow))),0,
           IF(OFFSET(PLE!$G$15,$M368-$A$15,BX$13)="",10^12,OFFSET(PLE!$G$15,$M368-$A$15,BX$13)))</f>
        <v>1000000000000</v>
      </c>
      <c r="BY368" s="172">
        <f ca="1">IF(OR($D368&lt;&gt;"Serviço",AND(AUTOEVENTO="Manual",$M368=$A$15),$M368&gt;(ROW(PLE.lastrow)-ROW(PLE.firstrow))),0,
           IF(OFFSET(PLE!$G$15,$M368-$A$15,BY$13)="",10^12,OFFSET(PLE!$G$15,$M368-$A$15,BY$13)))</f>
        <v>1000000000000</v>
      </c>
      <c r="BZ368" s="172">
        <f ca="1">IF(OR($D368&lt;&gt;"Serviço",AND(AUTOEVENTO="Manual",$M368=$A$15),$M368&gt;(ROW(PLE.lastrow)-ROW(PLE.firstrow))),0,
           IF(OFFSET(PLE!$G$15,$M368-$A$15,BZ$13)="",10^12,OFFSET(PLE!$G$15,$M368-$A$15,BZ$13)))</f>
        <v>1000000000000</v>
      </c>
      <c r="CA368" s="172">
        <f ca="1">IF(OR($D368&lt;&gt;"Serviço",AND(AUTOEVENTO="Manual",$M368=$A$15),$M368&gt;(ROW(PLE.lastrow)-ROW(PLE.firstrow))),0,
           IF(OFFSET(PLE!$G$15,$M368-$A$15,CA$13)="",10^12,OFFSET(PLE!$G$15,$M368-$A$15,CA$13)))</f>
        <v>1000000000000</v>
      </c>
      <c r="CB368" s="172">
        <f ca="1">IF(OR($D368&lt;&gt;"Serviço",AND(AUTOEVENTO="Manual",$M368=$A$15),$M368&gt;(ROW(PLE.lastrow)-ROW(PLE.firstrow))),0,
           IF(OFFSET(PLE!$G$15,$M368-$A$15,CB$13)="",10^12,OFFSET(PLE!$G$15,$M368-$A$15,CB$13)))</f>
        <v>1000000000000</v>
      </c>
      <c r="CC368" s="172">
        <f ca="1">IF(OR($D368&lt;&gt;"Serviço",AND(AUTOEVENTO="Manual",$M368=$A$15),$M368&gt;(ROW(PLE.lastrow)-ROW(PLE.firstrow))),0,
           IF(OFFSET(PLE!$G$15,$M368-$A$15,CC$13)="",10^12,OFFSET(PLE!$G$15,$M368-$A$15,CC$13)))</f>
        <v>1000000000000</v>
      </c>
      <c r="CD368" s="172">
        <f ca="1">IF(OR($D368&lt;&gt;"Serviço",AND(AUTOEVENTO="Manual",$M368=$A$15),$M368&gt;(ROW(PLE.lastrow)-ROW(PLE.firstrow))),0,
           IF(OFFSET(PLE!$G$15,$M368-$A$15,CD$13)="",10^12,OFFSET(PLE!$G$15,$M368-$A$15,CD$13)))</f>
        <v>1000000000000</v>
      </c>
      <c r="CE368" s="172">
        <f ca="1">IF(OR($D368&lt;&gt;"Serviço",AND(AUTOEVENTO="Manual",$M368=$A$15),$M368&gt;(ROW(PLE.lastrow)-ROW(PLE.firstrow))),0,
           IF(OFFSET(PLE!$G$15,$M368-$A$15,CE$13)="",10^12,OFFSET(PLE!$G$15,$M368-$A$15,CE$13)))</f>
        <v>1000000000000</v>
      </c>
      <c r="CF368" s="172">
        <f ca="1">IF(OR($D368&lt;&gt;"Serviço",AND(AUTOEVENTO="Manual",$M368=$A$15),$M368&gt;(ROW(PLE.lastrow)-ROW(PLE.firstrow))),0,
           IF(OFFSET(PLE!$G$15,$M368-$A$15,CF$13)="",10^12,OFFSET(PLE!$G$15,$M368-$A$15,CF$13)))</f>
        <v>1000000000000</v>
      </c>
      <c r="CG368" s="172">
        <f ca="1">IF(OR($D368&lt;&gt;"Serviço",AND(AUTOEVENTO="Manual",$M368=$A$15),$M368&gt;(ROW(PLE.lastrow)-ROW(PLE.firstrow))),0,
           IF(OFFSET(PLE!$G$15,$M368-$A$15,CG$13)="",10^12,OFFSET(PLE!$G$15,$M368-$A$15,CG$13)))</f>
        <v>1000000000000</v>
      </c>
      <c r="CH368" s="172">
        <f ca="1">IF(OR($D368&lt;&gt;"Serviço",AND(AUTOEVENTO="Manual",$M368=$A$15),$M368&gt;(ROW(PLE.lastrow)-ROW(PLE.firstrow))),0,
           IF(OFFSET(PLE!$G$15,$M368-$A$15,CH$13)="",10^12,OFFSET(PLE!$G$15,$M368-$A$15,CH$13)))</f>
        <v>1000000000000</v>
      </c>
      <c r="CI368" s="172">
        <f ca="1">IF(OR($D368&lt;&gt;"Serviço",AND(AUTOEVENTO="Manual",$M368=$A$15),$M368&gt;(ROW(PLE.lastrow)-ROW(PLE.firstrow))),0,
           IF(OFFSET(PLE!$G$15,$M368-$A$15,CI$13)="",10^12,OFFSET(PLE!$G$15,$M368-$A$15,CI$13)))</f>
        <v>1000000000000</v>
      </c>
      <c r="CJ368" s="172">
        <f ca="1">IF(OR($D368&lt;&gt;"Serviço",AND(AUTOEVENTO="Manual",$M368=$A$15),$M368&gt;(ROW(PLE.lastrow)-ROW(PLE.firstrow))),0,
           IF(OFFSET(PLE!$G$15,$M368-$A$15,CJ$13)="",10^12,OFFSET(PLE!$G$15,$M368-$A$15,CJ$13)))</f>
        <v>1000000000000</v>
      </c>
      <c r="CK368" s="172">
        <f ca="1">IF(OR($D368&lt;&gt;"Serviço",AND(AUTOEVENTO="Manual",$M368=$A$15),$M368&gt;(ROW(PLE.lastrow)-ROW(PLE.firstrow))),0,
           IF(OFFSET(PLE!$G$15,$M368-$A$15,CK$13)="",10^12,OFFSET(PLE!$G$15,$M368-$A$15,CK$13)))</f>
        <v>1000000000000</v>
      </c>
      <c r="CL368" s="172">
        <f ca="1">IF(OR($D368&lt;&gt;"Serviço",AND(AUTOEVENTO="Manual",$M368=$A$15),$M368&gt;(ROW(PLE.lastrow)-ROW(PLE.firstrow))),0,
           IF(OFFSET(PLE!$G$15,$M368-$A$15,CL$13)="",10^12,OFFSET(PLE!$G$15,$M368-$A$15,CL$13)))</f>
        <v>1000000000000</v>
      </c>
      <c r="CM368" s="172">
        <f ca="1">IF(OR($D368&lt;&gt;"Serviço",AND(AUTOEVENTO="Manual",$M368=$A$15),$M368&gt;(ROW(PLE.lastrow)-ROW(PLE.firstrow))),0,
           IF(OFFSET(PLE!$G$15,$M368-$A$15,CM$13)="",10^12,OFFSET(PLE!$G$15,$M368-$A$15,CM$13)))</f>
        <v>1000000000000</v>
      </c>
    </row>
    <row r="369" spans="1:91" ht="38.25" x14ac:dyDescent="0.2">
      <c r="A369" s="7">
        <f t="shared" ca="1" si="15"/>
        <v>7</v>
      </c>
      <c r="B369" s="7" t="str">
        <f ca="1">OFFSET(ORÇAMENTO!C$15,ROW(B369)-ROW(B$15),0)</f>
        <v>S</v>
      </c>
      <c r="C369" s="7" t="str">
        <f ca="1">OFFSET(ORÇAMENTO!L$15,ROW(C369)-ROW(C$15),0)</f>
        <v>F</v>
      </c>
      <c r="D369" s="116" t="str">
        <f ca="1">OFFSET(ORÇAMENTO!N$15,ROW(D369)-ROW(D$15),0)</f>
        <v>Serviço</v>
      </c>
      <c r="E369" s="117" t="str">
        <f ca="1">OFFSET(ORÇAMENTO!O$15,ROW(E369)-ROW(E$15),0)</f>
        <v>1.8.1.2.3.</v>
      </c>
      <c r="F369" s="163" t="str">
        <f ca="1">OFFSET(ORÇAMENTO!R$15,ROW(F369)-ROW(F$15),0)</f>
        <v>AUTOTRANSFORMADOR TRIFÁSICO 100kVA 220v / 380v TRIFÁSICO À SECO - REVERSÍVEL - BASEADO EM SBC (065163)</v>
      </c>
      <c r="G369" s="164" t="str">
        <f ca="1">IF($D369&lt;&gt;"Serviço","",OFFSET(ORÇAMENTO!S$15,ROW(G369)-ROW(G$15),0))</f>
        <v>UN</v>
      </c>
      <c r="H369" s="122" cm="1">
        <f t="array" aca="1" ref="H369" ca="1">IF($D369&lt;&gt;"Serviço",0,IF(ACOMPANHAMENTO="BM",ROUND(OFFSET(ORÇAMENTO!AJ$15,ROW(H369)-ROW(H$15),0),15-13*ORÇAMENTO!$AF$7),SUMPRODUCT(($Q$1:$AI$1=1)*ROUND($Q369:$AI369,15-13*ORÇAMENTO!$AF$7))))</f>
        <v>1</v>
      </c>
      <c r="I369" s="468" t="s">
        <v>1431</v>
      </c>
      <c r="J369" s="640" t="str" cm="1">
        <f t="array" aca="1" ref="J369" ca="1">IF(OR(B369&lt;&gt;"S",CÁLCULO.FrentesPreenchidas=0),"",IF(AND(ACOMPANHAMENTO="PLE",AUTOEVENTO="Manual",OR(H369&gt;0,ORÇAMENTO!AC369="QUANT."),OR(K369="",M369=0,N369="")),"►E",IF(AND(ACOMPANHAMENTO="PLE",ORÇAMENTO!AC369="QUANT."),"►Q",IF(AND(ACOMPANHAMENTO="PLE",H369&lt;&gt;SUMPRODUCT(($Q$1:$AI$1=1)*ROUND(Q369:AI369,15))),"►S",IF(AND(COUNTIF($P$11:$AI$11,"▼")=0,H369&gt;0,I369=""),"◄M","")))))</f>
        <v/>
      </c>
      <c r="K369" s="641" t="s">
        <v>1391</v>
      </c>
      <c r="L369" s="165" t="s">
        <v>764</v>
      </c>
      <c r="M369" s="166">
        <f ca="1">IF($D369&lt;&gt;"Serviço","",
          IF(AUTOEVENTO="manual",$A369,
                IF(ISERROR(MATCH($A369,$A$15:OFFSET($A369,-1,0),0)),MAX($M$15:OFFSET(M369,-1,0))+1,
                      INDEX($M$15:OFFSET(M369,-1,0),MATCH($A369,$A$15:OFFSET($A369,-1,0),0)))))</f>
        <v>7</v>
      </c>
      <c r="N369" s="167" t="str">
        <f ca="1">IF($D369&lt;&gt;"Serviço","",
         IF(AUTOEVENTO="Manual",
                IF($A369=0,"&lt;-- defina o número do agrupador",
                       OFFSET(EVENTOS!$D$15,$A369-$A$15,0)),
                OFFSET($F$15,$A369,0)))</f>
        <v>Instalações Elétricas</v>
      </c>
      <c r="O369" s="168"/>
      <c r="Q369" s="168"/>
      <c r="R369" s="169"/>
      <c r="S369" s="169"/>
      <c r="T369" s="169"/>
      <c r="U369" s="169"/>
      <c r="V369" s="169"/>
      <c r="W369" s="169"/>
      <c r="X369" s="169">
        <v>1</v>
      </c>
      <c r="Y369" s="169"/>
      <c r="Z369" s="170"/>
      <c r="AA369" s="169"/>
      <c r="AB369" s="169"/>
      <c r="AC369" s="169"/>
      <c r="AD369" s="169"/>
      <c r="AE369" s="169"/>
      <c r="AF369" s="169"/>
      <c r="AG369" s="169"/>
      <c r="AH369" s="170"/>
      <c r="AJ369" s="453">
        <f ca="1">IF(AND($D369="Serviço",AJ$12&lt;&gt;0,$H369&gt;0,OR(AUTOEVENTO&lt;&gt;"manual",$M369&lt;&gt;$A$15)),
        IF(Import.TipoArredondamento&lt;&gt;"TransfereGOV",
              ROUND(OFFSET($P369,0,AJ$13),15-13*ORÇAMENTO!$AF$7)/$H369*OFFSET(ORÇAMENTO!$X$15,ROW(AJ369)-ROW(AJ$15),0),
              ROUND(ROUND(OFFSET($P369,0,AJ$13),15-13*ORÇAMENTO!$AF$7)*OFFSET(ORÇAMENTO!$W$15,ROW(AJ369)-ROW(AJ$15),0),15-13*ORÇAMENTO!$AF$11)),
         0)</f>
        <v>0</v>
      </c>
      <c r="AK369" s="453">
        <f ca="1">IF(AND($D369="Serviço",AK$12&lt;&gt;0,$H369&gt;0,OR(AUTOEVENTO&lt;&gt;"manual",$M369&lt;&gt;$A$15)),
        IF(Import.TipoArredondamento&lt;&gt;"TransfereGOV",
              ROUND(OFFSET($P369,0,AK$13),15-13*ORÇAMENTO!$AF$7)/$H369*OFFSET(ORÇAMENTO!$X$15,ROW(AK369)-ROW(AK$15),0),
              ROUND(ROUND(OFFSET($P369,0,AK$13),15-13*ORÇAMENTO!$AF$7)*OFFSET(ORÇAMENTO!$W$15,ROW(AK369)-ROW(AK$15),0),15-13*ORÇAMENTO!$AF$11)),
         0)</f>
        <v>0</v>
      </c>
      <c r="AL369" s="453">
        <f ca="1">IF(AND($D369="Serviço",AL$12&lt;&gt;0,$H369&gt;0,OR(AUTOEVENTO&lt;&gt;"manual",$M369&lt;&gt;$A$15)),
        IF(Import.TipoArredondamento&lt;&gt;"TransfereGOV",
              ROUND(OFFSET($P369,0,AL$13),15-13*ORÇAMENTO!$AF$7)/$H369*OFFSET(ORÇAMENTO!$X$15,ROW(AL369)-ROW(AL$15),0),
              ROUND(ROUND(OFFSET($P369,0,AL$13),15-13*ORÇAMENTO!$AF$7)*OFFSET(ORÇAMENTO!$W$15,ROW(AL369)-ROW(AL$15),0),15-13*ORÇAMENTO!$AF$11)),
         0)</f>
        <v>0</v>
      </c>
      <c r="AM369" s="453">
        <f ca="1">IF(AND($D369="Serviço",AM$12&lt;&gt;0,$H369&gt;0,OR(AUTOEVENTO&lt;&gt;"manual",$M369&lt;&gt;$A$15)),
        IF(Import.TipoArredondamento&lt;&gt;"TransfereGOV",
              ROUND(OFFSET($P369,0,AM$13),15-13*ORÇAMENTO!$AF$7)/$H369*OFFSET(ORÇAMENTO!$X$15,ROW(AM369)-ROW(AM$15),0),
              ROUND(ROUND(OFFSET($P369,0,AM$13),15-13*ORÇAMENTO!$AF$7)*OFFSET(ORÇAMENTO!$W$15,ROW(AM369)-ROW(AM$15),0),15-13*ORÇAMENTO!$AF$11)),
         0)</f>
        <v>0</v>
      </c>
      <c r="AN369" s="453">
        <f ca="1">IF(AND($D369="Serviço",AN$12&lt;&gt;0,$H369&gt;0,OR(AUTOEVENTO&lt;&gt;"manual",$M369&lt;&gt;$A$15)),
        IF(Import.TipoArredondamento&lt;&gt;"TransfereGOV",
              ROUND(OFFSET($P369,0,AN$13),15-13*ORÇAMENTO!$AF$7)/$H369*OFFSET(ORÇAMENTO!$X$15,ROW(AN369)-ROW(AN$15),0),
              ROUND(ROUND(OFFSET($P369,0,AN$13),15-13*ORÇAMENTO!$AF$7)*OFFSET(ORÇAMENTO!$W$15,ROW(AN369)-ROW(AN$15),0),15-13*ORÇAMENTO!$AF$11)),
         0)</f>
        <v>0</v>
      </c>
      <c r="AO369" s="453">
        <f ca="1">IF(AND($D369="Serviço",AO$12&lt;&gt;0,$H369&gt;0,OR(AUTOEVENTO&lt;&gt;"manual",$M369&lt;&gt;$A$15)),
        IF(Import.TipoArredondamento&lt;&gt;"TransfereGOV",
              ROUND(OFFSET($P369,0,AO$13),15-13*ORÇAMENTO!$AF$7)/$H369*OFFSET(ORÇAMENTO!$X$15,ROW(AO369)-ROW(AO$15),0),
              ROUND(ROUND(OFFSET($P369,0,AO$13),15-13*ORÇAMENTO!$AF$7)*OFFSET(ORÇAMENTO!$W$15,ROW(AO369)-ROW(AO$15),0),15-13*ORÇAMENTO!$AF$11)),
         0)</f>
        <v>0</v>
      </c>
      <c r="AP369" s="453">
        <f ca="1">IF(AND($D369="Serviço",AP$12&lt;&gt;0,$H369&gt;0,OR(AUTOEVENTO&lt;&gt;"manual",$M369&lt;&gt;$A$15)),
        IF(Import.TipoArredondamento&lt;&gt;"TransfereGOV",
              ROUND(OFFSET($P369,0,AP$13),15-13*ORÇAMENTO!$AF$7)/$H369*OFFSET(ORÇAMENTO!$X$15,ROW(AP369)-ROW(AP$15),0),
              ROUND(ROUND(OFFSET($P369,0,AP$13),15-13*ORÇAMENTO!$AF$7)*OFFSET(ORÇAMENTO!$W$15,ROW(AP369)-ROW(AP$15),0),15-13*ORÇAMENTO!$AF$11)),
         0)</f>
        <v>0</v>
      </c>
      <c r="AQ369" s="453">
        <f ca="1">IF(AND($D369="Serviço",AQ$12&lt;&gt;0,$H369&gt;0,OR(AUTOEVENTO&lt;&gt;"manual",$M369&lt;&gt;$A$15)),
        IF(Import.TipoArredondamento&lt;&gt;"TransfereGOV",
              ROUND(OFFSET($P369,0,AQ$13),15-13*ORÇAMENTO!$AF$7)/$H369*OFFSET(ORÇAMENTO!$X$15,ROW(AQ369)-ROW(AQ$15),0),
              ROUND(ROUND(OFFSET($P369,0,AQ$13),15-13*ORÇAMENTO!$AF$7)*OFFSET(ORÇAMENTO!$W$15,ROW(AQ369)-ROW(AQ$15),0),15-13*ORÇAMENTO!$AF$11)),
         0)</f>
        <v>0</v>
      </c>
      <c r="AR369" s="453">
        <f ca="1">IF(AND($D369="Serviço",AR$12&lt;&gt;0,$H369&gt;0,OR(AUTOEVENTO&lt;&gt;"manual",$M369&lt;&gt;$A$15)),
        IF(Import.TipoArredondamento&lt;&gt;"TransfereGOV",
              ROUND(OFFSET($P369,0,AR$13),15-13*ORÇAMENTO!$AF$7)/$H369*OFFSET(ORÇAMENTO!$X$15,ROW(AR369)-ROW(AR$15),0),
              ROUND(ROUND(OFFSET($P369,0,AR$13),15-13*ORÇAMENTO!$AF$7)*OFFSET(ORÇAMENTO!$W$15,ROW(AR369)-ROW(AR$15),0),15-13*ORÇAMENTO!$AF$11)),
         0)</f>
        <v>0</v>
      </c>
      <c r="AS369" s="453">
        <f ca="1">IF(AND($D369="Serviço",AS$12&lt;&gt;0,$H369&gt;0,OR(AUTOEVENTO&lt;&gt;"manual",$M369&lt;&gt;$A$15)),
        IF(Import.TipoArredondamento&lt;&gt;"TransfereGOV",
              ROUND(OFFSET($P369,0,AS$13),15-13*ORÇAMENTO!$AF$7)/$H369*OFFSET(ORÇAMENTO!$X$15,ROW(AS369)-ROW(AS$15),0),
              ROUND(ROUND(OFFSET($P369,0,AS$13),15-13*ORÇAMENTO!$AF$7)*OFFSET(ORÇAMENTO!$W$15,ROW(AS369)-ROW(AS$15),0),15-13*ORÇAMENTO!$AF$11)),
         0)</f>
        <v>0</v>
      </c>
      <c r="AT369" s="453">
        <f ca="1">IF(AND($D369="Serviço",AT$12&lt;&gt;0,$H369&gt;0,OR(AUTOEVENTO&lt;&gt;"manual",$M369&lt;&gt;$A$15)),
        IF(Import.TipoArredondamento&lt;&gt;"TransfereGOV",
              ROUND(OFFSET($P369,0,AT$13),15-13*ORÇAMENTO!$AF$7)/$H369*OFFSET(ORÇAMENTO!$X$15,ROW(AT369)-ROW(AT$15),0),
              ROUND(ROUND(OFFSET($P369,0,AT$13),15-13*ORÇAMENTO!$AF$7)*OFFSET(ORÇAMENTO!$W$15,ROW(AT369)-ROW(AT$15),0),15-13*ORÇAMENTO!$AF$11)),
         0)</f>
        <v>0</v>
      </c>
      <c r="AU369" s="453">
        <f ca="1">IF(AND($D369="Serviço",AU$12&lt;&gt;0,$H369&gt;0,OR(AUTOEVENTO&lt;&gt;"manual",$M369&lt;&gt;$A$15)),
        IF(Import.TipoArredondamento&lt;&gt;"TransfereGOV",
              ROUND(OFFSET($P369,0,AU$13),15-13*ORÇAMENTO!$AF$7)/$H369*OFFSET(ORÇAMENTO!$X$15,ROW(AU369)-ROW(AU$15),0),
              ROUND(ROUND(OFFSET($P369,0,AU$13),15-13*ORÇAMENTO!$AF$7)*OFFSET(ORÇAMENTO!$W$15,ROW(AU369)-ROW(AU$15),0),15-13*ORÇAMENTO!$AF$11)),
         0)</f>
        <v>0</v>
      </c>
      <c r="AV369" s="453">
        <f ca="1">IF(AND($D369="Serviço",AV$12&lt;&gt;0,$H369&gt;0,OR(AUTOEVENTO&lt;&gt;"manual",$M369&lt;&gt;$A$15)),
        IF(Import.TipoArredondamento&lt;&gt;"TransfereGOV",
              ROUND(OFFSET($P369,0,AV$13),15-13*ORÇAMENTO!$AF$7)/$H369*OFFSET(ORÇAMENTO!$X$15,ROW(AV369)-ROW(AV$15),0),
              ROUND(ROUND(OFFSET($P369,0,AV$13),15-13*ORÇAMENTO!$AF$7)*OFFSET(ORÇAMENTO!$W$15,ROW(AV369)-ROW(AV$15),0),15-13*ORÇAMENTO!$AF$11)),
         0)</f>
        <v>0</v>
      </c>
      <c r="AW369" s="453">
        <f ca="1">IF(AND($D369="Serviço",AW$12&lt;&gt;0,$H369&gt;0,OR(AUTOEVENTO&lt;&gt;"manual",$M369&lt;&gt;$A$15)),
        IF(Import.TipoArredondamento&lt;&gt;"TransfereGOV",
              ROUND(OFFSET($P369,0,AW$13),15-13*ORÇAMENTO!$AF$7)/$H369*OFFSET(ORÇAMENTO!$X$15,ROW(AW369)-ROW(AW$15),0),
              ROUND(ROUND(OFFSET($P369,0,AW$13),15-13*ORÇAMENTO!$AF$7)*OFFSET(ORÇAMENTO!$W$15,ROW(AW369)-ROW(AW$15),0),15-13*ORÇAMENTO!$AF$11)),
         0)</f>
        <v>0</v>
      </c>
      <c r="AX369" s="453">
        <f ca="1">IF(AND($D369="Serviço",AX$12&lt;&gt;0,$H369&gt;0,OR(AUTOEVENTO&lt;&gt;"manual",$M369&lt;&gt;$A$15)),
        IF(Import.TipoArredondamento&lt;&gt;"TransfereGOV",
              ROUND(OFFSET($P369,0,AX$13),15-13*ORÇAMENTO!$AF$7)/$H369*OFFSET(ORÇAMENTO!$X$15,ROW(AX369)-ROW(AX$15),0),
              ROUND(ROUND(OFFSET($P369,0,AX$13),15-13*ORÇAMENTO!$AF$7)*OFFSET(ORÇAMENTO!$W$15,ROW(AX369)-ROW(AX$15),0),15-13*ORÇAMENTO!$AF$11)),
         0)</f>
        <v>0</v>
      </c>
      <c r="AY369" s="453">
        <f ca="1">IF(AND($D369="Serviço",AY$12&lt;&gt;0,$H369&gt;0,OR(AUTOEVENTO&lt;&gt;"manual",$M369&lt;&gt;$A$15)),
        IF(Import.TipoArredondamento&lt;&gt;"TransfereGOV",
              ROUND(OFFSET($P369,0,AY$13),15-13*ORÇAMENTO!$AF$7)/$H369*OFFSET(ORÇAMENTO!$X$15,ROW(AY369)-ROW(AY$15),0),
              ROUND(ROUND(OFFSET($P369,0,AY$13),15-13*ORÇAMENTO!$AF$7)*OFFSET(ORÇAMENTO!$W$15,ROW(AY369)-ROW(AY$15),0),15-13*ORÇAMENTO!$AF$11)),
         0)</f>
        <v>0</v>
      </c>
      <c r="AZ369" s="453">
        <f ca="1">IF(AND($D369="Serviço",AZ$12&lt;&gt;0,$H369&gt;0,OR(AUTOEVENTO&lt;&gt;"manual",$M369&lt;&gt;$A$15)),
        IF(Import.TipoArredondamento&lt;&gt;"TransfereGOV",
              ROUND(OFFSET($P369,0,AZ$13),15-13*ORÇAMENTO!$AF$7)/$H369*OFFSET(ORÇAMENTO!$X$15,ROW(AZ369)-ROW(AZ$15),0),
              ROUND(ROUND(OFFSET($P369,0,AZ$13),15-13*ORÇAMENTO!$AF$7)*OFFSET(ORÇAMENTO!$W$15,ROW(AZ369)-ROW(AZ$15),0),15-13*ORÇAMENTO!$AF$11)),
         0)</f>
        <v>0</v>
      </c>
      <c r="BA369" s="453">
        <f ca="1">IF(AND($D369="Serviço",BA$12&lt;&gt;0,$H369&gt;0,OR(AUTOEVENTO&lt;&gt;"manual",$M369&lt;&gt;$A$15)),
        IF(Import.TipoArredondamento&lt;&gt;"TransfereGOV",
              ROUND(OFFSET($P369,0,BA$13),15-13*ORÇAMENTO!$AF$7)/$H369*OFFSET(ORÇAMENTO!$X$15,ROW(BA369)-ROW(BA$15),0),
              ROUND(ROUND(OFFSET($P369,0,BA$13),15-13*ORÇAMENTO!$AF$7)*OFFSET(ORÇAMENTO!$W$15,ROW(BA369)-ROW(BA$15),0),15-13*ORÇAMENTO!$AF$11)),
         0)</f>
        <v>0</v>
      </c>
      <c r="BC369" s="171">
        <f ca="1">IF(OR($D369&lt;&gt;"Serviço",AND(AUTOEVENTO="Manual",$M369=$A$15)),0,
         IF(OFFSET(CRONOPLE!$F$15,$M369-$A$15,BC$13)=0,10^12,OFFSET(CRONOPLE!$F$15,$M369-$A$15,BC$13)))</f>
        <v>1</v>
      </c>
      <c r="BD369" s="171">
        <f ca="1">IF(OR($D369&lt;&gt;"Serviço",AND(AUTOEVENTO="Manual",$M369=$A$15)),0,
         IF(OFFSET(CRONOPLE!$F$15,$M369-$A$15,BD$13)=0,10^12,OFFSET(CRONOPLE!$F$15,$M369-$A$15,BD$13)))</f>
        <v>2</v>
      </c>
      <c r="BE369" s="171">
        <f ca="1">IF(OR($D369&lt;&gt;"Serviço",AND(AUTOEVENTO="Manual",$M369=$A$15)),0,
         IF(OFFSET(CRONOPLE!$F$15,$M369-$A$15,BE$13)=0,10^12,OFFSET(CRONOPLE!$F$15,$M369-$A$15,BE$13)))</f>
        <v>3</v>
      </c>
      <c r="BF369" s="171">
        <f ca="1">IF(OR($D369&lt;&gt;"Serviço",AND(AUTOEVENTO="Manual",$M369=$A$15)),0,
         IF(OFFSET(CRONOPLE!$F$15,$M369-$A$15,BF$13)=0,10^12,OFFSET(CRONOPLE!$F$15,$M369-$A$15,BF$13)))</f>
        <v>4</v>
      </c>
      <c r="BG369" s="171">
        <f ca="1">IF(OR($D369&lt;&gt;"Serviço",AND(AUTOEVENTO="Manual",$M369=$A$15)),0,
         IF(OFFSET(CRONOPLE!$F$15,$M369-$A$15,BG$13)=0,10^12,OFFSET(CRONOPLE!$F$15,$M369-$A$15,BG$13)))</f>
        <v>5</v>
      </c>
      <c r="BH369" s="171">
        <f ca="1">IF(OR($D369&lt;&gt;"Serviço",AND(AUTOEVENTO="Manual",$M369=$A$15)),0,
         IF(OFFSET(CRONOPLE!$F$15,$M369-$A$15,BH$13)=0,10^12,OFFSET(CRONOPLE!$F$15,$M369-$A$15,BH$13)))</f>
        <v>6</v>
      </c>
      <c r="BI369" s="171">
        <f ca="1">IF(OR($D369&lt;&gt;"Serviço",AND(AUTOEVENTO="Manual",$M369=$A$15)),0,
         IF(OFFSET(CRONOPLE!$F$15,$M369-$A$15,BI$13)=0,10^12,OFFSET(CRONOPLE!$F$15,$M369-$A$15,BI$13)))</f>
        <v>7</v>
      </c>
      <c r="BJ369" s="171">
        <f ca="1">IF(OR($D369&lt;&gt;"Serviço",AND(AUTOEVENTO="Manual",$M369=$A$15)),0,
         IF(OFFSET(CRONOPLE!$F$15,$M369-$A$15,BJ$13)=0,10^12,OFFSET(CRONOPLE!$F$15,$M369-$A$15,BJ$13)))</f>
        <v>8</v>
      </c>
      <c r="BK369" s="171">
        <f ca="1">IF(OR($D369&lt;&gt;"Serviço",AND(AUTOEVENTO="Manual",$M369=$A$15)),0,
         IF(OFFSET(CRONOPLE!$F$15,$M369-$A$15,BK$13)=0,10^12,OFFSET(CRONOPLE!$F$15,$M369-$A$15,BK$13)))</f>
        <v>9</v>
      </c>
      <c r="BL369" s="171">
        <f ca="1">IF(OR($D369&lt;&gt;"Serviço",AND(AUTOEVENTO="Manual",$M369=$A$15)),0,
         IF(OFFSET(CRONOPLE!$F$15,$M369-$A$15,BL$13)=0,10^12,OFFSET(CRONOPLE!$F$15,$M369-$A$15,BL$13)))</f>
        <v>1000000000000</v>
      </c>
      <c r="BM369" s="171">
        <f ca="1">IF(OR($D369&lt;&gt;"Serviço",AND(AUTOEVENTO="Manual",$M369=$A$15)),0,
         IF(OFFSET(CRONOPLE!$F$15,$M369-$A$15,BM$13)=0,10^12,OFFSET(CRONOPLE!$F$15,$M369-$A$15,BM$13)))</f>
        <v>1000000000000</v>
      </c>
      <c r="BN369" s="171">
        <f ca="1">IF(OR($D369&lt;&gt;"Serviço",AND(AUTOEVENTO="Manual",$M369=$A$15)),0,
         IF(OFFSET(CRONOPLE!$F$15,$M369-$A$15,BN$13)=0,10^12,OFFSET(CRONOPLE!$F$15,$M369-$A$15,BN$13)))</f>
        <v>1000000000000</v>
      </c>
      <c r="BO369" s="171">
        <f ca="1">IF(OR($D369&lt;&gt;"Serviço",AND(AUTOEVENTO="Manual",$M369=$A$15)),0,
         IF(OFFSET(CRONOPLE!$F$15,$M369-$A$15,BO$13)=0,10^12,OFFSET(CRONOPLE!$F$15,$M369-$A$15,BO$13)))</f>
        <v>1000000000000</v>
      </c>
      <c r="BP369" s="171">
        <f ca="1">IF(OR($D369&lt;&gt;"Serviço",AND(AUTOEVENTO="Manual",$M369=$A$15)),0,
         IF(OFFSET(CRONOPLE!$F$15,$M369-$A$15,BP$13)=0,10^12,OFFSET(CRONOPLE!$F$15,$M369-$A$15,BP$13)))</f>
        <v>1000000000000</v>
      </c>
      <c r="BQ369" s="171">
        <f ca="1">IF(OR($D369&lt;&gt;"Serviço",AND(AUTOEVENTO="Manual",$M369=$A$15)),0,
         IF(OFFSET(CRONOPLE!$F$15,$M369-$A$15,BQ$13)=0,10^12,OFFSET(CRONOPLE!$F$15,$M369-$A$15,BQ$13)))</f>
        <v>1000000000000</v>
      </c>
      <c r="BR369" s="171">
        <f ca="1">IF(OR($D369&lt;&gt;"Serviço",AND(AUTOEVENTO="Manual",$M369=$A$15)),0,
         IF(OFFSET(CRONOPLE!$F$15,$M369-$A$15,BR$13)=0,10^12,OFFSET(CRONOPLE!$F$15,$M369-$A$15,BR$13)))</f>
        <v>1000000000000</v>
      </c>
      <c r="BS369" s="171">
        <f ca="1">IF(OR($D369&lt;&gt;"Serviço",AND(AUTOEVENTO="Manual",$M369=$A$15)),0,
         IF(OFFSET(CRONOPLE!$F$15,$M369-$A$15,BS$13)=0,10^12,OFFSET(CRONOPLE!$F$15,$M369-$A$15,BS$13)))</f>
        <v>1000000000000</v>
      </c>
      <c r="BT369" s="171">
        <f ca="1">IF(OR($D369&lt;&gt;"Serviço",AND(AUTOEVENTO="Manual",$M369=$A$15)),0,
         IF(OFFSET(CRONOPLE!$F$15,$M369-$A$15,BT$13)=0,10^12,OFFSET(CRONOPLE!$F$15,$M369-$A$15,BT$13)))</f>
        <v>1000000000000</v>
      </c>
      <c r="BV369" s="172">
        <f ca="1">IF(OR($D369&lt;&gt;"Serviço",AND(AUTOEVENTO="Manual",$M369=$A$15),$M369&gt;(ROW(PLE.lastrow)-ROW(PLE.firstrow))),0,
           IF(OFFSET(PLE!$G$15,$M369-$A$15,BV$13)="",10^12,OFFSET(PLE!$G$15,$M369-$A$15,BV$13)))</f>
        <v>1000000000000</v>
      </c>
      <c r="BW369" s="172">
        <f ca="1">IF(OR($D369&lt;&gt;"Serviço",AND(AUTOEVENTO="Manual",$M369=$A$15),$M369&gt;(ROW(PLE.lastrow)-ROW(PLE.firstrow))),0,
           IF(OFFSET(PLE!$G$15,$M369-$A$15,BW$13)="",10^12,OFFSET(PLE!$G$15,$M369-$A$15,BW$13)))</f>
        <v>1000000000000</v>
      </c>
      <c r="BX369" s="172">
        <f ca="1">IF(OR($D369&lt;&gt;"Serviço",AND(AUTOEVENTO="Manual",$M369=$A$15),$M369&gt;(ROW(PLE.lastrow)-ROW(PLE.firstrow))),0,
           IF(OFFSET(PLE!$G$15,$M369-$A$15,BX$13)="",10^12,OFFSET(PLE!$G$15,$M369-$A$15,BX$13)))</f>
        <v>1000000000000</v>
      </c>
      <c r="BY369" s="172">
        <f ca="1">IF(OR($D369&lt;&gt;"Serviço",AND(AUTOEVENTO="Manual",$M369=$A$15),$M369&gt;(ROW(PLE.lastrow)-ROW(PLE.firstrow))),0,
           IF(OFFSET(PLE!$G$15,$M369-$A$15,BY$13)="",10^12,OFFSET(PLE!$G$15,$M369-$A$15,BY$13)))</f>
        <v>1000000000000</v>
      </c>
      <c r="BZ369" s="172">
        <f ca="1">IF(OR($D369&lt;&gt;"Serviço",AND(AUTOEVENTO="Manual",$M369=$A$15),$M369&gt;(ROW(PLE.lastrow)-ROW(PLE.firstrow))),0,
           IF(OFFSET(PLE!$G$15,$M369-$A$15,BZ$13)="",10^12,OFFSET(PLE!$G$15,$M369-$A$15,BZ$13)))</f>
        <v>1000000000000</v>
      </c>
      <c r="CA369" s="172">
        <f ca="1">IF(OR($D369&lt;&gt;"Serviço",AND(AUTOEVENTO="Manual",$M369=$A$15),$M369&gt;(ROW(PLE.lastrow)-ROW(PLE.firstrow))),0,
           IF(OFFSET(PLE!$G$15,$M369-$A$15,CA$13)="",10^12,OFFSET(PLE!$G$15,$M369-$A$15,CA$13)))</f>
        <v>1000000000000</v>
      </c>
      <c r="CB369" s="172">
        <f ca="1">IF(OR($D369&lt;&gt;"Serviço",AND(AUTOEVENTO="Manual",$M369=$A$15),$M369&gt;(ROW(PLE.lastrow)-ROW(PLE.firstrow))),0,
           IF(OFFSET(PLE!$G$15,$M369-$A$15,CB$13)="",10^12,OFFSET(PLE!$G$15,$M369-$A$15,CB$13)))</f>
        <v>1000000000000</v>
      </c>
      <c r="CC369" s="172">
        <f ca="1">IF(OR($D369&lt;&gt;"Serviço",AND(AUTOEVENTO="Manual",$M369=$A$15),$M369&gt;(ROW(PLE.lastrow)-ROW(PLE.firstrow))),0,
           IF(OFFSET(PLE!$G$15,$M369-$A$15,CC$13)="",10^12,OFFSET(PLE!$G$15,$M369-$A$15,CC$13)))</f>
        <v>1000000000000</v>
      </c>
      <c r="CD369" s="172">
        <f ca="1">IF(OR($D369&lt;&gt;"Serviço",AND(AUTOEVENTO="Manual",$M369=$A$15),$M369&gt;(ROW(PLE.lastrow)-ROW(PLE.firstrow))),0,
           IF(OFFSET(PLE!$G$15,$M369-$A$15,CD$13)="",10^12,OFFSET(PLE!$G$15,$M369-$A$15,CD$13)))</f>
        <v>1000000000000</v>
      </c>
      <c r="CE369" s="172">
        <f ca="1">IF(OR($D369&lt;&gt;"Serviço",AND(AUTOEVENTO="Manual",$M369=$A$15),$M369&gt;(ROW(PLE.lastrow)-ROW(PLE.firstrow))),0,
           IF(OFFSET(PLE!$G$15,$M369-$A$15,CE$13)="",10^12,OFFSET(PLE!$G$15,$M369-$A$15,CE$13)))</f>
        <v>1000000000000</v>
      </c>
      <c r="CF369" s="172">
        <f ca="1">IF(OR($D369&lt;&gt;"Serviço",AND(AUTOEVENTO="Manual",$M369=$A$15),$M369&gt;(ROW(PLE.lastrow)-ROW(PLE.firstrow))),0,
           IF(OFFSET(PLE!$G$15,$M369-$A$15,CF$13)="",10^12,OFFSET(PLE!$G$15,$M369-$A$15,CF$13)))</f>
        <v>1000000000000</v>
      </c>
      <c r="CG369" s="172">
        <f ca="1">IF(OR($D369&lt;&gt;"Serviço",AND(AUTOEVENTO="Manual",$M369=$A$15),$M369&gt;(ROW(PLE.lastrow)-ROW(PLE.firstrow))),0,
           IF(OFFSET(PLE!$G$15,$M369-$A$15,CG$13)="",10^12,OFFSET(PLE!$G$15,$M369-$A$15,CG$13)))</f>
        <v>1000000000000</v>
      </c>
      <c r="CH369" s="172">
        <f ca="1">IF(OR($D369&lt;&gt;"Serviço",AND(AUTOEVENTO="Manual",$M369=$A$15),$M369&gt;(ROW(PLE.lastrow)-ROW(PLE.firstrow))),0,
           IF(OFFSET(PLE!$G$15,$M369-$A$15,CH$13)="",10^12,OFFSET(PLE!$G$15,$M369-$A$15,CH$13)))</f>
        <v>1000000000000</v>
      </c>
      <c r="CI369" s="172">
        <f ca="1">IF(OR($D369&lt;&gt;"Serviço",AND(AUTOEVENTO="Manual",$M369=$A$15),$M369&gt;(ROW(PLE.lastrow)-ROW(PLE.firstrow))),0,
           IF(OFFSET(PLE!$G$15,$M369-$A$15,CI$13)="",10^12,OFFSET(PLE!$G$15,$M369-$A$15,CI$13)))</f>
        <v>1000000000000</v>
      </c>
      <c r="CJ369" s="172">
        <f ca="1">IF(OR($D369&lt;&gt;"Serviço",AND(AUTOEVENTO="Manual",$M369=$A$15),$M369&gt;(ROW(PLE.lastrow)-ROW(PLE.firstrow))),0,
           IF(OFFSET(PLE!$G$15,$M369-$A$15,CJ$13)="",10^12,OFFSET(PLE!$G$15,$M369-$A$15,CJ$13)))</f>
        <v>1000000000000</v>
      </c>
      <c r="CK369" s="172">
        <f ca="1">IF(OR($D369&lt;&gt;"Serviço",AND(AUTOEVENTO="Manual",$M369=$A$15),$M369&gt;(ROW(PLE.lastrow)-ROW(PLE.firstrow))),0,
           IF(OFFSET(PLE!$G$15,$M369-$A$15,CK$13)="",10^12,OFFSET(PLE!$G$15,$M369-$A$15,CK$13)))</f>
        <v>1000000000000</v>
      </c>
      <c r="CL369" s="172">
        <f ca="1">IF(OR($D369&lt;&gt;"Serviço",AND(AUTOEVENTO="Manual",$M369=$A$15),$M369&gt;(ROW(PLE.lastrow)-ROW(PLE.firstrow))),0,
           IF(OFFSET(PLE!$G$15,$M369-$A$15,CL$13)="",10^12,OFFSET(PLE!$G$15,$M369-$A$15,CL$13)))</f>
        <v>1000000000000</v>
      </c>
      <c r="CM369" s="172">
        <f ca="1">IF(OR($D369&lt;&gt;"Serviço",AND(AUTOEVENTO="Manual",$M369=$A$15),$M369&gt;(ROW(PLE.lastrow)-ROW(PLE.firstrow))),0,
           IF(OFFSET(PLE!$G$15,$M369-$A$15,CM$13)="",10^12,OFFSET(PLE!$G$15,$M369-$A$15,CM$13)))</f>
        <v>1000000000000</v>
      </c>
    </row>
    <row r="370" spans="1:91" ht="12.75" x14ac:dyDescent="0.2">
      <c r="A370" s="7">
        <f t="shared" ca="1" si="15"/>
        <v>8</v>
      </c>
      <c r="B370" s="7">
        <f ca="1">OFFSET(ORÇAMENTO!C$15,ROW(B370)-ROW(B$15),0)</f>
        <v>4</v>
      </c>
      <c r="C370" s="7" t="str">
        <f ca="1">OFFSET(ORÇAMENTO!L$15,ROW(C370)-ROW(C$15),0)</f>
        <v>F</v>
      </c>
      <c r="D370" s="116" t="str">
        <f ca="1">OFFSET(ORÇAMENTO!N$15,ROW(D370)-ROW(D$15),0)</f>
        <v>Nível 4</v>
      </c>
      <c r="E370" s="117" t="str">
        <f ca="1">OFFSET(ORÇAMENTO!O$15,ROW(E370)-ROW(E$15),0)</f>
        <v>1.8.1.3.</v>
      </c>
      <c r="F370" s="163" t="str">
        <f ca="1">OFFSET(ORÇAMENTO!R$15,ROW(F370)-ROW(F$15),0)</f>
        <v>QUADRO DE DISTRIBUIÇÃO DE CIRCUITOS (QCM 9)</v>
      </c>
      <c r="G370" s="164" t="str">
        <f ca="1">IF($D370&lt;&gt;"Serviço","",OFFSET(ORÇAMENTO!S$15,ROW(G370)-ROW(G$15),0))</f>
        <v/>
      </c>
      <c r="H370" s="122" cm="1">
        <f t="array" aca="1" ref="H370" ca="1">IF($D370&lt;&gt;"Serviço",0,IF(ACOMPANHAMENTO="BM",ROUND(OFFSET(ORÇAMENTO!AJ$15,ROW(H370)-ROW(H$15),0),15-13*ORÇAMENTO!$AF$7),SUMPRODUCT(($Q$1:$AI$1=1)*ROUND($Q370:$AI370,15-13*ORÇAMENTO!$AF$7))))</f>
        <v>0</v>
      </c>
      <c r="I370" s="468"/>
      <c r="J370" s="640" t="str" cm="1">
        <f t="array" aca="1" ref="J370" ca="1">IF(OR(B370&lt;&gt;"S",CÁLCULO.FrentesPreenchidas=0),"",IF(AND(ACOMPANHAMENTO="PLE",AUTOEVENTO="Manual",OR(H370&gt;0,ORÇAMENTO!AC370="QUANT."),OR(K370="",M370=0,N370="")),"►E",IF(AND(ACOMPANHAMENTO="PLE",ORÇAMENTO!AC370="QUANT."),"►Q",IF(AND(ACOMPANHAMENTO="PLE",H370&lt;&gt;SUMPRODUCT(($Q$1:$AI$1=1)*ROUND(Q370:AI370,15))),"►S",IF(AND(COUNTIF($P$11:$AI$11,"▼")=0,H370&gt;0,I370=""),"◄M","")))))</f>
        <v/>
      </c>
      <c r="K370" s="641" t="s">
        <v>1366</v>
      </c>
      <c r="L370" s="165" t="s">
        <v>764</v>
      </c>
      <c r="M370" s="166" t="str">
        <f ca="1">IF($D370&lt;&gt;"Serviço","",
          IF(AUTOEVENTO="manual",$A370,
                IF(ISERROR(MATCH($A370,$A$15:OFFSET($A370,-1,0),0)),MAX($M$15:OFFSET(M370,-1,0))+1,
                      INDEX($M$15:OFFSET(M370,-1,0),MATCH($A370,$A$15:OFFSET($A370,-1,0),0)))))</f>
        <v/>
      </c>
      <c r="N370" s="167" t="str">
        <f ca="1">IF($D370&lt;&gt;"Serviço","",
         IF(AUTOEVENTO="Manual",
                IF($A370=0,"&lt;-- defina o número do agrupador",
                       OFFSET(EVENTOS!$D$15,$A370-$A$15,0)),
                OFFSET($F$15,$A370,0)))</f>
        <v/>
      </c>
      <c r="O370" s="168"/>
      <c r="Q370" s="168"/>
      <c r="R370" s="169"/>
      <c r="S370" s="169"/>
      <c r="T370" s="169"/>
      <c r="U370" s="169"/>
      <c r="V370" s="169"/>
      <c r="W370" s="169"/>
      <c r="X370" s="169"/>
      <c r="Y370" s="169"/>
      <c r="Z370" s="170"/>
      <c r="AA370" s="169"/>
      <c r="AB370" s="169"/>
      <c r="AC370" s="169"/>
      <c r="AD370" s="169"/>
      <c r="AE370" s="169"/>
      <c r="AF370" s="169"/>
      <c r="AG370" s="169"/>
      <c r="AH370" s="170"/>
      <c r="AJ370" s="453">
        <f ca="1">IF(AND($D370="Serviço",AJ$12&lt;&gt;0,$H370&gt;0,OR(AUTOEVENTO&lt;&gt;"manual",$M370&lt;&gt;$A$15)),
        IF(Import.TipoArredondamento&lt;&gt;"TransfereGOV",
              ROUND(OFFSET($P370,0,AJ$13),15-13*ORÇAMENTO!$AF$7)/$H370*OFFSET(ORÇAMENTO!$X$15,ROW(AJ370)-ROW(AJ$15),0),
              ROUND(ROUND(OFFSET($P370,0,AJ$13),15-13*ORÇAMENTO!$AF$7)*OFFSET(ORÇAMENTO!$W$15,ROW(AJ370)-ROW(AJ$15),0),15-13*ORÇAMENTO!$AF$11)),
         0)</f>
        <v>0</v>
      </c>
      <c r="AK370" s="453">
        <f ca="1">IF(AND($D370="Serviço",AK$12&lt;&gt;0,$H370&gt;0,OR(AUTOEVENTO&lt;&gt;"manual",$M370&lt;&gt;$A$15)),
        IF(Import.TipoArredondamento&lt;&gt;"TransfereGOV",
              ROUND(OFFSET($P370,0,AK$13),15-13*ORÇAMENTO!$AF$7)/$H370*OFFSET(ORÇAMENTO!$X$15,ROW(AK370)-ROW(AK$15),0),
              ROUND(ROUND(OFFSET($P370,0,AK$13),15-13*ORÇAMENTO!$AF$7)*OFFSET(ORÇAMENTO!$W$15,ROW(AK370)-ROW(AK$15),0),15-13*ORÇAMENTO!$AF$11)),
         0)</f>
        <v>0</v>
      </c>
      <c r="AL370" s="453">
        <f ca="1">IF(AND($D370="Serviço",AL$12&lt;&gt;0,$H370&gt;0,OR(AUTOEVENTO&lt;&gt;"manual",$M370&lt;&gt;$A$15)),
        IF(Import.TipoArredondamento&lt;&gt;"TransfereGOV",
              ROUND(OFFSET($P370,0,AL$13),15-13*ORÇAMENTO!$AF$7)/$H370*OFFSET(ORÇAMENTO!$X$15,ROW(AL370)-ROW(AL$15),0),
              ROUND(ROUND(OFFSET($P370,0,AL$13),15-13*ORÇAMENTO!$AF$7)*OFFSET(ORÇAMENTO!$W$15,ROW(AL370)-ROW(AL$15),0),15-13*ORÇAMENTO!$AF$11)),
         0)</f>
        <v>0</v>
      </c>
      <c r="AM370" s="453">
        <f ca="1">IF(AND($D370="Serviço",AM$12&lt;&gt;0,$H370&gt;0,OR(AUTOEVENTO&lt;&gt;"manual",$M370&lt;&gt;$A$15)),
        IF(Import.TipoArredondamento&lt;&gt;"TransfereGOV",
              ROUND(OFFSET($P370,0,AM$13),15-13*ORÇAMENTO!$AF$7)/$H370*OFFSET(ORÇAMENTO!$X$15,ROW(AM370)-ROW(AM$15),0),
              ROUND(ROUND(OFFSET($P370,0,AM$13),15-13*ORÇAMENTO!$AF$7)*OFFSET(ORÇAMENTO!$W$15,ROW(AM370)-ROW(AM$15),0),15-13*ORÇAMENTO!$AF$11)),
         0)</f>
        <v>0</v>
      </c>
      <c r="AN370" s="453">
        <f ca="1">IF(AND($D370="Serviço",AN$12&lt;&gt;0,$H370&gt;0,OR(AUTOEVENTO&lt;&gt;"manual",$M370&lt;&gt;$A$15)),
        IF(Import.TipoArredondamento&lt;&gt;"TransfereGOV",
              ROUND(OFFSET($P370,0,AN$13),15-13*ORÇAMENTO!$AF$7)/$H370*OFFSET(ORÇAMENTO!$X$15,ROW(AN370)-ROW(AN$15),0),
              ROUND(ROUND(OFFSET($P370,0,AN$13),15-13*ORÇAMENTO!$AF$7)*OFFSET(ORÇAMENTO!$W$15,ROW(AN370)-ROW(AN$15),0),15-13*ORÇAMENTO!$AF$11)),
         0)</f>
        <v>0</v>
      </c>
      <c r="AO370" s="453">
        <f ca="1">IF(AND($D370="Serviço",AO$12&lt;&gt;0,$H370&gt;0,OR(AUTOEVENTO&lt;&gt;"manual",$M370&lt;&gt;$A$15)),
        IF(Import.TipoArredondamento&lt;&gt;"TransfereGOV",
              ROUND(OFFSET($P370,0,AO$13),15-13*ORÇAMENTO!$AF$7)/$H370*OFFSET(ORÇAMENTO!$X$15,ROW(AO370)-ROW(AO$15),0),
              ROUND(ROUND(OFFSET($P370,0,AO$13),15-13*ORÇAMENTO!$AF$7)*OFFSET(ORÇAMENTO!$W$15,ROW(AO370)-ROW(AO$15),0),15-13*ORÇAMENTO!$AF$11)),
         0)</f>
        <v>0</v>
      </c>
      <c r="AP370" s="453">
        <f ca="1">IF(AND($D370="Serviço",AP$12&lt;&gt;0,$H370&gt;0,OR(AUTOEVENTO&lt;&gt;"manual",$M370&lt;&gt;$A$15)),
        IF(Import.TipoArredondamento&lt;&gt;"TransfereGOV",
              ROUND(OFFSET($P370,0,AP$13),15-13*ORÇAMENTO!$AF$7)/$H370*OFFSET(ORÇAMENTO!$X$15,ROW(AP370)-ROW(AP$15),0),
              ROUND(ROUND(OFFSET($P370,0,AP$13),15-13*ORÇAMENTO!$AF$7)*OFFSET(ORÇAMENTO!$W$15,ROW(AP370)-ROW(AP$15),0),15-13*ORÇAMENTO!$AF$11)),
         0)</f>
        <v>0</v>
      </c>
      <c r="AQ370" s="453">
        <f ca="1">IF(AND($D370="Serviço",AQ$12&lt;&gt;0,$H370&gt;0,OR(AUTOEVENTO&lt;&gt;"manual",$M370&lt;&gt;$A$15)),
        IF(Import.TipoArredondamento&lt;&gt;"TransfereGOV",
              ROUND(OFFSET($P370,0,AQ$13),15-13*ORÇAMENTO!$AF$7)/$H370*OFFSET(ORÇAMENTO!$X$15,ROW(AQ370)-ROW(AQ$15),0),
              ROUND(ROUND(OFFSET($P370,0,AQ$13),15-13*ORÇAMENTO!$AF$7)*OFFSET(ORÇAMENTO!$W$15,ROW(AQ370)-ROW(AQ$15),0),15-13*ORÇAMENTO!$AF$11)),
         0)</f>
        <v>0</v>
      </c>
      <c r="AR370" s="453">
        <f ca="1">IF(AND($D370="Serviço",AR$12&lt;&gt;0,$H370&gt;0,OR(AUTOEVENTO&lt;&gt;"manual",$M370&lt;&gt;$A$15)),
        IF(Import.TipoArredondamento&lt;&gt;"TransfereGOV",
              ROUND(OFFSET($P370,0,AR$13),15-13*ORÇAMENTO!$AF$7)/$H370*OFFSET(ORÇAMENTO!$X$15,ROW(AR370)-ROW(AR$15),0),
              ROUND(ROUND(OFFSET($P370,0,AR$13),15-13*ORÇAMENTO!$AF$7)*OFFSET(ORÇAMENTO!$W$15,ROW(AR370)-ROW(AR$15),0),15-13*ORÇAMENTO!$AF$11)),
         0)</f>
        <v>0</v>
      </c>
      <c r="AS370" s="453">
        <f ca="1">IF(AND($D370="Serviço",AS$12&lt;&gt;0,$H370&gt;0,OR(AUTOEVENTO&lt;&gt;"manual",$M370&lt;&gt;$A$15)),
        IF(Import.TipoArredondamento&lt;&gt;"TransfereGOV",
              ROUND(OFFSET($P370,0,AS$13),15-13*ORÇAMENTO!$AF$7)/$H370*OFFSET(ORÇAMENTO!$X$15,ROW(AS370)-ROW(AS$15),0),
              ROUND(ROUND(OFFSET($P370,0,AS$13),15-13*ORÇAMENTO!$AF$7)*OFFSET(ORÇAMENTO!$W$15,ROW(AS370)-ROW(AS$15),0),15-13*ORÇAMENTO!$AF$11)),
         0)</f>
        <v>0</v>
      </c>
      <c r="AT370" s="453">
        <f ca="1">IF(AND($D370="Serviço",AT$12&lt;&gt;0,$H370&gt;0,OR(AUTOEVENTO&lt;&gt;"manual",$M370&lt;&gt;$A$15)),
        IF(Import.TipoArredondamento&lt;&gt;"TransfereGOV",
              ROUND(OFFSET($P370,0,AT$13),15-13*ORÇAMENTO!$AF$7)/$H370*OFFSET(ORÇAMENTO!$X$15,ROW(AT370)-ROW(AT$15),0),
              ROUND(ROUND(OFFSET($P370,0,AT$13),15-13*ORÇAMENTO!$AF$7)*OFFSET(ORÇAMENTO!$W$15,ROW(AT370)-ROW(AT$15),0),15-13*ORÇAMENTO!$AF$11)),
         0)</f>
        <v>0</v>
      </c>
      <c r="AU370" s="453">
        <f ca="1">IF(AND($D370="Serviço",AU$12&lt;&gt;0,$H370&gt;0,OR(AUTOEVENTO&lt;&gt;"manual",$M370&lt;&gt;$A$15)),
        IF(Import.TipoArredondamento&lt;&gt;"TransfereGOV",
              ROUND(OFFSET($P370,0,AU$13),15-13*ORÇAMENTO!$AF$7)/$H370*OFFSET(ORÇAMENTO!$X$15,ROW(AU370)-ROW(AU$15),0),
              ROUND(ROUND(OFFSET($P370,0,AU$13),15-13*ORÇAMENTO!$AF$7)*OFFSET(ORÇAMENTO!$W$15,ROW(AU370)-ROW(AU$15),0),15-13*ORÇAMENTO!$AF$11)),
         0)</f>
        <v>0</v>
      </c>
      <c r="AV370" s="453">
        <f ca="1">IF(AND($D370="Serviço",AV$12&lt;&gt;0,$H370&gt;0,OR(AUTOEVENTO&lt;&gt;"manual",$M370&lt;&gt;$A$15)),
        IF(Import.TipoArredondamento&lt;&gt;"TransfereGOV",
              ROUND(OFFSET($P370,0,AV$13),15-13*ORÇAMENTO!$AF$7)/$H370*OFFSET(ORÇAMENTO!$X$15,ROW(AV370)-ROW(AV$15),0),
              ROUND(ROUND(OFFSET($P370,0,AV$13),15-13*ORÇAMENTO!$AF$7)*OFFSET(ORÇAMENTO!$W$15,ROW(AV370)-ROW(AV$15),0),15-13*ORÇAMENTO!$AF$11)),
         0)</f>
        <v>0</v>
      </c>
      <c r="AW370" s="453">
        <f ca="1">IF(AND($D370="Serviço",AW$12&lt;&gt;0,$H370&gt;0,OR(AUTOEVENTO&lt;&gt;"manual",$M370&lt;&gt;$A$15)),
        IF(Import.TipoArredondamento&lt;&gt;"TransfereGOV",
              ROUND(OFFSET($P370,0,AW$13),15-13*ORÇAMENTO!$AF$7)/$H370*OFFSET(ORÇAMENTO!$X$15,ROW(AW370)-ROW(AW$15),0),
              ROUND(ROUND(OFFSET($P370,0,AW$13),15-13*ORÇAMENTO!$AF$7)*OFFSET(ORÇAMENTO!$W$15,ROW(AW370)-ROW(AW$15),0),15-13*ORÇAMENTO!$AF$11)),
         0)</f>
        <v>0</v>
      </c>
      <c r="AX370" s="453">
        <f ca="1">IF(AND($D370="Serviço",AX$12&lt;&gt;0,$H370&gt;0,OR(AUTOEVENTO&lt;&gt;"manual",$M370&lt;&gt;$A$15)),
        IF(Import.TipoArredondamento&lt;&gt;"TransfereGOV",
              ROUND(OFFSET($P370,0,AX$13),15-13*ORÇAMENTO!$AF$7)/$H370*OFFSET(ORÇAMENTO!$X$15,ROW(AX370)-ROW(AX$15),0),
              ROUND(ROUND(OFFSET($P370,0,AX$13),15-13*ORÇAMENTO!$AF$7)*OFFSET(ORÇAMENTO!$W$15,ROW(AX370)-ROW(AX$15),0),15-13*ORÇAMENTO!$AF$11)),
         0)</f>
        <v>0</v>
      </c>
      <c r="AY370" s="453">
        <f ca="1">IF(AND($D370="Serviço",AY$12&lt;&gt;0,$H370&gt;0,OR(AUTOEVENTO&lt;&gt;"manual",$M370&lt;&gt;$A$15)),
        IF(Import.TipoArredondamento&lt;&gt;"TransfereGOV",
              ROUND(OFFSET($P370,0,AY$13),15-13*ORÇAMENTO!$AF$7)/$H370*OFFSET(ORÇAMENTO!$X$15,ROW(AY370)-ROW(AY$15),0),
              ROUND(ROUND(OFFSET($P370,0,AY$13),15-13*ORÇAMENTO!$AF$7)*OFFSET(ORÇAMENTO!$W$15,ROW(AY370)-ROW(AY$15),0),15-13*ORÇAMENTO!$AF$11)),
         0)</f>
        <v>0</v>
      </c>
      <c r="AZ370" s="453">
        <f ca="1">IF(AND($D370="Serviço",AZ$12&lt;&gt;0,$H370&gt;0,OR(AUTOEVENTO&lt;&gt;"manual",$M370&lt;&gt;$A$15)),
        IF(Import.TipoArredondamento&lt;&gt;"TransfereGOV",
              ROUND(OFFSET($P370,0,AZ$13),15-13*ORÇAMENTO!$AF$7)/$H370*OFFSET(ORÇAMENTO!$X$15,ROW(AZ370)-ROW(AZ$15),0),
              ROUND(ROUND(OFFSET($P370,0,AZ$13),15-13*ORÇAMENTO!$AF$7)*OFFSET(ORÇAMENTO!$W$15,ROW(AZ370)-ROW(AZ$15),0),15-13*ORÇAMENTO!$AF$11)),
         0)</f>
        <v>0</v>
      </c>
      <c r="BA370" s="453">
        <f ca="1">IF(AND($D370="Serviço",BA$12&lt;&gt;0,$H370&gt;0,OR(AUTOEVENTO&lt;&gt;"manual",$M370&lt;&gt;$A$15)),
        IF(Import.TipoArredondamento&lt;&gt;"TransfereGOV",
              ROUND(OFFSET($P370,0,BA$13),15-13*ORÇAMENTO!$AF$7)/$H370*OFFSET(ORÇAMENTO!$X$15,ROW(BA370)-ROW(BA$15),0),
              ROUND(ROUND(OFFSET($P370,0,BA$13),15-13*ORÇAMENTO!$AF$7)*OFFSET(ORÇAMENTO!$W$15,ROW(BA370)-ROW(BA$15),0),15-13*ORÇAMENTO!$AF$11)),
         0)</f>
        <v>0</v>
      </c>
      <c r="BC370" s="171">
        <f ca="1">IF(OR($D370&lt;&gt;"Serviço",AND(AUTOEVENTO="Manual",$M370=$A$15)),0,
         IF(OFFSET(CRONOPLE!$F$15,$M370-$A$15,BC$13)=0,10^12,OFFSET(CRONOPLE!$F$15,$M370-$A$15,BC$13)))</f>
        <v>0</v>
      </c>
      <c r="BD370" s="171">
        <f ca="1">IF(OR($D370&lt;&gt;"Serviço",AND(AUTOEVENTO="Manual",$M370=$A$15)),0,
         IF(OFFSET(CRONOPLE!$F$15,$M370-$A$15,BD$13)=0,10^12,OFFSET(CRONOPLE!$F$15,$M370-$A$15,BD$13)))</f>
        <v>0</v>
      </c>
      <c r="BE370" s="171">
        <f ca="1">IF(OR($D370&lt;&gt;"Serviço",AND(AUTOEVENTO="Manual",$M370=$A$15)),0,
         IF(OFFSET(CRONOPLE!$F$15,$M370-$A$15,BE$13)=0,10^12,OFFSET(CRONOPLE!$F$15,$M370-$A$15,BE$13)))</f>
        <v>0</v>
      </c>
      <c r="BF370" s="171">
        <f ca="1">IF(OR($D370&lt;&gt;"Serviço",AND(AUTOEVENTO="Manual",$M370=$A$15)),0,
         IF(OFFSET(CRONOPLE!$F$15,$M370-$A$15,BF$13)=0,10^12,OFFSET(CRONOPLE!$F$15,$M370-$A$15,BF$13)))</f>
        <v>0</v>
      </c>
      <c r="BG370" s="171">
        <f ca="1">IF(OR($D370&lt;&gt;"Serviço",AND(AUTOEVENTO="Manual",$M370=$A$15)),0,
         IF(OFFSET(CRONOPLE!$F$15,$M370-$A$15,BG$13)=0,10^12,OFFSET(CRONOPLE!$F$15,$M370-$A$15,BG$13)))</f>
        <v>0</v>
      </c>
      <c r="BH370" s="171">
        <f ca="1">IF(OR($D370&lt;&gt;"Serviço",AND(AUTOEVENTO="Manual",$M370=$A$15)),0,
         IF(OFFSET(CRONOPLE!$F$15,$M370-$A$15,BH$13)=0,10^12,OFFSET(CRONOPLE!$F$15,$M370-$A$15,BH$13)))</f>
        <v>0</v>
      </c>
      <c r="BI370" s="171">
        <f ca="1">IF(OR($D370&lt;&gt;"Serviço",AND(AUTOEVENTO="Manual",$M370=$A$15)),0,
         IF(OFFSET(CRONOPLE!$F$15,$M370-$A$15,BI$13)=0,10^12,OFFSET(CRONOPLE!$F$15,$M370-$A$15,BI$13)))</f>
        <v>0</v>
      </c>
      <c r="BJ370" s="171">
        <f ca="1">IF(OR($D370&lt;&gt;"Serviço",AND(AUTOEVENTO="Manual",$M370=$A$15)),0,
         IF(OFFSET(CRONOPLE!$F$15,$M370-$A$15,BJ$13)=0,10^12,OFFSET(CRONOPLE!$F$15,$M370-$A$15,BJ$13)))</f>
        <v>0</v>
      </c>
      <c r="BK370" s="171">
        <f ca="1">IF(OR($D370&lt;&gt;"Serviço",AND(AUTOEVENTO="Manual",$M370=$A$15)),0,
         IF(OFFSET(CRONOPLE!$F$15,$M370-$A$15,BK$13)=0,10^12,OFFSET(CRONOPLE!$F$15,$M370-$A$15,BK$13)))</f>
        <v>0</v>
      </c>
      <c r="BL370" s="171">
        <f ca="1">IF(OR($D370&lt;&gt;"Serviço",AND(AUTOEVENTO="Manual",$M370=$A$15)),0,
         IF(OFFSET(CRONOPLE!$F$15,$M370-$A$15,BL$13)=0,10^12,OFFSET(CRONOPLE!$F$15,$M370-$A$15,BL$13)))</f>
        <v>0</v>
      </c>
      <c r="BM370" s="171">
        <f ca="1">IF(OR($D370&lt;&gt;"Serviço",AND(AUTOEVENTO="Manual",$M370=$A$15)),0,
         IF(OFFSET(CRONOPLE!$F$15,$M370-$A$15,BM$13)=0,10^12,OFFSET(CRONOPLE!$F$15,$M370-$A$15,BM$13)))</f>
        <v>0</v>
      </c>
      <c r="BN370" s="171">
        <f ca="1">IF(OR($D370&lt;&gt;"Serviço",AND(AUTOEVENTO="Manual",$M370=$A$15)),0,
         IF(OFFSET(CRONOPLE!$F$15,$M370-$A$15,BN$13)=0,10^12,OFFSET(CRONOPLE!$F$15,$M370-$A$15,BN$13)))</f>
        <v>0</v>
      </c>
      <c r="BO370" s="171">
        <f ca="1">IF(OR($D370&lt;&gt;"Serviço",AND(AUTOEVENTO="Manual",$M370=$A$15)),0,
         IF(OFFSET(CRONOPLE!$F$15,$M370-$A$15,BO$13)=0,10^12,OFFSET(CRONOPLE!$F$15,$M370-$A$15,BO$13)))</f>
        <v>0</v>
      </c>
      <c r="BP370" s="171">
        <f ca="1">IF(OR($D370&lt;&gt;"Serviço",AND(AUTOEVENTO="Manual",$M370=$A$15)),0,
         IF(OFFSET(CRONOPLE!$F$15,$M370-$A$15,BP$13)=0,10^12,OFFSET(CRONOPLE!$F$15,$M370-$A$15,BP$13)))</f>
        <v>0</v>
      </c>
      <c r="BQ370" s="171">
        <f ca="1">IF(OR($D370&lt;&gt;"Serviço",AND(AUTOEVENTO="Manual",$M370=$A$15)),0,
         IF(OFFSET(CRONOPLE!$F$15,$M370-$A$15,BQ$13)=0,10^12,OFFSET(CRONOPLE!$F$15,$M370-$A$15,BQ$13)))</f>
        <v>0</v>
      </c>
      <c r="BR370" s="171">
        <f ca="1">IF(OR($D370&lt;&gt;"Serviço",AND(AUTOEVENTO="Manual",$M370=$A$15)),0,
         IF(OFFSET(CRONOPLE!$F$15,$M370-$A$15,BR$13)=0,10^12,OFFSET(CRONOPLE!$F$15,$M370-$A$15,BR$13)))</f>
        <v>0</v>
      </c>
      <c r="BS370" s="171">
        <f ca="1">IF(OR($D370&lt;&gt;"Serviço",AND(AUTOEVENTO="Manual",$M370=$A$15)),0,
         IF(OFFSET(CRONOPLE!$F$15,$M370-$A$15,BS$13)=0,10^12,OFFSET(CRONOPLE!$F$15,$M370-$A$15,BS$13)))</f>
        <v>0</v>
      </c>
      <c r="BT370" s="171">
        <f ca="1">IF(OR($D370&lt;&gt;"Serviço",AND(AUTOEVENTO="Manual",$M370=$A$15)),0,
         IF(OFFSET(CRONOPLE!$F$15,$M370-$A$15,BT$13)=0,10^12,OFFSET(CRONOPLE!$F$15,$M370-$A$15,BT$13)))</f>
        <v>0</v>
      </c>
      <c r="BV370" s="172">
        <f ca="1">IF(OR($D370&lt;&gt;"Serviço",AND(AUTOEVENTO="Manual",$M370=$A$15),$M370&gt;(ROW(PLE.lastrow)-ROW(PLE.firstrow))),0,
           IF(OFFSET(PLE!$G$15,$M370-$A$15,BV$13)="",10^12,OFFSET(PLE!$G$15,$M370-$A$15,BV$13)))</f>
        <v>0</v>
      </c>
      <c r="BW370" s="172">
        <f ca="1">IF(OR($D370&lt;&gt;"Serviço",AND(AUTOEVENTO="Manual",$M370=$A$15),$M370&gt;(ROW(PLE.lastrow)-ROW(PLE.firstrow))),0,
           IF(OFFSET(PLE!$G$15,$M370-$A$15,BW$13)="",10^12,OFFSET(PLE!$G$15,$M370-$A$15,BW$13)))</f>
        <v>0</v>
      </c>
      <c r="BX370" s="172">
        <f ca="1">IF(OR($D370&lt;&gt;"Serviço",AND(AUTOEVENTO="Manual",$M370=$A$15),$M370&gt;(ROW(PLE.lastrow)-ROW(PLE.firstrow))),0,
           IF(OFFSET(PLE!$G$15,$M370-$A$15,BX$13)="",10^12,OFFSET(PLE!$G$15,$M370-$A$15,BX$13)))</f>
        <v>0</v>
      </c>
      <c r="BY370" s="172">
        <f ca="1">IF(OR($D370&lt;&gt;"Serviço",AND(AUTOEVENTO="Manual",$M370=$A$15),$M370&gt;(ROW(PLE.lastrow)-ROW(PLE.firstrow))),0,
           IF(OFFSET(PLE!$G$15,$M370-$A$15,BY$13)="",10^12,OFFSET(PLE!$G$15,$M370-$A$15,BY$13)))</f>
        <v>0</v>
      </c>
      <c r="BZ370" s="172">
        <f ca="1">IF(OR($D370&lt;&gt;"Serviço",AND(AUTOEVENTO="Manual",$M370=$A$15),$M370&gt;(ROW(PLE.lastrow)-ROW(PLE.firstrow))),0,
           IF(OFFSET(PLE!$G$15,$M370-$A$15,BZ$13)="",10^12,OFFSET(PLE!$G$15,$M370-$A$15,BZ$13)))</f>
        <v>0</v>
      </c>
      <c r="CA370" s="172">
        <f ca="1">IF(OR($D370&lt;&gt;"Serviço",AND(AUTOEVENTO="Manual",$M370=$A$15),$M370&gt;(ROW(PLE.lastrow)-ROW(PLE.firstrow))),0,
           IF(OFFSET(PLE!$G$15,$M370-$A$15,CA$13)="",10^12,OFFSET(PLE!$G$15,$M370-$A$15,CA$13)))</f>
        <v>0</v>
      </c>
      <c r="CB370" s="172">
        <f ca="1">IF(OR($D370&lt;&gt;"Serviço",AND(AUTOEVENTO="Manual",$M370=$A$15),$M370&gt;(ROW(PLE.lastrow)-ROW(PLE.firstrow))),0,
           IF(OFFSET(PLE!$G$15,$M370-$A$15,CB$13)="",10^12,OFFSET(PLE!$G$15,$M370-$A$15,CB$13)))</f>
        <v>0</v>
      </c>
      <c r="CC370" s="172">
        <f ca="1">IF(OR($D370&lt;&gt;"Serviço",AND(AUTOEVENTO="Manual",$M370=$A$15),$M370&gt;(ROW(PLE.lastrow)-ROW(PLE.firstrow))),0,
           IF(OFFSET(PLE!$G$15,$M370-$A$15,CC$13)="",10^12,OFFSET(PLE!$G$15,$M370-$A$15,CC$13)))</f>
        <v>0</v>
      </c>
      <c r="CD370" s="172">
        <f ca="1">IF(OR($D370&lt;&gt;"Serviço",AND(AUTOEVENTO="Manual",$M370=$A$15),$M370&gt;(ROW(PLE.lastrow)-ROW(PLE.firstrow))),0,
           IF(OFFSET(PLE!$G$15,$M370-$A$15,CD$13)="",10^12,OFFSET(PLE!$G$15,$M370-$A$15,CD$13)))</f>
        <v>0</v>
      </c>
      <c r="CE370" s="172">
        <f ca="1">IF(OR($D370&lt;&gt;"Serviço",AND(AUTOEVENTO="Manual",$M370=$A$15),$M370&gt;(ROW(PLE.lastrow)-ROW(PLE.firstrow))),0,
           IF(OFFSET(PLE!$G$15,$M370-$A$15,CE$13)="",10^12,OFFSET(PLE!$G$15,$M370-$A$15,CE$13)))</f>
        <v>0</v>
      </c>
      <c r="CF370" s="172">
        <f ca="1">IF(OR($D370&lt;&gt;"Serviço",AND(AUTOEVENTO="Manual",$M370=$A$15),$M370&gt;(ROW(PLE.lastrow)-ROW(PLE.firstrow))),0,
           IF(OFFSET(PLE!$G$15,$M370-$A$15,CF$13)="",10^12,OFFSET(PLE!$G$15,$M370-$A$15,CF$13)))</f>
        <v>0</v>
      </c>
      <c r="CG370" s="172">
        <f ca="1">IF(OR($D370&lt;&gt;"Serviço",AND(AUTOEVENTO="Manual",$M370=$A$15),$M370&gt;(ROW(PLE.lastrow)-ROW(PLE.firstrow))),0,
           IF(OFFSET(PLE!$G$15,$M370-$A$15,CG$13)="",10^12,OFFSET(PLE!$G$15,$M370-$A$15,CG$13)))</f>
        <v>0</v>
      </c>
      <c r="CH370" s="172">
        <f ca="1">IF(OR($D370&lt;&gt;"Serviço",AND(AUTOEVENTO="Manual",$M370=$A$15),$M370&gt;(ROW(PLE.lastrow)-ROW(PLE.firstrow))),0,
           IF(OFFSET(PLE!$G$15,$M370-$A$15,CH$13)="",10^12,OFFSET(PLE!$G$15,$M370-$A$15,CH$13)))</f>
        <v>0</v>
      </c>
      <c r="CI370" s="172">
        <f ca="1">IF(OR($D370&lt;&gt;"Serviço",AND(AUTOEVENTO="Manual",$M370=$A$15),$M370&gt;(ROW(PLE.lastrow)-ROW(PLE.firstrow))),0,
           IF(OFFSET(PLE!$G$15,$M370-$A$15,CI$13)="",10^12,OFFSET(PLE!$G$15,$M370-$A$15,CI$13)))</f>
        <v>0</v>
      </c>
      <c r="CJ370" s="172">
        <f ca="1">IF(OR($D370&lt;&gt;"Serviço",AND(AUTOEVENTO="Manual",$M370=$A$15),$M370&gt;(ROW(PLE.lastrow)-ROW(PLE.firstrow))),0,
           IF(OFFSET(PLE!$G$15,$M370-$A$15,CJ$13)="",10^12,OFFSET(PLE!$G$15,$M370-$A$15,CJ$13)))</f>
        <v>0</v>
      </c>
      <c r="CK370" s="172">
        <f ca="1">IF(OR($D370&lt;&gt;"Serviço",AND(AUTOEVENTO="Manual",$M370=$A$15),$M370&gt;(ROW(PLE.lastrow)-ROW(PLE.firstrow))),0,
           IF(OFFSET(PLE!$G$15,$M370-$A$15,CK$13)="",10^12,OFFSET(PLE!$G$15,$M370-$A$15,CK$13)))</f>
        <v>0</v>
      </c>
      <c r="CL370" s="172">
        <f ca="1">IF(OR($D370&lt;&gt;"Serviço",AND(AUTOEVENTO="Manual",$M370=$A$15),$M370&gt;(ROW(PLE.lastrow)-ROW(PLE.firstrow))),0,
           IF(OFFSET(PLE!$G$15,$M370-$A$15,CL$13)="",10^12,OFFSET(PLE!$G$15,$M370-$A$15,CL$13)))</f>
        <v>0</v>
      </c>
      <c r="CM370" s="172">
        <f ca="1">IF(OR($D370&lt;&gt;"Serviço",AND(AUTOEVENTO="Manual",$M370=$A$15),$M370&gt;(ROW(PLE.lastrow)-ROW(PLE.firstrow))),0,
           IF(OFFSET(PLE!$G$15,$M370-$A$15,CM$13)="",10^12,OFFSET(PLE!$G$15,$M370-$A$15,CM$13)))</f>
        <v>0</v>
      </c>
    </row>
    <row r="371" spans="1:91" ht="38.25" x14ac:dyDescent="0.2">
      <c r="A371" s="7">
        <f t="shared" ca="1" si="15"/>
        <v>7</v>
      </c>
      <c r="B371" s="7" t="str">
        <f ca="1">OFFSET(ORÇAMENTO!C$15,ROW(B371)-ROW(B$15),0)</f>
        <v>S</v>
      </c>
      <c r="C371" s="7" t="str">
        <f ca="1">OFFSET(ORÇAMENTO!L$15,ROW(C371)-ROW(C$15),0)</f>
        <v>F</v>
      </c>
      <c r="D371" s="116" t="str">
        <f ca="1">OFFSET(ORÇAMENTO!N$15,ROW(D371)-ROW(D$15),0)</f>
        <v>Serviço</v>
      </c>
      <c r="E371" s="117" t="str">
        <f ca="1">OFFSET(ORÇAMENTO!O$15,ROW(E371)-ROW(E$15),0)</f>
        <v>1.8.1.3.1.</v>
      </c>
      <c r="F371" s="163" t="str">
        <f ca="1">OFFSET(ORÇAMENTO!R$15,ROW(F371)-ROW(F$15),0)</f>
        <v>QUADRO DE DISTRIBUIÇÃO DE SOBREPOR EM CHAPA, PARA 24 DISJUNTORES DIN, INCLUSIVE BARRAMENTOS NEUTRO/TERRA E BARRAMENTO TRIFÁSICO DE 100A</v>
      </c>
      <c r="G371" s="164" t="str">
        <f ca="1">IF($D371&lt;&gt;"Serviço","",OFFSET(ORÇAMENTO!S$15,ROW(G371)-ROW(G$15),0))</f>
        <v>UN</v>
      </c>
      <c r="H371" s="122" cm="1">
        <f t="array" aca="1" ref="H371" ca="1">IF($D371&lt;&gt;"Serviço",0,IF(ACOMPANHAMENTO="BM",ROUND(OFFSET(ORÇAMENTO!AJ$15,ROW(H371)-ROW(H$15),0),15-13*ORÇAMENTO!$AF$7),SUMPRODUCT(($Q$1:$AI$1=1)*ROUND($Q371:$AI371,15-13*ORÇAMENTO!$AF$7))))</f>
        <v>1</v>
      </c>
      <c r="I371" s="468" t="s">
        <v>1431</v>
      </c>
      <c r="J371" s="640" t="str" cm="1">
        <f t="array" aca="1" ref="J371" ca="1">IF(OR(B371&lt;&gt;"S",CÁLCULO.FrentesPreenchidas=0),"",IF(AND(ACOMPANHAMENTO="PLE",AUTOEVENTO="Manual",OR(H371&gt;0,ORÇAMENTO!AC371="QUANT."),OR(K371="",M371=0,N371="")),"►E",IF(AND(ACOMPANHAMENTO="PLE",ORÇAMENTO!AC371="QUANT."),"►Q",IF(AND(ACOMPANHAMENTO="PLE",H371&lt;&gt;SUMPRODUCT(($Q$1:$AI$1=1)*ROUND(Q371:AI371,15))),"►S",IF(AND(COUNTIF($P$11:$AI$11,"▼")=0,H371&gt;0,I371=""),"◄M","")))))</f>
        <v/>
      </c>
      <c r="K371" s="641" t="s">
        <v>1391</v>
      </c>
      <c r="L371" s="165" t="s">
        <v>764</v>
      </c>
      <c r="M371" s="166">
        <f ca="1">IF($D371&lt;&gt;"Serviço","",
          IF(AUTOEVENTO="manual",$A371,
                IF(ISERROR(MATCH($A371,$A$15:OFFSET($A371,-1,0),0)),MAX($M$15:OFFSET(M371,-1,0))+1,
                      INDEX($M$15:OFFSET(M371,-1,0),MATCH($A371,$A$15:OFFSET($A371,-1,0),0)))))</f>
        <v>7</v>
      </c>
      <c r="N371" s="167" t="str">
        <f ca="1">IF($D371&lt;&gt;"Serviço","",
         IF(AUTOEVENTO="Manual",
                IF($A371=0,"&lt;-- defina o número do agrupador",
                       OFFSET(EVENTOS!$D$15,$A371-$A$15,0)),
                OFFSET($F$15,$A371,0)))</f>
        <v>Instalações Elétricas</v>
      </c>
      <c r="O371" s="168"/>
      <c r="Q371" s="168"/>
      <c r="R371" s="169"/>
      <c r="S371" s="169"/>
      <c r="T371" s="169"/>
      <c r="U371" s="169"/>
      <c r="V371" s="169"/>
      <c r="W371" s="169"/>
      <c r="X371" s="169">
        <v>1</v>
      </c>
      <c r="Y371" s="169"/>
      <c r="Z371" s="170"/>
      <c r="AA371" s="169"/>
      <c r="AB371" s="169"/>
      <c r="AC371" s="169"/>
      <c r="AD371" s="169"/>
      <c r="AE371" s="169"/>
      <c r="AF371" s="169"/>
      <c r="AG371" s="169"/>
      <c r="AH371" s="170"/>
      <c r="AJ371" s="453">
        <f ca="1">IF(AND($D371="Serviço",AJ$12&lt;&gt;0,$H371&gt;0,OR(AUTOEVENTO&lt;&gt;"manual",$M371&lt;&gt;$A$15)),
        IF(Import.TipoArredondamento&lt;&gt;"TransfereGOV",
              ROUND(OFFSET($P371,0,AJ$13),15-13*ORÇAMENTO!$AF$7)/$H371*OFFSET(ORÇAMENTO!$X$15,ROW(AJ371)-ROW(AJ$15),0),
              ROUND(ROUND(OFFSET($P371,0,AJ$13),15-13*ORÇAMENTO!$AF$7)*OFFSET(ORÇAMENTO!$W$15,ROW(AJ371)-ROW(AJ$15),0),15-13*ORÇAMENTO!$AF$11)),
         0)</f>
        <v>0</v>
      </c>
      <c r="AK371" s="453">
        <f ca="1">IF(AND($D371="Serviço",AK$12&lt;&gt;0,$H371&gt;0,OR(AUTOEVENTO&lt;&gt;"manual",$M371&lt;&gt;$A$15)),
        IF(Import.TipoArredondamento&lt;&gt;"TransfereGOV",
              ROUND(OFFSET($P371,0,AK$13),15-13*ORÇAMENTO!$AF$7)/$H371*OFFSET(ORÇAMENTO!$X$15,ROW(AK371)-ROW(AK$15),0),
              ROUND(ROUND(OFFSET($P371,0,AK$13),15-13*ORÇAMENTO!$AF$7)*OFFSET(ORÇAMENTO!$W$15,ROW(AK371)-ROW(AK$15),0),15-13*ORÇAMENTO!$AF$11)),
         0)</f>
        <v>0</v>
      </c>
      <c r="AL371" s="453">
        <f ca="1">IF(AND($D371="Serviço",AL$12&lt;&gt;0,$H371&gt;0,OR(AUTOEVENTO&lt;&gt;"manual",$M371&lt;&gt;$A$15)),
        IF(Import.TipoArredondamento&lt;&gt;"TransfereGOV",
              ROUND(OFFSET($P371,0,AL$13),15-13*ORÇAMENTO!$AF$7)/$H371*OFFSET(ORÇAMENTO!$X$15,ROW(AL371)-ROW(AL$15),0),
              ROUND(ROUND(OFFSET($P371,0,AL$13),15-13*ORÇAMENTO!$AF$7)*OFFSET(ORÇAMENTO!$W$15,ROW(AL371)-ROW(AL$15),0),15-13*ORÇAMENTO!$AF$11)),
         0)</f>
        <v>0</v>
      </c>
      <c r="AM371" s="453">
        <f ca="1">IF(AND($D371="Serviço",AM$12&lt;&gt;0,$H371&gt;0,OR(AUTOEVENTO&lt;&gt;"manual",$M371&lt;&gt;$A$15)),
        IF(Import.TipoArredondamento&lt;&gt;"TransfereGOV",
              ROUND(OFFSET($P371,0,AM$13),15-13*ORÇAMENTO!$AF$7)/$H371*OFFSET(ORÇAMENTO!$X$15,ROW(AM371)-ROW(AM$15),0),
              ROUND(ROUND(OFFSET($P371,0,AM$13),15-13*ORÇAMENTO!$AF$7)*OFFSET(ORÇAMENTO!$W$15,ROW(AM371)-ROW(AM$15),0),15-13*ORÇAMENTO!$AF$11)),
         0)</f>
        <v>0</v>
      </c>
      <c r="AN371" s="453">
        <f ca="1">IF(AND($D371="Serviço",AN$12&lt;&gt;0,$H371&gt;0,OR(AUTOEVENTO&lt;&gt;"manual",$M371&lt;&gt;$A$15)),
        IF(Import.TipoArredondamento&lt;&gt;"TransfereGOV",
              ROUND(OFFSET($P371,0,AN$13),15-13*ORÇAMENTO!$AF$7)/$H371*OFFSET(ORÇAMENTO!$X$15,ROW(AN371)-ROW(AN$15),0),
              ROUND(ROUND(OFFSET($P371,0,AN$13),15-13*ORÇAMENTO!$AF$7)*OFFSET(ORÇAMENTO!$W$15,ROW(AN371)-ROW(AN$15),0),15-13*ORÇAMENTO!$AF$11)),
         0)</f>
        <v>0</v>
      </c>
      <c r="AO371" s="453">
        <f ca="1">IF(AND($D371="Serviço",AO$12&lt;&gt;0,$H371&gt;0,OR(AUTOEVENTO&lt;&gt;"manual",$M371&lt;&gt;$A$15)),
        IF(Import.TipoArredondamento&lt;&gt;"TransfereGOV",
              ROUND(OFFSET($P371,0,AO$13),15-13*ORÇAMENTO!$AF$7)/$H371*OFFSET(ORÇAMENTO!$X$15,ROW(AO371)-ROW(AO$15),0),
              ROUND(ROUND(OFFSET($P371,0,AO$13),15-13*ORÇAMENTO!$AF$7)*OFFSET(ORÇAMENTO!$W$15,ROW(AO371)-ROW(AO$15),0),15-13*ORÇAMENTO!$AF$11)),
         0)</f>
        <v>0</v>
      </c>
      <c r="AP371" s="453">
        <f ca="1">IF(AND($D371="Serviço",AP$12&lt;&gt;0,$H371&gt;0,OR(AUTOEVENTO&lt;&gt;"manual",$M371&lt;&gt;$A$15)),
        IF(Import.TipoArredondamento&lt;&gt;"TransfereGOV",
              ROUND(OFFSET($P371,0,AP$13),15-13*ORÇAMENTO!$AF$7)/$H371*OFFSET(ORÇAMENTO!$X$15,ROW(AP371)-ROW(AP$15),0),
              ROUND(ROUND(OFFSET($P371,0,AP$13),15-13*ORÇAMENTO!$AF$7)*OFFSET(ORÇAMENTO!$W$15,ROW(AP371)-ROW(AP$15),0),15-13*ORÇAMENTO!$AF$11)),
         0)</f>
        <v>0</v>
      </c>
      <c r="AQ371" s="453">
        <f ca="1">IF(AND($D371="Serviço",AQ$12&lt;&gt;0,$H371&gt;0,OR(AUTOEVENTO&lt;&gt;"manual",$M371&lt;&gt;$A$15)),
        IF(Import.TipoArredondamento&lt;&gt;"TransfereGOV",
              ROUND(OFFSET($P371,0,AQ$13),15-13*ORÇAMENTO!$AF$7)/$H371*OFFSET(ORÇAMENTO!$X$15,ROW(AQ371)-ROW(AQ$15),0),
              ROUND(ROUND(OFFSET($P371,0,AQ$13),15-13*ORÇAMENTO!$AF$7)*OFFSET(ORÇAMENTO!$W$15,ROW(AQ371)-ROW(AQ$15),0),15-13*ORÇAMENTO!$AF$11)),
         0)</f>
        <v>0</v>
      </c>
      <c r="AR371" s="453">
        <f ca="1">IF(AND($D371="Serviço",AR$12&lt;&gt;0,$H371&gt;0,OR(AUTOEVENTO&lt;&gt;"manual",$M371&lt;&gt;$A$15)),
        IF(Import.TipoArredondamento&lt;&gt;"TransfereGOV",
              ROUND(OFFSET($P371,0,AR$13),15-13*ORÇAMENTO!$AF$7)/$H371*OFFSET(ORÇAMENTO!$X$15,ROW(AR371)-ROW(AR$15),0),
              ROUND(ROUND(OFFSET($P371,0,AR$13),15-13*ORÇAMENTO!$AF$7)*OFFSET(ORÇAMENTO!$W$15,ROW(AR371)-ROW(AR$15),0),15-13*ORÇAMENTO!$AF$11)),
         0)</f>
        <v>0</v>
      </c>
      <c r="AS371" s="453">
        <f ca="1">IF(AND($D371="Serviço",AS$12&lt;&gt;0,$H371&gt;0,OR(AUTOEVENTO&lt;&gt;"manual",$M371&lt;&gt;$A$15)),
        IF(Import.TipoArredondamento&lt;&gt;"TransfereGOV",
              ROUND(OFFSET($P371,0,AS$13),15-13*ORÇAMENTO!$AF$7)/$H371*OFFSET(ORÇAMENTO!$X$15,ROW(AS371)-ROW(AS$15),0),
              ROUND(ROUND(OFFSET($P371,0,AS$13),15-13*ORÇAMENTO!$AF$7)*OFFSET(ORÇAMENTO!$W$15,ROW(AS371)-ROW(AS$15),0),15-13*ORÇAMENTO!$AF$11)),
         0)</f>
        <v>0</v>
      </c>
      <c r="AT371" s="453">
        <f ca="1">IF(AND($D371="Serviço",AT$12&lt;&gt;0,$H371&gt;0,OR(AUTOEVENTO&lt;&gt;"manual",$M371&lt;&gt;$A$15)),
        IF(Import.TipoArredondamento&lt;&gt;"TransfereGOV",
              ROUND(OFFSET($P371,0,AT$13),15-13*ORÇAMENTO!$AF$7)/$H371*OFFSET(ORÇAMENTO!$X$15,ROW(AT371)-ROW(AT$15),0),
              ROUND(ROUND(OFFSET($P371,0,AT$13),15-13*ORÇAMENTO!$AF$7)*OFFSET(ORÇAMENTO!$W$15,ROW(AT371)-ROW(AT$15),0),15-13*ORÇAMENTO!$AF$11)),
         0)</f>
        <v>0</v>
      </c>
      <c r="AU371" s="453">
        <f ca="1">IF(AND($D371="Serviço",AU$12&lt;&gt;0,$H371&gt;0,OR(AUTOEVENTO&lt;&gt;"manual",$M371&lt;&gt;$A$15)),
        IF(Import.TipoArredondamento&lt;&gt;"TransfereGOV",
              ROUND(OFFSET($P371,0,AU$13),15-13*ORÇAMENTO!$AF$7)/$H371*OFFSET(ORÇAMENTO!$X$15,ROW(AU371)-ROW(AU$15),0),
              ROUND(ROUND(OFFSET($P371,0,AU$13),15-13*ORÇAMENTO!$AF$7)*OFFSET(ORÇAMENTO!$W$15,ROW(AU371)-ROW(AU$15),0),15-13*ORÇAMENTO!$AF$11)),
         0)</f>
        <v>0</v>
      </c>
      <c r="AV371" s="453">
        <f ca="1">IF(AND($D371="Serviço",AV$12&lt;&gt;0,$H371&gt;0,OR(AUTOEVENTO&lt;&gt;"manual",$M371&lt;&gt;$A$15)),
        IF(Import.TipoArredondamento&lt;&gt;"TransfereGOV",
              ROUND(OFFSET($P371,0,AV$13),15-13*ORÇAMENTO!$AF$7)/$H371*OFFSET(ORÇAMENTO!$X$15,ROW(AV371)-ROW(AV$15),0),
              ROUND(ROUND(OFFSET($P371,0,AV$13),15-13*ORÇAMENTO!$AF$7)*OFFSET(ORÇAMENTO!$W$15,ROW(AV371)-ROW(AV$15),0),15-13*ORÇAMENTO!$AF$11)),
         0)</f>
        <v>0</v>
      </c>
      <c r="AW371" s="453">
        <f ca="1">IF(AND($D371="Serviço",AW$12&lt;&gt;0,$H371&gt;0,OR(AUTOEVENTO&lt;&gt;"manual",$M371&lt;&gt;$A$15)),
        IF(Import.TipoArredondamento&lt;&gt;"TransfereGOV",
              ROUND(OFFSET($P371,0,AW$13),15-13*ORÇAMENTO!$AF$7)/$H371*OFFSET(ORÇAMENTO!$X$15,ROW(AW371)-ROW(AW$15),0),
              ROUND(ROUND(OFFSET($P371,0,AW$13),15-13*ORÇAMENTO!$AF$7)*OFFSET(ORÇAMENTO!$W$15,ROW(AW371)-ROW(AW$15),0),15-13*ORÇAMENTO!$AF$11)),
         0)</f>
        <v>0</v>
      </c>
      <c r="AX371" s="453">
        <f ca="1">IF(AND($D371="Serviço",AX$12&lt;&gt;0,$H371&gt;0,OR(AUTOEVENTO&lt;&gt;"manual",$M371&lt;&gt;$A$15)),
        IF(Import.TipoArredondamento&lt;&gt;"TransfereGOV",
              ROUND(OFFSET($P371,0,AX$13),15-13*ORÇAMENTO!$AF$7)/$H371*OFFSET(ORÇAMENTO!$X$15,ROW(AX371)-ROW(AX$15),0),
              ROUND(ROUND(OFFSET($P371,0,AX$13),15-13*ORÇAMENTO!$AF$7)*OFFSET(ORÇAMENTO!$W$15,ROW(AX371)-ROW(AX$15),0),15-13*ORÇAMENTO!$AF$11)),
         0)</f>
        <v>0</v>
      </c>
      <c r="AY371" s="453">
        <f ca="1">IF(AND($D371="Serviço",AY$12&lt;&gt;0,$H371&gt;0,OR(AUTOEVENTO&lt;&gt;"manual",$M371&lt;&gt;$A$15)),
        IF(Import.TipoArredondamento&lt;&gt;"TransfereGOV",
              ROUND(OFFSET($P371,0,AY$13),15-13*ORÇAMENTO!$AF$7)/$H371*OFFSET(ORÇAMENTO!$X$15,ROW(AY371)-ROW(AY$15),0),
              ROUND(ROUND(OFFSET($P371,0,AY$13),15-13*ORÇAMENTO!$AF$7)*OFFSET(ORÇAMENTO!$W$15,ROW(AY371)-ROW(AY$15),0),15-13*ORÇAMENTO!$AF$11)),
         0)</f>
        <v>0</v>
      </c>
      <c r="AZ371" s="453">
        <f ca="1">IF(AND($D371="Serviço",AZ$12&lt;&gt;0,$H371&gt;0,OR(AUTOEVENTO&lt;&gt;"manual",$M371&lt;&gt;$A$15)),
        IF(Import.TipoArredondamento&lt;&gt;"TransfereGOV",
              ROUND(OFFSET($P371,0,AZ$13),15-13*ORÇAMENTO!$AF$7)/$H371*OFFSET(ORÇAMENTO!$X$15,ROW(AZ371)-ROW(AZ$15),0),
              ROUND(ROUND(OFFSET($P371,0,AZ$13),15-13*ORÇAMENTO!$AF$7)*OFFSET(ORÇAMENTO!$W$15,ROW(AZ371)-ROW(AZ$15),0),15-13*ORÇAMENTO!$AF$11)),
         0)</f>
        <v>0</v>
      </c>
      <c r="BA371" s="453">
        <f ca="1">IF(AND($D371="Serviço",BA$12&lt;&gt;0,$H371&gt;0,OR(AUTOEVENTO&lt;&gt;"manual",$M371&lt;&gt;$A$15)),
        IF(Import.TipoArredondamento&lt;&gt;"TransfereGOV",
              ROUND(OFFSET($P371,0,BA$13),15-13*ORÇAMENTO!$AF$7)/$H371*OFFSET(ORÇAMENTO!$X$15,ROW(BA371)-ROW(BA$15),0),
              ROUND(ROUND(OFFSET($P371,0,BA$13),15-13*ORÇAMENTO!$AF$7)*OFFSET(ORÇAMENTO!$W$15,ROW(BA371)-ROW(BA$15),0),15-13*ORÇAMENTO!$AF$11)),
         0)</f>
        <v>0</v>
      </c>
      <c r="BC371" s="171">
        <f ca="1">IF(OR($D371&lt;&gt;"Serviço",AND(AUTOEVENTO="Manual",$M371=$A$15)),0,
         IF(OFFSET(CRONOPLE!$F$15,$M371-$A$15,BC$13)=0,10^12,OFFSET(CRONOPLE!$F$15,$M371-$A$15,BC$13)))</f>
        <v>1</v>
      </c>
      <c r="BD371" s="171">
        <f ca="1">IF(OR($D371&lt;&gt;"Serviço",AND(AUTOEVENTO="Manual",$M371=$A$15)),0,
         IF(OFFSET(CRONOPLE!$F$15,$M371-$A$15,BD$13)=0,10^12,OFFSET(CRONOPLE!$F$15,$M371-$A$15,BD$13)))</f>
        <v>2</v>
      </c>
      <c r="BE371" s="171">
        <f ca="1">IF(OR($D371&lt;&gt;"Serviço",AND(AUTOEVENTO="Manual",$M371=$A$15)),0,
         IF(OFFSET(CRONOPLE!$F$15,$M371-$A$15,BE$13)=0,10^12,OFFSET(CRONOPLE!$F$15,$M371-$A$15,BE$13)))</f>
        <v>3</v>
      </c>
      <c r="BF371" s="171">
        <f ca="1">IF(OR($D371&lt;&gt;"Serviço",AND(AUTOEVENTO="Manual",$M371=$A$15)),0,
         IF(OFFSET(CRONOPLE!$F$15,$M371-$A$15,BF$13)=0,10^12,OFFSET(CRONOPLE!$F$15,$M371-$A$15,BF$13)))</f>
        <v>4</v>
      </c>
      <c r="BG371" s="171">
        <f ca="1">IF(OR($D371&lt;&gt;"Serviço",AND(AUTOEVENTO="Manual",$M371=$A$15)),0,
         IF(OFFSET(CRONOPLE!$F$15,$M371-$A$15,BG$13)=0,10^12,OFFSET(CRONOPLE!$F$15,$M371-$A$15,BG$13)))</f>
        <v>5</v>
      </c>
      <c r="BH371" s="171">
        <f ca="1">IF(OR($D371&lt;&gt;"Serviço",AND(AUTOEVENTO="Manual",$M371=$A$15)),0,
         IF(OFFSET(CRONOPLE!$F$15,$M371-$A$15,BH$13)=0,10^12,OFFSET(CRONOPLE!$F$15,$M371-$A$15,BH$13)))</f>
        <v>6</v>
      </c>
      <c r="BI371" s="171">
        <f ca="1">IF(OR($D371&lt;&gt;"Serviço",AND(AUTOEVENTO="Manual",$M371=$A$15)),0,
         IF(OFFSET(CRONOPLE!$F$15,$M371-$A$15,BI$13)=0,10^12,OFFSET(CRONOPLE!$F$15,$M371-$A$15,BI$13)))</f>
        <v>7</v>
      </c>
      <c r="BJ371" s="171">
        <f ca="1">IF(OR($D371&lt;&gt;"Serviço",AND(AUTOEVENTO="Manual",$M371=$A$15)),0,
         IF(OFFSET(CRONOPLE!$F$15,$M371-$A$15,BJ$13)=0,10^12,OFFSET(CRONOPLE!$F$15,$M371-$A$15,BJ$13)))</f>
        <v>8</v>
      </c>
      <c r="BK371" s="171">
        <f ca="1">IF(OR($D371&lt;&gt;"Serviço",AND(AUTOEVENTO="Manual",$M371=$A$15)),0,
         IF(OFFSET(CRONOPLE!$F$15,$M371-$A$15,BK$13)=0,10^12,OFFSET(CRONOPLE!$F$15,$M371-$A$15,BK$13)))</f>
        <v>9</v>
      </c>
      <c r="BL371" s="171">
        <f ca="1">IF(OR($D371&lt;&gt;"Serviço",AND(AUTOEVENTO="Manual",$M371=$A$15)),0,
         IF(OFFSET(CRONOPLE!$F$15,$M371-$A$15,BL$13)=0,10^12,OFFSET(CRONOPLE!$F$15,$M371-$A$15,BL$13)))</f>
        <v>1000000000000</v>
      </c>
      <c r="BM371" s="171">
        <f ca="1">IF(OR($D371&lt;&gt;"Serviço",AND(AUTOEVENTO="Manual",$M371=$A$15)),0,
         IF(OFFSET(CRONOPLE!$F$15,$M371-$A$15,BM$13)=0,10^12,OFFSET(CRONOPLE!$F$15,$M371-$A$15,BM$13)))</f>
        <v>1000000000000</v>
      </c>
      <c r="BN371" s="171">
        <f ca="1">IF(OR($D371&lt;&gt;"Serviço",AND(AUTOEVENTO="Manual",$M371=$A$15)),0,
         IF(OFFSET(CRONOPLE!$F$15,$M371-$A$15,BN$13)=0,10^12,OFFSET(CRONOPLE!$F$15,$M371-$A$15,BN$13)))</f>
        <v>1000000000000</v>
      </c>
      <c r="BO371" s="171">
        <f ca="1">IF(OR($D371&lt;&gt;"Serviço",AND(AUTOEVENTO="Manual",$M371=$A$15)),0,
         IF(OFFSET(CRONOPLE!$F$15,$M371-$A$15,BO$13)=0,10^12,OFFSET(CRONOPLE!$F$15,$M371-$A$15,BO$13)))</f>
        <v>1000000000000</v>
      </c>
      <c r="BP371" s="171">
        <f ca="1">IF(OR($D371&lt;&gt;"Serviço",AND(AUTOEVENTO="Manual",$M371=$A$15)),0,
         IF(OFFSET(CRONOPLE!$F$15,$M371-$A$15,BP$13)=0,10^12,OFFSET(CRONOPLE!$F$15,$M371-$A$15,BP$13)))</f>
        <v>1000000000000</v>
      </c>
      <c r="BQ371" s="171">
        <f ca="1">IF(OR($D371&lt;&gt;"Serviço",AND(AUTOEVENTO="Manual",$M371=$A$15)),0,
         IF(OFFSET(CRONOPLE!$F$15,$M371-$A$15,BQ$13)=0,10^12,OFFSET(CRONOPLE!$F$15,$M371-$A$15,BQ$13)))</f>
        <v>1000000000000</v>
      </c>
      <c r="BR371" s="171">
        <f ca="1">IF(OR($D371&lt;&gt;"Serviço",AND(AUTOEVENTO="Manual",$M371=$A$15)),0,
         IF(OFFSET(CRONOPLE!$F$15,$M371-$A$15,BR$13)=0,10^12,OFFSET(CRONOPLE!$F$15,$M371-$A$15,BR$13)))</f>
        <v>1000000000000</v>
      </c>
      <c r="BS371" s="171">
        <f ca="1">IF(OR($D371&lt;&gt;"Serviço",AND(AUTOEVENTO="Manual",$M371=$A$15)),0,
         IF(OFFSET(CRONOPLE!$F$15,$M371-$A$15,BS$13)=0,10^12,OFFSET(CRONOPLE!$F$15,$M371-$A$15,BS$13)))</f>
        <v>1000000000000</v>
      </c>
      <c r="BT371" s="171">
        <f ca="1">IF(OR($D371&lt;&gt;"Serviço",AND(AUTOEVENTO="Manual",$M371=$A$15)),0,
         IF(OFFSET(CRONOPLE!$F$15,$M371-$A$15,BT$13)=0,10^12,OFFSET(CRONOPLE!$F$15,$M371-$A$15,BT$13)))</f>
        <v>1000000000000</v>
      </c>
      <c r="BV371" s="172">
        <f ca="1">IF(OR($D371&lt;&gt;"Serviço",AND(AUTOEVENTO="Manual",$M371=$A$15),$M371&gt;(ROW(PLE.lastrow)-ROW(PLE.firstrow))),0,
           IF(OFFSET(PLE!$G$15,$M371-$A$15,BV$13)="",10^12,OFFSET(PLE!$G$15,$M371-$A$15,BV$13)))</f>
        <v>1000000000000</v>
      </c>
      <c r="BW371" s="172">
        <f ca="1">IF(OR($D371&lt;&gt;"Serviço",AND(AUTOEVENTO="Manual",$M371=$A$15),$M371&gt;(ROW(PLE.lastrow)-ROW(PLE.firstrow))),0,
           IF(OFFSET(PLE!$G$15,$M371-$A$15,BW$13)="",10^12,OFFSET(PLE!$G$15,$M371-$A$15,BW$13)))</f>
        <v>1000000000000</v>
      </c>
      <c r="BX371" s="172">
        <f ca="1">IF(OR($D371&lt;&gt;"Serviço",AND(AUTOEVENTO="Manual",$M371=$A$15),$M371&gt;(ROW(PLE.lastrow)-ROW(PLE.firstrow))),0,
           IF(OFFSET(PLE!$G$15,$M371-$A$15,BX$13)="",10^12,OFFSET(PLE!$G$15,$M371-$A$15,BX$13)))</f>
        <v>1000000000000</v>
      </c>
      <c r="BY371" s="172">
        <f ca="1">IF(OR($D371&lt;&gt;"Serviço",AND(AUTOEVENTO="Manual",$M371=$A$15),$M371&gt;(ROW(PLE.lastrow)-ROW(PLE.firstrow))),0,
           IF(OFFSET(PLE!$G$15,$M371-$A$15,BY$13)="",10^12,OFFSET(PLE!$G$15,$M371-$A$15,BY$13)))</f>
        <v>1000000000000</v>
      </c>
      <c r="BZ371" s="172">
        <f ca="1">IF(OR($D371&lt;&gt;"Serviço",AND(AUTOEVENTO="Manual",$M371=$A$15),$M371&gt;(ROW(PLE.lastrow)-ROW(PLE.firstrow))),0,
           IF(OFFSET(PLE!$G$15,$M371-$A$15,BZ$13)="",10^12,OFFSET(PLE!$G$15,$M371-$A$15,BZ$13)))</f>
        <v>1000000000000</v>
      </c>
      <c r="CA371" s="172">
        <f ca="1">IF(OR($D371&lt;&gt;"Serviço",AND(AUTOEVENTO="Manual",$M371=$A$15),$M371&gt;(ROW(PLE.lastrow)-ROW(PLE.firstrow))),0,
           IF(OFFSET(PLE!$G$15,$M371-$A$15,CA$13)="",10^12,OFFSET(PLE!$G$15,$M371-$A$15,CA$13)))</f>
        <v>1000000000000</v>
      </c>
      <c r="CB371" s="172">
        <f ca="1">IF(OR($D371&lt;&gt;"Serviço",AND(AUTOEVENTO="Manual",$M371=$A$15),$M371&gt;(ROW(PLE.lastrow)-ROW(PLE.firstrow))),0,
           IF(OFFSET(PLE!$G$15,$M371-$A$15,CB$13)="",10^12,OFFSET(PLE!$G$15,$M371-$A$15,CB$13)))</f>
        <v>1000000000000</v>
      </c>
      <c r="CC371" s="172">
        <f ca="1">IF(OR($D371&lt;&gt;"Serviço",AND(AUTOEVENTO="Manual",$M371=$A$15),$M371&gt;(ROW(PLE.lastrow)-ROW(PLE.firstrow))),0,
           IF(OFFSET(PLE!$G$15,$M371-$A$15,CC$13)="",10^12,OFFSET(PLE!$G$15,$M371-$A$15,CC$13)))</f>
        <v>1000000000000</v>
      </c>
      <c r="CD371" s="172">
        <f ca="1">IF(OR($D371&lt;&gt;"Serviço",AND(AUTOEVENTO="Manual",$M371=$A$15),$M371&gt;(ROW(PLE.lastrow)-ROW(PLE.firstrow))),0,
           IF(OFFSET(PLE!$G$15,$M371-$A$15,CD$13)="",10^12,OFFSET(PLE!$G$15,$M371-$A$15,CD$13)))</f>
        <v>1000000000000</v>
      </c>
      <c r="CE371" s="172">
        <f ca="1">IF(OR($D371&lt;&gt;"Serviço",AND(AUTOEVENTO="Manual",$M371=$A$15),$M371&gt;(ROW(PLE.lastrow)-ROW(PLE.firstrow))),0,
           IF(OFFSET(PLE!$G$15,$M371-$A$15,CE$13)="",10^12,OFFSET(PLE!$G$15,$M371-$A$15,CE$13)))</f>
        <v>1000000000000</v>
      </c>
      <c r="CF371" s="172">
        <f ca="1">IF(OR($D371&lt;&gt;"Serviço",AND(AUTOEVENTO="Manual",$M371=$A$15),$M371&gt;(ROW(PLE.lastrow)-ROW(PLE.firstrow))),0,
           IF(OFFSET(PLE!$G$15,$M371-$A$15,CF$13)="",10^12,OFFSET(PLE!$G$15,$M371-$A$15,CF$13)))</f>
        <v>1000000000000</v>
      </c>
      <c r="CG371" s="172">
        <f ca="1">IF(OR($D371&lt;&gt;"Serviço",AND(AUTOEVENTO="Manual",$M371=$A$15),$M371&gt;(ROW(PLE.lastrow)-ROW(PLE.firstrow))),0,
           IF(OFFSET(PLE!$G$15,$M371-$A$15,CG$13)="",10^12,OFFSET(PLE!$G$15,$M371-$A$15,CG$13)))</f>
        <v>1000000000000</v>
      </c>
      <c r="CH371" s="172">
        <f ca="1">IF(OR($D371&lt;&gt;"Serviço",AND(AUTOEVENTO="Manual",$M371=$A$15),$M371&gt;(ROW(PLE.lastrow)-ROW(PLE.firstrow))),0,
           IF(OFFSET(PLE!$G$15,$M371-$A$15,CH$13)="",10^12,OFFSET(PLE!$G$15,$M371-$A$15,CH$13)))</f>
        <v>1000000000000</v>
      </c>
      <c r="CI371" s="172">
        <f ca="1">IF(OR($D371&lt;&gt;"Serviço",AND(AUTOEVENTO="Manual",$M371=$A$15),$M371&gt;(ROW(PLE.lastrow)-ROW(PLE.firstrow))),0,
           IF(OFFSET(PLE!$G$15,$M371-$A$15,CI$13)="",10^12,OFFSET(PLE!$G$15,$M371-$A$15,CI$13)))</f>
        <v>1000000000000</v>
      </c>
      <c r="CJ371" s="172">
        <f ca="1">IF(OR($D371&lt;&gt;"Serviço",AND(AUTOEVENTO="Manual",$M371=$A$15),$M371&gt;(ROW(PLE.lastrow)-ROW(PLE.firstrow))),0,
           IF(OFFSET(PLE!$G$15,$M371-$A$15,CJ$13)="",10^12,OFFSET(PLE!$G$15,$M371-$A$15,CJ$13)))</f>
        <v>1000000000000</v>
      </c>
      <c r="CK371" s="172">
        <f ca="1">IF(OR($D371&lt;&gt;"Serviço",AND(AUTOEVENTO="Manual",$M371=$A$15),$M371&gt;(ROW(PLE.lastrow)-ROW(PLE.firstrow))),0,
           IF(OFFSET(PLE!$G$15,$M371-$A$15,CK$13)="",10^12,OFFSET(PLE!$G$15,$M371-$A$15,CK$13)))</f>
        <v>1000000000000</v>
      </c>
      <c r="CL371" s="172">
        <f ca="1">IF(OR($D371&lt;&gt;"Serviço",AND(AUTOEVENTO="Manual",$M371=$A$15),$M371&gt;(ROW(PLE.lastrow)-ROW(PLE.firstrow))),0,
           IF(OFFSET(PLE!$G$15,$M371-$A$15,CL$13)="",10^12,OFFSET(PLE!$G$15,$M371-$A$15,CL$13)))</f>
        <v>1000000000000</v>
      </c>
      <c r="CM371" s="172">
        <f ca="1">IF(OR($D371&lt;&gt;"Serviço",AND(AUTOEVENTO="Manual",$M371=$A$15),$M371&gt;(ROW(PLE.lastrow)-ROW(PLE.firstrow))),0,
           IF(OFFSET(PLE!$G$15,$M371-$A$15,CM$13)="",10^12,OFFSET(PLE!$G$15,$M371-$A$15,CM$13)))</f>
        <v>1000000000000</v>
      </c>
    </row>
    <row r="372" spans="1:91" ht="38.25" x14ac:dyDescent="0.2">
      <c r="A372" s="7">
        <f t="shared" ca="1" si="15"/>
        <v>7</v>
      </c>
      <c r="B372" s="7" t="str">
        <f ca="1">OFFSET(ORÇAMENTO!C$15,ROW(B372)-ROW(B$15),0)</f>
        <v>S</v>
      </c>
      <c r="C372" s="7" t="str">
        <f ca="1">OFFSET(ORÇAMENTO!L$15,ROW(C372)-ROW(C$15),0)</f>
        <v>F</v>
      </c>
      <c r="D372" s="116" t="str">
        <f ca="1">OFFSET(ORÇAMENTO!N$15,ROW(D372)-ROW(D$15),0)</f>
        <v>Serviço</v>
      </c>
      <c r="E372" s="117" t="str">
        <f ca="1">OFFSET(ORÇAMENTO!O$15,ROW(E372)-ROW(E$15),0)</f>
        <v>1.8.1.3.2.</v>
      </c>
      <c r="F372" s="163" t="str">
        <f ca="1">OFFSET(ORÇAMENTO!R$15,ROW(F372)-ROW(F$15),0)</f>
        <v xml:space="preserve">DISPOSITIVO SUPRESSOR DE SURTO - CLASSE I e II -  BASEADO EM SETOP (ED-49527) </v>
      </c>
      <c r="G372" s="164" t="str">
        <f ca="1">IF($D372&lt;&gt;"Serviço","",OFFSET(ORÇAMENTO!S$15,ROW(G372)-ROW(G$15),0))</f>
        <v>UN</v>
      </c>
      <c r="H372" s="122" cm="1">
        <f t="array" aca="1" ref="H372" ca="1">IF($D372&lt;&gt;"Serviço",0,IF(ACOMPANHAMENTO="BM",ROUND(OFFSET(ORÇAMENTO!AJ$15,ROW(H372)-ROW(H$15),0),15-13*ORÇAMENTO!$AF$7),SUMPRODUCT(($Q$1:$AI$1=1)*ROUND($Q372:$AI372,15-13*ORÇAMENTO!$AF$7))))</f>
        <v>3</v>
      </c>
      <c r="I372" s="468" t="s">
        <v>1431</v>
      </c>
      <c r="J372" s="640" t="str" cm="1">
        <f t="array" aca="1" ref="J372" ca="1">IF(OR(B372&lt;&gt;"S",CÁLCULO.FrentesPreenchidas=0),"",IF(AND(ACOMPANHAMENTO="PLE",AUTOEVENTO="Manual",OR(H372&gt;0,ORÇAMENTO!AC372="QUANT."),OR(K372="",M372=0,N372="")),"►E",IF(AND(ACOMPANHAMENTO="PLE",ORÇAMENTO!AC372="QUANT."),"►Q",IF(AND(ACOMPANHAMENTO="PLE",H372&lt;&gt;SUMPRODUCT(($Q$1:$AI$1=1)*ROUND(Q372:AI372,15))),"►S",IF(AND(COUNTIF($P$11:$AI$11,"▼")=0,H372&gt;0,I372=""),"◄M","")))))</f>
        <v/>
      </c>
      <c r="K372" s="641" t="s">
        <v>1391</v>
      </c>
      <c r="L372" s="165" t="s">
        <v>764</v>
      </c>
      <c r="M372" s="166">
        <f ca="1">IF($D372&lt;&gt;"Serviço","",
          IF(AUTOEVENTO="manual",$A372,
                IF(ISERROR(MATCH($A372,$A$15:OFFSET($A372,-1,0),0)),MAX($M$15:OFFSET(M372,-1,0))+1,
                      INDEX($M$15:OFFSET(M372,-1,0),MATCH($A372,$A$15:OFFSET($A372,-1,0),0)))))</f>
        <v>7</v>
      </c>
      <c r="N372" s="167" t="str">
        <f ca="1">IF($D372&lt;&gt;"Serviço","",
         IF(AUTOEVENTO="Manual",
                IF($A372=0,"&lt;-- defina o número do agrupador",
                       OFFSET(EVENTOS!$D$15,$A372-$A$15,0)),
                OFFSET($F$15,$A372,0)))</f>
        <v>Instalações Elétricas</v>
      </c>
      <c r="O372" s="168"/>
      <c r="Q372" s="168"/>
      <c r="R372" s="169"/>
      <c r="S372" s="169"/>
      <c r="T372" s="169"/>
      <c r="U372" s="169"/>
      <c r="V372" s="169"/>
      <c r="W372" s="169"/>
      <c r="X372" s="169">
        <v>3</v>
      </c>
      <c r="Y372" s="169"/>
      <c r="Z372" s="170"/>
      <c r="AA372" s="169"/>
      <c r="AB372" s="169"/>
      <c r="AC372" s="169"/>
      <c r="AD372" s="169"/>
      <c r="AE372" s="169"/>
      <c r="AF372" s="169"/>
      <c r="AG372" s="169"/>
      <c r="AH372" s="170"/>
      <c r="AJ372" s="453">
        <f ca="1">IF(AND($D372="Serviço",AJ$12&lt;&gt;0,$H372&gt;0,OR(AUTOEVENTO&lt;&gt;"manual",$M372&lt;&gt;$A$15)),
        IF(Import.TipoArredondamento&lt;&gt;"TransfereGOV",
              ROUND(OFFSET($P372,0,AJ$13),15-13*ORÇAMENTO!$AF$7)/$H372*OFFSET(ORÇAMENTO!$X$15,ROW(AJ372)-ROW(AJ$15),0),
              ROUND(ROUND(OFFSET($P372,0,AJ$13),15-13*ORÇAMENTO!$AF$7)*OFFSET(ORÇAMENTO!$W$15,ROW(AJ372)-ROW(AJ$15),0),15-13*ORÇAMENTO!$AF$11)),
         0)</f>
        <v>0</v>
      </c>
      <c r="AK372" s="453">
        <f ca="1">IF(AND($D372="Serviço",AK$12&lt;&gt;0,$H372&gt;0,OR(AUTOEVENTO&lt;&gt;"manual",$M372&lt;&gt;$A$15)),
        IF(Import.TipoArredondamento&lt;&gt;"TransfereGOV",
              ROUND(OFFSET($P372,0,AK$13),15-13*ORÇAMENTO!$AF$7)/$H372*OFFSET(ORÇAMENTO!$X$15,ROW(AK372)-ROW(AK$15),0),
              ROUND(ROUND(OFFSET($P372,0,AK$13),15-13*ORÇAMENTO!$AF$7)*OFFSET(ORÇAMENTO!$W$15,ROW(AK372)-ROW(AK$15),0),15-13*ORÇAMENTO!$AF$11)),
         0)</f>
        <v>0</v>
      </c>
      <c r="AL372" s="453">
        <f ca="1">IF(AND($D372="Serviço",AL$12&lt;&gt;0,$H372&gt;0,OR(AUTOEVENTO&lt;&gt;"manual",$M372&lt;&gt;$A$15)),
        IF(Import.TipoArredondamento&lt;&gt;"TransfereGOV",
              ROUND(OFFSET($P372,0,AL$13),15-13*ORÇAMENTO!$AF$7)/$H372*OFFSET(ORÇAMENTO!$X$15,ROW(AL372)-ROW(AL$15),0),
              ROUND(ROUND(OFFSET($P372,0,AL$13),15-13*ORÇAMENTO!$AF$7)*OFFSET(ORÇAMENTO!$W$15,ROW(AL372)-ROW(AL$15),0),15-13*ORÇAMENTO!$AF$11)),
         0)</f>
        <v>0</v>
      </c>
      <c r="AM372" s="453">
        <f ca="1">IF(AND($D372="Serviço",AM$12&lt;&gt;0,$H372&gt;0,OR(AUTOEVENTO&lt;&gt;"manual",$M372&lt;&gt;$A$15)),
        IF(Import.TipoArredondamento&lt;&gt;"TransfereGOV",
              ROUND(OFFSET($P372,0,AM$13),15-13*ORÇAMENTO!$AF$7)/$H372*OFFSET(ORÇAMENTO!$X$15,ROW(AM372)-ROW(AM$15),0),
              ROUND(ROUND(OFFSET($P372,0,AM$13),15-13*ORÇAMENTO!$AF$7)*OFFSET(ORÇAMENTO!$W$15,ROW(AM372)-ROW(AM$15),0),15-13*ORÇAMENTO!$AF$11)),
         0)</f>
        <v>0</v>
      </c>
      <c r="AN372" s="453">
        <f ca="1">IF(AND($D372="Serviço",AN$12&lt;&gt;0,$H372&gt;0,OR(AUTOEVENTO&lt;&gt;"manual",$M372&lt;&gt;$A$15)),
        IF(Import.TipoArredondamento&lt;&gt;"TransfereGOV",
              ROUND(OFFSET($P372,0,AN$13),15-13*ORÇAMENTO!$AF$7)/$H372*OFFSET(ORÇAMENTO!$X$15,ROW(AN372)-ROW(AN$15),0),
              ROUND(ROUND(OFFSET($P372,0,AN$13),15-13*ORÇAMENTO!$AF$7)*OFFSET(ORÇAMENTO!$W$15,ROW(AN372)-ROW(AN$15),0),15-13*ORÇAMENTO!$AF$11)),
         0)</f>
        <v>0</v>
      </c>
      <c r="AO372" s="453">
        <f ca="1">IF(AND($D372="Serviço",AO$12&lt;&gt;0,$H372&gt;0,OR(AUTOEVENTO&lt;&gt;"manual",$M372&lt;&gt;$A$15)),
        IF(Import.TipoArredondamento&lt;&gt;"TransfereGOV",
              ROUND(OFFSET($P372,0,AO$13),15-13*ORÇAMENTO!$AF$7)/$H372*OFFSET(ORÇAMENTO!$X$15,ROW(AO372)-ROW(AO$15),0),
              ROUND(ROUND(OFFSET($P372,0,AO$13),15-13*ORÇAMENTO!$AF$7)*OFFSET(ORÇAMENTO!$W$15,ROW(AO372)-ROW(AO$15),0),15-13*ORÇAMENTO!$AF$11)),
         0)</f>
        <v>0</v>
      </c>
      <c r="AP372" s="453">
        <f ca="1">IF(AND($D372="Serviço",AP$12&lt;&gt;0,$H372&gt;0,OR(AUTOEVENTO&lt;&gt;"manual",$M372&lt;&gt;$A$15)),
        IF(Import.TipoArredondamento&lt;&gt;"TransfereGOV",
              ROUND(OFFSET($P372,0,AP$13),15-13*ORÇAMENTO!$AF$7)/$H372*OFFSET(ORÇAMENTO!$X$15,ROW(AP372)-ROW(AP$15),0),
              ROUND(ROUND(OFFSET($P372,0,AP$13),15-13*ORÇAMENTO!$AF$7)*OFFSET(ORÇAMENTO!$W$15,ROW(AP372)-ROW(AP$15),0),15-13*ORÇAMENTO!$AF$11)),
         0)</f>
        <v>0</v>
      </c>
      <c r="AQ372" s="453">
        <f ca="1">IF(AND($D372="Serviço",AQ$12&lt;&gt;0,$H372&gt;0,OR(AUTOEVENTO&lt;&gt;"manual",$M372&lt;&gt;$A$15)),
        IF(Import.TipoArredondamento&lt;&gt;"TransfereGOV",
              ROUND(OFFSET($P372,0,AQ$13),15-13*ORÇAMENTO!$AF$7)/$H372*OFFSET(ORÇAMENTO!$X$15,ROW(AQ372)-ROW(AQ$15),0),
              ROUND(ROUND(OFFSET($P372,0,AQ$13),15-13*ORÇAMENTO!$AF$7)*OFFSET(ORÇAMENTO!$W$15,ROW(AQ372)-ROW(AQ$15),0),15-13*ORÇAMENTO!$AF$11)),
         0)</f>
        <v>0</v>
      </c>
      <c r="AR372" s="453">
        <f ca="1">IF(AND($D372="Serviço",AR$12&lt;&gt;0,$H372&gt;0,OR(AUTOEVENTO&lt;&gt;"manual",$M372&lt;&gt;$A$15)),
        IF(Import.TipoArredondamento&lt;&gt;"TransfereGOV",
              ROUND(OFFSET($P372,0,AR$13),15-13*ORÇAMENTO!$AF$7)/$H372*OFFSET(ORÇAMENTO!$X$15,ROW(AR372)-ROW(AR$15),0),
              ROUND(ROUND(OFFSET($P372,0,AR$13),15-13*ORÇAMENTO!$AF$7)*OFFSET(ORÇAMENTO!$W$15,ROW(AR372)-ROW(AR$15),0),15-13*ORÇAMENTO!$AF$11)),
         0)</f>
        <v>0</v>
      </c>
      <c r="AS372" s="453">
        <f ca="1">IF(AND($D372="Serviço",AS$12&lt;&gt;0,$H372&gt;0,OR(AUTOEVENTO&lt;&gt;"manual",$M372&lt;&gt;$A$15)),
        IF(Import.TipoArredondamento&lt;&gt;"TransfereGOV",
              ROUND(OFFSET($P372,0,AS$13),15-13*ORÇAMENTO!$AF$7)/$H372*OFFSET(ORÇAMENTO!$X$15,ROW(AS372)-ROW(AS$15),0),
              ROUND(ROUND(OFFSET($P372,0,AS$13),15-13*ORÇAMENTO!$AF$7)*OFFSET(ORÇAMENTO!$W$15,ROW(AS372)-ROW(AS$15),0),15-13*ORÇAMENTO!$AF$11)),
         0)</f>
        <v>0</v>
      </c>
      <c r="AT372" s="453">
        <f ca="1">IF(AND($D372="Serviço",AT$12&lt;&gt;0,$H372&gt;0,OR(AUTOEVENTO&lt;&gt;"manual",$M372&lt;&gt;$A$15)),
        IF(Import.TipoArredondamento&lt;&gt;"TransfereGOV",
              ROUND(OFFSET($P372,0,AT$13),15-13*ORÇAMENTO!$AF$7)/$H372*OFFSET(ORÇAMENTO!$X$15,ROW(AT372)-ROW(AT$15),0),
              ROUND(ROUND(OFFSET($P372,0,AT$13),15-13*ORÇAMENTO!$AF$7)*OFFSET(ORÇAMENTO!$W$15,ROW(AT372)-ROW(AT$15),0),15-13*ORÇAMENTO!$AF$11)),
         0)</f>
        <v>0</v>
      </c>
      <c r="AU372" s="453">
        <f ca="1">IF(AND($D372="Serviço",AU$12&lt;&gt;0,$H372&gt;0,OR(AUTOEVENTO&lt;&gt;"manual",$M372&lt;&gt;$A$15)),
        IF(Import.TipoArredondamento&lt;&gt;"TransfereGOV",
              ROUND(OFFSET($P372,0,AU$13),15-13*ORÇAMENTO!$AF$7)/$H372*OFFSET(ORÇAMENTO!$X$15,ROW(AU372)-ROW(AU$15),0),
              ROUND(ROUND(OFFSET($P372,0,AU$13),15-13*ORÇAMENTO!$AF$7)*OFFSET(ORÇAMENTO!$W$15,ROW(AU372)-ROW(AU$15),0),15-13*ORÇAMENTO!$AF$11)),
         0)</f>
        <v>0</v>
      </c>
      <c r="AV372" s="453">
        <f ca="1">IF(AND($D372="Serviço",AV$12&lt;&gt;0,$H372&gt;0,OR(AUTOEVENTO&lt;&gt;"manual",$M372&lt;&gt;$A$15)),
        IF(Import.TipoArredondamento&lt;&gt;"TransfereGOV",
              ROUND(OFFSET($P372,0,AV$13),15-13*ORÇAMENTO!$AF$7)/$H372*OFFSET(ORÇAMENTO!$X$15,ROW(AV372)-ROW(AV$15),0),
              ROUND(ROUND(OFFSET($P372,0,AV$13),15-13*ORÇAMENTO!$AF$7)*OFFSET(ORÇAMENTO!$W$15,ROW(AV372)-ROW(AV$15),0),15-13*ORÇAMENTO!$AF$11)),
         0)</f>
        <v>0</v>
      </c>
      <c r="AW372" s="453">
        <f ca="1">IF(AND($D372="Serviço",AW$12&lt;&gt;0,$H372&gt;0,OR(AUTOEVENTO&lt;&gt;"manual",$M372&lt;&gt;$A$15)),
        IF(Import.TipoArredondamento&lt;&gt;"TransfereGOV",
              ROUND(OFFSET($P372,0,AW$13),15-13*ORÇAMENTO!$AF$7)/$H372*OFFSET(ORÇAMENTO!$X$15,ROW(AW372)-ROW(AW$15),0),
              ROUND(ROUND(OFFSET($P372,0,AW$13),15-13*ORÇAMENTO!$AF$7)*OFFSET(ORÇAMENTO!$W$15,ROW(AW372)-ROW(AW$15),0),15-13*ORÇAMENTO!$AF$11)),
         0)</f>
        <v>0</v>
      </c>
      <c r="AX372" s="453">
        <f ca="1">IF(AND($D372="Serviço",AX$12&lt;&gt;0,$H372&gt;0,OR(AUTOEVENTO&lt;&gt;"manual",$M372&lt;&gt;$A$15)),
        IF(Import.TipoArredondamento&lt;&gt;"TransfereGOV",
              ROUND(OFFSET($P372,0,AX$13),15-13*ORÇAMENTO!$AF$7)/$H372*OFFSET(ORÇAMENTO!$X$15,ROW(AX372)-ROW(AX$15),0),
              ROUND(ROUND(OFFSET($P372,0,AX$13),15-13*ORÇAMENTO!$AF$7)*OFFSET(ORÇAMENTO!$W$15,ROW(AX372)-ROW(AX$15),0),15-13*ORÇAMENTO!$AF$11)),
         0)</f>
        <v>0</v>
      </c>
      <c r="AY372" s="453">
        <f ca="1">IF(AND($D372="Serviço",AY$12&lt;&gt;0,$H372&gt;0,OR(AUTOEVENTO&lt;&gt;"manual",$M372&lt;&gt;$A$15)),
        IF(Import.TipoArredondamento&lt;&gt;"TransfereGOV",
              ROUND(OFFSET($P372,0,AY$13),15-13*ORÇAMENTO!$AF$7)/$H372*OFFSET(ORÇAMENTO!$X$15,ROW(AY372)-ROW(AY$15),0),
              ROUND(ROUND(OFFSET($P372,0,AY$13),15-13*ORÇAMENTO!$AF$7)*OFFSET(ORÇAMENTO!$W$15,ROW(AY372)-ROW(AY$15),0),15-13*ORÇAMENTO!$AF$11)),
         0)</f>
        <v>0</v>
      </c>
      <c r="AZ372" s="453">
        <f ca="1">IF(AND($D372="Serviço",AZ$12&lt;&gt;0,$H372&gt;0,OR(AUTOEVENTO&lt;&gt;"manual",$M372&lt;&gt;$A$15)),
        IF(Import.TipoArredondamento&lt;&gt;"TransfereGOV",
              ROUND(OFFSET($P372,0,AZ$13),15-13*ORÇAMENTO!$AF$7)/$H372*OFFSET(ORÇAMENTO!$X$15,ROW(AZ372)-ROW(AZ$15),0),
              ROUND(ROUND(OFFSET($P372,0,AZ$13),15-13*ORÇAMENTO!$AF$7)*OFFSET(ORÇAMENTO!$W$15,ROW(AZ372)-ROW(AZ$15),0),15-13*ORÇAMENTO!$AF$11)),
         0)</f>
        <v>0</v>
      </c>
      <c r="BA372" s="453">
        <f ca="1">IF(AND($D372="Serviço",BA$12&lt;&gt;0,$H372&gt;0,OR(AUTOEVENTO&lt;&gt;"manual",$M372&lt;&gt;$A$15)),
        IF(Import.TipoArredondamento&lt;&gt;"TransfereGOV",
              ROUND(OFFSET($P372,0,BA$13),15-13*ORÇAMENTO!$AF$7)/$H372*OFFSET(ORÇAMENTO!$X$15,ROW(BA372)-ROW(BA$15),0),
              ROUND(ROUND(OFFSET($P372,0,BA$13),15-13*ORÇAMENTO!$AF$7)*OFFSET(ORÇAMENTO!$W$15,ROW(BA372)-ROW(BA$15),0),15-13*ORÇAMENTO!$AF$11)),
         0)</f>
        <v>0</v>
      </c>
      <c r="BC372" s="171">
        <f ca="1">IF(OR($D372&lt;&gt;"Serviço",AND(AUTOEVENTO="Manual",$M372=$A$15)),0,
         IF(OFFSET(CRONOPLE!$F$15,$M372-$A$15,BC$13)=0,10^12,OFFSET(CRONOPLE!$F$15,$M372-$A$15,BC$13)))</f>
        <v>1</v>
      </c>
      <c r="BD372" s="171">
        <f ca="1">IF(OR($D372&lt;&gt;"Serviço",AND(AUTOEVENTO="Manual",$M372=$A$15)),0,
         IF(OFFSET(CRONOPLE!$F$15,$M372-$A$15,BD$13)=0,10^12,OFFSET(CRONOPLE!$F$15,$M372-$A$15,BD$13)))</f>
        <v>2</v>
      </c>
      <c r="BE372" s="171">
        <f ca="1">IF(OR($D372&lt;&gt;"Serviço",AND(AUTOEVENTO="Manual",$M372=$A$15)),0,
         IF(OFFSET(CRONOPLE!$F$15,$M372-$A$15,BE$13)=0,10^12,OFFSET(CRONOPLE!$F$15,$M372-$A$15,BE$13)))</f>
        <v>3</v>
      </c>
      <c r="BF372" s="171">
        <f ca="1">IF(OR($D372&lt;&gt;"Serviço",AND(AUTOEVENTO="Manual",$M372=$A$15)),0,
         IF(OFFSET(CRONOPLE!$F$15,$M372-$A$15,BF$13)=0,10^12,OFFSET(CRONOPLE!$F$15,$M372-$A$15,BF$13)))</f>
        <v>4</v>
      </c>
      <c r="BG372" s="171">
        <f ca="1">IF(OR($D372&lt;&gt;"Serviço",AND(AUTOEVENTO="Manual",$M372=$A$15)),0,
         IF(OFFSET(CRONOPLE!$F$15,$M372-$A$15,BG$13)=0,10^12,OFFSET(CRONOPLE!$F$15,$M372-$A$15,BG$13)))</f>
        <v>5</v>
      </c>
      <c r="BH372" s="171">
        <f ca="1">IF(OR($D372&lt;&gt;"Serviço",AND(AUTOEVENTO="Manual",$M372=$A$15)),0,
         IF(OFFSET(CRONOPLE!$F$15,$M372-$A$15,BH$13)=0,10^12,OFFSET(CRONOPLE!$F$15,$M372-$A$15,BH$13)))</f>
        <v>6</v>
      </c>
      <c r="BI372" s="171">
        <f ca="1">IF(OR($D372&lt;&gt;"Serviço",AND(AUTOEVENTO="Manual",$M372=$A$15)),0,
         IF(OFFSET(CRONOPLE!$F$15,$M372-$A$15,BI$13)=0,10^12,OFFSET(CRONOPLE!$F$15,$M372-$A$15,BI$13)))</f>
        <v>7</v>
      </c>
      <c r="BJ372" s="171">
        <f ca="1">IF(OR($D372&lt;&gt;"Serviço",AND(AUTOEVENTO="Manual",$M372=$A$15)),0,
         IF(OFFSET(CRONOPLE!$F$15,$M372-$A$15,BJ$13)=0,10^12,OFFSET(CRONOPLE!$F$15,$M372-$A$15,BJ$13)))</f>
        <v>8</v>
      </c>
      <c r="BK372" s="171">
        <f ca="1">IF(OR($D372&lt;&gt;"Serviço",AND(AUTOEVENTO="Manual",$M372=$A$15)),0,
         IF(OFFSET(CRONOPLE!$F$15,$M372-$A$15,BK$13)=0,10^12,OFFSET(CRONOPLE!$F$15,$M372-$A$15,BK$13)))</f>
        <v>9</v>
      </c>
      <c r="BL372" s="171">
        <f ca="1">IF(OR($D372&lt;&gt;"Serviço",AND(AUTOEVENTO="Manual",$M372=$A$15)),0,
         IF(OFFSET(CRONOPLE!$F$15,$M372-$A$15,BL$13)=0,10^12,OFFSET(CRONOPLE!$F$15,$M372-$A$15,BL$13)))</f>
        <v>1000000000000</v>
      </c>
      <c r="BM372" s="171">
        <f ca="1">IF(OR($D372&lt;&gt;"Serviço",AND(AUTOEVENTO="Manual",$M372=$A$15)),0,
         IF(OFFSET(CRONOPLE!$F$15,$M372-$A$15,BM$13)=0,10^12,OFFSET(CRONOPLE!$F$15,$M372-$A$15,BM$13)))</f>
        <v>1000000000000</v>
      </c>
      <c r="BN372" s="171">
        <f ca="1">IF(OR($D372&lt;&gt;"Serviço",AND(AUTOEVENTO="Manual",$M372=$A$15)),0,
         IF(OFFSET(CRONOPLE!$F$15,$M372-$A$15,BN$13)=0,10^12,OFFSET(CRONOPLE!$F$15,$M372-$A$15,BN$13)))</f>
        <v>1000000000000</v>
      </c>
      <c r="BO372" s="171">
        <f ca="1">IF(OR($D372&lt;&gt;"Serviço",AND(AUTOEVENTO="Manual",$M372=$A$15)),0,
         IF(OFFSET(CRONOPLE!$F$15,$M372-$A$15,BO$13)=0,10^12,OFFSET(CRONOPLE!$F$15,$M372-$A$15,BO$13)))</f>
        <v>1000000000000</v>
      </c>
      <c r="BP372" s="171">
        <f ca="1">IF(OR($D372&lt;&gt;"Serviço",AND(AUTOEVENTO="Manual",$M372=$A$15)),0,
         IF(OFFSET(CRONOPLE!$F$15,$M372-$A$15,BP$13)=0,10^12,OFFSET(CRONOPLE!$F$15,$M372-$A$15,BP$13)))</f>
        <v>1000000000000</v>
      </c>
      <c r="BQ372" s="171">
        <f ca="1">IF(OR($D372&lt;&gt;"Serviço",AND(AUTOEVENTO="Manual",$M372=$A$15)),0,
         IF(OFFSET(CRONOPLE!$F$15,$M372-$A$15,BQ$13)=0,10^12,OFFSET(CRONOPLE!$F$15,$M372-$A$15,BQ$13)))</f>
        <v>1000000000000</v>
      </c>
      <c r="BR372" s="171">
        <f ca="1">IF(OR($D372&lt;&gt;"Serviço",AND(AUTOEVENTO="Manual",$M372=$A$15)),0,
         IF(OFFSET(CRONOPLE!$F$15,$M372-$A$15,BR$13)=0,10^12,OFFSET(CRONOPLE!$F$15,$M372-$A$15,BR$13)))</f>
        <v>1000000000000</v>
      </c>
      <c r="BS372" s="171">
        <f ca="1">IF(OR($D372&lt;&gt;"Serviço",AND(AUTOEVENTO="Manual",$M372=$A$15)),0,
         IF(OFFSET(CRONOPLE!$F$15,$M372-$A$15,BS$13)=0,10^12,OFFSET(CRONOPLE!$F$15,$M372-$A$15,BS$13)))</f>
        <v>1000000000000</v>
      </c>
      <c r="BT372" s="171">
        <f ca="1">IF(OR($D372&lt;&gt;"Serviço",AND(AUTOEVENTO="Manual",$M372=$A$15)),0,
         IF(OFFSET(CRONOPLE!$F$15,$M372-$A$15,BT$13)=0,10^12,OFFSET(CRONOPLE!$F$15,$M372-$A$15,BT$13)))</f>
        <v>1000000000000</v>
      </c>
      <c r="BV372" s="172">
        <f ca="1">IF(OR($D372&lt;&gt;"Serviço",AND(AUTOEVENTO="Manual",$M372=$A$15),$M372&gt;(ROW(PLE.lastrow)-ROW(PLE.firstrow))),0,
           IF(OFFSET(PLE!$G$15,$M372-$A$15,BV$13)="",10^12,OFFSET(PLE!$G$15,$M372-$A$15,BV$13)))</f>
        <v>1000000000000</v>
      </c>
      <c r="BW372" s="172">
        <f ca="1">IF(OR($D372&lt;&gt;"Serviço",AND(AUTOEVENTO="Manual",$M372=$A$15),$M372&gt;(ROW(PLE.lastrow)-ROW(PLE.firstrow))),0,
           IF(OFFSET(PLE!$G$15,$M372-$A$15,BW$13)="",10^12,OFFSET(PLE!$G$15,$M372-$A$15,BW$13)))</f>
        <v>1000000000000</v>
      </c>
      <c r="BX372" s="172">
        <f ca="1">IF(OR($D372&lt;&gt;"Serviço",AND(AUTOEVENTO="Manual",$M372=$A$15),$M372&gt;(ROW(PLE.lastrow)-ROW(PLE.firstrow))),0,
           IF(OFFSET(PLE!$G$15,$M372-$A$15,BX$13)="",10^12,OFFSET(PLE!$G$15,$M372-$A$15,BX$13)))</f>
        <v>1000000000000</v>
      </c>
      <c r="BY372" s="172">
        <f ca="1">IF(OR($D372&lt;&gt;"Serviço",AND(AUTOEVENTO="Manual",$M372=$A$15),$M372&gt;(ROW(PLE.lastrow)-ROW(PLE.firstrow))),0,
           IF(OFFSET(PLE!$G$15,$M372-$A$15,BY$13)="",10^12,OFFSET(PLE!$G$15,$M372-$A$15,BY$13)))</f>
        <v>1000000000000</v>
      </c>
      <c r="BZ372" s="172">
        <f ca="1">IF(OR($D372&lt;&gt;"Serviço",AND(AUTOEVENTO="Manual",$M372=$A$15),$M372&gt;(ROW(PLE.lastrow)-ROW(PLE.firstrow))),0,
           IF(OFFSET(PLE!$G$15,$M372-$A$15,BZ$13)="",10^12,OFFSET(PLE!$G$15,$M372-$A$15,BZ$13)))</f>
        <v>1000000000000</v>
      </c>
      <c r="CA372" s="172">
        <f ca="1">IF(OR($D372&lt;&gt;"Serviço",AND(AUTOEVENTO="Manual",$M372=$A$15),$M372&gt;(ROW(PLE.lastrow)-ROW(PLE.firstrow))),0,
           IF(OFFSET(PLE!$G$15,$M372-$A$15,CA$13)="",10^12,OFFSET(PLE!$G$15,$M372-$A$15,CA$13)))</f>
        <v>1000000000000</v>
      </c>
      <c r="CB372" s="172">
        <f ca="1">IF(OR($D372&lt;&gt;"Serviço",AND(AUTOEVENTO="Manual",$M372=$A$15),$M372&gt;(ROW(PLE.lastrow)-ROW(PLE.firstrow))),0,
           IF(OFFSET(PLE!$G$15,$M372-$A$15,CB$13)="",10^12,OFFSET(PLE!$G$15,$M372-$A$15,CB$13)))</f>
        <v>1000000000000</v>
      </c>
      <c r="CC372" s="172">
        <f ca="1">IF(OR($D372&lt;&gt;"Serviço",AND(AUTOEVENTO="Manual",$M372=$A$15),$M372&gt;(ROW(PLE.lastrow)-ROW(PLE.firstrow))),0,
           IF(OFFSET(PLE!$G$15,$M372-$A$15,CC$13)="",10^12,OFFSET(PLE!$G$15,$M372-$A$15,CC$13)))</f>
        <v>1000000000000</v>
      </c>
      <c r="CD372" s="172">
        <f ca="1">IF(OR($D372&lt;&gt;"Serviço",AND(AUTOEVENTO="Manual",$M372=$A$15),$M372&gt;(ROW(PLE.lastrow)-ROW(PLE.firstrow))),0,
           IF(OFFSET(PLE!$G$15,$M372-$A$15,CD$13)="",10^12,OFFSET(PLE!$G$15,$M372-$A$15,CD$13)))</f>
        <v>1000000000000</v>
      </c>
      <c r="CE372" s="172">
        <f ca="1">IF(OR($D372&lt;&gt;"Serviço",AND(AUTOEVENTO="Manual",$M372=$A$15),$M372&gt;(ROW(PLE.lastrow)-ROW(PLE.firstrow))),0,
           IF(OFFSET(PLE!$G$15,$M372-$A$15,CE$13)="",10^12,OFFSET(PLE!$G$15,$M372-$A$15,CE$13)))</f>
        <v>1000000000000</v>
      </c>
      <c r="CF372" s="172">
        <f ca="1">IF(OR($D372&lt;&gt;"Serviço",AND(AUTOEVENTO="Manual",$M372=$A$15),$M372&gt;(ROW(PLE.lastrow)-ROW(PLE.firstrow))),0,
           IF(OFFSET(PLE!$G$15,$M372-$A$15,CF$13)="",10^12,OFFSET(PLE!$G$15,$M372-$A$15,CF$13)))</f>
        <v>1000000000000</v>
      </c>
      <c r="CG372" s="172">
        <f ca="1">IF(OR($D372&lt;&gt;"Serviço",AND(AUTOEVENTO="Manual",$M372=$A$15),$M372&gt;(ROW(PLE.lastrow)-ROW(PLE.firstrow))),0,
           IF(OFFSET(PLE!$G$15,$M372-$A$15,CG$13)="",10^12,OFFSET(PLE!$G$15,$M372-$A$15,CG$13)))</f>
        <v>1000000000000</v>
      </c>
      <c r="CH372" s="172">
        <f ca="1">IF(OR($D372&lt;&gt;"Serviço",AND(AUTOEVENTO="Manual",$M372=$A$15),$M372&gt;(ROW(PLE.lastrow)-ROW(PLE.firstrow))),0,
           IF(OFFSET(PLE!$G$15,$M372-$A$15,CH$13)="",10^12,OFFSET(PLE!$G$15,$M372-$A$15,CH$13)))</f>
        <v>1000000000000</v>
      </c>
      <c r="CI372" s="172">
        <f ca="1">IF(OR($D372&lt;&gt;"Serviço",AND(AUTOEVENTO="Manual",$M372=$A$15),$M372&gt;(ROW(PLE.lastrow)-ROW(PLE.firstrow))),0,
           IF(OFFSET(PLE!$G$15,$M372-$A$15,CI$13)="",10^12,OFFSET(PLE!$G$15,$M372-$A$15,CI$13)))</f>
        <v>1000000000000</v>
      </c>
      <c r="CJ372" s="172">
        <f ca="1">IF(OR($D372&lt;&gt;"Serviço",AND(AUTOEVENTO="Manual",$M372=$A$15),$M372&gt;(ROW(PLE.lastrow)-ROW(PLE.firstrow))),0,
           IF(OFFSET(PLE!$G$15,$M372-$A$15,CJ$13)="",10^12,OFFSET(PLE!$G$15,$M372-$A$15,CJ$13)))</f>
        <v>1000000000000</v>
      </c>
      <c r="CK372" s="172">
        <f ca="1">IF(OR($D372&lt;&gt;"Serviço",AND(AUTOEVENTO="Manual",$M372=$A$15),$M372&gt;(ROW(PLE.lastrow)-ROW(PLE.firstrow))),0,
           IF(OFFSET(PLE!$G$15,$M372-$A$15,CK$13)="",10^12,OFFSET(PLE!$G$15,$M372-$A$15,CK$13)))</f>
        <v>1000000000000</v>
      </c>
      <c r="CL372" s="172">
        <f ca="1">IF(OR($D372&lt;&gt;"Serviço",AND(AUTOEVENTO="Manual",$M372=$A$15),$M372&gt;(ROW(PLE.lastrow)-ROW(PLE.firstrow))),0,
           IF(OFFSET(PLE!$G$15,$M372-$A$15,CL$13)="",10^12,OFFSET(PLE!$G$15,$M372-$A$15,CL$13)))</f>
        <v>1000000000000</v>
      </c>
      <c r="CM372" s="172">
        <f ca="1">IF(OR($D372&lt;&gt;"Serviço",AND(AUTOEVENTO="Manual",$M372=$A$15),$M372&gt;(ROW(PLE.lastrow)-ROW(PLE.firstrow))),0,
           IF(OFFSET(PLE!$G$15,$M372-$A$15,CM$13)="",10^12,OFFSET(PLE!$G$15,$M372-$A$15,CM$13)))</f>
        <v>1000000000000</v>
      </c>
    </row>
    <row r="373" spans="1:91" ht="38.25" x14ac:dyDescent="0.2">
      <c r="A373" s="7">
        <f t="shared" ca="1" si="15"/>
        <v>7</v>
      </c>
      <c r="B373" s="7" t="str">
        <f ca="1">OFFSET(ORÇAMENTO!C$15,ROW(B373)-ROW(B$15),0)</f>
        <v>S</v>
      </c>
      <c r="C373" s="7" t="str">
        <f ca="1">OFFSET(ORÇAMENTO!L$15,ROW(C373)-ROW(C$15),0)</f>
        <v>F</v>
      </c>
      <c r="D373" s="116" t="str">
        <f ca="1">OFFSET(ORÇAMENTO!N$15,ROW(D373)-ROW(D$15),0)</f>
        <v>Serviço</v>
      </c>
      <c r="E373" s="117" t="str">
        <f ca="1">OFFSET(ORÇAMENTO!O$15,ROW(E373)-ROW(E$15),0)</f>
        <v>1.8.1.3.3.</v>
      </c>
      <c r="F373" s="163" t="str">
        <f ca="1">OFFSET(ORÇAMENTO!R$15,ROW(F373)-ROW(F$15),0)</f>
        <v>DISJUNTOR DIN BIPOLAR 4A - 5KA -  CURVA C - BASEADO EM SINAPI (93660)</v>
      </c>
      <c r="G373" s="164" t="str">
        <f ca="1">IF($D373&lt;&gt;"Serviço","",OFFSET(ORÇAMENTO!S$15,ROW(G373)-ROW(G$15),0))</f>
        <v>UN</v>
      </c>
      <c r="H373" s="122" cm="1">
        <f t="array" aca="1" ref="H373" ca="1">IF($D373&lt;&gt;"Serviço",0,IF(ACOMPANHAMENTO="BM",ROUND(OFFSET(ORÇAMENTO!AJ$15,ROW(H373)-ROW(H$15),0),15-13*ORÇAMENTO!$AF$7),SUMPRODUCT(($Q$1:$AI$1=1)*ROUND($Q373:$AI373,15-13*ORÇAMENTO!$AF$7))))</f>
        <v>3</v>
      </c>
      <c r="I373" s="468" t="s">
        <v>1431</v>
      </c>
      <c r="J373" s="640" t="str" cm="1">
        <f t="array" aca="1" ref="J373" ca="1">IF(OR(B373&lt;&gt;"S",CÁLCULO.FrentesPreenchidas=0),"",IF(AND(ACOMPANHAMENTO="PLE",AUTOEVENTO="Manual",OR(H373&gt;0,ORÇAMENTO!AC373="QUANT."),OR(K373="",M373=0,N373="")),"►E",IF(AND(ACOMPANHAMENTO="PLE",ORÇAMENTO!AC373="QUANT."),"►Q",IF(AND(ACOMPANHAMENTO="PLE",H373&lt;&gt;SUMPRODUCT(($Q$1:$AI$1=1)*ROUND(Q373:AI373,15))),"►S",IF(AND(COUNTIF($P$11:$AI$11,"▼")=0,H373&gt;0,I373=""),"◄M","")))))</f>
        <v/>
      </c>
      <c r="K373" s="641" t="s">
        <v>1391</v>
      </c>
      <c r="L373" s="165" t="s">
        <v>764</v>
      </c>
      <c r="M373" s="166">
        <f ca="1">IF($D373&lt;&gt;"Serviço","",
          IF(AUTOEVENTO="manual",$A373,
                IF(ISERROR(MATCH($A373,$A$15:OFFSET($A373,-1,0),0)),MAX($M$15:OFFSET(M373,-1,0))+1,
                      INDEX($M$15:OFFSET(M373,-1,0),MATCH($A373,$A$15:OFFSET($A373,-1,0),0)))))</f>
        <v>7</v>
      </c>
      <c r="N373" s="167" t="str">
        <f ca="1">IF($D373&lt;&gt;"Serviço","",
         IF(AUTOEVENTO="Manual",
                IF($A373=0,"&lt;-- defina o número do agrupador",
                       OFFSET(EVENTOS!$D$15,$A373-$A$15,0)),
                OFFSET($F$15,$A373,0)))</f>
        <v>Instalações Elétricas</v>
      </c>
      <c r="O373" s="168"/>
      <c r="Q373" s="168"/>
      <c r="R373" s="169"/>
      <c r="S373" s="169"/>
      <c r="T373" s="169"/>
      <c r="U373" s="169"/>
      <c r="V373" s="169"/>
      <c r="W373" s="169"/>
      <c r="X373" s="169">
        <v>3</v>
      </c>
      <c r="Y373" s="169"/>
      <c r="Z373" s="170"/>
      <c r="AA373" s="169"/>
      <c r="AB373" s="169"/>
      <c r="AC373" s="169"/>
      <c r="AD373" s="169"/>
      <c r="AE373" s="169"/>
      <c r="AF373" s="169"/>
      <c r="AG373" s="169"/>
      <c r="AH373" s="170"/>
      <c r="AJ373" s="453">
        <f ca="1">IF(AND($D373="Serviço",AJ$12&lt;&gt;0,$H373&gt;0,OR(AUTOEVENTO&lt;&gt;"manual",$M373&lt;&gt;$A$15)),
        IF(Import.TipoArredondamento&lt;&gt;"TransfereGOV",
              ROUND(OFFSET($P373,0,AJ$13),15-13*ORÇAMENTO!$AF$7)/$H373*OFFSET(ORÇAMENTO!$X$15,ROW(AJ373)-ROW(AJ$15),0),
              ROUND(ROUND(OFFSET($P373,0,AJ$13),15-13*ORÇAMENTO!$AF$7)*OFFSET(ORÇAMENTO!$W$15,ROW(AJ373)-ROW(AJ$15),0),15-13*ORÇAMENTO!$AF$11)),
         0)</f>
        <v>0</v>
      </c>
      <c r="AK373" s="453">
        <f ca="1">IF(AND($D373="Serviço",AK$12&lt;&gt;0,$H373&gt;0,OR(AUTOEVENTO&lt;&gt;"manual",$M373&lt;&gt;$A$15)),
        IF(Import.TipoArredondamento&lt;&gt;"TransfereGOV",
              ROUND(OFFSET($P373,0,AK$13),15-13*ORÇAMENTO!$AF$7)/$H373*OFFSET(ORÇAMENTO!$X$15,ROW(AK373)-ROW(AK$15),0),
              ROUND(ROUND(OFFSET($P373,0,AK$13),15-13*ORÇAMENTO!$AF$7)*OFFSET(ORÇAMENTO!$W$15,ROW(AK373)-ROW(AK$15),0),15-13*ORÇAMENTO!$AF$11)),
         0)</f>
        <v>0</v>
      </c>
      <c r="AL373" s="453">
        <f ca="1">IF(AND($D373="Serviço",AL$12&lt;&gt;0,$H373&gt;0,OR(AUTOEVENTO&lt;&gt;"manual",$M373&lt;&gt;$A$15)),
        IF(Import.TipoArredondamento&lt;&gt;"TransfereGOV",
              ROUND(OFFSET($P373,0,AL$13),15-13*ORÇAMENTO!$AF$7)/$H373*OFFSET(ORÇAMENTO!$X$15,ROW(AL373)-ROW(AL$15),0),
              ROUND(ROUND(OFFSET($P373,0,AL$13),15-13*ORÇAMENTO!$AF$7)*OFFSET(ORÇAMENTO!$W$15,ROW(AL373)-ROW(AL$15),0),15-13*ORÇAMENTO!$AF$11)),
         0)</f>
        <v>0</v>
      </c>
      <c r="AM373" s="453">
        <f ca="1">IF(AND($D373="Serviço",AM$12&lt;&gt;0,$H373&gt;0,OR(AUTOEVENTO&lt;&gt;"manual",$M373&lt;&gt;$A$15)),
        IF(Import.TipoArredondamento&lt;&gt;"TransfereGOV",
              ROUND(OFFSET($P373,0,AM$13),15-13*ORÇAMENTO!$AF$7)/$H373*OFFSET(ORÇAMENTO!$X$15,ROW(AM373)-ROW(AM$15),0),
              ROUND(ROUND(OFFSET($P373,0,AM$13),15-13*ORÇAMENTO!$AF$7)*OFFSET(ORÇAMENTO!$W$15,ROW(AM373)-ROW(AM$15),0),15-13*ORÇAMENTO!$AF$11)),
         0)</f>
        <v>0</v>
      </c>
      <c r="AN373" s="453">
        <f ca="1">IF(AND($D373="Serviço",AN$12&lt;&gt;0,$H373&gt;0,OR(AUTOEVENTO&lt;&gt;"manual",$M373&lt;&gt;$A$15)),
        IF(Import.TipoArredondamento&lt;&gt;"TransfereGOV",
              ROUND(OFFSET($P373,0,AN$13),15-13*ORÇAMENTO!$AF$7)/$H373*OFFSET(ORÇAMENTO!$X$15,ROW(AN373)-ROW(AN$15),0),
              ROUND(ROUND(OFFSET($P373,0,AN$13),15-13*ORÇAMENTO!$AF$7)*OFFSET(ORÇAMENTO!$W$15,ROW(AN373)-ROW(AN$15),0),15-13*ORÇAMENTO!$AF$11)),
         0)</f>
        <v>0</v>
      </c>
      <c r="AO373" s="453">
        <f ca="1">IF(AND($D373="Serviço",AO$12&lt;&gt;0,$H373&gt;0,OR(AUTOEVENTO&lt;&gt;"manual",$M373&lt;&gt;$A$15)),
        IF(Import.TipoArredondamento&lt;&gt;"TransfereGOV",
              ROUND(OFFSET($P373,0,AO$13),15-13*ORÇAMENTO!$AF$7)/$H373*OFFSET(ORÇAMENTO!$X$15,ROW(AO373)-ROW(AO$15),0),
              ROUND(ROUND(OFFSET($P373,0,AO$13),15-13*ORÇAMENTO!$AF$7)*OFFSET(ORÇAMENTO!$W$15,ROW(AO373)-ROW(AO$15),0),15-13*ORÇAMENTO!$AF$11)),
         0)</f>
        <v>0</v>
      </c>
      <c r="AP373" s="453">
        <f ca="1">IF(AND($D373="Serviço",AP$12&lt;&gt;0,$H373&gt;0,OR(AUTOEVENTO&lt;&gt;"manual",$M373&lt;&gt;$A$15)),
        IF(Import.TipoArredondamento&lt;&gt;"TransfereGOV",
              ROUND(OFFSET($P373,0,AP$13),15-13*ORÇAMENTO!$AF$7)/$H373*OFFSET(ORÇAMENTO!$X$15,ROW(AP373)-ROW(AP$15),0),
              ROUND(ROUND(OFFSET($P373,0,AP$13),15-13*ORÇAMENTO!$AF$7)*OFFSET(ORÇAMENTO!$W$15,ROW(AP373)-ROW(AP$15),0),15-13*ORÇAMENTO!$AF$11)),
         0)</f>
        <v>0</v>
      </c>
      <c r="AQ373" s="453">
        <f ca="1">IF(AND($D373="Serviço",AQ$12&lt;&gt;0,$H373&gt;0,OR(AUTOEVENTO&lt;&gt;"manual",$M373&lt;&gt;$A$15)),
        IF(Import.TipoArredondamento&lt;&gt;"TransfereGOV",
              ROUND(OFFSET($P373,0,AQ$13),15-13*ORÇAMENTO!$AF$7)/$H373*OFFSET(ORÇAMENTO!$X$15,ROW(AQ373)-ROW(AQ$15),0),
              ROUND(ROUND(OFFSET($P373,0,AQ$13),15-13*ORÇAMENTO!$AF$7)*OFFSET(ORÇAMENTO!$W$15,ROW(AQ373)-ROW(AQ$15),0),15-13*ORÇAMENTO!$AF$11)),
         0)</f>
        <v>0</v>
      </c>
      <c r="AR373" s="453">
        <f ca="1">IF(AND($D373="Serviço",AR$12&lt;&gt;0,$H373&gt;0,OR(AUTOEVENTO&lt;&gt;"manual",$M373&lt;&gt;$A$15)),
        IF(Import.TipoArredondamento&lt;&gt;"TransfereGOV",
              ROUND(OFFSET($P373,0,AR$13),15-13*ORÇAMENTO!$AF$7)/$H373*OFFSET(ORÇAMENTO!$X$15,ROW(AR373)-ROW(AR$15),0),
              ROUND(ROUND(OFFSET($P373,0,AR$13),15-13*ORÇAMENTO!$AF$7)*OFFSET(ORÇAMENTO!$W$15,ROW(AR373)-ROW(AR$15),0),15-13*ORÇAMENTO!$AF$11)),
         0)</f>
        <v>0</v>
      </c>
      <c r="AS373" s="453">
        <f ca="1">IF(AND($D373="Serviço",AS$12&lt;&gt;0,$H373&gt;0,OR(AUTOEVENTO&lt;&gt;"manual",$M373&lt;&gt;$A$15)),
        IF(Import.TipoArredondamento&lt;&gt;"TransfereGOV",
              ROUND(OFFSET($P373,0,AS$13),15-13*ORÇAMENTO!$AF$7)/$H373*OFFSET(ORÇAMENTO!$X$15,ROW(AS373)-ROW(AS$15),0),
              ROUND(ROUND(OFFSET($P373,0,AS$13),15-13*ORÇAMENTO!$AF$7)*OFFSET(ORÇAMENTO!$W$15,ROW(AS373)-ROW(AS$15),0),15-13*ORÇAMENTO!$AF$11)),
         0)</f>
        <v>0</v>
      </c>
      <c r="AT373" s="453">
        <f ca="1">IF(AND($D373="Serviço",AT$12&lt;&gt;0,$H373&gt;0,OR(AUTOEVENTO&lt;&gt;"manual",$M373&lt;&gt;$A$15)),
        IF(Import.TipoArredondamento&lt;&gt;"TransfereGOV",
              ROUND(OFFSET($P373,0,AT$13),15-13*ORÇAMENTO!$AF$7)/$H373*OFFSET(ORÇAMENTO!$X$15,ROW(AT373)-ROW(AT$15),0),
              ROUND(ROUND(OFFSET($P373,0,AT$13),15-13*ORÇAMENTO!$AF$7)*OFFSET(ORÇAMENTO!$W$15,ROW(AT373)-ROW(AT$15),0),15-13*ORÇAMENTO!$AF$11)),
         0)</f>
        <v>0</v>
      </c>
      <c r="AU373" s="453">
        <f ca="1">IF(AND($D373="Serviço",AU$12&lt;&gt;0,$H373&gt;0,OR(AUTOEVENTO&lt;&gt;"manual",$M373&lt;&gt;$A$15)),
        IF(Import.TipoArredondamento&lt;&gt;"TransfereGOV",
              ROUND(OFFSET($P373,0,AU$13),15-13*ORÇAMENTO!$AF$7)/$H373*OFFSET(ORÇAMENTO!$X$15,ROW(AU373)-ROW(AU$15),0),
              ROUND(ROUND(OFFSET($P373,0,AU$13),15-13*ORÇAMENTO!$AF$7)*OFFSET(ORÇAMENTO!$W$15,ROW(AU373)-ROW(AU$15),0),15-13*ORÇAMENTO!$AF$11)),
         0)</f>
        <v>0</v>
      </c>
      <c r="AV373" s="453">
        <f ca="1">IF(AND($D373="Serviço",AV$12&lt;&gt;0,$H373&gt;0,OR(AUTOEVENTO&lt;&gt;"manual",$M373&lt;&gt;$A$15)),
        IF(Import.TipoArredondamento&lt;&gt;"TransfereGOV",
              ROUND(OFFSET($P373,0,AV$13),15-13*ORÇAMENTO!$AF$7)/$H373*OFFSET(ORÇAMENTO!$X$15,ROW(AV373)-ROW(AV$15),0),
              ROUND(ROUND(OFFSET($P373,0,AV$13),15-13*ORÇAMENTO!$AF$7)*OFFSET(ORÇAMENTO!$W$15,ROW(AV373)-ROW(AV$15),0),15-13*ORÇAMENTO!$AF$11)),
         0)</f>
        <v>0</v>
      </c>
      <c r="AW373" s="453">
        <f ca="1">IF(AND($D373="Serviço",AW$12&lt;&gt;0,$H373&gt;0,OR(AUTOEVENTO&lt;&gt;"manual",$M373&lt;&gt;$A$15)),
        IF(Import.TipoArredondamento&lt;&gt;"TransfereGOV",
              ROUND(OFFSET($P373,0,AW$13),15-13*ORÇAMENTO!$AF$7)/$H373*OFFSET(ORÇAMENTO!$X$15,ROW(AW373)-ROW(AW$15),0),
              ROUND(ROUND(OFFSET($P373,0,AW$13),15-13*ORÇAMENTO!$AF$7)*OFFSET(ORÇAMENTO!$W$15,ROW(AW373)-ROW(AW$15),0),15-13*ORÇAMENTO!$AF$11)),
         0)</f>
        <v>0</v>
      </c>
      <c r="AX373" s="453">
        <f ca="1">IF(AND($D373="Serviço",AX$12&lt;&gt;0,$H373&gt;0,OR(AUTOEVENTO&lt;&gt;"manual",$M373&lt;&gt;$A$15)),
        IF(Import.TipoArredondamento&lt;&gt;"TransfereGOV",
              ROUND(OFFSET($P373,0,AX$13),15-13*ORÇAMENTO!$AF$7)/$H373*OFFSET(ORÇAMENTO!$X$15,ROW(AX373)-ROW(AX$15),0),
              ROUND(ROUND(OFFSET($P373,0,AX$13),15-13*ORÇAMENTO!$AF$7)*OFFSET(ORÇAMENTO!$W$15,ROW(AX373)-ROW(AX$15),0),15-13*ORÇAMENTO!$AF$11)),
         0)</f>
        <v>0</v>
      </c>
      <c r="AY373" s="453">
        <f ca="1">IF(AND($D373="Serviço",AY$12&lt;&gt;0,$H373&gt;0,OR(AUTOEVENTO&lt;&gt;"manual",$M373&lt;&gt;$A$15)),
        IF(Import.TipoArredondamento&lt;&gt;"TransfereGOV",
              ROUND(OFFSET($P373,0,AY$13),15-13*ORÇAMENTO!$AF$7)/$H373*OFFSET(ORÇAMENTO!$X$15,ROW(AY373)-ROW(AY$15),0),
              ROUND(ROUND(OFFSET($P373,0,AY$13),15-13*ORÇAMENTO!$AF$7)*OFFSET(ORÇAMENTO!$W$15,ROW(AY373)-ROW(AY$15),0),15-13*ORÇAMENTO!$AF$11)),
         0)</f>
        <v>0</v>
      </c>
      <c r="AZ373" s="453">
        <f ca="1">IF(AND($D373="Serviço",AZ$12&lt;&gt;0,$H373&gt;0,OR(AUTOEVENTO&lt;&gt;"manual",$M373&lt;&gt;$A$15)),
        IF(Import.TipoArredondamento&lt;&gt;"TransfereGOV",
              ROUND(OFFSET($P373,0,AZ$13),15-13*ORÇAMENTO!$AF$7)/$H373*OFFSET(ORÇAMENTO!$X$15,ROW(AZ373)-ROW(AZ$15),0),
              ROUND(ROUND(OFFSET($P373,0,AZ$13),15-13*ORÇAMENTO!$AF$7)*OFFSET(ORÇAMENTO!$W$15,ROW(AZ373)-ROW(AZ$15),0),15-13*ORÇAMENTO!$AF$11)),
         0)</f>
        <v>0</v>
      </c>
      <c r="BA373" s="453">
        <f ca="1">IF(AND($D373="Serviço",BA$12&lt;&gt;0,$H373&gt;0,OR(AUTOEVENTO&lt;&gt;"manual",$M373&lt;&gt;$A$15)),
        IF(Import.TipoArredondamento&lt;&gt;"TransfereGOV",
              ROUND(OFFSET($P373,0,BA$13),15-13*ORÇAMENTO!$AF$7)/$H373*OFFSET(ORÇAMENTO!$X$15,ROW(BA373)-ROW(BA$15),0),
              ROUND(ROUND(OFFSET($P373,0,BA$13),15-13*ORÇAMENTO!$AF$7)*OFFSET(ORÇAMENTO!$W$15,ROW(BA373)-ROW(BA$15),0),15-13*ORÇAMENTO!$AF$11)),
         0)</f>
        <v>0</v>
      </c>
      <c r="BC373" s="171">
        <f ca="1">IF(OR($D373&lt;&gt;"Serviço",AND(AUTOEVENTO="Manual",$M373=$A$15)),0,
         IF(OFFSET(CRONOPLE!$F$15,$M373-$A$15,BC$13)=0,10^12,OFFSET(CRONOPLE!$F$15,$M373-$A$15,BC$13)))</f>
        <v>1</v>
      </c>
      <c r="BD373" s="171">
        <f ca="1">IF(OR($D373&lt;&gt;"Serviço",AND(AUTOEVENTO="Manual",$M373=$A$15)),0,
         IF(OFFSET(CRONOPLE!$F$15,$M373-$A$15,BD$13)=0,10^12,OFFSET(CRONOPLE!$F$15,$M373-$A$15,BD$13)))</f>
        <v>2</v>
      </c>
      <c r="BE373" s="171">
        <f ca="1">IF(OR($D373&lt;&gt;"Serviço",AND(AUTOEVENTO="Manual",$M373=$A$15)),0,
         IF(OFFSET(CRONOPLE!$F$15,$M373-$A$15,BE$13)=0,10^12,OFFSET(CRONOPLE!$F$15,$M373-$A$15,BE$13)))</f>
        <v>3</v>
      </c>
      <c r="BF373" s="171">
        <f ca="1">IF(OR($D373&lt;&gt;"Serviço",AND(AUTOEVENTO="Manual",$M373=$A$15)),0,
         IF(OFFSET(CRONOPLE!$F$15,$M373-$A$15,BF$13)=0,10^12,OFFSET(CRONOPLE!$F$15,$M373-$A$15,BF$13)))</f>
        <v>4</v>
      </c>
      <c r="BG373" s="171">
        <f ca="1">IF(OR($D373&lt;&gt;"Serviço",AND(AUTOEVENTO="Manual",$M373=$A$15)),0,
         IF(OFFSET(CRONOPLE!$F$15,$M373-$A$15,BG$13)=0,10^12,OFFSET(CRONOPLE!$F$15,$M373-$A$15,BG$13)))</f>
        <v>5</v>
      </c>
      <c r="BH373" s="171">
        <f ca="1">IF(OR($D373&lt;&gt;"Serviço",AND(AUTOEVENTO="Manual",$M373=$A$15)),0,
         IF(OFFSET(CRONOPLE!$F$15,$M373-$A$15,BH$13)=0,10^12,OFFSET(CRONOPLE!$F$15,$M373-$A$15,BH$13)))</f>
        <v>6</v>
      </c>
      <c r="BI373" s="171">
        <f ca="1">IF(OR($D373&lt;&gt;"Serviço",AND(AUTOEVENTO="Manual",$M373=$A$15)),0,
         IF(OFFSET(CRONOPLE!$F$15,$M373-$A$15,BI$13)=0,10^12,OFFSET(CRONOPLE!$F$15,$M373-$A$15,BI$13)))</f>
        <v>7</v>
      </c>
      <c r="BJ373" s="171">
        <f ca="1">IF(OR($D373&lt;&gt;"Serviço",AND(AUTOEVENTO="Manual",$M373=$A$15)),0,
         IF(OFFSET(CRONOPLE!$F$15,$M373-$A$15,BJ$13)=0,10^12,OFFSET(CRONOPLE!$F$15,$M373-$A$15,BJ$13)))</f>
        <v>8</v>
      </c>
      <c r="BK373" s="171">
        <f ca="1">IF(OR($D373&lt;&gt;"Serviço",AND(AUTOEVENTO="Manual",$M373=$A$15)),0,
         IF(OFFSET(CRONOPLE!$F$15,$M373-$A$15,BK$13)=0,10^12,OFFSET(CRONOPLE!$F$15,$M373-$A$15,BK$13)))</f>
        <v>9</v>
      </c>
      <c r="BL373" s="171">
        <f ca="1">IF(OR($D373&lt;&gt;"Serviço",AND(AUTOEVENTO="Manual",$M373=$A$15)),0,
         IF(OFFSET(CRONOPLE!$F$15,$M373-$A$15,BL$13)=0,10^12,OFFSET(CRONOPLE!$F$15,$M373-$A$15,BL$13)))</f>
        <v>1000000000000</v>
      </c>
      <c r="BM373" s="171">
        <f ca="1">IF(OR($D373&lt;&gt;"Serviço",AND(AUTOEVENTO="Manual",$M373=$A$15)),0,
         IF(OFFSET(CRONOPLE!$F$15,$M373-$A$15,BM$13)=0,10^12,OFFSET(CRONOPLE!$F$15,$M373-$A$15,BM$13)))</f>
        <v>1000000000000</v>
      </c>
      <c r="BN373" s="171">
        <f ca="1">IF(OR($D373&lt;&gt;"Serviço",AND(AUTOEVENTO="Manual",$M373=$A$15)),0,
         IF(OFFSET(CRONOPLE!$F$15,$M373-$A$15,BN$13)=0,10^12,OFFSET(CRONOPLE!$F$15,$M373-$A$15,BN$13)))</f>
        <v>1000000000000</v>
      </c>
      <c r="BO373" s="171">
        <f ca="1">IF(OR($D373&lt;&gt;"Serviço",AND(AUTOEVENTO="Manual",$M373=$A$15)),0,
         IF(OFFSET(CRONOPLE!$F$15,$M373-$A$15,BO$13)=0,10^12,OFFSET(CRONOPLE!$F$15,$M373-$A$15,BO$13)))</f>
        <v>1000000000000</v>
      </c>
      <c r="BP373" s="171">
        <f ca="1">IF(OR($D373&lt;&gt;"Serviço",AND(AUTOEVENTO="Manual",$M373=$A$15)),0,
         IF(OFFSET(CRONOPLE!$F$15,$M373-$A$15,BP$13)=0,10^12,OFFSET(CRONOPLE!$F$15,$M373-$A$15,BP$13)))</f>
        <v>1000000000000</v>
      </c>
      <c r="BQ373" s="171">
        <f ca="1">IF(OR($D373&lt;&gt;"Serviço",AND(AUTOEVENTO="Manual",$M373=$A$15)),0,
         IF(OFFSET(CRONOPLE!$F$15,$M373-$A$15,BQ$13)=0,10^12,OFFSET(CRONOPLE!$F$15,$M373-$A$15,BQ$13)))</f>
        <v>1000000000000</v>
      </c>
      <c r="BR373" s="171">
        <f ca="1">IF(OR($D373&lt;&gt;"Serviço",AND(AUTOEVENTO="Manual",$M373=$A$15)),0,
         IF(OFFSET(CRONOPLE!$F$15,$M373-$A$15,BR$13)=0,10^12,OFFSET(CRONOPLE!$F$15,$M373-$A$15,BR$13)))</f>
        <v>1000000000000</v>
      </c>
      <c r="BS373" s="171">
        <f ca="1">IF(OR($D373&lt;&gt;"Serviço",AND(AUTOEVENTO="Manual",$M373=$A$15)),0,
         IF(OFFSET(CRONOPLE!$F$15,$M373-$A$15,BS$13)=0,10^12,OFFSET(CRONOPLE!$F$15,$M373-$A$15,BS$13)))</f>
        <v>1000000000000</v>
      </c>
      <c r="BT373" s="171">
        <f ca="1">IF(OR($D373&lt;&gt;"Serviço",AND(AUTOEVENTO="Manual",$M373=$A$15)),0,
         IF(OFFSET(CRONOPLE!$F$15,$M373-$A$15,BT$13)=0,10^12,OFFSET(CRONOPLE!$F$15,$M373-$A$15,BT$13)))</f>
        <v>1000000000000</v>
      </c>
      <c r="BV373" s="172">
        <f ca="1">IF(OR($D373&lt;&gt;"Serviço",AND(AUTOEVENTO="Manual",$M373=$A$15),$M373&gt;(ROW(PLE.lastrow)-ROW(PLE.firstrow))),0,
           IF(OFFSET(PLE!$G$15,$M373-$A$15,BV$13)="",10^12,OFFSET(PLE!$G$15,$M373-$A$15,BV$13)))</f>
        <v>1000000000000</v>
      </c>
      <c r="BW373" s="172">
        <f ca="1">IF(OR($D373&lt;&gt;"Serviço",AND(AUTOEVENTO="Manual",$M373=$A$15),$M373&gt;(ROW(PLE.lastrow)-ROW(PLE.firstrow))),0,
           IF(OFFSET(PLE!$G$15,$M373-$A$15,BW$13)="",10^12,OFFSET(PLE!$G$15,$M373-$A$15,BW$13)))</f>
        <v>1000000000000</v>
      </c>
      <c r="BX373" s="172">
        <f ca="1">IF(OR($D373&lt;&gt;"Serviço",AND(AUTOEVENTO="Manual",$M373=$A$15),$M373&gt;(ROW(PLE.lastrow)-ROW(PLE.firstrow))),0,
           IF(OFFSET(PLE!$G$15,$M373-$A$15,BX$13)="",10^12,OFFSET(PLE!$G$15,$M373-$A$15,BX$13)))</f>
        <v>1000000000000</v>
      </c>
      <c r="BY373" s="172">
        <f ca="1">IF(OR($D373&lt;&gt;"Serviço",AND(AUTOEVENTO="Manual",$M373=$A$15),$M373&gt;(ROW(PLE.lastrow)-ROW(PLE.firstrow))),0,
           IF(OFFSET(PLE!$G$15,$M373-$A$15,BY$13)="",10^12,OFFSET(PLE!$G$15,$M373-$A$15,BY$13)))</f>
        <v>1000000000000</v>
      </c>
      <c r="BZ373" s="172">
        <f ca="1">IF(OR($D373&lt;&gt;"Serviço",AND(AUTOEVENTO="Manual",$M373=$A$15),$M373&gt;(ROW(PLE.lastrow)-ROW(PLE.firstrow))),0,
           IF(OFFSET(PLE!$G$15,$M373-$A$15,BZ$13)="",10^12,OFFSET(PLE!$G$15,$M373-$A$15,BZ$13)))</f>
        <v>1000000000000</v>
      </c>
      <c r="CA373" s="172">
        <f ca="1">IF(OR($D373&lt;&gt;"Serviço",AND(AUTOEVENTO="Manual",$M373=$A$15),$M373&gt;(ROW(PLE.lastrow)-ROW(PLE.firstrow))),0,
           IF(OFFSET(PLE!$G$15,$M373-$A$15,CA$13)="",10^12,OFFSET(PLE!$G$15,$M373-$A$15,CA$13)))</f>
        <v>1000000000000</v>
      </c>
      <c r="CB373" s="172">
        <f ca="1">IF(OR($D373&lt;&gt;"Serviço",AND(AUTOEVENTO="Manual",$M373=$A$15),$M373&gt;(ROW(PLE.lastrow)-ROW(PLE.firstrow))),0,
           IF(OFFSET(PLE!$G$15,$M373-$A$15,CB$13)="",10^12,OFFSET(PLE!$G$15,$M373-$A$15,CB$13)))</f>
        <v>1000000000000</v>
      </c>
      <c r="CC373" s="172">
        <f ca="1">IF(OR($D373&lt;&gt;"Serviço",AND(AUTOEVENTO="Manual",$M373=$A$15),$M373&gt;(ROW(PLE.lastrow)-ROW(PLE.firstrow))),0,
           IF(OFFSET(PLE!$G$15,$M373-$A$15,CC$13)="",10^12,OFFSET(PLE!$G$15,$M373-$A$15,CC$13)))</f>
        <v>1000000000000</v>
      </c>
      <c r="CD373" s="172">
        <f ca="1">IF(OR($D373&lt;&gt;"Serviço",AND(AUTOEVENTO="Manual",$M373=$A$15),$M373&gt;(ROW(PLE.lastrow)-ROW(PLE.firstrow))),0,
           IF(OFFSET(PLE!$G$15,$M373-$A$15,CD$13)="",10^12,OFFSET(PLE!$G$15,$M373-$A$15,CD$13)))</f>
        <v>1000000000000</v>
      </c>
      <c r="CE373" s="172">
        <f ca="1">IF(OR($D373&lt;&gt;"Serviço",AND(AUTOEVENTO="Manual",$M373=$A$15),$M373&gt;(ROW(PLE.lastrow)-ROW(PLE.firstrow))),0,
           IF(OFFSET(PLE!$G$15,$M373-$A$15,CE$13)="",10^12,OFFSET(PLE!$G$15,$M373-$A$15,CE$13)))</f>
        <v>1000000000000</v>
      </c>
      <c r="CF373" s="172">
        <f ca="1">IF(OR($D373&lt;&gt;"Serviço",AND(AUTOEVENTO="Manual",$M373=$A$15),$M373&gt;(ROW(PLE.lastrow)-ROW(PLE.firstrow))),0,
           IF(OFFSET(PLE!$G$15,$M373-$A$15,CF$13)="",10^12,OFFSET(PLE!$G$15,$M373-$A$15,CF$13)))</f>
        <v>1000000000000</v>
      </c>
      <c r="CG373" s="172">
        <f ca="1">IF(OR($D373&lt;&gt;"Serviço",AND(AUTOEVENTO="Manual",$M373=$A$15),$M373&gt;(ROW(PLE.lastrow)-ROW(PLE.firstrow))),0,
           IF(OFFSET(PLE!$G$15,$M373-$A$15,CG$13)="",10^12,OFFSET(PLE!$G$15,$M373-$A$15,CG$13)))</f>
        <v>1000000000000</v>
      </c>
      <c r="CH373" s="172">
        <f ca="1">IF(OR($D373&lt;&gt;"Serviço",AND(AUTOEVENTO="Manual",$M373=$A$15),$M373&gt;(ROW(PLE.lastrow)-ROW(PLE.firstrow))),0,
           IF(OFFSET(PLE!$G$15,$M373-$A$15,CH$13)="",10^12,OFFSET(PLE!$G$15,$M373-$A$15,CH$13)))</f>
        <v>1000000000000</v>
      </c>
      <c r="CI373" s="172">
        <f ca="1">IF(OR($D373&lt;&gt;"Serviço",AND(AUTOEVENTO="Manual",$M373=$A$15),$M373&gt;(ROW(PLE.lastrow)-ROW(PLE.firstrow))),0,
           IF(OFFSET(PLE!$G$15,$M373-$A$15,CI$13)="",10^12,OFFSET(PLE!$G$15,$M373-$A$15,CI$13)))</f>
        <v>1000000000000</v>
      </c>
      <c r="CJ373" s="172">
        <f ca="1">IF(OR($D373&lt;&gt;"Serviço",AND(AUTOEVENTO="Manual",$M373=$A$15),$M373&gt;(ROW(PLE.lastrow)-ROW(PLE.firstrow))),0,
           IF(OFFSET(PLE!$G$15,$M373-$A$15,CJ$13)="",10^12,OFFSET(PLE!$G$15,$M373-$A$15,CJ$13)))</f>
        <v>1000000000000</v>
      </c>
      <c r="CK373" s="172">
        <f ca="1">IF(OR($D373&lt;&gt;"Serviço",AND(AUTOEVENTO="Manual",$M373=$A$15),$M373&gt;(ROW(PLE.lastrow)-ROW(PLE.firstrow))),0,
           IF(OFFSET(PLE!$G$15,$M373-$A$15,CK$13)="",10^12,OFFSET(PLE!$G$15,$M373-$A$15,CK$13)))</f>
        <v>1000000000000</v>
      </c>
      <c r="CL373" s="172">
        <f ca="1">IF(OR($D373&lt;&gt;"Serviço",AND(AUTOEVENTO="Manual",$M373=$A$15),$M373&gt;(ROW(PLE.lastrow)-ROW(PLE.firstrow))),0,
           IF(OFFSET(PLE!$G$15,$M373-$A$15,CL$13)="",10^12,OFFSET(PLE!$G$15,$M373-$A$15,CL$13)))</f>
        <v>1000000000000</v>
      </c>
      <c r="CM373" s="172">
        <f ca="1">IF(OR($D373&lt;&gt;"Serviço",AND(AUTOEVENTO="Manual",$M373=$A$15),$M373&gt;(ROW(PLE.lastrow)-ROW(PLE.firstrow))),0,
           IF(OFFSET(PLE!$G$15,$M373-$A$15,CM$13)="",10^12,OFFSET(PLE!$G$15,$M373-$A$15,CM$13)))</f>
        <v>1000000000000</v>
      </c>
    </row>
    <row r="374" spans="1:91" ht="38.25" x14ac:dyDescent="0.2">
      <c r="A374" s="7">
        <f t="shared" ca="1" si="15"/>
        <v>7</v>
      </c>
      <c r="B374" s="7" t="str">
        <f ca="1">OFFSET(ORÇAMENTO!C$15,ROW(B374)-ROW(B$15),0)</f>
        <v>S</v>
      </c>
      <c r="C374" s="7" t="str">
        <f ca="1">OFFSET(ORÇAMENTO!L$15,ROW(C374)-ROW(C$15),0)</f>
        <v>F</v>
      </c>
      <c r="D374" s="116" t="str">
        <f ca="1">OFFSET(ORÇAMENTO!N$15,ROW(D374)-ROW(D$15),0)</f>
        <v>Serviço</v>
      </c>
      <c r="E374" s="117" t="str">
        <f ca="1">OFFSET(ORÇAMENTO!O$15,ROW(E374)-ROW(E$15),0)</f>
        <v>1.8.1.3.4.</v>
      </c>
      <c r="F374" s="163" t="str">
        <f ca="1">OFFSET(ORÇAMENTO!R$15,ROW(F374)-ROW(F$15),0)</f>
        <v xml:space="preserve">DISJUNTOR MOTOR, FAIXA DE AJUSTE: 4-6,3A, ICU: 50KA EM 380/400V - BASEADO EM </v>
      </c>
      <c r="G374" s="164" t="str">
        <f ca="1">IF($D374&lt;&gt;"Serviço","",OFFSET(ORÇAMENTO!S$15,ROW(G374)-ROW(G$15),0))</f>
        <v>UN</v>
      </c>
      <c r="H374" s="122" cm="1">
        <f t="array" aca="1" ref="H374" ca="1">IF($D374&lt;&gt;"Serviço",0,IF(ACOMPANHAMENTO="BM",ROUND(OFFSET(ORÇAMENTO!AJ$15,ROW(H374)-ROW(H$15),0),15-13*ORÇAMENTO!$AF$7),SUMPRODUCT(($Q$1:$AI$1=1)*ROUND($Q374:$AI374,15-13*ORÇAMENTO!$AF$7))))</f>
        <v>1</v>
      </c>
      <c r="I374" s="468" t="s">
        <v>1431</v>
      </c>
      <c r="J374" s="640" t="str" cm="1">
        <f t="array" aca="1" ref="J374" ca="1">IF(OR(B374&lt;&gt;"S",CÁLCULO.FrentesPreenchidas=0),"",IF(AND(ACOMPANHAMENTO="PLE",AUTOEVENTO="Manual",OR(H374&gt;0,ORÇAMENTO!AC374="QUANT."),OR(K374="",M374=0,N374="")),"►E",IF(AND(ACOMPANHAMENTO="PLE",ORÇAMENTO!AC374="QUANT."),"►Q",IF(AND(ACOMPANHAMENTO="PLE",H374&lt;&gt;SUMPRODUCT(($Q$1:$AI$1=1)*ROUND(Q374:AI374,15))),"►S",IF(AND(COUNTIF($P$11:$AI$11,"▼")=0,H374&gt;0,I374=""),"◄M","")))))</f>
        <v/>
      </c>
      <c r="K374" s="641" t="s">
        <v>1391</v>
      </c>
      <c r="L374" s="165" t="s">
        <v>764</v>
      </c>
      <c r="M374" s="166">
        <f ca="1">IF($D374&lt;&gt;"Serviço","",
          IF(AUTOEVENTO="manual",$A374,
                IF(ISERROR(MATCH($A374,$A$15:OFFSET($A374,-1,0),0)),MAX($M$15:OFFSET(M374,-1,0))+1,
                      INDEX($M$15:OFFSET(M374,-1,0),MATCH($A374,$A$15:OFFSET($A374,-1,0),0)))))</f>
        <v>7</v>
      </c>
      <c r="N374" s="167" t="str">
        <f ca="1">IF($D374&lt;&gt;"Serviço","",
         IF(AUTOEVENTO="Manual",
                IF($A374=0,"&lt;-- defina o número do agrupador",
                       OFFSET(EVENTOS!$D$15,$A374-$A$15,0)),
                OFFSET($F$15,$A374,0)))</f>
        <v>Instalações Elétricas</v>
      </c>
      <c r="O374" s="168"/>
      <c r="Q374" s="168"/>
      <c r="R374" s="169"/>
      <c r="S374" s="169"/>
      <c r="T374" s="169"/>
      <c r="U374" s="169"/>
      <c r="V374" s="169"/>
      <c r="W374" s="169"/>
      <c r="X374" s="169">
        <v>1</v>
      </c>
      <c r="Y374" s="169"/>
      <c r="Z374" s="170"/>
      <c r="AA374" s="169"/>
      <c r="AB374" s="169"/>
      <c r="AC374" s="169"/>
      <c r="AD374" s="169"/>
      <c r="AE374" s="169"/>
      <c r="AF374" s="169"/>
      <c r="AG374" s="169"/>
      <c r="AH374" s="170"/>
      <c r="AJ374" s="453">
        <f ca="1">IF(AND($D374="Serviço",AJ$12&lt;&gt;0,$H374&gt;0,OR(AUTOEVENTO&lt;&gt;"manual",$M374&lt;&gt;$A$15)),
        IF(Import.TipoArredondamento&lt;&gt;"TransfereGOV",
              ROUND(OFFSET($P374,0,AJ$13),15-13*ORÇAMENTO!$AF$7)/$H374*OFFSET(ORÇAMENTO!$X$15,ROW(AJ374)-ROW(AJ$15),0),
              ROUND(ROUND(OFFSET($P374,0,AJ$13),15-13*ORÇAMENTO!$AF$7)*OFFSET(ORÇAMENTO!$W$15,ROW(AJ374)-ROW(AJ$15),0),15-13*ORÇAMENTO!$AF$11)),
         0)</f>
        <v>0</v>
      </c>
      <c r="AK374" s="453">
        <f ca="1">IF(AND($D374="Serviço",AK$12&lt;&gt;0,$H374&gt;0,OR(AUTOEVENTO&lt;&gt;"manual",$M374&lt;&gt;$A$15)),
        IF(Import.TipoArredondamento&lt;&gt;"TransfereGOV",
              ROUND(OFFSET($P374,0,AK$13),15-13*ORÇAMENTO!$AF$7)/$H374*OFFSET(ORÇAMENTO!$X$15,ROW(AK374)-ROW(AK$15),0),
              ROUND(ROUND(OFFSET($P374,0,AK$13),15-13*ORÇAMENTO!$AF$7)*OFFSET(ORÇAMENTO!$W$15,ROW(AK374)-ROW(AK$15),0),15-13*ORÇAMENTO!$AF$11)),
         0)</f>
        <v>0</v>
      </c>
      <c r="AL374" s="453">
        <f ca="1">IF(AND($D374="Serviço",AL$12&lt;&gt;0,$H374&gt;0,OR(AUTOEVENTO&lt;&gt;"manual",$M374&lt;&gt;$A$15)),
        IF(Import.TipoArredondamento&lt;&gt;"TransfereGOV",
              ROUND(OFFSET($P374,0,AL$13),15-13*ORÇAMENTO!$AF$7)/$H374*OFFSET(ORÇAMENTO!$X$15,ROW(AL374)-ROW(AL$15),0),
              ROUND(ROUND(OFFSET($P374,0,AL$13),15-13*ORÇAMENTO!$AF$7)*OFFSET(ORÇAMENTO!$W$15,ROW(AL374)-ROW(AL$15),0),15-13*ORÇAMENTO!$AF$11)),
         0)</f>
        <v>0</v>
      </c>
      <c r="AM374" s="453">
        <f ca="1">IF(AND($D374="Serviço",AM$12&lt;&gt;0,$H374&gt;0,OR(AUTOEVENTO&lt;&gt;"manual",$M374&lt;&gt;$A$15)),
        IF(Import.TipoArredondamento&lt;&gt;"TransfereGOV",
              ROUND(OFFSET($P374,0,AM$13),15-13*ORÇAMENTO!$AF$7)/$H374*OFFSET(ORÇAMENTO!$X$15,ROW(AM374)-ROW(AM$15),0),
              ROUND(ROUND(OFFSET($P374,0,AM$13),15-13*ORÇAMENTO!$AF$7)*OFFSET(ORÇAMENTO!$W$15,ROW(AM374)-ROW(AM$15),0),15-13*ORÇAMENTO!$AF$11)),
         0)</f>
        <v>0</v>
      </c>
      <c r="AN374" s="453">
        <f ca="1">IF(AND($D374="Serviço",AN$12&lt;&gt;0,$H374&gt;0,OR(AUTOEVENTO&lt;&gt;"manual",$M374&lt;&gt;$A$15)),
        IF(Import.TipoArredondamento&lt;&gt;"TransfereGOV",
              ROUND(OFFSET($P374,0,AN$13),15-13*ORÇAMENTO!$AF$7)/$H374*OFFSET(ORÇAMENTO!$X$15,ROW(AN374)-ROW(AN$15),0),
              ROUND(ROUND(OFFSET($P374,0,AN$13),15-13*ORÇAMENTO!$AF$7)*OFFSET(ORÇAMENTO!$W$15,ROW(AN374)-ROW(AN$15),0),15-13*ORÇAMENTO!$AF$11)),
         0)</f>
        <v>0</v>
      </c>
      <c r="AO374" s="453">
        <f ca="1">IF(AND($D374="Serviço",AO$12&lt;&gt;0,$H374&gt;0,OR(AUTOEVENTO&lt;&gt;"manual",$M374&lt;&gt;$A$15)),
        IF(Import.TipoArredondamento&lt;&gt;"TransfereGOV",
              ROUND(OFFSET($P374,0,AO$13),15-13*ORÇAMENTO!$AF$7)/$H374*OFFSET(ORÇAMENTO!$X$15,ROW(AO374)-ROW(AO$15),0),
              ROUND(ROUND(OFFSET($P374,0,AO$13),15-13*ORÇAMENTO!$AF$7)*OFFSET(ORÇAMENTO!$W$15,ROW(AO374)-ROW(AO$15),0),15-13*ORÇAMENTO!$AF$11)),
         0)</f>
        <v>0</v>
      </c>
      <c r="AP374" s="453">
        <f ca="1">IF(AND($D374="Serviço",AP$12&lt;&gt;0,$H374&gt;0,OR(AUTOEVENTO&lt;&gt;"manual",$M374&lt;&gt;$A$15)),
        IF(Import.TipoArredondamento&lt;&gt;"TransfereGOV",
              ROUND(OFFSET($P374,0,AP$13),15-13*ORÇAMENTO!$AF$7)/$H374*OFFSET(ORÇAMENTO!$X$15,ROW(AP374)-ROW(AP$15),0),
              ROUND(ROUND(OFFSET($P374,0,AP$13),15-13*ORÇAMENTO!$AF$7)*OFFSET(ORÇAMENTO!$W$15,ROW(AP374)-ROW(AP$15),0),15-13*ORÇAMENTO!$AF$11)),
         0)</f>
        <v>0</v>
      </c>
      <c r="AQ374" s="453">
        <f ca="1">IF(AND($D374="Serviço",AQ$12&lt;&gt;0,$H374&gt;0,OR(AUTOEVENTO&lt;&gt;"manual",$M374&lt;&gt;$A$15)),
        IF(Import.TipoArredondamento&lt;&gt;"TransfereGOV",
              ROUND(OFFSET($P374,0,AQ$13),15-13*ORÇAMENTO!$AF$7)/$H374*OFFSET(ORÇAMENTO!$X$15,ROW(AQ374)-ROW(AQ$15),0),
              ROUND(ROUND(OFFSET($P374,0,AQ$13),15-13*ORÇAMENTO!$AF$7)*OFFSET(ORÇAMENTO!$W$15,ROW(AQ374)-ROW(AQ$15),0),15-13*ORÇAMENTO!$AF$11)),
         0)</f>
        <v>0</v>
      </c>
      <c r="AR374" s="453">
        <f ca="1">IF(AND($D374="Serviço",AR$12&lt;&gt;0,$H374&gt;0,OR(AUTOEVENTO&lt;&gt;"manual",$M374&lt;&gt;$A$15)),
        IF(Import.TipoArredondamento&lt;&gt;"TransfereGOV",
              ROUND(OFFSET($P374,0,AR$13),15-13*ORÇAMENTO!$AF$7)/$H374*OFFSET(ORÇAMENTO!$X$15,ROW(AR374)-ROW(AR$15),0),
              ROUND(ROUND(OFFSET($P374,0,AR$13),15-13*ORÇAMENTO!$AF$7)*OFFSET(ORÇAMENTO!$W$15,ROW(AR374)-ROW(AR$15),0),15-13*ORÇAMENTO!$AF$11)),
         0)</f>
        <v>0</v>
      </c>
      <c r="AS374" s="453">
        <f ca="1">IF(AND($D374="Serviço",AS$12&lt;&gt;0,$H374&gt;0,OR(AUTOEVENTO&lt;&gt;"manual",$M374&lt;&gt;$A$15)),
        IF(Import.TipoArredondamento&lt;&gt;"TransfereGOV",
              ROUND(OFFSET($P374,0,AS$13),15-13*ORÇAMENTO!$AF$7)/$H374*OFFSET(ORÇAMENTO!$X$15,ROW(AS374)-ROW(AS$15),0),
              ROUND(ROUND(OFFSET($P374,0,AS$13),15-13*ORÇAMENTO!$AF$7)*OFFSET(ORÇAMENTO!$W$15,ROW(AS374)-ROW(AS$15),0),15-13*ORÇAMENTO!$AF$11)),
         0)</f>
        <v>0</v>
      </c>
      <c r="AT374" s="453">
        <f ca="1">IF(AND($D374="Serviço",AT$12&lt;&gt;0,$H374&gt;0,OR(AUTOEVENTO&lt;&gt;"manual",$M374&lt;&gt;$A$15)),
        IF(Import.TipoArredondamento&lt;&gt;"TransfereGOV",
              ROUND(OFFSET($P374,0,AT$13),15-13*ORÇAMENTO!$AF$7)/$H374*OFFSET(ORÇAMENTO!$X$15,ROW(AT374)-ROW(AT$15),0),
              ROUND(ROUND(OFFSET($P374,0,AT$13),15-13*ORÇAMENTO!$AF$7)*OFFSET(ORÇAMENTO!$W$15,ROW(AT374)-ROW(AT$15),0),15-13*ORÇAMENTO!$AF$11)),
         0)</f>
        <v>0</v>
      </c>
      <c r="AU374" s="453">
        <f ca="1">IF(AND($D374="Serviço",AU$12&lt;&gt;0,$H374&gt;0,OR(AUTOEVENTO&lt;&gt;"manual",$M374&lt;&gt;$A$15)),
        IF(Import.TipoArredondamento&lt;&gt;"TransfereGOV",
              ROUND(OFFSET($P374,0,AU$13),15-13*ORÇAMENTO!$AF$7)/$H374*OFFSET(ORÇAMENTO!$X$15,ROW(AU374)-ROW(AU$15),0),
              ROUND(ROUND(OFFSET($P374,0,AU$13),15-13*ORÇAMENTO!$AF$7)*OFFSET(ORÇAMENTO!$W$15,ROW(AU374)-ROW(AU$15),0),15-13*ORÇAMENTO!$AF$11)),
         0)</f>
        <v>0</v>
      </c>
      <c r="AV374" s="453">
        <f ca="1">IF(AND($D374="Serviço",AV$12&lt;&gt;0,$H374&gt;0,OR(AUTOEVENTO&lt;&gt;"manual",$M374&lt;&gt;$A$15)),
        IF(Import.TipoArredondamento&lt;&gt;"TransfereGOV",
              ROUND(OFFSET($P374,0,AV$13),15-13*ORÇAMENTO!$AF$7)/$H374*OFFSET(ORÇAMENTO!$X$15,ROW(AV374)-ROW(AV$15),0),
              ROUND(ROUND(OFFSET($P374,0,AV$13),15-13*ORÇAMENTO!$AF$7)*OFFSET(ORÇAMENTO!$W$15,ROW(AV374)-ROW(AV$15),0),15-13*ORÇAMENTO!$AF$11)),
         0)</f>
        <v>0</v>
      </c>
      <c r="AW374" s="453">
        <f ca="1">IF(AND($D374="Serviço",AW$12&lt;&gt;0,$H374&gt;0,OR(AUTOEVENTO&lt;&gt;"manual",$M374&lt;&gt;$A$15)),
        IF(Import.TipoArredondamento&lt;&gt;"TransfereGOV",
              ROUND(OFFSET($P374,0,AW$13),15-13*ORÇAMENTO!$AF$7)/$H374*OFFSET(ORÇAMENTO!$X$15,ROW(AW374)-ROW(AW$15),0),
              ROUND(ROUND(OFFSET($P374,0,AW$13),15-13*ORÇAMENTO!$AF$7)*OFFSET(ORÇAMENTO!$W$15,ROW(AW374)-ROW(AW$15),0),15-13*ORÇAMENTO!$AF$11)),
         0)</f>
        <v>0</v>
      </c>
      <c r="AX374" s="453">
        <f ca="1">IF(AND($D374="Serviço",AX$12&lt;&gt;0,$H374&gt;0,OR(AUTOEVENTO&lt;&gt;"manual",$M374&lt;&gt;$A$15)),
        IF(Import.TipoArredondamento&lt;&gt;"TransfereGOV",
              ROUND(OFFSET($P374,0,AX$13),15-13*ORÇAMENTO!$AF$7)/$H374*OFFSET(ORÇAMENTO!$X$15,ROW(AX374)-ROW(AX$15),0),
              ROUND(ROUND(OFFSET($P374,0,AX$13),15-13*ORÇAMENTO!$AF$7)*OFFSET(ORÇAMENTO!$W$15,ROW(AX374)-ROW(AX$15),0),15-13*ORÇAMENTO!$AF$11)),
         0)</f>
        <v>0</v>
      </c>
      <c r="AY374" s="453">
        <f ca="1">IF(AND($D374="Serviço",AY$12&lt;&gt;0,$H374&gt;0,OR(AUTOEVENTO&lt;&gt;"manual",$M374&lt;&gt;$A$15)),
        IF(Import.TipoArredondamento&lt;&gt;"TransfereGOV",
              ROUND(OFFSET($P374,0,AY$13),15-13*ORÇAMENTO!$AF$7)/$H374*OFFSET(ORÇAMENTO!$X$15,ROW(AY374)-ROW(AY$15),0),
              ROUND(ROUND(OFFSET($P374,0,AY$13),15-13*ORÇAMENTO!$AF$7)*OFFSET(ORÇAMENTO!$W$15,ROW(AY374)-ROW(AY$15),0),15-13*ORÇAMENTO!$AF$11)),
         0)</f>
        <v>0</v>
      </c>
      <c r="AZ374" s="453">
        <f ca="1">IF(AND($D374="Serviço",AZ$12&lt;&gt;0,$H374&gt;0,OR(AUTOEVENTO&lt;&gt;"manual",$M374&lt;&gt;$A$15)),
        IF(Import.TipoArredondamento&lt;&gt;"TransfereGOV",
              ROUND(OFFSET($P374,0,AZ$13),15-13*ORÇAMENTO!$AF$7)/$H374*OFFSET(ORÇAMENTO!$X$15,ROW(AZ374)-ROW(AZ$15),0),
              ROUND(ROUND(OFFSET($P374,0,AZ$13),15-13*ORÇAMENTO!$AF$7)*OFFSET(ORÇAMENTO!$W$15,ROW(AZ374)-ROW(AZ$15),0),15-13*ORÇAMENTO!$AF$11)),
         0)</f>
        <v>0</v>
      </c>
      <c r="BA374" s="453">
        <f ca="1">IF(AND($D374="Serviço",BA$12&lt;&gt;0,$H374&gt;0,OR(AUTOEVENTO&lt;&gt;"manual",$M374&lt;&gt;$A$15)),
        IF(Import.TipoArredondamento&lt;&gt;"TransfereGOV",
              ROUND(OFFSET($P374,0,BA$13),15-13*ORÇAMENTO!$AF$7)/$H374*OFFSET(ORÇAMENTO!$X$15,ROW(BA374)-ROW(BA$15),0),
              ROUND(ROUND(OFFSET($P374,0,BA$13),15-13*ORÇAMENTO!$AF$7)*OFFSET(ORÇAMENTO!$W$15,ROW(BA374)-ROW(BA$15),0),15-13*ORÇAMENTO!$AF$11)),
         0)</f>
        <v>0</v>
      </c>
      <c r="BC374" s="171">
        <f ca="1">IF(OR($D374&lt;&gt;"Serviço",AND(AUTOEVENTO="Manual",$M374=$A$15)),0,
         IF(OFFSET(CRONOPLE!$F$15,$M374-$A$15,BC$13)=0,10^12,OFFSET(CRONOPLE!$F$15,$M374-$A$15,BC$13)))</f>
        <v>1</v>
      </c>
      <c r="BD374" s="171">
        <f ca="1">IF(OR($D374&lt;&gt;"Serviço",AND(AUTOEVENTO="Manual",$M374=$A$15)),0,
         IF(OFFSET(CRONOPLE!$F$15,$M374-$A$15,BD$13)=0,10^12,OFFSET(CRONOPLE!$F$15,$M374-$A$15,BD$13)))</f>
        <v>2</v>
      </c>
      <c r="BE374" s="171">
        <f ca="1">IF(OR($D374&lt;&gt;"Serviço",AND(AUTOEVENTO="Manual",$M374=$A$15)),0,
         IF(OFFSET(CRONOPLE!$F$15,$M374-$A$15,BE$13)=0,10^12,OFFSET(CRONOPLE!$F$15,$M374-$A$15,BE$13)))</f>
        <v>3</v>
      </c>
      <c r="BF374" s="171">
        <f ca="1">IF(OR($D374&lt;&gt;"Serviço",AND(AUTOEVENTO="Manual",$M374=$A$15)),0,
         IF(OFFSET(CRONOPLE!$F$15,$M374-$A$15,BF$13)=0,10^12,OFFSET(CRONOPLE!$F$15,$M374-$A$15,BF$13)))</f>
        <v>4</v>
      </c>
      <c r="BG374" s="171">
        <f ca="1">IF(OR($D374&lt;&gt;"Serviço",AND(AUTOEVENTO="Manual",$M374=$A$15)),0,
         IF(OFFSET(CRONOPLE!$F$15,$M374-$A$15,BG$13)=0,10^12,OFFSET(CRONOPLE!$F$15,$M374-$A$15,BG$13)))</f>
        <v>5</v>
      </c>
      <c r="BH374" s="171">
        <f ca="1">IF(OR($D374&lt;&gt;"Serviço",AND(AUTOEVENTO="Manual",$M374=$A$15)),0,
         IF(OFFSET(CRONOPLE!$F$15,$M374-$A$15,BH$13)=0,10^12,OFFSET(CRONOPLE!$F$15,$M374-$A$15,BH$13)))</f>
        <v>6</v>
      </c>
      <c r="BI374" s="171">
        <f ca="1">IF(OR($D374&lt;&gt;"Serviço",AND(AUTOEVENTO="Manual",$M374=$A$15)),0,
         IF(OFFSET(CRONOPLE!$F$15,$M374-$A$15,BI$13)=0,10^12,OFFSET(CRONOPLE!$F$15,$M374-$A$15,BI$13)))</f>
        <v>7</v>
      </c>
      <c r="BJ374" s="171">
        <f ca="1">IF(OR($D374&lt;&gt;"Serviço",AND(AUTOEVENTO="Manual",$M374=$A$15)),0,
         IF(OFFSET(CRONOPLE!$F$15,$M374-$A$15,BJ$13)=0,10^12,OFFSET(CRONOPLE!$F$15,$M374-$A$15,BJ$13)))</f>
        <v>8</v>
      </c>
      <c r="BK374" s="171">
        <f ca="1">IF(OR($D374&lt;&gt;"Serviço",AND(AUTOEVENTO="Manual",$M374=$A$15)),0,
         IF(OFFSET(CRONOPLE!$F$15,$M374-$A$15,BK$13)=0,10^12,OFFSET(CRONOPLE!$F$15,$M374-$A$15,BK$13)))</f>
        <v>9</v>
      </c>
      <c r="BL374" s="171">
        <f ca="1">IF(OR($D374&lt;&gt;"Serviço",AND(AUTOEVENTO="Manual",$M374=$A$15)),0,
         IF(OFFSET(CRONOPLE!$F$15,$M374-$A$15,BL$13)=0,10^12,OFFSET(CRONOPLE!$F$15,$M374-$A$15,BL$13)))</f>
        <v>1000000000000</v>
      </c>
      <c r="BM374" s="171">
        <f ca="1">IF(OR($D374&lt;&gt;"Serviço",AND(AUTOEVENTO="Manual",$M374=$A$15)),0,
         IF(OFFSET(CRONOPLE!$F$15,$M374-$A$15,BM$13)=0,10^12,OFFSET(CRONOPLE!$F$15,$M374-$A$15,BM$13)))</f>
        <v>1000000000000</v>
      </c>
      <c r="BN374" s="171">
        <f ca="1">IF(OR($D374&lt;&gt;"Serviço",AND(AUTOEVENTO="Manual",$M374=$A$15)),0,
         IF(OFFSET(CRONOPLE!$F$15,$M374-$A$15,BN$13)=0,10^12,OFFSET(CRONOPLE!$F$15,$M374-$A$15,BN$13)))</f>
        <v>1000000000000</v>
      </c>
      <c r="BO374" s="171">
        <f ca="1">IF(OR($D374&lt;&gt;"Serviço",AND(AUTOEVENTO="Manual",$M374=$A$15)),0,
         IF(OFFSET(CRONOPLE!$F$15,$M374-$A$15,BO$13)=0,10^12,OFFSET(CRONOPLE!$F$15,$M374-$A$15,BO$13)))</f>
        <v>1000000000000</v>
      </c>
      <c r="BP374" s="171">
        <f ca="1">IF(OR($D374&lt;&gt;"Serviço",AND(AUTOEVENTO="Manual",$M374=$A$15)),0,
         IF(OFFSET(CRONOPLE!$F$15,$M374-$A$15,BP$13)=0,10^12,OFFSET(CRONOPLE!$F$15,$M374-$A$15,BP$13)))</f>
        <v>1000000000000</v>
      </c>
      <c r="BQ374" s="171">
        <f ca="1">IF(OR($D374&lt;&gt;"Serviço",AND(AUTOEVENTO="Manual",$M374=$A$15)),0,
         IF(OFFSET(CRONOPLE!$F$15,$M374-$A$15,BQ$13)=0,10^12,OFFSET(CRONOPLE!$F$15,$M374-$A$15,BQ$13)))</f>
        <v>1000000000000</v>
      </c>
      <c r="BR374" s="171">
        <f ca="1">IF(OR($D374&lt;&gt;"Serviço",AND(AUTOEVENTO="Manual",$M374=$A$15)),0,
         IF(OFFSET(CRONOPLE!$F$15,$M374-$A$15,BR$13)=0,10^12,OFFSET(CRONOPLE!$F$15,$M374-$A$15,BR$13)))</f>
        <v>1000000000000</v>
      </c>
      <c r="BS374" s="171">
        <f ca="1">IF(OR($D374&lt;&gt;"Serviço",AND(AUTOEVENTO="Manual",$M374=$A$15)),0,
         IF(OFFSET(CRONOPLE!$F$15,$M374-$A$15,BS$13)=0,10^12,OFFSET(CRONOPLE!$F$15,$M374-$A$15,BS$13)))</f>
        <v>1000000000000</v>
      </c>
      <c r="BT374" s="171">
        <f ca="1">IF(OR($D374&lt;&gt;"Serviço",AND(AUTOEVENTO="Manual",$M374=$A$15)),0,
         IF(OFFSET(CRONOPLE!$F$15,$M374-$A$15,BT$13)=0,10^12,OFFSET(CRONOPLE!$F$15,$M374-$A$15,BT$13)))</f>
        <v>1000000000000</v>
      </c>
      <c r="BV374" s="172">
        <f ca="1">IF(OR($D374&lt;&gt;"Serviço",AND(AUTOEVENTO="Manual",$M374=$A$15),$M374&gt;(ROW(PLE.lastrow)-ROW(PLE.firstrow))),0,
           IF(OFFSET(PLE!$G$15,$M374-$A$15,BV$13)="",10^12,OFFSET(PLE!$G$15,$M374-$A$15,BV$13)))</f>
        <v>1000000000000</v>
      </c>
      <c r="BW374" s="172">
        <f ca="1">IF(OR($D374&lt;&gt;"Serviço",AND(AUTOEVENTO="Manual",$M374=$A$15),$M374&gt;(ROW(PLE.lastrow)-ROW(PLE.firstrow))),0,
           IF(OFFSET(PLE!$G$15,$M374-$A$15,BW$13)="",10^12,OFFSET(PLE!$G$15,$M374-$A$15,BW$13)))</f>
        <v>1000000000000</v>
      </c>
      <c r="BX374" s="172">
        <f ca="1">IF(OR($D374&lt;&gt;"Serviço",AND(AUTOEVENTO="Manual",$M374=$A$15),$M374&gt;(ROW(PLE.lastrow)-ROW(PLE.firstrow))),0,
           IF(OFFSET(PLE!$G$15,$M374-$A$15,BX$13)="",10^12,OFFSET(PLE!$G$15,$M374-$A$15,BX$13)))</f>
        <v>1000000000000</v>
      </c>
      <c r="BY374" s="172">
        <f ca="1">IF(OR($D374&lt;&gt;"Serviço",AND(AUTOEVENTO="Manual",$M374=$A$15),$M374&gt;(ROW(PLE.lastrow)-ROW(PLE.firstrow))),0,
           IF(OFFSET(PLE!$G$15,$M374-$A$15,BY$13)="",10^12,OFFSET(PLE!$G$15,$M374-$A$15,BY$13)))</f>
        <v>1000000000000</v>
      </c>
      <c r="BZ374" s="172">
        <f ca="1">IF(OR($D374&lt;&gt;"Serviço",AND(AUTOEVENTO="Manual",$M374=$A$15),$M374&gt;(ROW(PLE.lastrow)-ROW(PLE.firstrow))),0,
           IF(OFFSET(PLE!$G$15,$M374-$A$15,BZ$13)="",10^12,OFFSET(PLE!$G$15,$M374-$A$15,BZ$13)))</f>
        <v>1000000000000</v>
      </c>
      <c r="CA374" s="172">
        <f ca="1">IF(OR($D374&lt;&gt;"Serviço",AND(AUTOEVENTO="Manual",$M374=$A$15),$M374&gt;(ROW(PLE.lastrow)-ROW(PLE.firstrow))),0,
           IF(OFFSET(PLE!$G$15,$M374-$A$15,CA$13)="",10^12,OFFSET(PLE!$G$15,$M374-$A$15,CA$13)))</f>
        <v>1000000000000</v>
      </c>
      <c r="CB374" s="172">
        <f ca="1">IF(OR($D374&lt;&gt;"Serviço",AND(AUTOEVENTO="Manual",$M374=$A$15),$M374&gt;(ROW(PLE.lastrow)-ROW(PLE.firstrow))),0,
           IF(OFFSET(PLE!$G$15,$M374-$A$15,CB$13)="",10^12,OFFSET(PLE!$G$15,$M374-$A$15,CB$13)))</f>
        <v>1000000000000</v>
      </c>
      <c r="CC374" s="172">
        <f ca="1">IF(OR($D374&lt;&gt;"Serviço",AND(AUTOEVENTO="Manual",$M374=$A$15),$M374&gt;(ROW(PLE.lastrow)-ROW(PLE.firstrow))),0,
           IF(OFFSET(PLE!$G$15,$M374-$A$15,CC$13)="",10^12,OFFSET(PLE!$G$15,$M374-$A$15,CC$13)))</f>
        <v>1000000000000</v>
      </c>
      <c r="CD374" s="172">
        <f ca="1">IF(OR($D374&lt;&gt;"Serviço",AND(AUTOEVENTO="Manual",$M374=$A$15),$M374&gt;(ROW(PLE.lastrow)-ROW(PLE.firstrow))),0,
           IF(OFFSET(PLE!$G$15,$M374-$A$15,CD$13)="",10^12,OFFSET(PLE!$G$15,$M374-$A$15,CD$13)))</f>
        <v>1000000000000</v>
      </c>
      <c r="CE374" s="172">
        <f ca="1">IF(OR($D374&lt;&gt;"Serviço",AND(AUTOEVENTO="Manual",$M374=$A$15),$M374&gt;(ROW(PLE.lastrow)-ROW(PLE.firstrow))),0,
           IF(OFFSET(PLE!$G$15,$M374-$A$15,CE$13)="",10^12,OFFSET(PLE!$G$15,$M374-$A$15,CE$13)))</f>
        <v>1000000000000</v>
      </c>
      <c r="CF374" s="172">
        <f ca="1">IF(OR($D374&lt;&gt;"Serviço",AND(AUTOEVENTO="Manual",$M374=$A$15),$M374&gt;(ROW(PLE.lastrow)-ROW(PLE.firstrow))),0,
           IF(OFFSET(PLE!$G$15,$M374-$A$15,CF$13)="",10^12,OFFSET(PLE!$G$15,$M374-$A$15,CF$13)))</f>
        <v>1000000000000</v>
      </c>
      <c r="CG374" s="172">
        <f ca="1">IF(OR($D374&lt;&gt;"Serviço",AND(AUTOEVENTO="Manual",$M374=$A$15),$M374&gt;(ROW(PLE.lastrow)-ROW(PLE.firstrow))),0,
           IF(OFFSET(PLE!$G$15,$M374-$A$15,CG$13)="",10^12,OFFSET(PLE!$G$15,$M374-$A$15,CG$13)))</f>
        <v>1000000000000</v>
      </c>
      <c r="CH374" s="172">
        <f ca="1">IF(OR($D374&lt;&gt;"Serviço",AND(AUTOEVENTO="Manual",$M374=$A$15),$M374&gt;(ROW(PLE.lastrow)-ROW(PLE.firstrow))),0,
           IF(OFFSET(PLE!$G$15,$M374-$A$15,CH$13)="",10^12,OFFSET(PLE!$G$15,$M374-$A$15,CH$13)))</f>
        <v>1000000000000</v>
      </c>
      <c r="CI374" s="172">
        <f ca="1">IF(OR($D374&lt;&gt;"Serviço",AND(AUTOEVENTO="Manual",$M374=$A$15),$M374&gt;(ROW(PLE.lastrow)-ROW(PLE.firstrow))),0,
           IF(OFFSET(PLE!$G$15,$M374-$A$15,CI$13)="",10^12,OFFSET(PLE!$G$15,$M374-$A$15,CI$13)))</f>
        <v>1000000000000</v>
      </c>
      <c r="CJ374" s="172">
        <f ca="1">IF(OR($D374&lt;&gt;"Serviço",AND(AUTOEVENTO="Manual",$M374=$A$15),$M374&gt;(ROW(PLE.lastrow)-ROW(PLE.firstrow))),0,
           IF(OFFSET(PLE!$G$15,$M374-$A$15,CJ$13)="",10^12,OFFSET(PLE!$G$15,$M374-$A$15,CJ$13)))</f>
        <v>1000000000000</v>
      </c>
      <c r="CK374" s="172">
        <f ca="1">IF(OR($D374&lt;&gt;"Serviço",AND(AUTOEVENTO="Manual",$M374=$A$15),$M374&gt;(ROW(PLE.lastrow)-ROW(PLE.firstrow))),0,
           IF(OFFSET(PLE!$G$15,$M374-$A$15,CK$13)="",10^12,OFFSET(PLE!$G$15,$M374-$A$15,CK$13)))</f>
        <v>1000000000000</v>
      </c>
      <c r="CL374" s="172">
        <f ca="1">IF(OR($D374&lt;&gt;"Serviço",AND(AUTOEVENTO="Manual",$M374=$A$15),$M374&gt;(ROW(PLE.lastrow)-ROW(PLE.firstrow))),0,
           IF(OFFSET(PLE!$G$15,$M374-$A$15,CL$13)="",10^12,OFFSET(PLE!$G$15,$M374-$A$15,CL$13)))</f>
        <v>1000000000000</v>
      </c>
      <c r="CM374" s="172">
        <f ca="1">IF(OR($D374&lt;&gt;"Serviço",AND(AUTOEVENTO="Manual",$M374=$A$15),$M374&gt;(ROW(PLE.lastrow)-ROW(PLE.firstrow))),0,
           IF(OFFSET(PLE!$G$15,$M374-$A$15,CM$13)="",10^12,OFFSET(PLE!$G$15,$M374-$A$15,CM$13)))</f>
        <v>1000000000000</v>
      </c>
    </row>
    <row r="375" spans="1:91" ht="38.25" x14ac:dyDescent="0.2">
      <c r="A375" s="7">
        <f t="shared" ca="1" si="15"/>
        <v>7</v>
      </c>
      <c r="B375" s="7" t="str">
        <f ca="1">OFFSET(ORÇAMENTO!C$15,ROW(B375)-ROW(B$15),0)</f>
        <v>S</v>
      </c>
      <c r="C375" s="7" t="str">
        <f ca="1">OFFSET(ORÇAMENTO!L$15,ROW(C375)-ROW(C$15),0)</f>
        <v>F</v>
      </c>
      <c r="D375" s="116" t="str">
        <f ca="1">OFFSET(ORÇAMENTO!N$15,ROW(D375)-ROW(D$15),0)</f>
        <v>Serviço</v>
      </c>
      <c r="E375" s="117" t="str">
        <f ca="1">OFFSET(ORÇAMENTO!O$15,ROW(E375)-ROW(E$15),0)</f>
        <v>1.8.1.3.5.</v>
      </c>
      <c r="F375" s="163" t="str">
        <f ca="1">OFFSET(ORÇAMENTO!R$15,ROW(F375)-ROW(F$15),0)</f>
        <v>DISJUNTOR TRIPOLAR TIPO DIN, CORRENTE NOMINAL DE 10A - FORNECIMENTO E INSTALAÇÃO. AF_10/2020</v>
      </c>
      <c r="G375" s="164" t="str">
        <f ca="1">IF($D375&lt;&gt;"Serviço","",OFFSET(ORÇAMENTO!S$15,ROW(G375)-ROW(G$15),0))</f>
        <v>UN</v>
      </c>
      <c r="H375" s="122" cm="1">
        <f t="array" aca="1" ref="H375" ca="1">IF($D375&lt;&gt;"Serviço",0,IF(ACOMPANHAMENTO="BM",ROUND(OFFSET(ORÇAMENTO!AJ$15,ROW(H375)-ROW(H$15),0),15-13*ORÇAMENTO!$AF$7),SUMPRODUCT(($Q$1:$AI$1=1)*ROUND($Q375:$AI375,15-13*ORÇAMENTO!$AF$7))))</f>
        <v>1</v>
      </c>
      <c r="I375" s="468" t="s">
        <v>1431</v>
      </c>
      <c r="J375" s="640" t="str" cm="1">
        <f t="array" aca="1" ref="J375" ca="1">IF(OR(B375&lt;&gt;"S",CÁLCULO.FrentesPreenchidas=0),"",IF(AND(ACOMPANHAMENTO="PLE",AUTOEVENTO="Manual",OR(H375&gt;0,ORÇAMENTO!AC375="QUANT."),OR(K375="",M375=0,N375="")),"►E",IF(AND(ACOMPANHAMENTO="PLE",ORÇAMENTO!AC375="QUANT."),"►Q",IF(AND(ACOMPANHAMENTO="PLE",H375&lt;&gt;SUMPRODUCT(($Q$1:$AI$1=1)*ROUND(Q375:AI375,15))),"►S",IF(AND(COUNTIF($P$11:$AI$11,"▼")=0,H375&gt;0,I375=""),"◄M","")))))</f>
        <v/>
      </c>
      <c r="K375" s="641" t="s">
        <v>1391</v>
      </c>
      <c r="L375" s="165" t="s">
        <v>764</v>
      </c>
      <c r="M375" s="166">
        <f ca="1">IF($D375&lt;&gt;"Serviço","",
          IF(AUTOEVENTO="manual",$A375,
                IF(ISERROR(MATCH($A375,$A$15:OFFSET($A375,-1,0),0)),MAX($M$15:OFFSET(M375,-1,0))+1,
                      INDEX($M$15:OFFSET(M375,-1,0),MATCH($A375,$A$15:OFFSET($A375,-1,0),0)))))</f>
        <v>7</v>
      </c>
      <c r="N375" s="167" t="str">
        <f ca="1">IF($D375&lt;&gt;"Serviço","",
         IF(AUTOEVENTO="Manual",
                IF($A375=0,"&lt;-- defina o número do agrupador",
                       OFFSET(EVENTOS!$D$15,$A375-$A$15,0)),
                OFFSET($F$15,$A375,0)))</f>
        <v>Instalações Elétricas</v>
      </c>
      <c r="O375" s="168"/>
      <c r="Q375" s="168"/>
      <c r="R375" s="169"/>
      <c r="S375" s="169"/>
      <c r="T375" s="169"/>
      <c r="U375" s="169"/>
      <c r="V375" s="169"/>
      <c r="W375" s="169"/>
      <c r="X375" s="169">
        <v>1</v>
      </c>
      <c r="Y375" s="169"/>
      <c r="Z375" s="170"/>
      <c r="AA375" s="169"/>
      <c r="AB375" s="169"/>
      <c r="AC375" s="169"/>
      <c r="AD375" s="169"/>
      <c r="AE375" s="169"/>
      <c r="AF375" s="169"/>
      <c r="AG375" s="169"/>
      <c r="AH375" s="170"/>
      <c r="AJ375" s="453">
        <f ca="1">IF(AND($D375="Serviço",AJ$12&lt;&gt;0,$H375&gt;0,OR(AUTOEVENTO&lt;&gt;"manual",$M375&lt;&gt;$A$15)),
        IF(Import.TipoArredondamento&lt;&gt;"TransfereGOV",
              ROUND(OFFSET($P375,0,AJ$13),15-13*ORÇAMENTO!$AF$7)/$H375*OFFSET(ORÇAMENTO!$X$15,ROW(AJ375)-ROW(AJ$15),0),
              ROUND(ROUND(OFFSET($P375,0,AJ$13),15-13*ORÇAMENTO!$AF$7)*OFFSET(ORÇAMENTO!$W$15,ROW(AJ375)-ROW(AJ$15),0),15-13*ORÇAMENTO!$AF$11)),
         0)</f>
        <v>0</v>
      </c>
      <c r="AK375" s="453">
        <f ca="1">IF(AND($D375="Serviço",AK$12&lt;&gt;0,$H375&gt;0,OR(AUTOEVENTO&lt;&gt;"manual",$M375&lt;&gt;$A$15)),
        IF(Import.TipoArredondamento&lt;&gt;"TransfereGOV",
              ROUND(OFFSET($P375,0,AK$13),15-13*ORÇAMENTO!$AF$7)/$H375*OFFSET(ORÇAMENTO!$X$15,ROW(AK375)-ROW(AK$15),0),
              ROUND(ROUND(OFFSET($P375,0,AK$13),15-13*ORÇAMENTO!$AF$7)*OFFSET(ORÇAMENTO!$W$15,ROW(AK375)-ROW(AK$15),0),15-13*ORÇAMENTO!$AF$11)),
         0)</f>
        <v>0</v>
      </c>
      <c r="AL375" s="453">
        <f ca="1">IF(AND($D375="Serviço",AL$12&lt;&gt;0,$H375&gt;0,OR(AUTOEVENTO&lt;&gt;"manual",$M375&lt;&gt;$A$15)),
        IF(Import.TipoArredondamento&lt;&gt;"TransfereGOV",
              ROUND(OFFSET($P375,0,AL$13),15-13*ORÇAMENTO!$AF$7)/$H375*OFFSET(ORÇAMENTO!$X$15,ROW(AL375)-ROW(AL$15),0),
              ROUND(ROUND(OFFSET($P375,0,AL$13),15-13*ORÇAMENTO!$AF$7)*OFFSET(ORÇAMENTO!$W$15,ROW(AL375)-ROW(AL$15),0),15-13*ORÇAMENTO!$AF$11)),
         0)</f>
        <v>0</v>
      </c>
      <c r="AM375" s="453">
        <f ca="1">IF(AND($D375="Serviço",AM$12&lt;&gt;0,$H375&gt;0,OR(AUTOEVENTO&lt;&gt;"manual",$M375&lt;&gt;$A$15)),
        IF(Import.TipoArredondamento&lt;&gt;"TransfereGOV",
              ROUND(OFFSET($P375,0,AM$13),15-13*ORÇAMENTO!$AF$7)/$H375*OFFSET(ORÇAMENTO!$X$15,ROW(AM375)-ROW(AM$15),0),
              ROUND(ROUND(OFFSET($P375,0,AM$13),15-13*ORÇAMENTO!$AF$7)*OFFSET(ORÇAMENTO!$W$15,ROW(AM375)-ROW(AM$15),0),15-13*ORÇAMENTO!$AF$11)),
         0)</f>
        <v>0</v>
      </c>
      <c r="AN375" s="453">
        <f ca="1">IF(AND($D375="Serviço",AN$12&lt;&gt;0,$H375&gt;0,OR(AUTOEVENTO&lt;&gt;"manual",$M375&lt;&gt;$A$15)),
        IF(Import.TipoArredondamento&lt;&gt;"TransfereGOV",
              ROUND(OFFSET($P375,0,AN$13),15-13*ORÇAMENTO!$AF$7)/$H375*OFFSET(ORÇAMENTO!$X$15,ROW(AN375)-ROW(AN$15),0),
              ROUND(ROUND(OFFSET($P375,0,AN$13),15-13*ORÇAMENTO!$AF$7)*OFFSET(ORÇAMENTO!$W$15,ROW(AN375)-ROW(AN$15),0),15-13*ORÇAMENTO!$AF$11)),
         0)</f>
        <v>0</v>
      </c>
      <c r="AO375" s="453">
        <f ca="1">IF(AND($D375="Serviço",AO$12&lt;&gt;0,$H375&gt;0,OR(AUTOEVENTO&lt;&gt;"manual",$M375&lt;&gt;$A$15)),
        IF(Import.TipoArredondamento&lt;&gt;"TransfereGOV",
              ROUND(OFFSET($P375,0,AO$13),15-13*ORÇAMENTO!$AF$7)/$H375*OFFSET(ORÇAMENTO!$X$15,ROW(AO375)-ROW(AO$15),0),
              ROUND(ROUND(OFFSET($P375,0,AO$13),15-13*ORÇAMENTO!$AF$7)*OFFSET(ORÇAMENTO!$W$15,ROW(AO375)-ROW(AO$15),0),15-13*ORÇAMENTO!$AF$11)),
         0)</f>
        <v>0</v>
      </c>
      <c r="AP375" s="453">
        <f ca="1">IF(AND($D375="Serviço",AP$12&lt;&gt;0,$H375&gt;0,OR(AUTOEVENTO&lt;&gt;"manual",$M375&lt;&gt;$A$15)),
        IF(Import.TipoArredondamento&lt;&gt;"TransfereGOV",
              ROUND(OFFSET($P375,0,AP$13),15-13*ORÇAMENTO!$AF$7)/$H375*OFFSET(ORÇAMENTO!$X$15,ROW(AP375)-ROW(AP$15),0),
              ROUND(ROUND(OFFSET($P375,0,AP$13),15-13*ORÇAMENTO!$AF$7)*OFFSET(ORÇAMENTO!$W$15,ROW(AP375)-ROW(AP$15),0),15-13*ORÇAMENTO!$AF$11)),
         0)</f>
        <v>0</v>
      </c>
      <c r="AQ375" s="453">
        <f ca="1">IF(AND($D375="Serviço",AQ$12&lt;&gt;0,$H375&gt;0,OR(AUTOEVENTO&lt;&gt;"manual",$M375&lt;&gt;$A$15)),
        IF(Import.TipoArredondamento&lt;&gt;"TransfereGOV",
              ROUND(OFFSET($P375,0,AQ$13),15-13*ORÇAMENTO!$AF$7)/$H375*OFFSET(ORÇAMENTO!$X$15,ROW(AQ375)-ROW(AQ$15),0),
              ROUND(ROUND(OFFSET($P375,0,AQ$13),15-13*ORÇAMENTO!$AF$7)*OFFSET(ORÇAMENTO!$W$15,ROW(AQ375)-ROW(AQ$15),0),15-13*ORÇAMENTO!$AF$11)),
         0)</f>
        <v>0</v>
      </c>
      <c r="AR375" s="453">
        <f ca="1">IF(AND($D375="Serviço",AR$12&lt;&gt;0,$H375&gt;0,OR(AUTOEVENTO&lt;&gt;"manual",$M375&lt;&gt;$A$15)),
        IF(Import.TipoArredondamento&lt;&gt;"TransfereGOV",
              ROUND(OFFSET($P375,0,AR$13),15-13*ORÇAMENTO!$AF$7)/$H375*OFFSET(ORÇAMENTO!$X$15,ROW(AR375)-ROW(AR$15),0),
              ROUND(ROUND(OFFSET($P375,0,AR$13),15-13*ORÇAMENTO!$AF$7)*OFFSET(ORÇAMENTO!$W$15,ROW(AR375)-ROW(AR$15),0),15-13*ORÇAMENTO!$AF$11)),
         0)</f>
        <v>0</v>
      </c>
      <c r="AS375" s="453">
        <f ca="1">IF(AND($D375="Serviço",AS$12&lt;&gt;0,$H375&gt;0,OR(AUTOEVENTO&lt;&gt;"manual",$M375&lt;&gt;$A$15)),
        IF(Import.TipoArredondamento&lt;&gt;"TransfereGOV",
              ROUND(OFFSET($P375,0,AS$13),15-13*ORÇAMENTO!$AF$7)/$H375*OFFSET(ORÇAMENTO!$X$15,ROW(AS375)-ROW(AS$15),0),
              ROUND(ROUND(OFFSET($P375,0,AS$13),15-13*ORÇAMENTO!$AF$7)*OFFSET(ORÇAMENTO!$W$15,ROW(AS375)-ROW(AS$15),0),15-13*ORÇAMENTO!$AF$11)),
         0)</f>
        <v>0</v>
      </c>
      <c r="AT375" s="453">
        <f ca="1">IF(AND($D375="Serviço",AT$12&lt;&gt;0,$H375&gt;0,OR(AUTOEVENTO&lt;&gt;"manual",$M375&lt;&gt;$A$15)),
        IF(Import.TipoArredondamento&lt;&gt;"TransfereGOV",
              ROUND(OFFSET($P375,0,AT$13),15-13*ORÇAMENTO!$AF$7)/$H375*OFFSET(ORÇAMENTO!$X$15,ROW(AT375)-ROW(AT$15),0),
              ROUND(ROUND(OFFSET($P375,0,AT$13),15-13*ORÇAMENTO!$AF$7)*OFFSET(ORÇAMENTO!$W$15,ROW(AT375)-ROW(AT$15),0),15-13*ORÇAMENTO!$AF$11)),
         0)</f>
        <v>0</v>
      </c>
      <c r="AU375" s="453">
        <f ca="1">IF(AND($D375="Serviço",AU$12&lt;&gt;0,$H375&gt;0,OR(AUTOEVENTO&lt;&gt;"manual",$M375&lt;&gt;$A$15)),
        IF(Import.TipoArredondamento&lt;&gt;"TransfereGOV",
              ROUND(OFFSET($P375,0,AU$13),15-13*ORÇAMENTO!$AF$7)/$H375*OFFSET(ORÇAMENTO!$X$15,ROW(AU375)-ROW(AU$15),0),
              ROUND(ROUND(OFFSET($P375,0,AU$13),15-13*ORÇAMENTO!$AF$7)*OFFSET(ORÇAMENTO!$W$15,ROW(AU375)-ROW(AU$15),0),15-13*ORÇAMENTO!$AF$11)),
         0)</f>
        <v>0</v>
      </c>
      <c r="AV375" s="453">
        <f ca="1">IF(AND($D375="Serviço",AV$12&lt;&gt;0,$H375&gt;0,OR(AUTOEVENTO&lt;&gt;"manual",$M375&lt;&gt;$A$15)),
        IF(Import.TipoArredondamento&lt;&gt;"TransfereGOV",
              ROUND(OFFSET($P375,0,AV$13),15-13*ORÇAMENTO!$AF$7)/$H375*OFFSET(ORÇAMENTO!$X$15,ROW(AV375)-ROW(AV$15),0),
              ROUND(ROUND(OFFSET($P375,0,AV$13),15-13*ORÇAMENTO!$AF$7)*OFFSET(ORÇAMENTO!$W$15,ROW(AV375)-ROW(AV$15),0),15-13*ORÇAMENTO!$AF$11)),
         0)</f>
        <v>0</v>
      </c>
      <c r="AW375" s="453">
        <f ca="1">IF(AND($D375="Serviço",AW$12&lt;&gt;0,$H375&gt;0,OR(AUTOEVENTO&lt;&gt;"manual",$M375&lt;&gt;$A$15)),
        IF(Import.TipoArredondamento&lt;&gt;"TransfereGOV",
              ROUND(OFFSET($P375,0,AW$13),15-13*ORÇAMENTO!$AF$7)/$H375*OFFSET(ORÇAMENTO!$X$15,ROW(AW375)-ROW(AW$15),0),
              ROUND(ROUND(OFFSET($P375,0,AW$13),15-13*ORÇAMENTO!$AF$7)*OFFSET(ORÇAMENTO!$W$15,ROW(AW375)-ROW(AW$15),0),15-13*ORÇAMENTO!$AF$11)),
         0)</f>
        <v>0</v>
      </c>
      <c r="AX375" s="453">
        <f ca="1">IF(AND($D375="Serviço",AX$12&lt;&gt;0,$H375&gt;0,OR(AUTOEVENTO&lt;&gt;"manual",$M375&lt;&gt;$A$15)),
        IF(Import.TipoArredondamento&lt;&gt;"TransfereGOV",
              ROUND(OFFSET($P375,0,AX$13),15-13*ORÇAMENTO!$AF$7)/$H375*OFFSET(ORÇAMENTO!$X$15,ROW(AX375)-ROW(AX$15),0),
              ROUND(ROUND(OFFSET($P375,0,AX$13),15-13*ORÇAMENTO!$AF$7)*OFFSET(ORÇAMENTO!$W$15,ROW(AX375)-ROW(AX$15),0),15-13*ORÇAMENTO!$AF$11)),
         0)</f>
        <v>0</v>
      </c>
      <c r="AY375" s="453">
        <f ca="1">IF(AND($D375="Serviço",AY$12&lt;&gt;0,$H375&gt;0,OR(AUTOEVENTO&lt;&gt;"manual",$M375&lt;&gt;$A$15)),
        IF(Import.TipoArredondamento&lt;&gt;"TransfereGOV",
              ROUND(OFFSET($P375,0,AY$13),15-13*ORÇAMENTO!$AF$7)/$H375*OFFSET(ORÇAMENTO!$X$15,ROW(AY375)-ROW(AY$15),0),
              ROUND(ROUND(OFFSET($P375,0,AY$13),15-13*ORÇAMENTO!$AF$7)*OFFSET(ORÇAMENTO!$W$15,ROW(AY375)-ROW(AY$15),0),15-13*ORÇAMENTO!$AF$11)),
         0)</f>
        <v>0</v>
      </c>
      <c r="AZ375" s="453">
        <f ca="1">IF(AND($D375="Serviço",AZ$12&lt;&gt;0,$H375&gt;0,OR(AUTOEVENTO&lt;&gt;"manual",$M375&lt;&gt;$A$15)),
        IF(Import.TipoArredondamento&lt;&gt;"TransfereGOV",
              ROUND(OFFSET($P375,0,AZ$13),15-13*ORÇAMENTO!$AF$7)/$H375*OFFSET(ORÇAMENTO!$X$15,ROW(AZ375)-ROW(AZ$15),0),
              ROUND(ROUND(OFFSET($P375,0,AZ$13),15-13*ORÇAMENTO!$AF$7)*OFFSET(ORÇAMENTO!$W$15,ROW(AZ375)-ROW(AZ$15),0),15-13*ORÇAMENTO!$AF$11)),
         0)</f>
        <v>0</v>
      </c>
      <c r="BA375" s="453">
        <f ca="1">IF(AND($D375="Serviço",BA$12&lt;&gt;0,$H375&gt;0,OR(AUTOEVENTO&lt;&gt;"manual",$M375&lt;&gt;$A$15)),
        IF(Import.TipoArredondamento&lt;&gt;"TransfereGOV",
              ROUND(OFFSET($P375,0,BA$13),15-13*ORÇAMENTO!$AF$7)/$H375*OFFSET(ORÇAMENTO!$X$15,ROW(BA375)-ROW(BA$15),0),
              ROUND(ROUND(OFFSET($P375,0,BA$13),15-13*ORÇAMENTO!$AF$7)*OFFSET(ORÇAMENTO!$W$15,ROW(BA375)-ROW(BA$15),0),15-13*ORÇAMENTO!$AF$11)),
         0)</f>
        <v>0</v>
      </c>
      <c r="BC375" s="171">
        <f ca="1">IF(OR($D375&lt;&gt;"Serviço",AND(AUTOEVENTO="Manual",$M375=$A$15)),0,
         IF(OFFSET(CRONOPLE!$F$15,$M375-$A$15,BC$13)=0,10^12,OFFSET(CRONOPLE!$F$15,$M375-$A$15,BC$13)))</f>
        <v>1</v>
      </c>
      <c r="BD375" s="171">
        <f ca="1">IF(OR($D375&lt;&gt;"Serviço",AND(AUTOEVENTO="Manual",$M375=$A$15)),0,
         IF(OFFSET(CRONOPLE!$F$15,$M375-$A$15,BD$13)=0,10^12,OFFSET(CRONOPLE!$F$15,$M375-$A$15,BD$13)))</f>
        <v>2</v>
      </c>
      <c r="BE375" s="171">
        <f ca="1">IF(OR($D375&lt;&gt;"Serviço",AND(AUTOEVENTO="Manual",$M375=$A$15)),0,
         IF(OFFSET(CRONOPLE!$F$15,$M375-$A$15,BE$13)=0,10^12,OFFSET(CRONOPLE!$F$15,$M375-$A$15,BE$13)))</f>
        <v>3</v>
      </c>
      <c r="BF375" s="171">
        <f ca="1">IF(OR($D375&lt;&gt;"Serviço",AND(AUTOEVENTO="Manual",$M375=$A$15)),0,
         IF(OFFSET(CRONOPLE!$F$15,$M375-$A$15,BF$13)=0,10^12,OFFSET(CRONOPLE!$F$15,$M375-$A$15,BF$13)))</f>
        <v>4</v>
      </c>
      <c r="BG375" s="171">
        <f ca="1">IF(OR($D375&lt;&gt;"Serviço",AND(AUTOEVENTO="Manual",$M375=$A$15)),0,
         IF(OFFSET(CRONOPLE!$F$15,$M375-$A$15,BG$13)=0,10^12,OFFSET(CRONOPLE!$F$15,$M375-$A$15,BG$13)))</f>
        <v>5</v>
      </c>
      <c r="BH375" s="171">
        <f ca="1">IF(OR($D375&lt;&gt;"Serviço",AND(AUTOEVENTO="Manual",$M375=$A$15)),0,
         IF(OFFSET(CRONOPLE!$F$15,$M375-$A$15,BH$13)=0,10^12,OFFSET(CRONOPLE!$F$15,$M375-$A$15,BH$13)))</f>
        <v>6</v>
      </c>
      <c r="BI375" s="171">
        <f ca="1">IF(OR($D375&lt;&gt;"Serviço",AND(AUTOEVENTO="Manual",$M375=$A$15)),0,
         IF(OFFSET(CRONOPLE!$F$15,$M375-$A$15,BI$13)=0,10^12,OFFSET(CRONOPLE!$F$15,$M375-$A$15,BI$13)))</f>
        <v>7</v>
      </c>
      <c r="BJ375" s="171">
        <f ca="1">IF(OR($D375&lt;&gt;"Serviço",AND(AUTOEVENTO="Manual",$M375=$A$15)),0,
         IF(OFFSET(CRONOPLE!$F$15,$M375-$A$15,BJ$13)=0,10^12,OFFSET(CRONOPLE!$F$15,$M375-$A$15,BJ$13)))</f>
        <v>8</v>
      </c>
      <c r="BK375" s="171">
        <f ca="1">IF(OR($D375&lt;&gt;"Serviço",AND(AUTOEVENTO="Manual",$M375=$A$15)),0,
         IF(OFFSET(CRONOPLE!$F$15,$M375-$A$15,BK$13)=0,10^12,OFFSET(CRONOPLE!$F$15,$M375-$A$15,BK$13)))</f>
        <v>9</v>
      </c>
      <c r="BL375" s="171">
        <f ca="1">IF(OR($D375&lt;&gt;"Serviço",AND(AUTOEVENTO="Manual",$M375=$A$15)),0,
         IF(OFFSET(CRONOPLE!$F$15,$M375-$A$15,BL$13)=0,10^12,OFFSET(CRONOPLE!$F$15,$M375-$A$15,BL$13)))</f>
        <v>1000000000000</v>
      </c>
      <c r="BM375" s="171">
        <f ca="1">IF(OR($D375&lt;&gt;"Serviço",AND(AUTOEVENTO="Manual",$M375=$A$15)),0,
         IF(OFFSET(CRONOPLE!$F$15,$M375-$A$15,BM$13)=0,10^12,OFFSET(CRONOPLE!$F$15,$M375-$A$15,BM$13)))</f>
        <v>1000000000000</v>
      </c>
      <c r="BN375" s="171">
        <f ca="1">IF(OR($D375&lt;&gt;"Serviço",AND(AUTOEVENTO="Manual",$M375=$A$15)),0,
         IF(OFFSET(CRONOPLE!$F$15,$M375-$A$15,BN$13)=0,10^12,OFFSET(CRONOPLE!$F$15,$M375-$A$15,BN$13)))</f>
        <v>1000000000000</v>
      </c>
      <c r="BO375" s="171">
        <f ca="1">IF(OR($D375&lt;&gt;"Serviço",AND(AUTOEVENTO="Manual",$M375=$A$15)),0,
         IF(OFFSET(CRONOPLE!$F$15,$M375-$A$15,BO$13)=0,10^12,OFFSET(CRONOPLE!$F$15,$M375-$A$15,BO$13)))</f>
        <v>1000000000000</v>
      </c>
      <c r="BP375" s="171">
        <f ca="1">IF(OR($D375&lt;&gt;"Serviço",AND(AUTOEVENTO="Manual",$M375=$A$15)),0,
         IF(OFFSET(CRONOPLE!$F$15,$M375-$A$15,BP$13)=0,10^12,OFFSET(CRONOPLE!$F$15,$M375-$A$15,BP$13)))</f>
        <v>1000000000000</v>
      </c>
      <c r="BQ375" s="171">
        <f ca="1">IF(OR($D375&lt;&gt;"Serviço",AND(AUTOEVENTO="Manual",$M375=$A$15)),0,
         IF(OFFSET(CRONOPLE!$F$15,$M375-$A$15,BQ$13)=0,10^12,OFFSET(CRONOPLE!$F$15,$M375-$A$15,BQ$13)))</f>
        <v>1000000000000</v>
      </c>
      <c r="BR375" s="171">
        <f ca="1">IF(OR($D375&lt;&gt;"Serviço",AND(AUTOEVENTO="Manual",$M375=$A$15)),0,
         IF(OFFSET(CRONOPLE!$F$15,$M375-$A$15,BR$13)=0,10^12,OFFSET(CRONOPLE!$F$15,$M375-$A$15,BR$13)))</f>
        <v>1000000000000</v>
      </c>
      <c r="BS375" s="171">
        <f ca="1">IF(OR($D375&lt;&gt;"Serviço",AND(AUTOEVENTO="Manual",$M375=$A$15)),0,
         IF(OFFSET(CRONOPLE!$F$15,$M375-$A$15,BS$13)=0,10^12,OFFSET(CRONOPLE!$F$15,$M375-$A$15,BS$13)))</f>
        <v>1000000000000</v>
      </c>
      <c r="BT375" s="171">
        <f ca="1">IF(OR($D375&lt;&gt;"Serviço",AND(AUTOEVENTO="Manual",$M375=$A$15)),0,
         IF(OFFSET(CRONOPLE!$F$15,$M375-$A$15,BT$13)=0,10^12,OFFSET(CRONOPLE!$F$15,$M375-$A$15,BT$13)))</f>
        <v>1000000000000</v>
      </c>
      <c r="BV375" s="172">
        <f ca="1">IF(OR($D375&lt;&gt;"Serviço",AND(AUTOEVENTO="Manual",$M375=$A$15),$M375&gt;(ROW(PLE.lastrow)-ROW(PLE.firstrow))),0,
           IF(OFFSET(PLE!$G$15,$M375-$A$15,BV$13)="",10^12,OFFSET(PLE!$G$15,$M375-$A$15,BV$13)))</f>
        <v>1000000000000</v>
      </c>
      <c r="BW375" s="172">
        <f ca="1">IF(OR($D375&lt;&gt;"Serviço",AND(AUTOEVENTO="Manual",$M375=$A$15),$M375&gt;(ROW(PLE.lastrow)-ROW(PLE.firstrow))),0,
           IF(OFFSET(PLE!$G$15,$M375-$A$15,BW$13)="",10^12,OFFSET(PLE!$G$15,$M375-$A$15,BW$13)))</f>
        <v>1000000000000</v>
      </c>
      <c r="BX375" s="172">
        <f ca="1">IF(OR($D375&lt;&gt;"Serviço",AND(AUTOEVENTO="Manual",$M375=$A$15),$M375&gt;(ROW(PLE.lastrow)-ROW(PLE.firstrow))),0,
           IF(OFFSET(PLE!$G$15,$M375-$A$15,BX$13)="",10^12,OFFSET(PLE!$G$15,$M375-$A$15,BX$13)))</f>
        <v>1000000000000</v>
      </c>
      <c r="BY375" s="172">
        <f ca="1">IF(OR($D375&lt;&gt;"Serviço",AND(AUTOEVENTO="Manual",$M375=$A$15),$M375&gt;(ROW(PLE.lastrow)-ROW(PLE.firstrow))),0,
           IF(OFFSET(PLE!$G$15,$M375-$A$15,BY$13)="",10^12,OFFSET(PLE!$G$15,$M375-$A$15,BY$13)))</f>
        <v>1000000000000</v>
      </c>
      <c r="BZ375" s="172">
        <f ca="1">IF(OR($D375&lt;&gt;"Serviço",AND(AUTOEVENTO="Manual",$M375=$A$15),$M375&gt;(ROW(PLE.lastrow)-ROW(PLE.firstrow))),0,
           IF(OFFSET(PLE!$G$15,$M375-$A$15,BZ$13)="",10^12,OFFSET(PLE!$G$15,$M375-$A$15,BZ$13)))</f>
        <v>1000000000000</v>
      </c>
      <c r="CA375" s="172">
        <f ca="1">IF(OR($D375&lt;&gt;"Serviço",AND(AUTOEVENTO="Manual",$M375=$A$15),$M375&gt;(ROW(PLE.lastrow)-ROW(PLE.firstrow))),0,
           IF(OFFSET(PLE!$G$15,$M375-$A$15,CA$13)="",10^12,OFFSET(PLE!$G$15,$M375-$A$15,CA$13)))</f>
        <v>1000000000000</v>
      </c>
      <c r="CB375" s="172">
        <f ca="1">IF(OR($D375&lt;&gt;"Serviço",AND(AUTOEVENTO="Manual",$M375=$A$15),$M375&gt;(ROW(PLE.lastrow)-ROW(PLE.firstrow))),0,
           IF(OFFSET(PLE!$G$15,$M375-$A$15,CB$13)="",10^12,OFFSET(PLE!$G$15,$M375-$A$15,CB$13)))</f>
        <v>1000000000000</v>
      </c>
      <c r="CC375" s="172">
        <f ca="1">IF(OR($D375&lt;&gt;"Serviço",AND(AUTOEVENTO="Manual",$M375=$A$15),$M375&gt;(ROW(PLE.lastrow)-ROW(PLE.firstrow))),0,
           IF(OFFSET(PLE!$G$15,$M375-$A$15,CC$13)="",10^12,OFFSET(PLE!$G$15,$M375-$A$15,CC$13)))</f>
        <v>1000000000000</v>
      </c>
      <c r="CD375" s="172">
        <f ca="1">IF(OR($D375&lt;&gt;"Serviço",AND(AUTOEVENTO="Manual",$M375=$A$15),$M375&gt;(ROW(PLE.lastrow)-ROW(PLE.firstrow))),0,
           IF(OFFSET(PLE!$G$15,$M375-$A$15,CD$13)="",10^12,OFFSET(PLE!$G$15,$M375-$A$15,CD$13)))</f>
        <v>1000000000000</v>
      </c>
      <c r="CE375" s="172">
        <f ca="1">IF(OR($D375&lt;&gt;"Serviço",AND(AUTOEVENTO="Manual",$M375=$A$15),$M375&gt;(ROW(PLE.lastrow)-ROW(PLE.firstrow))),0,
           IF(OFFSET(PLE!$G$15,$M375-$A$15,CE$13)="",10^12,OFFSET(PLE!$G$15,$M375-$A$15,CE$13)))</f>
        <v>1000000000000</v>
      </c>
      <c r="CF375" s="172">
        <f ca="1">IF(OR($D375&lt;&gt;"Serviço",AND(AUTOEVENTO="Manual",$M375=$A$15),$M375&gt;(ROW(PLE.lastrow)-ROW(PLE.firstrow))),0,
           IF(OFFSET(PLE!$G$15,$M375-$A$15,CF$13)="",10^12,OFFSET(PLE!$G$15,$M375-$A$15,CF$13)))</f>
        <v>1000000000000</v>
      </c>
      <c r="CG375" s="172">
        <f ca="1">IF(OR($D375&lt;&gt;"Serviço",AND(AUTOEVENTO="Manual",$M375=$A$15),$M375&gt;(ROW(PLE.lastrow)-ROW(PLE.firstrow))),0,
           IF(OFFSET(PLE!$G$15,$M375-$A$15,CG$13)="",10^12,OFFSET(PLE!$G$15,$M375-$A$15,CG$13)))</f>
        <v>1000000000000</v>
      </c>
      <c r="CH375" s="172">
        <f ca="1">IF(OR($D375&lt;&gt;"Serviço",AND(AUTOEVENTO="Manual",$M375=$A$15),$M375&gt;(ROW(PLE.lastrow)-ROW(PLE.firstrow))),0,
           IF(OFFSET(PLE!$G$15,$M375-$A$15,CH$13)="",10^12,OFFSET(PLE!$G$15,$M375-$A$15,CH$13)))</f>
        <v>1000000000000</v>
      </c>
      <c r="CI375" s="172">
        <f ca="1">IF(OR($D375&lt;&gt;"Serviço",AND(AUTOEVENTO="Manual",$M375=$A$15),$M375&gt;(ROW(PLE.lastrow)-ROW(PLE.firstrow))),0,
           IF(OFFSET(PLE!$G$15,$M375-$A$15,CI$13)="",10^12,OFFSET(PLE!$G$15,$M375-$A$15,CI$13)))</f>
        <v>1000000000000</v>
      </c>
      <c r="CJ375" s="172">
        <f ca="1">IF(OR($D375&lt;&gt;"Serviço",AND(AUTOEVENTO="Manual",$M375=$A$15),$M375&gt;(ROW(PLE.lastrow)-ROW(PLE.firstrow))),0,
           IF(OFFSET(PLE!$G$15,$M375-$A$15,CJ$13)="",10^12,OFFSET(PLE!$G$15,$M375-$A$15,CJ$13)))</f>
        <v>1000000000000</v>
      </c>
      <c r="CK375" s="172">
        <f ca="1">IF(OR($D375&lt;&gt;"Serviço",AND(AUTOEVENTO="Manual",$M375=$A$15),$M375&gt;(ROW(PLE.lastrow)-ROW(PLE.firstrow))),0,
           IF(OFFSET(PLE!$G$15,$M375-$A$15,CK$13)="",10^12,OFFSET(PLE!$G$15,$M375-$A$15,CK$13)))</f>
        <v>1000000000000</v>
      </c>
      <c r="CL375" s="172">
        <f ca="1">IF(OR($D375&lt;&gt;"Serviço",AND(AUTOEVENTO="Manual",$M375=$A$15),$M375&gt;(ROW(PLE.lastrow)-ROW(PLE.firstrow))),0,
           IF(OFFSET(PLE!$G$15,$M375-$A$15,CL$13)="",10^12,OFFSET(PLE!$G$15,$M375-$A$15,CL$13)))</f>
        <v>1000000000000</v>
      </c>
      <c r="CM375" s="172">
        <f ca="1">IF(OR($D375&lt;&gt;"Serviço",AND(AUTOEVENTO="Manual",$M375=$A$15),$M375&gt;(ROW(PLE.lastrow)-ROW(PLE.firstrow))),0,
           IF(OFFSET(PLE!$G$15,$M375-$A$15,CM$13)="",10^12,OFFSET(PLE!$G$15,$M375-$A$15,CM$13)))</f>
        <v>1000000000000</v>
      </c>
    </row>
    <row r="376" spans="1:91" ht="38.25" x14ac:dyDescent="0.2">
      <c r="A376" s="7">
        <f t="shared" ca="1" si="15"/>
        <v>7</v>
      </c>
      <c r="B376" s="7" t="str">
        <f ca="1">OFFSET(ORÇAMENTO!C$15,ROW(B376)-ROW(B$15),0)</f>
        <v>S</v>
      </c>
      <c r="C376" s="7" t="str">
        <f ca="1">OFFSET(ORÇAMENTO!L$15,ROW(C376)-ROW(C$15),0)</f>
        <v>F</v>
      </c>
      <c r="D376" s="116" t="str">
        <f ca="1">OFFSET(ORÇAMENTO!N$15,ROW(D376)-ROW(D$15),0)</f>
        <v>Serviço</v>
      </c>
      <c r="E376" s="117" t="str">
        <f ca="1">OFFSET(ORÇAMENTO!O$15,ROW(E376)-ROW(E$15),0)</f>
        <v>1.8.1.3.6.</v>
      </c>
      <c r="F376" s="163" t="str">
        <f ca="1">OFFSET(ORÇAMENTO!R$15,ROW(F376)-ROW(F$15),0)</f>
        <v>AUTOTRANSFORMADOR TRIFÁSICO 1.01kVA E/S 220/440V 60Hz IP00, FORNECIMENTO E INSTALAÇÃO - BASEADO EM SIURB (9014034)</v>
      </c>
      <c r="G376" s="164" t="str">
        <f ca="1">IF($D376&lt;&gt;"Serviço","",OFFSET(ORÇAMENTO!S$15,ROW(G376)-ROW(G$15),0))</f>
        <v>UN</v>
      </c>
      <c r="H376" s="122" cm="1">
        <f t="array" aca="1" ref="H376" ca="1">IF($D376&lt;&gt;"Serviço",0,IF(ACOMPANHAMENTO="BM",ROUND(OFFSET(ORÇAMENTO!AJ$15,ROW(H376)-ROW(H$15),0),15-13*ORÇAMENTO!$AF$7),SUMPRODUCT(($Q$1:$AI$1=1)*ROUND($Q376:$AI376,15-13*ORÇAMENTO!$AF$7))))</f>
        <v>1</v>
      </c>
      <c r="I376" s="468" t="s">
        <v>1431</v>
      </c>
      <c r="J376" s="640" t="str" cm="1">
        <f t="array" aca="1" ref="J376" ca="1">IF(OR(B376&lt;&gt;"S",CÁLCULO.FrentesPreenchidas=0),"",IF(AND(ACOMPANHAMENTO="PLE",AUTOEVENTO="Manual",OR(H376&gt;0,ORÇAMENTO!AC376="QUANT."),OR(K376="",M376=0,N376="")),"►E",IF(AND(ACOMPANHAMENTO="PLE",ORÇAMENTO!AC376="QUANT."),"►Q",IF(AND(ACOMPANHAMENTO="PLE",H376&lt;&gt;SUMPRODUCT(($Q$1:$AI$1=1)*ROUND(Q376:AI376,15))),"►S",IF(AND(COUNTIF($P$11:$AI$11,"▼")=0,H376&gt;0,I376=""),"◄M","")))))</f>
        <v/>
      </c>
      <c r="K376" s="641" t="s">
        <v>1391</v>
      </c>
      <c r="L376" s="165" t="s">
        <v>764</v>
      </c>
      <c r="M376" s="166">
        <f ca="1">IF($D376&lt;&gt;"Serviço","",
          IF(AUTOEVENTO="manual",$A376,
                IF(ISERROR(MATCH($A376,$A$15:OFFSET($A376,-1,0),0)),MAX($M$15:OFFSET(M376,-1,0))+1,
                      INDEX($M$15:OFFSET(M376,-1,0),MATCH($A376,$A$15:OFFSET($A376,-1,0),0)))))</f>
        <v>7</v>
      </c>
      <c r="N376" s="167" t="str">
        <f ca="1">IF($D376&lt;&gt;"Serviço","",
         IF(AUTOEVENTO="Manual",
                IF($A376=0,"&lt;-- defina o número do agrupador",
                       OFFSET(EVENTOS!$D$15,$A376-$A$15,0)),
                OFFSET($F$15,$A376,0)))</f>
        <v>Instalações Elétricas</v>
      </c>
      <c r="O376" s="168"/>
      <c r="Q376" s="168"/>
      <c r="R376" s="169"/>
      <c r="S376" s="169"/>
      <c r="T376" s="169"/>
      <c r="U376" s="169"/>
      <c r="V376" s="169"/>
      <c r="W376" s="169"/>
      <c r="X376" s="169">
        <v>1</v>
      </c>
      <c r="Y376" s="169"/>
      <c r="Z376" s="170"/>
      <c r="AA376" s="169"/>
      <c r="AB376" s="169"/>
      <c r="AC376" s="169"/>
      <c r="AD376" s="169"/>
      <c r="AE376" s="169"/>
      <c r="AF376" s="169"/>
      <c r="AG376" s="169"/>
      <c r="AH376" s="170"/>
      <c r="AJ376" s="453">
        <f ca="1">IF(AND($D376="Serviço",AJ$12&lt;&gt;0,$H376&gt;0,OR(AUTOEVENTO&lt;&gt;"manual",$M376&lt;&gt;$A$15)),
        IF(Import.TipoArredondamento&lt;&gt;"TransfereGOV",
              ROUND(OFFSET($P376,0,AJ$13),15-13*ORÇAMENTO!$AF$7)/$H376*OFFSET(ORÇAMENTO!$X$15,ROW(AJ376)-ROW(AJ$15),0),
              ROUND(ROUND(OFFSET($P376,0,AJ$13),15-13*ORÇAMENTO!$AF$7)*OFFSET(ORÇAMENTO!$W$15,ROW(AJ376)-ROW(AJ$15),0),15-13*ORÇAMENTO!$AF$11)),
         0)</f>
        <v>0</v>
      </c>
      <c r="AK376" s="453">
        <f ca="1">IF(AND($D376="Serviço",AK$12&lt;&gt;0,$H376&gt;0,OR(AUTOEVENTO&lt;&gt;"manual",$M376&lt;&gt;$A$15)),
        IF(Import.TipoArredondamento&lt;&gt;"TransfereGOV",
              ROUND(OFFSET($P376,0,AK$13),15-13*ORÇAMENTO!$AF$7)/$H376*OFFSET(ORÇAMENTO!$X$15,ROW(AK376)-ROW(AK$15),0),
              ROUND(ROUND(OFFSET($P376,0,AK$13),15-13*ORÇAMENTO!$AF$7)*OFFSET(ORÇAMENTO!$W$15,ROW(AK376)-ROW(AK$15),0),15-13*ORÇAMENTO!$AF$11)),
         0)</f>
        <v>0</v>
      </c>
      <c r="AL376" s="453">
        <f ca="1">IF(AND($D376="Serviço",AL$12&lt;&gt;0,$H376&gt;0,OR(AUTOEVENTO&lt;&gt;"manual",$M376&lt;&gt;$A$15)),
        IF(Import.TipoArredondamento&lt;&gt;"TransfereGOV",
              ROUND(OFFSET($P376,0,AL$13),15-13*ORÇAMENTO!$AF$7)/$H376*OFFSET(ORÇAMENTO!$X$15,ROW(AL376)-ROW(AL$15),0),
              ROUND(ROUND(OFFSET($P376,0,AL$13),15-13*ORÇAMENTO!$AF$7)*OFFSET(ORÇAMENTO!$W$15,ROW(AL376)-ROW(AL$15),0),15-13*ORÇAMENTO!$AF$11)),
         0)</f>
        <v>0</v>
      </c>
      <c r="AM376" s="453">
        <f ca="1">IF(AND($D376="Serviço",AM$12&lt;&gt;0,$H376&gt;0,OR(AUTOEVENTO&lt;&gt;"manual",$M376&lt;&gt;$A$15)),
        IF(Import.TipoArredondamento&lt;&gt;"TransfereGOV",
              ROUND(OFFSET($P376,0,AM$13),15-13*ORÇAMENTO!$AF$7)/$H376*OFFSET(ORÇAMENTO!$X$15,ROW(AM376)-ROW(AM$15),0),
              ROUND(ROUND(OFFSET($P376,0,AM$13),15-13*ORÇAMENTO!$AF$7)*OFFSET(ORÇAMENTO!$W$15,ROW(AM376)-ROW(AM$15),0),15-13*ORÇAMENTO!$AF$11)),
         0)</f>
        <v>0</v>
      </c>
      <c r="AN376" s="453">
        <f ca="1">IF(AND($D376="Serviço",AN$12&lt;&gt;0,$H376&gt;0,OR(AUTOEVENTO&lt;&gt;"manual",$M376&lt;&gt;$A$15)),
        IF(Import.TipoArredondamento&lt;&gt;"TransfereGOV",
              ROUND(OFFSET($P376,0,AN$13),15-13*ORÇAMENTO!$AF$7)/$H376*OFFSET(ORÇAMENTO!$X$15,ROW(AN376)-ROW(AN$15),0),
              ROUND(ROUND(OFFSET($P376,0,AN$13),15-13*ORÇAMENTO!$AF$7)*OFFSET(ORÇAMENTO!$W$15,ROW(AN376)-ROW(AN$15),0),15-13*ORÇAMENTO!$AF$11)),
         0)</f>
        <v>0</v>
      </c>
      <c r="AO376" s="453">
        <f ca="1">IF(AND($D376="Serviço",AO$12&lt;&gt;0,$H376&gt;0,OR(AUTOEVENTO&lt;&gt;"manual",$M376&lt;&gt;$A$15)),
        IF(Import.TipoArredondamento&lt;&gt;"TransfereGOV",
              ROUND(OFFSET($P376,0,AO$13),15-13*ORÇAMENTO!$AF$7)/$H376*OFFSET(ORÇAMENTO!$X$15,ROW(AO376)-ROW(AO$15),0),
              ROUND(ROUND(OFFSET($P376,0,AO$13),15-13*ORÇAMENTO!$AF$7)*OFFSET(ORÇAMENTO!$W$15,ROW(AO376)-ROW(AO$15),0),15-13*ORÇAMENTO!$AF$11)),
         0)</f>
        <v>0</v>
      </c>
      <c r="AP376" s="453">
        <f ca="1">IF(AND($D376="Serviço",AP$12&lt;&gt;0,$H376&gt;0,OR(AUTOEVENTO&lt;&gt;"manual",$M376&lt;&gt;$A$15)),
        IF(Import.TipoArredondamento&lt;&gt;"TransfereGOV",
              ROUND(OFFSET($P376,0,AP$13),15-13*ORÇAMENTO!$AF$7)/$H376*OFFSET(ORÇAMENTO!$X$15,ROW(AP376)-ROW(AP$15),0),
              ROUND(ROUND(OFFSET($P376,0,AP$13),15-13*ORÇAMENTO!$AF$7)*OFFSET(ORÇAMENTO!$W$15,ROW(AP376)-ROW(AP$15),0),15-13*ORÇAMENTO!$AF$11)),
         0)</f>
        <v>0</v>
      </c>
      <c r="AQ376" s="453">
        <f ca="1">IF(AND($D376="Serviço",AQ$12&lt;&gt;0,$H376&gt;0,OR(AUTOEVENTO&lt;&gt;"manual",$M376&lt;&gt;$A$15)),
        IF(Import.TipoArredondamento&lt;&gt;"TransfereGOV",
              ROUND(OFFSET($P376,0,AQ$13),15-13*ORÇAMENTO!$AF$7)/$H376*OFFSET(ORÇAMENTO!$X$15,ROW(AQ376)-ROW(AQ$15),0),
              ROUND(ROUND(OFFSET($P376,0,AQ$13),15-13*ORÇAMENTO!$AF$7)*OFFSET(ORÇAMENTO!$W$15,ROW(AQ376)-ROW(AQ$15),0),15-13*ORÇAMENTO!$AF$11)),
         0)</f>
        <v>0</v>
      </c>
      <c r="AR376" s="453">
        <f ca="1">IF(AND($D376="Serviço",AR$12&lt;&gt;0,$H376&gt;0,OR(AUTOEVENTO&lt;&gt;"manual",$M376&lt;&gt;$A$15)),
        IF(Import.TipoArredondamento&lt;&gt;"TransfereGOV",
              ROUND(OFFSET($P376,0,AR$13),15-13*ORÇAMENTO!$AF$7)/$H376*OFFSET(ORÇAMENTO!$X$15,ROW(AR376)-ROW(AR$15),0),
              ROUND(ROUND(OFFSET($P376,0,AR$13),15-13*ORÇAMENTO!$AF$7)*OFFSET(ORÇAMENTO!$W$15,ROW(AR376)-ROW(AR$15),0),15-13*ORÇAMENTO!$AF$11)),
         0)</f>
        <v>0</v>
      </c>
      <c r="AS376" s="453">
        <f ca="1">IF(AND($D376="Serviço",AS$12&lt;&gt;0,$H376&gt;0,OR(AUTOEVENTO&lt;&gt;"manual",$M376&lt;&gt;$A$15)),
        IF(Import.TipoArredondamento&lt;&gt;"TransfereGOV",
              ROUND(OFFSET($P376,0,AS$13),15-13*ORÇAMENTO!$AF$7)/$H376*OFFSET(ORÇAMENTO!$X$15,ROW(AS376)-ROW(AS$15),0),
              ROUND(ROUND(OFFSET($P376,0,AS$13),15-13*ORÇAMENTO!$AF$7)*OFFSET(ORÇAMENTO!$W$15,ROW(AS376)-ROW(AS$15),0),15-13*ORÇAMENTO!$AF$11)),
         0)</f>
        <v>0</v>
      </c>
      <c r="AT376" s="453">
        <f ca="1">IF(AND($D376="Serviço",AT$12&lt;&gt;0,$H376&gt;0,OR(AUTOEVENTO&lt;&gt;"manual",$M376&lt;&gt;$A$15)),
        IF(Import.TipoArredondamento&lt;&gt;"TransfereGOV",
              ROUND(OFFSET($P376,0,AT$13),15-13*ORÇAMENTO!$AF$7)/$H376*OFFSET(ORÇAMENTO!$X$15,ROW(AT376)-ROW(AT$15),0),
              ROUND(ROUND(OFFSET($P376,0,AT$13),15-13*ORÇAMENTO!$AF$7)*OFFSET(ORÇAMENTO!$W$15,ROW(AT376)-ROW(AT$15),0),15-13*ORÇAMENTO!$AF$11)),
         0)</f>
        <v>0</v>
      </c>
      <c r="AU376" s="453">
        <f ca="1">IF(AND($D376="Serviço",AU$12&lt;&gt;0,$H376&gt;0,OR(AUTOEVENTO&lt;&gt;"manual",$M376&lt;&gt;$A$15)),
        IF(Import.TipoArredondamento&lt;&gt;"TransfereGOV",
              ROUND(OFFSET($P376,0,AU$13),15-13*ORÇAMENTO!$AF$7)/$H376*OFFSET(ORÇAMENTO!$X$15,ROW(AU376)-ROW(AU$15),0),
              ROUND(ROUND(OFFSET($P376,0,AU$13),15-13*ORÇAMENTO!$AF$7)*OFFSET(ORÇAMENTO!$W$15,ROW(AU376)-ROW(AU$15),0),15-13*ORÇAMENTO!$AF$11)),
         0)</f>
        <v>0</v>
      </c>
      <c r="AV376" s="453">
        <f ca="1">IF(AND($D376="Serviço",AV$12&lt;&gt;0,$H376&gt;0,OR(AUTOEVENTO&lt;&gt;"manual",$M376&lt;&gt;$A$15)),
        IF(Import.TipoArredondamento&lt;&gt;"TransfereGOV",
              ROUND(OFFSET($P376,0,AV$13),15-13*ORÇAMENTO!$AF$7)/$H376*OFFSET(ORÇAMENTO!$X$15,ROW(AV376)-ROW(AV$15),0),
              ROUND(ROUND(OFFSET($P376,0,AV$13),15-13*ORÇAMENTO!$AF$7)*OFFSET(ORÇAMENTO!$W$15,ROW(AV376)-ROW(AV$15),0),15-13*ORÇAMENTO!$AF$11)),
         0)</f>
        <v>0</v>
      </c>
      <c r="AW376" s="453">
        <f ca="1">IF(AND($D376="Serviço",AW$12&lt;&gt;0,$H376&gt;0,OR(AUTOEVENTO&lt;&gt;"manual",$M376&lt;&gt;$A$15)),
        IF(Import.TipoArredondamento&lt;&gt;"TransfereGOV",
              ROUND(OFFSET($P376,0,AW$13),15-13*ORÇAMENTO!$AF$7)/$H376*OFFSET(ORÇAMENTO!$X$15,ROW(AW376)-ROW(AW$15),0),
              ROUND(ROUND(OFFSET($P376,0,AW$13),15-13*ORÇAMENTO!$AF$7)*OFFSET(ORÇAMENTO!$W$15,ROW(AW376)-ROW(AW$15),0),15-13*ORÇAMENTO!$AF$11)),
         0)</f>
        <v>0</v>
      </c>
      <c r="AX376" s="453">
        <f ca="1">IF(AND($D376="Serviço",AX$12&lt;&gt;0,$H376&gt;0,OR(AUTOEVENTO&lt;&gt;"manual",$M376&lt;&gt;$A$15)),
        IF(Import.TipoArredondamento&lt;&gt;"TransfereGOV",
              ROUND(OFFSET($P376,0,AX$13),15-13*ORÇAMENTO!$AF$7)/$H376*OFFSET(ORÇAMENTO!$X$15,ROW(AX376)-ROW(AX$15),0),
              ROUND(ROUND(OFFSET($P376,0,AX$13),15-13*ORÇAMENTO!$AF$7)*OFFSET(ORÇAMENTO!$W$15,ROW(AX376)-ROW(AX$15),0),15-13*ORÇAMENTO!$AF$11)),
         0)</f>
        <v>0</v>
      </c>
      <c r="AY376" s="453">
        <f ca="1">IF(AND($D376="Serviço",AY$12&lt;&gt;0,$H376&gt;0,OR(AUTOEVENTO&lt;&gt;"manual",$M376&lt;&gt;$A$15)),
        IF(Import.TipoArredondamento&lt;&gt;"TransfereGOV",
              ROUND(OFFSET($P376,0,AY$13),15-13*ORÇAMENTO!$AF$7)/$H376*OFFSET(ORÇAMENTO!$X$15,ROW(AY376)-ROW(AY$15),0),
              ROUND(ROUND(OFFSET($P376,0,AY$13),15-13*ORÇAMENTO!$AF$7)*OFFSET(ORÇAMENTO!$W$15,ROW(AY376)-ROW(AY$15),0),15-13*ORÇAMENTO!$AF$11)),
         0)</f>
        <v>0</v>
      </c>
      <c r="AZ376" s="453">
        <f ca="1">IF(AND($D376="Serviço",AZ$12&lt;&gt;0,$H376&gt;0,OR(AUTOEVENTO&lt;&gt;"manual",$M376&lt;&gt;$A$15)),
        IF(Import.TipoArredondamento&lt;&gt;"TransfereGOV",
              ROUND(OFFSET($P376,0,AZ$13),15-13*ORÇAMENTO!$AF$7)/$H376*OFFSET(ORÇAMENTO!$X$15,ROW(AZ376)-ROW(AZ$15),0),
              ROUND(ROUND(OFFSET($P376,0,AZ$13),15-13*ORÇAMENTO!$AF$7)*OFFSET(ORÇAMENTO!$W$15,ROW(AZ376)-ROW(AZ$15),0),15-13*ORÇAMENTO!$AF$11)),
         0)</f>
        <v>0</v>
      </c>
      <c r="BA376" s="453">
        <f ca="1">IF(AND($D376="Serviço",BA$12&lt;&gt;0,$H376&gt;0,OR(AUTOEVENTO&lt;&gt;"manual",$M376&lt;&gt;$A$15)),
        IF(Import.TipoArredondamento&lt;&gt;"TransfereGOV",
              ROUND(OFFSET($P376,0,BA$13),15-13*ORÇAMENTO!$AF$7)/$H376*OFFSET(ORÇAMENTO!$X$15,ROW(BA376)-ROW(BA$15),0),
              ROUND(ROUND(OFFSET($P376,0,BA$13),15-13*ORÇAMENTO!$AF$7)*OFFSET(ORÇAMENTO!$W$15,ROW(BA376)-ROW(BA$15),0),15-13*ORÇAMENTO!$AF$11)),
         0)</f>
        <v>0</v>
      </c>
      <c r="BC376" s="171">
        <f ca="1">IF(OR($D376&lt;&gt;"Serviço",AND(AUTOEVENTO="Manual",$M376=$A$15)),0,
         IF(OFFSET(CRONOPLE!$F$15,$M376-$A$15,BC$13)=0,10^12,OFFSET(CRONOPLE!$F$15,$M376-$A$15,BC$13)))</f>
        <v>1</v>
      </c>
      <c r="BD376" s="171">
        <f ca="1">IF(OR($D376&lt;&gt;"Serviço",AND(AUTOEVENTO="Manual",$M376=$A$15)),0,
         IF(OFFSET(CRONOPLE!$F$15,$M376-$A$15,BD$13)=0,10^12,OFFSET(CRONOPLE!$F$15,$M376-$A$15,BD$13)))</f>
        <v>2</v>
      </c>
      <c r="BE376" s="171">
        <f ca="1">IF(OR($D376&lt;&gt;"Serviço",AND(AUTOEVENTO="Manual",$M376=$A$15)),0,
         IF(OFFSET(CRONOPLE!$F$15,$M376-$A$15,BE$13)=0,10^12,OFFSET(CRONOPLE!$F$15,$M376-$A$15,BE$13)))</f>
        <v>3</v>
      </c>
      <c r="BF376" s="171">
        <f ca="1">IF(OR($D376&lt;&gt;"Serviço",AND(AUTOEVENTO="Manual",$M376=$A$15)),0,
         IF(OFFSET(CRONOPLE!$F$15,$M376-$A$15,BF$13)=0,10^12,OFFSET(CRONOPLE!$F$15,$M376-$A$15,BF$13)))</f>
        <v>4</v>
      </c>
      <c r="BG376" s="171">
        <f ca="1">IF(OR($D376&lt;&gt;"Serviço",AND(AUTOEVENTO="Manual",$M376=$A$15)),0,
         IF(OFFSET(CRONOPLE!$F$15,$M376-$A$15,BG$13)=0,10^12,OFFSET(CRONOPLE!$F$15,$M376-$A$15,BG$13)))</f>
        <v>5</v>
      </c>
      <c r="BH376" s="171">
        <f ca="1">IF(OR($D376&lt;&gt;"Serviço",AND(AUTOEVENTO="Manual",$M376=$A$15)),0,
         IF(OFFSET(CRONOPLE!$F$15,$M376-$A$15,BH$13)=0,10^12,OFFSET(CRONOPLE!$F$15,$M376-$A$15,BH$13)))</f>
        <v>6</v>
      </c>
      <c r="BI376" s="171">
        <f ca="1">IF(OR($D376&lt;&gt;"Serviço",AND(AUTOEVENTO="Manual",$M376=$A$15)),0,
         IF(OFFSET(CRONOPLE!$F$15,$M376-$A$15,BI$13)=0,10^12,OFFSET(CRONOPLE!$F$15,$M376-$A$15,BI$13)))</f>
        <v>7</v>
      </c>
      <c r="BJ376" s="171">
        <f ca="1">IF(OR($D376&lt;&gt;"Serviço",AND(AUTOEVENTO="Manual",$M376=$A$15)),0,
         IF(OFFSET(CRONOPLE!$F$15,$M376-$A$15,BJ$13)=0,10^12,OFFSET(CRONOPLE!$F$15,$M376-$A$15,BJ$13)))</f>
        <v>8</v>
      </c>
      <c r="BK376" s="171">
        <f ca="1">IF(OR($D376&lt;&gt;"Serviço",AND(AUTOEVENTO="Manual",$M376=$A$15)),0,
         IF(OFFSET(CRONOPLE!$F$15,$M376-$A$15,BK$13)=0,10^12,OFFSET(CRONOPLE!$F$15,$M376-$A$15,BK$13)))</f>
        <v>9</v>
      </c>
      <c r="BL376" s="171">
        <f ca="1">IF(OR($D376&lt;&gt;"Serviço",AND(AUTOEVENTO="Manual",$M376=$A$15)),0,
         IF(OFFSET(CRONOPLE!$F$15,$M376-$A$15,BL$13)=0,10^12,OFFSET(CRONOPLE!$F$15,$M376-$A$15,BL$13)))</f>
        <v>1000000000000</v>
      </c>
      <c r="BM376" s="171">
        <f ca="1">IF(OR($D376&lt;&gt;"Serviço",AND(AUTOEVENTO="Manual",$M376=$A$15)),0,
         IF(OFFSET(CRONOPLE!$F$15,$M376-$A$15,BM$13)=0,10^12,OFFSET(CRONOPLE!$F$15,$M376-$A$15,BM$13)))</f>
        <v>1000000000000</v>
      </c>
      <c r="BN376" s="171">
        <f ca="1">IF(OR($D376&lt;&gt;"Serviço",AND(AUTOEVENTO="Manual",$M376=$A$15)),0,
         IF(OFFSET(CRONOPLE!$F$15,$M376-$A$15,BN$13)=0,10^12,OFFSET(CRONOPLE!$F$15,$M376-$A$15,BN$13)))</f>
        <v>1000000000000</v>
      </c>
      <c r="BO376" s="171">
        <f ca="1">IF(OR($D376&lt;&gt;"Serviço",AND(AUTOEVENTO="Manual",$M376=$A$15)),0,
         IF(OFFSET(CRONOPLE!$F$15,$M376-$A$15,BO$13)=0,10^12,OFFSET(CRONOPLE!$F$15,$M376-$A$15,BO$13)))</f>
        <v>1000000000000</v>
      </c>
      <c r="BP376" s="171">
        <f ca="1">IF(OR($D376&lt;&gt;"Serviço",AND(AUTOEVENTO="Manual",$M376=$A$15)),0,
         IF(OFFSET(CRONOPLE!$F$15,$M376-$A$15,BP$13)=0,10^12,OFFSET(CRONOPLE!$F$15,$M376-$A$15,BP$13)))</f>
        <v>1000000000000</v>
      </c>
      <c r="BQ376" s="171">
        <f ca="1">IF(OR($D376&lt;&gt;"Serviço",AND(AUTOEVENTO="Manual",$M376=$A$15)),0,
         IF(OFFSET(CRONOPLE!$F$15,$M376-$A$15,BQ$13)=0,10^12,OFFSET(CRONOPLE!$F$15,$M376-$A$15,BQ$13)))</f>
        <v>1000000000000</v>
      </c>
      <c r="BR376" s="171">
        <f ca="1">IF(OR($D376&lt;&gt;"Serviço",AND(AUTOEVENTO="Manual",$M376=$A$15)),0,
         IF(OFFSET(CRONOPLE!$F$15,$M376-$A$15,BR$13)=0,10^12,OFFSET(CRONOPLE!$F$15,$M376-$A$15,BR$13)))</f>
        <v>1000000000000</v>
      </c>
      <c r="BS376" s="171">
        <f ca="1">IF(OR($D376&lt;&gt;"Serviço",AND(AUTOEVENTO="Manual",$M376=$A$15)),0,
         IF(OFFSET(CRONOPLE!$F$15,$M376-$A$15,BS$13)=0,10^12,OFFSET(CRONOPLE!$F$15,$M376-$A$15,BS$13)))</f>
        <v>1000000000000</v>
      </c>
      <c r="BT376" s="171">
        <f ca="1">IF(OR($D376&lt;&gt;"Serviço",AND(AUTOEVENTO="Manual",$M376=$A$15)),0,
         IF(OFFSET(CRONOPLE!$F$15,$M376-$A$15,BT$13)=0,10^12,OFFSET(CRONOPLE!$F$15,$M376-$A$15,BT$13)))</f>
        <v>1000000000000</v>
      </c>
      <c r="BV376" s="172">
        <f ca="1">IF(OR($D376&lt;&gt;"Serviço",AND(AUTOEVENTO="Manual",$M376=$A$15),$M376&gt;(ROW(PLE.lastrow)-ROW(PLE.firstrow))),0,
           IF(OFFSET(PLE!$G$15,$M376-$A$15,BV$13)="",10^12,OFFSET(PLE!$G$15,$M376-$A$15,BV$13)))</f>
        <v>1000000000000</v>
      </c>
      <c r="BW376" s="172">
        <f ca="1">IF(OR($D376&lt;&gt;"Serviço",AND(AUTOEVENTO="Manual",$M376=$A$15),$M376&gt;(ROW(PLE.lastrow)-ROW(PLE.firstrow))),0,
           IF(OFFSET(PLE!$G$15,$M376-$A$15,BW$13)="",10^12,OFFSET(PLE!$G$15,$M376-$A$15,BW$13)))</f>
        <v>1000000000000</v>
      </c>
      <c r="BX376" s="172">
        <f ca="1">IF(OR($D376&lt;&gt;"Serviço",AND(AUTOEVENTO="Manual",$M376=$A$15),$M376&gt;(ROW(PLE.lastrow)-ROW(PLE.firstrow))),0,
           IF(OFFSET(PLE!$G$15,$M376-$A$15,BX$13)="",10^12,OFFSET(PLE!$G$15,$M376-$A$15,BX$13)))</f>
        <v>1000000000000</v>
      </c>
      <c r="BY376" s="172">
        <f ca="1">IF(OR($D376&lt;&gt;"Serviço",AND(AUTOEVENTO="Manual",$M376=$A$15),$M376&gt;(ROW(PLE.lastrow)-ROW(PLE.firstrow))),0,
           IF(OFFSET(PLE!$G$15,$M376-$A$15,BY$13)="",10^12,OFFSET(PLE!$G$15,$M376-$A$15,BY$13)))</f>
        <v>1000000000000</v>
      </c>
      <c r="BZ376" s="172">
        <f ca="1">IF(OR($D376&lt;&gt;"Serviço",AND(AUTOEVENTO="Manual",$M376=$A$15),$M376&gt;(ROW(PLE.lastrow)-ROW(PLE.firstrow))),0,
           IF(OFFSET(PLE!$G$15,$M376-$A$15,BZ$13)="",10^12,OFFSET(PLE!$G$15,$M376-$A$15,BZ$13)))</f>
        <v>1000000000000</v>
      </c>
      <c r="CA376" s="172">
        <f ca="1">IF(OR($D376&lt;&gt;"Serviço",AND(AUTOEVENTO="Manual",$M376=$A$15),$M376&gt;(ROW(PLE.lastrow)-ROW(PLE.firstrow))),0,
           IF(OFFSET(PLE!$G$15,$M376-$A$15,CA$13)="",10^12,OFFSET(PLE!$G$15,$M376-$A$15,CA$13)))</f>
        <v>1000000000000</v>
      </c>
      <c r="CB376" s="172">
        <f ca="1">IF(OR($D376&lt;&gt;"Serviço",AND(AUTOEVENTO="Manual",$M376=$A$15),$M376&gt;(ROW(PLE.lastrow)-ROW(PLE.firstrow))),0,
           IF(OFFSET(PLE!$G$15,$M376-$A$15,CB$13)="",10^12,OFFSET(PLE!$G$15,$M376-$A$15,CB$13)))</f>
        <v>1000000000000</v>
      </c>
      <c r="CC376" s="172">
        <f ca="1">IF(OR($D376&lt;&gt;"Serviço",AND(AUTOEVENTO="Manual",$M376=$A$15),$M376&gt;(ROW(PLE.lastrow)-ROW(PLE.firstrow))),0,
           IF(OFFSET(PLE!$G$15,$M376-$A$15,CC$13)="",10^12,OFFSET(PLE!$G$15,$M376-$A$15,CC$13)))</f>
        <v>1000000000000</v>
      </c>
      <c r="CD376" s="172">
        <f ca="1">IF(OR($D376&lt;&gt;"Serviço",AND(AUTOEVENTO="Manual",$M376=$A$15),$M376&gt;(ROW(PLE.lastrow)-ROW(PLE.firstrow))),0,
           IF(OFFSET(PLE!$G$15,$M376-$A$15,CD$13)="",10^12,OFFSET(PLE!$G$15,$M376-$A$15,CD$13)))</f>
        <v>1000000000000</v>
      </c>
      <c r="CE376" s="172">
        <f ca="1">IF(OR($D376&lt;&gt;"Serviço",AND(AUTOEVENTO="Manual",$M376=$A$15),$M376&gt;(ROW(PLE.lastrow)-ROW(PLE.firstrow))),0,
           IF(OFFSET(PLE!$G$15,$M376-$A$15,CE$13)="",10^12,OFFSET(PLE!$G$15,$M376-$A$15,CE$13)))</f>
        <v>1000000000000</v>
      </c>
      <c r="CF376" s="172">
        <f ca="1">IF(OR($D376&lt;&gt;"Serviço",AND(AUTOEVENTO="Manual",$M376=$A$15),$M376&gt;(ROW(PLE.lastrow)-ROW(PLE.firstrow))),0,
           IF(OFFSET(PLE!$G$15,$M376-$A$15,CF$13)="",10^12,OFFSET(PLE!$G$15,$M376-$A$15,CF$13)))</f>
        <v>1000000000000</v>
      </c>
      <c r="CG376" s="172">
        <f ca="1">IF(OR($D376&lt;&gt;"Serviço",AND(AUTOEVENTO="Manual",$M376=$A$15),$M376&gt;(ROW(PLE.lastrow)-ROW(PLE.firstrow))),0,
           IF(OFFSET(PLE!$G$15,$M376-$A$15,CG$13)="",10^12,OFFSET(PLE!$G$15,$M376-$A$15,CG$13)))</f>
        <v>1000000000000</v>
      </c>
      <c r="CH376" s="172">
        <f ca="1">IF(OR($D376&lt;&gt;"Serviço",AND(AUTOEVENTO="Manual",$M376=$A$15),$M376&gt;(ROW(PLE.lastrow)-ROW(PLE.firstrow))),0,
           IF(OFFSET(PLE!$G$15,$M376-$A$15,CH$13)="",10^12,OFFSET(PLE!$G$15,$M376-$A$15,CH$13)))</f>
        <v>1000000000000</v>
      </c>
      <c r="CI376" s="172">
        <f ca="1">IF(OR($D376&lt;&gt;"Serviço",AND(AUTOEVENTO="Manual",$M376=$A$15),$M376&gt;(ROW(PLE.lastrow)-ROW(PLE.firstrow))),0,
           IF(OFFSET(PLE!$G$15,$M376-$A$15,CI$13)="",10^12,OFFSET(PLE!$G$15,$M376-$A$15,CI$13)))</f>
        <v>1000000000000</v>
      </c>
      <c r="CJ376" s="172">
        <f ca="1">IF(OR($D376&lt;&gt;"Serviço",AND(AUTOEVENTO="Manual",$M376=$A$15),$M376&gt;(ROW(PLE.lastrow)-ROW(PLE.firstrow))),0,
           IF(OFFSET(PLE!$G$15,$M376-$A$15,CJ$13)="",10^12,OFFSET(PLE!$G$15,$M376-$A$15,CJ$13)))</f>
        <v>1000000000000</v>
      </c>
      <c r="CK376" s="172">
        <f ca="1">IF(OR($D376&lt;&gt;"Serviço",AND(AUTOEVENTO="Manual",$M376=$A$15),$M376&gt;(ROW(PLE.lastrow)-ROW(PLE.firstrow))),0,
           IF(OFFSET(PLE!$G$15,$M376-$A$15,CK$13)="",10^12,OFFSET(PLE!$G$15,$M376-$A$15,CK$13)))</f>
        <v>1000000000000</v>
      </c>
      <c r="CL376" s="172">
        <f ca="1">IF(OR($D376&lt;&gt;"Serviço",AND(AUTOEVENTO="Manual",$M376=$A$15),$M376&gt;(ROW(PLE.lastrow)-ROW(PLE.firstrow))),0,
           IF(OFFSET(PLE!$G$15,$M376-$A$15,CL$13)="",10^12,OFFSET(PLE!$G$15,$M376-$A$15,CL$13)))</f>
        <v>1000000000000</v>
      </c>
      <c r="CM376" s="172">
        <f ca="1">IF(OR($D376&lt;&gt;"Serviço",AND(AUTOEVENTO="Manual",$M376=$A$15),$M376&gt;(ROW(PLE.lastrow)-ROW(PLE.firstrow))),0,
           IF(OFFSET(PLE!$G$15,$M376-$A$15,CM$13)="",10^12,OFFSET(PLE!$G$15,$M376-$A$15,CM$13)))</f>
        <v>1000000000000</v>
      </c>
    </row>
    <row r="377" spans="1:91" ht="12.75" x14ac:dyDescent="0.2">
      <c r="A377" s="7">
        <f t="shared" ca="1" si="15"/>
        <v>8</v>
      </c>
      <c r="B377" s="7">
        <f ca="1">OFFSET(ORÇAMENTO!C$15,ROW(B377)-ROW(B$15),0)</f>
        <v>4</v>
      </c>
      <c r="C377" s="7" t="str">
        <f ca="1">OFFSET(ORÇAMENTO!L$15,ROW(C377)-ROW(C$15),0)</f>
        <v>F</v>
      </c>
      <c r="D377" s="116" t="str">
        <f ca="1">OFFSET(ORÇAMENTO!N$15,ROW(D377)-ROW(D$15),0)</f>
        <v>Nível 4</v>
      </c>
      <c r="E377" s="117" t="str">
        <f ca="1">OFFSET(ORÇAMENTO!O$15,ROW(E377)-ROW(E$15),0)</f>
        <v>1.8.1.4.</v>
      </c>
      <c r="F377" s="163" t="str">
        <f ca="1">OFFSET(ORÇAMENTO!R$15,ROW(F377)-ROW(F$15),0)</f>
        <v>QUADRO DE DISTRIBUIÇÃO DE CIRCUITOS (QCM 10)</v>
      </c>
      <c r="G377" s="164" t="str">
        <f ca="1">IF($D377&lt;&gt;"Serviço","",OFFSET(ORÇAMENTO!S$15,ROW(G377)-ROW(G$15),0))</f>
        <v/>
      </c>
      <c r="H377" s="122" cm="1">
        <f t="array" aca="1" ref="H377" ca="1">IF($D377&lt;&gt;"Serviço",0,IF(ACOMPANHAMENTO="BM",ROUND(OFFSET(ORÇAMENTO!AJ$15,ROW(H377)-ROW(H$15),0),15-13*ORÇAMENTO!$AF$7),SUMPRODUCT(($Q$1:$AI$1=1)*ROUND($Q377:$AI377,15-13*ORÇAMENTO!$AF$7))))</f>
        <v>0</v>
      </c>
      <c r="I377" s="468"/>
      <c r="J377" s="640" t="str" cm="1">
        <f t="array" aca="1" ref="J377" ca="1">IF(OR(B377&lt;&gt;"S",CÁLCULO.FrentesPreenchidas=0),"",IF(AND(ACOMPANHAMENTO="PLE",AUTOEVENTO="Manual",OR(H377&gt;0,ORÇAMENTO!AC377="QUANT."),OR(K377="",M377=0,N377="")),"►E",IF(AND(ACOMPANHAMENTO="PLE",ORÇAMENTO!AC377="QUANT."),"►Q",IF(AND(ACOMPANHAMENTO="PLE",H377&lt;&gt;SUMPRODUCT(($Q$1:$AI$1=1)*ROUND(Q377:AI377,15))),"►S",IF(AND(COUNTIF($P$11:$AI$11,"▼")=0,H377&gt;0,I377=""),"◄M","")))))</f>
        <v/>
      </c>
      <c r="K377" s="641" t="s">
        <v>1366</v>
      </c>
      <c r="L377" s="165" t="s">
        <v>764</v>
      </c>
      <c r="M377" s="166" t="str">
        <f ca="1">IF($D377&lt;&gt;"Serviço","",
          IF(AUTOEVENTO="manual",$A377,
                IF(ISERROR(MATCH($A377,$A$15:OFFSET($A377,-1,0),0)),MAX($M$15:OFFSET(M377,-1,0))+1,
                      INDEX($M$15:OFFSET(M377,-1,0),MATCH($A377,$A$15:OFFSET($A377,-1,0),0)))))</f>
        <v/>
      </c>
      <c r="N377" s="167" t="str">
        <f ca="1">IF($D377&lt;&gt;"Serviço","",
         IF(AUTOEVENTO="Manual",
                IF($A377=0,"&lt;-- defina o número do agrupador",
                       OFFSET(EVENTOS!$D$15,$A377-$A$15,0)),
                OFFSET($F$15,$A377,0)))</f>
        <v/>
      </c>
      <c r="O377" s="168"/>
      <c r="Q377" s="168"/>
      <c r="R377" s="169"/>
      <c r="S377" s="169"/>
      <c r="T377" s="169"/>
      <c r="U377" s="169"/>
      <c r="V377" s="169"/>
      <c r="W377" s="169"/>
      <c r="X377" s="169"/>
      <c r="Y377" s="169"/>
      <c r="Z377" s="170"/>
      <c r="AA377" s="169"/>
      <c r="AB377" s="169"/>
      <c r="AC377" s="169"/>
      <c r="AD377" s="169"/>
      <c r="AE377" s="169"/>
      <c r="AF377" s="169"/>
      <c r="AG377" s="169"/>
      <c r="AH377" s="170"/>
      <c r="AJ377" s="453">
        <f ca="1">IF(AND($D377="Serviço",AJ$12&lt;&gt;0,$H377&gt;0,OR(AUTOEVENTO&lt;&gt;"manual",$M377&lt;&gt;$A$15)),
        IF(Import.TipoArredondamento&lt;&gt;"TransfereGOV",
              ROUND(OFFSET($P377,0,AJ$13),15-13*ORÇAMENTO!$AF$7)/$H377*OFFSET(ORÇAMENTO!$X$15,ROW(AJ377)-ROW(AJ$15),0),
              ROUND(ROUND(OFFSET($P377,0,AJ$13),15-13*ORÇAMENTO!$AF$7)*OFFSET(ORÇAMENTO!$W$15,ROW(AJ377)-ROW(AJ$15),0),15-13*ORÇAMENTO!$AF$11)),
         0)</f>
        <v>0</v>
      </c>
      <c r="AK377" s="453">
        <f ca="1">IF(AND($D377="Serviço",AK$12&lt;&gt;0,$H377&gt;0,OR(AUTOEVENTO&lt;&gt;"manual",$M377&lt;&gt;$A$15)),
        IF(Import.TipoArredondamento&lt;&gt;"TransfereGOV",
              ROUND(OFFSET($P377,0,AK$13),15-13*ORÇAMENTO!$AF$7)/$H377*OFFSET(ORÇAMENTO!$X$15,ROW(AK377)-ROW(AK$15),0),
              ROUND(ROUND(OFFSET($P377,0,AK$13),15-13*ORÇAMENTO!$AF$7)*OFFSET(ORÇAMENTO!$W$15,ROW(AK377)-ROW(AK$15),0),15-13*ORÇAMENTO!$AF$11)),
         0)</f>
        <v>0</v>
      </c>
      <c r="AL377" s="453">
        <f ca="1">IF(AND($D377="Serviço",AL$12&lt;&gt;0,$H377&gt;0,OR(AUTOEVENTO&lt;&gt;"manual",$M377&lt;&gt;$A$15)),
        IF(Import.TipoArredondamento&lt;&gt;"TransfereGOV",
              ROUND(OFFSET($P377,0,AL$13),15-13*ORÇAMENTO!$AF$7)/$H377*OFFSET(ORÇAMENTO!$X$15,ROW(AL377)-ROW(AL$15),0),
              ROUND(ROUND(OFFSET($P377,0,AL$13),15-13*ORÇAMENTO!$AF$7)*OFFSET(ORÇAMENTO!$W$15,ROW(AL377)-ROW(AL$15),0),15-13*ORÇAMENTO!$AF$11)),
         0)</f>
        <v>0</v>
      </c>
      <c r="AM377" s="453">
        <f ca="1">IF(AND($D377="Serviço",AM$12&lt;&gt;0,$H377&gt;0,OR(AUTOEVENTO&lt;&gt;"manual",$M377&lt;&gt;$A$15)),
        IF(Import.TipoArredondamento&lt;&gt;"TransfereGOV",
              ROUND(OFFSET($P377,0,AM$13),15-13*ORÇAMENTO!$AF$7)/$H377*OFFSET(ORÇAMENTO!$X$15,ROW(AM377)-ROW(AM$15),0),
              ROUND(ROUND(OFFSET($P377,0,AM$13),15-13*ORÇAMENTO!$AF$7)*OFFSET(ORÇAMENTO!$W$15,ROW(AM377)-ROW(AM$15),0),15-13*ORÇAMENTO!$AF$11)),
         0)</f>
        <v>0</v>
      </c>
      <c r="AN377" s="453">
        <f ca="1">IF(AND($D377="Serviço",AN$12&lt;&gt;0,$H377&gt;0,OR(AUTOEVENTO&lt;&gt;"manual",$M377&lt;&gt;$A$15)),
        IF(Import.TipoArredondamento&lt;&gt;"TransfereGOV",
              ROUND(OFFSET($P377,0,AN$13),15-13*ORÇAMENTO!$AF$7)/$H377*OFFSET(ORÇAMENTO!$X$15,ROW(AN377)-ROW(AN$15),0),
              ROUND(ROUND(OFFSET($P377,0,AN$13),15-13*ORÇAMENTO!$AF$7)*OFFSET(ORÇAMENTO!$W$15,ROW(AN377)-ROW(AN$15),0),15-13*ORÇAMENTO!$AF$11)),
         0)</f>
        <v>0</v>
      </c>
      <c r="AO377" s="453">
        <f ca="1">IF(AND($D377="Serviço",AO$12&lt;&gt;0,$H377&gt;0,OR(AUTOEVENTO&lt;&gt;"manual",$M377&lt;&gt;$A$15)),
        IF(Import.TipoArredondamento&lt;&gt;"TransfereGOV",
              ROUND(OFFSET($P377,0,AO$13),15-13*ORÇAMENTO!$AF$7)/$H377*OFFSET(ORÇAMENTO!$X$15,ROW(AO377)-ROW(AO$15),0),
              ROUND(ROUND(OFFSET($P377,0,AO$13),15-13*ORÇAMENTO!$AF$7)*OFFSET(ORÇAMENTO!$W$15,ROW(AO377)-ROW(AO$15),0),15-13*ORÇAMENTO!$AF$11)),
         0)</f>
        <v>0</v>
      </c>
      <c r="AP377" s="453">
        <f ca="1">IF(AND($D377="Serviço",AP$12&lt;&gt;0,$H377&gt;0,OR(AUTOEVENTO&lt;&gt;"manual",$M377&lt;&gt;$A$15)),
        IF(Import.TipoArredondamento&lt;&gt;"TransfereGOV",
              ROUND(OFFSET($P377,0,AP$13),15-13*ORÇAMENTO!$AF$7)/$H377*OFFSET(ORÇAMENTO!$X$15,ROW(AP377)-ROW(AP$15),0),
              ROUND(ROUND(OFFSET($P377,0,AP$13),15-13*ORÇAMENTO!$AF$7)*OFFSET(ORÇAMENTO!$W$15,ROW(AP377)-ROW(AP$15),0),15-13*ORÇAMENTO!$AF$11)),
         0)</f>
        <v>0</v>
      </c>
      <c r="AQ377" s="453">
        <f ca="1">IF(AND($D377="Serviço",AQ$12&lt;&gt;0,$H377&gt;0,OR(AUTOEVENTO&lt;&gt;"manual",$M377&lt;&gt;$A$15)),
        IF(Import.TipoArredondamento&lt;&gt;"TransfereGOV",
              ROUND(OFFSET($P377,0,AQ$13),15-13*ORÇAMENTO!$AF$7)/$H377*OFFSET(ORÇAMENTO!$X$15,ROW(AQ377)-ROW(AQ$15),0),
              ROUND(ROUND(OFFSET($P377,0,AQ$13),15-13*ORÇAMENTO!$AF$7)*OFFSET(ORÇAMENTO!$W$15,ROW(AQ377)-ROW(AQ$15),0),15-13*ORÇAMENTO!$AF$11)),
         0)</f>
        <v>0</v>
      </c>
      <c r="AR377" s="453">
        <f ca="1">IF(AND($D377="Serviço",AR$12&lt;&gt;0,$H377&gt;0,OR(AUTOEVENTO&lt;&gt;"manual",$M377&lt;&gt;$A$15)),
        IF(Import.TipoArredondamento&lt;&gt;"TransfereGOV",
              ROUND(OFFSET($P377,0,AR$13),15-13*ORÇAMENTO!$AF$7)/$H377*OFFSET(ORÇAMENTO!$X$15,ROW(AR377)-ROW(AR$15),0),
              ROUND(ROUND(OFFSET($P377,0,AR$13),15-13*ORÇAMENTO!$AF$7)*OFFSET(ORÇAMENTO!$W$15,ROW(AR377)-ROW(AR$15),0),15-13*ORÇAMENTO!$AF$11)),
         0)</f>
        <v>0</v>
      </c>
      <c r="AS377" s="453">
        <f ca="1">IF(AND($D377="Serviço",AS$12&lt;&gt;0,$H377&gt;0,OR(AUTOEVENTO&lt;&gt;"manual",$M377&lt;&gt;$A$15)),
        IF(Import.TipoArredondamento&lt;&gt;"TransfereGOV",
              ROUND(OFFSET($P377,0,AS$13),15-13*ORÇAMENTO!$AF$7)/$H377*OFFSET(ORÇAMENTO!$X$15,ROW(AS377)-ROW(AS$15),0),
              ROUND(ROUND(OFFSET($P377,0,AS$13),15-13*ORÇAMENTO!$AF$7)*OFFSET(ORÇAMENTO!$W$15,ROW(AS377)-ROW(AS$15),0),15-13*ORÇAMENTO!$AF$11)),
         0)</f>
        <v>0</v>
      </c>
      <c r="AT377" s="453">
        <f ca="1">IF(AND($D377="Serviço",AT$12&lt;&gt;0,$H377&gt;0,OR(AUTOEVENTO&lt;&gt;"manual",$M377&lt;&gt;$A$15)),
        IF(Import.TipoArredondamento&lt;&gt;"TransfereGOV",
              ROUND(OFFSET($P377,0,AT$13),15-13*ORÇAMENTO!$AF$7)/$H377*OFFSET(ORÇAMENTO!$X$15,ROW(AT377)-ROW(AT$15),0),
              ROUND(ROUND(OFFSET($P377,0,AT$13),15-13*ORÇAMENTO!$AF$7)*OFFSET(ORÇAMENTO!$W$15,ROW(AT377)-ROW(AT$15),0),15-13*ORÇAMENTO!$AF$11)),
         0)</f>
        <v>0</v>
      </c>
      <c r="AU377" s="453">
        <f ca="1">IF(AND($D377="Serviço",AU$12&lt;&gt;0,$H377&gt;0,OR(AUTOEVENTO&lt;&gt;"manual",$M377&lt;&gt;$A$15)),
        IF(Import.TipoArredondamento&lt;&gt;"TransfereGOV",
              ROUND(OFFSET($P377,0,AU$13),15-13*ORÇAMENTO!$AF$7)/$H377*OFFSET(ORÇAMENTO!$X$15,ROW(AU377)-ROW(AU$15),0),
              ROUND(ROUND(OFFSET($P377,0,AU$13),15-13*ORÇAMENTO!$AF$7)*OFFSET(ORÇAMENTO!$W$15,ROW(AU377)-ROW(AU$15),0),15-13*ORÇAMENTO!$AF$11)),
         0)</f>
        <v>0</v>
      </c>
      <c r="AV377" s="453">
        <f ca="1">IF(AND($D377="Serviço",AV$12&lt;&gt;0,$H377&gt;0,OR(AUTOEVENTO&lt;&gt;"manual",$M377&lt;&gt;$A$15)),
        IF(Import.TipoArredondamento&lt;&gt;"TransfereGOV",
              ROUND(OFFSET($P377,0,AV$13),15-13*ORÇAMENTO!$AF$7)/$H377*OFFSET(ORÇAMENTO!$X$15,ROW(AV377)-ROW(AV$15),0),
              ROUND(ROUND(OFFSET($P377,0,AV$13),15-13*ORÇAMENTO!$AF$7)*OFFSET(ORÇAMENTO!$W$15,ROW(AV377)-ROW(AV$15),0),15-13*ORÇAMENTO!$AF$11)),
         0)</f>
        <v>0</v>
      </c>
      <c r="AW377" s="453">
        <f ca="1">IF(AND($D377="Serviço",AW$12&lt;&gt;0,$H377&gt;0,OR(AUTOEVENTO&lt;&gt;"manual",$M377&lt;&gt;$A$15)),
        IF(Import.TipoArredondamento&lt;&gt;"TransfereGOV",
              ROUND(OFFSET($P377,0,AW$13),15-13*ORÇAMENTO!$AF$7)/$H377*OFFSET(ORÇAMENTO!$X$15,ROW(AW377)-ROW(AW$15),0),
              ROUND(ROUND(OFFSET($P377,0,AW$13),15-13*ORÇAMENTO!$AF$7)*OFFSET(ORÇAMENTO!$W$15,ROW(AW377)-ROW(AW$15),0),15-13*ORÇAMENTO!$AF$11)),
         0)</f>
        <v>0</v>
      </c>
      <c r="AX377" s="453">
        <f ca="1">IF(AND($D377="Serviço",AX$12&lt;&gt;0,$H377&gt;0,OR(AUTOEVENTO&lt;&gt;"manual",$M377&lt;&gt;$A$15)),
        IF(Import.TipoArredondamento&lt;&gt;"TransfereGOV",
              ROUND(OFFSET($P377,0,AX$13),15-13*ORÇAMENTO!$AF$7)/$H377*OFFSET(ORÇAMENTO!$X$15,ROW(AX377)-ROW(AX$15),0),
              ROUND(ROUND(OFFSET($P377,0,AX$13),15-13*ORÇAMENTO!$AF$7)*OFFSET(ORÇAMENTO!$W$15,ROW(AX377)-ROW(AX$15),0),15-13*ORÇAMENTO!$AF$11)),
         0)</f>
        <v>0</v>
      </c>
      <c r="AY377" s="453">
        <f ca="1">IF(AND($D377="Serviço",AY$12&lt;&gt;0,$H377&gt;0,OR(AUTOEVENTO&lt;&gt;"manual",$M377&lt;&gt;$A$15)),
        IF(Import.TipoArredondamento&lt;&gt;"TransfereGOV",
              ROUND(OFFSET($P377,0,AY$13),15-13*ORÇAMENTO!$AF$7)/$H377*OFFSET(ORÇAMENTO!$X$15,ROW(AY377)-ROW(AY$15),0),
              ROUND(ROUND(OFFSET($P377,0,AY$13),15-13*ORÇAMENTO!$AF$7)*OFFSET(ORÇAMENTO!$W$15,ROW(AY377)-ROW(AY$15),0),15-13*ORÇAMENTO!$AF$11)),
         0)</f>
        <v>0</v>
      </c>
      <c r="AZ377" s="453">
        <f ca="1">IF(AND($D377="Serviço",AZ$12&lt;&gt;0,$H377&gt;0,OR(AUTOEVENTO&lt;&gt;"manual",$M377&lt;&gt;$A$15)),
        IF(Import.TipoArredondamento&lt;&gt;"TransfereGOV",
              ROUND(OFFSET($P377,0,AZ$13),15-13*ORÇAMENTO!$AF$7)/$H377*OFFSET(ORÇAMENTO!$X$15,ROW(AZ377)-ROW(AZ$15),0),
              ROUND(ROUND(OFFSET($P377,0,AZ$13),15-13*ORÇAMENTO!$AF$7)*OFFSET(ORÇAMENTO!$W$15,ROW(AZ377)-ROW(AZ$15),0),15-13*ORÇAMENTO!$AF$11)),
         0)</f>
        <v>0</v>
      </c>
      <c r="BA377" s="453">
        <f ca="1">IF(AND($D377="Serviço",BA$12&lt;&gt;0,$H377&gt;0,OR(AUTOEVENTO&lt;&gt;"manual",$M377&lt;&gt;$A$15)),
        IF(Import.TipoArredondamento&lt;&gt;"TransfereGOV",
              ROUND(OFFSET($P377,0,BA$13),15-13*ORÇAMENTO!$AF$7)/$H377*OFFSET(ORÇAMENTO!$X$15,ROW(BA377)-ROW(BA$15),0),
              ROUND(ROUND(OFFSET($P377,0,BA$13),15-13*ORÇAMENTO!$AF$7)*OFFSET(ORÇAMENTO!$W$15,ROW(BA377)-ROW(BA$15),0),15-13*ORÇAMENTO!$AF$11)),
         0)</f>
        <v>0</v>
      </c>
      <c r="BC377" s="171">
        <f ca="1">IF(OR($D377&lt;&gt;"Serviço",AND(AUTOEVENTO="Manual",$M377=$A$15)),0,
         IF(OFFSET(CRONOPLE!$F$15,$M377-$A$15,BC$13)=0,10^12,OFFSET(CRONOPLE!$F$15,$M377-$A$15,BC$13)))</f>
        <v>0</v>
      </c>
      <c r="BD377" s="171">
        <f ca="1">IF(OR($D377&lt;&gt;"Serviço",AND(AUTOEVENTO="Manual",$M377=$A$15)),0,
         IF(OFFSET(CRONOPLE!$F$15,$M377-$A$15,BD$13)=0,10^12,OFFSET(CRONOPLE!$F$15,$M377-$A$15,BD$13)))</f>
        <v>0</v>
      </c>
      <c r="BE377" s="171">
        <f ca="1">IF(OR($D377&lt;&gt;"Serviço",AND(AUTOEVENTO="Manual",$M377=$A$15)),0,
         IF(OFFSET(CRONOPLE!$F$15,$M377-$A$15,BE$13)=0,10^12,OFFSET(CRONOPLE!$F$15,$M377-$A$15,BE$13)))</f>
        <v>0</v>
      </c>
      <c r="BF377" s="171">
        <f ca="1">IF(OR($D377&lt;&gt;"Serviço",AND(AUTOEVENTO="Manual",$M377=$A$15)),0,
         IF(OFFSET(CRONOPLE!$F$15,$M377-$A$15,BF$13)=0,10^12,OFFSET(CRONOPLE!$F$15,$M377-$A$15,BF$13)))</f>
        <v>0</v>
      </c>
      <c r="BG377" s="171">
        <f ca="1">IF(OR($D377&lt;&gt;"Serviço",AND(AUTOEVENTO="Manual",$M377=$A$15)),0,
         IF(OFFSET(CRONOPLE!$F$15,$M377-$A$15,BG$13)=0,10^12,OFFSET(CRONOPLE!$F$15,$M377-$A$15,BG$13)))</f>
        <v>0</v>
      </c>
      <c r="BH377" s="171">
        <f ca="1">IF(OR($D377&lt;&gt;"Serviço",AND(AUTOEVENTO="Manual",$M377=$A$15)),0,
         IF(OFFSET(CRONOPLE!$F$15,$M377-$A$15,BH$13)=0,10^12,OFFSET(CRONOPLE!$F$15,$M377-$A$15,BH$13)))</f>
        <v>0</v>
      </c>
      <c r="BI377" s="171">
        <f ca="1">IF(OR($D377&lt;&gt;"Serviço",AND(AUTOEVENTO="Manual",$M377=$A$15)),0,
         IF(OFFSET(CRONOPLE!$F$15,$M377-$A$15,BI$13)=0,10^12,OFFSET(CRONOPLE!$F$15,$M377-$A$15,BI$13)))</f>
        <v>0</v>
      </c>
      <c r="BJ377" s="171">
        <f ca="1">IF(OR($D377&lt;&gt;"Serviço",AND(AUTOEVENTO="Manual",$M377=$A$15)),0,
         IF(OFFSET(CRONOPLE!$F$15,$M377-$A$15,BJ$13)=0,10^12,OFFSET(CRONOPLE!$F$15,$M377-$A$15,BJ$13)))</f>
        <v>0</v>
      </c>
      <c r="BK377" s="171">
        <f ca="1">IF(OR($D377&lt;&gt;"Serviço",AND(AUTOEVENTO="Manual",$M377=$A$15)),0,
         IF(OFFSET(CRONOPLE!$F$15,$M377-$A$15,BK$13)=0,10^12,OFFSET(CRONOPLE!$F$15,$M377-$A$15,BK$13)))</f>
        <v>0</v>
      </c>
      <c r="BL377" s="171">
        <f ca="1">IF(OR($D377&lt;&gt;"Serviço",AND(AUTOEVENTO="Manual",$M377=$A$15)),0,
         IF(OFFSET(CRONOPLE!$F$15,$M377-$A$15,BL$13)=0,10^12,OFFSET(CRONOPLE!$F$15,$M377-$A$15,BL$13)))</f>
        <v>0</v>
      </c>
      <c r="BM377" s="171">
        <f ca="1">IF(OR($D377&lt;&gt;"Serviço",AND(AUTOEVENTO="Manual",$M377=$A$15)),0,
         IF(OFFSET(CRONOPLE!$F$15,$M377-$A$15,BM$13)=0,10^12,OFFSET(CRONOPLE!$F$15,$M377-$A$15,BM$13)))</f>
        <v>0</v>
      </c>
      <c r="BN377" s="171">
        <f ca="1">IF(OR($D377&lt;&gt;"Serviço",AND(AUTOEVENTO="Manual",$M377=$A$15)),0,
         IF(OFFSET(CRONOPLE!$F$15,$M377-$A$15,BN$13)=0,10^12,OFFSET(CRONOPLE!$F$15,$M377-$A$15,BN$13)))</f>
        <v>0</v>
      </c>
      <c r="BO377" s="171">
        <f ca="1">IF(OR($D377&lt;&gt;"Serviço",AND(AUTOEVENTO="Manual",$M377=$A$15)),0,
         IF(OFFSET(CRONOPLE!$F$15,$M377-$A$15,BO$13)=0,10^12,OFFSET(CRONOPLE!$F$15,$M377-$A$15,BO$13)))</f>
        <v>0</v>
      </c>
      <c r="BP377" s="171">
        <f ca="1">IF(OR($D377&lt;&gt;"Serviço",AND(AUTOEVENTO="Manual",$M377=$A$15)),0,
         IF(OFFSET(CRONOPLE!$F$15,$M377-$A$15,BP$13)=0,10^12,OFFSET(CRONOPLE!$F$15,$M377-$A$15,BP$13)))</f>
        <v>0</v>
      </c>
      <c r="BQ377" s="171">
        <f ca="1">IF(OR($D377&lt;&gt;"Serviço",AND(AUTOEVENTO="Manual",$M377=$A$15)),0,
         IF(OFFSET(CRONOPLE!$F$15,$M377-$A$15,BQ$13)=0,10^12,OFFSET(CRONOPLE!$F$15,$M377-$A$15,BQ$13)))</f>
        <v>0</v>
      </c>
      <c r="BR377" s="171">
        <f ca="1">IF(OR($D377&lt;&gt;"Serviço",AND(AUTOEVENTO="Manual",$M377=$A$15)),0,
         IF(OFFSET(CRONOPLE!$F$15,$M377-$A$15,BR$13)=0,10^12,OFFSET(CRONOPLE!$F$15,$M377-$A$15,BR$13)))</f>
        <v>0</v>
      </c>
      <c r="BS377" s="171">
        <f ca="1">IF(OR($D377&lt;&gt;"Serviço",AND(AUTOEVENTO="Manual",$M377=$A$15)),0,
         IF(OFFSET(CRONOPLE!$F$15,$M377-$A$15,BS$13)=0,10^12,OFFSET(CRONOPLE!$F$15,$M377-$A$15,BS$13)))</f>
        <v>0</v>
      </c>
      <c r="BT377" s="171">
        <f ca="1">IF(OR($D377&lt;&gt;"Serviço",AND(AUTOEVENTO="Manual",$M377=$A$15)),0,
         IF(OFFSET(CRONOPLE!$F$15,$M377-$A$15,BT$13)=0,10^12,OFFSET(CRONOPLE!$F$15,$M377-$A$15,BT$13)))</f>
        <v>0</v>
      </c>
      <c r="BV377" s="172">
        <f ca="1">IF(OR($D377&lt;&gt;"Serviço",AND(AUTOEVENTO="Manual",$M377=$A$15),$M377&gt;(ROW(PLE.lastrow)-ROW(PLE.firstrow))),0,
           IF(OFFSET(PLE!$G$15,$M377-$A$15,BV$13)="",10^12,OFFSET(PLE!$G$15,$M377-$A$15,BV$13)))</f>
        <v>0</v>
      </c>
      <c r="BW377" s="172">
        <f ca="1">IF(OR($D377&lt;&gt;"Serviço",AND(AUTOEVENTO="Manual",$M377=$A$15),$M377&gt;(ROW(PLE.lastrow)-ROW(PLE.firstrow))),0,
           IF(OFFSET(PLE!$G$15,$M377-$A$15,BW$13)="",10^12,OFFSET(PLE!$G$15,$M377-$A$15,BW$13)))</f>
        <v>0</v>
      </c>
      <c r="BX377" s="172">
        <f ca="1">IF(OR($D377&lt;&gt;"Serviço",AND(AUTOEVENTO="Manual",$M377=$A$15),$M377&gt;(ROW(PLE.lastrow)-ROW(PLE.firstrow))),0,
           IF(OFFSET(PLE!$G$15,$M377-$A$15,BX$13)="",10^12,OFFSET(PLE!$G$15,$M377-$A$15,BX$13)))</f>
        <v>0</v>
      </c>
      <c r="BY377" s="172">
        <f ca="1">IF(OR($D377&lt;&gt;"Serviço",AND(AUTOEVENTO="Manual",$M377=$A$15),$M377&gt;(ROW(PLE.lastrow)-ROW(PLE.firstrow))),0,
           IF(OFFSET(PLE!$G$15,$M377-$A$15,BY$13)="",10^12,OFFSET(PLE!$G$15,$M377-$A$15,BY$13)))</f>
        <v>0</v>
      </c>
      <c r="BZ377" s="172">
        <f ca="1">IF(OR($D377&lt;&gt;"Serviço",AND(AUTOEVENTO="Manual",$M377=$A$15),$M377&gt;(ROW(PLE.lastrow)-ROW(PLE.firstrow))),0,
           IF(OFFSET(PLE!$G$15,$M377-$A$15,BZ$13)="",10^12,OFFSET(PLE!$G$15,$M377-$A$15,BZ$13)))</f>
        <v>0</v>
      </c>
      <c r="CA377" s="172">
        <f ca="1">IF(OR($D377&lt;&gt;"Serviço",AND(AUTOEVENTO="Manual",$M377=$A$15),$M377&gt;(ROW(PLE.lastrow)-ROW(PLE.firstrow))),0,
           IF(OFFSET(PLE!$G$15,$M377-$A$15,CA$13)="",10^12,OFFSET(PLE!$G$15,$M377-$A$15,CA$13)))</f>
        <v>0</v>
      </c>
      <c r="CB377" s="172">
        <f ca="1">IF(OR($D377&lt;&gt;"Serviço",AND(AUTOEVENTO="Manual",$M377=$A$15),$M377&gt;(ROW(PLE.lastrow)-ROW(PLE.firstrow))),0,
           IF(OFFSET(PLE!$G$15,$M377-$A$15,CB$13)="",10^12,OFFSET(PLE!$G$15,$M377-$A$15,CB$13)))</f>
        <v>0</v>
      </c>
      <c r="CC377" s="172">
        <f ca="1">IF(OR($D377&lt;&gt;"Serviço",AND(AUTOEVENTO="Manual",$M377=$A$15),$M377&gt;(ROW(PLE.lastrow)-ROW(PLE.firstrow))),0,
           IF(OFFSET(PLE!$G$15,$M377-$A$15,CC$13)="",10^12,OFFSET(PLE!$G$15,$M377-$A$15,CC$13)))</f>
        <v>0</v>
      </c>
      <c r="CD377" s="172">
        <f ca="1">IF(OR($D377&lt;&gt;"Serviço",AND(AUTOEVENTO="Manual",$M377=$A$15),$M377&gt;(ROW(PLE.lastrow)-ROW(PLE.firstrow))),0,
           IF(OFFSET(PLE!$G$15,$M377-$A$15,CD$13)="",10^12,OFFSET(PLE!$G$15,$M377-$A$15,CD$13)))</f>
        <v>0</v>
      </c>
      <c r="CE377" s="172">
        <f ca="1">IF(OR($D377&lt;&gt;"Serviço",AND(AUTOEVENTO="Manual",$M377=$A$15),$M377&gt;(ROW(PLE.lastrow)-ROW(PLE.firstrow))),0,
           IF(OFFSET(PLE!$G$15,$M377-$A$15,CE$13)="",10^12,OFFSET(PLE!$G$15,$M377-$A$15,CE$13)))</f>
        <v>0</v>
      </c>
      <c r="CF377" s="172">
        <f ca="1">IF(OR($D377&lt;&gt;"Serviço",AND(AUTOEVENTO="Manual",$M377=$A$15),$M377&gt;(ROW(PLE.lastrow)-ROW(PLE.firstrow))),0,
           IF(OFFSET(PLE!$G$15,$M377-$A$15,CF$13)="",10^12,OFFSET(PLE!$G$15,$M377-$A$15,CF$13)))</f>
        <v>0</v>
      </c>
      <c r="CG377" s="172">
        <f ca="1">IF(OR($D377&lt;&gt;"Serviço",AND(AUTOEVENTO="Manual",$M377=$A$15),$M377&gt;(ROW(PLE.lastrow)-ROW(PLE.firstrow))),0,
           IF(OFFSET(PLE!$G$15,$M377-$A$15,CG$13)="",10^12,OFFSET(PLE!$G$15,$M377-$A$15,CG$13)))</f>
        <v>0</v>
      </c>
      <c r="CH377" s="172">
        <f ca="1">IF(OR($D377&lt;&gt;"Serviço",AND(AUTOEVENTO="Manual",$M377=$A$15),$M377&gt;(ROW(PLE.lastrow)-ROW(PLE.firstrow))),0,
           IF(OFFSET(PLE!$G$15,$M377-$A$15,CH$13)="",10^12,OFFSET(PLE!$G$15,$M377-$A$15,CH$13)))</f>
        <v>0</v>
      </c>
      <c r="CI377" s="172">
        <f ca="1">IF(OR($D377&lt;&gt;"Serviço",AND(AUTOEVENTO="Manual",$M377=$A$15),$M377&gt;(ROW(PLE.lastrow)-ROW(PLE.firstrow))),0,
           IF(OFFSET(PLE!$G$15,$M377-$A$15,CI$13)="",10^12,OFFSET(PLE!$G$15,$M377-$A$15,CI$13)))</f>
        <v>0</v>
      </c>
      <c r="CJ377" s="172">
        <f ca="1">IF(OR($D377&lt;&gt;"Serviço",AND(AUTOEVENTO="Manual",$M377=$A$15),$M377&gt;(ROW(PLE.lastrow)-ROW(PLE.firstrow))),0,
           IF(OFFSET(PLE!$G$15,$M377-$A$15,CJ$13)="",10^12,OFFSET(PLE!$G$15,$M377-$A$15,CJ$13)))</f>
        <v>0</v>
      </c>
      <c r="CK377" s="172">
        <f ca="1">IF(OR($D377&lt;&gt;"Serviço",AND(AUTOEVENTO="Manual",$M377=$A$15),$M377&gt;(ROW(PLE.lastrow)-ROW(PLE.firstrow))),0,
           IF(OFFSET(PLE!$G$15,$M377-$A$15,CK$13)="",10^12,OFFSET(PLE!$G$15,$M377-$A$15,CK$13)))</f>
        <v>0</v>
      </c>
      <c r="CL377" s="172">
        <f ca="1">IF(OR($D377&lt;&gt;"Serviço",AND(AUTOEVENTO="Manual",$M377=$A$15),$M377&gt;(ROW(PLE.lastrow)-ROW(PLE.firstrow))),0,
           IF(OFFSET(PLE!$G$15,$M377-$A$15,CL$13)="",10^12,OFFSET(PLE!$G$15,$M377-$A$15,CL$13)))</f>
        <v>0</v>
      </c>
      <c r="CM377" s="172">
        <f ca="1">IF(OR($D377&lt;&gt;"Serviço",AND(AUTOEVENTO="Manual",$M377=$A$15),$M377&gt;(ROW(PLE.lastrow)-ROW(PLE.firstrow))),0,
           IF(OFFSET(PLE!$G$15,$M377-$A$15,CM$13)="",10^12,OFFSET(PLE!$G$15,$M377-$A$15,CM$13)))</f>
        <v>0</v>
      </c>
    </row>
    <row r="378" spans="1:91" ht="38.25" x14ac:dyDescent="0.2">
      <c r="A378" s="7">
        <f t="shared" ca="1" si="15"/>
        <v>7</v>
      </c>
      <c r="B378" s="7" t="str">
        <f ca="1">OFFSET(ORÇAMENTO!C$15,ROW(B378)-ROW(B$15),0)</f>
        <v>S</v>
      </c>
      <c r="C378" s="7" t="str">
        <f ca="1">OFFSET(ORÇAMENTO!L$15,ROW(C378)-ROW(C$15),0)</f>
        <v>F</v>
      </c>
      <c r="D378" s="116" t="str">
        <f ca="1">OFFSET(ORÇAMENTO!N$15,ROW(D378)-ROW(D$15),0)</f>
        <v>Serviço</v>
      </c>
      <c r="E378" s="117" t="str">
        <f ca="1">OFFSET(ORÇAMENTO!O$15,ROW(E378)-ROW(E$15),0)</f>
        <v>1.8.1.4.1.</v>
      </c>
      <c r="F378" s="163" t="str">
        <f ca="1">OFFSET(ORÇAMENTO!R$15,ROW(F378)-ROW(F$15),0)</f>
        <v>QUADRO DE DISTRIBUIÇÃO DE SOBREPOR EM CHAPA, PARA 24 DISJUNTORES DIN, INCLUSIVE BARRAMENTOS NEUTRO/TERRA E BARRAMENTO TRIFÁSICO DE 100A</v>
      </c>
      <c r="G378" s="164" t="str">
        <f ca="1">IF($D378&lt;&gt;"Serviço","",OFFSET(ORÇAMENTO!S$15,ROW(G378)-ROW(G$15),0))</f>
        <v>UN</v>
      </c>
      <c r="H378" s="122" cm="1">
        <f t="array" aca="1" ref="H378" ca="1">IF($D378&lt;&gt;"Serviço",0,IF(ACOMPANHAMENTO="BM",ROUND(OFFSET(ORÇAMENTO!AJ$15,ROW(H378)-ROW(H$15),0),15-13*ORÇAMENTO!$AF$7),SUMPRODUCT(($Q$1:$AI$1=1)*ROUND($Q378:$AI378,15-13*ORÇAMENTO!$AF$7))))</f>
        <v>1</v>
      </c>
      <c r="I378" s="468" t="s">
        <v>1431</v>
      </c>
      <c r="J378" s="640" t="str" cm="1">
        <f t="array" aca="1" ref="J378" ca="1">IF(OR(B378&lt;&gt;"S",CÁLCULO.FrentesPreenchidas=0),"",IF(AND(ACOMPANHAMENTO="PLE",AUTOEVENTO="Manual",OR(H378&gt;0,ORÇAMENTO!AC378="QUANT."),OR(K378="",M378=0,N378="")),"►E",IF(AND(ACOMPANHAMENTO="PLE",ORÇAMENTO!AC378="QUANT."),"►Q",IF(AND(ACOMPANHAMENTO="PLE",H378&lt;&gt;SUMPRODUCT(($Q$1:$AI$1=1)*ROUND(Q378:AI378,15))),"►S",IF(AND(COUNTIF($P$11:$AI$11,"▼")=0,H378&gt;0,I378=""),"◄M","")))))</f>
        <v/>
      </c>
      <c r="K378" s="641" t="s">
        <v>1391</v>
      </c>
      <c r="L378" s="165" t="s">
        <v>764</v>
      </c>
      <c r="M378" s="166">
        <f ca="1">IF($D378&lt;&gt;"Serviço","",
          IF(AUTOEVENTO="manual",$A378,
                IF(ISERROR(MATCH($A378,$A$15:OFFSET($A378,-1,0),0)),MAX($M$15:OFFSET(M378,-1,0))+1,
                      INDEX($M$15:OFFSET(M378,-1,0),MATCH($A378,$A$15:OFFSET($A378,-1,0),0)))))</f>
        <v>7</v>
      </c>
      <c r="N378" s="167" t="str">
        <f ca="1">IF($D378&lt;&gt;"Serviço","",
         IF(AUTOEVENTO="Manual",
                IF($A378=0,"&lt;-- defina o número do agrupador",
                       OFFSET(EVENTOS!$D$15,$A378-$A$15,0)),
                OFFSET($F$15,$A378,0)))</f>
        <v>Instalações Elétricas</v>
      </c>
      <c r="O378" s="168"/>
      <c r="Q378" s="168"/>
      <c r="R378" s="169"/>
      <c r="S378" s="169"/>
      <c r="T378" s="169"/>
      <c r="U378" s="169"/>
      <c r="V378" s="169"/>
      <c r="W378" s="169"/>
      <c r="X378" s="169">
        <v>1</v>
      </c>
      <c r="Y378" s="169"/>
      <c r="Z378" s="170"/>
      <c r="AA378" s="169"/>
      <c r="AB378" s="169"/>
      <c r="AC378" s="169"/>
      <c r="AD378" s="169"/>
      <c r="AE378" s="169"/>
      <c r="AF378" s="169"/>
      <c r="AG378" s="169"/>
      <c r="AH378" s="170"/>
      <c r="AJ378" s="453">
        <f ca="1">IF(AND($D378="Serviço",AJ$12&lt;&gt;0,$H378&gt;0,OR(AUTOEVENTO&lt;&gt;"manual",$M378&lt;&gt;$A$15)),
        IF(Import.TipoArredondamento&lt;&gt;"TransfereGOV",
              ROUND(OFFSET($P378,0,AJ$13),15-13*ORÇAMENTO!$AF$7)/$H378*OFFSET(ORÇAMENTO!$X$15,ROW(AJ378)-ROW(AJ$15),0),
              ROUND(ROUND(OFFSET($P378,0,AJ$13),15-13*ORÇAMENTO!$AF$7)*OFFSET(ORÇAMENTO!$W$15,ROW(AJ378)-ROW(AJ$15),0),15-13*ORÇAMENTO!$AF$11)),
         0)</f>
        <v>0</v>
      </c>
      <c r="AK378" s="453">
        <f ca="1">IF(AND($D378="Serviço",AK$12&lt;&gt;0,$H378&gt;0,OR(AUTOEVENTO&lt;&gt;"manual",$M378&lt;&gt;$A$15)),
        IF(Import.TipoArredondamento&lt;&gt;"TransfereGOV",
              ROUND(OFFSET($P378,0,AK$13),15-13*ORÇAMENTO!$AF$7)/$H378*OFFSET(ORÇAMENTO!$X$15,ROW(AK378)-ROW(AK$15),0),
              ROUND(ROUND(OFFSET($P378,0,AK$13),15-13*ORÇAMENTO!$AF$7)*OFFSET(ORÇAMENTO!$W$15,ROW(AK378)-ROW(AK$15),0),15-13*ORÇAMENTO!$AF$11)),
         0)</f>
        <v>0</v>
      </c>
      <c r="AL378" s="453">
        <f ca="1">IF(AND($D378="Serviço",AL$12&lt;&gt;0,$H378&gt;0,OR(AUTOEVENTO&lt;&gt;"manual",$M378&lt;&gt;$A$15)),
        IF(Import.TipoArredondamento&lt;&gt;"TransfereGOV",
              ROUND(OFFSET($P378,0,AL$13),15-13*ORÇAMENTO!$AF$7)/$H378*OFFSET(ORÇAMENTO!$X$15,ROW(AL378)-ROW(AL$15),0),
              ROUND(ROUND(OFFSET($P378,0,AL$13),15-13*ORÇAMENTO!$AF$7)*OFFSET(ORÇAMENTO!$W$15,ROW(AL378)-ROW(AL$15),0),15-13*ORÇAMENTO!$AF$11)),
         0)</f>
        <v>0</v>
      </c>
      <c r="AM378" s="453">
        <f ca="1">IF(AND($D378="Serviço",AM$12&lt;&gt;0,$H378&gt;0,OR(AUTOEVENTO&lt;&gt;"manual",$M378&lt;&gt;$A$15)),
        IF(Import.TipoArredondamento&lt;&gt;"TransfereGOV",
              ROUND(OFFSET($P378,0,AM$13),15-13*ORÇAMENTO!$AF$7)/$H378*OFFSET(ORÇAMENTO!$X$15,ROW(AM378)-ROW(AM$15),0),
              ROUND(ROUND(OFFSET($P378,0,AM$13),15-13*ORÇAMENTO!$AF$7)*OFFSET(ORÇAMENTO!$W$15,ROW(AM378)-ROW(AM$15),0),15-13*ORÇAMENTO!$AF$11)),
         0)</f>
        <v>0</v>
      </c>
      <c r="AN378" s="453">
        <f ca="1">IF(AND($D378="Serviço",AN$12&lt;&gt;0,$H378&gt;0,OR(AUTOEVENTO&lt;&gt;"manual",$M378&lt;&gt;$A$15)),
        IF(Import.TipoArredondamento&lt;&gt;"TransfereGOV",
              ROUND(OFFSET($P378,0,AN$13),15-13*ORÇAMENTO!$AF$7)/$H378*OFFSET(ORÇAMENTO!$X$15,ROW(AN378)-ROW(AN$15),0),
              ROUND(ROUND(OFFSET($P378,0,AN$13),15-13*ORÇAMENTO!$AF$7)*OFFSET(ORÇAMENTO!$W$15,ROW(AN378)-ROW(AN$15),0),15-13*ORÇAMENTO!$AF$11)),
         0)</f>
        <v>0</v>
      </c>
      <c r="AO378" s="453">
        <f ca="1">IF(AND($D378="Serviço",AO$12&lt;&gt;0,$H378&gt;0,OR(AUTOEVENTO&lt;&gt;"manual",$M378&lt;&gt;$A$15)),
        IF(Import.TipoArredondamento&lt;&gt;"TransfereGOV",
              ROUND(OFFSET($P378,0,AO$13),15-13*ORÇAMENTO!$AF$7)/$H378*OFFSET(ORÇAMENTO!$X$15,ROW(AO378)-ROW(AO$15),0),
              ROUND(ROUND(OFFSET($P378,0,AO$13),15-13*ORÇAMENTO!$AF$7)*OFFSET(ORÇAMENTO!$W$15,ROW(AO378)-ROW(AO$15),0),15-13*ORÇAMENTO!$AF$11)),
         0)</f>
        <v>0</v>
      </c>
      <c r="AP378" s="453">
        <f ca="1">IF(AND($D378="Serviço",AP$12&lt;&gt;0,$H378&gt;0,OR(AUTOEVENTO&lt;&gt;"manual",$M378&lt;&gt;$A$15)),
        IF(Import.TipoArredondamento&lt;&gt;"TransfereGOV",
              ROUND(OFFSET($P378,0,AP$13),15-13*ORÇAMENTO!$AF$7)/$H378*OFFSET(ORÇAMENTO!$X$15,ROW(AP378)-ROW(AP$15),0),
              ROUND(ROUND(OFFSET($P378,0,AP$13),15-13*ORÇAMENTO!$AF$7)*OFFSET(ORÇAMENTO!$W$15,ROW(AP378)-ROW(AP$15),0),15-13*ORÇAMENTO!$AF$11)),
         0)</f>
        <v>0</v>
      </c>
      <c r="AQ378" s="453">
        <f ca="1">IF(AND($D378="Serviço",AQ$12&lt;&gt;0,$H378&gt;0,OR(AUTOEVENTO&lt;&gt;"manual",$M378&lt;&gt;$A$15)),
        IF(Import.TipoArredondamento&lt;&gt;"TransfereGOV",
              ROUND(OFFSET($P378,0,AQ$13),15-13*ORÇAMENTO!$AF$7)/$H378*OFFSET(ORÇAMENTO!$X$15,ROW(AQ378)-ROW(AQ$15),0),
              ROUND(ROUND(OFFSET($P378,0,AQ$13),15-13*ORÇAMENTO!$AF$7)*OFFSET(ORÇAMENTO!$W$15,ROW(AQ378)-ROW(AQ$15),0),15-13*ORÇAMENTO!$AF$11)),
         0)</f>
        <v>0</v>
      </c>
      <c r="AR378" s="453">
        <f ca="1">IF(AND($D378="Serviço",AR$12&lt;&gt;0,$H378&gt;0,OR(AUTOEVENTO&lt;&gt;"manual",$M378&lt;&gt;$A$15)),
        IF(Import.TipoArredondamento&lt;&gt;"TransfereGOV",
              ROUND(OFFSET($P378,0,AR$13),15-13*ORÇAMENTO!$AF$7)/$H378*OFFSET(ORÇAMENTO!$X$15,ROW(AR378)-ROW(AR$15),0),
              ROUND(ROUND(OFFSET($P378,0,AR$13),15-13*ORÇAMENTO!$AF$7)*OFFSET(ORÇAMENTO!$W$15,ROW(AR378)-ROW(AR$15),0),15-13*ORÇAMENTO!$AF$11)),
         0)</f>
        <v>0</v>
      </c>
      <c r="AS378" s="453">
        <f ca="1">IF(AND($D378="Serviço",AS$12&lt;&gt;0,$H378&gt;0,OR(AUTOEVENTO&lt;&gt;"manual",$M378&lt;&gt;$A$15)),
        IF(Import.TipoArredondamento&lt;&gt;"TransfereGOV",
              ROUND(OFFSET($P378,0,AS$13),15-13*ORÇAMENTO!$AF$7)/$H378*OFFSET(ORÇAMENTO!$X$15,ROW(AS378)-ROW(AS$15),0),
              ROUND(ROUND(OFFSET($P378,0,AS$13),15-13*ORÇAMENTO!$AF$7)*OFFSET(ORÇAMENTO!$W$15,ROW(AS378)-ROW(AS$15),0),15-13*ORÇAMENTO!$AF$11)),
         0)</f>
        <v>0</v>
      </c>
      <c r="AT378" s="453">
        <f ca="1">IF(AND($D378="Serviço",AT$12&lt;&gt;0,$H378&gt;0,OR(AUTOEVENTO&lt;&gt;"manual",$M378&lt;&gt;$A$15)),
        IF(Import.TipoArredondamento&lt;&gt;"TransfereGOV",
              ROUND(OFFSET($P378,0,AT$13),15-13*ORÇAMENTO!$AF$7)/$H378*OFFSET(ORÇAMENTO!$X$15,ROW(AT378)-ROW(AT$15),0),
              ROUND(ROUND(OFFSET($P378,0,AT$13),15-13*ORÇAMENTO!$AF$7)*OFFSET(ORÇAMENTO!$W$15,ROW(AT378)-ROW(AT$15),0),15-13*ORÇAMENTO!$AF$11)),
         0)</f>
        <v>0</v>
      </c>
      <c r="AU378" s="453">
        <f ca="1">IF(AND($D378="Serviço",AU$12&lt;&gt;0,$H378&gt;0,OR(AUTOEVENTO&lt;&gt;"manual",$M378&lt;&gt;$A$15)),
        IF(Import.TipoArredondamento&lt;&gt;"TransfereGOV",
              ROUND(OFFSET($P378,0,AU$13),15-13*ORÇAMENTO!$AF$7)/$H378*OFFSET(ORÇAMENTO!$X$15,ROW(AU378)-ROW(AU$15),0),
              ROUND(ROUND(OFFSET($P378,0,AU$13),15-13*ORÇAMENTO!$AF$7)*OFFSET(ORÇAMENTO!$W$15,ROW(AU378)-ROW(AU$15),0),15-13*ORÇAMENTO!$AF$11)),
         0)</f>
        <v>0</v>
      </c>
      <c r="AV378" s="453">
        <f ca="1">IF(AND($D378="Serviço",AV$12&lt;&gt;0,$H378&gt;0,OR(AUTOEVENTO&lt;&gt;"manual",$M378&lt;&gt;$A$15)),
        IF(Import.TipoArredondamento&lt;&gt;"TransfereGOV",
              ROUND(OFFSET($P378,0,AV$13),15-13*ORÇAMENTO!$AF$7)/$H378*OFFSET(ORÇAMENTO!$X$15,ROW(AV378)-ROW(AV$15),0),
              ROUND(ROUND(OFFSET($P378,0,AV$13),15-13*ORÇAMENTO!$AF$7)*OFFSET(ORÇAMENTO!$W$15,ROW(AV378)-ROW(AV$15),0),15-13*ORÇAMENTO!$AF$11)),
         0)</f>
        <v>0</v>
      </c>
      <c r="AW378" s="453">
        <f ca="1">IF(AND($D378="Serviço",AW$12&lt;&gt;0,$H378&gt;0,OR(AUTOEVENTO&lt;&gt;"manual",$M378&lt;&gt;$A$15)),
        IF(Import.TipoArredondamento&lt;&gt;"TransfereGOV",
              ROUND(OFFSET($P378,0,AW$13),15-13*ORÇAMENTO!$AF$7)/$H378*OFFSET(ORÇAMENTO!$X$15,ROW(AW378)-ROW(AW$15),0),
              ROUND(ROUND(OFFSET($P378,0,AW$13),15-13*ORÇAMENTO!$AF$7)*OFFSET(ORÇAMENTO!$W$15,ROW(AW378)-ROW(AW$15),0),15-13*ORÇAMENTO!$AF$11)),
         0)</f>
        <v>0</v>
      </c>
      <c r="AX378" s="453">
        <f ca="1">IF(AND($D378="Serviço",AX$12&lt;&gt;0,$H378&gt;0,OR(AUTOEVENTO&lt;&gt;"manual",$M378&lt;&gt;$A$15)),
        IF(Import.TipoArredondamento&lt;&gt;"TransfereGOV",
              ROUND(OFFSET($P378,0,AX$13),15-13*ORÇAMENTO!$AF$7)/$H378*OFFSET(ORÇAMENTO!$X$15,ROW(AX378)-ROW(AX$15),0),
              ROUND(ROUND(OFFSET($P378,0,AX$13),15-13*ORÇAMENTO!$AF$7)*OFFSET(ORÇAMENTO!$W$15,ROW(AX378)-ROW(AX$15),0),15-13*ORÇAMENTO!$AF$11)),
         0)</f>
        <v>0</v>
      </c>
      <c r="AY378" s="453">
        <f ca="1">IF(AND($D378="Serviço",AY$12&lt;&gt;0,$H378&gt;0,OR(AUTOEVENTO&lt;&gt;"manual",$M378&lt;&gt;$A$15)),
        IF(Import.TipoArredondamento&lt;&gt;"TransfereGOV",
              ROUND(OFFSET($P378,0,AY$13),15-13*ORÇAMENTO!$AF$7)/$H378*OFFSET(ORÇAMENTO!$X$15,ROW(AY378)-ROW(AY$15),0),
              ROUND(ROUND(OFFSET($P378,0,AY$13),15-13*ORÇAMENTO!$AF$7)*OFFSET(ORÇAMENTO!$W$15,ROW(AY378)-ROW(AY$15),0),15-13*ORÇAMENTO!$AF$11)),
         0)</f>
        <v>0</v>
      </c>
      <c r="AZ378" s="453">
        <f ca="1">IF(AND($D378="Serviço",AZ$12&lt;&gt;0,$H378&gt;0,OR(AUTOEVENTO&lt;&gt;"manual",$M378&lt;&gt;$A$15)),
        IF(Import.TipoArredondamento&lt;&gt;"TransfereGOV",
              ROUND(OFFSET($P378,0,AZ$13),15-13*ORÇAMENTO!$AF$7)/$H378*OFFSET(ORÇAMENTO!$X$15,ROW(AZ378)-ROW(AZ$15),0),
              ROUND(ROUND(OFFSET($P378,0,AZ$13),15-13*ORÇAMENTO!$AF$7)*OFFSET(ORÇAMENTO!$W$15,ROW(AZ378)-ROW(AZ$15),0),15-13*ORÇAMENTO!$AF$11)),
         0)</f>
        <v>0</v>
      </c>
      <c r="BA378" s="453">
        <f ca="1">IF(AND($D378="Serviço",BA$12&lt;&gt;0,$H378&gt;0,OR(AUTOEVENTO&lt;&gt;"manual",$M378&lt;&gt;$A$15)),
        IF(Import.TipoArredondamento&lt;&gt;"TransfereGOV",
              ROUND(OFFSET($P378,0,BA$13),15-13*ORÇAMENTO!$AF$7)/$H378*OFFSET(ORÇAMENTO!$X$15,ROW(BA378)-ROW(BA$15),0),
              ROUND(ROUND(OFFSET($P378,0,BA$13),15-13*ORÇAMENTO!$AF$7)*OFFSET(ORÇAMENTO!$W$15,ROW(BA378)-ROW(BA$15),0),15-13*ORÇAMENTO!$AF$11)),
         0)</f>
        <v>0</v>
      </c>
      <c r="BC378" s="171">
        <f ca="1">IF(OR($D378&lt;&gt;"Serviço",AND(AUTOEVENTO="Manual",$M378=$A$15)),0,
         IF(OFFSET(CRONOPLE!$F$15,$M378-$A$15,BC$13)=0,10^12,OFFSET(CRONOPLE!$F$15,$M378-$A$15,BC$13)))</f>
        <v>1</v>
      </c>
      <c r="BD378" s="171">
        <f ca="1">IF(OR($D378&lt;&gt;"Serviço",AND(AUTOEVENTO="Manual",$M378=$A$15)),0,
         IF(OFFSET(CRONOPLE!$F$15,$M378-$A$15,BD$13)=0,10^12,OFFSET(CRONOPLE!$F$15,$M378-$A$15,BD$13)))</f>
        <v>2</v>
      </c>
      <c r="BE378" s="171">
        <f ca="1">IF(OR($D378&lt;&gt;"Serviço",AND(AUTOEVENTO="Manual",$M378=$A$15)),0,
         IF(OFFSET(CRONOPLE!$F$15,$M378-$A$15,BE$13)=0,10^12,OFFSET(CRONOPLE!$F$15,$M378-$A$15,BE$13)))</f>
        <v>3</v>
      </c>
      <c r="BF378" s="171">
        <f ca="1">IF(OR($D378&lt;&gt;"Serviço",AND(AUTOEVENTO="Manual",$M378=$A$15)),0,
         IF(OFFSET(CRONOPLE!$F$15,$M378-$A$15,BF$13)=0,10^12,OFFSET(CRONOPLE!$F$15,$M378-$A$15,BF$13)))</f>
        <v>4</v>
      </c>
      <c r="BG378" s="171">
        <f ca="1">IF(OR($D378&lt;&gt;"Serviço",AND(AUTOEVENTO="Manual",$M378=$A$15)),0,
         IF(OFFSET(CRONOPLE!$F$15,$M378-$A$15,BG$13)=0,10^12,OFFSET(CRONOPLE!$F$15,$M378-$A$15,BG$13)))</f>
        <v>5</v>
      </c>
      <c r="BH378" s="171">
        <f ca="1">IF(OR($D378&lt;&gt;"Serviço",AND(AUTOEVENTO="Manual",$M378=$A$15)),0,
         IF(OFFSET(CRONOPLE!$F$15,$M378-$A$15,BH$13)=0,10^12,OFFSET(CRONOPLE!$F$15,$M378-$A$15,BH$13)))</f>
        <v>6</v>
      </c>
      <c r="BI378" s="171">
        <f ca="1">IF(OR($D378&lt;&gt;"Serviço",AND(AUTOEVENTO="Manual",$M378=$A$15)),0,
         IF(OFFSET(CRONOPLE!$F$15,$M378-$A$15,BI$13)=0,10^12,OFFSET(CRONOPLE!$F$15,$M378-$A$15,BI$13)))</f>
        <v>7</v>
      </c>
      <c r="BJ378" s="171">
        <f ca="1">IF(OR($D378&lt;&gt;"Serviço",AND(AUTOEVENTO="Manual",$M378=$A$15)),0,
         IF(OFFSET(CRONOPLE!$F$15,$M378-$A$15,BJ$13)=0,10^12,OFFSET(CRONOPLE!$F$15,$M378-$A$15,BJ$13)))</f>
        <v>8</v>
      </c>
      <c r="BK378" s="171">
        <f ca="1">IF(OR($D378&lt;&gt;"Serviço",AND(AUTOEVENTO="Manual",$M378=$A$15)),0,
         IF(OFFSET(CRONOPLE!$F$15,$M378-$A$15,BK$13)=0,10^12,OFFSET(CRONOPLE!$F$15,$M378-$A$15,BK$13)))</f>
        <v>9</v>
      </c>
      <c r="BL378" s="171">
        <f ca="1">IF(OR($D378&lt;&gt;"Serviço",AND(AUTOEVENTO="Manual",$M378=$A$15)),0,
         IF(OFFSET(CRONOPLE!$F$15,$M378-$A$15,BL$13)=0,10^12,OFFSET(CRONOPLE!$F$15,$M378-$A$15,BL$13)))</f>
        <v>1000000000000</v>
      </c>
      <c r="BM378" s="171">
        <f ca="1">IF(OR($D378&lt;&gt;"Serviço",AND(AUTOEVENTO="Manual",$M378=$A$15)),0,
         IF(OFFSET(CRONOPLE!$F$15,$M378-$A$15,BM$13)=0,10^12,OFFSET(CRONOPLE!$F$15,$M378-$A$15,BM$13)))</f>
        <v>1000000000000</v>
      </c>
      <c r="BN378" s="171">
        <f ca="1">IF(OR($D378&lt;&gt;"Serviço",AND(AUTOEVENTO="Manual",$M378=$A$15)),0,
         IF(OFFSET(CRONOPLE!$F$15,$M378-$A$15,BN$13)=0,10^12,OFFSET(CRONOPLE!$F$15,$M378-$A$15,BN$13)))</f>
        <v>1000000000000</v>
      </c>
      <c r="BO378" s="171">
        <f ca="1">IF(OR($D378&lt;&gt;"Serviço",AND(AUTOEVENTO="Manual",$M378=$A$15)),0,
         IF(OFFSET(CRONOPLE!$F$15,$M378-$A$15,BO$13)=0,10^12,OFFSET(CRONOPLE!$F$15,$M378-$A$15,BO$13)))</f>
        <v>1000000000000</v>
      </c>
      <c r="BP378" s="171">
        <f ca="1">IF(OR($D378&lt;&gt;"Serviço",AND(AUTOEVENTO="Manual",$M378=$A$15)),0,
         IF(OFFSET(CRONOPLE!$F$15,$M378-$A$15,BP$13)=0,10^12,OFFSET(CRONOPLE!$F$15,$M378-$A$15,BP$13)))</f>
        <v>1000000000000</v>
      </c>
      <c r="BQ378" s="171">
        <f ca="1">IF(OR($D378&lt;&gt;"Serviço",AND(AUTOEVENTO="Manual",$M378=$A$15)),0,
         IF(OFFSET(CRONOPLE!$F$15,$M378-$A$15,BQ$13)=0,10^12,OFFSET(CRONOPLE!$F$15,$M378-$A$15,BQ$13)))</f>
        <v>1000000000000</v>
      </c>
      <c r="BR378" s="171">
        <f ca="1">IF(OR($D378&lt;&gt;"Serviço",AND(AUTOEVENTO="Manual",$M378=$A$15)),0,
         IF(OFFSET(CRONOPLE!$F$15,$M378-$A$15,BR$13)=0,10^12,OFFSET(CRONOPLE!$F$15,$M378-$A$15,BR$13)))</f>
        <v>1000000000000</v>
      </c>
      <c r="BS378" s="171">
        <f ca="1">IF(OR($D378&lt;&gt;"Serviço",AND(AUTOEVENTO="Manual",$M378=$A$15)),0,
         IF(OFFSET(CRONOPLE!$F$15,$M378-$A$15,BS$13)=0,10^12,OFFSET(CRONOPLE!$F$15,$M378-$A$15,BS$13)))</f>
        <v>1000000000000</v>
      </c>
      <c r="BT378" s="171">
        <f ca="1">IF(OR($D378&lt;&gt;"Serviço",AND(AUTOEVENTO="Manual",$M378=$A$15)),0,
         IF(OFFSET(CRONOPLE!$F$15,$M378-$A$15,BT$13)=0,10^12,OFFSET(CRONOPLE!$F$15,$M378-$A$15,BT$13)))</f>
        <v>1000000000000</v>
      </c>
      <c r="BV378" s="172">
        <f ca="1">IF(OR($D378&lt;&gt;"Serviço",AND(AUTOEVENTO="Manual",$M378=$A$15),$M378&gt;(ROW(PLE.lastrow)-ROW(PLE.firstrow))),0,
           IF(OFFSET(PLE!$G$15,$M378-$A$15,BV$13)="",10^12,OFFSET(PLE!$G$15,$M378-$A$15,BV$13)))</f>
        <v>1000000000000</v>
      </c>
      <c r="BW378" s="172">
        <f ca="1">IF(OR($D378&lt;&gt;"Serviço",AND(AUTOEVENTO="Manual",$M378=$A$15),$M378&gt;(ROW(PLE.lastrow)-ROW(PLE.firstrow))),0,
           IF(OFFSET(PLE!$G$15,$M378-$A$15,BW$13)="",10^12,OFFSET(PLE!$G$15,$M378-$A$15,BW$13)))</f>
        <v>1000000000000</v>
      </c>
      <c r="BX378" s="172">
        <f ca="1">IF(OR($D378&lt;&gt;"Serviço",AND(AUTOEVENTO="Manual",$M378=$A$15),$M378&gt;(ROW(PLE.lastrow)-ROW(PLE.firstrow))),0,
           IF(OFFSET(PLE!$G$15,$M378-$A$15,BX$13)="",10^12,OFFSET(PLE!$G$15,$M378-$A$15,BX$13)))</f>
        <v>1000000000000</v>
      </c>
      <c r="BY378" s="172">
        <f ca="1">IF(OR($D378&lt;&gt;"Serviço",AND(AUTOEVENTO="Manual",$M378=$A$15),$M378&gt;(ROW(PLE.lastrow)-ROW(PLE.firstrow))),0,
           IF(OFFSET(PLE!$G$15,$M378-$A$15,BY$13)="",10^12,OFFSET(PLE!$G$15,$M378-$A$15,BY$13)))</f>
        <v>1000000000000</v>
      </c>
      <c r="BZ378" s="172">
        <f ca="1">IF(OR($D378&lt;&gt;"Serviço",AND(AUTOEVENTO="Manual",$M378=$A$15),$M378&gt;(ROW(PLE.lastrow)-ROW(PLE.firstrow))),0,
           IF(OFFSET(PLE!$G$15,$M378-$A$15,BZ$13)="",10^12,OFFSET(PLE!$G$15,$M378-$A$15,BZ$13)))</f>
        <v>1000000000000</v>
      </c>
      <c r="CA378" s="172">
        <f ca="1">IF(OR($D378&lt;&gt;"Serviço",AND(AUTOEVENTO="Manual",$M378=$A$15),$M378&gt;(ROW(PLE.lastrow)-ROW(PLE.firstrow))),0,
           IF(OFFSET(PLE!$G$15,$M378-$A$15,CA$13)="",10^12,OFFSET(PLE!$G$15,$M378-$A$15,CA$13)))</f>
        <v>1000000000000</v>
      </c>
      <c r="CB378" s="172">
        <f ca="1">IF(OR($D378&lt;&gt;"Serviço",AND(AUTOEVENTO="Manual",$M378=$A$15),$M378&gt;(ROW(PLE.lastrow)-ROW(PLE.firstrow))),0,
           IF(OFFSET(PLE!$G$15,$M378-$A$15,CB$13)="",10^12,OFFSET(PLE!$G$15,$M378-$A$15,CB$13)))</f>
        <v>1000000000000</v>
      </c>
      <c r="CC378" s="172">
        <f ca="1">IF(OR($D378&lt;&gt;"Serviço",AND(AUTOEVENTO="Manual",$M378=$A$15),$M378&gt;(ROW(PLE.lastrow)-ROW(PLE.firstrow))),0,
           IF(OFFSET(PLE!$G$15,$M378-$A$15,CC$13)="",10^12,OFFSET(PLE!$G$15,$M378-$A$15,CC$13)))</f>
        <v>1000000000000</v>
      </c>
      <c r="CD378" s="172">
        <f ca="1">IF(OR($D378&lt;&gt;"Serviço",AND(AUTOEVENTO="Manual",$M378=$A$15),$M378&gt;(ROW(PLE.lastrow)-ROW(PLE.firstrow))),0,
           IF(OFFSET(PLE!$G$15,$M378-$A$15,CD$13)="",10^12,OFFSET(PLE!$G$15,$M378-$A$15,CD$13)))</f>
        <v>1000000000000</v>
      </c>
      <c r="CE378" s="172">
        <f ca="1">IF(OR($D378&lt;&gt;"Serviço",AND(AUTOEVENTO="Manual",$M378=$A$15),$M378&gt;(ROW(PLE.lastrow)-ROW(PLE.firstrow))),0,
           IF(OFFSET(PLE!$G$15,$M378-$A$15,CE$13)="",10^12,OFFSET(PLE!$G$15,$M378-$A$15,CE$13)))</f>
        <v>1000000000000</v>
      </c>
      <c r="CF378" s="172">
        <f ca="1">IF(OR($D378&lt;&gt;"Serviço",AND(AUTOEVENTO="Manual",$M378=$A$15),$M378&gt;(ROW(PLE.lastrow)-ROW(PLE.firstrow))),0,
           IF(OFFSET(PLE!$G$15,$M378-$A$15,CF$13)="",10^12,OFFSET(PLE!$G$15,$M378-$A$15,CF$13)))</f>
        <v>1000000000000</v>
      </c>
      <c r="CG378" s="172">
        <f ca="1">IF(OR($D378&lt;&gt;"Serviço",AND(AUTOEVENTO="Manual",$M378=$A$15),$M378&gt;(ROW(PLE.lastrow)-ROW(PLE.firstrow))),0,
           IF(OFFSET(PLE!$G$15,$M378-$A$15,CG$13)="",10^12,OFFSET(PLE!$G$15,$M378-$A$15,CG$13)))</f>
        <v>1000000000000</v>
      </c>
      <c r="CH378" s="172">
        <f ca="1">IF(OR($D378&lt;&gt;"Serviço",AND(AUTOEVENTO="Manual",$M378=$A$15),$M378&gt;(ROW(PLE.lastrow)-ROW(PLE.firstrow))),0,
           IF(OFFSET(PLE!$G$15,$M378-$A$15,CH$13)="",10^12,OFFSET(PLE!$G$15,$M378-$A$15,CH$13)))</f>
        <v>1000000000000</v>
      </c>
      <c r="CI378" s="172">
        <f ca="1">IF(OR($D378&lt;&gt;"Serviço",AND(AUTOEVENTO="Manual",$M378=$A$15),$M378&gt;(ROW(PLE.lastrow)-ROW(PLE.firstrow))),0,
           IF(OFFSET(PLE!$G$15,$M378-$A$15,CI$13)="",10^12,OFFSET(PLE!$G$15,$M378-$A$15,CI$13)))</f>
        <v>1000000000000</v>
      </c>
      <c r="CJ378" s="172">
        <f ca="1">IF(OR($D378&lt;&gt;"Serviço",AND(AUTOEVENTO="Manual",$M378=$A$15),$M378&gt;(ROW(PLE.lastrow)-ROW(PLE.firstrow))),0,
           IF(OFFSET(PLE!$G$15,$M378-$A$15,CJ$13)="",10^12,OFFSET(PLE!$G$15,$M378-$A$15,CJ$13)))</f>
        <v>1000000000000</v>
      </c>
      <c r="CK378" s="172">
        <f ca="1">IF(OR($D378&lt;&gt;"Serviço",AND(AUTOEVENTO="Manual",$M378=$A$15),$M378&gt;(ROW(PLE.lastrow)-ROW(PLE.firstrow))),0,
           IF(OFFSET(PLE!$G$15,$M378-$A$15,CK$13)="",10^12,OFFSET(PLE!$G$15,$M378-$A$15,CK$13)))</f>
        <v>1000000000000</v>
      </c>
      <c r="CL378" s="172">
        <f ca="1">IF(OR($D378&lt;&gt;"Serviço",AND(AUTOEVENTO="Manual",$M378=$A$15),$M378&gt;(ROW(PLE.lastrow)-ROW(PLE.firstrow))),0,
           IF(OFFSET(PLE!$G$15,$M378-$A$15,CL$13)="",10^12,OFFSET(PLE!$G$15,$M378-$A$15,CL$13)))</f>
        <v>1000000000000</v>
      </c>
      <c r="CM378" s="172">
        <f ca="1">IF(OR($D378&lt;&gt;"Serviço",AND(AUTOEVENTO="Manual",$M378=$A$15),$M378&gt;(ROW(PLE.lastrow)-ROW(PLE.firstrow))),0,
           IF(OFFSET(PLE!$G$15,$M378-$A$15,CM$13)="",10^12,OFFSET(PLE!$G$15,$M378-$A$15,CM$13)))</f>
        <v>1000000000000</v>
      </c>
    </row>
    <row r="379" spans="1:91" ht="38.25" x14ac:dyDescent="0.2">
      <c r="A379" s="7">
        <f t="shared" ca="1" si="15"/>
        <v>7</v>
      </c>
      <c r="B379" s="7" t="str">
        <f ca="1">OFFSET(ORÇAMENTO!C$15,ROW(B379)-ROW(B$15),0)</f>
        <v>S</v>
      </c>
      <c r="C379" s="7" t="str">
        <f ca="1">OFFSET(ORÇAMENTO!L$15,ROW(C379)-ROW(C$15),0)</f>
        <v>F</v>
      </c>
      <c r="D379" s="116" t="str">
        <f ca="1">OFFSET(ORÇAMENTO!N$15,ROW(D379)-ROW(D$15),0)</f>
        <v>Serviço</v>
      </c>
      <c r="E379" s="117" t="str">
        <f ca="1">OFFSET(ORÇAMENTO!O$15,ROW(E379)-ROW(E$15),0)</f>
        <v>1.8.1.4.2.</v>
      </c>
      <c r="F379" s="163" t="str">
        <f ca="1">OFFSET(ORÇAMENTO!R$15,ROW(F379)-ROW(F$15),0)</f>
        <v xml:space="preserve">DISPOSITIVO SUPRESSOR DE SURTO - CLASSE I e II -  BASEADO EM SETOP (ED-49527) </v>
      </c>
      <c r="G379" s="164" t="str">
        <f ca="1">IF($D379&lt;&gt;"Serviço","",OFFSET(ORÇAMENTO!S$15,ROW(G379)-ROW(G$15),0))</f>
        <v>UN</v>
      </c>
      <c r="H379" s="122" cm="1">
        <f t="array" aca="1" ref="H379" ca="1">IF($D379&lt;&gt;"Serviço",0,IF(ACOMPANHAMENTO="BM",ROUND(OFFSET(ORÇAMENTO!AJ$15,ROW(H379)-ROW(H$15),0),15-13*ORÇAMENTO!$AF$7),SUMPRODUCT(($Q$1:$AI$1=1)*ROUND($Q379:$AI379,15-13*ORÇAMENTO!$AF$7))))</f>
        <v>3</v>
      </c>
      <c r="I379" s="468" t="s">
        <v>1431</v>
      </c>
      <c r="J379" s="640" t="str" cm="1">
        <f t="array" aca="1" ref="J379" ca="1">IF(OR(B379&lt;&gt;"S",CÁLCULO.FrentesPreenchidas=0),"",IF(AND(ACOMPANHAMENTO="PLE",AUTOEVENTO="Manual",OR(H379&gt;0,ORÇAMENTO!AC379="QUANT."),OR(K379="",M379=0,N379="")),"►E",IF(AND(ACOMPANHAMENTO="PLE",ORÇAMENTO!AC379="QUANT."),"►Q",IF(AND(ACOMPANHAMENTO="PLE",H379&lt;&gt;SUMPRODUCT(($Q$1:$AI$1=1)*ROUND(Q379:AI379,15))),"►S",IF(AND(COUNTIF($P$11:$AI$11,"▼")=0,H379&gt;0,I379=""),"◄M","")))))</f>
        <v/>
      </c>
      <c r="K379" s="641" t="s">
        <v>1391</v>
      </c>
      <c r="L379" s="165" t="s">
        <v>764</v>
      </c>
      <c r="M379" s="166">
        <f ca="1">IF($D379&lt;&gt;"Serviço","",
          IF(AUTOEVENTO="manual",$A379,
                IF(ISERROR(MATCH($A379,$A$15:OFFSET($A379,-1,0),0)),MAX($M$15:OFFSET(M379,-1,0))+1,
                      INDEX($M$15:OFFSET(M379,-1,0),MATCH($A379,$A$15:OFFSET($A379,-1,0),0)))))</f>
        <v>7</v>
      </c>
      <c r="N379" s="167" t="str">
        <f ca="1">IF($D379&lt;&gt;"Serviço","",
         IF(AUTOEVENTO="Manual",
                IF($A379=0,"&lt;-- defina o número do agrupador",
                       OFFSET(EVENTOS!$D$15,$A379-$A$15,0)),
                OFFSET($F$15,$A379,0)))</f>
        <v>Instalações Elétricas</v>
      </c>
      <c r="O379" s="168"/>
      <c r="Q379" s="168"/>
      <c r="R379" s="169"/>
      <c r="S379" s="169"/>
      <c r="T379" s="169"/>
      <c r="U379" s="169"/>
      <c r="V379" s="169"/>
      <c r="W379" s="169"/>
      <c r="X379" s="169">
        <v>3</v>
      </c>
      <c r="Y379" s="169"/>
      <c r="Z379" s="170"/>
      <c r="AA379" s="169"/>
      <c r="AB379" s="169"/>
      <c r="AC379" s="169"/>
      <c r="AD379" s="169"/>
      <c r="AE379" s="169"/>
      <c r="AF379" s="169"/>
      <c r="AG379" s="169"/>
      <c r="AH379" s="170"/>
      <c r="AJ379" s="453">
        <f ca="1">IF(AND($D379="Serviço",AJ$12&lt;&gt;0,$H379&gt;0,OR(AUTOEVENTO&lt;&gt;"manual",$M379&lt;&gt;$A$15)),
        IF(Import.TipoArredondamento&lt;&gt;"TransfereGOV",
              ROUND(OFFSET($P379,0,AJ$13),15-13*ORÇAMENTO!$AF$7)/$H379*OFFSET(ORÇAMENTO!$X$15,ROW(AJ379)-ROW(AJ$15),0),
              ROUND(ROUND(OFFSET($P379,0,AJ$13),15-13*ORÇAMENTO!$AF$7)*OFFSET(ORÇAMENTO!$W$15,ROW(AJ379)-ROW(AJ$15),0),15-13*ORÇAMENTO!$AF$11)),
         0)</f>
        <v>0</v>
      </c>
      <c r="AK379" s="453">
        <f ca="1">IF(AND($D379="Serviço",AK$12&lt;&gt;0,$H379&gt;0,OR(AUTOEVENTO&lt;&gt;"manual",$M379&lt;&gt;$A$15)),
        IF(Import.TipoArredondamento&lt;&gt;"TransfereGOV",
              ROUND(OFFSET($P379,0,AK$13),15-13*ORÇAMENTO!$AF$7)/$H379*OFFSET(ORÇAMENTO!$X$15,ROW(AK379)-ROW(AK$15),0),
              ROUND(ROUND(OFFSET($P379,0,AK$13),15-13*ORÇAMENTO!$AF$7)*OFFSET(ORÇAMENTO!$W$15,ROW(AK379)-ROW(AK$15),0),15-13*ORÇAMENTO!$AF$11)),
         0)</f>
        <v>0</v>
      </c>
      <c r="AL379" s="453">
        <f ca="1">IF(AND($D379="Serviço",AL$12&lt;&gt;0,$H379&gt;0,OR(AUTOEVENTO&lt;&gt;"manual",$M379&lt;&gt;$A$15)),
        IF(Import.TipoArredondamento&lt;&gt;"TransfereGOV",
              ROUND(OFFSET($P379,0,AL$13),15-13*ORÇAMENTO!$AF$7)/$H379*OFFSET(ORÇAMENTO!$X$15,ROW(AL379)-ROW(AL$15),0),
              ROUND(ROUND(OFFSET($P379,0,AL$13),15-13*ORÇAMENTO!$AF$7)*OFFSET(ORÇAMENTO!$W$15,ROW(AL379)-ROW(AL$15),0),15-13*ORÇAMENTO!$AF$11)),
         0)</f>
        <v>0</v>
      </c>
      <c r="AM379" s="453">
        <f ca="1">IF(AND($D379="Serviço",AM$12&lt;&gt;0,$H379&gt;0,OR(AUTOEVENTO&lt;&gt;"manual",$M379&lt;&gt;$A$15)),
        IF(Import.TipoArredondamento&lt;&gt;"TransfereGOV",
              ROUND(OFFSET($P379,0,AM$13),15-13*ORÇAMENTO!$AF$7)/$H379*OFFSET(ORÇAMENTO!$X$15,ROW(AM379)-ROW(AM$15),0),
              ROUND(ROUND(OFFSET($P379,0,AM$13),15-13*ORÇAMENTO!$AF$7)*OFFSET(ORÇAMENTO!$W$15,ROW(AM379)-ROW(AM$15),0),15-13*ORÇAMENTO!$AF$11)),
         0)</f>
        <v>0</v>
      </c>
      <c r="AN379" s="453">
        <f ca="1">IF(AND($D379="Serviço",AN$12&lt;&gt;0,$H379&gt;0,OR(AUTOEVENTO&lt;&gt;"manual",$M379&lt;&gt;$A$15)),
        IF(Import.TipoArredondamento&lt;&gt;"TransfereGOV",
              ROUND(OFFSET($P379,0,AN$13),15-13*ORÇAMENTO!$AF$7)/$H379*OFFSET(ORÇAMENTO!$X$15,ROW(AN379)-ROW(AN$15),0),
              ROUND(ROUND(OFFSET($P379,0,AN$13),15-13*ORÇAMENTO!$AF$7)*OFFSET(ORÇAMENTO!$W$15,ROW(AN379)-ROW(AN$15),0),15-13*ORÇAMENTO!$AF$11)),
         0)</f>
        <v>0</v>
      </c>
      <c r="AO379" s="453">
        <f ca="1">IF(AND($D379="Serviço",AO$12&lt;&gt;0,$H379&gt;0,OR(AUTOEVENTO&lt;&gt;"manual",$M379&lt;&gt;$A$15)),
        IF(Import.TipoArredondamento&lt;&gt;"TransfereGOV",
              ROUND(OFFSET($P379,0,AO$13),15-13*ORÇAMENTO!$AF$7)/$H379*OFFSET(ORÇAMENTO!$X$15,ROW(AO379)-ROW(AO$15),0),
              ROUND(ROUND(OFFSET($P379,0,AO$13),15-13*ORÇAMENTO!$AF$7)*OFFSET(ORÇAMENTO!$W$15,ROW(AO379)-ROW(AO$15),0),15-13*ORÇAMENTO!$AF$11)),
         0)</f>
        <v>0</v>
      </c>
      <c r="AP379" s="453">
        <f ca="1">IF(AND($D379="Serviço",AP$12&lt;&gt;0,$H379&gt;0,OR(AUTOEVENTO&lt;&gt;"manual",$M379&lt;&gt;$A$15)),
        IF(Import.TipoArredondamento&lt;&gt;"TransfereGOV",
              ROUND(OFFSET($P379,0,AP$13),15-13*ORÇAMENTO!$AF$7)/$H379*OFFSET(ORÇAMENTO!$X$15,ROW(AP379)-ROW(AP$15),0),
              ROUND(ROUND(OFFSET($P379,0,AP$13),15-13*ORÇAMENTO!$AF$7)*OFFSET(ORÇAMENTO!$W$15,ROW(AP379)-ROW(AP$15),0),15-13*ORÇAMENTO!$AF$11)),
         0)</f>
        <v>0</v>
      </c>
      <c r="AQ379" s="453">
        <f ca="1">IF(AND($D379="Serviço",AQ$12&lt;&gt;0,$H379&gt;0,OR(AUTOEVENTO&lt;&gt;"manual",$M379&lt;&gt;$A$15)),
        IF(Import.TipoArredondamento&lt;&gt;"TransfereGOV",
              ROUND(OFFSET($P379,0,AQ$13),15-13*ORÇAMENTO!$AF$7)/$H379*OFFSET(ORÇAMENTO!$X$15,ROW(AQ379)-ROW(AQ$15),0),
              ROUND(ROUND(OFFSET($P379,0,AQ$13),15-13*ORÇAMENTO!$AF$7)*OFFSET(ORÇAMENTO!$W$15,ROW(AQ379)-ROW(AQ$15),0),15-13*ORÇAMENTO!$AF$11)),
         0)</f>
        <v>0</v>
      </c>
      <c r="AR379" s="453">
        <f ca="1">IF(AND($D379="Serviço",AR$12&lt;&gt;0,$H379&gt;0,OR(AUTOEVENTO&lt;&gt;"manual",$M379&lt;&gt;$A$15)),
        IF(Import.TipoArredondamento&lt;&gt;"TransfereGOV",
              ROUND(OFFSET($P379,0,AR$13),15-13*ORÇAMENTO!$AF$7)/$H379*OFFSET(ORÇAMENTO!$X$15,ROW(AR379)-ROW(AR$15),0),
              ROUND(ROUND(OFFSET($P379,0,AR$13),15-13*ORÇAMENTO!$AF$7)*OFFSET(ORÇAMENTO!$W$15,ROW(AR379)-ROW(AR$15),0),15-13*ORÇAMENTO!$AF$11)),
         0)</f>
        <v>0</v>
      </c>
      <c r="AS379" s="453">
        <f ca="1">IF(AND($D379="Serviço",AS$12&lt;&gt;0,$H379&gt;0,OR(AUTOEVENTO&lt;&gt;"manual",$M379&lt;&gt;$A$15)),
        IF(Import.TipoArredondamento&lt;&gt;"TransfereGOV",
              ROUND(OFFSET($P379,0,AS$13),15-13*ORÇAMENTO!$AF$7)/$H379*OFFSET(ORÇAMENTO!$X$15,ROW(AS379)-ROW(AS$15),0),
              ROUND(ROUND(OFFSET($P379,0,AS$13),15-13*ORÇAMENTO!$AF$7)*OFFSET(ORÇAMENTO!$W$15,ROW(AS379)-ROW(AS$15),0),15-13*ORÇAMENTO!$AF$11)),
         0)</f>
        <v>0</v>
      </c>
      <c r="AT379" s="453">
        <f ca="1">IF(AND($D379="Serviço",AT$12&lt;&gt;0,$H379&gt;0,OR(AUTOEVENTO&lt;&gt;"manual",$M379&lt;&gt;$A$15)),
        IF(Import.TipoArredondamento&lt;&gt;"TransfereGOV",
              ROUND(OFFSET($P379,0,AT$13),15-13*ORÇAMENTO!$AF$7)/$H379*OFFSET(ORÇAMENTO!$X$15,ROW(AT379)-ROW(AT$15),0),
              ROUND(ROUND(OFFSET($P379,0,AT$13),15-13*ORÇAMENTO!$AF$7)*OFFSET(ORÇAMENTO!$W$15,ROW(AT379)-ROW(AT$15),0),15-13*ORÇAMENTO!$AF$11)),
         0)</f>
        <v>0</v>
      </c>
      <c r="AU379" s="453">
        <f ca="1">IF(AND($D379="Serviço",AU$12&lt;&gt;0,$H379&gt;0,OR(AUTOEVENTO&lt;&gt;"manual",$M379&lt;&gt;$A$15)),
        IF(Import.TipoArredondamento&lt;&gt;"TransfereGOV",
              ROUND(OFFSET($P379,0,AU$13),15-13*ORÇAMENTO!$AF$7)/$H379*OFFSET(ORÇAMENTO!$X$15,ROW(AU379)-ROW(AU$15),0),
              ROUND(ROUND(OFFSET($P379,0,AU$13),15-13*ORÇAMENTO!$AF$7)*OFFSET(ORÇAMENTO!$W$15,ROW(AU379)-ROW(AU$15),0),15-13*ORÇAMENTO!$AF$11)),
         0)</f>
        <v>0</v>
      </c>
      <c r="AV379" s="453">
        <f ca="1">IF(AND($D379="Serviço",AV$12&lt;&gt;0,$H379&gt;0,OR(AUTOEVENTO&lt;&gt;"manual",$M379&lt;&gt;$A$15)),
        IF(Import.TipoArredondamento&lt;&gt;"TransfereGOV",
              ROUND(OFFSET($P379,0,AV$13),15-13*ORÇAMENTO!$AF$7)/$H379*OFFSET(ORÇAMENTO!$X$15,ROW(AV379)-ROW(AV$15),0),
              ROUND(ROUND(OFFSET($P379,0,AV$13),15-13*ORÇAMENTO!$AF$7)*OFFSET(ORÇAMENTO!$W$15,ROW(AV379)-ROW(AV$15),0),15-13*ORÇAMENTO!$AF$11)),
         0)</f>
        <v>0</v>
      </c>
      <c r="AW379" s="453">
        <f ca="1">IF(AND($D379="Serviço",AW$12&lt;&gt;0,$H379&gt;0,OR(AUTOEVENTO&lt;&gt;"manual",$M379&lt;&gt;$A$15)),
        IF(Import.TipoArredondamento&lt;&gt;"TransfereGOV",
              ROUND(OFFSET($P379,0,AW$13),15-13*ORÇAMENTO!$AF$7)/$H379*OFFSET(ORÇAMENTO!$X$15,ROW(AW379)-ROW(AW$15),0),
              ROUND(ROUND(OFFSET($P379,0,AW$13),15-13*ORÇAMENTO!$AF$7)*OFFSET(ORÇAMENTO!$W$15,ROW(AW379)-ROW(AW$15),0),15-13*ORÇAMENTO!$AF$11)),
         0)</f>
        <v>0</v>
      </c>
      <c r="AX379" s="453">
        <f ca="1">IF(AND($D379="Serviço",AX$12&lt;&gt;0,$H379&gt;0,OR(AUTOEVENTO&lt;&gt;"manual",$M379&lt;&gt;$A$15)),
        IF(Import.TipoArredondamento&lt;&gt;"TransfereGOV",
              ROUND(OFFSET($P379,0,AX$13),15-13*ORÇAMENTO!$AF$7)/$H379*OFFSET(ORÇAMENTO!$X$15,ROW(AX379)-ROW(AX$15),0),
              ROUND(ROUND(OFFSET($P379,0,AX$13),15-13*ORÇAMENTO!$AF$7)*OFFSET(ORÇAMENTO!$W$15,ROW(AX379)-ROW(AX$15),0),15-13*ORÇAMENTO!$AF$11)),
         0)</f>
        <v>0</v>
      </c>
      <c r="AY379" s="453">
        <f ca="1">IF(AND($D379="Serviço",AY$12&lt;&gt;0,$H379&gt;0,OR(AUTOEVENTO&lt;&gt;"manual",$M379&lt;&gt;$A$15)),
        IF(Import.TipoArredondamento&lt;&gt;"TransfereGOV",
              ROUND(OFFSET($P379,0,AY$13),15-13*ORÇAMENTO!$AF$7)/$H379*OFFSET(ORÇAMENTO!$X$15,ROW(AY379)-ROW(AY$15),0),
              ROUND(ROUND(OFFSET($P379,0,AY$13),15-13*ORÇAMENTO!$AF$7)*OFFSET(ORÇAMENTO!$W$15,ROW(AY379)-ROW(AY$15),0),15-13*ORÇAMENTO!$AF$11)),
         0)</f>
        <v>0</v>
      </c>
      <c r="AZ379" s="453">
        <f ca="1">IF(AND($D379="Serviço",AZ$12&lt;&gt;0,$H379&gt;0,OR(AUTOEVENTO&lt;&gt;"manual",$M379&lt;&gt;$A$15)),
        IF(Import.TipoArredondamento&lt;&gt;"TransfereGOV",
              ROUND(OFFSET($P379,0,AZ$13),15-13*ORÇAMENTO!$AF$7)/$H379*OFFSET(ORÇAMENTO!$X$15,ROW(AZ379)-ROW(AZ$15),0),
              ROUND(ROUND(OFFSET($P379,0,AZ$13),15-13*ORÇAMENTO!$AF$7)*OFFSET(ORÇAMENTO!$W$15,ROW(AZ379)-ROW(AZ$15),0),15-13*ORÇAMENTO!$AF$11)),
         0)</f>
        <v>0</v>
      </c>
      <c r="BA379" s="453">
        <f ca="1">IF(AND($D379="Serviço",BA$12&lt;&gt;0,$H379&gt;0,OR(AUTOEVENTO&lt;&gt;"manual",$M379&lt;&gt;$A$15)),
        IF(Import.TipoArredondamento&lt;&gt;"TransfereGOV",
              ROUND(OFFSET($P379,0,BA$13),15-13*ORÇAMENTO!$AF$7)/$H379*OFFSET(ORÇAMENTO!$X$15,ROW(BA379)-ROW(BA$15),0),
              ROUND(ROUND(OFFSET($P379,0,BA$13),15-13*ORÇAMENTO!$AF$7)*OFFSET(ORÇAMENTO!$W$15,ROW(BA379)-ROW(BA$15),0),15-13*ORÇAMENTO!$AF$11)),
         0)</f>
        <v>0</v>
      </c>
      <c r="BC379" s="171">
        <f ca="1">IF(OR($D379&lt;&gt;"Serviço",AND(AUTOEVENTO="Manual",$M379=$A$15)),0,
         IF(OFFSET(CRONOPLE!$F$15,$M379-$A$15,BC$13)=0,10^12,OFFSET(CRONOPLE!$F$15,$M379-$A$15,BC$13)))</f>
        <v>1</v>
      </c>
      <c r="BD379" s="171">
        <f ca="1">IF(OR($D379&lt;&gt;"Serviço",AND(AUTOEVENTO="Manual",$M379=$A$15)),0,
         IF(OFFSET(CRONOPLE!$F$15,$M379-$A$15,BD$13)=0,10^12,OFFSET(CRONOPLE!$F$15,$M379-$A$15,BD$13)))</f>
        <v>2</v>
      </c>
      <c r="BE379" s="171">
        <f ca="1">IF(OR($D379&lt;&gt;"Serviço",AND(AUTOEVENTO="Manual",$M379=$A$15)),0,
         IF(OFFSET(CRONOPLE!$F$15,$M379-$A$15,BE$13)=0,10^12,OFFSET(CRONOPLE!$F$15,$M379-$A$15,BE$13)))</f>
        <v>3</v>
      </c>
      <c r="BF379" s="171">
        <f ca="1">IF(OR($D379&lt;&gt;"Serviço",AND(AUTOEVENTO="Manual",$M379=$A$15)),0,
         IF(OFFSET(CRONOPLE!$F$15,$M379-$A$15,BF$13)=0,10^12,OFFSET(CRONOPLE!$F$15,$M379-$A$15,BF$13)))</f>
        <v>4</v>
      </c>
      <c r="BG379" s="171">
        <f ca="1">IF(OR($D379&lt;&gt;"Serviço",AND(AUTOEVENTO="Manual",$M379=$A$15)),0,
         IF(OFFSET(CRONOPLE!$F$15,$M379-$A$15,BG$13)=0,10^12,OFFSET(CRONOPLE!$F$15,$M379-$A$15,BG$13)))</f>
        <v>5</v>
      </c>
      <c r="BH379" s="171">
        <f ca="1">IF(OR($D379&lt;&gt;"Serviço",AND(AUTOEVENTO="Manual",$M379=$A$15)),0,
         IF(OFFSET(CRONOPLE!$F$15,$M379-$A$15,BH$13)=0,10^12,OFFSET(CRONOPLE!$F$15,$M379-$A$15,BH$13)))</f>
        <v>6</v>
      </c>
      <c r="BI379" s="171">
        <f ca="1">IF(OR($D379&lt;&gt;"Serviço",AND(AUTOEVENTO="Manual",$M379=$A$15)),0,
         IF(OFFSET(CRONOPLE!$F$15,$M379-$A$15,BI$13)=0,10^12,OFFSET(CRONOPLE!$F$15,$M379-$A$15,BI$13)))</f>
        <v>7</v>
      </c>
      <c r="BJ379" s="171">
        <f ca="1">IF(OR($D379&lt;&gt;"Serviço",AND(AUTOEVENTO="Manual",$M379=$A$15)),0,
         IF(OFFSET(CRONOPLE!$F$15,$M379-$A$15,BJ$13)=0,10^12,OFFSET(CRONOPLE!$F$15,$M379-$A$15,BJ$13)))</f>
        <v>8</v>
      </c>
      <c r="BK379" s="171">
        <f ca="1">IF(OR($D379&lt;&gt;"Serviço",AND(AUTOEVENTO="Manual",$M379=$A$15)),0,
         IF(OFFSET(CRONOPLE!$F$15,$M379-$A$15,BK$13)=0,10^12,OFFSET(CRONOPLE!$F$15,$M379-$A$15,BK$13)))</f>
        <v>9</v>
      </c>
      <c r="BL379" s="171">
        <f ca="1">IF(OR($D379&lt;&gt;"Serviço",AND(AUTOEVENTO="Manual",$M379=$A$15)),0,
         IF(OFFSET(CRONOPLE!$F$15,$M379-$A$15,BL$13)=0,10^12,OFFSET(CRONOPLE!$F$15,$M379-$A$15,BL$13)))</f>
        <v>1000000000000</v>
      </c>
      <c r="BM379" s="171">
        <f ca="1">IF(OR($D379&lt;&gt;"Serviço",AND(AUTOEVENTO="Manual",$M379=$A$15)),0,
         IF(OFFSET(CRONOPLE!$F$15,$M379-$A$15,BM$13)=0,10^12,OFFSET(CRONOPLE!$F$15,$M379-$A$15,BM$13)))</f>
        <v>1000000000000</v>
      </c>
      <c r="BN379" s="171">
        <f ca="1">IF(OR($D379&lt;&gt;"Serviço",AND(AUTOEVENTO="Manual",$M379=$A$15)),0,
         IF(OFFSET(CRONOPLE!$F$15,$M379-$A$15,BN$13)=0,10^12,OFFSET(CRONOPLE!$F$15,$M379-$A$15,BN$13)))</f>
        <v>1000000000000</v>
      </c>
      <c r="BO379" s="171">
        <f ca="1">IF(OR($D379&lt;&gt;"Serviço",AND(AUTOEVENTO="Manual",$M379=$A$15)),0,
         IF(OFFSET(CRONOPLE!$F$15,$M379-$A$15,BO$13)=0,10^12,OFFSET(CRONOPLE!$F$15,$M379-$A$15,BO$13)))</f>
        <v>1000000000000</v>
      </c>
      <c r="BP379" s="171">
        <f ca="1">IF(OR($D379&lt;&gt;"Serviço",AND(AUTOEVENTO="Manual",$M379=$A$15)),0,
         IF(OFFSET(CRONOPLE!$F$15,$M379-$A$15,BP$13)=0,10^12,OFFSET(CRONOPLE!$F$15,$M379-$A$15,BP$13)))</f>
        <v>1000000000000</v>
      </c>
      <c r="BQ379" s="171">
        <f ca="1">IF(OR($D379&lt;&gt;"Serviço",AND(AUTOEVENTO="Manual",$M379=$A$15)),0,
         IF(OFFSET(CRONOPLE!$F$15,$M379-$A$15,BQ$13)=0,10^12,OFFSET(CRONOPLE!$F$15,$M379-$A$15,BQ$13)))</f>
        <v>1000000000000</v>
      </c>
      <c r="BR379" s="171">
        <f ca="1">IF(OR($D379&lt;&gt;"Serviço",AND(AUTOEVENTO="Manual",$M379=$A$15)),0,
         IF(OFFSET(CRONOPLE!$F$15,$M379-$A$15,BR$13)=0,10^12,OFFSET(CRONOPLE!$F$15,$M379-$A$15,BR$13)))</f>
        <v>1000000000000</v>
      </c>
      <c r="BS379" s="171">
        <f ca="1">IF(OR($D379&lt;&gt;"Serviço",AND(AUTOEVENTO="Manual",$M379=$A$15)),0,
         IF(OFFSET(CRONOPLE!$F$15,$M379-$A$15,BS$13)=0,10^12,OFFSET(CRONOPLE!$F$15,$M379-$A$15,BS$13)))</f>
        <v>1000000000000</v>
      </c>
      <c r="BT379" s="171">
        <f ca="1">IF(OR($D379&lt;&gt;"Serviço",AND(AUTOEVENTO="Manual",$M379=$A$15)),0,
         IF(OFFSET(CRONOPLE!$F$15,$M379-$A$15,BT$13)=0,10^12,OFFSET(CRONOPLE!$F$15,$M379-$A$15,BT$13)))</f>
        <v>1000000000000</v>
      </c>
      <c r="BV379" s="172">
        <f ca="1">IF(OR($D379&lt;&gt;"Serviço",AND(AUTOEVENTO="Manual",$M379=$A$15),$M379&gt;(ROW(PLE.lastrow)-ROW(PLE.firstrow))),0,
           IF(OFFSET(PLE!$G$15,$M379-$A$15,BV$13)="",10^12,OFFSET(PLE!$G$15,$M379-$A$15,BV$13)))</f>
        <v>1000000000000</v>
      </c>
      <c r="BW379" s="172">
        <f ca="1">IF(OR($D379&lt;&gt;"Serviço",AND(AUTOEVENTO="Manual",$M379=$A$15),$M379&gt;(ROW(PLE.lastrow)-ROW(PLE.firstrow))),0,
           IF(OFFSET(PLE!$G$15,$M379-$A$15,BW$13)="",10^12,OFFSET(PLE!$G$15,$M379-$A$15,BW$13)))</f>
        <v>1000000000000</v>
      </c>
      <c r="BX379" s="172">
        <f ca="1">IF(OR($D379&lt;&gt;"Serviço",AND(AUTOEVENTO="Manual",$M379=$A$15),$M379&gt;(ROW(PLE.lastrow)-ROW(PLE.firstrow))),0,
           IF(OFFSET(PLE!$G$15,$M379-$A$15,BX$13)="",10^12,OFFSET(PLE!$G$15,$M379-$A$15,BX$13)))</f>
        <v>1000000000000</v>
      </c>
      <c r="BY379" s="172">
        <f ca="1">IF(OR($D379&lt;&gt;"Serviço",AND(AUTOEVENTO="Manual",$M379=$A$15),$M379&gt;(ROW(PLE.lastrow)-ROW(PLE.firstrow))),0,
           IF(OFFSET(PLE!$G$15,$M379-$A$15,BY$13)="",10^12,OFFSET(PLE!$G$15,$M379-$A$15,BY$13)))</f>
        <v>1000000000000</v>
      </c>
      <c r="BZ379" s="172">
        <f ca="1">IF(OR($D379&lt;&gt;"Serviço",AND(AUTOEVENTO="Manual",$M379=$A$15),$M379&gt;(ROW(PLE.lastrow)-ROW(PLE.firstrow))),0,
           IF(OFFSET(PLE!$G$15,$M379-$A$15,BZ$13)="",10^12,OFFSET(PLE!$G$15,$M379-$A$15,BZ$13)))</f>
        <v>1000000000000</v>
      </c>
      <c r="CA379" s="172">
        <f ca="1">IF(OR($D379&lt;&gt;"Serviço",AND(AUTOEVENTO="Manual",$M379=$A$15),$M379&gt;(ROW(PLE.lastrow)-ROW(PLE.firstrow))),0,
           IF(OFFSET(PLE!$G$15,$M379-$A$15,CA$13)="",10^12,OFFSET(PLE!$G$15,$M379-$A$15,CA$13)))</f>
        <v>1000000000000</v>
      </c>
      <c r="CB379" s="172">
        <f ca="1">IF(OR($D379&lt;&gt;"Serviço",AND(AUTOEVENTO="Manual",$M379=$A$15),$M379&gt;(ROW(PLE.lastrow)-ROW(PLE.firstrow))),0,
           IF(OFFSET(PLE!$G$15,$M379-$A$15,CB$13)="",10^12,OFFSET(PLE!$G$15,$M379-$A$15,CB$13)))</f>
        <v>1000000000000</v>
      </c>
      <c r="CC379" s="172">
        <f ca="1">IF(OR($D379&lt;&gt;"Serviço",AND(AUTOEVENTO="Manual",$M379=$A$15),$M379&gt;(ROW(PLE.lastrow)-ROW(PLE.firstrow))),0,
           IF(OFFSET(PLE!$G$15,$M379-$A$15,CC$13)="",10^12,OFFSET(PLE!$G$15,$M379-$A$15,CC$13)))</f>
        <v>1000000000000</v>
      </c>
      <c r="CD379" s="172">
        <f ca="1">IF(OR($D379&lt;&gt;"Serviço",AND(AUTOEVENTO="Manual",$M379=$A$15),$M379&gt;(ROW(PLE.lastrow)-ROW(PLE.firstrow))),0,
           IF(OFFSET(PLE!$G$15,$M379-$A$15,CD$13)="",10^12,OFFSET(PLE!$G$15,$M379-$A$15,CD$13)))</f>
        <v>1000000000000</v>
      </c>
      <c r="CE379" s="172">
        <f ca="1">IF(OR($D379&lt;&gt;"Serviço",AND(AUTOEVENTO="Manual",$M379=$A$15),$M379&gt;(ROW(PLE.lastrow)-ROW(PLE.firstrow))),0,
           IF(OFFSET(PLE!$G$15,$M379-$A$15,CE$13)="",10^12,OFFSET(PLE!$G$15,$M379-$A$15,CE$13)))</f>
        <v>1000000000000</v>
      </c>
      <c r="CF379" s="172">
        <f ca="1">IF(OR($D379&lt;&gt;"Serviço",AND(AUTOEVENTO="Manual",$M379=$A$15),$M379&gt;(ROW(PLE.lastrow)-ROW(PLE.firstrow))),0,
           IF(OFFSET(PLE!$G$15,$M379-$A$15,CF$13)="",10^12,OFFSET(PLE!$G$15,$M379-$A$15,CF$13)))</f>
        <v>1000000000000</v>
      </c>
      <c r="CG379" s="172">
        <f ca="1">IF(OR($D379&lt;&gt;"Serviço",AND(AUTOEVENTO="Manual",$M379=$A$15),$M379&gt;(ROW(PLE.lastrow)-ROW(PLE.firstrow))),0,
           IF(OFFSET(PLE!$G$15,$M379-$A$15,CG$13)="",10^12,OFFSET(PLE!$G$15,$M379-$A$15,CG$13)))</f>
        <v>1000000000000</v>
      </c>
      <c r="CH379" s="172">
        <f ca="1">IF(OR($D379&lt;&gt;"Serviço",AND(AUTOEVENTO="Manual",$M379=$A$15),$M379&gt;(ROW(PLE.lastrow)-ROW(PLE.firstrow))),0,
           IF(OFFSET(PLE!$G$15,$M379-$A$15,CH$13)="",10^12,OFFSET(PLE!$G$15,$M379-$A$15,CH$13)))</f>
        <v>1000000000000</v>
      </c>
      <c r="CI379" s="172">
        <f ca="1">IF(OR($D379&lt;&gt;"Serviço",AND(AUTOEVENTO="Manual",$M379=$A$15),$M379&gt;(ROW(PLE.lastrow)-ROW(PLE.firstrow))),0,
           IF(OFFSET(PLE!$G$15,$M379-$A$15,CI$13)="",10^12,OFFSET(PLE!$G$15,$M379-$A$15,CI$13)))</f>
        <v>1000000000000</v>
      </c>
      <c r="CJ379" s="172">
        <f ca="1">IF(OR($D379&lt;&gt;"Serviço",AND(AUTOEVENTO="Manual",$M379=$A$15),$M379&gt;(ROW(PLE.lastrow)-ROW(PLE.firstrow))),0,
           IF(OFFSET(PLE!$G$15,$M379-$A$15,CJ$13)="",10^12,OFFSET(PLE!$G$15,$M379-$A$15,CJ$13)))</f>
        <v>1000000000000</v>
      </c>
      <c r="CK379" s="172">
        <f ca="1">IF(OR($D379&lt;&gt;"Serviço",AND(AUTOEVENTO="Manual",$M379=$A$15),$M379&gt;(ROW(PLE.lastrow)-ROW(PLE.firstrow))),0,
           IF(OFFSET(PLE!$G$15,$M379-$A$15,CK$13)="",10^12,OFFSET(PLE!$G$15,$M379-$A$15,CK$13)))</f>
        <v>1000000000000</v>
      </c>
      <c r="CL379" s="172">
        <f ca="1">IF(OR($D379&lt;&gt;"Serviço",AND(AUTOEVENTO="Manual",$M379=$A$15),$M379&gt;(ROW(PLE.lastrow)-ROW(PLE.firstrow))),0,
           IF(OFFSET(PLE!$G$15,$M379-$A$15,CL$13)="",10^12,OFFSET(PLE!$G$15,$M379-$A$15,CL$13)))</f>
        <v>1000000000000</v>
      </c>
      <c r="CM379" s="172">
        <f ca="1">IF(OR($D379&lt;&gt;"Serviço",AND(AUTOEVENTO="Manual",$M379=$A$15),$M379&gt;(ROW(PLE.lastrow)-ROW(PLE.firstrow))),0,
           IF(OFFSET(PLE!$G$15,$M379-$A$15,CM$13)="",10^12,OFFSET(PLE!$G$15,$M379-$A$15,CM$13)))</f>
        <v>1000000000000</v>
      </c>
    </row>
    <row r="380" spans="1:91" ht="38.25" x14ac:dyDescent="0.2">
      <c r="A380" s="7">
        <f t="shared" ca="1" si="15"/>
        <v>7</v>
      </c>
      <c r="B380" s="7" t="str">
        <f ca="1">OFFSET(ORÇAMENTO!C$15,ROW(B380)-ROW(B$15),0)</f>
        <v>S</v>
      </c>
      <c r="C380" s="7" t="str">
        <f ca="1">OFFSET(ORÇAMENTO!L$15,ROW(C380)-ROW(C$15),0)</f>
        <v>F</v>
      </c>
      <c r="D380" s="116" t="str">
        <f ca="1">OFFSET(ORÇAMENTO!N$15,ROW(D380)-ROW(D$15),0)</f>
        <v>Serviço</v>
      </c>
      <c r="E380" s="117" t="str">
        <f ca="1">OFFSET(ORÇAMENTO!O$15,ROW(E380)-ROW(E$15),0)</f>
        <v>1.8.1.4.3.</v>
      </c>
      <c r="F380" s="163" t="str">
        <f ca="1">OFFSET(ORÇAMENTO!R$15,ROW(F380)-ROW(F$15),0)</f>
        <v>DISJUNTOR DIN BIPOLAR 4A - 5KA -  CURVA C - BASEADO EM SINAPI (93660)</v>
      </c>
      <c r="G380" s="164" t="str">
        <f ca="1">IF($D380&lt;&gt;"Serviço","",OFFSET(ORÇAMENTO!S$15,ROW(G380)-ROW(G$15),0))</f>
        <v>UN</v>
      </c>
      <c r="H380" s="122" cm="1">
        <f t="array" aca="1" ref="H380" ca="1">IF($D380&lt;&gt;"Serviço",0,IF(ACOMPANHAMENTO="BM",ROUND(OFFSET(ORÇAMENTO!AJ$15,ROW(H380)-ROW(H$15),0),15-13*ORÇAMENTO!$AF$7),SUMPRODUCT(($Q$1:$AI$1=1)*ROUND($Q380:$AI380,15-13*ORÇAMENTO!$AF$7))))</f>
        <v>3</v>
      </c>
      <c r="I380" s="468" t="s">
        <v>1431</v>
      </c>
      <c r="J380" s="640" t="str" cm="1">
        <f t="array" aca="1" ref="J380" ca="1">IF(OR(B380&lt;&gt;"S",CÁLCULO.FrentesPreenchidas=0),"",IF(AND(ACOMPANHAMENTO="PLE",AUTOEVENTO="Manual",OR(H380&gt;0,ORÇAMENTO!AC380="QUANT."),OR(K380="",M380=0,N380="")),"►E",IF(AND(ACOMPANHAMENTO="PLE",ORÇAMENTO!AC380="QUANT."),"►Q",IF(AND(ACOMPANHAMENTO="PLE",H380&lt;&gt;SUMPRODUCT(($Q$1:$AI$1=1)*ROUND(Q380:AI380,15))),"►S",IF(AND(COUNTIF($P$11:$AI$11,"▼")=0,H380&gt;0,I380=""),"◄M","")))))</f>
        <v/>
      </c>
      <c r="K380" s="641" t="s">
        <v>1391</v>
      </c>
      <c r="L380" s="165" t="s">
        <v>764</v>
      </c>
      <c r="M380" s="166">
        <f ca="1">IF($D380&lt;&gt;"Serviço","",
          IF(AUTOEVENTO="manual",$A380,
                IF(ISERROR(MATCH($A380,$A$15:OFFSET($A380,-1,0),0)),MAX($M$15:OFFSET(M380,-1,0))+1,
                      INDEX($M$15:OFFSET(M380,-1,0),MATCH($A380,$A$15:OFFSET($A380,-1,0),0)))))</f>
        <v>7</v>
      </c>
      <c r="N380" s="167" t="str">
        <f ca="1">IF($D380&lt;&gt;"Serviço","",
         IF(AUTOEVENTO="Manual",
                IF($A380=0,"&lt;-- defina o número do agrupador",
                       OFFSET(EVENTOS!$D$15,$A380-$A$15,0)),
                OFFSET($F$15,$A380,0)))</f>
        <v>Instalações Elétricas</v>
      </c>
      <c r="O380" s="168"/>
      <c r="Q380" s="168"/>
      <c r="R380" s="169"/>
      <c r="S380" s="169"/>
      <c r="T380" s="169"/>
      <c r="U380" s="169"/>
      <c r="V380" s="169"/>
      <c r="W380" s="169"/>
      <c r="X380" s="169">
        <v>3</v>
      </c>
      <c r="Y380" s="169"/>
      <c r="Z380" s="170"/>
      <c r="AA380" s="169"/>
      <c r="AB380" s="169"/>
      <c r="AC380" s="169"/>
      <c r="AD380" s="169"/>
      <c r="AE380" s="169"/>
      <c r="AF380" s="169"/>
      <c r="AG380" s="169"/>
      <c r="AH380" s="170"/>
      <c r="AJ380" s="453">
        <f ca="1">IF(AND($D380="Serviço",AJ$12&lt;&gt;0,$H380&gt;0,OR(AUTOEVENTO&lt;&gt;"manual",$M380&lt;&gt;$A$15)),
        IF(Import.TipoArredondamento&lt;&gt;"TransfereGOV",
              ROUND(OFFSET($P380,0,AJ$13),15-13*ORÇAMENTO!$AF$7)/$H380*OFFSET(ORÇAMENTO!$X$15,ROW(AJ380)-ROW(AJ$15),0),
              ROUND(ROUND(OFFSET($P380,0,AJ$13),15-13*ORÇAMENTO!$AF$7)*OFFSET(ORÇAMENTO!$W$15,ROW(AJ380)-ROW(AJ$15),0),15-13*ORÇAMENTO!$AF$11)),
         0)</f>
        <v>0</v>
      </c>
      <c r="AK380" s="453">
        <f ca="1">IF(AND($D380="Serviço",AK$12&lt;&gt;0,$H380&gt;0,OR(AUTOEVENTO&lt;&gt;"manual",$M380&lt;&gt;$A$15)),
        IF(Import.TipoArredondamento&lt;&gt;"TransfereGOV",
              ROUND(OFFSET($P380,0,AK$13),15-13*ORÇAMENTO!$AF$7)/$H380*OFFSET(ORÇAMENTO!$X$15,ROW(AK380)-ROW(AK$15),0),
              ROUND(ROUND(OFFSET($P380,0,AK$13),15-13*ORÇAMENTO!$AF$7)*OFFSET(ORÇAMENTO!$W$15,ROW(AK380)-ROW(AK$15),0),15-13*ORÇAMENTO!$AF$11)),
         0)</f>
        <v>0</v>
      </c>
      <c r="AL380" s="453">
        <f ca="1">IF(AND($D380="Serviço",AL$12&lt;&gt;0,$H380&gt;0,OR(AUTOEVENTO&lt;&gt;"manual",$M380&lt;&gt;$A$15)),
        IF(Import.TipoArredondamento&lt;&gt;"TransfereGOV",
              ROUND(OFFSET($P380,0,AL$13),15-13*ORÇAMENTO!$AF$7)/$H380*OFFSET(ORÇAMENTO!$X$15,ROW(AL380)-ROW(AL$15),0),
              ROUND(ROUND(OFFSET($P380,0,AL$13),15-13*ORÇAMENTO!$AF$7)*OFFSET(ORÇAMENTO!$W$15,ROW(AL380)-ROW(AL$15),0),15-13*ORÇAMENTO!$AF$11)),
         0)</f>
        <v>0</v>
      </c>
      <c r="AM380" s="453">
        <f ca="1">IF(AND($D380="Serviço",AM$12&lt;&gt;0,$H380&gt;0,OR(AUTOEVENTO&lt;&gt;"manual",$M380&lt;&gt;$A$15)),
        IF(Import.TipoArredondamento&lt;&gt;"TransfereGOV",
              ROUND(OFFSET($P380,0,AM$13),15-13*ORÇAMENTO!$AF$7)/$H380*OFFSET(ORÇAMENTO!$X$15,ROW(AM380)-ROW(AM$15),0),
              ROUND(ROUND(OFFSET($P380,0,AM$13),15-13*ORÇAMENTO!$AF$7)*OFFSET(ORÇAMENTO!$W$15,ROW(AM380)-ROW(AM$15),0),15-13*ORÇAMENTO!$AF$11)),
         0)</f>
        <v>0</v>
      </c>
      <c r="AN380" s="453">
        <f ca="1">IF(AND($D380="Serviço",AN$12&lt;&gt;0,$H380&gt;0,OR(AUTOEVENTO&lt;&gt;"manual",$M380&lt;&gt;$A$15)),
        IF(Import.TipoArredondamento&lt;&gt;"TransfereGOV",
              ROUND(OFFSET($P380,0,AN$13),15-13*ORÇAMENTO!$AF$7)/$H380*OFFSET(ORÇAMENTO!$X$15,ROW(AN380)-ROW(AN$15),0),
              ROUND(ROUND(OFFSET($P380,0,AN$13),15-13*ORÇAMENTO!$AF$7)*OFFSET(ORÇAMENTO!$W$15,ROW(AN380)-ROW(AN$15),0),15-13*ORÇAMENTO!$AF$11)),
         0)</f>
        <v>0</v>
      </c>
      <c r="AO380" s="453">
        <f ca="1">IF(AND($D380="Serviço",AO$12&lt;&gt;0,$H380&gt;0,OR(AUTOEVENTO&lt;&gt;"manual",$M380&lt;&gt;$A$15)),
        IF(Import.TipoArredondamento&lt;&gt;"TransfereGOV",
              ROUND(OFFSET($P380,0,AO$13),15-13*ORÇAMENTO!$AF$7)/$H380*OFFSET(ORÇAMENTO!$X$15,ROW(AO380)-ROW(AO$15),0),
              ROUND(ROUND(OFFSET($P380,0,AO$13),15-13*ORÇAMENTO!$AF$7)*OFFSET(ORÇAMENTO!$W$15,ROW(AO380)-ROW(AO$15),0),15-13*ORÇAMENTO!$AF$11)),
         0)</f>
        <v>0</v>
      </c>
      <c r="AP380" s="453">
        <f ca="1">IF(AND($D380="Serviço",AP$12&lt;&gt;0,$H380&gt;0,OR(AUTOEVENTO&lt;&gt;"manual",$M380&lt;&gt;$A$15)),
        IF(Import.TipoArredondamento&lt;&gt;"TransfereGOV",
              ROUND(OFFSET($P380,0,AP$13),15-13*ORÇAMENTO!$AF$7)/$H380*OFFSET(ORÇAMENTO!$X$15,ROW(AP380)-ROW(AP$15),0),
              ROUND(ROUND(OFFSET($P380,0,AP$13),15-13*ORÇAMENTO!$AF$7)*OFFSET(ORÇAMENTO!$W$15,ROW(AP380)-ROW(AP$15),0),15-13*ORÇAMENTO!$AF$11)),
         0)</f>
        <v>0</v>
      </c>
      <c r="AQ380" s="453">
        <f ca="1">IF(AND($D380="Serviço",AQ$12&lt;&gt;0,$H380&gt;0,OR(AUTOEVENTO&lt;&gt;"manual",$M380&lt;&gt;$A$15)),
        IF(Import.TipoArredondamento&lt;&gt;"TransfereGOV",
              ROUND(OFFSET($P380,0,AQ$13),15-13*ORÇAMENTO!$AF$7)/$H380*OFFSET(ORÇAMENTO!$X$15,ROW(AQ380)-ROW(AQ$15),0),
              ROUND(ROUND(OFFSET($P380,0,AQ$13),15-13*ORÇAMENTO!$AF$7)*OFFSET(ORÇAMENTO!$W$15,ROW(AQ380)-ROW(AQ$15),0),15-13*ORÇAMENTO!$AF$11)),
         0)</f>
        <v>0</v>
      </c>
      <c r="AR380" s="453">
        <f ca="1">IF(AND($D380="Serviço",AR$12&lt;&gt;0,$H380&gt;0,OR(AUTOEVENTO&lt;&gt;"manual",$M380&lt;&gt;$A$15)),
        IF(Import.TipoArredondamento&lt;&gt;"TransfereGOV",
              ROUND(OFFSET($P380,0,AR$13),15-13*ORÇAMENTO!$AF$7)/$H380*OFFSET(ORÇAMENTO!$X$15,ROW(AR380)-ROW(AR$15),0),
              ROUND(ROUND(OFFSET($P380,0,AR$13),15-13*ORÇAMENTO!$AF$7)*OFFSET(ORÇAMENTO!$W$15,ROW(AR380)-ROW(AR$15),0),15-13*ORÇAMENTO!$AF$11)),
         0)</f>
        <v>0</v>
      </c>
      <c r="AS380" s="453">
        <f ca="1">IF(AND($D380="Serviço",AS$12&lt;&gt;0,$H380&gt;0,OR(AUTOEVENTO&lt;&gt;"manual",$M380&lt;&gt;$A$15)),
        IF(Import.TipoArredondamento&lt;&gt;"TransfereGOV",
              ROUND(OFFSET($P380,0,AS$13),15-13*ORÇAMENTO!$AF$7)/$H380*OFFSET(ORÇAMENTO!$X$15,ROW(AS380)-ROW(AS$15),0),
              ROUND(ROUND(OFFSET($P380,0,AS$13),15-13*ORÇAMENTO!$AF$7)*OFFSET(ORÇAMENTO!$W$15,ROW(AS380)-ROW(AS$15),0),15-13*ORÇAMENTO!$AF$11)),
         0)</f>
        <v>0</v>
      </c>
      <c r="AT380" s="453">
        <f ca="1">IF(AND($D380="Serviço",AT$12&lt;&gt;0,$H380&gt;0,OR(AUTOEVENTO&lt;&gt;"manual",$M380&lt;&gt;$A$15)),
        IF(Import.TipoArredondamento&lt;&gt;"TransfereGOV",
              ROUND(OFFSET($P380,0,AT$13),15-13*ORÇAMENTO!$AF$7)/$H380*OFFSET(ORÇAMENTO!$X$15,ROW(AT380)-ROW(AT$15),0),
              ROUND(ROUND(OFFSET($P380,0,AT$13),15-13*ORÇAMENTO!$AF$7)*OFFSET(ORÇAMENTO!$W$15,ROW(AT380)-ROW(AT$15),0),15-13*ORÇAMENTO!$AF$11)),
         0)</f>
        <v>0</v>
      </c>
      <c r="AU380" s="453">
        <f ca="1">IF(AND($D380="Serviço",AU$12&lt;&gt;0,$H380&gt;0,OR(AUTOEVENTO&lt;&gt;"manual",$M380&lt;&gt;$A$15)),
        IF(Import.TipoArredondamento&lt;&gt;"TransfereGOV",
              ROUND(OFFSET($P380,0,AU$13),15-13*ORÇAMENTO!$AF$7)/$H380*OFFSET(ORÇAMENTO!$X$15,ROW(AU380)-ROW(AU$15),0),
              ROUND(ROUND(OFFSET($P380,0,AU$13),15-13*ORÇAMENTO!$AF$7)*OFFSET(ORÇAMENTO!$W$15,ROW(AU380)-ROW(AU$15),0),15-13*ORÇAMENTO!$AF$11)),
         0)</f>
        <v>0</v>
      </c>
      <c r="AV380" s="453">
        <f ca="1">IF(AND($D380="Serviço",AV$12&lt;&gt;0,$H380&gt;0,OR(AUTOEVENTO&lt;&gt;"manual",$M380&lt;&gt;$A$15)),
        IF(Import.TipoArredondamento&lt;&gt;"TransfereGOV",
              ROUND(OFFSET($P380,0,AV$13),15-13*ORÇAMENTO!$AF$7)/$H380*OFFSET(ORÇAMENTO!$X$15,ROW(AV380)-ROW(AV$15),0),
              ROUND(ROUND(OFFSET($P380,0,AV$13),15-13*ORÇAMENTO!$AF$7)*OFFSET(ORÇAMENTO!$W$15,ROW(AV380)-ROW(AV$15),0),15-13*ORÇAMENTO!$AF$11)),
         0)</f>
        <v>0</v>
      </c>
      <c r="AW380" s="453">
        <f ca="1">IF(AND($D380="Serviço",AW$12&lt;&gt;0,$H380&gt;0,OR(AUTOEVENTO&lt;&gt;"manual",$M380&lt;&gt;$A$15)),
        IF(Import.TipoArredondamento&lt;&gt;"TransfereGOV",
              ROUND(OFFSET($P380,0,AW$13),15-13*ORÇAMENTO!$AF$7)/$H380*OFFSET(ORÇAMENTO!$X$15,ROW(AW380)-ROW(AW$15),0),
              ROUND(ROUND(OFFSET($P380,0,AW$13),15-13*ORÇAMENTO!$AF$7)*OFFSET(ORÇAMENTO!$W$15,ROW(AW380)-ROW(AW$15),0),15-13*ORÇAMENTO!$AF$11)),
         0)</f>
        <v>0</v>
      </c>
      <c r="AX380" s="453">
        <f ca="1">IF(AND($D380="Serviço",AX$12&lt;&gt;0,$H380&gt;0,OR(AUTOEVENTO&lt;&gt;"manual",$M380&lt;&gt;$A$15)),
        IF(Import.TipoArredondamento&lt;&gt;"TransfereGOV",
              ROUND(OFFSET($P380,0,AX$13),15-13*ORÇAMENTO!$AF$7)/$H380*OFFSET(ORÇAMENTO!$X$15,ROW(AX380)-ROW(AX$15),0),
              ROUND(ROUND(OFFSET($P380,0,AX$13),15-13*ORÇAMENTO!$AF$7)*OFFSET(ORÇAMENTO!$W$15,ROW(AX380)-ROW(AX$15),0),15-13*ORÇAMENTO!$AF$11)),
         0)</f>
        <v>0</v>
      </c>
      <c r="AY380" s="453">
        <f ca="1">IF(AND($D380="Serviço",AY$12&lt;&gt;0,$H380&gt;0,OR(AUTOEVENTO&lt;&gt;"manual",$M380&lt;&gt;$A$15)),
        IF(Import.TipoArredondamento&lt;&gt;"TransfereGOV",
              ROUND(OFFSET($P380,0,AY$13),15-13*ORÇAMENTO!$AF$7)/$H380*OFFSET(ORÇAMENTO!$X$15,ROW(AY380)-ROW(AY$15),0),
              ROUND(ROUND(OFFSET($P380,0,AY$13),15-13*ORÇAMENTO!$AF$7)*OFFSET(ORÇAMENTO!$W$15,ROW(AY380)-ROW(AY$15),0),15-13*ORÇAMENTO!$AF$11)),
         0)</f>
        <v>0</v>
      </c>
      <c r="AZ380" s="453">
        <f ca="1">IF(AND($D380="Serviço",AZ$12&lt;&gt;0,$H380&gt;0,OR(AUTOEVENTO&lt;&gt;"manual",$M380&lt;&gt;$A$15)),
        IF(Import.TipoArredondamento&lt;&gt;"TransfereGOV",
              ROUND(OFFSET($P380,0,AZ$13),15-13*ORÇAMENTO!$AF$7)/$H380*OFFSET(ORÇAMENTO!$X$15,ROW(AZ380)-ROW(AZ$15),0),
              ROUND(ROUND(OFFSET($P380,0,AZ$13),15-13*ORÇAMENTO!$AF$7)*OFFSET(ORÇAMENTO!$W$15,ROW(AZ380)-ROW(AZ$15),0),15-13*ORÇAMENTO!$AF$11)),
         0)</f>
        <v>0</v>
      </c>
      <c r="BA380" s="453">
        <f ca="1">IF(AND($D380="Serviço",BA$12&lt;&gt;0,$H380&gt;0,OR(AUTOEVENTO&lt;&gt;"manual",$M380&lt;&gt;$A$15)),
        IF(Import.TipoArredondamento&lt;&gt;"TransfereGOV",
              ROUND(OFFSET($P380,0,BA$13),15-13*ORÇAMENTO!$AF$7)/$H380*OFFSET(ORÇAMENTO!$X$15,ROW(BA380)-ROW(BA$15),0),
              ROUND(ROUND(OFFSET($P380,0,BA$13),15-13*ORÇAMENTO!$AF$7)*OFFSET(ORÇAMENTO!$W$15,ROW(BA380)-ROW(BA$15),0),15-13*ORÇAMENTO!$AF$11)),
         0)</f>
        <v>0</v>
      </c>
      <c r="BC380" s="171">
        <f ca="1">IF(OR($D380&lt;&gt;"Serviço",AND(AUTOEVENTO="Manual",$M380=$A$15)),0,
         IF(OFFSET(CRONOPLE!$F$15,$M380-$A$15,BC$13)=0,10^12,OFFSET(CRONOPLE!$F$15,$M380-$A$15,BC$13)))</f>
        <v>1</v>
      </c>
      <c r="BD380" s="171">
        <f ca="1">IF(OR($D380&lt;&gt;"Serviço",AND(AUTOEVENTO="Manual",$M380=$A$15)),0,
         IF(OFFSET(CRONOPLE!$F$15,$M380-$A$15,BD$13)=0,10^12,OFFSET(CRONOPLE!$F$15,$M380-$A$15,BD$13)))</f>
        <v>2</v>
      </c>
      <c r="BE380" s="171">
        <f ca="1">IF(OR($D380&lt;&gt;"Serviço",AND(AUTOEVENTO="Manual",$M380=$A$15)),0,
         IF(OFFSET(CRONOPLE!$F$15,$M380-$A$15,BE$13)=0,10^12,OFFSET(CRONOPLE!$F$15,$M380-$A$15,BE$13)))</f>
        <v>3</v>
      </c>
      <c r="BF380" s="171">
        <f ca="1">IF(OR($D380&lt;&gt;"Serviço",AND(AUTOEVENTO="Manual",$M380=$A$15)),0,
         IF(OFFSET(CRONOPLE!$F$15,$M380-$A$15,BF$13)=0,10^12,OFFSET(CRONOPLE!$F$15,$M380-$A$15,BF$13)))</f>
        <v>4</v>
      </c>
      <c r="BG380" s="171">
        <f ca="1">IF(OR($D380&lt;&gt;"Serviço",AND(AUTOEVENTO="Manual",$M380=$A$15)),0,
         IF(OFFSET(CRONOPLE!$F$15,$M380-$A$15,BG$13)=0,10^12,OFFSET(CRONOPLE!$F$15,$M380-$A$15,BG$13)))</f>
        <v>5</v>
      </c>
      <c r="BH380" s="171">
        <f ca="1">IF(OR($D380&lt;&gt;"Serviço",AND(AUTOEVENTO="Manual",$M380=$A$15)),0,
         IF(OFFSET(CRONOPLE!$F$15,$M380-$A$15,BH$13)=0,10^12,OFFSET(CRONOPLE!$F$15,$M380-$A$15,BH$13)))</f>
        <v>6</v>
      </c>
      <c r="BI380" s="171">
        <f ca="1">IF(OR($D380&lt;&gt;"Serviço",AND(AUTOEVENTO="Manual",$M380=$A$15)),0,
         IF(OFFSET(CRONOPLE!$F$15,$M380-$A$15,BI$13)=0,10^12,OFFSET(CRONOPLE!$F$15,$M380-$A$15,BI$13)))</f>
        <v>7</v>
      </c>
      <c r="BJ380" s="171">
        <f ca="1">IF(OR($D380&lt;&gt;"Serviço",AND(AUTOEVENTO="Manual",$M380=$A$15)),0,
         IF(OFFSET(CRONOPLE!$F$15,$M380-$A$15,BJ$13)=0,10^12,OFFSET(CRONOPLE!$F$15,$M380-$A$15,BJ$13)))</f>
        <v>8</v>
      </c>
      <c r="BK380" s="171">
        <f ca="1">IF(OR($D380&lt;&gt;"Serviço",AND(AUTOEVENTO="Manual",$M380=$A$15)),0,
         IF(OFFSET(CRONOPLE!$F$15,$M380-$A$15,BK$13)=0,10^12,OFFSET(CRONOPLE!$F$15,$M380-$A$15,BK$13)))</f>
        <v>9</v>
      </c>
      <c r="BL380" s="171">
        <f ca="1">IF(OR($D380&lt;&gt;"Serviço",AND(AUTOEVENTO="Manual",$M380=$A$15)),0,
         IF(OFFSET(CRONOPLE!$F$15,$M380-$A$15,BL$13)=0,10^12,OFFSET(CRONOPLE!$F$15,$M380-$A$15,BL$13)))</f>
        <v>1000000000000</v>
      </c>
      <c r="BM380" s="171">
        <f ca="1">IF(OR($D380&lt;&gt;"Serviço",AND(AUTOEVENTO="Manual",$M380=$A$15)),0,
         IF(OFFSET(CRONOPLE!$F$15,$M380-$A$15,BM$13)=0,10^12,OFFSET(CRONOPLE!$F$15,$M380-$A$15,BM$13)))</f>
        <v>1000000000000</v>
      </c>
      <c r="BN380" s="171">
        <f ca="1">IF(OR($D380&lt;&gt;"Serviço",AND(AUTOEVENTO="Manual",$M380=$A$15)),0,
         IF(OFFSET(CRONOPLE!$F$15,$M380-$A$15,BN$13)=0,10^12,OFFSET(CRONOPLE!$F$15,$M380-$A$15,BN$13)))</f>
        <v>1000000000000</v>
      </c>
      <c r="BO380" s="171">
        <f ca="1">IF(OR($D380&lt;&gt;"Serviço",AND(AUTOEVENTO="Manual",$M380=$A$15)),0,
         IF(OFFSET(CRONOPLE!$F$15,$M380-$A$15,BO$13)=0,10^12,OFFSET(CRONOPLE!$F$15,$M380-$A$15,BO$13)))</f>
        <v>1000000000000</v>
      </c>
      <c r="BP380" s="171">
        <f ca="1">IF(OR($D380&lt;&gt;"Serviço",AND(AUTOEVENTO="Manual",$M380=$A$15)),0,
         IF(OFFSET(CRONOPLE!$F$15,$M380-$A$15,BP$13)=0,10^12,OFFSET(CRONOPLE!$F$15,$M380-$A$15,BP$13)))</f>
        <v>1000000000000</v>
      </c>
      <c r="BQ380" s="171">
        <f ca="1">IF(OR($D380&lt;&gt;"Serviço",AND(AUTOEVENTO="Manual",$M380=$A$15)),0,
         IF(OFFSET(CRONOPLE!$F$15,$M380-$A$15,BQ$13)=0,10^12,OFFSET(CRONOPLE!$F$15,$M380-$A$15,BQ$13)))</f>
        <v>1000000000000</v>
      </c>
      <c r="BR380" s="171">
        <f ca="1">IF(OR($D380&lt;&gt;"Serviço",AND(AUTOEVENTO="Manual",$M380=$A$15)),0,
         IF(OFFSET(CRONOPLE!$F$15,$M380-$A$15,BR$13)=0,10^12,OFFSET(CRONOPLE!$F$15,$M380-$A$15,BR$13)))</f>
        <v>1000000000000</v>
      </c>
      <c r="BS380" s="171">
        <f ca="1">IF(OR($D380&lt;&gt;"Serviço",AND(AUTOEVENTO="Manual",$M380=$A$15)),0,
         IF(OFFSET(CRONOPLE!$F$15,$M380-$A$15,BS$13)=0,10^12,OFFSET(CRONOPLE!$F$15,$M380-$A$15,BS$13)))</f>
        <v>1000000000000</v>
      </c>
      <c r="BT380" s="171">
        <f ca="1">IF(OR($D380&lt;&gt;"Serviço",AND(AUTOEVENTO="Manual",$M380=$A$15)),0,
         IF(OFFSET(CRONOPLE!$F$15,$M380-$A$15,BT$13)=0,10^12,OFFSET(CRONOPLE!$F$15,$M380-$A$15,BT$13)))</f>
        <v>1000000000000</v>
      </c>
      <c r="BV380" s="172">
        <f ca="1">IF(OR($D380&lt;&gt;"Serviço",AND(AUTOEVENTO="Manual",$M380=$A$15),$M380&gt;(ROW(PLE.lastrow)-ROW(PLE.firstrow))),0,
           IF(OFFSET(PLE!$G$15,$M380-$A$15,BV$13)="",10^12,OFFSET(PLE!$G$15,$M380-$A$15,BV$13)))</f>
        <v>1000000000000</v>
      </c>
      <c r="BW380" s="172">
        <f ca="1">IF(OR($D380&lt;&gt;"Serviço",AND(AUTOEVENTO="Manual",$M380=$A$15),$M380&gt;(ROW(PLE.lastrow)-ROW(PLE.firstrow))),0,
           IF(OFFSET(PLE!$G$15,$M380-$A$15,BW$13)="",10^12,OFFSET(PLE!$G$15,$M380-$A$15,BW$13)))</f>
        <v>1000000000000</v>
      </c>
      <c r="BX380" s="172">
        <f ca="1">IF(OR($D380&lt;&gt;"Serviço",AND(AUTOEVENTO="Manual",$M380=$A$15),$M380&gt;(ROW(PLE.lastrow)-ROW(PLE.firstrow))),0,
           IF(OFFSET(PLE!$G$15,$M380-$A$15,BX$13)="",10^12,OFFSET(PLE!$G$15,$M380-$A$15,BX$13)))</f>
        <v>1000000000000</v>
      </c>
      <c r="BY380" s="172">
        <f ca="1">IF(OR($D380&lt;&gt;"Serviço",AND(AUTOEVENTO="Manual",$M380=$A$15),$M380&gt;(ROW(PLE.lastrow)-ROW(PLE.firstrow))),0,
           IF(OFFSET(PLE!$G$15,$M380-$A$15,BY$13)="",10^12,OFFSET(PLE!$G$15,$M380-$A$15,BY$13)))</f>
        <v>1000000000000</v>
      </c>
      <c r="BZ380" s="172">
        <f ca="1">IF(OR($D380&lt;&gt;"Serviço",AND(AUTOEVENTO="Manual",$M380=$A$15),$M380&gt;(ROW(PLE.lastrow)-ROW(PLE.firstrow))),0,
           IF(OFFSET(PLE!$G$15,$M380-$A$15,BZ$13)="",10^12,OFFSET(PLE!$G$15,$M380-$A$15,BZ$13)))</f>
        <v>1000000000000</v>
      </c>
      <c r="CA380" s="172">
        <f ca="1">IF(OR($D380&lt;&gt;"Serviço",AND(AUTOEVENTO="Manual",$M380=$A$15),$M380&gt;(ROW(PLE.lastrow)-ROW(PLE.firstrow))),0,
           IF(OFFSET(PLE!$G$15,$M380-$A$15,CA$13)="",10^12,OFFSET(PLE!$G$15,$M380-$A$15,CA$13)))</f>
        <v>1000000000000</v>
      </c>
      <c r="CB380" s="172">
        <f ca="1">IF(OR($D380&lt;&gt;"Serviço",AND(AUTOEVENTO="Manual",$M380=$A$15),$M380&gt;(ROW(PLE.lastrow)-ROW(PLE.firstrow))),0,
           IF(OFFSET(PLE!$G$15,$M380-$A$15,CB$13)="",10^12,OFFSET(PLE!$G$15,$M380-$A$15,CB$13)))</f>
        <v>1000000000000</v>
      </c>
      <c r="CC380" s="172">
        <f ca="1">IF(OR($D380&lt;&gt;"Serviço",AND(AUTOEVENTO="Manual",$M380=$A$15),$M380&gt;(ROW(PLE.lastrow)-ROW(PLE.firstrow))),0,
           IF(OFFSET(PLE!$G$15,$M380-$A$15,CC$13)="",10^12,OFFSET(PLE!$G$15,$M380-$A$15,CC$13)))</f>
        <v>1000000000000</v>
      </c>
      <c r="CD380" s="172">
        <f ca="1">IF(OR($D380&lt;&gt;"Serviço",AND(AUTOEVENTO="Manual",$M380=$A$15),$M380&gt;(ROW(PLE.lastrow)-ROW(PLE.firstrow))),0,
           IF(OFFSET(PLE!$G$15,$M380-$A$15,CD$13)="",10^12,OFFSET(PLE!$G$15,$M380-$A$15,CD$13)))</f>
        <v>1000000000000</v>
      </c>
      <c r="CE380" s="172">
        <f ca="1">IF(OR($D380&lt;&gt;"Serviço",AND(AUTOEVENTO="Manual",$M380=$A$15),$M380&gt;(ROW(PLE.lastrow)-ROW(PLE.firstrow))),0,
           IF(OFFSET(PLE!$G$15,$M380-$A$15,CE$13)="",10^12,OFFSET(PLE!$G$15,$M380-$A$15,CE$13)))</f>
        <v>1000000000000</v>
      </c>
      <c r="CF380" s="172">
        <f ca="1">IF(OR($D380&lt;&gt;"Serviço",AND(AUTOEVENTO="Manual",$M380=$A$15),$M380&gt;(ROW(PLE.lastrow)-ROW(PLE.firstrow))),0,
           IF(OFFSET(PLE!$G$15,$M380-$A$15,CF$13)="",10^12,OFFSET(PLE!$G$15,$M380-$A$15,CF$13)))</f>
        <v>1000000000000</v>
      </c>
      <c r="CG380" s="172">
        <f ca="1">IF(OR($D380&lt;&gt;"Serviço",AND(AUTOEVENTO="Manual",$M380=$A$15),$M380&gt;(ROW(PLE.lastrow)-ROW(PLE.firstrow))),0,
           IF(OFFSET(PLE!$G$15,$M380-$A$15,CG$13)="",10^12,OFFSET(PLE!$G$15,$M380-$A$15,CG$13)))</f>
        <v>1000000000000</v>
      </c>
      <c r="CH380" s="172">
        <f ca="1">IF(OR($D380&lt;&gt;"Serviço",AND(AUTOEVENTO="Manual",$M380=$A$15),$M380&gt;(ROW(PLE.lastrow)-ROW(PLE.firstrow))),0,
           IF(OFFSET(PLE!$G$15,$M380-$A$15,CH$13)="",10^12,OFFSET(PLE!$G$15,$M380-$A$15,CH$13)))</f>
        <v>1000000000000</v>
      </c>
      <c r="CI380" s="172">
        <f ca="1">IF(OR($D380&lt;&gt;"Serviço",AND(AUTOEVENTO="Manual",$M380=$A$15),$M380&gt;(ROW(PLE.lastrow)-ROW(PLE.firstrow))),0,
           IF(OFFSET(PLE!$G$15,$M380-$A$15,CI$13)="",10^12,OFFSET(PLE!$G$15,$M380-$A$15,CI$13)))</f>
        <v>1000000000000</v>
      </c>
      <c r="CJ380" s="172">
        <f ca="1">IF(OR($D380&lt;&gt;"Serviço",AND(AUTOEVENTO="Manual",$M380=$A$15),$M380&gt;(ROW(PLE.lastrow)-ROW(PLE.firstrow))),0,
           IF(OFFSET(PLE!$G$15,$M380-$A$15,CJ$13)="",10^12,OFFSET(PLE!$G$15,$M380-$A$15,CJ$13)))</f>
        <v>1000000000000</v>
      </c>
      <c r="CK380" s="172">
        <f ca="1">IF(OR($D380&lt;&gt;"Serviço",AND(AUTOEVENTO="Manual",$M380=$A$15),$M380&gt;(ROW(PLE.lastrow)-ROW(PLE.firstrow))),0,
           IF(OFFSET(PLE!$G$15,$M380-$A$15,CK$13)="",10^12,OFFSET(PLE!$G$15,$M380-$A$15,CK$13)))</f>
        <v>1000000000000</v>
      </c>
      <c r="CL380" s="172">
        <f ca="1">IF(OR($D380&lt;&gt;"Serviço",AND(AUTOEVENTO="Manual",$M380=$A$15),$M380&gt;(ROW(PLE.lastrow)-ROW(PLE.firstrow))),0,
           IF(OFFSET(PLE!$G$15,$M380-$A$15,CL$13)="",10^12,OFFSET(PLE!$G$15,$M380-$A$15,CL$13)))</f>
        <v>1000000000000</v>
      </c>
      <c r="CM380" s="172">
        <f ca="1">IF(OR($D380&lt;&gt;"Serviço",AND(AUTOEVENTO="Manual",$M380=$A$15),$M380&gt;(ROW(PLE.lastrow)-ROW(PLE.firstrow))),0,
           IF(OFFSET(PLE!$G$15,$M380-$A$15,CM$13)="",10^12,OFFSET(PLE!$G$15,$M380-$A$15,CM$13)))</f>
        <v>1000000000000</v>
      </c>
    </row>
    <row r="381" spans="1:91" ht="38.25" x14ac:dyDescent="0.2">
      <c r="A381" s="7">
        <f t="shared" ca="1" si="15"/>
        <v>7</v>
      </c>
      <c r="B381" s="7" t="str">
        <f ca="1">OFFSET(ORÇAMENTO!C$15,ROW(B381)-ROW(B$15),0)</f>
        <v>S</v>
      </c>
      <c r="C381" s="7" t="str">
        <f ca="1">OFFSET(ORÇAMENTO!L$15,ROW(C381)-ROW(C$15),0)</f>
        <v>F</v>
      </c>
      <c r="D381" s="116" t="str">
        <f ca="1">OFFSET(ORÇAMENTO!N$15,ROW(D381)-ROW(D$15),0)</f>
        <v>Serviço</v>
      </c>
      <c r="E381" s="117" t="str">
        <f ca="1">OFFSET(ORÇAMENTO!O$15,ROW(E381)-ROW(E$15),0)</f>
        <v>1.8.1.4.4.</v>
      </c>
      <c r="F381" s="163" t="str">
        <f ca="1">OFFSET(ORÇAMENTO!R$15,ROW(F381)-ROW(F$15),0)</f>
        <v xml:space="preserve">DISJUNTOR MOTOR, FAIXA DE AJUSTE: 4-6,3A, ICU: 50KA EM 380/400V - BASEADO EM </v>
      </c>
      <c r="G381" s="164" t="str">
        <f ca="1">IF($D381&lt;&gt;"Serviço","",OFFSET(ORÇAMENTO!S$15,ROW(G381)-ROW(G$15),0))</f>
        <v>UN</v>
      </c>
      <c r="H381" s="122" cm="1">
        <f t="array" aca="1" ref="H381" ca="1">IF($D381&lt;&gt;"Serviço",0,IF(ACOMPANHAMENTO="BM",ROUND(OFFSET(ORÇAMENTO!AJ$15,ROW(H381)-ROW(H$15),0),15-13*ORÇAMENTO!$AF$7),SUMPRODUCT(($Q$1:$AI$1=1)*ROUND($Q381:$AI381,15-13*ORÇAMENTO!$AF$7))))</f>
        <v>1</v>
      </c>
      <c r="I381" s="468" t="s">
        <v>1431</v>
      </c>
      <c r="J381" s="640" t="str" cm="1">
        <f t="array" aca="1" ref="J381" ca="1">IF(OR(B381&lt;&gt;"S",CÁLCULO.FrentesPreenchidas=0),"",IF(AND(ACOMPANHAMENTO="PLE",AUTOEVENTO="Manual",OR(H381&gt;0,ORÇAMENTO!AC381="QUANT."),OR(K381="",M381=0,N381="")),"►E",IF(AND(ACOMPANHAMENTO="PLE",ORÇAMENTO!AC381="QUANT."),"►Q",IF(AND(ACOMPANHAMENTO="PLE",H381&lt;&gt;SUMPRODUCT(($Q$1:$AI$1=1)*ROUND(Q381:AI381,15))),"►S",IF(AND(COUNTIF($P$11:$AI$11,"▼")=0,H381&gt;0,I381=""),"◄M","")))))</f>
        <v/>
      </c>
      <c r="K381" s="641" t="s">
        <v>1391</v>
      </c>
      <c r="L381" s="165" t="s">
        <v>764</v>
      </c>
      <c r="M381" s="166">
        <f ca="1">IF($D381&lt;&gt;"Serviço","",
          IF(AUTOEVENTO="manual",$A381,
                IF(ISERROR(MATCH($A381,$A$15:OFFSET($A381,-1,0),0)),MAX($M$15:OFFSET(M381,-1,0))+1,
                      INDEX($M$15:OFFSET(M381,-1,0),MATCH($A381,$A$15:OFFSET($A381,-1,0),0)))))</f>
        <v>7</v>
      </c>
      <c r="N381" s="167" t="str">
        <f ca="1">IF($D381&lt;&gt;"Serviço","",
         IF(AUTOEVENTO="Manual",
                IF($A381=0,"&lt;-- defina o número do agrupador",
                       OFFSET(EVENTOS!$D$15,$A381-$A$15,0)),
                OFFSET($F$15,$A381,0)))</f>
        <v>Instalações Elétricas</v>
      </c>
      <c r="O381" s="168"/>
      <c r="Q381" s="168"/>
      <c r="R381" s="169"/>
      <c r="S381" s="169"/>
      <c r="T381" s="169"/>
      <c r="U381" s="169"/>
      <c r="V381" s="169"/>
      <c r="W381" s="169"/>
      <c r="X381" s="169">
        <v>1</v>
      </c>
      <c r="Y381" s="169"/>
      <c r="Z381" s="170"/>
      <c r="AA381" s="169"/>
      <c r="AB381" s="169"/>
      <c r="AC381" s="169"/>
      <c r="AD381" s="169"/>
      <c r="AE381" s="169"/>
      <c r="AF381" s="169"/>
      <c r="AG381" s="169"/>
      <c r="AH381" s="170"/>
      <c r="AJ381" s="453">
        <f ca="1">IF(AND($D381="Serviço",AJ$12&lt;&gt;0,$H381&gt;0,OR(AUTOEVENTO&lt;&gt;"manual",$M381&lt;&gt;$A$15)),
        IF(Import.TipoArredondamento&lt;&gt;"TransfereGOV",
              ROUND(OFFSET($P381,0,AJ$13),15-13*ORÇAMENTO!$AF$7)/$H381*OFFSET(ORÇAMENTO!$X$15,ROW(AJ381)-ROW(AJ$15),0),
              ROUND(ROUND(OFFSET($P381,0,AJ$13),15-13*ORÇAMENTO!$AF$7)*OFFSET(ORÇAMENTO!$W$15,ROW(AJ381)-ROW(AJ$15),0),15-13*ORÇAMENTO!$AF$11)),
         0)</f>
        <v>0</v>
      </c>
      <c r="AK381" s="453">
        <f ca="1">IF(AND($D381="Serviço",AK$12&lt;&gt;0,$H381&gt;0,OR(AUTOEVENTO&lt;&gt;"manual",$M381&lt;&gt;$A$15)),
        IF(Import.TipoArredondamento&lt;&gt;"TransfereGOV",
              ROUND(OFFSET($P381,0,AK$13),15-13*ORÇAMENTO!$AF$7)/$H381*OFFSET(ORÇAMENTO!$X$15,ROW(AK381)-ROW(AK$15),0),
              ROUND(ROUND(OFFSET($P381,0,AK$13),15-13*ORÇAMENTO!$AF$7)*OFFSET(ORÇAMENTO!$W$15,ROW(AK381)-ROW(AK$15),0),15-13*ORÇAMENTO!$AF$11)),
         0)</f>
        <v>0</v>
      </c>
      <c r="AL381" s="453">
        <f ca="1">IF(AND($D381="Serviço",AL$12&lt;&gt;0,$H381&gt;0,OR(AUTOEVENTO&lt;&gt;"manual",$M381&lt;&gt;$A$15)),
        IF(Import.TipoArredondamento&lt;&gt;"TransfereGOV",
              ROUND(OFFSET($P381,0,AL$13),15-13*ORÇAMENTO!$AF$7)/$H381*OFFSET(ORÇAMENTO!$X$15,ROW(AL381)-ROW(AL$15),0),
              ROUND(ROUND(OFFSET($P381,0,AL$13),15-13*ORÇAMENTO!$AF$7)*OFFSET(ORÇAMENTO!$W$15,ROW(AL381)-ROW(AL$15),0),15-13*ORÇAMENTO!$AF$11)),
         0)</f>
        <v>0</v>
      </c>
      <c r="AM381" s="453">
        <f ca="1">IF(AND($D381="Serviço",AM$12&lt;&gt;0,$H381&gt;0,OR(AUTOEVENTO&lt;&gt;"manual",$M381&lt;&gt;$A$15)),
        IF(Import.TipoArredondamento&lt;&gt;"TransfereGOV",
              ROUND(OFFSET($P381,0,AM$13),15-13*ORÇAMENTO!$AF$7)/$H381*OFFSET(ORÇAMENTO!$X$15,ROW(AM381)-ROW(AM$15),0),
              ROUND(ROUND(OFFSET($P381,0,AM$13),15-13*ORÇAMENTO!$AF$7)*OFFSET(ORÇAMENTO!$W$15,ROW(AM381)-ROW(AM$15),0),15-13*ORÇAMENTO!$AF$11)),
         0)</f>
        <v>0</v>
      </c>
      <c r="AN381" s="453">
        <f ca="1">IF(AND($D381="Serviço",AN$12&lt;&gt;0,$H381&gt;0,OR(AUTOEVENTO&lt;&gt;"manual",$M381&lt;&gt;$A$15)),
        IF(Import.TipoArredondamento&lt;&gt;"TransfereGOV",
              ROUND(OFFSET($P381,0,AN$13),15-13*ORÇAMENTO!$AF$7)/$H381*OFFSET(ORÇAMENTO!$X$15,ROW(AN381)-ROW(AN$15),0),
              ROUND(ROUND(OFFSET($P381,0,AN$13),15-13*ORÇAMENTO!$AF$7)*OFFSET(ORÇAMENTO!$W$15,ROW(AN381)-ROW(AN$15),0),15-13*ORÇAMENTO!$AF$11)),
         0)</f>
        <v>0</v>
      </c>
      <c r="AO381" s="453">
        <f ca="1">IF(AND($D381="Serviço",AO$12&lt;&gt;0,$H381&gt;0,OR(AUTOEVENTO&lt;&gt;"manual",$M381&lt;&gt;$A$15)),
        IF(Import.TipoArredondamento&lt;&gt;"TransfereGOV",
              ROUND(OFFSET($P381,0,AO$13),15-13*ORÇAMENTO!$AF$7)/$H381*OFFSET(ORÇAMENTO!$X$15,ROW(AO381)-ROW(AO$15),0),
              ROUND(ROUND(OFFSET($P381,0,AO$13),15-13*ORÇAMENTO!$AF$7)*OFFSET(ORÇAMENTO!$W$15,ROW(AO381)-ROW(AO$15),0),15-13*ORÇAMENTO!$AF$11)),
         0)</f>
        <v>0</v>
      </c>
      <c r="AP381" s="453">
        <f ca="1">IF(AND($D381="Serviço",AP$12&lt;&gt;0,$H381&gt;0,OR(AUTOEVENTO&lt;&gt;"manual",$M381&lt;&gt;$A$15)),
        IF(Import.TipoArredondamento&lt;&gt;"TransfereGOV",
              ROUND(OFFSET($P381,0,AP$13),15-13*ORÇAMENTO!$AF$7)/$H381*OFFSET(ORÇAMENTO!$X$15,ROW(AP381)-ROW(AP$15),0),
              ROUND(ROUND(OFFSET($P381,0,AP$13),15-13*ORÇAMENTO!$AF$7)*OFFSET(ORÇAMENTO!$W$15,ROW(AP381)-ROW(AP$15),0),15-13*ORÇAMENTO!$AF$11)),
         0)</f>
        <v>0</v>
      </c>
      <c r="AQ381" s="453">
        <f ca="1">IF(AND($D381="Serviço",AQ$12&lt;&gt;0,$H381&gt;0,OR(AUTOEVENTO&lt;&gt;"manual",$M381&lt;&gt;$A$15)),
        IF(Import.TipoArredondamento&lt;&gt;"TransfereGOV",
              ROUND(OFFSET($P381,0,AQ$13),15-13*ORÇAMENTO!$AF$7)/$H381*OFFSET(ORÇAMENTO!$X$15,ROW(AQ381)-ROW(AQ$15),0),
              ROUND(ROUND(OFFSET($P381,0,AQ$13),15-13*ORÇAMENTO!$AF$7)*OFFSET(ORÇAMENTO!$W$15,ROW(AQ381)-ROW(AQ$15),0),15-13*ORÇAMENTO!$AF$11)),
         0)</f>
        <v>0</v>
      </c>
      <c r="AR381" s="453">
        <f ca="1">IF(AND($D381="Serviço",AR$12&lt;&gt;0,$H381&gt;0,OR(AUTOEVENTO&lt;&gt;"manual",$M381&lt;&gt;$A$15)),
        IF(Import.TipoArredondamento&lt;&gt;"TransfereGOV",
              ROUND(OFFSET($P381,0,AR$13),15-13*ORÇAMENTO!$AF$7)/$H381*OFFSET(ORÇAMENTO!$X$15,ROW(AR381)-ROW(AR$15),0),
              ROUND(ROUND(OFFSET($P381,0,AR$13),15-13*ORÇAMENTO!$AF$7)*OFFSET(ORÇAMENTO!$W$15,ROW(AR381)-ROW(AR$15),0),15-13*ORÇAMENTO!$AF$11)),
         0)</f>
        <v>0</v>
      </c>
      <c r="AS381" s="453">
        <f ca="1">IF(AND($D381="Serviço",AS$12&lt;&gt;0,$H381&gt;0,OR(AUTOEVENTO&lt;&gt;"manual",$M381&lt;&gt;$A$15)),
        IF(Import.TipoArredondamento&lt;&gt;"TransfereGOV",
              ROUND(OFFSET($P381,0,AS$13),15-13*ORÇAMENTO!$AF$7)/$H381*OFFSET(ORÇAMENTO!$X$15,ROW(AS381)-ROW(AS$15),0),
              ROUND(ROUND(OFFSET($P381,0,AS$13),15-13*ORÇAMENTO!$AF$7)*OFFSET(ORÇAMENTO!$W$15,ROW(AS381)-ROW(AS$15),0),15-13*ORÇAMENTO!$AF$11)),
         0)</f>
        <v>0</v>
      </c>
      <c r="AT381" s="453">
        <f ca="1">IF(AND($D381="Serviço",AT$12&lt;&gt;0,$H381&gt;0,OR(AUTOEVENTO&lt;&gt;"manual",$M381&lt;&gt;$A$15)),
        IF(Import.TipoArredondamento&lt;&gt;"TransfereGOV",
              ROUND(OFFSET($P381,0,AT$13),15-13*ORÇAMENTO!$AF$7)/$H381*OFFSET(ORÇAMENTO!$X$15,ROW(AT381)-ROW(AT$15),0),
              ROUND(ROUND(OFFSET($P381,0,AT$13),15-13*ORÇAMENTO!$AF$7)*OFFSET(ORÇAMENTO!$W$15,ROW(AT381)-ROW(AT$15),0),15-13*ORÇAMENTO!$AF$11)),
         0)</f>
        <v>0</v>
      </c>
      <c r="AU381" s="453">
        <f ca="1">IF(AND($D381="Serviço",AU$12&lt;&gt;0,$H381&gt;0,OR(AUTOEVENTO&lt;&gt;"manual",$M381&lt;&gt;$A$15)),
        IF(Import.TipoArredondamento&lt;&gt;"TransfereGOV",
              ROUND(OFFSET($P381,0,AU$13),15-13*ORÇAMENTO!$AF$7)/$H381*OFFSET(ORÇAMENTO!$X$15,ROW(AU381)-ROW(AU$15),0),
              ROUND(ROUND(OFFSET($P381,0,AU$13),15-13*ORÇAMENTO!$AF$7)*OFFSET(ORÇAMENTO!$W$15,ROW(AU381)-ROW(AU$15),0),15-13*ORÇAMENTO!$AF$11)),
         0)</f>
        <v>0</v>
      </c>
      <c r="AV381" s="453">
        <f ca="1">IF(AND($D381="Serviço",AV$12&lt;&gt;0,$H381&gt;0,OR(AUTOEVENTO&lt;&gt;"manual",$M381&lt;&gt;$A$15)),
        IF(Import.TipoArredondamento&lt;&gt;"TransfereGOV",
              ROUND(OFFSET($P381,0,AV$13),15-13*ORÇAMENTO!$AF$7)/$H381*OFFSET(ORÇAMENTO!$X$15,ROW(AV381)-ROW(AV$15),0),
              ROUND(ROUND(OFFSET($P381,0,AV$13),15-13*ORÇAMENTO!$AF$7)*OFFSET(ORÇAMENTO!$W$15,ROW(AV381)-ROW(AV$15),0),15-13*ORÇAMENTO!$AF$11)),
         0)</f>
        <v>0</v>
      </c>
      <c r="AW381" s="453">
        <f ca="1">IF(AND($D381="Serviço",AW$12&lt;&gt;0,$H381&gt;0,OR(AUTOEVENTO&lt;&gt;"manual",$M381&lt;&gt;$A$15)),
        IF(Import.TipoArredondamento&lt;&gt;"TransfereGOV",
              ROUND(OFFSET($P381,0,AW$13),15-13*ORÇAMENTO!$AF$7)/$H381*OFFSET(ORÇAMENTO!$X$15,ROW(AW381)-ROW(AW$15),0),
              ROUND(ROUND(OFFSET($P381,0,AW$13),15-13*ORÇAMENTO!$AF$7)*OFFSET(ORÇAMENTO!$W$15,ROW(AW381)-ROW(AW$15),0),15-13*ORÇAMENTO!$AF$11)),
         0)</f>
        <v>0</v>
      </c>
      <c r="AX381" s="453">
        <f ca="1">IF(AND($D381="Serviço",AX$12&lt;&gt;0,$H381&gt;0,OR(AUTOEVENTO&lt;&gt;"manual",$M381&lt;&gt;$A$15)),
        IF(Import.TipoArredondamento&lt;&gt;"TransfereGOV",
              ROUND(OFFSET($P381,0,AX$13),15-13*ORÇAMENTO!$AF$7)/$H381*OFFSET(ORÇAMENTO!$X$15,ROW(AX381)-ROW(AX$15),0),
              ROUND(ROUND(OFFSET($P381,0,AX$13),15-13*ORÇAMENTO!$AF$7)*OFFSET(ORÇAMENTO!$W$15,ROW(AX381)-ROW(AX$15),0),15-13*ORÇAMENTO!$AF$11)),
         0)</f>
        <v>0</v>
      </c>
      <c r="AY381" s="453">
        <f ca="1">IF(AND($D381="Serviço",AY$12&lt;&gt;0,$H381&gt;0,OR(AUTOEVENTO&lt;&gt;"manual",$M381&lt;&gt;$A$15)),
        IF(Import.TipoArredondamento&lt;&gt;"TransfereGOV",
              ROUND(OFFSET($P381,0,AY$13),15-13*ORÇAMENTO!$AF$7)/$H381*OFFSET(ORÇAMENTO!$X$15,ROW(AY381)-ROW(AY$15),0),
              ROUND(ROUND(OFFSET($P381,0,AY$13),15-13*ORÇAMENTO!$AF$7)*OFFSET(ORÇAMENTO!$W$15,ROW(AY381)-ROW(AY$15),0),15-13*ORÇAMENTO!$AF$11)),
         0)</f>
        <v>0</v>
      </c>
      <c r="AZ381" s="453">
        <f ca="1">IF(AND($D381="Serviço",AZ$12&lt;&gt;0,$H381&gt;0,OR(AUTOEVENTO&lt;&gt;"manual",$M381&lt;&gt;$A$15)),
        IF(Import.TipoArredondamento&lt;&gt;"TransfereGOV",
              ROUND(OFFSET($P381,0,AZ$13),15-13*ORÇAMENTO!$AF$7)/$H381*OFFSET(ORÇAMENTO!$X$15,ROW(AZ381)-ROW(AZ$15),0),
              ROUND(ROUND(OFFSET($P381,0,AZ$13),15-13*ORÇAMENTO!$AF$7)*OFFSET(ORÇAMENTO!$W$15,ROW(AZ381)-ROW(AZ$15),0),15-13*ORÇAMENTO!$AF$11)),
         0)</f>
        <v>0</v>
      </c>
      <c r="BA381" s="453">
        <f ca="1">IF(AND($D381="Serviço",BA$12&lt;&gt;0,$H381&gt;0,OR(AUTOEVENTO&lt;&gt;"manual",$M381&lt;&gt;$A$15)),
        IF(Import.TipoArredondamento&lt;&gt;"TransfereGOV",
              ROUND(OFFSET($P381,0,BA$13),15-13*ORÇAMENTO!$AF$7)/$H381*OFFSET(ORÇAMENTO!$X$15,ROW(BA381)-ROW(BA$15),0),
              ROUND(ROUND(OFFSET($P381,0,BA$13),15-13*ORÇAMENTO!$AF$7)*OFFSET(ORÇAMENTO!$W$15,ROW(BA381)-ROW(BA$15),0),15-13*ORÇAMENTO!$AF$11)),
         0)</f>
        <v>0</v>
      </c>
      <c r="BC381" s="171">
        <f ca="1">IF(OR($D381&lt;&gt;"Serviço",AND(AUTOEVENTO="Manual",$M381=$A$15)),0,
         IF(OFFSET(CRONOPLE!$F$15,$M381-$A$15,BC$13)=0,10^12,OFFSET(CRONOPLE!$F$15,$M381-$A$15,BC$13)))</f>
        <v>1</v>
      </c>
      <c r="BD381" s="171">
        <f ca="1">IF(OR($D381&lt;&gt;"Serviço",AND(AUTOEVENTO="Manual",$M381=$A$15)),0,
         IF(OFFSET(CRONOPLE!$F$15,$M381-$A$15,BD$13)=0,10^12,OFFSET(CRONOPLE!$F$15,$M381-$A$15,BD$13)))</f>
        <v>2</v>
      </c>
      <c r="BE381" s="171">
        <f ca="1">IF(OR($D381&lt;&gt;"Serviço",AND(AUTOEVENTO="Manual",$M381=$A$15)),0,
         IF(OFFSET(CRONOPLE!$F$15,$M381-$A$15,BE$13)=0,10^12,OFFSET(CRONOPLE!$F$15,$M381-$A$15,BE$13)))</f>
        <v>3</v>
      </c>
      <c r="BF381" s="171">
        <f ca="1">IF(OR($D381&lt;&gt;"Serviço",AND(AUTOEVENTO="Manual",$M381=$A$15)),0,
         IF(OFFSET(CRONOPLE!$F$15,$M381-$A$15,BF$13)=0,10^12,OFFSET(CRONOPLE!$F$15,$M381-$A$15,BF$13)))</f>
        <v>4</v>
      </c>
      <c r="BG381" s="171">
        <f ca="1">IF(OR($D381&lt;&gt;"Serviço",AND(AUTOEVENTO="Manual",$M381=$A$15)),0,
         IF(OFFSET(CRONOPLE!$F$15,$M381-$A$15,BG$13)=0,10^12,OFFSET(CRONOPLE!$F$15,$M381-$A$15,BG$13)))</f>
        <v>5</v>
      </c>
      <c r="BH381" s="171">
        <f ca="1">IF(OR($D381&lt;&gt;"Serviço",AND(AUTOEVENTO="Manual",$M381=$A$15)),0,
         IF(OFFSET(CRONOPLE!$F$15,$M381-$A$15,BH$13)=0,10^12,OFFSET(CRONOPLE!$F$15,$M381-$A$15,BH$13)))</f>
        <v>6</v>
      </c>
      <c r="BI381" s="171">
        <f ca="1">IF(OR($D381&lt;&gt;"Serviço",AND(AUTOEVENTO="Manual",$M381=$A$15)),0,
         IF(OFFSET(CRONOPLE!$F$15,$M381-$A$15,BI$13)=0,10^12,OFFSET(CRONOPLE!$F$15,$M381-$A$15,BI$13)))</f>
        <v>7</v>
      </c>
      <c r="BJ381" s="171">
        <f ca="1">IF(OR($D381&lt;&gt;"Serviço",AND(AUTOEVENTO="Manual",$M381=$A$15)),0,
         IF(OFFSET(CRONOPLE!$F$15,$M381-$A$15,BJ$13)=0,10^12,OFFSET(CRONOPLE!$F$15,$M381-$A$15,BJ$13)))</f>
        <v>8</v>
      </c>
      <c r="BK381" s="171">
        <f ca="1">IF(OR($D381&lt;&gt;"Serviço",AND(AUTOEVENTO="Manual",$M381=$A$15)),0,
         IF(OFFSET(CRONOPLE!$F$15,$M381-$A$15,BK$13)=0,10^12,OFFSET(CRONOPLE!$F$15,$M381-$A$15,BK$13)))</f>
        <v>9</v>
      </c>
      <c r="BL381" s="171">
        <f ca="1">IF(OR($D381&lt;&gt;"Serviço",AND(AUTOEVENTO="Manual",$M381=$A$15)),0,
         IF(OFFSET(CRONOPLE!$F$15,$M381-$A$15,BL$13)=0,10^12,OFFSET(CRONOPLE!$F$15,$M381-$A$15,BL$13)))</f>
        <v>1000000000000</v>
      </c>
      <c r="BM381" s="171">
        <f ca="1">IF(OR($D381&lt;&gt;"Serviço",AND(AUTOEVENTO="Manual",$M381=$A$15)),0,
         IF(OFFSET(CRONOPLE!$F$15,$M381-$A$15,BM$13)=0,10^12,OFFSET(CRONOPLE!$F$15,$M381-$A$15,BM$13)))</f>
        <v>1000000000000</v>
      </c>
      <c r="BN381" s="171">
        <f ca="1">IF(OR($D381&lt;&gt;"Serviço",AND(AUTOEVENTO="Manual",$M381=$A$15)),0,
         IF(OFFSET(CRONOPLE!$F$15,$M381-$A$15,BN$13)=0,10^12,OFFSET(CRONOPLE!$F$15,$M381-$A$15,BN$13)))</f>
        <v>1000000000000</v>
      </c>
      <c r="BO381" s="171">
        <f ca="1">IF(OR($D381&lt;&gt;"Serviço",AND(AUTOEVENTO="Manual",$M381=$A$15)),0,
         IF(OFFSET(CRONOPLE!$F$15,$M381-$A$15,BO$13)=0,10^12,OFFSET(CRONOPLE!$F$15,$M381-$A$15,BO$13)))</f>
        <v>1000000000000</v>
      </c>
      <c r="BP381" s="171">
        <f ca="1">IF(OR($D381&lt;&gt;"Serviço",AND(AUTOEVENTO="Manual",$M381=$A$15)),0,
         IF(OFFSET(CRONOPLE!$F$15,$M381-$A$15,BP$13)=0,10^12,OFFSET(CRONOPLE!$F$15,$M381-$A$15,BP$13)))</f>
        <v>1000000000000</v>
      </c>
      <c r="BQ381" s="171">
        <f ca="1">IF(OR($D381&lt;&gt;"Serviço",AND(AUTOEVENTO="Manual",$M381=$A$15)),0,
         IF(OFFSET(CRONOPLE!$F$15,$M381-$A$15,BQ$13)=0,10^12,OFFSET(CRONOPLE!$F$15,$M381-$A$15,BQ$13)))</f>
        <v>1000000000000</v>
      </c>
      <c r="BR381" s="171">
        <f ca="1">IF(OR($D381&lt;&gt;"Serviço",AND(AUTOEVENTO="Manual",$M381=$A$15)),0,
         IF(OFFSET(CRONOPLE!$F$15,$M381-$A$15,BR$13)=0,10^12,OFFSET(CRONOPLE!$F$15,$M381-$A$15,BR$13)))</f>
        <v>1000000000000</v>
      </c>
      <c r="BS381" s="171">
        <f ca="1">IF(OR($D381&lt;&gt;"Serviço",AND(AUTOEVENTO="Manual",$M381=$A$15)),0,
         IF(OFFSET(CRONOPLE!$F$15,$M381-$A$15,BS$13)=0,10^12,OFFSET(CRONOPLE!$F$15,$M381-$A$15,BS$13)))</f>
        <v>1000000000000</v>
      </c>
      <c r="BT381" s="171">
        <f ca="1">IF(OR($D381&lt;&gt;"Serviço",AND(AUTOEVENTO="Manual",$M381=$A$15)),0,
         IF(OFFSET(CRONOPLE!$F$15,$M381-$A$15,BT$13)=0,10^12,OFFSET(CRONOPLE!$F$15,$M381-$A$15,BT$13)))</f>
        <v>1000000000000</v>
      </c>
      <c r="BV381" s="172">
        <f ca="1">IF(OR($D381&lt;&gt;"Serviço",AND(AUTOEVENTO="Manual",$M381=$A$15),$M381&gt;(ROW(PLE.lastrow)-ROW(PLE.firstrow))),0,
           IF(OFFSET(PLE!$G$15,$M381-$A$15,BV$13)="",10^12,OFFSET(PLE!$G$15,$M381-$A$15,BV$13)))</f>
        <v>1000000000000</v>
      </c>
      <c r="BW381" s="172">
        <f ca="1">IF(OR($D381&lt;&gt;"Serviço",AND(AUTOEVENTO="Manual",$M381=$A$15),$M381&gt;(ROW(PLE.lastrow)-ROW(PLE.firstrow))),0,
           IF(OFFSET(PLE!$G$15,$M381-$A$15,BW$13)="",10^12,OFFSET(PLE!$G$15,$M381-$A$15,BW$13)))</f>
        <v>1000000000000</v>
      </c>
      <c r="BX381" s="172">
        <f ca="1">IF(OR($D381&lt;&gt;"Serviço",AND(AUTOEVENTO="Manual",$M381=$A$15),$M381&gt;(ROW(PLE.lastrow)-ROW(PLE.firstrow))),0,
           IF(OFFSET(PLE!$G$15,$M381-$A$15,BX$13)="",10^12,OFFSET(PLE!$G$15,$M381-$A$15,BX$13)))</f>
        <v>1000000000000</v>
      </c>
      <c r="BY381" s="172">
        <f ca="1">IF(OR($D381&lt;&gt;"Serviço",AND(AUTOEVENTO="Manual",$M381=$A$15),$M381&gt;(ROW(PLE.lastrow)-ROW(PLE.firstrow))),0,
           IF(OFFSET(PLE!$G$15,$M381-$A$15,BY$13)="",10^12,OFFSET(PLE!$G$15,$M381-$A$15,BY$13)))</f>
        <v>1000000000000</v>
      </c>
      <c r="BZ381" s="172">
        <f ca="1">IF(OR($D381&lt;&gt;"Serviço",AND(AUTOEVENTO="Manual",$M381=$A$15),$M381&gt;(ROW(PLE.lastrow)-ROW(PLE.firstrow))),0,
           IF(OFFSET(PLE!$G$15,$M381-$A$15,BZ$13)="",10^12,OFFSET(PLE!$G$15,$M381-$A$15,BZ$13)))</f>
        <v>1000000000000</v>
      </c>
      <c r="CA381" s="172">
        <f ca="1">IF(OR($D381&lt;&gt;"Serviço",AND(AUTOEVENTO="Manual",$M381=$A$15),$M381&gt;(ROW(PLE.lastrow)-ROW(PLE.firstrow))),0,
           IF(OFFSET(PLE!$G$15,$M381-$A$15,CA$13)="",10^12,OFFSET(PLE!$G$15,$M381-$A$15,CA$13)))</f>
        <v>1000000000000</v>
      </c>
      <c r="CB381" s="172">
        <f ca="1">IF(OR($D381&lt;&gt;"Serviço",AND(AUTOEVENTO="Manual",$M381=$A$15),$M381&gt;(ROW(PLE.lastrow)-ROW(PLE.firstrow))),0,
           IF(OFFSET(PLE!$G$15,$M381-$A$15,CB$13)="",10^12,OFFSET(PLE!$G$15,$M381-$A$15,CB$13)))</f>
        <v>1000000000000</v>
      </c>
      <c r="CC381" s="172">
        <f ca="1">IF(OR($D381&lt;&gt;"Serviço",AND(AUTOEVENTO="Manual",$M381=$A$15),$M381&gt;(ROW(PLE.lastrow)-ROW(PLE.firstrow))),0,
           IF(OFFSET(PLE!$G$15,$M381-$A$15,CC$13)="",10^12,OFFSET(PLE!$G$15,$M381-$A$15,CC$13)))</f>
        <v>1000000000000</v>
      </c>
      <c r="CD381" s="172">
        <f ca="1">IF(OR($D381&lt;&gt;"Serviço",AND(AUTOEVENTO="Manual",$M381=$A$15),$M381&gt;(ROW(PLE.lastrow)-ROW(PLE.firstrow))),0,
           IF(OFFSET(PLE!$G$15,$M381-$A$15,CD$13)="",10^12,OFFSET(PLE!$G$15,$M381-$A$15,CD$13)))</f>
        <v>1000000000000</v>
      </c>
      <c r="CE381" s="172">
        <f ca="1">IF(OR($D381&lt;&gt;"Serviço",AND(AUTOEVENTO="Manual",$M381=$A$15),$M381&gt;(ROW(PLE.lastrow)-ROW(PLE.firstrow))),0,
           IF(OFFSET(PLE!$G$15,$M381-$A$15,CE$13)="",10^12,OFFSET(PLE!$G$15,$M381-$A$15,CE$13)))</f>
        <v>1000000000000</v>
      </c>
      <c r="CF381" s="172">
        <f ca="1">IF(OR($D381&lt;&gt;"Serviço",AND(AUTOEVENTO="Manual",$M381=$A$15),$M381&gt;(ROW(PLE.lastrow)-ROW(PLE.firstrow))),0,
           IF(OFFSET(PLE!$G$15,$M381-$A$15,CF$13)="",10^12,OFFSET(PLE!$G$15,$M381-$A$15,CF$13)))</f>
        <v>1000000000000</v>
      </c>
      <c r="CG381" s="172">
        <f ca="1">IF(OR($D381&lt;&gt;"Serviço",AND(AUTOEVENTO="Manual",$M381=$A$15),$M381&gt;(ROW(PLE.lastrow)-ROW(PLE.firstrow))),0,
           IF(OFFSET(PLE!$G$15,$M381-$A$15,CG$13)="",10^12,OFFSET(PLE!$G$15,$M381-$A$15,CG$13)))</f>
        <v>1000000000000</v>
      </c>
      <c r="CH381" s="172">
        <f ca="1">IF(OR($D381&lt;&gt;"Serviço",AND(AUTOEVENTO="Manual",$M381=$A$15),$M381&gt;(ROW(PLE.lastrow)-ROW(PLE.firstrow))),0,
           IF(OFFSET(PLE!$G$15,$M381-$A$15,CH$13)="",10^12,OFFSET(PLE!$G$15,$M381-$A$15,CH$13)))</f>
        <v>1000000000000</v>
      </c>
      <c r="CI381" s="172">
        <f ca="1">IF(OR($D381&lt;&gt;"Serviço",AND(AUTOEVENTO="Manual",$M381=$A$15),$M381&gt;(ROW(PLE.lastrow)-ROW(PLE.firstrow))),0,
           IF(OFFSET(PLE!$G$15,$M381-$A$15,CI$13)="",10^12,OFFSET(PLE!$G$15,$M381-$A$15,CI$13)))</f>
        <v>1000000000000</v>
      </c>
      <c r="CJ381" s="172">
        <f ca="1">IF(OR($D381&lt;&gt;"Serviço",AND(AUTOEVENTO="Manual",$M381=$A$15),$M381&gt;(ROW(PLE.lastrow)-ROW(PLE.firstrow))),0,
           IF(OFFSET(PLE!$G$15,$M381-$A$15,CJ$13)="",10^12,OFFSET(PLE!$G$15,$M381-$A$15,CJ$13)))</f>
        <v>1000000000000</v>
      </c>
      <c r="CK381" s="172">
        <f ca="1">IF(OR($D381&lt;&gt;"Serviço",AND(AUTOEVENTO="Manual",$M381=$A$15),$M381&gt;(ROW(PLE.lastrow)-ROW(PLE.firstrow))),0,
           IF(OFFSET(PLE!$G$15,$M381-$A$15,CK$13)="",10^12,OFFSET(PLE!$G$15,$M381-$A$15,CK$13)))</f>
        <v>1000000000000</v>
      </c>
      <c r="CL381" s="172">
        <f ca="1">IF(OR($D381&lt;&gt;"Serviço",AND(AUTOEVENTO="Manual",$M381=$A$15),$M381&gt;(ROW(PLE.lastrow)-ROW(PLE.firstrow))),0,
           IF(OFFSET(PLE!$G$15,$M381-$A$15,CL$13)="",10^12,OFFSET(PLE!$G$15,$M381-$A$15,CL$13)))</f>
        <v>1000000000000</v>
      </c>
      <c r="CM381" s="172">
        <f ca="1">IF(OR($D381&lt;&gt;"Serviço",AND(AUTOEVENTO="Manual",$M381=$A$15),$M381&gt;(ROW(PLE.lastrow)-ROW(PLE.firstrow))),0,
           IF(OFFSET(PLE!$G$15,$M381-$A$15,CM$13)="",10^12,OFFSET(PLE!$G$15,$M381-$A$15,CM$13)))</f>
        <v>1000000000000</v>
      </c>
    </row>
    <row r="382" spans="1:91" ht="38.25" x14ac:dyDescent="0.2">
      <c r="A382" s="7">
        <f t="shared" ca="1" si="15"/>
        <v>7</v>
      </c>
      <c r="B382" s="7" t="str">
        <f ca="1">OFFSET(ORÇAMENTO!C$15,ROW(B382)-ROW(B$15),0)</f>
        <v>S</v>
      </c>
      <c r="C382" s="7" t="str">
        <f ca="1">OFFSET(ORÇAMENTO!L$15,ROW(C382)-ROW(C$15),0)</f>
        <v>F</v>
      </c>
      <c r="D382" s="116" t="str">
        <f ca="1">OFFSET(ORÇAMENTO!N$15,ROW(D382)-ROW(D$15),0)</f>
        <v>Serviço</v>
      </c>
      <c r="E382" s="117" t="str">
        <f ca="1">OFFSET(ORÇAMENTO!O$15,ROW(E382)-ROW(E$15),0)</f>
        <v>1.8.1.4.5.</v>
      </c>
      <c r="F382" s="163" t="str">
        <f ca="1">OFFSET(ORÇAMENTO!R$15,ROW(F382)-ROW(F$15),0)</f>
        <v>DISJUNTOR TRIPOLAR TIPO DIN, CORRENTE NOMINAL DE 10A - FORNECIMENTO E INSTALAÇÃO. AF_10/2020</v>
      </c>
      <c r="G382" s="164" t="str">
        <f ca="1">IF($D382&lt;&gt;"Serviço","",OFFSET(ORÇAMENTO!S$15,ROW(G382)-ROW(G$15),0))</f>
        <v>UN</v>
      </c>
      <c r="H382" s="122" cm="1">
        <f t="array" aca="1" ref="H382" ca="1">IF($D382&lt;&gt;"Serviço",0,IF(ACOMPANHAMENTO="BM",ROUND(OFFSET(ORÇAMENTO!AJ$15,ROW(H382)-ROW(H$15),0),15-13*ORÇAMENTO!$AF$7),SUMPRODUCT(($Q$1:$AI$1=1)*ROUND($Q382:$AI382,15-13*ORÇAMENTO!$AF$7))))</f>
        <v>1</v>
      </c>
      <c r="I382" s="468" t="s">
        <v>1431</v>
      </c>
      <c r="J382" s="640" t="str" cm="1">
        <f t="array" aca="1" ref="J382" ca="1">IF(OR(B382&lt;&gt;"S",CÁLCULO.FrentesPreenchidas=0),"",IF(AND(ACOMPANHAMENTO="PLE",AUTOEVENTO="Manual",OR(H382&gt;0,ORÇAMENTO!AC382="QUANT."),OR(K382="",M382=0,N382="")),"►E",IF(AND(ACOMPANHAMENTO="PLE",ORÇAMENTO!AC382="QUANT."),"►Q",IF(AND(ACOMPANHAMENTO="PLE",H382&lt;&gt;SUMPRODUCT(($Q$1:$AI$1=1)*ROUND(Q382:AI382,15))),"►S",IF(AND(COUNTIF($P$11:$AI$11,"▼")=0,H382&gt;0,I382=""),"◄M","")))))</f>
        <v/>
      </c>
      <c r="K382" s="641" t="s">
        <v>1391</v>
      </c>
      <c r="L382" s="165" t="s">
        <v>764</v>
      </c>
      <c r="M382" s="166">
        <f ca="1">IF($D382&lt;&gt;"Serviço","",
          IF(AUTOEVENTO="manual",$A382,
                IF(ISERROR(MATCH($A382,$A$15:OFFSET($A382,-1,0),0)),MAX($M$15:OFFSET(M382,-1,0))+1,
                      INDEX($M$15:OFFSET(M382,-1,0),MATCH($A382,$A$15:OFFSET($A382,-1,0),0)))))</f>
        <v>7</v>
      </c>
      <c r="N382" s="167" t="str">
        <f ca="1">IF($D382&lt;&gt;"Serviço","",
         IF(AUTOEVENTO="Manual",
                IF($A382=0,"&lt;-- defina o número do agrupador",
                       OFFSET(EVENTOS!$D$15,$A382-$A$15,0)),
                OFFSET($F$15,$A382,0)))</f>
        <v>Instalações Elétricas</v>
      </c>
      <c r="O382" s="168"/>
      <c r="Q382" s="168"/>
      <c r="R382" s="169"/>
      <c r="S382" s="169"/>
      <c r="T382" s="169"/>
      <c r="U382" s="169"/>
      <c r="V382" s="169"/>
      <c r="W382" s="169"/>
      <c r="X382" s="169">
        <v>1</v>
      </c>
      <c r="Y382" s="169"/>
      <c r="Z382" s="170"/>
      <c r="AA382" s="169"/>
      <c r="AB382" s="169"/>
      <c r="AC382" s="169"/>
      <c r="AD382" s="169"/>
      <c r="AE382" s="169"/>
      <c r="AF382" s="169"/>
      <c r="AG382" s="169"/>
      <c r="AH382" s="170"/>
      <c r="AJ382" s="453">
        <f ca="1">IF(AND($D382="Serviço",AJ$12&lt;&gt;0,$H382&gt;0,OR(AUTOEVENTO&lt;&gt;"manual",$M382&lt;&gt;$A$15)),
        IF(Import.TipoArredondamento&lt;&gt;"TransfereGOV",
              ROUND(OFFSET($P382,0,AJ$13),15-13*ORÇAMENTO!$AF$7)/$H382*OFFSET(ORÇAMENTO!$X$15,ROW(AJ382)-ROW(AJ$15),0),
              ROUND(ROUND(OFFSET($P382,0,AJ$13),15-13*ORÇAMENTO!$AF$7)*OFFSET(ORÇAMENTO!$W$15,ROW(AJ382)-ROW(AJ$15),0),15-13*ORÇAMENTO!$AF$11)),
         0)</f>
        <v>0</v>
      </c>
      <c r="AK382" s="453">
        <f ca="1">IF(AND($D382="Serviço",AK$12&lt;&gt;0,$H382&gt;0,OR(AUTOEVENTO&lt;&gt;"manual",$M382&lt;&gt;$A$15)),
        IF(Import.TipoArredondamento&lt;&gt;"TransfereGOV",
              ROUND(OFFSET($P382,0,AK$13),15-13*ORÇAMENTO!$AF$7)/$H382*OFFSET(ORÇAMENTO!$X$15,ROW(AK382)-ROW(AK$15),0),
              ROUND(ROUND(OFFSET($P382,0,AK$13),15-13*ORÇAMENTO!$AF$7)*OFFSET(ORÇAMENTO!$W$15,ROW(AK382)-ROW(AK$15),0),15-13*ORÇAMENTO!$AF$11)),
         0)</f>
        <v>0</v>
      </c>
      <c r="AL382" s="453">
        <f ca="1">IF(AND($D382="Serviço",AL$12&lt;&gt;0,$H382&gt;0,OR(AUTOEVENTO&lt;&gt;"manual",$M382&lt;&gt;$A$15)),
        IF(Import.TipoArredondamento&lt;&gt;"TransfereGOV",
              ROUND(OFFSET($P382,0,AL$13),15-13*ORÇAMENTO!$AF$7)/$H382*OFFSET(ORÇAMENTO!$X$15,ROW(AL382)-ROW(AL$15),0),
              ROUND(ROUND(OFFSET($P382,0,AL$13),15-13*ORÇAMENTO!$AF$7)*OFFSET(ORÇAMENTO!$W$15,ROW(AL382)-ROW(AL$15),0),15-13*ORÇAMENTO!$AF$11)),
         0)</f>
        <v>0</v>
      </c>
      <c r="AM382" s="453">
        <f ca="1">IF(AND($D382="Serviço",AM$12&lt;&gt;0,$H382&gt;0,OR(AUTOEVENTO&lt;&gt;"manual",$M382&lt;&gt;$A$15)),
        IF(Import.TipoArredondamento&lt;&gt;"TransfereGOV",
              ROUND(OFFSET($P382,0,AM$13),15-13*ORÇAMENTO!$AF$7)/$H382*OFFSET(ORÇAMENTO!$X$15,ROW(AM382)-ROW(AM$15),0),
              ROUND(ROUND(OFFSET($P382,0,AM$13),15-13*ORÇAMENTO!$AF$7)*OFFSET(ORÇAMENTO!$W$15,ROW(AM382)-ROW(AM$15),0),15-13*ORÇAMENTO!$AF$11)),
         0)</f>
        <v>0</v>
      </c>
      <c r="AN382" s="453">
        <f ca="1">IF(AND($D382="Serviço",AN$12&lt;&gt;0,$H382&gt;0,OR(AUTOEVENTO&lt;&gt;"manual",$M382&lt;&gt;$A$15)),
        IF(Import.TipoArredondamento&lt;&gt;"TransfereGOV",
              ROUND(OFFSET($P382,0,AN$13),15-13*ORÇAMENTO!$AF$7)/$H382*OFFSET(ORÇAMENTO!$X$15,ROW(AN382)-ROW(AN$15),0),
              ROUND(ROUND(OFFSET($P382,0,AN$13),15-13*ORÇAMENTO!$AF$7)*OFFSET(ORÇAMENTO!$W$15,ROW(AN382)-ROW(AN$15),0),15-13*ORÇAMENTO!$AF$11)),
         0)</f>
        <v>0</v>
      </c>
      <c r="AO382" s="453">
        <f ca="1">IF(AND($D382="Serviço",AO$12&lt;&gt;0,$H382&gt;0,OR(AUTOEVENTO&lt;&gt;"manual",$M382&lt;&gt;$A$15)),
        IF(Import.TipoArredondamento&lt;&gt;"TransfereGOV",
              ROUND(OFFSET($P382,0,AO$13),15-13*ORÇAMENTO!$AF$7)/$H382*OFFSET(ORÇAMENTO!$X$15,ROW(AO382)-ROW(AO$15),0),
              ROUND(ROUND(OFFSET($P382,0,AO$13),15-13*ORÇAMENTO!$AF$7)*OFFSET(ORÇAMENTO!$W$15,ROW(AO382)-ROW(AO$15),0),15-13*ORÇAMENTO!$AF$11)),
         0)</f>
        <v>0</v>
      </c>
      <c r="AP382" s="453">
        <f ca="1">IF(AND($D382="Serviço",AP$12&lt;&gt;0,$H382&gt;0,OR(AUTOEVENTO&lt;&gt;"manual",$M382&lt;&gt;$A$15)),
        IF(Import.TipoArredondamento&lt;&gt;"TransfereGOV",
              ROUND(OFFSET($P382,0,AP$13),15-13*ORÇAMENTO!$AF$7)/$H382*OFFSET(ORÇAMENTO!$X$15,ROW(AP382)-ROW(AP$15),0),
              ROUND(ROUND(OFFSET($P382,0,AP$13),15-13*ORÇAMENTO!$AF$7)*OFFSET(ORÇAMENTO!$W$15,ROW(AP382)-ROW(AP$15),0),15-13*ORÇAMENTO!$AF$11)),
         0)</f>
        <v>0</v>
      </c>
      <c r="AQ382" s="453">
        <f ca="1">IF(AND($D382="Serviço",AQ$12&lt;&gt;0,$H382&gt;0,OR(AUTOEVENTO&lt;&gt;"manual",$M382&lt;&gt;$A$15)),
        IF(Import.TipoArredondamento&lt;&gt;"TransfereGOV",
              ROUND(OFFSET($P382,0,AQ$13),15-13*ORÇAMENTO!$AF$7)/$H382*OFFSET(ORÇAMENTO!$X$15,ROW(AQ382)-ROW(AQ$15),0),
              ROUND(ROUND(OFFSET($P382,0,AQ$13),15-13*ORÇAMENTO!$AF$7)*OFFSET(ORÇAMENTO!$W$15,ROW(AQ382)-ROW(AQ$15),0),15-13*ORÇAMENTO!$AF$11)),
         0)</f>
        <v>0</v>
      </c>
      <c r="AR382" s="453">
        <f ca="1">IF(AND($D382="Serviço",AR$12&lt;&gt;0,$H382&gt;0,OR(AUTOEVENTO&lt;&gt;"manual",$M382&lt;&gt;$A$15)),
        IF(Import.TipoArredondamento&lt;&gt;"TransfereGOV",
              ROUND(OFFSET($P382,0,AR$13),15-13*ORÇAMENTO!$AF$7)/$H382*OFFSET(ORÇAMENTO!$X$15,ROW(AR382)-ROW(AR$15),0),
              ROUND(ROUND(OFFSET($P382,0,AR$13),15-13*ORÇAMENTO!$AF$7)*OFFSET(ORÇAMENTO!$W$15,ROW(AR382)-ROW(AR$15),0),15-13*ORÇAMENTO!$AF$11)),
         0)</f>
        <v>0</v>
      </c>
      <c r="AS382" s="453">
        <f ca="1">IF(AND($D382="Serviço",AS$12&lt;&gt;0,$H382&gt;0,OR(AUTOEVENTO&lt;&gt;"manual",$M382&lt;&gt;$A$15)),
        IF(Import.TipoArredondamento&lt;&gt;"TransfereGOV",
              ROUND(OFFSET($P382,0,AS$13),15-13*ORÇAMENTO!$AF$7)/$H382*OFFSET(ORÇAMENTO!$X$15,ROW(AS382)-ROW(AS$15),0),
              ROUND(ROUND(OFFSET($P382,0,AS$13),15-13*ORÇAMENTO!$AF$7)*OFFSET(ORÇAMENTO!$W$15,ROW(AS382)-ROW(AS$15),0),15-13*ORÇAMENTO!$AF$11)),
         0)</f>
        <v>0</v>
      </c>
      <c r="AT382" s="453">
        <f ca="1">IF(AND($D382="Serviço",AT$12&lt;&gt;0,$H382&gt;0,OR(AUTOEVENTO&lt;&gt;"manual",$M382&lt;&gt;$A$15)),
        IF(Import.TipoArredondamento&lt;&gt;"TransfereGOV",
              ROUND(OFFSET($P382,0,AT$13),15-13*ORÇAMENTO!$AF$7)/$H382*OFFSET(ORÇAMENTO!$X$15,ROW(AT382)-ROW(AT$15),0),
              ROUND(ROUND(OFFSET($P382,0,AT$13),15-13*ORÇAMENTO!$AF$7)*OFFSET(ORÇAMENTO!$W$15,ROW(AT382)-ROW(AT$15),0),15-13*ORÇAMENTO!$AF$11)),
         0)</f>
        <v>0</v>
      </c>
      <c r="AU382" s="453">
        <f ca="1">IF(AND($D382="Serviço",AU$12&lt;&gt;0,$H382&gt;0,OR(AUTOEVENTO&lt;&gt;"manual",$M382&lt;&gt;$A$15)),
        IF(Import.TipoArredondamento&lt;&gt;"TransfereGOV",
              ROUND(OFFSET($P382,0,AU$13),15-13*ORÇAMENTO!$AF$7)/$H382*OFFSET(ORÇAMENTO!$X$15,ROW(AU382)-ROW(AU$15),0),
              ROUND(ROUND(OFFSET($P382,0,AU$13),15-13*ORÇAMENTO!$AF$7)*OFFSET(ORÇAMENTO!$W$15,ROW(AU382)-ROW(AU$15),0),15-13*ORÇAMENTO!$AF$11)),
         0)</f>
        <v>0</v>
      </c>
      <c r="AV382" s="453">
        <f ca="1">IF(AND($D382="Serviço",AV$12&lt;&gt;0,$H382&gt;0,OR(AUTOEVENTO&lt;&gt;"manual",$M382&lt;&gt;$A$15)),
        IF(Import.TipoArredondamento&lt;&gt;"TransfereGOV",
              ROUND(OFFSET($P382,0,AV$13),15-13*ORÇAMENTO!$AF$7)/$H382*OFFSET(ORÇAMENTO!$X$15,ROW(AV382)-ROW(AV$15),0),
              ROUND(ROUND(OFFSET($P382,0,AV$13),15-13*ORÇAMENTO!$AF$7)*OFFSET(ORÇAMENTO!$W$15,ROW(AV382)-ROW(AV$15),0),15-13*ORÇAMENTO!$AF$11)),
         0)</f>
        <v>0</v>
      </c>
      <c r="AW382" s="453">
        <f ca="1">IF(AND($D382="Serviço",AW$12&lt;&gt;0,$H382&gt;0,OR(AUTOEVENTO&lt;&gt;"manual",$M382&lt;&gt;$A$15)),
        IF(Import.TipoArredondamento&lt;&gt;"TransfereGOV",
              ROUND(OFFSET($P382,0,AW$13),15-13*ORÇAMENTO!$AF$7)/$H382*OFFSET(ORÇAMENTO!$X$15,ROW(AW382)-ROW(AW$15),0),
              ROUND(ROUND(OFFSET($P382,0,AW$13),15-13*ORÇAMENTO!$AF$7)*OFFSET(ORÇAMENTO!$W$15,ROW(AW382)-ROW(AW$15),0),15-13*ORÇAMENTO!$AF$11)),
         0)</f>
        <v>0</v>
      </c>
      <c r="AX382" s="453">
        <f ca="1">IF(AND($D382="Serviço",AX$12&lt;&gt;0,$H382&gt;0,OR(AUTOEVENTO&lt;&gt;"manual",$M382&lt;&gt;$A$15)),
        IF(Import.TipoArredondamento&lt;&gt;"TransfereGOV",
              ROUND(OFFSET($P382,0,AX$13),15-13*ORÇAMENTO!$AF$7)/$H382*OFFSET(ORÇAMENTO!$X$15,ROW(AX382)-ROW(AX$15),0),
              ROUND(ROUND(OFFSET($P382,0,AX$13),15-13*ORÇAMENTO!$AF$7)*OFFSET(ORÇAMENTO!$W$15,ROW(AX382)-ROW(AX$15),0),15-13*ORÇAMENTO!$AF$11)),
         0)</f>
        <v>0</v>
      </c>
      <c r="AY382" s="453">
        <f ca="1">IF(AND($D382="Serviço",AY$12&lt;&gt;0,$H382&gt;0,OR(AUTOEVENTO&lt;&gt;"manual",$M382&lt;&gt;$A$15)),
        IF(Import.TipoArredondamento&lt;&gt;"TransfereGOV",
              ROUND(OFFSET($P382,0,AY$13),15-13*ORÇAMENTO!$AF$7)/$H382*OFFSET(ORÇAMENTO!$X$15,ROW(AY382)-ROW(AY$15),0),
              ROUND(ROUND(OFFSET($P382,0,AY$13),15-13*ORÇAMENTO!$AF$7)*OFFSET(ORÇAMENTO!$W$15,ROW(AY382)-ROW(AY$15),0),15-13*ORÇAMENTO!$AF$11)),
         0)</f>
        <v>0</v>
      </c>
      <c r="AZ382" s="453">
        <f ca="1">IF(AND($D382="Serviço",AZ$12&lt;&gt;0,$H382&gt;0,OR(AUTOEVENTO&lt;&gt;"manual",$M382&lt;&gt;$A$15)),
        IF(Import.TipoArredondamento&lt;&gt;"TransfereGOV",
              ROUND(OFFSET($P382,0,AZ$13),15-13*ORÇAMENTO!$AF$7)/$H382*OFFSET(ORÇAMENTO!$X$15,ROW(AZ382)-ROW(AZ$15),0),
              ROUND(ROUND(OFFSET($P382,0,AZ$13),15-13*ORÇAMENTO!$AF$7)*OFFSET(ORÇAMENTO!$W$15,ROW(AZ382)-ROW(AZ$15),0),15-13*ORÇAMENTO!$AF$11)),
         0)</f>
        <v>0</v>
      </c>
      <c r="BA382" s="453">
        <f ca="1">IF(AND($D382="Serviço",BA$12&lt;&gt;0,$H382&gt;0,OR(AUTOEVENTO&lt;&gt;"manual",$M382&lt;&gt;$A$15)),
        IF(Import.TipoArredondamento&lt;&gt;"TransfereGOV",
              ROUND(OFFSET($P382,0,BA$13),15-13*ORÇAMENTO!$AF$7)/$H382*OFFSET(ORÇAMENTO!$X$15,ROW(BA382)-ROW(BA$15),0),
              ROUND(ROUND(OFFSET($P382,0,BA$13),15-13*ORÇAMENTO!$AF$7)*OFFSET(ORÇAMENTO!$W$15,ROW(BA382)-ROW(BA$15),0),15-13*ORÇAMENTO!$AF$11)),
         0)</f>
        <v>0</v>
      </c>
      <c r="BC382" s="171">
        <f ca="1">IF(OR($D382&lt;&gt;"Serviço",AND(AUTOEVENTO="Manual",$M382=$A$15)),0,
         IF(OFFSET(CRONOPLE!$F$15,$M382-$A$15,BC$13)=0,10^12,OFFSET(CRONOPLE!$F$15,$M382-$A$15,BC$13)))</f>
        <v>1</v>
      </c>
      <c r="BD382" s="171">
        <f ca="1">IF(OR($D382&lt;&gt;"Serviço",AND(AUTOEVENTO="Manual",$M382=$A$15)),0,
         IF(OFFSET(CRONOPLE!$F$15,$M382-$A$15,BD$13)=0,10^12,OFFSET(CRONOPLE!$F$15,$M382-$A$15,BD$13)))</f>
        <v>2</v>
      </c>
      <c r="BE382" s="171">
        <f ca="1">IF(OR($D382&lt;&gt;"Serviço",AND(AUTOEVENTO="Manual",$M382=$A$15)),0,
         IF(OFFSET(CRONOPLE!$F$15,$M382-$A$15,BE$13)=0,10^12,OFFSET(CRONOPLE!$F$15,$M382-$A$15,BE$13)))</f>
        <v>3</v>
      </c>
      <c r="BF382" s="171">
        <f ca="1">IF(OR($D382&lt;&gt;"Serviço",AND(AUTOEVENTO="Manual",$M382=$A$15)),0,
         IF(OFFSET(CRONOPLE!$F$15,$M382-$A$15,BF$13)=0,10^12,OFFSET(CRONOPLE!$F$15,$M382-$A$15,BF$13)))</f>
        <v>4</v>
      </c>
      <c r="BG382" s="171">
        <f ca="1">IF(OR($D382&lt;&gt;"Serviço",AND(AUTOEVENTO="Manual",$M382=$A$15)),0,
         IF(OFFSET(CRONOPLE!$F$15,$M382-$A$15,BG$13)=0,10^12,OFFSET(CRONOPLE!$F$15,$M382-$A$15,BG$13)))</f>
        <v>5</v>
      </c>
      <c r="BH382" s="171">
        <f ca="1">IF(OR($D382&lt;&gt;"Serviço",AND(AUTOEVENTO="Manual",$M382=$A$15)),0,
         IF(OFFSET(CRONOPLE!$F$15,$M382-$A$15,BH$13)=0,10^12,OFFSET(CRONOPLE!$F$15,$M382-$A$15,BH$13)))</f>
        <v>6</v>
      </c>
      <c r="BI382" s="171">
        <f ca="1">IF(OR($D382&lt;&gt;"Serviço",AND(AUTOEVENTO="Manual",$M382=$A$15)),0,
         IF(OFFSET(CRONOPLE!$F$15,$M382-$A$15,BI$13)=0,10^12,OFFSET(CRONOPLE!$F$15,$M382-$A$15,BI$13)))</f>
        <v>7</v>
      </c>
      <c r="BJ382" s="171">
        <f ca="1">IF(OR($D382&lt;&gt;"Serviço",AND(AUTOEVENTO="Manual",$M382=$A$15)),0,
         IF(OFFSET(CRONOPLE!$F$15,$M382-$A$15,BJ$13)=0,10^12,OFFSET(CRONOPLE!$F$15,$M382-$A$15,BJ$13)))</f>
        <v>8</v>
      </c>
      <c r="BK382" s="171">
        <f ca="1">IF(OR($D382&lt;&gt;"Serviço",AND(AUTOEVENTO="Manual",$M382=$A$15)),0,
         IF(OFFSET(CRONOPLE!$F$15,$M382-$A$15,BK$13)=0,10^12,OFFSET(CRONOPLE!$F$15,$M382-$A$15,BK$13)))</f>
        <v>9</v>
      </c>
      <c r="BL382" s="171">
        <f ca="1">IF(OR($D382&lt;&gt;"Serviço",AND(AUTOEVENTO="Manual",$M382=$A$15)),0,
         IF(OFFSET(CRONOPLE!$F$15,$M382-$A$15,BL$13)=0,10^12,OFFSET(CRONOPLE!$F$15,$M382-$A$15,BL$13)))</f>
        <v>1000000000000</v>
      </c>
      <c r="BM382" s="171">
        <f ca="1">IF(OR($D382&lt;&gt;"Serviço",AND(AUTOEVENTO="Manual",$M382=$A$15)),0,
         IF(OFFSET(CRONOPLE!$F$15,$M382-$A$15,BM$13)=0,10^12,OFFSET(CRONOPLE!$F$15,$M382-$A$15,BM$13)))</f>
        <v>1000000000000</v>
      </c>
      <c r="BN382" s="171">
        <f ca="1">IF(OR($D382&lt;&gt;"Serviço",AND(AUTOEVENTO="Manual",$M382=$A$15)),0,
         IF(OFFSET(CRONOPLE!$F$15,$M382-$A$15,BN$13)=0,10^12,OFFSET(CRONOPLE!$F$15,$M382-$A$15,BN$13)))</f>
        <v>1000000000000</v>
      </c>
      <c r="BO382" s="171">
        <f ca="1">IF(OR($D382&lt;&gt;"Serviço",AND(AUTOEVENTO="Manual",$M382=$A$15)),0,
         IF(OFFSET(CRONOPLE!$F$15,$M382-$A$15,BO$13)=0,10^12,OFFSET(CRONOPLE!$F$15,$M382-$A$15,BO$13)))</f>
        <v>1000000000000</v>
      </c>
      <c r="BP382" s="171">
        <f ca="1">IF(OR($D382&lt;&gt;"Serviço",AND(AUTOEVENTO="Manual",$M382=$A$15)),0,
         IF(OFFSET(CRONOPLE!$F$15,$M382-$A$15,BP$13)=0,10^12,OFFSET(CRONOPLE!$F$15,$M382-$A$15,BP$13)))</f>
        <v>1000000000000</v>
      </c>
      <c r="BQ382" s="171">
        <f ca="1">IF(OR($D382&lt;&gt;"Serviço",AND(AUTOEVENTO="Manual",$M382=$A$15)),0,
         IF(OFFSET(CRONOPLE!$F$15,$M382-$A$15,BQ$13)=0,10^12,OFFSET(CRONOPLE!$F$15,$M382-$A$15,BQ$13)))</f>
        <v>1000000000000</v>
      </c>
      <c r="BR382" s="171">
        <f ca="1">IF(OR($D382&lt;&gt;"Serviço",AND(AUTOEVENTO="Manual",$M382=$A$15)),0,
         IF(OFFSET(CRONOPLE!$F$15,$M382-$A$15,BR$13)=0,10^12,OFFSET(CRONOPLE!$F$15,$M382-$A$15,BR$13)))</f>
        <v>1000000000000</v>
      </c>
      <c r="BS382" s="171">
        <f ca="1">IF(OR($D382&lt;&gt;"Serviço",AND(AUTOEVENTO="Manual",$M382=$A$15)),0,
         IF(OFFSET(CRONOPLE!$F$15,$M382-$A$15,BS$13)=0,10^12,OFFSET(CRONOPLE!$F$15,$M382-$A$15,BS$13)))</f>
        <v>1000000000000</v>
      </c>
      <c r="BT382" s="171">
        <f ca="1">IF(OR($D382&lt;&gt;"Serviço",AND(AUTOEVENTO="Manual",$M382=$A$15)),0,
         IF(OFFSET(CRONOPLE!$F$15,$M382-$A$15,BT$13)=0,10^12,OFFSET(CRONOPLE!$F$15,$M382-$A$15,BT$13)))</f>
        <v>1000000000000</v>
      </c>
      <c r="BV382" s="172">
        <f ca="1">IF(OR($D382&lt;&gt;"Serviço",AND(AUTOEVENTO="Manual",$M382=$A$15),$M382&gt;(ROW(PLE.lastrow)-ROW(PLE.firstrow))),0,
           IF(OFFSET(PLE!$G$15,$M382-$A$15,BV$13)="",10^12,OFFSET(PLE!$G$15,$M382-$A$15,BV$13)))</f>
        <v>1000000000000</v>
      </c>
      <c r="BW382" s="172">
        <f ca="1">IF(OR($D382&lt;&gt;"Serviço",AND(AUTOEVENTO="Manual",$M382=$A$15),$M382&gt;(ROW(PLE.lastrow)-ROW(PLE.firstrow))),0,
           IF(OFFSET(PLE!$G$15,$M382-$A$15,BW$13)="",10^12,OFFSET(PLE!$G$15,$M382-$A$15,BW$13)))</f>
        <v>1000000000000</v>
      </c>
      <c r="BX382" s="172">
        <f ca="1">IF(OR($D382&lt;&gt;"Serviço",AND(AUTOEVENTO="Manual",$M382=$A$15),$M382&gt;(ROW(PLE.lastrow)-ROW(PLE.firstrow))),0,
           IF(OFFSET(PLE!$G$15,$M382-$A$15,BX$13)="",10^12,OFFSET(PLE!$G$15,$M382-$A$15,BX$13)))</f>
        <v>1000000000000</v>
      </c>
      <c r="BY382" s="172">
        <f ca="1">IF(OR($D382&lt;&gt;"Serviço",AND(AUTOEVENTO="Manual",$M382=$A$15),$M382&gt;(ROW(PLE.lastrow)-ROW(PLE.firstrow))),0,
           IF(OFFSET(PLE!$G$15,$M382-$A$15,BY$13)="",10^12,OFFSET(PLE!$G$15,$M382-$A$15,BY$13)))</f>
        <v>1000000000000</v>
      </c>
      <c r="BZ382" s="172">
        <f ca="1">IF(OR($D382&lt;&gt;"Serviço",AND(AUTOEVENTO="Manual",$M382=$A$15),$M382&gt;(ROW(PLE.lastrow)-ROW(PLE.firstrow))),0,
           IF(OFFSET(PLE!$G$15,$M382-$A$15,BZ$13)="",10^12,OFFSET(PLE!$G$15,$M382-$A$15,BZ$13)))</f>
        <v>1000000000000</v>
      </c>
      <c r="CA382" s="172">
        <f ca="1">IF(OR($D382&lt;&gt;"Serviço",AND(AUTOEVENTO="Manual",$M382=$A$15),$M382&gt;(ROW(PLE.lastrow)-ROW(PLE.firstrow))),0,
           IF(OFFSET(PLE!$G$15,$M382-$A$15,CA$13)="",10^12,OFFSET(PLE!$G$15,$M382-$A$15,CA$13)))</f>
        <v>1000000000000</v>
      </c>
      <c r="CB382" s="172">
        <f ca="1">IF(OR($D382&lt;&gt;"Serviço",AND(AUTOEVENTO="Manual",$M382=$A$15),$M382&gt;(ROW(PLE.lastrow)-ROW(PLE.firstrow))),0,
           IF(OFFSET(PLE!$G$15,$M382-$A$15,CB$13)="",10^12,OFFSET(PLE!$G$15,$M382-$A$15,CB$13)))</f>
        <v>1000000000000</v>
      </c>
      <c r="CC382" s="172">
        <f ca="1">IF(OR($D382&lt;&gt;"Serviço",AND(AUTOEVENTO="Manual",$M382=$A$15),$M382&gt;(ROW(PLE.lastrow)-ROW(PLE.firstrow))),0,
           IF(OFFSET(PLE!$G$15,$M382-$A$15,CC$13)="",10^12,OFFSET(PLE!$G$15,$M382-$A$15,CC$13)))</f>
        <v>1000000000000</v>
      </c>
      <c r="CD382" s="172">
        <f ca="1">IF(OR($D382&lt;&gt;"Serviço",AND(AUTOEVENTO="Manual",$M382=$A$15),$M382&gt;(ROW(PLE.lastrow)-ROW(PLE.firstrow))),0,
           IF(OFFSET(PLE!$G$15,$M382-$A$15,CD$13)="",10^12,OFFSET(PLE!$G$15,$M382-$A$15,CD$13)))</f>
        <v>1000000000000</v>
      </c>
      <c r="CE382" s="172">
        <f ca="1">IF(OR($D382&lt;&gt;"Serviço",AND(AUTOEVENTO="Manual",$M382=$A$15),$M382&gt;(ROW(PLE.lastrow)-ROW(PLE.firstrow))),0,
           IF(OFFSET(PLE!$G$15,$M382-$A$15,CE$13)="",10^12,OFFSET(PLE!$G$15,$M382-$A$15,CE$13)))</f>
        <v>1000000000000</v>
      </c>
      <c r="CF382" s="172">
        <f ca="1">IF(OR($D382&lt;&gt;"Serviço",AND(AUTOEVENTO="Manual",$M382=$A$15),$M382&gt;(ROW(PLE.lastrow)-ROW(PLE.firstrow))),0,
           IF(OFFSET(PLE!$G$15,$M382-$A$15,CF$13)="",10^12,OFFSET(PLE!$G$15,$M382-$A$15,CF$13)))</f>
        <v>1000000000000</v>
      </c>
      <c r="CG382" s="172">
        <f ca="1">IF(OR($D382&lt;&gt;"Serviço",AND(AUTOEVENTO="Manual",$M382=$A$15),$M382&gt;(ROW(PLE.lastrow)-ROW(PLE.firstrow))),0,
           IF(OFFSET(PLE!$G$15,$M382-$A$15,CG$13)="",10^12,OFFSET(PLE!$G$15,$M382-$A$15,CG$13)))</f>
        <v>1000000000000</v>
      </c>
      <c r="CH382" s="172">
        <f ca="1">IF(OR($D382&lt;&gt;"Serviço",AND(AUTOEVENTO="Manual",$M382=$A$15),$M382&gt;(ROW(PLE.lastrow)-ROW(PLE.firstrow))),0,
           IF(OFFSET(PLE!$G$15,$M382-$A$15,CH$13)="",10^12,OFFSET(PLE!$G$15,$M382-$A$15,CH$13)))</f>
        <v>1000000000000</v>
      </c>
      <c r="CI382" s="172">
        <f ca="1">IF(OR($D382&lt;&gt;"Serviço",AND(AUTOEVENTO="Manual",$M382=$A$15),$M382&gt;(ROW(PLE.lastrow)-ROW(PLE.firstrow))),0,
           IF(OFFSET(PLE!$G$15,$M382-$A$15,CI$13)="",10^12,OFFSET(PLE!$G$15,$M382-$A$15,CI$13)))</f>
        <v>1000000000000</v>
      </c>
      <c r="CJ382" s="172">
        <f ca="1">IF(OR($D382&lt;&gt;"Serviço",AND(AUTOEVENTO="Manual",$M382=$A$15),$M382&gt;(ROW(PLE.lastrow)-ROW(PLE.firstrow))),0,
           IF(OFFSET(PLE!$G$15,$M382-$A$15,CJ$13)="",10^12,OFFSET(PLE!$G$15,$M382-$A$15,CJ$13)))</f>
        <v>1000000000000</v>
      </c>
      <c r="CK382" s="172">
        <f ca="1">IF(OR($D382&lt;&gt;"Serviço",AND(AUTOEVENTO="Manual",$M382=$A$15),$M382&gt;(ROW(PLE.lastrow)-ROW(PLE.firstrow))),0,
           IF(OFFSET(PLE!$G$15,$M382-$A$15,CK$13)="",10^12,OFFSET(PLE!$G$15,$M382-$A$15,CK$13)))</f>
        <v>1000000000000</v>
      </c>
      <c r="CL382" s="172">
        <f ca="1">IF(OR($D382&lt;&gt;"Serviço",AND(AUTOEVENTO="Manual",$M382=$A$15),$M382&gt;(ROW(PLE.lastrow)-ROW(PLE.firstrow))),0,
           IF(OFFSET(PLE!$G$15,$M382-$A$15,CL$13)="",10^12,OFFSET(PLE!$G$15,$M382-$A$15,CL$13)))</f>
        <v>1000000000000</v>
      </c>
      <c r="CM382" s="172">
        <f ca="1">IF(OR($D382&lt;&gt;"Serviço",AND(AUTOEVENTO="Manual",$M382=$A$15),$M382&gt;(ROW(PLE.lastrow)-ROW(PLE.firstrow))),0,
           IF(OFFSET(PLE!$G$15,$M382-$A$15,CM$13)="",10^12,OFFSET(PLE!$G$15,$M382-$A$15,CM$13)))</f>
        <v>1000000000000</v>
      </c>
    </row>
    <row r="383" spans="1:91" ht="38.25" x14ac:dyDescent="0.2">
      <c r="A383" s="7">
        <f t="shared" ca="1" si="15"/>
        <v>7</v>
      </c>
      <c r="B383" s="7" t="str">
        <f ca="1">OFFSET(ORÇAMENTO!C$15,ROW(B383)-ROW(B$15),0)</f>
        <v>S</v>
      </c>
      <c r="C383" s="7" t="str">
        <f ca="1">OFFSET(ORÇAMENTO!L$15,ROW(C383)-ROW(C$15),0)</f>
        <v>F</v>
      </c>
      <c r="D383" s="116" t="str">
        <f ca="1">OFFSET(ORÇAMENTO!N$15,ROW(D383)-ROW(D$15),0)</f>
        <v>Serviço</v>
      </c>
      <c r="E383" s="117" t="str">
        <f ca="1">OFFSET(ORÇAMENTO!O$15,ROW(E383)-ROW(E$15),0)</f>
        <v>1.8.1.4.6.</v>
      </c>
      <c r="F383" s="163" t="str">
        <f ca="1">OFFSET(ORÇAMENTO!R$15,ROW(F383)-ROW(F$15),0)</f>
        <v>AUTOTRANSFORMADOR TRIFÁSICO 1.01kVA E/S 220/440V 60Hz IP00, FORNECIMENTO E INSTALAÇÃO - BASEADO EM SIURB (9014034)</v>
      </c>
      <c r="G383" s="164" t="str">
        <f ca="1">IF($D383&lt;&gt;"Serviço","",OFFSET(ORÇAMENTO!S$15,ROW(G383)-ROW(G$15),0))</f>
        <v>UN</v>
      </c>
      <c r="H383" s="122" cm="1">
        <f t="array" aca="1" ref="H383" ca="1">IF($D383&lt;&gt;"Serviço",0,IF(ACOMPANHAMENTO="BM",ROUND(OFFSET(ORÇAMENTO!AJ$15,ROW(H383)-ROW(H$15),0),15-13*ORÇAMENTO!$AF$7),SUMPRODUCT(($Q$1:$AI$1=1)*ROUND($Q383:$AI383,15-13*ORÇAMENTO!$AF$7))))</f>
        <v>1</v>
      </c>
      <c r="I383" s="468" t="s">
        <v>1431</v>
      </c>
      <c r="J383" s="640" t="str" cm="1">
        <f t="array" aca="1" ref="J383" ca="1">IF(OR(B383&lt;&gt;"S",CÁLCULO.FrentesPreenchidas=0),"",IF(AND(ACOMPANHAMENTO="PLE",AUTOEVENTO="Manual",OR(H383&gt;0,ORÇAMENTO!AC383="QUANT."),OR(K383="",M383=0,N383="")),"►E",IF(AND(ACOMPANHAMENTO="PLE",ORÇAMENTO!AC383="QUANT."),"►Q",IF(AND(ACOMPANHAMENTO="PLE",H383&lt;&gt;SUMPRODUCT(($Q$1:$AI$1=1)*ROUND(Q383:AI383,15))),"►S",IF(AND(COUNTIF($P$11:$AI$11,"▼")=0,H383&gt;0,I383=""),"◄M","")))))</f>
        <v/>
      </c>
      <c r="K383" s="641" t="s">
        <v>1391</v>
      </c>
      <c r="L383" s="165" t="s">
        <v>764</v>
      </c>
      <c r="M383" s="166">
        <f ca="1">IF($D383&lt;&gt;"Serviço","",
          IF(AUTOEVENTO="manual",$A383,
                IF(ISERROR(MATCH($A383,$A$15:OFFSET($A383,-1,0),0)),MAX($M$15:OFFSET(M383,-1,0))+1,
                      INDEX($M$15:OFFSET(M383,-1,0),MATCH($A383,$A$15:OFFSET($A383,-1,0),0)))))</f>
        <v>7</v>
      </c>
      <c r="N383" s="167" t="str">
        <f ca="1">IF($D383&lt;&gt;"Serviço","",
         IF(AUTOEVENTO="Manual",
                IF($A383=0,"&lt;-- defina o número do agrupador",
                       OFFSET(EVENTOS!$D$15,$A383-$A$15,0)),
                OFFSET($F$15,$A383,0)))</f>
        <v>Instalações Elétricas</v>
      </c>
      <c r="O383" s="168"/>
      <c r="Q383" s="168"/>
      <c r="R383" s="169"/>
      <c r="S383" s="169"/>
      <c r="T383" s="169"/>
      <c r="U383" s="169"/>
      <c r="V383" s="169"/>
      <c r="W383" s="169"/>
      <c r="X383" s="169">
        <v>1</v>
      </c>
      <c r="Y383" s="169"/>
      <c r="Z383" s="170"/>
      <c r="AA383" s="169"/>
      <c r="AB383" s="169"/>
      <c r="AC383" s="169"/>
      <c r="AD383" s="169"/>
      <c r="AE383" s="169"/>
      <c r="AF383" s="169"/>
      <c r="AG383" s="169"/>
      <c r="AH383" s="170"/>
      <c r="AJ383" s="453">
        <f ca="1">IF(AND($D383="Serviço",AJ$12&lt;&gt;0,$H383&gt;0,OR(AUTOEVENTO&lt;&gt;"manual",$M383&lt;&gt;$A$15)),
        IF(Import.TipoArredondamento&lt;&gt;"TransfereGOV",
              ROUND(OFFSET($P383,0,AJ$13),15-13*ORÇAMENTO!$AF$7)/$H383*OFFSET(ORÇAMENTO!$X$15,ROW(AJ383)-ROW(AJ$15),0),
              ROUND(ROUND(OFFSET($P383,0,AJ$13),15-13*ORÇAMENTO!$AF$7)*OFFSET(ORÇAMENTO!$W$15,ROW(AJ383)-ROW(AJ$15),0),15-13*ORÇAMENTO!$AF$11)),
         0)</f>
        <v>0</v>
      </c>
      <c r="AK383" s="453">
        <f ca="1">IF(AND($D383="Serviço",AK$12&lt;&gt;0,$H383&gt;0,OR(AUTOEVENTO&lt;&gt;"manual",$M383&lt;&gt;$A$15)),
        IF(Import.TipoArredondamento&lt;&gt;"TransfereGOV",
              ROUND(OFFSET($P383,0,AK$13),15-13*ORÇAMENTO!$AF$7)/$H383*OFFSET(ORÇAMENTO!$X$15,ROW(AK383)-ROW(AK$15),0),
              ROUND(ROUND(OFFSET($P383,0,AK$13),15-13*ORÇAMENTO!$AF$7)*OFFSET(ORÇAMENTO!$W$15,ROW(AK383)-ROW(AK$15),0),15-13*ORÇAMENTO!$AF$11)),
         0)</f>
        <v>0</v>
      </c>
      <c r="AL383" s="453">
        <f ca="1">IF(AND($D383="Serviço",AL$12&lt;&gt;0,$H383&gt;0,OR(AUTOEVENTO&lt;&gt;"manual",$M383&lt;&gt;$A$15)),
        IF(Import.TipoArredondamento&lt;&gt;"TransfereGOV",
              ROUND(OFFSET($P383,0,AL$13),15-13*ORÇAMENTO!$AF$7)/$H383*OFFSET(ORÇAMENTO!$X$15,ROW(AL383)-ROW(AL$15),0),
              ROUND(ROUND(OFFSET($P383,0,AL$13),15-13*ORÇAMENTO!$AF$7)*OFFSET(ORÇAMENTO!$W$15,ROW(AL383)-ROW(AL$15),0),15-13*ORÇAMENTO!$AF$11)),
         0)</f>
        <v>0</v>
      </c>
      <c r="AM383" s="453">
        <f ca="1">IF(AND($D383="Serviço",AM$12&lt;&gt;0,$H383&gt;0,OR(AUTOEVENTO&lt;&gt;"manual",$M383&lt;&gt;$A$15)),
        IF(Import.TipoArredondamento&lt;&gt;"TransfereGOV",
              ROUND(OFFSET($P383,0,AM$13),15-13*ORÇAMENTO!$AF$7)/$H383*OFFSET(ORÇAMENTO!$X$15,ROW(AM383)-ROW(AM$15),0),
              ROUND(ROUND(OFFSET($P383,0,AM$13),15-13*ORÇAMENTO!$AF$7)*OFFSET(ORÇAMENTO!$W$15,ROW(AM383)-ROW(AM$15),0),15-13*ORÇAMENTO!$AF$11)),
         0)</f>
        <v>0</v>
      </c>
      <c r="AN383" s="453">
        <f ca="1">IF(AND($D383="Serviço",AN$12&lt;&gt;0,$H383&gt;0,OR(AUTOEVENTO&lt;&gt;"manual",$M383&lt;&gt;$A$15)),
        IF(Import.TipoArredondamento&lt;&gt;"TransfereGOV",
              ROUND(OFFSET($P383,0,AN$13),15-13*ORÇAMENTO!$AF$7)/$H383*OFFSET(ORÇAMENTO!$X$15,ROW(AN383)-ROW(AN$15),0),
              ROUND(ROUND(OFFSET($P383,0,AN$13),15-13*ORÇAMENTO!$AF$7)*OFFSET(ORÇAMENTO!$W$15,ROW(AN383)-ROW(AN$15),0),15-13*ORÇAMENTO!$AF$11)),
         0)</f>
        <v>0</v>
      </c>
      <c r="AO383" s="453">
        <f ca="1">IF(AND($D383="Serviço",AO$12&lt;&gt;0,$H383&gt;0,OR(AUTOEVENTO&lt;&gt;"manual",$M383&lt;&gt;$A$15)),
        IF(Import.TipoArredondamento&lt;&gt;"TransfereGOV",
              ROUND(OFFSET($P383,0,AO$13),15-13*ORÇAMENTO!$AF$7)/$H383*OFFSET(ORÇAMENTO!$X$15,ROW(AO383)-ROW(AO$15),0),
              ROUND(ROUND(OFFSET($P383,0,AO$13),15-13*ORÇAMENTO!$AF$7)*OFFSET(ORÇAMENTO!$W$15,ROW(AO383)-ROW(AO$15),0),15-13*ORÇAMENTO!$AF$11)),
         0)</f>
        <v>0</v>
      </c>
      <c r="AP383" s="453">
        <f ca="1">IF(AND($D383="Serviço",AP$12&lt;&gt;0,$H383&gt;0,OR(AUTOEVENTO&lt;&gt;"manual",$M383&lt;&gt;$A$15)),
        IF(Import.TipoArredondamento&lt;&gt;"TransfereGOV",
              ROUND(OFFSET($P383,0,AP$13),15-13*ORÇAMENTO!$AF$7)/$H383*OFFSET(ORÇAMENTO!$X$15,ROW(AP383)-ROW(AP$15),0),
              ROUND(ROUND(OFFSET($P383,0,AP$13),15-13*ORÇAMENTO!$AF$7)*OFFSET(ORÇAMENTO!$W$15,ROW(AP383)-ROW(AP$15),0),15-13*ORÇAMENTO!$AF$11)),
         0)</f>
        <v>0</v>
      </c>
      <c r="AQ383" s="453">
        <f ca="1">IF(AND($D383="Serviço",AQ$12&lt;&gt;0,$H383&gt;0,OR(AUTOEVENTO&lt;&gt;"manual",$M383&lt;&gt;$A$15)),
        IF(Import.TipoArredondamento&lt;&gt;"TransfereGOV",
              ROUND(OFFSET($P383,0,AQ$13),15-13*ORÇAMENTO!$AF$7)/$H383*OFFSET(ORÇAMENTO!$X$15,ROW(AQ383)-ROW(AQ$15),0),
              ROUND(ROUND(OFFSET($P383,0,AQ$13),15-13*ORÇAMENTO!$AF$7)*OFFSET(ORÇAMENTO!$W$15,ROW(AQ383)-ROW(AQ$15),0),15-13*ORÇAMENTO!$AF$11)),
         0)</f>
        <v>0</v>
      </c>
      <c r="AR383" s="453">
        <f ca="1">IF(AND($D383="Serviço",AR$12&lt;&gt;0,$H383&gt;0,OR(AUTOEVENTO&lt;&gt;"manual",$M383&lt;&gt;$A$15)),
        IF(Import.TipoArredondamento&lt;&gt;"TransfereGOV",
              ROUND(OFFSET($P383,0,AR$13),15-13*ORÇAMENTO!$AF$7)/$H383*OFFSET(ORÇAMENTO!$X$15,ROW(AR383)-ROW(AR$15),0),
              ROUND(ROUND(OFFSET($P383,0,AR$13),15-13*ORÇAMENTO!$AF$7)*OFFSET(ORÇAMENTO!$W$15,ROW(AR383)-ROW(AR$15),0),15-13*ORÇAMENTO!$AF$11)),
         0)</f>
        <v>0</v>
      </c>
      <c r="AS383" s="453">
        <f ca="1">IF(AND($D383="Serviço",AS$12&lt;&gt;0,$H383&gt;0,OR(AUTOEVENTO&lt;&gt;"manual",$M383&lt;&gt;$A$15)),
        IF(Import.TipoArredondamento&lt;&gt;"TransfereGOV",
              ROUND(OFFSET($P383,0,AS$13),15-13*ORÇAMENTO!$AF$7)/$H383*OFFSET(ORÇAMENTO!$X$15,ROW(AS383)-ROW(AS$15),0),
              ROUND(ROUND(OFFSET($P383,0,AS$13),15-13*ORÇAMENTO!$AF$7)*OFFSET(ORÇAMENTO!$W$15,ROW(AS383)-ROW(AS$15),0),15-13*ORÇAMENTO!$AF$11)),
         0)</f>
        <v>0</v>
      </c>
      <c r="AT383" s="453">
        <f ca="1">IF(AND($D383="Serviço",AT$12&lt;&gt;0,$H383&gt;0,OR(AUTOEVENTO&lt;&gt;"manual",$M383&lt;&gt;$A$15)),
        IF(Import.TipoArredondamento&lt;&gt;"TransfereGOV",
              ROUND(OFFSET($P383,0,AT$13),15-13*ORÇAMENTO!$AF$7)/$H383*OFFSET(ORÇAMENTO!$X$15,ROW(AT383)-ROW(AT$15),0),
              ROUND(ROUND(OFFSET($P383,0,AT$13),15-13*ORÇAMENTO!$AF$7)*OFFSET(ORÇAMENTO!$W$15,ROW(AT383)-ROW(AT$15),0),15-13*ORÇAMENTO!$AF$11)),
         0)</f>
        <v>0</v>
      </c>
      <c r="AU383" s="453">
        <f ca="1">IF(AND($D383="Serviço",AU$12&lt;&gt;0,$H383&gt;0,OR(AUTOEVENTO&lt;&gt;"manual",$M383&lt;&gt;$A$15)),
        IF(Import.TipoArredondamento&lt;&gt;"TransfereGOV",
              ROUND(OFFSET($P383,0,AU$13),15-13*ORÇAMENTO!$AF$7)/$H383*OFFSET(ORÇAMENTO!$X$15,ROW(AU383)-ROW(AU$15),0),
              ROUND(ROUND(OFFSET($P383,0,AU$13),15-13*ORÇAMENTO!$AF$7)*OFFSET(ORÇAMENTO!$W$15,ROW(AU383)-ROW(AU$15),0),15-13*ORÇAMENTO!$AF$11)),
         0)</f>
        <v>0</v>
      </c>
      <c r="AV383" s="453">
        <f ca="1">IF(AND($D383="Serviço",AV$12&lt;&gt;0,$H383&gt;0,OR(AUTOEVENTO&lt;&gt;"manual",$M383&lt;&gt;$A$15)),
        IF(Import.TipoArredondamento&lt;&gt;"TransfereGOV",
              ROUND(OFFSET($P383,0,AV$13),15-13*ORÇAMENTO!$AF$7)/$H383*OFFSET(ORÇAMENTO!$X$15,ROW(AV383)-ROW(AV$15),0),
              ROUND(ROUND(OFFSET($P383,0,AV$13),15-13*ORÇAMENTO!$AF$7)*OFFSET(ORÇAMENTO!$W$15,ROW(AV383)-ROW(AV$15),0),15-13*ORÇAMENTO!$AF$11)),
         0)</f>
        <v>0</v>
      </c>
      <c r="AW383" s="453">
        <f ca="1">IF(AND($D383="Serviço",AW$12&lt;&gt;0,$H383&gt;0,OR(AUTOEVENTO&lt;&gt;"manual",$M383&lt;&gt;$A$15)),
        IF(Import.TipoArredondamento&lt;&gt;"TransfereGOV",
              ROUND(OFFSET($P383,0,AW$13),15-13*ORÇAMENTO!$AF$7)/$H383*OFFSET(ORÇAMENTO!$X$15,ROW(AW383)-ROW(AW$15),0),
              ROUND(ROUND(OFFSET($P383,0,AW$13),15-13*ORÇAMENTO!$AF$7)*OFFSET(ORÇAMENTO!$W$15,ROW(AW383)-ROW(AW$15),0),15-13*ORÇAMENTO!$AF$11)),
         0)</f>
        <v>0</v>
      </c>
      <c r="AX383" s="453">
        <f ca="1">IF(AND($D383="Serviço",AX$12&lt;&gt;0,$H383&gt;0,OR(AUTOEVENTO&lt;&gt;"manual",$M383&lt;&gt;$A$15)),
        IF(Import.TipoArredondamento&lt;&gt;"TransfereGOV",
              ROUND(OFFSET($P383,0,AX$13),15-13*ORÇAMENTO!$AF$7)/$H383*OFFSET(ORÇAMENTO!$X$15,ROW(AX383)-ROW(AX$15),0),
              ROUND(ROUND(OFFSET($P383,0,AX$13),15-13*ORÇAMENTO!$AF$7)*OFFSET(ORÇAMENTO!$W$15,ROW(AX383)-ROW(AX$15),0),15-13*ORÇAMENTO!$AF$11)),
         0)</f>
        <v>0</v>
      </c>
      <c r="AY383" s="453">
        <f ca="1">IF(AND($D383="Serviço",AY$12&lt;&gt;0,$H383&gt;0,OR(AUTOEVENTO&lt;&gt;"manual",$M383&lt;&gt;$A$15)),
        IF(Import.TipoArredondamento&lt;&gt;"TransfereGOV",
              ROUND(OFFSET($P383,0,AY$13),15-13*ORÇAMENTO!$AF$7)/$H383*OFFSET(ORÇAMENTO!$X$15,ROW(AY383)-ROW(AY$15),0),
              ROUND(ROUND(OFFSET($P383,0,AY$13),15-13*ORÇAMENTO!$AF$7)*OFFSET(ORÇAMENTO!$W$15,ROW(AY383)-ROW(AY$15),0),15-13*ORÇAMENTO!$AF$11)),
         0)</f>
        <v>0</v>
      </c>
      <c r="AZ383" s="453">
        <f ca="1">IF(AND($D383="Serviço",AZ$12&lt;&gt;0,$H383&gt;0,OR(AUTOEVENTO&lt;&gt;"manual",$M383&lt;&gt;$A$15)),
        IF(Import.TipoArredondamento&lt;&gt;"TransfereGOV",
              ROUND(OFFSET($P383,0,AZ$13),15-13*ORÇAMENTO!$AF$7)/$H383*OFFSET(ORÇAMENTO!$X$15,ROW(AZ383)-ROW(AZ$15),0),
              ROUND(ROUND(OFFSET($P383,0,AZ$13),15-13*ORÇAMENTO!$AF$7)*OFFSET(ORÇAMENTO!$W$15,ROW(AZ383)-ROW(AZ$15),0),15-13*ORÇAMENTO!$AF$11)),
         0)</f>
        <v>0</v>
      </c>
      <c r="BA383" s="453">
        <f ca="1">IF(AND($D383="Serviço",BA$12&lt;&gt;0,$H383&gt;0,OR(AUTOEVENTO&lt;&gt;"manual",$M383&lt;&gt;$A$15)),
        IF(Import.TipoArredondamento&lt;&gt;"TransfereGOV",
              ROUND(OFFSET($P383,0,BA$13),15-13*ORÇAMENTO!$AF$7)/$H383*OFFSET(ORÇAMENTO!$X$15,ROW(BA383)-ROW(BA$15),0),
              ROUND(ROUND(OFFSET($P383,0,BA$13),15-13*ORÇAMENTO!$AF$7)*OFFSET(ORÇAMENTO!$W$15,ROW(BA383)-ROW(BA$15),0),15-13*ORÇAMENTO!$AF$11)),
         0)</f>
        <v>0</v>
      </c>
      <c r="BC383" s="171">
        <f ca="1">IF(OR($D383&lt;&gt;"Serviço",AND(AUTOEVENTO="Manual",$M383=$A$15)),0,
         IF(OFFSET(CRONOPLE!$F$15,$M383-$A$15,BC$13)=0,10^12,OFFSET(CRONOPLE!$F$15,$M383-$A$15,BC$13)))</f>
        <v>1</v>
      </c>
      <c r="BD383" s="171">
        <f ca="1">IF(OR($D383&lt;&gt;"Serviço",AND(AUTOEVENTO="Manual",$M383=$A$15)),0,
         IF(OFFSET(CRONOPLE!$F$15,$M383-$A$15,BD$13)=0,10^12,OFFSET(CRONOPLE!$F$15,$M383-$A$15,BD$13)))</f>
        <v>2</v>
      </c>
      <c r="BE383" s="171">
        <f ca="1">IF(OR($D383&lt;&gt;"Serviço",AND(AUTOEVENTO="Manual",$M383=$A$15)),0,
         IF(OFFSET(CRONOPLE!$F$15,$M383-$A$15,BE$13)=0,10^12,OFFSET(CRONOPLE!$F$15,$M383-$A$15,BE$13)))</f>
        <v>3</v>
      </c>
      <c r="BF383" s="171">
        <f ca="1">IF(OR($D383&lt;&gt;"Serviço",AND(AUTOEVENTO="Manual",$M383=$A$15)),0,
         IF(OFFSET(CRONOPLE!$F$15,$M383-$A$15,BF$13)=0,10^12,OFFSET(CRONOPLE!$F$15,$M383-$A$15,BF$13)))</f>
        <v>4</v>
      </c>
      <c r="BG383" s="171">
        <f ca="1">IF(OR($D383&lt;&gt;"Serviço",AND(AUTOEVENTO="Manual",$M383=$A$15)),0,
         IF(OFFSET(CRONOPLE!$F$15,$M383-$A$15,BG$13)=0,10^12,OFFSET(CRONOPLE!$F$15,$M383-$A$15,BG$13)))</f>
        <v>5</v>
      </c>
      <c r="BH383" s="171">
        <f ca="1">IF(OR($D383&lt;&gt;"Serviço",AND(AUTOEVENTO="Manual",$M383=$A$15)),0,
         IF(OFFSET(CRONOPLE!$F$15,$M383-$A$15,BH$13)=0,10^12,OFFSET(CRONOPLE!$F$15,$M383-$A$15,BH$13)))</f>
        <v>6</v>
      </c>
      <c r="BI383" s="171">
        <f ca="1">IF(OR($D383&lt;&gt;"Serviço",AND(AUTOEVENTO="Manual",$M383=$A$15)),0,
         IF(OFFSET(CRONOPLE!$F$15,$M383-$A$15,BI$13)=0,10^12,OFFSET(CRONOPLE!$F$15,$M383-$A$15,BI$13)))</f>
        <v>7</v>
      </c>
      <c r="BJ383" s="171">
        <f ca="1">IF(OR($D383&lt;&gt;"Serviço",AND(AUTOEVENTO="Manual",$M383=$A$15)),0,
         IF(OFFSET(CRONOPLE!$F$15,$M383-$A$15,BJ$13)=0,10^12,OFFSET(CRONOPLE!$F$15,$M383-$A$15,BJ$13)))</f>
        <v>8</v>
      </c>
      <c r="BK383" s="171">
        <f ca="1">IF(OR($D383&lt;&gt;"Serviço",AND(AUTOEVENTO="Manual",$M383=$A$15)),0,
         IF(OFFSET(CRONOPLE!$F$15,$M383-$A$15,BK$13)=0,10^12,OFFSET(CRONOPLE!$F$15,$M383-$A$15,BK$13)))</f>
        <v>9</v>
      </c>
      <c r="BL383" s="171">
        <f ca="1">IF(OR($D383&lt;&gt;"Serviço",AND(AUTOEVENTO="Manual",$M383=$A$15)),0,
         IF(OFFSET(CRONOPLE!$F$15,$M383-$A$15,BL$13)=0,10^12,OFFSET(CRONOPLE!$F$15,$M383-$A$15,BL$13)))</f>
        <v>1000000000000</v>
      </c>
      <c r="BM383" s="171">
        <f ca="1">IF(OR($D383&lt;&gt;"Serviço",AND(AUTOEVENTO="Manual",$M383=$A$15)),0,
         IF(OFFSET(CRONOPLE!$F$15,$M383-$A$15,BM$13)=0,10^12,OFFSET(CRONOPLE!$F$15,$M383-$A$15,BM$13)))</f>
        <v>1000000000000</v>
      </c>
      <c r="BN383" s="171">
        <f ca="1">IF(OR($D383&lt;&gt;"Serviço",AND(AUTOEVENTO="Manual",$M383=$A$15)),0,
         IF(OFFSET(CRONOPLE!$F$15,$M383-$A$15,BN$13)=0,10^12,OFFSET(CRONOPLE!$F$15,$M383-$A$15,BN$13)))</f>
        <v>1000000000000</v>
      </c>
      <c r="BO383" s="171">
        <f ca="1">IF(OR($D383&lt;&gt;"Serviço",AND(AUTOEVENTO="Manual",$M383=$A$15)),0,
         IF(OFFSET(CRONOPLE!$F$15,$M383-$A$15,BO$13)=0,10^12,OFFSET(CRONOPLE!$F$15,$M383-$A$15,BO$13)))</f>
        <v>1000000000000</v>
      </c>
      <c r="BP383" s="171">
        <f ca="1">IF(OR($D383&lt;&gt;"Serviço",AND(AUTOEVENTO="Manual",$M383=$A$15)),0,
         IF(OFFSET(CRONOPLE!$F$15,$M383-$A$15,BP$13)=0,10^12,OFFSET(CRONOPLE!$F$15,$M383-$A$15,BP$13)))</f>
        <v>1000000000000</v>
      </c>
      <c r="BQ383" s="171">
        <f ca="1">IF(OR($D383&lt;&gt;"Serviço",AND(AUTOEVENTO="Manual",$M383=$A$15)),0,
         IF(OFFSET(CRONOPLE!$F$15,$M383-$A$15,BQ$13)=0,10^12,OFFSET(CRONOPLE!$F$15,$M383-$A$15,BQ$13)))</f>
        <v>1000000000000</v>
      </c>
      <c r="BR383" s="171">
        <f ca="1">IF(OR($D383&lt;&gt;"Serviço",AND(AUTOEVENTO="Manual",$M383=$A$15)),0,
         IF(OFFSET(CRONOPLE!$F$15,$M383-$A$15,BR$13)=0,10^12,OFFSET(CRONOPLE!$F$15,$M383-$A$15,BR$13)))</f>
        <v>1000000000000</v>
      </c>
      <c r="BS383" s="171">
        <f ca="1">IF(OR($D383&lt;&gt;"Serviço",AND(AUTOEVENTO="Manual",$M383=$A$15)),0,
         IF(OFFSET(CRONOPLE!$F$15,$M383-$A$15,BS$13)=0,10^12,OFFSET(CRONOPLE!$F$15,$M383-$A$15,BS$13)))</f>
        <v>1000000000000</v>
      </c>
      <c r="BT383" s="171">
        <f ca="1">IF(OR($D383&lt;&gt;"Serviço",AND(AUTOEVENTO="Manual",$M383=$A$15)),0,
         IF(OFFSET(CRONOPLE!$F$15,$M383-$A$15,BT$13)=0,10^12,OFFSET(CRONOPLE!$F$15,$M383-$A$15,BT$13)))</f>
        <v>1000000000000</v>
      </c>
      <c r="BV383" s="172">
        <f ca="1">IF(OR($D383&lt;&gt;"Serviço",AND(AUTOEVENTO="Manual",$M383=$A$15),$M383&gt;(ROW(PLE.lastrow)-ROW(PLE.firstrow))),0,
           IF(OFFSET(PLE!$G$15,$M383-$A$15,BV$13)="",10^12,OFFSET(PLE!$G$15,$M383-$A$15,BV$13)))</f>
        <v>1000000000000</v>
      </c>
      <c r="BW383" s="172">
        <f ca="1">IF(OR($D383&lt;&gt;"Serviço",AND(AUTOEVENTO="Manual",$M383=$A$15),$M383&gt;(ROW(PLE.lastrow)-ROW(PLE.firstrow))),0,
           IF(OFFSET(PLE!$G$15,$M383-$A$15,BW$13)="",10^12,OFFSET(PLE!$G$15,$M383-$A$15,BW$13)))</f>
        <v>1000000000000</v>
      </c>
      <c r="BX383" s="172">
        <f ca="1">IF(OR($D383&lt;&gt;"Serviço",AND(AUTOEVENTO="Manual",$M383=$A$15),$M383&gt;(ROW(PLE.lastrow)-ROW(PLE.firstrow))),0,
           IF(OFFSET(PLE!$G$15,$M383-$A$15,BX$13)="",10^12,OFFSET(PLE!$G$15,$M383-$A$15,BX$13)))</f>
        <v>1000000000000</v>
      </c>
      <c r="BY383" s="172">
        <f ca="1">IF(OR($D383&lt;&gt;"Serviço",AND(AUTOEVENTO="Manual",$M383=$A$15),$M383&gt;(ROW(PLE.lastrow)-ROW(PLE.firstrow))),0,
           IF(OFFSET(PLE!$G$15,$M383-$A$15,BY$13)="",10^12,OFFSET(PLE!$G$15,$M383-$A$15,BY$13)))</f>
        <v>1000000000000</v>
      </c>
      <c r="BZ383" s="172">
        <f ca="1">IF(OR($D383&lt;&gt;"Serviço",AND(AUTOEVENTO="Manual",$M383=$A$15),$M383&gt;(ROW(PLE.lastrow)-ROW(PLE.firstrow))),0,
           IF(OFFSET(PLE!$G$15,$M383-$A$15,BZ$13)="",10^12,OFFSET(PLE!$G$15,$M383-$A$15,BZ$13)))</f>
        <v>1000000000000</v>
      </c>
      <c r="CA383" s="172">
        <f ca="1">IF(OR($D383&lt;&gt;"Serviço",AND(AUTOEVENTO="Manual",$M383=$A$15),$M383&gt;(ROW(PLE.lastrow)-ROW(PLE.firstrow))),0,
           IF(OFFSET(PLE!$G$15,$M383-$A$15,CA$13)="",10^12,OFFSET(PLE!$G$15,$M383-$A$15,CA$13)))</f>
        <v>1000000000000</v>
      </c>
      <c r="CB383" s="172">
        <f ca="1">IF(OR($D383&lt;&gt;"Serviço",AND(AUTOEVENTO="Manual",$M383=$A$15),$M383&gt;(ROW(PLE.lastrow)-ROW(PLE.firstrow))),0,
           IF(OFFSET(PLE!$G$15,$M383-$A$15,CB$13)="",10^12,OFFSET(PLE!$G$15,$M383-$A$15,CB$13)))</f>
        <v>1000000000000</v>
      </c>
      <c r="CC383" s="172">
        <f ca="1">IF(OR($D383&lt;&gt;"Serviço",AND(AUTOEVENTO="Manual",$M383=$A$15),$M383&gt;(ROW(PLE.lastrow)-ROW(PLE.firstrow))),0,
           IF(OFFSET(PLE!$G$15,$M383-$A$15,CC$13)="",10^12,OFFSET(PLE!$G$15,$M383-$A$15,CC$13)))</f>
        <v>1000000000000</v>
      </c>
      <c r="CD383" s="172">
        <f ca="1">IF(OR($D383&lt;&gt;"Serviço",AND(AUTOEVENTO="Manual",$M383=$A$15),$M383&gt;(ROW(PLE.lastrow)-ROW(PLE.firstrow))),0,
           IF(OFFSET(PLE!$G$15,$M383-$A$15,CD$13)="",10^12,OFFSET(PLE!$G$15,$M383-$A$15,CD$13)))</f>
        <v>1000000000000</v>
      </c>
      <c r="CE383" s="172">
        <f ca="1">IF(OR($D383&lt;&gt;"Serviço",AND(AUTOEVENTO="Manual",$M383=$A$15),$M383&gt;(ROW(PLE.lastrow)-ROW(PLE.firstrow))),0,
           IF(OFFSET(PLE!$G$15,$M383-$A$15,CE$13)="",10^12,OFFSET(PLE!$G$15,$M383-$A$15,CE$13)))</f>
        <v>1000000000000</v>
      </c>
      <c r="CF383" s="172">
        <f ca="1">IF(OR($D383&lt;&gt;"Serviço",AND(AUTOEVENTO="Manual",$M383=$A$15),$M383&gt;(ROW(PLE.lastrow)-ROW(PLE.firstrow))),0,
           IF(OFFSET(PLE!$G$15,$M383-$A$15,CF$13)="",10^12,OFFSET(PLE!$G$15,$M383-$A$15,CF$13)))</f>
        <v>1000000000000</v>
      </c>
      <c r="CG383" s="172">
        <f ca="1">IF(OR($D383&lt;&gt;"Serviço",AND(AUTOEVENTO="Manual",$M383=$A$15),$M383&gt;(ROW(PLE.lastrow)-ROW(PLE.firstrow))),0,
           IF(OFFSET(PLE!$G$15,$M383-$A$15,CG$13)="",10^12,OFFSET(PLE!$G$15,$M383-$A$15,CG$13)))</f>
        <v>1000000000000</v>
      </c>
      <c r="CH383" s="172">
        <f ca="1">IF(OR($D383&lt;&gt;"Serviço",AND(AUTOEVENTO="Manual",$M383=$A$15),$M383&gt;(ROW(PLE.lastrow)-ROW(PLE.firstrow))),0,
           IF(OFFSET(PLE!$G$15,$M383-$A$15,CH$13)="",10^12,OFFSET(PLE!$G$15,$M383-$A$15,CH$13)))</f>
        <v>1000000000000</v>
      </c>
      <c r="CI383" s="172">
        <f ca="1">IF(OR($D383&lt;&gt;"Serviço",AND(AUTOEVENTO="Manual",$M383=$A$15),$M383&gt;(ROW(PLE.lastrow)-ROW(PLE.firstrow))),0,
           IF(OFFSET(PLE!$G$15,$M383-$A$15,CI$13)="",10^12,OFFSET(PLE!$G$15,$M383-$A$15,CI$13)))</f>
        <v>1000000000000</v>
      </c>
      <c r="CJ383" s="172">
        <f ca="1">IF(OR($D383&lt;&gt;"Serviço",AND(AUTOEVENTO="Manual",$M383=$A$15),$M383&gt;(ROW(PLE.lastrow)-ROW(PLE.firstrow))),0,
           IF(OFFSET(PLE!$G$15,$M383-$A$15,CJ$13)="",10^12,OFFSET(PLE!$G$15,$M383-$A$15,CJ$13)))</f>
        <v>1000000000000</v>
      </c>
      <c r="CK383" s="172">
        <f ca="1">IF(OR($D383&lt;&gt;"Serviço",AND(AUTOEVENTO="Manual",$M383=$A$15),$M383&gt;(ROW(PLE.lastrow)-ROW(PLE.firstrow))),0,
           IF(OFFSET(PLE!$G$15,$M383-$A$15,CK$13)="",10^12,OFFSET(PLE!$G$15,$M383-$A$15,CK$13)))</f>
        <v>1000000000000</v>
      </c>
      <c r="CL383" s="172">
        <f ca="1">IF(OR($D383&lt;&gt;"Serviço",AND(AUTOEVENTO="Manual",$M383=$A$15),$M383&gt;(ROW(PLE.lastrow)-ROW(PLE.firstrow))),0,
           IF(OFFSET(PLE!$G$15,$M383-$A$15,CL$13)="",10^12,OFFSET(PLE!$G$15,$M383-$A$15,CL$13)))</f>
        <v>1000000000000</v>
      </c>
      <c r="CM383" s="172">
        <f ca="1">IF(OR($D383&lt;&gt;"Serviço",AND(AUTOEVENTO="Manual",$M383=$A$15),$M383&gt;(ROW(PLE.lastrow)-ROW(PLE.firstrow))),0,
           IF(OFFSET(PLE!$G$15,$M383-$A$15,CM$13)="",10^12,OFFSET(PLE!$G$15,$M383-$A$15,CM$13)))</f>
        <v>1000000000000</v>
      </c>
    </row>
    <row r="384" spans="1:91" ht="12.75" x14ac:dyDescent="0.2">
      <c r="A384" s="7">
        <f t="shared" ca="1" si="15"/>
        <v>0</v>
      </c>
      <c r="B384" s="7">
        <f ca="1">OFFSET(ORÇAMENTO!C$15,ROW(B384)-ROW(B$15),0)</f>
        <v>3</v>
      </c>
      <c r="C384" s="7" t="str">
        <f ca="1">OFFSET(ORÇAMENTO!L$15,ROW(C384)-ROW(C$15),0)</f>
        <v>F</v>
      </c>
      <c r="D384" s="116" t="str">
        <f ca="1">OFFSET(ORÇAMENTO!N$15,ROW(D384)-ROW(D$15),0)</f>
        <v>Nível 3</v>
      </c>
      <c r="E384" s="117" t="str">
        <f ca="1">OFFSET(ORÇAMENTO!O$15,ROW(E384)-ROW(E$15),0)</f>
        <v>1.8.2.</v>
      </c>
      <c r="F384" s="163" t="str">
        <f ca="1">OFFSET(ORÇAMENTO!R$15,ROW(F384)-ROW(F$15),0)</f>
        <v>INSTALAÇÕES ELÉTRICAS - FASE II</v>
      </c>
      <c r="G384" s="164" t="str">
        <f ca="1">IF($D384&lt;&gt;"Serviço","",OFFSET(ORÇAMENTO!S$15,ROW(G384)-ROW(G$15),0))</f>
        <v/>
      </c>
      <c r="H384" s="122" cm="1">
        <f t="array" aca="1" ref="H384" ca="1">IF($D384&lt;&gt;"Serviço",0,IF(ACOMPANHAMENTO="BM",ROUND(OFFSET(ORÇAMENTO!AJ$15,ROW(H384)-ROW(H$15),0),15-13*ORÇAMENTO!$AF$7),SUMPRODUCT(($Q$1:$AI$1=1)*ROUND($Q384:$AI384,15-13*ORÇAMENTO!$AF$7))))</f>
        <v>0</v>
      </c>
      <c r="I384" s="468"/>
      <c r="J384" s="640" t="str" cm="1">
        <f t="array" aca="1" ref="J384" ca="1">IF(OR(B384&lt;&gt;"S",CÁLCULO.FrentesPreenchidas=0),"",IF(AND(ACOMPANHAMENTO="PLE",AUTOEVENTO="Manual",OR(H384&gt;0,ORÇAMENTO!AC384="QUANT."),OR(K384="",M384=0,N384="")),"►E",IF(AND(ACOMPANHAMENTO="PLE",ORÇAMENTO!AC384="QUANT."),"►Q",IF(AND(ACOMPANHAMENTO="PLE",H384&lt;&gt;SUMPRODUCT(($Q$1:$AI$1=1)*ROUND(Q384:AI384,15))),"►S",IF(AND(COUNTIF($P$11:$AI$11,"▼")=0,H384&gt;0,I384=""),"◄M","")))))</f>
        <v/>
      </c>
      <c r="K384" s="641"/>
      <c r="L384" s="165" t="s">
        <v>764</v>
      </c>
      <c r="M384" s="166" t="str">
        <f ca="1">IF($D384&lt;&gt;"Serviço","",
          IF(AUTOEVENTO="manual",$A384,
                IF(ISERROR(MATCH($A384,$A$15:OFFSET($A384,-1,0),0)),MAX($M$15:OFFSET(M384,-1,0))+1,
                      INDEX($M$15:OFFSET(M384,-1,0),MATCH($A384,$A$15:OFFSET($A384,-1,0),0)))))</f>
        <v/>
      </c>
      <c r="N384" s="167" t="str">
        <f ca="1">IF($D384&lt;&gt;"Serviço","",
         IF(AUTOEVENTO="Manual",
                IF($A384=0,"&lt;-- defina o número do agrupador",
                       OFFSET(EVENTOS!$D$15,$A384-$A$15,0)),
                OFFSET($F$15,$A384,0)))</f>
        <v/>
      </c>
      <c r="O384" s="168"/>
      <c r="Q384" s="168"/>
      <c r="R384" s="169"/>
      <c r="S384" s="169"/>
      <c r="T384" s="169"/>
      <c r="U384" s="169"/>
      <c r="V384" s="169"/>
      <c r="W384" s="169"/>
      <c r="X384" s="169"/>
      <c r="Y384" s="169"/>
      <c r="Z384" s="170"/>
      <c r="AA384" s="169"/>
      <c r="AB384" s="169"/>
      <c r="AC384" s="169"/>
      <c r="AD384" s="169"/>
      <c r="AE384" s="169"/>
      <c r="AF384" s="169"/>
      <c r="AG384" s="169"/>
      <c r="AH384" s="170"/>
      <c r="AJ384" s="453">
        <f ca="1">IF(AND($D384="Serviço",AJ$12&lt;&gt;0,$H384&gt;0,OR(AUTOEVENTO&lt;&gt;"manual",$M384&lt;&gt;$A$15)),
        IF(Import.TipoArredondamento&lt;&gt;"TransfereGOV",
              ROUND(OFFSET($P384,0,AJ$13),15-13*ORÇAMENTO!$AF$7)/$H384*OFFSET(ORÇAMENTO!$X$15,ROW(AJ384)-ROW(AJ$15),0),
              ROUND(ROUND(OFFSET($P384,0,AJ$13),15-13*ORÇAMENTO!$AF$7)*OFFSET(ORÇAMENTO!$W$15,ROW(AJ384)-ROW(AJ$15),0),15-13*ORÇAMENTO!$AF$11)),
         0)</f>
        <v>0</v>
      </c>
      <c r="AK384" s="453">
        <f ca="1">IF(AND($D384="Serviço",AK$12&lt;&gt;0,$H384&gt;0,OR(AUTOEVENTO&lt;&gt;"manual",$M384&lt;&gt;$A$15)),
        IF(Import.TipoArredondamento&lt;&gt;"TransfereGOV",
              ROUND(OFFSET($P384,0,AK$13),15-13*ORÇAMENTO!$AF$7)/$H384*OFFSET(ORÇAMENTO!$X$15,ROW(AK384)-ROW(AK$15),0),
              ROUND(ROUND(OFFSET($P384,0,AK$13),15-13*ORÇAMENTO!$AF$7)*OFFSET(ORÇAMENTO!$W$15,ROW(AK384)-ROW(AK$15),0),15-13*ORÇAMENTO!$AF$11)),
         0)</f>
        <v>0</v>
      </c>
      <c r="AL384" s="453">
        <f ca="1">IF(AND($D384="Serviço",AL$12&lt;&gt;0,$H384&gt;0,OR(AUTOEVENTO&lt;&gt;"manual",$M384&lt;&gt;$A$15)),
        IF(Import.TipoArredondamento&lt;&gt;"TransfereGOV",
              ROUND(OFFSET($P384,0,AL$13),15-13*ORÇAMENTO!$AF$7)/$H384*OFFSET(ORÇAMENTO!$X$15,ROW(AL384)-ROW(AL$15),0),
              ROUND(ROUND(OFFSET($P384,0,AL$13),15-13*ORÇAMENTO!$AF$7)*OFFSET(ORÇAMENTO!$W$15,ROW(AL384)-ROW(AL$15),0),15-13*ORÇAMENTO!$AF$11)),
         0)</f>
        <v>0</v>
      </c>
      <c r="AM384" s="453">
        <f ca="1">IF(AND($D384="Serviço",AM$12&lt;&gt;0,$H384&gt;0,OR(AUTOEVENTO&lt;&gt;"manual",$M384&lt;&gt;$A$15)),
        IF(Import.TipoArredondamento&lt;&gt;"TransfereGOV",
              ROUND(OFFSET($P384,0,AM$13),15-13*ORÇAMENTO!$AF$7)/$H384*OFFSET(ORÇAMENTO!$X$15,ROW(AM384)-ROW(AM$15),0),
              ROUND(ROUND(OFFSET($P384,0,AM$13),15-13*ORÇAMENTO!$AF$7)*OFFSET(ORÇAMENTO!$W$15,ROW(AM384)-ROW(AM$15),0),15-13*ORÇAMENTO!$AF$11)),
         0)</f>
        <v>0</v>
      </c>
      <c r="AN384" s="453">
        <f ca="1">IF(AND($D384="Serviço",AN$12&lt;&gt;0,$H384&gt;0,OR(AUTOEVENTO&lt;&gt;"manual",$M384&lt;&gt;$A$15)),
        IF(Import.TipoArredondamento&lt;&gt;"TransfereGOV",
              ROUND(OFFSET($P384,0,AN$13),15-13*ORÇAMENTO!$AF$7)/$H384*OFFSET(ORÇAMENTO!$X$15,ROW(AN384)-ROW(AN$15),0),
              ROUND(ROUND(OFFSET($P384,0,AN$13),15-13*ORÇAMENTO!$AF$7)*OFFSET(ORÇAMENTO!$W$15,ROW(AN384)-ROW(AN$15),0),15-13*ORÇAMENTO!$AF$11)),
         0)</f>
        <v>0</v>
      </c>
      <c r="AO384" s="453">
        <f ca="1">IF(AND($D384="Serviço",AO$12&lt;&gt;0,$H384&gt;0,OR(AUTOEVENTO&lt;&gt;"manual",$M384&lt;&gt;$A$15)),
        IF(Import.TipoArredondamento&lt;&gt;"TransfereGOV",
              ROUND(OFFSET($P384,0,AO$13),15-13*ORÇAMENTO!$AF$7)/$H384*OFFSET(ORÇAMENTO!$X$15,ROW(AO384)-ROW(AO$15),0),
              ROUND(ROUND(OFFSET($P384,0,AO$13),15-13*ORÇAMENTO!$AF$7)*OFFSET(ORÇAMENTO!$W$15,ROW(AO384)-ROW(AO$15),0),15-13*ORÇAMENTO!$AF$11)),
         0)</f>
        <v>0</v>
      </c>
      <c r="AP384" s="453">
        <f ca="1">IF(AND($D384="Serviço",AP$12&lt;&gt;0,$H384&gt;0,OR(AUTOEVENTO&lt;&gt;"manual",$M384&lt;&gt;$A$15)),
        IF(Import.TipoArredondamento&lt;&gt;"TransfereGOV",
              ROUND(OFFSET($P384,0,AP$13),15-13*ORÇAMENTO!$AF$7)/$H384*OFFSET(ORÇAMENTO!$X$15,ROW(AP384)-ROW(AP$15),0),
              ROUND(ROUND(OFFSET($P384,0,AP$13),15-13*ORÇAMENTO!$AF$7)*OFFSET(ORÇAMENTO!$W$15,ROW(AP384)-ROW(AP$15),0),15-13*ORÇAMENTO!$AF$11)),
         0)</f>
        <v>0</v>
      </c>
      <c r="AQ384" s="453">
        <f ca="1">IF(AND($D384="Serviço",AQ$12&lt;&gt;0,$H384&gt;0,OR(AUTOEVENTO&lt;&gt;"manual",$M384&lt;&gt;$A$15)),
        IF(Import.TipoArredondamento&lt;&gt;"TransfereGOV",
              ROUND(OFFSET($P384,0,AQ$13),15-13*ORÇAMENTO!$AF$7)/$H384*OFFSET(ORÇAMENTO!$X$15,ROW(AQ384)-ROW(AQ$15),0),
              ROUND(ROUND(OFFSET($P384,0,AQ$13),15-13*ORÇAMENTO!$AF$7)*OFFSET(ORÇAMENTO!$W$15,ROW(AQ384)-ROW(AQ$15),0),15-13*ORÇAMENTO!$AF$11)),
         0)</f>
        <v>0</v>
      </c>
      <c r="AR384" s="453">
        <f ca="1">IF(AND($D384="Serviço",AR$12&lt;&gt;0,$H384&gt;0,OR(AUTOEVENTO&lt;&gt;"manual",$M384&lt;&gt;$A$15)),
        IF(Import.TipoArredondamento&lt;&gt;"TransfereGOV",
              ROUND(OFFSET($P384,0,AR$13),15-13*ORÇAMENTO!$AF$7)/$H384*OFFSET(ORÇAMENTO!$X$15,ROW(AR384)-ROW(AR$15),0),
              ROUND(ROUND(OFFSET($P384,0,AR$13),15-13*ORÇAMENTO!$AF$7)*OFFSET(ORÇAMENTO!$W$15,ROW(AR384)-ROW(AR$15),0),15-13*ORÇAMENTO!$AF$11)),
         0)</f>
        <v>0</v>
      </c>
      <c r="AS384" s="453">
        <f ca="1">IF(AND($D384="Serviço",AS$12&lt;&gt;0,$H384&gt;0,OR(AUTOEVENTO&lt;&gt;"manual",$M384&lt;&gt;$A$15)),
        IF(Import.TipoArredondamento&lt;&gt;"TransfereGOV",
              ROUND(OFFSET($P384,0,AS$13),15-13*ORÇAMENTO!$AF$7)/$H384*OFFSET(ORÇAMENTO!$X$15,ROW(AS384)-ROW(AS$15),0),
              ROUND(ROUND(OFFSET($P384,0,AS$13),15-13*ORÇAMENTO!$AF$7)*OFFSET(ORÇAMENTO!$W$15,ROW(AS384)-ROW(AS$15),0),15-13*ORÇAMENTO!$AF$11)),
         0)</f>
        <v>0</v>
      </c>
      <c r="AT384" s="453">
        <f ca="1">IF(AND($D384="Serviço",AT$12&lt;&gt;0,$H384&gt;0,OR(AUTOEVENTO&lt;&gt;"manual",$M384&lt;&gt;$A$15)),
        IF(Import.TipoArredondamento&lt;&gt;"TransfereGOV",
              ROUND(OFFSET($P384,0,AT$13),15-13*ORÇAMENTO!$AF$7)/$H384*OFFSET(ORÇAMENTO!$X$15,ROW(AT384)-ROW(AT$15),0),
              ROUND(ROUND(OFFSET($P384,0,AT$13),15-13*ORÇAMENTO!$AF$7)*OFFSET(ORÇAMENTO!$W$15,ROW(AT384)-ROW(AT$15),0),15-13*ORÇAMENTO!$AF$11)),
         0)</f>
        <v>0</v>
      </c>
      <c r="AU384" s="453">
        <f ca="1">IF(AND($D384="Serviço",AU$12&lt;&gt;0,$H384&gt;0,OR(AUTOEVENTO&lt;&gt;"manual",$M384&lt;&gt;$A$15)),
        IF(Import.TipoArredondamento&lt;&gt;"TransfereGOV",
              ROUND(OFFSET($P384,0,AU$13),15-13*ORÇAMENTO!$AF$7)/$H384*OFFSET(ORÇAMENTO!$X$15,ROW(AU384)-ROW(AU$15),0),
              ROUND(ROUND(OFFSET($P384,0,AU$13),15-13*ORÇAMENTO!$AF$7)*OFFSET(ORÇAMENTO!$W$15,ROW(AU384)-ROW(AU$15),0),15-13*ORÇAMENTO!$AF$11)),
         0)</f>
        <v>0</v>
      </c>
      <c r="AV384" s="453">
        <f ca="1">IF(AND($D384="Serviço",AV$12&lt;&gt;0,$H384&gt;0,OR(AUTOEVENTO&lt;&gt;"manual",$M384&lt;&gt;$A$15)),
        IF(Import.TipoArredondamento&lt;&gt;"TransfereGOV",
              ROUND(OFFSET($P384,0,AV$13),15-13*ORÇAMENTO!$AF$7)/$H384*OFFSET(ORÇAMENTO!$X$15,ROW(AV384)-ROW(AV$15),0),
              ROUND(ROUND(OFFSET($P384,0,AV$13),15-13*ORÇAMENTO!$AF$7)*OFFSET(ORÇAMENTO!$W$15,ROW(AV384)-ROW(AV$15),0),15-13*ORÇAMENTO!$AF$11)),
         0)</f>
        <v>0</v>
      </c>
      <c r="AW384" s="453">
        <f ca="1">IF(AND($D384="Serviço",AW$12&lt;&gt;0,$H384&gt;0,OR(AUTOEVENTO&lt;&gt;"manual",$M384&lt;&gt;$A$15)),
        IF(Import.TipoArredondamento&lt;&gt;"TransfereGOV",
              ROUND(OFFSET($P384,0,AW$13),15-13*ORÇAMENTO!$AF$7)/$H384*OFFSET(ORÇAMENTO!$X$15,ROW(AW384)-ROW(AW$15),0),
              ROUND(ROUND(OFFSET($P384,0,AW$13),15-13*ORÇAMENTO!$AF$7)*OFFSET(ORÇAMENTO!$W$15,ROW(AW384)-ROW(AW$15),0),15-13*ORÇAMENTO!$AF$11)),
         0)</f>
        <v>0</v>
      </c>
      <c r="AX384" s="453">
        <f ca="1">IF(AND($D384="Serviço",AX$12&lt;&gt;0,$H384&gt;0,OR(AUTOEVENTO&lt;&gt;"manual",$M384&lt;&gt;$A$15)),
        IF(Import.TipoArredondamento&lt;&gt;"TransfereGOV",
              ROUND(OFFSET($P384,0,AX$13),15-13*ORÇAMENTO!$AF$7)/$H384*OFFSET(ORÇAMENTO!$X$15,ROW(AX384)-ROW(AX$15),0),
              ROUND(ROUND(OFFSET($P384,0,AX$13),15-13*ORÇAMENTO!$AF$7)*OFFSET(ORÇAMENTO!$W$15,ROW(AX384)-ROW(AX$15),0),15-13*ORÇAMENTO!$AF$11)),
         0)</f>
        <v>0</v>
      </c>
      <c r="AY384" s="453">
        <f ca="1">IF(AND($D384="Serviço",AY$12&lt;&gt;0,$H384&gt;0,OR(AUTOEVENTO&lt;&gt;"manual",$M384&lt;&gt;$A$15)),
        IF(Import.TipoArredondamento&lt;&gt;"TransfereGOV",
              ROUND(OFFSET($P384,0,AY$13),15-13*ORÇAMENTO!$AF$7)/$H384*OFFSET(ORÇAMENTO!$X$15,ROW(AY384)-ROW(AY$15),0),
              ROUND(ROUND(OFFSET($P384,0,AY$13),15-13*ORÇAMENTO!$AF$7)*OFFSET(ORÇAMENTO!$W$15,ROW(AY384)-ROW(AY$15),0),15-13*ORÇAMENTO!$AF$11)),
         0)</f>
        <v>0</v>
      </c>
      <c r="AZ384" s="453">
        <f ca="1">IF(AND($D384="Serviço",AZ$12&lt;&gt;0,$H384&gt;0,OR(AUTOEVENTO&lt;&gt;"manual",$M384&lt;&gt;$A$15)),
        IF(Import.TipoArredondamento&lt;&gt;"TransfereGOV",
              ROUND(OFFSET($P384,0,AZ$13),15-13*ORÇAMENTO!$AF$7)/$H384*OFFSET(ORÇAMENTO!$X$15,ROW(AZ384)-ROW(AZ$15),0),
              ROUND(ROUND(OFFSET($P384,0,AZ$13),15-13*ORÇAMENTO!$AF$7)*OFFSET(ORÇAMENTO!$W$15,ROW(AZ384)-ROW(AZ$15),0),15-13*ORÇAMENTO!$AF$11)),
         0)</f>
        <v>0</v>
      </c>
      <c r="BA384" s="453">
        <f ca="1">IF(AND($D384="Serviço",BA$12&lt;&gt;0,$H384&gt;0,OR(AUTOEVENTO&lt;&gt;"manual",$M384&lt;&gt;$A$15)),
        IF(Import.TipoArredondamento&lt;&gt;"TransfereGOV",
              ROUND(OFFSET($P384,0,BA$13),15-13*ORÇAMENTO!$AF$7)/$H384*OFFSET(ORÇAMENTO!$X$15,ROW(BA384)-ROW(BA$15),0),
              ROUND(ROUND(OFFSET($P384,0,BA$13),15-13*ORÇAMENTO!$AF$7)*OFFSET(ORÇAMENTO!$W$15,ROW(BA384)-ROW(BA$15),0),15-13*ORÇAMENTO!$AF$11)),
         0)</f>
        <v>0</v>
      </c>
      <c r="BC384" s="171">
        <f ca="1">IF(OR($D384&lt;&gt;"Serviço",AND(AUTOEVENTO="Manual",$M384=$A$15)),0,
         IF(OFFSET(CRONOPLE!$F$15,$M384-$A$15,BC$13)=0,10^12,OFFSET(CRONOPLE!$F$15,$M384-$A$15,BC$13)))</f>
        <v>0</v>
      </c>
      <c r="BD384" s="171">
        <f ca="1">IF(OR($D384&lt;&gt;"Serviço",AND(AUTOEVENTO="Manual",$M384=$A$15)),0,
         IF(OFFSET(CRONOPLE!$F$15,$M384-$A$15,BD$13)=0,10^12,OFFSET(CRONOPLE!$F$15,$M384-$A$15,BD$13)))</f>
        <v>0</v>
      </c>
      <c r="BE384" s="171">
        <f ca="1">IF(OR($D384&lt;&gt;"Serviço",AND(AUTOEVENTO="Manual",$M384=$A$15)),0,
         IF(OFFSET(CRONOPLE!$F$15,$M384-$A$15,BE$13)=0,10^12,OFFSET(CRONOPLE!$F$15,$M384-$A$15,BE$13)))</f>
        <v>0</v>
      </c>
      <c r="BF384" s="171">
        <f ca="1">IF(OR($D384&lt;&gt;"Serviço",AND(AUTOEVENTO="Manual",$M384=$A$15)),0,
         IF(OFFSET(CRONOPLE!$F$15,$M384-$A$15,BF$13)=0,10^12,OFFSET(CRONOPLE!$F$15,$M384-$A$15,BF$13)))</f>
        <v>0</v>
      </c>
      <c r="BG384" s="171">
        <f ca="1">IF(OR($D384&lt;&gt;"Serviço",AND(AUTOEVENTO="Manual",$M384=$A$15)),0,
         IF(OFFSET(CRONOPLE!$F$15,$M384-$A$15,BG$13)=0,10^12,OFFSET(CRONOPLE!$F$15,$M384-$A$15,BG$13)))</f>
        <v>0</v>
      </c>
      <c r="BH384" s="171">
        <f ca="1">IF(OR($D384&lt;&gt;"Serviço",AND(AUTOEVENTO="Manual",$M384=$A$15)),0,
         IF(OFFSET(CRONOPLE!$F$15,$M384-$A$15,BH$13)=0,10^12,OFFSET(CRONOPLE!$F$15,$M384-$A$15,BH$13)))</f>
        <v>0</v>
      </c>
      <c r="BI384" s="171">
        <f ca="1">IF(OR($D384&lt;&gt;"Serviço",AND(AUTOEVENTO="Manual",$M384=$A$15)),0,
         IF(OFFSET(CRONOPLE!$F$15,$M384-$A$15,BI$13)=0,10^12,OFFSET(CRONOPLE!$F$15,$M384-$A$15,BI$13)))</f>
        <v>0</v>
      </c>
      <c r="BJ384" s="171">
        <f ca="1">IF(OR($D384&lt;&gt;"Serviço",AND(AUTOEVENTO="Manual",$M384=$A$15)),0,
         IF(OFFSET(CRONOPLE!$F$15,$M384-$A$15,BJ$13)=0,10^12,OFFSET(CRONOPLE!$F$15,$M384-$A$15,BJ$13)))</f>
        <v>0</v>
      </c>
      <c r="BK384" s="171">
        <f ca="1">IF(OR($D384&lt;&gt;"Serviço",AND(AUTOEVENTO="Manual",$M384=$A$15)),0,
         IF(OFFSET(CRONOPLE!$F$15,$M384-$A$15,BK$13)=0,10^12,OFFSET(CRONOPLE!$F$15,$M384-$A$15,BK$13)))</f>
        <v>0</v>
      </c>
      <c r="BL384" s="171">
        <f ca="1">IF(OR($D384&lt;&gt;"Serviço",AND(AUTOEVENTO="Manual",$M384=$A$15)),0,
         IF(OFFSET(CRONOPLE!$F$15,$M384-$A$15,BL$13)=0,10^12,OFFSET(CRONOPLE!$F$15,$M384-$A$15,BL$13)))</f>
        <v>0</v>
      </c>
      <c r="BM384" s="171">
        <f ca="1">IF(OR($D384&lt;&gt;"Serviço",AND(AUTOEVENTO="Manual",$M384=$A$15)),0,
         IF(OFFSET(CRONOPLE!$F$15,$M384-$A$15,BM$13)=0,10^12,OFFSET(CRONOPLE!$F$15,$M384-$A$15,BM$13)))</f>
        <v>0</v>
      </c>
      <c r="BN384" s="171">
        <f ca="1">IF(OR($D384&lt;&gt;"Serviço",AND(AUTOEVENTO="Manual",$M384=$A$15)),0,
         IF(OFFSET(CRONOPLE!$F$15,$M384-$A$15,BN$13)=0,10^12,OFFSET(CRONOPLE!$F$15,$M384-$A$15,BN$13)))</f>
        <v>0</v>
      </c>
      <c r="BO384" s="171">
        <f ca="1">IF(OR($D384&lt;&gt;"Serviço",AND(AUTOEVENTO="Manual",$M384=$A$15)),0,
         IF(OFFSET(CRONOPLE!$F$15,$M384-$A$15,BO$13)=0,10^12,OFFSET(CRONOPLE!$F$15,$M384-$A$15,BO$13)))</f>
        <v>0</v>
      </c>
      <c r="BP384" s="171">
        <f ca="1">IF(OR($D384&lt;&gt;"Serviço",AND(AUTOEVENTO="Manual",$M384=$A$15)),0,
         IF(OFFSET(CRONOPLE!$F$15,$M384-$A$15,BP$13)=0,10^12,OFFSET(CRONOPLE!$F$15,$M384-$A$15,BP$13)))</f>
        <v>0</v>
      </c>
      <c r="BQ384" s="171">
        <f ca="1">IF(OR($D384&lt;&gt;"Serviço",AND(AUTOEVENTO="Manual",$M384=$A$15)),0,
         IF(OFFSET(CRONOPLE!$F$15,$M384-$A$15,BQ$13)=0,10^12,OFFSET(CRONOPLE!$F$15,$M384-$A$15,BQ$13)))</f>
        <v>0</v>
      </c>
      <c r="BR384" s="171">
        <f ca="1">IF(OR($D384&lt;&gt;"Serviço",AND(AUTOEVENTO="Manual",$M384=$A$15)),0,
         IF(OFFSET(CRONOPLE!$F$15,$M384-$A$15,BR$13)=0,10^12,OFFSET(CRONOPLE!$F$15,$M384-$A$15,BR$13)))</f>
        <v>0</v>
      </c>
      <c r="BS384" s="171">
        <f ca="1">IF(OR($D384&lt;&gt;"Serviço",AND(AUTOEVENTO="Manual",$M384=$A$15)),0,
         IF(OFFSET(CRONOPLE!$F$15,$M384-$A$15,BS$13)=0,10^12,OFFSET(CRONOPLE!$F$15,$M384-$A$15,BS$13)))</f>
        <v>0</v>
      </c>
      <c r="BT384" s="171">
        <f ca="1">IF(OR($D384&lt;&gt;"Serviço",AND(AUTOEVENTO="Manual",$M384=$A$15)),0,
         IF(OFFSET(CRONOPLE!$F$15,$M384-$A$15,BT$13)=0,10^12,OFFSET(CRONOPLE!$F$15,$M384-$A$15,BT$13)))</f>
        <v>0</v>
      </c>
      <c r="BV384" s="172">
        <f ca="1">IF(OR($D384&lt;&gt;"Serviço",AND(AUTOEVENTO="Manual",$M384=$A$15),$M384&gt;(ROW(PLE.lastrow)-ROW(PLE.firstrow))),0,
           IF(OFFSET(PLE!$G$15,$M384-$A$15,BV$13)="",10^12,OFFSET(PLE!$G$15,$M384-$A$15,BV$13)))</f>
        <v>0</v>
      </c>
      <c r="BW384" s="172">
        <f ca="1">IF(OR($D384&lt;&gt;"Serviço",AND(AUTOEVENTO="Manual",$M384=$A$15),$M384&gt;(ROW(PLE.lastrow)-ROW(PLE.firstrow))),0,
           IF(OFFSET(PLE!$G$15,$M384-$A$15,BW$13)="",10^12,OFFSET(PLE!$G$15,$M384-$A$15,BW$13)))</f>
        <v>0</v>
      </c>
      <c r="BX384" s="172">
        <f ca="1">IF(OR($D384&lt;&gt;"Serviço",AND(AUTOEVENTO="Manual",$M384=$A$15),$M384&gt;(ROW(PLE.lastrow)-ROW(PLE.firstrow))),0,
           IF(OFFSET(PLE!$G$15,$M384-$A$15,BX$13)="",10^12,OFFSET(PLE!$G$15,$M384-$A$15,BX$13)))</f>
        <v>0</v>
      </c>
      <c r="BY384" s="172">
        <f ca="1">IF(OR($D384&lt;&gt;"Serviço",AND(AUTOEVENTO="Manual",$M384=$A$15),$M384&gt;(ROW(PLE.lastrow)-ROW(PLE.firstrow))),0,
           IF(OFFSET(PLE!$G$15,$M384-$A$15,BY$13)="",10^12,OFFSET(PLE!$G$15,$M384-$A$15,BY$13)))</f>
        <v>0</v>
      </c>
      <c r="BZ384" s="172">
        <f ca="1">IF(OR($D384&lt;&gt;"Serviço",AND(AUTOEVENTO="Manual",$M384=$A$15),$M384&gt;(ROW(PLE.lastrow)-ROW(PLE.firstrow))),0,
           IF(OFFSET(PLE!$G$15,$M384-$A$15,BZ$13)="",10^12,OFFSET(PLE!$G$15,$M384-$A$15,BZ$13)))</f>
        <v>0</v>
      </c>
      <c r="CA384" s="172">
        <f ca="1">IF(OR($D384&lt;&gt;"Serviço",AND(AUTOEVENTO="Manual",$M384=$A$15),$M384&gt;(ROW(PLE.lastrow)-ROW(PLE.firstrow))),0,
           IF(OFFSET(PLE!$G$15,$M384-$A$15,CA$13)="",10^12,OFFSET(PLE!$G$15,$M384-$A$15,CA$13)))</f>
        <v>0</v>
      </c>
      <c r="CB384" s="172">
        <f ca="1">IF(OR($D384&lt;&gt;"Serviço",AND(AUTOEVENTO="Manual",$M384=$A$15),$M384&gt;(ROW(PLE.lastrow)-ROW(PLE.firstrow))),0,
           IF(OFFSET(PLE!$G$15,$M384-$A$15,CB$13)="",10^12,OFFSET(PLE!$G$15,$M384-$A$15,CB$13)))</f>
        <v>0</v>
      </c>
      <c r="CC384" s="172">
        <f ca="1">IF(OR($D384&lt;&gt;"Serviço",AND(AUTOEVENTO="Manual",$M384=$A$15),$M384&gt;(ROW(PLE.lastrow)-ROW(PLE.firstrow))),0,
           IF(OFFSET(PLE!$G$15,$M384-$A$15,CC$13)="",10^12,OFFSET(PLE!$G$15,$M384-$A$15,CC$13)))</f>
        <v>0</v>
      </c>
      <c r="CD384" s="172">
        <f ca="1">IF(OR($D384&lt;&gt;"Serviço",AND(AUTOEVENTO="Manual",$M384=$A$15),$M384&gt;(ROW(PLE.lastrow)-ROW(PLE.firstrow))),0,
           IF(OFFSET(PLE!$G$15,$M384-$A$15,CD$13)="",10^12,OFFSET(PLE!$G$15,$M384-$A$15,CD$13)))</f>
        <v>0</v>
      </c>
      <c r="CE384" s="172">
        <f ca="1">IF(OR($D384&lt;&gt;"Serviço",AND(AUTOEVENTO="Manual",$M384=$A$15),$M384&gt;(ROW(PLE.lastrow)-ROW(PLE.firstrow))),0,
           IF(OFFSET(PLE!$G$15,$M384-$A$15,CE$13)="",10^12,OFFSET(PLE!$G$15,$M384-$A$15,CE$13)))</f>
        <v>0</v>
      </c>
      <c r="CF384" s="172">
        <f ca="1">IF(OR($D384&lt;&gt;"Serviço",AND(AUTOEVENTO="Manual",$M384=$A$15),$M384&gt;(ROW(PLE.lastrow)-ROW(PLE.firstrow))),0,
           IF(OFFSET(PLE!$G$15,$M384-$A$15,CF$13)="",10^12,OFFSET(PLE!$G$15,$M384-$A$15,CF$13)))</f>
        <v>0</v>
      </c>
      <c r="CG384" s="172">
        <f ca="1">IF(OR($D384&lt;&gt;"Serviço",AND(AUTOEVENTO="Manual",$M384=$A$15),$M384&gt;(ROW(PLE.lastrow)-ROW(PLE.firstrow))),0,
           IF(OFFSET(PLE!$G$15,$M384-$A$15,CG$13)="",10^12,OFFSET(PLE!$G$15,$M384-$A$15,CG$13)))</f>
        <v>0</v>
      </c>
      <c r="CH384" s="172">
        <f ca="1">IF(OR($D384&lt;&gt;"Serviço",AND(AUTOEVENTO="Manual",$M384=$A$15),$M384&gt;(ROW(PLE.lastrow)-ROW(PLE.firstrow))),0,
           IF(OFFSET(PLE!$G$15,$M384-$A$15,CH$13)="",10^12,OFFSET(PLE!$G$15,$M384-$A$15,CH$13)))</f>
        <v>0</v>
      </c>
      <c r="CI384" s="172">
        <f ca="1">IF(OR($D384&lt;&gt;"Serviço",AND(AUTOEVENTO="Manual",$M384=$A$15),$M384&gt;(ROW(PLE.lastrow)-ROW(PLE.firstrow))),0,
           IF(OFFSET(PLE!$G$15,$M384-$A$15,CI$13)="",10^12,OFFSET(PLE!$G$15,$M384-$A$15,CI$13)))</f>
        <v>0</v>
      </c>
      <c r="CJ384" s="172">
        <f ca="1">IF(OR($D384&lt;&gt;"Serviço",AND(AUTOEVENTO="Manual",$M384=$A$15),$M384&gt;(ROW(PLE.lastrow)-ROW(PLE.firstrow))),0,
           IF(OFFSET(PLE!$G$15,$M384-$A$15,CJ$13)="",10^12,OFFSET(PLE!$G$15,$M384-$A$15,CJ$13)))</f>
        <v>0</v>
      </c>
      <c r="CK384" s="172">
        <f ca="1">IF(OR($D384&lt;&gt;"Serviço",AND(AUTOEVENTO="Manual",$M384=$A$15),$M384&gt;(ROW(PLE.lastrow)-ROW(PLE.firstrow))),0,
           IF(OFFSET(PLE!$G$15,$M384-$A$15,CK$13)="",10^12,OFFSET(PLE!$G$15,$M384-$A$15,CK$13)))</f>
        <v>0</v>
      </c>
      <c r="CL384" s="172">
        <f ca="1">IF(OR($D384&lt;&gt;"Serviço",AND(AUTOEVENTO="Manual",$M384=$A$15),$M384&gt;(ROW(PLE.lastrow)-ROW(PLE.firstrow))),0,
           IF(OFFSET(PLE!$G$15,$M384-$A$15,CL$13)="",10^12,OFFSET(PLE!$G$15,$M384-$A$15,CL$13)))</f>
        <v>0</v>
      </c>
      <c r="CM384" s="172">
        <f ca="1">IF(OR($D384&lt;&gt;"Serviço",AND(AUTOEVENTO="Manual",$M384=$A$15),$M384&gt;(ROW(PLE.lastrow)-ROW(PLE.firstrow))),0,
           IF(OFFSET(PLE!$G$15,$M384-$A$15,CM$13)="",10^12,OFFSET(PLE!$G$15,$M384-$A$15,CM$13)))</f>
        <v>0</v>
      </c>
    </row>
    <row r="385" spans="1:91" ht="12.75" x14ac:dyDescent="0.2">
      <c r="A385" s="7">
        <f t="shared" ca="1" si="15"/>
        <v>0</v>
      </c>
      <c r="B385" s="7">
        <f ca="1">OFFSET(ORÇAMENTO!C$15,ROW(B385)-ROW(B$15),0)</f>
        <v>4</v>
      </c>
      <c r="C385" s="7" t="str">
        <f ca="1">OFFSET(ORÇAMENTO!L$15,ROW(C385)-ROW(C$15),0)</f>
        <v>F</v>
      </c>
      <c r="D385" s="116" t="str">
        <f ca="1">OFFSET(ORÇAMENTO!N$15,ROW(D385)-ROW(D$15),0)</f>
        <v>Nível 4</v>
      </c>
      <c r="E385" s="117" t="str">
        <f ca="1">OFFSET(ORÇAMENTO!O$15,ROW(E385)-ROW(E$15),0)</f>
        <v>1.8.2.1.</v>
      </c>
      <c r="F385" s="163" t="str">
        <f ca="1">OFFSET(ORÇAMENTO!R$15,ROW(F385)-ROW(F$15),0)</f>
        <v>INFRAESTRUTURA</v>
      </c>
      <c r="G385" s="164" t="str">
        <f ca="1">IF($D385&lt;&gt;"Serviço","",OFFSET(ORÇAMENTO!S$15,ROW(G385)-ROW(G$15),0))</f>
        <v/>
      </c>
      <c r="H385" s="122" cm="1">
        <f t="array" aca="1" ref="H385" ca="1">IF($D385&lt;&gt;"Serviço",0,IF(ACOMPANHAMENTO="BM",ROUND(OFFSET(ORÇAMENTO!AJ$15,ROW(H385)-ROW(H$15),0),15-13*ORÇAMENTO!$AF$7),SUMPRODUCT(($Q$1:$AI$1=1)*ROUND($Q385:$AI385,15-13*ORÇAMENTO!$AF$7))))</f>
        <v>0</v>
      </c>
      <c r="I385" s="468"/>
      <c r="J385" s="640" t="str" cm="1">
        <f t="array" aca="1" ref="J385" ca="1">IF(OR(B385&lt;&gt;"S",CÁLCULO.FrentesPreenchidas=0),"",IF(AND(ACOMPANHAMENTO="PLE",AUTOEVENTO="Manual",OR(H385&gt;0,ORÇAMENTO!AC385="QUANT."),OR(K385="",M385=0,N385="")),"►E",IF(AND(ACOMPANHAMENTO="PLE",ORÇAMENTO!AC385="QUANT."),"►Q",IF(AND(ACOMPANHAMENTO="PLE",H385&lt;&gt;SUMPRODUCT(($Q$1:$AI$1=1)*ROUND(Q385:AI385,15))),"►S",IF(AND(COUNTIF($P$11:$AI$11,"▼")=0,H385&gt;0,I385=""),"◄M","")))))</f>
        <v/>
      </c>
      <c r="K385" s="641"/>
      <c r="L385" s="165" t="s">
        <v>764</v>
      </c>
      <c r="M385" s="166" t="str">
        <f ca="1">IF($D385&lt;&gt;"Serviço","",
          IF(AUTOEVENTO="manual",$A385,
                IF(ISERROR(MATCH($A385,$A$15:OFFSET($A385,-1,0),0)),MAX($M$15:OFFSET(M385,-1,0))+1,
                      INDEX($M$15:OFFSET(M385,-1,0),MATCH($A385,$A$15:OFFSET($A385,-1,0),0)))))</f>
        <v/>
      </c>
      <c r="N385" s="167" t="str">
        <f ca="1">IF($D385&lt;&gt;"Serviço","",
         IF(AUTOEVENTO="Manual",
                IF($A385=0,"&lt;-- defina o número do agrupador",
                       OFFSET(EVENTOS!$D$15,$A385-$A$15,0)),
                OFFSET($F$15,$A385,0)))</f>
        <v/>
      </c>
      <c r="O385" s="168"/>
      <c r="Q385" s="168"/>
      <c r="R385" s="169"/>
      <c r="S385" s="169"/>
      <c r="T385" s="169"/>
      <c r="U385" s="169"/>
      <c r="V385" s="169"/>
      <c r="W385" s="169"/>
      <c r="X385" s="169"/>
      <c r="Y385" s="169"/>
      <c r="Z385" s="170"/>
      <c r="AA385" s="169"/>
      <c r="AB385" s="169"/>
      <c r="AC385" s="169"/>
      <c r="AD385" s="169"/>
      <c r="AE385" s="169"/>
      <c r="AF385" s="169"/>
      <c r="AG385" s="169"/>
      <c r="AH385" s="170"/>
      <c r="AJ385" s="453">
        <f ca="1">IF(AND($D385="Serviço",AJ$12&lt;&gt;0,$H385&gt;0,OR(AUTOEVENTO&lt;&gt;"manual",$M385&lt;&gt;$A$15)),
        IF(Import.TipoArredondamento&lt;&gt;"TransfereGOV",
              ROUND(OFFSET($P385,0,AJ$13),15-13*ORÇAMENTO!$AF$7)/$H385*OFFSET(ORÇAMENTO!$X$15,ROW(AJ385)-ROW(AJ$15),0),
              ROUND(ROUND(OFFSET($P385,0,AJ$13),15-13*ORÇAMENTO!$AF$7)*OFFSET(ORÇAMENTO!$W$15,ROW(AJ385)-ROW(AJ$15),0),15-13*ORÇAMENTO!$AF$11)),
         0)</f>
        <v>0</v>
      </c>
      <c r="AK385" s="453">
        <f ca="1">IF(AND($D385="Serviço",AK$12&lt;&gt;0,$H385&gt;0,OR(AUTOEVENTO&lt;&gt;"manual",$M385&lt;&gt;$A$15)),
        IF(Import.TipoArredondamento&lt;&gt;"TransfereGOV",
              ROUND(OFFSET($P385,0,AK$13),15-13*ORÇAMENTO!$AF$7)/$H385*OFFSET(ORÇAMENTO!$X$15,ROW(AK385)-ROW(AK$15),0),
              ROUND(ROUND(OFFSET($P385,0,AK$13),15-13*ORÇAMENTO!$AF$7)*OFFSET(ORÇAMENTO!$W$15,ROW(AK385)-ROW(AK$15),0),15-13*ORÇAMENTO!$AF$11)),
         0)</f>
        <v>0</v>
      </c>
      <c r="AL385" s="453">
        <f ca="1">IF(AND($D385="Serviço",AL$12&lt;&gt;0,$H385&gt;0,OR(AUTOEVENTO&lt;&gt;"manual",$M385&lt;&gt;$A$15)),
        IF(Import.TipoArredondamento&lt;&gt;"TransfereGOV",
              ROUND(OFFSET($P385,0,AL$13),15-13*ORÇAMENTO!$AF$7)/$H385*OFFSET(ORÇAMENTO!$X$15,ROW(AL385)-ROW(AL$15),0),
              ROUND(ROUND(OFFSET($P385,0,AL$13),15-13*ORÇAMENTO!$AF$7)*OFFSET(ORÇAMENTO!$W$15,ROW(AL385)-ROW(AL$15),0),15-13*ORÇAMENTO!$AF$11)),
         0)</f>
        <v>0</v>
      </c>
      <c r="AM385" s="453">
        <f ca="1">IF(AND($D385="Serviço",AM$12&lt;&gt;0,$H385&gt;0,OR(AUTOEVENTO&lt;&gt;"manual",$M385&lt;&gt;$A$15)),
        IF(Import.TipoArredondamento&lt;&gt;"TransfereGOV",
              ROUND(OFFSET($P385,0,AM$13),15-13*ORÇAMENTO!$AF$7)/$H385*OFFSET(ORÇAMENTO!$X$15,ROW(AM385)-ROW(AM$15),0),
              ROUND(ROUND(OFFSET($P385,0,AM$13),15-13*ORÇAMENTO!$AF$7)*OFFSET(ORÇAMENTO!$W$15,ROW(AM385)-ROW(AM$15),0),15-13*ORÇAMENTO!$AF$11)),
         0)</f>
        <v>0</v>
      </c>
      <c r="AN385" s="453">
        <f ca="1">IF(AND($D385="Serviço",AN$12&lt;&gt;0,$H385&gt;0,OR(AUTOEVENTO&lt;&gt;"manual",$M385&lt;&gt;$A$15)),
        IF(Import.TipoArredondamento&lt;&gt;"TransfereGOV",
              ROUND(OFFSET($P385,0,AN$13),15-13*ORÇAMENTO!$AF$7)/$H385*OFFSET(ORÇAMENTO!$X$15,ROW(AN385)-ROW(AN$15),0),
              ROUND(ROUND(OFFSET($P385,0,AN$13),15-13*ORÇAMENTO!$AF$7)*OFFSET(ORÇAMENTO!$W$15,ROW(AN385)-ROW(AN$15),0),15-13*ORÇAMENTO!$AF$11)),
         0)</f>
        <v>0</v>
      </c>
      <c r="AO385" s="453">
        <f ca="1">IF(AND($D385="Serviço",AO$12&lt;&gt;0,$H385&gt;0,OR(AUTOEVENTO&lt;&gt;"manual",$M385&lt;&gt;$A$15)),
        IF(Import.TipoArredondamento&lt;&gt;"TransfereGOV",
              ROUND(OFFSET($P385,0,AO$13),15-13*ORÇAMENTO!$AF$7)/$H385*OFFSET(ORÇAMENTO!$X$15,ROW(AO385)-ROW(AO$15),0),
              ROUND(ROUND(OFFSET($P385,0,AO$13),15-13*ORÇAMENTO!$AF$7)*OFFSET(ORÇAMENTO!$W$15,ROW(AO385)-ROW(AO$15),0),15-13*ORÇAMENTO!$AF$11)),
         0)</f>
        <v>0</v>
      </c>
      <c r="AP385" s="453">
        <f ca="1">IF(AND($D385="Serviço",AP$12&lt;&gt;0,$H385&gt;0,OR(AUTOEVENTO&lt;&gt;"manual",$M385&lt;&gt;$A$15)),
        IF(Import.TipoArredondamento&lt;&gt;"TransfereGOV",
              ROUND(OFFSET($P385,0,AP$13),15-13*ORÇAMENTO!$AF$7)/$H385*OFFSET(ORÇAMENTO!$X$15,ROW(AP385)-ROW(AP$15),0),
              ROUND(ROUND(OFFSET($P385,0,AP$13),15-13*ORÇAMENTO!$AF$7)*OFFSET(ORÇAMENTO!$W$15,ROW(AP385)-ROW(AP$15),0),15-13*ORÇAMENTO!$AF$11)),
         0)</f>
        <v>0</v>
      </c>
      <c r="AQ385" s="453">
        <f ca="1">IF(AND($D385="Serviço",AQ$12&lt;&gt;0,$H385&gt;0,OR(AUTOEVENTO&lt;&gt;"manual",$M385&lt;&gt;$A$15)),
        IF(Import.TipoArredondamento&lt;&gt;"TransfereGOV",
              ROUND(OFFSET($P385,0,AQ$13),15-13*ORÇAMENTO!$AF$7)/$H385*OFFSET(ORÇAMENTO!$X$15,ROW(AQ385)-ROW(AQ$15),0),
              ROUND(ROUND(OFFSET($P385,0,AQ$13),15-13*ORÇAMENTO!$AF$7)*OFFSET(ORÇAMENTO!$W$15,ROW(AQ385)-ROW(AQ$15),0),15-13*ORÇAMENTO!$AF$11)),
         0)</f>
        <v>0</v>
      </c>
      <c r="AR385" s="453">
        <f ca="1">IF(AND($D385="Serviço",AR$12&lt;&gt;0,$H385&gt;0,OR(AUTOEVENTO&lt;&gt;"manual",$M385&lt;&gt;$A$15)),
        IF(Import.TipoArredondamento&lt;&gt;"TransfereGOV",
              ROUND(OFFSET($P385,0,AR$13),15-13*ORÇAMENTO!$AF$7)/$H385*OFFSET(ORÇAMENTO!$X$15,ROW(AR385)-ROW(AR$15),0),
              ROUND(ROUND(OFFSET($P385,0,AR$13),15-13*ORÇAMENTO!$AF$7)*OFFSET(ORÇAMENTO!$W$15,ROW(AR385)-ROW(AR$15),0),15-13*ORÇAMENTO!$AF$11)),
         0)</f>
        <v>0</v>
      </c>
      <c r="AS385" s="453">
        <f ca="1">IF(AND($D385="Serviço",AS$12&lt;&gt;0,$H385&gt;0,OR(AUTOEVENTO&lt;&gt;"manual",$M385&lt;&gt;$A$15)),
        IF(Import.TipoArredondamento&lt;&gt;"TransfereGOV",
              ROUND(OFFSET($P385,0,AS$13),15-13*ORÇAMENTO!$AF$7)/$H385*OFFSET(ORÇAMENTO!$X$15,ROW(AS385)-ROW(AS$15),0),
              ROUND(ROUND(OFFSET($P385,0,AS$13),15-13*ORÇAMENTO!$AF$7)*OFFSET(ORÇAMENTO!$W$15,ROW(AS385)-ROW(AS$15),0),15-13*ORÇAMENTO!$AF$11)),
         0)</f>
        <v>0</v>
      </c>
      <c r="AT385" s="453">
        <f ca="1">IF(AND($D385="Serviço",AT$12&lt;&gt;0,$H385&gt;0,OR(AUTOEVENTO&lt;&gt;"manual",$M385&lt;&gt;$A$15)),
        IF(Import.TipoArredondamento&lt;&gt;"TransfereGOV",
              ROUND(OFFSET($P385,0,AT$13),15-13*ORÇAMENTO!$AF$7)/$H385*OFFSET(ORÇAMENTO!$X$15,ROW(AT385)-ROW(AT$15),0),
              ROUND(ROUND(OFFSET($P385,0,AT$13),15-13*ORÇAMENTO!$AF$7)*OFFSET(ORÇAMENTO!$W$15,ROW(AT385)-ROW(AT$15),0),15-13*ORÇAMENTO!$AF$11)),
         0)</f>
        <v>0</v>
      </c>
      <c r="AU385" s="453">
        <f ca="1">IF(AND($D385="Serviço",AU$12&lt;&gt;0,$H385&gt;0,OR(AUTOEVENTO&lt;&gt;"manual",$M385&lt;&gt;$A$15)),
        IF(Import.TipoArredondamento&lt;&gt;"TransfereGOV",
              ROUND(OFFSET($P385,0,AU$13),15-13*ORÇAMENTO!$AF$7)/$H385*OFFSET(ORÇAMENTO!$X$15,ROW(AU385)-ROW(AU$15),0),
              ROUND(ROUND(OFFSET($P385,0,AU$13),15-13*ORÇAMENTO!$AF$7)*OFFSET(ORÇAMENTO!$W$15,ROW(AU385)-ROW(AU$15),0),15-13*ORÇAMENTO!$AF$11)),
         0)</f>
        <v>0</v>
      </c>
      <c r="AV385" s="453">
        <f ca="1">IF(AND($D385="Serviço",AV$12&lt;&gt;0,$H385&gt;0,OR(AUTOEVENTO&lt;&gt;"manual",$M385&lt;&gt;$A$15)),
        IF(Import.TipoArredondamento&lt;&gt;"TransfereGOV",
              ROUND(OFFSET($P385,0,AV$13),15-13*ORÇAMENTO!$AF$7)/$H385*OFFSET(ORÇAMENTO!$X$15,ROW(AV385)-ROW(AV$15),0),
              ROUND(ROUND(OFFSET($P385,0,AV$13),15-13*ORÇAMENTO!$AF$7)*OFFSET(ORÇAMENTO!$W$15,ROW(AV385)-ROW(AV$15),0),15-13*ORÇAMENTO!$AF$11)),
         0)</f>
        <v>0</v>
      </c>
      <c r="AW385" s="453">
        <f ca="1">IF(AND($D385="Serviço",AW$12&lt;&gt;0,$H385&gt;0,OR(AUTOEVENTO&lt;&gt;"manual",$M385&lt;&gt;$A$15)),
        IF(Import.TipoArredondamento&lt;&gt;"TransfereGOV",
              ROUND(OFFSET($P385,0,AW$13),15-13*ORÇAMENTO!$AF$7)/$H385*OFFSET(ORÇAMENTO!$X$15,ROW(AW385)-ROW(AW$15),0),
              ROUND(ROUND(OFFSET($P385,0,AW$13),15-13*ORÇAMENTO!$AF$7)*OFFSET(ORÇAMENTO!$W$15,ROW(AW385)-ROW(AW$15),0),15-13*ORÇAMENTO!$AF$11)),
         0)</f>
        <v>0</v>
      </c>
      <c r="AX385" s="453">
        <f ca="1">IF(AND($D385="Serviço",AX$12&lt;&gt;0,$H385&gt;0,OR(AUTOEVENTO&lt;&gt;"manual",$M385&lt;&gt;$A$15)),
        IF(Import.TipoArredondamento&lt;&gt;"TransfereGOV",
              ROUND(OFFSET($P385,0,AX$13),15-13*ORÇAMENTO!$AF$7)/$H385*OFFSET(ORÇAMENTO!$X$15,ROW(AX385)-ROW(AX$15),0),
              ROUND(ROUND(OFFSET($P385,0,AX$13),15-13*ORÇAMENTO!$AF$7)*OFFSET(ORÇAMENTO!$W$15,ROW(AX385)-ROW(AX$15),0),15-13*ORÇAMENTO!$AF$11)),
         0)</f>
        <v>0</v>
      </c>
      <c r="AY385" s="453">
        <f ca="1">IF(AND($D385="Serviço",AY$12&lt;&gt;0,$H385&gt;0,OR(AUTOEVENTO&lt;&gt;"manual",$M385&lt;&gt;$A$15)),
        IF(Import.TipoArredondamento&lt;&gt;"TransfereGOV",
              ROUND(OFFSET($P385,0,AY$13),15-13*ORÇAMENTO!$AF$7)/$H385*OFFSET(ORÇAMENTO!$X$15,ROW(AY385)-ROW(AY$15),0),
              ROUND(ROUND(OFFSET($P385,0,AY$13),15-13*ORÇAMENTO!$AF$7)*OFFSET(ORÇAMENTO!$W$15,ROW(AY385)-ROW(AY$15),0),15-13*ORÇAMENTO!$AF$11)),
         0)</f>
        <v>0</v>
      </c>
      <c r="AZ385" s="453">
        <f ca="1">IF(AND($D385="Serviço",AZ$12&lt;&gt;0,$H385&gt;0,OR(AUTOEVENTO&lt;&gt;"manual",$M385&lt;&gt;$A$15)),
        IF(Import.TipoArredondamento&lt;&gt;"TransfereGOV",
              ROUND(OFFSET($P385,0,AZ$13),15-13*ORÇAMENTO!$AF$7)/$H385*OFFSET(ORÇAMENTO!$X$15,ROW(AZ385)-ROW(AZ$15),0),
              ROUND(ROUND(OFFSET($P385,0,AZ$13),15-13*ORÇAMENTO!$AF$7)*OFFSET(ORÇAMENTO!$W$15,ROW(AZ385)-ROW(AZ$15),0),15-13*ORÇAMENTO!$AF$11)),
         0)</f>
        <v>0</v>
      </c>
      <c r="BA385" s="453">
        <f ca="1">IF(AND($D385="Serviço",BA$12&lt;&gt;0,$H385&gt;0,OR(AUTOEVENTO&lt;&gt;"manual",$M385&lt;&gt;$A$15)),
        IF(Import.TipoArredondamento&lt;&gt;"TransfereGOV",
              ROUND(OFFSET($P385,0,BA$13),15-13*ORÇAMENTO!$AF$7)/$H385*OFFSET(ORÇAMENTO!$X$15,ROW(BA385)-ROW(BA$15),0),
              ROUND(ROUND(OFFSET($P385,0,BA$13),15-13*ORÇAMENTO!$AF$7)*OFFSET(ORÇAMENTO!$W$15,ROW(BA385)-ROW(BA$15),0),15-13*ORÇAMENTO!$AF$11)),
         0)</f>
        <v>0</v>
      </c>
      <c r="BC385" s="171">
        <f ca="1">IF(OR($D385&lt;&gt;"Serviço",AND(AUTOEVENTO="Manual",$M385=$A$15)),0,
         IF(OFFSET(CRONOPLE!$F$15,$M385-$A$15,BC$13)=0,10^12,OFFSET(CRONOPLE!$F$15,$M385-$A$15,BC$13)))</f>
        <v>0</v>
      </c>
      <c r="BD385" s="171">
        <f ca="1">IF(OR($D385&lt;&gt;"Serviço",AND(AUTOEVENTO="Manual",$M385=$A$15)),0,
         IF(OFFSET(CRONOPLE!$F$15,$M385-$A$15,BD$13)=0,10^12,OFFSET(CRONOPLE!$F$15,$M385-$A$15,BD$13)))</f>
        <v>0</v>
      </c>
      <c r="BE385" s="171">
        <f ca="1">IF(OR($D385&lt;&gt;"Serviço",AND(AUTOEVENTO="Manual",$M385=$A$15)),0,
         IF(OFFSET(CRONOPLE!$F$15,$M385-$A$15,BE$13)=0,10^12,OFFSET(CRONOPLE!$F$15,$M385-$A$15,BE$13)))</f>
        <v>0</v>
      </c>
      <c r="BF385" s="171">
        <f ca="1">IF(OR($D385&lt;&gt;"Serviço",AND(AUTOEVENTO="Manual",$M385=$A$15)),0,
         IF(OFFSET(CRONOPLE!$F$15,$M385-$A$15,BF$13)=0,10^12,OFFSET(CRONOPLE!$F$15,$M385-$A$15,BF$13)))</f>
        <v>0</v>
      </c>
      <c r="BG385" s="171">
        <f ca="1">IF(OR($D385&lt;&gt;"Serviço",AND(AUTOEVENTO="Manual",$M385=$A$15)),0,
         IF(OFFSET(CRONOPLE!$F$15,$M385-$A$15,BG$13)=0,10^12,OFFSET(CRONOPLE!$F$15,$M385-$A$15,BG$13)))</f>
        <v>0</v>
      </c>
      <c r="BH385" s="171">
        <f ca="1">IF(OR($D385&lt;&gt;"Serviço",AND(AUTOEVENTO="Manual",$M385=$A$15)),0,
         IF(OFFSET(CRONOPLE!$F$15,$M385-$A$15,BH$13)=0,10^12,OFFSET(CRONOPLE!$F$15,$M385-$A$15,BH$13)))</f>
        <v>0</v>
      </c>
      <c r="BI385" s="171">
        <f ca="1">IF(OR($D385&lt;&gt;"Serviço",AND(AUTOEVENTO="Manual",$M385=$A$15)),0,
         IF(OFFSET(CRONOPLE!$F$15,$M385-$A$15,BI$13)=0,10^12,OFFSET(CRONOPLE!$F$15,$M385-$A$15,BI$13)))</f>
        <v>0</v>
      </c>
      <c r="BJ385" s="171">
        <f ca="1">IF(OR($D385&lt;&gt;"Serviço",AND(AUTOEVENTO="Manual",$M385=$A$15)),0,
         IF(OFFSET(CRONOPLE!$F$15,$M385-$A$15,BJ$13)=0,10^12,OFFSET(CRONOPLE!$F$15,$M385-$A$15,BJ$13)))</f>
        <v>0</v>
      </c>
      <c r="BK385" s="171">
        <f ca="1">IF(OR($D385&lt;&gt;"Serviço",AND(AUTOEVENTO="Manual",$M385=$A$15)),0,
         IF(OFFSET(CRONOPLE!$F$15,$M385-$A$15,BK$13)=0,10^12,OFFSET(CRONOPLE!$F$15,$M385-$A$15,BK$13)))</f>
        <v>0</v>
      </c>
      <c r="BL385" s="171">
        <f ca="1">IF(OR($D385&lt;&gt;"Serviço",AND(AUTOEVENTO="Manual",$M385=$A$15)),0,
         IF(OFFSET(CRONOPLE!$F$15,$M385-$A$15,BL$13)=0,10^12,OFFSET(CRONOPLE!$F$15,$M385-$A$15,BL$13)))</f>
        <v>0</v>
      </c>
      <c r="BM385" s="171">
        <f ca="1">IF(OR($D385&lt;&gt;"Serviço",AND(AUTOEVENTO="Manual",$M385=$A$15)),0,
         IF(OFFSET(CRONOPLE!$F$15,$M385-$A$15,BM$13)=0,10^12,OFFSET(CRONOPLE!$F$15,$M385-$A$15,BM$13)))</f>
        <v>0</v>
      </c>
      <c r="BN385" s="171">
        <f ca="1">IF(OR($D385&lt;&gt;"Serviço",AND(AUTOEVENTO="Manual",$M385=$A$15)),0,
         IF(OFFSET(CRONOPLE!$F$15,$M385-$A$15,BN$13)=0,10^12,OFFSET(CRONOPLE!$F$15,$M385-$A$15,BN$13)))</f>
        <v>0</v>
      </c>
      <c r="BO385" s="171">
        <f ca="1">IF(OR($D385&lt;&gt;"Serviço",AND(AUTOEVENTO="Manual",$M385=$A$15)),0,
         IF(OFFSET(CRONOPLE!$F$15,$M385-$A$15,BO$13)=0,10^12,OFFSET(CRONOPLE!$F$15,$M385-$A$15,BO$13)))</f>
        <v>0</v>
      </c>
      <c r="BP385" s="171">
        <f ca="1">IF(OR($D385&lt;&gt;"Serviço",AND(AUTOEVENTO="Manual",$M385=$A$15)),0,
         IF(OFFSET(CRONOPLE!$F$15,$M385-$A$15,BP$13)=0,10^12,OFFSET(CRONOPLE!$F$15,$M385-$A$15,BP$13)))</f>
        <v>0</v>
      </c>
      <c r="BQ385" s="171">
        <f ca="1">IF(OR($D385&lt;&gt;"Serviço",AND(AUTOEVENTO="Manual",$M385=$A$15)),0,
         IF(OFFSET(CRONOPLE!$F$15,$M385-$A$15,BQ$13)=0,10^12,OFFSET(CRONOPLE!$F$15,$M385-$A$15,BQ$13)))</f>
        <v>0</v>
      </c>
      <c r="BR385" s="171">
        <f ca="1">IF(OR($D385&lt;&gt;"Serviço",AND(AUTOEVENTO="Manual",$M385=$A$15)),0,
         IF(OFFSET(CRONOPLE!$F$15,$M385-$A$15,BR$13)=0,10^12,OFFSET(CRONOPLE!$F$15,$M385-$A$15,BR$13)))</f>
        <v>0</v>
      </c>
      <c r="BS385" s="171">
        <f ca="1">IF(OR($D385&lt;&gt;"Serviço",AND(AUTOEVENTO="Manual",$M385=$A$15)),0,
         IF(OFFSET(CRONOPLE!$F$15,$M385-$A$15,BS$13)=0,10^12,OFFSET(CRONOPLE!$F$15,$M385-$A$15,BS$13)))</f>
        <v>0</v>
      </c>
      <c r="BT385" s="171">
        <f ca="1">IF(OR($D385&lt;&gt;"Serviço",AND(AUTOEVENTO="Manual",$M385=$A$15)),0,
         IF(OFFSET(CRONOPLE!$F$15,$M385-$A$15,BT$13)=0,10^12,OFFSET(CRONOPLE!$F$15,$M385-$A$15,BT$13)))</f>
        <v>0</v>
      </c>
      <c r="BV385" s="172">
        <f ca="1">IF(OR($D385&lt;&gt;"Serviço",AND(AUTOEVENTO="Manual",$M385=$A$15),$M385&gt;(ROW(PLE.lastrow)-ROW(PLE.firstrow))),0,
           IF(OFFSET(PLE!$G$15,$M385-$A$15,BV$13)="",10^12,OFFSET(PLE!$G$15,$M385-$A$15,BV$13)))</f>
        <v>0</v>
      </c>
      <c r="BW385" s="172">
        <f ca="1">IF(OR($D385&lt;&gt;"Serviço",AND(AUTOEVENTO="Manual",$M385=$A$15),$M385&gt;(ROW(PLE.lastrow)-ROW(PLE.firstrow))),0,
           IF(OFFSET(PLE!$G$15,$M385-$A$15,BW$13)="",10^12,OFFSET(PLE!$G$15,$M385-$A$15,BW$13)))</f>
        <v>0</v>
      </c>
      <c r="BX385" s="172">
        <f ca="1">IF(OR($D385&lt;&gt;"Serviço",AND(AUTOEVENTO="Manual",$M385=$A$15),$M385&gt;(ROW(PLE.lastrow)-ROW(PLE.firstrow))),0,
           IF(OFFSET(PLE!$G$15,$M385-$A$15,BX$13)="",10^12,OFFSET(PLE!$G$15,$M385-$A$15,BX$13)))</f>
        <v>0</v>
      </c>
      <c r="BY385" s="172">
        <f ca="1">IF(OR($D385&lt;&gt;"Serviço",AND(AUTOEVENTO="Manual",$M385=$A$15),$M385&gt;(ROW(PLE.lastrow)-ROW(PLE.firstrow))),0,
           IF(OFFSET(PLE!$G$15,$M385-$A$15,BY$13)="",10^12,OFFSET(PLE!$G$15,$M385-$A$15,BY$13)))</f>
        <v>0</v>
      </c>
      <c r="BZ385" s="172">
        <f ca="1">IF(OR($D385&lt;&gt;"Serviço",AND(AUTOEVENTO="Manual",$M385=$A$15),$M385&gt;(ROW(PLE.lastrow)-ROW(PLE.firstrow))),0,
           IF(OFFSET(PLE!$G$15,$M385-$A$15,BZ$13)="",10^12,OFFSET(PLE!$G$15,$M385-$A$15,BZ$13)))</f>
        <v>0</v>
      </c>
      <c r="CA385" s="172">
        <f ca="1">IF(OR($D385&lt;&gt;"Serviço",AND(AUTOEVENTO="Manual",$M385=$A$15),$M385&gt;(ROW(PLE.lastrow)-ROW(PLE.firstrow))),0,
           IF(OFFSET(PLE!$G$15,$M385-$A$15,CA$13)="",10^12,OFFSET(PLE!$G$15,$M385-$A$15,CA$13)))</f>
        <v>0</v>
      </c>
      <c r="CB385" s="172">
        <f ca="1">IF(OR($D385&lt;&gt;"Serviço",AND(AUTOEVENTO="Manual",$M385=$A$15),$M385&gt;(ROW(PLE.lastrow)-ROW(PLE.firstrow))),0,
           IF(OFFSET(PLE!$G$15,$M385-$A$15,CB$13)="",10^12,OFFSET(PLE!$G$15,$M385-$A$15,CB$13)))</f>
        <v>0</v>
      </c>
      <c r="CC385" s="172">
        <f ca="1">IF(OR($D385&lt;&gt;"Serviço",AND(AUTOEVENTO="Manual",$M385=$A$15),$M385&gt;(ROW(PLE.lastrow)-ROW(PLE.firstrow))),0,
           IF(OFFSET(PLE!$G$15,$M385-$A$15,CC$13)="",10^12,OFFSET(PLE!$G$15,$M385-$A$15,CC$13)))</f>
        <v>0</v>
      </c>
      <c r="CD385" s="172">
        <f ca="1">IF(OR($D385&lt;&gt;"Serviço",AND(AUTOEVENTO="Manual",$M385=$A$15),$M385&gt;(ROW(PLE.lastrow)-ROW(PLE.firstrow))),0,
           IF(OFFSET(PLE!$G$15,$M385-$A$15,CD$13)="",10^12,OFFSET(PLE!$G$15,$M385-$A$15,CD$13)))</f>
        <v>0</v>
      </c>
      <c r="CE385" s="172">
        <f ca="1">IF(OR($D385&lt;&gt;"Serviço",AND(AUTOEVENTO="Manual",$M385=$A$15),$M385&gt;(ROW(PLE.lastrow)-ROW(PLE.firstrow))),0,
           IF(OFFSET(PLE!$G$15,$M385-$A$15,CE$13)="",10^12,OFFSET(PLE!$G$15,$M385-$A$15,CE$13)))</f>
        <v>0</v>
      </c>
      <c r="CF385" s="172">
        <f ca="1">IF(OR($D385&lt;&gt;"Serviço",AND(AUTOEVENTO="Manual",$M385=$A$15),$M385&gt;(ROW(PLE.lastrow)-ROW(PLE.firstrow))),0,
           IF(OFFSET(PLE!$G$15,$M385-$A$15,CF$13)="",10^12,OFFSET(PLE!$G$15,$M385-$A$15,CF$13)))</f>
        <v>0</v>
      </c>
      <c r="CG385" s="172">
        <f ca="1">IF(OR($D385&lt;&gt;"Serviço",AND(AUTOEVENTO="Manual",$M385=$A$15),$M385&gt;(ROW(PLE.lastrow)-ROW(PLE.firstrow))),0,
           IF(OFFSET(PLE!$G$15,$M385-$A$15,CG$13)="",10^12,OFFSET(PLE!$G$15,$M385-$A$15,CG$13)))</f>
        <v>0</v>
      </c>
      <c r="CH385" s="172">
        <f ca="1">IF(OR($D385&lt;&gt;"Serviço",AND(AUTOEVENTO="Manual",$M385=$A$15),$M385&gt;(ROW(PLE.lastrow)-ROW(PLE.firstrow))),0,
           IF(OFFSET(PLE!$G$15,$M385-$A$15,CH$13)="",10^12,OFFSET(PLE!$G$15,$M385-$A$15,CH$13)))</f>
        <v>0</v>
      </c>
      <c r="CI385" s="172">
        <f ca="1">IF(OR($D385&lt;&gt;"Serviço",AND(AUTOEVENTO="Manual",$M385=$A$15),$M385&gt;(ROW(PLE.lastrow)-ROW(PLE.firstrow))),0,
           IF(OFFSET(PLE!$G$15,$M385-$A$15,CI$13)="",10^12,OFFSET(PLE!$G$15,$M385-$A$15,CI$13)))</f>
        <v>0</v>
      </c>
      <c r="CJ385" s="172">
        <f ca="1">IF(OR($D385&lt;&gt;"Serviço",AND(AUTOEVENTO="Manual",$M385=$A$15),$M385&gt;(ROW(PLE.lastrow)-ROW(PLE.firstrow))),0,
           IF(OFFSET(PLE!$G$15,$M385-$A$15,CJ$13)="",10^12,OFFSET(PLE!$G$15,$M385-$A$15,CJ$13)))</f>
        <v>0</v>
      </c>
      <c r="CK385" s="172">
        <f ca="1">IF(OR($D385&lt;&gt;"Serviço",AND(AUTOEVENTO="Manual",$M385=$A$15),$M385&gt;(ROW(PLE.lastrow)-ROW(PLE.firstrow))),0,
           IF(OFFSET(PLE!$G$15,$M385-$A$15,CK$13)="",10^12,OFFSET(PLE!$G$15,$M385-$A$15,CK$13)))</f>
        <v>0</v>
      </c>
      <c r="CL385" s="172">
        <f ca="1">IF(OR($D385&lt;&gt;"Serviço",AND(AUTOEVENTO="Manual",$M385=$A$15),$M385&gt;(ROW(PLE.lastrow)-ROW(PLE.firstrow))),0,
           IF(OFFSET(PLE!$G$15,$M385-$A$15,CL$13)="",10^12,OFFSET(PLE!$G$15,$M385-$A$15,CL$13)))</f>
        <v>0</v>
      </c>
      <c r="CM385" s="172">
        <f ca="1">IF(OR($D385&lt;&gt;"Serviço",AND(AUTOEVENTO="Manual",$M385=$A$15),$M385&gt;(ROW(PLE.lastrow)-ROW(PLE.firstrow))),0,
           IF(OFFSET(PLE!$G$15,$M385-$A$15,CM$13)="",10^12,OFFSET(PLE!$G$15,$M385-$A$15,CM$13)))</f>
        <v>0</v>
      </c>
    </row>
    <row r="386" spans="1:91" ht="63.75" x14ac:dyDescent="0.2">
      <c r="A386" s="7">
        <f t="shared" ca="1" si="15"/>
        <v>7</v>
      </c>
      <c r="B386" s="7" t="str">
        <f ca="1">OFFSET(ORÇAMENTO!C$15,ROW(B386)-ROW(B$15),0)</f>
        <v>S</v>
      </c>
      <c r="C386" s="7" t="str">
        <f ca="1">OFFSET(ORÇAMENTO!L$15,ROW(C386)-ROW(C$15),0)</f>
        <v>F</v>
      </c>
      <c r="D386" s="116" t="str">
        <f ca="1">OFFSET(ORÇAMENTO!N$15,ROW(D386)-ROW(D$15),0)</f>
        <v>Serviço</v>
      </c>
      <c r="E386" s="117" t="str">
        <f ca="1">OFFSET(ORÇAMENTO!O$15,ROW(E386)-ROW(E$15),0)</f>
        <v>1.8.2.1.1.</v>
      </c>
      <c r="F386" s="163" t="str">
        <f ca="1">OFFSET(ORÇAMENTO!R$15,ROW(F386)-ROW(F$15),0)</f>
        <v>CAIXA DE ESGOTO DE INSPEÇÃO/PASSAGEM EM ALVENARIA (30X30X30CM), REVESTIMENTO EM ARGAMASSA COM ADITIVO IMPERMEABILIZANTE, COM TAMPA DE CONCRETO, INCLUSIVE ESCAVAÇÃO, REATERRO E TRANSPORTE COM RETIRADA DO MATERIAL ESCAVADO (EM CAÇAMBA)</v>
      </c>
      <c r="G386" s="164" t="str">
        <f ca="1">IF($D386&lt;&gt;"Serviço","",OFFSET(ORÇAMENTO!S$15,ROW(G386)-ROW(G$15),0))</f>
        <v>UN</v>
      </c>
      <c r="H386" s="122" cm="1">
        <f t="array" aca="1" ref="H386" ca="1">IF($D386&lt;&gt;"Serviço",0,IF(ACOMPANHAMENTO="BM",ROUND(OFFSET(ORÇAMENTO!AJ$15,ROW(H386)-ROW(H$15),0),15-13*ORÇAMENTO!$AF$7),SUMPRODUCT(($Q$1:$AI$1=1)*ROUND($Q386:$AI386,15-13*ORÇAMENTO!$AF$7))))</f>
        <v>18</v>
      </c>
      <c r="I386" s="468" t="s">
        <v>1431</v>
      </c>
      <c r="J386" s="640" t="str" cm="1">
        <f t="array" aca="1" ref="J386" ca="1">IF(OR(B386&lt;&gt;"S",CÁLCULO.FrentesPreenchidas=0),"",IF(AND(ACOMPANHAMENTO="PLE",AUTOEVENTO="Manual",OR(H386&gt;0,ORÇAMENTO!AC386="QUANT."),OR(K386="",M386=0,N386="")),"►E",IF(AND(ACOMPANHAMENTO="PLE",ORÇAMENTO!AC386="QUANT."),"►Q",IF(AND(ACOMPANHAMENTO="PLE",H386&lt;&gt;SUMPRODUCT(($Q$1:$AI$1=1)*ROUND(Q386:AI386,15))),"►S",IF(AND(COUNTIF($P$11:$AI$11,"▼")=0,H386&gt;0,I386=""),"◄M","")))))</f>
        <v/>
      </c>
      <c r="K386" s="641" t="s">
        <v>1391</v>
      </c>
      <c r="L386" s="165" t="s">
        <v>764</v>
      </c>
      <c r="M386" s="166">
        <f ca="1">IF($D386&lt;&gt;"Serviço","",
          IF(AUTOEVENTO="manual",$A386,
                IF(ISERROR(MATCH($A386,$A$15:OFFSET($A386,-1,0),0)),MAX($M$15:OFFSET(M386,-1,0))+1,
                      INDEX($M$15:OFFSET(M386,-1,0),MATCH($A386,$A$15:OFFSET($A386,-1,0),0)))))</f>
        <v>7</v>
      </c>
      <c r="N386" s="167" t="str">
        <f ca="1">IF($D386&lt;&gt;"Serviço","",
         IF(AUTOEVENTO="Manual",
                IF($A386=0,"&lt;-- defina o número do agrupador",
                       OFFSET(EVENTOS!$D$15,$A386-$A$15,0)),
                OFFSET($F$15,$A386,0)))</f>
        <v>Instalações Elétricas</v>
      </c>
      <c r="O386" s="168"/>
      <c r="Q386" s="168"/>
      <c r="R386" s="169"/>
      <c r="S386" s="169"/>
      <c r="T386" s="169"/>
      <c r="U386" s="169"/>
      <c r="V386" s="169"/>
      <c r="W386" s="169"/>
      <c r="X386" s="169">
        <v>18</v>
      </c>
      <c r="Y386" s="169"/>
      <c r="Z386" s="170"/>
      <c r="AA386" s="169"/>
      <c r="AB386" s="169"/>
      <c r="AC386" s="169"/>
      <c r="AD386" s="169"/>
      <c r="AE386" s="169"/>
      <c r="AF386" s="169"/>
      <c r="AG386" s="169"/>
      <c r="AH386" s="170"/>
      <c r="AJ386" s="453">
        <f ca="1">IF(AND($D386="Serviço",AJ$12&lt;&gt;0,$H386&gt;0,OR(AUTOEVENTO&lt;&gt;"manual",$M386&lt;&gt;$A$15)),
        IF(Import.TipoArredondamento&lt;&gt;"TransfereGOV",
              ROUND(OFFSET($P386,0,AJ$13),15-13*ORÇAMENTO!$AF$7)/$H386*OFFSET(ORÇAMENTO!$X$15,ROW(AJ386)-ROW(AJ$15),0),
              ROUND(ROUND(OFFSET($P386,0,AJ$13),15-13*ORÇAMENTO!$AF$7)*OFFSET(ORÇAMENTO!$W$15,ROW(AJ386)-ROW(AJ$15),0),15-13*ORÇAMENTO!$AF$11)),
         0)</f>
        <v>0</v>
      </c>
      <c r="AK386" s="453">
        <f ca="1">IF(AND($D386="Serviço",AK$12&lt;&gt;0,$H386&gt;0,OR(AUTOEVENTO&lt;&gt;"manual",$M386&lt;&gt;$A$15)),
        IF(Import.TipoArredondamento&lt;&gt;"TransfereGOV",
              ROUND(OFFSET($P386,0,AK$13),15-13*ORÇAMENTO!$AF$7)/$H386*OFFSET(ORÇAMENTO!$X$15,ROW(AK386)-ROW(AK$15),0),
              ROUND(ROUND(OFFSET($P386,0,AK$13),15-13*ORÇAMENTO!$AF$7)*OFFSET(ORÇAMENTO!$W$15,ROW(AK386)-ROW(AK$15),0),15-13*ORÇAMENTO!$AF$11)),
         0)</f>
        <v>0</v>
      </c>
      <c r="AL386" s="453">
        <f ca="1">IF(AND($D386="Serviço",AL$12&lt;&gt;0,$H386&gt;0,OR(AUTOEVENTO&lt;&gt;"manual",$M386&lt;&gt;$A$15)),
        IF(Import.TipoArredondamento&lt;&gt;"TransfereGOV",
              ROUND(OFFSET($P386,0,AL$13),15-13*ORÇAMENTO!$AF$7)/$H386*OFFSET(ORÇAMENTO!$X$15,ROW(AL386)-ROW(AL$15),0),
              ROUND(ROUND(OFFSET($P386,0,AL$13),15-13*ORÇAMENTO!$AF$7)*OFFSET(ORÇAMENTO!$W$15,ROW(AL386)-ROW(AL$15),0),15-13*ORÇAMENTO!$AF$11)),
         0)</f>
        <v>0</v>
      </c>
      <c r="AM386" s="453">
        <f ca="1">IF(AND($D386="Serviço",AM$12&lt;&gt;0,$H386&gt;0,OR(AUTOEVENTO&lt;&gt;"manual",$M386&lt;&gt;$A$15)),
        IF(Import.TipoArredondamento&lt;&gt;"TransfereGOV",
              ROUND(OFFSET($P386,0,AM$13),15-13*ORÇAMENTO!$AF$7)/$H386*OFFSET(ORÇAMENTO!$X$15,ROW(AM386)-ROW(AM$15),0),
              ROUND(ROUND(OFFSET($P386,0,AM$13),15-13*ORÇAMENTO!$AF$7)*OFFSET(ORÇAMENTO!$W$15,ROW(AM386)-ROW(AM$15),0),15-13*ORÇAMENTO!$AF$11)),
         0)</f>
        <v>0</v>
      </c>
      <c r="AN386" s="453">
        <f ca="1">IF(AND($D386="Serviço",AN$12&lt;&gt;0,$H386&gt;0,OR(AUTOEVENTO&lt;&gt;"manual",$M386&lt;&gt;$A$15)),
        IF(Import.TipoArredondamento&lt;&gt;"TransfereGOV",
              ROUND(OFFSET($P386,0,AN$13),15-13*ORÇAMENTO!$AF$7)/$H386*OFFSET(ORÇAMENTO!$X$15,ROW(AN386)-ROW(AN$15),0),
              ROUND(ROUND(OFFSET($P386,0,AN$13),15-13*ORÇAMENTO!$AF$7)*OFFSET(ORÇAMENTO!$W$15,ROW(AN386)-ROW(AN$15),0),15-13*ORÇAMENTO!$AF$11)),
         0)</f>
        <v>0</v>
      </c>
      <c r="AO386" s="453">
        <f ca="1">IF(AND($D386="Serviço",AO$12&lt;&gt;0,$H386&gt;0,OR(AUTOEVENTO&lt;&gt;"manual",$M386&lt;&gt;$A$15)),
        IF(Import.TipoArredondamento&lt;&gt;"TransfereGOV",
              ROUND(OFFSET($P386,0,AO$13),15-13*ORÇAMENTO!$AF$7)/$H386*OFFSET(ORÇAMENTO!$X$15,ROW(AO386)-ROW(AO$15),0),
              ROUND(ROUND(OFFSET($P386,0,AO$13),15-13*ORÇAMENTO!$AF$7)*OFFSET(ORÇAMENTO!$W$15,ROW(AO386)-ROW(AO$15),0),15-13*ORÇAMENTO!$AF$11)),
         0)</f>
        <v>0</v>
      </c>
      <c r="AP386" s="453">
        <f ca="1">IF(AND($D386="Serviço",AP$12&lt;&gt;0,$H386&gt;0,OR(AUTOEVENTO&lt;&gt;"manual",$M386&lt;&gt;$A$15)),
        IF(Import.TipoArredondamento&lt;&gt;"TransfereGOV",
              ROUND(OFFSET($P386,0,AP$13),15-13*ORÇAMENTO!$AF$7)/$H386*OFFSET(ORÇAMENTO!$X$15,ROW(AP386)-ROW(AP$15),0),
              ROUND(ROUND(OFFSET($P386,0,AP$13),15-13*ORÇAMENTO!$AF$7)*OFFSET(ORÇAMENTO!$W$15,ROW(AP386)-ROW(AP$15),0),15-13*ORÇAMENTO!$AF$11)),
         0)</f>
        <v>0</v>
      </c>
      <c r="AQ386" s="453">
        <f ca="1">IF(AND($D386="Serviço",AQ$12&lt;&gt;0,$H386&gt;0,OR(AUTOEVENTO&lt;&gt;"manual",$M386&lt;&gt;$A$15)),
        IF(Import.TipoArredondamento&lt;&gt;"TransfereGOV",
              ROUND(OFFSET($P386,0,AQ$13),15-13*ORÇAMENTO!$AF$7)/$H386*OFFSET(ORÇAMENTO!$X$15,ROW(AQ386)-ROW(AQ$15),0),
              ROUND(ROUND(OFFSET($P386,0,AQ$13),15-13*ORÇAMENTO!$AF$7)*OFFSET(ORÇAMENTO!$W$15,ROW(AQ386)-ROW(AQ$15),0),15-13*ORÇAMENTO!$AF$11)),
         0)</f>
        <v>0</v>
      </c>
      <c r="AR386" s="453">
        <f ca="1">IF(AND($D386="Serviço",AR$12&lt;&gt;0,$H386&gt;0,OR(AUTOEVENTO&lt;&gt;"manual",$M386&lt;&gt;$A$15)),
        IF(Import.TipoArredondamento&lt;&gt;"TransfereGOV",
              ROUND(OFFSET($P386,0,AR$13),15-13*ORÇAMENTO!$AF$7)/$H386*OFFSET(ORÇAMENTO!$X$15,ROW(AR386)-ROW(AR$15),0),
              ROUND(ROUND(OFFSET($P386,0,AR$13),15-13*ORÇAMENTO!$AF$7)*OFFSET(ORÇAMENTO!$W$15,ROW(AR386)-ROW(AR$15),0),15-13*ORÇAMENTO!$AF$11)),
         0)</f>
        <v>0</v>
      </c>
      <c r="AS386" s="453">
        <f ca="1">IF(AND($D386="Serviço",AS$12&lt;&gt;0,$H386&gt;0,OR(AUTOEVENTO&lt;&gt;"manual",$M386&lt;&gt;$A$15)),
        IF(Import.TipoArredondamento&lt;&gt;"TransfereGOV",
              ROUND(OFFSET($P386,0,AS$13),15-13*ORÇAMENTO!$AF$7)/$H386*OFFSET(ORÇAMENTO!$X$15,ROW(AS386)-ROW(AS$15),0),
              ROUND(ROUND(OFFSET($P386,0,AS$13),15-13*ORÇAMENTO!$AF$7)*OFFSET(ORÇAMENTO!$W$15,ROW(AS386)-ROW(AS$15),0),15-13*ORÇAMENTO!$AF$11)),
         0)</f>
        <v>0</v>
      </c>
      <c r="AT386" s="453">
        <f ca="1">IF(AND($D386="Serviço",AT$12&lt;&gt;0,$H386&gt;0,OR(AUTOEVENTO&lt;&gt;"manual",$M386&lt;&gt;$A$15)),
        IF(Import.TipoArredondamento&lt;&gt;"TransfereGOV",
              ROUND(OFFSET($P386,0,AT$13),15-13*ORÇAMENTO!$AF$7)/$H386*OFFSET(ORÇAMENTO!$X$15,ROW(AT386)-ROW(AT$15),0),
              ROUND(ROUND(OFFSET($P386,0,AT$13),15-13*ORÇAMENTO!$AF$7)*OFFSET(ORÇAMENTO!$W$15,ROW(AT386)-ROW(AT$15),0),15-13*ORÇAMENTO!$AF$11)),
         0)</f>
        <v>0</v>
      </c>
      <c r="AU386" s="453">
        <f ca="1">IF(AND($D386="Serviço",AU$12&lt;&gt;0,$H386&gt;0,OR(AUTOEVENTO&lt;&gt;"manual",$M386&lt;&gt;$A$15)),
        IF(Import.TipoArredondamento&lt;&gt;"TransfereGOV",
              ROUND(OFFSET($P386,0,AU$13),15-13*ORÇAMENTO!$AF$7)/$H386*OFFSET(ORÇAMENTO!$X$15,ROW(AU386)-ROW(AU$15),0),
              ROUND(ROUND(OFFSET($P386,0,AU$13),15-13*ORÇAMENTO!$AF$7)*OFFSET(ORÇAMENTO!$W$15,ROW(AU386)-ROW(AU$15),0),15-13*ORÇAMENTO!$AF$11)),
         0)</f>
        <v>0</v>
      </c>
      <c r="AV386" s="453">
        <f ca="1">IF(AND($D386="Serviço",AV$12&lt;&gt;0,$H386&gt;0,OR(AUTOEVENTO&lt;&gt;"manual",$M386&lt;&gt;$A$15)),
        IF(Import.TipoArredondamento&lt;&gt;"TransfereGOV",
              ROUND(OFFSET($P386,0,AV$13),15-13*ORÇAMENTO!$AF$7)/$H386*OFFSET(ORÇAMENTO!$X$15,ROW(AV386)-ROW(AV$15),0),
              ROUND(ROUND(OFFSET($P386,0,AV$13),15-13*ORÇAMENTO!$AF$7)*OFFSET(ORÇAMENTO!$W$15,ROW(AV386)-ROW(AV$15),0),15-13*ORÇAMENTO!$AF$11)),
         0)</f>
        <v>0</v>
      </c>
      <c r="AW386" s="453">
        <f ca="1">IF(AND($D386="Serviço",AW$12&lt;&gt;0,$H386&gt;0,OR(AUTOEVENTO&lt;&gt;"manual",$M386&lt;&gt;$A$15)),
        IF(Import.TipoArredondamento&lt;&gt;"TransfereGOV",
              ROUND(OFFSET($P386,0,AW$13),15-13*ORÇAMENTO!$AF$7)/$H386*OFFSET(ORÇAMENTO!$X$15,ROW(AW386)-ROW(AW$15),0),
              ROUND(ROUND(OFFSET($P386,0,AW$13),15-13*ORÇAMENTO!$AF$7)*OFFSET(ORÇAMENTO!$W$15,ROW(AW386)-ROW(AW$15),0),15-13*ORÇAMENTO!$AF$11)),
         0)</f>
        <v>0</v>
      </c>
      <c r="AX386" s="453">
        <f ca="1">IF(AND($D386="Serviço",AX$12&lt;&gt;0,$H386&gt;0,OR(AUTOEVENTO&lt;&gt;"manual",$M386&lt;&gt;$A$15)),
        IF(Import.TipoArredondamento&lt;&gt;"TransfereGOV",
              ROUND(OFFSET($P386,0,AX$13),15-13*ORÇAMENTO!$AF$7)/$H386*OFFSET(ORÇAMENTO!$X$15,ROW(AX386)-ROW(AX$15),0),
              ROUND(ROUND(OFFSET($P386,0,AX$13),15-13*ORÇAMENTO!$AF$7)*OFFSET(ORÇAMENTO!$W$15,ROW(AX386)-ROW(AX$15),0),15-13*ORÇAMENTO!$AF$11)),
         0)</f>
        <v>0</v>
      </c>
      <c r="AY386" s="453">
        <f ca="1">IF(AND($D386="Serviço",AY$12&lt;&gt;0,$H386&gt;0,OR(AUTOEVENTO&lt;&gt;"manual",$M386&lt;&gt;$A$15)),
        IF(Import.TipoArredondamento&lt;&gt;"TransfereGOV",
              ROUND(OFFSET($P386,0,AY$13),15-13*ORÇAMENTO!$AF$7)/$H386*OFFSET(ORÇAMENTO!$X$15,ROW(AY386)-ROW(AY$15),0),
              ROUND(ROUND(OFFSET($P386,0,AY$13),15-13*ORÇAMENTO!$AF$7)*OFFSET(ORÇAMENTO!$W$15,ROW(AY386)-ROW(AY$15),0),15-13*ORÇAMENTO!$AF$11)),
         0)</f>
        <v>0</v>
      </c>
      <c r="AZ386" s="453">
        <f ca="1">IF(AND($D386="Serviço",AZ$12&lt;&gt;0,$H386&gt;0,OR(AUTOEVENTO&lt;&gt;"manual",$M386&lt;&gt;$A$15)),
        IF(Import.TipoArredondamento&lt;&gt;"TransfereGOV",
              ROUND(OFFSET($P386,0,AZ$13),15-13*ORÇAMENTO!$AF$7)/$H386*OFFSET(ORÇAMENTO!$X$15,ROW(AZ386)-ROW(AZ$15),0),
              ROUND(ROUND(OFFSET($P386,0,AZ$13),15-13*ORÇAMENTO!$AF$7)*OFFSET(ORÇAMENTO!$W$15,ROW(AZ386)-ROW(AZ$15),0),15-13*ORÇAMENTO!$AF$11)),
         0)</f>
        <v>0</v>
      </c>
      <c r="BA386" s="453">
        <f ca="1">IF(AND($D386="Serviço",BA$12&lt;&gt;0,$H386&gt;0,OR(AUTOEVENTO&lt;&gt;"manual",$M386&lt;&gt;$A$15)),
        IF(Import.TipoArredondamento&lt;&gt;"TransfereGOV",
              ROUND(OFFSET($P386,0,BA$13),15-13*ORÇAMENTO!$AF$7)/$H386*OFFSET(ORÇAMENTO!$X$15,ROW(BA386)-ROW(BA$15),0),
              ROUND(ROUND(OFFSET($P386,0,BA$13),15-13*ORÇAMENTO!$AF$7)*OFFSET(ORÇAMENTO!$W$15,ROW(BA386)-ROW(BA$15),0),15-13*ORÇAMENTO!$AF$11)),
         0)</f>
        <v>0</v>
      </c>
      <c r="BC386" s="171">
        <f ca="1">IF(OR($D386&lt;&gt;"Serviço",AND(AUTOEVENTO="Manual",$M386=$A$15)),0,
         IF(OFFSET(CRONOPLE!$F$15,$M386-$A$15,BC$13)=0,10^12,OFFSET(CRONOPLE!$F$15,$M386-$A$15,BC$13)))</f>
        <v>1</v>
      </c>
      <c r="BD386" s="171">
        <f ca="1">IF(OR($D386&lt;&gt;"Serviço",AND(AUTOEVENTO="Manual",$M386=$A$15)),0,
         IF(OFFSET(CRONOPLE!$F$15,$M386-$A$15,BD$13)=0,10^12,OFFSET(CRONOPLE!$F$15,$M386-$A$15,BD$13)))</f>
        <v>2</v>
      </c>
      <c r="BE386" s="171">
        <f ca="1">IF(OR($D386&lt;&gt;"Serviço",AND(AUTOEVENTO="Manual",$M386=$A$15)),0,
         IF(OFFSET(CRONOPLE!$F$15,$M386-$A$15,BE$13)=0,10^12,OFFSET(CRONOPLE!$F$15,$M386-$A$15,BE$13)))</f>
        <v>3</v>
      </c>
      <c r="BF386" s="171">
        <f ca="1">IF(OR($D386&lt;&gt;"Serviço",AND(AUTOEVENTO="Manual",$M386=$A$15)),0,
         IF(OFFSET(CRONOPLE!$F$15,$M386-$A$15,BF$13)=0,10^12,OFFSET(CRONOPLE!$F$15,$M386-$A$15,BF$13)))</f>
        <v>4</v>
      </c>
      <c r="BG386" s="171">
        <f ca="1">IF(OR($D386&lt;&gt;"Serviço",AND(AUTOEVENTO="Manual",$M386=$A$15)),0,
         IF(OFFSET(CRONOPLE!$F$15,$M386-$A$15,BG$13)=0,10^12,OFFSET(CRONOPLE!$F$15,$M386-$A$15,BG$13)))</f>
        <v>5</v>
      </c>
      <c r="BH386" s="171">
        <f ca="1">IF(OR($D386&lt;&gt;"Serviço",AND(AUTOEVENTO="Manual",$M386=$A$15)),0,
         IF(OFFSET(CRONOPLE!$F$15,$M386-$A$15,BH$13)=0,10^12,OFFSET(CRONOPLE!$F$15,$M386-$A$15,BH$13)))</f>
        <v>6</v>
      </c>
      <c r="BI386" s="171">
        <f ca="1">IF(OR($D386&lt;&gt;"Serviço",AND(AUTOEVENTO="Manual",$M386=$A$15)),0,
         IF(OFFSET(CRONOPLE!$F$15,$M386-$A$15,BI$13)=0,10^12,OFFSET(CRONOPLE!$F$15,$M386-$A$15,BI$13)))</f>
        <v>7</v>
      </c>
      <c r="BJ386" s="171">
        <f ca="1">IF(OR($D386&lt;&gt;"Serviço",AND(AUTOEVENTO="Manual",$M386=$A$15)),0,
         IF(OFFSET(CRONOPLE!$F$15,$M386-$A$15,BJ$13)=0,10^12,OFFSET(CRONOPLE!$F$15,$M386-$A$15,BJ$13)))</f>
        <v>8</v>
      </c>
      <c r="BK386" s="171">
        <f ca="1">IF(OR($D386&lt;&gt;"Serviço",AND(AUTOEVENTO="Manual",$M386=$A$15)),0,
         IF(OFFSET(CRONOPLE!$F$15,$M386-$A$15,BK$13)=0,10^12,OFFSET(CRONOPLE!$F$15,$M386-$A$15,BK$13)))</f>
        <v>9</v>
      </c>
      <c r="BL386" s="171">
        <f ca="1">IF(OR($D386&lt;&gt;"Serviço",AND(AUTOEVENTO="Manual",$M386=$A$15)),0,
         IF(OFFSET(CRONOPLE!$F$15,$M386-$A$15,BL$13)=0,10^12,OFFSET(CRONOPLE!$F$15,$M386-$A$15,BL$13)))</f>
        <v>1000000000000</v>
      </c>
      <c r="BM386" s="171">
        <f ca="1">IF(OR($D386&lt;&gt;"Serviço",AND(AUTOEVENTO="Manual",$M386=$A$15)),0,
         IF(OFFSET(CRONOPLE!$F$15,$M386-$A$15,BM$13)=0,10^12,OFFSET(CRONOPLE!$F$15,$M386-$A$15,BM$13)))</f>
        <v>1000000000000</v>
      </c>
      <c r="BN386" s="171">
        <f ca="1">IF(OR($D386&lt;&gt;"Serviço",AND(AUTOEVENTO="Manual",$M386=$A$15)),0,
         IF(OFFSET(CRONOPLE!$F$15,$M386-$A$15,BN$13)=0,10^12,OFFSET(CRONOPLE!$F$15,$M386-$A$15,BN$13)))</f>
        <v>1000000000000</v>
      </c>
      <c r="BO386" s="171">
        <f ca="1">IF(OR($D386&lt;&gt;"Serviço",AND(AUTOEVENTO="Manual",$M386=$A$15)),0,
         IF(OFFSET(CRONOPLE!$F$15,$M386-$A$15,BO$13)=0,10^12,OFFSET(CRONOPLE!$F$15,$M386-$A$15,BO$13)))</f>
        <v>1000000000000</v>
      </c>
      <c r="BP386" s="171">
        <f ca="1">IF(OR($D386&lt;&gt;"Serviço",AND(AUTOEVENTO="Manual",$M386=$A$15)),0,
         IF(OFFSET(CRONOPLE!$F$15,$M386-$A$15,BP$13)=0,10^12,OFFSET(CRONOPLE!$F$15,$M386-$A$15,BP$13)))</f>
        <v>1000000000000</v>
      </c>
      <c r="BQ386" s="171">
        <f ca="1">IF(OR($D386&lt;&gt;"Serviço",AND(AUTOEVENTO="Manual",$M386=$A$15)),0,
         IF(OFFSET(CRONOPLE!$F$15,$M386-$A$15,BQ$13)=0,10^12,OFFSET(CRONOPLE!$F$15,$M386-$A$15,BQ$13)))</f>
        <v>1000000000000</v>
      </c>
      <c r="BR386" s="171">
        <f ca="1">IF(OR($D386&lt;&gt;"Serviço",AND(AUTOEVENTO="Manual",$M386=$A$15)),0,
         IF(OFFSET(CRONOPLE!$F$15,$M386-$A$15,BR$13)=0,10^12,OFFSET(CRONOPLE!$F$15,$M386-$A$15,BR$13)))</f>
        <v>1000000000000</v>
      </c>
      <c r="BS386" s="171">
        <f ca="1">IF(OR($D386&lt;&gt;"Serviço",AND(AUTOEVENTO="Manual",$M386=$A$15)),0,
         IF(OFFSET(CRONOPLE!$F$15,$M386-$A$15,BS$13)=0,10^12,OFFSET(CRONOPLE!$F$15,$M386-$A$15,BS$13)))</f>
        <v>1000000000000</v>
      </c>
      <c r="BT386" s="171">
        <f ca="1">IF(OR($D386&lt;&gt;"Serviço",AND(AUTOEVENTO="Manual",$M386=$A$15)),0,
         IF(OFFSET(CRONOPLE!$F$15,$M386-$A$15,BT$13)=0,10^12,OFFSET(CRONOPLE!$F$15,$M386-$A$15,BT$13)))</f>
        <v>1000000000000</v>
      </c>
      <c r="BV386" s="172">
        <f ca="1">IF(OR($D386&lt;&gt;"Serviço",AND(AUTOEVENTO="Manual",$M386=$A$15),$M386&gt;(ROW(PLE.lastrow)-ROW(PLE.firstrow))),0,
           IF(OFFSET(PLE!$G$15,$M386-$A$15,BV$13)="",10^12,OFFSET(PLE!$G$15,$M386-$A$15,BV$13)))</f>
        <v>1000000000000</v>
      </c>
      <c r="BW386" s="172">
        <f ca="1">IF(OR($D386&lt;&gt;"Serviço",AND(AUTOEVENTO="Manual",$M386=$A$15),$M386&gt;(ROW(PLE.lastrow)-ROW(PLE.firstrow))),0,
           IF(OFFSET(PLE!$G$15,$M386-$A$15,BW$13)="",10^12,OFFSET(PLE!$G$15,$M386-$A$15,BW$13)))</f>
        <v>1000000000000</v>
      </c>
      <c r="BX386" s="172">
        <f ca="1">IF(OR($D386&lt;&gt;"Serviço",AND(AUTOEVENTO="Manual",$M386=$A$15),$M386&gt;(ROW(PLE.lastrow)-ROW(PLE.firstrow))),0,
           IF(OFFSET(PLE!$G$15,$M386-$A$15,BX$13)="",10^12,OFFSET(PLE!$G$15,$M386-$A$15,BX$13)))</f>
        <v>1000000000000</v>
      </c>
      <c r="BY386" s="172">
        <f ca="1">IF(OR($D386&lt;&gt;"Serviço",AND(AUTOEVENTO="Manual",$M386=$A$15),$M386&gt;(ROW(PLE.lastrow)-ROW(PLE.firstrow))),0,
           IF(OFFSET(PLE!$G$15,$M386-$A$15,BY$13)="",10^12,OFFSET(PLE!$G$15,$M386-$A$15,BY$13)))</f>
        <v>1000000000000</v>
      </c>
      <c r="BZ386" s="172">
        <f ca="1">IF(OR($D386&lt;&gt;"Serviço",AND(AUTOEVENTO="Manual",$M386=$A$15),$M386&gt;(ROW(PLE.lastrow)-ROW(PLE.firstrow))),0,
           IF(OFFSET(PLE!$G$15,$M386-$A$15,BZ$13)="",10^12,OFFSET(PLE!$G$15,$M386-$A$15,BZ$13)))</f>
        <v>1000000000000</v>
      </c>
      <c r="CA386" s="172">
        <f ca="1">IF(OR($D386&lt;&gt;"Serviço",AND(AUTOEVENTO="Manual",$M386=$A$15),$M386&gt;(ROW(PLE.lastrow)-ROW(PLE.firstrow))),0,
           IF(OFFSET(PLE!$G$15,$M386-$A$15,CA$13)="",10^12,OFFSET(PLE!$G$15,$M386-$A$15,CA$13)))</f>
        <v>1000000000000</v>
      </c>
      <c r="CB386" s="172">
        <f ca="1">IF(OR($D386&lt;&gt;"Serviço",AND(AUTOEVENTO="Manual",$M386=$A$15),$M386&gt;(ROW(PLE.lastrow)-ROW(PLE.firstrow))),0,
           IF(OFFSET(PLE!$G$15,$M386-$A$15,CB$13)="",10^12,OFFSET(PLE!$G$15,$M386-$A$15,CB$13)))</f>
        <v>1000000000000</v>
      </c>
      <c r="CC386" s="172">
        <f ca="1">IF(OR($D386&lt;&gt;"Serviço",AND(AUTOEVENTO="Manual",$M386=$A$15),$M386&gt;(ROW(PLE.lastrow)-ROW(PLE.firstrow))),0,
           IF(OFFSET(PLE!$G$15,$M386-$A$15,CC$13)="",10^12,OFFSET(PLE!$G$15,$M386-$A$15,CC$13)))</f>
        <v>1000000000000</v>
      </c>
      <c r="CD386" s="172">
        <f ca="1">IF(OR($D386&lt;&gt;"Serviço",AND(AUTOEVENTO="Manual",$M386=$A$15),$M386&gt;(ROW(PLE.lastrow)-ROW(PLE.firstrow))),0,
           IF(OFFSET(PLE!$G$15,$M386-$A$15,CD$13)="",10^12,OFFSET(PLE!$G$15,$M386-$A$15,CD$13)))</f>
        <v>1000000000000</v>
      </c>
      <c r="CE386" s="172">
        <f ca="1">IF(OR($D386&lt;&gt;"Serviço",AND(AUTOEVENTO="Manual",$M386=$A$15),$M386&gt;(ROW(PLE.lastrow)-ROW(PLE.firstrow))),0,
           IF(OFFSET(PLE!$G$15,$M386-$A$15,CE$13)="",10^12,OFFSET(PLE!$G$15,$M386-$A$15,CE$13)))</f>
        <v>1000000000000</v>
      </c>
      <c r="CF386" s="172">
        <f ca="1">IF(OR($D386&lt;&gt;"Serviço",AND(AUTOEVENTO="Manual",$M386=$A$15),$M386&gt;(ROW(PLE.lastrow)-ROW(PLE.firstrow))),0,
           IF(OFFSET(PLE!$G$15,$M386-$A$15,CF$13)="",10^12,OFFSET(PLE!$G$15,$M386-$A$15,CF$13)))</f>
        <v>1000000000000</v>
      </c>
      <c r="CG386" s="172">
        <f ca="1">IF(OR($D386&lt;&gt;"Serviço",AND(AUTOEVENTO="Manual",$M386=$A$15),$M386&gt;(ROW(PLE.lastrow)-ROW(PLE.firstrow))),0,
           IF(OFFSET(PLE!$G$15,$M386-$A$15,CG$13)="",10^12,OFFSET(PLE!$G$15,$M386-$A$15,CG$13)))</f>
        <v>1000000000000</v>
      </c>
      <c r="CH386" s="172">
        <f ca="1">IF(OR($D386&lt;&gt;"Serviço",AND(AUTOEVENTO="Manual",$M386=$A$15),$M386&gt;(ROW(PLE.lastrow)-ROW(PLE.firstrow))),0,
           IF(OFFSET(PLE!$G$15,$M386-$A$15,CH$13)="",10^12,OFFSET(PLE!$G$15,$M386-$A$15,CH$13)))</f>
        <v>1000000000000</v>
      </c>
      <c r="CI386" s="172">
        <f ca="1">IF(OR($D386&lt;&gt;"Serviço",AND(AUTOEVENTO="Manual",$M386=$A$15),$M386&gt;(ROW(PLE.lastrow)-ROW(PLE.firstrow))),0,
           IF(OFFSET(PLE!$G$15,$M386-$A$15,CI$13)="",10^12,OFFSET(PLE!$G$15,$M386-$A$15,CI$13)))</f>
        <v>1000000000000</v>
      </c>
      <c r="CJ386" s="172">
        <f ca="1">IF(OR($D386&lt;&gt;"Serviço",AND(AUTOEVENTO="Manual",$M386=$A$15),$M386&gt;(ROW(PLE.lastrow)-ROW(PLE.firstrow))),0,
           IF(OFFSET(PLE!$G$15,$M386-$A$15,CJ$13)="",10^12,OFFSET(PLE!$G$15,$M386-$A$15,CJ$13)))</f>
        <v>1000000000000</v>
      </c>
      <c r="CK386" s="172">
        <f ca="1">IF(OR($D386&lt;&gt;"Serviço",AND(AUTOEVENTO="Manual",$M386=$A$15),$M386&gt;(ROW(PLE.lastrow)-ROW(PLE.firstrow))),0,
           IF(OFFSET(PLE!$G$15,$M386-$A$15,CK$13)="",10^12,OFFSET(PLE!$G$15,$M386-$A$15,CK$13)))</f>
        <v>1000000000000</v>
      </c>
      <c r="CL386" s="172">
        <f ca="1">IF(OR($D386&lt;&gt;"Serviço",AND(AUTOEVENTO="Manual",$M386=$A$15),$M386&gt;(ROW(PLE.lastrow)-ROW(PLE.firstrow))),0,
           IF(OFFSET(PLE!$G$15,$M386-$A$15,CL$13)="",10^12,OFFSET(PLE!$G$15,$M386-$A$15,CL$13)))</f>
        <v>1000000000000</v>
      </c>
      <c r="CM386" s="172">
        <f ca="1">IF(OR($D386&lt;&gt;"Serviço",AND(AUTOEVENTO="Manual",$M386=$A$15),$M386&gt;(ROW(PLE.lastrow)-ROW(PLE.firstrow))),0,
           IF(OFFSET(PLE!$G$15,$M386-$A$15,CM$13)="",10^12,OFFSET(PLE!$G$15,$M386-$A$15,CM$13)))</f>
        <v>1000000000000</v>
      </c>
    </row>
    <row r="387" spans="1:91" ht="63.75" x14ac:dyDescent="0.2">
      <c r="A387" s="7">
        <f t="shared" ca="1" si="15"/>
        <v>7</v>
      </c>
      <c r="B387" s="7" t="str">
        <f ca="1">OFFSET(ORÇAMENTO!C$15,ROW(B387)-ROW(B$15),0)</f>
        <v>S</v>
      </c>
      <c r="C387" s="7" t="str">
        <f ca="1">OFFSET(ORÇAMENTO!L$15,ROW(C387)-ROW(C$15),0)</f>
        <v>F</v>
      </c>
      <c r="D387" s="116" t="str">
        <f ca="1">OFFSET(ORÇAMENTO!N$15,ROW(D387)-ROW(D$15),0)</f>
        <v>Serviço</v>
      </c>
      <c r="E387" s="117" t="str">
        <f ca="1">OFFSET(ORÇAMENTO!O$15,ROW(E387)-ROW(E$15),0)</f>
        <v>1.8.2.1.2.</v>
      </c>
      <c r="F387" s="163" t="str">
        <f ca="1">OFFSET(ORÇAMENTO!R$15,ROW(F387)-ROW(F$15),0)</f>
        <v>CAIXA DE DRENAGEM DE INSPEÇÃO/PASSAGEM EM ALVENARIA (30X30X30CM), REVESTIMENTO EM ARGAMASSA COM ADITIVO IMPERMEABILIZANTE, COM TAMPA EM GRELHA, INCLUSIVE ESCAVAÇÃO, REATERRO E TRANSPORTE COM RETIRADA DO MATERIAL ESCAVADO (EM CAÇAMBA)</v>
      </c>
      <c r="G387" s="164" t="str">
        <f ca="1">IF($D387&lt;&gt;"Serviço","",OFFSET(ORÇAMENTO!S$15,ROW(G387)-ROW(G$15),0))</f>
        <v>UN</v>
      </c>
      <c r="H387" s="122" cm="1">
        <f t="array" aca="1" ref="H387" ca="1">IF($D387&lt;&gt;"Serviço",0,IF(ACOMPANHAMENTO="BM",ROUND(OFFSET(ORÇAMENTO!AJ$15,ROW(H387)-ROW(H$15),0),15-13*ORÇAMENTO!$AF$7),SUMPRODUCT(($Q$1:$AI$1=1)*ROUND($Q387:$AI387,15-13*ORÇAMENTO!$AF$7))))</f>
        <v>4</v>
      </c>
      <c r="I387" s="468" t="s">
        <v>1431</v>
      </c>
      <c r="J387" s="640" t="str" cm="1">
        <f t="array" aca="1" ref="J387" ca="1">IF(OR(B387&lt;&gt;"S",CÁLCULO.FrentesPreenchidas=0),"",IF(AND(ACOMPANHAMENTO="PLE",AUTOEVENTO="Manual",OR(H387&gt;0,ORÇAMENTO!AC387="QUANT."),OR(K387="",M387=0,N387="")),"►E",IF(AND(ACOMPANHAMENTO="PLE",ORÇAMENTO!AC387="QUANT."),"►Q",IF(AND(ACOMPANHAMENTO="PLE",H387&lt;&gt;SUMPRODUCT(($Q$1:$AI$1=1)*ROUND(Q387:AI387,15))),"►S",IF(AND(COUNTIF($P$11:$AI$11,"▼")=0,H387&gt;0,I387=""),"◄M","")))))</f>
        <v/>
      </c>
      <c r="K387" s="641" t="s">
        <v>1391</v>
      </c>
      <c r="L387" s="165" t="s">
        <v>764</v>
      </c>
      <c r="M387" s="166">
        <f ca="1">IF($D387&lt;&gt;"Serviço","",
          IF(AUTOEVENTO="manual",$A387,
                IF(ISERROR(MATCH($A387,$A$15:OFFSET($A387,-1,0),0)),MAX($M$15:OFFSET(M387,-1,0))+1,
                      INDEX($M$15:OFFSET(M387,-1,0),MATCH($A387,$A$15:OFFSET($A387,-1,0),0)))))</f>
        <v>7</v>
      </c>
      <c r="N387" s="167" t="str">
        <f ca="1">IF($D387&lt;&gt;"Serviço","",
         IF(AUTOEVENTO="Manual",
                IF($A387=0,"&lt;-- defina o número do agrupador",
                       OFFSET(EVENTOS!$D$15,$A387-$A$15,0)),
                OFFSET($F$15,$A387,0)))</f>
        <v>Instalações Elétricas</v>
      </c>
      <c r="O387" s="168"/>
      <c r="Q387" s="168"/>
      <c r="R387" s="169"/>
      <c r="S387" s="169"/>
      <c r="T387" s="169"/>
      <c r="U387" s="169"/>
      <c r="V387" s="169"/>
      <c r="W387" s="169"/>
      <c r="X387" s="169">
        <v>4</v>
      </c>
      <c r="Y387" s="169"/>
      <c r="Z387" s="170"/>
      <c r="AA387" s="169"/>
      <c r="AB387" s="169"/>
      <c r="AC387" s="169"/>
      <c r="AD387" s="169"/>
      <c r="AE387" s="169"/>
      <c r="AF387" s="169"/>
      <c r="AG387" s="169"/>
      <c r="AH387" s="170"/>
      <c r="AJ387" s="453">
        <f ca="1">IF(AND($D387="Serviço",AJ$12&lt;&gt;0,$H387&gt;0,OR(AUTOEVENTO&lt;&gt;"manual",$M387&lt;&gt;$A$15)),
        IF(Import.TipoArredondamento&lt;&gt;"TransfereGOV",
              ROUND(OFFSET($P387,0,AJ$13),15-13*ORÇAMENTO!$AF$7)/$H387*OFFSET(ORÇAMENTO!$X$15,ROW(AJ387)-ROW(AJ$15),0),
              ROUND(ROUND(OFFSET($P387,0,AJ$13),15-13*ORÇAMENTO!$AF$7)*OFFSET(ORÇAMENTO!$W$15,ROW(AJ387)-ROW(AJ$15),0),15-13*ORÇAMENTO!$AF$11)),
         0)</f>
        <v>0</v>
      </c>
      <c r="AK387" s="453">
        <f ca="1">IF(AND($D387="Serviço",AK$12&lt;&gt;0,$H387&gt;0,OR(AUTOEVENTO&lt;&gt;"manual",$M387&lt;&gt;$A$15)),
        IF(Import.TipoArredondamento&lt;&gt;"TransfereGOV",
              ROUND(OFFSET($P387,0,AK$13),15-13*ORÇAMENTO!$AF$7)/$H387*OFFSET(ORÇAMENTO!$X$15,ROW(AK387)-ROW(AK$15),0),
              ROUND(ROUND(OFFSET($P387,0,AK$13),15-13*ORÇAMENTO!$AF$7)*OFFSET(ORÇAMENTO!$W$15,ROW(AK387)-ROW(AK$15),0),15-13*ORÇAMENTO!$AF$11)),
         0)</f>
        <v>0</v>
      </c>
      <c r="AL387" s="453">
        <f ca="1">IF(AND($D387="Serviço",AL$12&lt;&gt;0,$H387&gt;0,OR(AUTOEVENTO&lt;&gt;"manual",$M387&lt;&gt;$A$15)),
        IF(Import.TipoArredondamento&lt;&gt;"TransfereGOV",
              ROUND(OFFSET($P387,0,AL$13),15-13*ORÇAMENTO!$AF$7)/$H387*OFFSET(ORÇAMENTO!$X$15,ROW(AL387)-ROW(AL$15),0),
              ROUND(ROUND(OFFSET($P387,0,AL$13),15-13*ORÇAMENTO!$AF$7)*OFFSET(ORÇAMENTO!$W$15,ROW(AL387)-ROW(AL$15),0),15-13*ORÇAMENTO!$AF$11)),
         0)</f>
        <v>0</v>
      </c>
      <c r="AM387" s="453">
        <f ca="1">IF(AND($D387="Serviço",AM$12&lt;&gt;0,$H387&gt;0,OR(AUTOEVENTO&lt;&gt;"manual",$M387&lt;&gt;$A$15)),
        IF(Import.TipoArredondamento&lt;&gt;"TransfereGOV",
              ROUND(OFFSET($P387,0,AM$13),15-13*ORÇAMENTO!$AF$7)/$H387*OFFSET(ORÇAMENTO!$X$15,ROW(AM387)-ROW(AM$15),0),
              ROUND(ROUND(OFFSET($P387,0,AM$13),15-13*ORÇAMENTO!$AF$7)*OFFSET(ORÇAMENTO!$W$15,ROW(AM387)-ROW(AM$15),0),15-13*ORÇAMENTO!$AF$11)),
         0)</f>
        <v>0</v>
      </c>
      <c r="AN387" s="453">
        <f ca="1">IF(AND($D387="Serviço",AN$12&lt;&gt;0,$H387&gt;0,OR(AUTOEVENTO&lt;&gt;"manual",$M387&lt;&gt;$A$15)),
        IF(Import.TipoArredondamento&lt;&gt;"TransfereGOV",
              ROUND(OFFSET($P387,0,AN$13),15-13*ORÇAMENTO!$AF$7)/$H387*OFFSET(ORÇAMENTO!$X$15,ROW(AN387)-ROW(AN$15),0),
              ROUND(ROUND(OFFSET($P387,0,AN$13),15-13*ORÇAMENTO!$AF$7)*OFFSET(ORÇAMENTO!$W$15,ROW(AN387)-ROW(AN$15),0),15-13*ORÇAMENTO!$AF$11)),
         0)</f>
        <v>0</v>
      </c>
      <c r="AO387" s="453">
        <f ca="1">IF(AND($D387="Serviço",AO$12&lt;&gt;0,$H387&gt;0,OR(AUTOEVENTO&lt;&gt;"manual",$M387&lt;&gt;$A$15)),
        IF(Import.TipoArredondamento&lt;&gt;"TransfereGOV",
              ROUND(OFFSET($P387,0,AO$13),15-13*ORÇAMENTO!$AF$7)/$H387*OFFSET(ORÇAMENTO!$X$15,ROW(AO387)-ROW(AO$15),0),
              ROUND(ROUND(OFFSET($P387,0,AO$13),15-13*ORÇAMENTO!$AF$7)*OFFSET(ORÇAMENTO!$W$15,ROW(AO387)-ROW(AO$15),0),15-13*ORÇAMENTO!$AF$11)),
         0)</f>
        <v>0</v>
      </c>
      <c r="AP387" s="453">
        <f ca="1">IF(AND($D387="Serviço",AP$12&lt;&gt;0,$H387&gt;0,OR(AUTOEVENTO&lt;&gt;"manual",$M387&lt;&gt;$A$15)),
        IF(Import.TipoArredondamento&lt;&gt;"TransfereGOV",
              ROUND(OFFSET($P387,0,AP$13),15-13*ORÇAMENTO!$AF$7)/$H387*OFFSET(ORÇAMENTO!$X$15,ROW(AP387)-ROW(AP$15),0),
              ROUND(ROUND(OFFSET($P387,0,AP$13),15-13*ORÇAMENTO!$AF$7)*OFFSET(ORÇAMENTO!$W$15,ROW(AP387)-ROW(AP$15),0),15-13*ORÇAMENTO!$AF$11)),
         0)</f>
        <v>0</v>
      </c>
      <c r="AQ387" s="453">
        <f ca="1">IF(AND($D387="Serviço",AQ$12&lt;&gt;0,$H387&gt;0,OR(AUTOEVENTO&lt;&gt;"manual",$M387&lt;&gt;$A$15)),
        IF(Import.TipoArredondamento&lt;&gt;"TransfereGOV",
              ROUND(OFFSET($P387,0,AQ$13),15-13*ORÇAMENTO!$AF$7)/$H387*OFFSET(ORÇAMENTO!$X$15,ROW(AQ387)-ROW(AQ$15),0),
              ROUND(ROUND(OFFSET($P387,0,AQ$13),15-13*ORÇAMENTO!$AF$7)*OFFSET(ORÇAMENTO!$W$15,ROW(AQ387)-ROW(AQ$15),0),15-13*ORÇAMENTO!$AF$11)),
         0)</f>
        <v>0</v>
      </c>
      <c r="AR387" s="453">
        <f ca="1">IF(AND($D387="Serviço",AR$12&lt;&gt;0,$H387&gt;0,OR(AUTOEVENTO&lt;&gt;"manual",$M387&lt;&gt;$A$15)),
        IF(Import.TipoArredondamento&lt;&gt;"TransfereGOV",
              ROUND(OFFSET($P387,0,AR$13),15-13*ORÇAMENTO!$AF$7)/$H387*OFFSET(ORÇAMENTO!$X$15,ROW(AR387)-ROW(AR$15),0),
              ROUND(ROUND(OFFSET($P387,0,AR$13),15-13*ORÇAMENTO!$AF$7)*OFFSET(ORÇAMENTO!$W$15,ROW(AR387)-ROW(AR$15),0),15-13*ORÇAMENTO!$AF$11)),
         0)</f>
        <v>0</v>
      </c>
      <c r="AS387" s="453">
        <f ca="1">IF(AND($D387="Serviço",AS$12&lt;&gt;0,$H387&gt;0,OR(AUTOEVENTO&lt;&gt;"manual",$M387&lt;&gt;$A$15)),
        IF(Import.TipoArredondamento&lt;&gt;"TransfereGOV",
              ROUND(OFFSET($P387,0,AS$13),15-13*ORÇAMENTO!$AF$7)/$H387*OFFSET(ORÇAMENTO!$X$15,ROW(AS387)-ROW(AS$15),0),
              ROUND(ROUND(OFFSET($P387,0,AS$13),15-13*ORÇAMENTO!$AF$7)*OFFSET(ORÇAMENTO!$W$15,ROW(AS387)-ROW(AS$15),0),15-13*ORÇAMENTO!$AF$11)),
         0)</f>
        <v>0</v>
      </c>
      <c r="AT387" s="453">
        <f ca="1">IF(AND($D387="Serviço",AT$12&lt;&gt;0,$H387&gt;0,OR(AUTOEVENTO&lt;&gt;"manual",$M387&lt;&gt;$A$15)),
        IF(Import.TipoArredondamento&lt;&gt;"TransfereGOV",
              ROUND(OFFSET($P387,0,AT$13),15-13*ORÇAMENTO!$AF$7)/$H387*OFFSET(ORÇAMENTO!$X$15,ROW(AT387)-ROW(AT$15),0),
              ROUND(ROUND(OFFSET($P387,0,AT$13),15-13*ORÇAMENTO!$AF$7)*OFFSET(ORÇAMENTO!$W$15,ROW(AT387)-ROW(AT$15),0),15-13*ORÇAMENTO!$AF$11)),
         0)</f>
        <v>0</v>
      </c>
      <c r="AU387" s="453">
        <f ca="1">IF(AND($D387="Serviço",AU$12&lt;&gt;0,$H387&gt;0,OR(AUTOEVENTO&lt;&gt;"manual",$M387&lt;&gt;$A$15)),
        IF(Import.TipoArredondamento&lt;&gt;"TransfereGOV",
              ROUND(OFFSET($P387,0,AU$13),15-13*ORÇAMENTO!$AF$7)/$H387*OFFSET(ORÇAMENTO!$X$15,ROW(AU387)-ROW(AU$15),0),
              ROUND(ROUND(OFFSET($P387,0,AU$13),15-13*ORÇAMENTO!$AF$7)*OFFSET(ORÇAMENTO!$W$15,ROW(AU387)-ROW(AU$15),0),15-13*ORÇAMENTO!$AF$11)),
         0)</f>
        <v>0</v>
      </c>
      <c r="AV387" s="453">
        <f ca="1">IF(AND($D387="Serviço",AV$12&lt;&gt;0,$H387&gt;0,OR(AUTOEVENTO&lt;&gt;"manual",$M387&lt;&gt;$A$15)),
        IF(Import.TipoArredondamento&lt;&gt;"TransfereGOV",
              ROUND(OFFSET($P387,0,AV$13),15-13*ORÇAMENTO!$AF$7)/$H387*OFFSET(ORÇAMENTO!$X$15,ROW(AV387)-ROW(AV$15),0),
              ROUND(ROUND(OFFSET($P387,0,AV$13),15-13*ORÇAMENTO!$AF$7)*OFFSET(ORÇAMENTO!$W$15,ROW(AV387)-ROW(AV$15),0),15-13*ORÇAMENTO!$AF$11)),
         0)</f>
        <v>0</v>
      </c>
      <c r="AW387" s="453">
        <f ca="1">IF(AND($D387="Serviço",AW$12&lt;&gt;0,$H387&gt;0,OR(AUTOEVENTO&lt;&gt;"manual",$M387&lt;&gt;$A$15)),
        IF(Import.TipoArredondamento&lt;&gt;"TransfereGOV",
              ROUND(OFFSET($P387,0,AW$13),15-13*ORÇAMENTO!$AF$7)/$H387*OFFSET(ORÇAMENTO!$X$15,ROW(AW387)-ROW(AW$15),0),
              ROUND(ROUND(OFFSET($P387,0,AW$13),15-13*ORÇAMENTO!$AF$7)*OFFSET(ORÇAMENTO!$W$15,ROW(AW387)-ROW(AW$15),0),15-13*ORÇAMENTO!$AF$11)),
         0)</f>
        <v>0</v>
      </c>
      <c r="AX387" s="453">
        <f ca="1">IF(AND($D387="Serviço",AX$12&lt;&gt;0,$H387&gt;0,OR(AUTOEVENTO&lt;&gt;"manual",$M387&lt;&gt;$A$15)),
        IF(Import.TipoArredondamento&lt;&gt;"TransfereGOV",
              ROUND(OFFSET($P387,0,AX$13),15-13*ORÇAMENTO!$AF$7)/$H387*OFFSET(ORÇAMENTO!$X$15,ROW(AX387)-ROW(AX$15),0),
              ROUND(ROUND(OFFSET($P387,0,AX$13),15-13*ORÇAMENTO!$AF$7)*OFFSET(ORÇAMENTO!$W$15,ROW(AX387)-ROW(AX$15),0),15-13*ORÇAMENTO!$AF$11)),
         0)</f>
        <v>0</v>
      </c>
      <c r="AY387" s="453">
        <f ca="1">IF(AND($D387="Serviço",AY$12&lt;&gt;0,$H387&gt;0,OR(AUTOEVENTO&lt;&gt;"manual",$M387&lt;&gt;$A$15)),
        IF(Import.TipoArredondamento&lt;&gt;"TransfereGOV",
              ROUND(OFFSET($P387,0,AY$13),15-13*ORÇAMENTO!$AF$7)/$H387*OFFSET(ORÇAMENTO!$X$15,ROW(AY387)-ROW(AY$15),0),
              ROUND(ROUND(OFFSET($P387,0,AY$13),15-13*ORÇAMENTO!$AF$7)*OFFSET(ORÇAMENTO!$W$15,ROW(AY387)-ROW(AY$15),0),15-13*ORÇAMENTO!$AF$11)),
         0)</f>
        <v>0</v>
      </c>
      <c r="AZ387" s="453">
        <f ca="1">IF(AND($D387="Serviço",AZ$12&lt;&gt;0,$H387&gt;0,OR(AUTOEVENTO&lt;&gt;"manual",$M387&lt;&gt;$A$15)),
        IF(Import.TipoArredondamento&lt;&gt;"TransfereGOV",
              ROUND(OFFSET($P387,0,AZ$13),15-13*ORÇAMENTO!$AF$7)/$H387*OFFSET(ORÇAMENTO!$X$15,ROW(AZ387)-ROW(AZ$15),0),
              ROUND(ROUND(OFFSET($P387,0,AZ$13),15-13*ORÇAMENTO!$AF$7)*OFFSET(ORÇAMENTO!$W$15,ROW(AZ387)-ROW(AZ$15),0),15-13*ORÇAMENTO!$AF$11)),
         0)</f>
        <v>0</v>
      </c>
      <c r="BA387" s="453">
        <f ca="1">IF(AND($D387="Serviço",BA$12&lt;&gt;0,$H387&gt;0,OR(AUTOEVENTO&lt;&gt;"manual",$M387&lt;&gt;$A$15)),
        IF(Import.TipoArredondamento&lt;&gt;"TransfereGOV",
              ROUND(OFFSET($P387,0,BA$13),15-13*ORÇAMENTO!$AF$7)/$H387*OFFSET(ORÇAMENTO!$X$15,ROW(BA387)-ROW(BA$15),0),
              ROUND(ROUND(OFFSET($P387,0,BA$13),15-13*ORÇAMENTO!$AF$7)*OFFSET(ORÇAMENTO!$W$15,ROW(BA387)-ROW(BA$15),0),15-13*ORÇAMENTO!$AF$11)),
         0)</f>
        <v>0</v>
      </c>
      <c r="BC387" s="171">
        <f ca="1">IF(OR($D387&lt;&gt;"Serviço",AND(AUTOEVENTO="Manual",$M387=$A$15)),0,
         IF(OFFSET(CRONOPLE!$F$15,$M387-$A$15,BC$13)=0,10^12,OFFSET(CRONOPLE!$F$15,$M387-$A$15,BC$13)))</f>
        <v>1</v>
      </c>
      <c r="BD387" s="171">
        <f ca="1">IF(OR($D387&lt;&gt;"Serviço",AND(AUTOEVENTO="Manual",$M387=$A$15)),0,
         IF(OFFSET(CRONOPLE!$F$15,$M387-$A$15,BD$13)=0,10^12,OFFSET(CRONOPLE!$F$15,$M387-$A$15,BD$13)))</f>
        <v>2</v>
      </c>
      <c r="BE387" s="171">
        <f ca="1">IF(OR($D387&lt;&gt;"Serviço",AND(AUTOEVENTO="Manual",$M387=$A$15)),0,
         IF(OFFSET(CRONOPLE!$F$15,$M387-$A$15,BE$13)=0,10^12,OFFSET(CRONOPLE!$F$15,$M387-$A$15,BE$13)))</f>
        <v>3</v>
      </c>
      <c r="BF387" s="171">
        <f ca="1">IF(OR($D387&lt;&gt;"Serviço",AND(AUTOEVENTO="Manual",$M387=$A$15)),0,
         IF(OFFSET(CRONOPLE!$F$15,$M387-$A$15,BF$13)=0,10^12,OFFSET(CRONOPLE!$F$15,$M387-$A$15,BF$13)))</f>
        <v>4</v>
      </c>
      <c r="BG387" s="171">
        <f ca="1">IF(OR($D387&lt;&gt;"Serviço",AND(AUTOEVENTO="Manual",$M387=$A$15)),0,
         IF(OFFSET(CRONOPLE!$F$15,$M387-$A$15,BG$13)=0,10^12,OFFSET(CRONOPLE!$F$15,$M387-$A$15,BG$13)))</f>
        <v>5</v>
      </c>
      <c r="BH387" s="171">
        <f ca="1">IF(OR($D387&lt;&gt;"Serviço",AND(AUTOEVENTO="Manual",$M387=$A$15)),0,
         IF(OFFSET(CRONOPLE!$F$15,$M387-$A$15,BH$13)=0,10^12,OFFSET(CRONOPLE!$F$15,$M387-$A$15,BH$13)))</f>
        <v>6</v>
      </c>
      <c r="BI387" s="171">
        <f ca="1">IF(OR($D387&lt;&gt;"Serviço",AND(AUTOEVENTO="Manual",$M387=$A$15)),0,
         IF(OFFSET(CRONOPLE!$F$15,$M387-$A$15,BI$13)=0,10^12,OFFSET(CRONOPLE!$F$15,$M387-$A$15,BI$13)))</f>
        <v>7</v>
      </c>
      <c r="BJ387" s="171">
        <f ca="1">IF(OR($D387&lt;&gt;"Serviço",AND(AUTOEVENTO="Manual",$M387=$A$15)),0,
         IF(OFFSET(CRONOPLE!$F$15,$M387-$A$15,BJ$13)=0,10^12,OFFSET(CRONOPLE!$F$15,$M387-$A$15,BJ$13)))</f>
        <v>8</v>
      </c>
      <c r="BK387" s="171">
        <f ca="1">IF(OR($D387&lt;&gt;"Serviço",AND(AUTOEVENTO="Manual",$M387=$A$15)),0,
         IF(OFFSET(CRONOPLE!$F$15,$M387-$A$15,BK$13)=0,10^12,OFFSET(CRONOPLE!$F$15,$M387-$A$15,BK$13)))</f>
        <v>9</v>
      </c>
      <c r="BL387" s="171">
        <f ca="1">IF(OR($D387&lt;&gt;"Serviço",AND(AUTOEVENTO="Manual",$M387=$A$15)),0,
         IF(OFFSET(CRONOPLE!$F$15,$M387-$A$15,BL$13)=0,10^12,OFFSET(CRONOPLE!$F$15,$M387-$A$15,BL$13)))</f>
        <v>1000000000000</v>
      </c>
      <c r="BM387" s="171">
        <f ca="1">IF(OR($D387&lt;&gt;"Serviço",AND(AUTOEVENTO="Manual",$M387=$A$15)),0,
         IF(OFFSET(CRONOPLE!$F$15,$M387-$A$15,BM$13)=0,10^12,OFFSET(CRONOPLE!$F$15,$M387-$A$15,BM$13)))</f>
        <v>1000000000000</v>
      </c>
      <c r="BN387" s="171">
        <f ca="1">IF(OR($D387&lt;&gt;"Serviço",AND(AUTOEVENTO="Manual",$M387=$A$15)),0,
         IF(OFFSET(CRONOPLE!$F$15,$M387-$A$15,BN$13)=0,10^12,OFFSET(CRONOPLE!$F$15,$M387-$A$15,BN$13)))</f>
        <v>1000000000000</v>
      </c>
      <c r="BO387" s="171">
        <f ca="1">IF(OR($D387&lt;&gt;"Serviço",AND(AUTOEVENTO="Manual",$M387=$A$15)),0,
         IF(OFFSET(CRONOPLE!$F$15,$M387-$A$15,BO$13)=0,10^12,OFFSET(CRONOPLE!$F$15,$M387-$A$15,BO$13)))</f>
        <v>1000000000000</v>
      </c>
      <c r="BP387" s="171">
        <f ca="1">IF(OR($D387&lt;&gt;"Serviço",AND(AUTOEVENTO="Manual",$M387=$A$15)),0,
         IF(OFFSET(CRONOPLE!$F$15,$M387-$A$15,BP$13)=0,10^12,OFFSET(CRONOPLE!$F$15,$M387-$A$15,BP$13)))</f>
        <v>1000000000000</v>
      </c>
      <c r="BQ387" s="171">
        <f ca="1">IF(OR($D387&lt;&gt;"Serviço",AND(AUTOEVENTO="Manual",$M387=$A$15)),0,
         IF(OFFSET(CRONOPLE!$F$15,$M387-$A$15,BQ$13)=0,10^12,OFFSET(CRONOPLE!$F$15,$M387-$A$15,BQ$13)))</f>
        <v>1000000000000</v>
      </c>
      <c r="BR387" s="171">
        <f ca="1">IF(OR($D387&lt;&gt;"Serviço",AND(AUTOEVENTO="Manual",$M387=$A$15)),0,
         IF(OFFSET(CRONOPLE!$F$15,$M387-$A$15,BR$13)=0,10^12,OFFSET(CRONOPLE!$F$15,$M387-$A$15,BR$13)))</f>
        <v>1000000000000</v>
      </c>
      <c r="BS387" s="171">
        <f ca="1">IF(OR($D387&lt;&gt;"Serviço",AND(AUTOEVENTO="Manual",$M387=$A$15)),0,
         IF(OFFSET(CRONOPLE!$F$15,$M387-$A$15,BS$13)=0,10^12,OFFSET(CRONOPLE!$F$15,$M387-$A$15,BS$13)))</f>
        <v>1000000000000</v>
      </c>
      <c r="BT387" s="171">
        <f ca="1">IF(OR($D387&lt;&gt;"Serviço",AND(AUTOEVENTO="Manual",$M387=$A$15)),0,
         IF(OFFSET(CRONOPLE!$F$15,$M387-$A$15,BT$13)=0,10^12,OFFSET(CRONOPLE!$F$15,$M387-$A$15,BT$13)))</f>
        <v>1000000000000</v>
      </c>
      <c r="BV387" s="172">
        <f ca="1">IF(OR($D387&lt;&gt;"Serviço",AND(AUTOEVENTO="Manual",$M387=$A$15),$M387&gt;(ROW(PLE.lastrow)-ROW(PLE.firstrow))),0,
           IF(OFFSET(PLE!$G$15,$M387-$A$15,BV$13)="",10^12,OFFSET(PLE!$G$15,$M387-$A$15,BV$13)))</f>
        <v>1000000000000</v>
      </c>
      <c r="BW387" s="172">
        <f ca="1">IF(OR($D387&lt;&gt;"Serviço",AND(AUTOEVENTO="Manual",$M387=$A$15),$M387&gt;(ROW(PLE.lastrow)-ROW(PLE.firstrow))),0,
           IF(OFFSET(PLE!$G$15,$M387-$A$15,BW$13)="",10^12,OFFSET(PLE!$G$15,$M387-$A$15,BW$13)))</f>
        <v>1000000000000</v>
      </c>
      <c r="BX387" s="172">
        <f ca="1">IF(OR($D387&lt;&gt;"Serviço",AND(AUTOEVENTO="Manual",$M387=$A$15),$M387&gt;(ROW(PLE.lastrow)-ROW(PLE.firstrow))),0,
           IF(OFFSET(PLE!$G$15,$M387-$A$15,BX$13)="",10^12,OFFSET(PLE!$G$15,$M387-$A$15,BX$13)))</f>
        <v>1000000000000</v>
      </c>
      <c r="BY387" s="172">
        <f ca="1">IF(OR($D387&lt;&gt;"Serviço",AND(AUTOEVENTO="Manual",$M387=$A$15),$M387&gt;(ROW(PLE.lastrow)-ROW(PLE.firstrow))),0,
           IF(OFFSET(PLE!$G$15,$M387-$A$15,BY$13)="",10^12,OFFSET(PLE!$G$15,$M387-$A$15,BY$13)))</f>
        <v>1000000000000</v>
      </c>
      <c r="BZ387" s="172">
        <f ca="1">IF(OR($D387&lt;&gt;"Serviço",AND(AUTOEVENTO="Manual",$M387=$A$15),$M387&gt;(ROW(PLE.lastrow)-ROW(PLE.firstrow))),0,
           IF(OFFSET(PLE!$G$15,$M387-$A$15,BZ$13)="",10^12,OFFSET(PLE!$G$15,$M387-$A$15,BZ$13)))</f>
        <v>1000000000000</v>
      </c>
      <c r="CA387" s="172">
        <f ca="1">IF(OR($D387&lt;&gt;"Serviço",AND(AUTOEVENTO="Manual",$M387=$A$15),$M387&gt;(ROW(PLE.lastrow)-ROW(PLE.firstrow))),0,
           IF(OFFSET(PLE!$G$15,$M387-$A$15,CA$13)="",10^12,OFFSET(PLE!$G$15,$M387-$A$15,CA$13)))</f>
        <v>1000000000000</v>
      </c>
      <c r="CB387" s="172">
        <f ca="1">IF(OR($D387&lt;&gt;"Serviço",AND(AUTOEVENTO="Manual",$M387=$A$15),$M387&gt;(ROW(PLE.lastrow)-ROW(PLE.firstrow))),0,
           IF(OFFSET(PLE!$G$15,$M387-$A$15,CB$13)="",10^12,OFFSET(PLE!$G$15,$M387-$A$15,CB$13)))</f>
        <v>1000000000000</v>
      </c>
      <c r="CC387" s="172">
        <f ca="1">IF(OR($D387&lt;&gt;"Serviço",AND(AUTOEVENTO="Manual",$M387=$A$15),$M387&gt;(ROW(PLE.lastrow)-ROW(PLE.firstrow))),0,
           IF(OFFSET(PLE!$G$15,$M387-$A$15,CC$13)="",10^12,OFFSET(PLE!$G$15,$M387-$A$15,CC$13)))</f>
        <v>1000000000000</v>
      </c>
      <c r="CD387" s="172">
        <f ca="1">IF(OR($D387&lt;&gt;"Serviço",AND(AUTOEVENTO="Manual",$M387=$A$15),$M387&gt;(ROW(PLE.lastrow)-ROW(PLE.firstrow))),0,
           IF(OFFSET(PLE!$G$15,$M387-$A$15,CD$13)="",10^12,OFFSET(PLE!$G$15,$M387-$A$15,CD$13)))</f>
        <v>1000000000000</v>
      </c>
      <c r="CE387" s="172">
        <f ca="1">IF(OR($D387&lt;&gt;"Serviço",AND(AUTOEVENTO="Manual",$M387=$A$15),$M387&gt;(ROW(PLE.lastrow)-ROW(PLE.firstrow))),0,
           IF(OFFSET(PLE!$G$15,$M387-$A$15,CE$13)="",10^12,OFFSET(PLE!$G$15,$M387-$A$15,CE$13)))</f>
        <v>1000000000000</v>
      </c>
      <c r="CF387" s="172">
        <f ca="1">IF(OR($D387&lt;&gt;"Serviço",AND(AUTOEVENTO="Manual",$M387=$A$15),$M387&gt;(ROW(PLE.lastrow)-ROW(PLE.firstrow))),0,
           IF(OFFSET(PLE!$G$15,$M387-$A$15,CF$13)="",10^12,OFFSET(PLE!$G$15,$M387-$A$15,CF$13)))</f>
        <v>1000000000000</v>
      </c>
      <c r="CG387" s="172">
        <f ca="1">IF(OR($D387&lt;&gt;"Serviço",AND(AUTOEVENTO="Manual",$M387=$A$15),$M387&gt;(ROW(PLE.lastrow)-ROW(PLE.firstrow))),0,
           IF(OFFSET(PLE!$G$15,$M387-$A$15,CG$13)="",10^12,OFFSET(PLE!$G$15,$M387-$A$15,CG$13)))</f>
        <v>1000000000000</v>
      </c>
      <c r="CH387" s="172">
        <f ca="1">IF(OR($D387&lt;&gt;"Serviço",AND(AUTOEVENTO="Manual",$M387=$A$15),$M387&gt;(ROW(PLE.lastrow)-ROW(PLE.firstrow))),0,
           IF(OFFSET(PLE!$G$15,$M387-$A$15,CH$13)="",10^12,OFFSET(PLE!$G$15,$M387-$A$15,CH$13)))</f>
        <v>1000000000000</v>
      </c>
      <c r="CI387" s="172">
        <f ca="1">IF(OR($D387&lt;&gt;"Serviço",AND(AUTOEVENTO="Manual",$M387=$A$15),$M387&gt;(ROW(PLE.lastrow)-ROW(PLE.firstrow))),0,
           IF(OFFSET(PLE!$G$15,$M387-$A$15,CI$13)="",10^12,OFFSET(PLE!$G$15,$M387-$A$15,CI$13)))</f>
        <v>1000000000000</v>
      </c>
      <c r="CJ387" s="172">
        <f ca="1">IF(OR($D387&lt;&gt;"Serviço",AND(AUTOEVENTO="Manual",$M387=$A$15),$M387&gt;(ROW(PLE.lastrow)-ROW(PLE.firstrow))),0,
           IF(OFFSET(PLE!$G$15,$M387-$A$15,CJ$13)="",10^12,OFFSET(PLE!$G$15,$M387-$A$15,CJ$13)))</f>
        <v>1000000000000</v>
      </c>
      <c r="CK387" s="172">
        <f ca="1">IF(OR($D387&lt;&gt;"Serviço",AND(AUTOEVENTO="Manual",$M387=$A$15),$M387&gt;(ROW(PLE.lastrow)-ROW(PLE.firstrow))),0,
           IF(OFFSET(PLE!$G$15,$M387-$A$15,CK$13)="",10^12,OFFSET(PLE!$G$15,$M387-$A$15,CK$13)))</f>
        <v>1000000000000</v>
      </c>
      <c r="CL387" s="172">
        <f ca="1">IF(OR($D387&lt;&gt;"Serviço",AND(AUTOEVENTO="Manual",$M387=$A$15),$M387&gt;(ROW(PLE.lastrow)-ROW(PLE.firstrow))),0,
           IF(OFFSET(PLE!$G$15,$M387-$A$15,CL$13)="",10^12,OFFSET(PLE!$G$15,$M387-$A$15,CL$13)))</f>
        <v>1000000000000</v>
      </c>
      <c r="CM387" s="172">
        <f ca="1">IF(OR($D387&lt;&gt;"Serviço",AND(AUTOEVENTO="Manual",$M387=$A$15),$M387&gt;(ROW(PLE.lastrow)-ROW(PLE.firstrow))),0,
           IF(OFFSET(PLE!$G$15,$M387-$A$15,CM$13)="",10^12,OFFSET(PLE!$G$15,$M387-$A$15,CM$13)))</f>
        <v>1000000000000</v>
      </c>
    </row>
    <row r="388" spans="1:91" ht="38.25" x14ac:dyDescent="0.2">
      <c r="A388" s="7">
        <f t="shared" ca="1" si="15"/>
        <v>7</v>
      </c>
      <c r="B388" s="7" t="str">
        <f ca="1">OFFSET(ORÇAMENTO!C$15,ROW(B388)-ROW(B$15),0)</f>
        <v>S</v>
      </c>
      <c r="C388" s="7" t="str">
        <f ca="1">OFFSET(ORÇAMENTO!L$15,ROW(C388)-ROW(C$15),0)</f>
        <v>F</v>
      </c>
      <c r="D388" s="116" t="str">
        <f ca="1">OFFSET(ORÇAMENTO!N$15,ROW(D388)-ROW(D$15),0)</f>
        <v>Serviço</v>
      </c>
      <c r="E388" s="117" t="str">
        <f ca="1">OFFSET(ORÇAMENTO!O$15,ROW(E388)-ROW(E$15),0)</f>
        <v>1.8.2.1.3.</v>
      </c>
      <c r="F388" s="163" t="str">
        <f ca="1">OFFSET(ORÇAMENTO!R$15,ROW(F388)-ROW(F$15),0)</f>
        <v>CAIXA PRÉ MOLDADA PARA ATERRAMENTO COM TAMPA DE CONCRETO 25 X 25 X 50 CM, INCLUSIVE ESCAVAÇÃO E BOTA FORA</v>
      </c>
      <c r="G388" s="164" t="str">
        <f ca="1">IF($D388&lt;&gt;"Serviço","",OFFSET(ORÇAMENTO!S$15,ROW(G388)-ROW(G$15),0))</f>
        <v>UN</v>
      </c>
      <c r="H388" s="122" cm="1">
        <f t="array" aca="1" ref="H388" ca="1">IF($D388&lt;&gt;"Serviço",0,IF(ACOMPANHAMENTO="BM",ROUND(OFFSET(ORÇAMENTO!AJ$15,ROW(H388)-ROW(H$15),0),15-13*ORÇAMENTO!$AF$7),SUMPRODUCT(($Q$1:$AI$1=1)*ROUND($Q388:$AI388,15-13*ORÇAMENTO!$AF$7))))</f>
        <v>7</v>
      </c>
      <c r="I388" s="468" t="s">
        <v>1431</v>
      </c>
      <c r="J388" s="640" t="str" cm="1">
        <f t="array" aca="1" ref="J388" ca="1">IF(OR(B388&lt;&gt;"S",CÁLCULO.FrentesPreenchidas=0),"",IF(AND(ACOMPANHAMENTO="PLE",AUTOEVENTO="Manual",OR(H388&gt;0,ORÇAMENTO!AC388="QUANT."),OR(K388="",M388=0,N388="")),"►E",IF(AND(ACOMPANHAMENTO="PLE",ORÇAMENTO!AC388="QUANT."),"►Q",IF(AND(ACOMPANHAMENTO="PLE",H388&lt;&gt;SUMPRODUCT(($Q$1:$AI$1=1)*ROUND(Q388:AI388,15))),"►S",IF(AND(COUNTIF($P$11:$AI$11,"▼")=0,H388&gt;0,I388=""),"◄M","")))))</f>
        <v/>
      </c>
      <c r="K388" s="641" t="s">
        <v>1391</v>
      </c>
      <c r="L388" s="165" t="s">
        <v>764</v>
      </c>
      <c r="M388" s="166">
        <f ca="1">IF($D388&lt;&gt;"Serviço","",
          IF(AUTOEVENTO="manual",$A388,
                IF(ISERROR(MATCH($A388,$A$15:OFFSET($A388,-1,0),0)),MAX($M$15:OFFSET(M388,-1,0))+1,
                      INDEX($M$15:OFFSET(M388,-1,0),MATCH($A388,$A$15:OFFSET($A388,-1,0),0)))))</f>
        <v>7</v>
      </c>
      <c r="N388" s="167" t="str">
        <f ca="1">IF($D388&lt;&gt;"Serviço","",
         IF(AUTOEVENTO="Manual",
                IF($A388=0,"&lt;-- defina o número do agrupador",
                       OFFSET(EVENTOS!$D$15,$A388-$A$15,0)),
                OFFSET($F$15,$A388,0)))</f>
        <v>Instalações Elétricas</v>
      </c>
      <c r="O388" s="168"/>
      <c r="Q388" s="168"/>
      <c r="R388" s="169"/>
      <c r="S388" s="169"/>
      <c r="T388" s="169"/>
      <c r="U388" s="169"/>
      <c r="V388" s="169"/>
      <c r="W388" s="169"/>
      <c r="X388" s="169">
        <v>7</v>
      </c>
      <c r="Y388" s="169"/>
      <c r="Z388" s="170"/>
      <c r="AA388" s="169"/>
      <c r="AB388" s="169"/>
      <c r="AC388" s="169"/>
      <c r="AD388" s="169"/>
      <c r="AE388" s="169"/>
      <c r="AF388" s="169"/>
      <c r="AG388" s="169"/>
      <c r="AH388" s="170"/>
      <c r="AJ388" s="453">
        <f ca="1">IF(AND($D388="Serviço",AJ$12&lt;&gt;0,$H388&gt;0,OR(AUTOEVENTO&lt;&gt;"manual",$M388&lt;&gt;$A$15)),
        IF(Import.TipoArredondamento&lt;&gt;"TransfereGOV",
              ROUND(OFFSET($P388,0,AJ$13),15-13*ORÇAMENTO!$AF$7)/$H388*OFFSET(ORÇAMENTO!$X$15,ROW(AJ388)-ROW(AJ$15),0),
              ROUND(ROUND(OFFSET($P388,0,AJ$13),15-13*ORÇAMENTO!$AF$7)*OFFSET(ORÇAMENTO!$W$15,ROW(AJ388)-ROW(AJ$15),0),15-13*ORÇAMENTO!$AF$11)),
         0)</f>
        <v>0</v>
      </c>
      <c r="AK388" s="453">
        <f ca="1">IF(AND($D388="Serviço",AK$12&lt;&gt;0,$H388&gt;0,OR(AUTOEVENTO&lt;&gt;"manual",$M388&lt;&gt;$A$15)),
        IF(Import.TipoArredondamento&lt;&gt;"TransfereGOV",
              ROUND(OFFSET($P388,0,AK$13),15-13*ORÇAMENTO!$AF$7)/$H388*OFFSET(ORÇAMENTO!$X$15,ROW(AK388)-ROW(AK$15),0),
              ROUND(ROUND(OFFSET($P388,0,AK$13),15-13*ORÇAMENTO!$AF$7)*OFFSET(ORÇAMENTO!$W$15,ROW(AK388)-ROW(AK$15),0),15-13*ORÇAMENTO!$AF$11)),
         0)</f>
        <v>0</v>
      </c>
      <c r="AL388" s="453">
        <f ca="1">IF(AND($D388="Serviço",AL$12&lt;&gt;0,$H388&gt;0,OR(AUTOEVENTO&lt;&gt;"manual",$M388&lt;&gt;$A$15)),
        IF(Import.TipoArredondamento&lt;&gt;"TransfereGOV",
              ROUND(OFFSET($P388,0,AL$13),15-13*ORÇAMENTO!$AF$7)/$H388*OFFSET(ORÇAMENTO!$X$15,ROW(AL388)-ROW(AL$15),0),
              ROUND(ROUND(OFFSET($P388,0,AL$13),15-13*ORÇAMENTO!$AF$7)*OFFSET(ORÇAMENTO!$W$15,ROW(AL388)-ROW(AL$15),0),15-13*ORÇAMENTO!$AF$11)),
         0)</f>
        <v>0</v>
      </c>
      <c r="AM388" s="453">
        <f ca="1">IF(AND($D388="Serviço",AM$12&lt;&gt;0,$H388&gt;0,OR(AUTOEVENTO&lt;&gt;"manual",$M388&lt;&gt;$A$15)),
        IF(Import.TipoArredondamento&lt;&gt;"TransfereGOV",
              ROUND(OFFSET($P388,0,AM$13),15-13*ORÇAMENTO!$AF$7)/$H388*OFFSET(ORÇAMENTO!$X$15,ROW(AM388)-ROW(AM$15),0),
              ROUND(ROUND(OFFSET($P388,0,AM$13),15-13*ORÇAMENTO!$AF$7)*OFFSET(ORÇAMENTO!$W$15,ROW(AM388)-ROW(AM$15),0),15-13*ORÇAMENTO!$AF$11)),
         0)</f>
        <v>0</v>
      </c>
      <c r="AN388" s="453">
        <f ca="1">IF(AND($D388="Serviço",AN$12&lt;&gt;0,$H388&gt;0,OR(AUTOEVENTO&lt;&gt;"manual",$M388&lt;&gt;$A$15)),
        IF(Import.TipoArredondamento&lt;&gt;"TransfereGOV",
              ROUND(OFFSET($P388,0,AN$13),15-13*ORÇAMENTO!$AF$7)/$H388*OFFSET(ORÇAMENTO!$X$15,ROW(AN388)-ROW(AN$15),0),
              ROUND(ROUND(OFFSET($P388,0,AN$13),15-13*ORÇAMENTO!$AF$7)*OFFSET(ORÇAMENTO!$W$15,ROW(AN388)-ROW(AN$15),0),15-13*ORÇAMENTO!$AF$11)),
         0)</f>
        <v>0</v>
      </c>
      <c r="AO388" s="453">
        <f ca="1">IF(AND($D388="Serviço",AO$12&lt;&gt;0,$H388&gt;0,OR(AUTOEVENTO&lt;&gt;"manual",$M388&lt;&gt;$A$15)),
        IF(Import.TipoArredondamento&lt;&gt;"TransfereGOV",
              ROUND(OFFSET($P388,0,AO$13),15-13*ORÇAMENTO!$AF$7)/$H388*OFFSET(ORÇAMENTO!$X$15,ROW(AO388)-ROW(AO$15),0),
              ROUND(ROUND(OFFSET($P388,0,AO$13),15-13*ORÇAMENTO!$AF$7)*OFFSET(ORÇAMENTO!$W$15,ROW(AO388)-ROW(AO$15),0),15-13*ORÇAMENTO!$AF$11)),
         0)</f>
        <v>0</v>
      </c>
      <c r="AP388" s="453">
        <f ca="1">IF(AND($D388="Serviço",AP$12&lt;&gt;0,$H388&gt;0,OR(AUTOEVENTO&lt;&gt;"manual",$M388&lt;&gt;$A$15)),
        IF(Import.TipoArredondamento&lt;&gt;"TransfereGOV",
              ROUND(OFFSET($P388,0,AP$13),15-13*ORÇAMENTO!$AF$7)/$H388*OFFSET(ORÇAMENTO!$X$15,ROW(AP388)-ROW(AP$15),0),
              ROUND(ROUND(OFFSET($P388,0,AP$13),15-13*ORÇAMENTO!$AF$7)*OFFSET(ORÇAMENTO!$W$15,ROW(AP388)-ROW(AP$15),0),15-13*ORÇAMENTO!$AF$11)),
         0)</f>
        <v>0</v>
      </c>
      <c r="AQ388" s="453">
        <f ca="1">IF(AND($D388="Serviço",AQ$12&lt;&gt;0,$H388&gt;0,OR(AUTOEVENTO&lt;&gt;"manual",$M388&lt;&gt;$A$15)),
        IF(Import.TipoArredondamento&lt;&gt;"TransfereGOV",
              ROUND(OFFSET($P388,0,AQ$13),15-13*ORÇAMENTO!$AF$7)/$H388*OFFSET(ORÇAMENTO!$X$15,ROW(AQ388)-ROW(AQ$15),0),
              ROUND(ROUND(OFFSET($P388,0,AQ$13),15-13*ORÇAMENTO!$AF$7)*OFFSET(ORÇAMENTO!$W$15,ROW(AQ388)-ROW(AQ$15),0),15-13*ORÇAMENTO!$AF$11)),
         0)</f>
        <v>0</v>
      </c>
      <c r="AR388" s="453">
        <f ca="1">IF(AND($D388="Serviço",AR$12&lt;&gt;0,$H388&gt;0,OR(AUTOEVENTO&lt;&gt;"manual",$M388&lt;&gt;$A$15)),
        IF(Import.TipoArredondamento&lt;&gt;"TransfereGOV",
              ROUND(OFFSET($P388,0,AR$13),15-13*ORÇAMENTO!$AF$7)/$H388*OFFSET(ORÇAMENTO!$X$15,ROW(AR388)-ROW(AR$15),0),
              ROUND(ROUND(OFFSET($P388,0,AR$13),15-13*ORÇAMENTO!$AF$7)*OFFSET(ORÇAMENTO!$W$15,ROW(AR388)-ROW(AR$15),0),15-13*ORÇAMENTO!$AF$11)),
         0)</f>
        <v>0</v>
      </c>
      <c r="AS388" s="453">
        <f ca="1">IF(AND($D388="Serviço",AS$12&lt;&gt;0,$H388&gt;0,OR(AUTOEVENTO&lt;&gt;"manual",$M388&lt;&gt;$A$15)),
        IF(Import.TipoArredondamento&lt;&gt;"TransfereGOV",
              ROUND(OFFSET($P388,0,AS$13),15-13*ORÇAMENTO!$AF$7)/$H388*OFFSET(ORÇAMENTO!$X$15,ROW(AS388)-ROW(AS$15),0),
              ROUND(ROUND(OFFSET($P388,0,AS$13),15-13*ORÇAMENTO!$AF$7)*OFFSET(ORÇAMENTO!$W$15,ROW(AS388)-ROW(AS$15),0),15-13*ORÇAMENTO!$AF$11)),
         0)</f>
        <v>0</v>
      </c>
      <c r="AT388" s="453">
        <f ca="1">IF(AND($D388="Serviço",AT$12&lt;&gt;0,$H388&gt;0,OR(AUTOEVENTO&lt;&gt;"manual",$M388&lt;&gt;$A$15)),
        IF(Import.TipoArredondamento&lt;&gt;"TransfereGOV",
              ROUND(OFFSET($P388,0,AT$13),15-13*ORÇAMENTO!$AF$7)/$H388*OFFSET(ORÇAMENTO!$X$15,ROW(AT388)-ROW(AT$15),0),
              ROUND(ROUND(OFFSET($P388,0,AT$13),15-13*ORÇAMENTO!$AF$7)*OFFSET(ORÇAMENTO!$W$15,ROW(AT388)-ROW(AT$15),0),15-13*ORÇAMENTO!$AF$11)),
         0)</f>
        <v>0</v>
      </c>
      <c r="AU388" s="453">
        <f ca="1">IF(AND($D388="Serviço",AU$12&lt;&gt;0,$H388&gt;0,OR(AUTOEVENTO&lt;&gt;"manual",$M388&lt;&gt;$A$15)),
        IF(Import.TipoArredondamento&lt;&gt;"TransfereGOV",
              ROUND(OFFSET($P388,0,AU$13),15-13*ORÇAMENTO!$AF$7)/$H388*OFFSET(ORÇAMENTO!$X$15,ROW(AU388)-ROW(AU$15),0),
              ROUND(ROUND(OFFSET($P388,0,AU$13),15-13*ORÇAMENTO!$AF$7)*OFFSET(ORÇAMENTO!$W$15,ROW(AU388)-ROW(AU$15),0),15-13*ORÇAMENTO!$AF$11)),
         0)</f>
        <v>0</v>
      </c>
      <c r="AV388" s="453">
        <f ca="1">IF(AND($D388="Serviço",AV$12&lt;&gt;0,$H388&gt;0,OR(AUTOEVENTO&lt;&gt;"manual",$M388&lt;&gt;$A$15)),
        IF(Import.TipoArredondamento&lt;&gt;"TransfereGOV",
              ROUND(OFFSET($P388,0,AV$13),15-13*ORÇAMENTO!$AF$7)/$H388*OFFSET(ORÇAMENTO!$X$15,ROW(AV388)-ROW(AV$15),0),
              ROUND(ROUND(OFFSET($P388,0,AV$13),15-13*ORÇAMENTO!$AF$7)*OFFSET(ORÇAMENTO!$W$15,ROW(AV388)-ROW(AV$15),0),15-13*ORÇAMENTO!$AF$11)),
         0)</f>
        <v>0</v>
      </c>
      <c r="AW388" s="453">
        <f ca="1">IF(AND($D388="Serviço",AW$12&lt;&gt;0,$H388&gt;0,OR(AUTOEVENTO&lt;&gt;"manual",$M388&lt;&gt;$A$15)),
        IF(Import.TipoArredondamento&lt;&gt;"TransfereGOV",
              ROUND(OFFSET($P388,0,AW$13),15-13*ORÇAMENTO!$AF$7)/$H388*OFFSET(ORÇAMENTO!$X$15,ROW(AW388)-ROW(AW$15),0),
              ROUND(ROUND(OFFSET($P388,0,AW$13),15-13*ORÇAMENTO!$AF$7)*OFFSET(ORÇAMENTO!$W$15,ROW(AW388)-ROW(AW$15),0),15-13*ORÇAMENTO!$AF$11)),
         0)</f>
        <v>0</v>
      </c>
      <c r="AX388" s="453">
        <f ca="1">IF(AND($D388="Serviço",AX$12&lt;&gt;0,$H388&gt;0,OR(AUTOEVENTO&lt;&gt;"manual",$M388&lt;&gt;$A$15)),
        IF(Import.TipoArredondamento&lt;&gt;"TransfereGOV",
              ROUND(OFFSET($P388,0,AX$13),15-13*ORÇAMENTO!$AF$7)/$H388*OFFSET(ORÇAMENTO!$X$15,ROW(AX388)-ROW(AX$15),0),
              ROUND(ROUND(OFFSET($P388,0,AX$13),15-13*ORÇAMENTO!$AF$7)*OFFSET(ORÇAMENTO!$W$15,ROW(AX388)-ROW(AX$15),0),15-13*ORÇAMENTO!$AF$11)),
         0)</f>
        <v>0</v>
      </c>
      <c r="AY388" s="453">
        <f ca="1">IF(AND($D388="Serviço",AY$12&lt;&gt;0,$H388&gt;0,OR(AUTOEVENTO&lt;&gt;"manual",$M388&lt;&gt;$A$15)),
        IF(Import.TipoArredondamento&lt;&gt;"TransfereGOV",
              ROUND(OFFSET($P388,0,AY$13),15-13*ORÇAMENTO!$AF$7)/$H388*OFFSET(ORÇAMENTO!$X$15,ROW(AY388)-ROW(AY$15),0),
              ROUND(ROUND(OFFSET($P388,0,AY$13),15-13*ORÇAMENTO!$AF$7)*OFFSET(ORÇAMENTO!$W$15,ROW(AY388)-ROW(AY$15),0),15-13*ORÇAMENTO!$AF$11)),
         0)</f>
        <v>0</v>
      </c>
      <c r="AZ388" s="453">
        <f ca="1">IF(AND($D388="Serviço",AZ$12&lt;&gt;0,$H388&gt;0,OR(AUTOEVENTO&lt;&gt;"manual",$M388&lt;&gt;$A$15)),
        IF(Import.TipoArredondamento&lt;&gt;"TransfereGOV",
              ROUND(OFFSET($P388,0,AZ$13),15-13*ORÇAMENTO!$AF$7)/$H388*OFFSET(ORÇAMENTO!$X$15,ROW(AZ388)-ROW(AZ$15),0),
              ROUND(ROUND(OFFSET($P388,0,AZ$13),15-13*ORÇAMENTO!$AF$7)*OFFSET(ORÇAMENTO!$W$15,ROW(AZ388)-ROW(AZ$15),0),15-13*ORÇAMENTO!$AF$11)),
         0)</f>
        <v>0</v>
      </c>
      <c r="BA388" s="453">
        <f ca="1">IF(AND($D388="Serviço",BA$12&lt;&gt;0,$H388&gt;0,OR(AUTOEVENTO&lt;&gt;"manual",$M388&lt;&gt;$A$15)),
        IF(Import.TipoArredondamento&lt;&gt;"TransfereGOV",
              ROUND(OFFSET($P388,0,BA$13),15-13*ORÇAMENTO!$AF$7)/$H388*OFFSET(ORÇAMENTO!$X$15,ROW(BA388)-ROW(BA$15),0),
              ROUND(ROUND(OFFSET($P388,0,BA$13),15-13*ORÇAMENTO!$AF$7)*OFFSET(ORÇAMENTO!$W$15,ROW(BA388)-ROW(BA$15),0),15-13*ORÇAMENTO!$AF$11)),
         0)</f>
        <v>0</v>
      </c>
      <c r="BC388" s="171">
        <f ca="1">IF(OR($D388&lt;&gt;"Serviço",AND(AUTOEVENTO="Manual",$M388=$A$15)),0,
         IF(OFFSET(CRONOPLE!$F$15,$M388-$A$15,BC$13)=0,10^12,OFFSET(CRONOPLE!$F$15,$M388-$A$15,BC$13)))</f>
        <v>1</v>
      </c>
      <c r="BD388" s="171">
        <f ca="1">IF(OR($D388&lt;&gt;"Serviço",AND(AUTOEVENTO="Manual",$M388=$A$15)),0,
         IF(OFFSET(CRONOPLE!$F$15,$M388-$A$15,BD$13)=0,10^12,OFFSET(CRONOPLE!$F$15,$M388-$A$15,BD$13)))</f>
        <v>2</v>
      </c>
      <c r="BE388" s="171">
        <f ca="1">IF(OR($D388&lt;&gt;"Serviço",AND(AUTOEVENTO="Manual",$M388=$A$15)),0,
         IF(OFFSET(CRONOPLE!$F$15,$M388-$A$15,BE$13)=0,10^12,OFFSET(CRONOPLE!$F$15,$M388-$A$15,BE$13)))</f>
        <v>3</v>
      </c>
      <c r="BF388" s="171">
        <f ca="1">IF(OR($D388&lt;&gt;"Serviço",AND(AUTOEVENTO="Manual",$M388=$A$15)),0,
         IF(OFFSET(CRONOPLE!$F$15,$M388-$A$15,BF$13)=0,10^12,OFFSET(CRONOPLE!$F$15,$M388-$A$15,BF$13)))</f>
        <v>4</v>
      </c>
      <c r="BG388" s="171">
        <f ca="1">IF(OR($D388&lt;&gt;"Serviço",AND(AUTOEVENTO="Manual",$M388=$A$15)),0,
         IF(OFFSET(CRONOPLE!$F$15,$M388-$A$15,BG$13)=0,10^12,OFFSET(CRONOPLE!$F$15,$M388-$A$15,BG$13)))</f>
        <v>5</v>
      </c>
      <c r="BH388" s="171">
        <f ca="1">IF(OR($D388&lt;&gt;"Serviço",AND(AUTOEVENTO="Manual",$M388=$A$15)),0,
         IF(OFFSET(CRONOPLE!$F$15,$M388-$A$15,BH$13)=0,10^12,OFFSET(CRONOPLE!$F$15,$M388-$A$15,BH$13)))</f>
        <v>6</v>
      </c>
      <c r="BI388" s="171">
        <f ca="1">IF(OR($D388&lt;&gt;"Serviço",AND(AUTOEVENTO="Manual",$M388=$A$15)),0,
         IF(OFFSET(CRONOPLE!$F$15,$M388-$A$15,BI$13)=0,10^12,OFFSET(CRONOPLE!$F$15,$M388-$A$15,BI$13)))</f>
        <v>7</v>
      </c>
      <c r="BJ388" s="171">
        <f ca="1">IF(OR($D388&lt;&gt;"Serviço",AND(AUTOEVENTO="Manual",$M388=$A$15)),0,
         IF(OFFSET(CRONOPLE!$F$15,$M388-$A$15,BJ$13)=0,10^12,OFFSET(CRONOPLE!$F$15,$M388-$A$15,BJ$13)))</f>
        <v>8</v>
      </c>
      <c r="BK388" s="171">
        <f ca="1">IF(OR($D388&lt;&gt;"Serviço",AND(AUTOEVENTO="Manual",$M388=$A$15)),0,
         IF(OFFSET(CRONOPLE!$F$15,$M388-$A$15,BK$13)=0,10^12,OFFSET(CRONOPLE!$F$15,$M388-$A$15,BK$13)))</f>
        <v>9</v>
      </c>
      <c r="BL388" s="171">
        <f ca="1">IF(OR($D388&lt;&gt;"Serviço",AND(AUTOEVENTO="Manual",$M388=$A$15)),0,
         IF(OFFSET(CRONOPLE!$F$15,$M388-$A$15,BL$13)=0,10^12,OFFSET(CRONOPLE!$F$15,$M388-$A$15,BL$13)))</f>
        <v>1000000000000</v>
      </c>
      <c r="BM388" s="171">
        <f ca="1">IF(OR($D388&lt;&gt;"Serviço",AND(AUTOEVENTO="Manual",$M388=$A$15)),0,
         IF(OFFSET(CRONOPLE!$F$15,$M388-$A$15,BM$13)=0,10^12,OFFSET(CRONOPLE!$F$15,$M388-$A$15,BM$13)))</f>
        <v>1000000000000</v>
      </c>
      <c r="BN388" s="171">
        <f ca="1">IF(OR($D388&lt;&gt;"Serviço",AND(AUTOEVENTO="Manual",$M388=$A$15)),0,
         IF(OFFSET(CRONOPLE!$F$15,$M388-$A$15,BN$13)=0,10^12,OFFSET(CRONOPLE!$F$15,$M388-$A$15,BN$13)))</f>
        <v>1000000000000</v>
      </c>
      <c r="BO388" s="171">
        <f ca="1">IF(OR($D388&lt;&gt;"Serviço",AND(AUTOEVENTO="Manual",$M388=$A$15)),0,
         IF(OFFSET(CRONOPLE!$F$15,$M388-$A$15,BO$13)=0,10^12,OFFSET(CRONOPLE!$F$15,$M388-$A$15,BO$13)))</f>
        <v>1000000000000</v>
      </c>
      <c r="BP388" s="171">
        <f ca="1">IF(OR($D388&lt;&gt;"Serviço",AND(AUTOEVENTO="Manual",$M388=$A$15)),0,
         IF(OFFSET(CRONOPLE!$F$15,$M388-$A$15,BP$13)=0,10^12,OFFSET(CRONOPLE!$F$15,$M388-$A$15,BP$13)))</f>
        <v>1000000000000</v>
      </c>
      <c r="BQ388" s="171">
        <f ca="1">IF(OR($D388&lt;&gt;"Serviço",AND(AUTOEVENTO="Manual",$M388=$A$15)),0,
         IF(OFFSET(CRONOPLE!$F$15,$M388-$A$15,BQ$13)=0,10^12,OFFSET(CRONOPLE!$F$15,$M388-$A$15,BQ$13)))</f>
        <v>1000000000000</v>
      </c>
      <c r="BR388" s="171">
        <f ca="1">IF(OR($D388&lt;&gt;"Serviço",AND(AUTOEVENTO="Manual",$M388=$A$15)),0,
         IF(OFFSET(CRONOPLE!$F$15,$M388-$A$15,BR$13)=0,10^12,OFFSET(CRONOPLE!$F$15,$M388-$A$15,BR$13)))</f>
        <v>1000000000000</v>
      </c>
      <c r="BS388" s="171">
        <f ca="1">IF(OR($D388&lt;&gt;"Serviço",AND(AUTOEVENTO="Manual",$M388=$A$15)),0,
         IF(OFFSET(CRONOPLE!$F$15,$M388-$A$15,BS$13)=0,10^12,OFFSET(CRONOPLE!$F$15,$M388-$A$15,BS$13)))</f>
        <v>1000000000000</v>
      </c>
      <c r="BT388" s="171">
        <f ca="1">IF(OR($D388&lt;&gt;"Serviço",AND(AUTOEVENTO="Manual",$M388=$A$15)),0,
         IF(OFFSET(CRONOPLE!$F$15,$M388-$A$15,BT$13)=0,10^12,OFFSET(CRONOPLE!$F$15,$M388-$A$15,BT$13)))</f>
        <v>1000000000000</v>
      </c>
      <c r="BV388" s="172">
        <f ca="1">IF(OR($D388&lt;&gt;"Serviço",AND(AUTOEVENTO="Manual",$M388=$A$15),$M388&gt;(ROW(PLE.lastrow)-ROW(PLE.firstrow))),0,
           IF(OFFSET(PLE!$G$15,$M388-$A$15,BV$13)="",10^12,OFFSET(PLE!$G$15,$M388-$A$15,BV$13)))</f>
        <v>1000000000000</v>
      </c>
      <c r="BW388" s="172">
        <f ca="1">IF(OR($D388&lt;&gt;"Serviço",AND(AUTOEVENTO="Manual",$M388=$A$15),$M388&gt;(ROW(PLE.lastrow)-ROW(PLE.firstrow))),0,
           IF(OFFSET(PLE!$G$15,$M388-$A$15,BW$13)="",10^12,OFFSET(PLE!$G$15,$M388-$A$15,BW$13)))</f>
        <v>1000000000000</v>
      </c>
      <c r="BX388" s="172">
        <f ca="1">IF(OR($D388&lt;&gt;"Serviço",AND(AUTOEVENTO="Manual",$M388=$A$15),$M388&gt;(ROW(PLE.lastrow)-ROW(PLE.firstrow))),0,
           IF(OFFSET(PLE!$G$15,$M388-$A$15,BX$13)="",10^12,OFFSET(PLE!$G$15,$M388-$A$15,BX$13)))</f>
        <v>1000000000000</v>
      </c>
      <c r="BY388" s="172">
        <f ca="1">IF(OR($D388&lt;&gt;"Serviço",AND(AUTOEVENTO="Manual",$M388=$A$15),$M388&gt;(ROW(PLE.lastrow)-ROW(PLE.firstrow))),0,
           IF(OFFSET(PLE!$G$15,$M388-$A$15,BY$13)="",10^12,OFFSET(PLE!$G$15,$M388-$A$15,BY$13)))</f>
        <v>1000000000000</v>
      </c>
      <c r="BZ388" s="172">
        <f ca="1">IF(OR($D388&lt;&gt;"Serviço",AND(AUTOEVENTO="Manual",$M388=$A$15),$M388&gt;(ROW(PLE.lastrow)-ROW(PLE.firstrow))),0,
           IF(OFFSET(PLE!$G$15,$M388-$A$15,BZ$13)="",10^12,OFFSET(PLE!$G$15,$M388-$A$15,BZ$13)))</f>
        <v>1000000000000</v>
      </c>
      <c r="CA388" s="172">
        <f ca="1">IF(OR($D388&lt;&gt;"Serviço",AND(AUTOEVENTO="Manual",$M388=$A$15),$M388&gt;(ROW(PLE.lastrow)-ROW(PLE.firstrow))),0,
           IF(OFFSET(PLE!$G$15,$M388-$A$15,CA$13)="",10^12,OFFSET(PLE!$G$15,$M388-$A$15,CA$13)))</f>
        <v>1000000000000</v>
      </c>
      <c r="CB388" s="172">
        <f ca="1">IF(OR($D388&lt;&gt;"Serviço",AND(AUTOEVENTO="Manual",$M388=$A$15),$M388&gt;(ROW(PLE.lastrow)-ROW(PLE.firstrow))),0,
           IF(OFFSET(PLE!$G$15,$M388-$A$15,CB$13)="",10^12,OFFSET(PLE!$G$15,$M388-$A$15,CB$13)))</f>
        <v>1000000000000</v>
      </c>
      <c r="CC388" s="172">
        <f ca="1">IF(OR($D388&lt;&gt;"Serviço",AND(AUTOEVENTO="Manual",$M388=$A$15),$M388&gt;(ROW(PLE.lastrow)-ROW(PLE.firstrow))),0,
           IF(OFFSET(PLE!$G$15,$M388-$A$15,CC$13)="",10^12,OFFSET(PLE!$G$15,$M388-$A$15,CC$13)))</f>
        <v>1000000000000</v>
      </c>
      <c r="CD388" s="172">
        <f ca="1">IF(OR($D388&lt;&gt;"Serviço",AND(AUTOEVENTO="Manual",$M388=$A$15),$M388&gt;(ROW(PLE.lastrow)-ROW(PLE.firstrow))),0,
           IF(OFFSET(PLE!$G$15,$M388-$A$15,CD$13)="",10^12,OFFSET(PLE!$G$15,$M388-$A$15,CD$13)))</f>
        <v>1000000000000</v>
      </c>
      <c r="CE388" s="172">
        <f ca="1">IF(OR($D388&lt;&gt;"Serviço",AND(AUTOEVENTO="Manual",$M388=$A$15),$M388&gt;(ROW(PLE.lastrow)-ROW(PLE.firstrow))),0,
           IF(OFFSET(PLE!$G$15,$M388-$A$15,CE$13)="",10^12,OFFSET(PLE!$G$15,$M388-$A$15,CE$13)))</f>
        <v>1000000000000</v>
      </c>
      <c r="CF388" s="172">
        <f ca="1">IF(OR($D388&lt;&gt;"Serviço",AND(AUTOEVENTO="Manual",$M388=$A$15),$M388&gt;(ROW(PLE.lastrow)-ROW(PLE.firstrow))),0,
           IF(OFFSET(PLE!$G$15,$M388-$A$15,CF$13)="",10^12,OFFSET(PLE!$G$15,$M388-$A$15,CF$13)))</f>
        <v>1000000000000</v>
      </c>
      <c r="CG388" s="172">
        <f ca="1">IF(OR($D388&lt;&gt;"Serviço",AND(AUTOEVENTO="Manual",$M388=$A$15),$M388&gt;(ROW(PLE.lastrow)-ROW(PLE.firstrow))),0,
           IF(OFFSET(PLE!$G$15,$M388-$A$15,CG$13)="",10^12,OFFSET(PLE!$G$15,$M388-$A$15,CG$13)))</f>
        <v>1000000000000</v>
      </c>
      <c r="CH388" s="172">
        <f ca="1">IF(OR($D388&lt;&gt;"Serviço",AND(AUTOEVENTO="Manual",$M388=$A$15),$M388&gt;(ROW(PLE.lastrow)-ROW(PLE.firstrow))),0,
           IF(OFFSET(PLE!$G$15,$M388-$A$15,CH$13)="",10^12,OFFSET(PLE!$G$15,$M388-$A$15,CH$13)))</f>
        <v>1000000000000</v>
      </c>
      <c r="CI388" s="172">
        <f ca="1">IF(OR($D388&lt;&gt;"Serviço",AND(AUTOEVENTO="Manual",$M388=$A$15),$M388&gt;(ROW(PLE.lastrow)-ROW(PLE.firstrow))),0,
           IF(OFFSET(PLE!$G$15,$M388-$A$15,CI$13)="",10^12,OFFSET(PLE!$G$15,$M388-$A$15,CI$13)))</f>
        <v>1000000000000</v>
      </c>
      <c r="CJ388" s="172">
        <f ca="1">IF(OR($D388&lt;&gt;"Serviço",AND(AUTOEVENTO="Manual",$M388=$A$15),$M388&gt;(ROW(PLE.lastrow)-ROW(PLE.firstrow))),0,
           IF(OFFSET(PLE!$G$15,$M388-$A$15,CJ$13)="",10^12,OFFSET(PLE!$G$15,$M388-$A$15,CJ$13)))</f>
        <v>1000000000000</v>
      </c>
      <c r="CK388" s="172">
        <f ca="1">IF(OR($D388&lt;&gt;"Serviço",AND(AUTOEVENTO="Manual",$M388=$A$15),$M388&gt;(ROW(PLE.lastrow)-ROW(PLE.firstrow))),0,
           IF(OFFSET(PLE!$G$15,$M388-$A$15,CK$13)="",10^12,OFFSET(PLE!$G$15,$M388-$A$15,CK$13)))</f>
        <v>1000000000000</v>
      </c>
      <c r="CL388" s="172">
        <f ca="1">IF(OR($D388&lt;&gt;"Serviço",AND(AUTOEVENTO="Manual",$M388=$A$15),$M388&gt;(ROW(PLE.lastrow)-ROW(PLE.firstrow))),0,
           IF(OFFSET(PLE!$G$15,$M388-$A$15,CL$13)="",10^12,OFFSET(PLE!$G$15,$M388-$A$15,CL$13)))</f>
        <v>1000000000000</v>
      </c>
      <c r="CM388" s="172">
        <f ca="1">IF(OR($D388&lt;&gt;"Serviço",AND(AUTOEVENTO="Manual",$M388=$A$15),$M388&gt;(ROW(PLE.lastrow)-ROW(PLE.firstrow))),0,
           IF(OFFSET(PLE!$G$15,$M388-$A$15,CM$13)="",10^12,OFFSET(PLE!$G$15,$M388-$A$15,CM$13)))</f>
        <v>1000000000000</v>
      </c>
    </row>
    <row r="389" spans="1:91" ht="38.25" x14ac:dyDescent="0.2">
      <c r="A389" s="7">
        <f t="shared" ca="1" si="15"/>
        <v>7</v>
      </c>
      <c r="B389" s="7" t="str">
        <f ca="1">OFFSET(ORÇAMENTO!C$15,ROW(B389)-ROW(B$15),0)</f>
        <v>S</v>
      </c>
      <c r="C389" s="7" t="str">
        <f ca="1">OFFSET(ORÇAMENTO!L$15,ROW(C389)-ROW(C$15),0)</f>
        <v>F</v>
      </c>
      <c r="D389" s="116" t="str">
        <f ca="1">OFFSET(ORÇAMENTO!N$15,ROW(D389)-ROW(D$15),0)</f>
        <v>Serviço</v>
      </c>
      <c r="E389" s="117" t="str">
        <f ca="1">OFFSET(ORÇAMENTO!O$15,ROW(E389)-ROW(E$15),0)</f>
        <v>1.8.2.1.4.</v>
      </c>
      <c r="F389" s="163" t="str">
        <f ca="1">OFFSET(ORÇAMENTO!R$15,ROW(F389)-ROW(F$15),0)</f>
        <v>CONDULETE DE ALUMÍNIO, TIPO X, PARA ELETRODUTO DE AÇO GALVANIZADO DN 25 MM (1''), APARENTE - FORNECIMENTO E INSTALAÇÃO. AF_10/2022</v>
      </c>
      <c r="G389" s="164" t="str">
        <f ca="1">IF($D389&lt;&gt;"Serviço","",OFFSET(ORÇAMENTO!S$15,ROW(G389)-ROW(G$15),0))</f>
        <v>UN</v>
      </c>
      <c r="H389" s="122" cm="1">
        <f t="array" aca="1" ref="H389" ca="1">IF($D389&lt;&gt;"Serviço",0,IF(ACOMPANHAMENTO="BM",ROUND(OFFSET(ORÇAMENTO!AJ$15,ROW(H389)-ROW(H$15),0),15-13*ORÇAMENTO!$AF$7),SUMPRODUCT(($Q$1:$AI$1=1)*ROUND($Q389:$AI389,15-13*ORÇAMENTO!$AF$7))))</f>
        <v>3</v>
      </c>
      <c r="I389" s="468" t="s">
        <v>1431</v>
      </c>
      <c r="J389" s="640" t="str" cm="1">
        <f t="array" aca="1" ref="J389" ca="1">IF(OR(B389&lt;&gt;"S",CÁLCULO.FrentesPreenchidas=0),"",IF(AND(ACOMPANHAMENTO="PLE",AUTOEVENTO="Manual",OR(H389&gt;0,ORÇAMENTO!AC389="QUANT."),OR(K389="",M389=0,N389="")),"►E",IF(AND(ACOMPANHAMENTO="PLE",ORÇAMENTO!AC389="QUANT."),"►Q",IF(AND(ACOMPANHAMENTO="PLE",H389&lt;&gt;SUMPRODUCT(($Q$1:$AI$1=1)*ROUND(Q389:AI389,15))),"►S",IF(AND(COUNTIF($P$11:$AI$11,"▼")=0,H389&gt;0,I389=""),"◄M","")))))</f>
        <v/>
      </c>
      <c r="K389" s="641" t="s">
        <v>1391</v>
      </c>
      <c r="L389" s="165" t="s">
        <v>764</v>
      </c>
      <c r="M389" s="166">
        <f ca="1">IF($D389&lt;&gt;"Serviço","",
          IF(AUTOEVENTO="manual",$A389,
                IF(ISERROR(MATCH($A389,$A$15:OFFSET($A389,-1,0),0)),MAX($M$15:OFFSET(M389,-1,0))+1,
                      INDEX($M$15:OFFSET(M389,-1,0),MATCH($A389,$A$15:OFFSET($A389,-1,0),0)))))</f>
        <v>7</v>
      </c>
      <c r="N389" s="167" t="str">
        <f ca="1">IF($D389&lt;&gt;"Serviço","",
         IF(AUTOEVENTO="Manual",
                IF($A389=0,"&lt;-- defina o número do agrupador",
                       OFFSET(EVENTOS!$D$15,$A389-$A$15,0)),
                OFFSET($F$15,$A389,0)))</f>
        <v>Instalações Elétricas</v>
      </c>
      <c r="O389" s="168"/>
      <c r="Q389" s="168"/>
      <c r="R389" s="169"/>
      <c r="S389" s="169"/>
      <c r="T389" s="169"/>
      <c r="U389" s="169"/>
      <c r="V389" s="169"/>
      <c r="W389" s="169"/>
      <c r="X389" s="169">
        <v>3</v>
      </c>
      <c r="Y389" s="169"/>
      <c r="Z389" s="170"/>
      <c r="AA389" s="169"/>
      <c r="AB389" s="169"/>
      <c r="AC389" s="169"/>
      <c r="AD389" s="169"/>
      <c r="AE389" s="169"/>
      <c r="AF389" s="169"/>
      <c r="AG389" s="169"/>
      <c r="AH389" s="170"/>
      <c r="AJ389" s="453">
        <f ca="1">IF(AND($D389="Serviço",AJ$12&lt;&gt;0,$H389&gt;0,OR(AUTOEVENTO&lt;&gt;"manual",$M389&lt;&gt;$A$15)),
        IF(Import.TipoArredondamento&lt;&gt;"TransfereGOV",
              ROUND(OFFSET($P389,0,AJ$13),15-13*ORÇAMENTO!$AF$7)/$H389*OFFSET(ORÇAMENTO!$X$15,ROW(AJ389)-ROW(AJ$15),0),
              ROUND(ROUND(OFFSET($P389,0,AJ$13),15-13*ORÇAMENTO!$AF$7)*OFFSET(ORÇAMENTO!$W$15,ROW(AJ389)-ROW(AJ$15),0),15-13*ORÇAMENTO!$AF$11)),
         0)</f>
        <v>0</v>
      </c>
      <c r="AK389" s="453">
        <f ca="1">IF(AND($D389="Serviço",AK$12&lt;&gt;0,$H389&gt;0,OR(AUTOEVENTO&lt;&gt;"manual",$M389&lt;&gt;$A$15)),
        IF(Import.TipoArredondamento&lt;&gt;"TransfereGOV",
              ROUND(OFFSET($P389,0,AK$13),15-13*ORÇAMENTO!$AF$7)/$H389*OFFSET(ORÇAMENTO!$X$15,ROW(AK389)-ROW(AK$15),0),
              ROUND(ROUND(OFFSET($P389,0,AK$13),15-13*ORÇAMENTO!$AF$7)*OFFSET(ORÇAMENTO!$W$15,ROW(AK389)-ROW(AK$15),0),15-13*ORÇAMENTO!$AF$11)),
         0)</f>
        <v>0</v>
      </c>
      <c r="AL389" s="453">
        <f ca="1">IF(AND($D389="Serviço",AL$12&lt;&gt;0,$H389&gt;0,OR(AUTOEVENTO&lt;&gt;"manual",$M389&lt;&gt;$A$15)),
        IF(Import.TipoArredondamento&lt;&gt;"TransfereGOV",
              ROUND(OFFSET($P389,0,AL$13),15-13*ORÇAMENTO!$AF$7)/$H389*OFFSET(ORÇAMENTO!$X$15,ROW(AL389)-ROW(AL$15),0),
              ROUND(ROUND(OFFSET($P389,0,AL$13),15-13*ORÇAMENTO!$AF$7)*OFFSET(ORÇAMENTO!$W$15,ROW(AL389)-ROW(AL$15),0),15-13*ORÇAMENTO!$AF$11)),
         0)</f>
        <v>0</v>
      </c>
      <c r="AM389" s="453">
        <f ca="1">IF(AND($D389="Serviço",AM$12&lt;&gt;0,$H389&gt;0,OR(AUTOEVENTO&lt;&gt;"manual",$M389&lt;&gt;$A$15)),
        IF(Import.TipoArredondamento&lt;&gt;"TransfereGOV",
              ROUND(OFFSET($P389,0,AM$13),15-13*ORÇAMENTO!$AF$7)/$H389*OFFSET(ORÇAMENTO!$X$15,ROW(AM389)-ROW(AM$15),0),
              ROUND(ROUND(OFFSET($P389,0,AM$13),15-13*ORÇAMENTO!$AF$7)*OFFSET(ORÇAMENTO!$W$15,ROW(AM389)-ROW(AM$15),0),15-13*ORÇAMENTO!$AF$11)),
         0)</f>
        <v>0</v>
      </c>
      <c r="AN389" s="453">
        <f ca="1">IF(AND($D389="Serviço",AN$12&lt;&gt;0,$H389&gt;0,OR(AUTOEVENTO&lt;&gt;"manual",$M389&lt;&gt;$A$15)),
        IF(Import.TipoArredondamento&lt;&gt;"TransfereGOV",
              ROUND(OFFSET($P389,0,AN$13),15-13*ORÇAMENTO!$AF$7)/$H389*OFFSET(ORÇAMENTO!$X$15,ROW(AN389)-ROW(AN$15),0),
              ROUND(ROUND(OFFSET($P389,0,AN$13),15-13*ORÇAMENTO!$AF$7)*OFFSET(ORÇAMENTO!$W$15,ROW(AN389)-ROW(AN$15),0),15-13*ORÇAMENTO!$AF$11)),
         0)</f>
        <v>0</v>
      </c>
      <c r="AO389" s="453">
        <f ca="1">IF(AND($D389="Serviço",AO$12&lt;&gt;0,$H389&gt;0,OR(AUTOEVENTO&lt;&gt;"manual",$M389&lt;&gt;$A$15)),
        IF(Import.TipoArredondamento&lt;&gt;"TransfereGOV",
              ROUND(OFFSET($P389,0,AO$13),15-13*ORÇAMENTO!$AF$7)/$H389*OFFSET(ORÇAMENTO!$X$15,ROW(AO389)-ROW(AO$15),0),
              ROUND(ROUND(OFFSET($P389,0,AO$13),15-13*ORÇAMENTO!$AF$7)*OFFSET(ORÇAMENTO!$W$15,ROW(AO389)-ROW(AO$15),0),15-13*ORÇAMENTO!$AF$11)),
         0)</f>
        <v>0</v>
      </c>
      <c r="AP389" s="453">
        <f ca="1">IF(AND($D389="Serviço",AP$12&lt;&gt;0,$H389&gt;0,OR(AUTOEVENTO&lt;&gt;"manual",$M389&lt;&gt;$A$15)),
        IF(Import.TipoArredondamento&lt;&gt;"TransfereGOV",
              ROUND(OFFSET($P389,0,AP$13),15-13*ORÇAMENTO!$AF$7)/$H389*OFFSET(ORÇAMENTO!$X$15,ROW(AP389)-ROW(AP$15),0),
              ROUND(ROUND(OFFSET($P389,0,AP$13),15-13*ORÇAMENTO!$AF$7)*OFFSET(ORÇAMENTO!$W$15,ROW(AP389)-ROW(AP$15),0),15-13*ORÇAMENTO!$AF$11)),
         0)</f>
        <v>0</v>
      </c>
      <c r="AQ389" s="453">
        <f ca="1">IF(AND($D389="Serviço",AQ$12&lt;&gt;0,$H389&gt;0,OR(AUTOEVENTO&lt;&gt;"manual",$M389&lt;&gt;$A$15)),
        IF(Import.TipoArredondamento&lt;&gt;"TransfereGOV",
              ROUND(OFFSET($P389,0,AQ$13),15-13*ORÇAMENTO!$AF$7)/$H389*OFFSET(ORÇAMENTO!$X$15,ROW(AQ389)-ROW(AQ$15),0),
              ROUND(ROUND(OFFSET($P389,0,AQ$13),15-13*ORÇAMENTO!$AF$7)*OFFSET(ORÇAMENTO!$W$15,ROW(AQ389)-ROW(AQ$15),0),15-13*ORÇAMENTO!$AF$11)),
         0)</f>
        <v>0</v>
      </c>
      <c r="AR389" s="453">
        <f ca="1">IF(AND($D389="Serviço",AR$12&lt;&gt;0,$H389&gt;0,OR(AUTOEVENTO&lt;&gt;"manual",$M389&lt;&gt;$A$15)),
        IF(Import.TipoArredondamento&lt;&gt;"TransfereGOV",
              ROUND(OFFSET($P389,0,AR$13),15-13*ORÇAMENTO!$AF$7)/$H389*OFFSET(ORÇAMENTO!$X$15,ROW(AR389)-ROW(AR$15),0),
              ROUND(ROUND(OFFSET($P389,0,AR$13),15-13*ORÇAMENTO!$AF$7)*OFFSET(ORÇAMENTO!$W$15,ROW(AR389)-ROW(AR$15),0),15-13*ORÇAMENTO!$AF$11)),
         0)</f>
        <v>0</v>
      </c>
      <c r="AS389" s="453">
        <f ca="1">IF(AND($D389="Serviço",AS$12&lt;&gt;0,$H389&gt;0,OR(AUTOEVENTO&lt;&gt;"manual",$M389&lt;&gt;$A$15)),
        IF(Import.TipoArredondamento&lt;&gt;"TransfereGOV",
              ROUND(OFFSET($P389,0,AS$13),15-13*ORÇAMENTO!$AF$7)/$H389*OFFSET(ORÇAMENTO!$X$15,ROW(AS389)-ROW(AS$15),0),
              ROUND(ROUND(OFFSET($P389,0,AS$13),15-13*ORÇAMENTO!$AF$7)*OFFSET(ORÇAMENTO!$W$15,ROW(AS389)-ROW(AS$15),0),15-13*ORÇAMENTO!$AF$11)),
         0)</f>
        <v>0</v>
      </c>
      <c r="AT389" s="453">
        <f ca="1">IF(AND($D389="Serviço",AT$12&lt;&gt;0,$H389&gt;0,OR(AUTOEVENTO&lt;&gt;"manual",$M389&lt;&gt;$A$15)),
        IF(Import.TipoArredondamento&lt;&gt;"TransfereGOV",
              ROUND(OFFSET($P389,0,AT$13),15-13*ORÇAMENTO!$AF$7)/$H389*OFFSET(ORÇAMENTO!$X$15,ROW(AT389)-ROW(AT$15),0),
              ROUND(ROUND(OFFSET($P389,0,AT$13),15-13*ORÇAMENTO!$AF$7)*OFFSET(ORÇAMENTO!$W$15,ROW(AT389)-ROW(AT$15),0),15-13*ORÇAMENTO!$AF$11)),
         0)</f>
        <v>0</v>
      </c>
      <c r="AU389" s="453">
        <f ca="1">IF(AND($D389="Serviço",AU$12&lt;&gt;0,$H389&gt;0,OR(AUTOEVENTO&lt;&gt;"manual",$M389&lt;&gt;$A$15)),
        IF(Import.TipoArredondamento&lt;&gt;"TransfereGOV",
              ROUND(OFFSET($P389,0,AU$13),15-13*ORÇAMENTO!$AF$7)/$H389*OFFSET(ORÇAMENTO!$X$15,ROW(AU389)-ROW(AU$15),0),
              ROUND(ROUND(OFFSET($P389,0,AU$13),15-13*ORÇAMENTO!$AF$7)*OFFSET(ORÇAMENTO!$W$15,ROW(AU389)-ROW(AU$15),0),15-13*ORÇAMENTO!$AF$11)),
         0)</f>
        <v>0</v>
      </c>
      <c r="AV389" s="453">
        <f ca="1">IF(AND($D389="Serviço",AV$12&lt;&gt;0,$H389&gt;0,OR(AUTOEVENTO&lt;&gt;"manual",$M389&lt;&gt;$A$15)),
        IF(Import.TipoArredondamento&lt;&gt;"TransfereGOV",
              ROUND(OFFSET($P389,0,AV$13),15-13*ORÇAMENTO!$AF$7)/$H389*OFFSET(ORÇAMENTO!$X$15,ROW(AV389)-ROW(AV$15),0),
              ROUND(ROUND(OFFSET($P389,0,AV$13),15-13*ORÇAMENTO!$AF$7)*OFFSET(ORÇAMENTO!$W$15,ROW(AV389)-ROW(AV$15),0),15-13*ORÇAMENTO!$AF$11)),
         0)</f>
        <v>0</v>
      </c>
      <c r="AW389" s="453">
        <f ca="1">IF(AND($D389="Serviço",AW$12&lt;&gt;0,$H389&gt;0,OR(AUTOEVENTO&lt;&gt;"manual",$M389&lt;&gt;$A$15)),
        IF(Import.TipoArredondamento&lt;&gt;"TransfereGOV",
              ROUND(OFFSET($P389,0,AW$13),15-13*ORÇAMENTO!$AF$7)/$H389*OFFSET(ORÇAMENTO!$X$15,ROW(AW389)-ROW(AW$15),0),
              ROUND(ROUND(OFFSET($P389,0,AW$13),15-13*ORÇAMENTO!$AF$7)*OFFSET(ORÇAMENTO!$W$15,ROW(AW389)-ROW(AW$15),0),15-13*ORÇAMENTO!$AF$11)),
         0)</f>
        <v>0</v>
      </c>
      <c r="AX389" s="453">
        <f ca="1">IF(AND($D389="Serviço",AX$12&lt;&gt;0,$H389&gt;0,OR(AUTOEVENTO&lt;&gt;"manual",$M389&lt;&gt;$A$15)),
        IF(Import.TipoArredondamento&lt;&gt;"TransfereGOV",
              ROUND(OFFSET($P389,0,AX$13),15-13*ORÇAMENTO!$AF$7)/$H389*OFFSET(ORÇAMENTO!$X$15,ROW(AX389)-ROW(AX$15),0),
              ROUND(ROUND(OFFSET($P389,0,AX$13),15-13*ORÇAMENTO!$AF$7)*OFFSET(ORÇAMENTO!$W$15,ROW(AX389)-ROW(AX$15),0),15-13*ORÇAMENTO!$AF$11)),
         0)</f>
        <v>0</v>
      </c>
      <c r="AY389" s="453">
        <f ca="1">IF(AND($D389="Serviço",AY$12&lt;&gt;0,$H389&gt;0,OR(AUTOEVENTO&lt;&gt;"manual",$M389&lt;&gt;$A$15)),
        IF(Import.TipoArredondamento&lt;&gt;"TransfereGOV",
              ROUND(OFFSET($P389,0,AY$13),15-13*ORÇAMENTO!$AF$7)/$H389*OFFSET(ORÇAMENTO!$X$15,ROW(AY389)-ROW(AY$15),0),
              ROUND(ROUND(OFFSET($P389,0,AY$13),15-13*ORÇAMENTO!$AF$7)*OFFSET(ORÇAMENTO!$W$15,ROW(AY389)-ROW(AY$15),0),15-13*ORÇAMENTO!$AF$11)),
         0)</f>
        <v>0</v>
      </c>
      <c r="AZ389" s="453">
        <f ca="1">IF(AND($D389="Serviço",AZ$12&lt;&gt;0,$H389&gt;0,OR(AUTOEVENTO&lt;&gt;"manual",$M389&lt;&gt;$A$15)),
        IF(Import.TipoArredondamento&lt;&gt;"TransfereGOV",
              ROUND(OFFSET($P389,0,AZ$13),15-13*ORÇAMENTO!$AF$7)/$H389*OFFSET(ORÇAMENTO!$X$15,ROW(AZ389)-ROW(AZ$15),0),
              ROUND(ROUND(OFFSET($P389,0,AZ$13),15-13*ORÇAMENTO!$AF$7)*OFFSET(ORÇAMENTO!$W$15,ROW(AZ389)-ROW(AZ$15),0),15-13*ORÇAMENTO!$AF$11)),
         0)</f>
        <v>0</v>
      </c>
      <c r="BA389" s="453">
        <f ca="1">IF(AND($D389="Serviço",BA$12&lt;&gt;0,$H389&gt;0,OR(AUTOEVENTO&lt;&gt;"manual",$M389&lt;&gt;$A$15)),
        IF(Import.TipoArredondamento&lt;&gt;"TransfereGOV",
              ROUND(OFFSET($P389,0,BA$13),15-13*ORÇAMENTO!$AF$7)/$H389*OFFSET(ORÇAMENTO!$X$15,ROW(BA389)-ROW(BA$15),0),
              ROUND(ROUND(OFFSET($P389,0,BA$13),15-13*ORÇAMENTO!$AF$7)*OFFSET(ORÇAMENTO!$W$15,ROW(BA389)-ROW(BA$15),0),15-13*ORÇAMENTO!$AF$11)),
         0)</f>
        <v>0</v>
      </c>
      <c r="BC389" s="171">
        <f ca="1">IF(OR($D389&lt;&gt;"Serviço",AND(AUTOEVENTO="Manual",$M389=$A$15)),0,
         IF(OFFSET(CRONOPLE!$F$15,$M389-$A$15,BC$13)=0,10^12,OFFSET(CRONOPLE!$F$15,$M389-$A$15,BC$13)))</f>
        <v>1</v>
      </c>
      <c r="BD389" s="171">
        <f ca="1">IF(OR($D389&lt;&gt;"Serviço",AND(AUTOEVENTO="Manual",$M389=$A$15)),0,
         IF(OFFSET(CRONOPLE!$F$15,$M389-$A$15,BD$13)=0,10^12,OFFSET(CRONOPLE!$F$15,$M389-$A$15,BD$13)))</f>
        <v>2</v>
      </c>
      <c r="BE389" s="171">
        <f ca="1">IF(OR($D389&lt;&gt;"Serviço",AND(AUTOEVENTO="Manual",$M389=$A$15)),0,
         IF(OFFSET(CRONOPLE!$F$15,$M389-$A$15,BE$13)=0,10^12,OFFSET(CRONOPLE!$F$15,$M389-$A$15,BE$13)))</f>
        <v>3</v>
      </c>
      <c r="BF389" s="171">
        <f ca="1">IF(OR($D389&lt;&gt;"Serviço",AND(AUTOEVENTO="Manual",$M389=$A$15)),0,
         IF(OFFSET(CRONOPLE!$F$15,$M389-$A$15,BF$13)=0,10^12,OFFSET(CRONOPLE!$F$15,$M389-$A$15,BF$13)))</f>
        <v>4</v>
      </c>
      <c r="BG389" s="171">
        <f ca="1">IF(OR($D389&lt;&gt;"Serviço",AND(AUTOEVENTO="Manual",$M389=$A$15)),0,
         IF(OFFSET(CRONOPLE!$F$15,$M389-$A$15,BG$13)=0,10^12,OFFSET(CRONOPLE!$F$15,$M389-$A$15,BG$13)))</f>
        <v>5</v>
      </c>
      <c r="BH389" s="171">
        <f ca="1">IF(OR($D389&lt;&gt;"Serviço",AND(AUTOEVENTO="Manual",$M389=$A$15)),0,
         IF(OFFSET(CRONOPLE!$F$15,$M389-$A$15,BH$13)=0,10^12,OFFSET(CRONOPLE!$F$15,$M389-$A$15,BH$13)))</f>
        <v>6</v>
      </c>
      <c r="BI389" s="171">
        <f ca="1">IF(OR($D389&lt;&gt;"Serviço",AND(AUTOEVENTO="Manual",$M389=$A$15)),0,
         IF(OFFSET(CRONOPLE!$F$15,$M389-$A$15,BI$13)=0,10^12,OFFSET(CRONOPLE!$F$15,$M389-$A$15,BI$13)))</f>
        <v>7</v>
      </c>
      <c r="BJ389" s="171">
        <f ca="1">IF(OR($D389&lt;&gt;"Serviço",AND(AUTOEVENTO="Manual",$M389=$A$15)),0,
         IF(OFFSET(CRONOPLE!$F$15,$M389-$A$15,BJ$13)=0,10^12,OFFSET(CRONOPLE!$F$15,$M389-$A$15,BJ$13)))</f>
        <v>8</v>
      </c>
      <c r="BK389" s="171">
        <f ca="1">IF(OR($D389&lt;&gt;"Serviço",AND(AUTOEVENTO="Manual",$M389=$A$15)),0,
         IF(OFFSET(CRONOPLE!$F$15,$M389-$A$15,BK$13)=0,10^12,OFFSET(CRONOPLE!$F$15,$M389-$A$15,BK$13)))</f>
        <v>9</v>
      </c>
      <c r="BL389" s="171">
        <f ca="1">IF(OR($D389&lt;&gt;"Serviço",AND(AUTOEVENTO="Manual",$M389=$A$15)),0,
         IF(OFFSET(CRONOPLE!$F$15,$M389-$A$15,BL$13)=0,10^12,OFFSET(CRONOPLE!$F$15,$M389-$A$15,BL$13)))</f>
        <v>1000000000000</v>
      </c>
      <c r="BM389" s="171">
        <f ca="1">IF(OR($D389&lt;&gt;"Serviço",AND(AUTOEVENTO="Manual",$M389=$A$15)),0,
         IF(OFFSET(CRONOPLE!$F$15,$M389-$A$15,BM$13)=0,10^12,OFFSET(CRONOPLE!$F$15,$M389-$A$15,BM$13)))</f>
        <v>1000000000000</v>
      </c>
      <c r="BN389" s="171">
        <f ca="1">IF(OR($D389&lt;&gt;"Serviço",AND(AUTOEVENTO="Manual",$M389=$A$15)),0,
         IF(OFFSET(CRONOPLE!$F$15,$M389-$A$15,BN$13)=0,10^12,OFFSET(CRONOPLE!$F$15,$M389-$A$15,BN$13)))</f>
        <v>1000000000000</v>
      </c>
      <c r="BO389" s="171">
        <f ca="1">IF(OR($D389&lt;&gt;"Serviço",AND(AUTOEVENTO="Manual",$M389=$A$15)),0,
         IF(OFFSET(CRONOPLE!$F$15,$M389-$A$15,BO$13)=0,10^12,OFFSET(CRONOPLE!$F$15,$M389-$A$15,BO$13)))</f>
        <v>1000000000000</v>
      </c>
      <c r="BP389" s="171">
        <f ca="1">IF(OR($D389&lt;&gt;"Serviço",AND(AUTOEVENTO="Manual",$M389=$A$15)),0,
         IF(OFFSET(CRONOPLE!$F$15,$M389-$A$15,BP$13)=0,10^12,OFFSET(CRONOPLE!$F$15,$M389-$A$15,BP$13)))</f>
        <v>1000000000000</v>
      </c>
      <c r="BQ389" s="171">
        <f ca="1">IF(OR($D389&lt;&gt;"Serviço",AND(AUTOEVENTO="Manual",$M389=$A$15)),0,
         IF(OFFSET(CRONOPLE!$F$15,$M389-$A$15,BQ$13)=0,10^12,OFFSET(CRONOPLE!$F$15,$M389-$A$15,BQ$13)))</f>
        <v>1000000000000</v>
      </c>
      <c r="BR389" s="171">
        <f ca="1">IF(OR($D389&lt;&gt;"Serviço",AND(AUTOEVENTO="Manual",$M389=$A$15)),0,
         IF(OFFSET(CRONOPLE!$F$15,$M389-$A$15,BR$13)=0,10^12,OFFSET(CRONOPLE!$F$15,$M389-$A$15,BR$13)))</f>
        <v>1000000000000</v>
      </c>
      <c r="BS389" s="171">
        <f ca="1">IF(OR($D389&lt;&gt;"Serviço",AND(AUTOEVENTO="Manual",$M389=$A$15)),0,
         IF(OFFSET(CRONOPLE!$F$15,$M389-$A$15,BS$13)=0,10^12,OFFSET(CRONOPLE!$F$15,$M389-$A$15,BS$13)))</f>
        <v>1000000000000</v>
      </c>
      <c r="BT389" s="171">
        <f ca="1">IF(OR($D389&lt;&gt;"Serviço",AND(AUTOEVENTO="Manual",$M389=$A$15)),0,
         IF(OFFSET(CRONOPLE!$F$15,$M389-$A$15,BT$13)=0,10^12,OFFSET(CRONOPLE!$F$15,$M389-$A$15,BT$13)))</f>
        <v>1000000000000</v>
      </c>
      <c r="BV389" s="172">
        <f ca="1">IF(OR($D389&lt;&gt;"Serviço",AND(AUTOEVENTO="Manual",$M389=$A$15),$M389&gt;(ROW(PLE.lastrow)-ROW(PLE.firstrow))),0,
           IF(OFFSET(PLE!$G$15,$M389-$A$15,BV$13)="",10^12,OFFSET(PLE!$G$15,$M389-$A$15,BV$13)))</f>
        <v>1000000000000</v>
      </c>
      <c r="BW389" s="172">
        <f ca="1">IF(OR($D389&lt;&gt;"Serviço",AND(AUTOEVENTO="Manual",$M389=$A$15),$M389&gt;(ROW(PLE.lastrow)-ROW(PLE.firstrow))),0,
           IF(OFFSET(PLE!$G$15,$M389-$A$15,BW$13)="",10^12,OFFSET(PLE!$G$15,$M389-$A$15,BW$13)))</f>
        <v>1000000000000</v>
      </c>
      <c r="BX389" s="172">
        <f ca="1">IF(OR($D389&lt;&gt;"Serviço",AND(AUTOEVENTO="Manual",$M389=$A$15),$M389&gt;(ROW(PLE.lastrow)-ROW(PLE.firstrow))),0,
           IF(OFFSET(PLE!$G$15,$M389-$A$15,BX$13)="",10^12,OFFSET(PLE!$G$15,$M389-$A$15,BX$13)))</f>
        <v>1000000000000</v>
      </c>
      <c r="BY389" s="172">
        <f ca="1">IF(OR($D389&lt;&gt;"Serviço",AND(AUTOEVENTO="Manual",$M389=$A$15),$M389&gt;(ROW(PLE.lastrow)-ROW(PLE.firstrow))),0,
           IF(OFFSET(PLE!$G$15,$M389-$A$15,BY$13)="",10^12,OFFSET(PLE!$G$15,$M389-$A$15,BY$13)))</f>
        <v>1000000000000</v>
      </c>
      <c r="BZ389" s="172">
        <f ca="1">IF(OR($D389&lt;&gt;"Serviço",AND(AUTOEVENTO="Manual",$M389=$A$15),$M389&gt;(ROW(PLE.lastrow)-ROW(PLE.firstrow))),0,
           IF(OFFSET(PLE!$G$15,$M389-$A$15,BZ$13)="",10^12,OFFSET(PLE!$G$15,$M389-$A$15,BZ$13)))</f>
        <v>1000000000000</v>
      </c>
      <c r="CA389" s="172">
        <f ca="1">IF(OR($D389&lt;&gt;"Serviço",AND(AUTOEVENTO="Manual",$M389=$A$15),$M389&gt;(ROW(PLE.lastrow)-ROW(PLE.firstrow))),0,
           IF(OFFSET(PLE!$G$15,$M389-$A$15,CA$13)="",10^12,OFFSET(PLE!$G$15,$M389-$A$15,CA$13)))</f>
        <v>1000000000000</v>
      </c>
      <c r="CB389" s="172">
        <f ca="1">IF(OR($D389&lt;&gt;"Serviço",AND(AUTOEVENTO="Manual",$M389=$A$15),$M389&gt;(ROW(PLE.lastrow)-ROW(PLE.firstrow))),0,
           IF(OFFSET(PLE!$G$15,$M389-$A$15,CB$13)="",10^12,OFFSET(PLE!$G$15,$M389-$A$15,CB$13)))</f>
        <v>1000000000000</v>
      </c>
      <c r="CC389" s="172">
        <f ca="1">IF(OR($D389&lt;&gt;"Serviço",AND(AUTOEVENTO="Manual",$M389=$A$15),$M389&gt;(ROW(PLE.lastrow)-ROW(PLE.firstrow))),0,
           IF(OFFSET(PLE!$G$15,$M389-$A$15,CC$13)="",10^12,OFFSET(PLE!$G$15,$M389-$A$15,CC$13)))</f>
        <v>1000000000000</v>
      </c>
      <c r="CD389" s="172">
        <f ca="1">IF(OR($D389&lt;&gt;"Serviço",AND(AUTOEVENTO="Manual",$M389=$A$15),$M389&gt;(ROW(PLE.lastrow)-ROW(PLE.firstrow))),0,
           IF(OFFSET(PLE!$G$15,$M389-$A$15,CD$13)="",10^12,OFFSET(PLE!$G$15,$M389-$A$15,CD$13)))</f>
        <v>1000000000000</v>
      </c>
      <c r="CE389" s="172">
        <f ca="1">IF(OR($D389&lt;&gt;"Serviço",AND(AUTOEVENTO="Manual",$M389=$A$15),$M389&gt;(ROW(PLE.lastrow)-ROW(PLE.firstrow))),0,
           IF(OFFSET(PLE!$G$15,$M389-$A$15,CE$13)="",10^12,OFFSET(PLE!$G$15,$M389-$A$15,CE$13)))</f>
        <v>1000000000000</v>
      </c>
      <c r="CF389" s="172">
        <f ca="1">IF(OR($D389&lt;&gt;"Serviço",AND(AUTOEVENTO="Manual",$M389=$A$15),$M389&gt;(ROW(PLE.lastrow)-ROW(PLE.firstrow))),0,
           IF(OFFSET(PLE!$G$15,$M389-$A$15,CF$13)="",10^12,OFFSET(PLE!$G$15,$M389-$A$15,CF$13)))</f>
        <v>1000000000000</v>
      </c>
      <c r="CG389" s="172">
        <f ca="1">IF(OR($D389&lt;&gt;"Serviço",AND(AUTOEVENTO="Manual",$M389=$A$15),$M389&gt;(ROW(PLE.lastrow)-ROW(PLE.firstrow))),0,
           IF(OFFSET(PLE!$G$15,$M389-$A$15,CG$13)="",10^12,OFFSET(PLE!$G$15,$M389-$A$15,CG$13)))</f>
        <v>1000000000000</v>
      </c>
      <c r="CH389" s="172">
        <f ca="1">IF(OR($D389&lt;&gt;"Serviço",AND(AUTOEVENTO="Manual",$M389=$A$15),$M389&gt;(ROW(PLE.lastrow)-ROW(PLE.firstrow))),0,
           IF(OFFSET(PLE!$G$15,$M389-$A$15,CH$13)="",10^12,OFFSET(PLE!$G$15,$M389-$A$15,CH$13)))</f>
        <v>1000000000000</v>
      </c>
      <c r="CI389" s="172">
        <f ca="1">IF(OR($D389&lt;&gt;"Serviço",AND(AUTOEVENTO="Manual",$M389=$A$15),$M389&gt;(ROW(PLE.lastrow)-ROW(PLE.firstrow))),0,
           IF(OFFSET(PLE!$G$15,$M389-$A$15,CI$13)="",10^12,OFFSET(PLE!$G$15,$M389-$A$15,CI$13)))</f>
        <v>1000000000000</v>
      </c>
      <c r="CJ389" s="172">
        <f ca="1">IF(OR($D389&lt;&gt;"Serviço",AND(AUTOEVENTO="Manual",$M389=$A$15),$M389&gt;(ROW(PLE.lastrow)-ROW(PLE.firstrow))),0,
           IF(OFFSET(PLE!$G$15,$M389-$A$15,CJ$13)="",10^12,OFFSET(PLE!$G$15,$M389-$A$15,CJ$13)))</f>
        <v>1000000000000</v>
      </c>
      <c r="CK389" s="172">
        <f ca="1">IF(OR($D389&lt;&gt;"Serviço",AND(AUTOEVENTO="Manual",$M389=$A$15),$M389&gt;(ROW(PLE.lastrow)-ROW(PLE.firstrow))),0,
           IF(OFFSET(PLE!$G$15,$M389-$A$15,CK$13)="",10^12,OFFSET(PLE!$G$15,$M389-$A$15,CK$13)))</f>
        <v>1000000000000</v>
      </c>
      <c r="CL389" s="172">
        <f ca="1">IF(OR($D389&lt;&gt;"Serviço",AND(AUTOEVENTO="Manual",$M389=$A$15),$M389&gt;(ROW(PLE.lastrow)-ROW(PLE.firstrow))),0,
           IF(OFFSET(PLE!$G$15,$M389-$A$15,CL$13)="",10^12,OFFSET(PLE!$G$15,$M389-$A$15,CL$13)))</f>
        <v>1000000000000</v>
      </c>
      <c r="CM389" s="172">
        <f ca="1">IF(OR($D389&lt;&gt;"Serviço",AND(AUTOEVENTO="Manual",$M389=$A$15),$M389&gt;(ROW(PLE.lastrow)-ROW(PLE.firstrow))),0,
           IF(OFFSET(PLE!$G$15,$M389-$A$15,CM$13)="",10^12,OFFSET(PLE!$G$15,$M389-$A$15,CM$13)))</f>
        <v>1000000000000</v>
      </c>
    </row>
    <row r="390" spans="1:91" ht="38.25" x14ac:dyDescent="0.2">
      <c r="A390" s="7">
        <f t="shared" ca="1" si="15"/>
        <v>7</v>
      </c>
      <c r="B390" s="7" t="str">
        <f ca="1">OFFSET(ORÇAMENTO!C$15,ROW(B390)-ROW(B$15),0)</f>
        <v>S</v>
      </c>
      <c r="C390" s="7" t="str">
        <f ca="1">OFFSET(ORÇAMENTO!L$15,ROW(C390)-ROW(C$15),0)</f>
        <v>F</v>
      </c>
      <c r="D390" s="116" t="str">
        <f ca="1">OFFSET(ORÇAMENTO!N$15,ROW(D390)-ROW(D$15),0)</f>
        <v>Serviço</v>
      </c>
      <c r="E390" s="117" t="str">
        <f ca="1">OFFSET(ORÇAMENTO!O$15,ROW(E390)-ROW(E$15),0)</f>
        <v>1.8.2.1.5.</v>
      </c>
      <c r="F390" s="163" t="str">
        <f ca="1">OFFSET(ORÇAMENTO!R$15,ROW(F390)-ROW(F$15),0)</f>
        <v>CONDULETE DE ALUMÍNIO, TIPO T, PARA ELETRODUTO DE AÇO GALVANIZADO DN 25 MM (1''), APARENTE - FORNECIMENTO E INSTALAÇÃO. AF_10/2022</v>
      </c>
      <c r="G390" s="164" t="str">
        <f ca="1">IF($D390&lt;&gt;"Serviço","",OFFSET(ORÇAMENTO!S$15,ROW(G390)-ROW(G$15),0))</f>
        <v>UN</v>
      </c>
      <c r="H390" s="122" cm="1">
        <f t="array" aca="1" ref="H390" ca="1">IF($D390&lt;&gt;"Serviço",0,IF(ACOMPANHAMENTO="BM",ROUND(OFFSET(ORÇAMENTO!AJ$15,ROW(H390)-ROW(H$15),0),15-13*ORÇAMENTO!$AF$7),SUMPRODUCT(($Q$1:$AI$1=1)*ROUND($Q390:$AI390,15-13*ORÇAMENTO!$AF$7))))</f>
        <v>1</v>
      </c>
      <c r="I390" s="468" t="s">
        <v>1431</v>
      </c>
      <c r="J390" s="640" t="str" cm="1">
        <f t="array" aca="1" ref="J390" ca="1">IF(OR(B390&lt;&gt;"S",CÁLCULO.FrentesPreenchidas=0),"",IF(AND(ACOMPANHAMENTO="PLE",AUTOEVENTO="Manual",OR(H390&gt;0,ORÇAMENTO!AC390="QUANT."),OR(K390="",M390=0,N390="")),"►E",IF(AND(ACOMPANHAMENTO="PLE",ORÇAMENTO!AC390="QUANT."),"►Q",IF(AND(ACOMPANHAMENTO="PLE",H390&lt;&gt;SUMPRODUCT(($Q$1:$AI$1=1)*ROUND(Q390:AI390,15))),"►S",IF(AND(COUNTIF($P$11:$AI$11,"▼")=0,H390&gt;0,I390=""),"◄M","")))))</f>
        <v/>
      </c>
      <c r="K390" s="641" t="s">
        <v>1391</v>
      </c>
      <c r="L390" s="165" t="s">
        <v>764</v>
      </c>
      <c r="M390" s="166">
        <f ca="1">IF($D390&lt;&gt;"Serviço","",
          IF(AUTOEVENTO="manual",$A390,
                IF(ISERROR(MATCH($A390,$A$15:OFFSET($A390,-1,0),0)),MAX($M$15:OFFSET(M390,-1,0))+1,
                      INDEX($M$15:OFFSET(M390,-1,0),MATCH($A390,$A$15:OFFSET($A390,-1,0),0)))))</f>
        <v>7</v>
      </c>
      <c r="N390" s="167" t="str">
        <f ca="1">IF($D390&lt;&gt;"Serviço","",
         IF(AUTOEVENTO="Manual",
                IF($A390=0,"&lt;-- defina o número do agrupador",
                       OFFSET(EVENTOS!$D$15,$A390-$A$15,0)),
                OFFSET($F$15,$A390,0)))</f>
        <v>Instalações Elétricas</v>
      </c>
      <c r="O390" s="168"/>
      <c r="Q390" s="168"/>
      <c r="R390" s="169"/>
      <c r="S390" s="169"/>
      <c r="T390" s="169"/>
      <c r="U390" s="169"/>
      <c r="V390" s="169"/>
      <c r="W390" s="169"/>
      <c r="X390" s="169">
        <v>1</v>
      </c>
      <c r="Y390" s="169"/>
      <c r="Z390" s="170"/>
      <c r="AA390" s="169"/>
      <c r="AB390" s="169"/>
      <c r="AC390" s="169"/>
      <c r="AD390" s="169"/>
      <c r="AE390" s="169"/>
      <c r="AF390" s="169"/>
      <c r="AG390" s="169"/>
      <c r="AH390" s="170"/>
      <c r="AJ390" s="453">
        <f ca="1">IF(AND($D390="Serviço",AJ$12&lt;&gt;0,$H390&gt;0,OR(AUTOEVENTO&lt;&gt;"manual",$M390&lt;&gt;$A$15)),
        IF(Import.TipoArredondamento&lt;&gt;"TransfereGOV",
              ROUND(OFFSET($P390,0,AJ$13),15-13*ORÇAMENTO!$AF$7)/$H390*OFFSET(ORÇAMENTO!$X$15,ROW(AJ390)-ROW(AJ$15),0),
              ROUND(ROUND(OFFSET($P390,0,AJ$13),15-13*ORÇAMENTO!$AF$7)*OFFSET(ORÇAMENTO!$W$15,ROW(AJ390)-ROW(AJ$15),0),15-13*ORÇAMENTO!$AF$11)),
         0)</f>
        <v>0</v>
      </c>
      <c r="AK390" s="453">
        <f ca="1">IF(AND($D390="Serviço",AK$12&lt;&gt;0,$H390&gt;0,OR(AUTOEVENTO&lt;&gt;"manual",$M390&lt;&gt;$A$15)),
        IF(Import.TipoArredondamento&lt;&gt;"TransfereGOV",
              ROUND(OFFSET($P390,0,AK$13),15-13*ORÇAMENTO!$AF$7)/$H390*OFFSET(ORÇAMENTO!$X$15,ROW(AK390)-ROW(AK$15),0),
              ROUND(ROUND(OFFSET($P390,0,AK$13),15-13*ORÇAMENTO!$AF$7)*OFFSET(ORÇAMENTO!$W$15,ROW(AK390)-ROW(AK$15),0),15-13*ORÇAMENTO!$AF$11)),
         0)</f>
        <v>0</v>
      </c>
      <c r="AL390" s="453">
        <f ca="1">IF(AND($D390="Serviço",AL$12&lt;&gt;0,$H390&gt;0,OR(AUTOEVENTO&lt;&gt;"manual",$M390&lt;&gt;$A$15)),
        IF(Import.TipoArredondamento&lt;&gt;"TransfereGOV",
              ROUND(OFFSET($P390,0,AL$13),15-13*ORÇAMENTO!$AF$7)/$H390*OFFSET(ORÇAMENTO!$X$15,ROW(AL390)-ROW(AL$15),0),
              ROUND(ROUND(OFFSET($P390,0,AL$13),15-13*ORÇAMENTO!$AF$7)*OFFSET(ORÇAMENTO!$W$15,ROW(AL390)-ROW(AL$15),0),15-13*ORÇAMENTO!$AF$11)),
         0)</f>
        <v>0</v>
      </c>
      <c r="AM390" s="453">
        <f ca="1">IF(AND($D390="Serviço",AM$12&lt;&gt;0,$H390&gt;0,OR(AUTOEVENTO&lt;&gt;"manual",$M390&lt;&gt;$A$15)),
        IF(Import.TipoArredondamento&lt;&gt;"TransfereGOV",
              ROUND(OFFSET($P390,0,AM$13),15-13*ORÇAMENTO!$AF$7)/$H390*OFFSET(ORÇAMENTO!$X$15,ROW(AM390)-ROW(AM$15),0),
              ROUND(ROUND(OFFSET($P390,0,AM$13),15-13*ORÇAMENTO!$AF$7)*OFFSET(ORÇAMENTO!$W$15,ROW(AM390)-ROW(AM$15),0),15-13*ORÇAMENTO!$AF$11)),
         0)</f>
        <v>0</v>
      </c>
      <c r="AN390" s="453">
        <f ca="1">IF(AND($D390="Serviço",AN$12&lt;&gt;0,$H390&gt;0,OR(AUTOEVENTO&lt;&gt;"manual",$M390&lt;&gt;$A$15)),
        IF(Import.TipoArredondamento&lt;&gt;"TransfereGOV",
              ROUND(OFFSET($P390,0,AN$13),15-13*ORÇAMENTO!$AF$7)/$H390*OFFSET(ORÇAMENTO!$X$15,ROW(AN390)-ROW(AN$15),0),
              ROUND(ROUND(OFFSET($P390,0,AN$13),15-13*ORÇAMENTO!$AF$7)*OFFSET(ORÇAMENTO!$W$15,ROW(AN390)-ROW(AN$15),0),15-13*ORÇAMENTO!$AF$11)),
         0)</f>
        <v>0</v>
      </c>
      <c r="AO390" s="453">
        <f ca="1">IF(AND($D390="Serviço",AO$12&lt;&gt;0,$H390&gt;0,OR(AUTOEVENTO&lt;&gt;"manual",$M390&lt;&gt;$A$15)),
        IF(Import.TipoArredondamento&lt;&gt;"TransfereGOV",
              ROUND(OFFSET($P390,0,AO$13),15-13*ORÇAMENTO!$AF$7)/$H390*OFFSET(ORÇAMENTO!$X$15,ROW(AO390)-ROW(AO$15),0),
              ROUND(ROUND(OFFSET($P390,0,AO$13),15-13*ORÇAMENTO!$AF$7)*OFFSET(ORÇAMENTO!$W$15,ROW(AO390)-ROW(AO$15),0),15-13*ORÇAMENTO!$AF$11)),
         0)</f>
        <v>0</v>
      </c>
      <c r="AP390" s="453">
        <f ca="1">IF(AND($D390="Serviço",AP$12&lt;&gt;0,$H390&gt;0,OR(AUTOEVENTO&lt;&gt;"manual",$M390&lt;&gt;$A$15)),
        IF(Import.TipoArredondamento&lt;&gt;"TransfereGOV",
              ROUND(OFFSET($P390,0,AP$13),15-13*ORÇAMENTO!$AF$7)/$H390*OFFSET(ORÇAMENTO!$X$15,ROW(AP390)-ROW(AP$15),0),
              ROUND(ROUND(OFFSET($P390,0,AP$13),15-13*ORÇAMENTO!$AF$7)*OFFSET(ORÇAMENTO!$W$15,ROW(AP390)-ROW(AP$15),0),15-13*ORÇAMENTO!$AF$11)),
         0)</f>
        <v>0</v>
      </c>
      <c r="AQ390" s="453">
        <f ca="1">IF(AND($D390="Serviço",AQ$12&lt;&gt;0,$H390&gt;0,OR(AUTOEVENTO&lt;&gt;"manual",$M390&lt;&gt;$A$15)),
        IF(Import.TipoArredondamento&lt;&gt;"TransfereGOV",
              ROUND(OFFSET($P390,0,AQ$13),15-13*ORÇAMENTO!$AF$7)/$H390*OFFSET(ORÇAMENTO!$X$15,ROW(AQ390)-ROW(AQ$15),0),
              ROUND(ROUND(OFFSET($P390,0,AQ$13),15-13*ORÇAMENTO!$AF$7)*OFFSET(ORÇAMENTO!$W$15,ROW(AQ390)-ROW(AQ$15),0),15-13*ORÇAMENTO!$AF$11)),
         0)</f>
        <v>0</v>
      </c>
      <c r="AR390" s="453">
        <f ca="1">IF(AND($D390="Serviço",AR$12&lt;&gt;0,$H390&gt;0,OR(AUTOEVENTO&lt;&gt;"manual",$M390&lt;&gt;$A$15)),
        IF(Import.TipoArredondamento&lt;&gt;"TransfereGOV",
              ROUND(OFFSET($P390,0,AR$13),15-13*ORÇAMENTO!$AF$7)/$H390*OFFSET(ORÇAMENTO!$X$15,ROW(AR390)-ROW(AR$15),0),
              ROUND(ROUND(OFFSET($P390,0,AR$13),15-13*ORÇAMENTO!$AF$7)*OFFSET(ORÇAMENTO!$W$15,ROW(AR390)-ROW(AR$15),0),15-13*ORÇAMENTO!$AF$11)),
         0)</f>
        <v>0</v>
      </c>
      <c r="AS390" s="453">
        <f ca="1">IF(AND($D390="Serviço",AS$12&lt;&gt;0,$H390&gt;0,OR(AUTOEVENTO&lt;&gt;"manual",$M390&lt;&gt;$A$15)),
        IF(Import.TipoArredondamento&lt;&gt;"TransfereGOV",
              ROUND(OFFSET($P390,0,AS$13),15-13*ORÇAMENTO!$AF$7)/$H390*OFFSET(ORÇAMENTO!$X$15,ROW(AS390)-ROW(AS$15),0),
              ROUND(ROUND(OFFSET($P390,0,AS$13),15-13*ORÇAMENTO!$AF$7)*OFFSET(ORÇAMENTO!$W$15,ROW(AS390)-ROW(AS$15),0),15-13*ORÇAMENTO!$AF$11)),
         0)</f>
        <v>0</v>
      </c>
      <c r="AT390" s="453">
        <f ca="1">IF(AND($D390="Serviço",AT$12&lt;&gt;0,$H390&gt;0,OR(AUTOEVENTO&lt;&gt;"manual",$M390&lt;&gt;$A$15)),
        IF(Import.TipoArredondamento&lt;&gt;"TransfereGOV",
              ROUND(OFFSET($P390,0,AT$13),15-13*ORÇAMENTO!$AF$7)/$H390*OFFSET(ORÇAMENTO!$X$15,ROW(AT390)-ROW(AT$15),0),
              ROUND(ROUND(OFFSET($P390,0,AT$13),15-13*ORÇAMENTO!$AF$7)*OFFSET(ORÇAMENTO!$W$15,ROW(AT390)-ROW(AT$15),0),15-13*ORÇAMENTO!$AF$11)),
         0)</f>
        <v>0</v>
      </c>
      <c r="AU390" s="453">
        <f ca="1">IF(AND($D390="Serviço",AU$12&lt;&gt;0,$H390&gt;0,OR(AUTOEVENTO&lt;&gt;"manual",$M390&lt;&gt;$A$15)),
        IF(Import.TipoArredondamento&lt;&gt;"TransfereGOV",
              ROUND(OFFSET($P390,0,AU$13),15-13*ORÇAMENTO!$AF$7)/$H390*OFFSET(ORÇAMENTO!$X$15,ROW(AU390)-ROW(AU$15),0),
              ROUND(ROUND(OFFSET($P390,0,AU$13),15-13*ORÇAMENTO!$AF$7)*OFFSET(ORÇAMENTO!$W$15,ROW(AU390)-ROW(AU$15),0),15-13*ORÇAMENTO!$AF$11)),
         0)</f>
        <v>0</v>
      </c>
      <c r="AV390" s="453">
        <f ca="1">IF(AND($D390="Serviço",AV$12&lt;&gt;0,$H390&gt;0,OR(AUTOEVENTO&lt;&gt;"manual",$M390&lt;&gt;$A$15)),
        IF(Import.TipoArredondamento&lt;&gt;"TransfereGOV",
              ROUND(OFFSET($P390,0,AV$13),15-13*ORÇAMENTO!$AF$7)/$H390*OFFSET(ORÇAMENTO!$X$15,ROW(AV390)-ROW(AV$15),0),
              ROUND(ROUND(OFFSET($P390,0,AV$13),15-13*ORÇAMENTO!$AF$7)*OFFSET(ORÇAMENTO!$W$15,ROW(AV390)-ROW(AV$15),0),15-13*ORÇAMENTO!$AF$11)),
         0)</f>
        <v>0</v>
      </c>
      <c r="AW390" s="453">
        <f ca="1">IF(AND($D390="Serviço",AW$12&lt;&gt;0,$H390&gt;0,OR(AUTOEVENTO&lt;&gt;"manual",$M390&lt;&gt;$A$15)),
        IF(Import.TipoArredondamento&lt;&gt;"TransfereGOV",
              ROUND(OFFSET($P390,0,AW$13),15-13*ORÇAMENTO!$AF$7)/$H390*OFFSET(ORÇAMENTO!$X$15,ROW(AW390)-ROW(AW$15),0),
              ROUND(ROUND(OFFSET($P390,0,AW$13),15-13*ORÇAMENTO!$AF$7)*OFFSET(ORÇAMENTO!$W$15,ROW(AW390)-ROW(AW$15),0),15-13*ORÇAMENTO!$AF$11)),
         0)</f>
        <v>0</v>
      </c>
      <c r="AX390" s="453">
        <f ca="1">IF(AND($D390="Serviço",AX$12&lt;&gt;0,$H390&gt;0,OR(AUTOEVENTO&lt;&gt;"manual",$M390&lt;&gt;$A$15)),
        IF(Import.TipoArredondamento&lt;&gt;"TransfereGOV",
              ROUND(OFFSET($P390,0,AX$13),15-13*ORÇAMENTO!$AF$7)/$H390*OFFSET(ORÇAMENTO!$X$15,ROW(AX390)-ROW(AX$15),0),
              ROUND(ROUND(OFFSET($P390,0,AX$13),15-13*ORÇAMENTO!$AF$7)*OFFSET(ORÇAMENTO!$W$15,ROW(AX390)-ROW(AX$15),0),15-13*ORÇAMENTO!$AF$11)),
         0)</f>
        <v>0</v>
      </c>
      <c r="AY390" s="453">
        <f ca="1">IF(AND($D390="Serviço",AY$12&lt;&gt;0,$H390&gt;0,OR(AUTOEVENTO&lt;&gt;"manual",$M390&lt;&gt;$A$15)),
        IF(Import.TipoArredondamento&lt;&gt;"TransfereGOV",
              ROUND(OFFSET($P390,0,AY$13),15-13*ORÇAMENTO!$AF$7)/$H390*OFFSET(ORÇAMENTO!$X$15,ROW(AY390)-ROW(AY$15),0),
              ROUND(ROUND(OFFSET($P390,0,AY$13),15-13*ORÇAMENTO!$AF$7)*OFFSET(ORÇAMENTO!$W$15,ROW(AY390)-ROW(AY$15),0),15-13*ORÇAMENTO!$AF$11)),
         0)</f>
        <v>0</v>
      </c>
      <c r="AZ390" s="453">
        <f ca="1">IF(AND($D390="Serviço",AZ$12&lt;&gt;0,$H390&gt;0,OR(AUTOEVENTO&lt;&gt;"manual",$M390&lt;&gt;$A$15)),
        IF(Import.TipoArredondamento&lt;&gt;"TransfereGOV",
              ROUND(OFFSET($P390,0,AZ$13),15-13*ORÇAMENTO!$AF$7)/$H390*OFFSET(ORÇAMENTO!$X$15,ROW(AZ390)-ROW(AZ$15),0),
              ROUND(ROUND(OFFSET($P390,0,AZ$13),15-13*ORÇAMENTO!$AF$7)*OFFSET(ORÇAMENTO!$W$15,ROW(AZ390)-ROW(AZ$15),0),15-13*ORÇAMENTO!$AF$11)),
         0)</f>
        <v>0</v>
      </c>
      <c r="BA390" s="453">
        <f ca="1">IF(AND($D390="Serviço",BA$12&lt;&gt;0,$H390&gt;0,OR(AUTOEVENTO&lt;&gt;"manual",$M390&lt;&gt;$A$15)),
        IF(Import.TipoArredondamento&lt;&gt;"TransfereGOV",
              ROUND(OFFSET($P390,0,BA$13),15-13*ORÇAMENTO!$AF$7)/$H390*OFFSET(ORÇAMENTO!$X$15,ROW(BA390)-ROW(BA$15),0),
              ROUND(ROUND(OFFSET($P390,0,BA$13),15-13*ORÇAMENTO!$AF$7)*OFFSET(ORÇAMENTO!$W$15,ROW(BA390)-ROW(BA$15),0),15-13*ORÇAMENTO!$AF$11)),
         0)</f>
        <v>0</v>
      </c>
      <c r="BC390" s="171">
        <f ca="1">IF(OR($D390&lt;&gt;"Serviço",AND(AUTOEVENTO="Manual",$M390=$A$15)),0,
         IF(OFFSET(CRONOPLE!$F$15,$M390-$A$15,BC$13)=0,10^12,OFFSET(CRONOPLE!$F$15,$M390-$A$15,BC$13)))</f>
        <v>1</v>
      </c>
      <c r="BD390" s="171">
        <f ca="1">IF(OR($D390&lt;&gt;"Serviço",AND(AUTOEVENTO="Manual",$M390=$A$15)),0,
         IF(OFFSET(CRONOPLE!$F$15,$M390-$A$15,BD$13)=0,10^12,OFFSET(CRONOPLE!$F$15,$M390-$A$15,BD$13)))</f>
        <v>2</v>
      </c>
      <c r="BE390" s="171">
        <f ca="1">IF(OR($D390&lt;&gt;"Serviço",AND(AUTOEVENTO="Manual",$M390=$A$15)),0,
         IF(OFFSET(CRONOPLE!$F$15,$M390-$A$15,BE$13)=0,10^12,OFFSET(CRONOPLE!$F$15,$M390-$A$15,BE$13)))</f>
        <v>3</v>
      </c>
      <c r="BF390" s="171">
        <f ca="1">IF(OR($D390&lt;&gt;"Serviço",AND(AUTOEVENTO="Manual",$M390=$A$15)),0,
         IF(OFFSET(CRONOPLE!$F$15,$M390-$A$15,BF$13)=0,10^12,OFFSET(CRONOPLE!$F$15,$M390-$A$15,BF$13)))</f>
        <v>4</v>
      </c>
      <c r="BG390" s="171">
        <f ca="1">IF(OR($D390&lt;&gt;"Serviço",AND(AUTOEVENTO="Manual",$M390=$A$15)),0,
         IF(OFFSET(CRONOPLE!$F$15,$M390-$A$15,BG$13)=0,10^12,OFFSET(CRONOPLE!$F$15,$M390-$A$15,BG$13)))</f>
        <v>5</v>
      </c>
      <c r="BH390" s="171">
        <f ca="1">IF(OR($D390&lt;&gt;"Serviço",AND(AUTOEVENTO="Manual",$M390=$A$15)),0,
         IF(OFFSET(CRONOPLE!$F$15,$M390-$A$15,BH$13)=0,10^12,OFFSET(CRONOPLE!$F$15,$M390-$A$15,BH$13)))</f>
        <v>6</v>
      </c>
      <c r="BI390" s="171">
        <f ca="1">IF(OR($D390&lt;&gt;"Serviço",AND(AUTOEVENTO="Manual",$M390=$A$15)),0,
         IF(OFFSET(CRONOPLE!$F$15,$M390-$A$15,BI$13)=0,10^12,OFFSET(CRONOPLE!$F$15,$M390-$A$15,BI$13)))</f>
        <v>7</v>
      </c>
      <c r="BJ390" s="171">
        <f ca="1">IF(OR($D390&lt;&gt;"Serviço",AND(AUTOEVENTO="Manual",$M390=$A$15)),0,
         IF(OFFSET(CRONOPLE!$F$15,$M390-$A$15,BJ$13)=0,10^12,OFFSET(CRONOPLE!$F$15,$M390-$A$15,BJ$13)))</f>
        <v>8</v>
      </c>
      <c r="BK390" s="171">
        <f ca="1">IF(OR($D390&lt;&gt;"Serviço",AND(AUTOEVENTO="Manual",$M390=$A$15)),0,
         IF(OFFSET(CRONOPLE!$F$15,$M390-$A$15,BK$13)=0,10^12,OFFSET(CRONOPLE!$F$15,$M390-$A$15,BK$13)))</f>
        <v>9</v>
      </c>
      <c r="BL390" s="171">
        <f ca="1">IF(OR($D390&lt;&gt;"Serviço",AND(AUTOEVENTO="Manual",$M390=$A$15)),0,
         IF(OFFSET(CRONOPLE!$F$15,$M390-$A$15,BL$13)=0,10^12,OFFSET(CRONOPLE!$F$15,$M390-$A$15,BL$13)))</f>
        <v>1000000000000</v>
      </c>
      <c r="BM390" s="171">
        <f ca="1">IF(OR($D390&lt;&gt;"Serviço",AND(AUTOEVENTO="Manual",$M390=$A$15)),0,
         IF(OFFSET(CRONOPLE!$F$15,$M390-$A$15,BM$13)=0,10^12,OFFSET(CRONOPLE!$F$15,$M390-$A$15,BM$13)))</f>
        <v>1000000000000</v>
      </c>
      <c r="BN390" s="171">
        <f ca="1">IF(OR($D390&lt;&gt;"Serviço",AND(AUTOEVENTO="Manual",$M390=$A$15)),0,
         IF(OFFSET(CRONOPLE!$F$15,$M390-$A$15,BN$13)=0,10^12,OFFSET(CRONOPLE!$F$15,$M390-$A$15,BN$13)))</f>
        <v>1000000000000</v>
      </c>
      <c r="BO390" s="171">
        <f ca="1">IF(OR($D390&lt;&gt;"Serviço",AND(AUTOEVENTO="Manual",$M390=$A$15)),0,
         IF(OFFSET(CRONOPLE!$F$15,$M390-$A$15,BO$13)=0,10^12,OFFSET(CRONOPLE!$F$15,$M390-$A$15,BO$13)))</f>
        <v>1000000000000</v>
      </c>
      <c r="BP390" s="171">
        <f ca="1">IF(OR($D390&lt;&gt;"Serviço",AND(AUTOEVENTO="Manual",$M390=$A$15)),0,
         IF(OFFSET(CRONOPLE!$F$15,$M390-$A$15,BP$13)=0,10^12,OFFSET(CRONOPLE!$F$15,$M390-$A$15,BP$13)))</f>
        <v>1000000000000</v>
      </c>
      <c r="BQ390" s="171">
        <f ca="1">IF(OR($D390&lt;&gt;"Serviço",AND(AUTOEVENTO="Manual",$M390=$A$15)),0,
         IF(OFFSET(CRONOPLE!$F$15,$M390-$A$15,BQ$13)=0,10^12,OFFSET(CRONOPLE!$F$15,$M390-$A$15,BQ$13)))</f>
        <v>1000000000000</v>
      </c>
      <c r="BR390" s="171">
        <f ca="1">IF(OR($D390&lt;&gt;"Serviço",AND(AUTOEVENTO="Manual",$M390=$A$15)),0,
         IF(OFFSET(CRONOPLE!$F$15,$M390-$A$15,BR$13)=0,10^12,OFFSET(CRONOPLE!$F$15,$M390-$A$15,BR$13)))</f>
        <v>1000000000000</v>
      </c>
      <c r="BS390" s="171">
        <f ca="1">IF(OR($D390&lt;&gt;"Serviço",AND(AUTOEVENTO="Manual",$M390=$A$15)),0,
         IF(OFFSET(CRONOPLE!$F$15,$M390-$A$15,BS$13)=0,10^12,OFFSET(CRONOPLE!$F$15,$M390-$A$15,BS$13)))</f>
        <v>1000000000000</v>
      </c>
      <c r="BT390" s="171">
        <f ca="1">IF(OR($D390&lt;&gt;"Serviço",AND(AUTOEVENTO="Manual",$M390=$A$15)),0,
         IF(OFFSET(CRONOPLE!$F$15,$M390-$A$15,BT$13)=0,10^12,OFFSET(CRONOPLE!$F$15,$M390-$A$15,BT$13)))</f>
        <v>1000000000000</v>
      </c>
      <c r="BV390" s="172">
        <f ca="1">IF(OR($D390&lt;&gt;"Serviço",AND(AUTOEVENTO="Manual",$M390=$A$15),$M390&gt;(ROW(PLE.lastrow)-ROW(PLE.firstrow))),0,
           IF(OFFSET(PLE!$G$15,$M390-$A$15,BV$13)="",10^12,OFFSET(PLE!$G$15,$M390-$A$15,BV$13)))</f>
        <v>1000000000000</v>
      </c>
      <c r="BW390" s="172">
        <f ca="1">IF(OR($D390&lt;&gt;"Serviço",AND(AUTOEVENTO="Manual",$M390=$A$15),$M390&gt;(ROW(PLE.lastrow)-ROW(PLE.firstrow))),0,
           IF(OFFSET(PLE!$G$15,$M390-$A$15,BW$13)="",10^12,OFFSET(PLE!$G$15,$M390-$A$15,BW$13)))</f>
        <v>1000000000000</v>
      </c>
      <c r="BX390" s="172">
        <f ca="1">IF(OR($D390&lt;&gt;"Serviço",AND(AUTOEVENTO="Manual",$M390=$A$15),$M390&gt;(ROW(PLE.lastrow)-ROW(PLE.firstrow))),0,
           IF(OFFSET(PLE!$G$15,$M390-$A$15,BX$13)="",10^12,OFFSET(PLE!$G$15,$M390-$A$15,BX$13)))</f>
        <v>1000000000000</v>
      </c>
      <c r="BY390" s="172">
        <f ca="1">IF(OR($D390&lt;&gt;"Serviço",AND(AUTOEVENTO="Manual",$M390=$A$15),$M390&gt;(ROW(PLE.lastrow)-ROW(PLE.firstrow))),0,
           IF(OFFSET(PLE!$G$15,$M390-$A$15,BY$13)="",10^12,OFFSET(PLE!$G$15,$M390-$A$15,BY$13)))</f>
        <v>1000000000000</v>
      </c>
      <c r="BZ390" s="172">
        <f ca="1">IF(OR($D390&lt;&gt;"Serviço",AND(AUTOEVENTO="Manual",$M390=$A$15),$M390&gt;(ROW(PLE.lastrow)-ROW(PLE.firstrow))),0,
           IF(OFFSET(PLE!$G$15,$M390-$A$15,BZ$13)="",10^12,OFFSET(PLE!$G$15,$M390-$A$15,BZ$13)))</f>
        <v>1000000000000</v>
      </c>
      <c r="CA390" s="172">
        <f ca="1">IF(OR($D390&lt;&gt;"Serviço",AND(AUTOEVENTO="Manual",$M390=$A$15),$M390&gt;(ROW(PLE.lastrow)-ROW(PLE.firstrow))),0,
           IF(OFFSET(PLE!$G$15,$M390-$A$15,CA$13)="",10^12,OFFSET(PLE!$G$15,$M390-$A$15,CA$13)))</f>
        <v>1000000000000</v>
      </c>
      <c r="CB390" s="172">
        <f ca="1">IF(OR($D390&lt;&gt;"Serviço",AND(AUTOEVENTO="Manual",$M390=$A$15),$M390&gt;(ROW(PLE.lastrow)-ROW(PLE.firstrow))),0,
           IF(OFFSET(PLE!$G$15,$M390-$A$15,CB$13)="",10^12,OFFSET(PLE!$G$15,$M390-$A$15,CB$13)))</f>
        <v>1000000000000</v>
      </c>
      <c r="CC390" s="172">
        <f ca="1">IF(OR($D390&lt;&gt;"Serviço",AND(AUTOEVENTO="Manual",$M390=$A$15),$M390&gt;(ROW(PLE.lastrow)-ROW(PLE.firstrow))),0,
           IF(OFFSET(PLE!$G$15,$M390-$A$15,CC$13)="",10^12,OFFSET(PLE!$G$15,$M390-$A$15,CC$13)))</f>
        <v>1000000000000</v>
      </c>
      <c r="CD390" s="172">
        <f ca="1">IF(OR($D390&lt;&gt;"Serviço",AND(AUTOEVENTO="Manual",$M390=$A$15),$M390&gt;(ROW(PLE.lastrow)-ROW(PLE.firstrow))),0,
           IF(OFFSET(PLE!$G$15,$M390-$A$15,CD$13)="",10^12,OFFSET(PLE!$G$15,$M390-$A$15,CD$13)))</f>
        <v>1000000000000</v>
      </c>
      <c r="CE390" s="172">
        <f ca="1">IF(OR($D390&lt;&gt;"Serviço",AND(AUTOEVENTO="Manual",$M390=$A$15),$M390&gt;(ROW(PLE.lastrow)-ROW(PLE.firstrow))),0,
           IF(OFFSET(PLE!$G$15,$M390-$A$15,CE$13)="",10^12,OFFSET(PLE!$G$15,$M390-$A$15,CE$13)))</f>
        <v>1000000000000</v>
      </c>
      <c r="CF390" s="172">
        <f ca="1">IF(OR($D390&lt;&gt;"Serviço",AND(AUTOEVENTO="Manual",$M390=$A$15),$M390&gt;(ROW(PLE.lastrow)-ROW(PLE.firstrow))),0,
           IF(OFFSET(PLE!$G$15,$M390-$A$15,CF$13)="",10^12,OFFSET(PLE!$G$15,$M390-$A$15,CF$13)))</f>
        <v>1000000000000</v>
      </c>
      <c r="CG390" s="172">
        <f ca="1">IF(OR($D390&lt;&gt;"Serviço",AND(AUTOEVENTO="Manual",$M390=$A$15),$M390&gt;(ROW(PLE.lastrow)-ROW(PLE.firstrow))),0,
           IF(OFFSET(PLE!$G$15,$M390-$A$15,CG$13)="",10^12,OFFSET(PLE!$G$15,$M390-$A$15,CG$13)))</f>
        <v>1000000000000</v>
      </c>
      <c r="CH390" s="172">
        <f ca="1">IF(OR($D390&lt;&gt;"Serviço",AND(AUTOEVENTO="Manual",$M390=$A$15),$M390&gt;(ROW(PLE.lastrow)-ROW(PLE.firstrow))),0,
           IF(OFFSET(PLE!$G$15,$M390-$A$15,CH$13)="",10^12,OFFSET(PLE!$G$15,$M390-$A$15,CH$13)))</f>
        <v>1000000000000</v>
      </c>
      <c r="CI390" s="172">
        <f ca="1">IF(OR($D390&lt;&gt;"Serviço",AND(AUTOEVENTO="Manual",$M390=$A$15),$M390&gt;(ROW(PLE.lastrow)-ROW(PLE.firstrow))),0,
           IF(OFFSET(PLE!$G$15,$M390-$A$15,CI$13)="",10^12,OFFSET(PLE!$G$15,$M390-$A$15,CI$13)))</f>
        <v>1000000000000</v>
      </c>
      <c r="CJ390" s="172">
        <f ca="1">IF(OR($D390&lt;&gt;"Serviço",AND(AUTOEVENTO="Manual",$M390=$A$15),$M390&gt;(ROW(PLE.lastrow)-ROW(PLE.firstrow))),0,
           IF(OFFSET(PLE!$G$15,$M390-$A$15,CJ$13)="",10^12,OFFSET(PLE!$G$15,$M390-$A$15,CJ$13)))</f>
        <v>1000000000000</v>
      </c>
      <c r="CK390" s="172">
        <f ca="1">IF(OR($D390&lt;&gt;"Serviço",AND(AUTOEVENTO="Manual",$M390=$A$15),$M390&gt;(ROW(PLE.lastrow)-ROW(PLE.firstrow))),0,
           IF(OFFSET(PLE!$G$15,$M390-$A$15,CK$13)="",10^12,OFFSET(PLE!$G$15,$M390-$A$15,CK$13)))</f>
        <v>1000000000000</v>
      </c>
      <c r="CL390" s="172">
        <f ca="1">IF(OR($D390&lt;&gt;"Serviço",AND(AUTOEVENTO="Manual",$M390=$A$15),$M390&gt;(ROW(PLE.lastrow)-ROW(PLE.firstrow))),0,
           IF(OFFSET(PLE!$G$15,$M390-$A$15,CL$13)="",10^12,OFFSET(PLE!$G$15,$M390-$A$15,CL$13)))</f>
        <v>1000000000000</v>
      </c>
      <c r="CM390" s="172">
        <f ca="1">IF(OR($D390&lt;&gt;"Serviço",AND(AUTOEVENTO="Manual",$M390=$A$15),$M390&gt;(ROW(PLE.lastrow)-ROW(PLE.firstrow))),0,
           IF(OFFSET(PLE!$G$15,$M390-$A$15,CM$13)="",10^12,OFFSET(PLE!$G$15,$M390-$A$15,CM$13)))</f>
        <v>1000000000000</v>
      </c>
    </row>
    <row r="391" spans="1:91" ht="38.25" x14ac:dyDescent="0.2">
      <c r="A391" s="7">
        <f t="shared" ca="1" si="15"/>
        <v>7</v>
      </c>
      <c r="B391" s="7" t="str">
        <f ca="1">OFFSET(ORÇAMENTO!C$15,ROW(B391)-ROW(B$15),0)</f>
        <v>S</v>
      </c>
      <c r="C391" s="7" t="str">
        <f ca="1">OFFSET(ORÇAMENTO!L$15,ROW(C391)-ROW(C$15),0)</f>
        <v>F</v>
      </c>
      <c r="D391" s="116" t="str">
        <f ca="1">OFFSET(ORÇAMENTO!N$15,ROW(D391)-ROW(D$15),0)</f>
        <v>Serviço</v>
      </c>
      <c r="E391" s="117" t="str">
        <f ca="1">OFFSET(ORÇAMENTO!O$15,ROW(E391)-ROW(E$15),0)</f>
        <v>1.8.2.1.6.</v>
      </c>
      <c r="F391" s="163" t="str">
        <f ca="1">OFFSET(ORÇAMENTO!R$15,ROW(F391)-ROW(F$15),0)</f>
        <v>DUTO CORRUGADO EM PEAD (POLIETILENO DE ALTA DENSIDADE), PARA PROTEÇÃO DE CABOS SUBTERRÂNEOS DN 30 MM (1.1/4")</v>
      </c>
      <c r="G391" s="164" t="str">
        <f ca="1">IF($D391&lt;&gt;"Serviço","",OFFSET(ORÇAMENTO!S$15,ROW(G391)-ROW(G$15),0))</f>
        <v>M</v>
      </c>
      <c r="H391" s="122" cm="1">
        <f t="array" aca="1" ref="H391" ca="1">IF($D391&lt;&gt;"Serviço",0,IF(ACOMPANHAMENTO="BM",ROUND(OFFSET(ORÇAMENTO!AJ$15,ROW(H391)-ROW(H$15),0),15-13*ORÇAMENTO!$AF$7),SUMPRODUCT(($Q$1:$AI$1=1)*ROUND($Q391:$AI391,15-13*ORÇAMENTO!$AF$7))))</f>
        <v>130</v>
      </c>
      <c r="I391" s="468" t="s">
        <v>1431</v>
      </c>
      <c r="J391" s="640" t="str" cm="1">
        <f t="array" aca="1" ref="J391" ca="1">IF(OR(B391&lt;&gt;"S",CÁLCULO.FrentesPreenchidas=0),"",IF(AND(ACOMPANHAMENTO="PLE",AUTOEVENTO="Manual",OR(H391&gt;0,ORÇAMENTO!AC391="QUANT."),OR(K391="",M391=0,N391="")),"►E",IF(AND(ACOMPANHAMENTO="PLE",ORÇAMENTO!AC391="QUANT."),"►Q",IF(AND(ACOMPANHAMENTO="PLE",H391&lt;&gt;SUMPRODUCT(($Q$1:$AI$1=1)*ROUND(Q391:AI391,15))),"►S",IF(AND(COUNTIF($P$11:$AI$11,"▼")=0,H391&gt;0,I391=""),"◄M","")))))</f>
        <v/>
      </c>
      <c r="K391" s="641" t="s">
        <v>1391</v>
      </c>
      <c r="L391" s="165" t="s">
        <v>764</v>
      </c>
      <c r="M391" s="166">
        <f ca="1">IF($D391&lt;&gt;"Serviço","",
          IF(AUTOEVENTO="manual",$A391,
                IF(ISERROR(MATCH($A391,$A$15:OFFSET($A391,-1,0),0)),MAX($M$15:OFFSET(M391,-1,0))+1,
                      INDEX($M$15:OFFSET(M391,-1,0),MATCH($A391,$A$15:OFFSET($A391,-1,0),0)))))</f>
        <v>7</v>
      </c>
      <c r="N391" s="167" t="str">
        <f ca="1">IF($D391&lt;&gt;"Serviço","",
         IF(AUTOEVENTO="Manual",
                IF($A391=0,"&lt;-- defina o número do agrupador",
                       OFFSET(EVENTOS!$D$15,$A391-$A$15,0)),
                OFFSET($F$15,$A391,0)))</f>
        <v>Instalações Elétricas</v>
      </c>
      <c r="O391" s="168"/>
      <c r="Q391" s="168"/>
      <c r="R391" s="169"/>
      <c r="S391" s="169"/>
      <c r="T391" s="169"/>
      <c r="U391" s="169"/>
      <c r="V391" s="169"/>
      <c r="W391" s="169"/>
      <c r="X391" s="169">
        <v>130</v>
      </c>
      <c r="Y391" s="169"/>
      <c r="Z391" s="170"/>
      <c r="AA391" s="169"/>
      <c r="AB391" s="169"/>
      <c r="AC391" s="169"/>
      <c r="AD391" s="169"/>
      <c r="AE391" s="169"/>
      <c r="AF391" s="169"/>
      <c r="AG391" s="169"/>
      <c r="AH391" s="170"/>
      <c r="AJ391" s="453">
        <f ca="1">IF(AND($D391="Serviço",AJ$12&lt;&gt;0,$H391&gt;0,OR(AUTOEVENTO&lt;&gt;"manual",$M391&lt;&gt;$A$15)),
        IF(Import.TipoArredondamento&lt;&gt;"TransfereGOV",
              ROUND(OFFSET($P391,0,AJ$13),15-13*ORÇAMENTO!$AF$7)/$H391*OFFSET(ORÇAMENTO!$X$15,ROW(AJ391)-ROW(AJ$15),0),
              ROUND(ROUND(OFFSET($P391,0,AJ$13),15-13*ORÇAMENTO!$AF$7)*OFFSET(ORÇAMENTO!$W$15,ROW(AJ391)-ROW(AJ$15),0),15-13*ORÇAMENTO!$AF$11)),
         0)</f>
        <v>0</v>
      </c>
      <c r="AK391" s="453">
        <f ca="1">IF(AND($D391="Serviço",AK$12&lt;&gt;0,$H391&gt;0,OR(AUTOEVENTO&lt;&gt;"manual",$M391&lt;&gt;$A$15)),
        IF(Import.TipoArredondamento&lt;&gt;"TransfereGOV",
              ROUND(OFFSET($P391,0,AK$13),15-13*ORÇAMENTO!$AF$7)/$H391*OFFSET(ORÇAMENTO!$X$15,ROW(AK391)-ROW(AK$15),0),
              ROUND(ROUND(OFFSET($P391,0,AK$13),15-13*ORÇAMENTO!$AF$7)*OFFSET(ORÇAMENTO!$W$15,ROW(AK391)-ROW(AK$15),0),15-13*ORÇAMENTO!$AF$11)),
         0)</f>
        <v>0</v>
      </c>
      <c r="AL391" s="453">
        <f ca="1">IF(AND($D391="Serviço",AL$12&lt;&gt;0,$H391&gt;0,OR(AUTOEVENTO&lt;&gt;"manual",$M391&lt;&gt;$A$15)),
        IF(Import.TipoArredondamento&lt;&gt;"TransfereGOV",
              ROUND(OFFSET($P391,0,AL$13),15-13*ORÇAMENTO!$AF$7)/$H391*OFFSET(ORÇAMENTO!$X$15,ROW(AL391)-ROW(AL$15),0),
              ROUND(ROUND(OFFSET($P391,0,AL$13),15-13*ORÇAMENTO!$AF$7)*OFFSET(ORÇAMENTO!$W$15,ROW(AL391)-ROW(AL$15),0),15-13*ORÇAMENTO!$AF$11)),
         0)</f>
        <v>0</v>
      </c>
      <c r="AM391" s="453">
        <f ca="1">IF(AND($D391="Serviço",AM$12&lt;&gt;0,$H391&gt;0,OR(AUTOEVENTO&lt;&gt;"manual",$M391&lt;&gt;$A$15)),
        IF(Import.TipoArredondamento&lt;&gt;"TransfereGOV",
              ROUND(OFFSET($P391,0,AM$13),15-13*ORÇAMENTO!$AF$7)/$H391*OFFSET(ORÇAMENTO!$X$15,ROW(AM391)-ROW(AM$15),0),
              ROUND(ROUND(OFFSET($P391,0,AM$13),15-13*ORÇAMENTO!$AF$7)*OFFSET(ORÇAMENTO!$W$15,ROW(AM391)-ROW(AM$15),0),15-13*ORÇAMENTO!$AF$11)),
         0)</f>
        <v>0</v>
      </c>
      <c r="AN391" s="453">
        <f ca="1">IF(AND($D391="Serviço",AN$12&lt;&gt;0,$H391&gt;0,OR(AUTOEVENTO&lt;&gt;"manual",$M391&lt;&gt;$A$15)),
        IF(Import.TipoArredondamento&lt;&gt;"TransfereGOV",
              ROUND(OFFSET($P391,0,AN$13),15-13*ORÇAMENTO!$AF$7)/$H391*OFFSET(ORÇAMENTO!$X$15,ROW(AN391)-ROW(AN$15),0),
              ROUND(ROUND(OFFSET($P391,0,AN$13),15-13*ORÇAMENTO!$AF$7)*OFFSET(ORÇAMENTO!$W$15,ROW(AN391)-ROW(AN$15),0),15-13*ORÇAMENTO!$AF$11)),
         0)</f>
        <v>0</v>
      </c>
      <c r="AO391" s="453">
        <f ca="1">IF(AND($D391="Serviço",AO$12&lt;&gt;0,$H391&gt;0,OR(AUTOEVENTO&lt;&gt;"manual",$M391&lt;&gt;$A$15)),
        IF(Import.TipoArredondamento&lt;&gt;"TransfereGOV",
              ROUND(OFFSET($P391,0,AO$13),15-13*ORÇAMENTO!$AF$7)/$H391*OFFSET(ORÇAMENTO!$X$15,ROW(AO391)-ROW(AO$15),0),
              ROUND(ROUND(OFFSET($P391,0,AO$13),15-13*ORÇAMENTO!$AF$7)*OFFSET(ORÇAMENTO!$W$15,ROW(AO391)-ROW(AO$15),0),15-13*ORÇAMENTO!$AF$11)),
         0)</f>
        <v>0</v>
      </c>
      <c r="AP391" s="453">
        <f ca="1">IF(AND($D391="Serviço",AP$12&lt;&gt;0,$H391&gt;0,OR(AUTOEVENTO&lt;&gt;"manual",$M391&lt;&gt;$A$15)),
        IF(Import.TipoArredondamento&lt;&gt;"TransfereGOV",
              ROUND(OFFSET($P391,0,AP$13),15-13*ORÇAMENTO!$AF$7)/$H391*OFFSET(ORÇAMENTO!$X$15,ROW(AP391)-ROW(AP$15),0),
              ROUND(ROUND(OFFSET($P391,0,AP$13),15-13*ORÇAMENTO!$AF$7)*OFFSET(ORÇAMENTO!$W$15,ROW(AP391)-ROW(AP$15),0),15-13*ORÇAMENTO!$AF$11)),
         0)</f>
        <v>0</v>
      </c>
      <c r="AQ391" s="453">
        <f ca="1">IF(AND($D391="Serviço",AQ$12&lt;&gt;0,$H391&gt;0,OR(AUTOEVENTO&lt;&gt;"manual",$M391&lt;&gt;$A$15)),
        IF(Import.TipoArredondamento&lt;&gt;"TransfereGOV",
              ROUND(OFFSET($P391,0,AQ$13),15-13*ORÇAMENTO!$AF$7)/$H391*OFFSET(ORÇAMENTO!$X$15,ROW(AQ391)-ROW(AQ$15),0),
              ROUND(ROUND(OFFSET($P391,0,AQ$13),15-13*ORÇAMENTO!$AF$7)*OFFSET(ORÇAMENTO!$W$15,ROW(AQ391)-ROW(AQ$15),0),15-13*ORÇAMENTO!$AF$11)),
         0)</f>
        <v>0</v>
      </c>
      <c r="AR391" s="453">
        <f ca="1">IF(AND($D391="Serviço",AR$12&lt;&gt;0,$H391&gt;0,OR(AUTOEVENTO&lt;&gt;"manual",$M391&lt;&gt;$A$15)),
        IF(Import.TipoArredondamento&lt;&gt;"TransfereGOV",
              ROUND(OFFSET($P391,0,AR$13),15-13*ORÇAMENTO!$AF$7)/$H391*OFFSET(ORÇAMENTO!$X$15,ROW(AR391)-ROW(AR$15),0),
              ROUND(ROUND(OFFSET($P391,0,AR$13),15-13*ORÇAMENTO!$AF$7)*OFFSET(ORÇAMENTO!$W$15,ROW(AR391)-ROW(AR$15),0),15-13*ORÇAMENTO!$AF$11)),
         0)</f>
        <v>0</v>
      </c>
      <c r="AS391" s="453">
        <f ca="1">IF(AND($D391="Serviço",AS$12&lt;&gt;0,$H391&gt;0,OR(AUTOEVENTO&lt;&gt;"manual",$M391&lt;&gt;$A$15)),
        IF(Import.TipoArredondamento&lt;&gt;"TransfereGOV",
              ROUND(OFFSET($P391,0,AS$13),15-13*ORÇAMENTO!$AF$7)/$H391*OFFSET(ORÇAMENTO!$X$15,ROW(AS391)-ROW(AS$15),0),
              ROUND(ROUND(OFFSET($P391,0,AS$13),15-13*ORÇAMENTO!$AF$7)*OFFSET(ORÇAMENTO!$W$15,ROW(AS391)-ROW(AS$15),0),15-13*ORÇAMENTO!$AF$11)),
         0)</f>
        <v>0</v>
      </c>
      <c r="AT391" s="453">
        <f ca="1">IF(AND($D391="Serviço",AT$12&lt;&gt;0,$H391&gt;0,OR(AUTOEVENTO&lt;&gt;"manual",$M391&lt;&gt;$A$15)),
        IF(Import.TipoArredondamento&lt;&gt;"TransfereGOV",
              ROUND(OFFSET($P391,0,AT$13),15-13*ORÇAMENTO!$AF$7)/$H391*OFFSET(ORÇAMENTO!$X$15,ROW(AT391)-ROW(AT$15),0),
              ROUND(ROUND(OFFSET($P391,0,AT$13),15-13*ORÇAMENTO!$AF$7)*OFFSET(ORÇAMENTO!$W$15,ROW(AT391)-ROW(AT$15),0),15-13*ORÇAMENTO!$AF$11)),
         0)</f>
        <v>0</v>
      </c>
      <c r="AU391" s="453">
        <f ca="1">IF(AND($D391="Serviço",AU$12&lt;&gt;0,$H391&gt;0,OR(AUTOEVENTO&lt;&gt;"manual",$M391&lt;&gt;$A$15)),
        IF(Import.TipoArredondamento&lt;&gt;"TransfereGOV",
              ROUND(OFFSET($P391,0,AU$13),15-13*ORÇAMENTO!$AF$7)/$H391*OFFSET(ORÇAMENTO!$X$15,ROW(AU391)-ROW(AU$15),0),
              ROUND(ROUND(OFFSET($P391,0,AU$13),15-13*ORÇAMENTO!$AF$7)*OFFSET(ORÇAMENTO!$W$15,ROW(AU391)-ROW(AU$15),0),15-13*ORÇAMENTO!$AF$11)),
         0)</f>
        <v>0</v>
      </c>
      <c r="AV391" s="453">
        <f ca="1">IF(AND($D391="Serviço",AV$12&lt;&gt;0,$H391&gt;0,OR(AUTOEVENTO&lt;&gt;"manual",$M391&lt;&gt;$A$15)),
        IF(Import.TipoArredondamento&lt;&gt;"TransfereGOV",
              ROUND(OFFSET($P391,0,AV$13),15-13*ORÇAMENTO!$AF$7)/$H391*OFFSET(ORÇAMENTO!$X$15,ROW(AV391)-ROW(AV$15),0),
              ROUND(ROUND(OFFSET($P391,0,AV$13),15-13*ORÇAMENTO!$AF$7)*OFFSET(ORÇAMENTO!$W$15,ROW(AV391)-ROW(AV$15),0),15-13*ORÇAMENTO!$AF$11)),
         0)</f>
        <v>0</v>
      </c>
      <c r="AW391" s="453">
        <f ca="1">IF(AND($D391="Serviço",AW$12&lt;&gt;0,$H391&gt;0,OR(AUTOEVENTO&lt;&gt;"manual",$M391&lt;&gt;$A$15)),
        IF(Import.TipoArredondamento&lt;&gt;"TransfereGOV",
              ROUND(OFFSET($P391,0,AW$13),15-13*ORÇAMENTO!$AF$7)/$H391*OFFSET(ORÇAMENTO!$X$15,ROW(AW391)-ROW(AW$15),0),
              ROUND(ROUND(OFFSET($P391,0,AW$13),15-13*ORÇAMENTO!$AF$7)*OFFSET(ORÇAMENTO!$W$15,ROW(AW391)-ROW(AW$15),0),15-13*ORÇAMENTO!$AF$11)),
         0)</f>
        <v>0</v>
      </c>
      <c r="AX391" s="453">
        <f ca="1">IF(AND($D391="Serviço",AX$12&lt;&gt;0,$H391&gt;0,OR(AUTOEVENTO&lt;&gt;"manual",$M391&lt;&gt;$A$15)),
        IF(Import.TipoArredondamento&lt;&gt;"TransfereGOV",
              ROUND(OFFSET($P391,0,AX$13),15-13*ORÇAMENTO!$AF$7)/$H391*OFFSET(ORÇAMENTO!$X$15,ROW(AX391)-ROW(AX$15),0),
              ROUND(ROUND(OFFSET($P391,0,AX$13),15-13*ORÇAMENTO!$AF$7)*OFFSET(ORÇAMENTO!$W$15,ROW(AX391)-ROW(AX$15),0),15-13*ORÇAMENTO!$AF$11)),
         0)</f>
        <v>0</v>
      </c>
      <c r="AY391" s="453">
        <f ca="1">IF(AND($D391="Serviço",AY$12&lt;&gt;0,$H391&gt;0,OR(AUTOEVENTO&lt;&gt;"manual",$M391&lt;&gt;$A$15)),
        IF(Import.TipoArredondamento&lt;&gt;"TransfereGOV",
              ROUND(OFFSET($P391,0,AY$13),15-13*ORÇAMENTO!$AF$7)/$H391*OFFSET(ORÇAMENTO!$X$15,ROW(AY391)-ROW(AY$15),0),
              ROUND(ROUND(OFFSET($P391,0,AY$13),15-13*ORÇAMENTO!$AF$7)*OFFSET(ORÇAMENTO!$W$15,ROW(AY391)-ROW(AY$15),0),15-13*ORÇAMENTO!$AF$11)),
         0)</f>
        <v>0</v>
      </c>
      <c r="AZ391" s="453">
        <f ca="1">IF(AND($D391="Serviço",AZ$12&lt;&gt;0,$H391&gt;0,OR(AUTOEVENTO&lt;&gt;"manual",$M391&lt;&gt;$A$15)),
        IF(Import.TipoArredondamento&lt;&gt;"TransfereGOV",
              ROUND(OFFSET($P391,0,AZ$13),15-13*ORÇAMENTO!$AF$7)/$H391*OFFSET(ORÇAMENTO!$X$15,ROW(AZ391)-ROW(AZ$15),0),
              ROUND(ROUND(OFFSET($P391,0,AZ$13),15-13*ORÇAMENTO!$AF$7)*OFFSET(ORÇAMENTO!$W$15,ROW(AZ391)-ROW(AZ$15),0),15-13*ORÇAMENTO!$AF$11)),
         0)</f>
        <v>0</v>
      </c>
      <c r="BA391" s="453">
        <f ca="1">IF(AND($D391="Serviço",BA$12&lt;&gt;0,$H391&gt;0,OR(AUTOEVENTO&lt;&gt;"manual",$M391&lt;&gt;$A$15)),
        IF(Import.TipoArredondamento&lt;&gt;"TransfereGOV",
              ROUND(OFFSET($P391,0,BA$13),15-13*ORÇAMENTO!$AF$7)/$H391*OFFSET(ORÇAMENTO!$X$15,ROW(BA391)-ROW(BA$15),0),
              ROUND(ROUND(OFFSET($P391,0,BA$13),15-13*ORÇAMENTO!$AF$7)*OFFSET(ORÇAMENTO!$W$15,ROW(BA391)-ROW(BA$15),0),15-13*ORÇAMENTO!$AF$11)),
         0)</f>
        <v>0</v>
      </c>
      <c r="BC391" s="171">
        <f ca="1">IF(OR($D391&lt;&gt;"Serviço",AND(AUTOEVENTO="Manual",$M391=$A$15)),0,
         IF(OFFSET(CRONOPLE!$F$15,$M391-$A$15,BC$13)=0,10^12,OFFSET(CRONOPLE!$F$15,$M391-$A$15,BC$13)))</f>
        <v>1</v>
      </c>
      <c r="BD391" s="171">
        <f ca="1">IF(OR($D391&lt;&gt;"Serviço",AND(AUTOEVENTO="Manual",$M391=$A$15)),0,
         IF(OFFSET(CRONOPLE!$F$15,$M391-$A$15,BD$13)=0,10^12,OFFSET(CRONOPLE!$F$15,$M391-$A$15,BD$13)))</f>
        <v>2</v>
      </c>
      <c r="BE391" s="171">
        <f ca="1">IF(OR($D391&lt;&gt;"Serviço",AND(AUTOEVENTO="Manual",$M391=$A$15)),0,
         IF(OFFSET(CRONOPLE!$F$15,$M391-$A$15,BE$13)=0,10^12,OFFSET(CRONOPLE!$F$15,$M391-$A$15,BE$13)))</f>
        <v>3</v>
      </c>
      <c r="BF391" s="171">
        <f ca="1">IF(OR($D391&lt;&gt;"Serviço",AND(AUTOEVENTO="Manual",$M391=$A$15)),0,
         IF(OFFSET(CRONOPLE!$F$15,$M391-$A$15,BF$13)=0,10^12,OFFSET(CRONOPLE!$F$15,$M391-$A$15,BF$13)))</f>
        <v>4</v>
      </c>
      <c r="BG391" s="171">
        <f ca="1">IF(OR($D391&lt;&gt;"Serviço",AND(AUTOEVENTO="Manual",$M391=$A$15)),0,
         IF(OFFSET(CRONOPLE!$F$15,$M391-$A$15,BG$13)=0,10^12,OFFSET(CRONOPLE!$F$15,$M391-$A$15,BG$13)))</f>
        <v>5</v>
      </c>
      <c r="BH391" s="171">
        <f ca="1">IF(OR($D391&lt;&gt;"Serviço",AND(AUTOEVENTO="Manual",$M391=$A$15)),0,
         IF(OFFSET(CRONOPLE!$F$15,$M391-$A$15,BH$13)=0,10^12,OFFSET(CRONOPLE!$F$15,$M391-$A$15,BH$13)))</f>
        <v>6</v>
      </c>
      <c r="BI391" s="171">
        <f ca="1">IF(OR($D391&lt;&gt;"Serviço",AND(AUTOEVENTO="Manual",$M391=$A$15)),0,
         IF(OFFSET(CRONOPLE!$F$15,$M391-$A$15,BI$13)=0,10^12,OFFSET(CRONOPLE!$F$15,$M391-$A$15,BI$13)))</f>
        <v>7</v>
      </c>
      <c r="BJ391" s="171">
        <f ca="1">IF(OR($D391&lt;&gt;"Serviço",AND(AUTOEVENTO="Manual",$M391=$A$15)),0,
         IF(OFFSET(CRONOPLE!$F$15,$M391-$A$15,BJ$13)=0,10^12,OFFSET(CRONOPLE!$F$15,$M391-$A$15,BJ$13)))</f>
        <v>8</v>
      </c>
      <c r="BK391" s="171">
        <f ca="1">IF(OR($D391&lt;&gt;"Serviço",AND(AUTOEVENTO="Manual",$M391=$A$15)),0,
         IF(OFFSET(CRONOPLE!$F$15,$M391-$A$15,BK$13)=0,10^12,OFFSET(CRONOPLE!$F$15,$M391-$A$15,BK$13)))</f>
        <v>9</v>
      </c>
      <c r="BL391" s="171">
        <f ca="1">IF(OR($D391&lt;&gt;"Serviço",AND(AUTOEVENTO="Manual",$M391=$A$15)),0,
         IF(OFFSET(CRONOPLE!$F$15,$M391-$A$15,BL$13)=0,10^12,OFFSET(CRONOPLE!$F$15,$M391-$A$15,BL$13)))</f>
        <v>1000000000000</v>
      </c>
      <c r="BM391" s="171">
        <f ca="1">IF(OR($D391&lt;&gt;"Serviço",AND(AUTOEVENTO="Manual",$M391=$A$15)),0,
         IF(OFFSET(CRONOPLE!$F$15,$M391-$A$15,BM$13)=0,10^12,OFFSET(CRONOPLE!$F$15,$M391-$A$15,BM$13)))</f>
        <v>1000000000000</v>
      </c>
      <c r="BN391" s="171">
        <f ca="1">IF(OR($D391&lt;&gt;"Serviço",AND(AUTOEVENTO="Manual",$M391=$A$15)),0,
         IF(OFFSET(CRONOPLE!$F$15,$M391-$A$15,BN$13)=0,10^12,OFFSET(CRONOPLE!$F$15,$M391-$A$15,BN$13)))</f>
        <v>1000000000000</v>
      </c>
      <c r="BO391" s="171">
        <f ca="1">IF(OR($D391&lt;&gt;"Serviço",AND(AUTOEVENTO="Manual",$M391=$A$15)),0,
         IF(OFFSET(CRONOPLE!$F$15,$M391-$A$15,BO$13)=0,10^12,OFFSET(CRONOPLE!$F$15,$M391-$A$15,BO$13)))</f>
        <v>1000000000000</v>
      </c>
      <c r="BP391" s="171">
        <f ca="1">IF(OR($D391&lt;&gt;"Serviço",AND(AUTOEVENTO="Manual",$M391=$A$15)),0,
         IF(OFFSET(CRONOPLE!$F$15,$M391-$A$15,BP$13)=0,10^12,OFFSET(CRONOPLE!$F$15,$M391-$A$15,BP$13)))</f>
        <v>1000000000000</v>
      </c>
      <c r="BQ391" s="171">
        <f ca="1">IF(OR($D391&lt;&gt;"Serviço",AND(AUTOEVENTO="Manual",$M391=$A$15)),0,
         IF(OFFSET(CRONOPLE!$F$15,$M391-$A$15,BQ$13)=0,10^12,OFFSET(CRONOPLE!$F$15,$M391-$A$15,BQ$13)))</f>
        <v>1000000000000</v>
      </c>
      <c r="BR391" s="171">
        <f ca="1">IF(OR($D391&lt;&gt;"Serviço",AND(AUTOEVENTO="Manual",$M391=$A$15)),0,
         IF(OFFSET(CRONOPLE!$F$15,$M391-$A$15,BR$13)=0,10^12,OFFSET(CRONOPLE!$F$15,$M391-$A$15,BR$13)))</f>
        <v>1000000000000</v>
      </c>
      <c r="BS391" s="171">
        <f ca="1">IF(OR($D391&lt;&gt;"Serviço",AND(AUTOEVENTO="Manual",$M391=$A$15)),0,
         IF(OFFSET(CRONOPLE!$F$15,$M391-$A$15,BS$13)=0,10^12,OFFSET(CRONOPLE!$F$15,$M391-$A$15,BS$13)))</f>
        <v>1000000000000</v>
      </c>
      <c r="BT391" s="171">
        <f ca="1">IF(OR($D391&lt;&gt;"Serviço",AND(AUTOEVENTO="Manual",$M391=$A$15)),0,
         IF(OFFSET(CRONOPLE!$F$15,$M391-$A$15,BT$13)=0,10^12,OFFSET(CRONOPLE!$F$15,$M391-$A$15,BT$13)))</f>
        <v>1000000000000</v>
      </c>
      <c r="BV391" s="172">
        <f ca="1">IF(OR($D391&lt;&gt;"Serviço",AND(AUTOEVENTO="Manual",$M391=$A$15),$M391&gt;(ROW(PLE.lastrow)-ROW(PLE.firstrow))),0,
           IF(OFFSET(PLE!$G$15,$M391-$A$15,BV$13)="",10^12,OFFSET(PLE!$G$15,$M391-$A$15,BV$13)))</f>
        <v>1000000000000</v>
      </c>
      <c r="BW391" s="172">
        <f ca="1">IF(OR($D391&lt;&gt;"Serviço",AND(AUTOEVENTO="Manual",$M391=$A$15),$M391&gt;(ROW(PLE.lastrow)-ROW(PLE.firstrow))),0,
           IF(OFFSET(PLE!$G$15,$M391-$A$15,BW$13)="",10^12,OFFSET(PLE!$G$15,$M391-$A$15,BW$13)))</f>
        <v>1000000000000</v>
      </c>
      <c r="BX391" s="172">
        <f ca="1">IF(OR($D391&lt;&gt;"Serviço",AND(AUTOEVENTO="Manual",$M391=$A$15),$M391&gt;(ROW(PLE.lastrow)-ROW(PLE.firstrow))),0,
           IF(OFFSET(PLE!$G$15,$M391-$A$15,BX$13)="",10^12,OFFSET(PLE!$G$15,$M391-$A$15,BX$13)))</f>
        <v>1000000000000</v>
      </c>
      <c r="BY391" s="172">
        <f ca="1">IF(OR($D391&lt;&gt;"Serviço",AND(AUTOEVENTO="Manual",$M391=$A$15),$M391&gt;(ROW(PLE.lastrow)-ROW(PLE.firstrow))),0,
           IF(OFFSET(PLE!$G$15,$M391-$A$15,BY$13)="",10^12,OFFSET(PLE!$G$15,$M391-$A$15,BY$13)))</f>
        <v>1000000000000</v>
      </c>
      <c r="BZ391" s="172">
        <f ca="1">IF(OR($D391&lt;&gt;"Serviço",AND(AUTOEVENTO="Manual",$M391=$A$15),$M391&gt;(ROW(PLE.lastrow)-ROW(PLE.firstrow))),0,
           IF(OFFSET(PLE!$G$15,$M391-$A$15,BZ$13)="",10^12,OFFSET(PLE!$G$15,$M391-$A$15,BZ$13)))</f>
        <v>1000000000000</v>
      </c>
      <c r="CA391" s="172">
        <f ca="1">IF(OR($D391&lt;&gt;"Serviço",AND(AUTOEVENTO="Manual",$M391=$A$15),$M391&gt;(ROW(PLE.lastrow)-ROW(PLE.firstrow))),0,
           IF(OFFSET(PLE!$G$15,$M391-$A$15,CA$13)="",10^12,OFFSET(PLE!$G$15,$M391-$A$15,CA$13)))</f>
        <v>1000000000000</v>
      </c>
      <c r="CB391" s="172">
        <f ca="1">IF(OR($D391&lt;&gt;"Serviço",AND(AUTOEVENTO="Manual",$M391=$A$15),$M391&gt;(ROW(PLE.lastrow)-ROW(PLE.firstrow))),0,
           IF(OFFSET(PLE!$G$15,$M391-$A$15,CB$13)="",10^12,OFFSET(PLE!$G$15,$M391-$A$15,CB$13)))</f>
        <v>1000000000000</v>
      </c>
      <c r="CC391" s="172">
        <f ca="1">IF(OR($D391&lt;&gt;"Serviço",AND(AUTOEVENTO="Manual",$M391=$A$15),$M391&gt;(ROW(PLE.lastrow)-ROW(PLE.firstrow))),0,
           IF(OFFSET(PLE!$G$15,$M391-$A$15,CC$13)="",10^12,OFFSET(PLE!$G$15,$M391-$A$15,CC$13)))</f>
        <v>1000000000000</v>
      </c>
      <c r="CD391" s="172">
        <f ca="1">IF(OR($D391&lt;&gt;"Serviço",AND(AUTOEVENTO="Manual",$M391=$A$15),$M391&gt;(ROW(PLE.lastrow)-ROW(PLE.firstrow))),0,
           IF(OFFSET(PLE!$G$15,$M391-$A$15,CD$13)="",10^12,OFFSET(PLE!$G$15,$M391-$A$15,CD$13)))</f>
        <v>1000000000000</v>
      </c>
      <c r="CE391" s="172">
        <f ca="1">IF(OR($D391&lt;&gt;"Serviço",AND(AUTOEVENTO="Manual",$M391=$A$15),$M391&gt;(ROW(PLE.lastrow)-ROW(PLE.firstrow))),0,
           IF(OFFSET(PLE!$G$15,$M391-$A$15,CE$13)="",10^12,OFFSET(PLE!$G$15,$M391-$A$15,CE$13)))</f>
        <v>1000000000000</v>
      </c>
      <c r="CF391" s="172">
        <f ca="1">IF(OR($D391&lt;&gt;"Serviço",AND(AUTOEVENTO="Manual",$M391=$A$15),$M391&gt;(ROW(PLE.lastrow)-ROW(PLE.firstrow))),0,
           IF(OFFSET(PLE!$G$15,$M391-$A$15,CF$13)="",10^12,OFFSET(PLE!$G$15,$M391-$A$15,CF$13)))</f>
        <v>1000000000000</v>
      </c>
      <c r="CG391" s="172">
        <f ca="1">IF(OR($D391&lt;&gt;"Serviço",AND(AUTOEVENTO="Manual",$M391=$A$15),$M391&gt;(ROW(PLE.lastrow)-ROW(PLE.firstrow))),0,
           IF(OFFSET(PLE!$G$15,$M391-$A$15,CG$13)="",10^12,OFFSET(PLE!$G$15,$M391-$A$15,CG$13)))</f>
        <v>1000000000000</v>
      </c>
      <c r="CH391" s="172">
        <f ca="1">IF(OR($D391&lt;&gt;"Serviço",AND(AUTOEVENTO="Manual",$M391=$A$15),$M391&gt;(ROW(PLE.lastrow)-ROW(PLE.firstrow))),0,
           IF(OFFSET(PLE!$G$15,$M391-$A$15,CH$13)="",10^12,OFFSET(PLE!$G$15,$M391-$A$15,CH$13)))</f>
        <v>1000000000000</v>
      </c>
      <c r="CI391" s="172">
        <f ca="1">IF(OR($D391&lt;&gt;"Serviço",AND(AUTOEVENTO="Manual",$M391=$A$15),$M391&gt;(ROW(PLE.lastrow)-ROW(PLE.firstrow))),0,
           IF(OFFSET(PLE!$G$15,$M391-$A$15,CI$13)="",10^12,OFFSET(PLE!$G$15,$M391-$A$15,CI$13)))</f>
        <v>1000000000000</v>
      </c>
      <c r="CJ391" s="172">
        <f ca="1">IF(OR($D391&lt;&gt;"Serviço",AND(AUTOEVENTO="Manual",$M391=$A$15),$M391&gt;(ROW(PLE.lastrow)-ROW(PLE.firstrow))),0,
           IF(OFFSET(PLE!$G$15,$M391-$A$15,CJ$13)="",10^12,OFFSET(PLE!$G$15,$M391-$A$15,CJ$13)))</f>
        <v>1000000000000</v>
      </c>
      <c r="CK391" s="172">
        <f ca="1">IF(OR($D391&lt;&gt;"Serviço",AND(AUTOEVENTO="Manual",$M391=$A$15),$M391&gt;(ROW(PLE.lastrow)-ROW(PLE.firstrow))),0,
           IF(OFFSET(PLE!$G$15,$M391-$A$15,CK$13)="",10^12,OFFSET(PLE!$G$15,$M391-$A$15,CK$13)))</f>
        <v>1000000000000</v>
      </c>
      <c r="CL391" s="172">
        <f ca="1">IF(OR($D391&lt;&gt;"Serviço",AND(AUTOEVENTO="Manual",$M391=$A$15),$M391&gt;(ROW(PLE.lastrow)-ROW(PLE.firstrow))),0,
           IF(OFFSET(PLE!$G$15,$M391-$A$15,CL$13)="",10^12,OFFSET(PLE!$G$15,$M391-$A$15,CL$13)))</f>
        <v>1000000000000</v>
      </c>
      <c r="CM391" s="172">
        <f ca="1">IF(OR($D391&lt;&gt;"Serviço",AND(AUTOEVENTO="Manual",$M391=$A$15),$M391&gt;(ROW(PLE.lastrow)-ROW(PLE.firstrow))),0,
           IF(OFFSET(PLE!$G$15,$M391-$A$15,CM$13)="",10^12,OFFSET(PLE!$G$15,$M391-$A$15,CM$13)))</f>
        <v>1000000000000</v>
      </c>
    </row>
    <row r="392" spans="1:91" ht="38.25" x14ac:dyDescent="0.2">
      <c r="A392" s="7">
        <f t="shared" ca="1" si="15"/>
        <v>7</v>
      </c>
      <c r="B392" s="7" t="str">
        <f ca="1">OFFSET(ORÇAMENTO!C$15,ROW(B392)-ROW(B$15),0)</f>
        <v>S</v>
      </c>
      <c r="C392" s="7" t="str">
        <f ca="1">OFFSET(ORÇAMENTO!L$15,ROW(C392)-ROW(C$15),0)</f>
        <v>F</v>
      </c>
      <c r="D392" s="116" t="str">
        <f ca="1">OFFSET(ORÇAMENTO!N$15,ROW(D392)-ROW(D$15),0)</f>
        <v>Serviço</v>
      </c>
      <c r="E392" s="117" t="str">
        <f ca="1">OFFSET(ORÇAMENTO!O$15,ROW(E392)-ROW(E$15),0)</f>
        <v>1.8.2.1.7.</v>
      </c>
      <c r="F392" s="163" t="str">
        <f ca="1">OFFSET(ORÇAMENTO!R$15,ROW(F392)-ROW(F$15),0)</f>
        <v>DUTO CORRUGADO EM PEAD (POLIETILENO DE ALTA DENSIDADE), PARA PROTEÇÃO DE CABOS SUBTERRÂNEOS DN 40 MM (1.1/2")</v>
      </c>
      <c r="G392" s="164" t="str">
        <f ca="1">IF($D392&lt;&gt;"Serviço","",OFFSET(ORÇAMENTO!S$15,ROW(G392)-ROW(G$15),0))</f>
        <v>M</v>
      </c>
      <c r="H392" s="122" cm="1">
        <f t="array" aca="1" ref="H392" ca="1">IF($D392&lt;&gt;"Serviço",0,IF(ACOMPANHAMENTO="BM",ROUND(OFFSET(ORÇAMENTO!AJ$15,ROW(H392)-ROW(H$15),0),15-13*ORÇAMENTO!$AF$7),SUMPRODUCT(($Q$1:$AI$1=1)*ROUND($Q392:$AI392,15-13*ORÇAMENTO!$AF$7))))</f>
        <v>30</v>
      </c>
      <c r="I392" s="468" t="s">
        <v>1431</v>
      </c>
      <c r="J392" s="640" t="str" cm="1">
        <f t="array" aca="1" ref="J392" ca="1">IF(OR(B392&lt;&gt;"S",CÁLCULO.FrentesPreenchidas=0),"",IF(AND(ACOMPANHAMENTO="PLE",AUTOEVENTO="Manual",OR(H392&gt;0,ORÇAMENTO!AC392="QUANT."),OR(K392="",M392=0,N392="")),"►E",IF(AND(ACOMPANHAMENTO="PLE",ORÇAMENTO!AC392="QUANT."),"►Q",IF(AND(ACOMPANHAMENTO="PLE",H392&lt;&gt;SUMPRODUCT(($Q$1:$AI$1=1)*ROUND(Q392:AI392,15))),"►S",IF(AND(COUNTIF($P$11:$AI$11,"▼")=0,H392&gt;0,I392=""),"◄M","")))))</f>
        <v/>
      </c>
      <c r="K392" s="641" t="s">
        <v>1391</v>
      </c>
      <c r="L392" s="165" t="s">
        <v>764</v>
      </c>
      <c r="M392" s="166">
        <f ca="1">IF($D392&lt;&gt;"Serviço","",
          IF(AUTOEVENTO="manual",$A392,
                IF(ISERROR(MATCH($A392,$A$15:OFFSET($A392,-1,0),0)),MAX($M$15:OFFSET(M392,-1,0))+1,
                      INDEX($M$15:OFFSET(M392,-1,0),MATCH($A392,$A$15:OFFSET($A392,-1,0),0)))))</f>
        <v>7</v>
      </c>
      <c r="N392" s="167" t="str">
        <f ca="1">IF($D392&lt;&gt;"Serviço","",
         IF(AUTOEVENTO="Manual",
                IF($A392=0,"&lt;-- defina o número do agrupador",
                       OFFSET(EVENTOS!$D$15,$A392-$A$15,0)),
                OFFSET($F$15,$A392,0)))</f>
        <v>Instalações Elétricas</v>
      </c>
      <c r="O392" s="168"/>
      <c r="Q392" s="168"/>
      <c r="R392" s="169"/>
      <c r="S392" s="169"/>
      <c r="T392" s="169"/>
      <c r="U392" s="169"/>
      <c r="V392" s="169"/>
      <c r="W392" s="169"/>
      <c r="X392" s="169">
        <v>30</v>
      </c>
      <c r="Y392" s="169"/>
      <c r="Z392" s="170"/>
      <c r="AA392" s="169"/>
      <c r="AB392" s="169"/>
      <c r="AC392" s="169"/>
      <c r="AD392" s="169"/>
      <c r="AE392" s="169"/>
      <c r="AF392" s="169"/>
      <c r="AG392" s="169"/>
      <c r="AH392" s="170"/>
      <c r="AJ392" s="453">
        <f ca="1">IF(AND($D392="Serviço",AJ$12&lt;&gt;0,$H392&gt;0,OR(AUTOEVENTO&lt;&gt;"manual",$M392&lt;&gt;$A$15)),
        IF(Import.TipoArredondamento&lt;&gt;"TransfereGOV",
              ROUND(OFFSET($P392,0,AJ$13),15-13*ORÇAMENTO!$AF$7)/$H392*OFFSET(ORÇAMENTO!$X$15,ROW(AJ392)-ROW(AJ$15),0),
              ROUND(ROUND(OFFSET($P392,0,AJ$13),15-13*ORÇAMENTO!$AF$7)*OFFSET(ORÇAMENTO!$W$15,ROW(AJ392)-ROW(AJ$15),0),15-13*ORÇAMENTO!$AF$11)),
         0)</f>
        <v>0</v>
      </c>
      <c r="AK392" s="453">
        <f ca="1">IF(AND($D392="Serviço",AK$12&lt;&gt;0,$H392&gt;0,OR(AUTOEVENTO&lt;&gt;"manual",$M392&lt;&gt;$A$15)),
        IF(Import.TipoArredondamento&lt;&gt;"TransfereGOV",
              ROUND(OFFSET($P392,0,AK$13),15-13*ORÇAMENTO!$AF$7)/$H392*OFFSET(ORÇAMENTO!$X$15,ROW(AK392)-ROW(AK$15),0),
              ROUND(ROUND(OFFSET($P392,0,AK$13),15-13*ORÇAMENTO!$AF$7)*OFFSET(ORÇAMENTO!$W$15,ROW(AK392)-ROW(AK$15),0),15-13*ORÇAMENTO!$AF$11)),
         0)</f>
        <v>0</v>
      </c>
      <c r="AL392" s="453">
        <f ca="1">IF(AND($D392="Serviço",AL$12&lt;&gt;0,$H392&gt;0,OR(AUTOEVENTO&lt;&gt;"manual",$M392&lt;&gt;$A$15)),
        IF(Import.TipoArredondamento&lt;&gt;"TransfereGOV",
              ROUND(OFFSET($P392,0,AL$13),15-13*ORÇAMENTO!$AF$7)/$H392*OFFSET(ORÇAMENTO!$X$15,ROW(AL392)-ROW(AL$15),0),
              ROUND(ROUND(OFFSET($P392,0,AL$13),15-13*ORÇAMENTO!$AF$7)*OFFSET(ORÇAMENTO!$W$15,ROW(AL392)-ROW(AL$15),0),15-13*ORÇAMENTO!$AF$11)),
         0)</f>
        <v>0</v>
      </c>
      <c r="AM392" s="453">
        <f ca="1">IF(AND($D392="Serviço",AM$12&lt;&gt;0,$H392&gt;0,OR(AUTOEVENTO&lt;&gt;"manual",$M392&lt;&gt;$A$15)),
        IF(Import.TipoArredondamento&lt;&gt;"TransfereGOV",
              ROUND(OFFSET($P392,0,AM$13),15-13*ORÇAMENTO!$AF$7)/$H392*OFFSET(ORÇAMENTO!$X$15,ROW(AM392)-ROW(AM$15),0),
              ROUND(ROUND(OFFSET($P392,0,AM$13),15-13*ORÇAMENTO!$AF$7)*OFFSET(ORÇAMENTO!$W$15,ROW(AM392)-ROW(AM$15),0),15-13*ORÇAMENTO!$AF$11)),
         0)</f>
        <v>0</v>
      </c>
      <c r="AN392" s="453">
        <f ca="1">IF(AND($D392="Serviço",AN$12&lt;&gt;0,$H392&gt;0,OR(AUTOEVENTO&lt;&gt;"manual",$M392&lt;&gt;$A$15)),
        IF(Import.TipoArredondamento&lt;&gt;"TransfereGOV",
              ROUND(OFFSET($P392,0,AN$13),15-13*ORÇAMENTO!$AF$7)/$H392*OFFSET(ORÇAMENTO!$X$15,ROW(AN392)-ROW(AN$15),0),
              ROUND(ROUND(OFFSET($P392,0,AN$13),15-13*ORÇAMENTO!$AF$7)*OFFSET(ORÇAMENTO!$W$15,ROW(AN392)-ROW(AN$15),0),15-13*ORÇAMENTO!$AF$11)),
         0)</f>
        <v>0</v>
      </c>
      <c r="AO392" s="453">
        <f ca="1">IF(AND($D392="Serviço",AO$12&lt;&gt;0,$H392&gt;0,OR(AUTOEVENTO&lt;&gt;"manual",$M392&lt;&gt;$A$15)),
        IF(Import.TipoArredondamento&lt;&gt;"TransfereGOV",
              ROUND(OFFSET($P392,0,AO$13),15-13*ORÇAMENTO!$AF$7)/$H392*OFFSET(ORÇAMENTO!$X$15,ROW(AO392)-ROW(AO$15),0),
              ROUND(ROUND(OFFSET($P392,0,AO$13),15-13*ORÇAMENTO!$AF$7)*OFFSET(ORÇAMENTO!$W$15,ROW(AO392)-ROW(AO$15),0),15-13*ORÇAMENTO!$AF$11)),
         0)</f>
        <v>0</v>
      </c>
      <c r="AP392" s="453">
        <f ca="1">IF(AND($D392="Serviço",AP$12&lt;&gt;0,$H392&gt;0,OR(AUTOEVENTO&lt;&gt;"manual",$M392&lt;&gt;$A$15)),
        IF(Import.TipoArredondamento&lt;&gt;"TransfereGOV",
              ROUND(OFFSET($P392,0,AP$13),15-13*ORÇAMENTO!$AF$7)/$H392*OFFSET(ORÇAMENTO!$X$15,ROW(AP392)-ROW(AP$15),0),
              ROUND(ROUND(OFFSET($P392,0,AP$13),15-13*ORÇAMENTO!$AF$7)*OFFSET(ORÇAMENTO!$W$15,ROW(AP392)-ROW(AP$15),0),15-13*ORÇAMENTO!$AF$11)),
         0)</f>
        <v>0</v>
      </c>
      <c r="AQ392" s="453">
        <f ca="1">IF(AND($D392="Serviço",AQ$12&lt;&gt;0,$H392&gt;0,OR(AUTOEVENTO&lt;&gt;"manual",$M392&lt;&gt;$A$15)),
        IF(Import.TipoArredondamento&lt;&gt;"TransfereGOV",
              ROUND(OFFSET($P392,0,AQ$13),15-13*ORÇAMENTO!$AF$7)/$H392*OFFSET(ORÇAMENTO!$X$15,ROW(AQ392)-ROW(AQ$15),0),
              ROUND(ROUND(OFFSET($P392,0,AQ$13),15-13*ORÇAMENTO!$AF$7)*OFFSET(ORÇAMENTO!$W$15,ROW(AQ392)-ROW(AQ$15),0),15-13*ORÇAMENTO!$AF$11)),
         0)</f>
        <v>0</v>
      </c>
      <c r="AR392" s="453">
        <f ca="1">IF(AND($D392="Serviço",AR$12&lt;&gt;0,$H392&gt;0,OR(AUTOEVENTO&lt;&gt;"manual",$M392&lt;&gt;$A$15)),
        IF(Import.TipoArredondamento&lt;&gt;"TransfereGOV",
              ROUND(OFFSET($P392,0,AR$13),15-13*ORÇAMENTO!$AF$7)/$H392*OFFSET(ORÇAMENTO!$X$15,ROW(AR392)-ROW(AR$15),0),
              ROUND(ROUND(OFFSET($P392,0,AR$13),15-13*ORÇAMENTO!$AF$7)*OFFSET(ORÇAMENTO!$W$15,ROW(AR392)-ROW(AR$15),0),15-13*ORÇAMENTO!$AF$11)),
         0)</f>
        <v>0</v>
      </c>
      <c r="AS392" s="453">
        <f ca="1">IF(AND($D392="Serviço",AS$12&lt;&gt;0,$H392&gt;0,OR(AUTOEVENTO&lt;&gt;"manual",$M392&lt;&gt;$A$15)),
        IF(Import.TipoArredondamento&lt;&gt;"TransfereGOV",
              ROUND(OFFSET($P392,0,AS$13),15-13*ORÇAMENTO!$AF$7)/$H392*OFFSET(ORÇAMENTO!$X$15,ROW(AS392)-ROW(AS$15),0),
              ROUND(ROUND(OFFSET($P392,0,AS$13),15-13*ORÇAMENTO!$AF$7)*OFFSET(ORÇAMENTO!$W$15,ROW(AS392)-ROW(AS$15),0),15-13*ORÇAMENTO!$AF$11)),
         0)</f>
        <v>0</v>
      </c>
      <c r="AT392" s="453">
        <f ca="1">IF(AND($D392="Serviço",AT$12&lt;&gt;0,$H392&gt;0,OR(AUTOEVENTO&lt;&gt;"manual",$M392&lt;&gt;$A$15)),
        IF(Import.TipoArredondamento&lt;&gt;"TransfereGOV",
              ROUND(OFFSET($P392,0,AT$13),15-13*ORÇAMENTO!$AF$7)/$H392*OFFSET(ORÇAMENTO!$X$15,ROW(AT392)-ROW(AT$15),0),
              ROUND(ROUND(OFFSET($P392,0,AT$13),15-13*ORÇAMENTO!$AF$7)*OFFSET(ORÇAMENTO!$W$15,ROW(AT392)-ROW(AT$15),0),15-13*ORÇAMENTO!$AF$11)),
         0)</f>
        <v>0</v>
      </c>
      <c r="AU392" s="453">
        <f ca="1">IF(AND($D392="Serviço",AU$12&lt;&gt;0,$H392&gt;0,OR(AUTOEVENTO&lt;&gt;"manual",$M392&lt;&gt;$A$15)),
        IF(Import.TipoArredondamento&lt;&gt;"TransfereGOV",
              ROUND(OFFSET($P392,0,AU$13),15-13*ORÇAMENTO!$AF$7)/$H392*OFFSET(ORÇAMENTO!$X$15,ROW(AU392)-ROW(AU$15),0),
              ROUND(ROUND(OFFSET($P392,0,AU$13),15-13*ORÇAMENTO!$AF$7)*OFFSET(ORÇAMENTO!$W$15,ROW(AU392)-ROW(AU$15),0),15-13*ORÇAMENTO!$AF$11)),
         0)</f>
        <v>0</v>
      </c>
      <c r="AV392" s="453">
        <f ca="1">IF(AND($D392="Serviço",AV$12&lt;&gt;0,$H392&gt;0,OR(AUTOEVENTO&lt;&gt;"manual",$M392&lt;&gt;$A$15)),
        IF(Import.TipoArredondamento&lt;&gt;"TransfereGOV",
              ROUND(OFFSET($P392,0,AV$13),15-13*ORÇAMENTO!$AF$7)/$H392*OFFSET(ORÇAMENTO!$X$15,ROW(AV392)-ROW(AV$15),0),
              ROUND(ROUND(OFFSET($P392,0,AV$13),15-13*ORÇAMENTO!$AF$7)*OFFSET(ORÇAMENTO!$W$15,ROW(AV392)-ROW(AV$15),0),15-13*ORÇAMENTO!$AF$11)),
         0)</f>
        <v>0</v>
      </c>
      <c r="AW392" s="453">
        <f ca="1">IF(AND($D392="Serviço",AW$12&lt;&gt;0,$H392&gt;0,OR(AUTOEVENTO&lt;&gt;"manual",$M392&lt;&gt;$A$15)),
        IF(Import.TipoArredondamento&lt;&gt;"TransfereGOV",
              ROUND(OFFSET($P392,0,AW$13),15-13*ORÇAMENTO!$AF$7)/$H392*OFFSET(ORÇAMENTO!$X$15,ROW(AW392)-ROW(AW$15),0),
              ROUND(ROUND(OFFSET($P392,0,AW$13),15-13*ORÇAMENTO!$AF$7)*OFFSET(ORÇAMENTO!$W$15,ROW(AW392)-ROW(AW$15),0),15-13*ORÇAMENTO!$AF$11)),
         0)</f>
        <v>0</v>
      </c>
      <c r="AX392" s="453">
        <f ca="1">IF(AND($D392="Serviço",AX$12&lt;&gt;0,$H392&gt;0,OR(AUTOEVENTO&lt;&gt;"manual",$M392&lt;&gt;$A$15)),
        IF(Import.TipoArredondamento&lt;&gt;"TransfereGOV",
              ROUND(OFFSET($P392,0,AX$13),15-13*ORÇAMENTO!$AF$7)/$H392*OFFSET(ORÇAMENTO!$X$15,ROW(AX392)-ROW(AX$15),0),
              ROUND(ROUND(OFFSET($P392,0,AX$13),15-13*ORÇAMENTO!$AF$7)*OFFSET(ORÇAMENTO!$W$15,ROW(AX392)-ROW(AX$15),0),15-13*ORÇAMENTO!$AF$11)),
         0)</f>
        <v>0</v>
      </c>
      <c r="AY392" s="453">
        <f ca="1">IF(AND($D392="Serviço",AY$12&lt;&gt;0,$H392&gt;0,OR(AUTOEVENTO&lt;&gt;"manual",$M392&lt;&gt;$A$15)),
        IF(Import.TipoArredondamento&lt;&gt;"TransfereGOV",
              ROUND(OFFSET($P392,0,AY$13),15-13*ORÇAMENTO!$AF$7)/$H392*OFFSET(ORÇAMENTO!$X$15,ROW(AY392)-ROW(AY$15),0),
              ROUND(ROUND(OFFSET($P392,0,AY$13),15-13*ORÇAMENTO!$AF$7)*OFFSET(ORÇAMENTO!$W$15,ROW(AY392)-ROW(AY$15),0),15-13*ORÇAMENTO!$AF$11)),
         0)</f>
        <v>0</v>
      </c>
      <c r="AZ392" s="453">
        <f ca="1">IF(AND($D392="Serviço",AZ$12&lt;&gt;0,$H392&gt;0,OR(AUTOEVENTO&lt;&gt;"manual",$M392&lt;&gt;$A$15)),
        IF(Import.TipoArredondamento&lt;&gt;"TransfereGOV",
              ROUND(OFFSET($P392,0,AZ$13),15-13*ORÇAMENTO!$AF$7)/$H392*OFFSET(ORÇAMENTO!$X$15,ROW(AZ392)-ROW(AZ$15),0),
              ROUND(ROUND(OFFSET($P392,0,AZ$13),15-13*ORÇAMENTO!$AF$7)*OFFSET(ORÇAMENTO!$W$15,ROW(AZ392)-ROW(AZ$15),0),15-13*ORÇAMENTO!$AF$11)),
         0)</f>
        <v>0</v>
      </c>
      <c r="BA392" s="453">
        <f ca="1">IF(AND($D392="Serviço",BA$12&lt;&gt;0,$H392&gt;0,OR(AUTOEVENTO&lt;&gt;"manual",$M392&lt;&gt;$A$15)),
        IF(Import.TipoArredondamento&lt;&gt;"TransfereGOV",
              ROUND(OFFSET($P392,0,BA$13),15-13*ORÇAMENTO!$AF$7)/$H392*OFFSET(ORÇAMENTO!$X$15,ROW(BA392)-ROW(BA$15),0),
              ROUND(ROUND(OFFSET($P392,0,BA$13),15-13*ORÇAMENTO!$AF$7)*OFFSET(ORÇAMENTO!$W$15,ROW(BA392)-ROW(BA$15),0),15-13*ORÇAMENTO!$AF$11)),
         0)</f>
        <v>0</v>
      </c>
      <c r="BC392" s="171">
        <f ca="1">IF(OR($D392&lt;&gt;"Serviço",AND(AUTOEVENTO="Manual",$M392=$A$15)),0,
         IF(OFFSET(CRONOPLE!$F$15,$M392-$A$15,BC$13)=0,10^12,OFFSET(CRONOPLE!$F$15,$M392-$A$15,BC$13)))</f>
        <v>1</v>
      </c>
      <c r="BD392" s="171">
        <f ca="1">IF(OR($D392&lt;&gt;"Serviço",AND(AUTOEVENTO="Manual",$M392=$A$15)),0,
         IF(OFFSET(CRONOPLE!$F$15,$M392-$A$15,BD$13)=0,10^12,OFFSET(CRONOPLE!$F$15,$M392-$A$15,BD$13)))</f>
        <v>2</v>
      </c>
      <c r="BE392" s="171">
        <f ca="1">IF(OR($D392&lt;&gt;"Serviço",AND(AUTOEVENTO="Manual",$M392=$A$15)),0,
         IF(OFFSET(CRONOPLE!$F$15,$M392-$A$15,BE$13)=0,10^12,OFFSET(CRONOPLE!$F$15,$M392-$A$15,BE$13)))</f>
        <v>3</v>
      </c>
      <c r="BF392" s="171">
        <f ca="1">IF(OR($D392&lt;&gt;"Serviço",AND(AUTOEVENTO="Manual",$M392=$A$15)),0,
         IF(OFFSET(CRONOPLE!$F$15,$M392-$A$15,BF$13)=0,10^12,OFFSET(CRONOPLE!$F$15,$M392-$A$15,BF$13)))</f>
        <v>4</v>
      </c>
      <c r="BG392" s="171">
        <f ca="1">IF(OR($D392&lt;&gt;"Serviço",AND(AUTOEVENTO="Manual",$M392=$A$15)),0,
         IF(OFFSET(CRONOPLE!$F$15,$M392-$A$15,BG$13)=0,10^12,OFFSET(CRONOPLE!$F$15,$M392-$A$15,BG$13)))</f>
        <v>5</v>
      </c>
      <c r="BH392" s="171">
        <f ca="1">IF(OR($D392&lt;&gt;"Serviço",AND(AUTOEVENTO="Manual",$M392=$A$15)),0,
         IF(OFFSET(CRONOPLE!$F$15,$M392-$A$15,BH$13)=0,10^12,OFFSET(CRONOPLE!$F$15,$M392-$A$15,BH$13)))</f>
        <v>6</v>
      </c>
      <c r="BI392" s="171">
        <f ca="1">IF(OR($D392&lt;&gt;"Serviço",AND(AUTOEVENTO="Manual",$M392=$A$15)),0,
         IF(OFFSET(CRONOPLE!$F$15,$M392-$A$15,BI$13)=0,10^12,OFFSET(CRONOPLE!$F$15,$M392-$A$15,BI$13)))</f>
        <v>7</v>
      </c>
      <c r="BJ392" s="171">
        <f ca="1">IF(OR($D392&lt;&gt;"Serviço",AND(AUTOEVENTO="Manual",$M392=$A$15)),0,
         IF(OFFSET(CRONOPLE!$F$15,$M392-$A$15,BJ$13)=0,10^12,OFFSET(CRONOPLE!$F$15,$M392-$A$15,BJ$13)))</f>
        <v>8</v>
      </c>
      <c r="BK392" s="171">
        <f ca="1">IF(OR($D392&lt;&gt;"Serviço",AND(AUTOEVENTO="Manual",$M392=$A$15)),0,
         IF(OFFSET(CRONOPLE!$F$15,$M392-$A$15,BK$13)=0,10^12,OFFSET(CRONOPLE!$F$15,$M392-$A$15,BK$13)))</f>
        <v>9</v>
      </c>
      <c r="BL392" s="171">
        <f ca="1">IF(OR($D392&lt;&gt;"Serviço",AND(AUTOEVENTO="Manual",$M392=$A$15)),0,
         IF(OFFSET(CRONOPLE!$F$15,$M392-$A$15,BL$13)=0,10^12,OFFSET(CRONOPLE!$F$15,$M392-$A$15,BL$13)))</f>
        <v>1000000000000</v>
      </c>
      <c r="BM392" s="171">
        <f ca="1">IF(OR($D392&lt;&gt;"Serviço",AND(AUTOEVENTO="Manual",$M392=$A$15)),0,
         IF(OFFSET(CRONOPLE!$F$15,$M392-$A$15,BM$13)=0,10^12,OFFSET(CRONOPLE!$F$15,$M392-$A$15,BM$13)))</f>
        <v>1000000000000</v>
      </c>
      <c r="BN392" s="171">
        <f ca="1">IF(OR($D392&lt;&gt;"Serviço",AND(AUTOEVENTO="Manual",$M392=$A$15)),0,
         IF(OFFSET(CRONOPLE!$F$15,$M392-$A$15,BN$13)=0,10^12,OFFSET(CRONOPLE!$F$15,$M392-$A$15,BN$13)))</f>
        <v>1000000000000</v>
      </c>
      <c r="BO392" s="171">
        <f ca="1">IF(OR($D392&lt;&gt;"Serviço",AND(AUTOEVENTO="Manual",$M392=$A$15)),0,
         IF(OFFSET(CRONOPLE!$F$15,$M392-$A$15,BO$13)=0,10^12,OFFSET(CRONOPLE!$F$15,$M392-$A$15,BO$13)))</f>
        <v>1000000000000</v>
      </c>
      <c r="BP392" s="171">
        <f ca="1">IF(OR($D392&lt;&gt;"Serviço",AND(AUTOEVENTO="Manual",$M392=$A$15)),0,
         IF(OFFSET(CRONOPLE!$F$15,$M392-$A$15,BP$13)=0,10^12,OFFSET(CRONOPLE!$F$15,$M392-$A$15,BP$13)))</f>
        <v>1000000000000</v>
      </c>
      <c r="BQ392" s="171">
        <f ca="1">IF(OR($D392&lt;&gt;"Serviço",AND(AUTOEVENTO="Manual",$M392=$A$15)),0,
         IF(OFFSET(CRONOPLE!$F$15,$M392-$A$15,BQ$13)=0,10^12,OFFSET(CRONOPLE!$F$15,$M392-$A$15,BQ$13)))</f>
        <v>1000000000000</v>
      </c>
      <c r="BR392" s="171">
        <f ca="1">IF(OR($D392&lt;&gt;"Serviço",AND(AUTOEVENTO="Manual",$M392=$A$15)),0,
         IF(OFFSET(CRONOPLE!$F$15,$M392-$A$15,BR$13)=0,10^12,OFFSET(CRONOPLE!$F$15,$M392-$A$15,BR$13)))</f>
        <v>1000000000000</v>
      </c>
      <c r="BS392" s="171">
        <f ca="1">IF(OR($D392&lt;&gt;"Serviço",AND(AUTOEVENTO="Manual",$M392=$A$15)),0,
         IF(OFFSET(CRONOPLE!$F$15,$M392-$A$15,BS$13)=0,10^12,OFFSET(CRONOPLE!$F$15,$M392-$A$15,BS$13)))</f>
        <v>1000000000000</v>
      </c>
      <c r="BT392" s="171">
        <f ca="1">IF(OR($D392&lt;&gt;"Serviço",AND(AUTOEVENTO="Manual",$M392=$A$15)),0,
         IF(OFFSET(CRONOPLE!$F$15,$M392-$A$15,BT$13)=0,10^12,OFFSET(CRONOPLE!$F$15,$M392-$A$15,BT$13)))</f>
        <v>1000000000000</v>
      </c>
      <c r="BV392" s="172">
        <f ca="1">IF(OR($D392&lt;&gt;"Serviço",AND(AUTOEVENTO="Manual",$M392=$A$15),$M392&gt;(ROW(PLE.lastrow)-ROW(PLE.firstrow))),0,
           IF(OFFSET(PLE!$G$15,$M392-$A$15,BV$13)="",10^12,OFFSET(PLE!$G$15,$M392-$A$15,BV$13)))</f>
        <v>1000000000000</v>
      </c>
      <c r="BW392" s="172">
        <f ca="1">IF(OR($D392&lt;&gt;"Serviço",AND(AUTOEVENTO="Manual",$M392=$A$15),$M392&gt;(ROW(PLE.lastrow)-ROW(PLE.firstrow))),0,
           IF(OFFSET(PLE!$G$15,$M392-$A$15,BW$13)="",10^12,OFFSET(PLE!$G$15,$M392-$A$15,BW$13)))</f>
        <v>1000000000000</v>
      </c>
      <c r="BX392" s="172">
        <f ca="1">IF(OR($D392&lt;&gt;"Serviço",AND(AUTOEVENTO="Manual",$M392=$A$15),$M392&gt;(ROW(PLE.lastrow)-ROW(PLE.firstrow))),0,
           IF(OFFSET(PLE!$G$15,$M392-$A$15,BX$13)="",10^12,OFFSET(PLE!$G$15,$M392-$A$15,BX$13)))</f>
        <v>1000000000000</v>
      </c>
      <c r="BY392" s="172">
        <f ca="1">IF(OR($D392&lt;&gt;"Serviço",AND(AUTOEVENTO="Manual",$M392=$A$15),$M392&gt;(ROW(PLE.lastrow)-ROW(PLE.firstrow))),0,
           IF(OFFSET(PLE!$G$15,$M392-$A$15,BY$13)="",10^12,OFFSET(PLE!$G$15,$M392-$A$15,BY$13)))</f>
        <v>1000000000000</v>
      </c>
      <c r="BZ392" s="172">
        <f ca="1">IF(OR($D392&lt;&gt;"Serviço",AND(AUTOEVENTO="Manual",$M392=$A$15),$M392&gt;(ROW(PLE.lastrow)-ROW(PLE.firstrow))),0,
           IF(OFFSET(PLE!$G$15,$M392-$A$15,BZ$13)="",10^12,OFFSET(PLE!$G$15,$M392-$A$15,BZ$13)))</f>
        <v>1000000000000</v>
      </c>
      <c r="CA392" s="172">
        <f ca="1">IF(OR($D392&lt;&gt;"Serviço",AND(AUTOEVENTO="Manual",$M392=$A$15),$M392&gt;(ROW(PLE.lastrow)-ROW(PLE.firstrow))),0,
           IF(OFFSET(PLE!$G$15,$M392-$A$15,CA$13)="",10^12,OFFSET(PLE!$G$15,$M392-$A$15,CA$13)))</f>
        <v>1000000000000</v>
      </c>
      <c r="CB392" s="172">
        <f ca="1">IF(OR($D392&lt;&gt;"Serviço",AND(AUTOEVENTO="Manual",$M392=$A$15),$M392&gt;(ROW(PLE.lastrow)-ROW(PLE.firstrow))),0,
           IF(OFFSET(PLE!$G$15,$M392-$A$15,CB$13)="",10^12,OFFSET(PLE!$G$15,$M392-$A$15,CB$13)))</f>
        <v>1000000000000</v>
      </c>
      <c r="CC392" s="172">
        <f ca="1">IF(OR($D392&lt;&gt;"Serviço",AND(AUTOEVENTO="Manual",$M392=$A$15),$M392&gt;(ROW(PLE.lastrow)-ROW(PLE.firstrow))),0,
           IF(OFFSET(PLE!$G$15,$M392-$A$15,CC$13)="",10^12,OFFSET(PLE!$G$15,$M392-$A$15,CC$13)))</f>
        <v>1000000000000</v>
      </c>
      <c r="CD392" s="172">
        <f ca="1">IF(OR($D392&lt;&gt;"Serviço",AND(AUTOEVENTO="Manual",$M392=$A$15),$M392&gt;(ROW(PLE.lastrow)-ROW(PLE.firstrow))),0,
           IF(OFFSET(PLE!$G$15,$M392-$A$15,CD$13)="",10^12,OFFSET(PLE!$G$15,$M392-$A$15,CD$13)))</f>
        <v>1000000000000</v>
      </c>
      <c r="CE392" s="172">
        <f ca="1">IF(OR($D392&lt;&gt;"Serviço",AND(AUTOEVENTO="Manual",$M392=$A$15),$M392&gt;(ROW(PLE.lastrow)-ROW(PLE.firstrow))),0,
           IF(OFFSET(PLE!$G$15,$M392-$A$15,CE$13)="",10^12,OFFSET(PLE!$G$15,$M392-$A$15,CE$13)))</f>
        <v>1000000000000</v>
      </c>
      <c r="CF392" s="172">
        <f ca="1">IF(OR($D392&lt;&gt;"Serviço",AND(AUTOEVENTO="Manual",$M392=$A$15),$M392&gt;(ROW(PLE.lastrow)-ROW(PLE.firstrow))),0,
           IF(OFFSET(PLE!$G$15,$M392-$A$15,CF$13)="",10^12,OFFSET(PLE!$G$15,$M392-$A$15,CF$13)))</f>
        <v>1000000000000</v>
      </c>
      <c r="CG392" s="172">
        <f ca="1">IF(OR($D392&lt;&gt;"Serviço",AND(AUTOEVENTO="Manual",$M392=$A$15),$M392&gt;(ROW(PLE.lastrow)-ROW(PLE.firstrow))),0,
           IF(OFFSET(PLE!$G$15,$M392-$A$15,CG$13)="",10^12,OFFSET(PLE!$G$15,$M392-$A$15,CG$13)))</f>
        <v>1000000000000</v>
      </c>
      <c r="CH392" s="172">
        <f ca="1">IF(OR($D392&lt;&gt;"Serviço",AND(AUTOEVENTO="Manual",$M392=$A$15),$M392&gt;(ROW(PLE.lastrow)-ROW(PLE.firstrow))),0,
           IF(OFFSET(PLE!$G$15,$M392-$A$15,CH$13)="",10^12,OFFSET(PLE!$G$15,$M392-$A$15,CH$13)))</f>
        <v>1000000000000</v>
      </c>
      <c r="CI392" s="172">
        <f ca="1">IF(OR($D392&lt;&gt;"Serviço",AND(AUTOEVENTO="Manual",$M392=$A$15),$M392&gt;(ROW(PLE.lastrow)-ROW(PLE.firstrow))),0,
           IF(OFFSET(PLE!$G$15,$M392-$A$15,CI$13)="",10^12,OFFSET(PLE!$G$15,$M392-$A$15,CI$13)))</f>
        <v>1000000000000</v>
      </c>
      <c r="CJ392" s="172">
        <f ca="1">IF(OR($D392&lt;&gt;"Serviço",AND(AUTOEVENTO="Manual",$M392=$A$15),$M392&gt;(ROW(PLE.lastrow)-ROW(PLE.firstrow))),0,
           IF(OFFSET(PLE!$G$15,$M392-$A$15,CJ$13)="",10^12,OFFSET(PLE!$G$15,$M392-$A$15,CJ$13)))</f>
        <v>1000000000000</v>
      </c>
      <c r="CK392" s="172">
        <f ca="1">IF(OR($D392&lt;&gt;"Serviço",AND(AUTOEVENTO="Manual",$M392=$A$15),$M392&gt;(ROW(PLE.lastrow)-ROW(PLE.firstrow))),0,
           IF(OFFSET(PLE!$G$15,$M392-$A$15,CK$13)="",10^12,OFFSET(PLE!$G$15,$M392-$A$15,CK$13)))</f>
        <v>1000000000000</v>
      </c>
      <c r="CL392" s="172">
        <f ca="1">IF(OR($D392&lt;&gt;"Serviço",AND(AUTOEVENTO="Manual",$M392=$A$15),$M392&gt;(ROW(PLE.lastrow)-ROW(PLE.firstrow))),0,
           IF(OFFSET(PLE!$G$15,$M392-$A$15,CL$13)="",10^12,OFFSET(PLE!$G$15,$M392-$A$15,CL$13)))</f>
        <v>1000000000000</v>
      </c>
      <c r="CM392" s="172">
        <f ca="1">IF(OR($D392&lt;&gt;"Serviço",AND(AUTOEVENTO="Manual",$M392=$A$15),$M392&gt;(ROW(PLE.lastrow)-ROW(PLE.firstrow))),0,
           IF(OFFSET(PLE!$G$15,$M392-$A$15,CM$13)="",10^12,OFFSET(PLE!$G$15,$M392-$A$15,CM$13)))</f>
        <v>1000000000000</v>
      </c>
    </row>
    <row r="393" spans="1:91" ht="38.25" x14ac:dyDescent="0.2">
      <c r="A393" s="7">
        <f t="shared" ca="1" si="15"/>
        <v>7</v>
      </c>
      <c r="B393" s="7" t="str">
        <f ca="1">OFFSET(ORÇAMENTO!C$15,ROW(B393)-ROW(B$15),0)</f>
        <v>S</v>
      </c>
      <c r="C393" s="7" t="str">
        <f ca="1">OFFSET(ORÇAMENTO!L$15,ROW(C393)-ROW(C$15),0)</f>
        <v>F</v>
      </c>
      <c r="D393" s="116" t="str">
        <f ca="1">OFFSET(ORÇAMENTO!N$15,ROW(D393)-ROW(D$15),0)</f>
        <v>Serviço</v>
      </c>
      <c r="E393" s="117" t="str">
        <f ca="1">OFFSET(ORÇAMENTO!O$15,ROW(E393)-ROW(E$15),0)</f>
        <v>1.8.2.1.8.</v>
      </c>
      <c r="F393" s="163" t="str">
        <f ca="1">OFFSET(ORÇAMENTO!R$15,ROW(F393)-ROW(F$15),0)</f>
        <v>DUTO CORRUGADO EM PEAD (POLIETILENO DE ALTA DENSIDADE), PARA PROTEÇÃO DE CABOS SUBTERRÂNEOS DN 75 MM (3")</v>
      </c>
      <c r="G393" s="164" t="str">
        <f ca="1">IF($D393&lt;&gt;"Serviço","",OFFSET(ORÇAMENTO!S$15,ROW(G393)-ROW(G$15),0))</f>
        <v>M</v>
      </c>
      <c r="H393" s="122" cm="1">
        <f t="array" aca="1" ref="H393" ca="1">IF($D393&lt;&gt;"Serviço",0,IF(ACOMPANHAMENTO="BM",ROUND(OFFSET(ORÇAMENTO!AJ$15,ROW(H393)-ROW(H$15),0),15-13*ORÇAMENTO!$AF$7),SUMPRODUCT(($Q$1:$AI$1=1)*ROUND($Q393:$AI393,15-13*ORÇAMENTO!$AF$7))))</f>
        <v>116</v>
      </c>
      <c r="I393" s="468" t="s">
        <v>1431</v>
      </c>
      <c r="J393" s="640" t="str" cm="1">
        <f t="array" aca="1" ref="J393" ca="1">IF(OR(B393&lt;&gt;"S",CÁLCULO.FrentesPreenchidas=0),"",IF(AND(ACOMPANHAMENTO="PLE",AUTOEVENTO="Manual",OR(H393&gt;0,ORÇAMENTO!AC393="QUANT."),OR(K393="",M393=0,N393="")),"►E",IF(AND(ACOMPANHAMENTO="PLE",ORÇAMENTO!AC393="QUANT."),"►Q",IF(AND(ACOMPANHAMENTO="PLE",H393&lt;&gt;SUMPRODUCT(($Q$1:$AI$1=1)*ROUND(Q393:AI393,15))),"►S",IF(AND(COUNTIF($P$11:$AI$11,"▼")=0,H393&gt;0,I393=""),"◄M","")))))</f>
        <v/>
      </c>
      <c r="K393" s="641" t="s">
        <v>1391</v>
      </c>
      <c r="L393" s="165" t="s">
        <v>764</v>
      </c>
      <c r="M393" s="166">
        <f ca="1">IF($D393&lt;&gt;"Serviço","",
          IF(AUTOEVENTO="manual",$A393,
                IF(ISERROR(MATCH($A393,$A$15:OFFSET($A393,-1,0),0)),MAX($M$15:OFFSET(M393,-1,0))+1,
                      INDEX($M$15:OFFSET(M393,-1,0),MATCH($A393,$A$15:OFFSET($A393,-1,0),0)))))</f>
        <v>7</v>
      </c>
      <c r="N393" s="167" t="str">
        <f ca="1">IF($D393&lt;&gt;"Serviço","",
         IF(AUTOEVENTO="Manual",
                IF($A393=0,"&lt;-- defina o número do agrupador",
                       OFFSET(EVENTOS!$D$15,$A393-$A$15,0)),
                OFFSET($F$15,$A393,0)))</f>
        <v>Instalações Elétricas</v>
      </c>
      <c r="O393" s="168"/>
      <c r="Q393" s="168"/>
      <c r="R393" s="169"/>
      <c r="S393" s="169"/>
      <c r="T393" s="169"/>
      <c r="U393" s="169"/>
      <c r="V393" s="169"/>
      <c r="W393" s="169"/>
      <c r="X393" s="169">
        <v>116</v>
      </c>
      <c r="Y393" s="169"/>
      <c r="Z393" s="170"/>
      <c r="AA393" s="169"/>
      <c r="AB393" s="169"/>
      <c r="AC393" s="169"/>
      <c r="AD393" s="169"/>
      <c r="AE393" s="169"/>
      <c r="AF393" s="169"/>
      <c r="AG393" s="169"/>
      <c r="AH393" s="170"/>
      <c r="AJ393" s="453">
        <f ca="1">IF(AND($D393="Serviço",AJ$12&lt;&gt;0,$H393&gt;0,OR(AUTOEVENTO&lt;&gt;"manual",$M393&lt;&gt;$A$15)),
        IF(Import.TipoArredondamento&lt;&gt;"TransfereGOV",
              ROUND(OFFSET($P393,0,AJ$13),15-13*ORÇAMENTO!$AF$7)/$H393*OFFSET(ORÇAMENTO!$X$15,ROW(AJ393)-ROW(AJ$15),0),
              ROUND(ROUND(OFFSET($P393,0,AJ$13),15-13*ORÇAMENTO!$AF$7)*OFFSET(ORÇAMENTO!$W$15,ROW(AJ393)-ROW(AJ$15),0),15-13*ORÇAMENTO!$AF$11)),
         0)</f>
        <v>0</v>
      </c>
      <c r="AK393" s="453">
        <f ca="1">IF(AND($D393="Serviço",AK$12&lt;&gt;0,$H393&gt;0,OR(AUTOEVENTO&lt;&gt;"manual",$M393&lt;&gt;$A$15)),
        IF(Import.TipoArredondamento&lt;&gt;"TransfereGOV",
              ROUND(OFFSET($P393,0,AK$13),15-13*ORÇAMENTO!$AF$7)/$H393*OFFSET(ORÇAMENTO!$X$15,ROW(AK393)-ROW(AK$15),0),
              ROUND(ROUND(OFFSET($P393,0,AK$13),15-13*ORÇAMENTO!$AF$7)*OFFSET(ORÇAMENTO!$W$15,ROW(AK393)-ROW(AK$15),0),15-13*ORÇAMENTO!$AF$11)),
         0)</f>
        <v>0</v>
      </c>
      <c r="AL393" s="453">
        <f ca="1">IF(AND($D393="Serviço",AL$12&lt;&gt;0,$H393&gt;0,OR(AUTOEVENTO&lt;&gt;"manual",$M393&lt;&gt;$A$15)),
        IF(Import.TipoArredondamento&lt;&gt;"TransfereGOV",
              ROUND(OFFSET($P393,0,AL$13),15-13*ORÇAMENTO!$AF$7)/$H393*OFFSET(ORÇAMENTO!$X$15,ROW(AL393)-ROW(AL$15),0),
              ROUND(ROUND(OFFSET($P393,0,AL$13),15-13*ORÇAMENTO!$AF$7)*OFFSET(ORÇAMENTO!$W$15,ROW(AL393)-ROW(AL$15),0),15-13*ORÇAMENTO!$AF$11)),
         0)</f>
        <v>0</v>
      </c>
      <c r="AM393" s="453">
        <f ca="1">IF(AND($D393="Serviço",AM$12&lt;&gt;0,$H393&gt;0,OR(AUTOEVENTO&lt;&gt;"manual",$M393&lt;&gt;$A$15)),
        IF(Import.TipoArredondamento&lt;&gt;"TransfereGOV",
              ROUND(OFFSET($P393,0,AM$13),15-13*ORÇAMENTO!$AF$7)/$H393*OFFSET(ORÇAMENTO!$X$15,ROW(AM393)-ROW(AM$15),0),
              ROUND(ROUND(OFFSET($P393,0,AM$13),15-13*ORÇAMENTO!$AF$7)*OFFSET(ORÇAMENTO!$W$15,ROW(AM393)-ROW(AM$15),0),15-13*ORÇAMENTO!$AF$11)),
         0)</f>
        <v>0</v>
      </c>
      <c r="AN393" s="453">
        <f ca="1">IF(AND($D393="Serviço",AN$12&lt;&gt;0,$H393&gt;0,OR(AUTOEVENTO&lt;&gt;"manual",$M393&lt;&gt;$A$15)),
        IF(Import.TipoArredondamento&lt;&gt;"TransfereGOV",
              ROUND(OFFSET($P393,0,AN$13),15-13*ORÇAMENTO!$AF$7)/$H393*OFFSET(ORÇAMENTO!$X$15,ROW(AN393)-ROW(AN$15),0),
              ROUND(ROUND(OFFSET($P393,0,AN$13),15-13*ORÇAMENTO!$AF$7)*OFFSET(ORÇAMENTO!$W$15,ROW(AN393)-ROW(AN$15),0),15-13*ORÇAMENTO!$AF$11)),
         0)</f>
        <v>0</v>
      </c>
      <c r="AO393" s="453">
        <f ca="1">IF(AND($D393="Serviço",AO$12&lt;&gt;0,$H393&gt;0,OR(AUTOEVENTO&lt;&gt;"manual",$M393&lt;&gt;$A$15)),
        IF(Import.TipoArredondamento&lt;&gt;"TransfereGOV",
              ROUND(OFFSET($P393,0,AO$13),15-13*ORÇAMENTO!$AF$7)/$H393*OFFSET(ORÇAMENTO!$X$15,ROW(AO393)-ROW(AO$15),0),
              ROUND(ROUND(OFFSET($P393,0,AO$13),15-13*ORÇAMENTO!$AF$7)*OFFSET(ORÇAMENTO!$W$15,ROW(AO393)-ROW(AO$15),0),15-13*ORÇAMENTO!$AF$11)),
         0)</f>
        <v>0</v>
      </c>
      <c r="AP393" s="453">
        <f ca="1">IF(AND($D393="Serviço",AP$12&lt;&gt;0,$H393&gt;0,OR(AUTOEVENTO&lt;&gt;"manual",$M393&lt;&gt;$A$15)),
        IF(Import.TipoArredondamento&lt;&gt;"TransfereGOV",
              ROUND(OFFSET($P393,0,AP$13),15-13*ORÇAMENTO!$AF$7)/$H393*OFFSET(ORÇAMENTO!$X$15,ROW(AP393)-ROW(AP$15),0),
              ROUND(ROUND(OFFSET($P393,0,AP$13),15-13*ORÇAMENTO!$AF$7)*OFFSET(ORÇAMENTO!$W$15,ROW(AP393)-ROW(AP$15),0),15-13*ORÇAMENTO!$AF$11)),
         0)</f>
        <v>0</v>
      </c>
      <c r="AQ393" s="453">
        <f ca="1">IF(AND($D393="Serviço",AQ$12&lt;&gt;0,$H393&gt;0,OR(AUTOEVENTO&lt;&gt;"manual",$M393&lt;&gt;$A$15)),
        IF(Import.TipoArredondamento&lt;&gt;"TransfereGOV",
              ROUND(OFFSET($P393,0,AQ$13),15-13*ORÇAMENTO!$AF$7)/$H393*OFFSET(ORÇAMENTO!$X$15,ROW(AQ393)-ROW(AQ$15),0),
              ROUND(ROUND(OFFSET($P393,0,AQ$13),15-13*ORÇAMENTO!$AF$7)*OFFSET(ORÇAMENTO!$W$15,ROW(AQ393)-ROW(AQ$15),0),15-13*ORÇAMENTO!$AF$11)),
         0)</f>
        <v>0</v>
      </c>
      <c r="AR393" s="453">
        <f ca="1">IF(AND($D393="Serviço",AR$12&lt;&gt;0,$H393&gt;0,OR(AUTOEVENTO&lt;&gt;"manual",$M393&lt;&gt;$A$15)),
        IF(Import.TipoArredondamento&lt;&gt;"TransfereGOV",
              ROUND(OFFSET($P393,0,AR$13),15-13*ORÇAMENTO!$AF$7)/$H393*OFFSET(ORÇAMENTO!$X$15,ROW(AR393)-ROW(AR$15),0),
              ROUND(ROUND(OFFSET($P393,0,AR$13),15-13*ORÇAMENTO!$AF$7)*OFFSET(ORÇAMENTO!$W$15,ROW(AR393)-ROW(AR$15),0),15-13*ORÇAMENTO!$AF$11)),
         0)</f>
        <v>0</v>
      </c>
      <c r="AS393" s="453">
        <f ca="1">IF(AND($D393="Serviço",AS$12&lt;&gt;0,$H393&gt;0,OR(AUTOEVENTO&lt;&gt;"manual",$M393&lt;&gt;$A$15)),
        IF(Import.TipoArredondamento&lt;&gt;"TransfereGOV",
              ROUND(OFFSET($P393,0,AS$13),15-13*ORÇAMENTO!$AF$7)/$H393*OFFSET(ORÇAMENTO!$X$15,ROW(AS393)-ROW(AS$15),0),
              ROUND(ROUND(OFFSET($P393,0,AS$13),15-13*ORÇAMENTO!$AF$7)*OFFSET(ORÇAMENTO!$W$15,ROW(AS393)-ROW(AS$15),0),15-13*ORÇAMENTO!$AF$11)),
         0)</f>
        <v>0</v>
      </c>
      <c r="AT393" s="453">
        <f ca="1">IF(AND($D393="Serviço",AT$12&lt;&gt;0,$H393&gt;0,OR(AUTOEVENTO&lt;&gt;"manual",$M393&lt;&gt;$A$15)),
        IF(Import.TipoArredondamento&lt;&gt;"TransfereGOV",
              ROUND(OFFSET($P393,0,AT$13),15-13*ORÇAMENTO!$AF$7)/$H393*OFFSET(ORÇAMENTO!$X$15,ROW(AT393)-ROW(AT$15),0),
              ROUND(ROUND(OFFSET($P393,0,AT$13),15-13*ORÇAMENTO!$AF$7)*OFFSET(ORÇAMENTO!$W$15,ROW(AT393)-ROW(AT$15),0),15-13*ORÇAMENTO!$AF$11)),
         0)</f>
        <v>0</v>
      </c>
      <c r="AU393" s="453">
        <f ca="1">IF(AND($D393="Serviço",AU$12&lt;&gt;0,$H393&gt;0,OR(AUTOEVENTO&lt;&gt;"manual",$M393&lt;&gt;$A$15)),
        IF(Import.TipoArredondamento&lt;&gt;"TransfereGOV",
              ROUND(OFFSET($P393,0,AU$13),15-13*ORÇAMENTO!$AF$7)/$H393*OFFSET(ORÇAMENTO!$X$15,ROW(AU393)-ROW(AU$15),0),
              ROUND(ROUND(OFFSET($P393,0,AU$13),15-13*ORÇAMENTO!$AF$7)*OFFSET(ORÇAMENTO!$W$15,ROW(AU393)-ROW(AU$15),0),15-13*ORÇAMENTO!$AF$11)),
         0)</f>
        <v>0</v>
      </c>
      <c r="AV393" s="453">
        <f ca="1">IF(AND($D393="Serviço",AV$12&lt;&gt;0,$H393&gt;0,OR(AUTOEVENTO&lt;&gt;"manual",$M393&lt;&gt;$A$15)),
        IF(Import.TipoArredondamento&lt;&gt;"TransfereGOV",
              ROUND(OFFSET($P393,0,AV$13),15-13*ORÇAMENTO!$AF$7)/$H393*OFFSET(ORÇAMENTO!$X$15,ROW(AV393)-ROW(AV$15),0),
              ROUND(ROUND(OFFSET($P393,0,AV$13),15-13*ORÇAMENTO!$AF$7)*OFFSET(ORÇAMENTO!$W$15,ROW(AV393)-ROW(AV$15),0),15-13*ORÇAMENTO!$AF$11)),
         0)</f>
        <v>0</v>
      </c>
      <c r="AW393" s="453">
        <f ca="1">IF(AND($D393="Serviço",AW$12&lt;&gt;0,$H393&gt;0,OR(AUTOEVENTO&lt;&gt;"manual",$M393&lt;&gt;$A$15)),
        IF(Import.TipoArredondamento&lt;&gt;"TransfereGOV",
              ROUND(OFFSET($P393,0,AW$13),15-13*ORÇAMENTO!$AF$7)/$H393*OFFSET(ORÇAMENTO!$X$15,ROW(AW393)-ROW(AW$15),0),
              ROUND(ROUND(OFFSET($P393,0,AW$13),15-13*ORÇAMENTO!$AF$7)*OFFSET(ORÇAMENTO!$W$15,ROW(AW393)-ROW(AW$15),0),15-13*ORÇAMENTO!$AF$11)),
         0)</f>
        <v>0</v>
      </c>
      <c r="AX393" s="453">
        <f ca="1">IF(AND($D393="Serviço",AX$12&lt;&gt;0,$H393&gt;0,OR(AUTOEVENTO&lt;&gt;"manual",$M393&lt;&gt;$A$15)),
        IF(Import.TipoArredondamento&lt;&gt;"TransfereGOV",
              ROUND(OFFSET($P393,0,AX$13),15-13*ORÇAMENTO!$AF$7)/$H393*OFFSET(ORÇAMENTO!$X$15,ROW(AX393)-ROW(AX$15),0),
              ROUND(ROUND(OFFSET($P393,0,AX$13),15-13*ORÇAMENTO!$AF$7)*OFFSET(ORÇAMENTO!$W$15,ROW(AX393)-ROW(AX$15),0),15-13*ORÇAMENTO!$AF$11)),
         0)</f>
        <v>0</v>
      </c>
      <c r="AY393" s="453">
        <f ca="1">IF(AND($D393="Serviço",AY$12&lt;&gt;0,$H393&gt;0,OR(AUTOEVENTO&lt;&gt;"manual",$M393&lt;&gt;$A$15)),
        IF(Import.TipoArredondamento&lt;&gt;"TransfereGOV",
              ROUND(OFFSET($P393,0,AY$13),15-13*ORÇAMENTO!$AF$7)/$H393*OFFSET(ORÇAMENTO!$X$15,ROW(AY393)-ROW(AY$15),0),
              ROUND(ROUND(OFFSET($P393,0,AY$13),15-13*ORÇAMENTO!$AF$7)*OFFSET(ORÇAMENTO!$W$15,ROW(AY393)-ROW(AY$15),0),15-13*ORÇAMENTO!$AF$11)),
         0)</f>
        <v>0</v>
      </c>
      <c r="AZ393" s="453">
        <f ca="1">IF(AND($D393="Serviço",AZ$12&lt;&gt;0,$H393&gt;0,OR(AUTOEVENTO&lt;&gt;"manual",$M393&lt;&gt;$A$15)),
        IF(Import.TipoArredondamento&lt;&gt;"TransfereGOV",
              ROUND(OFFSET($P393,0,AZ$13),15-13*ORÇAMENTO!$AF$7)/$H393*OFFSET(ORÇAMENTO!$X$15,ROW(AZ393)-ROW(AZ$15),0),
              ROUND(ROUND(OFFSET($P393,0,AZ$13),15-13*ORÇAMENTO!$AF$7)*OFFSET(ORÇAMENTO!$W$15,ROW(AZ393)-ROW(AZ$15),0),15-13*ORÇAMENTO!$AF$11)),
         0)</f>
        <v>0</v>
      </c>
      <c r="BA393" s="453">
        <f ca="1">IF(AND($D393="Serviço",BA$12&lt;&gt;0,$H393&gt;0,OR(AUTOEVENTO&lt;&gt;"manual",$M393&lt;&gt;$A$15)),
        IF(Import.TipoArredondamento&lt;&gt;"TransfereGOV",
              ROUND(OFFSET($P393,0,BA$13),15-13*ORÇAMENTO!$AF$7)/$H393*OFFSET(ORÇAMENTO!$X$15,ROW(BA393)-ROW(BA$15),0),
              ROUND(ROUND(OFFSET($P393,0,BA$13),15-13*ORÇAMENTO!$AF$7)*OFFSET(ORÇAMENTO!$W$15,ROW(BA393)-ROW(BA$15),0),15-13*ORÇAMENTO!$AF$11)),
         0)</f>
        <v>0</v>
      </c>
      <c r="BC393" s="171">
        <f ca="1">IF(OR($D393&lt;&gt;"Serviço",AND(AUTOEVENTO="Manual",$M393=$A$15)),0,
         IF(OFFSET(CRONOPLE!$F$15,$M393-$A$15,BC$13)=0,10^12,OFFSET(CRONOPLE!$F$15,$M393-$A$15,BC$13)))</f>
        <v>1</v>
      </c>
      <c r="BD393" s="171">
        <f ca="1">IF(OR($D393&lt;&gt;"Serviço",AND(AUTOEVENTO="Manual",$M393=$A$15)),0,
         IF(OFFSET(CRONOPLE!$F$15,$M393-$A$15,BD$13)=0,10^12,OFFSET(CRONOPLE!$F$15,$M393-$A$15,BD$13)))</f>
        <v>2</v>
      </c>
      <c r="BE393" s="171">
        <f ca="1">IF(OR($D393&lt;&gt;"Serviço",AND(AUTOEVENTO="Manual",$M393=$A$15)),0,
         IF(OFFSET(CRONOPLE!$F$15,$M393-$A$15,BE$13)=0,10^12,OFFSET(CRONOPLE!$F$15,$M393-$A$15,BE$13)))</f>
        <v>3</v>
      </c>
      <c r="BF393" s="171">
        <f ca="1">IF(OR($D393&lt;&gt;"Serviço",AND(AUTOEVENTO="Manual",$M393=$A$15)),0,
         IF(OFFSET(CRONOPLE!$F$15,$M393-$A$15,BF$13)=0,10^12,OFFSET(CRONOPLE!$F$15,$M393-$A$15,BF$13)))</f>
        <v>4</v>
      </c>
      <c r="BG393" s="171">
        <f ca="1">IF(OR($D393&lt;&gt;"Serviço",AND(AUTOEVENTO="Manual",$M393=$A$15)),0,
         IF(OFFSET(CRONOPLE!$F$15,$M393-$A$15,BG$13)=0,10^12,OFFSET(CRONOPLE!$F$15,$M393-$A$15,BG$13)))</f>
        <v>5</v>
      </c>
      <c r="BH393" s="171">
        <f ca="1">IF(OR($D393&lt;&gt;"Serviço",AND(AUTOEVENTO="Manual",$M393=$A$15)),0,
         IF(OFFSET(CRONOPLE!$F$15,$M393-$A$15,BH$13)=0,10^12,OFFSET(CRONOPLE!$F$15,$M393-$A$15,BH$13)))</f>
        <v>6</v>
      </c>
      <c r="BI393" s="171">
        <f ca="1">IF(OR($D393&lt;&gt;"Serviço",AND(AUTOEVENTO="Manual",$M393=$A$15)),0,
         IF(OFFSET(CRONOPLE!$F$15,$M393-$A$15,BI$13)=0,10^12,OFFSET(CRONOPLE!$F$15,$M393-$A$15,BI$13)))</f>
        <v>7</v>
      </c>
      <c r="BJ393" s="171">
        <f ca="1">IF(OR($D393&lt;&gt;"Serviço",AND(AUTOEVENTO="Manual",$M393=$A$15)),0,
         IF(OFFSET(CRONOPLE!$F$15,$M393-$A$15,BJ$13)=0,10^12,OFFSET(CRONOPLE!$F$15,$M393-$A$15,BJ$13)))</f>
        <v>8</v>
      </c>
      <c r="BK393" s="171">
        <f ca="1">IF(OR($D393&lt;&gt;"Serviço",AND(AUTOEVENTO="Manual",$M393=$A$15)),0,
         IF(OFFSET(CRONOPLE!$F$15,$M393-$A$15,BK$13)=0,10^12,OFFSET(CRONOPLE!$F$15,$M393-$A$15,BK$13)))</f>
        <v>9</v>
      </c>
      <c r="BL393" s="171">
        <f ca="1">IF(OR($D393&lt;&gt;"Serviço",AND(AUTOEVENTO="Manual",$M393=$A$15)),0,
         IF(OFFSET(CRONOPLE!$F$15,$M393-$A$15,BL$13)=0,10^12,OFFSET(CRONOPLE!$F$15,$M393-$A$15,BL$13)))</f>
        <v>1000000000000</v>
      </c>
      <c r="BM393" s="171">
        <f ca="1">IF(OR($D393&lt;&gt;"Serviço",AND(AUTOEVENTO="Manual",$M393=$A$15)),0,
         IF(OFFSET(CRONOPLE!$F$15,$M393-$A$15,BM$13)=0,10^12,OFFSET(CRONOPLE!$F$15,$M393-$A$15,BM$13)))</f>
        <v>1000000000000</v>
      </c>
      <c r="BN393" s="171">
        <f ca="1">IF(OR($D393&lt;&gt;"Serviço",AND(AUTOEVENTO="Manual",$M393=$A$15)),0,
         IF(OFFSET(CRONOPLE!$F$15,$M393-$A$15,BN$13)=0,10^12,OFFSET(CRONOPLE!$F$15,$M393-$A$15,BN$13)))</f>
        <v>1000000000000</v>
      </c>
      <c r="BO393" s="171">
        <f ca="1">IF(OR($D393&lt;&gt;"Serviço",AND(AUTOEVENTO="Manual",$M393=$A$15)),0,
         IF(OFFSET(CRONOPLE!$F$15,$M393-$A$15,BO$13)=0,10^12,OFFSET(CRONOPLE!$F$15,$M393-$A$15,BO$13)))</f>
        <v>1000000000000</v>
      </c>
      <c r="BP393" s="171">
        <f ca="1">IF(OR($D393&lt;&gt;"Serviço",AND(AUTOEVENTO="Manual",$M393=$A$15)),0,
         IF(OFFSET(CRONOPLE!$F$15,$M393-$A$15,BP$13)=0,10^12,OFFSET(CRONOPLE!$F$15,$M393-$A$15,BP$13)))</f>
        <v>1000000000000</v>
      </c>
      <c r="BQ393" s="171">
        <f ca="1">IF(OR($D393&lt;&gt;"Serviço",AND(AUTOEVENTO="Manual",$M393=$A$15)),0,
         IF(OFFSET(CRONOPLE!$F$15,$M393-$A$15,BQ$13)=0,10^12,OFFSET(CRONOPLE!$F$15,$M393-$A$15,BQ$13)))</f>
        <v>1000000000000</v>
      </c>
      <c r="BR393" s="171">
        <f ca="1">IF(OR($D393&lt;&gt;"Serviço",AND(AUTOEVENTO="Manual",$M393=$A$15)),0,
         IF(OFFSET(CRONOPLE!$F$15,$M393-$A$15,BR$13)=0,10^12,OFFSET(CRONOPLE!$F$15,$M393-$A$15,BR$13)))</f>
        <v>1000000000000</v>
      </c>
      <c r="BS393" s="171">
        <f ca="1">IF(OR($D393&lt;&gt;"Serviço",AND(AUTOEVENTO="Manual",$M393=$A$15)),0,
         IF(OFFSET(CRONOPLE!$F$15,$M393-$A$15,BS$13)=0,10^12,OFFSET(CRONOPLE!$F$15,$M393-$A$15,BS$13)))</f>
        <v>1000000000000</v>
      </c>
      <c r="BT393" s="171">
        <f ca="1">IF(OR($D393&lt;&gt;"Serviço",AND(AUTOEVENTO="Manual",$M393=$A$15)),0,
         IF(OFFSET(CRONOPLE!$F$15,$M393-$A$15,BT$13)=0,10^12,OFFSET(CRONOPLE!$F$15,$M393-$A$15,BT$13)))</f>
        <v>1000000000000</v>
      </c>
      <c r="BV393" s="172">
        <f ca="1">IF(OR($D393&lt;&gt;"Serviço",AND(AUTOEVENTO="Manual",$M393=$A$15),$M393&gt;(ROW(PLE.lastrow)-ROW(PLE.firstrow))),0,
           IF(OFFSET(PLE!$G$15,$M393-$A$15,BV$13)="",10^12,OFFSET(PLE!$G$15,$M393-$A$15,BV$13)))</f>
        <v>1000000000000</v>
      </c>
      <c r="BW393" s="172">
        <f ca="1">IF(OR($D393&lt;&gt;"Serviço",AND(AUTOEVENTO="Manual",$M393=$A$15),$M393&gt;(ROW(PLE.lastrow)-ROW(PLE.firstrow))),0,
           IF(OFFSET(PLE!$G$15,$M393-$A$15,BW$13)="",10^12,OFFSET(PLE!$G$15,$M393-$A$15,BW$13)))</f>
        <v>1000000000000</v>
      </c>
      <c r="BX393" s="172">
        <f ca="1">IF(OR($D393&lt;&gt;"Serviço",AND(AUTOEVENTO="Manual",$M393=$A$15),$M393&gt;(ROW(PLE.lastrow)-ROW(PLE.firstrow))),0,
           IF(OFFSET(PLE!$G$15,$M393-$A$15,BX$13)="",10^12,OFFSET(PLE!$G$15,$M393-$A$15,BX$13)))</f>
        <v>1000000000000</v>
      </c>
      <c r="BY393" s="172">
        <f ca="1">IF(OR($D393&lt;&gt;"Serviço",AND(AUTOEVENTO="Manual",$M393=$A$15),$M393&gt;(ROW(PLE.lastrow)-ROW(PLE.firstrow))),0,
           IF(OFFSET(PLE!$G$15,$M393-$A$15,BY$13)="",10^12,OFFSET(PLE!$G$15,$M393-$A$15,BY$13)))</f>
        <v>1000000000000</v>
      </c>
      <c r="BZ393" s="172">
        <f ca="1">IF(OR($D393&lt;&gt;"Serviço",AND(AUTOEVENTO="Manual",$M393=$A$15),$M393&gt;(ROW(PLE.lastrow)-ROW(PLE.firstrow))),0,
           IF(OFFSET(PLE!$G$15,$M393-$A$15,BZ$13)="",10^12,OFFSET(PLE!$G$15,$M393-$A$15,BZ$13)))</f>
        <v>1000000000000</v>
      </c>
      <c r="CA393" s="172">
        <f ca="1">IF(OR($D393&lt;&gt;"Serviço",AND(AUTOEVENTO="Manual",$M393=$A$15),$M393&gt;(ROW(PLE.lastrow)-ROW(PLE.firstrow))),0,
           IF(OFFSET(PLE!$G$15,$M393-$A$15,CA$13)="",10^12,OFFSET(PLE!$G$15,$M393-$A$15,CA$13)))</f>
        <v>1000000000000</v>
      </c>
      <c r="CB393" s="172">
        <f ca="1">IF(OR($D393&lt;&gt;"Serviço",AND(AUTOEVENTO="Manual",$M393=$A$15),$M393&gt;(ROW(PLE.lastrow)-ROW(PLE.firstrow))),0,
           IF(OFFSET(PLE!$G$15,$M393-$A$15,CB$13)="",10^12,OFFSET(PLE!$G$15,$M393-$A$15,CB$13)))</f>
        <v>1000000000000</v>
      </c>
      <c r="CC393" s="172">
        <f ca="1">IF(OR($D393&lt;&gt;"Serviço",AND(AUTOEVENTO="Manual",$M393=$A$15),$M393&gt;(ROW(PLE.lastrow)-ROW(PLE.firstrow))),0,
           IF(OFFSET(PLE!$G$15,$M393-$A$15,CC$13)="",10^12,OFFSET(PLE!$G$15,$M393-$A$15,CC$13)))</f>
        <v>1000000000000</v>
      </c>
      <c r="CD393" s="172">
        <f ca="1">IF(OR($D393&lt;&gt;"Serviço",AND(AUTOEVENTO="Manual",$M393=$A$15),$M393&gt;(ROW(PLE.lastrow)-ROW(PLE.firstrow))),0,
           IF(OFFSET(PLE!$G$15,$M393-$A$15,CD$13)="",10^12,OFFSET(PLE!$G$15,$M393-$A$15,CD$13)))</f>
        <v>1000000000000</v>
      </c>
      <c r="CE393" s="172">
        <f ca="1">IF(OR($D393&lt;&gt;"Serviço",AND(AUTOEVENTO="Manual",$M393=$A$15),$M393&gt;(ROW(PLE.lastrow)-ROW(PLE.firstrow))),0,
           IF(OFFSET(PLE!$G$15,$M393-$A$15,CE$13)="",10^12,OFFSET(PLE!$G$15,$M393-$A$15,CE$13)))</f>
        <v>1000000000000</v>
      </c>
      <c r="CF393" s="172">
        <f ca="1">IF(OR($D393&lt;&gt;"Serviço",AND(AUTOEVENTO="Manual",$M393=$A$15),$M393&gt;(ROW(PLE.lastrow)-ROW(PLE.firstrow))),0,
           IF(OFFSET(PLE!$G$15,$M393-$A$15,CF$13)="",10^12,OFFSET(PLE!$G$15,$M393-$A$15,CF$13)))</f>
        <v>1000000000000</v>
      </c>
      <c r="CG393" s="172">
        <f ca="1">IF(OR($D393&lt;&gt;"Serviço",AND(AUTOEVENTO="Manual",$M393=$A$15),$M393&gt;(ROW(PLE.lastrow)-ROW(PLE.firstrow))),0,
           IF(OFFSET(PLE!$G$15,$M393-$A$15,CG$13)="",10^12,OFFSET(PLE!$G$15,$M393-$A$15,CG$13)))</f>
        <v>1000000000000</v>
      </c>
      <c r="CH393" s="172">
        <f ca="1">IF(OR($D393&lt;&gt;"Serviço",AND(AUTOEVENTO="Manual",$M393=$A$15),$M393&gt;(ROW(PLE.lastrow)-ROW(PLE.firstrow))),0,
           IF(OFFSET(PLE!$G$15,$M393-$A$15,CH$13)="",10^12,OFFSET(PLE!$G$15,$M393-$A$15,CH$13)))</f>
        <v>1000000000000</v>
      </c>
      <c r="CI393" s="172">
        <f ca="1">IF(OR($D393&lt;&gt;"Serviço",AND(AUTOEVENTO="Manual",$M393=$A$15),$M393&gt;(ROW(PLE.lastrow)-ROW(PLE.firstrow))),0,
           IF(OFFSET(PLE!$G$15,$M393-$A$15,CI$13)="",10^12,OFFSET(PLE!$G$15,$M393-$A$15,CI$13)))</f>
        <v>1000000000000</v>
      </c>
      <c r="CJ393" s="172">
        <f ca="1">IF(OR($D393&lt;&gt;"Serviço",AND(AUTOEVENTO="Manual",$M393=$A$15),$M393&gt;(ROW(PLE.lastrow)-ROW(PLE.firstrow))),0,
           IF(OFFSET(PLE!$G$15,$M393-$A$15,CJ$13)="",10^12,OFFSET(PLE!$G$15,$M393-$A$15,CJ$13)))</f>
        <v>1000000000000</v>
      </c>
      <c r="CK393" s="172">
        <f ca="1">IF(OR($D393&lt;&gt;"Serviço",AND(AUTOEVENTO="Manual",$M393=$A$15),$M393&gt;(ROW(PLE.lastrow)-ROW(PLE.firstrow))),0,
           IF(OFFSET(PLE!$G$15,$M393-$A$15,CK$13)="",10^12,OFFSET(PLE!$G$15,$M393-$A$15,CK$13)))</f>
        <v>1000000000000</v>
      </c>
      <c r="CL393" s="172">
        <f ca="1">IF(OR($D393&lt;&gt;"Serviço",AND(AUTOEVENTO="Manual",$M393=$A$15),$M393&gt;(ROW(PLE.lastrow)-ROW(PLE.firstrow))),0,
           IF(OFFSET(PLE!$G$15,$M393-$A$15,CL$13)="",10^12,OFFSET(PLE!$G$15,$M393-$A$15,CL$13)))</f>
        <v>1000000000000</v>
      </c>
      <c r="CM393" s="172">
        <f ca="1">IF(OR($D393&lt;&gt;"Serviço",AND(AUTOEVENTO="Manual",$M393=$A$15),$M393&gt;(ROW(PLE.lastrow)-ROW(PLE.firstrow))),0,
           IF(OFFSET(PLE!$G$15,$M393-$A$15,CM$13)="",10^12,OFFSET(PLE!$G$15,$M393-$A$15,CM$13)))</f>
        <v>1000000000000</v>
      </c>
    </row>
    <row r="394" spans="1:91" ht="38.25" x14ac:dyDescent="0.2">
      <c r="A394" s="7">
        <f t="shared" ca="1" si="15"/>
        <v>7</v>
      </c>
      <c r="B394" s="7" t="str">
        <f ca="1">OFFSET(ORÇAMENTO!C$15,ROW(B394)-ROW(B$15),0)</f>
        <v>S</v>
      </c>
      <c r="C394" s="7" t="str">
        <f ca="1">OFFSET(ORÇAMENTO!L$15,ROW(C394)-ROW(C$15),0)</f>
        <v>F</v>
      </c>
      <c r="D394" s="116" t="str">
        <f ca="1">OFFSET(ORÇAMENTO!N$15,ROW(D394)-ROW(D$15),0)</f>
        <v>Serviço</v>
      </c>
      <c r="E394" s="117" t="str">
        <f ca="1">OFFSET(ORÇAMENTO!O$15,ROW(E394)-ROW(E$15),0)</f>
        <v>1.8.2.1.9.</v>
      </c>
      <c r="F394" s="163" t="str">
        <f ca="1">OFFSET(ORÇAMENTO!R$15,ROW(F394)-ROW(F$15),0)</f>
        <v>ELETRODUTO DE AÇO GALVANIZADO LEVE, INCLUSIVE CONEXÕES, SUPORTES E FIXAÇÃO DN 25 (1")</v>
      </c>
      <c r="G394" s="164" t="str">
        <f ca="1">IF($D394&lt;&gt;"Serviço","",OFFSET(ORÇAMENTO!S$15,ROW(G394)-ROW(G$15),0))</f>
        <v>M</v>
      </c>
      <c r="H394" s="122" cm="1">
        <f t="array" aca="1" ref="H394" ca="1">IF($D394&lt;&gt;"Serviço",0,IF(ACOMPANHAMENTO="BM",ROUND(OFFSET(ORÇAMENTO!AJ$15,ROW(H394)-ROW(H$15),0),15-13*ORÇAMENTO!$AF$7),SUMPRODUCT(($Q$1:$AI$1=1)*ROUND($Q394:$AI394,15-13*ORÇAMENTO!$AF$7))))</f>
        <v>24</v>
      </c>
      <c r="I394" s="468" t="s">
        <v>1431</v>
      </c>
      <c r="J394" s="640" t="str" cm="1">
        <f t="array" aca="1" ref="J394" ca="1">IF(OR(B394&lt;&gt;"S",CÁLCULO.FrentesPreenchidas=0),"",IF(AND(ACOMPANHAMENTO="PLE",AUTOEVENTO="Manual",OR(H394&gt;0,ORÇAMENTO!AC394="QUANT."),OR(K394="",M394=0,N394="")),"►E",IF(AND(ACOMPANHAMENTO="PLE",ORÇAMENTO!AC394="QUANT."),"►Q",IF(AND(ACOMPANHAMENTO="PLE",H394&lt;&gt;SUMPRODUCT(($Q$1:$AI$1=1)*ROUND(Q394:AI394,15))),"►S",IF(AND(COUNTIF($P$11:$AI$11,"▼")=0,H394&gt;0,I394=""),"◄M","")))))</f>
        <v/>
      </c>
      <c r="K394" s="641" t="s">
        <v>1391</v>
      </c>
      <c r="L394" s="165" t="s">
        <v>764</v>
      </c>
      <c r="M394" s="166">
        <f ca="1">IF($D394&lt;&gt;"Serviço","",
          IF(AUTOEVENTO="manual",$A394,
                IF(ISERROR(MATCH($A394,$A$15:OFFSET($A394,-1,0),0)),MAX($M$15:OFFSET(M394,-1,0))+1,
                      INDEX($M$15:OFFSET(M394,-1,0),MATCH($A394,$A$15:OFFSET($A394,-1,0),0)))))</f>
        <v>7</v>
      </c>
      <c r="N394" s="167" t="str">
        <f ca="1">IF($D394&lt;&gt;"Serviço","",
         IF(AUTOEVENTO="Manual",
                IF($A394=0,"&lt;-- defina o número do agrupador",
                       OFFSET(EVENTOS!$D$15,$A394-$A$15,0)),
                OFFSET($F$15,$A394,0)))</f>
        <v>Instalações Elétricas</v>
      </c>
      <c r="O394" s="168"/>
      <c r="Q394" s="168"/>
      <c r="R394" s="169"/>
      <c r="S394" s="169"/>
      <c r="T394" s="169"/>
      <c r="U394" s="169"/>
      <c r="V394" s="169"/>
      <c r="W394" s="169"/>
      <c r="X394" s="169">
        <v>24</v>
      </c>
      <c r="Y394" s="169"/>
      <c r="Z394" s="170"/>
      <c r="AA394" s="169"/>
      <c r="AB394" s="169"/>
      <c r="AC394" s="169"/>
      <c r="AD394" s="169"/>
      <c r="AE394" s="169"/>
      <c r="AF394" s="169"/>
      <c r="AG394" s="169"/>
      <c r="AH394" s="170"/>
      <c r="AJ394" s="453">
        <f ca="1">IF(AND($D394="Serviço",AJ$12&lt;&gt;0,$H394&gt;0,OR(AUTOEVENTO&lt;&gt;"manual",$M394&lt;&gt;$A$15)),
        IF(Import.TipoArredondamento&lt;&gt;"TransfereGOV",
              ROUND(OFFSET($P394,0,AJ$13),15-13*ORÇAMENTO!$AF$7)/$H394*OFFSET(ORÇAMENTO!$X$15,ROW(AJ394)-ROW(AJ$15),0),
              ROUND(ROUND(OFFSET($P394,0,AJ$13),15-13*ORÇAMENTO!$AF$7)*OFFSET(ORÇAMENTO!$W$15,ROW(AJ394)-ROW(AJ$15),0),15-13*ORÇAMENTO!$AF$11)),
         0)</f>
        <v>0</v>
      </c>
      <c r="AK394" s="453">
        <f ca="1">IF(AND($D394="Serviço",AK$12&lt;&gt;0,$H394&gt;0,OR(AUTOEVENTO&lt;&gt;"manual",$M394&lt;&gt;$A$15)),
        IF(Import.TipoArredondamento&lt;&gt;"TransfereGOV",
              ROUND(OFFSET($P394,0,AK$13),15-13*ORÇAMENTO!$AF$7)/$H394*OFFSET(ORÇAMENTO!$X$15,ROW(AK394)-ROW(AK$15),0),
              ROUND(ROUND(OFFSET($P394,0,AK$13),15-13*ORÇAMENTO!$AF$7)*OFFSET(ORÇAMENTO!$W$15,ROW(AK394)-ROW(AK$15),0),15-13*ORÇAMENTO!$AF$11)),
         0)</f>
        <v>0</v>
      </c>
      <c r="AL394" s="453">
        <f ca="1">IF(AND($D394="Serviço",AL$12&lt;&gt;0,$H394&gt;0,OR(AUTOEVENTO&lt;&gt;"manual",$M394&lt;&gt;$A$15)),
        IF(Import.TipoArredondamento&lt;&gt;"TransfereGOV",
              ROUND(OFFSET($P394,0,AL$13),15-13*ORÇAMENTO!$AF$7)/$H394*OFFSET(ORÇAMENTO!$X$15,ROW(AL394)-ROW(AL$15),0),
              ROUND(ROUND(OFFSET($P394,0,AL$13),15-13*ORÇAMENTO!$AF$7)*OFFSET(ORÇAMENTO!$W$15,ROW(AL394)-ROW(AL$15),0),15-13*ORÇAMENTO!$AF$11)),
         0)</f>
        <v>0</v>
      </c>
      <c r="AM394" s="453">
        <f ca="1">IF(AND($D394="Serviço",AM$12&lt;&gt;0,$H394&gt;0,OR(AUTOEVENTO&lt;&gt;"manual",$M394&lt;&gt;$A$15)),
        IF(Import.TipoArredondamento&lt;&gt;"TransfereGOV",
              ROUND(OFFSET($P394,0,AM$13),15-13*ORÇAMENTO!$AF$7)/$H394*OFFSET(ORÇAMENTO!$X$15,ROW(AM394)-ROW(AM$15),0),
              ROUND(ROUND(OFFSET($P394,0,AM$13),15-13*ORÇAMENTO!$AF$7)*OFFSET(ORÇAMENTO!$W$15,ROW(AM394)-ROW(AM$15),0),15-13*ORÇAMENTO!$AF$11)),
         0)</f>
        <v>0</v>
      </c>
      <c r="AN394" s="453">
        <f ca="1">IF(AND($D394="Serviço",AN$12&lt;&gt;0,$H394&gt;0,OR(AUTOEVENTO&lt;&gt;"manual",$M394&lt;&gt;$A$15)),
        IF(Import.TipoArredondamento&lt;&gt;"TransfereGOV",
              ROUND(OFFSET($P394,0,AN$13),15-13*ORÇAMENTO!$AF$7)/$H394*OFFSET(ORÇAMENTO!$X$15,ROW(AN394)-ROW(AN$15),0),
              ROUND(ROUND(OFFSET($P394,0,AN$13),15-13*ORÇAMENTO!$AF$7)*OFFSET(ORÇAMENTO!$W$15,ROW(AN394)-ROW(AN$15),0),15-13*ORÇAMENTO!$AF$11)),
         0)</f>
        <v>0</v>
      </c>
      <c r="AO394" s="453">
        <f ca="1">IF(AND($D394="Serviço",AO$12&lt;&gt;0,$H394&gt;0,OR(AUTOEVENTO&lt;&gt;"manual",$M394&lt;&gt;$A$15)),
        IF(Import.TipoArredondamento&lt;&gt;"TransfereGOV",
              ROUND(OFFSET($P394,0,AO$13),15-13*ORÇAMENTO!$AF$7)/$H394*OFFSET(ORÇAMENTO!$X$15,ROW(AO394)-ROW(AO$15),0),
              ROUND(ROUND(OFFSET($P394,0,AO$13),15-13*ORÇAMENTO!$AF$7)*OFFSET(ORÇAMENTO!$W$15,ROW(AO394)-ROW(AO$15),0),15-13*ORÇAMENTO!$AF$11)),
         0)</f>
        <v>0</v>
      </c>
      <c r="AP394" s="453">
        <f ca="1">IF(AND($D394="Serviço",AP$12&lt;&gt;0,$H394&gt;0,OR(AUTOEVENTO&lt;&gt;"manual",$M394&lt;&gt;$A$15)),
        IF(Import.TipoArredondamento&lt;&gt;"TransfereGOV",
              ROUND(OFFSET($P394,0,AP$13),15-13*ORÇAMENTO!$AF$7)/$H394*OFFSET(ORÇAMENTO!$X$15,ROW(AP394)-ROW(AP$15),0),
              ROUND(ROUND(OFFSET($P394,0,AP$13),15-13*ORÇAMENTO!$AF$7)*OFFSET(ORÇAMENTO!$W$15,ROW(AP394)-ROW(AP$15),0),15-13*ORÇAMENTO!$AF$11)),
         0)</f>
        <v>0</v>
      </c>
      <c r="AQ394" s="453">
        <f ca="1">IF(AND($D394="Serviço",AQ$12&lt;&gt;0,$H394&gt;0,OR(AUTOEVENTO&lt;&gt;"manual",$M394&lt;&gt;$A$15)),
        IF(Import.TipoArredondamento&lt;&gt;"TransfereGOV",
              ROUND(OFFSET($P394,0,AQ$13),15-13*ORÇAMENTO!$AF$7)/$H394*OFFSET(ORÇAMENTO!$X$15,ROW(AQ394)-ROW(AQ$15),0),
              ROUND(ROUND(OFFSET($P394,0,AQ$13),15-13*ORÇAMENTO!$AF$7)*OFFSET(ORÇAMENTO!$W$15,ROW(AQ394)-ROW(AQ$15),0),15-13*ORÇAMENTO!$AF$11)),
         0)</f>
        <v>0</v>
      </c>
      <c r="AR394" s="453">
        <f ca="1">IF(AND($D394="Serviço",AR$12&lt;&gt;0,$H394&gt;0,OR(AUTOEVENTO&lt;&gt;"manual",$M394&lt;&gt;$A$15)),
        IF(Import.TipoArredondamento&lt;&gt;"TransfereGOV",
              ROUND(OFFSET($P394,0,AR$13),15-13*ORÇAMENTO!$AF$7)/$H394*OFFSET(ORÇAMENTO!$X$15,ROW(AR394)-ROW(AR$15),0),
              ROUND(ROUND(OFFSET($P394,0,AR$13),15-13*ORÇAMENTO!$AF$7)*OFFSET(ORÇAMENTO!$W$15,ROW(AR394)-ROW(AR$15),0),15-13*ORÇAMENTO!$AF$11)),
         0)</f>
        <v>0</v>
      </c>
      <c r="AS394" s="453">
        <f ca="1">IF(AND($D394="Serviço",AS$12&lt;&gt;0,$H394&gt;0,OR(AUTOEVENTO&lt;&gt;"manual",$M394&lt;&gt;$A$15)),
        IF(Import.TipoArredondamento&lt;&gt;"TransfereGOV",
              ROUND(OFFSET($P394,0,AS$13),15-13*ORÇAMENTO!$AF$7)/$H394*OFFSET(ORÇAMENTO!$X$15,ROW(AS394)-ROW(AS$15),0),
              ROUND(ROUND(OFFSET($P394,0,AS$13),15-13*ORÇAMENTO!$AF$7)*OFFSET(ORÇAMENTO!$W$15,ROW(AS394)-ROW(AS$15),0),15-13*ORÇAMENTO!$AF$11)),
         0)</f>
        <v>0</v>
      </c>
      <c r="AT394" s="453">
        <f ca="1">IF(AND($D394="Serviço",AT$12&lt;&gt;0,$H394&gt;0,OR(AUTOEVENTO&lt;&gt;"manual",$M394&lt;&gt;$A$15)),
        IF(Import.TipoArredondamento&lt;&gt;"TransfereGOV",
              ROUND(OFFSET($P394,0,AT$13),15-13*ORÇAMENTO!$AF$7)/$H394*OFFSET(ORÇAMENTO!$X$15,ROW(AT394)-ROW(AT$15),0),
              ROUND(ROUND(OFFSET($P394,0,AT$13),15-13*ORÇAMENTO!$AF$7)*OFFSET(ORÇAMENTO!$W$15,ROW(AT394)-ROW(AT$15),0),15-13*ORÇAMENTO!$AF$11)),
         0)</f>
        <v>0</v>
      </c>
      <c r="AU394" s="453">
        <f ca="1">IF(AND($D394="Serviço",AU$12&lt;&gt;0,$H394&gt;0,OR(AUTOEVENTO&lt;&gt;"manual",$M394&lt;&gt;$A$15)),
        IF(Import.TipoArredondamento&lt;&gt;"TransfereGOV",
              ROUND(OFFSET($P394,0,AU$13),15-13*ORÇAMENTO!$AF$7)/$H394*OFFSET(ORÇAMENTO!$X$15,ROW(AU394)-ROW(AU$15),0),
              ROUND(ROUND(OFFSET($P394,0,AU$13),15-13*ORÇAMENTO!$AF$7)*OFFSET(ORÇAMENTO!$W$15,ROW(AU394)-ROW(AU$15),0),15-13*ORÇAMENTO!$AF$11)),
         0)</f>
        <v>0</v>
      </c>
      <c r="AV394" s="453">
        <f ca="1">IF(AND($D394="Serviço",AV$12&lt;&gt;0,$H394&gt;0,OR(AUTOEVENTO&lt;&gt;"manual",$M394&lt;&gt;$A$15)),
        IF(Import.TipoArredondamento&lt;&gt;"TransfereGOV",
              ROUND(OFFSET($P394,0,AV$13),15-13*ORÇAMENTO!$AF$7)/$H394*OFFSET(ORÇAMENTO!$X$15,ROW(AV394)-ROW(AV$15),0),
              ROUND(ROUND(OFFSET($P394,0,AV$13),15-13*ORÇAMENTO!$AF$7)*OFFSET(ORÇAMENTO!$W$15,ROW(AV394)-ROW(AV$15),0),15-13*ORÇAMENTO!$AF$11)),
         0)</f>
        <v>0</v>
      </c>
      <c r="AW394" s="453">
        <f ca="1">IF(AND($D394="Serviço",AW$12&lt;&gt;0,$H394&gt;0,OR(AUTOEVENTO&lt;&gt;"manual",$M394&lt;&gt;$A$15)),
        IF(Import.TipoArredondamento&lt;&gt;"TransfereGOV",
              ROUND(OFFSET($P394,0,AW$13),15-13*ORÇAMENTO!$AF$7)/$H394*OFFSET(ORÇAMENTO!$X$15,ROW(AW394)-ROW(AW$15),0),
              ROUND(ROUND(OFFSET($P394,0,AW$13),15-13*ORÇAMENTO!$AF$7)*OFFSET(ORÇAMENTO!$W$15,ROW(AW394)-ROW(AW$15),0),15-13*ORÇAMENTO!$AF$11)),
         0)</f>
        <v>0</v>
      </c>
      <c r="AX394" s="453">
        <f ca="1">IF(AND($D394="Serviço",AX$12&lt;&gt;0,$H394&gt;0,OR(AUTOEVENTO&lt;&gt;"manual",$M394&lt;&gt;$A$15)),
        IF(Import.TipoArredondamento&lt;&gt;"TransfereGOV",
              ROUND(OFFSET($P394,0,AX$13),15-13*ORÇAMENTO!$AF$7)/$H394*OFFSET(ORÇAMENTO!$X$15,ROW(AX394)-ROW(AX$15),0),
              ROUND(ROUND(OFFSET($P394,0,AX$13),15-13*ORÇAMENTO!$AF$7)*OFFSET(ORÇAMENTO!$W$15,ROW(AX394)-ROW(AX$15),0),15-13*ORÇAMENTO!$AF$11)),
         0)</f>
        <v>0</v>
      </c>
      <c r="AY394" s="453">
        <f ca="1">IF(AND($D394="Serviço",AY$12&lt;&gt;0,$H394&gt;0,OR(AUTOEVENTO&lt;&gt;"manual",$M394&lt;&gt;$A$15)),
        IF(Import.TipoArredondamento&lt;&gt;"TransfereGOV",
              ROUND(OFFSET($P394,0,AY$13),15-13*ORÇAMENTO!$AF$7)/$H394*OFFSET(ORÇAMENTO!$X$15,ROW(AY394)-ROW(AY$15),0),
              ROUND(ROUND(OFFSET($P394,0,AY$13),15-13*ORÇAMENTO!$AF$7)*OFFSET(ORÇAMENTO!$W$15,ROW(AY394)-ROW(AY$15),0),15-13*ORÇAMENTO!$AF$11)),
         0)</f>
        <v>0</v>
      </c>
      <c r="AZ394" s="453">
        <f ca="1">IF(AND($D394="Serviço",AZ$12&lt;&gt;0,$H394&gt;0,OR(AUTOEVENTO&lt;&gt;"manual",$M394&lt;&gt;$A$15)),
        IF(Import.TipoArredondamento&lt;&gt;"TransfereGOV",
              ROUND(OFFSET($P394,0,AZ$13),15-13*ORÇAMENTO!$AF$7)/$H394*OFFSET(ORÇAMENTO!$X$15,ROW(AZ394)-ROW(AZ$15),0),
              ROUND(ROUND(OFFSET($P394,0,AZ$13),15-13*ORÇAMENTO!$AF$7)*OFFSET(ORÇAMENTO!$W$15,ROW(AZ394)-ROW(AZ$15),0),15-13*ORÇAMENTO!$AF$11)),
         0)</f>
        <v>0</v>
      </c>
      <c r="BA394" s="453">
        <f ca="1">IF(AND($D394="Serviço",BA$12&lt;&gt;0,$H394&gt;0,OR(AUTOEVENTO&lt;&gt;"manual",$M394&lt;&gt;$A$15)),
        IF(Import.TipoArredondamento&lt;&gt;"TransfereGOV",
              ROUND(OFFSET($P394,0,BA$13),15-13*ORÇAMENTO!$AF$7)/$H394*OFFSET(ORÇAMENTO!$X$15,ROW(BA394)-ROW(BA$15),0),
              ROUND(ROUND(OFFSET($P394,0,BA$13),15-13*ORÇAMENTO!$AF$7)*OFFSET(ORÇAMENTO!$W$15,ROW(BA394)-ROW(BA$15),0),15-13*ORÇAMENTO!$AF$11)),
         0)</f>
        <v>0</v>
      </c>
      <c r="BC394" s="171">
        <f ca="1">IF(OR($D394&lt;&gt;"Serviço",AND(AUTOEVENTO="Manual",$M394=$A$15)),0,
         IF(OFFSET(CRONOPLE!$F$15,$M394-$A$15,BC$13)=0,10^12,OFFSET(CRONOPLE!$F$15,$M394-$A$15,BC$13)))</f>
        <v>1</v>
      </c>
      <c r="BD394" s="171">
        <f ca="1">IF(OR($D394&lt;&gt;"Serviço",AND(AUTOEVENTO="Manual",$M394=$A$15)),0,
         IF(OFFSET(CRONOPLE!$F$15,$M394-$A$15,BD$13)=0,10^12,OFFSET(CRONOPLE!$F$15,$M394-$A$15,BD$13)))</f>
        <v>2</v>
      </c>
      <c r="BE394" s="171">
        <f ca="1">IF(OR($D394&lt;&gt;"Serviço",AND(AUTOEVENTO="Manual",$M394=$A$15)),0,
         IF(OFFSET(CRONOPLE!$F$15,$M394-$A$15,BE$13)=0,10^12,OFFSET(CRONOPLE!$F$15,$M394-$A$15,BE$13)))</f>
        <v>3</v>
      </c>
      <c r="BF394" s="171">
        <f ca="1">IF(OR($D394&lt;&gt;"Serviço",AND(AUTOEVENTO="Manual",$M394=$A$15)),0,
         IF(OFFSET(CRONOPLE!$F$15,$M394-$A$15,BF$13)=0,10^12,OFFSET(CRONOPLE!$F$15,$M394-$A$15,BF$13)))</f>
        <v>4</v>
      </c>
      <c r="BG394" s="171">
        <f ca="1">IF(OR($D394&lt;&gt;"Serviço",AND(AUTOEVENTO="Manual",$M394=$A$15)),0,
         IF(OFFSET(CRONOPLE!$F$15,$M394-$A$15,BG$13)=0,10^12,OFFSET(CRONOPLE!$F$15,$M394-$A$15,BG$13)))</f>
        <v>5</v>
      </c>
      <c r="BH394" s="171">
        <f ca="1">IF(OR($D394&lt;&gt;"Serviço",AND(AUTOEVENTO="Manual",$M394=$A$15)),0,
         IF(OFFSET(CRONOPLE!$F$15,$M394-$A$15,BH$13)=0,10^12,OFFSET(CRONOPLE!$F$15,$M394-$A$15,BH$13)))</f>
        <v>6</v>
      </c>
      <c r="BI394" s="171">
        <f ca="1">IF(OR($D394&lt;&gt;"Serviço",AND(AUTOEVENTO="Manual",$M394=$A$15)),0,
         IF(OFFSET(CRONOPLE!$F$15,$M394-$A$15,BI$13)=0,10^12,OFFSET(CRONOPLE!$F$15,$M394-$A$15,BI$13)))</f>
        <v>7</v>
      </c>
      <c r="BJ394" s="171">
        <f ca="1">IF(OR($D394&lt;&gt;"Serviço",AND(AUTOEVENTO="Manual",$M394=$A$15)),0,
         IF(OFFSET(CRONOPLE!$F$15,$M394-$A$15,BJ$13)=0,10^12,OFFSET(CRONOPLE!$F$15,$M394-$A$15,BJ$13)))</f>
        <v>8</v>
      </c>
      <c r="BK394" s="171">
        <f ca="1">IF(OR($D394&lt;&gt;"Serviço",AND(AUTOEVENTO="Manual",$M394=$A$15)),0,
         IF(OFFSET(CRONOPLE!$F$15,$M394-$A$15,BK$13)=0,10^12,OFFSET(CRONOPLE!$F$15,$M394-$A$15,BK$13)))</f>
        <v>9</v>
      </c>
      <c r="BL394" s="171">
        <f ca="1">IF(OR($D394&lt;&gt;"Serviço",AND(AUTOEVENTO="Manual",$M394=$A$15)),0,
         IF(OFFSET(CRONOPLE!$F$15,$M394-$A$15,BL$13)=0,10^12,OFFSET(CRONOPLE!$F$15,$M394-$A$15,BL$13)))</f>
        <v>1000000000000</v>
      </c>
      <c r="BM394" s="171">
        <f ca="1">IF(OR($D394&lt;&gt;"Serviço",AND(AUTOEVENTO="Manual",$M394=$A$15)),0,
         IF(OFFSET(CRONOPLE!$F$15,$M394-$A$15,BM$13)=0,10^12,OFFSET(CRONOPLE!$F$15,$M394-$A$15,BM$13)))</f>
        <v>1000000000000</v>
      </c>
      <c r="BN394" s="171">
        <f ca="1">IF(OR($D394&lt;&gt;"Serviço",AND(AUTOEVENTO="Manual",$M394=$A$15)),0,
         IF(OFFSET(CRONOPLE!$F$15,$M394-$A$15,BN$13)=0,10^12,OFFSET(CRONOPLE!$F$15,$M394-$A$15,BN$13)))</f>
        <v>1000000000000</v>
      </c>
      <c r="BO394" s="171">
        <f ca="1">IF(OR($D394&lt;&gt;"Serviço",AND(AUTOEVENTO="Manual",$M394=$A$15)),0,
         IF(OFFSET(CRONOPLE!$F$15,$M394-$A$15,BO$13)=0,10^12,OFFSET(CRONOPLE!$F$15,$M394-$A$15,BO$13)))</f>
        <v>1000000000000</v>
      </c>
      <c r="BP394" s="171">
        <f ca="1">IF(OR($D394&lt;&gt;"Serviço",AND(AUTOEVENTO="Manual",$M394=$A$15)),0,
         IF(OFFSET(CRONOPLE!$F$15,$M394-$A$15,BP$13)=0,10^12,OFFSET(CRONOPLE!$F$15,$M394-$A$15,BP$13)))</f>
        <v>1000000000000</v>
      </c>
      <c r="BQ394" s="171">
        <f ca="1">IF(OR($D394&lt;&gt;"Serviço",AND(AUTOEVENTO="Manual",$M394=$A$15)),0,
         IF(OFFSET(CRONOPLE!$F$15,$M394-$A$15,BQ$13)=0,10^12,OFFSET(CRONOPLE!$F$15,$M394-$A$15,BQ$13)))</f>
        <v>1000000000000</v>
      </c>
      <c r="BR394" s="171">
        <f ca="1">IF(OR($D394&lt;&gt;"Serviço",AND(AUTOEVENTO="Manual",$M394=$A$15)),0,
         IF(OFFSET(CRONOPLE!$F$15,$M394-$A$15,BR$13)=0,10^12,OFFSET(CRONOPLE!$F$15,$M394-$A$15,BR$13)))</f>
        <v>1000000000000</v>
      </c>
      <c r="BS394" s="171">
        <f ca="1">IF(OR($D394&lt;&gt;"Serviço",AND(AUTOEVENTO="Manual",$M394=$A$15)),0,
         IF(OFFSET(CRONOPLE!$F$15,$M394-$A$15,BS$13)=0,10^12,OFFSET(CRONOPLE!$F$15,$M394-$A$15,BS$13)))</f>
        <v>1000000000000</v>
      </c>
      <c r="BT394" s="171">
        <f ca="1">IF(OR($D394&lt;&gt;"Serviço",AND(AUTOEVENTO="Manual",$M394=$A$15)),0,
         IF(OFFSET(CRONOPLE!$F$15,$M394-$A$15,BT$13)=0,10^12,OFFSET(CRONOPLE!$F$15,$M394-$A$15,BT$13)))</f>
        <v>1000000000000</v>
      </c>
      <c r="BV394" s="172">
        <f ca="1">IF(OR($D394&lt;&gt;"Serviço",AND(AUTOEVENTO="Manual",$M394=$A$15),$M394&gt;(ROW(PLE.lastrow)-ROW(PLE.firstrow))),0,
           IF(OFFSET(PLE!$G$15,$M394-$A$15,BV$13)="",10^12,OFFSET(PLE!$G$15,$M394-$A$15,BV$13)))</f>
        <v>1000000000000</v>
      </c>
      <c r="BW394" s="172">
        <f ca="1">IF(OR($D394&lt;&gt;"Serviço",AND(AUTOEVENTO="Manual",$M394=$A$15),$M394&gt;(ROW(PLE.lastrow)-ROW(PLE.firstrow))),0,
           IF(OFFSET(PLE!$G$15,$M394-$A$15,BW$13)="",10^12,OFFSET(PLE!$G$15,$M394-$A$15,BW$13)))</f>
        <v>1000000000000</v>
      </c>
      <c r="BX394" s="172">
        <f ca="1">IF(OR($D394&lt;&gt;"Serviço",AND(AUTOEVENTO="Manual",$M394=$A$15),$M394&gt;(ROW(PLE.lastrow)-ROW(PLE.firstrow))),0,
           IF(OFFSET(PLE!$G$15,$M394-$A$15,BX$13)="",10^12,OFFSET(PLE!$G$15,$M394-$A$15,BX$13)))</f>
        <v>1000000000000</v>
      </c>
      <c r="BY394" s="172">
        <f ca="1">IF(OR($D394&lt;&gt;"Serviço",AND(AUTOEVENTO="Manual",$M394=$A$15),$M394&gt;(ROW(PLE.lastrow)-ROW(PLE.firstrow))),0,
           IF(OFFSET(PLE!$G$15,$M394-$A$15,BY$13)="",10^12,OFFSET(PLE!$G$15,$M394-$A$15,BY$13)))</f>
        <v>1000000000000</v>
      </c>
      <c r="BZ394" s="172">
        <f ca="1">IF(OR($D394&lt;&gt;"Serviço",AND(AUTOEVENTO="Manual",$M394=$A$15),$M394&gt;(ROW(PLE.lastrow)-ROW(PLE.firstrow))),0,
           IF(OFFSET(PLE!$G$15,$M394-$A$15,BZ$13)="",10^12,OFFSET(PLE!$G$15,$M394-$A$15,BZ$13)))</f>
        <v>1000000000000</v>
      </c>
      <c r="CA394" s="172">
        <f ca="1">IF(OR($D394&lt;&gt;"Serviço",AND(AUTOEVENTO="Manual",$M394=$A$15),$M394&gt;(ROW(PLE.lastrow)-ROW(PLE.firstrow))),0,
           IF(OFFSET(PLE!$G$15,$M394-$A$15,CA$13)="",10^12,OFFSET(PLE!$G$15,$M394-$A$15,CA$13)))</f>
        <v>1000000000000</v>
      </c>
      <c r="CB394" s="172">
        <f ca="1">IF(OR($D394&lt;&gt;"Serviço",AND(AUTOEVENTO="Manual",$M394=$A$15),$M394&gt;(ROW(PLE.lastrow)-ROW(PLE.firstrow))),0,
           IF(OFFSET(PLE!$G$15,$M394-$A$15,CB$13)="",10^12,OFFSET(PLE!$G$15,$M394-$A$15,CB$13)))</f>
        <v>1000000000000</v>
      </c>
      <c r="CC394" s="172">
        <f ca="1">IF(OR($D394&lt;&gt;"Serviço",AND(AUTOEVENTO="Manual",$M394=$A$15),$M394&gt;(ROW(PLE.lastrow)-ROW(PLE.firstrow))),0,
           IF(OFFSET(PLE!$G$15,$M394-$A$15,CC$13)="",10^12,OFFSET(PLE!$G$15,$M394-$A$15,CC$13)))</f>
        <v>1000000000000</v>
      </c>
      <c r="CD394" s="172">
        <f ca="1">IF(OR($D394&lt;&gt;"Serviço",AND(AUTOEVENTO="Manual",$M394=$A$15),$M394&gt;(ROW(PLE.lastrow)-ROW(PLE.firstrow))),0,
           IF(OFFSET(PLE!$G$15,$M394-$A$15,CD$13)="",10^12,OFFSET(PLE!$G$15,$M394-$A$15,CD$13)))</f>
        <v>1000000000000</v>
      </c>
      <c r="CE394" s="172">
        <f ca="1">IF(OR($D394&lt;&gt;"Serviço",AND(AUTOEVENTO="Manual",$M394=$A$15),$M394&gt;(ROW(PLE.lastrow)-ROW(PLE.firstrow))),0,
           IF(OFFSET(PLE!$G$15,$M394-$A$15,CE$13)="",10^12,OFFSET(PLE!$G$15,$M394-$A$15,CE$13)))</f>
        <v>1000000000000</v>
      </c>
      <c r="CF394" s="172">
        <f ca="1">IF(OR($D394&lt;&gt;"Serviço",AND(AUTOEVENTO="Manual",$M394=$A$15),$M394&gt;(ROW(PLE.lastrow)-ROW(PLE.firstrow))),0,
           IF(OFFSET(PLE!$G$15,$M394-$A$15,CF$13)="",10^12,OFFSET(PLE!$G$15,$M394-$A$15,CF$13)))</f>
        <v>1000000000000</v>
      </c>
      <c r="CG394" s="172">
        <f ca="1">IF(OR($D394&lt;&gt;"Serviço",AND(AUTOEVENTO="Manual",$M394=$A$15),$M394&gt;(ROW(PLE.lastrow)-ROW(PLE.firstrow))),0,
           IF(OFFSET(PLE!$G$15,$M394-$A$15,CG$13)="",10^12,OFFSET(PLE!$G$15,$M394-$A$15,CG$13)))</f>
        <v>1000000000000</v>
      </c>
      <c r="CH394" s="172">
        <f ca="1">IF(OR($D394&lt;&gt;"Serviço",AND(AUTOEVENTO="Manual",$M394=$A$15),$M394&gt;(ROW(PLE.lastrow)-ROW(PLE.firstrow))),0,
           IF(OFFSET(PLE!$G$15,$M394-$A$15,CH$13)="",10^12,OFFSET(PLE!$G$15,$M394-$A$15,CH$13)))</f>
        <v>1000000000000</v>
      </c>
      <c r="CI394" s="172">
        <f ca="1">IF(OR($D394&lt;&gt;"Serviço",AND(AUTOEVENTO="Manual",$M394=$A$15),$M394&gt;(ROW(PLE.lastrow)-ROW(PLE.firstrow))),0,
           IF(OFFSET(PLE!$G$15,$M394-$A$15,CI$13)="",10^12,OFFSET(PLE!$G$15,$M394-$A$15,CI$13)))</f>
        <v>1000000000000</v>
      </c>
      <c r="CJ394" s="172">
        <f ca="1">IF(OR($D394&lt;&gt;"Serviço",AND(AUTOEVENTO="Manual",$M394=$A$15),$M394&gt;(ROW(PLE.lastrow)-ROW(PLE.firstrow))),0,
           IF(OFFSET(PLE!$G$15,$M394-$A$15,CJ$13)="",10^12,OFFSET(PLE!$G$15,$M394-$A$15,CJ$13)))</f>
        <v>1000000000000</v>
      </c>
      <c r="CK394" s="172">
        <f ca="1">IF(OR($D394&lt;&gt;"Serviço",AND(AUTOEVENTO="Manual",$M394=$A$15),$M394&gt;(ROW(PLE.lastrow)-ROW(PLE.firstrow))),0,
           IF(OFFSET(PLE!$G$15,$M394-$A$15,CK$13)="",10^12,OFFSET(PLE!$G$15,$M394-$A$15,CK$13)))</f>
        <v>1000000000000</v>
      </c>
      <c r="CL394" s="172">
        <f ca="1">IF(OR($D394&lt;&gt;"Serviço",AND(AUTOEVENTO="Manual",$M394=$A$15),$M394&gt;(ROW(PLE.lastrow)-ROW(PLE.firstrow))),0,
           IF(OFFSET(PLE!$G$15,$M394-$A$15,CL$13)="",10^12,OFFSET(PLE!$G$15,$M394-$A$15,CL$13)))</f>
        <v>1000000000000</v>
      </c>
      <c r="CM394" s="172">
        <f ca="1">IF(OR($D394&lt;&gt;"Serviço",AND(AUTOEVENTO="Manual",$M394=$A$15),$M394&gt;(ROW(PLE.lastrow)-ROW(PLE.firstrow))),0,
           IF(OFFSET(PLE!$G$15,$M394-$A$15,CM$13)="",10^12,OFFSET(PLE!$G$15,$M394-$A$15,CM$13)))</f>
        <v>1000000000000</v>
      </c>
    </row>
    <row r="395" spans="1:91" ht="12.75" x14ac:dyDescent="0.2">
      <c r="A395" s="7">
        <f t="shared" ca="1" si="15"/>
        <v>8</v>
      </c>
      <c r="B395" s="7">
        <f ca="1">OFFSET(ORÇAMENTO!C$15,ROW(B395)-ROW(B$15),0)</f>
        <v>4</v>
      </c>
      <c r="C395" s="7" t="str">
        <f ca="1">OFFSET(ORÇAMENTO!L$15,ROW(C395)-ROW(C$15),0)</f>
        <v>F</v>
      </c>
      <c r="D395" s="116" t="str">
        <f ca="1">OFFSET(ORÇAMENTO!N$15,ROW(D395)-ROW(D$15),0)</f>
        <v>Nível 4</v>
      </c>
      <c r="E395" s="117" t="str">
        <f ca="1">OFFSET(ORÇAMENTO!O$15,ROW(E395)-ROW(E$15),0)</f>
        <v>1.8.2.2.</v>
      </c>
      <c r="F395" s="163" t="str">
        <f ca="1">OFFSET(ORÇAMENTO!R$15,ROW(F395)-ROW(F$15),0)</f>
        <v xml:space="preserve">INTERRUPTORES, TOMADAS E LUMINÁRIAS </v>
      </c>
      <c r="G395" s="164" t="str">
        <f ca="1">IF($D395&lt;&gt;"Serviço","",OFFSET(ORÇAMENTO!S$15,ROW(G395)-ROW(G$15),0))</f>
        <v/>
      </c>
      <c r="H395" s="122" cm="1">
        <f t="array" aca="1" ref="H395" ca="1">IF($D395&lt;&gt;"Serviço",0,IF(ACOMPANHAMENTO="BM",ROUND(OFFSET(ORÇAMENTO!AJ$15,ROW(H395)-ROW(H$15),0),15-13*ORÇAMENTO!$AF$7),SUMPRODUCT(($Q$1:$AI$1=1)*ROUND($Q395:$AI395,15-13*ORÇAMENTO!$AF$7))))</f>
        <v>0</v>
      </c>
      <c r="I395" s="468"/>
      <c r="J395" s="640" t="str" cm="1">
        <f t="array" aca="1" ref="J395" ca="1">IF(OR(B395&lt;&gt;"S",CÁLCULO.FrentesPreenchidas=0),"",IF(AND(ACOMPANHAMENTO="PLE",AUTOEVENTO="Manual",OR(H395&gt;0,ORÇAMENTO!AC395="QUANT."),OR(K395="",M395=0,N395="")),"►E",IF(AND(ACOMPANHAMENTO="PLE",ORÇAMENTO!AC395="QUANT."),"►Q",IF(AND(ACOMPANHAMENTO="PLE",H395&lt;&gt;SUMPRODUCT(($Q$1:$AI$1=1)*ROUND(Q395:AI395,15))),"►S",IF(AND(COUNTIF($P$11:$AI$11,"▼")=0,H395&gt;0,I395=""),"◄M","")))))</f>
        <v/>
      </c>
      <c r="K395" s="641" t="s">
        <v>1366</v>
      </c>
      <c r="L395" s="165" t="s">
        <v>764</v>
      </c>
      <c r="M395" s="166" t="str">
        <f ca="1">IF($D395&lt;&gt;"Serviço","",
          IF(AUTOEVENTO="manual",$A395,
                IF(ISERROR(MATCH($A395,$A$15:OFFSET($A395,-1,0),0)),MAX($M$15:OFFSET(M395,-1,0))+1,
                      INDEX($M$15:OFFSET(M395,-1,0),MATCH($A395,$A$15:OFFSET($A395,-1,0),0)))))</f>
        <v/>
      </c>
      <c r="N395" s="167" t="str">
        <f ca="1">IF($D395&lt;&gt;"Serviço","",
         IF(AUTOEVENTO="Manual",
                IF($A395=0,"&lt;-- defina o número do agrupador",
                       OFFSET(EVENTOS!$D$15,$A395-$A$15,0)),
                OFFSET($F$15,$A395,0)))</f>
        <v/>
      </c>
      <c r="O395" s="168"/>
      <c r="Q395" s="168"/>
      <c r="R395" s="169"/>
      <c r="S395" s="169"/>
      <c r="T395" s="169"/>
      <c r="U395" s="169"/>
      <c r="V395" s="169"/>
      <c r="W395" s="169"/>
      <c r="X395" s="169"/>
      <c r="Y395" s="169"/>
      <c r="Z395" s="170"/>
      <c r="AA395" s="169"/>
      <c r="AB395" s="169"/>
      <c r="AC395" s="169"/>
      <c r="AD395" s="169"/>
      <c r="AE395" s="169"/>
      <c r="AF395" s="169"/>
      <c r="AG395" s="169"/>
      <c r="AH395" s="170"/>
      <c r="AJ395" s="453">
        <f ca="1">IF(AND($D395="Serviço",AJ$12&lt;&gt;0,$H395&gt;0,OR(AUTOEVENTO&lt;&gt;"manual",$M395&lt;&gt;$A$15)),
        IF(Import.TipoArredondamento&lt;&gt;"TransfereGOV",
              ROUND(OFFSET($P395,0,AJ$13),15-13*ORÇAMENTO!$AF$7)/$H395*OFFSET(ORÇAMENTO!$X$15,ROW(AJ395)-ROW(AJ$15),0),
              ROUND(ROUND(OFFSET($P395,0,AJ$13),15-13*ORÇAMENTO!$AF$7)*OFFSET(ORÇAMENTO!$W$15,ROW(AJ395)-ROW(AJ$15),0),15-13*ORÇAMENTO!$AF$11)),
         0)</f>
        <v>0</v>
      </c>
      <c r="AK395" s="453">
        <f ca="1">IF(AND($D395="Serviço",AK$12&lt;&gt;0,$H395&gt;0,OR(AUTOEVENTO&lt;&gt;"manual",$M395&lt;&gt;$A$15)),
        IF(Import.TipoArredondamento&lt;&gt;"TransfereGOV",
              ROUND(OFFSET($P395,0,AK$13),15-13*ORÇAMENTO!$AF$7)/$H395*OFFSET(ORÇAMENTO!$X$15,ROW(AK395)-ROW(AK$15),0),
              ROUND(ROUND(OFFSET($P395,0,AK$13),15-13*ORÇAMENTO!$AF$7)*OFFSET(ORÇAMENTO!$W$15,ROW(AK395)-ROW(AK$15),0),15-13*ORÇAMENTO!$AF$11)),
         0)</f>
        <v>0</v>
      </c>
      <c r="AL395" s="453">
        <f ca="1">IF(AND($D395="Serviço",AL$12&lt;&gt;0,$H395&gt;0,OR(AUTOEVENTO&lt;&gt;"manual",$M395&lt;&gt;$A$15)),
        IF(Import.TipoArredondamento&lt;&gt;"TransfereGOV",
              ROUND(OFFSET($P395,0,AL$13),15-13*ORÇAMENTO!$AF$7)/$H395*OFFSET(ORÇAMENTO!$X$15,ROW(AL395)-ROW(AL$15),0),
              ROUND(ROUND(OFFSET($P395,0,AL$13),15-13*ORÇAMENTO!$AF$7)*OFFSET(ORÇAMENTO!$W$15,ROW(AL395)-ROW(AL$15),0),15-13*ORÇAMENTO!$AF$11)),
         0)</f>
        <v>0</v>
      </c>
      <c r="AM395" s="453">
        <f ca="1">IF(AND($D395="Serviço",AM$12&lt;&gt;0,$H395&gt;0,OR(AUTOEVENTO&lt;&gt;"manual",$M395&lt;&gt;$A$15)),
        IF(Import.TipoArredondamento&lt;&gt;"TransfereGOV",
              ROUND(OFFSET($P395,0,AM$13),15-13*ORÇAMENTO!$AF$7)/$H395*OFFSET(ORÇAMENTO!$X$15,ROW(AM395)-ROW(AM$15),0),
              ROUND(ROUND(OFFSET($P395,0,AM$13),15-13*ORÇAMENTO!$AF$7)*OFFSET(ORÇAMENTO!$W$15,ROW(AM395)-ROW(AM$15),0),15-13*ORÇAMENTO!$AF$11)),
         0)</f>
        <v>0</v>
      </c>
      <c r="AN395" s="453">
        <f ca="1">IF(AND($D395="Serviço",AN$12&lt;&gt;0,$H395&gt;0,OR(AUTOEVENTO&lt;&gt;"manual",$M395&lt;&gt;$A$15)),
        IF(Import.TipoArredondamento&lt;&gt;"TransfereGOV",
              ROUND(OFFSET($P395,0,AN$13),15-13*ORÇAMENTO!$AF$7)/$H395*OFFSET(ORÇAMENTO!$X$15,ROW(AN395)-ROW(AN$15),0),
              ROUND(ROUND(OFFSET($P395,0,AN$13),15-13*ORÇAMENTO!$AF$7)*OFFSET(ORÇAMENTO!$W$15,ROW(AN395)-ROW(AN$15),0),15-13*ORÇAMENTO!$AF$11)),
         0)</f>
        <v>0</v>
      </c>
      <c r="AO395" s="453">
        <f ca="1">IF(AND($D395="Serviço",AO$12&lt;&gt;0,$H395&gt;0,OR(AUTOEVENTO&lt;&gt;"manual",$M395&lt;&gt;$A$15)),
        IF(Import.TipoArredondamento&lt;&gt;"TransfereGOV",
              ROUND(OFFSET($P395,0,AO$13),15-13*ORÇAMENTO!$AF$7)/$H395*OFFSET(ORÇAMENTO!$X$15,ROW(AO395)-ROW(AO$15),0),
              ROUND(ROUND(OFFSET($P395,0,AO$13),15-13*ORÇAMENTO!$AF$7)*OFFSET(ORÇAMENTO!$W$15,ROW(AO395)-ROW(AO$15),0),15-13*ORÇAMENTO!$AF$11)),
         0)</f>
        <v>0</v>
      </c>
      <c r="AP395" s="453">
        <f ca="1">IF(AND($D395="Serviço",AP$12&lt;&gt;0,$H395&gt;0,OR(AUTOEVENTO&lt;&gt;"manual",$M395&lt;&gt;$A$15)),
        IF(Import.TipoArredondamento&lt;&gt;"TransfereGOV",
              ROUND(OFFSET($P395,0,AP$13),15-13*ORÇAMENTO!$AF$7)/$H395*OFFSET(ORÇAMENTO!$X$15,ROW(AP395)-ROW(AP$15),0),
              ROUND(ROUND(OFFSET($P395,0,AP$13),15-13*ORÇAMENTO!$AF$7)*OFFSET(ORÇAMENTO!$W$15,ROW(AP395)-ROW(AP$15),0),15-13*ORÇAMENTO!$AF$11)),
         0)</f>
        <v>0</v>
      </c>
      <c r="AQ395" s="453">
        <f ca="1">IF(AND($D395="Serviço",AQ$12&lt;&gt;0,$H395&gt;0,OR(AUTOEVENTO&lt;&gt;"manual",$M395&lt;&gt;$A$15)),
        IF(Import.TipoArredondamento&lt;&gt;"TransfereGOV",
              ROUND(OFFSET($P395,0,AQ$13),15-13*ORÇAMENTO!$AF$7)/$H395*OFFSET(ORÇAMENTO!$X$15,ROW(AQ395)-ROW(AQ$15),0),
              ROUND(ROUND(OFFSET($P395,0,AQ$13),15-13*ORÇAMENTO!$AF$7)*OFFSET(ORÇAMENTO!$W$15,ROW(AQ395)-ROW(AQ$15),0),15-13*ORÇAMENTO!$AF$11)),
         0)</f>
        <v>0</v>
      </c>
      <c r="AR395" s="453">
        <f ca="1">IF(AND($D395="Serviço",AR$12&lt;&gt;0,$H395&gt;0,OR(AUTOEVENTO&lt;&gt;"manual",$M395&lt;&gt;$A$15)),
        IF(Import.TipoArredondamento&lt;&gt;"TransfereGOV",
              ROUND(OFFSET($P395,0,AR$13),15-13*ORÇAMENTO!$AF$7)/$H395*OFFSET(ORÇAMENTO!$X$15,ROW(AR395)-ROW(AR$15),0),
              ROUND(ROUND(OFFSET($P395,0,AR$13),15-13*ORÇAMENTO!$AF$7)*OFFSET(ORÇAMENTO!$W$15,ROW(AR395)-ROW(AR$15),0),15-13*ORÇAMENTO!$AF$11)),
         0)</f>
        <v>0</v>
      </c>
      <c r="AS395" s="453">
        <f ca="1">IF(AND($D395="Serviço",AS$12&lt;&gt;0,$H395&gt;0,OR(AUTOEVENTO&lt;&gt;"manual",$M395&lt;&gt;$A$15)),
        IF(Import.TipoArredondamento&lt;&gt;"TransfereGOV",
              ROUND(OFFSET($P395,0,AS$13),15-13*ORÇAMENTO!$AF$7)/$H395*OFFSET(ORÇAMENTO!$X$15,ROW(AS395)-ROW(AS$15),0),
              ROUND(ROUND(OFFSET($P395,0,AS$13),15-13*ORÇAMENTO!$AF$7)*OFFSET(ORÇAMENTO!$W$15,ROW(AS395)-ROW(AS$15),0),15-13*ORÇAMENTO!$AF$11)),
         0)</f>
        <v>0</v>
      </c>
      <c r="AT395" s="453">
        <f ca="1">IF(AND($D395="Serviço",AT$12&lt;&gt;0,$H395&gt;0,OR(AUTOEVENTO&lt;&gt;"manual",$M395&lt;&gt;$A$15)),
        IF(Import.TipoArredondamento&lt;&gt;"TransfereGOV",
              ROUND(OFFSET($P395,0,AT$13),15-13*ORÇAMENTO!$AF$7)/$H395*OFFSET(ORÇAMENTO!$X$15,ROW(AT395)-ROW(AT$15),0),
              ROUND(ROUND(OFFSET($P395,0,AT$13),15-13*ORÇAMENTO!$AF$7)*OFFSET(ORÇAMENTO!$W$15,ROW(AT395)-ROW(AT$15),0),15-13*ORÇAMENTO!$AF$11)),
         0)</f>
        <v>0</v>
      </c>
      <c r="AU395" s="453">
        <f ca="1">IF(AND($D395="Serviço",AU$12&lt;&gt;0,$H395&gt;0,OR(AUTOEVENTO&lt;&gt;"manual",$M395&lt;&gt;$A$15)),
        IF(Import.TipoArredondamento&lt;&gt;"TransfereGOV",
              ROUND(OFFSET($P395,0,AU$13),15-13*ORÇAMENTO!$AF$7)/$H395*OFFSET(ORÇAMENTO!$X$15,ROW(AU395)-ROW(AU$15),0),
              ROUND(ROUND(OFFSET($P395,0,AU$13),15-13*ORÇAMENTO!$AF$7)*OFFSET(ORÇAMENTO!$W$15,ROW(AU395)-ROW(AU$15),0),15-13*ORÇAMENTO!$AF$11)),
         0)</f>
        <v>0</v>
      </c>
      <c r="AV395" s="453">
        <f ca="1">IF(AND($D395="Serviço",AV$12&lt;&gt;0,$H395&gt;0,OR(AUTOEVENTO&lt;&gt;"manual",$M395&lt;&gt;$A$15)),
        IF(Import.TipoArredondamento&lt;&gt;"TransfereGOV",
              ROUND(OFFSET($P395,0,AV$13),15-13*ORÇAMENTO!$AF$7)/$H395*OFFSET(ORÇAMENTO!$X$15,ROW(AV395)-ROW(AV$15),0),
              ROUND(ROUND(OFFSET($P395,0,AV$13),15-13*ORÇAMENTO!$AF$7)*OFFSET(ORÇAMENTO!$W$15,ROW(AV395)-ROW(AV$15),0),15-13*ORÇAMENTO!$AF$11)),
         0)</f>
        <v>0</v>
      </c>
      <c r="AW395" s="453">
        <f ca="1">IF(AND($D395="Serviço",AW$12&lt;&gt;0,$H395&gt;0,OR(AUTOEVENTO&lt;&gt;"manual",$M395&lt;&gt;$A$15)),
        IF(Import.TipoArredondamento&lt;&gt;"TransfereGOV",
              ROUND(OFFSET($P395,0,AW$13),15-13*ORÇAMENTO!$AF$7)/$H395*OFFSET(ORÇAMENTO!$X$15,ROW(AW395)-ROW(AW$15),0),
              ROUND(ROUND(OFFSET($P395,0,AW$13),15-13*ORÇAMENTO!$AF$7)*OFFSET(ORÇAMENTO!$W$15,ROW(AW395)-ROW(AW$15),0),15-13*ORÇAMENTO!$AF$11)),
         0)</f>
        <v>0</v>
      </c>
      <c r="AX395" s="453">
        <f ca="1">IF(AND($D395="Serviço",AX$12&lt;&gt;0,$H395&gt;0,OR(AUTOEVENTO&lt;&gt;"manual",$M395&lt;&gt;$A$15)),
        IF(Import.TipoArredondamento&lt;&gt;"TransfereGOV",
              ROUND(OFFSET($P395,0,AX$13),15-13*ORÇAMENTO!$AF$7)/$H395*OFFSET(ORÇAMENTO!$X$15,ROW(AX395)-ROW(AX$15),0),
              ROUND(ROUND(OFFSET($P395,0,AX$13),15-13*ORÇAMENTO!$AF$7)*OFFSET(ORÇAMENTO!$W$15,ROW(AX395)-ROW(AX$15),0),15-13*ORÇAMENTO!$AF$11)),
         0)</f>
        <v>0</v>
      </c>
      <c r="AY395" s="453">
        <f ca="1">IF(AND($D395="Serviço",AY$12&lt;&gt;0,$H395&gt;0,OR(AUTOEVENTO&lt;&gt;"manual",$M395&lt;&gt;$A$15)),
        IF(Import.TipoArredondamento&lt;&gt;"TransfereGOV",
              ROUND(OFFSET($P395,0,AY$13),15-13*ORÇAMENTO!$AF$7)/$H395*OFFSET(ORÇAMENTO!$X$15,ROW(AY395)-ROW(AY$15),0),
              ROUND(ROUND(OFFSET($P395,0,AY$13),15-13*ORÇAMENTO!$AF$7)*OFFSET(ORÇAMENTO!$W$15,ROW(AY395)-ROW(AY$15),0),15-13*ORÇAMENTO!$AF$11)),
         0)</f>
        <v>0</v>
      </c>
      <c r="AZ395" s="453">
        <f ca="1">IF(AND($D395="Serviço",AZ$12&lt;&gt;0,$H395&gt;0,OR(AUTOEVENTO&lt;&gt;"manual",$M395&lt;&gt;$A$15)),
        IF(Import.TipoArredondamento&lt;&gt;"TransfereGOV",
              ROUND(OFFSET($P395,0,AZ$13),15-13*ORÇAMENTO!$AF$7)/$H395*OFFSET(ORÇAMENTO!$X$15,ROW(AZ395)-ROW(AZ$15),0),
              ROUND(ROUND(OFFSET($P395,0,AZ$13),15-13*ORÇAMENTO!$AF$7)*OFFSET(ORÇAMENTO!$W$15,ROW(AZ395)-ROW(AZ$15),0),15-13*ORÇAMENTO!$AF$11)),
         0)</f>
        <v>0</v>
      </c>
      <c r="BA395" s="453">
        <f ca="1">IF(AND($D395="Serviço",BA$12&lt;&gt;0,$H395&gt;0,OR(AUTOEVENTO&lt;&gt;"manual",$M395&lt;&gt;$A$15)),
        IF(Import.TipoArredondamento&lt;&gt;"TransfereGOV",
              ROUND(OFFSET($P395,0,BA$13),15-13*ORÇAMENTO!$AF$7)/$H395*OFFSET(ORÇAMENTO!$X$15,ROW(BA395)-ROW(BA$15),0),
              ROUND(ROUND(OFFSET($P395,0,BA$13),15-13*ORÇAMENTO!$AF$7)*OFFSET(ORÇAMENTO!$W$15,ROW(BA395)-ROW(BA$15),0),15-13*ORÇAMENTO!$AF$11)),
         0)</f>
        <v>0</v>
      </c>
      <c r="BC395" s="171">
        <f ca="1">IF(OR($D395&lt;&gt;"Serviço",AND(AUTOEVENTO="Manual",$M395=$A$15)),0,
         IF(OFFSET(CRONOPLE!$F$15,$M395-$A$15,BC$13)=0,10^12,OFFSET(CRONOPLE!$F$15,$M395-$A$15,BC$13)))</f>
        <v>0</v>
      </c>
      <c r="BD395" s="171">
        <f ca="1">IF(OR($D395&lt;&gt;"Serviço",AND(AUTOEVENTO="Manual",$M395=$A$15)),0,
         IF(OFFSET(CRONOPLE!$F$15,$M395-$A$15,BD$13)=0,10^12,OFFSET(CRONOPLE!$F$15,$M395-$A$15,BD$13)))</f>
        <v>0</v>
      </c>
      <c r="BE395" s="171">
        <f ca="1">IF(OR($D395&lt;&gt;"Serviço",AND(AUTOEVENTO="Manual",$M395=$A$15)),0,
         IF(OFFSET(CRONOPLE!$F$15,$M395-$A$15,BE$13)=0,10^12,OFFSET(CRONOPLE!$F$15,$M395-$A$15,BE$13)))</f>
        <v>0</v>
      </c>
      <c r="BF395" s="171">
        <f ca="1">IF(OR($D395&lt;&gt;"Serviço",AND(AUTOEVENTO="Manual",$M395=$A$15)),0,
         IF(OFFSET(CRONOPLE!$F$15,$M395-$A$15,BF$13)=0,10^12,OFFSET(CRONOPLE!$F$15,$M395-$A$15,BF$13)))</f>
        <v>0</v>
      </c>
      <c r="BG395" s="171">
        <f ca="1">IF(OR($D395&lt;&gt;"Serviço",AND(AUTOEVENTO="Manual",$M395=$A$15)),0,
         IF(OFFSET(CRONOPLE!$F$15,$M395-$A$15,BG$13)=0,10^12,OFFSET(CRONOPLE!$F$15,$M395-$A$15,BG$13)))</f>
        <v>0</v>
      </c>
      <c r="BH395" s="171">
        <f ca="1">IF(OR($D395&lt;&gt;"Serviço",AND(AUTOEVENTO="Manual",$M395=$A$15)),0,
         IF(OFFSET(CRONOPLE!$F$15,$M395-$A$15,BH$13)=0,10^12,OFFSET(CRONOPLE!$F$15,$M395-$A$15,BH$13)))</f>
        <v>0</v>
      </c>
      <c r="BI395" s="171">
        <f ca="1">IF(OR($D395&lt;&gt;"Serviço",AND(AUTOEVENTO="Manual",$M395=$A$15)),0,
         IF(OFFSET(CRONOPLE!$F$15,$M395-$A$15,BI$13)=0,10^12,OFFSET(CRONOPLE!$F$15,$M395-$A$15,BI$13)))</f>
        <v>0</v>
      </c>
      <c r="BJ395" s="171">
        <f ca="1">IF(OR($D395&lt;&gt;"Serviço",AND(AUTOEVENTO="Manual",$M395=$A$15)),0,
         IF(OFFSET(CRONOPLE!$F$15,$M395-$A$15,BJ$13)=0,10^12,OFFSET(CRONOPLE!$F$15,$M395-$A$15,BJ$13)))</f>
        <v>0</v>
      </c>
      <c r="BK395" s="171">
        <f ca="1">IF(OR($D395&lt;&gt;"Serviço",AND(AUTOEVENTO="Manual",$M395=$A$15)),0,
         IF(OFFSET(CRONOPLE!$F$15,$M395-$A$15,BK$13)=0,10^12,OFFSET(CRONOPLE!$F$15,$M395-$A$15,BK$13)))</f>
        <v>0</v>
      </c>
      <c r="BL395" s="171">
        <f ca="1">IF(OR($D395&lt;&gt;"Serviço",AND(AUTOEVENTO="Manual",$M395=$A$15)),0,
         IF(OFFSET(CRONOPLE!$F$15,$M395-$A$15,BL$13)=0,10^12,OFFSET(CRONOPLE!$F$15,$M395-$A$15,BL$13)))</f>
        <v>0</v>
      </c>
      <c r="BM395" s="171">
        <f ca="1">IF(OR($D395&lt;&gt;"Serviço",AND(AUTOEVENTO="Manual",$M395=$A$15)),0,
         IF(OFFSET(CRONOPLE!$F$15,$M395-$A$15,BM$13)=0,10^12,OFFSET(CRONOPLE!$F$15,$M395-$A$15,BM$13)))</f>
        <v>0</v>
      </c>
      <c r="BN395" s="171">
        <f ca="1">IF(OR($D395&lt;&gt;"Serviço",AND(AUTOEVENTO="Manual",$M395=$A$15)),0,
         IF(OFFSET(CRONOPLE!$F$15,$M395-$A$15,BN$13)=0,10^12,OFFSET(CRONOPLE!$F$15,$M395-$A$15,BN$13)))</f>
        <v>0</v>
      </c>
      <c r="BO395" s="171">
        <f ca="1">IF(OR($D395&lt;&gt;"Serviço",AND(AUTOEVENTO="Manual",$M395=$A$15)),0,
         IF(OFFSET(CRONOPLE!$F$15,$M395-$A$15,BO$13)=0,10^12,OFFSET(CRONOPLE!$F$15,$M395-$A$15,BO$13)))</f>
        <v>0</v>
      </c>
      <c r="BP395" s="171">
        <f ca="1">IF(OR($D395&lt;&gt;"Serviço",AND(AUTOEVENTO="Manual",$M395=$A$15)),0,
         IF(OFFSET(CRONOPLE!$F$15,$M395-$A$15,BP$13)=0,10^12,OFFSET(CRONOPLE!$F$15,$M395-$A$15,BP$13)))</f>
        <v>0</v>
      </c>
      <c r="BQ395" s="171">
        <f ca="1">IF(OR($D395&lt;&gt;"Serviço",AND(AUTOEVENTO="Manual",$M395=$A$15)),0,
         IF(OFFSET(CRONOPLE!$F$15,$M395-$A$15,BQ$13)=0,10^12,OFFSET(CRONOPLE!$F$15,$M395-$A$15,BQ$13)))</f>
        <v>0</v>
      </c>
      <c r="BR395" s="171">
        <f ca="1">IF(OR($D395&lt;&gt;"Serviço",AND(AUTOEVENTO="Manual",$M395=$A$15)),0,
         IF(OFFSET(CRONOPLE!$F$15,$M395-$A$15,BR$13)=0,10^12,OFFSET(CRONOPLE!$F$15,$M395-$A$15,BR$13)))</f>
        <v>0</v>
      </c>
      <c r="BS395" s="171">
        <f ca="1">IF(OR($D395&lt;&gt;"Serviço",AND(AUTOEVENTO="Manual",$M395=$A$15)),0,
         IF(OFFSET(CRONOPLE!$F$15,$M395-$A$15,BS$13)=0,10^12,OFFSET(CRONOPLE!$F$15,$M395-$A$15,BS$13)))</f>
        <v>0</v>
      </c>
      <c r="BT395" s="171">
        <f ca="1">IF(OR($D395&lt;&gt;"Serviço",AND(AUTOEVENTO="Manual",$M395=$A$15)),0,
         IF(OFFSET(CRONOPLE!$F$15,$M395-$A$15,BT$13)=0,10^12,OFFSET(CRONOPLE!$F$15,$M395-$A$15,BT$13)))</f>
        <v>0</v>
      </c>
      <c r="BV395" s="172">
        <f ca="1">IF(OR($D395&lt;&gt;"Serviço",AND(AUTOEVENTO="Manual",$M395=$A$15),$M395&gt;(ROW(PLE.lastrow)-ROW(PLE.firstrow))),0,
           IF(OFFSET(PLE!$G$15,$M395-$A$15,BV$13)="",10^12,OFFSET(PLE!$G$15,$M395-$A$15,BV$13)))</f>
        <v>0</v>
      </c>
      <c r="BW395" s="172">
        <f ca="1">IF(OR($D395&lt;&gt;"Serviço",AND(AUTOEVENTO="Manual",$M395=$A$15),$M395&gt;(ROW(PLE.lastrow)-ROW(PLE.firstrow))),0,
           IF(OFFSET(PLE!$G$15,$M395-$A$15,BW$13)="",10^12,OFFSET(PLE!$G$15,$M395-$A$15,BW$13)))</f>
        <v>0</v>
      </c>
      <c r="BX395" s="172">
        <f ca="1">IF(OR($D395&lt;&gt;"Serviço",AND(AUTOEVENTO="Manual",$M395=$A$15),$M395&gt;(ROW(PLE.lastrow)-ROW(PLE.firstrow))),0,
           IF(OFFSET(PLE!$G$15,$M395-$A$15,BX$13)="",10^12,OFFSET(PLE!$G$15,$M395-$A$15,BX$13)))</f>
        <v>0</v>
      </c>
      <c r="BY395" s="172">
        <f ca="1">IF(OR($D395&lt;&gt;"Serviço",AND(AUTOEVENTO="Manual",$M395=$A$15),$M395&gt;(ROW(PLE.lastrow)-ROW(PLE.firstrow))),0,
           IF(OFFSET(PLE!$G$15,$M395-$A$15,BY$13)="",10^12,OFFSET(PLE!$G$15,$M395-$A$15,BY$13)))</f>
        <v>0</v>
      </c>
      <c r="BZ395" s="172">
        <f ca="1">IF(OR($D395&lt;&gt;"Serviço",AND(AUTOEVENTO="Manual",$M395=$A$15),$M395&gt;(ROW(PLE.lastrow)-ROW(PLE.firstrow))),0,
           IF(OFFSET(PLE!$G$15,$M395-$A$15,BZ$13)="",10^12,OFFSET(PLE!$G$15,$M395-$A$15,BZ$13)))</f>
        <v>0</v>
      </c>
      <c r="CA395" s="172">
        <f ca="1">IF(OR($D395&lt;&gt;"Serviço",AND(AUTOEVENTO="Manual",$M395=$A$15),$M395&gt;(ROW(PLE.lastrow)-ROW(PLE.firstrow))),0,
           IF(OFFSET(PLE!$G$15,$M395-$A$15,CA$13)="",10^12,OFFSET(PLE!$G$15,$M395-$A$15,CA$13)))</f>
        <v>0</v>
      </c>
      <c r="CB395" s="172">
        <f ca="1">IF(OR($D395&lt;&gt;"Serviço",AND(AUTOEVENTO="Manual",$M395=$A$15),$M395&gt;(ROW(PLE.lastrow)-ROW(PLE.firstrow))),0,
           IF(OFFSET(PLE!$G$15,$M395-$A$15,CB$13)="",10^12,OFFSET(PLE!$G$15,$M395-$A$15,CB$13)))</f>
        <v>0</v>
      </c>
      <c r="CC395" s="172">
        <f ca="1">IF(OR($D395&lt;&gt;"Serviço",AND(AUTOEVENTO="Manual",$M395=$A$15),$M395&gt;(ROW(PLE.lastrow)-ROW(PLE.firstrow))),0,
           IF(OFFSET(PLE!$G$15,$M395-$A$15,CC$13)="",10^12,OFFSET(PLE!$G$15,$M395-$A$15,CC$13)))</f>
        <v>0</v>
      </c>
      <c r="CD395" s="172">
        <f ca="1">IF(OR($D395&lt;&gt;"Serviço",AND(AUTOEVENTO="Manual",$M395=$A$15),$M395&gt;(ROW(PLE.lastrow)-ROW(PLE.firstrow))),0,
           IF(OFFSET(PLE!$G$15,$M395-$A$15,CD$13)="",10^12,OFFSET(PLE!$G$15,$M395-$A$15,CD$13)))</f>
        <v>0</v>
      </c>
      <c r="CE395" s="172">
        <f ca="1">IF(OR($D395&lt;&gt;"Serviço",AND(AUTOEVENTO="Manual",$M395=$A$15),$M395&gt;(ROW(PLE.lastrow)-ROW(PLE.firstrow))),0,
           IF(OFFSET(PLE!$G$15,$M395-$A$15,CE$13)="",10^12,OFFSET(PLE!$G$15,$M395-$A$15,CE$13)))</f>
        <v>0</v>
      </c>
      <c r="CF395" s="172">
        <f ca="1">IF(OR($D395&lt;&gt;"Serviço",AND(AUTOEVENTO="Manual",$M395=$A$15),$M395&gt;(ROW(PLE.lastrow)-ROW(PLE.firstrow))),0,
           IF(OFFSET(PLE!$G$15,$M395-$A$15,CF$13)="",10^12,OFFSET(PLE!$G$15,$M395-$A$15,CF$13)))</f>
        <v>0</v>
      </c>
      <c r="CG395" s="172">
        <f ca="1">IF(OR($D395&lt;&gt;"Serviço",AND(AUTOEVENTO="Manual",$M395=$A$15),$M395&gt;(ROW(PLE.lastrow)-ROW(PLE.firstrow))),0,
           IF(OFFSET(PLE!$G$15,$M395-$A$15,CG$13)="",10^12,OFFSET(PLE!$G$15,$M395-$A$15,CG$13)))</f>
        <v>0</v>
      </c>
      <c r="CH395" s="172">
        <f ca="1">IF(OR($D395&lt;&gt;"Serviço",AND(AUTOEVENTO="Manual",$M395=$A$15),$M395&gt;(ROW(PLE.lastrow)-ROW(PLE.firstrow))),0,
           IF(OFFSET(PLE!$G$15,$M395-$A$15,CH$13)="",10^12,OFFSET(PLE!$G$15,$M395-$A$15,CH$13)))</f>
        <v>0</v>
      </c>
      <c r="CI395" s="172">
        <f ca="1">IF(OR($D395&lt;&gt;"Serviço",AND(AUTOEVENTO="Manual",$M395=$A$15),$M395&gt;(ROW(PLE.lastrow)-ROW(PLE.firstrow))),0,
           IF(OFFSET(PLE!$G$15,$M395-$A$15,CI$13)="",10^12,OFFSET(PLE!$G$15,$M395-$A$15,CI$13)))</f>
        <v>0</v>
      </c>
      <c r="CJ395" s="172">
        <f ca="1">IF(OR($D395&lt;&gt;"Serviço",AND(AUTOEVENTO="Manual",$M395=$A$15),$M395&gt;(ROW(PLE.lastrow)-ROW(PLE.firstrow))),0,
           IF(OFFSET(PLE!$G$15,$M395-$A$15,CJ$13)="",10^12,OFFSET(PLE!$G$15,$M395-$A$15,CJ$13)))</f>
        <v>0</v>
      </c>
      <c r="CK395" s="172">
        <f ca="1">IF(OR($D395&lt;&gt;"Serviço",AND(AUTOEVENTO="Manual",$M395=$A$15),$M395&gt;(ROW(PLE.lastrow)-ROW(PLE.firstrow))),0,
           IF(OFFSET(PLE!$G$15,$M395-$A$15,CK$13)="",10^12,OFFSET(PLE!$G$15,$M395-$A$15,CK$13)))</f>
        <v>0</v>
      </c>
      <c r="CL395" s="172">
        <f ca="1">IF(OR($D395&lt;&gt;"Serviço",AND(AUTOEVENTO="Manual",$M395=$A$15),$M395&gt;(ROW(PLE.lastrow)-ROW(PLE.firstrow))),0,
           IF(OFFSET(PLE!$G$15,$M395-$A$15,CL$13)="",10^12,OFFSET(PLE!$G$15,$M395-$A$15,CL$13)))</f>
        <v>0</v>
      </c>
      <c r="CM395" s="172">
        <f ca="1">IF(OR($D395&lt;&gt;"Serviço",AND(AUTOEVENTO="Manual",$M395=$A$15),$M395&gt;(ROW(PLE.lastrow)-ROW(PLE.firstrow))),0,
           IF(OFFSET(PLE!$G$15,$M395-$A$15,CM$13)="",10^12,OFFSET(PLE!$G$15,$M395-$A$15,CM$13)))</f>
        <v>0</v>
      </c>
    </row>
    <row r="396" spans="1:91" ht="38.25" x14ac:dyDescent="0.2">
      <c r="A396" s="7">
        <f t="shared" ca="1" si="15"/>
        <v>7</v>
      </c>
      <c r="B396" s="7" t="str">
        <f ca="1">OFFSET(ORÇAMENTO!C$15,ROW(B396)-ROW(B$15),0)</f>
        <v>S</v>
      </c>
      <c r="C396" s="7" t="str">
        <f ca="1">OFFSET(ORÇAMENTO!L$15,ROW(C396)-ROW(C$15),0)</f>
        <v>F</v>
      </c>
      <c r="D396" s="116" t="str">
        <f ca="1">OFFSET(ORÇAMENTO!N$15,ROW(D396)-ROW(D$15),0)</f>
        <v>Serviço</v>
      </c>
      <c r="E396" s="117" t="str">
        <f ca="1">OFFSET(ORÇAMENTO!O$15,ROW(E396)-ROW(E$15),0)</f>
        <v>1.8.2.2.1.</v>
      </c>
      <c r="F396" s="163" t="str">
        <f ca="1">OFFSET(ORÇAMENTO!R$15,ROW(F396)-ROW(F$15),0)</f>
        <v>INTERRUPTOR SIMPLES (1 MÓDULO) COM 1 TOMADA DE EMBUTIR 2P+T 10 A, INCLUINDO SUPORTE E PLACA - FORNECIMENTO E INSTALAÇÃO. AF_03/2023</v>
      </c>
      <c r="G396" s="164" t="str">
        <f ca="1">IF($D396&lt;&gt;"Serviço","",OFFSET(ORÇAMENTO!S$15,ROW(G396)-ROW(G$15),0))</f>
        <v>UN</v>
      </c>
      <c r="H396" s="122" cm="1">
        <f t="array" aca="1" ref="H396" ca="1">IF($D396&lt;&gt;"Serviço",0,IF(ACOMPANHAMENTO="BM",ROUND(OFFSET(ORÇAMENTO!AJ$15,ROW(H396)-ROW(H$15),0),15-13*ORÇAMENTO!$AF$7),SUMPRODUCT(($Q$1:$AI$1=1)*ROUND($Q396:$AI396,15-13*ORÇAMENTO!$AF$7))))</f>
        <v>1</v>
      </c>
      <c r="I396" s="468" t="s">
        <v>1431</v>
      </c>
      <c r="J396" s="640" t="str" cm="1">
        <f t="array" aca="1" ref="J396" ca="1">IF(OR(B396&lt;&gt;"S",CÁLCULO.FrentesPreenchidas=0),"",IF(AND(ACOMPANHAMENTO="PLE",AUTOEVENTO="Manual",OR(H396&gt;0,ORÇAMENTO!AC396="QUANT."),OR(K396="",M396=0,N396="")),"►E",IF(AND(ACOMPANHAMENTO="PLE",ORÇAMENTO!AC396="QUANT."),"►Q",IF(AND(ACOMPANHAMENTO="PLE",H396&lt;&gt;SUMPRODUCT(($Q$1:$AI$1=1)*ROUND(Q396:AI396,15))),"►S",IF(AND(COUNTIF($P$11:$AI$11,"▼")=0,H396&gt;0,I396=""),"◄M","")))))</f>
        <v/>
      </c>
      <c r="K396" s="641" t="s">
        <v>1391</v>
      </c>
      <c r="L396" s="165" t="s">
        <v>764</v>
      </c>
      <c r="M396" s="166">
        <f ca="1">IF($D396&lt;&gt;"Serviço","",
          IF(AUTOEVENTO="manual",$A396,
                IF(ISERROR(MATCH($A396,$A$15:OFFSET($A396,-1,0),0)),MAX($M$15:OFFSET(M396,-1,0))+1,
                      INDEX($M$15:OFFSET(M396,-1,0),MATCH($A396,$A$15:OFFSET($A396,-1,0),0)))))</f>
        <v>7</v>
      </c>
      <c r="N396" s="167" t="str">
        <f ca="1">IF($D396&lt;&gt;"Serviço","",
         IF(AUTOEVENTO="Manual",
                IF($A396=0,"&lt;-- defina o número do agrupador",
                       OFFSET(EVENTOS!$D$15,$A396-$A$15,0)),
                OFFSET($F$15,$A396,0)))</f>
        <v>Instalações Elétricas</v>
      </c>
      <c r="O396" s="168"/>
      <c r="Q396" s="168"/>
      <c r="R396" s="169"/>
      <c r="S396" s="169"/>
      <c r="T396" s="169"/>
      <c r="U396" s="169"/>
      <c r="V396" s="169"/>
      <c r="W396" s="169"/>
      <c r="X396" s="169">
        <v>1</v>
      </c>
      <c r="Y396" s="169"/>
      <c r="Z396" s="170"/>
      <c r="AA396" s="169"/>
      <c r="AB396" s="169"/>
      <c r="AC396" s="169"/>
      <c r="AD396" s="169"/>
      <c r="AE396" s="169"/>
      <c r="AF396" s="169"/>
      <c r="AG396" s="169"/>
      <c r="AH396" s="170"/>
      <c r="AJ396" s="453">
        <f ca="1">IF(AND($D396="Serviço",AJ$12&lt;&gt;0,$H396&gt;0,OR(AUTOEVENTO&lt;&gt;"manual",$M396&lt;&gt;$A$15)),
        IF(Import.TipoArredondamento&lt;&gt;"TransfereGOV",
              ROUND(OFFSET($P396,0,AJ$13),15-13*ORÇAMENTO!$AF$7)/$H396*OFFSET(ORÇAMENTO!$X$15,ROW(AJ396)-ROW(AJ$15),0),
              ROUND(ROUND(OFFSET($P396,0,AJ$13),15-13*ORÇAMENTO!$AF$7)*OFFSET(ORÇAMENTO!$W$15,ROW(AJ396)-ROW(AJ$15),0),15-13*ORÇAMENTO!$AF$11)),
         0)</f>
        <v>0</v>
      </c>
      <c r="AK396" s="453">
        <f ca="1">IF(AND($D396="Serviço",AK$12&lt;&gt;0,$H396&gt;0,OR(AUTOEVENTO&lt;&gt;"manual",$M396&lt;&gt;$A$15)),
        IF(Import.TipoArredondamento&lt;&gt;"TransfereGOV",
              ROUND(OFFSET($P396,0,AK$13),15-13*ORÇAMENTO!$AF$7)/$H396*OFFSET(ORÇAMENTO!$X$15,ROW(AK396)-ROW(AK$15),0),
              ROUND(ROUND(OFFSET($P396,0,AK$13),15-13*ORÇAMENTO!$AF$7)*OFFSET(ORÇAMENTO!$W$15,ROW(AK396)-ROW(AK$15),0),15-13*ORÇAMENTO!$AF$11)),
         0)</f>
        <v>0</v>
      </c>
      <c r="AL396" s="453">
        <f ca="1">IF(AND($D396="Serviço",AL$12&lt;&gt;0,$H396&gt;0,OR(AUTOEVENTO&lt;&gt;"manual",$M396&lt;&gt;$A$15)),
        IF(Import.TipoArredondamento&lt;&gt;"TransfereGOV",
              ROUND(OFFSET($P396,0,AL$13),15-13*ORÇAMENTO!$AF$7)/$H396*OFFSET(ORÇAMENTO!$X$15,ROW(AL396)-ROW(AL$15),0),
              ROUND(ROUND(OFFSET($P396,0,AL$13),15-13*ORÇAMENTO!$AF$7)*OFFSET(ORÇAMENTO!$W$15,ROW(AL396)-ROW(AL$15),0),15-13*ORÇAMENTO!$AF$11)),
         0)</f>
        <v>0</v>
      </c>
      <c r="AM396" s="453">
        <f ca="1">IF(AND($D396="Serviço",AM$12&lt;&gt;0,$H396&gt;0,OR(AUTOEVENTO&lt;&gt;"manual",$M396&lt;&gt;$A$15)),
        IF(Import.TipoArredondamento&lt;&gt;"TransfereGOV",
              ROUND(OFFSET($P396,0,AM$13),15-13*ORÇAMENTO!$AF$7)/$H396*OFFSET(ORÇAMENTO!$X$15,ROW(AM396)-ROW(AM$15),0),
              ROUND(ROUND(OFFSET($P396,0,AM$13),15-13*ORÇAMENTO!$AF$7)*OFFSET(ORÇAMENTO!$W$15,ROW(AM396)-ROW(AM$15),0),15-13*ORÇAMENTO!$AF$11)),
         0)</f>
        <v>0</v>
      </c>
      <c r="AN396" s="453">
        <f ca="1">IF(AND($D396="Serviço",AN$12&lt;&gt;0,$H396&gt;0,OR(AUTOEVENTO&lt;&gt;"manual",$M396&lt;&gt;$A$15)),
        IF(Import.TipoArredondamento&lt;&gt;"TransfereGOV",
              ROUND(OFFSET($P396,0,AN$13),15-13*ORÇAMENTO!$AF$7)/$H396*OFFSET(ORÇAMENTO!$X$15,ROW(AN396)-ROW(AN$15),0),
              ROUND(ROUND(OFFSET($P396,0,AN$13),15-13*ORÇAMENTO!$AF$7)*OFFSET(ORÇAMENTO!$W$15,ROW(AN396)-ROW(AN$15),0),15-13*ORÇAMENTO!$AF$11)),
         0)</f>
        <v>0</v>
      </c>
      <c r="AO396" s="453">
        <f ca="1">IF(AND($D396="Serviço",AO$12&lt;&gt;0,$H396&gt;0,OR(AUTOEVENTO&lt;&gt;"manual",$M396&lt;&gt;$A$15)),
        IF(Import.TipoArredondamento&lt;&gt;"TransfereGOV",
              ROUND(OFFSET($P396,0,AO$13),15-13*ORÇAMENTO!$AF$7)/$H396*OFFSET(ORÇAMENTO!$X$15,ROW(AO396)-ROW(AO$15),0),
              ROUND(ROUND(OFFSET($P396,0,AO$13),15-13*ORÇAMENTO!$AF$7)*OFFSET(ORÇAMENTO!$W$15,ROW(AO396)-ROW(AO$15),0),15-13*ORÇAMENTO!$AF$11)),
         0)</f>
        <v>0</v>
      </c>
      <c r="AP396" s="453">
        <f ca="1">IF(AND($D396="Serviço",AP$12&lt;&gt;0,$H396&gt;0,OR(AUTOEVENTO&lt;&gt;"manual",$M396&lt;&gt;$A$15)),
        IF(Import.TipoArredondamento&lt;&gt;"TransfereGOV",
              ROUND(OFFSET($P396,0,AP$13),15-13*ORÇAMENTO!$AF$7)/$H396*OFFSET(ORÇAMENTO!$X$15,ROW(AP396)-ROW(AP$15),0),
              ROUND(ROUND(OFFSET($P396,0,AP$13),15-13*ORÇAMENTO!$AF$7)*OFFSET(ORÇAMENTO!$W$15,ROW(AP396)-ROW(AP$15),0),15-13*ORÇAMENTO!$AF$11)),
         0)</f>
        <v>0</v>
      </c>
      <c r="AQ396" s="453">
        <f ca="1">IF(AND($D396="Serviço",AQ$12&lt;&gt;0,$H396&gt;0,OR(AUTOEVENTO&lt;&gt;"manual",$M396&lt;&gt;$A$15)),
        IF(Import.TipoArredondamento&lt;&gt;"TransfereGOV",
              ROUND(OFFSET($P396,0,AQ$13),15-13*ORÇAMENTO!$AF$7)/$H396*OFFSET(ORÇAMENTO!$X$15,ROW(AQ396)-ROW(AQ$15),0),
              ROUND(ROUND(OFFSET($P396,0,AQ$13),15-13*ORÇAMENTO!$AF$7)*OFFSET(ORÇAMENTO!$W$15,ROW(AQ396)-ROW(AQ$15),0),15-13*ORÇAMENTO!$AF$11)),
         0)</f>
        <v>0</v>
      </c>
      <c r="AR396" s="453">
        <f ca="1">IF(AND($D396="Serviço",AR$12&lt;&gt;0,$H396&gt;0,OR(AUTOEVENTO&lt;&gt;"manual",$M396&lt;&gt;$A$15)),
        IF(Import.TipoArredondamento&lt;&gt;"TransfereGOV",
              ROUND(OFFSET($P396,0,AR$13),15-13*ORÇAMENTO!$AF$7)/$H396*OFFSET(ORÇAMENTO!$X$15,ROW(AR396)-ROW(AR$15),0),
              ROUND(ROUND(OFFSET($P396,0,AR$13),15-13*ORÇAMENTO!$AF$7)*OFFSET(ORÇAMENTO!$W$15,ROW(AR396)-ROW(AR$15),0),15-13*ORÇAMENTO!$AF$11)),
         0)</f>
        <v>0</v>
      </c>
      <c r="AS396" s="453">
        <f ca="1">IF(AND($D396="Serviço",AS$12&lt;&gt;0,$H396&gt;0,OR(AUTOEVENTO&lt;&gt;"manual",$M396&lt;&gt;$A$15)),
        IF(Import.TipoArredondamento&lt;&gt;"TransfereGOV",
              ROUND(OFFSET($P396,0,AS$13),15-13*ORÇAMENTO!$AF$7)/$H396*OFFSET(ORÇAMENTO!$X$15,ROW(AS396)-ROW(AS$15),0),
              ROUND(ROUND(OFFSET($P396,0,AS$13),15-13*ORÇAMENTO!$AF$7)*OFFSET(ORÇAMENTO!$W$15,ROW(AS396)-ROW(AS$15),0),15-13*ORÇAMENTO!$AF$11)),
         0)</f>
        <v>0</v>
      </c>
      <c r="AT396" s="453">
        <f ca="1">IF(AND($D396="Serviço",AT$12&lt;&gt;0,$H396&gt;0,OR(AUTOEVENTO&lt;&gt;"manual",$M396&lt;&gt;$A$15)),
        IF(Import.TipoArredondamento&lt;&gt;"TransfereGOV",
              ROUND(OFFSET($P396,0,AT$13),15-13*ORÇAMENTO!$AF$7)/$H396*OFFSET(ORÇAMENTO!$X$15,ROW(AT396)-ROW(AT$15),0),
              ROUND(ROUND(OFFSET($P396,0,AT$13),15-13*ORÇAMENTO!$AF$7)*OFFSET(ORÇAMENTO!$W$15,ROW(AT396)-ROW(AT$15),0),15-13*ORÇAMENTO!$AF$11)),
         0)</f>
        <v>0</v>
      </c>
      <c r="AU396" s="453">
        <f ca="1">IF(AND($D396="Serviço",AU$12&lt;&gt;0,$H396&gt;0,OR(AUTOEVENTO&lt;&gt;"manual",$M396&lt;&gt;$A$15)),
        IF(Import.TipoArredondamento&lt;&gt;"TransfereGOV",
              ROUND(OFFSET($P396,0,AU$13),15-13*ORÇAMENTO!$AF$7)/$H396*OFFSET(ORÇAMENTO!$X$15,ROW(AU396)-ROW(AU$15),0),
              ROUND(ROUND(OFFSET($P396,0,AU$13),15-13*ORÇAMENTO!$AF$7)*OFFSET(ORÇAMENTO!$W$15,ROW(AU396)-ROW(AU$15),0),15-13*ORÇAMENTO!$AF$11)),
         0)</f>
        <v>0</v>
      </c>
      <c r="AV396" s="453">
        <f ca="1">IF(AND($D396="Serviço",AV$12&lt;&gt;0,$H396&gt;0,OR(AUTOEVENTO&lt;&gt;"manual",$M396&lt;&gt;$A$15)),
        IF(Import.TipoArredondamento&lt;&gt;"TransfereGOV",
              ROUND(OFFSET($P396,0,AV$13),15-13*ORÇAMENTO!$AF$7)/$H396*OFFSET(ORÇAMENTO!$X$15,ROW(AV396)-ROW(AV$15),0),
              ROUND(ROUND(OFFSET($P396,0,AV$13),15-13*ORÇAMENTO!$AF$7)*OFFSET(ORÇAMENTO!$W$15,ROW(AV396)-ROW(AV$15),0),15-13*ORÇAMENTO!$AF$11)),
         0)</f>
        <v>0</v>
      </c>
      <c r="AW396" s="453">
        <f ca="1">IF(AND($D396="Serviço",AW$12&lt;&gt;0,$H396&gt;0,OR(AUTOEVENTO&lt;&gt;"manual",$M396&lt;&gt;$A$15)),
        IF(Import.TipoArredondamento&lt;&gt;"TransfereGOV",
              ROUND(OFFSET($P396,0,AW$13),15-13*ORÇAMENTO!$AF$7)/$H396*OFFSET(ORÇAMENTO!$X$15,ROW(AW396)-ROW(AW$15),0),
              ROUND(ROUND(OFFSET($P396,0,AW$13),15-13*ORÇAMENTO!$AF$7)*OFFSET(ORÇAMENTO!$W$15,ROW(AW396)-ROW(AW$15),0),15-13*ORÇAMENTO!$AF$11)),
         0)</f>
        <v>0</v>
      </c>
      <c r="AX396" s="453">
        <f ca="1">IF(AND($D396="Serviço",AX$12&lt;&gt;0,$H396&gt;0,OR(AUTOEVENTO&lt;&gt;"manual",$M396&lt;&gt;$A$15)),
        IF(Import.TipoArredondamento&lt;&gt;"TransfereGOV",
              ROUND(OFFSET($P396,0,AX$13),15-13*ORÇAMENTO!$AF$7)/$H396*OFFSET(ORÇAMENTO!$X$15,ROW(AX396)-ROW(AX$15),0),
              ROUND(ROUND(OFFSET($P396,0,AX$13),15-13*ORÇAMENTO!$AF$7)*OFFSET(ORÇAMENTO!$W$15,ROW(AX396)-ROW(AX$15),0),15-13*ORÇAMENTO!$AF$11)),
         0)</f>
        <v>0</v>
      </c>
      <c r="AY396" s="453">
        <f ca="1">IF(AND($D396="Serviço",AY$12&lt;&gt;0,$H396&gt;0,OR(AUTOEVENTO&lt;&gt;"manual",$M396&lt;&gt;$A$15)),
        IF(Import.TipoArredondamento&lt;&gt;"TransfereGOV",
              ROUND(OFFSET($P396,0,AY$13),15-13*ORÇAMENTO!$AF$7)/$H396*OFFSET(ORÇAMENTO!$X$15,ROW(AY396)-ROW(AY$15),0),
              ROUND(ROUND(OFFSET($P396,0,AY$13),15-13*ORÇAMENTO!$AF$7)*OFFSET(ORÇAMENTO!$W$15,ROW(AY396)-ROW(AY$15),0),15-13*ORÇAMENTO!$AF$11)),
         0)</f>
        <v>0</v>
      </c>
      <c r="AZ396" s="453">
        <f ca="1">IF(AND($D396="Serviço",AZ$12&lt;&gt;0,$H396&gt;0,OR(AUTOEVENTO&lt;&gt;"manual",$M396&lt;&gt;$A$15)),
        IF(Import.TipoArredondamento&lt;&gt;"TransfereGOV",
              ROUND(OFFSET($P396,0,AZ$13),15-13*ORÇAMENTO!$AF$7)/$H396*OFFSET(ORÇAMENTO!$X$15,ROW(AZ396)-ROW(AZ$15),0),
              ROUND(ROUND(OFFSET($P396,0,AZ$13),15-13*ORÇAMENTO!$AF$7)*OFFSET(ORÇAMENTO!$W$15,ROW(AZ396)-ROW(AZ$15),0),15-13*ORÇAMENTO!$AF$11)),
         0)</f>
        <v>0</v>
      </c>
      <c r="BA396" s="453">
        <f ca="1">IF(AND($D396="Serviço",BA$12&lt;&gt;0,$H396&gt;0,OR(AUTOEVENTO&lt;&gt;"manual",$M396&lt;&gt;$A$15)),
        IF(Import.TipoArredondamento&lt;&gt;"TransfereGOV",
              ROUND(OFFSET($P396,0,BA$13),15-13*ORÇAMENTO!$AF$7)/$H396*OFFSET(ORÇAMENTO!$X$15,ROW(BA396)-ROW(BA$15),0),
              ROUND(ROUND(OFFSET($P396,0,BA$13),15-13*ORÇAMENTO!$AF$7)*OFFSET(ORÇAMENTO!$W$15,ROW(BA396)-ROW(BA$15),0),15-13*ORÇAMENTO!$AF$11)),
         0)</f>
        <v>0</v>
      </c>
      <c r="BC396" s="171">
        <f ca="1">IF(OR($D396&lt;&gt;"Serviço",AND(AUTOEVENTO="Manual",$M396=$A$15)),0,
         IF(OFFSET(CRONOPLE!$F$15,$M396-$A$15,BC$13)=0,10^12,OFFSET(CRONOPLE!$F$15,$M396-$A$15,BC$13)))</f>
        <v>1</v>
      </c>
      <c r="BD396" s="171">
        <f ca="1">IF(OR($D396&lt;&gt;"Serviço",AND(AUTOEVENTO="Manual",$M396=$A$15)),0,
         IF(OFFSET(CRONOPLE!$F$15,$M396-$A$15,BD$13)=0,10^12,OFFSET(CRONOPLE!$F$15,$M396-$A$15,BD$13)))</f>
        <v>2</v>
      </c>
      <c r="BE396" s="171">
        <f ca="1">IF(OR($D396&lt;&gt;"Serviço",AND(AUTOEVENTO="Manual",$M396=$A$15)),0,
         IF(OFFSET(CRONOPLE!$F$15,$M396-$A$15,BE$13)=0,10^12,OFFSET(CRONOPLE!$F$15,$M396-$A$15,BE$13)))</f>
        <v>3</v>
      </c>
      <c r="BF396" s="171">
        <f ca="1">IF(OR($D396&lt;&gt;"Serviço",AND(AUTOEVENTO="Manual",$M396=$A$15)),0,
         IF(OFFSET(CRONOPLE!$F$15,$M396-$A$15,BF$13)=0,10^12,OFFSET(CRONOPLE!$F$15,$M396-$A$15,BF$13)))</f>
        <v>4</v>
      </c>
      <c r="BG396" s="171">
        <f ca="1">IF(OR($D396&lt;&gt;"Serviço",AND(AUTOEVENTO="Manual",$M396=$A$15)),0,
         IF(OFFSET(CRONOPLE!$F$15,$M396-$A$15,BG$13)=0,10^12,OFFSET(CRONOPLE!$F$15,$M396-$A$15,BG$13)))</f>
        <v>5</v>
      </c>
      <c r="BH396" s="171">
        <f ca="1">IF(OR($D396&lt;&gt;"Serviço",AND(AUTOEVENTO="Manual",$M396=$A$15)),0,
         IF(OFFSET(CRONOPLE!$F$15,$M396-$A$15,BH$13)=0,10^12,OFFSET(CRONOPLE!$F$15,$M396-$A$15,BH$13)))</f>
        <v>6</v>
      </c>
      <c r="BI396" s="171">
        <f ca="1">IF(OR($D396&lt;&gt;"Serviço",AND(AUTOEVENTO="Manual",$M396=$A$15)),0,
         IF(OFFSET(CRONOPLE!$F$15,$M396-$A$15,BI$13)=0,10^12,OFFSET(CRONOPLE!$F$15,$M396-$A$15,BI$13)))</f>
        <v>7</v>
      </c>
      <c r="BJ396" s="171">
        <f ca="1">IF(OR($D396&lt;&gt;"Serviço",AND(AUTOEVENTO="Manual",$M396=$A$15)),0,
         IF(OFFSET(CRONOPLE!$F$15,$M396-$A$15,BJ$13)=0,10^12,OFFSET(CRONOPLE!$F$15,$M396-$A$15,BJ$13)))</f>
        <v>8</v>
      </c>
      <c r="BK396" s="171">
        <f ca="1">IF(OR($D396&lt;&gt;"Serviço",AND(AUTOEVENTO="Manual",$M396=$A$15)),0,
         IF(OFFSET(CRONOPLE!$F$15,$M396-$A$15,BK$13)=0,10^12,OFFSET(CRONOPLE!$F$15,$M396-$A$15,BK$13)))</f>
        <v>9</v>
      </c>
      <c r="BL396" s="171">
        <f ca="1">IF(OR($D396&lt;&gt;"Serviço",AND(AUTOEVENTO="Manual",$M396=$A$15)),0,
         IF(OFFSET(CRONOPLE!$F$15,$M396-$A$15,BL$13)=0,10^12,OFFSET(CRONOPLE!$F$15,$M396-$A$15,BL$13)))</f>
        <v>1000000000000</v>
      </c>
      <c r="BM396" s="171">
        <f ca="1">IF(OR($D396&lt;&gt;"Serviço",AND(AUTOEVENTO="Manual",$M396=$A$15)),0,
         IF(OFFSET(CRONOPLE!$F$15,$M396-$A$15,BM$13)=0,10^12,OFFSET(CRONOPLE!$F$15,$M396-$A$15,BM$13)))</f>
        <v>1000000000000</v>
      </c>
      <c r="BN396" s="171">
        <f ca="1">IF(OR($D396&lt;&gt;"Serviço",AND(AUTOEVENTO="Manual",$M396=$A$15)),0,
         IF(OFFSET(CRONOPLE!$F$15,$M396-$A$15,BN$13)=0,10^12,OFFSET(CRONOPLE!$F$15,$M396-$A$15,BN$13)))</f>
        <v>1000000000000</v>
      </c>
      <c r="BO396" s="171">
        <f ca="1">IF(OR($D396&lt;&gt;"Serviço",AND(AUTOEVENTO="Manual",$M396=$A$15)),0,
         IF(OFFSET(CRONOPLE!$F$15,$M396-$A$15,BO$13)=0,10^12,OFFSET(CRONOPLE!$F$15,$M396-$A$15,BO$13)))</f>
        <v>1000000000000</v>
      </c>
      <c r="BP396" s="171">
        <f ca="1">IF(OR($D396&lt;&gt;"Serviço",AND(AUTOEVENTO="Manual",$M396=$A$15)),0,
         IF(OFFSET(CRONOPLE!$F$15,$M396-$A$15,BP$13)=0,10^12,OFFSET(CRONOPLE!$F$15,$M396-$A$15,BP$13)))</f>
        <v>1000000000000</v>
      </c>
      <c r="BQ396" s="171">
        <f ca="1">IF(OR($D396&lt;&gt;"Serviço",AND(AUTOEVENTO="Manual",$M396=$A$15)),0,
         IF(OFFSET(CRONOPLE!$F$15,$M396-$A$15,BQ$13)=0,10^12,OFFSET(CRONOPLE!$F$15,$M396-$A$15,BQ$13)))</f>
        <v>1000000000000</v>
      </c>
      <c r="BR396" s="171">
        <f ca="1">IF(OR($D396&lt;&gt;"Serviço",AND(AUTOEVENTO="Manual",$M396=$A$15)),0,
         IF(OFFSET(CRONOPLE!$F$15,$M396-$A$15,BR$13)=0,10^12,OFFSET(CRONOPLE!$F$15,$M396-$A$15,BR$13)))</f>
        <v>1000000000000</v>
      </c>
      <c r="BS396" s="171">
        <f ca="1">IF(OR($D396&lt;&gt;"Serviço",AND(AUTOEVENTO="Manual",$M396=$A$15)),0,
         IF(OFFSET(CRONOPLE!$F$15,$M396-$A$15,BS$13)=0,10^12,OFFSET(CRONOPLE!$F$15,$M396-$A$15,BS$13)))</f>
        <v>1000000000000</v>
      </c>
      <c r="BT396" s="171">
        <f ca="1">IF(OR($D396&lt;&gt;"Serviço",AND(AUTOEVENTO="Manual",$M396=$A$15)),0,
         IF(OFFSET(CRONOPLE!$F$15,$M396-$A$15,BT$13)=0,10^12,OFFSET(CRONOPLE!$F$15,$M396-$A$15,BT$13)))</f>
        <v>1000000000000</v>
      </c>
      <c r="BV396" s="172">
        <f ca="1">IF(OR($D396&lt;&gt;"Serviço",AND(AUTOEVENTO="Manual",$M396=$A$15),$M396&gt;(ROW(PLE.lastrow)-ROW(PLE.firstrow))),0,
           IF(OFFSET(PLE!$G$15,$M396-$A$15,BV$13)="",10^12,OFFSET(PLE!$G$15,$M396-$A$15,BV$13)))</f>
        <v>1000000000000</v>
      </c>
      <c r="BW396" s="172">
        <f ca="1">IF(OR($D396&lt;&gt;"Serviço",AND(AUTOEVENTO="Manual",$M396=$A$15),$M396&gt;(ROW(PLE.lastrow)-ROW(PLE.firstrow))),0,
           IF(OFFSET(PLE!$G$15,$M396-$A$15,BW$13)="",10^12,OFFSET(PLE!$G$15,$M396-$A$15,BW$13)))</f>
        <v>1000000000000</v>
      </c>
      <c r="BX396" s="172">
        <f ca="1">IF(OR($D396&lt;&gt;"Serviço",AND(AUTOEVENTO="Manual",$M396=$A$15),$M396&gt;(ROW(PLE.lastrow)-ROW(PLE.firstrow))),0,
           IF(OFFSET(PLE!$G$15,$M396-$A$15,BX$13)="",10^12,OFFSET(PLE!$G$15,$M396-$A$15,BX$13)))</f>
        <v>1000000000000</v>
      </c>
      <c r="BY396" s="172">
        <f ca="1">IF(OR($D396&lt;&gt;"Serviço",AND(AUTOEVENTO="Manual",$M396=$A$15),$M396&gt;(ROW(PLE.lastrow)-ROW(PLE.firstrow))),0,
           IF(OFFSET(PLE!$G$15,$M396-$A$15,BY$13)="",10^12,OFFSET(PLE!$G$15,$M396-$A$15,BY$13)))</f>
        <v>1000000000000</v>
      </c>
      <c r="BZ396" s="172">
        <f ca="1">IF(OR($D396&lt;&gt;"Serviço",AND(AUTOEVENTO="Manual",$M396=$A$15),$M396&gt;(ROW(PLE.lastrow)-ROW(PLE.firstrow))),0,
           IF(OFFSET(PLE!$G$15,$M396-$A$15,BZ$13)="",10^12,OFFSET(PLE!$G$15,$M396-$A$15,BZ$13)))</f>
        <v>1000000000000</v>
      </c>
      <c r="CA396" s="172">
        <f ca="1">IF(OR($D396&lt;&gt;"Serviço",AND(AUTOEVENTO="Manual",$M396=$A$15),$M396&gt;(ROW(PLE.lastrow)-ROW(PLE.firstrow))),0,
           IF(OFFSET(PLE!$G$15,$M396-$A$15,CA$13)="",10^12,OFFSET(PLE!$G$15,$M396-$A$15,CA$13)))</f>
        <v>1000000000000</v>
      </c>
      <c r="CB396" s="172">
        <f ca="1">IF(OR($D396&lt;&gt;"Serviço",AND(AUTOEVENTO="Manual",$M396=$A$15),$M396&gt;(ROW(PLE.lastrow)-ROW(PLE.firstrow))),0,
           IF(OFFSET(PLE!$G$15,$M396-$A$15,CB$13)="",10^12,OFFSET(PLE!$G$15,$M396-$A$15,CB$13)))</f>
        <v>1000000000000</v>
      </c>
      <c r="CC396" s="172">
        <f ca="1">IF(OR($D396&lt;&gt;"Serviço",AND(AUTOEVENTO="Manual",$M396=$A$15),$M396&gt;(ROW(PLE.lastrow)-ROW(PLE.firstrow))),0,
           IF(OFFSET(PLE!$G$15,$M396-$A$15,CC$13)="",10^12,OFFSET(PLE!$G$15,$M396-$A$15,CC$13)))</f>
        <v>1000000000000</v>
      </c>
      <c r="CD396" s="172">
        <f ca="1">IF(OR($D396&lt;&gt;"Serviço",AND(AUTOEVENTO="Manual",$M396=$A$15),$M396&gt;(ROW(PLE.lastrow)-ROW(PLE.firstrow))),0,
           IF(OFFSET(PLE!$G$15,$M396-$A$15,CD$13)="",10^12,OFFSET(PLE!$G$15,$M396-$A$15,CD$13)))</f>
        <v>1000000000000</v>
      </c>
      <c r="CE396" s="172">
        <f ca="1">IF(OR($D396&lt;&gt;"Serviço",AND(AUTOEVENTO="Manual",$M396=$A$15),$M396&gt;(ROW(PLE.lastrow)-ROW(PLE.firstrow))),0,
           IF(OFFSET(PLE!$G$15,$M396-$A$15,CE$13)="",10^12,OFFSET(PLE!$G$15,$M396-$A$15,CE$13)))</f>
        <v>1000000000000</v>
      </c>
      <c r="CF396" s="172">
        <f ca="1">IF(OR($D396&lt;&gt;"Serviço",AND(AUTOEVENTO="Manual",$M396=$A$15),$M396&gt;(ROW(PLE.lastrow)-ROW(PLE.firstrow))),0,
           IF(OFFSET(PLE!$G$15,$M396-$A$15,CF$13)="",10^12,OFFSET(PLE!$G$15,$M396-$A$15,CF$13)))</f>
        <v>1000000000000</v>
      </c>
      <c r="CG396" s="172">
        <f ca="1">IF(OR($D396&lt;&gt;"Serviço",AND(AUTOEVENTO="Manual",$M396=$A$15),$M396&gt;(ROW(PLE.lastrow)-ROW(PLE.firstrow))),0,
           IF(OFFSET(PLE!$G$15,$M396-$A$15,CG$13)="",10^12,OFFSET(PLE!$G$15,$M396-$A$15,CG$13)))</f>
        <v>1000000000000</v>
      </c>
      <c r="CH396" s="172">
        <f ca="1">IF(OR($D396&lt;&gt;"Serviço",AND(AUTOEVENTO="Manual",$M396=$A$15),$M396&gt;(ROW(PLE.lastrow)-ROW(PLE.firstrow))),0,
           IF(OFFSET(PLE!$G$15,$M396-$A$15,CH$13)="",10^12,OFFSET(PLE!$G$15,$M396-$A$15,CH$13)))</f>
        <v>1000000000000</v>
      </c>
      <c r="CI396" s="172">
        <f ca="1">IF(OR($D396&lt;&gt;"Serviço",AND(AUTOEVENTO="Manual",$M396=$A$15),$M396&gt;(ROW(PLE.lastrow)-ROW(PLE.firstrow))),0,
           IF(OFFSET(PLE!$G$15,$M396-$A$15,CI$13)="",10^12,OFFSET(PLE!$G$15,$M396-$A$15,CI$13)))</f>
        <v>1000000000000</v>
      </c>
      <c r="CJ396" s="172">
        <f ca="1">IF(OR($D396&lt;&gt;"Serviço",AND(AUTOEVENTO="Manual",$M396=$A$15),$M396&gt;(ROW(PLE.lastrow)-ROW(PLE.firstrow))),0,
           IF(OFFSET(PLE!$G$15,$M396-$A$15,CJ$13)="",10^12,OFFSET(PLE!$G$15,$M396-$A$15,CJ$13)))</f>
        <v>1000000000000</v>
      </c>
      <c r="CK396" s="172">
        <f ca="1">IF(OR($D396&lt;&gt;"Serviço",AND(AUTOEVENTO="Manual",$M396=$A$15),$M396&gt;(ROW(PLE.lastrow)-ROW(PLE.firstrow))),0,
           IF(OFFSET(PLE!$G$15,$M396-$A$15,CK$13)="",10^12,OFFSET(PLE!$G$15,$M396-$A$15,CK$13)))</f>
        <v>1000000000000</v>
      </c>
      <c r="CL396" s="172">
        <f ca="1">IF(OR($D396&lt;&gt;"Serviço",AND(AUTOEVENTO="Manual",$M396=$A$15),$M396&gt;(ROW(PLE.lastrow)-ROW(PLE.firstrow))),0,
           IF(OFFSET(PLE!$G$15,$M396-$A$15,CL$13)="",10^12,OFFSET(PLE!$G$15,$M396-$A$15,CL$13)))</f>
        <v>1000000000000</v>
      </c>
      <c r="CM396" s="172">
        <f ca="1">IF(OR($D396&lt;&gt;"Serviço",AND(AUTOEVENTO="Manual",$M396=$A$15),$M396&gt;(ROW(PLE.lastrow)-ROW(PLE.firstrow))),0,
           IF(OFFSET(PLE!$G$15,$M396-$A$15,CM$13)="",10^12,OFFSET(PLE!$G$15,$M396-$A$15,CM$13)))</f>
        <v>1000000000000</v>
      </c>
    </row>
    <row r="397" spans="1:91" ht="51" x14ac:dyDescent="0.2">
      <c r="A397" s="7">
        <f t="shared" ca="1" si="15"/>
        <v>7</v>
      </c>
      <c r="B397" s="7" t="str">
        <f ca="1">OFFSET(ORÇAMENTO!C$15,ROW(B397)-ROW(B$15),0)</f>
        <v>S</v>
      </c>
      <c r="C397" s="7" t="str">
        <f ca="1">OFFSET(ORÇAMENTO!L$15,ROW(C397)-ROW(C$15),0)</f>
        <v>F</v>
      </c>
      <c r="D397" s="116" t="str">
        <f ca="1">OFFSET(ORÇAMENTO!N$15,ROW(D397)-ROW(D$15),0)</f>
        <v>Serviço</v>
      </c>
      <c r="E397" s="117" t="str">
        <f ca="1">OFFSET(ORÇAMENTO!O$15,ROW(E397)-ROW(E$15),0)</f>
        <v>1.8.2.2.2.</v>
      </c>
      <c r="F397" s="163" t="str">
        <f ca="1">OFFSET(ORÇAMENTO!R$15,ROW(F397)-ROW(F$15),0)</f>
        <v>CONJUNTO DE UMA (1) TOMADA PADRÃO, TRÊS (3) POLOS, CORRENTE 10A, TENSÃO 250V, (2P+T/10A-250V), COM PLACA 4"X2" DE UM (1) POSTO, INCLUSIVE FORNECIMENTO, INSTALAÇÃO, SUPORTE, MÓDULO E PLACA</v>
      </c>
      <c r="G397" s="164" t="str">
        <f ca="1">IF($D397&lt;&gt;"Serviço","",OFFSET(ORÇAMENTO!S$15,ROW(G397)-ROW(G$15),0))</f>
        <v>UN</v>
      </c>
      <c r="H397" s="122" cm="1">
        <f t="array" aca="1" ref="H397" ca="1">IF($D397&lt;&gt;"Serviço",0,IF(ACOMPANHAMENTO="BM",ROUND(OFFSET(ORÇAMENTO!AJ$15,ROW(H397)-ROW(H$15),0),15-13*ORÇAMENTO!$AF$7),SUMPRODUCT(($Q$1:$AI$1=1)*ROUND($Q397:$AI397,15-13*ORÇAMENTO!$AF$7))))</f>
        <v>2</v>
      </c>
      <c r="I397" s="468" t="s">
        <v>1431</v>
      </c>
      <c r="J397" s="640" t="str" cm="1">
        <f t="array" aca="1" ref="J397" ca="1">IF(OR(B397&lt;&gt;"S",CÁLCULO.FrentesPreenchidas=0),"",IF(AND(ACOMPANHAMENTO="PLE",AUTOEVENTO="Manual",OR(H397&gt;0,ORÇAMENTO!AC397="QUANT."),OR(K397="",M397=0,N397="")),"►E",IF(AND(ACOMPANHAMENTO="PLE",ORÇAMENTO!AC397="QUANT."),"►Q",IF(AND(ACOMPANHAMENTO="PLE",H397&lt;&gt;SUMPRODUCT(($Q$1:$AI$1=1)*ROUND(Q397:AI397,15))),"►S",IF(AND(COUNTIF($P$11:$AI$11,"▼")=0,H397&gt;0,I397=""),"◄M","")))))</f>
        <v/>
      </c>
      <c r="K397" s="641" t="s">
        <v>1391</v>
      </c>
      <c r="L397" s="165" t="s">
        <v>764</v>
      </c>
      <c r="M397" s="166">
        <f ca="1">IF($D397&lt;&gt;"Serviço","",
          IF(AUTOEVENTO="manual",$A397,
                IF(ISERROR(MATCH($A397,$A$15:OFFSET($A397,-1,0),0)),MAX($M$15:OFFSET(M397,-1,0))+1,
                      INDEX($M$15:OFFSET(M397,-1,0),MATCH($A397,$A$15:OFFSET($A397,-1,0),0)))))</f>
        <v>7</v>
      </c>
      <c r="N397" s="167" t="str">
        <f ca="1">IF($D397&lt;&gt;"Serviço","",
         IF(AUTOEVENTO="Manual",
                IF($A397=0,"&lt;-- defina o número do agrupador",
                       OFFSET(EVENTOS!$D$15,$A397-$A$15,0)),
                OFFSET($F$15,$A397,0)))</f>
        <v>Instalações Elétricas</v>
      </c>
      <c r="O397" s="168"/>
      <c r="Q397" s="168"/>
      <c r="R397" s="169"/>
      <c r="S397" s="169"/>
      <c r="T397" s="169"/>
      <c r="U397" s="169"/>
      <c r="V397" s="169"/>
      <c r="W397" s="169"/>
      <c r="X397" s="169">
        <v>2</v>
      </c>
      <c r="Y397" s="169"/>
      <c r="Z397" s="170"/>
      <c r="AA397" s="169"/>
      <c r="AB397" s="169"/>
      <c r="AC397" s="169"/>
      <c r="AD397" s="169"/>
      <c r="AE397" s="169"/>
      <c r="AF397" s="169"/>
      <c r="AG397" s="169"/>
      <c r="AH397" s="170"/>
      <c r="AJ397" s="453">
        <f ca="1">IF(AND($D397="Serviço",AJ$12&lt;&gt;0,$H397&gt;0,OR(AUTOEVENTO&lt;&gt;"manual",$M397&lt;&gt;$A$15)),
        IF(Import.TipoArredondamento&lt;&gt;"TransfereGOV",
              ROUND(OFFSET($P397,0,AJ$13),15-13*ORÇAMENTO!$AF$7)/$H397*OFFSET(ORÇAMENTO!$X$15,ROW(AJ397)-ROW(AJ$15),0),
              ROUND(ROUND(OFFSET($P397,0,AJ$13),15-13*ORÇAMENTO!$AF$7)*OFFSET(ORÇAMENTO!$W$15,ROW(AJ397)-ROW(AJ$15),0),15-13*ORÇAMENTO!$AF$11)),
         0)</f>
        <v>0</v>
      </c>
      <c r="AK397" s="453">
        <f ca="1">IF(AND($D397="Serviço",AK$12&lt;&gt;0,$H397&gt;0,OR(AUTOEVENTO&lt;&gt;"manual",$M397&lt;&gt;$A$15)),
        IF(Import.TipoArredondamento&lt;&gt;"TransfereGOV",
              ROUND(OFFSET($P397,0,AK$13),15-13*ORÇAMENTO!$AF$7)/$H397*OFFSET(ORÇAMENTO!$X$15,ROW(AK397)-ROW(AK$15),0),
              ROUND(ROUND(OFFSET($P397,0,AK$13),15-13*ORÇAMENTO!$AF$7)*OFFSET(ORÇAMENTO!$W$15,ROW(AK397)-ROW(AK$15),0),15-13*ORÇAMENTO!$AF$11)),
         0)</f>
        <v>0</v>
      </c>
      <c r="AL397" s="453">
        <f ca="1">IF(AND($D397="Serviço",AL$12&lt;&gt;0,$H397&gt;0,OR(AUTOEVENTO&lt;&gt;"manual",$M397&lt;&gt;$A$15)),
        IF(Import.TipoArredondamento&lt;&gt;"TransfereGOV",
              ROUND(OFFSET($P397,0,AL$13),15-13*ORÇAMENTO!$AF$7)/$H397*OFFSET(ORÇAMENTO!$X$15,ROW(AL397)-ROW(AL$15),0),
              ROUND(ROUND(OFFSET($P397,0,AL$13),15-13*ORÇAMENTO!$AF$7)*OFFSET(ORÇAMENTO!$W$15,ROW(AL397)-ROW(AL$15),0),15-13*ORÇAMENTO!$AF$11)),
         0)</f>
        <v>0</v>
      </c>
      <c r="AM397" s="453">
        <f ca="1">IF(AND($D397="Serviço",AM$12&lt;&gt;0,$H397&gt;0,OR(AUTOEVENTO&lt;&gt;"manual",$M397&lt;&gt;$A$15)),
        IF(Import.TipoArredondamento&lt;&gt;"TransfereGOV",
              ROUND(OFFSET($P397,0,AM$13),15-13*ORÇAMENTO!$AF$7)/$H397*OFFSET(ORÇAMENTO!$X$15,ROW(AM397)-ROW(AM$15),0),
              ROUND(ROUND(OFFSET($P397,0,AM$13),15-13*ORÇAMENTO!$AF$7)*OFFSET(ORÇAMENTO!$W$15,ROW(AM397)-ROW(AM$15),0),15-13*ORÇAMENTO!$AF$11)),
         0)</f>
        <v>0</v>
      </c>
      <c r="AN397" s="453">
        <f ca="1">IF(AND($D397="Serviço",AN$12&lt;&gt;0,$H397&gt;0,OR(AUTOEVENTO&lt;&gt;"manual",$M397&lt;&gt;$A$15)),
        IF(Import.TipoArredondamento&lt;&gt;"TransfereGOV",
              ROUND(OFFSET($P397,0,AN$13),15-13*ORÇAMENTO!$AF$7)/$H397*OFFSET(ORÇAMENTO!$X$15,ROW(AN397)-ROW(AN$15),0),
              ROUND(ROUND(OFFSET($P397,0,AN$13),15-13*ORÇAMENTO!$AF$7)*OFFSET(ORÇAMENTO!$W$15,ROW(AN397)-ROW(AN$15),0),15-13*ORÇAMENTO!$AF$11)),
         0)</f>
        <v>0</v>
      </c>
      <c r="AO397" s="453">
        <f ca="1">IF(AND($D397="Serviço",AO$12&lt;&gt;0,$H397&gt;0,OR(AUTOEVENTO&lt;&gt;"manual",$M397&lt;&gt;$A$15)),
        IF(Import.TipoArredondamento&lt;&gt;"TransfereGOV",
              ROUND(OFFSET($P397,0,AO$13),15-13*ORÇAMENTO!$AF$7)/$H397*OFFSET(ORÇAMENTO!$X$15,ROW(AO397)-ROW(AO$15),0),
              ROUND(ROUND(OFFSET($P397,0,AO$13),15-13*ORÇAMENTO!$AF$7)*OFFSET(ORÇAMENTO!$W$15,ROW(AO397)-ROW(AO$15),0),15-13*ORÇAMENTO!$AF$11)),
         0)</f>
        <v>0</v>
      </c>
      <c r="AP397" s="453">
        <f ca="1">IF(AND($D397="Serviço",AP$12&lt;&gt;0,$H397&gt;0,OR(AUTOEVENTO&lt;&gt;"manual",$M397&lt;&gt;$A$15)),
        IF(Import.TipoArredondamento&lt;&gt;"TransfereGOV",
              ROUND(OFFSET($P397,0,AP$13),15-13*ORÇAMENTO!$AF$7)/$H397*OFFSET(ORÇAMENTO!$X$15,ROW(AP397)-ROW(AP$15),0),
              ROUND(ROUND(OFFSET($P397,0,AP$13),15-13*ORÇAMENTO!$AF$7)*OFFSET(ORÇAMENTO!$W$15,ROW(AP397)-ROW(AP$15),0),15-13*ORÇAMENTO!$AF$11)),
         0)</f>
        <v>0</v>
      </c>
      <c r="AQ397" s="453">
        <f ca="1">IF(AND($D397="Serviço",AQ$12&lt;&gt;0,$H397&gt;0,OR(AUTOEVENTO&lt;&gt;"manual",$M397&lt;&gt;$A$15)),
        IF(Import.TipoArredondamento&lt;&gt;"TransfereGOV",
              ROUND(OFFSET($P397,0,AQ$13),15-13*ORÇAMENTO!$AF$7)/$H397*OFFSET(ORÇAMENTO!$X$15,ROW(AQ397)-ROW(AQ$15),0),
              ROUND(ROUND(OFFSET($P397,0,AQ$13),15-13*ORÇAMENTO!$AF$7)*OFFSET(ORÇAMENTO!$W$15,ROW(AQ397)-ROW(AQ$15),0),15-13*ORÇAMENTO!$AF$11)),
         0)</f>
        <v>0</v>
      </c>
      <c r="AR397" s="453">
        <f ca="1">IF(AND($D397="Serviço",AR$12&lt;&gt;0,$H397&gt;0,OR(AUTOEVENTO&lt;&gt;"manual",$M397&lt;&gt;$A$15)),
        IF(Import.TipoArredondamento&lt;&gt;"TransfereGOV",
              ROUND(OFFSET($P397,0,AR$13),15-13*ORÇAMENTO!$AF$7)/$H397*OFFSET(ORÇAMENTO!$X$15,ROW(AR397)-ROW(AR$15),0),
              ROUND(ROUND(OFFSET($P397,0,AR$13),15-13*ORÇAMENTO!$AF$7)*OFFSET(ORÇAMENTO!$W$15,ROW(AR397)-ROW(AR$15),0),15-13*ORÇAMENTO!$AF$11)),
         0)</f>
        <v>0</v>
      </c>
      <c r="AS397" s="453">
        <f ca="1">IF(AND($D397="Serviço",AS$12&lt;&gt;0,$H397&gt;0,OR(AUTOEVENTO&lt;&gt;"manual",$M397&lt;&gt;$A$15)),
        IF(Import.TipoArredondamento&lt;&gt;"TransfereGOV",
              ROUND(OFFSET($P397,0,AS$13),15-13*ORÇAMENTO!$AF$7)/$H397*OFFSET(ORÇAMENTO!$X$15,ROW(AS397)-ROW(AS$15),0),
              ROUND(ROUND(OFFSET($P397,0,AS$13),15-13*ORÇAMENTO!$AF$7)*OFFSET(ORÇAMENTO!$W$15,ROW(AS397)-ROW(AS$15),0),15-13*ORÇAMENTO!$AF$11)),
         0)</f>
        <v>0</v>
      </c>
      <c r="AT397" s="453">
        <f ca="1">IF(AND($D397="Serviço",AT$12&lt;&gt;0,$H397&gt;0,OR(AUTOEVENTO&lt;&gt;"manual",$M397&lt;&gt;$A$15)),
        IF(Import.TipoArredondamento&lt;&gt;"TransfereGOV",
              ROUND(OFFSET($P397,0,AT$13),15-13*ORÇAMENTO!$AF$7)/$H397*OFFSET(ORÇAMENTO!$X$15,ROW(AT397)-ROW(AT$15),0),
              ROUND(ROUND(OFFSET($P397,0,AT$13),15-13*ORÇAMENTO!$AF$7)*OFFSET(ORÇAMENTO!$W$15,ROW(AT397)-ROW(AT$15),0),15-13*ORÇAMENTO!$AF$11)),
         0)</f>
        <v>0</v>
      </c>
      <c r="AU397" s="453">
        <f ca="1">IF(AND($D397="Serviço",AU$12&lt;&gt;0,$H397&gt;0,OR(AUTOEVENTO&lt;&gt;"manual",$M397&lt;&gt;$A$15)),
        IF(Import.TipoArredondamento&lt;&gt;"TransfereGOV",
              ROUND(OFFSET($P397,0,AU$13),15-13*ORÇAMENTO!$AF$7)/$H397*OFFSET(ORÇAMENTO!$X$15,ROW(AU397)-ROW(AU$15),0),
              ROUND(ROUND(OFFSET($P397,0,AU$13),15-13*ORÇAMENTO!$AF$7)*OFFSET(ORÇAMENTO!$W$15,ROW(AU397)-ROW(AU$15),0),15-13*ORÇAMENTO!$AF$11)),
         0)</f>
        <v>0</v>
      </c>
      <c r="AV397" s="453">
        <f ca="1">IF(AND($D397="Serviço",AV$12&lt;&gt;0,$H397&gt;0,OR(AUTOEVENTO&lt;&gt;"manual",$M397&lt;&gt;$A$15)),
        IF(Import.TipoArredondamento&lt;&gt;"TransfereGOV",
              ROUND(OFFSET($P397,0,AV$13),15-13*ORÇAMENTO!$AF$7)/$H397*OFFSET(ORÇAMENTO!$X$15,ROW(AV397)-ROW(AV$15),0),
              ROUND(ROUND(OFFSET($P397,0,AV$13),15-13*ORÇAMENTO!$AF$7)*OFFSET(ORÇAMENTO!$W$15,ROW(AV397)-ROW(AV$15),0),15-13*ORÇAMENTO!$AF$11)),
         0)</f>
        <v>0</v>
      </c>
      <c r="AW397" s="453">
        <f ca="1">IF(AND($D397="Serviço",AW$12&lt;&gt;0,$H397&gt;0,OR(AUTOEVENTO&lt;&gt;"manual",$M397&lt;&gt;$A$15)),
        IF(Import.TipoArredondamento&lt;&gt;"TransfereGOV",
              ROUND(OFFSET($P397,0,AW$13),15-13*ORÇAMENTO!$AF$7)/$H397*OFFSET(ORÇAMENTO!$X$15,ROW(AW397)-ROW(AW$15),0),
              ROUND(ROUND(OFFSET($P397,0,AW$13),15-13*ORÇAMENTO!$AF$7)*OFFSET(ORÇAMENTO!$W$15,ROW(AW397)-ROW(AW$15),0),15-13*ORÇAMENTO!$AF$11)),
         0)</f>
        <v>0</v>
      </c>
      <c r="AX397" s="453">
        <f ca="1">IF(AND($D397="Serviço",AX$12&lt;&gt;0,$H397&gt;0,OR(AUTOEVENTO&lt;&gt;"manual",$M397&lt;&gt;$A$15)),
        IF(Import.TipoArredondamento&lt;&gt;"TransfereGOV",
              ROUND(OFFSET($P397,0,AX$13),15-13*ORÇAMENTO!$AF$7)/$H397*OFFSET(ORÇAMENTO!$X$15,ROW(AX397)-ROW(AX$15),0),
              ROUND(ROUND(OFFSET($P397,0,AX$13),15-13*ORÇAMENTO!$AF$7)*OFFSET(ORÇAMENTO!$W$15,ROW(AX397)-ROW(AX$15),0),15-13*ORÇAMENTO!$AF$11)),
         0)</f>
        <v>0</v>
      </c>
      <c r="AY397" s="453">
        <f ca="1">IF(AND($D397="Serviço",AY$12&lt;&gt;0,$H397&gt;0,OR(AUTOEVENTO&lt;&gt;"manual",$M397&lt;&gt;$A$15)),
        IF(Import.TipoArredondamento&lt;&gt;"TransfereGOV",
              ROUND(OFFSET($P397,0,AY$13),15-13*ORÇAMENTO!$AF$7)/$H397*OFFSET(ORÇAMENTO!$X$15,ROW(AY397)-ROW(AY$15),0),
              ROUND(ROUND(OFFSET($P397,0,AY$13),15-13*ORÇAMENTO!$AF$7)*OFFSET(ORÇAMENTO!$W$15,ROW(AY397)-ROW(AY$15),0),15-13*ORÇAMENTO!$AF$11)),
         0)</f>
        <v>0</v>
      </c>
      <c r="AZ397" s="453">
        <f ca="1">IF(AND($D397="Serviço",AZ$12&lt;&gt;0,$H397&gt;0,OR(AUTOEVENTO&lt;&gt;"manual",$M397&lt;&gt;$A$15)),
        IF(Import.TipoArredondamento&lt;&gt;"TransfereGOV",
              ROUND(OFFSET($P397,0,AZ$13),15-13*ORÇAMENTO!$AF$7)/$H397*OFFSET(ORÇAMENTO!$X$15,ROW(AZ397)-ROW(AZ$15),0),
              ROUND(ROUND(OFFSET($P397,0,AZ$13),15-13*ORÇAMENTO!$AF$7)*OFFSET(ORÇAMENTO!$W$15,ROW(AZ397)-ROW(AZ$15),0),15-13*ORÇAMENTO!$AF$11)),
         0)</f>
        <v>0</v>
      </c>
      <c r="BA397" s="453">
        <f ca="1">IF(AND($D397="Serviço",BA$12&lt;&gt;0,$H397&gt;0,OR(AUTOEVENTO&lt;&gt;"manual",$M397&lt;&gt;$A$15)),
        IF(Import.TipoArredondamento&lt;&gt;"TransfereGOV",
              ROUND(OFFSET($P397,0,BA$13),15-13*ORÇAMENTO!$AF$7)/$H397*OFFSET(ORÇAMENTO!$X$15,ROW(BA397)-ROW(BA$15),0),
              ROUND(ROUND(OFFSET($P397,0,BA$13),15-13*ORÇAMENTO!$AF$7)*OFFSET(ORÇAMENTO!$W$15,ROW(BA397)-ROW(BA$15),0),15-13*ORÇAMENTO!$AF$11)),
         0)</f>
        <v>0</v>
      </c>
      <c r="BC397" s="171">
        <f ca="1">IF(OR($D397&lt;&gt;"Serviço",AND(AUTOEVENTO="Manual",$M397=$A$15)),0,
         IF(OFFSET(CRONOPLE!$F$15,$M397-$A$15,BC$13)=0,10^12,OFFSET(CRONOPLE!$F$15,$M397-$A$15,BC$13)))</f>
        <v>1</v>
      </c>
      <c r="BD397" s="171">
        <f ca="1">IF(OR($D397&lt;&gt;"Serviço",AND(AUTOEVENTO="Manual",$M397=$A$15)),0,
         IF(OFFSET(CRONOPLE!$F$15,$M397-$A$15,BD$13)=0,10^12,OFFSET(CRONOPLE!$F$15,$M397-$A$15,BD$13)))</f>
        <v>2</v>
      </c>
      <c r="BE397" s="171">
        <f ca="1">IF(OR($D397&lt;&gt;"Serviço",AND(AUTOEVENTO="Manual",$M397=$A$15)),0,
         IF(OFFSET(CRONOPLE!$F$15,$M397-$A$15,BE$13)=0,10^12,OFFSET(CRONOPLE!$F$15,$M397-$A$15,BE$13)))</f>
        <v>3</v>
      </c>
      <c r="BF397" s="171">
        <f ca="1">IF(OR($D397&lt;&gt;"Serviço",AND(AUTOEVENTO="Manual",$M397=$A$15)),0,
         IF(OFFSET(CRONOPLE!$F$15,$M397-$A$15,BF$13)=0,10^12,OFFSET(CRONOPLE!$F$15,$M397-$A$15,BF$13)))</f>
        <v>4</v>
      </c>
      <c r="BG397" s="171">
        <f ca="1">IF(OR($D397&lt;&gt;"Serviço",AND(AUTOEVENTO="Manual",$M397=$A$15)),0,
         IF(OFFSET(CRONOPLE!$F$15,$M397-$A$15,BG$13)=0,10^12,OFFSET(CRONOPLE!$F$15,$M397-$A$15,BG$13)))</f>
        <v>5</v>
      </c>
      <c r="BH397" s="171">
        <f ca="1">IF(OR($D397&lt;&gt;"Serviço",AND(AUTOEVENTO="Manual",$M397=$A$15)),0,
         IF(OFFSET(CRONOPLE!$F$15,$M397-$A$15,BH$13)=0,10^12,OFFSET(CRONOPLE!$F$15,$M397-$A$15,BH$13)))</f>
        <v>6</v>
      </c>
      <c r="BI397" s="171">
        <f ca="1">IF(OR($D397&lt;&gt;"Serviço",AND(AUTOEVENTO="Manual",$M397=$A$15)),0,
         IF(OFFSET(CRONOPLE!$F$15,$M397-$A$15,BI$13)=0,10^12,OFFSET(CRONOPLE!$F$15,$M397-$A$15,BI$13)))</f>
        <v>7</v>
      </c>
      <c r="BJ397" s="171">
        <f ca="1">IF(OR($D397&lt;&gt;"Serviço",AND(AUTOEVENTO="Manual",$M397=$A$15)),0,
         IF(OFFSET(CRONOPLE!$F$15,$M397-$A$15,BJ$13)=0,10^12,OFFSET(CRONOPLE!$F$15,$M397-$A$15,BJ$13)))</f>
        <v>8</v>
      </c>
      <c r="BK397" s="171">
        <f ca="1">IF(OR($D397&lt;&gt;"Serviço",AND(AUTOEVENTO="Manual",$M397=$A$15)),0,
         IF(OFFSET(CRONOPLE!$F$15,$M397-$A$15,BK$13)=0,10^12,OFFSET(CRONOPLE!$F$15,$M397-$A$15,BK$13)))</f>
        <v>9</v>
      </c>
      <c r="BL397" s="171">
        <f ca="1">IF(OR($D397&lt;&gt;"Serviço",AND(AUTOEVENTO="Manual",$M397=$A$15)),0,
         IF(OFFSET(CRONOPLE!$F$15,$M397-$A$15,BL$13)=0,10^12,OFFSET(CRONOPLE!$F$15,$M397-$A$15,BL$13)))</f>
        <v>1000000000000</v>
      </c>
      <c r="BM397" s="171">
        <f ca="1">IF(OR($D397&lt;&gt;"Serviço",AND(AUTOEVENTO="Manual",$M397=$A$15)),0,
         IF(OFFSET(CRONOPLE!$F$15,$M397-$A$15,BM$13)=0,10^12,OFFSET(CRONOPLE!$F$15,$M397-$A$15,BM$13)))</f>
        <v>1000000000000</v>
      </c>
      <c r="BN397" s="171">
        <f ca="1">IF(OR($D397&lt;&gt;"Serviço",AND(AUTOEVENTO="Manual",$M397=$A$15)),0,
         IF(OFFSET(CRONOPLE!$F$15,$M397-$A$15,BN$13)=0,10^12,OFFSET(CRONOPLE!$F$15,$M397-$A$15,BN$13)))</f>
        <v>1000000000000</v>
      </c>
      <c r="BO397" s="171">
        <f ca="1">IF(OR($D397&lt;&gt;"Serviço",AND(AUTOEVENTO="Manual",$M397=$A$15)),0,
         IF(OFFSET(CRONOPLE!$F$15,$M397-$A$15,BO$13)=0,10^12,OFFSET(CRONOPLE!$F$15,$M397-$A$15,BO$13)))</f>
        <v>1000000000000</v>
      </c>
      <c r="BP397" s="171">
        <f ca="1">IF(OR($D397&lt;&gt;"Serviço",AND(AUTOEVENTO="Manual",$M397=$A$15)),0,
         IF(OFFSET(CRONOPLE!$F$15,$M397-$A$15,BP$13)=0,10^12,OFFSET(CRONOPLE!$F$15,$M397-$A$15,BP$13)))</f>
        <v>1000000000000</v>
      </c>
      <c r="BQ397" s="171">
        <f ca="1">IF(OR($D397&lt;&gt;"Serviço",AND(AUTOEVENTO="Manual",$M397=$A$15)),0,
         IF(OFFSET(CRONOPLE!$F$15,$M397-$A$15,BQ$13)=0,10^12,OFFSET(CRONOPLE!$F$15,$M397-$A$15,BQ$13)))</f>
        <v>1000000000000</v>
      </c>
      <c r="BR397" s="171">
        <f ca="1">IF(OR($D397&lt;&gt;"Serviço",AND(AUTOEVENTO="Manual",$M397=$A$15)),0,
         IF(OFFSET(CRONOPLE!$F$15,$M397-$A$15,BR$13)=0,10^12,OFFSET(CRONOPLE!$F$15,$M397-$A$15,BR$13)))</f>
        <v>1000000000000</v>
      </c>
      <c r="BS397" s="171">
        <f ca="1">IF(OR($D397&lt;&gt;"Serviço",AND(AUTOEVENTO="Manual",$M397=$A$15)),0,
         IF(OFFSET(CRONOPLE!$F$15,$M397-$A$15,BS$13)=0,10^12,OFFSET(CRONOPLE!$F$15,$M397-$A$15,BS$13)))</f>
        <v>1000000000000</v>
      </c>
      <c r="BT397" s="171">
        <f ca="1">IF(OR($D397&lt;&gt;"Serviço",AND(AUTOEVENTO="Manual",$M397=$A$15)),0,
         IF(OFFSET(CRONOPLE!$F$15,$M397-$A$15,BT$13)=0,10^12,OFFSET(CRONOPLE!$F$15,$M397-$A$15,BT$13)))</f>
        <v>1000000000000</v>
      </c>
      <c r="BV397" s="172">
        <f ca="1">IF(OR($D397&lt;&gt;"Serviço",AND(AUTOEVENTO="Manual",$M397=$A$15),$M397&gt;(ROW(PLE.lastrow)-ROW(PLE.firstrow))),0,
           IF(OFFSET(PLE!$G$15,$M397-$A$15,BV$13)="",10^12,OFFSET(PLE!$G$15,$M397-$A$15,BV$13)))</f>
        <v>1000000000000</v>
      </c>
      <c r="BW397" s="172">
        <f ca="1">IF(OR($D397&lt;&gt;"Serviço",AND(AUTOEVENTO="Manual",$M397=$A$15),$M397&gt;(ROW(PLE.lastrow)-ROW(PLE.firstrow))),0,
           IF(OFFSET(PLE!$G$15,$M397-$A$15,BW$13)="",10^12,OFFSET(PLE!$G$15,$M397-$A$15,BW$13)))</f>
        <v>1000000000000</v>
      </c>
      <c r="BX397" s="172">
        <f ca="1">IF(OR($D397&lt;&gt;"Serviço",AND(AUTOEVENTO="Manual",$M397=$A$15),$M397&gt;(ROW(PLE.lastrow)-ROW(PLE.firstrow))),0,
           IF(OFFSET(PLE!$G$15,$M397-$A$15,BX$13)="",10^12,OFFSET(PLE!$G$15,$M397-$A$15,BX$13)))</f>
        <v>1000000000000</v>
      </c>
      <c r="BY397" s="172">
        <f ca="1">IF(OR($D397&lt;&gt;"Serviço",AND(AUTOEVENTO="Manual",$M397=$A$15),$M397&gt;(ROW(PLE.lastrow)-ROW(PLE.firstrow))),0,
           IF(OFFSET(PLE!$G$15,$M397-$A$15,BY$13)="",10^12,OFFSET(PLE!$G$15,$M397-$A$15,BY$13)))</f>
        <v>1000000000000</v>
      </c>
      <c r="BZ397" s="172">
        <f ca="1">IF(OR($D397&lt;&gt;"Serviço",AND(AUTOEVENTO="Manual",$M397=$A$15),$M397&gt;(ROW(PLE.lastrow)-ROW(PLE.firstrow))),0,
           IF(OFFSET(PLE!$G$15,$M397-$A$15,BZ$13)="",10^12,OFFSET(PLE!$G$15,$M397-$A$15,BZ$13)))</f>
        <v>1000000000000</v>
      </c>
      <c r="CA397" s="172">
        <f ca="1">IF(OR($D397&lt;&gt;"Serviço",AND(AUTOEVENTO="Manual",$M397=$A$15),$M397&gt;(ROW(PLE.lastrow)-ROW(PLE.firstrow))),0,
           IF(OFFSET(PLE!$G$15,$M397-$A$15,CA$13)="",10^12,OFFSET(PLE!$G$15,$M397-$A$15,CA$13)))</f>
        <v>1000000000000</v>
      </c>
      <c r="CB397" s="172">
        <f ca="1">IF(OR($D397&lt;&gt;"Serviço",AND(AUTOEVENTO="Manual",$M397=$A$15),$M397&gt;(ROW(PLE.lastrow)-ROW(PLE.firstrow))),0,
           IF(OFFSET(PLE!$G$15,$M397-$A$15,CB$13)="",10^12,OFFSET(PLE!$G$15,$M397-$A$15,CB$13)))</f>
        <v>1000000000000</v>
      </c>
      <c r="CC397" s="172">
        <f ca="1">IF(OR($D397&lt;&gt;"Serviço",AND(AUTOEVENTO="Manual",$M397=$A$15),$M397&gt;(ROW(PLE.lastrow)-ROW(PLE.firstrow))),0,
           IF(OFFSET(PLE!$G$15,$M397-$A$15,CC$13)="",10^12,OFFSET(PLE!$G$15,$M397-$A$15,CC$13)))</f>
        <v>1000000000000</v>
      </c>
      <c r="CD397" s="172">
        <f ca="1">IF(OR($D397&lt;&gt;"Serviço",AND(AUTOEVENTO="Manual",$M397=$A$15),$M397&gt;(ROW(PLE.lastrow)-ROW(PLE.firstrow))),0,
           IF(OFFSET(PLE!$G$15,$M397-$A$15,CD$13)="",10^12,OFFSET(PLE!$G$15,$M397-$A$15,CD$13)))</f>
        <v>1000000000000</v>
      </c>
      <c r="CE397" s="172">
        <f ca="1">IF(OR($D397&lt;&gt;"Serviço",AND(AUTOEVENTO="Manual",$M397=$A$15),$M397&gt;(ROW(PLE.lastrow)-ROW(PLE.firstrow))),0,
           IF(OFFSET(PLE!$G$15,$M397-$A$15,CE$13)="",10^12,OFFSET(PLE!$G$15,$M397-$A$15,CE$13)))</f>
        <v>1000000000000</v>
      </c>
      <c r="CF397" s="172">
        <f ca="1">IF(OR($D397&lt;&gt;"Serviço",AND(AUTOEVENTO="Manual",$M397=$A$15),$M397&gt;(ROW(PLE.lastrow)-ROW(PLE.firstrow))),0,
           IF(OFFSET(PLE!$G$15,$M397-$A$15,CF$13)="",10^12,OFFSET(PLE!$G$15,$M397-$A$15,CF$13)))</f>
        <v>1000000000000</v>
      </c>
      <c r="CG397" s="172">
        <f ca="1">IF(OR($D397&lt;&gt;"Serviço",AND(AUTOEVENTO="Manual",$M397=$A$15),$M397&gt;(ROW(PLE.lastrow)-ROW(PLE.firstrow))),0,
           IF(OFFSET(PLE!$G$15,$M397-$A$15,CG$13)="",10^12,OFFSET(PLE!$G$15,$M397-$A$15,CG$13)))</f>
        <v>1000000000000</v>
      </c>
      <c r="CH397" s="172">
        <f ca="1">IF(OR($D397&lt;&gt;"Serviço",AND(AUTOEVENTO="Manual",$M397=$A$15),$M397&gt;(ROW(PLE.lastrow)-ROW(PLE.firstrow))),0,
           IF(OFFSET(PLE!$G$15,$M397-$A$15,CH$13)="",10^12,OFFSET(PLE!$G$15,$M397-$A$15,CH$13)))</f>
        <v>1000000000000</v>
      </c>
      <c r="CI397" s="172">
        <f ca="1">IF(OR($D397&lt;&gt;"Serviço",AND(AUTOEVENTO="Manual",$M397=$A$15),$M397&gt;(ROW(PLE.lastrow)-ROW(PLE.firstrow))),0,
           IF(OFFSET(PLE!$G$15,$M397-$A$15,CI$13)="",10^12,OFFSET(PLE!$G$15,$M397-$A$15,CI$13)))</f>
        <v>1000000000000</v>
      </c>
      <c r="CJ397" s="172">
        <f ca="1">IF(OR($D397&lt;&gt;"Serviço",AND(AUTOEVENTO="Manual",$M397=$A$15),$M397&gt;(ROW(PLE.lastrow)-ROW(PLE.firstrow))),0,
           IF(OFFSET(PLE!$G$15,$M397-$A$15,CJ$13)="",10^12,OFFSET(PLE!$G$15,$M397-$A$15,CJ$13)))</f>
        <v>1000000000000</v>
      </c>
      <c r="CK397" s="172">
        <f ca="1">IF(OR($D397&lt;&gt;"Serviço",AND(AUTOEVENTO="Manual",$M397=$A$15),$M397&gt;(ROW(PLE.lastrow)-ROW(PLE.firstrow))),0,
           IF(OFFSET(PLE!$G$15,$M397-$A$15,CK$13)="",10^12,OFFSET(PLE!$G$15,$M397-$A$15,CK$13)))</f>
        <v>1000000000000</v>
      </c>
      <c r="CL397" s="172">
        <f ca="1">IF(OR($D397&lt;&gt;"Serviço",AND(AUTOEVENTO="Manual",$M397=$A$15),$M397&gt;(ROW(PLE.lastrow)-ROW(PLE.firstrow))),0,
           IF(OFFSET(PLE!$G$15,$M397-$A$15,CL$13)="",10^12,OFFSET(PLE!$G$15,$M397-$A$15,CL$13)))</f>
        <v>1000000000000</v>
      </c>
      <c r="CM397" s="172">
        <f ca="1">IF(OR($D397&lt;&gt;"Serviço",AND(AUTOEVENTO="Manual",$M397=$A$15),$M397&gt;(ROW(PLE.lastrow)-ROW(PLE.firstrow))),0,
           IF(OFFSET(PLE!$G$15,$M397-$A$15,CM$13)="",10^12,OFFSET(PLE!$G$15,$M397-$A$15,CM$13)))</f>
        <v>1000000000000</v>
      </c>
    </row>
    <row r="398" spans="1:91" ht="38.25" x14ac:dyDescent="0.2">
      <c r="A398" s="7">
        <f t="shared" ca="1" si="15"/>
        <v>7</v>
      </c>
      <c r="B398" s="7" t="str">
        <f ca="1">OFFSET(ORÇAMENTO!C$15,ROW(B398)-ROW(B$15),0)</f>
        <v>S</v>
      </c>
      <c r="C398" s="7" t="str">
        <f ca="1">OFFSET(ORÇAMENTO!L$15,ROW(C398)-ROW(C$15),0)</f>
        <v>F</v>
      </c>
      <c r="D398" s="116" t="str">
        <f ca="1">OFFSET(ORÇAMENTO!N$15,ROW(D398)-ROW(D$15),0)</f>
        <v>Serviço</v>
      </c>
      <c r="E398" s="117" t="str">
        <f ca="1">OFFSET(ORÇAMENTO!O$15,ROW(E398)-ROW(E$15),0)</f>
        <v>1.8.2.2.3.</v>
      </c>
      <c r="F398" s="163" t="str">
        <f ca="1">OFFSET(ORÇAMENTO!R$15,ROW(F398)-ROW(F$15),0)</f>
        <v>TOMADA MÉDIA DE EMBUTIR (2 MÓDULOS), 2P+T 10 A, INCLUINDO SUPORTE E PLACA - FORNECIMENTO E INSTALAÇÃO. AF_03/2023</v>
      </c>
      <c r="G398" s="164" t="str">
        <f ca="1">IF($D398&lt;&gt;"Serviço","",OFFSET(ORÇAMENTO!S$15,ROW(G398)-ROW(G$15),0))</f>
        <v>UN</v>
      </c>
      <c r="H398" s="122" cm="1">
        <f t="array" aca="1" ref="H398" ca="1">IF($D398&lt;&gt;"Serviço",0,IF(ACOMPANHAMENTO="BM",ROUND(OFFSET(ORÇAMENTO!AJ$15,ROW(H398)-ROW(H$15),0),15-13*ORÇAMENTO!$AF$7),SUMPRODUCT(($Q$1:$AI$1=1)*ROUND($Q398:$AI398,15-13*ORÇAMENTO!$AF$7))))</f>
        <v>1</v>
      </c>
      <c r="I398" s="468" t="s">
        <v>1431</v>
      </c>
      <c r="J398" s="640" t="str" cm="1">
        <f t="array" aca="1" ref="J398" ca="1">IF(OR(B398&lt;&gt;"S",CÁLCULO.FrentesPreenchidas=0),"",IF(AND(ACOMPANHAMENTO="PLE",AUTOEVENTO="Manual",OR(H398&gt;0,ORÇAMENTO!AC398="QUANT."),OR(K398="",M398=0,N398="")),"►E",IF(AND(ACOMPANHAMENTO="PLE",ORÇAMENTO!AC398="QUANT."),"►Q",IF(AND(ACOMPANHAMENTO="PLE",H398&lt;&gt;SUMPRODUCT(($Q$1:$AI$1=1)*ROUND(Q398:AI398,15))),"►S",IF(AND(COUNTIF($P$11:$AI$11,"▼")=0,H398&gt;0,I398=""),"◄M","")))))</f>
        <v/>
      </c>
      <c r="K398" s="641" t="s">
        <v>1391</v>
      </c>
      <c r="L398" s="165" t="s">
        <v>764</v>
      </c>
      <c r="M398" s="166">
        <f ca="1">IF($D398&lt;&gt;"Serviço","",
          IF(AUTOEVENTO="manual",$A398,
                IF(ISERROR(MATCH($A398,$A$15:OFFSET($A398,-1,0),0)),MAX($M$15:OFFSET(M398,-1,0))+1,
                      INDEX($M$15:OFFSET(M398,-1,0),MATCH($A398,$A$15:OFFSET($A398,-1,0),0)))))</f>
        <v>7</v>
      </c>
      <c r="N398" s="167" t="str">
        <f ca="1">IF($D398&lt;&gt;"Serviço","",
         IF(AUTOEVENTO="Manual",
                IF($A398=0,"&lt;-- defina o número do agrupador",
                       OFFSET(EVENTOS!$D$15,$A398-$A$15,0)),
                OFFSET($F$15,$A398,0)))</f>
        <v>Instalações Elétricas</v>
      </c>
      <c r="O398" s="168"/>
      <c r="Q398" s="168"/>
      <c r="R398" s="169"/>
      <c r="S398" s="169"/>
      <c r="T398" s="169"/>
      <c r="U398" s="169"/>
      <c r="V398" s="169"/>
      <c r="W398" s="169"/>
      <c r="X398" s="169">
        <v>1</v>
      </c>
      <c r="Y398" s="169"/>
      <c r="Z398" s="170"/>
      <c r="AA398" s="169"/>
      <c r="AB398" s="169"/>
      <c r="AC398" s="169"/>
      <c r="AD398" s="169"/>
      <c r="AE398" s="169"/>
      <c r="AF398" s="169"/>
      <c r="AG398" s="169"/>
      <c r="AH398" s="170"/>
      <c r="AJ398" s="453">
        <f ca="1">IF(AND($D398="Serviço",AJ$12&lt;&gt;0,$H398&gt;0,OR(AUTOEVENTO&lt;&gt;"manual",$M398&lt;&gt;$A$15)),
        IF(Import.TipoArredondamento&lt;&gt;"TransfereGOV",
              ROUND(OFFSET($P398,0,AJ$13),15-13*ORÇAMENTO!$AF$7)/$H398*OFFSET(ORÇAMENTO!$X$15,ROW(AJ398)-ROW(AJ$15),0),
              ROUND(ROUND(OFFSET($P398,0,AJ$13),15-13*ORÇAMENTO!$AF$7)*OFFSET(ORÇAMENTO!$W$15,ROW(AJ398)-ROW(AJ$15),0),15-13*ORÇAMENTO!$AF$11)),
         0)</f>
        <v>0</v>
      </c>
      <c r="AK398" s="453">
        <f ca="1">IF(AND($D398="Serviço",AK$12&lt;&gt;0,$H398&gt;0,OR(AUTOEVENTO&lt;&gt;"manual",$M398&lt;&gt;$A$15)),
        IF(Import.TipoArredondamento&lt;&gt;"TransfereGOV",
              ROUND(OFFSET($P398,0,AK$13),15-13*ORÇAMENTO!$AF$7)/$H398*OFFSET(ORÇAMENTO!$X$15,ROW(AK398)-ROW(AK$15),0),
              ROUND(ROUND(OFFSET($P398,0,AK$13),15-13*ORÇAMENTO!$AF$7)*OFFSET(ORÇAMENTO!$W$15,ROW(AK398)-ROW(AK$15),0),15-13*ORÇAMENTO!$AF$11)),
         0)</f>
        <v>0</v>
      </c>
      <c r="AL398" s="453">
        <f ca="1">IF(AND($D398="Serviço",AL$12&lt;&gt;0,$H398&gt;0,OR(AUTOEVENTO&lt;&gt;"manual",$M398&lt;&gt;$A$15)),
        IF(Import.TipoArredondamento&lt;&gt;"TransfereGOV",
              ROUND(OFFSET($P398,0,AL$13),15-13*ORÇAMENTO!$AF$7)/$H398*OFFSET(ORÇAMENTO!$X$15,ROW(AL398)-ROW(AL$15),0),
              ROUND(ROUND(OFFSET($P398,0,AL$13),15-13*ORÇAMENTO!$AF$7)*OFFSET(ORÇAMENTO!$W$15,ROW(AL398)-ROW(AL$15),0),15-13*ORÇAMENTO!$AF$11)),
         0)</f>
        <v>0</v>
      </c>
      <c r="AM398" s="453">
        <f ca="1">IF(AND($D398="Serviço",AM$12&lt;&gt;0,$H398&gt;0,OR(AUTOEVENTO&lt;&gt;"manual",$M398&lt;&gt;$A$15)),
        IF(Import.TipoArredondamento&lt;&gt;"TransfereGOV",
              ROUND(OFFSET($P398,0,AM$13),15-13*ORÇAMENTO!$AF$7)/$H398*OFFSET(ORÇAMENTO!$X$15,ROW(AM398)-ROW(AM$15),0),
              ROUND(ROUND(OFFSET($P398,0,AM$13),15-13*ORÇAMENTO!$AF$7)*OFFSET(ORÇAMENTO!$W$15,ROW(AM398)-ROW(AM$15),0),15-13*ORÇAMENTO!$AF$11)),
         0)</f>
        <v>0</v>
      </c>
      <c r="AN398" s="453">
        <f ca="1">IF(AND($D398="Serviço",AN$12&lt;&gt;0,$H398&gt;0,OR(AUTOEVENTO&lt;&gt;"manual",$M398&lt;&gt;$A$15)),
        IF(Import.TipoArredondamento&lt;&gt;"TransfereGOV",
              ROUND(OFFSET($P398,0,AN$13),15-13*ORÇAMENTO!$AF$7)/$H398*OFFSET(ORÇAMENTO!$X$15,ROW(AN398)-ROW(AN$15),0),
              ROUND(ROUND(OFFSET($P398,0,AN$13),15-13*ORÇAMENTO!$AF$7)*OFFSET(ORÇAMENTO!$W$15,ROW(AN398)-ROW(AN$15),0),15-13*ORÇAMENTO!$AF$11)),
         0)</f>
        <v>0</v>
      </c>
      <c r="AO398" s="453">
        <f ca="1">IF(AND($D398="Serviço",AO$12&lt;&gt;0,$H398&gt;0,OR(AUTOEVENTO&lt;&gt;"manual",$M398&lt;&gt;$A$15)),
        IF(Import.TipoArredondamento&lt;&gt;"TransfereGOV",
              ROUND(OFFSET($P398,0,AO$13),15-13*ORÇAMENTO!$AF$7)/$H398*OFFSET(ORÇAMENTO!$X$15,ROW(AO398)-ROW(AO$15),0),
              ROUND(ROUND(OFFSET($P398,0,AO$13),15-13*ORÇAMENTO!$AF$7)*OFFSET(ORÇAMENTO!$W$15,ROW(AO398)-ROW(AO$15),0),15-13*ORÇAMENTO!$AF$11)),
         0)</f>
        <v>0</v>
      </c>
      <c r="AP398" s="453">
        <f ca="1">IF(AND($D398="Serviço",AP$12&lt;&gt;0,$H398&gt;0,OR(AUTOEVENTO&lt;&gt;"manual",$M398&lt;&gt;$A$15)),
        IF(Import.TipoArredondamento&lt;&gt;"TransfereGOV",
              ROUND(OFFSET($P398,0,AP$13),15-13*ORÇAMENTO!$AF$7)/$H398*OFFSET(ORÇAMENTO!$X$15,ROW(AP398)-ROW(AP$15),0),
              ROUND(ROUND(OFFSET($P398,0,AP$13),15-13*ORÇAMENTO!$AF$7)*OFFSET(ORÇAMENTO!$W$15,ROW(AP398)-ROW(AP$15),0),15-13*ORÇAMENTO!$AF$11)),
         0)</f>
        <v>0</v>
      </c>
      <c r="AQ398" s="453">
        <f ca="1">IF(AND($D398="Serviço",AQ$12&lt;&gt;0,$H398&gt;0,OR(AUTOEVENTO&lt;&gt;"manual",$M398&lt;&gt;$A$15)),
        IF(Import.TipoArredondamento&lt;&gt;"TransfereGOV",
              ROUND(OFFSET($P398,0,AQ$13),15-13*ORÇAMENTO!$AF$7)/$H398*OFFSET(ORÇAMENTO!$X$15,ROW(AQ398)-ROW(AQ$15),0),
              ROUND(ROUND(OFFSET($P398,0,AQ$13),15-13*ORÇAMENTO!$AF$7)*OFFSET(ORÇAMENTO!$W$15,ROW(AQ398)-ROW(AQ$15),0),15-13*ORÇAMENTO!$AF$11)),
         0)</f>
        <v>0</v>
      </c>
      <c r="AR398" s="453">
        <f ca="1">IF(AND($D398="Serviço",AR$12&lt;&gt;0,$H398&gt;0,OR(AUTOEVENTO&lt;&gt;"manual",$M398&lt;&gt;$A$15)),
        IF(Import.TipoArredondamento&lt;&gt;"TransfereGOV",
              ROUND(OFFSET($P398,0,AR$13),15-13*ORÇAMENTO!$AF$7)/$H398*OFFSET(ORÇAMENTO!$X$15,ROW(AR398)-ROW(AR$15),0),
              ROUND(ROUND(OFFSET($P398,0,AR$13),15-13*ORÇAMENTO!$AF$7)*OFFSET(ORÇAMENTO!$W$15,ROW(AR398)-ROW(AR$15),0),15-13*ORÇAMENTO!$AF$11)),
         0)</f>
        <v>0</v>
      </c>
      <c r="AS398" s="453">
        <f ca="1">IF(AND($D398="Serviço",AS$12&lt;&gt;0,$H398&gt;0,OR(AUTOEVENTO&lt;&gt;"manual",$M398&lt;&gt;$A$15)),
        IF(Import.TipoArredondamento&lt;&gt;"TransfereGOV",
              ROUND(OFFSET($P398,0,AS$13),15-13*ORÇAMENTO!$AF$7)/$H398*OFFSET(ORÇAMENTO!$X$15,ROW(AS398)-ROW(AS$15),0),
              ROUND(ROUND(OFFSET($P398,0,AS$13),15-13*ORÇAMENTO!$AF$7)*OFFSET(ORÇAMENTO!$W$15,ROW(AS398)-ROW(AS$15),0),15-13*ORÇAMENTO!$AF$11)),
         0)</f>
        <v>0</v>
      </c>
      <c r="AT398" s="453">
        <f ca="1">IF(AND($D398="Serviço",AT$12&lt;&gt;0,$H398&gt;0,OR(AUTOEVENTO&lt;&gt;"manual",$M398&lt;&gt;$A$15)),
        IF(Import.TipoArredondamento&lt;&gt;"TransfereGOV",
              ROUND(OFFSET($P398,0,AT$13),15-13*ORÇAMENTO!$AF$7)/$H398*OFFSET(ORÇAMENTO!$X$15,ROW(AT398)-ROW(AT$15),0),
              ROUND(ROUND(OFFSET($P398,0,AT$13),15-13*ORÇAMENTO!$AF$7)*OFFSET(ORÇAMENTO!$W$15,ROW(AT398)-ROW(AT$15),0),15-13*ORÇAMENTO!$AF$11)),
         0)</f>
        <v>0</v>
      </c>
      <c r="AU398" s="453">
        <f ca="1">IF(AND($D398="Serviço",AU$12&lt;&gt;0,$H398&gt;0,OR(AUTOEVENTO&lt;&gt;"manual",$M398&lt;&gt;$A$15)),
        IF(Import.TipoArredondamento&lt;&gt;"TransfereGOV",
              ROUND(OFFSET($P398,0,AU$13),15-13*ORÇAMENTO!$AF$7)/$H398*OFFSET(ORÇAMENTO!$X$15,ROW(AU398)-ROW(AU$15),0),
              ROUND(ROUND(OFFSET($P398,0,AU$13),15-13*ORÇAMENTO!$AF$7)*OFFSET(ORÇAMENTO!$W$15,ROW(AU398)-ROW(AU$15),0),15-13*ORÇAMENTO!$AF$11)),
         0)</f>
        <v>0</v>
      </c>
      <c r="AV398" s="453">
        <f ca="1">IF(AND($D398="Serviço",AV$12&lt;&gt;0,$H398&gt;0,OR(AUTOEVENTO&lt;&gt;"manual",$M398&lt;&gt;$A$15)),
        IF(Import.TipoArredondamento&lt;&gt;"TransfereGOV",
              ROUND(OFFSET($P398,0,AV$13),15-13*ORÇAMENTO!$AF$7)/$H398*OFFSET(ORÇAMENTO!$X$15,ROW(AV398)-ROW(AV$15),0),
              ROUND(ROUND(OFFSET($P398,0,AV$13),15-13*ORÇAMENTO!$AF$7)*OFFSET(ORÇAMENTO!$W$15,ROW(AV398)-ROW(AV$15),0),15-13*ORÇAMENTO!$AF$11)),
         0)</f>
        <v>0</v>
      </c>
      <c r="AW398" s="453">
        <f ca="1">IF(AND($D398="Serviço",AW$12&lt;&gt;0,$H398&gt;0,OR(AUTOEVENTO&lt;&gt;"manual",$M398&lt;&gt;$A$15)),
        IF(Import.TipoArredondamento&lt;&gt;"TransfereGOV",
              ROUND(OFFSET($P398,0,AW$13),15-13*ORÇAMENTO!$AF$7)/$H398*OFFSET(ORÇAMENTO!$X$15,ROW(AW398)-ROW(AW$15),0),
              ROUND(ROUND(OFFSET($P398,0,AW$13),15-13*ORÇAMENTO!$AF$7)*OFFSET(ORÇAMENTO!$W$15,ROW(AW398)-ROW(AW$15),0),15-13*ORÇAMENTO!$AF$11)),
         0)</f>
        <v>0</v>
      </c>
      <c r="AX398" s="453">
        <f ca="1">IF(AND($D398="Serviço",AX$12&lt;&gt;0,$H398&gt;0,OR(AUTOEVENTO&lt;&gt;"manual",$M398&lt;&gt;$A$15)),
        IF(Import.TipoArredondamento&lt;&gt;"TransfereGOV",
              ROUND(OFFSET($P398,0,AX$13),15-13*ORÇAMENTO!$AF$7)/$H398*OFFSET(ORÇAMENTO!$X$15,ROW(AX398)-ROW(AX$15),0),
              ROUND(ROUND(OFFSET($P398,0,AX$13),15-13*ORÇAMENTO!$AF$7)*OFFSET(ORÇAMENTO!$W$15,ROW(AX398)-ROW(AX$15),0),15-13*ORÇAMENTO!$AF$11)),
         0)</f>
        <v>0</v>
      </c>
      <c r="AY398" s="453">
        <f ca="1">IF(AND($D398="Serviço",AY$12&lt;&gt;0,$H398&gt;0,OR(AUTOEVENTO&lt;&gt;"manual",$M398&lt;&gt;$A$15)),
        IF(Import.TipoArredondamento&lt;&gt;"TransfereGOV",
              ROUND(OFFSET($P398,0,AY$13),15-13*ORÇAMENTO!$AF$7)/$H398*OFFSET(ORÇAMENTO!$X$15,ROW(AY398)-ROW(AY$15),0),
              ROUND(ROUND(OFFSET($P398,0,AY$13),15-13*ORÇAMENTO!$AF$7)*OFFSET(ORÇAMENTO!$W$15,ROW(AY398)-ROW(AY$15),0),15-13*ORÇAMENTO!$AF$11)),
         0)</f>
        <v>0</v>
      </c>
      <c r="AZ398" s="453">
        <f ca="1">IF(AND($D398="Serviço",AZ$12&lt;&gt;0,$H398&gt;0,OR(AUTOEVENTO&lt;&gt;"manual",$M398&lt;&gt;$A$15)),
        IF(Import.TipoArredondamento&lt;&gt;"TransfereGOV",
              ROUND(OFFSET($P398,0,AZ$13),15-13*ORÇAMENTO!$AF$7)/$H398*OFFSET(ORÇAMENTO!$X$15,ROW(AZ398)-ROW(AZ$15),0),
              ROUND(ROUND(OFFSET($P398,0,AZ$13),15-13*ORÇAMENTO!$AF$7)*OFFSET(ORÇAMENTO!$W$15,ROW(AZ398)-ROW(AZ$15),0),15-13*ORÇAMENTO!$AF$11)),
         0)</f>
        <v>0</v>
      </c>
      <c r="BA398" s="453">
        <f ca="1">IF(AND($D398="Serviço",BA$12&lt;&gt;0,$H398&gt;0,OR(AUTOEVENTO&lt;&gt;"manual",$M398&lt;&gt;$A$15)),
        IF(Import.TipoArredondamento&lt;&gt;"TransfereGOV",
              ROUND(OFFSET($P398,0,BA$13),15-13*ORÇAMENTO!$AF$7)/$H398*OFFSET(ORÇAMENTO!$X$15,ROW(BA398)-ROW(BA$15),0),
              ROUND(ROUND(OFFSET($P398,0,BA$13),15-13*ORÇAMENTO!$AF$7)*OFFSET(ORÇAMENTO!$W$15,ROW(BA398)-ROW(BA$15),0),15-13*ORÇAMENTO!$AF$11)),
         0)</f>
        <v>0</v>
      </c>
      <c r="BC398" s="171">
        <f ca="1">IF(OR($D398&lt;&gt;"Serviço",AND(AUTOEVENTO="Manual",$M398=$A$15)),0,
         IF(OFFSET(CRONOPLE!$F$15,$M398-$A$15,BC$13)=0,10^12,OFFSET(CRONOPLE!$F$15,$M398-$A$15,BC$13)))</f>
        <v>1</v>
      </c>
      <c r="BD398" s="171">
        <f ca="1">IF(OR($D398&lt;&gt;"Serviço",AND(AUTOEVENTO="Manual",$M398=$A$15)),0,
         IF(OFFSET(CRONOPLE!$F$15,$M398-$A$15,BD$13)=0,10^12,OFFSET(CRONOPLE!$F$15,$M398-$A$15,BD$13)))</f>
        <v>2</v>
      </c>
      <c r="BE398" s="171">
        <f ca="1">IF(OR($D398&lt;&gt;"Serviço",AND(AUTOEVENTO="Manual",$M398=$A$15)),0,
         IF(OFFSET(CRONOPLE!$F$15,$M398-$A$15,BE$13)=0,10^12,OFFSET(CRONOPLE!$F$15,$M398-$A$15,BE$13)))</f>
        <v>3</v>
      </c>
      <c r="BF398" s="171">
        <f ca="1">IF(OR($D398&lt;&gt;"Serviço",AND(AUTOEVENTO="Manual",$M398=$A$15)),0,
         IF(OFFSET(CRONOPLE!$F$15,$M398-$A$15,BF$13)=0,10^12,OFFSET(CRONOPLE!$F$15,$M398-$A$15,BF$13)))</f>
        <v>4</v>
      </c>
      <c r="BG398" s="171">
        <f ca="1">IF(OR($D398&lt;&gt;"Serviço",AND(AUTOEVENTO="Manual",$M398=$A$15)),0,
         IF(OFFSET(CRONOPLE!$F$15,$M398-$A$15,BG$13)=0,10^12,OFFSET(CRONOPLE!$F$15,$M398-$A$15,BG$13)))</f>
        <v>5</v>
      </c>
      <c r="BH398" s="171">
        <f ca="1">IF(OR($D398&lt;&gt;"Serviço",AND(AUTOEVENTO="Manual",$M398=$A$15)),0,
         IF(OFFSET(CRONOPLE!$F$15,$M398-$A$15,BH$13)=0,10^12,OFFSET(CRONOPLE!$F$15,$M398-$A$15,BH$13)))</f>
        <v>6</v>
      </c>
      <c r="BI398" s="171">
        <f ca="1">IF(OR($D398&lt;&gt;"Serviço",AND(AUTOEVENTO="Manual",$M398=$A$15)),0,
         IF(OFFSET(CRONOPLE!$F$15,$M398-$A$15,BI$13)=0,10^12,OFFSET(CRONOPLE!$F$15,$M398-$A$15,BI$13)))</f>
        <v>7</v>
      </c>
      <c r="BJ398" s="171">
        <f ca="1">IF(OR($D398&lt;&gt;"Serviço",AND(AUTOEVENTO="Manual",$M398=$A$15)),0,
         IF(OFFSET(CRONOPLE!$F$15,$M398-$A$15,BJ$13)=0,10^12,OFFSET(CRONOPLE!$F$15,$M398-$A$15,BJ$13)))</f>
        <v>8</v>
      </c>
      <c r="BK398" s="171">
        <f ca="1">IF(OR($D398&lt;&gt;"Serviço",AND(AUTOEVENTO="Manual",$M398=$A$15)),0,
         IF(OFFSET(CRONOPLE!$F$15,$M398-$A$15,BK$13)=0,10^12,OFFSET(CRONOPLE!$F$15,$M398-$A$15,BK$13)))</f>
        <v>9</v>
      </c>
      <c r="BL398" s="171">
        <f ca="1">IF(OR($D398&lt;&gt;"Serviço",AND(AUTOEVENTO="Manual",$M398=$A$15)),0,
         IF(OFFSET(CRONOPLE!$F$15,$M398-$A$15,BL$13)=0,10^12,OFFSET(CRONOPLE!$F$15,$M398-$A$15,BL$13)))</f>
        <v>1000000000000</v>
      </c>
      <c r="BM398" s="171">
        <f ca="1">IF(OR($D398&lt;&gt;"Serviço",AND(AUTOEVENTO="Manual",$M398=$A$15)),0,
         IF(OFFSET(CRONOPLE!$F$15,$M398-$A$15,BM$13)=0,10^12,OFFSET(CRONOPLE!$F$15,$M398-$A$15,BM$13)))</f>
        <v>1000000000000</v>
      </c>
      <c r="BN398" s="171">
        <f ca="1">IF(OR($D398&lt;&gt;"Serviço",AND(AUTOEVENTO="Manual",$M398=$A$15)),0,
         IF(OFFSET(CRONOPLE!$F$15,$M398-$A$15,BN$13)=0,10^12,OFFSET(CRONOPLE!$F$15,$M398-$A$15,BN$13)))</f>
        <v>1000000000000</v>
      </c>
      <c r="BO398" s="171">
        <f ca="1">IF(OR($D398&lt;&gt;"Serviço",AND(AUTOEVENTO="Manual",$M398=$A$15)),0,
         IF(OFFSET(CRONOPLE!$F$15,$M398-$A$15,BO$13)=0,10^12,OFFSET(CRONOPLE!$F$15,$M398-$A$15,BO$13)))</f>
        <v>1000000000000</v>
      </c>
      <c r="BP398" s="171">
        <f ca="1">IF(OR($D398&lt;&gt;"Serviço",AND(AUTOEVENTO="Manual",$M398=$A$15)),0,
         IF(OFFSET(CRONOPLE!$F$15,$M398-$A$15,BP$13)=0,10^12,OFFSET(CRONOPLE!$F$15,$M398-$A$15,BP$13)))</f>
        <v>1000000000000</v>
      </c>
      <c r="BQ398" s="171">
        <f ca="1">IF(OR($D398&lt;&gt;"Serviço",AND(AUTOEVENTO="Manual",$M398=$A$15)),0,
         IF(OFFSET(CRONOPLE!$F$15,$M398-$A$15,BQ$13)=0,10^12,OFFSET(CRONOPLE!$F$15,$M398-$A$15,BQ$13)))</f>
        <v>1000000000000</v>
      </c>
      <c r="BR398" s="171">
        <f ca="1">IF(OR($D398&lt;&gt;"Serviço",AND(AUTOEVENTO="Manual",$M398=$A$15)),0,
         IF(OFFSET(CRONOPLE!$F$15,$M398-$A$15,BR$13)=0,10^12,OFFSET(CRONOPLE!$F$15,$M398-$A$15,BR$13)))</f>
        <v>1000000000000</v>
      </c>
      <c r="BS398" s="171">
        <f ca="1">IF(OR($D398&lt;&gt;"Serviço",AND(AUTOEVENTO="Manual",$M398=$A$15)),0,
         IF(OFFSET(CRONOPLE!$F$15,$M398-$A$15,BS$13)=0,10^12,OFFSET(CRONOPLE!$F$15,$M398-$A$15,BS$13)))</f>
        <v>1000000000000</v>
      </c>
      <c r="BT398" s="171">
        <f ca="1">IF(OR($D398&lt;&gt;"Serviço",AND(AUTOEVENTO="Manual",$M398=$A$15)),0,
         IF(OFFSET(CRONOPLE!$F$15,$M398-$A$15,BT$13)=0,10^12,OFFSET(CRONOPLE!$F$15,$M398-$A$15,BT$13)))</f>
        <v>1000000000000</v>
      </c>
      <c r="BV398" s="172">
        <f ca="1">IF(OR($D398&lt;&gt;"Serviço",AND(AUTOEVENTO="Manual",$M398=$A$15),$M398&gt;(ROW(PLE.lastrow)-ROW(PLE.firstrow))),0,
           IF(OFFSET(PLE!$G$15,$M398-$A$15,BV$13)="",10^12,OFFSET(PLE!$G$15,$M398-$A$15,BV$13)))</f>
        <v>1000000000000</v>
      </c>
      <c r="BW398" s="172">
        <f ca="1">IF(OR($D398&lt;&gt;"Serviço",AND(AUTOEVENTO="Manual",$M398=$A$15),$M398&gt;(ROW(PLE.lastrow)-ROW(PLE.firstrow))),0,
           IF(OFFSET(PLE!$G$15,$M398-$A$15,BW$13)="",10^12,OFFSET(PLE!$G$15,$M398-$A$15,BW$13)))</f>
        <v>1000000000000</v>
      </c>
      <c r="BX398" s="172">
        <f ca="1">IF(OR($D398&lt;&gt;"Serviço",AND(AUTOEVENTO="Manual",$M398=$A$15),$M398&gt;(ROW(PLE.lastrow)-ROW(PLE.firstrow))),0,
           IF(OFFSET(PLE!$G$15,$M398-$A$15,BX$13)="",10^12,OFFSET(PLE!$G$15,$M398-$A$15,BX$13)))</f>
        <v>1000000000000</v>
      </c>
      <c r="BY398" s="172">
        <f ca="1">IF(OR($D398&lt;&gt;"Serviço",AND(AUTOEVENTO="Manual",$M398=$A$15),$M398&gt;(ROW(PLE.lastrow)-ROW(PLE.firstrow))),0,
           IF(OFFSET(PLE!$G$15,$M398-$A$15,BY$13)="",10^12,OFFSET(PLE!$G$15,$M398-$A$15,BY$13)))</f>
        <v>1000000000000</v>
      </c>
      <c r="BZ398" s="172">
        <f ca="1">IF(OR($D398&lt;&gt;"Serviço",AND(AUTOEVENTO="Manual",$M398=$A$15),$M398&gt;(ROW(PLE.lastrow)-ROW(PLE.firstrow))),0,
           IF(OFFSET(PLE!$G$15,$M398-$A$15,BZ$13)="",10^12,OFFSET(PLE!$G$15,$M398-$A$15,BZ$13)))</f>
        <v>1000000000000</v>
      </c>
      <c r="CA398" s="172">
        <f ca="1">IF(OR($D398&lt;&gt;"Serviço",AND(AUTOEVENTO="Manual",$M398=$A$15),$M398&gt;(ROW(PLE.lastrow)-ROW(PLE.firstrow))),0,
           IF(OFFSET(PLE!$G$15,$M398-$A$15,CA$13)="",10^12,OFFSET(PLE!$G$15,$M398-$A$15,CA$13)))</f>
        <v>1000000000000</v>
      </c>
      <c r="CB398" s="172">
        <f ca="1">IF(OR($D398&lt;&gt;"Serviço",AND(AUTOEVENTO="Manual",$M398=$A$15),$M398&gt;(ROW(PLE.lastrow)-ROW(PLE.firstrow))),0,
           IF(OFFSET(PLE!$G$15,$M398-$A$15,CB$13)="",10^12,OFFSET(PLE!$G$15,$M398-$A$15,CB$13)))</f>
        <v>1000000000000</v>
      </c>
      <c r="CC398" s="172">
        <f ca="1">IF(OR($D398&lt;&gt;"Serviço",AND(AUTOEVENTO="Manual",$M398=$A$15),$M398&gt;(ROW(PLE.lastrow)-ROW(PLE.firstrow))),0,
           IF(OFFSET(PLE!$G$15,$M398-$A$15,CC$13)="",10^12,OFFSET(PLE!$G$15,$M398-$A$15,CC$13)))</f>
        <v>1000000000000</v>
      </c>
      <c r="CD398" s="172">
        <f ca="1">IF(OR($D398&lt;&gt;"Serviço",AND(AUTOEVENTO="Manual",$M398=$A$15),$M398&gt;(ROW(PLE.lastrow)-ROW(PLE.firstrow))),0,
           IF(OFFSET(PLE!$G$15,$M398-$A$15,CD$13)="",10^12,OFFSET(PLE!$G$15,$M398-$A$15,CD$13)))</f>
        <v>1000000000000</v>
      </c>
      <c r="CE398" s="172">
        <f ca="1">IF(OR($D398&lt;&gt;"Serviço",AND(AUTOEVENTO="Manual",$M398=$A$15),$M398&gt;(ROW(PLE.lastrow)-ROW(PLE.firstrow))),0,
           IF(OFFSET(PLE!$G$15,$M398-$A$15,CE$13)="",10^12,OFFSET(PLE!$G$15,$M398-$A$15,CE$13)))</f>
        <v>1000000000000</v>
      </c>
      <c r="CF398" s="172">
        <f ca="1">IF(OR($D398&lt;&gt;"Serviço",AND(AUTOEVENTO="Manual",$M398=$A$15),$M398&gt;(ROW(PLE.lastrow)-ROW(PLE.firstrow))),0,
           IF(OFFSET(PLE!$G$15,$M398-$A$15,CF$13)="",10^12,OFFSET(PLE!$G$15,$M398-$A$15,CF$13)))</f>
        <v>1000000000000</v>
      </c>
      <c r="CG398" s="172">
        <f ca="1">IF(OR($D398&lt;&gt;"Serviço",AND(AUTOEVENTO="Manual",$M398=$A$15),$M398&gt;(ROW(PLE.lastrow)-ROW(PLE.firstrow))),0,
           IF(OFFSET(PLE!$G$15,$M398-$A$15,CG$13)="",10^12,OFFSET(PLE!$G$15,$M398-$A$15,CG$13)))</f>
        <v>1000000000000</v>
      </c>
      <c r="CH398" s="172">
        <f ca="1">IF(OR($D398&lt;&gt;"Serviço",AND(AUTOEVENTO="Manual",$M398=$A$15),$M398&gt;(ROW(PLE.lastrow)-ROW(PLE.firstrow))),0,
           IF(OFFSET(PLE!$G$15,$M398-$A$15,CH$13)="",10^12,OFFSET(PLE!$G$15,$M398-$A$15,CH$13)))</f>
        <v>1000000000000</v>
      </c>
      <c r="CI398" s="172">
        <f ca="1">IF(OR($D398&lt;&gt;"Serviço",AND(AUTOEVENTO="Manual",$M398=$A$15),$M398&gt;(ROW(PLE.lastrow)-ROW(PLE.firstrow))),0,
           IF(OFFSET(PLE!$G$15,$M398-$A$15,CI$13)="",10^12,OFFSET(PLE!$G$15,$M398-$A$15,CI$13)))</f>
        <v>1000000000000</v>
      </c>
      <c r="CJ398" s="172">
        <f ca="1">IF(OR($D398&lt;&gt;"Serviço",AND(AUTOEVENTO="Manual",$M398=$A$15),$M398&gt;(ROW(PLE.lastrow)-ROW(PLE.firstrow))),0,
           IF(OFFSET(PLE!$G$15,$M398-$A$15,CJ$13)="",10^12,OFFSET(PLE!$G$15,$M398-$A$15,CJ$13)))</f>
        <v>1000000000000</v>
      </c>
      <c r="CK398" s="172">
        <f ca="1">IF(OR($D398&lt;&gt;"Serviço",AND(AUTOEVENTO="Manual",$M398=$A$15),$M398&gt;(ROW(PLE.lastrow)-ROW(PLE.firstrow))),0,
           IF(OFFSET(PLE!$G$15,$M398-$A$15,CK$13)="",10^12,OFFSET(PLE!$G$15,$M398-$A$15,CK$13)))</f>
        <v>1000000000000</v>
      </c>
      <c r="CL398" s="172">
        <f ca="1">IF(OR($D398&lt;&gt;"Serviço",AND(AUTOEVENTO="Manual",$M398=$A$15),$M398&gt;(ROW(PLE.lastrow)-ROW(PLE.firstrow))),0,
           IF(OFFSET(PLE!$G$15,$M398-$A$15,CL$13)="",10^12,OFFSET(PLE!$G$15,$M398-$A$15,CL$13)))</f>
        <v>1000000000000</v>
      </c>
      <c r="CM398" s="172">
        <f ca="1">IF(OR($D398&lt;&gt;"Serviço",AND(AUTOEVENTO="Manual",$M398=$A$15),$M398&gt;(ROW(PLE.lastrow)-ROW(PLE.firstrow))),0,
           IF(OFFSET(PLE!$G$15,$M398-$A$15,CM$13)="",10^12,OFFSET(PLE!$G$15,$M398-$A$15,CM$13)))</f>
        <v>1000000000000</v>
      </c>
    </row>
    <row r="399" spans="1:91" ht="51" x14ac:dyDescent="0.2">
      <c r="A399" s="7">
        <f t="shared" ca="1" si="15"/>
        <v>7</v>
      </c>
      <c r="B399" s="7" t="str">
        <f ca="1">OFFSET(ORÇAMENTO!C$15,ROW(B399)-ROW(B$15),0)</f>
        <v>S</v>
      </c>
      <c r="C399" s="7" t="str">
        <f ca="1">OFFSET(ORÇAMENTO!L$15,ROW(C399)-ROW(C$15),0)</f>
        <v>F</v>
      </c>
      <c r="D399" s="116" t="str">
        <f ca="1">OFFSET(ORÇAMENTO!N$15,ROW(D399)-ROW(D$15),0)</f>
        <v>Serviço</v>
      </c>
      <c r="E399" s="117" t="str">
        <f ca="1">OFFSET(ORÇAMENTO!O$15,ROW(E399)-ROW(E$15),0)</f>
        <v>1.8.2.2.4.</v>
      </c>
      <c r="F399" s="163" t="str">
        <f ca="1">OFFSET(ORÇAMENTO!R$15,ROW(F399)-ROW(F$15),0)</f>
        <v>LUMINÁRIA COMERCIAL CHANFRADA DE SOBREPOR COMPLETA, PARA DUAS (2) LÂMPADAS TUBULARES LED 2X18W-ØT8, TEMPERATURA DA COR 6500K, FORNECIMENTO E INSTALAÇÃO, INCLUSIVE BASE E LÂMPADAS</v>
      </c>
      <c r="G399" s="164" t="str">
        <f ca="1">IF($D399&lt;&gt;"Serviço","",OFFSET(ORÇAMENTO!S$15,ROW(G399)-ROW(G$15),0))</f>
        <v>UN</v>
      </c>
      <c r="H399" s="122" cm="1">
        <f t="array" aca="1" ref="H399" ca="1">IF($D399&lt;&gt;"Serviço",0,IF(ACOMPANHAMENTO="BM",ROUND(OFFSET(ORÇAMENTO!AJ$15,ROW(H399)-ROW(H$15),0),15-13*ORÇAMENTO!$AF$7),SUMPRODUCT(($Q$1:$AI$1=1)*ROUND($Q399:$AI399,15-13*ORÇAMENTO!$AF$7))))</f>
        <v>1</v>
      </c>
      <c r="I399" s="468" t="s">
        <v>1431</v>
      </c>
      <c r="J399" s="640" t="str" cm="1">
        <f t="array" aca="1" ref="J399" ca="1">IF(OR(B399&lt;&gt;"S",CÁLCULO.FrentesPreenchidas=0),"",IF(AND(ACOMPANHAMENTO="PLE",AUTOEVENTO="Manual",OR(H399&gt;0,ORÇAMENTO!AC399="QUANT."),OR(K399="",M399=0,N399="")),"►E",IF(AND(ACOMPANHAMENTO="PLE",ORÇAMENTO!AC399="QUANT."),"►Q",IF(AND(ACOMPANHAMENTO="PLE",H399&lt;&gt;SUMPRODUCT(($Q$1:$AI$1=1)*ROUND(Q399:AI399,15))),"►S",IF(AND(COUNTIF($P$11:$AI$11,"▼")=0,H399&gt;0,I399=""),"◄M","")))))</f>
        <v/>
      </c>
      <c r="K399" s="641" t="s">
        <v>1391</v>
      </c>
      <c r="L399" s="165" t="s">
        <v>764</v>
      </c>
      <c r="M399" s="166">
        <f ca="1">IF($D399&lt;&gt;"Serviço","",
          IF(AUTOEVENTO="manual",$A399,
                IF(ISERROR(MATCH($A399,$A$15:OFFSET($A399,-1,0),0)),MAX($M$15:OFFSET(M399,-1,0))+1,
                      INDEX($M$15:OFFSET(M399,-1,0),MATCH($A399,$A$15:OFFSET($A399,-1,0),0)))))</f>
        <v>7</v>
      </c>
      <c r="N399" s="167" t="str">
        <f ca="1">IF($D399&lt;&gt;"Serviço","",
         IF(AUTOEVENTO="Manual",
                IF($A399=0,"&lt;-- defina o número do agrupador",
                       OFFSET(EVENTOS!$D$15,$A399-$A$15,0)),
                OFFSET($F$15,$A399,0)))</f>
        <v>Instalações Elétricas</v>
      </c>
      <c r="O399" s="168"/>
      <c r="Q399" s="168"/>
      <c r="R399" s="169"/>
      <c r="S399" s="169"/>
      <c r="T399" s="169"/>
      <c r="U399" s="169"/>
      <c r="V399" s="169"/>
      <c r="W399" s="169"/>
      <c r="X399" s="169">
        <v>1</v>
      </c>
      <c r="Y399" s="169"/>
      <c r="Z399" s="170"/>
      <c r="AA399" s="169"/>
      <c r="AB399" s="169"/>
      <c r="AC399" s="169"/>
      <c r="AD399" s="169"/>
      <c r="AE399" s="169"/>
      <c r="AF399" s="169"/>
      <c r="AG399" s="169"/>
      <c r="AH399" s="170"/>
      <c r="AJ399" s="453">
        <f ca="1">IF(AND($D399="Serviço",AJ$12&lt;&gt;0,$H399&gt;0,OR(AUTOEVENTO&lt;&gt;"manual",$M399&lt;&gt;$A$15)),
        IF(Import.TipoArredondamento&lt;&gt;"TransfereGOV",
              ROUND(OFFSET($P399,0,AJ$13),15-13*ORÇAMENTO!$AF$7)/$H399*OFFSET(ORÇAMENTO!$X$15,ROW(AJ399)-ROW(AJ$15),0),
              ROUND(ROUND(OFFSET($P399,0,AJ$13),15-13*ORÇAMENTO!$AF$7)*OFFSET(ORÇAMENTO!$W$15,ROW(AJ399)-ROW(AJ$15),0),15-13*ORÇAMENTO!$AF$11)),
         0)</f>
        <v>0</v>
      </c>
      <c r="AK399" s="453">
        <f ca="1">IF(AND($D399="Serviço",AK$12&lt;&gt;0,$H399&gt;0,OR(AUTOEVENTO&lt;&gt;"manual",$M399&lt;&gt;$A$15)),
        IF(Import.TipoArredondamento&lt;&gt;"TransfereGOV",
              ROUND(OFFSET($P399,0,AK$13),15-13*ORÇAMENTO!$AF$7)/$H399*OFFSET(ORÇAMENTO!$X$15,ROW(AK399)-ROW(AK$15),0),
              ROUND(ROUND(OFFSET($P399,0,AK$13),15-13*ORÇAMENTO!$AF$7)*OFFSET(ORÇAMENTO!$W$15,ROW(AK399)-ROW(AK$15),0),15-13*ORÇAMENTO!$AF$11)),
         0)</f>
        <v>0</v>
      </c>
      <c r="AL399" s="453">
        <f ca="1">IF(AND($D399="Serviço",AL$12&lt;&gt;0,$H399&gt;0,OR(AUTOEVENTO&lt;&gt;"manual",$M399&lt;&gt;$A$15)),
        IF(Import.TipoArredondamento&lt;&gt;"TransfereGOV",
              ROUND(OFFSET($P399,0,AL$13),15-13*ORÇAMENTO!$AF$7)/$H399*OFFSET(ORÇAMENTO!$X$15,ROW(AL399)-ROW(AL$15),0),
              ROUND(ROUND(OFFSET($P399,0,AL$13),15-13*ORÇAMENTO!$AF$7)*OFFSET(ORÇAMENTO!$W$15,ROW(AL399)-ROW(AL$15),0),15-13*ORÇAMENTO!$AF$11)),
         0)</f>
        <v>0</v>
      </c>
      <c r="AM399" s="453">
        <f ca="1">IF(AND($D399="Serviço",AM$12&lt;&gt;0,$H399&gt;0,OR(AUTOEVENTO&lt;&gt;"manual",$M399&lt;&gt;$A$15)),
        IF(Import.TipoArredondamento&lt;&gt;"TransfereGOV",
              ROUND(OFFSET($P399,0,AM$13),15-13*ORÇAMENTO!$AF$7)/$H399*OFFSET(ORÇAMENTO!$X$15,ROW(AM399)-ROW(AM$15),0),
              ROUND(ROUND(OFFSET($P399,0,AM$13),15-13*ORÇAMENTO!$AF$7)*OFFSET(ORÇAMENTO!$W$15,ROW(AM399)-ROW(AM$15),0),15-13*ORÇAMENTO!$AF$11)),
         0)</f>
        <v>0</v>
      </c>
      <c r="AN399" s="453">
        <f ca="1">IF(AND($D399="Serviço",AN$12&lt;&gt;0,$H399&gt;0,OR(AUTOEVENTO&lt;&gt;"manual",$M399&lt;&gt;$A$15)),
        IF(Import.TipoArredondamento&lt;&gt;"TransfereGOV",
              ROUND(OFFSET($P399,0,AN$13),15-13*ORÇAMENTO!$AF$7)/$H399*OFFSET(ORÇAMENTO!$X$15,ROW(AN399)-ROW(AN$15),0),
              ROUND(ROUND(OFFSET($P399,0,AN$13),15-13*ORÇAMENTO!$AF$7)*OFFSET(ORÇAMENTO!$W$15,ROW(AN399)-ROW(AN$15),0),15-13*ORÇAMENTO!$AF$11)),
         0)</f>
        <v>0</v>
      </c>
      <c r="AO399" s="453">
        <f ca="1">IF(AND($D399="Serviço",AO$12&lt;&gt;0,$H399&gt;0,OR(AUTOEVENTO&lt;&gt;"manual",$M399&lt;&gt;$A$15)),
        IF(Import.TipoArredondamento&lt;&gt;"TransfereGOV",
              ROUND(OFFSET($P399,0,AO$13),15-13*ORÇAMENTO!$AF$7)/$H399*OFFSET(ORÇAMENTO!$X$15,ROW(AO399)-ROW(AO$15),0),
              ROUND(ROUND(OFFSET($P399,0,AO$13),15-13*ORÇAMENTO!$AF$7)*OFFSET(ORÇAMENTO!$W$15,ROW(AO399)-ROW(AO$15),0),15-13*ORÇAMENTO!$AF$11)),
         0)</f>
        <v>0</v>
      </c>
      <c r="AP399" s="453">
        <f ca="1">IF(AND($D399="Serviço",AP$12&lt;&gt;0,$H399&gt;0,OR(AUTOEVENTO&lt;&gt;"manual",$M399&lt;&gt;$A$15)),
        IF(Import.TipoArredondamento&lt;&gt;"TransfereGOV",
              ROUND(OFFSET($P399,0,AP$13),15-13*ORÇAMENTO!$AF$7)/$H399*OFFSET(ORÇAMENTO!$X$15,ROW(AP399)-ROW(AP$15),0),
              ROUND(ROUND(OFFSET($P399,0,AP$13),15-13*ORÇAMENTO!$AF$7)*OFFSET(ORÇAMENTO!$W$15,ROW(AP399)-ROW(AP$15),0),15-13*ORÇAMENTO!$AF$11)),
         0)</f>
        <v>0</v>
      </c>
      <c r="AQ399" s="453">
        <f ca="1">IF(AND($D399="Serviço",AQ$12&lt;&gt;0,$H399&gt;0,OR(AUTOEVENTO&lt;&gt;"manual",$M399&lt;&gt;$A$15)),
        IF(Import.TipoArredondamento&lt;&gt;"TransfereGOV",
              ROUND(OFFSET($P399,0,AQ$13),15-13*ORÇAMENTO!$AF$7)/$H399*OFFSET(ORÇAMENTO!$X$15,ROW(AQ399)-ROW(AQ$15),0),
              ROUND(ROUND(OFFSET($P399,0,AQ$13),15-13*ORÇAMENTO!$AF$7)*OFFSET(ORÇAMENTO!$W$15,ROW(AQ399)-ROW(AQ$15),0),15-13*ORÇAMENTO!$AF$11)),
         0)</f>
        <v>0</v>
      </c>
      <c r="AR399" s="453">
        <f ca="1">IF(AND($D399="Serviço",AR$12&lt;&gt;0,$H399&gt;0,OR(AUTOEVENTO&lt;&gt;"manual",$M399&lt;&gt;$A$15)),
        IF(Import.TipoArredondamento&lt;&gt;"TransfereGOV",
              ROUND(OFFSET($P399,0,AR$13),15-13*ORÇAMENTO!$AF$7)/$H399*OFFSET(ORÇAMENTO!$X$15,ROW(AR399)-ROW(AR$15),0),
              ROUND(ROUND(OFFSET($P399,0,AR$13),15-13*ORÇAMENTO!$AF$7)*OFFSET(ORÇAMENTO!$W$15,ROW(AR399)-ROW(AR$15),0),15-13*ORÇAMENTO!$AF$11)),
         0)</f>
        <v>0</v>
      </c>
      <c r="AS399" s="453">
        <f ca="1">IF(AND($D399="Serviço",AS$12&lt;&gt;0,$H399&gt;0,OR(AUTOEVENTO&lt;&gt;"manual",$M399&lt;&gt;$A$15)),
        IF(Import.TipoArredondamento&lt;&gt;"TransfereGOV",
              ROUND(OFFSET($P399,0,AS$13),15-13*ORÇAMENTO!$AF$7)/$H399*OFFSET(ORÇAMENTO!$X$15,ROW(AS399)-ROW(AS$15),0),
              ROUND(ROUND(OFFSET($P399,0,AS$13),15-13*ORÇAMENTO!$AF$7)*OFFSET(ORÇAMENTO!$W$15,ROW(AS399)-ROW(AS$15),0),15-13*ORÇAMENTO!$AF$11)),
         0)</f>
        <v>0</v>
      </c>
      <c r="AT399" s="453">
        <f ca="1">IF(AND($D399="Serviço",AT$12&lt;&gt;0,$H399&gt;0,OR(AUTOEVENTO&lt;&gt;"manual",$M399&lt;&gt;$A$15)),
        IF(Import.TipoArredondamento&lt;&gt;"TransfereGOV",
              ROUND(OFFSET($P399,0,AT$13),15-13*ORÇAMENTO!$AF$7)/$H399*OFFSET(ORÇAMENTO!$X$15,ROW(AT399)-ROW(AT$15),0),
              ROUND(ROUND(OFFSET($P399,0,AT$13),15-13*ORÇAMENTO!$AF$7)*OFFSET(ORÇAMENTO!$W$15,ROW(AT399)-ROW(AT$15),0),15-13*ORÇAMENTO!$AF$11)),
         0)</f>
        <v>0</v>
      </c>
      <c r="AU399" s="453">
        <f ca="1">IF(AND($D399="Serviço",AU$12&lt;&gt;0,$H399&gt;0,OR(AUTOEVENTO&lt;&gt;"manual",$M399&lt;&gt;$A$15)),
        IF(Import.TipoArredondamento&lt;&gt;"TransfereGOV",
              ROUND(OFFSET($P399,0,AU$13),15-13*ORÇAMENTO!$AF$7)/$H399*OFFSET(ORÇAMENTO!$X$15,ROW(AU399)-ROW(AU$15),0),
              ROUND(ROUND(OFFSET($P399,0,AU$13),15-13*ORÇAMENTO!$AF$7)*OFFSET(ORÇAMENTO!$W$15,ROW(AU399)-ROW(AU$15),0),15-13*ORÇAMENTO!$AF$11)),
         0)</f>
        <v>0</v>
      </c>
      <c r="AV399" s="453">
        <f ca="1">IF(AND($D399="Serviço",AV$12&lt;&gt;0,$H399&gt;0,OR(AUTOEVENTO&lt;&gt;"manual",$M399&lt;&gt;$A$15)),
        IF(Import.TipoArredondamento&lt;&gt;"TransfereGOV",
              ROUND(OFFSET($P399,0,AV$13),15-13*ORÇAMENTO!$AF$7)/$H399*OFFSET(ORÇAMENTO!$X$15,ROW(AV399)-ROW(AV$15),0),
              ROUND(ROUND(OFFSET($P399,0,AV$13),15-13*ORÇAMENTO!$AF$7)*OFFSET(ORÇAMENTO!$W$15,ROW(AV399)-ROW(AV$15),0),15-13*ORÇAMENTO!$AF$11)),
         0)</f>
        <v>0</v>
      </c>
      <c r="AW399" s="453">
        <f ca="1">IF(AND($D399="Serviço",AW$12&lt;&gt;0,$H399&gt;0,OR(AUTOEVENTO&lt;&gt;"manual",$M399&lt;&gt;$A$15)),
        IF(Import.TipoArredondamento&lt;&gt;"TransfereGOV",
              ROUND(OFFSET($P399,0,AW$13),15-13*ORÇAMENTO!$AF$7)/$H399*OFFSET(ORÇAMENTO!$X$15,ROW(AW399)-ROW(AW$15),0),
              ROUND(ROUND(OFFSET($P399,0,AW$13),15-13*ORÇAMENTO!$AF$7)*OFFSET(ORÇAMENTO!$W$15,ROW(AW399)-ROW(AW$15),0),15-13*ORÇAMENTO!$AF$11)),
         0)</f>
        <v>0</v>
      </c>
      <c r="AX399" s="453">
        <f ca="1">IF(AND($D399="Serviço",AX$12&lt;&gt;0,$H399&gt;0,OR(AUTOEVENTO&lt;&gt;"manual",$M399&lt;&gt;$A$15)),
        IF(Import.TipoArredondamento&lt;&gt;"TransfereGOV",
              ROUND(OFFSET($P399,0,AX$13),15-13*ORÇAMENTO!$AF$7)/$H399*OFFSET(ORÇAMENTO!$X$15,ROW(AX399)-ROW(AX$15),0),
              ROUND(ROUND(OFFSET($P399,0,AX$13),15-13*ORÇAMENTO!$AF$7)*OFFSET(ORÇAMENTO!$W$15,ROW(AX399)-ROW(AX$15),0),15-13*ORÇAMENTO!$AF$11)),
         0)</f>
        <v>0</v>
      </c>
      <c r="AY399" s="453">
        <f ca="1">IF(AND($D399="Serviço",AY$12&lt;&gt;0,$H399&gt;0,OR(AUTOEVENTO&lt;&gt;"manual",$M399&lt;&gt;$A$15)),
        IF(Import.TipoArredondamento&lt;&gt;"TransfereGOV",
              ROUND(OFFSET($P399,0,AY$13),15-13*ORÇAMENTO!$AF$7)/$H399*OFFSET(ORÇAMENTO!$X$15,ROW(AY399)-ROW(AY$15),0),
              ROUND(ROUND(OFFSET($P399,0,AY$13),15-13*ORÇAMENTO!$AF$7)*OFFSET(ORÇAMENTO!$W$15,ROW(AY399)-ROW(AY$15),0),15-13*ORÇAMENTO!$AF$11)),
         0)</f>
        <v>0</v>
      </c>
      <c r="AZ399" s="453">
        <f ca="1">IF(AND($D399="Serviço",AZ$12&lt;&gt;0,$H399&gt;0,OR(AUTOEVENTO&lt;&gt;"manual",$M399&lt;&gt;$A$15)),
        IF(Import.TipoArredondamento&lt;&gt;"TransfereGOV",
              ROUND(OFFSET($P399,0,AZ$13),15-13*ORÇAMENTO!$AF$7)/$H399*OFFSET(ORÇAMENTO!$X$15,ROW(AZ399)-ROW(AZ$15),0),
              ROUND(ROUND(OFFSET($P399,0,AZ$13),15-13*ORÇAMENTO!$AF$7)*OFFSET(ORÇAMENTO!$W$15,ROW(AZ399)-ROW(AZ$15),0),15-13*ORÇAMENTO!$AF$11)),
         0)</f>
        <v>0</v>
      </c>
      <c r="BA399" s="453">
        <f ca="1">IF(AND($D399="Serviço",BA$12&lt;&gt;0,$H399&gt;0,OR(AUTOEVENTO&lt;&gt;"manual",$M399&lt;&gt;$A$15)),
        IF(Import.TipoArredondamento&lt;&gt;"TransfereGOV",
              ROUND(OFFSET($P399,0,BA$13),15-13*ORÇAMENTO!$AF$7)/$H399*OFFSET(ORÇAMENTO!$X$15,ROW(BA399)-ROW(BA$15),0),
              ROUND(ROUND(OFFSET($P399,0,BA$13),15-13*ORÇAMENTO!$AF$7)*OFFSET(ORÇAMENTO!$W$15,ROW(BA399)-ROW(BA$15),0),15-13*ORÇAMENTO!$AF$11)),
         0)</f>
        <v>0</v>
      </c>
      <c r="BC399" s="171">
        <f ca="1">IF(OR($D399&lt;&gt;"Serviço",AND(AUTOEVENTO="Manual",$M399=$A$15)),0,
         IF(OFFSET(CRONOPLE!$F$15,$M399-$A$15,BC$13)=0,10^12,OFFSET(CRONOPLE!$F$15,$M399-$A$15,BC$13)))</f>
        <v>1</v>
      </c>
      <c r="BD399" s="171">
        <f ca="1">IF(OR($D399&lt;&gt;"Serviço",AND(AUTOEVENTO="Manual",$M399=$A$15)),0,
         IF(OFFSET(CRONOPLE!$F$15,$M399-$A$15,BD$13)=0,10^12,OFFSET(CRONOPLE!$F$15,$M399-$A$15,BD$13)))</f>
        <v>2</v>
      </c>
      <c r="BE399" s="171">
        <f ca="1">IF(OR($D399&lt;&gt;"Serviço",AND(AUTOEVENTO="Manual",$M399=$A$15)),0,
         IF(OFFSET(CRONOPLE!$F$15,$M399-$A$15,BE$13)=0,10^12,OFFSET(CRONOPLE!$F$15,$M399-$A$15,BE$13)))</f>
        <v>3</v>
      </c>
      <c r="BF399" s="171">
        <f ca="1">IF(OR($D399&lt;&gt;"Serviço",AND(AUTOEVENTO="Manual",$M399=$A$15)),0,
         IF(OFFSET(CRONOPLE!$F$15,$M399-$A$15,BF$13)=0,10^12,OFFSET(CRONOPLE!$F$15,$M399-$A$15,BF$13)))</f>
        <v>4</v>
      </c>
      <c r="BG399" s="171">
        <f ca="1">IF(OR($D399&lt;&gt;"Serviço",AND(AUTOEVENTO="Manual",$M399=$A$15)),0,
         IF(OFFSET(CRONOPLE!$F$15,$M399-$A$15,BG$13)=0,10^12,OFFSET(CRONOPLE!$F$15,$M399-$A$15,BG$13)))</f>
        <v>5</v>
      </c>
      <c r="BH399" s="171">
        <f ca="1">IF(OR($D399&lt;&gt;"Serviço",AND(AUTOEVENTO="Manual",$M399=$A$15)),0,
         IF(OFFSET(CRONOPLE!$F$15,$M399-$A$15,BH$13)=0,10^12,OFFSET(CRONOPLE!$F$15,$M399-$A$15,BH$13)))</f>
        <v>6</v>
      </c>
      <c r="BI399" s="171">
        <f ca="1">IF(OR($D399&lt;&gt;"Serviço",AND(AUTOEVENTO="Manual",$M399=$A$15)),0,
         IF(OFFSET(CRONOPLE!$F$15,$M399-$A$15,BI$13)=0,10^12,OFFSET(CRONOPLE!$F$15,$M399-$A$15,BI$13)))</f>
        <v>7</v>
      </c>
      <c r="BJ399" s="171">
        <f ca="1">IF(OR($D399&lt;&gt;"Serviço",AND(AUTOEVENTO="Manual",$M399=$A$15)),0,
         IF(OFFSET(CRONOPLE!$F$15,$M399-$A$15,BJ$13)=0,10^12,OFFSET(CRONOPLE!$F$15,$M399-$A$15,BJ$13)))</f>
        <v>8</v>
      </c>
      <c r="BK399" s="171">
        <f ca="1">IF(OR($D399&lt;&gt;"Serviço",AND(AUTOEVENTO="Manual",$M399=$A$15)),0,
         IF(OFFSET(CRONOPLE!$F$15,$M399-$A$15,BK$13)=0,10^12,OFFSET(CRONOPLE!$F$15,$M399-$A$15,BK$13)))</f>
        <v>9</v>
      </c>
      <c r="BL399" s="171">
        <f ca="1">IF(OR($D399&lt;&gt;"Serviço",AND(AUTOEVENTO="Manual",$M399=$A$15)),0,
         IF(OFFSET(CRONOPLE!$F$15,$M399-$A$15,BL$13)=0,10^12,OFFSET(CRONOPLE!$F$15,$M399-$A$15,BL$13)))</f>
        <v>1000000000000</v>
      </c>
      <c r="BM399" s="171">
        <f ca="1">IF(OR($D399&lt;&gt;"Serviço",AND(AUTOEVENTO="Manual",$M399=$A$15)),0,
         IF(OFFSET(CRONOPLE!$F$15,$M399-$A$15,BM$13)=0,10^12,OFFSET(CRONOPLE!$F$15,$M399-$A$15,BM$13)))</f>
        <v>1000000000000</v>
      </c>
      <c r="BN399" s="171">
        <f ca="1">IF(OR($D399&lt;&gt;"Serviço",AND(AUTOEVENTO="Manual",$M399=$A$15)),0,
         IF(OFFSET(CRONOPLE!$F$15,$M399-$A$15,BN$13)=0,10^12,OFFSET(CRONOPLE!$F$15,$M399-$A$15,BN$13)))</f>
        <v>1000000000000</v>
      </c>
      <c r="BO399" s="171">
        <f ca="1">IF(OR($D399&lt;&gt;"Serviço",AND(AUTOEVENTO="Manual",$M399=$A$15)),0,
         IF(OFFSET(CRONOPLE!$F$15,$M399-$A$15,BO$13)=0,10^12,OFFSET(CRONOPLE!$F$15,$M399-$A$15,BO$13)))</f>
        <v>1000000000000</v>
      </c>
      <c r="BP399" s="171">
        <f ca="1">IF(OR($D399&lt;&gt;"Serviço",AND(AUTOEVENTO="Manual",$M399=$A$15)),0,
         IF(OFFSET(CRONOPLE!$F$15,$M399-$A$15,BP$13)=0,10^12,OFFSET(CRONOPLE!$F$15,$M399-$A$15,BP$13)))</f>
        <v>1000000000000</v>
      </c>
      <c r="BQ399" s="171">
        <f ca="1">IF(OR($D399&lt;&gt;"Serviço",AND(AUTOEVENTO="Manual",$M399=$A$15)),0,
         IF(OFFSET(CRONOPLE!$F$15,$M399-$A$15,BQ$13)=0,10^12,OFFSET(CRONOPLE!$F$15,$M399-$A$15,BQ$13)))</f>
        <v>1000000000000</v>
      </c>
      <c r="BR399" s="171">
        <f ca="1">IF(OR($D399&lt;&gt;"Serviço",AND(AUTOEVENTO="Manual",$M399=$A$15)),0,
         IF(OFFSET(CRONOPLE!$F$15,$M399-$A$15,BR$13)=0,10^12,OFFSET(CRONOPLE!$F$15,$M399-$A$15,BR$13)))</f>
        <v>1000000000000</v>
      </c>
      <c r="BS399" s="171">
        <f ca="1">IF(OR($D399&lt;&gt;"Serviço",AND(AUTOEVENTO="Manual",$M399=$A$15)),0,
         IF(OFFSET(CRONOPLE!$F$15,$M399-$A$15,BS$13)=0,10^12,OFFSET(CRONOPLE!$F$15,$M399-$A$15,BS$13)))</f>
        <v>1000000000000</v>
      </c>
      <c r="BT399" s="171">
        <f ca="1">IF(OR($D399&lt;&gt;"Serviço",AND(AUTOEVENTO="Manual",$M399=$A$15)),0,
         IF(OFFSET(CRONOPLE!$F$15,$M399-$A$15,BT$13)=0,10^12,OFFSET(CRONOPLE!$F$15,$M399-$A$15,BT$13)))</f>
        <v>1000000000000</v>
      </c>
      <c r="BV399" s="172">
        <f ca="1">IF(OR($D399&lt;&gt;"Serviço",AND(AUTOEVENTO="Manual",$M399=$A$15),$M399&gt;(ROW(PLE.lastrow)-ROW(PLE.firstrow))),0,
           IF(OFFSET(PLE!$G$15,$M399-$A$15,BV$13)="",10^12,OFFSET(PLE!$G$15,$M399-$A$15,BV$13)))</f>
        <v>1000000000000</v>
      </c>
      <c r="BW399" s="172">
        <f ca="1">IF(OR($D399&lt;&gt;"Serviço",AND(AUTOEVENTO="Manual",$M399=$A$15),$M399&gt;(ROW(PLE.lastrow)-ROW(PLE.firstrow))),0,
           IF(OFFSET(PLE!$G$15,$M399-$A$15,BW$13)="",10^12,OFFSET(PLE!$G$15,$M399-$A$15,BW$13)))</f>
        <v>1000000000000</v>
      </c>
      <c r="BX399" s="172">
        <f ca="1">IF(OR($D399&lt;&gt;"Serviço",AND(AUTOEVENTO="Manual",$M399=$A$15),$M399&gt;(ROW(PLE.lastrow)-ROW(PLE.firstrow))),0,
           IF(OFFSET(PLE!$G$15,$M399-$A$15,BX$13)="",10^12,OFFSET(PLE!$G$15,$M399-$A$15,BX$13)))</f>
        <v>1000000000000</v>
      </c>
      <c r="BY399" s="172">
        <f ca="1">IF(OR($D399&lt;&gt;"Serviço",AND(AUTOEVENTO="Manual",$M399=$A$15),$M399&gt;(ROW(PLE.lastrow)-ROW(PLE.firstrow))),0,
           IF(OFFSET(PLE!$G$15,$M399-$A$15,BY$13)="",10^12,OFFSET(PLE!$G$15,$M399-$A$15,BY$13)))</f>
        <v>1000000000000</v>
      </c>
      <c r="BZ399" s="172">
        <f ca="1">IF(OR($D399&lt;&gt;"Serviço",AND(AUTOEVENTO="Manual",$M399=$A$15),$M399&gt;(ROW(PLE.lastrow)-ROW(PLE.firstrow))),0,
           IF(OFFSET(PLE!$G$15,$M399-$A$15,BZ$13)="",10^12,OFFSET(PLE!$G$15,$M399-$A$15,BZ$13)))</f>
        <v>1000000000000</v>
      </c>
      <c r="CA399" s="172">
        <f ca="1">IF(OR($D399&lt;&gt;"Serviço",AND(AUTOEVENTO="Manual",$M399=$A$15),$M399&gt;(ROW(PLE.lastrow)-ROW(PLE.firstrow))),0,
           IF(OFFSET(PLE!$G$15,$M399-$A$15,CA$13)="",10^12,OFFSET(PLE!$G$15,$M399-$A$15,CA$13)))</f>
        <v>1000000000000</v>
      </c>
      <c r="CB399" s="172">
        <f ca="1">IF(OR($D399&lt;&gt;"Serviço",AND(AUTOEVENTO="Manual",$M399=$A$15),$M399&gt;(ROW(PLE.lastrow)-ROW(PLE.firstrow))),0,
           IF(OFFSET(PLE!$G$15,$M399-$A$15,CB$13)="",10^12,OFFSET(PLE!$G$15,$M399-$A$15,CB$13)))</f>
        <v>1000000000000</v>
      </c>
      <c r="CC399" s="172">
        <f ca="1">IF(OR($D399&lt;&gt;"Serviço",AND(AUTOEVENTO="Manual",$M399=$A$15),$M399&gt;(ROW(PLE.lastrow)-ROW(PLE.firstrow))),0,
           IF(OFFSET(PLE!$G$15,$M399-$A$15,CC$13)="",10^12,OFFSET(PLE!$G$15,$M399-$A$15,CC$13)))</f>
        <v>1000000000000</v>
      </c>
      <c r="CD399" s="172">
        <f ca="1">IF(OR($D399&lt;&gt;"Serviço",AND(AUTOEVENTO="Manual",$M399=$A$15),$M399&gt;(ROW(PLE.lastrow)-ROW(PLE.firstrow))),0,
           IF(OFFSET(PLE!$G$15,$M399-$A$15,CD$13)="",10^12,OFFSET(PLE!$G$15,$M399-$A$15,CD$13)))</f>
        <v>1000000000000</v>
      </c>
      <c r="CE399" s="172">
        <f ca="1">IF(OR($D399&lt;&gt;"Serviço",AND(AUTOEVENTO="Manual",$M399=$A$15),$M399&gt;(ROW(PLE.lastrow)-ROW(PLE.firstrow))),0,
           IF(OFFSET(PLE!$G$15,$M399-$A$15,CE$13)="",10^12,OFFSET(PLE!$G$15,$M399-$A$15,CE$13)))</f>
        <v>1000000000000</v>
      </c>
      <c r="CF399" s="172">
        <f ca="1">IF(OR($D399&lt;&gt;"Serviço",AND(AUTOEVENTO="Manual",$M399=$A$15),$M399&gt;(ROW(PLE.lastrow)-ROW(PLE.firstrow))),0,
           IF(OFFSET(PLE!$G$15,$M399-$A$15,CF$13)="",10^12,OFFSET(PLE!$G$15,$M399-$A$15,CF$13)))</f>
        <v>1000000000000</v>
      </c>
      <c r="CG399" s="172">
        <f ca="1">IF(OR($D399&lt;&gt;"Serviço",AND(AUTOEVENTO="Manual",$M399=$A$15),$M399&gt;(ROW(PLE.lastrow)-ROW(PLE.firstrow))),0,
           IF(OFFSET(PLE!$G$15,$M399-$A$15,CG$13)="",10^12,OFFSET(PLE!$G$15,$M399-$A$15,CG$13)))</f>
        <v>1000000000000</v>
      </c>
      <c r="CH399" s="172">
        <f ca="1">IF(OR($D399&lt;&gt;"Serviço",AND(AUTOEVENTO="Manual",$M399=$A$15),$M399&gt;(ROW(PLE.lastrow)-ROW(PLE.firstrow))),0,
           IF(OFFSET(PLE!$G$15,$M399-$A$15,CH$13)="",10^12,OFFSET(PLE!$G$15,$M399-$A$15,CH$13)))</f>
        <v>1000000000000</v>
      </c>
      <c r="CI399" s="172">
        <f ca="1">IF(OR($D399&lt;&gt;"Serviço",AND(AUTOEVENTO="Manual",$M399=$A$15),$M399&gt;(ROW(PLE.lastrow)-ROW(PLE.firstrow))),0,
           IF(OFFSET(PLE!$G$15,$M399-$A$15,CI$13)="",10^12,OFFSET(PLE!$G$15,$M399-$A$15,CI$13)))</f>
        <v>1000000000000</v>
      </c>
      <c r="CJ399" s="172">
        <f ca="1">IF(OR($D399&lt;&gt;"Serviço",AND(AUTOEVENTO="Manual",$M399=$A$15),$M399&gt;(ROW(PLE.lastrow)-ROW(PLE.firstrow))),0,
           IF(OFFSET(PLE!$G$15,$M399-$A$15,CJ$13)="",10^12,OFFSET(PLE!$G$15,$M399-$A$15,CJ$13)))</f>
        <v>1000000000000</v>
      </c>
      <c r="CK399" s="172">
        <f ca="1">IF(OR($D399&lt;&gt;"Serviço",AND(AUTOEVENTO="Manual",$M399=$A$15),$M399&gt;(ROW(PLE.lastrow)-ROW(PLE.firstrow))),0,
           IF(OFFSET(PLE!$G$15,$M399-$A$15,CK$13)="",10^12,OFFSET(PLE!$G$15,$M399-$A$15,CK$13)))</f>
        <v>1000000000000</v>
      </c>
      <c r="CL399" s="172">
        <f ca="1">IF(OR($D399&lt;&gt;"Serviço",AND(AUTOEVENTO="Manual",$M399=$A$15),$M399&gt;(ROW(PLE.lastrow)-ROW(PLE.firstrow))),0,
           IF(OFFSET(PLE!$G$15,$M399-$A$15,CL$13)="",10^12,OFFSET(PLE!$G$15,$M399-$A$15,CL$13)))</f>
        <v>1000000000000</v>
      </c>
      <c r="CM399" s="172">
        <f ca="1">IF(OR($D399&lt;&gt;"Serviço",AND(AUTOEVENTO="Manual",$M399=$A$15),$M399&gt;(ROW(PLE.lastrow)-ROW(PLE.firstrow))),0,
           IF(OFFSET(PLE!$G$15,$M399-$A$15,CM$13)="",10^12,OFFSET(PLE!$G$15,$M399-$A$15,CM$13)))</f>
        <v>1000000000000</v>
      </c>
    </row>
    <row r="400" spans="1:91" ht="12.75" x14ac:dyDescent="0.2">
      <c r="A400" s="7">
        <f t="shared" ca="1" si="15"/>
        <v>8</v>
      </c>
      <c r="B400" s="7">
        <f ca="1">OFFSET(ORÇAMENTO!C$15,ROW(B400)-ROW(B$15),0)</f>
        <v>4</v>
      </c>
      <c r="C400" s="7" t="str">
        <f ca="1">OFFSET(ORÇAMENTO!L$15,ROW(C400)-ROW(C$15),0)</f>
        <v>F</v>
      </c>
      <c r="D400" s="116" t="str">
        <f ca="1">OFFSET(ORÇAMENTO!N$15,ROW(D400)-ROW(D$15),0)</f>
        <v>Nível 4</v>
      </c>
      <c r="E400" s="117" t="str">
        <f ca="1">OFFSET(ORÇAMENTO!O$15,ROW(E400)-ROW(E$15),0)</f>
        <v>1.8.2.3.</v>
      </c>
      <c r="F400" s="163" t="str">
        <f ca="1">OFFSET(ORÇAMENTO!R$15,ROW(F400)-ROW(F$15),0)</f>
        <v>CABEAMENTO</v>
      </c>
      <c r="G400" s="164" t="str">
        <f ca="1">IF($D400&lt;&gt;"Serviço","",OFFSET(ORÇAMENTO!S$15,ROW(G400)-ROW(G$15),0))</f>
        <v/>
      </c>
      <c r="H400" s="122" cm="1">
        <f t="array" aca="1" ref="H400" ca="1">IF($D400&lt;&gt;"Serviço",0,IF(ACOMPANHAMENTO="BM",ROUND(OFFSET(ORÇAMENTO!AJ$15,ROW(H400)-ROW(H$15),0),15-13*ORÇAMENTO!$AF$7),SUMPRODUCT(($Q$1:$AI$1=1)*ROUND($Q400:$AI400,15-13*ORÇAMENTO!$AF$7))))</f>
        <v>0</v>
      </c>
      <c r="I400" s="468"/>
      <c r="J400" s="640" t="str" cm="1">
        <f t="array" aca="1" ref="J400" ca="1">IF(OR(B400&lt;&gt;"S",CÁLCULO.FrentesPreenchidas=0),"",IF(AND(ACOMPANHAMENTO="PLE",AUTOEVENTO="Manual",OR(H400&gt;0,ORÇAMENTO!AC400="QUANT."),OR(K400="",M400=0,N400="")),"►E",IF(AND(ACOMPANHAMENTO="PLE",ORÇAMENTO!AC400="QUANT."),"►Q",IF(AND(ACOMPANHAMENTO="PLE",H400&lt;&gt;SUMPRODUCT(($Q$1:$AI$1=1)*ROUND(Q400:AI400,15))),"►S",IF(AND(COUNTIF($P$11:$AI$11,"▼")=0,H400&gt;0,I400=""),"◄M","")))))</f>
        <v/>
      </c>
      <c r="K400" s="641" t="s">
        <v>1366</v>
      </c>
      <c r="L400" s="165" t="s">
        <v>764</v>
      </c>
      <c r="M400" s="166" t="str">
        <f ca="1">IF($D400&lt;&gt;"Serviço","",
          IF(AUTOEVENTO="manual",$A400,
                IF(ISERROR(MATCH($A400,$A$15:OFFSET($A400,-1,0),0)),MAX($M$15:OFFSET(M400,-1,0))+1,
                      INDEX($M$15:OFFSET(M400,-1,0),MATCH($A400,$A$15:OFFSET($A400,-1,0),0)))))</f>
        <v/>
      </c>
      <c r="N400" s="167" t="str">
        <f ca="1">IF($D400&lt;&gt;"Serviço","",
         IF(AUTOEVENTO="Manual",
                IF($A400=0,"&lt;-- defina o número do agrupador",
                       OFFSET(EVENTOS!$D$15,$A400-$A$15,0)),
                OFFSET($F$15,$A400,0)))</f>
        <v/>
      </c>
      <c r="O400" s="168"/>
      <c r="Q400" s="168"/>
      <c r="R400" s="169"/>
      <c r="S400" s="169"/>
      <c r="T400" s="169"/>
      <c r="U400" s="169"/>
      <c r="V400" s="169"/>
      <c r="W400" s="169"/>
      <c r="X400" s="169"/>
      <c r="Y400" s="169"/>
      <c r="Z400" s="170"/>
      <c r="AA400" s="169"/>
      <c r="AB400" s="169"/>
      <c r="AC400" s="169"/>
      <c r="AD400" s="169"/>
      <c r="AE400" s="169"/>
      <c r="AF400" s="169"/>
      <c r="AG400" s="169"/>
      <c r="AH400" s="170"/>
      <c r="AJ400" s="453">
        <f ca="1">IF(AND($D400="Serviço",AJ$12&lt;&gt;0,$H400&gt;0,OR(AUTOEVENTO&lt;&gt;"manual",$M400&lt;&gt;$A$15)),
        IF(Import.TipoArredondamento&lt;&gt;"TransfereGOV",
              ROUND(OFFSET($P400,0,AJ$13),15-13*ORÇAMENTO!$AF$7)/$H400*OFFSET(ORÇAMENTO!$X$15,ROW(AJ400)-ROW(AJ$15),0),
              ROUND(ROUND(OFFSET($P400,0,AJ$13),15-13*ORÇAMENTO!$AF$7)*OFFSET(ORÇAMENTO!$W$15,ROW(AJ400)-ROW(AJ$15),0),15-13*ORÇAMENTO!$AF$11)),
         0)</f>
        <v>0</v>
      </c>
      <c r="AK400" s="453">
        <f ca="1">IF(AND($D400="Serviço",AK$12&lt;&gt;0,$H400&gt;0,OR(AUTOEVENTO&lt;&gt;"manual",$M400&lt;&gt;$A$15)),
        IF(Import.TipoArredondamento&lt;&gt;"TransfereGOV",
              ROUND(OFFSET($P400,0,AK$13),15-13*ORÇAMENTO!$AF$7)/$H400*OFFSET(ORÇAMENTO!$X$15,ROW(AK400)-ROW(AK$15),0),
              ROUND(ROUND(OFFSET($P400,0,AK$13),15-13*ORÇAMENTO!$AF$7)*OFFSET(ORÇAMENTO!$W$15,ROW(AK400)-ROW(AK$15),0),15-13*ORÇAMENTO!$AF$11)),
         0)</f>
        <v>0</v>
      </c>
      <c r="AL400" s="453">
        <f ca="1">IF(AND($D400="Serviço",AL$12&lt;&gt;0,$H400&gt;0,OR(AUTOEVENTO&lt;&gt;"manual",$M400&lt;&gt;$A$15)),
        IF(Import.TipoArredondamento&lt;&gt;"TransfereGOV",
              ROUND(OFFSET($P400,0,AL$13),15-13*ORÇAMENTO!$AF$7)/$H400*OFFSET(ORÇAMENTO!$X$15,ROW(AL400)-ROW(AL$15),0),
              ROUND(ROUND(OFFSET($P400,0,AL$13),15-13*ORÇAMENTO!$AF$7)*OFFSET(ORÇAMENTO!$W$15,ROW(AL400)-ROW(AL$15),0),15-13*ORÇAMENTO!$AF$11)),
         0)</f>
        <v>0</v>
      </c>
      <c r="AM400" s="453">
        <f ca="1">IF(AND($D400="Serviço",AM$12&lt;&gt;0,$H400&gt;0,OR(AUTOEVENTO&lt;&gt;"manual",$M400&lt;&gt;$A$15)),
        IF(Import.TipoArredondamento&lt;&gt;"TransfereGOV",
              ROUND(OFFSET($P400,0,AM$13),15-13*ORÇAMENTO!$AF$7)/$H400*OFFSET(ORÇAMENTO!$X$15,ROW(AM400)-ROW(AM$15),0),
              ROUND(ROUND(OFFSET($P400,0,AM$13),15-13*ORÇAMENTO!$AF$7)*OFFSET(ORÇAMENTO!$W$15,ROW(AM400)-ROW(AM$15),0),15-13*ORÇAMENTO!$AF$11)),
         0)</f>
        <v>0</v>
      </c>
      <c r="AN400" s="453">
        <f ca="1">IF(AND($D400="Serviço",AN$12&lt;&gt;0,$H400&gt;0,OR(AUTOEVENTO&lt;&gt;"manual",$M400&lt;&gt;$A$15)),
        IF(Import.TipoArredondamento&lt;&gt;"TransfereGOV",
              ROUND(OFFSET($P400,0,AN$13),15-13*ORÇAMENTO!$AF$7)/$H400*OFFSET(ORÇAMENTO!$X$15,ROW(AN400)-ROW(AN$15),0),
              ROUND(ROUND(OFFSET($P400,0,AN$13),15-13*ORÇAMENTO!$AF$7)*OFFSET(ORÇAMENTO!$W$15,ROW(AN400)-ROW(AN$15),0),15-13*ORÇAMENTO!$AF$11)),
         0)</f>
        <v>0</v>
      </c>
      <c r="AO400" s="453">
        <f ca="1">IF(AND($D400="Serviço",AO$12&lt;&gt;0,$H400&gt;0,OR(AUTOEVENTO&lt;&gt;"manual",$M400&lt;&gt;$A$15)),
        IF(Import.TipoArredondamento&lt;&gt;"TransfereGOV",
              ROUND(OFFSET($P400,0,AO$13),15-13*ORÇAMENTO!$AF$7)/$H400*OFFSET(ORÇAMENTO!$X$15,ROW(AO400)-ROW(AO$15),0),
              ROUND(ROUND(OFFSET($P400,0,AO$13),15-13*ORÇAMENTO!$AF$7)*OFFSET(ORÇAMENTO!$W$15,ROW(AO400)-ROW(AO$15),0),15-13*ORÇAMENTO!$AF$11)),
         0)</f>
        <v>0</v>
      </c>
      <c r="AP400" s="453">
        <f ca="1">IF(AND($D400="Serviço",AP$12&lt;&gt;0,$H400&gt;0,OR(AUTOEVENTO&lt;&gt;"manual",$M400&lt;&gt;$A$15)),
        IF(Import.TipoArredondamento&lt;&gt;"TransfereGOV",
              ROUND(OFFSET($P400,0,AP$13),15-13*ORÇAMENTO!$AF$7)/$H400*OFFSET(ORÇAMENTO!$X$15,ROW(AP400)-ROW(AP$15),0),
              ROUND(ROUND(OFFSET($P400,0,AP$13),15-13*ORÇAMENTO!$AF$7)*OFFSET(ORÇAMENTO!$W$15,ROW(AP400)-ROW(AP$15),0),15-13*ORÇAMENTO!$AF$11)),
         0)</f>
        <v>0</v>
      </c>
      <c r="AQ400" s="453">
        <f ca="1">IF(AND($D400="Serviço",AQ$12&lt;&gt;0,$H400&gt;0,OR(AUTOEVENTO&lt;&gt;"manual",$M400&lt;&gt;$A$15)),
        IF(Import.TipoArredondamento&lt;&gt;"TransfereGOV",
              ROUND(OFFSET($P400,0,AQ$13),15-13*ORÇAMENTO!$AF$7)/$H400*OFFSET(ORÇAMENTO!$X$15,ROW(AQ400)-ROW(AQ$15),0),
              ROUND(ROUND(OFFSET($P400,0,AQ$13),15-13*ORÇAMENTO!$AF$7)*OFFSET(ORÇAMENTO!$W$15,ROW(AQ400)-ROW(AQ$15),0),15-13*ORÇAMENTO!$AF$11)),
         0)</f>
        <v>0</v>
      </c>
      <c r="AR400" s="453">
        <f ca="1">IF(AND($D400="Serviço",AR$12&lt;&gt;0,$H400&gt;0,OR(AUTOEVENTO&lt;&gt;"manual",$M400&lt;&gt;$A$15)),
        IF(Import.TipoArredondamento&lt;&gt;"TransfereGOV",
              ROUND(OFFSET($P400,0,AR$13),15-13*ORÇAMENTO!$AF$7)/$H400*OFFSET(ORÇAMENTO!$X$15,ROW(AR400)-ROW(AR$15),0),
              ROUND(ROUND(OFFSET($P400,0,AR$13),15-13*ORÇAMENTO!$AF$7)*OFFSET(ORÇAMENTO!$W$15,ROW(AR400)-ROW(AR$15),0),15-13*ORÇAMENTO!$AF$11)),
         0)</f>
        <v>0</v>
      </c>
      <c r="AS400" s="453">
        <f ca="1">IF(AND($D400="Serviço",AS$12&lt;&gt;0,$H400&gt;0,OR(AUTOEVENTO&lt;&gt;"manual",$M400&lt;&gt;$A$15)),
        IF(Import.TipoArredondamento&lt;&gt;"TransfereGOV",
              ROUND(OFFSET($P400,0,AS$13),15-13*ORÇAMENTO!$AF$7)/$H400*OFFSET(ORÇAMENTO!$X$15,ROW(AS400)-ROW(AS$15),0),
              ROUND(ROUND(OFFSET($P400,0,AS$13),15-13*ORÇAMENTO!$AF$7)*OFFSET(ORÇAMENTO!$W$15,ROW(AS400)-ROW(AS$15),0),15-13*ORÇAMENTO!$AF$11)),
         0)</f>
        <v>0</v>
      </c>
      <c r="AT400" s="453">
        <f ca="1">IF(AND($D400="Serviço",AT$12&lt;&gt;0,$H400&gt;0,OR(AUTOEVENTO&lt;&gt;"manual",$M400&lt;&gt;$A$15)),
        IF(Import.TipoArredondamento&lt;&gt;"TransfereGOV",
              ROUND(OFFSET($P400,0,AT$13),15-13*ORÇAMENTO!$AF$7)/$H400*OFFSET(ORÇAMENTO!$X$15,ROW(AT400)-ROW(AT$15),0),
              ROUND(ROUND(OFFSET($P400,0,AT$13),15-13*ORÇAMENTO!$AF$7)*OFFSET(ORÇAMENTO!$W$15,ROW(AT400)-ROW(AT$15),0),15-13*ORÇAMENTO!$AF$11)),
         0)</f>
        <v>0</v>
      </c>
      <c r="AU400" s="453">
        <f ca="1">IF(AND($D400="Serviço",AU$12&lt;&gt;0,$H400&gt;0,OR(AUTOEVENTO&lt;&gt;"manual",$M400&lt;&gt;$A$15)),
        IF(Import.TipoArredondamento&lt;&gt;"TransfereGOV",
              ROUND(OFFSET($P400,0,AU$13),15-13*ORÇAMENTO!$AF$7)/$H400*OFFSET(ORÇAMENTO!$X$15,ROW(AU400)-ROW(AU$15),0),
              ROUND(ROUND(OFFSET($P400,0,AU$13),15-13*ORÇAMENTO!$AF$7)*OFFSET(ORÇAMENTO!$W$15,ROW(AU400)-ROW(AU$15),0),15-13*ORÇAMENTO!$AF$11)),
         0)</f>
        <v>0</v>
      </c>
      <c r="AV400" s="453">
        <f ca="1">IF(AND($D400="Serviço",AV$12&lt;&gt;0,$H400&gt;0,OR(AUTOEVENTO&lt;&gt;"manual",$M400&lt;&gt;$A$15)),
        IF(Import.TipoArredondamento&lt;&gt;"TransfereGOV",
              ROUND(OFFSET($P400,0,AV$13),15-13*ORÇAMENTO!$AF$7)/$H400*OFFSET(ORÇAMENTO!$X$15,ROW(AV400)-ROW(AV$15),0),
              ROUND(ROUND(OFFSET($P400,0,AV$13),15-13*ORÇAMENTO!$AF$7)*OFFSET(ORÇAMENTO!$W$15,ROW(AV400)-ROW(AV$15),0),15-13*ORÇAMENTO!$AF$11)),
         0)</f>
        <v>0</v>
      </c>
      <c r="AW400" s="453">
        <f ca="1">IF(AND($D400="Serviço",AW$12&lt;&gt;0,$H400&gt;0,OR(AUTOEVENTO&lt;&gt;"manual",$M400&lt;&gt;$A$15)),
        IF(Import.TipoArredondamento&lt;&gt;"TransfereGOV",
              ROUND(OFFSET($P400,0,AW$13),15-13*ORÇAMENTO!$AF$7)/$H400*OFFSET(ORÇAMENTO!$X$15,ROW(AW400)-ROW(AW$15),0),
              ROUND(ROUND(OFFSET($P400,0,AW$13),15-13*ORÇAMENTO!$AF$7)*OFFSET(ORÇAMENTO!$W$15,ROW(AW400)-ROW(AW$15),0),15-13*ORÇAMENTO!$AF$11)),
         0)</f>
        <v>0</v>
      </c>
      <c r="AX400" s="453">
        <f ca="1">IF(AND($D400="Serviço",AX$12&lt;&gt;0,$H400&gt;0,OR(AUTOEVENTO&lt;&gt;"manual",$M400&lt;&gt;$A$15)),
        IF(Import.TipoArredondamento&lt;&gt;"TransfereGOV",
              ROUND(OFFSET($P400,0,AX$13),15-13*ORÇAMENTO!$AF$7)/$H400*OFFSET(ORÇAMENTO!$X$15,ROW(AX400)-ROW(AX$15),0),
              ROUND(ROUND(OFFSET($P400,0,AX$13),15-13*ORÇAMENTO!$AF$7)*OFFSET(ORÇAMENTO!$W$15,ROW(AX400)-ROW(AX$15),0),15-13*ORÇAMENTO!$AF$11)),
         0)</f>
        <v>0</v>
      </c>
      <c r="AY400" s="453">
        <f ca="1">IF(AND($D400="Serviço",AY$12&lt;&gt;0,$H400&gt;0,OR(AUTOEVENTO&lt;&gt;"manual",$M400&lt;&gt;$A$15)),
        IF(Import.TipoArredondamento&lt;&gt;"TransfereGOV",
              ROUND(OFFSET($P400,0,AY$13),15-13*ORÇAMENTO!$AF$7)/$H400*OFFSET(ORÇAMENTO!$X$15,ROW(AY400)-ROW(AY$15),0),
              ROUND(ROUND(OFFSET($P400,0,AY$13),15-13*ORÇAMENTO!$AF$7)*OFFSET(ORÇAMENTO!$W$15,ROW(AY400)-ROW(AY$15),0),15-13*ORÇAMENTO!$AF$11)),
         0)</f>
        <v>0</v>
      </c>
      <c r="AZ400" s="453">
        <f ca="1">IF(AND($D400="Serviço",AZ$12&lt;&gt;0,$H400&gt;0,OR(AUTOEVENTO&lt;&gt;"manual",$M400&lt;&gt;$A$15)),
        IF(Import.TipoArredondamento&lt;&gt;"TransfereGOV",
              ROUND(OFFSET($P400,0,AZ$13),15-13*ORÇAMENTO!$AF$7)/$H400*OFFSET(ORÇAMENTO!$X$15,ROW(AZ400)-ROW(AZ$15),0),
              ROUND(ROUND(OFFSET($P400,0,AZ$13),15-13*ORÇAMENTO!$AF$7)*OFFSET(ORÇAMENTO!$W$15,ROW(AZ400)-ROW(AZ$15),0),15-13*ORÇAMENTO!$AF$11)),
         0)</f>
        <v>0</v>
      </c>
      <c r="BA400" s="453">
        <f ca="1">IF(AND($D400="Serviço",BA$12&lt;&gt;0,$H400&gt;0,OR(AUTOEVENTO&lt;&gt;"manual",$M400&lt;&gt;$A$15)),
        IF(Import.TipoArredondamento&lt;&gt;"TransfereGOV",
              ROUND(OFFSET($P400,0,BA$13),15-13*ORÇAMENTO!$AF$7)/$H400*OFFSET(ORÇAMENTO!$X$15,ROW(BA400)-ROW(BA$15),0),
              ROUND(ROUND(OFFSET($P400,0,BA$13),15-13*ORÇAMENTO!$AF$7)*OFFSET(ORÇAMENTO!$W$15,ROW(BA400)-ROW(BA$15),0),15-13*ORÇAMENTO!$AF$11)),
         0)</f>
        <v>0</v>
      </c>
      <c r="BC400" s="171">
        <f ca="1">IF(OR($D400&lt;&gt;"Serviço",AND(AUTOEVENTO="Manual",$M400=$A$15)),0,
         IF(OFFSET(CRONOPLE!$F$15,$M400-$A$15,BC$13)=0,10^12,OFFSET(CRONOPLE!$F$15,$M400-$A$15,BC$13)))</f>
        <v>0</v>
      </c>
      <c r="BD400" s="171">
        <f ca="1">IF(OR($D400&lt;&gt;"Serviço",AND(AUTOEVENTO="Manual",$M400=$A$15)),0,
         IF(OFFSET(CRONOPLE!$F$15,$M400-$A$15,BD$13)=0,10^12,OFFSET(CRONOPLE!$F$15,$M400-$A$15,BD$13)))</f>
        <v>0</v>
      </c>
      <c r="BE400" s="171">
        <f ca="1">IF(OR($D400&lt;&gt;"Serviço",AND(AUTOEVENTO="Manual",$M400=$A$15)),0,
         IF(OFFSET(CRONOPLE!$F$15,$M400-$A$15,BE$13)=0,10^12,OFFSET(CRONOPLE!$F$15,$M400-$A$15,BE$13)))</f>
        <v>0</v>
      </c>
      <c r="BF400" s="171">
        <f ca="1">IF(OR($D400&lt;&gt;"Serviço",AND(AUTOEVENTO="Manual",$M400=$A$15)),0,
         IF(OFFSET(CRONOPLE!$F$15,$M400-$A$15,BF$13)=0,10^12,OFFSET(CRONOPLE!$F$15,$M400-$A$15,BF$13)))</f>
        <v>0</v>
      </c>
      <c r="BG400" s="171">
        <f ca="1">IF(OR($D400&lt;&gt;"Serviço",AND(AUTOEVENTO="Manual",$M400=$A$15)),0,
         IF(OFFSET(CRONOPLE!$F$15,$M400-$A$15,BG$13)=0,10^12,OFFSET(CRONOPLE!$F$15,$M400-$A$15,BG$13)))</f>
        <v>0</v>
      </c>
      <c r="BH400" s="171">
        <f ca="1">IF(OR($D400&lt;&gt;"Serviço",AND(AUTOEVENTO="Manual",$M400=$A$15)),0,
         IF(OFFSET(CRONOPLE!$F$15,$M400-$A$15,BH$13)=0,10^12,OFFSET(CRONOPLE!$F$15,$M400-$A$15,BH$13)))</f>
        <v>0</v>
      </c>
      <c r="BI400" s="171">
        <f ca="1">IF(OR($D400&lt;&gt;"Serviço",AND(AUTOEVENTO="Manual",$M400=$A$15)),0,
         IF(OFFSET(CRONOPLE!$F$15,$M400-$A$15,BI$13)=0,10^12,OFFSET(CRONOPLE!$F$15,$M400-$A$15,BI$13)))</f>
        <v>0</v>
      </c>
      <c r="BJ400" s="171">
        <f ca="1">IF(OR($D400&lt;&gt;"Serviço",AND(AUTOEVENTO="Manual",$M400=$A$15)),0,
         IF(OFFSET(CRONOPLE!$F$15,$M400-$A$15,BJ$13)=0,10^12,OFFSET(CRONOPLE!$F$15,$M400-$A$15,BJ$13)))</f>
        <v>0</v>
      </c>
      <c r="BK400" s="171">
        <f ca="1">IF(OR($D400&lt;&gt;"Serviço",AND(AUTOEVENTO="Manual",$M400=$A$15)),0,
         IF(OFFSET(CRONOPLE!$F$15,$M400-$A$15,BK$13)=0,10^12,OFFSET(CRONOPLE!$F$15,$M400-$A$15,BK$13)))</f>
        <v>0</v>
      </c>
      <c r="BL400" s="171">
        <f ca="1">IF(OR($D400&lt;&gt;"Serviço",AND(AUTOEVENTO="Manual",$M400=$A$15)),0,
         IF(OFFSET(CRONOPLE!$F$15,$M400-$A$15,BL$13)=0,10^12,OFFSET(CRONOPLE!$F$15,$M400-$A$15,BL$13)))</f>
        <v>0</v>
      </c>
      <c r="BM400" s="171">
        <f ca="1">IF(OR($D400&lt;&gt;"Serviço",AND(AUTOEVENTO="Manual",$M400=$A$15)),0,
         IF(OFFSET(CRONOPLE!$F$15,$M400-$A$15,BM$13)=0,10^12,OFFSET(CRONOPLE!$F$15,$M400-$A$15,BM$13)))</f>
        <v>0</v>
      </c>
      <c r="BN400" s="171">
        <f ca="1">IF(OR($D400&lt;&gt;"Serviço",AND(AUTOEVENTO="Manual",$M400=$A$15)),0,
         IF(OFFSET(CRONOPLE!$F$15,$M400-$A$15,BN$13)=0,10^12,OFFSET(CRONOPLE!$F$15,$M400-$A$15,BN$13)))</f>
        <v>0</v>
      </c>
      <c r="BO400" s="171">
        <f ca="1">IF(OR($D400&lt;&gt;"Serviço",AND(AUTOEVENTO="Manual",$M400=$A$15)),0,
         IF(OFFSET(CRONOPLE!$F$15,$M400-$A$15,BO$13)=0,10^12,OFFSET(CRONOPLE!$F$15,$M400-$A$15,BO$13)))</f>
        <v>0</v>
      </c>
      <c r="BP400" s="171">
        <f ca="1">IF(OR($D400&lt;&gt;"Serviço",AND(AUTOEVENTO="Manual",$M400=$A$15)),0,
         IF(OFFSET(CRONOPLE!$F$15,$M400-$A$15,BP$13)=0,10^12,OFFSET(CRONOPLE!$F$15,$M400-$A$15,BP$13)))</f>
        <v>0</v>
      </c>
      <c r="BQ400" s="171">
        <f ca="1">IF(OR($D400&lt;&gt;"Serviço",AND(AUTOEVENTO="Manual",$M400=$A$15)),0,
         IF(OFFSET(CRONOPLE!$F$15,$M400-$A$15,BQ$13)=0,10^12,OFFSET(CRONOPLE!$F$15,$M400-$A$15,BQ$13)))</f>
        <v>0</v>
      </c>
      <c r="BR400" s="171">
        <f ca="1">IF(OR($D400&lt;&gt;"Serviço",AND(AUTOEVENTO="Manual",$M400=$A$15)),0,
         IF(OFFSET(CRONOPLE!$F$15,$M400-$A$15,BR$13)=0,10^12,OFFSET(CRONOPLE!$F$15,$M400-$A$15,BR$13)))</f>
        <v>0</v>
      </c>
      <c r="BS400" s="171">
        <f ca="1">IF(OR($D400&lt;&gt;"Serviço",AND(AUTOEVENTO="Manual",$M400=$A$15)),0,
         IF(OFFSET(CRONOPLE!$F$15,$M400-$A$15,BS$13)=0,10^12,OFFSET(CRONOPLE!$F$15,$M400-$A$15,BS$13)))</f>
        <v>0</v>
      </c>
      <c r="BT400" s="171">
        <f ca="1">IF(OR($D400&lt;&gt;"Serviço",AND(AUTOEVENTO="Manual",$M400=$A$15)),0,
         IF(OFFSET(CRONOPLE!$F$15,$M400-$A$15,BT$13)=0,10^12,OFFSET(CRONOPLE!$F$15,$M400-$A$15,BT$13)))</f>
        <v>0</v>
      </c>
      <c r="BV400" s="172">
        <f ca="1">IF(OR($D400&lt;&gt;"Serviço",AND(AUTOEVENTO="Manual",$M400=$A$15),$M400&gt;(ROW(PLE.lastrow)-ROW(PLE.firstrow))),0,
           IF(OFFSET(PLE!$G$15,$M400-$A$15,BV$13)="",10^12,OFFSET(PLE!$G$15,$M400-$A$15,BV$13)))</f>
        <v>0</v>
      </c>
      <c r="BW400" s="172">
        <f ca="1">IF(OR($D400&lt;&gt;"Serviço",AND(AUTOEVENTO="Manual",$M400=$A$15),$M400&gt;(ROW(PLE.lastrow)-ROW(PLE.firstrow))),0,
           IF(OFFSET(PLE!$G$15,$M400-$A$15,BW$13)="",10^12,OFFSET(PLE!$G$15,$M400-$A$15,BW$13)))</f>
        <v>0</v>
      </c>
      <c r="BX400" s="172">
        <f ca="1">IF(OR($D400&lt;&gt;"Serviço",AND(AUTOEVENTO="Manual",$M400=$A$15),$M400&gt;(ROW(PLE.lastrow)-ROW(PLE.firstrow))),0,
           IF(OFFSET(PLE!$G$15,$M400-$A$15,BX$13)="",10^12,OFFSET(PLE!$G$15,$M400-$A$15,BX$13)))</f>
        <v>0</v>
      </c>
      <c r="BY400" s="172">
        <f ca="1">IF(OR($D400&lt;&gt;"Serviço",AND(AUTOEVENTO="Manual",$M400=$A$15),$M400&gt;(ROW(PLE.lastrow)-ROW(PLE.firstrow))),0,
           IF(OFFSET(PLE!$G$15,$M400-$A$15,BY$13)="",10^12,OFFSET(PLE!$G$15,$M400-$A$15,BY$13)))</f>
        <v>0</v>
      </c>
      <c r="BZ400" s="172">
        <f ca="1">IF(OR($D400&lt;&gt;"Serviço",AND(AUTOEVENTO="Manual",$M400=$A$15),$M400&gt;(ROW(PLE.lastrow)-ROW(PLE.firstrow))),0,
           IF(OFFSET(PLE!$G$15,$M400-$A$15,BZ$13)="",10^12,OFFSET(PLE!$G$15,$M400-$A$15,BZ$13)))</f>
        <v>0</v>
      </c>
      <c r="CA400" s="172">
        <f ca="1">IF(OR($D400&lt;&gt;"Serviço",AND(AUTOEVENTO="Manual",$M400=$A$15),$M400&gt;(ROW(PLE.lastrow)-ROW(PLE.firstrow))),0,
           IF(OFFSET(PLE!$G$15,$M400-$A$15,CA$13)="",10^12,OFFSET(PLE!$G$15,$M400-$A$15,CA$13)))</f>
        <v>0</v>
      </c>
      <c r="CB400" s="172">
        <f ca="1">IF(OR($D400&lt;&gt;"Serviço",AND(AUTOEVENTO="Manual",$M400=$A$15),$M400&gt;(ROW(PLE.lastrow)-ROW(PLE.firstrow))),0,
           IF(OFFSET(PLE!$G$15,$M400-$A$15,CB$13)="",10^12,OFFSET(PLE!$G$15,$M400-$A$15,CB$13)))</f>
        <v>0</v>
      </c>
      <c r="CC400" s="172">
        <f ca="1">IF(OR($D400&lt;&gt;"Serviço",AND(AUTOEVENTO="Manual",$M400=$A$15),$M400&gt;(ROW(PLE.lastrow)-ROW(PLE.firstrow))),0,
           IF(OFFSET(PLE!$G$15,$M400-$A$15,CC$13)="",10^12,OFFSET(PLE!$G$15,$M400-$A$15,CC$13)))</f>
        <v>0</v>
      </c>
      <c r="CD400" s="172">
        <f ca="1">IF(OR($D400&lt;&gt;"Serviço",AND(AUTOEVENTO="Manual",$M400=$A$15),$M400&gt;(ROW(PLE.lastrow)-ROW(PLE.firstrow))),0,
           IF(OFFSET(PLE!$G$15,$M400-$A$15,CD$13)="",10^12,OFFSET(PLE!$G$15,$M400-$A$15,CD$13)))</f>
        <v>0</v>
      </c>
      <c r="CE400" s="172">
        <f ca="1">IF(OR($D400&lt;&gt;"Serviço",AND(AUTOEVENTO="Manual",$M400=$A$15),$M400&gt;(ROW(PLE.lastrow)-ROW(PLE.firstrow))),0,
           IF(OFFSET(PLE!$G$15,$M400-$A$15,CE$13)="",10^12,OFFSET(PLE!$G$15,$M400-$A$15,CE$13)))</f>
        <v>0</v>
      </c>
      <c r="CF400" s="172">
        <f ca="1">IF(OR($D400&lt;&gt;"Serviço",AND(AUTOEVENTO="Manual",$M400=$A$15),$M400&gt;(ROW(PLE.lastrow)-ROW(PLE.firstrow))),0,
           IF(OFFSET(PLE!$G$15,$M400-$A$15,CF$13)="",10^12,OFFSET(PLE!$G$15,$M400-$A$15,CF$13)))</f>
        <v>0</v>
      </c>
      <c r="CG400" s="172">
        <f ca="1">IF(OR($D400&lt;&gt;"Serviço",AND(AUTOEVENTO="Manual",$M400=$A$15),$M400&gt;(ROW(PLE.lastrow)-ROW(PLE.firstrow))),0,
           IF(OFFSET(PLE!$G$15,$M400-$A$15,CG$13)="",10^12,OFFSET(PLE!$G$15,$M400-$A$15,CG$13)))</f>
        <v>0</v>
      </c>
      <c r="CH400" s="172">
        <f ca="1">IF(OR($D400&lt;&gt;"Serviço",AND(AUTOEVENTO="Manual",$M400=$A$15),$M400&gt;(ROW(PLE.lastrow)-ROW(PLE.firstrow))),0,
           IF(OFFSET(PLE!$G$15,$M400-$A$15,CH$13)="",10^12,OFFSET(PLE!$G$15,$M400-$A$15,CH$13)))</f>
        <v>0</v>
      </c>
      <c r="CI400" s="172">
        <f ca="1">IF(OR($D400&lt;&gt;"Serviço",AND(AUTOEVENTO="Manual",$M400=$A$15),$M400&gt;(ROW(PLE.lastrow)-ROW(PLE.firstrow))),0,
           IF(OFFSET(PLE!$G$15,$M400-$A$15,CI$13)="",10^12,OFFSET(PLE!$G$15,$M400-$A$15,CI$13)))</f>
        <v>0</v>
      </c>
      <c r="CJ400" s="172">
        <f ca="1">IF(OR($D400&lt;&gt;"Serviço",AND(AUTOEVENTO="Manual",$M400=$A$15),$M400&gt;(ROW(PLE.lastrow)-ROW(PLE.firstrow))),0,
           IF(OFFSET(PLE!$G$15,$M400-$A$15,CJ$13)="",10^12,OFFSET(PLE!$G$15,$M400-$A$15,CJ$13)))</f>
        <v>0</v>
      </c>
      <c r="CK400" s="172">
        <f ca="1">IF(OR($D400&lt;&gt;"Serviço",AND(AUTOEVENTO="Manual",$M400=$A$15),$M400&gt;(ROW(PLE.lastrow)-ROW(PLE.firstrow))),0,
           IF(OFFSET(PLE!$G$15,$M400-$A$15,CK$13)="",10^12,OFFSET(PLE!$G$15,$M400-$A$15,CK$13)))</f>
        <v>0</v>
      </c>
      <c r="CL400" s="172">
        <f ca="1">IF(OR($D400&lt;&gt;"Serviço",AND(AUTOEVENTO="Manual",$M400=$A$15),$M400&gt;(ROW(PLE.lastrow)-ROW(PLE.firstrow))),0,
           IF(OFFSET(PLE!$G$15,$M400-$A$15,CL$13)="",10^12,OFFSET(PLE!$G$15,$M400-$A$15,CL$13)))</f>
        <v>0</v>
      </c>
      <c r="CM400" s="172">
        <f ca="1">IF(OR($D400&lt;&gt;"Serviço",AND(AUTOEVENTO="Manual",$M400=$A$15),$M400&gt;(ROW(PLE.lastrow)-ROW(PLE.firstrow))),0,
           IF(OFFSET(PLE!$G$15,$M400-$A$15,CM$13)="",10^12,OFFSET(PLE!$G$15,$M400-$A$15,CM$13)))</f>
        <v>0</v>
      </c>
    </row>
    <row r="401" spans="1:91" ht="38.25" x14ac:dyDescent="0.2">
      <c r="A401" s="7">
        <f t="shared" ca="1" si="15"/>
        <v>7</v>
      </c>
      <c r="B401" s="7" t="str">
        <f ca="1">OFFSET(ORÇAMENTO!C$15,ROW(B401)-ROW(B$15),0)</f>
        <v>S</v>
      </c>
      <c r="C401" s="7" t="str">
        <f ca="1">OFFSET(ORÇAMENTO!L$15,ROW(C401)-ROW(C$15),0)</f>
        <v>F</v>
      </c>
      <c r="D401" s="116" t="str">
        <f ca="1">OFFSET(ORÇAMENTO!N$15,ROW(D401)-ROW(D$15),0)</f>
        <v>Serviço</v>
      </c>
      <c r="E401" s="117" t="str">
        <f ca="1">OFFSET(ORÇAMENTO!O$15,ROW(E401)-ROW(E$15),0)</f>
        <v>1.8.2.3.1.</v>
      </c>
      <c r="F401" s="163" t="str">
        <f ca="1">OFFSET(ORÇAMENTO!R$15,ROW(F401)-ROW(F$15),0)</f>
        <v>CABO DE COBRE FLEXÍVEL ISOLADO, 2,5 MM², ANTI-CHAMA 450/750 V, PARA CIRCUITOS TERMINAIS - FORNECIMENTO E INSTALAÇÃO. AF_03/2023</v>
      </c>
      <c r="G401" s="164" t="str">
        <f ca="1">IF($D401&lt;&gt;"Serviço","",OFFSET(ORÇAMENTO!S$15,ROW(G401)-ROW(G$15),0))</f>
        <v>M</v>
      </c>
      <c r="H401" s="122" cm="1">
        <f t="array" aca="1" ref="H401" ca="1">IF($D401&lt;&gt;"Serviço",0,IF(ACOMPANHAMENTO="BM",ROUND(OFFSET(ORÇAMENTO!AJ$15,ROW(H401)-ROW(H$15),0),15-13*ORÇAMENTO!$AF$7),SUMPRODUCT(($Q$1:$AI$1=1)*ROUND($Q401:$AI401,15-13*ORÇAMENTO!$AF$7))))</f>
        <v>93</v>
      </c>
      <c r="I401" s="468" t="s">
        <v>1431</v>
      </c>
      <c r="J401" s="640" t="str" cm="1">
        <f t="array" aca="1" ref="J401" ca="1">IF(OR(B401&lt;&gt;"S",CÁLCULO.FrentesPreenchidas=0),"",IF(AND(ACOMPANHAMENTO="PLE",AUTOEVENTO="Manual",OR(H401&gt;0,ORÇAMENTO!AC401="QUANT."),OR(K401="",M401=0,N401="")),"►E",IF(AND(ACOMPANHAMENTO="PLE",ORÇAMENTO!AC401="QUANT."),"►Q",IF(AND(ACOMPANHAMENTO="PLE",H401&lt;&gt;SUMPRODUCT(($Q$1:$AI$1=1)*ROUND(Q401:AI401,15))),"►S",IF(AND(COUNTIF($P$11:$AI$11,"▼")=0,H401&gt;0,I401=""),"◄M","")))))</f>
        <v/>
      </c>
      <c r="K401" s="641" t="s">
        <v>1391</v>
      </c>
      <c r="L401" s="165" t="s">
        <v>764</v>
      </c>
      <c r="M401" s="166">
        <f ca="1">IF($D401&lt;&gt;"Serviço","",
          IF(AUTOEVENTO="manual",$A401,
                IF(ISERROR(MATCH($A401,$A$15:OFFSET($A401,-1,0),0)),MAX($M$15:OFFSET(M401,-1,0))+1,
                      INDEX($M$15:OFFSET(M401,-1,0),MATCH($A401,$A$15:OFFSET($A401,-1,0),0)))))</f>
        <v>7</v>
      </c>
      <c r="N401" s="167" t="str">
        <f ca="1">IF($D401&lt;&gt;"Serviço","",
         IF(AUTOEVENTO="Manual",
                IF($A401=0,"&lt;-- defina o número do agrupador",
                       OFFSET(EVENTOS!$D$15,$A401-$A$15,0)),
                OFFSET($F$15,$A401,0)))</f>
        <v>Instalações Elétricas</v>
      </c>
      <c r="O401" s="168"/>
      <c r="Q401" s="168"/>
      <c r="R401" s="169"/>
      <c r="S401" s="169"/>
      <c r="T401" s="169"/>
      <c r="U401" s="169"/>
      <c r="V401" s="169"/>
      <c r="W401" s="169"/>
      <c r="X401" s="169">
        <v>93</v>
      </c>
      <c r="Y401" s="169"/>
      <c r="Z401" s="170"/>
      <c r="AA401" s="169"/>
      <c r="AB401" s="169"/>
      <c r="AC401" s="169"/>
      <c r="AD401" s="169"/>
      <c r="AE401" s="169"/>
      <c r="AF401" s="169"/>
      <c r="AG401" s="169"/>
      <c r="AH401" s="170"/>
      <c r="AJ401" s="453">
        <f ca="1">IF(AND($D401="Serviço",AJ$12&lt;&gt;0,$H401&gt;0,OR(AUTOEVENTO&lt;&gt;"manual",$M401&lt;&gt;$A$15)),
        IF(Import.TipoArredondamento&lt;&gt;"TransfereGOV",
              ROUND(OFFSET($P401,0,AJ$13),15-13*ORÇAMENTO!$AF$7)/$H401*OFFSET(ORÇAMENTO!$X$15,ROW(AJ401)-ROW(AJ$15),0),
              ROUND(ROUND(OFFSET($P401,0,AJ$13),15-13*ORÇAMENTO!$AF$7)*OFFSET(ORÇAMENTO!$W$15,ROW(AJ401)-ROW(AJ$15),0),15-13*ORÇAMENTO!$AF$11)),
         0)</f>
        <v>0</v>
      </c>
      <c r="AK401" s="453">
        <f ca="1">IF(AND($D401="Serviço",AK$12&lt;&gt;0,$H401&gt;0,OR(AUTOEVENTO&lt;&gt;"manual",$M401&lt;&gt;$A$15)),
        IF(Import.TipoArredondamento&lt;&gt;"TransfereGOV",
              ROUND(OFFSET($P401,0,AK$13),15-13*ORÇAMENTO!$AF$7)/$H401*OFFSET(ORÇAMENTO!$X$15,ROW(AK401)-ROW(AK$15),0),
              ROUND(ROUND(OFFSET($P401,0,AK$13),15-13*ORÇAMENTO!$AF$7)*OFFSET(ORÇAMENTO!$W$15,ROW(AK401)-ROW(AK$15),0),15-13*ORÇAMENTO!$AF$11)),
         0)</f>
        <v>0</v>
      </c>
      <c r="AL401" s="453">
        <f ca="1">IF(AND($D401="Serviço",AL$12&lt;&gt;0,$H401&gt;0,OR(AUTOEVENTO&lt;&gt;"manual",$M401&lt;&gt;$A$15)),
        IF(Import.TipoArredondamento&lt;&gt;"TransfereGOV",
              ROUND(OFFSET($P401,0,AL$13),15-13*ORÇAMENTO!$AF$7)/$H401*OFFSET(ORÇAMENTO!$X$15,ROW(AL401)-ROW(AL$15),0),
              ROUND(ROUND(OFFSET($P401,0,AL$13),15-13*ORÇAMENTO!$AF$7)*OFFSET(ORÇAMENTO!$W$15,ROW(AL401)-ROW(AL$15),0),15-13*ORÇAMENTO!$AF$11)),
         0)</f>
        <v>0</v>
      </c>
      <c r="AM401" s="453">
        <f ca="1">IF(AND($D401="Serviço",AM$12&lt;&gt;0,$H401&gt;0,OR(AUTOEVENTO&lt;&gt;"manual",$M401&lt;&gt;$A$15)),
        IF(Import.TipoArredondamento&lt;&gt;"TransfereGOV",
              ROUND(OFFSET($P401,0,AM$13),15-13*ORÇAMENTO!$AF$7)/$H401*OFFSET(ORÇAMENTO!$X$15,ROW(AM401)-ROW(AM$15),0),
              ROUND(ROUND(OFFSET($P401,0,AM$13),15-13*ORÇAMENTO!$AF$7)*OFFSET(ORÇAMENTO!$W$15,ROW(AM401)-ROW(AM$15),0),15-13*ORÇAMENTO!$AF$11)),
         0)</f>
        <v>0</v>
      </c>
      <c r="AN401" s="453">
        <f ca="1">IF(AND($D401="Serviço",AN$12&lt;&gt;0,$H401&gt;0,OR(AUTOEVENTO&lt;&gt;"manual",$M401&lt;&gt;$A$15)),
        IF(Import.TipoArredondamento&lt;&gt;"TransfereGOV",
              ROUND(OFFSET($P401,0,AN$13),15-13*ORÇAMENTO!$AF$7)/$H401*OFFSET(ORÇAMENTO!$X$15,ROW(AN401)-ROW(AN$15),0),
              ROUND(ROUND(OFFSET($P401,0,AN$13),15-13*ORÇAMENTO!$AF$7)*OFFSET(ORÇAMENTO!$W$15,ROW(AN401)-ROW(AN$15),0),15-13*ORÇAMENTO!$AF$11)),
         0)</f>
        <v>0</v>
      </c>
      <c r="AO401" s="453">
        <f ca="1">IF(AND($D401="Serviço",AO$12&lt;&gt;0,$H401&gt;0,OR(AUTOEVENTO&lt;&gt;"manual",$M401&lt;&gt;$A$15)),
        IF(Import.TipoArredondamento&lt;&gt;"TransfereGOV",
              ROUND(OFFSET($P401,0,AO$13),15-13*ORÇAMENTO!$AF$7)/$H401*OFFSET(ORÇAMENTO!$X$15,ROW(AO401)-ROW(AO$15),0),
              ROUND(ROUND(OFFSET($P401,0,AO$13),15-13*ORÇAMENTO!$AF$7)*OFFSET(ORÇAMENTO!$W$15,ROW(AO401)-ROW(AO$15),0),15-13*ORÇAMENTO!$AF$11)),
         0)</f>
        <v>0</v>
      </c>
      <c r="AP401" s="453">
        <f ca="1">IF(AND($D401="Serviço",AP$12&lt;&gt;0,$H401&gt;0,OR(AUTOEVENTO&lt;&gt;"manual",$M401&lt;&gt;$A$15)),
        IF(Import.TipoArredondamento&lt;&gt;"TransfereGOV",
              ROUND(OFFSET($P401,0,AP$13),15-13*ORÇAMENTO!$AF$7)/$H401*OFFSET(ORÇAMENTO!$X$15,ROW(AP401)-ROW(AP$15),0),
              ROUND(ROUND(OFFSET($P401,0,AP$13),15-13*ORÇAMENTO!$AF$7)*OFFSET(ORÇAMENTO!$W$15,ROW(AP401)-ROW(AP$15),0),15-13*ORÇAMENTO!$AF$11)),
         0)</f>
        <v>0</v>
      </c>
      <c r="AQ401" s="453">
        <f ca="1">IF(AND($D401="Serviço",AQ$12&lt;&gt;0,$H401&gt;0,OR(AUTOEVENTO&lt;&gt;"manual",$M401&lt;&gt;$A$15)),
        IF(Import.TipoArredondamento&lt;&gt;"TransfereGOV",
              ROUND(OFFSET($P401,0,AQ$13),15-13*ORÇAMENTO!$AF$7)/$H401*OFFSET(ORÇAMENTO!$X$15,ROW(AQ401)-ROW(AQ$15),0),
              ROUND(ROUND(OFFSET($P401,0,AQ$13),15-13*ORÇAMENTO!$AF$7)*OFFSET(ORÇAMENTO!$W$15,ROW(AQ401)-ROW(AQ$15),0),15-13*ORÇAMENTO!$AF$11)),
         0)</f>
        <v>0</v>
      </c>
      <c r="AR401" s="453">
        <f ca="1">IF(AND($D401="Serviço",AR$12&lt;&gt;0,$H401&gt;0,OR(AUTOEVENTO&lt;&gt;"manual",$M401&lt;&gt;$A$15)),
        IF(Import.TipoArredondamento&lt;&gt;"TransfereGOV",
              ROUND(OFFSET($P401,0,AR$13),15-13*ORÇAMENTO!$AF$7)/$H401*OFFSET(ORÇAMENTO!$X$15,ROW(AR401)-ROW(AR$15),0),
              ROUND(ROUND(OFFSET($P401,0,AR$13),15-13*ORÇAMENTO!$AF$7)*OFFSET(ORÇAMENTO!$W$15,ROW(AR401)-ROW(AR$15),0),15-13*ORÇAMENTO!$AF$11)),
         0)</f>
        <v>0</v>
      </c>
      <c r="AS401" s="453">
        <f ca="1">IF(AND($D401="Serviço",AS$12&lt;&gt;0,$H401&gt;0,OR(AUTOEVENTO&lt;&gt;"manual",$M401&lt;&gt;$A$15)),
        IF(Import.TipoArredondamento&lt;&gt;"TransfereGOV",
              ROUND(OFFSET($P401,0,AS$13),15-13*ORÇAMENTO!$AF$7)/$H401*OFFSET(ORÇAMENTO!$X$15,ROW(AS401)-ROW(AS$15),0),
              ROUND(ROUND(OFFSET($P401,0,AS$13),15-13*ORÇAMENTO!$AF$7)*OFFSET(ORÇAMENTO!$W$15,ROW(AS401)-ROW(AS$15),0),15-13*ORÇAMENTO!$AF$11)),
         0)</f>
        <v>0</v>
      </c>
      <c r="AT401" s="453">
        <f ca="1">IF(AND($D401="Serviço",AT$12&lt;&gt;0,$H401&gt;0,OR(AUTOEVENTO&lt;&gt;"manual",$M401&lt;&gt;$A$15)),
        IF(Import.TipoArredondamento&lt;&gt;"TransfereGOV",
              ROUND(OFFSET($P401,0,AT$13),15-13*ORÇAMENTO!$AF$7)/$H401*OFFSET(ORÇAMENTO!$X$15,ROW(AT401)-ROW(AT$15),0),
              ROUND(ROUND(OFFSET($P401,0,AT$13),15-13*ORÇAMENTO!$AF$7)*OFFSET(ORÇAMENTO!$W$15,ROW(AT401)-ROW(AT$15),0),15-13*ORÇAMENTO!$AF$11)),
         0)</f>
        <v>0</v>
      </c>
      <c r="AU401" s="453">
        <f ca="1">IF(AND($D401="Serviço",AU$12&lt;&gt;0,$H401&gt;0,OR(AUTOEVENTO&lt;&gt;"manual",$M401&lt;&gt;$A$15)),
        IF(Import.TipoArredondamento&lt;&gt;"TransfereGOV",
              ROUND(OFFSET($P401,0,AU$13),15-13*ORÇAMENTO!$AF$7)/$H401*OFFSET(ORÇAMENTO!$X$15,ROW(AU401)-ROW(AU$15),0),
              ROUND(ROUND(OFFSET($P401,0,AU$13),15-13*ORÇAMENTO!$AF$7)*OFFSET(ORÇAMENTO!$W$15,ROW(AU401)-ROW(AU$15),0),15-13*ORÇAMENTO!$AF$11)),
         0)</f>
        <v>0</v>
      </c>
      <c r="AV401" s="453">
        <f ca="1">IF(AND($D401="Serviço",AV$12&lt;&gt;0,$H401&gt;0,OR(AUTOEVENTO&lt;&gt;"manual",$M401&lt;&gt;$A$15)),
        IF(Import.TipoArredondamento&lt;&gt;"TransfereGOV",
              ROUND(OFFSET($P401,0,AV$13),15-13*ORÇAMENTO!$AF$7)/$H401*OFFSET(ORÇAMENTO!$X$15,ROW(AV401)-ROW(AV$15),0),
              ROUND(ROUND(OFFSET($P401,0,AV$13),15-13*ORÇAMENTO!$AF$7)*OFFSET(ORÇAMENTO!$W$15,ROW(AV401)-ROW(AV$15),0),15-13*ORÇAMENTO!$AF$11)),
         0)</f>
        <v>0</v>
      </c>
      <c r="AW401" s="453">
        <f ca="1">IF(AND($D401="Serviço",AW$12&lt;&gt;0,$H401&gt;0,OR(AUTOEVENTO&lt;&gt;"manual",$M401&lt;&gt;$A$15)),
        IF(Import.TipoArredondamento&lt;&gt;"TransfereGOV",
              ROUND(OFFSET($P401,0,AW$13),15-13*ORÇAMENTO!$AF$7)/$H401*OFFSET(ORÇAMENTO!$X$15,ROW(AW401)-ROW(AW$15),0),
              ROUND(ROUND(OFFSET($P401,0,AW$13),15-13*ORÇAMENTO!$AF$7)*OFFSET(ORÇAMENTO!$W$15,ROW(AW401)-ROW(AW$15),0),15-13*ORÇAMENTO!$AF$11)),
         0)</f>
        <v>0</v>
      </c>
      <c r="AX401" s="453">
        <f ca="1">IF(AND($D401="Serviço",AX$12&lt;&gt;0,$H401&gt;0,OR(AUTOEVENTO&lt;&gt;"manual",$M401&lt;&gt;$A$15)),
        IF(Import.TipoArredondamento&lt;&gt;"TransfereGOV",
              ROUND(OFFSET($P401,0,AX$13),15-13*ORÇAMENTO!$AF$7)/$H401*OFFSET(ORÇAMENTO!$X$15,ROW(AX401)-ROW(AX$15),0),
              ROUND(ROUND(OFFSET($P401,0,AX$13),15-13*ORÇAMENTO!$AF$7)*OFFSET(ORÇAMENTO!$W$15,ROW(AX401)-ROW(AX$15),0),15-13*ORÇAMENTO!$AF$11)),
         0)</f>
        <v>0</v>
      </c>
      <c r="AY401" s="453">
        <f ca="1">IF(AND($D401="Serviço",AY$12&lt;&gt;0,$H401&gt;0,OR(AUTOEVENTO&lt;&gt;"manual",$M401&lt;&gt;$A$15)),
        IF(Import.TipoArredondamento&lt;&gt;"TransfereGOV",
              ROUND(OFFSET($P401,0,AY$13),15-13*ORÇAMENTO!$AF$7)/$H401*OFFSET(ORÇAMENTO!$X$15,ROW(AY401)-ROW(AY$15),0),
              ROUND(ROUND(OFFSET($P401,0,AY$13),15-13*ORÇAMENTO!$AF$7)*OFFSET(ORÇAMENTO!$W$15,ROW(AY401)-ROW(AY$15),0),15-13*ORÇAMENTO!$AF$11)),
         0)</f>
        <v>0</v>
      </c>
      <c r="AZ401" s="453">
        <f ca="1">IF(AND($D401="Serviço",AZ$12&lt;&gt;0,$H401&gt;0,OR(AUTOEVENTO&lt;&gt;"manual",$M401&lt;&gt;$A$15)),
        IF(Import.TipoArredondamento&lt;&gt;"TransfereGOV",
              ROUND(OFFSET($P401,0,AZ$13),15-13*ORÇAMENTO!$AF$7)/$H401*OFFSET(ORÇAMENTO!$X$15,ROW(AZ401)-ROW(AZ$15),0),
              ROUND(ROUND(OFFSET($P401,0,AZ$13),15-13*ORÇAMENTO!$AF$7)*OFFSET(ORÇAMENTO!$W$15,ROW(AZ401)-ROW(AZ$15),0),15-13*ORÇAMENTO!$AF$11)),
         0)</f>
        <v>0</v>
      </c>
      <c r="BA401" s="453">
        <f ca="1">IF(AND($D401="Serviço",BA$12&lt;&gt;0,$H401&gt;0,OR(AUTOEVENTO&lt;&gt;"manual",$M401&lt;&gt;$A$15)),
        IF(Import.TipoArredondamento&lt;&gt;"TransfereGOV",
              ROUND(OFFSET($P401,0,BA$13),15-13*ORÇAMENTO!$AF$7)/$H401*OFFSET(ORÇAMENTO!$X$15,ROW(BA401)-ROW(BA$15),0),
              ROUND(ROUND(OFFSET($P401,0,BA$13),15-13*ORÇAMENTO!$AF$7)*OFFSET(ORÇAMENTO!$W$15,ROW(BA401)-ROW(BA$15),0),15-13*ORÇAMENTO!$AF$11)),
         0)</f>
        <v>0</v>
      </c>
      <c r="BC401" s="171">
        <f ca="1">IF(OR($D401&lt;&gt;"Serviço",AND(AUTOEVENTO="Manual",$M401=$A$15)),0,
         IF(OFFSET(CRONOPLE!$F$15,$M401-$A$15,BC$13)=0,10^12,OFFSET(CRONOPLE!$F$15,$M401-$A$15,BC$13)))</f>
        <v>1</v>
      </c>
      <c r="BD401" s="171">
        <f ca="1">IF(OR($D401&lt;&gt;"Serviço",AND(AUTOEVENTO="Manual",$M401=$A$15)),0,
         IF(OFFSET(CRONOPLE!$F$15,$M401-$A$15,BD$13)=0,10^12,OFFSET(CRONOPLE!$F$15,$M401-$A$15,BD$13)))</f>
        <v>2</v>
      </c>
      <c r="BE401" s="171">
        <f ca="1">IF(OR($D401&lt;&gt;"Serviço",AND(AUTOEVENTO="Manual",$M401=$A$15)),0,
         IF(OFFSET(CRONOPLE!$F$15,$M401-$A$15,BE$13)=0,10^12,OFFSET(CRONOPLE!$F$15,$M401-$A$15,BE$13)))</f>
        <v>3</v>
      </c>
      <c r="BF401" s="171">
        <f ca="1">IF(OR($D401&lt;&gt;"Serviço",AND(AUTOEVENTO="Manual",$M401=$A$15)),0,
         IF(OFFSET(CRONOPLE!$F$15,$M401-$A$15,BF$13)=0,10^12,OFFSET(CRONOPLE!$F$15,$M401-$A$15,BF$13)))</f>
        <v>4</v>
      </c>
      <c r="BG401" s="171">
        <f ca="1">IF(OR($D401&lt;&gt;"Serviço",AND(AUTOEVENTO="Manual",$M401=$A$15)),0,
         IF(OFFSET(CRONOPLE!$F$15,$M401-$A$15,BG$13)=0,10^12,OFFSET(CRONOPLE!$F$15,$M401-$A$15,BG$13)))</f>
        <v>5</v>
      </c>
      <c r="BH401" s="171">
        <f ca="1">IF(OR($D401&lt;&gt;"Serviço",AND(AUTOEVENTO="Manual",$M401=$A$15)),0,
         IF(OFFSET(CRONOPLE!$F$15,$M401-$A$15,BH$13)=0,10^12,OFFSET(CRONOPLE!$F$15,$M401-$A$15,BH$13)))</f>
        <v>6</v>
      </c>
      <c r="BI401" s="171">
        <f ca="1">IF(OR($D401&lt;&gt;"Serviço",AND(AUTOEVENTO="Manual",$M401=$A$15)),0,
         IF(OFFSET(CRONOPLE!$F$15,$M401-$A$15,BI$13)=0,10^12,OFFSET(CRONOPLE!$F$15,$M401-$A$15,BI$13)))</f>
        <v>7</v>
      </c>
      <c r="BJ401" s="171">
        <f ca="1">IF(OR($D401&lt;&gt;"Serviço",AND(AUTOEVENTO="Manual",$M401=$A$15)),0,
         IF(OFFSET(CRONOPLE!$F$15,$M401-$A$15,BJ$13)=0,10^12,OFFSET(CRONOPLE!$F$15,$M401-$A$15,BJ$13)))</f>
        <v>8</v>
      </c>
      <c r="BK401" s="171">
        <f ca="1">IF(OR($D401&lt;&gt;"Serviço",AND(AUTOEVENTO="Manual",$M401=$A$15)),0,
         IF(OFFSET(CRONOPLE!$F$15,$M401-$A$15,BK$13)=0,10^12,OFFSET(CRONOPLE!$F$15,$M401-$A$15,BK$13)))</f>
        <v>9</v>
      </c>
      <c r="BL401" s="171">
        <f ca="1">IF(OR($D401&lt;&gt;"Serviço",AND(AUTOEVENTO="Manual",$M401=$A$15)),0,
         IF(OFFSET(CRONOPLE!$F$15,$M401-$A$15,BL$13)=0,10^12,OFFSET(CRONOPLE!$F$15,$M401-$A$15,BL$13)))</f>
        <v>1000000000000</v>
      </c>
      <c r="BM401" s="171">
        <f ca="1">IF(OR($D401&lt;&gt;"Serviço",AND(AUTOEVENTO="Manual",$M401=$A$15)),0,
         IF(OFFSET(CRONOPLE!$F$15,$M401-$A$15,BM$13)=0,10^12,OFFSET(CRONOPLE!$F$15,$M401-$A$15,BM$13)))</f>
        <v>1000000000000</v>
      </c>
      <c r="BN401" s="171">
        <f ca="1">IF(OR($D401&lt;&gt;"Serviço",AND(AUTOEVENTO="Manual",$M401=$A$15)),0,
         IF(OFFSET(CRONOPLE!$F$15,$M401-$A$15,BN$13)=0,10^12,OFFSET(CRONOPLE!$F$15,$M401-$A$15,BN$13)))</f>
        <v>1000000000000</v>
      </c>
      <c r="BO401" s="171">
        <f ca="1">IF(OR($D401&lt;&gt;"Serviço",AND(AUTOEVENTO="Manual",$M401=$A$15)),0,
         IF(OFFSET(CRONOPLE!$F$15,$M401-$A$15,BO$13)=0,10^12,OFFSET(CRONOPLE!$F$15,$M401-$A$15,BO$13)))</f>
        <v>1000000000000</v>
      </c>
      <c r="BP401" s="171">
        <f ca="1">IF(OR($D401&lt;&gt;"Serviço",AND(AUTOEVENTO="Manual",$M401=$A$15)),0,
         IF(OFFSET(CRONOPLE!$F$15,$M401-$A$15,BP$13)=0,10^12,OFFSET(CRONOPLE!$F$15,$M401-$A$15,BP$13)))</f>
        <v>1000000000000</v>
      </c>
      <c r="BQ401" s="171">
        <f ca="1">IF(OR($D401&lt;&gt;"Serviço",AND(AUTOEVENTO="Manual",$M401=$A$15)),0,
         IF(OFFSET(CRONOPLE!$F$15,$M401-$A$15,BQ$13)=0,10^12,OFFSET(CRONOPLE!$F$15,$M401-$A$15,BQ$13)))</f>
        <v>1000000000000</v>
      </c>
      <c r="BR401" s="171">
        <f ca="1">IF(OR($D401&lt;&gt;"Serviço",AND(AUTOEVENTO="Manual",$M401=$A$15)),0,
         IF(OFFSET(CRONOPLE!$F$15,$M401-$A$15,BR$13)=0,10^12,OFFSET(CRONOPLE!$F$15,$M401-$A$15,BR$13)))</f>
        <v>1000000000000</v>
      </c>
      <c r="BS401" s="171">
        <f ca="1">IF(OR($D401&lt;&gt;"Serviço",AND(AUTOEVENTO="Manual",$M401=$A$15)),0,
         IF(OFFSET(CRONOPLE!$F$15,$M401-$A$15,BS$13)=0,10^12,OFFSET(CRONOPLE!$F$15,$M401-$A$15,BS$13)))</f>
        <v>1000000000000</v>
      </c>
      <c r="BT401" s="171">
        <f ca="1">IF(OR($D401&lt;&gt;"Serviço",AND(AUTOEVENTO="Manual",$M401=$A$15)),0,
         IF(OFFSET(CRONOPLE!$F$15,$M401-$A$15,BT$13)=0,10^12,OFFSET(CRONOPLE!$F$15,$M401-$A$15,BT$13)))</f>
        <v>1000000000000</v>
      </c>
      <c r="BV401" s="172">
        <f ca="1">IF(OR($D401&lt;&gt;"Serviço",AND(AUTOEVENTO="Manual",$M401=$A$15),$M401&gt;(ROW(PLE.lastrow)-ROW(PLE.firstrow))),0,
           IF(OFFSET(PLE!$G$15,$M401-$A$15,BV$13)="",10^12,OFFSET(PLE!$G$15,$M401-$A$15,BV$13)))</f>
        <v>1000000000000</v>
      </c>
      <c r="BW401" s="172">
        <f ca="1">IF(OR($D401&lt;&gt;"Serviço",AND(AUTOEVENTO="Manual",$M401=$A$15),$M401&gt;(ROW(PLE.lastrow)-ROW(PLE.firstrow))),0,
           IF(OFFSET(PLE!$G$15,$M401-$A$15,BW$13)="",10^12,OFFSET(PLE!$G$15,$M401-$A$15,BW$13)))</f>
        <v>1000000000000</v>
      </c>
      <c r="BX401" s="172">
        <f ca="1">IF(OR($D401&lt;&gt;"Serviço",AND(AUTOEVENTO="Manual",$M401=$A$15),$M401&gt;(ROW(PLE.lastrow)-ROW(PLE.firstrow))),0,
           IF(OFFSET(PLE!$G$15,$M401-$A$15,BX$13)="",10^12,OFFSET(PLE!$G$15,$M401-$A$15,BX$13)))</f>
        <v>1000000000000</v>
      </c>
      <c r="BY401" s="172">
        <f ca="1">IF(OR($D401&lt;&gt;"Serviço",AND(AUTOEVENTO="Manual",$M401=$A$15),$M401&gt;(ROW(PLE.lastrow)-ROW(PLE.firstrow))),0,
           IF(OFFSET(PLE!$G$15,$M401-$A$15,BY$13)="",10^12,OFFSET(PLE!$G$15,$M401-$A$15,BY$13)))</f>
        <v>1000000000000</v>
      </c>
      <c r="BZ401" s="172">
        <f ca="1">IF(OR($D401&lt;&gt;"Serviço",AND(AUTOEVENTO="Manual",$M401=$A$15),$M401&gt;(ROW(PLE.lastrow)-ROW(PLE.firstrow))),0,
           IF(OFFSET(PLE!$G$15,$M401-$A$15,BZ$13)="",10^12,OFFSET(PLE!$G$15,$M401-$A$15,BZ$13)))</f>
        <v>1000000000000</v>
      </c>
      <c r="CA401" s="172">
        <f ca="1">IF(OR($D401&lt;&gt;"Serviço",AND(AUTOEVENTO="Manual",$M401=$A$15),$M401&gt;(ROW(PLE.lastrow)-ROW(PLE.firstrow))),0,
           IF(OFFSET(PLE!$G$15,$M401-$A$15,CA$13)="",10^12,OFFSET(PLE!$G$15,$M401-$A$15,CA$13)))</f>
        <v>1000000000000</v>
      </c>
      <c r="CB401" s="172">
        <f ca="1">IF(OR($D401&lt;&gt;"Serviço",AND(AUTOEVENTO="Manual",$M401=$A$15),$M401&gt;(ROW(PLE.lastrow)-ROW(PLE.firstrow))),0,
           IF(OFFSET(PLE!$G$15,$M401-$A$15,CB$13)="",10^12,OFFSET(PLE!$G$15,$M401-$A$15,CB$13)))</f>
        <v>1000000000000</v>
      </c>
      <c r="CC401" s="172">
        <f ca="1">IF(OR($D401&lt;&gt;"Serviço",AND(AUTOEVENTO="Manual",$M401=$A$15),$M401&gt;(ROW(PLE.lastrow)-ROW(PLE.firstrow))),0,
           IF(OFFSET(PLE!$G$15,$M401-$A$15,CC$13)="",10^12,OFFSET(PLE!$G$15,$M401-$A$15,CC$13)))</f>
        <v>1000000000000</v>
      </c>
      <c r="CD401" s="172">
        <f ca="1">IF(OR($D401&lt;&gt;"Serviço",AND(AUTOEVENTO="Manual",$M401=$A$15),$M401&gt;(ROW(PLE.lastrow)-ROW(PLE.firstrow))),0,
           IF(OFFSET(PLE!$G$15,$M401-$A$15,CD$13)="",10^12,OFFSET(PLE!$G$15,$M401-$A$15,CD$13)))</f>
        <v>1000000000000</v>
      </c>
      <c r="CE401" s="172">
        <f ca="1">IF(OR($D401&lt;&gt;"Serviço",AND(AUTOEVENTO="Manual",$M401=$A$15),$M401&gt;(ROW(PLE.lastrow)-ROW(PLE.firstrow))),0,
           IF(OFFSET(PLE!$G$15,$M401-$A$15,CE$13)="",10^12,OFFSET(PLE!$G$15,$M401-$A$15,CE$13)))</f>
        <v>1000000000000</v>
      </c>
      <c r="CF401" s="172">
        <f ca="1">IF(OR($D401&lt;&gt;"Serviço",AND(AUTOEVENTO="Manual",$M401=$A$15),$M401&gt;(ROW(PLE.lastrow)-ROW(PLE.firstrow))),0,
           IF(OFFSET(PLE!$G$15,$M401-$A$15,CF$13)="",10^12,OFFSET(PLE!$G$15,$M401-$A$15,CF$13)))</f>
        <v>1000000000000</v>
      </c>
      <c r="CG401" s="172">
        <f ca="1">IF(OR($D401&lt;&gt;"Serviço",AND(AUTOEVENTO="Manual",$M401=$A$15),$M401&gt;(ROW(PLE.lastrow)-ROW(PLE.firstrow))),0,
           IF(OFFSET(PLE!$G$15,$M401-$A$15,CG$13)="",10^12,OFFSET(PLE!$G$15,$M401-$A$15,CG$13)))</f>
        <v>1000000000000</v>
      </c>
      <c r="CH401" s="172">
        <f ca="1">IF(OR($D401&lt;&gt;"Serviço",AND(AUTOEVENTO="Manual",$M401=$A$15),$M401&gt;(ROW(PLE.lastrow)-ROW(PLE.firstrow))),0,
           IF(OFFSET(PLE!$G$15,$M401-$A$15,CH$13)="",10^12,OFFSET(PLE!$G$15,$M401-$A$15,CH$13)))</f>
        <v>1000000000000</v>
      </c>
      <c r="CI401" s="172">
        <f ca="1">IF(OR($D401&lt;&gt;"Serviço",AND(AUTOEVENTO="Manual",$M401=$A$15),$M401&gt;(ROW(PLE.lastrow)-ROW(PLE.firstrow))),0,
           IF(OFFSET(PLE!$G$15,$M401-$A$15,CI$13)="",10^12,OFFSET(PLE!$G$15,$M401-$A$15,CI$13)))</f>
        <v>1000000000000</v>
      </c>
      <c r="CJ401" s="172">
        <f ca="1">IF(OR($D401&lt;&gt;"Serviço",AND(AUTOEVENTO="Manual",$M401=$A$15),$M401&gt;(ROW(PLE.lastrow)-ROW(PLE.firstrow))),0,
           IF(OFFSET(PLE!$G$15,$M401-$A$15,CJ$13)="",10^12,OFFSET(PLE!$G$15,$M401-$A$15,CJ$13)))</f>
        <v>1000000000000</v>
      </c>
      <c r="CK401" s="172">
        <f ca="1">IF(OR($D401&lt;&gt;"Serviço",AND(AUTOEVENTO="Manual",$M401=$A$15),$M401&gt;(ROW(PLE.lastrow)-ROW(PLE.firstrow))),0,
           IF(OFFSET(PLE!$G$15,$M401-$A$15,CK$13)="",10^12,OFFSET(PLE!$G$15,$M401-$A$15,CK$13)))</f>
        <v>1000000000000</v>
      </c>
      <c r="CL401" s="172">
        <f ca="1">IF(OR($D401&lt;&gt;"Serviço",AND(AUTOEVENTO="Manual",$M401=$A$15),$M401&gt;(ROW(PLE.lastrow)-ROW(PLE.firstrow))),0,
           IF(OFFSET(PLE!$G$15,$M401-$A$15,CL$13)="",10^12,OFFSET(PLE!$G$15,$M401-$A$15,CL$13)))</f>
        <v>1000000000000</v>
      </c>
      <c r="CM401" s="172">
        <f ca="1">IF(OR($D401&lt;&gt;"Serviço",AND(AUTOEVENTO="Manual",$M401=$A$15),$M401&gt;(ROW(PLE.lastrow)-ROW(PLE.firstrow))),0,
           IF(OFFSET(PLE!$G$15,$M401-$A$15,CM$13)="",10^12,OFFSET(PLE!$G$15,$M401-$A$15,CM$13)))</f>
        <v>1000000000000</v>
      </c>
    </row>
    <row r="402" spans="1:91" ht="38.25" x14ac:dyDescent="0.2">
      <c r="A402" s="7">
        <f t="shared" ref="A402:A468" ca="1" si="16">IFERROR(IF(AUTOEVENTO="Manual",IF(K402&lt;&gt;"",MIN(VALUE(LEFT(K402,FIND(".",K402)-1)),COUNTA(EVENTOS.Lista)),0),IF(OR($B402&gt;AUTOEVENTO,$B402="S",$B402=0),SUBSTITUTE(OFFSET($A402,-1,0),IF($D402="Serviço",".",""),""),ROW(A402)-ROW($A$15)&amp;".")),0)</f>
        <v>7</v>
      </c>
      <c r="B402" s="7" t="str">
        <f ca="1">OFFSET(ORÇAMENTO!C$15,ROW(B402)-ROW(B$15),0)</f>
        <v>S</v>
      </c>
      <c r="C402" s="7" t="str">
        <f ca="1">OFFSET(ORÇAMENTO!L$15,ROW(C402)-ROW(C$15),0)</f>
        <v>F</v>
      </c>
      <c r="D402" s="116" t="str">
        <f ca="1">OFFSET(ORÇAMENTO!N$15,ROW(D402)-ROW(D$15),0)</f>
        <v>Serviço</v>
      </c>
      <c r="E402" s="117" t="str">
        <f ca="1">OFFSET(ORÇAMENTO!O$15,ROW(E402)-ROW(E$15),0)</f>
        <v>1.8.2.3.2.</v>
      </c>
      <c r="F402" s="163" t="str">
        <f ca="1">OFFSET(ORÇAMENTO!R$15,ROW(F402)-ROW(F$15),0)</f>
        <v>CABO DE COBRE FLEXÍVEL ISOLADO, 4 MM², ANTI-CHAMA 450/750 V, PARA CIRCUITOS TERMINAIS - FORNECIMENTO E INSTALAÇÃO. AF_03/2023</v>
      </c>
      <c r="G402" s="164" t="str">
        <f ca="1">IF($D402&lt;&gt;"Serviço","",OFFSET(ORÇAMENTO!S$15,ROW(G402)-ROW(G$15),0))</f>
        <v>M</v>
      </c>
      <c r="H402" s="122" cm="1">
        <f t="array" aca="1" ref="H402" ca="1">IF($D402&lt;&gt;"Serviço",0,IF(ACOMPANHAMENTO="BM",ROUND(OFFSET(ORÇAMENTO!AJ$15,ROW(H402)-ROW(H$15),0),15-13*ORÇAMENTO!$AF$7),SUMPRODUCT(($Q$1:$AI$1=1)*ROUND($Q402:$AI402,15-13*ORÇAMENTO!$AF$7))))</f>
        <v>93</v>
      </c>
      <c r="I402" s="468" t="s">
        <v>1431</v>
      </c>
      <c r="J402" s="640" t="str" cm="1">
        <f t="array" aca="1" ref="J402" ca="1">IF(OR(B402&lt;&gt;"S",CÁLCULO.FrentesPreenchidas=0),"",IF(AND(ACOMPANHAMENTO="PLE",AUTOEVENTO="Manual",OR(H402&gt;0,ORÇAMENTO!AC402="QUANT."),OR(K402="",M402=0,N402="")),"►E",IF(AND(ACOMPANHAMENTO="PLE",ORÇAMENTO!AC402="QUANT."),"►Q",IF(AND(ACOMPANHAMENTO="PLE",H402&lt;&gt;SUMPRODUCT(($Q$1:$AI$1=1)*ROUND(Q402:AI402,15))),"►S",IF(AND(COUNTIF($P$11:$AI$11,"▼")=0,H402&gt;0,I402=""),"◄M","")))))</f>
        <v/>
      </c>
      <c r="K402" s="641" t="s">
        <v>1391</v>
      </c>
      <c r="L402" s="165" t="s">
        <v>764</v>
      </c>
      <c r="M402" s="166">
        <f ca="1">IF($D402&lt;&gt;"Serviço","",
          IF(AUTOEVENTO="manual",$A402,
                IF(ISERROR(MATCH($A402,$A$15:OFFSET($A402,-1,0),0)),MAX($M$15:OFFSET(M402,-1,0))+1,
                      INDEX($M$15:OFFSET(M402,-1,0),MATCH($A402,$A$15:OFFSET($A402,-1,0),0)))))</f>
        <v>7</v>
      </c>
      <c r="N402" s="167" t="str">
        <f ca="1">IF($D402&lt;&gt;"Serviço","",
         IF(AUTOEVENTO="Manual",
                IF($A402=0,"&lt;-- defina o número do agrupador",
                       OFFSET(EVENTOS!$D$15,$A402-$A$15,0)),
                OFFSET($F$15,$A402,0)))</f>
        <v>Instalações Elétricas</v>
      </c>
      <c r="O402" s="168"/>
      <c r="Q402" s="168"/>
      <c r="R402" s="169"/>
      <c r="S402" s="169"/>
      <c r="T402" s="169"/>
      <c r="U402" s="169"/>
      <c r="V402" s="169"/>
      <c r="W402" s="169"/>
      <c r="X402" s="169">
        <v>93</v>
      </c>
      <c r="Y402" s="169"/>
      <c r="Z402" s="170"/>
      <c r="AA402" s="169"/>
      <c r="AB402" s="169"/>
      <c r="AC402" s="169"/>
      <c r="AD402" s="169"/>
      <c r="AE402" s="169"/>
      <c r="AF402" s="169"/>
      <c r="AG402" s="169"/>
      <c r="AH402" s="170"/>
      <c r="AJ402" s="453">
        <f ca="1">IF(AND($D402="Serviço",AJ$12&lt;&gt;0,$H402&gt;0,OR(AUTOEVENTO&lt;&gt;"manual",$M402&lt;&gt;$A$15)),
        IF(Import.TipoArredondamento&lt;&gt;"TransfereGOV",
              ROUND(OFFSET($P402,0,AJ$13),15-13*ORÇAMENTO!$AF$7)/$H402*OFFSET(ORÇAMENTO!$X$15,ROW(AJ402)-ROW(AJ$15),0),
              ROUND(ROUND(OFFSET($P402,0,AJ$13),15-13*ORÇAMENTO!$AF$7)*OFFSET(ORÇAMENTO!$W$15,ROW(AJ402)-ROW(AJ$15),0),15-13*ORÇAMENTO!$AF$11)),
         0)</f>
        <v>0</v>
      </c>
      <c r="AK402" s="453">
        <f ca="1">IF(AND($D402="Serviço",AK$12&lt;&gt;0,$H402&gt;0,OR(AUTOEVENTO&lt;&gt;"manual",$M402&lt;&gt;$A$15)),
        IF(Import.TipoArredondamento&lt;&gt;"TransfereGOV",
              ROUND(OFFSET($P402,0,AK$13),15-13*ORÇAMENTO!$AF$7)/$H402*OFFSET(ORÇAMENTO!$X$15,ROW(AK402)-ROW(AK$15),0),
              ROUND(ROUND(OFFSET($P402,0,AK$13),15-13*ORÇAMENTO!$AF$7)*OFFSET(ORÇAMENTO!$W$15,ROW(AK402)-ROW(AK$15),0),15-13*ORÇAMENTO!$AF$11)),
         0)</f>
        <v>0</v>
      </c>
      <c r="AL402" s="453">
        <f ca="1">IF(AND($D402="Serviço",AL$12&lt;&gt;0,$H402&gt;0,OR(AUTOEVENTO&lt;&gt;"manual",$M402&lt;&gt;$A$15)),
        IF(Import.TipoArredondamento&lt;&gt;"TransfereGOV",
              ROUND(OFFSET($P402,0,AL$13),15-13*ORÇAMENTO!$AF$7)/$H402*OFFSET(ORÇAMENTO!$X$15,ROW(AL402)-ROW(AL$15),0),
              ROUND(ROUND(OFFSET($P402,0,AL$13),15-13*ORÇAMENTO!$AF$7)*OFFSET(ORÇAMENTO!$W$15,ROW(AL402)-ROW(AL$15),0),15-13*ORÇAMENTO!$AF$11)),
         0)</f>
        <v>0</v>
      </c>
      <c r="AM402" s="453">
        <f ca="1">IF(AND($D402="Serviço",AM$12&lt;&gt;0,$H402&gt;0,OR(AUTOEVENTO&lt;&gt;"manual",$M402&lt;&gt;$A$15)),
        IF(Import.TipoArredondamento&lt;&gt;"TransfereGOV",
              ROUND(OFFSET($P402,0,AM$13),15-13*ORÇAMENTO!$AF$7)/$H402*OFFSET(ORÇAMENTO!$X$15,ROW(AM402)-ROW(AM$15),0),
              ROUND(ROUND(OFFSET($P402,0,AM$13),15-13*ORÇAMENTO!$AF$7)*OFFSET(ORÇAMENTO!$W$15,ROW(AM402)-ROW(AM$15),0),15-13*ORÇAMENTO!$AF$11)),
         0)</f>
        <v>0</v>
      </c>
      <c r="AN402" s="453">
        <f ca="1">IF(AND($D402="Serviço",AN$12&lt;&gt;0,$H402&gt;0,OR(AUTOEVENTO&lt;&gt;"manual",$M402&lt;&gt;$A$15)),
        IF(Import.TipoArredondamento&lt;&gt;"TransfereGOV",
              ROUND(OFFSET($P402,0,AN$13),15-13*ORÇAMENTO!$AF$7)/$H402*OFFSET(ORÇAMENTO!$X$15,ROW(AN402)-ROW(AN$15),0),
              ROUND(ROUND(OFFSET($P402,0,AN$13),15-13*ORÇAMENTO!$AF$7)*OFFSET(ORÇAMENTO!$W$15,ROW(AN402)-ROW(AN$15),0),15-13*ORÇAMENTO!$AF$11)),
         0)</f>
        <v>0</v>
      </c>
      <c r="AO402" s="453">
        <f ca="1">IF(AND($D402="Serviço",AO$12&lt;&gt;0,$H402&gt;0,OR(AUTOEVENTO&lt;&gt;"manual",$M402&lt;&gt;$A$15)),
        IF(Import.TipoArredondamento&lt;&gt;"TransfereGOV",
              ROUND(OFFSET($P402,0,AO$13),15-13*ORÇAMENTO!$AF$7)/$H402*OFFSET(ORÇAMENTO!$X$15,ROW(AO402)-ROW(AO$15),0),
              ROUND(ROUND(OFFSET($P402,0,AO$13),15-13*ORÇAMENTO!$AF$7)*OFFSET(ORÇAMENTO!$W$15,ROW(AO402)-ROW(AO$15),0),15-13*ORÇAMENTO!$AF$11)),
         0)</f>
        <v>0</v>
      </c>
      <c r="AP402" s="453">
        <f ca="1">IF(AND($D402="Serviço",AP$12&lt;&gt;0,$H402&gt;0,OR(AUTOEVENTO&lt;&gt;"manual",$M402&lt;&gt;$A$15)),
        IF(Import.TipoArredondamento&lt;&gt;"TransfereGOV",
              ROUND(OFFSET($P402,0,AP$13),15-13*ORÇAMENTO!$AF$7)/$H402*OFFSET(ORÇAMENTO!$X$15,ROW(AP402)-ROW(AP$15),0),
              ROUND(ROUND(OFFSET($P402,0,AP$13),15-13*ORÇAMENTO!$AF$7)*OFFSET(ORÇAMENTO!$W$15,ROW(AP402)-ROW(AP$15),0),15-13*ORÇAMENTO!$AF$11)),
         0)</f>
        <v>0</v>
      </c>
      <c r="AQ402" s="453">
        <f ca="1">IF(AND($D402="Serviço",AQ$12&lt;&gt;0,$H402&gt;0,OR(AUTOEVENTO&lt;&gt;"manual",$M402&lt;&gt;$A$15)),
        IF(Import.TipoArredondamento&lt;&gt;"TransfereGOV",
              ROUND(OFFSET($P402,0,AQ$13),15-13*ORÇAMENTO!$AF$7)/$H402*OFFSET(ORÇAMENTO!$X$15,ROW(AQ402)-ROW(AQ$15),0),
              ROUND(ROUND(OFFSET($P402,0,AQ$13),15-13*ORÇAMENTO!$AF$7)*OFFSET(ORÇAMENTO!$W$15,ROW(AQ402)-ROW(AQ$15),0),15-13*ORÇAMENTO!$AF$11)),
         0)</f>
        <v>0</v>
      </c>
      <c r="AR402" s="453">
        <f ca="1">IF(AND($D402="Serviço",AR$12&lt;&gt;0,$H402&gt;0,OR(AUTOEVENTO&lt;&gt;"manual",$M402&lt;&gt;$A$15)),
        IF(Import.TipoArredondamento&lt;&gt;"TransfereGOV",
              ROUND(OFFSET($P402,0,AR$13),15-13*ORÇAMENTO!$AF$7)/$H402*OFFSET(ORÇAMENTO!$X$15,ROW(AR402)-ROW(AR$15),0),
              ROUND(ROUND(OFFSET($P402,0,AR$13),15-13*ORÇAMENTO!$AF$7)*OFFSET(ORÇAMENTO!$W$15,ROW(AR402)-ROW(AR$15),0),15-13*ORÇAMENTO!$AF$11)),
         0)</f>
        <v>0</v>
      </c>
      <c r="AS402" s="453">
        <f ca="1">IF(AND($D402="Serviço",AS$12&lt;&gt;0,$H402&gt;0,OR(AUTOEVENTO&lt;&gt;"manual",$M402&lt;&gt;$A$15)),
        IF(Import.TipoArredondamento&lt;&gt;"TransfereGOV",
              ROUND(OFFSET($P402,0,AS$13),15-13*ORÇAMENTO!$AF$7)/$H402*OFFSET(ORÇAMENTO!$X$15,ROW(AS402)-ROW(AS$15),0),
              ROUND(ROUND(OFFSET($P402,0,AS$13),15-13*ORÇAMENTO!$AF$7)*OFFSET(ORÇAMENTO!$W$15,ROW(AS402)-ROW(AS$15),0),15-13*ORÇAMENTO!$AF$11)),
         0)</f>
        <v>0</v>
      </c>
      <c r="AT402" s="453">
        <f ca="1">IF(AND($D402="Serviço",AT$12&lt;&gt;0,$H402&gt;0,OR(AUTOEVENTO&lt;&gt;"manual",$M402&lt;&gt;$A$15)),
        IF(Import.TipoArredondamento&lt;&gt;"TransfereGOV",
              ROUND(OFFSET($P402,0,AT$13),15-13*ORÇAMENTO!$AF$7)/$H402*OFFSET(ORÇAMENTO!$X$15,ROW(AT402)-ROW(AT$15),0),
              ROUND(ROUND(OFFSET($P402,0,AT$13),15-13*ORÇAMENTO!$AF$7)*OFFSET(ORÇAMENTO!$W$15,ROW(AT402)-ROW(AT$15),0),15-13*ORÇAMENTO!$AF$11)),
         0)</f>
        <v>0</v>
      </c>
      <c r="AU402" s="453">
        <f ca="1">IF(AND($D402="Serviço",AU$12&lt;&gt;0,$H402&gt;0,OR(AUTOEVENTO&lt;&gt;"manual",$M402&lt;&gt;$A$15)),
        IF(Import.TipoArredondamento&lt;&gt;"TransfereGOV",
              ROUND(OFFSET($P402,0,AU$13),15-13*ORÇAMENTO!$AF$7)/$H402*OFFSET(ORÇAMENTO!$X$15,ROW(AU402)-ROW(AU$15),0),
              ROUND(ROUND(OFFSET($P402,0,AU$13),15-13*ORÇAMENTO!$AF$7)*OFFSET(ORÇAMENTO!$W$15,ROW(AU402)-ROW(AU$15),0),15-13*ORÇAMENTO!$AF$11)),
         0)</f>
        <v>0</v>
      </c>
      <c r="AV402" s="453">
        <f ca="1">IF(AND($D402="Serviço",AV$12&lt;&gt;0,$H402&gt;0,OR(AUTOEVENTO&lt;&gt;"manual",$M402&lt;&gt;$A$15)),
        IF(Import.TipoArredondamento&lt;&gt;"TransfereGOV",
              ROUND(OFFSET($P402,0,AV$13),15-13*ORÇAMENTO!$AF$7)/$H402*OFFSET(ORÇAMENTO!$X$15,ROW(AV402)-ROW(AV$15),0),
              ROUND(ROUND(OFFSET($P402,0,AV$13),15-13*ORÇAMENTO!$AF$7)*OFFSET(ORÇAMENTO!$W$15,ROW(AV402)-ROW(AV$15),0),15-13*ORÇAMENTO!$AF$11)),
         0)</f>
        <v>0</v>
      </c>
      <c r="AW402" s="453">
        <f ca="1">IF(AND($D402="Serviço",AW$12&lt;&gt;0,$H402&gt;0,OR(AUTOEVENTO&lt;&gt;"manual",$M402&lt;&gt;$A$15)),
        IF(Import.TipoArredondamento&lt;&gt;"TransfereGOV",
              ROUND(OFFSET($P402,0,AW$13),15-13*ORÇAMENTO!$AF$7)/$H402*OFFSET(ORÇAMENTO!$X$15,ROW(AW402)-ROW(AW$15),0),
              ROUND(ROUND(OFFSET($P402,0,AW$13),15-13*ORÇAMENTO!$AF$7)*OFFSET(ORÇAMENTO!$W$15,ROW(AW402)-ROW(AW$15),0),15-13*ORÇAMENTO!$AF$11)),
         0)</f>
        <v>0</v>
      </c>
      <c r="AX402" s="453">
        <f ca="1">IF(AND($D402="Serviço",AX$12&lt;&gt;0,$H402&gt;0,OR(AUTOEVENTO&lt;&gt;"manual",$M402&lt;&gt;$A$15)),
        IF(Import.TipoArredondamento&lt;&gt;"TransfereGOV",
              ROUND(OFFSET($P402,0,AX$13),15-13*ORÇAMENTO!$AF$7)/$H402*OFFSET(ORÇAMENTO!$X$15,ROW(AX402)-ROW(AX$15),0),
              ROUND(ROUND(OFFSET($P402,0,AX$13),15-13*ORÇAMENTO!$AF$7)*OFFSET(ORÇAMENTO!$W$15,ROW(AX402)-ROW(AX$15),0),15-13*ORÇAMENTO!$AF$11)),
         0)</f>
        <v>0</v>
      </c>
      <c r="AY402" s="453">
        <f ca="1">IF(AND($D402="Serviço",AY$12&lt;&gt;0,$H402&gt;0,OR(AUTOEVENTO&lt;&gt;"manual",$M402&lt;&gt;$A$15)),
        IF(Import.TipoArredondamento&lt;&gt;"TransfereGOV",
              ROUND(OFFSET($P402,0,AY$13),15-13*ORÇAMENTO!$AF$7)/$H402*OFFSET(ORÇAMENTO!$X$15,ROW(AY402)-ROW(AY$15),0),
              ROUND(ROUND(OFFSET($P402,0,AY$13),15-13*ORÇAMENTO!$AF$7)*OFFSET(ORÇAMENTO!$W$15,ROW(AY402)-ROW(AY$15),0),15-13*ORÇAMENTO!$AF$11)),
         0)</f>
        <v>0</v>
      </c>
      <c r="AZ402" s="453">
        <f ca="1">IF(AND($D402="Serviço",AZ$12&lt;&gt;0,$H402&gt;0,OR(AUTOEVENTO&lt;&gt;"manual",$M402&lt;&gt;$A$15)),
        IF(Import.TipoArredondamento&lt;&gt;"TransfereGOV",
              ROUND(OFFSET($P402,0,AZ$13),15-13*ORÇAMENTO!$AF$7)/$H402*OFFSET(ORÇAMENTO!$X$15,ROW(AZ402)-ROW(AZ$15),0),
              ROUND(ROUND(OFFSET($P402,0,AZ$13),15-13*ORÇAMENTO!$AF$7)*OFFSET(ORÇAMENTO!$W$15,ROW(AZ402)-ROW(AZ$15),0),15-13*ORÇAMENTO!$AF$11)),
         0)</f>
        <v>0</v>
      </c>
      <c r="BA402" s="453">
        <f ca="1">IF(AND($D402="Serviço",BA$12&lt;&gt;0,$H402&gt;0,OR(AUTOEVENTO&lt;&gt;"manual",$M402&lt;&gt;$A$15)),
        IF(Import.TipoArredondamento&lt;&gt;"TransfereGOV",
              ROUND(OFFSET($P402,0,BA$13),15-13*ORÇAMENTO!$AF$7)/$H402*OFFSET(ORÇAMENTO!$X$15,ROW(BA402)-ROW(BA$15),0),
              ROUND(ROUND(OFFSET($P402,0,BA$13),15-13*ORÇAMENTO!$AF$7)*OFFSET(ORÇAMENTO!$W$15,ROW(BA402)-ROW(BA$15),0),15-13*ORÇAMENTO!$AF$11)),
         0)</f>
        <v>0</v>
      </c>
      <c r="BC402" s="171">
        <f ca="1">IF(OR($D402&lt;&gt;"Serviço",AND(AUTOEVENTO="Manual",$M402=$A$15)),0,
         IF(OFFSET(CRONOPLE!$F$15,$M402-$A$15,BC$13)=0,10^12,OFFSET(CRONOPLE!$F$15,$M402-$A$15,BC$13)))</f>
        <v>1</v>
      </c>
      <c r="BD402" s="171">
        <f ca="1">IF(OR($D402&lt;&gt;"Serviço",AND(AUTOEVENTO="Manual",$M402=$A$15)),0,
         IF(OFFSET(CRONOPLE!$F$15,$M402-$A$15,BD$13)=0,10^12,OFFSET(CRONOPLE!$F$15,$M402-$A$15,BD$13)))</f>
        <v>2</v>
      </c>
      <c r="BE402" s="171">
        <f ca="1">IF(OR($D402&lt;&gt;"Serviço",AND(AUTOEVENTO="Manual",$M402=$A$15)),0,
         IF(OFFSET(CRONOPLE!$F$15,$M402-$A$15,BE$13)=0,10^12,OFFSET(CRONOPLE!$F$15,$M402-$A$15,BE$13)))</f>
        <v>3</v>
      </c>
      <c r="BF402" s="171">
        <f ca="1">IF(OR($D402&lt;&gt;"Serviço",AND(AUTOEVENTO="Manual",$M402=$A$15)),0,
         IF(OFFSET(CRONOPLE!$F$15,$M402-$A$15,BF$13)=0,10^12,OFFSET(CRONOPLE!$F$15,$M402-$A$15,BF$13)))</f>
        <v>4</v>
      </c>
      <c r="BG402" s="171">
        <f ca="1">IF(OR($D402&lt;&gt;"Serviço",AND(AUTOEVENTO="Manual",$M402=$A$15)),0,
         IF(OFFSET(CRONOPLE!$F$15,$M402-$A$15,BG$13)=0,10^12,OFFSET(CRONOPLE!$F$15,$M402-$A$15,BG$13)))</f>
        <v>5</v>
      </c>
      <c r="BH402" s="171">
        <f ca="1">IF(OR($D402&lt;&gt;"Serviço",AND(AUTOEVENTO="Manual",$M402=$A$15)),0,
         IF(OFFSET(CRONOPLE!$F$15,$M402-$A$15,BH$13)=0,10^12,OFFSET(CRONOPLE!$F$15,$M402-$A$15,BH$13)))</f>
        <v>6</v>
      </c>
      <c r="BI402" s="171">
        <f ca="1">IF(OR($D402&lt;&gt;"Serviço",AND(AUTOEVENTO="Manual",$M402=$A$15)),0,
         IF(OFFSET(CRONOPLE!$F$15,$M402-$A$15,BI$13)=0,10^12,OFFSET(CRONOPLE!$F$15,$M402-$A$15,BI$13)))</f>
        <v>7</v>
      </c>
      <c r="BJ402" s="171">
        <f ca="1">IF(OR($D402&lt;&gt;"Serviço",AND(AUTOEVENTO="Manual",$M402=$A$15)),0,
         IF(OFFSET(CRONOPLE!$F$15,$M402-$A$15,BJ$13)=0,10^12,OFFSET(CRONOPLE!$F$15,$M402-$A$15,BJ$13)))</f>
        <v>8</v>
      </c>
      <c r="BK402" s="171">
        <f ca="1">IF(OR($D402&lt;&gt;"Serviço",AND(AUTOEVENTO="Manual",$M402=$A$15)),0,
         IF(OFFSET(CRONOPLE!$F$15,$M402-$A$15,BK$13)=0,10^12,OFFSET(CRONOPLE!$F$15,$M402-$A$15,BK$13)))</f>
        <v>9</v>
      </c>
      <c r="BL402" s="171">
        <f ca="1">IF(OR($D402&lt;&gt;"Serviço",AND(AUTOEVENTO="Manual",$M402=$A$15)),0,
         IF(OFFSET(CRONOPLE!$F$15,$M402-$A$15,BL$13)=0,10^12,OFFSET(CRONOPLE!$F$15,$M402-$A$15,BL$13)))</f>
        <v>1000000000000</v>
      </c>
      <c r="BM402" s="171">
        <f ca="1">IF(OR($D402&lt;&gt;"Serviço",AND(AUTOEVENTO="Manual",$M402=$A$15)),0,
         IF(OFFSET(CRONOPLE!$F$15,$M402-$A$15,BM$13)=0,10^12,OFFSET(CRONOPLE!$F$15,$M402-$A$15,BM$13)))</f>
        <v>1000000000000</v>
      </c>
      <c r="BN402" s="171">
        <f ca="1">IF(OR($D402&lt;&gt;"Serviço",AND(AUTOEVENTO="Manual",$M402=$A$15)),0,
         IF(OFFSET(CRONOPLE!$F$15,$M402-$A$15,BN$13)=0,10^12,OFFSET(CRONOPLE!$F$15,$M402-$A$15,BN$13)))</f>
        <v>1000000000000</v>
      </c>
      <c r="BO402" s="171">
        <f ca="1">IF(OR($D402&lt;&gt;"Serviço",AND(AUTOEVENTO="Manual",$M402=$A$15)),0,
         IF(OFFSET(CRONOPLE!$F$15,$M402-$A$15,BO$13)=0,10^12,OFFSET(CRONOPLE!$F$15,$M402-$A$15,BO$13)))</f>
        <v>1000000000000</v>
      </c>
      <c r="BP402" s="171">
        <f ca="1">IF(OR($D402&lt;&gt;"Serviço",AND(AUTOEVENTO="Manual",$M402=$A$15)),0,
         IF(OFFSET(CRONOPLE!$F$15,$M402-$A$15,BP$13)=0,10^12,OFFSET(CRONOPLE!$F$15,$M402-$A$15,BP$13)))</f>
        <v>1000000000000</v>
      </c>
      <c r="BQ402" s="171">
        <f ca="1">IF(OR($D402&lt;&gt;"Serviço",AND(AUTOEVENTO="Manual",$M402=$A$15)),0,
         IF(OFFSET(CRONOPLE!$F$15,$M402-$A$15,BQ$13)=0,10^12,OFFSET(CRONOPLE!$F$15,$M402-$A$15,BQ$13)))</f>
        <v>1000000000000</v>
      </c>
      <c r="BR402" s="171">
        <f ca="1">IF(OR($D402&lt;&gt;"Serviço",AND(AUTOEVENTO="Manual",$M402=$A$15)),0,
         IF(OFFSET(CRONOPLE!$F$15,$M402-$A$15,BR$13)=0,10^12,OFFSET(CRONOPLE!$F$15,$M402-$A$15,BR$13)))</f>
        <v>1000000000000</v>
      </c>
      <c r="BS402" s="171">
        <f ca="1">IF(OR($D402&lt;&gt;"Serviço",AND(AUTOEVENTO="Manual",$M402=$A$15)),0,
         IF(OFFSET(CRONOPLE!$F$15,$M402-$A$15,BS$13)=0,10^12,OFFSET(CRONOPLE!$F$15,$M402-$A$15,BS$13)))</f>
        <v>1000000000000</v>
      </c>
      <c r="BT402" s="171">
        <f ca="1">IF(OR($D402&lt;&gt;"Serviço",AND(AUTOEVENTO="Manual",$M402=$A$15)),0,
         IF(OFFSET(CRONOPLE!$F$15,$M402-$A$15,BT$13)=0,10^12,OFFSET(CRONOPLE!$F$15,$M402-$A$15,BT$13)))</f>
        <v>1000000000000</v>
      </c>
      <c r="BV402" s="172">
        <f ca="1">IF(OR($D402&lt;&gt;"Serviço",AND(AUTOEVENTO="Manual",$M402=$A$15),$M402&gt;(ROW(PLE.lastrow)-ROW(PLE.firstrow))),0,
           IF(OFFSET(PLE!$G$15,$M402-$A$15,BV$13)="",10^12,OFFSET(PLE!$G$15,$M402-$A$15,BV$13)))</f>
        <v>1000000000000</v>
      </c>
      <c r="BW402" s="172">
        <f ca="1">IF(OR($D402&lt;&gt;"Serviço",AND(AUTOEVENTO="Manual",$M402=$A$15),$M402&gt;(ROW(PLE.lastrow)-ROW(PLE.firstrow))),0,
           IF(OFFSET(PLE!$G$15,$M402-$A$15,BW$13)="",10^12,OFFSET(PLE!$G$15,$M402-$A$15,BW$13)))</f>
        <v>1000000000000</v>
      </c>
      <c r="BX402" s="172">
        <f ca="1">IF(OR($D402&lt;&gt;"Serviço",AND(AUTOEVENTO="Manual",$M402=$A$15),$M402&gt;(ROW(PLE.lastrow)-ROW(PLE.firstrow))),0,
           IF(OFFSET(PLE!$G$15,$M402-$A$15,BX$13)="",10^12,OFFSET(PLE!$G$15,$M402-$A$15,BX$13)))</f>
        <v>1000000000000</v>
      </c>
      <c r="BY402" s="172">
        <f ca="1">IF(OR($D402&lt;&gt;"Serviço",AND(AUTOEVENTO="Manual",$M402=$A$15),$M402&gt;(ROW(PLE.lastrow)-ROW(PLE.firstrow))),0,
           IF(OFFSET(PLE!$G$15,$M402-$A$15,BY$13)="",10^12,OFFSET(PLE!$G$15,$M402-$A$15,BY$13)))</f>
        <v>1000000000000</v>
      </c>
      <c r="BZ402" s="172">
        <f ca="1">IF(OR($D402&lt;&gt;"Serviço",AND(AUTOEVENTO="Manual",$M402=$A$15),$M402&gt;(ROW(PLE.lastrow)-ROW(PLE.firstrow))),0,
           IF(OFFSET(PLE!$G$15,$M402-$A$15,BZ$13)="",10^12,OFFSET(PLE!$G$15,$M402-$A$15,BZ$13)))</f>
        <v>1000000000000</v>
      </c>
      <c r="CA402" s="172">
        <f ca="1">IF(OR($D402&lt;&gt;"Serviço",AND(AUTOEVENTO="Manual",$M402=$A$15),$M402&gt;(ROW(PLE.lastrow)-ROW(PLE.firstrow))),0,
           IF(OFFSET(PLE!$G$15,$M402-$A$15,CA$13)="",10^12,OFFSET(PLE!$G$15,$M402-$A$15,CA$13)))</f>
        <v>1000000000000</v>
      </c>
      <c r="CB402" s="172">
        <f ca="1">IF(OR($D402&lt;&gt;"Serviço",AND(AUTOEVENTO="Manual",$M402=$A$15),$M402&gt;(ROW(PLE.lastrow)-ROW(PLE.firstrow))),0,
           IF(OFFSET(PLE!$G$15,$M402-$A$15,CB$13)="",10^12,OFFSET(PLE!$G$15,$M402-$A$15,CB$13)))</f>
        <v>1000000000000</v>
      </c>
      <c r="CC402" s="172">
        <f ca="1">IF(OR($D402&lt;&gt;"Serviço",AND(AUTOEVENTO="Manual",$M402=$A$15),$M402&gt;(ROW(PLE.lastrow)-ROW(PLE.firstrow))),0,
           IF(OFFSET(PLE!$G$15,$M402-$A$15,CC$13)="",10^12,OFFSET(PLE!$G$15,$M402-$A$15,CC$13)))</f>
        <v>1000000000000</v>
      </c>
      <c r="CD402" s="172">
        <f ca="1">IF(OR($D402&lt;&gt;"Serviço",AND(AUTOEVENTO="Manual",$M402=$A$15),$M402&gt;(ROW(PLE.lastrow)-ROW(PLE.firstrow))),0,
           IF(OFFSET(PLE!$G$15,$M402-$A$15,CD$13)="",10^12,OFFSET(PLE!$G$15,$M402-$A$15,CD$13)))</f>
        <v>1000000000000</v>
      </c>
      <c r="CE402" s="172">
        <f ca="1">IF(OR($D402&lt;&gt;"Serviço",AND(AUTOEVENTO="Manual",$M402=$A$15),$M402&gt;(ROW(PLE.lastrow)-ROW(PLE.firstrow))),0,
           IF(OFFSET(PLE!$G$15,$M402-$A$15,CE$13)="",10^12,OFFSET(PLE!$G$15,$M402-$A$15,CE$13)))</f>
        <v>1000000000000</v>
      </c>
      <c r="CF402" s="172">
        <f ca="1">IF(OR($D402&lt;&gt;"Serviço",AND(AUTOEVENTO="Manual",$M402=$A$15),$M402&gt;(ROW(PLE.lastrow)-ROW(PLE.firstrow))),0,
           IF(OFFSET(PLE!$G$15,$M402-$A$15,CF$13)="",10^12,OFFSET(PLE!$G$15,$M402-$A$15,CF$13)))</f>
        <v>1000000000000</v>
      </c>
      <c r="CG402" s="172">
        <f ca="1">IF(OR($D402&lt;&gt;"Serviço",AND(AUTOEVENTO="Manual",$M402=$A$15),$M402&gt;(ROW(PLE.lastrow)-ROW(PLE.firstrow))),0,
           IF(OFFSET(PLE!$G$15,$M402-$A$15,CG$13)="",10^12,OFFSET(PLE!$G$15,$M402-$A$15,CG$13)))</f>
        <v>1000000000000</v>
      </c>
      <c r="CH402" s="172">
        <f ca="1">IF(OR($D402&lt;&gt;"Serviço",AND(AUTOEVENTO="Manual",$M402=$A$15),$M402&gt;(ROW(PLE.lastrow)-ROW(PLE.firstrow))),0,
           IF(OFFSET(PLE!$G$15,$M402-$A$15,CH$13)="",10^12,OFFSET(PLE!$G$15,$M402-$A$15,CH$13)))</f>
        <v>1000000000000</v>
      </c>
      <c r="CI402" s="172">
        <f ca="1">IF(OR($D402&lt;&gt;"Serviço",AND(AUTOEVENTO="Manual",$M402=$A$15),$M402&gt;(ROW(PLE.lastrow)-ROW(PLE.firstrow))),0,
           IF(OFFSET(PLE!$G$15,$M402-$A$15,CI$13)="",10^12,OFFSET(PLE!$G$15,$M402-$A$15,CI$13)))</f>
        <v>1000000000000</v>
      </c>
      <c r="CJ402" s="172">
        <f ca="1">IF(OR($D402&lt;&gt;"Serviço",AND(AUTOEVENTO="Manual",$M402=$A$15),$M402&gt;(ROW(PLE.lastrow)-ROW(PLE.firstrow))),0,
           IF(OFFSET(PLE!$G$15,$M402-$A$15,CJ$13)="",10^12,OFFSET(PLE!$G$15,$M402-$A$15,CJ$13)))</f>
        <v>1000000000000</v>
      </c>
      <c r="CK402" s="172">
        <f ca="1">IF(OR($D402&lt;&gt;"Serviço",AND(AUTOEVENTO="Manual",$M402=$A$15),$M402&gt;(ROW(PLE.lastrow)-ROW(PLE.firstrow))),0,
           IF(OFFSET(PLE!$G$15,$M402-$A$15,CK$13)="",10^12,OFFSET(PLE!$G$15,$M402-$A$15,CK$13)))</f>
        <v>1000000000000</v>
      </c>
      <c r="CL402" s="172">
        <f ca="1">IF(OR($D402&lt;&gt;"Serviço",AND(AUTOEVENTO="Manual",$M402=$A$15),$M402&gt;(ROW(PLE.lastrow)-ROW(PLE.firstrow))),0,
           IF(OFFSET(PLE!$G$15,$M402-$A$15,CL$13)="",10^12,OFFSET(PLE!$G$15,$M402-$A$15,CL$13)))</f>
        <v>1000000000000</v>
      </c>
      <c r="CM402" s="172">
        <f ca="1">IF(OR($D402&lt;&gt;"Serviço",AND(AUTOEVENTO="Manual",$M402=$A$15),$M402&gt;(ROW(PLE.lastrow)-ROW(PLE.firstrow))),0,
           IF(OFFSET(PLE!$G$15,$M402-$A$15,CM$13)="",10^12,OFFSET(PLE!$G$15,$M402-$A$15,CM$13)))</f>
        <v>1000000000000</v>
      </c>
    </row>
    <row r="403" spans="1:91" ht="38.25" x14ac:dyDescent="0.2">
      <c r="A403" s="7">
        <f t="shared" ca="1" si="16"/>
        <v>7</v>
      </c>
      <c r="B403" s="7" t="str">
        <f ca="1">OFFSET(ORÇAMENTO!C$15,ROW(B403)-ROW(B$15),0)</f>
        <v>S</v>
      </c>
      <c r="C403" s="7" t="str">
        <f ca="1">OFFSET(ORÇAMENTO!L$15,ROW(C403)-ROW(C$15),0)</f>
        <v>F</v>
      </c>
      <c r="D403" s="116" t="str">
        <f ca="1">OFFSET(ORÇAMENTO!N$15,ROW(D403)-ROW(D$15),0)</f>
        <v>Serviço</v>
      </c>
      <c r="E403" s="117" t="str">
        <f ca="1">OFFSET(ORÇAMENTO!O$15,ROW(E403)-ROW(E$15),0)</f>
        <v>1.8.2.3.3.</v>
      </c>
      <c r="F403" s="163" t="str">
        <f ca="1">OFFSET(ORÇAMENTO!R$15,ROW(F403)-ROW(F$15),0)</f>
        <v>CABO DE COBRE FLEXÍVEL ISOLADO, 16 MM², ANTI-CHAMA 450/750 V, PARA CIRCUITOS TERMINAIS - FORNECIMENTO E INSTALAÇÃO. AF_03/2023</v>
      </c>
      <c r="G403" s="164" t="str">
        <f ca="1">IF($D403&lt;&gt;"Serviço","",OFFSET(ORÇAMENTO!S$15,ROW(G403)-ROW(G$15),0))</f>
        <v>M</v>
      </c>
      <c r="H403" s="122" cm="1">
        <f t="array" aca="1" ref="H403" ca="1">IF($D403&lt;&gt;"Serviço",0,IF(ACOMPANHAMENTO="BM",ROUND(OFFSET(ORÇAMENTO!AJ$15,ROW(H403)-ROW(H$15),0),15-13*ORÇAMENTO!$AF$7),SUMPRODUCT(($Q$1:$AI$1=1)*ROUND($Q403:$AI403,15-13*ORÇAMENTO!$AF$7))))</f>
        <v>16</v>
      </c>
      <c r="I403" s="468" t="s">
        <v>1431</v>
      </c>
      <c r="J403" s="640" t="str" cm="1">
        <f t="array" aca="1" ref="J403" ca="1">IF(OR(B403&lt;&gt;"S",CÁLCULO.FrentesPreenchidas=0),"",IF(AND(ACOMPANHAMENTO="PLE",AUTOEVENTO="Manual",OR(H403&gt;0,ORÇAMENTO!AC403="QUANT."),OR(K403="",M403=0,N403="")),"►E",IF(AND(ACOMPANHAMENTO="PLE",ORÇAMENTO!AC403="QUANT."),"►Q",IF(AND(ACOMPANHAMENTO="PLE",H403&lt;&gt;SUMPRODUCT(($Q$1:$AI$1=1)*ROUND(Q403:AI403,15))),"►S",IF(AND(COUNTIF($P$11:$AI$11,"▼")=0,H403&gt;0,I403=""),"◄M","")))))</f>
        <v/>
      </c>
      <c r="K403" s="641" t="s">
        <v>1391</v>
      </c>
      <c r="L403" s="165" t="s">
        <v>764</v>
      </c>
      <c r="M403" s="166">
        <f ca="1">IF($D403&lt;&gt;"Serviço","",
          IF(AUTOEVENTO="manual",$A403,
                IF(ISERROR(MATCH($A403,$A$15:OFFSET($A403,-1,0),0)),MAX($M$15:OFFSET(M403,-1,0))+1,
                      INDEX($M$15:OFFSET(M403,-1,0),MATCH($A403,$A$15:OFFSET($A403,-1,0),0)))))</f>
        <v>7</v>
      </c>
      <c r="N403" s="167" t="str">
        <f ca="1">IF($D403&lt;&gt;"Serviço","",
         IF(AUTOEVENTO="Manual",
                IF($A403=0,"&lt;-- defina o número do agrupador",
                       OFFSET(EVENTOS!$D$15,$A403-$A$15,0)),
                OFFSET($F$15,$A403,0)))</f>
        <v>Instalações Elétricas</v>
      </c>
      <c r="O403" s="168"/>
      <c r="Q403" s="168"/>
      <c r="R403" s="169"/>
      <c r="S403" s="169"/>
      <c r="T403" s="169"/>
      <c r="U403" s="169"/>
      <c r="V403" s="169"/>
      <c r="W403" s="169"/>
      <c r="X403" s="169">
        <v>16</v>
      </c>
      <c r="Y403" s="169"/>
      <c r="Z403" s="170"/>
      <c r="AA403" s="169"/>
      <c r="AB403" s="169"/>
      <c r="AC403" s="169"/>
      <c r="AD403" s="169"/>
      <c r="AE403" s="169"/>
      <c r="AF403" s="169"/>
      <c r="AG403" s="169"/>
      <c r="AH403" s="170"/>
      <c r="AJ403" s="453">
        <f ca="1">IF(AND($D403="Serviço",AJ$12&lt;&gt;0,$H403&gt;0,OR(AUTOEVENTO&lt;&gt;"manual",$M403&lt;&gt;$A$15)),
        IF(Import.TipoArredondamento&lt;&gt;"TransfereGOV",
              ROUND(OFFSET($P403,0,AJ$13),15-13*ORÇAMENTO!$AF$7)/$H403*OFFSET(ORÇAMENTO!$X$15,ROW(AJ403)-ROW(AJ$15),0),
              ROUND(ROUND(OFFSET($P403,0,AJ$13),15-13*ORÇAMENTO!$AF$7)*OFFSET(ORÇAMENTO!$W$15,ROW(AJ403)-ROW(AJ$15),0),15-13*ORÇAMENTO!$AF$11)),
         0)</f>
        <v>0</v>
      </c>
      <c r="AK403" s="453">
        <f ca="1">IF(AND($D403="Serviço",AK$12&lt;&gt;0,$H403&gt;0,OR(AUTOEVENTO&lt;&gt;"manual",$M403&lt;&gt;$A$15)),
        IF(Import.TipoArredondamento&lt;&gt;"TransfereGOV",
              ROUND(OFFSET($P403,0,AK$13),15-13*ORÇAMENTO!$AF$7)/$H403*OFFSET(ORÇAMENTO!$X$15,ROW(AK403)-ROW(AK$15),0),
              ROUND(ROUND(OFFSET($P403,0,AK$13),15-13*ORÇAMENTO!$AF$7)*OFFSET(ORÇAMENTO!$W$15,ROW(AK403)-ROW(AK$15),0),15-13*ORÇAMENTO!$AF$11)),
         0)</f>
        <v>0</v>
      </c>
      <c r="AL403" s="453">
        <f ca="1">IF(AND($D403="Serviço",AL$12&lt;&gt;0,$H403&gt;0,OR(AUTOEVENTO&lt;&gt;"manual",$M403&lt;&gt;$A$15)),
        IF(Import.TipoArredondamento&lt;&gt;"TransfereGOV",
              ROUND(OFFSET($P403,0,AL$13),15-13*ORÇAMENTO!$AF$7)/$H403*OFFSET(ORÇAMENTO!$X$15,ROW(AL403)-ROW(AL$15),0),
              ROUND(ROUND(OFFSET($P403,0,AL$13),15-13*ORÇAMENTO!$AF$7)*OFFSET(ORÇAMENTO!$W$15,ROW(AL403)-ROW(AL$15),0),15-13*ORÇAMENTO!$AF$11)),
         0)</f>
        <v>0</v>
      </c>
      <c r="AM403" s="453">
        <f ca="1">IF(AND($D403="Serviço",AM$12&lt;&gt;0,$H403&gt;0,OR(AUTOEVENTO&lt;&gt;"manual",$M403&lt;&gt;$A$15)),
        IF(Import.TipoArredondamento&lt;&gt;"TransfereGOV",
              ROUND(OFFSET($P403,0,AM$13),15-13*ORÇAMENTO!$AF$7)/$H403*OFFSET(ORÇAMENTO!$X$15,ROW(AM403)-ROW(AM$15),0),
              ROUND(ROUND(OFFSET($P403,0,AM$13),15-13*ORÇAMENTO!$AF$7)*OFFSET(ORÇAMENTO!$W$15,ROW(AM403)-ROW(AM$15),0),15-13*ORÇAMENTO!$AF$11)),
         0)</f>
        <v>0</v>
      </c>
      <c r="AN403" s="453">
        <f ca="1">IF(AND($D403="Serviço",AN$12&lt;&gt;0,$H403&gt;0,OR(AUTOEVENTO&lt;&gt;"manual",$M403&lt;&gt;$A$15)),
        IF(Import.TipoArredondamento&lt;&gt;"TransfereGOV",
              ROUND(OFFSET($P403,0,AN$13),15-13*ORÇAMENTO!$AF$7)/$H403*OFFSET(ORÇAMENTO!$X$15,ROW(AN403)-ROW(AN$15),0),
              ROUND(ROUND(OFFSET($P403,0,AN$13),15-13*ORÇAMENTO!$AF$7)*OFFSET(ORÇAMENTO!$W$15,ROW(AN403)-ROW(AN$15),0),15-13*ORÇAMENTO!$AF$11)),
         0)</f>
        <v>0</v>
      </c>
      <c r="AO403" s="453">
        <f ca="1">IF(AND($D403="Serviço",AO$12&lt;&gt;0,$H403&gt;0,OR(AUTOEVENTO&lt;&gt;"manual",$M403&lt;&gt;$A$15)),
        IF(Import.TipoArredondamento&lt;&gt;"TransfereGOV",
              ROUND(OFFSET($P403,0,AO$13),15-13*ORÇAMENTO!$AF$7)/$H403*OFFSET(ORÇAMENTO!$X$15,ROW(AO403)-ROW(AO$15),0),
              ROUND(ROUND(OFFSET($P403,0,AO$13),15-13*ORÇAMENTO!$AF$7)*OFFSET(ORÇAMENTO!$W$15,ROW(AO403)-ROW(AO$15),0),15-13*ORÇAMENTO!$AF$11)),
         0)</f>
        <v>0</v>
      </c>
      <c r="AP403" s="453">
        <f ca="1">IF(AND($D403="Serviço",AP$12&lt;&gt;0,$H403&gt;0,OR(AUTOEVENTO&lt;&gt;"manual",$M403&lt;&gt;$A$15)),
        IF(Import.TipoArredondamento&lt;&gt;"TransfereGOV",
              ROUND(OFFSET($P403,0,AP$13),15-13*ORÇAMENTO!$AF$7)/$H403*OFFSET(ORÇAMENTO!$X$15,ROW(AP403)-ROW(AP$15),0),
              ROUND(ROUND(OFFSET($P403,0,AP$13),15-13*ORÇAMENTO!$AF$7)*OFFSET(ORÇAMENTO!$W$15,ROW(AP403)-ROW(AP$15),0),15-13*ORÇAMENTO!$AF$11)),
         0)</f>
        <v>0</v>
      </c>
      <c r="AQ403" s="453">
        <f ca="1">IF(AND($D403="Serviço",AQ$12&lt;&gt;0,$H403&gt;0,OR(AUTOEVENTO&lt;&gt;"manual",$M403&lt;&gt;$A$15)),
        IF(Import.TipoArredondamento&lt;&gt;"TransfereGOV",
              ROUND(OFFSET($P403,0,AQ$13),15-13*ORÇAMENTO!$AF$7)/$H403*OFFSET(ORÇAMENTO!$X$15,ROW(AQ403)-ROW(AQ$15),0),
              ROUND(ROUND(OFFSET($P403,0,AQ$13),15-13*ORÇAMENTO!$AF$7)*OFFSET(ORÇAMENTO!$W$15,ROW(AQ403)-ROW(AQ$15),0),15-13*ORÇAMENTO!$AF$11)),
         0)</f>
        <v>0</v>
      </c>
      <c r="AR403" s="453">
        <f ca="1">IF(AND($D403="Serviço",AR$12&lt;&gt;0,$H403&gt;0,OR(AUTOEVENTO&lt;&gt;"manual",$M403&lt;&gt;$A$15)),
        IF(Import.TipoArredondamento&lt;&gt;"TransfereGOV",
              ROUND(OFFSET($P403,0,AR$13),15-13*ORÇAMENTO!$AF$7)/$H403*OFFSET(ORÇAMENTO!$X$15,ROW(AR403)-ROW(AR$15),0),
              ROUND(ROUND(OFFSET($P403,0,AR$13),15-13*ORÇAMENTO!$AF$7)*OFFSET(ORÇAMENTO!$W$15,ROW(AR403)-ROW(AR$15),0),15-13*ORÇAMENTO!$AF$11)),
         0)</f>
        <v>0</v>
      </c>
      <c r="AS403" s="453">
        <f ca="1">IF(AND($D403="Serviço",AS$12&lt;&gt;0,$H403&gt;0,OR(AUTOEVENTO&lt;&gt;"manual",$M403&lt;&gt;$A$15)),
        IF(Import.TipoArredondamento&lt;&gt;"TransfereGOV",
              ROUND(OFFSET($P403,0,AS$13),15-13*ORÇAMENTO!$AF$7)/$H403*OFFSET(ORÇAMENTO!$X$15,ROW(AS403)-ROW(AS$15),0),
              ROUND(ROUND(OFFSET($P403,0,AS$13),15-13*ORÇAMENTO!$AF$7)*OFFSET(ORÇAMENTO!$W$15,ROW(AS403)-ROW(AS$15),0),15-13*ORÇAMENTO!$AF$11)),
         0)</f>
        <v>0</v>
      </c>
      <c r="AT403" s="453">
        <f ca="1">IF(AND($D403="Serviço",AT$12&lt;&gt;0,$H403&gt;0,OR(AUTOEVENTO&lt;&gt;"manual",$M403&lt;&gt;$A$15)),
        IF(Import.TipoArredondamento&lt;&gt;"TransfereGOV",
              ROUND(OFFSET($P403,0,AT$13),15-13*ORÇAMENTO!$AF$7)/$H403*OFFSET(ORÇAMENTO!$X$15,ROW(AT403)-ROW(AT$15),0),
              ROUND(ROUND(OFFSET($P403,0,AT$13),15-13*ORÇAMENTO!$AF$7)*OFFSET(ORÇAMENTO!$W$15,ROW(AT403)-ROW(AT$15),0),15-13*ORÇAMENTO!$AF$11)),
         0)</f>
        <v>0</v>
      </c>
      <c r="AU403" s="453">
        <f ca="1">IF(AND($D403="Serviço",AU$12&lt;&gt;0,$H403&gt;0,OR(AUTOEVENTO&lt;&gt;"manual",$M403&lt;&gt;$A$15)),
        IF(Import.TipoArredondamento&lt;&gt;"TransfereGOV",
              ROUND(OFFSET($P403,0,AU$13),15-13*ORÇAMENTO!$AF$7)/$H403*OFFSET(ORÇAMENTO!$X$15,ROW(AU403)-ROW(AU$15),0),
              ROUND(ROUND(OFFSET($P403,0,AU$13),15-13*ORÇAMENTO!$AF$7)*OFFSET(ORÇAMENTO!$W$15,ROW(AU403)-ROW(AU$15),0),15-13*ORÇAMENTO!$AF$11)),
         0)</f>
        <v>0</v>
      </c>
      <c r="AV403" s="453">
        <f ca="1">IF(AND($D403="Serviço",AV$12&lt;&gt;0,$H403&gt;0,OR(AUTOEVENTO&lt;&gt;"manual",$M403&lt;&gt;$A$15)),
        IF(Import.TipoArredondamento&lt;&gt;"TransfereGOV",
              ROUND(OFFSET($P403,0,AV$13),15-13*ORÇAMENTO!$AF$7)/$H403*OFFSET(ORÇAMENTO!$X$15,ROW(AV403)-ROW(AV$15),0),
              ROUND(ROUND(OFFSET($P403,0,AV$13),15-13*ORÇAMENTO!$AF$7)*OFFSET(ORÇAMENTO!$W$15,ROW(AV403)-ROW(AV$15),0),15-13*ORÇAMENTO!$AF$11)),
         0)</f>
        <v>0</v>
      </c>
      <c r="AW403" s="453">
        <f ca="1">IF(AND($D403="Serviço",AW$12&lt;&gt;0,$H403&gt;0,OR(AUTOEVENTO&lt;&gt;"manual",$M403&lt;&gt;$A$15)),
        IF(Import.TipoArredondamento&lt;&gt;"TransfereGOV",
              ROUND(OFFSET($P403,0,AW$13),15-13*ORÇAMENTO!$AF$7)/$H403*OFFSET(ORÇAMENTO!$X$15,ROW(AW403)-ROW(AW$15),0),
              ROUND(ROUND(OFFSET($P403,0,AW$13),15-13*ORÇAMENTO!$AF$7)*OFFSET(ORÇAMENTO!$W$15,ROW(AW403)-ROW(AW$15),0),15-13*ORÇAMENTO!$AF$11)),
         0)</f>
        <v>0</v>
      </c>
      <c r="AX403" s="453">
        <f ca="1">IF(AND($D403="Serviço",AX$12&lt;&gt;0,$H403&gt;0,OR(AUTOEVENTO&lt;&gt;"manual",$M403&lt;&gt;$A$15)),
        IF(Import.TipoArredondamento&lt;&gt;"TransfereGOV",
              ROUND(OFFSET($P403,0,AX$13),15-13*ORÇAMENTO!$AF$7)/$H403*OFFSET(ORÇAMENTO!$X$15,ROW(AX403)-ROW(AX$15),0),
              ROUND(ROUND(OFFSET($P403,0,AX$13),15-13*ORÇAMENTO!$AF$7)*OFFSET(ORÇAMENTO!$W$15,ROW(AX403)-ROW(AX$15),0),15-13*ORÇAMENTO!$AF$11)),
         0)</f>
        <v>0</v>
      </c>
      <c r="AY403" s="453">
        <f ca="1">IF(AND($D403="Serviço",AY$12&lt;&gt;0,$H403&gt;0,OR(AUTOEVENTO&lt;&gt;"manual",$M403&lt;&gt;$A$15)),
        IF(Import.TipoArredondamento&lt;&gt;"TransfereGOV",
              ROUND(OFFSET($P403,0,AY$13),15-13*ORÇAMENTO!$AF$7)/$H403*OFFSET(ORÇAMENTO!$X$15,ROW(AY403)-ROW(AY$15),0),
              ROUND(ROUND(OFFSET($P403,0,AY$13),15-13*ORÇAMENTO!$AF$7)*OFFSET(ORÇAMENTO!$W$15,ROW(AY403)-ROW(AY$15),0),15-13*ORÇAMENTO!$AF$11)),
         0)</f>
        <v>0</v>
      </c>
      <c r="AZ403" s="453">
        <f ca="1">IF(AND($D403="Serviço",AZ$12&lt;&gt;0,$H403&gt;0,OR(AUTOEVENTO&lt;&gt;"manual",$M403&lt;&gt;$A$15)),
        IF(Import.TipoArredondamento&lt;&gt;"TransfereGOV",
              ROUND(OFFSET($P403,0,AZ$13),15-13*ORÇAMENTO!$AF$7)/$H403*OFFSET(ORÇAMENTO!$X$15,ROW(AZ403)-ROW(AZ$15),0),
              ROUND(ROUND(OFFSET($P403,0,AZ$13),15-13*ORÇAMENTO!$AF$7)*OFFSET(ORÇAMENTO!$W$15,ROW(AZ403)-ROW(AZ$15),0),15-13*ORÇAMENTO!$AF$11)),
         0)</f>
        <v>0</v>
      </c>
      <c r="BA403" s="453">
        <f ca="1">IF(AND($D403="Serviço",BA$12&lt;&gt;0,$H403&gt;0,OR(AUTOEVENTO&lt;&gt;"manual",$M403&lt;&gt;$A$15)),
        IF(Import.TipoArredondamento&lt;&gt;"TransfereGOV",
              ROUND(OFFSET($P403,0,BA$13),15-13*ORÇAMENTO!$AF$7)/$H403*OFFSET(ORÇAMENTO!$X$15,ROW(BA403)-ROW(BA$15),0),
              ROUND(ROUND(OFFSET($P403,0,BA$13),15-13*ORÇAMENTO!$AF$7)*OFFSET(ORÇAMENTO!$W$15,ROW(BA403)-ROW(BA$15),0),15-13*ORÇAMENTO!$AF$11)),
         0)</f>
        <v>0</v>
      </c>
      <c r="BC403" s="171">
        <f ca="1">IF(OR($D403&lt;&gt;"Serviço",AND(AUTOEVENTO="Manual",$M403=$A$15)),0,
         IF(OFFSET(CRONOPLE!$F$15,$M403-$A$15,BC$13)=0,10^12,OFFSET(CRONOPLE!$F$15,$M403-$A$15,BC$13)))</f>
        <v>1</v>
      </c>
      <c r="BD403" s="171">
        <f ca="1">IF(OR($D403&lt;&gt;"Serviço",AND(AUTOEVENTO="Manual",$M403=$A$15)),0,
         IF(OFFSET(CRONOPLE!$F$15,$M403-$A$15,BD$13)=0,10^12,OFFSET(CRONOPLE!$F$15,$M403-$A$15,BD$13)))</f>
        <v>2</v>
      </c>
      <c r="BE403" s="171">
        <f ca="1">IF(OR($D403&lt;&gt;"Serviço",AND(AUTOEVENTO="Manual",$M403=$A$15)),0,
         IF(OFFSET(CRONOPLE!$F$15,$M403-$A$15,BE$13)=0,10^12,OFFSET(CRONOPLE!$F$15,$M403-$A$15,BE$13)))</f>
        <v>3</v>
      </c>
      <c r="BF403" s="171">
        <f ca="1">IF(OR($D403&lt;&gt;"Serviço",AND(AUTOEVENTO="Manual",$M403=$A$15)),0,
         IF(OFFSET(CRONOPLE!$F$15,$M403-$A$15,BF$13)=0,10^12,OFFSET(CRONOPLE!$F$15,$M403-$A$15,BF$13)))</f>
        <v>4</v>
      </c>
      <c r="BG403" s="171">
        <f ca="1">IF(OR($D403&lt;&gt;"Serviço",AND(AUTOEVENTO="Manual",$M403=$A$15)),0,
         IF(OFFSET(CRONOPLE!$F$15,$M403-$A$15,BG$13)=0,10^12,OFFSET(CRONOPLE!$F$15,$M403-$A$15,BG$13)))</f>
        <v>5</v>
      </c>
      <c r="BH403" s="171">
        <f ca="1">IF(OR($D403&lt;&gt;"Serviço",AND(AUTOEVENTO="Manual",$M403=$A$15)),0,
         IF(OFFSET(CRONOPLE!$F$15,$M403-$A$15,BH$13)=0,10^12,OFFSET(CRONOPLE!$F$15,$M403-$A$15,BH$13)))</f>
        <v>6</v>
      </c>
      <c r="BI403" s="171">
        <f ca="1">IF(OR($D403&lt;&gt;"Serviço",AND(AUTOEVENTO="Manual",$M403=$A$15)),0,
         IF(OFFSET(CRONOPLE!$F$15,$M403-$A$15,BI$13)=0,10^12,OFFSET(CRONOPLE!$F$15,$M403-$A$15,BI$13)))</f>
        <v>7</v>
      </c>
      <c r="BJ403" s="171">
        <f ca="1">IF(OR($D403&lt;&gt;"Serviço",AND(AUTOEVENTO="Manual",$M403=$A$15)),0,
         IF(OFFSET(CRONOPLE!$F$15,$M403-$A$15,BJ$13)=0,10^12,OFFSET(CRONOPLE!$F$15,$M403-$A$15,BJ$13)))</f>
        <v>8</v>
      </c>
      <c r="BK403" s="171">
        <f ca="1">IF(OR($D403&lt;&gt;"Serviço",AND(AUTOEVENTO="Manual",$M403=$A$15)),0,
         IF(OFFSET(CRONOPLE!$F$15,$M403-$A$15,BK$13)=0,10^12,OFFSET(CRONOPLE!$F$15,$M403-$A$15,BK$13)))</f>
        <v>9</v>
      </c>
      <c r="BL403" s="171">
        <f ca="1">IF(OR($D403&lt;&gt;"Serviço",AND(AUTOEVENTO="Manual",$M403=$A$15)),0,
         IF(OFFSET(CRONOPLE!$F$15,$M403-$A$15,BL$13)=0,10^12,OFFSET(CRONOPLE!$F$15,$M403-$A$15,BL$13)))</f>
        <v>1000000000000</v>
      </c>
      <c r="BM403" s="171">
        <f ca="1">IF(OR($D403&lt;&gt;"Serviço",AND(AUTOEVENTO="Manual",$M403=$A$15)),0,
         IF(OFFSET(CRONOPLE!$F$15,$M403-$A$15,BM$13)=0,10^12,OFFSET(CRONOPLE!$F$15,$M403-$A$15,BM$13)))</f>
        <v>1000000000000</v>
      </c>
      <c r="BN403" s="171">
        <f ca="1">IF(OR($D403&lt;&gt;"Serviço",AND(AUTOEVENTO="Manual",$M403=$A$15)),0,
         IF(OFFSET(CRONOPLE!$F$15,$M403-$A$15,BN$13)=0,10^12,OFFSET(CRONOPLE!$F$15,$M403-$A$15,BN$13)))</f>
        <v>1000000000000</v>
      </c>
      <c r="BO403" s="171">
        <f ca="1">IF(OR($D403&lt;&gt;"Serviço",AND(AUTOEVENTO="Manual",$M403=$A$15)),0,
         IF(OFFSET(CRONOPLE!$F$15,$M403-$A$15,BO$13)=0,10^12,OFFSET(CRONOPLE!$F$15,$M403-$A$15,BO$13)))</f>
        <v>1000000000000</v>
      </c>
      <c r="BP403" s="171">
        <f ca="1">IF(OR($D403&lt;&gt;"Serviço",AND(AUTOEVENTO="Manual",$M403=$A$15)),0,
         IF(OFFSET(CRONOPLE!$F$15,$M403-$A$15,BP$13)=0,10^12,OFFSET(CRONOPLE!$F$15,$M403-$A$15,BP$13)))</f>
        <v>1000000000000</v>
      </c>
      <c r="BQ403" s="171">
        <f ca="1">IF(OR($D403&lt;&gt;"Serviço",AND(AUTOEVENTO="Manual",$M403=$A$15)),0,
         IF(OFFSET(CRONOPLE!$F$15,$M403-$A$15,BQ$13)=0,10^12,OFFSET(CRONOPLE!$F$15,$M403-$A$15,BQ$13)))</f>
        <v>1000000000000</v>
      </c>
      <c r="BR403" s="171">
        <f ca="1">IF(OR($D403&lt;&gt;"Serviço",AND(AUTOEVENTO="Manual",$M403=$A$15)),0,
         IF(OFFSET(CRONOPLE!$F$15,$M403-$A$15,BR$13)=0,10^12,OFFSET(CRONOPLE!$F$15,$M403-$A$15,BR$13)))</f>
        <v>1000000000000</v>
      </c>
      <c r="BS403" s="171">
        <f ca="1">IF(OR($D403&lt;&gt;"Serviço",AND(AUTOEVENTO="Manual",$M403=$A$15)),0,
         IF(OFFSET(CRONOPLE!$F$15,$M403-$A$15,BS$13)=0,10^12,OFFSET(CRONOPLE!$F$15,$M403-$A$15,BS$13)))</f>
        <v>1000000000000</v>
      </c>
      <c r="BT403" s="171">
        <f ca="1">IF(OR($D403&lt;&gt;"Serviço",AND(AUTOEVENTO="Manual",$M403=$A$15)),0,
         IF(OFFSET(CRONOPLE!$F$15,$M403-$A$15,BT$13)=0,10^12,OFFSET(CRONOPLE!$F$15,$M403-$A$15,BT$13)))</f>
        <v>1000000000000</v>
      </c>
      <c r="BV403" s="172">
        <f ca="1">IF(OR($D403&lt;&gt;"Serviço",AND(AUTOEVENTO="Manual",$M403=$A$15),$M403&gt;(ROW(PLE.lastrow)-ROW(PLE.firstrow))),0,
           IF(OFFSET(PLE!$G$15,$M403-$A$15,BV$13)="",10^12,OFFSET(PLE!$G$15,$M403-$A$15,BV$13)))</f>
        <v>1000000000000</v>
      </c>
      <c r="BW403" s="172">
        <f ca="1">IF(OR($D403&lt;&gt;"Serviço",AND(AUTOEVENTO="Manual",$M403=$A$15),$M403&gt;(ROW(PLE.lastrow)-ROW(PLE.firstrow))),0,
           IF(OFFSET(PLE!$G$15,$M403-$A$15,BW$13)="",10^12,OFFSET(PLE!$G$15,$M403-$A$15,BW$13)))</f>
        <v>1000000000000</v>
      </c>
      <c r="BX403" s="172">
        <f ca="1">IF(OR($D403&lt;&gt;"Serviço",AND(AUTOEVENTO="Manual",$M403=$A$15),$M403&gt;(ROW(PLE.lastrow)-ROW(PLE.firstrow))),0,
           IF(OFFSET(PLE!$G$15,$M403-$A$15,BX$13)="",10^12,OFFSET(PLE!$G$15,$M403-$A$15,BX$13)))</f>
        <v>1000000000000</v>
      </c>
      <c r="BY403" s="172">
        <f ca="1">IF(OR($D403&lt;&gt;"Serviço",AND(AUTOEVENTO="Manual",$M403=$A$15),$M403&gt;(ROW(PLE.lastrow)-ROW(PLE.firstrow))),0,
           IF(OFFSET(PLE!$G$15,$M403-$A$15,BY$13)="",10^12,OFFSET(PLE!$G$15,$M403-$A$15,BY$13)))</f>
        <v>1000000000000</v>
      </c>
      <c r="BZ403" s="172">
        <f ca="1">IF(OR($D403&lt;&gt;"Serviço",AND(AUTOEVENTO="Manual",$M403=$A$15),$M403&gt;(ROW(PLE.lastrow)-ROW(PLE.firstrow))),0,
           IF(OFFSET(PLE!$G$15,$M403-$A$15,BZ$13)="",10^12,OFFSET(PLE!$G$15,$M403-$A$15,BZ$13)))</f>
        <v>1000000000000</v>
      </c>
      <c r="CA403" s="172">
        <f ca="1">IF(OR($D403&lt;&gt;"Serviço",AND(AUTOEVENTO="Manual",$M403=$A$15),$M403&gt;(ROW(PLE.lastrow)-ROW(PLE.firstrow))),0,
           IF(OFFSET(PLE!$G$15,$M403-$A$15,CA$13)="",10^12,OFFSET(PLE!$G$15,$M403-$A$15,CA$13)))</f>
        <v>1000000000000</v>
      </c>
      <c r="CB403" s="172">
        <f ca="1">IF(OR($D403&lt;&gt;"Serviço",AND(AUTOEVENTO="Manual",$M403=$A$15),$M403&gt;(ROW(PLE.lastrow)-ROW(PLE.firstrow))),0,
           IF(OFFSET(PLE!$G$15,$M403-$A$15,CB$13)="",10^12,OFFSET(PLE!$G$15,$M403-$A$15,CB$13)))</f>
        <v>1000000000000</v>
      </c>
      <c r="CC403" s="172">
        <f ca="1">IF(OR($D403&lt;&gt;"Serviço",AND(AUTOEVENTO="Manual",$M403=$A$15),$M403&gt;(ROW(PLE.lastrow)-ROW(PLE.firstrow))),0,
           IF(OFFSET(PLE!$G$15,$M403-$A$15,CC$13)="",10^12,OFFSET(PLE!$G$15,$M403-$A$15,CC$13)))</f>
        <v>1000000000000</v>
      </c>
      <c r="CD403" s="172">
        <f ca="1">IF(OR($D403&lt;&gt;"Serviço",AND(AUTOEVENTO="Manual",$M403=$A$15),$M403&gt;(ROW(PLE.lastrow)-ROW(PLE.firstrow))),0,
           IF(OFFSET(PLE!$G$15,$M403-$A$15,CD$13)="",10^12,OFFSET(PLE!$G$15,$M403-$A$15,CD$13)))</f>
        <v>1000000000000</v>
      </c>
      <c r="CE403" s="172">
        <f ca="1">IF(OR($D403&lt;&gt;"Serviço",AND(AUTOEVENTO="Manual",$M403=$A$15),$M403&gt;(ROW(PLE.lastrow)-ROW(PLE.firstrow))),0,
           IF(OFFSET(PLE!$G$15,$M403-$A$15,CE$13)="",10^12,OFFSET(PLE!$G$15,$M403-$A$15,CE$13)))</f>
        <v>1000000000000</v>
      </c>
      <c r="CF403" s="172">
        <f ca="1">IF(OR($D403&lt;&gt;"Serviço",AND(AUTOEVENTO="Manual",$M403=$A$15),$M403&gt;(ROW(PLE.lastrow)-ROW(PLE.firstrow))),0,
           IF(OFFSET(PLE!$G$15,$M403-$A$15,CF$13)="",10^12,OFFSET(PLE!$G$15,$M403-$A$15,CF$13)))</f>
        <v>1000000000000</v>
      </c>
      <c r="CG403" s="172">
        <f ca="1">IF(OR($D403&lt;&gt;"Serviço",AND(AUTOEVENTO="Manual",$M403=$A$15),$M403&gt;(ROW(PLE.lastrow)-ROW(PLE.firstrow))),0,
           IF(OFFSET(PLE!$G$15,$M403-$A$15,CG$13)="",10^12,OFFSET(PLE!$G$15,$M403-$A$15,CG$13)))</f>
        <v>1000000000000</v>
      </c>
      <c r="CH403" s="172">
        <f ca="1">IF(OR($D403&lt;&gt;"Serviço",AND(AUTOEVENTO="Manual",$M403=$A$15),$M403&gt;(ROW(PLE.lastrow)-ROW(PLE.firstrow))),0,
           IF(OFFSET(PLE!$G$15,$M403-$A$15,CH$13)="",10^12,OFFSET(PLE!$G$15,$M403-$A$15,CH$13)))</f>
        <v>1000000000000</v>
      </c>
      <c r="CI403" s="172">
        <f ca="1">IF(OR($D403&lt;&gt;"Serviço",AND(AUTOEVENTO="Manual",$M403=$A$15),$M403&gt;(ROW(PLE.lastrow)-ROW(PLE.firstrow))),0,
           IF(OFFSET(PLE!$G$15,$M403-$A$15,CI$13)="",10^12,OFFSET(PLE!$G$15,$M403-$A$15,CI$13)))</f>
        <v>1000000000000</v>
      </c>
      <c r="CJ403" s="172">
        <f ca="1">IF(OR($D403&lt;&gt;"Serviço",AND(AUTOEVENTO="Manual",$M403=$A$15),$M403&gt;(ROW(PLE.lastrow)-ROW(PLE.firstrow))),0,
           IF(OFFSET(PLE!$G$15,$M403-$A$15,CJ$13)="",10^12,OFFSET(PLE!$G$15,$M403-$A$15,CJ$13)))</f>
        <v>1000000000000</v>
      </c>
      <c r="CK403" s="172">
        <f ca="1">IF(OR($D403&lt;&gt;"Serviço",AND(AUTOEVENTO="Manual",$M403=$A$15),$M403&gt;(ROW(PLE.lastrow)-ROW(PLE.firstrow))),0,
           IF(OFFSET(PLE!$G$15,$M403-$A$15,CK$13)="",10^12,OFFSET(PLE!$G$15,$M403-$A$15,CK$13)))</f>
        <v>1000000000000</v>
      </c>
      <c r="CL403" s="172">
        <f ca="1">IF(OR($D403&lt;&gt;"Serviço",AND(AUTOEVENTO="Manual",$M403=$A$15),$M403&gt;(ROW(PLE.lastrow)-ROW(PLE.firstrow))),0,
           IF(OFFSET(PLE!$G$15,$M403-$A$15,CL$13)="",10^12,OFFSET(PLE!$G$15,$M403-$A$15,CL$13)))</f>
        <v>1000000000000</v>
      </c>
      <c r="CM403" s="172">
        <f ca="1">IF(OR($D403&lt;&gt;"Serviço",AND(AUTOEVENTO="Manual",$M403=$A$15),$M403&gt;(ROW(PLE.lastrow)-ROW(PLE.firstrow))),0,
           IF(OFFSET(PLE!$G$15,$M403-$A$15,CM$13)="",10^12,OFFSET(PLE!$G$15,$M403-$A$15,CM$13)))</f>
        <v>1000000000000</v>
      </c>
    </row>
    <row r="404" spans="1:91" ht="38.25" x14ac:dyDescent="0.2">
      <c r="A404" s="7">
        <f t="shared" ca="1" si="16"/>
        <v>7</v>
      </c>
      <c r="B404" s="7" t="str">
        <f ca="1">OFFSET(ORÇAMENTO!C$15,ROW(B404)-ROW(B$15),0)</f>
        <v>S</v>
      </c>
      <c r="C404" s="7" t="str">
        <f ca="1">OFFSET(ORÇAMENTO!L$15,ROW(C404)-ROW(C$15),0)</f>
        <v>F</v>
      </c>
      <c r="D404" s="116" t="str">
        <f ca="1">OFFSET(ORÇAMENTO!N$15,ROW(D404)-ROW(D$15),0)</f>
        <v>Serviço</v>
      </c>
      <c r="E404" s="117" t="str">
        <f ca="1">OFFSET(ORÇAMENTO!O$15,ROW(E404)-ROW(E$15),0)</f>
        <v>1.8.2.3.4.</v>
      </c>
      <c r="F404" s="163" t="str">
        <f ca="1">OFFSET(ORÇAMENTO!R$15,ROW(F404)-ROW(F$15),0)</f>
        <v>CABO DE COBRE FLEXÍVEL, CLASSE 5, ISOLAMENTO TIPO LSHF/ATOX, NÃO HALOGENADO, ANTICHAMA, TERMOPLÁSTICO, UNIPOLAR, SEÇÃO 16 MM2, 70°C, 450/750V</v>
      </c>
      <c r="G404" s="164" t="str">
        <f ca="1">IF($D404&lt;&gt;"Serviço","",OFFSET(ORÇAMENTO!S$15,ROW(G404)-ROW(G$15),0))</f>
        <v>M</v>
      </c>
      <c r="H404" s="122" cm="1">
        <f t="array" aca="1" ref="H404" ca="1">IF($D404&lt;&gt;"Serviço",0,IF(ACOMPANHAMENTO="BM",ROUND(OFFSET(ORÇAMENTO!AJ$15,ROW(H404)-ROW(H$15),0),15-13*ORÇAMENTO!$AF$7),SUMPRODUCT(($Q$1:$AI$1=1)*ROUND($Q404:$AI404,15-13*ORÇAMENTO!$AF$7))))</f>
        <v>209</v>
      </c>
      <c r="I404" s="468" t="s">
        <v>1431</v>
      </c>
      <c r="J404" s="640" t="str" cm="1">
        <f t="array" aca="1" ref="J404" ca="1">IF(OR(B404&lt;&gt;"S",CÁLCULO.FrentesPreenchidas=0),"",IF(AND(ACOMPANHAMENTO="PLE",AUTOEVENTO="Manual",OR(H404&gt;0,ORÇAMENTO!AC404="QUANT."),OR(K404="",M404=0,N404="")),"►E",IF(AND(ACOMPANHAMENTO="PLE",ORÇAMENTO!AC404="QUANT."),"►Q",IF(AND(ACOMPANHAMENTO="PLE",H404&lt;&gt;SUMPRODUCT(($Q$1:$AI$1=1)*ROUND(Q404:AI404,15))),"►S",IF(AND(COUNTIF($P$11:$AI$11,"▼")=0,H404&gt;0,I404=""),"◄M","")))))</f>
        <v/>
      </c>
      <c r="K404" s="641" t="s">
        <v>1391</v>
      </c>
      <c r="L404" s="165" t="s">
        <v>764</v>
      </c>
      <c r="M404" s="166">
        <f ca="1">IF($D404&lt;&gt;"Serviço","",
          IF(AUTOEVENTO="manual",$A404,
                IF(ISERROR(MATCH($A404,$A$15:OFFSET($A404,-1,0),0)),MAX($M$15:OFFSET(M404,-1,0))+1,
                      INDEX($M$15:OFFSET(M404,-1,0),MATCH($A404,$A$15:OFFSET($A404,-1,0),0)))))</f>
        <v>7</v>
      </c>
      <c r="N404" s="167" t="str">
        <f ca="1">IF($D404&lt;&gt;"Serviço","",
         IF(AUTOEVENTO="Manual",
                IF($A404=0,"&lt;-- defina o número do agrupador",
                       OFFSET(EVENTOS!$D$15,$A404-$A$15,0)),
                OFFSET($F$15,$A404,0)))</f>
        <v>Instalações Elétricas</v>
      </c>
      <c r="O404" s="168"/>
      <c r="Q404" s="168"/>
      <c r="R404" s="169"/>
      <c r="S404" s="169"/>
      <c r="T404" s="169"/>
      <c r="U404" s="169"/>
      <c r="V404" s="169"/>
      <c r="W404" s="169"/>
      <c r="X404" s="169">
        <v>209</v>
      </c>
      <c r="Y404" s="169"/>
      <c r="Z404" s="170"/>
      <c r="AA404" s="169"/>
      <c r="AB404" s="169"/>
      <c r="AC404" s="169"/>
      <c r="AD404" s="169"/>
      <c r="AE404" s="169"/>
      <c r="AF404" s="169"/>
      <c r="AG404" s="169"/>
      <c r="AH404" s="170"/>
      <c r="AJ404" s="453">
        <f ca="1">IF(AND($D404="Serviço",AJ$12&lt;&gt;0,$H404&gt;0,OR(AUTOEVENTO&lt;&gt;"manual",$M404&lt;&gt;$A$15)),
        IF(Import.TipoArredondamento&lt;&gt;"TransfereGOV",
              ROUND(OFFSET($P404,0,AJ$13),15-13*ORÇAMENTO!$AF$7)/$H404*OFFSET(ORÇAMENTO!$X$15,ROW(AJ404)-ROW(AJ$15),0),
              ROUND(ROUND(OFFSET($P404,0,AJ$13),15-13*ORÇAMENTO!$AF$7)*OFFSET(ORÇAMENTO!$W$15,ROW(AJ404)-ROW(AJ$15),0),15-13*ORÇAMENTO!$AF$11)),
         0)</f>
        <v>0</v>
      </c>
      <c r="AK404" s="453">
        <f ca="1">IF(AND($D404="Serviço",AK$12&lt;&gt;0,$H404&gt;0,OR(AUTOEVENTO&lt;&gt;"manual",$M404&lt;&gt;$A$15)),
        IF(Import.TipoArredondamento&lt;&gt;"TransfereGOV",
              ROUND(OFFSET($P404,0,AK$13),15-13*ORÇAMENTO!$AF$7)/$H404*OFFSET(ORÇAMENTO!$X$15,ROW(AK404)-ROW(AK$15),0),
              ROUND(ROUND(OFFSET($P404,0,AK$13),15-13*ORÇAMENTO!$AF$7)*OFFSET(ORÇAMENTO!$W$15,ROW(AK404)-ROW(AK$15),0),15-13*ORÇAMENTO!$AF$11)),
         0)</f>
        <v>0</v>
      </c>
      <c r="AL404" s="453">
        <f ca="1">IF(AND($D404="Serviço",AL$12&lt;&gt;0,$H404&gt;0,OR(AUTOEVENTO&lt;&gt;"manual",$M404&lt;&gt;$A$15)),
        IF(Import.TipoArredondamento&lt;&gt;"TransfereGOV",
              ROUND(OFFSET($P404,0,AL$13),15-13*ORÇAMENTO!$AF$7)/$H404*OFFSET(ORÇAMENTO!$X$15,ROW(AL404)-ROW(AL$15),0),
              ROUND(ROUND(OFFSET($P404,0,AL$13),15-13*ORÇAMENTO!$AF$7)*OFFSET(ORÇAMENTO!$W$15,ROW(AL404)-ROW(AL$15),0),15-13*ORÇAMENTO!$AF$11)),
         0)</f>
        <v>0</v>
      </c>
      <c r="AM404" s="453">
        <f ca="1">IF(AND($D404="Serviço",AM$12&lt;&gt;0,$H404&gt;0,OR(AUTOEVENTO&lt;&gt;"manual",$M404&lt;&gt;$A$15)),
        IF(Import.TipoArredondamento&lt;&gt;"TransfereGOV",
              ROUND(OFFSET($P404,0,AM$13),15-13*ORÇAMENTO!$AF$7)/$H404*OFFSET(ORÇAMENTO!$X$15,ROW(AM404)-ROW(AM$15),0),
              ROUND(ROUND(OFFSET($P404,0,AM$13),15-13*ORÇAMENTO!$AF$7)*OFFSET(ORÇAMENTO!$W$15,ROW(AM404)-ROW(AM$15),0),15-13*ORÇAMENTO!$AF$11)),
         0)</f>
        <v>0</v>
      </c>
      <c r="AN404" s="453">
        <f ca="1">IF(AND($D404="Serviço",AN$12&lt;&gt;0,$H404&gt;0,OR(AUTOEVENTO&lt;&gt;"manual",$M404&lt;&gt;$A$15)),
        IF(Import.TipoArredondamento&lt;&gt;"TransfereGOV",
              ROUND(OFFSET($P404,0,AN$13),15-13*ORÇAMENTO!$AF$7)/$H404*OFFSET(ORÇAMENTO!$X$15,ROW(AN404)-ROW(AN$15),0),
              ROUND(ROUND(OFFSET($P404,0,AN$13),15-13*ORÇAMENTO!$AF$7)*OFFSET(ORÇAMENTO!$W$15,ROW(AN404)-ROW(AN$15),0),15-13*ORÇAMENTO!$AF$11)),
         0)</f>
        <v>0</v>
      </c>
      <c r="AO404" s="453">
        <f ca="1">IF(AND($D404="Serviço",AO$12&lt;&gt;0,$H404&gt;0,OR(AUTOEVENTO&lt;&gt;"manual",$M404&lt;&gt;$A$15)),
        IF(Import.TipoArredondamento&lt;&gt;"TransfereGOV",
              ROUND(OFFSET($P404,0,AO$13),15-13*ORÇAMENTO!$AF$7)/$H404*OFFSET(ORÇAMENTO!$X$15,ROW(AO404)-ROW(AO$15),0),
              ROUND(ROUND(OFFSET($P404,0,AO$13),15-13*ORÇAMENTO!$AF$7)*OFFSET(ORÇAMENTO!$W$15,ROW(AO404)-ROW(AO$15),0),15-13*ORÇAMENTO!$AF$11)),
         0)</f>
        <v>0</v>
      </c>
      <c r="AP404" s="453">
        <f ca="1">IF(AND($D404="Serviço",AP$12&lt;&gt;0,$H404&gt;0,OR(AUTOEVENTO&lt;&gt;"manual",$M404&lt;&gt;$A$15)),
        IF(Import.TipoArredondamento&lt;&gt;"TransfereGOV",
              ROUND(OFFSET($P404,0,AP$13),15-13*ORÇAMENTO!$AF$7)/$H404*OFFSET(ORÇAMENTO!$X$15,ROW(AP404)-ROW(AP$15),0),
              ROUND(ROUND(OFFSET($P404,0,AP$13),15-13*ORÇAMENTO!$AF$7)*OFFSET(ORÇAMENTO!$W$15,ROW(AP404)-ROW(AP$15),0),15-13*ORÇAMENTO!$AF$11)),
         0)</f>
        <v>0</v>
      </c>
      <c r="AQ404" s="453">
        <f ca="1">IF(AND($D404="Serviço",AQ$12&lt;&gt;0,$H404&gt;0,OR(AUTOEVENTO&lt;&gt;"manual",$M404&lt;&gt;$A$15)),
        IF(Import.TipoArredondamento&lt;&gt;"TransfereGOV",
              ROUND(OFFSET($P404,0,AQ$13),15-13*ORÇAMENTO!$AF$7)/$H404*OFFSET(ORÇAMENTO!$X$15,ROW(AQ404)-ROW(AQ$15),0),
              ROUND(ROUND(OFFSET($P404,0,AQ$13),15-13*ORÇAMENTO!$AF$7)*OFFSET(ORÇAMENTO!$W$15,ROW(AQ404)-ROW(AQ$15),0),15-13*ORÇAMENTO!$AF$11)),
         0)</f>
        <v>0</v>
      </c>
      <c r="AR404" s="453">
        <f ca="1">IF(AND($D404="Serviço",AR$12&lt;&gt;0,$H404&gt;0,OR(AUTOEVENTO&lt;&gt;"manual",$M404&lt;&gt;$A$15)),
        IF(Import.TipoArredondamento&lt;&gt;"TransfereGOV",
              ROUND(OFFSET($P404,0,AR$13),15-13*ORÇAMENTO!$AF$7)/$H404*OFFSET(ORÇAMENTO!$X$15,ROW(AR404)-ROW(AR$15),0),
              ROUND(ROUND(OFFSET($P404,0,AR$13),15-13*ORÇAMENTO!$AF$7)*OFFSET(ORÇAMENTO!$W$15,ROW(AR404)-ROW(AR$15),0),15-13*ORÇAMENTO!$AF$11)),
         0)</f>
        <v>0</v>
      </c>
      <c r="AS404" s="453">
        <f ca="1">IF(AND($D404="Serviço",AS$12&lt;&gt;0,$H404&gt;0,OR(AUTOEVENTO&lt;&gt;"manual",$M404&lt;&gt;$A$15)),
        IF(Import.TipoArredondamento&lt;&gt;"TransfereGOV",
              ROUND(OFFSET($P404,0,AS$13),15-13*ORÇAMENTO!$AF$7)/$H404*OFFSET(ORÇAMENTO!$X$15,ROW(AS404)-ROW(AS$15),0),
              ROUND(ROUND(OFFSET($P404,0,AS$13),15-13*ORÇAMENTO!$AF$7)*OFFSET(ORÇAMENTO!$W$15,ROW(AS404)-ROW(AS$15),0),15-13*ORÇAMENTO!$AF$11)),
         0)</f>
        <v>0</v>
      </c>
      <c r="AT404" s="453">
        <f ca="1">IF(AND($D404="Serviço",AT$12&lt;&gt;0,$H404&gt;0,OR(AUTOEVENTO&lt;&gt;"manual",$M404&lt;&gt;$A$15)),
        IF(Import.TipoArredondamento&lt;&gt;"TransfereGOV",
              ROUND(OFFSET($P404,0,AT$13),15-13*ORÇAMENTO!$AF$7)/$H404*OFFSET(ORÇAMENTO!$X$15,ROW(AT404)-ROW(AT$15),0),
              ROUND(ROUND(OFFSET($P404,0,AT$13),15-13*ORÇAMENTO!$AF$7)*OFFSET(ORÇAMENTO!$W$15,ROW(AT404)-ROW(AT$15),0),15-13*ORÇAMENTO!$AF$11)),
         0)</f>
        <v>0</v>
      </c>
      <c r="AU404" s="453">
        <f ca="1">IF(AND($D404="Serviço",AU$12&lt;&gt;0,$H404&gt;0,OR(AUTOEVENTO&lt;&gt;"manual",$M404&lt;&gt;$A$15)),
        IF(Import.TipoArredondamento&lt;&gt;"TransfereGOV",
              ROUND(OFFSET($P404,0,AU$13),15-13*ORÇAMENTO!$AF$7)/$H404*OFFSET(ORÇAMENTO!$X$15,ROW(AU404)-ROW(AU$15),0),
              ROUND(ROUND(OFFSET($P404,0,AU$13),15-13*ORÇAMENTO!$AF$7)*OFFSET(ORÇAMENTO!$W$15,ROW(AU404)-ROW(AU$15),0),15-13*ORÇAMENTO!$AF$11)),
         0)</f>
        <v>0</v>
      </c>
      <c r="AV404" s="453">
        <f ca="1">IF(AND($D404="Serviço",AV$12&lt;&gt;0,$H404&gt;0,OR(AUTOEVENTO&lt;&gt;"manual",$M404&lt;&gt;$A$15)),
        IF(Import.TipoArredondamento&lt;&gt;"TransfereGOV",
              ROUND(OFFSET($P404,0,AV$13),15-13*ORÇAMENTO!$AF$7)/$H404*OFFSET(ORÇAMENTO!$X$15,ROW(AV404)-ROW(AV$15),0),
              ROUND(ROUND(OFFSET($P404,0,AV$13),15-13*ORÇAMENTO!$AF$7)*OFFSET(ORÇAMENTO!$W$15,ROW(AV404)-ROW(AV$15),0),15-13*ORÇAMENTO!$AF$11)),
         0)</f>
        <v>0</v>
      </c>
      <c r="AW404" s="453">
        <f ca="1">IF(AND($D404="Serviço",AW$12&lt;&gt;0,$H404&gt;0,OR(AUTOEVENTO&lt;&gt;"manual",$M404&lt;&gt;$A$15)),
        IF(Import.TipoArredondamento&lt;&gt;"TransfereGOV",
              ROUND(OFFSET($P404,0,AW$13),15-13*ORÇAMENTO!$AF$7)/$H404*OFFSET(ORÇAMENTO!$X$15,ROW(AW404)-ROW(AW$15),0),
              ROUND(ROUND(OFFSET($P404,0,AW$13),15-13*ORÇAMENTO!$AF$7)*OFFSET(ORÇAMENTO!$W$15,ROW(AW404)-ROW(AW$15),0),15-13*ORÇAMENTO!$AF$11)),
         0)</f>
        <v>0</v>
      </c>
      <c r="AX404" s="453">
        <f ca="1">IF(AND($D404="Serviço",AX$12&lt;&gt;0,$H404&gt;0,OR(AUTOEVENTO&lt;&gt;"manual",$M404&lt;&gt;$A$15)),
        IF(Import.TipoArredondamento&lt;&gt;"TransfereGOV",
              ROUND(OFFSET($P404,0,AX$13),15-13*ORÇAMENTO!$AF$7)/$H404*OFFSET(ORÇAMENTO!$X$15,ROW(AX404)-ROW(AX$15),0),
              ROUND(ROUND(OFFSET($P404,0,AX$13),15-13*ORÇAMENTO!$AF$7)*OFFSET(ORÇAMENTO!$W$15,ROW(AX404)-ROW(AX$15),0),15-13*ORÇAMENTO!$AF$11)),
         0)</f>
        <v>0</v>
      </c>
      <c r="AY404" s="453">
        <f ca="1">IF(AND($D404="Serviço",AY$12&lt;&gt;0,$H404&gt;0,OR(AUTOEVENTO&lt;&gt;"manual",$M404&lt;&gt;$A$15)),
        IF(Import.TipoArredondamento&lt;&gt;"TransfereGOV",
              ROUND(OFFSET($P404,0,AY$13),15-13*ORÇAMENTO!$AF$7)/$H404*OFFSET(ORÇAMENTO!$X$15,ROW(AY404)-ROW(AY$15),0),
              ROUND(ROUND(OFFSET($P404,0,AY$13),15-13*ORÇAMENTO!$AF$7)*OFFSET(ORÇAMENTO!$W$15,ROW(AY404)-ROW(AY$15),0),15-13*ORÇAMENTO!$AF$11)),
         0)</f>
        <v>0</v>
      </c>
      <c r="AZ404" s="453">
        <f ca="1">IF(AND($D404="Serviço",AZ$12&lt;&gt;0,$H404&gt;0,OR(AUTOEVENTO&lt;&gt;"manual",$M404&lt;&gt;$A$15)),
        IF(Import.TipoArredondamento&lt;&gt;"TransfereGOV",
              ROUND(OFFSET($P404,0,AZ$13),15-13*ORÇAMENTO!$AF$7)/$H404*OFFSET(ORÇAMENTO!$X$15,ROW(AZ404)-ROW(AZ$15),0),
              ROUND(ROUND(OFFSET($P404,0,AZ$13),15-13*ORÇAMENTO!$AF$7)*OFFSET(ORÇAMENTO!$W$15,ROW(AZ404)-ROW(AZ$15),0),15-13*ORÇAMENTO!$AF$11)),
         0)</f>
        <v>0</v>
      </c>
      <c r="BA404" s="453">
        <f ca="1">IF(AND($D404="Serviço",BA$12&lt;&gt;0,$H404&gt;0,OR(AUTOEVENTO&lt;&gt;"manual",$M404&lt;&gt;$A$15)),
        IF(Import.TipoArredondamento&lt;&gt;"TransfereGOV",
              ROUND(OFFSET($P404,0,BA$13),15-13*ORÇAMENTO!$AF$7)/$H404*OFFSET(ORÇAMENTO!$X$15,ROW(BA404)-ROW(BA$15),0),
              ROUND(ROUND(OFFSET($P404,0,BA$13),15-13*ORÇAMENTO!$AF$7)*OFFSET(ORÇAMENTO!$W$15,ROW(BA404)-ROW(BA$15),0),15-13*ORÇAMENTO!$AF$11)),
         0)</f>
        <v>0</v>
      </c>
      <c r="BC404" s="171">
        <f ca="1">IF(OR($D404&lt;&gt;"Serviço",AND(AUTOEVENTO="Manual",$M404=$A$15)),0,
         IF(OFFSET(CRONOPLE!$F$15,$M404-$A$15,BC$13)=0,10^12,OFFSET(CRONOPLE!$F$15,$M404-$A$15,BC$13)))</f>
        <v>1</v>
      </c>
      <c r="BD404" s="171">
        <f ca="1">IF(OR($D404&lt;&gt;"Serviço",AND(AUTOEVENTO="Manual",$M404=$A$15)),0,
         IF(OFFSET(CRONOPLE!$F$15,$M404-$A$15,BD$13)=0,10^12,OFFSET(CRONOPLE!$F$15,$M404-$A$15,BD$13)))</f>
        <v>2</v>
      </c>
      <c r="BE404" s="171">
        <f ca="1">IF(OR($D404&lt;&gt;"Serviço",AND(AUTOEVENTO="Manual",$M404=$A$15)),0,
         IF(OFFSET(CRONOPLE!$F$15,$M404-$A$15,BE$13)=0,10^12,OFFSET(CRONOPLE!$F$15,$M404-$A$15,BE$13)))</f>
        <v>3</v>
      </c>
      <c r="BF404" s="171">
        <f ca="1">IF(OR($D404&lt;&gt;"Serviço",AND(AUTOEVENTO="Manual",$M404=$A$15)),0,
         IF(OFFSET(CRONOPLE!$F$15,$M404-$A$15,BF$13)=0,10^12,OFFSET(CRONOPLE!$F$15,$M404-$A$15,BF$13)))</f>
        <v>4</v>
      </c>
      <c r="BG404" s="171">
        <f ca="1">IF(OR($D404&lt;&gt;"Serviço",AND(AUTOEVENTO="Manual",$M404=$A$15)),0,
         IF(OFFSET(CRONOPLE!$F$15,$M404-$A$15,BG$13)=0,10^12,OFFSET(CRONOPLE!$F$15,$M404-$A$15,BG$13)))</f>
        <v>5</v>
      </c>
      <c r="BH404" s="171">
        <f ca="1">IF(OR($D404&lt;&gt;"Serviço",AND(AUTOEVENTO="Manual",$M404=$A$15)),0,
         IF(OFFSET(CRONOPLE!$F$15,$M404-$A$15,BH$13)=0,10^12,OFFSET(CRONOPLE!$F$15,$M404-$A$15,BH$13)))</f>
        <v>6</v>
      </c>
      <c r="BI404" s="171">
        <f ca="1">IF(OR($D404&lt;&gt;"Serviço",AND(AUTOEVENTO="Manual",$M404=$A$15)),0,
         IF(OFFSET(CRONOPLE!$F$15,$M404-$A$15,BI$13)=0,10^12,OFFSET(CRONOPLE!$F$15,$M404-$A$15,BI$13)))</f>
        <v>7</v>
      </c>
      <c r="BJ404" s="171">
        <f ca="1">IF(OR($D404&lt;&gt;"Serviço",AND(AUTOEVENTO="Manual",$M404=$A$15)),0,
         IF(OFFSET(CRONOPLE!$F$15,$M404-$A$15,BJ$13)=0,10^12,OFFSET(CRONOPLE!$F$15,$M404-$A$15,BJ$13)))</f>
        <v>8</v>
      </c>
      <c r="BK404" s="171">
        <f ca="1">IF(OR($D404&lt;&gt;"Serviço",AND(AUTOEVENTO="Manual",$M404=$A$15)),0,
         IF(OFFSET(CRONOPLE!$F$15,$M404-$A$15,BK$13)=0,10^12,OFFSET(CRONOPLE!$F$15,$M404-$A$15,BK$13)))</f>
        <v>9</v>
      </c>
      <c r="BL404" s="171">
        <f ca="1">IF(OR($D404&lt;&gt;"Serviço",AND(AUTOEVENTO="Manual",$M404=$A$15)),0,
         IF(OFFSET(CRONOPLE!$F$15,$M404-$A$15,BL$13)=0,10^12,OFFSET(CRONOPLE!$F$15,$M404-$A$15,BL$13)))</f>
        <v>1000000000000</v>
      </c>
      <c r="BM404" s="171">
        <f ca="1">IF(OR($D404&lt;&gt;"Serviço",AND(AUTOEVENTO="Manual",$M404=$A$15)),0,
         IF(OFFSET(CRONOPLE!$F$15,$M404-$A$15,BM$13)=0,10^12,OFFSET(CRONOPLE!$F$15,$M404-$A$15,BM$13)))</f>
        <v>1000000000000</v>
      </c>
      <c r="BN404" s="171">
        <f ca="1">IF(OR($D404&lt;&gt;"Serviço",AND(AUTOEVENTO="Manual",$M404=$A$15)),0,
         IF(OFFSET(CRONOPLE!$F$15,$M404-$A$15,BN$13)=0,10^12,OFFSET(CRONOPLE!$F$15,$M404-$A$15,BN$13)))</f>
        <v>1000000000000</v>
      </c>
      <c r="BO404" s="171">
        <f ca="1">IF(OR($D404&lt;&gt;"Serviço",AND(AUTOEVENTO="Manual",$M404=$A$15)),0,
         IF(OFFSET(CRONOPLE!$F$15,$M404-$A$15,BO$13)=0,10^12,OFFSET(CRONOPLE!$F$15,$M404-$A$15,BO$13)))</f>
        <v>1000000000000</v>
      </c>
      <c r="BP404" s="171">
        <f ca="1">IF(OR($D404&lt;&gt;"Serviço",AND(AUTOEVENTO="Manual",$M404=$A$15)),0,
         IF(OFFSET(CRONOPLE!$F$15,$M404-$A$15,BP$13)=0,10^12,OFFSET(CRONOPLE!$F$15,$M404-$A$15,BP$13)))</f>
        <v>1000000000000</v>
      </c>
      <c r="BQ404" s="171">
        <f ca="1">IF(OR($D404&lt;&gt;"Serviço",AND(AUTOEVENTO="Manual",$M404=$A$15)),0,
         IF(OFFSET(CRONOPLE!$F$15,$M404-$A$15,BQ$13)=0,10^12,OFFSET(CRONOPLE!$F$15,$M404-$A$15,BQ$13)))</f>
        <v>1000000000000</v>
      </c>
      <c r="BR404" s="171">
        <f ca="1">IF(OR($D404&lt;&gt;"Serviço",AND(AUTOEVENTO="Manual",$M404=$A$15)),0,
         IF(OFFSET(CRONOPLE!$F$15,$M404-$A$15,BR$13)=0,10^12,OFFSET(CRONOPLE!$F$15,$M404-$A$15,BR$13)))</f>
        <v>1000000000000</v>
      </c>
      <c r="BS404" s="171">
        <f ca="1">IF(OR($D404&lt;&gt;"Serviço",AND(AUTOEVENTO="Manual",$M404=$A$15)),0,
         IF(OFFSET(CRONOPLE!$F$15,$M404-$A$15,BS$13)=0,10^12,OFFSET(CRONOPLE!$F$15,$M404-$A$15,BS$13)))</f>
        <v>1000000000000</v>
      </c>
      <c r="BT404" s="171">
        <f ca="1">IF(OR($D404&lt;&gt;"Serviço",AND(AUTOEVENTO="Manual",$M404=$A$15)),0,
         IF(OFFSET(CRONOPLE!$F$15,$M404-$A$15,BT$13)=0,10^12,OFFSET(CRONOPLE!$F$15,$M404-$A$15,BT$13)))</f>
        <v>1000000000000</v>
      </c>
      <c r="BV404" s="172">
        <f ca="1">IF(OR($D404&lt;&gt;"Serviço",AND(AUTOEVENTO="Manual",$M404=$A$15),$M404&gt;(ROW(PLE.lastrow)-ROW(PLE.firstrow))),0,
           IF(OFFSET(PLE!$G$15,$M404-$A$15,BV$13)="",10^12,OFFSET(PLE!$G$15,$M404-$A$15,BV$13)))</f>
        <v>1000000000000</v>
      </c>
      <c r="BW404" s="172">
        <f ca="1">IF(OR($D404&lt;&gt;"Serviço",AND(AUTOEVENTO="Manual",$M404=$A$15),$M404&gt;(ROW(PLE.lastrow)-ROW(PLE.firstrow))),0,
           IF(OFFSET(PLE!$G$15,$M404-$A$15,BW$13)="",10^12,OFFSET(PLE!$G$15,$M404-$A$15,BW$13)))</f>
        <v>1000000000000</v>
      </c>
      <c r="BX404" s="172">
        <f ca="1">IF(OR($D404&lt;&gt;"Serviço",AND(AUTOEVENTO="Manual",$M404=$A$15),$M404&gt;(ROW(PLE.lastrow)-ROW(PLE.firstrow))),0,
           IF(OFFSET(PLE!$G$15,$M404-$A$15,BX$13)="",10^12,OFFSET(PLE!$G$15,$M404-$A$15,BX$13)))</f>
        <v>1000000000000</v>
      </c>
      <c r="BY404" s="172">
        <f ca="1">IF(OR($D404&lt;&gt;"Serviço",AND(AUTOEVENTO="Manual",$M404=$A$15),$M404&gt;(ROW(PLE.lastrow)-ROW(PLE.firstrow))),0,
           IF(OFFSET(PLE!$G$15,$M404-$A$15,BY$13)="",10^12,OFFSET(PLE!$G$15,$M404-$A$15,BY$13)))</f>
        <v>1000000000000</v>
      </c>
      <c r="BZ404" s="172">
        <f ca="1">IF(OR($D404&lt;&gt;"Serviço",AND(AUTOEVENTO="Manual",$M404=$A$15),$M404&gt;(ROW(PLE.lastrow)-ROW(PLE.firstrow))),0,
           IF(OFFSET(PLE!$G$15,$M404-$A$15,BZ$13)="",10^12,OFFSET(PLE!$G$15,$M404-$A$15,BZ$13)))</f>
        <v>1000000000000</v>
      </c>
      <c r="CA404" s="172">
        <f ca="1">IF(OR($D404&lt;&gt;"Serviço",AND(AUTOEVENTO="Manual",$M404=$A$15),$M404&gt;(ROW(PLE.lastrow)-ROW(PLE.firstrow))),0,
           IF(OFFSET(PLE!$G$15,$M404-$A$15,CA$13)="",10^12,OFFSET(PLE!$G$15,$M404-$A$15,CA$13)))</f>
        <v>1000000000000</v>
      </c>
      <c r="CB404" s="172">
        <f ca="1">IF(OR($D404&lt;&gt;"Serviço",AND(AUTOEVENTO="Manual",$M404=$A$15),$M404&gt;(ROW(PLE.lastrow)-ROW(PLE.firstrow))),0,
           IF(OFFSET(PLE!$G$15,$M404-$A$15,CB$13)="",10^12,OFFSET(PLE!$G$15,$M404-$A$15,CB$13)))</f>
        <v>1000000000000</v>
      </c>
      <c r="CC404" s="172">
        <f ca="1">IF(OR($D404&lt;&gt;"Serviço",AND(AUTOEVENTO="Manual",$M404=$A$15),$M404&gt;(ROW(PLE.lastrow)-ROW(PLE.firstrow))),0,
           IF(OFFSET(PLE!$G$15,$M404-$A$15,CC$13)="",10^12,OFFSET(PLE!$G$15,$M404-$A$15,CC$13)))</f>
        <v>1000000000000</v>
      </c>
      <c r="CD404" s="172">
        <f ca="1">IF(OR($D404&lt;&gt;"Serviço",AND(AUTOEVENTO="Manual",$M404=$A$15),$M404&gt;(ROW(PLE.lastrow)-ROW(PLE.firstrow))),0,
           IF(OFFSET(PLE!$G$15,$M404-$A$15,CD$13)="",10^12,OFFSET(PLE!$G$15,$M404-$A$15,CD$13)))</f>
        <v>1000000000000</v>
      </c>
      <c r="CE404" s="172">
        <f ca="1">IF(OR($D404&lt;&gt;"Serviço",AND(AUTOEVENTO="Manual",$M404=$A$15),$M404&gt;(ROW(PLE.lastrow)-ROW(PLE.firstrow))),0,
           IF(OFFSET(PLE!$G$15,$M404-$A$15,CE$13)="",10^12,OFFSET(PLE!$G$15,$M404-$A$15,CE$13)))</f>
        <v>1000000000000</v>
      </c>
      <c r="CF404" s="172">
        <f ca="1">IF(OR($D404&lt;&gt;"Serviço",AND(AUTOEVENTO="Manual",$M404=$A$15),$M404&gt;(ROW(PLE.lastrow)-ROW(PLE.firstrow))),0,
           IF(OFFSET(PLE!$G$15,$M404-$A$15,CF$13)="",10^12,OFFSET(PLE!$G$15,$M404-$A$15,CF$13)))</f>
        <v>1000000000000</v>
      </c>
      <c r="CG404" s="172">
        <f ca="1">IF(OR($D404&lt;&gt;"Serviço",AND(AUTOEVENTO="Manual",$M404=$A$15),$M404&gt;(ROW(PLE.lastrow)-ROW(PLE.firstrow))),0,
           IF(OFFSET(PLE!$G$15,$M404-$A$15,CG$13)="",10^12,OFFSET(PLE!$G$15,$M404-$A$15,CG$13)))</f>
        <v>1000000000000</v>
      </c>
      <c r="CH404" s="172">
        <f ca="1">IF(OR($D404&lt;&gt;"Serviço",AND(AUTOEVENTO="Manual",$M404=$A$15),$M404&gt;(ROW(PLE.lastrow)-ROW(PLE.firstrow))),0,
           IF(OFFSET(PLE!$G$15,$M404-$A$15,CH$13)="",10^12,OFFSET(PLE!$G$15,$M404-$A$15,CH$13)))</f>
        <v>1000000000000</v>
      </c>
      <c r="CI404" s="172">
        <f ca="1">IF(OR($D404&lt;&gt;"Serviço",AND(AUTOEVENTO="Manual",$M404=$A$15),$M404&gt;(ROW(PLE.lastrow)-ROW(PLE.firstrow))),0,
           IF(OFFSET(PLE!$G$15,$M404-$A$15,CI$13)="",10^12,OFFSET(PLE!$G$15,$M404-$A$15,CI$13)))</f>
        <v>1000000000000</v>
      </c>
      <c r="CJ404" s="172">
        <f ca="1">IF(OR($D404&lt;&gt;"Serviço",AND(AUTOEVENTO="Manual",$M404=$A$15),$M404&gt;(ROW(PLE.lastrow)-ROW(PLE.firstrow))),0,
           IF(OFFSET(PLE!$G$15,$M404-$A$15,CJ$13)="",10^12,OFFSET(PLE!$G$15,$M404-$A$15,CJ$13)))</f>
        <v>1000000000000</v>
      </c>
      <c r="CK404" s="172">
        <f ca="1">IF(OR($D404&lt;&gt;"Serviço",AND(AUTOEVENTO="Manual",$M404=$A$15),$M404&gt;(ROW(PLE.lastrow)-ROW(PLE.firstrow))),0,
           IF(OFFSET(PLE!$G$15,$M404-$A$15,CK$13)="",10^12,OFFSET(PLE!$G$15,$M404-$A$15,CK$13)))</f>
        <v>1000000000000</v>
      </c>
      <c r="CL404" s="172">
        <f ca="1">IF(OR($D404&lt;&gt;"Serviço",AND(AUTOEVENTO="Manual",$M404=$A$15),$M404&gt;(ROW(PLE.lastrow)-ROW(PLE.firstrow))),0,
           IF(OFFSET(PLE!$G$15,$M404-$A$15,CL$13)="",10^12,OFFSET(PLE!$G$15,$M404-$A$15,CL$13)))</f>
        <v>1000000000000</v>
      </c>
      <c r="CM404" s="172">
        <f ca="1">IF(OR($D404&lt;&gt;"Serviço",AND(AUTOEVENTO="Manual",$M404=$A$15),$M404&gt;(ROW(PLE.lastrow)-ROW(PLE.firstrow))),0,
           IF(OFFSET(PLE!$G$15,$M404-$A$15,CM$13)="",10^12,OFFSET(PLE!$G$15,$M404-$A$15,CM$13)))</f>
        <v>1000000000000</v>
      </c>
    </row>
    <row r="405" spans="1:91" ht="38.25" x14ac:dyDescent="0.2">
      <c r="A405" s="7">
        <f t="shared" ca="1" si="16"/>
        <v>7</v>
      </c>
      <c r="B405" s="7" t="str">
        <f ca="1">OFFSET(ORÇAMENTO!C$15,ROW(B405)-ROW(B$15),0)</f>
        <v>S</v>
      </c>
      <c r="C405" s="7" t="str">
        <f ca="1">OFFSET(ORÇAMENTO!L$15,ROW(C405)-ROW(C$15),0)</f>
        <v>F</v>
      </c>
      <c r="D405" s="116" t="str">
        <f ca="1">OFFSET(ORÇAMENTO!N$15,ROW(D405)-ROW(D$15),0)</f>
        <v>Serviço</v>
      </c>
      <c r="E405" s="117" t="str">
        <f ca="1">OFFSET(ORÇAMENTO!O$15,ROW(E405)-ROW(E$15),0)</f>
        <v>1.8.2.3.5.</v>
      </c>
      <c r="F405" s="163" t="str">
        <f ca="1">OFFSET(ORÇAMENTO!R$15,ROW(F405)-ROW(F$15),0)</f>
        <v>CABO DE COBRE FLEXÍVEL, CLASSE 5, ISOLAMENTO TIPO EPR/HEPR, NÃO HALOGENADO, ANTICHAMA, TERMOFIXO, UNIPOLAR, SEÇÃO 25 MM2, 90°C, 0,6/1KV</v>
      </c>
      <c r="G405" s="164" t="str">
        <f ca="1">IF($D405&lt;&gt;"Serviço","",OFFSET(ORÇAMENTO!S$15,ROW(G405)-ROW(G$15),0))</f>
        <v>M</v>
      </c>
      <c r="H405" s="122" cm="1">
        <f t="array" aca="1" ref="H405" ca="1">IF($D405&lt;&gt;"Serviço",0,IF(ACOMPANHAMENTO="BM",ROUND(OFFSET(ORÇAMENTO!AJ$15,ROW(H405)-ROW(H$15),0),15-13*ORÇAMENTO!$AF$7),SUMPRODUCT(($Q$1:$AI$1=1)*ROUND($Q405:$AI405,15-13*ORÇAMENTO!$AF$7))))</f>
        <v>637</v>
      </c>
      <c r="I405" s="468" t="s">
        <v>1431</v>
      </c>
      <c r="J405" s="640" t="str" cm="1">
        <f t="array" aca="1" ref="J405" ca="1">IF(OR(B405&lt;&gt;"S",CÁLCULO.FrentesPreenchidas=0),"",IF(AND(ACOMPANHAMENTO="PLE",AUTOEVENTO="Manual",OR(H405&gt;0,ORÇAMENTO!AC405="QUANT."),OR(K405="",M405=0,N405="")),"►E",IF(AND(ACOMPANHAMENTO="PLE",ORÇAMENTO!AC405="QUANT."),"►Q",IF(AND(ACOMPANHAMENTO="PLE",H405&lt;&gt;SUMPRODUCT(($Q$1:$AI$1=1)*ROUND(Q405:AI405,15))),"►S",IF(AND(COUNTIF($P$11:$AI$11,"▼")=0,H405&gt;0,I405=""),"◄M","")))))</f>
        <v/>
      </c>
      <c r="K405" s="641" t="s">
        <v>1391</v>
      </c>
      <c r="L405" s="165" t="s">
        <v>764</v>
      </c>
      <c r="M405" s="166">
        <f ca="1">IF($D405&lt;&gt;"Serviço","",
          IF(AUTOEVENTO="manual",$A405,
                IF(ISERROR(MATCH($A405,$A$15:OFFSET($A405,-1,0),0)),MAX($M$15:OFFSET(M405,-1,0))+1,
                      INDEX($M$15:OFFSET(M405,-1,0),MATCH($A405,$A$15:OFFSET($A405,-1,0),0)))))</f>
        <v>7</v>
      </c>
      <c r="N405" s="167" t="str">
        <f ca="1">IF($D405&lt;&gt;"Serviço","",
         IF(AUTOEVENTO="Manual",
                IF($A405=0,"&lt;-- defina o número do agrupador",
                       OFFSET(EVENTOS!$D$15,$A405-$A$15,0)),
                OFFSET($F$15,$A405,0)))</f>
        <v>Instalações Elétricas</v>
      </c>
      <c r="O405" s="168"/>
      <c r="Q405" s="168"/>
      <c r="R405" s="169"/>
      <c r="S405" s="169"/>
      <c r="T405" s="169"/>
      <c r="U405" s="169"/>
      <c r="V405" s="169"/>
      <c r="W405" s="169"/>
      <c r="X405" s="169">
        <v>637</v>
      </c>
      <c r="Y405" s="169"/>
      <c r="Z405" s="170"/>
      <c r="AA405" s="169"/>
      <c r="AB405" s="169"/>
      <c r="AC405" s="169"/>
      <c r="AD405" s="169"/>
      <c r="AE405" s="169"/>
      <c r="AF405" s="169"/>
      <c r="AG405" s="169"/>
      <c r="AH405" s="170"/>
      <c r="AJ405" s="453">
        <f ca="1">IF(AND($D405="Serviço",AJ$12&lt;&gt;0,$H405&gt;0,OR(AUTOEVENTO&lt;&gt;"manual",$M405&lt;&gt;$A$15)),
        IF(Import.TipoArredondamento&lt;&gt;"TransfereGOV",
              ROUND(OFFSET($P405,0,AJ$13),15-13*ORÇAMENTO!$AF$7)/$H405*OFFSET(ORÇAMENTO!$X$15,ROW(AJ405)-ROW(AJ$15),0),
              ROUND(ROUND(OFFSET($P405,0,AJ$13),15-13*ORÇAMENTO!$AF$7)*OFFSET(ORÇAMENTO!$W$15,ROW(AJ405)-ROW(AJ$15),0),15-13*ORÇAMENTO!$AF$11)),
         0)</f>
        <v>0</v>
      </c>
      <c r="AK405" s="453">
        <f ca="1">IF(AND($D405="Serviço",AK$12&lt;&gt;0,$H405&gt;0,OR(AUTOEVENTO&lt;&gt;"manual",$M405&lt;&gt;$A$15)),
        IF(Import.TipoArredondamento&lt;&gt;"TransfereGOV",
              ROUND(OFFSET($P405,0,AK$13),15-13*ORÇAMENTO!$AF$7)/$H405*OFFSET(ORÇAMENTO!$X$15,ROW(AK405)-ROW(AK$15),0),
              ROUND(ROUND(OFFSET($P405,0,AK$13),15-13*ORÇAMENTO!$AF$7)*OFFSET(ORÇAMENTO!$W$15,ROW(AK405)-ROW(AK$15),0),15-13*ORÇAMENTO!$AF$11)),
         0)</f>
        <v>0</v>
      </c>
      <c r="AL405" s="453">
        <f ca="1">IF(AND($D405="Serviço",AL$12&lt;&gt;0,$H405&gt;0,OR(AUTOEVENTO&lt;&gt;"manual",$M405&lt;&gt;$A$15)),
        IF(Import.TipoArredondamento&lt;&gt;"TransfereGOV",
              ROUND(OFFSET($P405,0,AL$13),15-13*ORÇAMENTO!$AF$7)/$H405*OFFSET(ORÇAMENTO!$X$15,ROW(AL405)-ROW(AL$15),0),
              ROUND(ROUND(OFFSET($P405,0,AL$13),15-13*ORÇAMENTO!$AF$7)*OFFSET(ORÇAMENTO!$W$15,ROW(AL405)-ROW(AL$15),0),15-13*ORÇAMENTO!$AF$11)),
         0)</f>
        <v>0</v>
      </c>
      <c r="AM405" s="453">
        <f ca="1">IF(AND($D405="Serviço",AM$12&lt;&gt;0,$H405&gt;0,OR(AUTOEVENTO&lt;&gt;"manual",$M405&lt;&gt;$A$15)),
        IF(Import.TipoArredondamento&lt;&gt;"TransfereGOV",
              ROUND(OFFSET($P405,0,AM$13),15-13*ORÇAMENTO!$AF$7)/$H405*OFFSET(ORÇAMENTO!$X$15,ROW(AM405)-ROW(AM$15),0),
              ROUND(ROUND(OFFSET($P405,0,AM$13),15-13*ORÇAMENTO!$AF$7)*OFFSET(ORÇAMENTO!$W$15,ROW(AM405)-ROW(AM$15),0),15-13*ORÇAMENTO!$AF$11)),
         0)</f>
        <v>0</v>
      </c>
      <c r="AN405" s="453">
        <f ca="1">IF(AND($D405="Serviço",AN$12&lt;&gt;0,$H405&gt;0,OR(AUTOEVENTO&lt;&gt;"manual",$M405&lt;&gt;$A$15)),
        IF(Import.TipoArredondamento&lt;&gt;"TransfereGOV",
              ROUND(OFFSET($P405,0,AN$13),15-13*ORÇAMENTO!$AF$7)/$H405*OFFSET(ORÇAMENTO!$X$15,ROW(AN405)-ROW(AN$15),0),
              ROUND(ROUND(OFFSET($P405,0,AN$13),15-13*ORÇAMENTO!$AF$7)*OFFSET(ORÇAMENTO!$W$15,ROW(AN405)-ROW(AN$15),0),15-13*ORÇAMENTO!$AF$11)),
         0)</f>
        <v>0</v>
      </c>
      <c r="AO405" s="453">
        <f ca="1">IF(AND($D405="Serviço",AO$12&lt;&gt;0,$H405&gt;0,OR(AUTOEVENTO&lt;&gt;"manual",$M405&lt;&gt;$A$15)),
        IF(Import.TipoArredondamento&lt;&gt;"TransfereGOV",
              ROUND(OFFSET($P405,0,AO$13),15-13*ORÇAMENTO!$AF$7)/$H405*OFFSET(ORÇAMENTO!$X$15,ROW(AO405)-ROW(AO$15),0),
              ROUND(ROUND(OFFSET($P405,0,AO$13),15-13*ORÇAMENTO!$AF$7)*OFFSET(ORÇAMENTO!$W$15,ROW(AO405)-ROW(AO$15),0),15-13*ORÇAMENTO!$AF$11)),
         0)</f>
        <v>0</v>
      </c>
      <c r="AP405" s="453">
        <f ca="1">IF(AND($D405="Serviço",AP$12&lt;&gt;0,$H405&gt;0,OR(AUTOEVENTO&lt;&gt;"manual",$M405&lt;&gt;$A$15)),
        IF(Import.TipoArredondamento&lt;&gt;"TransfereGOV",
              ROUND(OFFSET($P405,0,AP$13),15-13*ORÇAMENTO!$AF$7)/$H405*OFFSET(ORÇAMENTO!$X$15,ROW(AP405)-ROW(AP$15),0),
              ROUND(ROUND(OFFSET($P405,0,AP$13),15-13*ORÇAMENTO!$AF$7)*OFFSET(ORÇAMENTO!$W$15,ROW(AP405)-ROW(AP$15),0),15-13*ORÇAMENTO!$AF$11)),
         0)</f>
        <v>0</v>
      </c>
      <c r="AQ405" s="453">
        <f ca="1">IF(AND($D405="Serviço",AQ$12&lt;&gt;0,$H405&gt;0,OR(AUTOEVENTO&lt;&gt;"manual",$M405&lt;&gt;$A$15)),
        IF(Import.TipoArredondamento&lt;&gt;"TransfereGOV",
              ROUND(OFFSET($P405,0,AQ$13),15-13*ORÇAMENTO!$AF$7)/$H405*OFFSET(ORÇAMENTO!$X$15,ROW(AQ405)-ROW(AQ$15),0),
              ROUND(ROUND(OFFSET($P405,0,AQ$13),15-13*ORÇAMENTO!$AF$7)*OFFSET(ORÇAMENTO!$W$15,ROW(AQ405)-ROW(AQ$15),0),15-13*ORÇAMENTO!$AF$11)),
         0)</f>
        <v>0</v>
      </c>
      <c r="AR405" s="453">
        <f ca="1">IF(AND($D405="Serviço",AR$12&lt;&gt;0,$H405&gt;0,OR(AUTOEVENTO&lt;&gt;"manual",$M405&lt;&gt;$A$15)),
        IF(Import.TipoArredondamento&lt;&gt;"TransfereGOV",
              ROUND(OFFSET($P405,0,AR$13),15-13*ORÇAMENTO!$AF$7)/$H405*OFFSET(ORÇAMENTO!$X$15,ROW(AR405)-ROW(AR$15),0),
              ROUND(ROUND(OFFSET($P405,0,AR$13),15-13*ORÇAMENTO!$AF$7)*OFFSET(ORÇAMENTO!$W$15,ROW(AR405)-ROW(AR$15),0),15-13*ORÇAMENTO!$AF$11)),
         0)</f>
        <v>0</v>
      </c>
      <c r="AS405" s="453">
        <f ca="1">IF(AND($D405="Serviço",AS$12&lt;&gt;0,$H405&gt;0,OR(AUTOEVENTO&lt;&gt;"manual",$M405&lt;&gt;$A$15)),
        IF(Import.TipoArredondamento&lt;&gt;"TransfereGOV",
              ROUND(OFFSET($P405,0,AS$13),15-13*ORÇAMENTO!$AF$7)/$H405*OFFSET(ORÇAMENTO!$X$15,ROW(AS405)-ROW(AS$15),0),
              ROUND(ROUND(OFFSET($P405,0,AS$13),15-13*ORÇAMENTO!$AF$7)*OFFSET(ORÇAMENTO!$W$15,ROW(AS405)-ROW(AS$15),0),15-13*ORÇAMENTO!$AF$11)),
         0)</f>
        <v>0</v>
      </c>
      <c r="AT405" s="453">
        <f ca="1">IF(AND($D405="Serviço",AT$12&lt;&gt;0,$H405&gt;0,OR(AUTOEVENTO&lt;&gt;"manual",$M405&lt;&gt;$A$15)),
        IF(Import.TipoArredondamento&lt;&gt;"TransfereGOV",
              ROUND(OFFSET($P405,0,AT$13),15-13*ORÇAMENTO!$AF$7)/$H405*OFFSET(ORÇAMENTO!$X$15,ROW(AT405)-ROW(AT$15),0),
              ROUND(ROUND(OFFSET($P405,0,AT$13),15-13*ORÇAMENTO!$AF$7)*OFFSET(ORÇAMENTO!$W$15,ROW(AT405)-ROW(AT$15),0),15-13*ORÇAMENTO!$AF$11)),
         0)</f>
        <v>0</v>
      </c>
      <c r="AU405" s="453">
        <f ca="1">IF(AND($D405="Serviço",AU$12&lt;&gt;0,$H405&gt;0,OR(AUTOEVENTO&lt;&gt;"manual",$M405&lt;&gt;$A$15)),
        IF(Import.TipoArredondamento&lt;&gt;"TransfereGOV",
              ROUND(OFFSET($P405,0,AU$13),15-13*ORÇAMENTO!$AF$7)/$H405*OFFSET(ORÇAMENTO!$X$15,ROW(AU405)-ROW(AU$15),0),
              ROUND(ROUND(OFFSET($P405,0,AU$13),15-13*ORÇAMENTO!$AF$7)*OFFSET(ORÇAMENTO!$W$15,ROW(AU405)-ROW(AU$15),0),15-13*ORÇAMENTO!$AF$11)),
         0)</f>
        <v>0</v>
      </c>
      <c r="AV405" s="453">
        <f ca="1">IF(AND($D405="Serviço",AV$12&lt;&gt;0,$H405&gt;0,OR(AUTOEVENTO&lt;&gt;"manual",$M405&lt;&gt;$A$15)),
        IF(Import.TipoArredondamento&lt;&gt;"TransfereGOV",
              ROUND(OFFSET($P405,0,AV$13),15-13*ORÇAMENTO!$AF$7)/$H405*OFFSET(ORÇAMENTO!$X$15,ROW(AV405)-ROW(AV$15),0),
              ROUND(ROUND(OFFSET($P405,0,AV$13),15-13*ORÇAMENTO!$AF$7)*OFFSET(ORÇAMENTO!$W$15,ROW(AV405)-ROW(AV$15),0),15-13*ORÇAMENTO!$AF$11)),
         0)</f>
        <v>0</v>
      </c>
      <c r="AW405" s="453">
        <f ca="1">IF(AND($D405="Serviço",AW$12&lt;&gt;0,$H405&gt;0,OR(AUTOEVENTO&lt;&gt;"manual",$M405&lt;&gt;$A$15)),
        IF(Import.TipoArredondamento&lt;&gt;"TransfereGOV",
              ROUND(OFFSET($P405,0,AW$13),15-13*ORÇAMENTO!$AF$7)/$H405*OFFSET(ORÇAMENTO!$X$15,ROW(AW405)-ROW(AW$15),0),
              ROUND(ROUND(OFFSET($P405,0,AW$13),15-13*ORÇAMENTO!$AF$7)*OFFSET(ORÇAMENTO!$W$15,ROW(AW405)-ROW(AW$15),0),15-13*ORÇAMENTO!$AF$11)),
         0)</f>
        <v>0</v>
      </c>
      <c r="AX405" s="453">
        <f ca="1">IF(AND($D405="Serviço",AX$12&lt;&gt;0,$H405&gt;0,OR(AUTOEVENTO&lt;&gt;"manual",$M405&lt;&gt;$A$15)),
        IF(Import.TipoArredondamento&lt;&gt;"TransfereGOV",
              ROUND(OFFSET($P405,0,AX$13),15-13*ORÇAMENTO!$AF$7)/$H405*OFFSET(ORÇAMENTO!$X$15,ROW(AX405)-ROW(AX$15),0),
              ROUND(ROUND(OFFSET($P405,0,AX$13),15-13*ORÇAMENTO!$AF$7)*OFFSET(ORÇAMENTO!$W$15,ROW(AX405)-ROW(AX$15),0),15-13*ORÇAMENTO!$AF$11)),
         0)</f>
        <v>0</v>
      </c>
      <c r="AY405" s="453">
        <f ca="1">IF(AND($D405="Serviço",AY$12&lt;&gt;0,$H405&gt;0,OR(AUTOEVENTO&lt;&gt;"manual",$M405&lt;&gt;$A$15)),
        IF(Import.TipoArredondamento&lt;&gt;"TransfereGOV",
              ROUND(OFFSET($P405,0,AY$13),15-13*ORÇAMENTO!$AF$7)/$H405*OFFSET(ORÇAMENTO!$X$15,ROW(AY405)-ROW(AY$15),0),
              ROUND(ROUND(OFFSET($P405,0,AY$13),15-13*ORÇAMENTO!$AF$7)*OFFSET(ORÇAMENTO!$W$15,ROW(AY405)-ROW(AY$15),0),15-13*ORÇAMENTO!$AF$11)),
         0)</f>
        <v>0</v>
      </c>
      <c r="AZ405" s="453">
        <f ca="1">IF(AND($D405="Serviço",AZ$12&lt;&gt;0,$H405&gt;0,OR(AUTOEVENTO&lt;&gt;"manual",$M405&lt;&gt;$A$15)),
        IF(Import.TipoArredondamento&lt;&gt;"TransfereGOV",
              ROUND(OFFSET($P405,0,AZ$13),15-13*ORÇAMENTO!$AF$7)/$H405*OFFSET(ORÇAMENTO!$X$15,ROW(AZ405)-ROW(AZ$15),0),
              ROUND(ROUND(OFFSET($P405,0,AZ$13),15-13*ORÇAMENTO!$AF$7)*OFFSET(ORÇAMENTO!$W$15,ROW(AZ405)-ROW(AZ$15),0),15-13*ORÇAMENTO!$AF$11)),
         0)</f>
        <v>0</v>
      </c>
      <c r="BA405" s="453">
        <f ca="1">IF(AND($D405="Serviço",BA$12&lt;&gt;0,$H405&gt;0,OR(AUTOEVENTO&lt;&gt;"manual",$M405&lt;&gt;$A$15)),
        IF(Import.TipoArredondamento&lt;&gt;"TransfereGOV",
              ROUND(OFFSET($P405,0,BA$13),15-13*ORÇAMENTO!$AF$7)/$H405*OFFSET(ORÇAMENTO!$X$15,ROW(BA405)-ROW(BA$15),0),
              ROUND(ROUND(OFFSET($P405,0,BA$13),15-13*ORÇAMENTO!$AF$7)*OFFSET(ORÇAMENTO!$W$15,ROW(BA405)-ROW(BA$15),0),15-13*ORÇAMENTO!$AF$11)),
         0)</f>
        <v>0</v>
      </c>
      <c r="BC405" s="171">
        <f ca="1">IF(OR($D405&lt;&gt;"Serviço",AND(AUTOEVENTO="Manual",$M405=$A$15)),0,
         IF(OFFSET(CRONOPLE!$F$15,$M405-$A$15,BC$13)=0,10^12,OFFSET(CRONOPLE!$F$15,$M405-$A$15,BC$13)))</f>
        <v>1</v>
      </c>
      <c r="BD405" s="171">
        <f ca="1">IF(OR($D405&lt;&gt;"Serviço",AND(AUTOEVENTO="Manual",$M405=$A$15)),0,
         IF(OFFSET(CRONOPLE!$F$15,$M405-$A$15,BD$13)=0,10^12,OFFSET(CRONOPLE!$F$15,$M405-$A$15,BD$13)))</f>
        <v>2</v>
      </c>
      <c r="BE405" s="171">
        <f ca="1">IF(OR($D405&lt;&gt;"Serviço",AND(AUTOEVENTO="Manual",$M405=$A$15)),0,
         IF(OFFSET(CRONOPLE!$F$15,$M405-$A$15,BE$13)=0,10^12,OFFSET(CRONOPLE!$F$15,$M405-$A$15,BE$13)))</f>
        <v>3</v>
      </c>
      <c r="BF405" s="171">
        <f ca="1">IF(OR($D405&lt;&gt;"Serviço",AND(AUTOEVENTO="Manual",$M405=$A$15)),0,
         IF(OFFSET(CRONOPLE!$F$15,$M405-$A$15,BF$13)=0,10^12,OFFSET(CRONOPLE!$F$15,$M405-$A$15,BF$13)))</f>
        <v>4</v>
      </c>
      <c r="BG405" s="171">
        <f ca="1">IF(OR($D405&lt;&gt;"Serviço",AND(AUTOEVENTO="Manual",$M405=$A$15)),0,
         IF(OFFSET(CRONOPLE!$F$15,$M405-$A$15,BG$13)=0,10^12,OFFSET(CRONOPLE!$F$15,$M405-$A$15,BG$13)))</f>
        <v>5</v>
      </c>
      <c r="BH405" s="171">
        <f ca="1">IF(OR($D405&lt;&gt;"Serviço",AND(AUTOEVENTO="Manual",$M405=$A$15)),0,
         IF(OFFSET(CRONOPLE!$F$15,$M405-$A$15,BH$13)=0,10^12,OFFSET(CRONOPLE!$F$15,$M405-$A$15,BH$13)))</f>
        <v>6</v>
      </c>
      <c r="BI405" s="171">
        <f ca="1">IF(OR($D405&lt;&gt;"Serviço",AND(AUTOEVENTO="Manual",$M405=$A$15)),0,
         IF(OFFSET(CRONOPLE!$F$15,$M405-$A$15,BI$13)=0,10^12,OFFSET(CRONOPLE!$F$15,$M405-$A$15,BI$13)))</f>
        <v>7</v>
      </c>
      <c r="BJ405" s="171">
        <f ca="1">IF(OR($D405&lt;&gt;"Serviço",AND(AUTOEVENTO="Manual",$M405=$A$15)),0,
         IF(OFFSET(CRONOPLE!$F$15,$M405-$A$15,BJ$13)=0,10^12,OFFSET(CRONOPLE!$F$15,$M405-$A$15,BJ$13)))</f>
        <v>8</v>
      </c>
      <c r="BK405" s="171">
        <f ca="1">IF(OR($D405&lt;&gt;"Serviço",AND(AUTOEVENTO="Manual",$M405=$A$15)),0,
         IF(OFFSET(CRONOPLE!$F$15,$M405-$A$15,BK$13)=0,10^12,OFFSET(CRONOPLE!$F$15,$M405-$A$15,BK$13)))</f>
        <v>9</v>
      </c>
      <c r="BL405" s="171">
        <f ca="1">IF(OR($D405&lt;&gt;"Serviço",AND(AUTOEVENTO="Manual",$M405=$A$15)),0,
         IF(OFFSET(CRONOPLE!$F$15,$M405-$A$15,BL$13)=0,10^12,OFFSET(CRONOPLE!$F$15,$M405-$A$15,BL$13)))</f>
        <v>1000000000000</v>
      </c>
      <c r="BM405" s="171">
        <f ca="1">IF(OR($D405&lt;&gt;"Serviço",AND(AUTOEVENTO="Manual",$M405=$A$15)),0,
         IF(OFFSET(CRONOPLE!$F$15,$M405-$A$15,BM$13)=0,10^12,OFFSET(CRONOPLE!$F$15,$M405-$A$15,BM$13)))</f>
        <v>1000000000000</v>
      </c>
      <c r="BN405" s="171">
        <f ca="1">IF(OR($D405&lt;&gt;"Serviço",AND(AUTOEVENTO="Manual",$M405=$A$15)),0,
         IF(OFFSET(CRONOPLE!$F$15,$M405-$A$15,BN$13)=0,10^12,OFFSET(CRONOPLE!$F$15,$M405-$A$15,BN$13)))</f>
        <v>1000000000000</v>
      </c>
      <c r="BO405" s="171">
        <f ca="1">IF(OR($D405&lt;&gt;"Serviço",AND(AUTOEVENTO="Manual",$M405=$A$15)),0,
         IF(OFFSET(CRONOPLE!$F$15,$M405-$A$15,BO$13)=0,10^12,OFFSET(CRONOPLE!$F$15,$M405-$A$15,BO$13)))</f>
        <v>1000000000000</v>
      </c>
      <c r="BP405" s="171">
        <f ca="1">IF(OR($D405&lt;&gt;"Serviço",AND(AUTOEVENTO="Manual",$M405=$A$15)),0,
         IF(OFFSET(CRONOPLE!$F$15,$M405-$A$15,BP$13)=0,10^12,OFFSET(CRONOPLE!$F$15,$M405-$A$15,BP$13)))</f>
        <v>1000000000000</v>
      </c>
      <c r="BQ405" s="171">
        <f ca="1">IF(OR($D405&lt;&gt;"Serviço",AND(AUTOEVENTO="Manual",$M405=$A$15)),0,
         IF(OFFSET(CRONOPLE!$F$15,$M405-$A$15,BQ$13)=0,10^12,OFFSET(CRONOPLE!$F$15,$M405-$A$15,BQ$13)))</f>
        <v>1000000000000</v>
      </c>
      <c r="BR405" s="171">
        <f ca="1">IF(OR($D405&lt;&gt;"Serviço",AND(AUTOEVENTO="Manual",$M405=$A$15)),0,
         IF(OFFSET(CRONOPLE!$F$15,$M405-$A$15,BR$13)=0,10^12,OFFSET(CRONOPLE!$F$15,$M405-$A$15,BR$13)))</f>
        <v>1000000000000</v>
      </c>
      <c r="BS405" s="171">
        <f ca="1">IF(OR($D405&lt;&gt;"Serviço",AND(AUTOEVENTO="Manual",$M405=$A$15)),0,
         IF(OFFSET(CRONOPLE!$F$15,$M405-$A$15,BS$13)=0,10^12,OFFSET(CRONOPLE!$F$15,$M405-$A$15,BS$13)))</f>
        <v>1000000000000</v>
      </c>
      <c r="BT405" s="171">
        <f ca="1">IF(OR($D405&lt;&gt;"Serviço",AND(AUTOEVENTO="Manual",$M405=$A$15)),0,
         IF(OFFSET(CRONOPLE!$F$15,$M405-$A$15,BT$13)=0,10^12,OFFSET(CRONOPLE!$F$15,$M405-$A$15,BT$13)))</f>
        <v>1000000000000</v>
      </c>
      <c r="BV405" s="172">
        <f ca="1">IF(OR($D405&lt;&gt;"Serviço",AND(AUTOEVENTO="Manual",$M405=$A$15),$M405&gt;(ROW(PLE.lastrow)-ROW(PLE.firstrow))),0,
           IF(OFFSET(PLE!$G$15,$M405-$A$15,BV$13)="",10^12,OFFSET(PLE!$G$15,$M405-$A$15,BV$13)))</f>
        <v>1000000000000</v>
      </c>
      <c r="BW405" s="172">
        <f ca="1">IF(OR($D405&lt;&gt;"Serviço",AND(AUTOEVENTO="Manual",$M405=$A$15),$M405&gt;(ROW(PLE.lastrow)-ROW(PLE.firstrow))),0,
           IF(OFFSET(PLE!$G$15,$M405-$A$15,BW$13)="",10^12,OFFSET(PLE!$G$15,$M405-$A$15,BW$13)))</f>
        <v>1000000000000</v>
      </c>
      <c r="BX405" s="172">
        <f ca="1">IF(OR($D405&lt;&gt;"Serviço",AND(AUTOEVENTO="Manual",$M405=$A$15),$M405&gt;(ROW(PLE.lastrow)-ROW(PLE.firstrow))),0,
           IF(OFFSET(PLE!$G$15,$M405-$A$15,BX$13)="",10^12,OFFSET(PLE!$G$15,$M405-$A$15,BX$13)))</f>
        <v>1000000000000</v>
      </c>
      <c r="BY405" s="172">
        <f ca="1">IF(OR($D405&lt;&gt;"Serviço",AND(AUTOEVENTO="Manual",$M405=$A$15),$M405&gt;(ROW(PLE.lastrow)-ROW(PLE.firstrow))),0,
           IF(OFFSET(PLE!$G$15,$M405-$A$15,BY$13)="",10^12,OFFSET(PLE!$G$15,$M405-$A$15,BY$13)))</f>
        <v>1000000000000</v>
      </c>
      <c r="BZ405" s="172">
        <f ca="1">IF(OR($D405&lt;&gt;"Serviço",AND(AUTOEVENTO="Manual",$M405=$A$15),$M405&gt;(ROW(PLE.lastrow)-ROW(PLE.firstrow))),0,
           IF(OFFSET(PLE!$G$15,$M405-$A$15,BZ$13)="",10^12,OFFSET(PLE!$G$15,$M405-$A$15,BZ$13)))</f>
        <v>1000000000000</v>
      </c>
      <c r="CA405" s="172">
        <f ca="1">IF(OR($D405&lt;&gt;"Serviço",AND(AUTOEVENTO="Manual",$M405=$A$15),$M405&gt;(ROW(PLE.lastrow)-ROW(PLE.firstrow))),0,
           IF(OFFSET(PLE!$G$15,$M405-$A$15,CA$13)="",10^12,OFFSET(PLE!$G$15,$M405-$A$15,CA$13)))</f>
        <v>1000000000000</v>
      </c>
      <c r="CB405" s="172">
        <f ca="1">IF(OR($D405&lt;&gt;"Serviço",AND(AUTOEVENTO="Manual",$M405=$A$15),$M405&gt;(ROW(PLE.lastrow)-ROW(PLE.firstrow))),0,
           IF(OFFSET(PLE!$G$15,$M405-$A$15,CB$13)="",10^12,OFFSET(PLE!$G$15,$M405-$A$15,CB$13)))</f>
        <v>1000000000000</v>
      </c>
      <c r="CC405" s="172">
        <f ca="1">IF(OR($D405&lt;&gt;"Serviço",AND(AUTOEVENTO="Manual",$M405=$A$15),$M405&gt;(ROW(PLE.lastrow)-ROW(PLE.firstrow))),0,
           IF(OFFSET(PLE!$G$15,$M405-$A$15,CC$13)="",10^12,OFFSET(PLE!$G$15,$M405-$A$15,CC$13)))</f>
        <v>1000000000000</v>
      </c>
      <c r="CD405" s="172">
        <f ca="1">IF(OR($D405&lt;&gt;"Serviço",AND(AUTOEVENTO="Manual",$M405=$A$15),$M405&gt;(ROW(PLE.lastrow)-ROW(PLE.firstrow))),0,
           IF(OFFSET(PLE!$G$15,$M405-$A$15,CD$13)="",10^12,OFFSET(PLE!$G$15,$M405-$A$15,CD$13)))</f>
        <v>1000000000000</v>
      </c>
      <c r="CE405" s="172">
        <f ca="1">IF(OR($D405&lt;&gt;"Serviço",AND(AUTOEVENTO="Manual",$M405=$A$15),$M405&gt;(ROW(PLE.lastrow)-ROW(PLE.firstrow))),0,
           IF(OFFSET(PLE!$G$15,$M405-$A$15,CE$13)="",10^12,OFFSET(PLE!$G$15,$M405-$A$15,CE$13)))</f>
        <v>1000000000000</v>
      </c>
      <c r="CF405" s="172">
        <f ca="1">IF(OR($D405&lt;&gt;"Serviço",AND(AUTOEVENTO="Manual",$M405=$A$15),$M405&gt;(ROW(PLE.lastrow)-ROW(PLE.firstrow))),0,
           IF(OFFSET(PLE!$G$15,$M405-$A$15,CF$13)="",10^12,OFFSET(PLE!$G$15,$M405-$A$15,CF$13)))</f>
        <v>1000000000000</v>
      </c>
      <c r="CG405" s="172">
        <f ca="1">IF(OR($D405&lt;&gt;"Serviço",AND(AUTOEVENTO="Manual",$M405=$A$15),$M405&gt;(ROW(PLE.lastrow)-ROW(PLE.firstrow))),0,
           IF(OFFSET(PLE!$G$15,$M405-$A$15,CG$13)="",10^12,OFFSET(PLE!$G$15,$M405-$A$15,CG$13)))</f>
        <v>1000000000000</v>
      </c>
      <c r="CH405" s="172">
        <f ca="1">IF(OR($D405&lt;&gt;"Serviço",AND(AUTOEVENTO="Manual",$M405=$A$15),$M405&gt;(ROW(PLE.lastrow)-ROW(PLE.firstrow))),0,
           IF(OFFSET(PLE!$G$15,$M405-$A$15,CH$13)="",10^12,OFFSET(PLE!$G$15,$M405-$A$15,CH$13)))</f>
        <v>1000000000000</v>
      </c>
      <c r="CI405" s="172">
        <f ca="1">IF(OR($D405&lt;&gt;"Serviço",AND(AUTOEVENTO="Manual",$M405=$A$15),$M405&gt;(ROW(PLE.lastrow)-ROW(PLE.firstrow))),0,
           IF(OFFSET(PLE!$G$15,$M405-$A$15,CI$13)="",10^12,OFFSET(PLE!$G$15,$M405-$A$15,CI$13)))</f>
        <v>1000000000000</v>
      </c>
      <c r="CJ405" s="172">
        <f ca="1">IF(OR($D405&lt;&gt;"Serviço",AND(AUTOEVENTO="Manual",$M405=$A$15),$M405&gt;(ROW(PLE.lastrow)-ROW(PLE.firstrow))),0,
           IF(OFFSET(PLE!$G$15,$M405-$A$15,CJ$13)="",10^12,OFFSET(PLE!$G$15,$M405-$A$15,CJ$13)))</f>
        <v>1000000000000</v>
      </c>
      <c r="CK405" s="172">
        <f ca="1">IF(OR($D405&lt;&gt;"Serviço",AND(AUTOEVENTO="Manual",$M405=$A$15),$M405&gt;(ROW(PLE.lastrow)-ROW(PLE.firstrow))),0,
           IF(OFFSET(PLE!$G$15,$M405-$A$15,CK$13)="",10^12,OFFSET(PLE!$G$15,$M405-$A$15,CK$13)))</f>
        <v>1000000000000</v>
      </c>
      <c r="CL405" s="172">
        <f ca="1">IF(OR($D405&lt;&gt;"Serviço",AND(AUTOEVENTO="Manual",$M405=$A$15),$M405&gt;(ROW(PLE.lastrow)-ROW(PLE.firstrow))),0,
           IF(OFFSET(PLE!$G$15,$M405-$A$15,CL$13)="",10^12,OFFSET(PLE!$G$15,$M405-$A$15,CL$13)))</f>
        <v>1000000000000</v>
      </c>
      <c r="CM405" s="172">
        <f ca="1">IF(OR($D405&lt;&gt;"Serviço",AND(AUTOEVENTO="Manual",$M405=$A$15),$M405&gt;(ROW(PLE.lastrow)-ROW(PLE.firstrow))),0,
           IF(OFFSET(PLE!$G$15,$M405-$A$15,CM$13)="",10^12,OFFSET(PLE!$G$15,$M405-$A$15,CM$13)))</f>
        <v>1000000000000</v>
      </c>
    </row>
    <row r="406" spans="1:91" ht="38.25" x14ac:dyDescent="0.2">
      <c r="A406" s="7">
        <f t="shared" ca="1" si="16"/>
        <v>7</v>
      </c>
      <c r="B406" s="7" t="str">
        <f ca="1">OFFSET(ORÇAMENTO!C$15,ROW(B406)-ROW(B$15),0)</f>
        <v>S</v>
      </c>
      <c r="C406" s="7" t="str">
        <f ca="1">OFFSET(ORÇAMENTO!L$15,ROW(C406)-ROW(C$15),0)</f>
        <v>F</v>
      </c>
      <c r="D406" s="116" t="str">
        <f ca="1">OFFSET(ORÇAMENTO!N$15,ROW(D406)-ROW(D$15),0)</f>
        <v>Serviço</v>
      </c>
      <c r="E406" s="117" t="str">
        <f ca="1">OFFSET(ORÇAMENTO!O$15,ROW(E406)-ROW(E$15),0)</f>
        <v>1.8.2.3.6.</v>
      </c>
      <c r="F406" s="163" t="str">
        <f ca="1">OFFSET(ORÇAMENTO!R$15,ROW(F406)-ROW(F$15),0)</f>
        <v>CABO DE COBRE FLEXÍVEL, CLASSE 5, ISOLAMENTO TIPO EPR/HEPR, NÃO HALOGENADO, ANTICHAMA, TERMOFIXO, UNIPOLAR, SEÇÃO 50 MM2, 90°C, 0,6/1KV</v>
      </c>
      <c r="G406" s="164" t="str">
        <f ca="1">IF($D406&lt;&gt;"Serviço","",OFFSET(ORÇAMENTO!S$15,ROW(G406)-ROW(G$15),0))</f>
        <v>M</v>
      </c>
      <c r="H406" s="122" cm="1">
        <f t="array" aca="1" ref="H406" ca="1">IF($D406&lt;&gt;"Serviço",0,IF(ACOMPANHAMENTO="BM",ROUND(OFFSET(ORÇAMENTO!AJ$15,ROW(H406)-ROW(H$15),0),15-13*ORÇAMENTO!$AF$7),SUMPRODUCT(($Q$1:$AI$1=1)*ROUND($Q406:$AI406,15-13*ORÇAMENTO!$AF$7))))</f>
        <v>123</v>
      </c>
      <c r="I406" s="468" t="s">
        <v>1431</v>
      </c>
      <c r="J406" s="640" t="str" cm="1">
        <f t="array" aca="1" ref="J406" ca="1">IF(OR(B406&lt;&gt;"S",CÁLCULO.FrentesPreenchidas=0),"",IF(AND(ACOMPANHAMENTO="PLE",AUTOEVENTO="Manual",OR(H406&gt;0,ORÇAMENTO!AC406="QUANT."),OR(K406="",M406=0,N406="")),"►E",IF(AND(ACOMPANHAMENTO="PLE",ORÇAMENTO!AC406="QUANT."),"►Q",IF(AND(ACOMPANHAMENTO="PLE",H406&lt;&gt;SUMPRODUCT(($Q$1:$AI$1=1)*ROUND(Q406:AI406,15))),"►S",IF(AND(COUNTIF($P$11:$AI$11,"▼")=0,H406&gt;0,I406=""),"◄M","")))))</f>
        <v/>
      </c>
      <c r="K406" s="641" t="s">
        <v>1391</v>
      </c>
      <c r="L406" s="165" t="s">
        <v>764</v>
      </c>
      <c r="M406" s="166">
        <f ca="1">IF($D406&lt;&gt;"Serviço","",
          IF(AUTOEVENTO="manual",$A406,
                IF(ISERROR(MATCH($A406,$A$15:OFFSET($A406,-1,0),0)),MAX($M$15:OFFSET(M406,-1,0))+1,
                      INDEX($M$15:OFFSET(M406,-1,0),MATCH($A406,$A$15:OFFSET($A406,-1,0),0)))))</f>
        <v>7</v>
      </c>
      <c r="N406" s="167" t="str">
        <f ca="1">IF($D406&lt;&gt;"Serviço","",
         IF(AUTOEVENTO="Manual",
                IF($A406=0,"&lt;-- defina o número do agrupador",
                       OFFSET(EVENTOS!$D$15,$A406-$A$15,0)),
                OFFSET($F$15,$A406,0)))</f>
        <v>Instalações Elétricas</v>
      </c>
      <c r="O406" s="168"/>
      <c r="Q406" s="168"/>
      <c r="R406" s="169"/>
      <c r="S406" s="169"/>
      <c r="T406" s="169"/>
      <c r="U406" s="169"/>
      <c r="V406" s="169"/>
      <c r="W406" s="169"/>
      <c r="X406" s="169">
        <v>123</v>
      </c>
      <c r="Y406" s="169"/>
      <c r="Z406" s="170"/>
      <c r="AA406" s="169"/>
      <c r="AB406" s="169"/>
      <c r="AC406" s="169"/>
      <c r="AD406" s="169"/>
      <c r="AE406" s="169"/>
      <c r="AF406" s="169"/>
      <c r="AG406" s="169"/>
      <c r="AH406" s="170"/>
      <c r="AJ406" s="453">
        <f ca="1">IF(AND($D406="Serviço",AJ$12&lt;&gt;0,$H406&gt;0,OR(AUTOEVENTO&lt;&gt;"manual",$M406&lt;&gt;$A$15)),
        IF(Import.TipoArredondamento&lt;&gt;"TransfereGOV",
              ROUND(OFFSET($P406,0,AJ$13),15-13*ORÇAMENTO!$AF$7)/$H406*OFFSET(ORÇAMENTO!$X$15,ROW(AJ406)-ROW(AJ$15),0),
              ROUND(ROUND(OFFSET($P406,0,AJ$13),15-13*ORÇAMENTO!$AF$7)*OFFSET(ORÇAMENTO!$W$15,ROW(AJ406)-ROW(AJ$15),0),15-13*ORÇAMENTO!$AF$11)),
         0)</f>
        <v>0</v>
      </c>
      <c r="AK406" s="453">
        <f ca="1">IF(AND($D406="Serviço",AK$12&lt;&gt;0,$H406&gt;0,OR(AUTOEVENTO&lt;&gt;"manual",$M406&lt;&gt;$A$15)),
        IF(Import.TipoArredondamento&lt;&gt;"TransfereGOV",
              ROUND(OFFSET($P406,0,AK$13),15-13*ORÇAMENTO!$AF$7)/$H406*OFFSET(ORÇAMENTO!$X$15,ROW(AK406)-ROW(AK$15),0),
              ROUND(ROUND(OFFSET($P406,0,AK$13),15-13*ORÇAMENTO!$AF$7)*OFFSET(ORÇAMENTO!$W$15,ROW(AK406)-ROW(AK$15),0),15-13*ORÇAMENTO!$AF$11)),
         0)</f>
        <v>0</v>
      </c>
      <c r="AL406" s="453">
        <f ca="1">IF(AND($D406="Serviço",AL$12&lt;&gt;0,$H406&gt;0,OR(AUTOEVENTO&lt;&gt;"manual",$M406&lt;&gt;$A$15)),
        IF(Import.TipoArredondamento&lt;&gt;"TransfereGOV",
              ROUND(OFFSET($P406,0,AL$13),15-13*ORÇAMENTO!$AF$7)/$H406*OFFSET(ORÇAMENTO!$X$15,ROW(AL406)-ROW(AL$15),0),
              ROUND(ROUND(OFFSET($P406,0,AL$13),15-13*ORÇAMENTO!$AF$7)*OFFSET(ORÇAMENTO!$W$15,ROW(AL406)-ROW(AL$15),0),15-13*ORÇAMENTO!$AF$11)),
         0)</f>
        <v>0</v>
      </c>
      <c r="AM406" s="453">
        <f ca="1">IF(AND($D406="Serviço",AM$12&lt;&gt;0,$H406&gt;0,OR(AUTOEVENTO&lt;&gt;"manual",$M406&lt;&gt;$A$15)),
        IF(Import.TipoArredondamento&lt;&gt;"TransfereGOV",
              ROUND(OFFSET($P406,0,AM$13),15-13*ORÇAMENTO!$AF$7)/$H406*OFFSET(ORÇAMENTO!$X$15,ROW(AM406)-ROW(AM$15),0),
              ROUND(ROUND(OFFSET($P406,0,AM$13),15-13*ORÇAMENTO!$AF$7)*OFFSET(ORÇAMENTO!$W$15,ROW(AM406)-ROW(AM$15),0),15-13*ORÇAMENTO!$AF$11)),
         0)</f>
        <v>0</v>
      </c>
      <c r="AN406" s="453">
        <f ca="1">IF(AND($D406="Serviço",AN$12&lt;&gt;0,$H406&gt;0,OR(AUTOEVENTO&lt;&gt;"manual",$M406&lt;&gt;$A$15)),
        IF(Import.TipoArredondamento&lt;&gt;"TransfereGOV",
              ROUND(OFFSET($P406,0,AN$13),15-13*ORÇAMENTO!$AF$7)/$H406*OFFSET(ORÇAMENTO!$X$15,ROW(AN406)-ROW(AN$15),0),
              ROUND(ROUND(OFFSET($P406,0,AN$13),15-13*ORÇAMENTO!$AF$7)*OFFSET(ORÇAMENTO!$W$15,ROW(AN406)-ROW(AN$15),0),15-13*ORÇAMENTO!$AF$11)),
         0)</f>
        <v>0</v>
      </c>
      <c r="AO406" s="453">
        <f ca="1">IF(AND($D406="Serviço",AO$12&lt;&gt;0,$H406&gt;0,OR(AUTOEVENTO&lt;&gt;"manual",$M406&lt;&gt;$A$15)),
        IF(Import.TipoArredondamento&lt;&gt;"TransfereGOV",
              ROUND(OFFSET($P406,0,AO$13),15-13*ORÇAMENTO!$AF$7)/$H406*OFFSET(ORÇAMENTO!$X$15,ROW(AO406)-ROW(AO$15),0),
              ROUND(ROUND(OFFSET($P406,0,AO$13),15-13*ORÇAMENTO!$AF$7)*OFFSET(ORÇAMENTO!$W$15,ROW(AO406)-ROW(AO$15),0),15-13*ORÇAMENTO!$AF$11)),
         0)</f>
        <v>0</v>
      </c>
      <c r="AP406" s="453">
        <f ca="1">IF(AND($D406="Serviço",AP$12&lt;&gt;0,$H406&gt;0,OR(AUTOEVENTO&lt;&gt;"manual",$M406&lt;&gt;$A$15)),
        IF(Import.TipoArredondamento&lt;&gt;"TransfereGOV",
              ROUND(OFFSET($P406,0,AP$13),15-13*ORÇAMENTO!$AF$7)/$H406*OFFSET(ORÇAMENTO!$X$15,ROW(AP406)-ROW(AP$15),0),
              ROUND(ROUND(OFFSET($P406,0,AP$13),15-13*ORÇAMENTO!$AF$7)*OFFSET(ORÇAMENTO!$W$15,ROW(AP406)-ROW(AP$15),0),15-13*ORÇAMENTO!$AF$11)),
         0)</f>
        <v>0</v>
      </c>
      <c r="AQ406" s="453">
        <f ca="1">IF(AND($D406="Serviço",AQ$12&lt;&gt;0,$H406&gt;0,OR(AUTOEVENTO&lt;&gt;"manual",$M406&lt;&gt;$A$15)),
        IF(Import.TipoArredondamento&lt;&gt;"TransfereGOV",
              ROUND(OFFSET($P406,0,AQ$13),15-13*ORÇAMENTO!$AF$7)/$H406*OFFSET(ORÇAMENTO!$X$15,ROW(AQ406)-ROW(AQ$15),0),
              ROUND(ROUND(OFFSET($P406,0,AQ$13),15-13*ORÇAMENTO!$AF$7)*OFFSET(ORÇAMENTO!$W$15,ROW(AQ406)-ROW(AQ$15),0),15-13*ORÇAMENTO!$AF$11)),
         0)</f>
        <v>0</v>
      </c>
      <c r="AR406" s="453">
        <f ca="1">IF(AND($D406="Serviço",AR$12&lt;&gt;0,$H406&gt;0,OR(AUTOEVENTO&lt;&gt;"manual",$M406&lt;&gt;$A$15)),
        IF(Import.TipoArredondamento&lt;&gt;"TransfereGOV",
              ROUND(OFFSET($P406,0,AR$13),15-13*ORÇAMENTO!$AF$7)/$H406*OFFSET(ORÇAMENTO!$X$15,ROW(AR406)-ROW(AR$15),0),
              ROUND(ROUND(OFFSET($P406,0,AR$13),15-13*ORÇAMENTO!$AF$7)*OFFSET(ORÇAMENTO!$W$15,ROW(AR406)-ROW(AR$15),0),15-13*ORÇAMENTO!$AF$11)),
         0)</f>
        <v>0</v>
      </c>
      <c r="AS406" s="453">
        <f ca="1">IF(AND($D406="Serviço",AS$12&lt;&gt;0,$H406&gt;0,OR(AUTOEVENTO&lt;&gt;"manual",$M406&lt;&gt;$A$15)),
        IF(Import.TipoArredondamento&lt;&gt;"TransfereGOV",
              ROUND(OFFSET($P406,0,AS$13),15-13*ORÇAMENTO!$AF$7)/$H406*OFFSET(ORÇAMENTO!$X$15,ROW(AS406)-ROW(AS$15),0),
              ROUND(ROUND(OFFSET($P406,0,AS$13),15-13*ORÇAMENTO!$AF$7)*OFFSET(ORÇAMENTO!$W$15,ROW(AS406)-ROW(AS$15),0),15-13*ORÇAMENTO!$AF$11)),
         0)</f>
        <v>0</v>
      </c>
      <c r="AT406" s="453">
        <f ca="1">IF(AND($D406="Serviço",AT$12&lt;&gt;0,$H406&gt;0,OR(AUTOEVENTO&lt;&gt;"manual",$M406&lt;&gt;$A$15)),
        IF(Import.TipoArredondamento&lt;&gt;"TransfereGOV",
              ROUND(OFFSET($P406,0,AT$13),15-13*ORÇAMENTO!$AF$7)/$H406*OFFSET(ORÇAMENTO!$X$15,ROW(AT406)-ROW(AT$15),0),
              ROUND(ROUND(OFFSET($P406,0,AT$13),15-13*ORÇAMENTO!$AF$7)*OFFSET(ORÇAMENTO!$W$15,ROW(AT406)-ROW(AT$15),0),15-13*ORÇAMENTO!$AF$11)),
         0)</f>
        <v>0</v>
      </c>
      <c r="AU406" s="453">
        <f ca="1">IF(AND($D406="Serviço",AU$12&lt;&gt;0,$H406&gt;0,OR(AUTOEVENTO&lt;&gt;"manual",$M406&lt;&gt;$A$15)),
        IF(Import.TipoArredondamento&lt;&gt;"TransfereGOV",
              ROUND(OFFSET($P406,0,AU$13),15-13*ORÇAMENTO!$AF$7)/$H406*OFFSET(ORÇAMENTO!$X$15,ROW(AU406)-ROW(AU$15),0),
              ROUND(ROUND(OFFSET($P406,0,AU$13),15-13*ORÇAMENTO!$AF$7)*OFFSET(ORÇAMENTO!$W$15,ROW(AU406)-ROW(AU$15),0),15-13*ORÇAMENTO!$AF$11)),
         0)</f>
        <v>0</v>
      </c>
      <c r="AV406" s="453">
        <f ca="1">IF(AND($D406="Serviço",AV$12&lt;&gt;0,$H406&gt;0,OR(AUTOEVENTO&lt;&gt;"manual",$M406&lt;&gt;$A$15)),
        IF(Import.TipoArredondamento&lt;&gt;"TransfereGOV",
              ROUND(OFFSET($P406,0,AV$13),15-13*ORÇAMENTO!$AF$7)/$H406*OFFSET(ORÇAMENTO!$X$15,ROW(AV406)-ROW(AV$15),0),
              ROUND(ROUND(OFFSET($P406,0,AV$13),15-13*ORÇAMENTO!$AF$7)*OFFSET(ORÇAMENTO!$W$15,ROW(AV406)-ROW(AV$15),0),15-13*ORÇAMENTO!$AF$11)),
         0)</f>
        <v>0</v>
      </c>
      <c r="AW406" s="453">
        <f ca="1">IF(AND($D406="Serviço",AW$12&lt;&gt;0,$H406&gt;0,OR(AUTOEVENTO&lt;&gt;"manual",$M406&lt;&gt;$A$15)),
        IF(Import.TipoArredondamento&lt;&gt;"TransfereGOV",
              ROUND(OFFSET($P406,0,AW$13),15-13*ORÇAMENTO!$AF$7)/$H406*OFFSET(ORÇAMENTO!$X$15,ROW(AW406)-ROW(AW$15),0),
              ROUND(ROUND(OFFSET($P406,0,AW$13),15-13*ORÇAMENTO!$AF$7)*OFFSET(ORÇAMENTO!$W$15,ROW(AW406)-ROW(AW$15),0),15-13*ORÇAMENTO!$AF$11)),
         0)</f>
        <v>0</v>
      </c>
      <c r="AX406" s="453">
        <f ca="1">IF(AND($D406="Serviço",AX$12&lt;&gt;0,$H406&gt;0,OR(AUTOEVENTO&lt;&gt;"manual",$M406&lt;&gt;$A$15)),
        IF(Import.TipoArredondamento&lt;&gt;"TransfereGOV",
              ROUND(OFFSET($P406,0,AX$13),15-13*ORÇAMENTO!$AF$7)/$H406*OFFSET(ORÇAMENTO!$X$15,ROW(AX406)-ROW(AX$15),0),
              ROUND(ROUND(OFFSET($P406,0,AX$13),15-13*ORÇAMENTO!$AF$7)*OFFSET(ORÇAMENTO!$W$15,ROW(AX406)-ROW(AX$15),0),15-13*ORÇAMENTO!$AF$11)),
         0)</f>
        <v>0</v>
      </c>
      <c r="AY406" s="453">
        <f ca="1">IF(AND($D406="Serviço",AY$12&lt;&gt;0,$H406&gt;0,OR(AUTOEVENTO&lt;&gt;"manual",$M406&lt;&gt;$A$15)),
        IF(Import.TipoArredondamento&lt;&gt;"TransfereGOV",
              ROUND(OFFSET($P406,0,AY$13),15-13*ORÇAMENTO!$AF$7)/$H406*OFFSET(ORÇAMENTO!$X$15,ROW(AY406)-ROW(AY$15),0),
              ROUND(ROUND(OFFSET($P406,0,AY$13),15-13*ORÇAMENTO!$AF$7)*OFFSET(ORÇAMENTO!$W$15,ROW(AY406)-ROW(AY$15),0),15-13*ORÇAMENTO!$AF$11)),
         0)</f>
        <v>0</v>
      </c>
      <c r="AZ406" s="453">
        <f ca="1">IF(AND($D406="Serviço",AZ$12&lt;&gt;0,$H406&gt;0,OR(AUTOEVENTO&lt;&gt;"manual",$M406&lt;&gt;$A$15)),
        IF(Import.TipoArredondamento&lt;&gt;"TransfereGOV",
              ROUND(OFFSET($P406,0,AZ$13),15-13*ORÇAMENTO!$AF$7)/$H406*OFFSET(ORÇAMENTO!$X$15,ROW(AZ406)-ROW(AZ$15),0),
              ROUND(ROUND(OFFSET($P406,0,AZ$13),15-13*ORÇAMENTO!$AF$7)*OFFSET(ORÇAMENTO!$W$15,ROW(AZ406)-ROW(AZ$15),0),15-13*ORÇAMENTO!$AF$11)),
         0)</f>
        <v>0</v>
      </c>
      <c r="BA406" s="453">
        <f ca="1">IF(AND($D406="Serviço",BA$12&lt;&gt;0,$H406&gt;0,OR(AUTOEVENTO&lt;&gt;"manual",$M406&lt;&gt;$A$15)),
        IF(Import.TipoArredondamento&lt;&gt;"TransfereGOV",
              ROUND(OFFSET($P406,0,BA$13),15-13*ORÇAMENTO!$AF$7)/$H406*OFFSET(ORÇAMENTO!$X$15,ROW(BA406)-ROW(BA$15),0),
              ROUND(ROUND(OFFSET($P406,0,BA$13),15-13*ORÇAMENTO!$AF$7)*OFFSET(ORÇAMENTO!$W$15,ROW(BA406)-ROW(BA$15),0),15-13*ORÇAMENTO!$AF$11)),
         0)</f>
        <v>0</v>
      </c>
      <c r="BC406" s="171">
        <f ca="1">IF(OR($D406&lt;&gt;"Serviço",AND(AUTOEVENTO="Manual",$M406=$A$15)),0,
         IF(OFFSET(CRONOPLE!$F$15,$M406-$A$15,BC$13)=0,10^12,OFFSET(CRONOPLE!$F$15,$M406-$A$15,BC$13)))</f>
        <v>1</v>
      </c>
      <c r="BD406" s="171">
        <f ca="1">IF(OR($D406&lt;&gt;"Serviço",AND(AUTOEVENTO="Manual",$M406=$A$15)),0,
         IF(OFFSET(CRONOPLE!$F$15,$M406-$A$15,BD$13)=0,10^12,OFFSET(CRONOPLE!$F$15,$M406-$A$15,BD$13)))</f>
        <v>2</v>
      </c>
      <c r="BE406" s="171">
        <f ca="1">IF(OR($D406&lt;&gt;"Serviço",AND(AUTOEVENTO="Manual",$M406=$A$15)),0,
         IF(OFFSET(CRONOPLE!$F$15,$M406-$A$15,BE$13)=0,10^12,OFFSET(CRONOPLE!$F$15,$M406-$A$15,BE$13)))</f>
        <v>3</v>
      </c>
      <c r="BF406" s="171">
        <f ca="1">IF(OR($D406&lt;&gt;"Serviço",AND(AUTOEVENTO="Manual",$M406=$A$15)),0,
         IF(OFFSET(CRONOPLE!$F$15,$M406-$A$15,BF$13)=0,10^12,OFFSET(CRONOPLE!$F$15,$M406-$A$15,BF$13)))</f>
        <v>4</v>
      </c>
      <c r="BG406" s="171">
        <f ca="1">IF(OR($D406&lt;&gt;"Serviço",AND(AUTOEVENTO="Manual",$M406=$A$15)),0,
         IF(OFFSET(CRONOPLE!$F$15,$M406-$A$15,BG$13)=0,10^12,OFFSET(CRONOPLE!$F$15,$M406-$A$15,BG$13)))</f>
        <v>5</v>
      </c>
      <c r="BH406" s="171">
        <f ca="1">IF(OR($D406&lt;&gt;"Serviço",AND(AUTOEVENTO="Manual",$M406=$A$15)),0,
         IF(OFFSET(CRONOPLE!$F$15,$M406-$A$15,BH$13)=0,10^12,OFFSET(CRONOPLE!$F$15,$M406-$A$15,BH$13)))</f>
        <v>6</v>
      </c>
      <c r="BI406" s="171">
        <f ca="1">IF(OR($D406&lt;&gt;"Serviço",AND(AUTOEVENTO="Manual",$M406=$A$15)),0,
         IF(OFFSET(CRONOPLE!$F$15,$M406-$A$15,BI$13)=0,10^12,OFFSET(CRONOPLE!$F$15,$M406-$A$15,BI$13)))</f>
        <v>7</v>
      </c>
      <c r="BJ406" s="171">
        <f ca="1">IF(OR($D406&lt;&gt;"Serviço",AND(AUTOEVENTO="Manual",$M406=$A$15)),0,
         IF(OFFSET(CRONOPLE!$F$15,$M406-$A$15,BJ$13)=0,10^12,OFFSET(CRONOPLE!$F$15,$M406-$A$15,BJ$13)))</f>
        <v>8</v>
      </c>
      <c r="BK406" s="171">
        <f ca="1">IF(OR($D406&lt;&gt;"Serviço",AND(AUTOEVENTO="Manual",$M406=$A$15)),0,
         IF(OFFSET(CRONOPLE!$F$15,$M406-$A$15,BK$13)=0,10^12,OFFSET(CRONOPLE!$F$15,$M406-$A$15,BK$13)))</f>
        <v>9</v>
      </c>
      <c r="BL406" s="171">
        <f ca="1">IF(OR($D406&lt;&gt;"Serviço",AND(AUTOEVENTO="Manual",$M406=$A$15)),0,
         IF(OFFSET(CRONOPLE!$F$15,$M406-$A$15,BL$13)=0,10^12,OFFSET(CRONOPLE!$F$15,$M406-$A$15,BL$13)))</f>
        <v>1000000000000</v>
      </c>
      <c r="BM406" s="171">
        <f ca="1">IF(OR($D406&lt;&gt;"Serviço",AND(AUTOEVENTO="Manual",$M406=$A$15)),0,
         IF(OFFSET(CRONOPLE!$F$15,$M406-$A$15,BM$13)=0,10^12,OFFSET(CRONOPLE!$F$15,$M406-$A$15,BM$13)))</f>
        <v>1000000000000</v>
      </c>
      <c r="BN406" s="171">
        <f ca="1">IF(OR($D406&lt;&gt;"Serviço",AND(AUTOEVENTO="Manual",$M406=$A$15)),0,
         IF(OFFSET(CRONOPLE!$F$15,$M406-$A$15,BN$13)=0,10^12,OFFSET(CRONOPLE!$F$15,$M406-$A$15,BN$13)))</f>
        <v>1000000000000</v>
      </c>
      <c r="BO406" s="171">
        <f ca="1">IF(OR($D406&lt;&gt;"Serviço",AND(AUTOEVENTO="Manual",$M406=$A$15)),0,
         IF(OFFSET(CRONOPLE!$F$15,$M406-$A$15,BO$13)=0,10^12,OFFSET(CRONOPLE!$F$15,$M406-$A$15,BO$13)))</f>
        <v>1000000000000</v>
      </c>
      <c r="BP406" s="171">
        <f ca="1">IF(OR($D406&lt;&gt;"Serviço",AND(AUTOEVENTO="Manual",$M406=$A$15)),0,
         IF(OFFSET(CRONOPLE!$F$15,$M406-$A$15,BP$13)=0,10^12,OFFSET(CRONOPLE!$F$15,$M406-$A$15,BP$13)))</f>
        <v>1000000000000</v>
      </c>
      <c r="BQ406" s="171">
        <f ca="1">IF(OR($D406&lt;&gt;"Serviço",AND(AUTOEVENTO="Manual",$M406=$A$15)),0,
         IF(OFFSET(CRONOPLE!$F$15,$M406-$A$15,BQ$13)=0,10^12,OFFSET(CRONOPLE!$F$15,$M406-$A$15,BQ$13)))</f>
        <v>1000000000000</v>
      </c>
      <c r="BR406" s="171">
        <f ca="1">IF(OR($D406&lt;&gt;"Serviço",AND(AUTOEVENTO="Manual",$M406=$A$15)),0,
         IF(OFFSET(CRONOPLE!$F$15,$M406-$A$15,BR$13)=0,10^12,OFFSET(CRONOPLE!$F$15,$M406-$A$15,BR$13)))</f>
        <v>1000000000000</v>
      </c>
      <c r="BS406" s="171">
        <f ca="1">IF(OR($D406&lt;&gt;"Serviço",AND(AUTOEVENTO="Manual",$M406=$A$15)),0,
         IF(OFFSET(CRONOPLE!$F$15,$M406-$A$15,BS$13)=0,10^12,OFFSET(CRONOPLE!$F$15,$M406-$A$15,BS$13)))</f>
        <v>1000000000000</v>
      </c>
      <c r="BT406" s="171">
        <f ca="1">IF(OR($D406&lt;&gt;"Serviço",AND(AUTOEVENTO="Manual",$M406=$A$15)),0,
         IF(OFFSET(CRONOPLE!$F$15,$M406-$A$15,BT$13)=0,10^12,OFFSET(CRONOPLE!$F$15,$M406-$A$15,BT$13)))</f>
        <v>1000000000000</v>
      </c>
      <c r="BV406" s="172">
        <f ca="1">IF(OR($D406&lt;&gt;"Serviço",AND(AUTOEVENTO="Manual",$M406=$A$15),$M406&gt;(ROW(PLE.lastrow)-ROW(PLE.firstrow))),0,
           IF(OFFSET(PLE!$G$15,$M406-$A$15,BV$13)="",10^12,OFFSET(PLE!$G$15,$M406-$A$15,BV$13)))</f>
        <v>1000000000000</v>
      </c>
      <c r="BW406" s="172">
        <f ca="1">IF(OR($D406&lt;&gt;"Serviço",AND(AUTOEVENTO="Manual",$M406=$A$15),$M406&gt;(ROW(PLE.lastrow)-ROW(PLE.firstrow))),0,
           IF(OFFSET(PLE!$G$15,$M406-$A$15,BW$13)="",10^12,OFFSET(PLE!$G$15,$M406-$A$15,BW$13)))</f>
        <v>1000000000000</v>
      </c>
      <c r="BX406" s="172">
        <f ca="1">IF(OR($D406&lt;&gt;"Serviço",AND(AUTOEVENTO="Manual",$M406=$A$15),$M406&gt;(ROW(PLE.lastrow)-ROW(PLE.firstrow))),0,
           IF(OFFSET(PLE!$G$15,$M406-$A$15,BX$13)="",10^12,OFFSET(PLE!$G$15,$M406-$A$15,BX$13)))</f>
        <v>1000000000000</v>
      </c>
      <c r="BY406" s="172">
        <f ca="1">IF(OR($D406&lt;&gt;"Serviço",AND(AUTOEVENTO="Manual",$M406=$A$15),$M406&gt;(ROW(PLE.lastrow)-ROW(PLE.firstrow))),0,
           IF(OFFSET(PLE!$G$15,$M406-$A$15,BY$13)="",10^12,OFFSET(PLE!$G$15,$M406-$A$15,BY$13)))</f>
        <v>1000000000000</v>
      </c>
      <c r="BZ406" s="172">
        <f ca="1">IF(OR($D406&lt;&gt;"Serviço",AND(AUTOEVENTO="Manual",$M406=$A$15),$M406&gt;(ROW(PLE.lastrow)-ROW(PLE.firstrow))),0,
           IF(OFFSET(PLE!$G$15,$M406-$A$15,BZ$13)="",10^12,OFFSET(PLE!$G$15,$M406-$A$15,BZ$13)))</f>
        <v>1000000000000</v>
      </c>
      <c r="CA406" s="172">
        <f ca="1">IF(OR($D406&lt;&gt;"Serviço",AND(AUTOEVENTO="Manual",$M406=$A$15),$M406&gt;(ROW(PLE.lastrow)-ROW(PLE.firstrow))),0,
           IF(OFFSET(PLE!$G$15,$M406-$A$15,CA$13)="",10^12,OFFSET(PLE!$G$15,$M406-$A$15,CA$13)))</f>
        <v>1000000000000</v>
      </c>
      <c r="CB406" s="172">
        <f ca="1">IF(OR($D406&lt;&gt;"Serviço",AND(AUTOEVENTO="Manual",$M406=$A$15),$M406&gt;(ROW(PLE.lastrow)-ROW(PLE.firstrow))),0,
           IF(OFFSET(PLE!$G$15,$M406-$A$15,CB$13)="",10^12,OFFSET(PLE!$G$15,$M406-$A$15,CB$13)))</f>
        <v>1000000000000</v>
      </c>
      <c r="CC406" s="172">
        <f ca="1">IF(OR($D406&lt;&gt;"Serviço",AND(AUTOEVENTO="Manual",$M406=$A$15),$M406&gt;(ROW(PLE.lastrow)-ROW(PLE.firstrow))),0,
           IF(OFFSET(PLE!$G$15,$M406-$A$15,CC$13)="",10^12,OFFSET(PLE!$G$15,$M406-$A$15,CC$13)))</f>
        <v>1000000000000</v>
      </c>
      <c r="CD406" s="172">
        <f ca="1">IF(OR($D406&lt;&gt;"Serviço",AND(AUTOEVENTO="Manual",$M406=$A$15),$M406&gt;(ROW(PLE.lastrow)-ROW(PLE.firstrow))),0,
           IF(OFFSET(PLE!$G$15,$M406-$A$15,CD$13)="",10^12,OFFSET(PLE!$G$15,$M406-$A$15,CD$13)))</f>
        <v>1000000000000</v>
      </c>
      <c r="CE406" s="172">
        <f ca="1">IF(OR($D406&lt;&gt;"Serviço",AND(AUTOEVENTO="Manual",$M406=$A$15),$M406&gt;(ROW(PLE.lastrow)-ROW(PLE.firstrow))),0,
           IF(OFFSET(PLE!$G$15,$M406-$A$15,CE$13)="",10^12,OFFSET(PLE!$G$15,$M406-$A$15,CE$13)))</f>
        <v>1000000000000</v>
      </c>
      <c r="CF406" s="172">
        <f ca="1">IF(OR($D406&lt;&gt;"Serviço",AND(AUTOEVENTO="Manual",$M406=$A$15),$M406&gt;(ROW(PLE.lastrow)-ROW(PLE.firstrow))),0,
           IF(OFFSET(PLE!$G$15,$M406-$A$15,CF$13)="",10^12,OFFSET(PLE!$G$15,$M406-$A$15,CF$13)))</f>
        <v>1000000000000</v>
      </c>
      <c r="CG406" s="172">
        <f ca="1">IF(OR($D406&lt;&gt;"Serviço",AND(AUTOEVENTO="Manual",$M406=$A$15),$M406&gt;(ROW(PLE.lastrow)-ROW(PLE.firstrow))),0,
           IF(OFFSET(PLE!$G$15,$M406-$A$15,CG$13)="",10^12,OFFSET(PLE!$G$15,$M406-$A$15,CG$13)))</f>
        <v>1000000000000</v>
      </c>
      <c r="CH406" s="172">
        <f ca="1">IF(OR($D406&lt;&gt;"Serviço",AND(AUTOEVENTO="Manual",$M406=$A$15),$M406&gt;(ROW(PLE.lastrow)-ROW(PLE.firstrow))),0,
           IF(OFFSET(PLE!$G$15,$M406-$A$15,CH$13)="",10^12,OFFSET(PLE!$G$15,$M406-$A$15,CH$13)))</f>
        <v>1000000000000</v>
      </c>
      <c r="CI406" s="172">
        <f ca="1">IF(OR($D406&lt;&gt;"Serviço",AND(AUTOEVENTO="Manual",$M406=$A$15),$M406&gt;(ROW(PLE.lastrow)-ROW(PLE.firstrow))),0,
           IF(OFFSET(PLE!$G$15,$M406-$A$15,CI$13)="",10^12,OFFSET(PLE!$G$15,$M406-$A$15,CI$13)))</f>
        <v>1000000000000</v>
      </c>
      <c r="CJ406" s="172">
        <f ca="1">IF(OR($D406&lt;&gt;"Serviço",AND(AUTOEVENTO="Manual",$M406=$A$15),$M406&gt;(ROW(PLE.lastrow)-ROW(PLE.firstrow))),0,
           IF(OFFSET(PLE!$G$15,$M406-$A$15,CJ$13)="",10^12,OFFSET(PLE!$G$15,$M406-$A$15,CJ$13)))</f>
        <v>1000000000000</v>
      </c>
      <c r="CK406" s="172">
        <f ca="1">IF(OR($D406&lt;&gt;"Serviço",AND(AUTOEVENTO="Manual",$M406=$A$15),$M406&gt;(ROW(PLE.lastrow)-ROW(PLE.firstrow))),0,
           IF(OFFSET(PLE!$G$15,$M406-$A$15,CK$13)="",10^12,OFFSET(PLE!$G$15,$M406-$A$15,CK$13)))</f>
        <v>1000000000000</v>
      </c>
      <c r="CL406" s="172">
        <f ca="1">IF(OR($D406&lt;&gt;"Serviço",AND(AUTOEVENTO="Manual",$M406=$A$15),$M406&gt;(ROW(PLE.lastrow)-ROW(PLE.firstrow))),0,
           IF(OFFSET(PLE!$G$15,$M406-$A$15,CL$13)="",10^12,OFFSET(PLE!$G$15,$M406-$A$15,CL$13)))</f>
        <v>1000000000000</v>
      </c>
      <c r="CM406" s="172">
        <f ca="1">IF(OR($D406&lt;&gt;"Serviço",AND(AUTOEVENTO="Manual",$M406=$A$15),$M406&gt;(ROW(PLE.lastrow)-ROW(PLE.firstrow))),0,
           IF(OFFSET(PLE!$G$15,$M406-$A$15,CM$13)="",10^12,OFFSET(PLE!$G$15,$M406-$A$15,CM$13)))</f>
        <v>1000000000000</v>
      </c>
    </row>
    <row r="407" spans="1:91" ht="38.25" x14ac:dyDescent="0.2">
      <c r="A407" s="7">
        <f t="shared" ca="1" si="16"/>
        <v>7</v>
      </c>
      <c r="B407" s="7" t="str">
        <f ca="1">OFFSET(ORÇAMENTO!C$15,ROW(B407)-ROW(B$15),0)</f>
        <v>S</v>
      </c>
      <c r="C407" s="7" t="str">
        <f ca="1">OFFSET(ORÇAMENTO!L$15,ROW(C407)-ROW(C$15),0)</f>
        <v>F</v>
      </c>
      <c r="D407" s="116" t="str">
        <f ca="1">OFFSET(ORÇAMENTO!N$15,ROW(D407)-ROW(D$15),0)</f>
        <v>Serviço</v>
      </c>
      <c r="E407" s="117" t="str">
        <f ca="1">OFFSET(ORÇAMENTO!O$15,ROW(E407)-ROW(E$15),0)</f>
        <v>1.8.2.3.7.</v>
      </c>
      <c r="F407" s="163" t="str">
        <f ca="1">OFFSET(ORÇAMENTO!R$15,ROW(F407)-ROW(F$15),0)</f>
        <v>CABO DE COBRE FLEXÍVEL, CLASSE 5, ISOLAMENTO TIPO EPR/HEPR, NÃO HALOGENADO, ANTICHAMA, TERMOFIXO, UNIPOLAR, SEÇÃO 95 MM2, 90°C, 0,6/1KV</v>
      </c>
      <c r="G407" s="164" t="str">
        <f ca="1">IF($D407&lt;&gt;"Serviço","",OFFSET(ORÇAMENTO!S$15,ROW(G407)-ROW(G$15),0))</f>
        <v>M</v>
      </c>
      <c r="H407" s="122" cm="1">
        <f t="array" aca="1" ref="H407" ca="1">IF($D407&lt;&gt;"Serviço",0,IF(ACOMPANHAMENTO="BM",ROUND(OFFSET(ORÇAMENTO!AJ$15,ROW(H407)-ROW(H$15),0),15-13*ORÇAMENTO!$AF$7),SUMPRODUCT(($Q$1:$AI$1=1)*ROUND($Q407:$AI407,15-13*ORÇAMENTO!$AF$7))))</f>
        <v>321</v>
      </c>
      <c r="I407" s="468" t="s">
        <v>1431</v>
      </c>
      <c r="J407" s="640" t="str" cm="1">
        <f t="array" aca="1" ref="J407" ca="1">IF(OR(B407&lt;&gt;"S",CÁLCULO.FrentesPreenchidas=0),"",IF(AND(ACOMPANHAMENTO="PLE",AUTOEVENTO="Manual",OR(H407&gt;0,ORÇAMENTO!AC407="QUANT."),OR(K407="",M407=0,N407="")),"►E",IF(AND(ACOMPANHAMENTO="PLE",ORÇAMENTO!AC407="QUANT."),"►Q",IF(AND(ACOMPANHAMENTO="PLE",H407&lt;&gt;SUMPRODUCT(($Q$1:$AI$1=1)*ROUND(Q407:AI407,15))),"►S",IF(AND(COUNTIF($P$11:$AI$11,"▼")=0,H407&gt;0,I407=""),"◄M","")))))</f>
        <v/>
      </c>
      <c r="K407" s="641" t="s">
        <v>1391</v>
      </c>
      <c r="L407" s="165" t="s">
        <v>764</v>
      </c>
      <c r="M407" s="166">
        <f ca="1">IF($D407&lt;&gt;"Serviço","",
          IF(AUTOEVENTO="manual",$A407,
                IF(ISERROR(MATCH($A407,$A$15:OFFSET($A407,-1,0),0)),MAX($M$15:OFFSET(M407,-1,0))+1,
                      INDEX($M$15:OFFSET(M407,-1,0),MATCH($A407,$A$15:OFFSET($A407,-1,0),0)))))</f>
        <v>7</v>
      </c>
      <c r="N407" s="167" t="str">
        <f ca="1">IF($D407&lt;&gt;"Serviço","",
         IF(AUTOEVENTO="Manual",
                IF($A407=0,"&lt;-- defina o número do agrupador",
                       OFFSET(EVENTOS!$D$15,$A407-$A$15,0)),
                OFFSET($F$15,$A407,0)))</f>
        <v>Instalações Elétricas</v>
      </c>
      <c r="O407" s="168"/>
      <c r="Q407" s="168"/>
      <c r="R407" s="169"/>
      <c r="S407" s="169"/>
      <c r="T407" s="169"/>
      <c r="U407" s="169"/>
      <c r="V407" s="169"/>
      <c r="W407" s="169"/>
      <c r="X407" s="169">
        <v>321</v>
      </c>
      <c r="Y407" s="169"/>
      <c r="Z407" s="170"/>
      <c r="AA407" s="169"/>
      <c r="AB407" s="169"/>
      <c r="AC407" s="169"/>
      <c r="AD407" s="169"/>
      <c r="AE407" s="169"/>
      <c r="AF407" s="169"/>
      <c r="AG407" s="169"/>
      <c r="AH407" s="170"/>
      <c r="AJ407" s="453">
        <f ca="1">IF(AND($D407="Serviço",AJ$12&lt;&gt;0,$H407&gt;0,OR(AUTOEVENTO&lt;&gt;"manual",$M407&lt;&gt;$A$15)),
        IF(Import.TipoArredondamento&lt;&gt;"TransfereGOV",
              ROUND(OFFSET($P407,0,AJ$13),15-13*ORÇAMENTO!$AF$7)/$H407*OFFSET(ORÇAMENTO!$X$15,ROW(AJ407)-ROW(AJ$15),0),
              ROUND(ROUND(OFFSET($P407,0,AJ$13),15-13*ORÇAMENTO!$AF$7)*OFFSET(ORÇAMENTO!$W$15,ROW(AJ407)-ROW(AJ$15),0),15-13*ORÇAMENTO!$AF$11)),
         0)</f>
        <v>0</v>
      </c>
      <c r="AK407" s="453">
        <f ca="1">IF(AND($D407="Serviço",AK$12&lt;&gt;0,$H407&gt;0,OR(AUTOEVENTO&lt;&gt;"manual",$M407&lt;&gt;$A$15)),
        IF(Import.TipoArredondamento&lt;&gt;"TransfereGOV",
              ROUND(OFFSET($P407,0,AK$13),15-13*ORÇAMENTO!$AF$7)/$H407*OFFSET(ORÇAMENTO!$X$15,ROW(AK407)-ROW(AK$15),0),
              ROUND(ROUND(OFFSET($P407,0,AK$13),15-13*ORÇAMENTO!$AF$7)*OFFSET(ORÇAMENTO!$W$15,ROW(AK407)-ROW(AK$15),0),15-13*ORÇAMENTO!$AF$11)),
         0)</f>
        <v>0</v>
      </c>
      <c r="AL407" s="453">
        <f ca="1">IF(AND($D407="Serviço",AL$12&lt;&gt;0,$H407&gt;0,OR(AUTOEVENTO&lt;&gt;"manual",$M407&lt;&gt;$A$15)),
        IF(Import.TipoArredondamento&lt;&gt;"TransfereGOV",
              ROUND(OFFSET($P407,0,AL$13),15-13*ORÇAMENTO!$AF$7)/$H407*OFFSET(ORÇAMENTO!$X$15,ROW(AL407)-ROW(AL$15),0),
              ROUND(ROUND(OFFSET($P407,0,AL$13),15-13*ORÇAMENTO!$AF$7)*OFFSET(ORÇAMENTO!$W$15,ROW(AL407)-ROW(AL$15),0),15-13*ORÇAMENTO!$AF$11)),
         0)</f>
        <v>0</v>
      </c>
      <c r="AM407" s="453">
        <f ca="1">IF(AND($D407="Serviço",AM$12&lt;&gt;0,$H407&gt;0,OR(AUTOEVENTO&lt;&gt;"manual",$M407&lt;&gt;$A$15)),
        IF(Import.TipoArredondamento&lt;&gt;"TransfereGOV",
              ROUND(OFFSET($P407,0,AM$13),15-13*ORÇAMENTO!$AF$7)/$H407*OFFSET(ORÇAMENTO!$X$15,ROW(AM407)-ROW(AM$15),0),
              ROUND(ROUND(OFFSET($P407,0,AM$13),15-13*ORÇAMENTO!$AF$7)*OFFSET(ORÇAMENTO!$W$15,ROW(AM407)-ROW(AM$15),0),15-13*ORÇAMENTO!$AF$11)),
         0)</f>
        <v>0</v>
      </c>
      <c r="AN407" s="453">
        <f ca="1">IF(AND($D407="Serviço",AN$12&lt;&gt;0,$H407&gt;0,OR(AUTOEVENTO&lt;&gt;"manual",$M407&lt;&gt;$A$15)),
        IF(Import.TipoArredondamento&lt;&gt;"TransfereGOV",
              ROUND(OFFSET($P407,0,AN$13),15-13*ORÇAMENTO!$AF$7)/$H407*OFFSET(ORÇAMENTO!$X$15,ROW(AN407)-ROW(AN$15),0),
              ROUND(ROUND(OFFSET($P407,0,AN$13),15-13*ORÇAMENTO!$AF$7)*OFFSET(ORÇAMENTO!$W$15,ROW(AN407)-ROW(AN$15),0),15-13*ORÇAMENTO!$AF$11)),
         0)</f>
        <v>0</v>
      </c>
      <c r="AO407" s="453">
        <f ca="1">IF(AND($D407="Serviço",AO$12&lt;&gt;0,$H407&gt;0,OR(AUTOEVENTO&lt;&gt;"manual",$M407&lt;&gt;$A$15)),
        IF(Import.TipoArredondamento&lt;&gt;"TransfereGOV",
              ROUND(OFFSET($P407,0,AO$13),15-13*ORÇAMENTO!$AF$7)/$H407*OFFSET(ORÇAMENTO!$X$15,ROW(AO407)-ROW(AO$15),0),
              ROUND(ROUND(OFFSET($P407,0,AO$13),15-13*ORÇAMENTO!$AF$7)*OFFSET(ORÇAMENTO!$W$15,ROW(AO407)-ROW(AO$15),0),15-13*ORÇAMENTO!$AF$11)),
         0)</f>
        <v>0</v>
      </c>
      <c r="AP407" s="453">
        <f ca="1">IF(AND($D407="Serviço",AP$12&lt;&gt;0,$H407&gt;0,OR(AUTOEVENTO&lt;&gt;"manual",$M407&lt;&gt;$A$15)),
        IF(Import.TipoArredondamento&lt;&gt;"TransfereGOV",
              ROUND(OFFSET($P407,0,AP$13),15-13*ORÇAMENTO!$AF$7)/$H407*OFFSET(ORÇAMENTO!$X$15,ROW(AP407)-ROW(AP$15),0),
              ROUND(ROUND(OFFSET($P407,0,AP$13),15-13*ORÇAMENTO!$AF$7)*OFFSET(ORÇAMENTO!$W$15,ROW(AP407)-ROW(AP$15),0),15-13*ORÇAMENTO!$AF$11)),
         0)</f>
        <v>0</v>
      </c>
      <c r="AQ407" s="453">
        <f ca="1">IF(AND($D407="Serviço",AQ$12&lt;&gt;0,$H407&gt;0,OR(AUTOEVENTO&lt;&gt;"manual",$M407&lt;&gt;$A$15)),
        IF(Import.TipoArredondamento&lt;&gt;"TransfereGOV",
              ROUND(OFFSET($P407,0,AQ$13),15-13*ORÇAMENTO!$AF$7)/$H407*OFFSET(ORÇAMENTO!$X$15,ROW(AQ407)-ROW(AQ$15),0),
              ROUND(ROUND(OFFSET($P407,0,AQ$13),15-13*ORÇAMENTO!$AF$7)*OFFSET(ORÇAMENTO!$W$15,ROW(AQ407)-ROW(AQ$15),0),15-13*ORÇAMENTO!$AF$11)),
         0)</f>
        <v>0</v>
      </c>
      <c r="AR407" s="453">
        <f ca="1">IF(AND($D407="Serviço",AR$12&lt;&gt;0,$H407&gt;0,OR(AUTOEVENTO&lt;&gt;"manual",$M407&lt;&gt;$A$15)),
        IF(Import.TipoArredondamento&lt;&gt;"TransfereGOV",
              ROUND(OFFSET($P407,0,AR$13),15-13*ORÇAMENTO!$AF$7)/$H407*OFFSET(ORÇAMENTO!$X$15,ROW(AR407)-ROW(AR$15),0),
              ROUND(ROUND(OFFSET($P407,0,AR$13),15-13*ORÇAMENTO!$AF$7)*OFFSET(ORÇAMENTO!$W$15,ROW(AR407)-ROW(AR$15),0),15-13*ORÇAMENTO!$AF$11)),
         0)</f>
        <v>0</v>
      </c>
      <c r="AS407" s="453">
        <f ca="1">IF(AND($D407="Serviço",AS$12&lt;&gt;0,$H407&gt;0,OR(AUTOEVENTO&lt;&gt;"manual",$M407&lt;&gt;$A$15)),
        IF(Import.TipoArredondamento&lt;&gt;"TransfereGOV",
              ROUND(OFFSET($P407,0,AS$13),15-13*ORÇAMENTO!$AF$7)/$H407*OFFSET(ORÇAMENTO!$X$15,ROW(AS407)-ROW(AS$15),0),
              ROUND(ROUND(OFFSET($P407,0,AS$13),15-13*ORÇAMENTO!$AF$7)*OFFSET(ORÇAMENTO!$W$15,ROW(AS407)-ROW(AS$15),0),15-13*ORÇAMENTO!$AF$11)),
         0)</f>
        <v>0</v>
      </c>
      <c r="AT407" s="453">
        <f ca="1">IF(AND($D407="Serviço",AT$12&lt;&gt;0,$H407&gt;0,OR(AUTOEVENTO&lt;&gt;"manual",$M407&lt;&gt;$A$15)),
        IF(Import.TipoArredondamento&lt;&gt;"TransfereGOV",
              ROUND(OFFSET($P407,0,AT$13),15-13*ORÇAMENTO!$AF$7)/$H407*OFFSET(ORÇAMENTO!$X$15,ROW(AT407)-ROW(AT$15),0),
              ROUND(ROUND(OFFSET($P407,0,AT$13),15-13*ORÇAMENTO!$AF$7)*OFFSET(ORÇAMENTO!$W$15,ROW(AT407)-ROW(AT$15),0),15-13*ORÇAMENTO!$AF$11)),
         0)</f>
        <v>0</v>
      </c>
      <c r="AU407" s="453">
        <f ca="1">IF(AND($D407="Serviço",AU$12&lt;&gt;0,$H407&gt;0,OR(AUTOEVENTO&lt;&gt;"manual",$M407&lt;&gt;$A$15)),
        IF(Import.TipoArredondamento&lt;&gt;"TransfereGOV",
              ROUND(OFFSET($P407,0,AU$13),15-13*ORÇAMENTO!$AF$7)/$H407*OFFSET(ORÇAMENTO!$X$15,ROW(AU407)-ROW(AU$15),0),
              ROUND(ROUND(OFFSET($P407,0,AU$13),15-13*ORÇAMENTO!$AF$7)*OFFSET(ORÇAMENTO!$W$15,ROW(AU407)-ROW(AU$15),0),15-13*ORÇAMENTO!$AF$11)),
         0)</f>
        <v>0</v>
      </c>
      <c r="AV407" s="453">
        <f ca="1">IF(AND($D407="Serviço",AV$12&lt;&gt;0,$H407&gt;0,OR(AUTOEVENTO&lt;&gt;"manual",$M407&lt;&gt;$A$15)),
        IF(Import.TipoArredondamento&lt;&gt;"TransfereGOV",
              ROUND(OFFSET($P407,0,AV$13),15-13*ORÇAMENTO!$AF$7)/$H407*OFFSET(ORÇAMENTO!$X$15,ROW(AV407)-ROW(AV$15),0),
              ROUND(ROUND(OFFSET($P407,0,AV$13),15-13*ORÇAMENTO!$AF$7)*OFFSET(ORÇAMENTO!$W$15,ROW(AV407)-ROW(AV$15),0),15-13*ORÇAMENTO!$AF$11)),
         0)</f>
        <v>0</v>
      </c>
      <c r="AW407" s="453">
        <f ca="1">IF(AND($D407="Serviço",AW$12&lt;&gt;0,$H407&gt;0,OR(AUTOEVENTO&lt;&gt;"manual",$M407&lt;&gt;$A$15)),
        IF(Import.TipoArredondamento&lt;&gt;"TransfereGOV",
              ROUND(OFFSET($P407,0,AW$13),15-13*ORÇAMENTO!$AF$7)/$H407*OFFSET(ORÇAMENTO!$X$15,ROW(AW407)-ROW(AW$15),0),
              ROUND(ROUND(OFFSET($P407,0,AW$13),15-13*ORÇAMENTO!$AF$7)*OFFSET(ORÇAMENTO!$W$15,ROW(AW407)-ROW(AW$15),0),15-13*ORÇAMENTO!$AF$11)),
         0)</f>
        <v>0</v>
      </c>
      <c r="AX407" s="453">
        <f ca="1">IF(AND($D407="Serviço",AX$12&lt;&gt;0,$H407&gt;0,OR(AUTOEVENTO&lt;&gt;"manual",$M407&lt;&gt;$A$15)),
        IF(Import.TipoArredondamento&lt;&gt;"TransfereGOV",
              ROUND(OFFSET($P407,0,AX$13),15-13*ORÇAMENTO!$AF$7)/$H407*OFFSET(ORÇAMENTO!$X$15,ROW(AX407)-ROW(AX$15),0),
              ROUND(ROUND(OFFSET($P407,0,AX$13),15-13*ORÇAMENTO!$AF$7)*OFFSET(ORÇAMENTO!$W$15,ROW(AX407)-ROW(AX$15),0),15-13*ORÇAMENTO!$AF$11)),
         0)</f>
        <v>0</v>
      </c>
      <c r="AY407" s="453">
        <f ca="1">IF(AND($D407="Serviço",AY$12&lt;&gt;0,$H407&gt;0,OR(AUTOEVENTO&lt;&gt;"manual",$M407&lt;&gt;$A$15)),
        IF(Import.TipoArredondamento&lt;&gt;"TransfereGOV",
              ROUND(OFFSET($P407,0,AY$13),15-13*ORÇAMENTO!$AF$7)/$H407*OFFSET(ORÇAMENTO!$X$15,ROW(AY407)-ROW(AY$15),0),
              ROUND(ROUND(OFFSET($P407,0,AY$13),15-13*ORÇAMENTO!$AF$7)*OFFSET(ORÇAMENTO!$W$15,ROW(AY407)-ROW(AY$15),0),15-13*ORÇAMENTO!$AF$11)),
         0)</f>
        <v>0</v>
      </c>
      <c r="AZ407" s="453">
        <f ca="1">IF(AND($D407="Serviço",AZ$12&lt;&gt;0,$H407&gt;0,OR(AUTOEVENTO&lt;&gt;"manual",$M407&lt;&gt;$A$15)),
        IF(Import.TipoArredondamento&lt;&gt;"TransfereGOV",
              ROUND(OFFSET($P407,0,AZ$13),15-13*ORÇAMENTO!$AF$7)/$H407*OFFSET(ORÇAMENTO!$X$15,ROW(AZ407)-ROW(AZ$15),0),
              ROUND(ROUND(OFFSET($P407,0,AZ$13),15-13*ORÇAMENTO!$AF$7)*OFFSET(ORÇAMENTO!$W$15,ROW(AZ407)-ROW(AZ$15),0),15-13*ORÇAMENTO!$AF$11)),
         0)</f>
        <v>0</v>
      </c>
      <c r="BA407" s="453">
        <f ca="1">IF(AND($D407="Serviço",BA$12&lt;&gt;0,$H407&gt;0,OR(AUTOEVENTO&lt;&gt;"manual",$M407&lt;&gt;$A$15)),
        IF(Import.TipoArredondamento&lt;&gt;"TransfereGOV",
              ROUND(OFFSET($P407,0,BA$13),15-13*ORÇAMENTO!$AF$7)/$H407*OFFSET(ORÇAMENTO!$X$15,ROW(BA407)-ROW(BA$15),0),
              ROUND(ROUND(OFFSET($P407,0,BA$13),15-13*ORÇAMENTO!$AF$7)*OFFSET(ORÇAMENTO!$W$15,ROW(BA407)-ROW(BA$15),0),15-13*ORÇAMENTO!$AF$11)),
         0)</f>
        <v>0</v>
      </c>
      <c r="BC407" s="171">
        <f ca="1">IF(OR($D407&lt;&gt;"Serviço",AND(AUTOEVENTO="Manual",$M407=$A$15)),0,
         IF(OFFSET(CRONOPLE!$F$15,$M407-$A$15,BC$13)=0,10^12,OFFSET(CRONOPLE!$F$15,$M407-$A$15,BC$13)))</f>
        <v>1</v>
      </c>
      <c r="BD407" s="171">
        <f ca="1">IF(OR($D407&lt;&gt;"Serviço",AND(AUTOEVENTO="Manual",$M407=$A$15)),0,
         IF(OFFSET(CRONOPLE!$F$15,$M407-$A$15,BD$13)=0,10^12,OFFSET(CRONOPLE!$F$15,$M407-$A$15,BD$13)))</f>
        <v>2</v>
      </c>
      <c r="BE407" s="171">
        <f ca="1">IF(OR($D407&lt;&gt;"Serviço",AND(AUTOEVENTO="Manual",$M407=$A$15)),0,
         IF(OFFSET(CRONOPLE!$F$15,$M407-$A$15,BE$13)=0,10^12,OFFSET(CRONOPLE!$F$15,$M407-$A$15,BE$13)))</f>
        <v>3</v>
      </c>
      <c r="BF407" s="171">
        <f ca="1">IF(OR($D407&lt;&gt;"Serviço",AND(AUTOEVENTO="Manual",$M407=$A$15)),0,
         IF(OFFSET(CRONOPLE!$F$15,$M407-$A$15,BF$13)=0,10^12,OFFSET(CRONOPLE!$F$15,$M407-$A$15,BF$13)))</f>
        <v>4</v>
      </c>
      <c r="BG407" s="171">
        <f ca="1">IF(OR($D407&lt;&gt;"Serviço",AND(AUTOEVENTO="Manual",$M407=$A$15)),0,
         IF(OFFSET(CRONOPLE!$F$15,$M407-$A$15,BG$13)=0,10^12,OFFSET(CRONOPLE!$F$15,$M407-$A$15,BG$13)))</f>
        <v>5</v>
      </c>
      <c r="BH407" s="171">
        <f ca="1">IF(OR($D407&lt;&gt;"Serviço",AND(AUTOEVENTO="Manual",$M407=$A$15)),0,
         IF(OFFSET(CRONOPLE!$F$15,$M407-$A$15,BH$13)=0,10^12,OFFSET(CRONOPLE!$F$15,$M407-$A$15,BH$13)))</f>
        <v>6</v>
      </c>
      <c r="BI407" s="171">
        <f ca="1">IF(OR($D407&lt;&gt;"Serviço",AND(AUTOEVENTO="Manual",$M407=$A$15)),0,
         IF(OFFSET(CRONOPLE!$F$15,$M407-$A$15,BI$13)=0,10^12,OFFSET(CRONOPLE!$F$15,$M407-$A$15,BI$13)))</f>
        <v>7</v>
      </c>
      <c r="BJ407" s="171">
        <f ca="1">IF(OR($D407&lt;&gt;"Serviço",AND(AUTOEVENTO="Manual",$M407=$A$15)),0,
         IF(OFFSET(CRONOPLE!$F$15,$M407-$A$15,BJ$13)=0,10^12,OFFSET(CRONOPLE!$F$15,$M407-$A$15,BJ$13)))</f>
        <v>8</v>
      </c>
      <c r="BK407" s="171">
        <f ca="1">IF(OR($D407&lt;&gt;"Serviço",AND(AUTOEVENTO="Manual",$M407=$A$15)),0,
         IF(OFFSET(CRONOPLE!$F$15,$M407-$A$15,BK$13)=0,10^12,OFFSET(CRONOPLE!$F$15,$M407-$A$15,BK$13)))</f>
        <v>9</v>
      </c>
      <c r="BL407" s="171">
        <f ca="1">IF(OR($D407&lt;&gt;"Serviço",AND(AUTOEVENTO="Manual",$M407=$A$15)),0,
         IF(OFFSET(CRONOPLE!$F$15,$M407-$A$15,BL$13)=0,10^12,OFFSET(CRONOPLE!$F$15,$M407-$A$15,BL$13)))</f>
        <v>1000000000000</v>
      </c>
      <c r="BM407" s="171">
        <f ca="1">IF(OR($D407&lt;&gt;"Serviço",AND(AUTOEVENTO="Manual",$M407=$A$15)),0,
         IF(OFFSET(CRONOPLE!$F$15,$M407-$A$15,BM$13)=0,10^12,OFFSET(CRONOPLE!$F$15,$M407-$A$15,BM$13)))</f>
        <v>1000000000000</v>
      </c>
      <c r="BN407" s="171">
        <f ca="1">IF(OR($D407&lt;&gt;"Serviço",AND(AUTOEVENTO="Manual",$M407=$A$15)),0,
         IF(OFFSET(CRONOPLE!$F$15,$M407-$A$15,BN$13)=0,10^12,OFFSET(CRONOPLE!$F$15,$M407-$A$15,BN$13)))</f>
        <v>1000000000000</v>
      </c>
      <c r="BO407" s="171">
        <f ca="1">IF(OR($D407&lt;&gt;"Serviço",AND(AUTOEVENTO="Manual",$M407=$A$15)),0,
         IF(OFFSET(CRONOPLE!$F$15,$M407-$A$15,BO$13)=0,10^12,OFFSET(CRONOPLE!$F$15,$M407-$A$15,BO$13)))</f>
        <v>1000000000000</v>
      </c>
      <c r="BP407" s="171">
        <f ca="1">IF(OR($D407&lt;&gt;"Serviço",AND(AUTOEVENTO="Manual",$M407=$A$15)),0,
         IF(OFFSET(CRONOPLE!$F$15,$M407-$A$15,BP$13)=0,10^12,OFFSET(CRONOPLE!$F$15,$M407-$A$15,BP$13)))</f>
        <v>1000000000000</v>
      </c>
      <c r="BQ407" s="171">
        <f ca="1">IF(OR($D407&lt;&gt;"Serviço",AND(AUTOEVENTO="Manual",$M407=$A$15)),0,
         IF(OFFSET(CRONOPLE!$F$15,$M407-$A$15,BQ$13)=0,10^12,OFFSET(CRONOPLE!$F$15,$M407-$A$15,BQ$13)))</f>
        <v>1000000000000</v>
      </c>
      <c r="BR407" s="171">
        <f ca="1">IF(OR($D407&lt;&gt;"Serviço",AND(AUTOEVENTO="Manual",$M407=$A$15)),0,
         IF(OFFSET(CRONOPLE!$F$15,$M407-$A$15,BR$13)=0,10^12,OFFSET(CRONOPLE!$F$15,$M407-$A$15,BR$13)))</f>
        <v>1000000000000</v>
      </c>
      <c r="BS407" s="171">
        <f ca="1">IF(OR($D407&lt;&gt;"Serviço",AND(AUTOEVENTO="Manual",$M407=$A$15)),0,
         IF(OFFSET(CRONOPLE!$F$15,$M407-$A$15,BS$13)=0,10^12,OFFSET(CRONOPLE!$F$15,$M407-$A$15,BS$13)))</f>
        <v>1000000000000</v>
      </c>
      <c r="BT407" s="171">
        <f ca="1">IF(OR($D407&lt;&gt;"Serviço",AND(AUTOEVENTO="Manual",$M407=$A$15)),0,
         IF(OFFSET(CRONOPLE!$F$15,$M407-$A$15,BT$13)=0,10^12,OFFSET(CRONOPLE!$F$15,$M407-$A$15,BT$13)))</f>
        <v>1000000000000</v>
      </c>
      <c r="BV407" s="172">
        <f ca="1">IF(OR($D407&lt;&gt;"Serviço",AND(AUTOEVENTO="Manual",$M407=$A$15),$M407&gt;(ROW(PLE.lastrow)-ROW(PLE.firstrow))),0,
           IF(OFFSET(PLE!$G$15,$M407-$A$15,BV$13)="",10^12,OFFSET(PLE!$G$15,$M407-$A$15,BV$13)))</f>
        <v>1000000000000</v>
      </c>
      <c r="BW407" s="172">
        <f ca="1">IF(OR($D407&lt;&gt;"Serviço",AND(AUTOEVENTO="Manual",$M407=$A$15),$M407&gt;(ROW(PLE.lastrow)-ROW(PLE.firstrow))),0,
           IF(OFFSET(PLE!$G$15,$M407-$A$15,BW$13)="",10^12,OFFSET(PLE!$G$15,$M407-$A$15,BW$13)))</f>
        <v>1000000000000</v>
      </c>
      <c r="BX407" s="172">
        <f ca="1">IF(OR($D407&lt;&gt;"Serviço",AND(AUTOEVENTO="Manual",$M407=$A$15),$M407&gt;(ROW(PLE.lastrow)-ROW(PLE.firstrow))),0,
           IF(OFFSET(PLE!$G$15,$M407-$A$15,BX$13)="",10^12,OFFSET(PLE!$G$15,$M407-$A$15,BX$13)))</f>
        <v>1000000000000</v>
      </c>
      <c r="BY407" s="172">
        <f ca="1">IF(OR($D407&lt;&gt;"Serviço",AND(AUTOEVENTO="Manual",$M407=$A$15),$M407&gt;(ROW(PLE.lastrow)-ROW(PLE.firstrow))),0,
           IF(OFFSET(PLE!$G$15,$M407-$A$15,BY$13)="",10^12,OFFSET(PLE!$G$15,$M407-$A$15,BY$13)))</f>
        <v>1000000000000</v>
      </c>
      <c r="BZ407" s="172">
        <f ca="1">IF(OR($D407&lt;&gt;"Serviço",AND(AUTOEVENTO="Manual",$M407=$A$15),$M407&gt;(ROW(PLE.lastrow)-ROW(PLE.firstrow))),0,
           IF(OFFSET(PLE!$G$15,$M407-$A$15,BZ$13)="",10^12,OFFSET(PLE!$G$15,$M407-$A$15,BZ$13)))</f>
        <v>1000000000000</v>
      </c>
      <c r="CA407" s="172">
        <f ca="1">IF(OR($D407&lt;&gt;"Serviço",AND(AUTOEVENTO="Manual",$M407=$A$15),$M407&gt;(ROW(PLE.lastrow)-ROW(PLE.firstrow))),0,
           IF(OFFSET(PLE!$G$15,$M407-$A$15,CA$13)="",10^12,OFFSET(PLE!$G$15,$M407-$A$15,CA$13)))</f>
        <v>1000000000000</v>
      </c>
      <c r="CB407" s="172">
        <f ca="1">IF(OR($D407&lt;&gt;"Serviço",AND(AUTOEVENTO="Manual",$M407=$A$15),$M407&gt;(ROW(PLE.lastrow)-ROW(PLE.firstrow))),0,
           IF(OFFSET(PLE!$G$15,$M407-$A$15,CB$13)="",10^12,OFFSET(PLE!$G$15,$M407-$A$15,CB$13)))</f>
        <v>1000000000000</v>
      </c>
      <c r="CC407" s="172">
        <f ca="1">IF(OR($D407&lt;&gt;"Serviço",AND(AUTOEVENTO="Manual",$M407=$A$15),$M407&gt;(ROW(PLE.lastrow)-ROW(PLE.firstrow))),0,
           IF(OFFSET(PLE!$G$15,$M407-$A$15,CC$13)="",10^12,OFFSET(PLE!$G$15,$M407-$A$15,CC$13)))</f>
        <v>1000000000000</v>
      </c>
      <c r="CD407" s="172">
        <f ca="1">IF(OR($D407&lt;&gt;"Serviço",AND(AUTOEVENTO="Manual",$M407=$A$15),$M407&gt;(ROW(PLE.lastrow)-ROW(PLE.firstrow))),0,
           IF(OFFSET(PLE!$G$15,$M407-$A$15,CD$13)="",10^12,OFFSET(PLE!$G$15,$M407-$A$15,CD$13)))</f>
        <v>1000000000000</v>
      </c>
      <c r="CE407" s="172">
        <f ca="1">IF(OR($D407&lt;&gt;"Serviço",AND(AUTOEVENTO="Manual",$M407=$A$15),$M407&gt;(ROW(PLE.lastrow)-ROW(PLE.firstrow))),0,
           IF(OFFSET(PLE!$G$15,$M407-$A$15,CE$13)="",10^12,OFFSET(PLE!$G$15,$M407-$A$15,CE$13)))</f>
        <v>1000000000000</v>
      </c>
      <c r="CF407" s="172">
        <f ca="1">IF(OR($D407&lt;&gt;"Serviço",AND(AUTOEVENTO="Manual",$M407=$A$15),$M407&gt;(ROW(PLE.lastrow)-ROW(PLE.firstrow))),0,
           IF(OFFSET(PLE!$G$15,$M407-$A$15,CF$13)="",10^12,OFFSET(PLE!$G$15,$M407-$A$15,CF$13)))</f>
        <v>1000000000000</v>
      </c>
      <c r="CG407" s="172">
        <f ca="1">IF(OR($D407&lt;&gt;"Serviço",AND(AUTOEVENTO="Manual",$M407=$A$15),$M407&gt;(ROW(PLE.lastrow)-ROW(PLE.firstrow))),0,
           IF(OFFSET(PLE!$G$15,$M407-$A$15,CG$13)="",10^12,OFFSET(PLE!$G$15,$M407-$A$15,CG$13)))</f>
        <v>1000000000000</v>
      </c>
      <c r="CH407" s="172">
        <f ca="1">IF(OR($D407&lt;&gt;"Serviço",AND(AUTOEVENTO="Manual",$M407=$A$15),$M407&gt;(ROW(PLE.lastrow)-ROW(PLE.firstrow))),0,
           IF(OFFSET(PLE!$G$15,$M407-$A$15,CH$13)="",10^12,OFFSET(PLE!$G$15,$M407-$A$15,CH$13)))</f>
        <v>1000000000000</v>
      </c>
      <c r="CI407" s="172">
        <f ca="1">IF(OR($D407&lt;&gt;"Serviço",AND(AUTOEVENTO="Manual",$M407=$A$15),$M407&gt;(ROW(PLE.lastrow)-ROW(PLE.firstrow))),0,
           IF(OFFSET(PLE!$G$15,$M407-$A$15,CI$13)="",10^12,OFFSET(PLE!$G$15,$M407-$A$15,CI$13)))</f>
        <v>1000000000000</v>
      </c>
      <c r="CJ407" s="172">
        <f ca="1">IF(OR($D407&lt;&gt;"Serviço",AND(AUTOEVENTO="Manual",$M407=$A$15),$M407&gt;(ROW(PLE.lastrow)-ROW(PLE.firstrow))),0,
           IF(OFFSET(PLE!$G$15,$M407-$A$15,CJ$13)="",10^12,OFFSET(PLE!$G$15,$M407-$A$15,CJ$13)))</f>
        <v>1000000000000</v>
      </c>
      <c r="CK407" s="172">
        <f ca="1">IF(OR($D407&lt;&gt;"Serviço",AND(AUTOEVENTO="Manual",$M407=$A$15),$M407&gt;(ROW(PLE.lastrow)-ROW(PLE.firstrow))),0,
           IF(OFFSET(PLE!$G$15,$M407-$A$15,CK$13)="",10^12,OFFSET(PLE!$G$15,$M407-$A$15,CK$13)))</f>
        <v>1000000000000</v>
      </c>
      <c r="CL407" s="172">
        <f ca="1">IF(OR($D407&lt;&gt;"Serviço",AND(AUTOEVENTO="Manual",$M407=$A$15),$M407&gt;(ROW(PLE.lastrow)-ROW(PLE.firstrow))),0,
           IF(OFFSET(PLE!$G$15,$M407-$A$15,CL$13)="",10^12,OFFSET(PLE!$G$15,$M407-$A$15,CL$13)))</f>
        <v>1000000000000</v>
      </c>
      <c r="CM407" s="172">
        <f ca="1">IF(OR($D407&lt;&gt;"Serviço",AND(AUTOEVENTO="Manual",$M407=$A$15),$M407&gt;(ROW(PLE.lastrow)-ROW(PLE.firstrow))),0,
           IF(OFFSET(PLE!$G$15,$M407-$A$15,CM$13)="",10^12,OFFSET(PLE!$G$15,$M407-$A$15,CM$13)))</f>
        <v>1000000000000</v>
      </c>
    </row>
    <row r="408" spans="1:91" ht="38.25" x14ac:dyDescent="0.2">
      <c r="A408" s="7">
        <f t="shared" ca="1" si="16"/>
        <v>7</v>
      </c>
      <c r="B408" s="7" t="str">
        <f ca="1">OFFSET(ORÇAMENTO!C$15,ROW(B408)-ROW(B$15),0)</f>
        <v>S</v>
      </c>
      <c r="C408" s="7" t="str">
        <f ca="1">OFFSET(ORÇAMENTO!L$15,ROW(C408)-ROW(C$15),0)</f>
        <v>F</v>
      </c>
      <c r="D408" s="116" t="str">
        <f ca="1">OFFSET(ORÇAMENTO!N$15,ROW(D408)-ROW(D$15),0)</f>
        <v>Serviço</v>
      </c>
      <c r="E408" s="117" t="str">
        <f ca="1">OFFSET(ORÇAMENTO!O$15,ROW(E408)-ROW(E$15),0)</f>
        <v>1.8.2.3.8.</v>
      </c>
      <c r="F408" s="163" t="str">
        <f ca="1">OFFSET(ORÇAMENTO!R$15,ROW(F408)-ROW(F$15),0)</f>
        <v>CABO DE COBRE FLEXÍVEL, CLASSE 5, ISOLAMENTO TIPO EPR/HEPR, NÃO HALOGENADO, ANTICHAMA, TERMOFIXO, UNIPOLAR, SEÇÃO 1,5 MM2, 90°C, 0,6/1KV</v>
      </c>
      <c r="G408" s="164" t="str">
        <f ca="1">IF($D408&lt;&gt;"Serviço","",OFFSET(ORÇAMENTO!S$15,ROW(G408)-ROW(G$15),0))</f>
        <v>M</v>
      </c>
      <c r="H408" s="122" cm="1">
        <f t="array" aca="1" ref="H408" ca="1">IF($D408&lt;&gt;"Serviço",0,IF(ACOMPANHAMENTO="BM",ROUND(OFFSET(ORÇAMENTO!AJ$15,ROW(H408)-ROW(H$15),0),15-13*ORÇAMENTO!$AF$7),SUMPRODUCT(($Q$1:$AI$1=1)*ROUND($Q408:$AI408,15-13*ORÇAMENTO!$AF$7))))</f>
        <v>40</v>
      </c>
      <c r="I408" s="468" t="s">
        <v>1431</v>
      </c>
      <c r="J408" s="640" t="str" cm="1">
        <f t="array" aca="1" ref="J408" ca="1">IF(OR(B408&lt;&gt;"S",CÁLCULO.FrentesPreenchidas=0),"",IF(AND(ACOMPANHAMENTO="PLE",AUTOEVENTO="Manual",OR(H408&gt;0,ORÇAMENTO!AC408="QUANT."),OR(K408="",M408=0,N408="")),"►E",IF(AND(ACOMPANHAMENTO="PLE",ORÇAMENTO!AC408="QUANT."),"►Q",IF(AND(ACOMPANHAMENTO="PLE",H408&lt;&gt;SUMPRODUCT(($Q$1:$AI$1=1)*ROUND(Q408:AI408,15))),"►S",IF(AND(COUNTIF($P$11:$AI$11,"▼")=0,H408&gt;0,I408=""),"◄M","")))))</f>
        <v/>
      </c>
      <c r="K408" s="641" t="s">
        <v>1391</v>
      </c>
      <c r="L408" s="165" t="s">
        <v>764</v>
      </c>
      <c r="M408" s="166">
        <f ca="1">IF($D408&lt;&gt;"Serviço","",
          IF(AUTOEVENTO="manual",$A408,
                IF(ISERROR(MATCH($A408,$A$15:OFFSET($A408,-1,0),0)),MAX($M$15:OFFSET(M408,-1,0))+1,
                      INDEX($M$15:OFFSET(M408,-1,0),MATCH($A408,$A$15:OFFSET($A408,-1,0),0)))))</f>
        <v>7</v>
      </c>
      <c r="N408" s="167" t="str">
        <f ca="1">IF($D408&lt;&gt;"Serviço","",
         IF(AUTOEVENTO="Manual",
                IF($A408=0,"&lt;-- defina o número do agrupador",
                       OFFSET(EVENTOS!$D$15,$A408-$A$15,0)),
                OFFSET($F$15,$A408,0)))</f>
        <v>Instalações Elétricas</v>
      </c>
      <c r="O408" s="168"/>
      <c r="Q408" s="168"/>
      <c r="R408" s="169"/>
      <c r="S408" s="169"/>
      <c r="T408" s="169"/>
      <c r="U408" s="169"/>
      <c r="V408" s="169"/>
      <c r="W408" s="169"/>
      <c r="X408" s="169">
        <v>40</v>
      </c>
      <c r="Y408" s="169"/>
      <c r="Z408" s="170"/>
      <c r="AA408" s="169"/>
      <c r="AB408" s="169"/>
      <c r="AC408" s="169"/>
      <c r="AD408" s="169"/>
      <c r="AE408" s="169"/>
      <c r="AF408" s="169"/>
      <c r="AG408" s="169"/>
      <c r="AH408" s="170"/>
      <c r="AJ408" s="453">
        <f ca="1">IF(AND($D408="Serviço",AJ$12&lt;&gt;0,$H408&gt;0,OR(AUTOEVENTO&lt;&gt;"manual",$M408&lt;&gt;$A$15)),
        IF(Import.TipoArredondamento&lt;&gt;"TransfereGOV",
              ROUND(OFFSET($P408,0,AJ$13),15-13*ORÇAMENTO!$AF$7)/$H408*OFFSET(ORÇAMENTO!$X$15,ROW(AJ408)-ROW(AJ$15),0),
              ROUND(ROUND(OFFSET($P408,0,AJ$13),15-13*ORÇAMENTO!$AF$7)*OFFSET(ORÇAMENTO!$W$15,ROW(AJ408)-ROW(AJ$15),0),15-13*ORÇAMENTO!$AF$11)),
         0)</f>
        <v>0</v>
      </c>
      <c r="AK408" s="453">
        <f ca="1">IF(AND($D408="Serviço",AK$12&lt;&gt;0,$H408&gt;0,OR(AUTOEVENTO&lt;&gt;"manual",$M408&lt;&gt;$A$15)),
        IF(Import.TipoArredondamento&lt;&gt;"TransfereGOV",
              ROUND(OFFSET($P408,0,AK$13),15-13*ORÇAMENTO!$AF$7)/$H408*OFFSET(ORÇAMENTO!$X$15,ROW(AK408)-ROW(AK$15),0),
              ROUND(ROUND(OFFSET($P408,0,AK$13),15-13*ORÇAMENTO!$AF$7)*OFFSET(ORÇAMENTO!$W$15,ROW(AK408)-ROW(AK$15),0),15-13*ORÇAMENTO!$AF$11)),
         0)</f>
        <v>0</v>
      </c>
      <c r="AL408" s="453">
        <f ca="1">IF(AND($D408="Serviço",AL$12&lt;&gt;0,$H408&gt;0,OR(AUTOEVENTO&lt;&gt;"manual",$M408&lt;&gt;$A$15)),
        IF(Import.TipoArredondamento&lt;&gt;"TransfereGOV",
              ROUND(OFFSET($P408,0,AL$13),15-13*ORÇAMENTO!$AF$7)/$H408*OFFSET(ORÇAMENTO!$X$15,ROW(AL408)-ROW(AL$15),0),
              ROUND(ROUND(OFFSET($P408,0,AL$13),15-13*ORÇAMENTO!$AF$7)*OFFSET(ORÇAMENTO!$W$15,ROW(AL408)-ROW(AL$15),0),15-13*ORÇAMENTO!$AF$11)),
         0)</f>
        <v>0</v>
      </c>
      <c r="AM408" s="453">
        <f ca="1">IF(AND($D408="Serviço",AM$12&lt;&gt;0,$H408&gt;0,OR(AUTOEVENTO&lt;&gt;"manual",$M408&lt;&gt;$A$15)),
        IF(Import.TipoArredondamento&lt;&gt;"TransfereGOV",
              ROUND(OFFSET($P408,0,AM$13),15-13*ORÇAMENTO!$AF$7)/$H408*OFFSET(ORÇAMENTO!$X$15,ROW(AM408)-ROW(AM$15),0),
              ROUND(ROUND(OFFSET($P408,0,AM$13),15-13*ORÇAMENTO!$AF$7)*OFFSET(ORÇAMENTO!$W$15,ROW(AM408)-ROW(AM$15),0),15-13*ORÇAMENTO!$AF$11)),
         0)</f>
        <v>0</v>
      </c>
      <c r="AN408" s="453">
        <f ca="1">IF(AND($D408="Serviço",AN$12&lt;&gt;0,$H408&gt;0,OR(AUTOEVENTO&lt;&gt;"manual",$M408&lt;&gt;$A$15)),
        IF(Import.TipoArredondamento&lt;&gt;"TransfereGOV",
              ROUND(OFFSET($P408,0,AN$13),15-13*ORÇAMENTO!$AF$7)/$H408*OFFSET(ORÇAMENTO!$X$15,ROW(AN408)-ROW(AN$15),0),
              ROUND(ROUND(OFFSET($P408,0,AN$13),15-13*ORÇAMENTO!$AF$7)*OFFSET(ORÇAMENTO!$W$15,ROW(AN408)-ROW(AN$15),0),15-13*ORÇAMENTO!$AF$11)),
         0)</f>
        <v>0</v>
      </c>
      <c r="AO408" s="453">
        <f ca="1">IF(AND($D408="Serviço",AO$12&lt;&gt;0,$H408&gt;0,OR(AUTOEVENTO&lt;&gt;"manual",$M408&lt;&gt;$A$15)),
        IF(Import.TipoArredondamento&lt;&gt;"TransfereGOV",
              ROUND(OFFSET($P408,0,AO$13),15-13*ORÇAMENTO!$AF$7)/$H408*OFFSET(ORÇAMENTO!$X$15,ROW(AO408)-ROW(AO$15),0),
              ROUND(ROUND(OFFSET($P408,0,AO$13),15-13*ORÇAMENTO!$AF$7)*OFFSET(ORÇAMENTO!$W$15,ROW(AO408)-ROW(AO$15),0),15-13*ORÇAMENTO!$AF$11)),
         0)</f>
        <v>0</v>
      </c>
      <c r="AP408" s="453">
        <f ca="1">IF(AND($D408="Serviço",AP$12&lt;&gt;0,$H408&gt;0,OR(AUTOEVENTO&lt;&gt;"manual",$M408&lt;&gt;$A$15)),
        IF(Import.TipoArredondamento&lt;&gt;"TransfereGOV",
              ROUND(OFFSET($P408,0,AP$13),15-13*ORÇAMENTO!$AF$7)/$H408*OFFSET(ORÇAMENTO!$X$15,ROW(AP408)-ROW(AP$15),0),
              ROUND(ROUND(OFFSET($P408,0,AP$13),15-13*ORÇAMENTO!$AF$7)*OFFSET(ORÇAMENTO!$W$15,ROW(AP408)-ROW(AP$15),0),15-13*ORÇAMENTO!$AF$11)),
         0)</f>
        <v>0</v>
      </c>
      <c r="AQ408" s="453">
        <f ca="1">IF(AND($D408="Serviço",AQ$12&lt;&gt;0,$H408&gt;0,OR(AUTOEVENTO&lt;&gt;"manual",$M408&lt;&gt;$A$15)),
        IF(Import.TipoArredondamento&lt;&gt;"TransfereGOV",
              ROUND(OFFSET($P408,0,AQ$13),15-13*ORÇAMENTO!$AF$7)/$H408*OFFSET(ORÇAMENTO!$X$15,ROW(AQ408)-ROW(AQ$15),0),
              ROUND(ROUND(OFFSET($P408,0,AQ$13),15-13*ORÇAMENTO!$AF$7)*OFFSET(ORÇAMENTO!$W$15,ROW(AQ408)-ROW(AQ$15),0),15-13*ORÇAMENTO!$AF$11)),
         0)</f>
        <v>0</v>
      </c>
      <c r="AR408" s="453">
        <f ca="1">IF(AND($D408="Serviço",AR$12&lt;&gt;0,$H408&gt;0,OR(AUTOEVENTO&lt;&gt;"manual",$M408&lt;&gt;$A$15)),
        IF(Import.TipoArredondamento&lt;&gt;"TransfereGOV",
              ROUND(OFFSET($P408,0,AR$13),15-13*ORÇAMENTO!$AF$7)/$H408*OFFSET(ORÇAMENTO!$X$15,ROW(AR408)-ROW(AR$15),0),
              ROUND(ROUND(OFFSET($P408,0,AR$13),15-13*ORÇAMENTO!$AF$7)*OFFSET(ORÇAMENTO!$W$15,ROW(AR408)-ROW(AR$15),0),15-13*ORÇAMENTO!$AF$11)),
         0)</f>
        <v>0</v>
      </c>
      <c r="AS408" s="453">
        <f ca="1">IF(AND($D408="Serviço",AS$12&lt;&gt;0,$H408&gt;0,OR(AUTOEVENTO&lt;&gt;"manual",$M408&lt;&gt;$A$15)),
        IF(Import.TipoArredondamento&lt;&gt;"TransfereGOV",
              ROUND(OFFSET($P408,0,AS$13),15-13*ORÇAMENTO!$AF$7)/$H408*OFFSET(ORÇAMENTO!$X$15,ROW(AS408)-ROW(AS$15),0),
              ROUND(ROUND(OFFSET($P408,0,AS$13),15-13*ORÇAMENTO!$AF$7)*OFFSET(ORÇAMENTO!$W$15,ROW(AS408)-ROW(AS$15),0),15-13*ORÇAMENTO!$AF$11)),
         0)</f>
        <v>0</v>
      </c>
      <c r="AT408" s="453">
        <f ca="1">IF(AND($D408="Serviço",AT$12&lt;&gt;0,$H408&gt;0,OR(AUTOEVENTO&lt;&gt;"manual",$M408&lt;&gt;$A$15)),
        IF(Import.TipoArredondamento&lt;&gt;"TransfereGOV",
              ROUND(OFFSET($P408,0,AT$13),15-13*ORÇAMENTO!$AF$7)/$H408*OFFSET(ORÇAMENTO!$X$15,ROW(AT408)-ROW(AT$15),0),
              ROUND(ROUND(OFFSET($P408,0,AT$13),15-13*ORÇAMENTO!$AF$7)*OFFSET(ORÇAMENTO!$W$15,ROW(AT408)-ROW(AT$15),0),15-13*ORÇAMENTO!$AF$11)),
         0)</f>
        <v>0</v>
      </c>
      <c r="AU408" s="453">
        <f ca="1">IF(AND($D408="Serviço",AU$12&lt;&gt;0,$H408&gt;0,OR(AUTOEVENTO&lt;&gt;"manual",$M408&lt;&gt;$A$15)),
        IF(Import.TipoArredondamento&lt;&gt;"TransfereGOV",
              ROUND(OFFSET($P408,0,AU$13),15-13*ORÇAMENTO!$AF$7)/$H408*OFFSET(ORÇAMENTO!$X$15,ROW(AU408)-ROW(AU$15),0),
              ROUND(ROUND(OFFSET($P408,0,AU$13),15-13*ORÇAMENTO!$AF$7)*OFFSET(ORÇAMENTO!$W$15,ROW(AU408)-ROW(AU$15),0),15-13*ORÇAMENTO!$AF$11)),
         0)</f>
        <v>0</v>
      </c>
      <c r="AV408" s="453">
        <f ca="1">IF(AND($D408="Serviço",AV$12&lt;&gt;0,$H408&gt;0,OR(AUTOEVENTO&lt;&gt;"manual",$M408&lt;&gt;$A$15)),
        IF(Import.TipoArredondamento&lt;&gt;"TransfereGOV",
              ROUND(OFFSET($P408,0,AV$13),15-13*ORÇAMENTO!$AF$7)/$H408*OFFSET(ORÇAMENTO!$X$15,ROW(AV408)-ROW(AV$15),0),
              ROUND(ROUND(OFFSET($P408,0,AV$13),15-13*ORÇAMENTO!$AF$7)*OFFSET(ORÇAMENTO!$W$15,ROW(AV408)-ROW(AV$15),0),15-13*ORÇAMENTO!$AF$11)),
         0)</f>
        <v>0</v>
      </c>
      <c r="AW408" s="453">
        <f ca="1">IF(AND($D408="Serviço",AW$12&lt;&gt;0,$H408&gt;0,OR(AUTOEVENTO&lt;&gt;"manual",$M408&lt;&gt;$A$15)),
        IF(Import.TipoArredondamento&lt;&gt;"TransfereGOV",
              ROUND(OFFSET($P408,0,AW$13),15-13*ORÇAMENTO!$AF$7)/$H408*OFFSET(ORÇAMENTO!$X$15,ROW(AW408)-ROW(AW$15),0),
              ROUND(ROUND(OFFSET($P408,0,AW$13),15-13*ORÇAMENTO!$AF$7)*OFFSET(ORÇAMENTO!$W$15,ROW(AW408)-ROW(AW$15),0),15-13*ORÇAMENTO!$AF$11)),
         0)</f>
        <v>0</v>
      </c>
      <c r="AX408" s="453">
        <f ca="1">IF(AND($D408="Serviço",AX$12&lt;&gt;0,$H408&gt;0,OR(AUTOEVENTO&lt;&gt;"manual",$M408&lt;&gt;$A$15)),
        IF(Import.TipoArredondamento&lt;&gt;"TransfereGOV",
              ROUND(OFFSET($P408,0,AX$13),15-13*ORÇAMENTO!$AF$7)/$H408*OFFSET(ORÇAMENTO!$X$15,ROW(AX408)-ROW(AX$15),0),
              ROUND(ROUND(OFFSET($P408,0,AX$13),15-13*ORÇAMENTO!$AF$7)*OFFSET(ORÇAMENTO!$W$15,ROW(AX408)-ROW(AX$15),0),15-13*ORÇAMENTO!$AF$11)),
         0)</f>
        <v>0</v>
      </c>
      <c r="AY408" s="453">
        <f ca="1">IF(AND($D408="Serviço",AY$12&lt;&gt;0,$H408&gt;0,OR(AUTOEVENTO&lt;&gt;"manual",$M408&lt;&gt;$A$15)),
        IF(Import.TipoArredondamento&lt;&gt;"TransfereGOV",
              ROUND(OFFSET($P408,0,AY$13),15-13*ORÇAMENTO!$AF$7)/$H408*OFFSET(ORÇAMENTO!$X$15,ROW(AY408)-ROW(AY$15),0),
              ROUND(ROUND(OFFSET($P408,0,AY$13),15-13*ORÇAMENTO!$AF$7)*OFFSET(ORÇAMENTO!$W$15,ROW(AY408)-ROW(AY$15),0),15-13*ORÇAMENTO!$AF$11)),
         0)</f>
        <v>0</v>
      </c>
      <c r="AZ408" s="453">
        <f ca="1">IF(AND($D408="Serviço",AZ$12&lt;&gt;0,$H408&gt;0,OR(AUTOEVENTO&lt;&gt;"manual",$M408&lt;&gt;$A$15)),
        IF(Import.TipoArredondamento&lt;&gt;"TransfereGOV",
              ROUND(OFFSET($P408,0,AZ$13),15-13*ORÇAMENTO!$AF$7)/$H408*OFFSET(ORÇAMENTO!$X$15,ROW(AZ408)-ROW(AZ$15),0),
              ROUND(ROUND(OFFSET($P408,0,AZ$13),15-13*ORÇAMENTO!$AF$7)*OFFSET(ORÇAMENTO!$W$15,ROW(AZ408)-ROW(AZ$15),0),15-13*ORÇAMENTO!$AF$11)),
         0)</f>
        <v>0</v>
      </c>
      <c r="BA408" s="453">
        <f ca="1">IF(AND($D408="Serviço",BA$12&lt;&gt;0,$H408&gt;0,OR(AUTOEVENTO&lt;&gt;"manual",$M408&lt;&gt;$A$15)),
        IF(Import.TipoArredondamento&lt;&gt;"TransfereGOV",
              ROUND(OFFSET($P408,0,BA$13),15-13*ORÇAMENTO!$AF$7)/$H408*OFFSET(ORÇAMENTO!$X$15,ROW(BA408)-ROW(BA$15),0),
              ROUND(ROUND(OFFSET($P408,0,BA$13),15-13*ORÇAMENTO!$AF$7)*OFFSET(ORÇAMENTO!$W$15,ROW(BA408)-ROW(BA$15),0),15-13*ORÇAMENTO!$AF$11)),
         0)</f>
        <v>0</v>
      </c>
      <c r="BC408" s="171">
        <f ca="1">IF(OR($D408&lt;&gt;"Serviço",AND(AUTOEVENTO="Manual",$M408=$A$15)),0,
         IF(OFFSET(CRONOPLE!$F$15,$M408-$A$15,BC$13)=0,10^12,OFFSET(CRONOPLE!$F$15,$M408-$A$15,BC$13)))</f>
        <v>1</v>
      </c>
      <c r="BD408" s="171">
        <f ca="1">IF(OR($D408&lt;&gt;"Serviço",AND(AUTOEVENTO="Manual",$M408=$A$15)),0,
         IF(OFFSET(CRONOPLE!$F$15,$M408-$A$15,BD$13)=0,10^12,OFFSET(CRONOPLE!$F$15,$M408-$A$15,BD$13)))</f>
        <v>2</v>
      </c>
      <c r="BE408" s="171">
        <f ca="1">IF(OR($D408&lt;&gt;"Serviço",AND(AUTOEVENTO="Manual",$M408=$A$15)),0,
         IF(OFFSET(CRONOPLE!$F$15,$M408-$A$15,BE$13)=0,10^12,OFFSET(CRONOPLE!$F$15,$M408-$A$15,BE$13)))</f>
        <v>3</v>
      </c>
      <c r="BF408" s="171">
        <f ca="1">IF(OR($D408&lt;&gt;"Serviço",AND(AUTOEVENTO="Manual",$M408=$A$15)),0,
         IF(OFFSET(CRONOPLE!$F$15,$M408-$A$15,BF$13)=0,10^12,OFFSET(CRONOPLE!$F$15,$M408-$A$15,BF$13)))</f>
        <v>4</v>
      </c>
      <c r="BG408" s="171">
        <f ca="1">IF(OR($D408&lt;&gt;"Serviço",AND(AUTOEVENTO="Manual",$M408=$A$15)),0,
         IF(OFFSET(CRONOPLE!$F$15,$M408-$A$15,BG$13)=0,10^12,OFFSET(CRONOPLE!$F$15,$M408-$A$15,BG$13)))</f>
        <v>5</v>
      </c>
      <c r="BH408" s="171">
        <f ca="1">IF(OR($D408&lt;&gt;"Serviço",AND(AUTOEVENTO="Manual",$M408=$A$15)),0,
         IF(OFFSET(CRONOPLE!$F$15,$M408-$A$15,BH$13)=0,10^12,OFFSET(CRONOPLE!$F$15,$M408-$A$15,BH$13)))</f>
        <v>6</v>
      </c>
      <c r="BI408" s="171">
        <f ca="1">IF(OR($D408&lt;&gt;"Serviço",AND(AUTOEVENTO="Manual",$M408=$A$15)),0,
         IF(OFFSET(CRONOPLE!$F$15,$M408-$A$15,BI$13)=0,10^12,OFFSET(CRONOPLE!$F$15,$M408-$A$15,BI$13)))</f>
        <v>7</v>
      </c>
      <c r="BJ408" s="171">
        <f ca="1">IF(OR($D408&lt;&gt;"Serviço",AND(AUTOEVENTO="Manual",$M408=$A$15)),0,
         IF(OFFSET(CRONOPLE!$F$15,$M408-$A$15,BJ$13)=0,10^12,OFFSET(CRONOPLE!$F$15,$M408-$A$15,BJ$13)))</f>
        <v>8</v>
      </c>
      <c r="BK408" s="171">
        <f ca="1">IF(OR($D408&lt;&gt;"Serviço",AND(AUTOEVENTO="Manual",$M408=$A$15)),0,
         IF(OFFSET(CRONOPLE!$F$15,$M408-$A$15,BK$13)=0,10^12,OFFSET(CRONOPLE!$F$15,$M408-$A$15,BK$13)))</f>
        <v>9</v>
      </c>
      <c r="BL408" s="171">
        <f ca="1">IF(OR($D408&lt;&gt;"Serviço",AND(AUTOEVENTO="Manual",$M408=$A$15)),0,
         IF(OFFSET(CRONOPLE!$F$15,$M408-$A$15,BL$13)=0,10^12,OFFSET(CRONOPLE!$F$15,$M408-$A$15,BL$13)))</f>
        <v>1000000000000</v>
      </c>
      <c r="BM408" s="171">
        <f ca="1">IF(OR($D408&lt;&gt;"Serviço",AND(AUTOEVENTO="Manual",$M408=$A$15)),0,
         IF(OFFSET(CRONOPLE!$F$15,$M408-$A$15,BM$13)=0,10^12,OFFSET(CRONOPLE!$F$15,$M408-$A$15,BM$13)))</f>
        <v>1000000000000</v>
      </c>
      <c r="BN408" s="171">
        <f ca="1">IF(OR($D408&lt;&gt;"Serviço",AND(AUTOEVENTO="Manual",$M408=$A$15)),0,
         IF(OFFSET(CRONOPLE!$F$15,$M408-$A$15,BN$13)=0,10^12,OFFSET(CRONOPLE!$F$15,$M408-$A$15,BN$13)))</f>
        <v>1000000000000</v>
      </c>
      <c r="BO408" s="171">
        <f ca="1">IF(OR($D408&lt;&gt;"Serviço",AND(AUTOEVENTO="Manual",$M408=$A$15)),0,
         IF(OFFSET(CRONOPLE!$F$15,$M408-$A$15,BO$13)=0,10^12,OFFSET(CRONOPLE!$F$15,$M408-$A$15,BO$13)))</f>
        <v>1000000000000</v>
      </c>
      <c r="BP408" s="171">
        <f ca="1">IF(OR($D408&lt;&gt;"Serviço",AND(AUTOEVENTO="Manual",$M408=$A$15)),0,
         IF(OFFSET(CRONOPLE!$F$15,$M408-$A$15,BP$13)=0,10^12,OFFSET(CRONOPLE!$F$15,$M408-$A$15,BP$13)))</f>
        <v>1000000000000</v>
      </c>
      <c r="BQ408" s="171">
        <f ca="1">IF(OR($D408&lt;&gt;"Serviço",AND(AUTOEVENTO="Manual",$M408=$A$15)),0,
         IF(OFFSET(CRONOPLE!$F$15,$M408-$A$15,BQ$13)=0,10^12,OFFSET(CRONOPLE!$F$15,$M408-$A$15,BQ$13)))</f>
        <v>1000000000000</v>
      </c>
      <c r="BR408" s="171">
        <f ca="1">IF(OR($D408&lt;&gt;"Serviço",AND(AUTOEVENTO="Manual",$M408=$A$15)),0,
         IF(OFFSET(CRONOPLE!$F$15,$M408-$A$15,BR$13)=0,10^12,OFFSET(CRONOPLE!$F$15,$M408-$A$15,BR$13)))</f>
        <v>1000000000000</v>
      </c>
      <c r="BS408" s="171">
        <f ca="1">IF(OR($D408&lt;&gt;"Serviço",AND(AUTOEVENTO="Manual",$M408=$A$15)),0,
         IF(OFFSET(CRONOPLE!$F$15,$M408-$A$15,BS$13)=0,10^12,OFFSET(CRONOPLE!$F$15,$M408-$A$15,BS$13)))</f>
        <v>1000000000000</v>
      </c>
      <c r="BT408" s="171">
        <f ca="1">IF(OR($D408&lt;&gt;"Serviço",AND(AUTOEVENTO="Manual",$M408=$A$15)),0,
         IF(OFFSET(CRONOPLE!$F$15,$M408-$A$15,BT$13)=0,10^12,OFFSET(CRONOPLE!$F$15,$M408-$A$15,BT$13)))</f>
        <v>1000000000000</v>
      </c>
      <c r="BV408" s="172">
        <f ca="1">IF(OR($D408&lt;&gt;"Serviço",AND(AUTOEVENTO="Manual",$M408=$A$15),$M408&gt;(ROW(PLE.lastrow)-ROW(PLE.firstrow))),0,
           IF(OFFSET(PLE!$G$15,$M408-$A$15,BV$13)="",10^12,OFFSET(PLE!$G$15,$M408-$A$15,BV$13)))</f>
        <v>1000000000000</v>
      </c>
      <c r="BW408" s="172">
        <f ca="1">IF(OR($D408&lt;&gt;"Serviço",AND(AUTOEVENTO="Manual",$M408=$A$15),$M408&gt;(ROW(PLE.lastrow)-ROW(PLE.firstrow))),0,
           IF(OFFSET(PLE!$G$15,$M408-$A$15,BW$13)="",10^12,OFFSET(PLE!$G$15,$M408-$A$15,BW$13)))</f>
        <v>1000000000000</v>
      </c>
      <c r="BX408" s="172">
        <f ca="1">IF(OR($D408&lt;&gt;"Serviço",AND(AUTOEVENTO="Manual",$M408=$A$15),$M408&gt;(ROW(PLE.lastrow)-ROW(PLE.firstrow))),0,
           IF(OFFSET(PLE!$G$15,$M408-$A$15,BX$13)="",10^12,OFFSET(PLE!$G$15,$M408-$A$15,BX$13)))</f>
        <v>1000000000000</v>
      </c>
      <c r="BY408" s="172">
        <f ca="1">IF(OR($D408&lt;&gt;"Serviço",AND(AUTOEVENTO="Manual",$M408=$A$15),$M408&gt;(ROW(PLE.lastrow)-ROW(PLE.firstrow))),0,
           IF(OFFSET(PLE!$G$15,$M408-$A$15,BY$13)="",10^12,OFFSET(PLE!$G$15,$M408-$A$15,BY$13)))</f>
        <v>1000000000000</v>
      </c>
      <c r="BZ408" s="172">
        <f ca="1">IF(OR($D408&lt;&gt;"Serviço",AND(AUTOEVENTO="Manual",$M408=$A$15),$M408&gt;(ROW(PLE.lastrow)-ROW(PLE.firstrow))),0,
           IF(OFFSET(PLE!$G$15,$M408-$A$15,BZ$13)="",10^12,OFFSET(PLE!$G$15,$M408-$A$15,BZ$13)))</f>
        <v>1000000000000</v>
      </c>
      <c r="CA408" s="172">
        <f ca="1">IF(OR($D408&lt;&gt;"Serviço",AND(AUTOEVENTO="Manual",$M408=$A$15),$M408&gt;(ROW(PLE.lastrow)-ROW(PLE.firstrow))),0,
           IF(OFFSET(PLE!$G$15,$M408-$A$15,CA$13)="",10^12,OFFSET(PLE!$G$15,$M408-$A$15,CA$13)))</f>
        <v>1000000000000</v>
      </c>
      <c r="CB408" s="172">
        <f ca="1">IF(OR($D408&lt;&gt;"Serviço",AND(AUTOEVENTO="Manual",$M408=$A$15),$M408&gt;(ROW(PLE.lastrow)-ROW(PLE.firstrow))),0,
           IF(OFFSET(PLE!$G$15,$M408-$A$15,CB$13)="",10^12,OFFSET(PLE!$G$15,$M408-$A$15,CB$13)))</f>
        <v>1000000000000</v>
      </c>
      <c r="CC408" s="172">
        <f ca="1">IF(OR($D408&lt;&gt;"Serviço",AND(AUTOEVENTO="Manual",$M408=$A$15),$M408&gt;(ROW(PLE.lastrow)-ROW(PLE.firstrow))),0,
           IF(OFFSET(PLE!$G$15,$M408-$A$15,CC$13)="",10^12,OFFSET(PLE!$G$15,$M408-$A$15,CC$13)))</f>
        <v>1000000000000</v>
      </c>
      <c r="CD408" s="172">
        <f ca="1">IF(OR($D408&lt;&gt;"Serviço",AND(AUTOEVENTO="Manual",$M408=$A$15),$M408&gt;(ROW(PLE.lastrow)-ROW(PLE.firstrow))),0,
           IF(OFFSET(PLE!$G$15,$M408-$A$15,CD$13)="",10^12,OFFSET(PLE!$G$15,$M408-$A$15,CD$13)))</f>
        <v>1000000000000</v>
      </c>
      <c r="CE408" s="172">
        <f ca="1">IF(OR($D408&lt;&gt;"Serviço",AND(AUTOEVENTO="Manual",$M408=$A$15),$M408&gt;(ROW(PLE.lastrow)-ROW(PLE.firstrow))),0,
           IF(OFFSET(PLE!$G$15,$M408-$A$15,CE$13)="",10^12,OFFSET(PLE!$G$15,$M408-$A$15,CE$13)))</f>
        <v>1000000000000</v>
      </c>
      <c r="CF408" s="172">
        <f ca="1">IF(OR($D408&lt;&gt;"Serviço",AND(AUTOEVENTO="Manual",$M408=$A$15),$M408&gt;(ROW(PLE.lastrow)-ROW(PLE.firstrow))),0,
           IF(OFFSET(PLE!$G$15,$M408-$A$15,CF$13)="",10^12,OFFSET(PLE!$G$15,$M408-$A$15,CF$13)))</f>
        <v>1000000000000</v>
      </c>
      <c r="CG408" s="172">
        <f ca="1">IF(OR($D408&lt;&gt;"Serviço",AND(AUTOEVENTO="Manual",$M408=$A$15),$M408&gt;(ROW(PLE.lastrow)-ROW(PLE.firstrow))),0,
           IF(OFFSET(PLE!$G$15,$M408-$A$15,CG$13)="",10^12,OFFSET(PLE!$G$15,$M408-$A$15,CG$13)))</f>
        <v>1000000000000</v>
      </c>
      <c r="CH408" s="172">
        <f ca="1">IF(OR($D408&lt;&gt;"Serviço",AND(AUTOEVENTO="Manual",$M408=$A$15),$M408&gt;(ROW(PLE.lastrow)-ROW(PLE.firstrow))),0,
           IF(OFFSET(PLE!$G$15,$M408-$A$15,CH$13)="",10^12,OFFSET(PLE!$G$15,$M408-$A$15,CH$13)))</f>
        <v>1000000000000</v>
      </c>
      <c r="CI408" s="172">
        <f ca="1">IF(OR($D408&lt;&gt;"Serviço",AND(AUTOEVENTO="Manual",$M408=$A$15),$M408&gt;(ROW(PLE.lastrow)-ROW(PLE.firstrow))),0,
           IF(OFFSET(PLE!$G$15,$M408-$A$15,CI$13)="",10^12,OFFSET(PLE!$G$15,$M408-$A$15,CI$13)))</f>
        <v>1000000000000</v>
      </c>
      <c r="CJ408" s="172">
        <f ca="1">IF(OR($D408&lt;&gt;"Serviço",AND(AUTOEVENTO="Manual",$M408=$A$15),$M408&gt;(ROW(PLE.lastrow)-ROW(PLE.firstrow))),0,
           IF(OFFSET(PLE!$G$15,$M408-$A$15,CJ$13)="",10^12,OFFSET(PLE!$G$15,$M408-$A$15,CJ$13)))</f>
        <v>1000000000000</v>
      </c>
      <c r="CK408" s="172">
        <f ca="1">IF(OR($D408&lt;&gt;"Serviço",AND(AUTOEVENTO="Manual",$M408=$A$15),$M408&gt;(ROW(PLE.lastrow)-ROW(PLE.firstrow))),0,
           IF(OFFSET(PLE!$G$15,$M408-$A$15,CK$13)="",10^12,OFFSET(PLE!$G$15,$M408-$A$15,CK$13)))</f>
        <v>1000000000000</v>
      </c>
      <c r="CL408" s="172">
        <f ca="1">IF(OR($D408&lt;&gt;"Serviço",AND(AUTOEVENTO="Manual",$M408=$A$15),$M408&gt;(ROW(PLE.lastrow)-ROW(PLE.firstrow))),0,
           IF(OFFSET(PLE!$G$15,$M408-$A$15,CL$13)="",10^12,OFFSET(PLE!$G$15,$M408-$A$15,CL$13)))</f>
        <v>1000000000000</v>
      </c>
      <c r="CM408" s="172">
        <f ca="1">IF(OR($D408&lt;&gt;"Serviço",AND(AUTOEVENTO="Manual",$M408=$A$15),$M408&gt;(ROW(PLE.lastrow)-ROW(PLE.firstrow))),0,
           IF(OFFSET(PLE!$G$15,$M408-$A$15,CM$13)="",10^12,OFFSET(PLE!$G$15,$M408-$A$15,CM$13)))</f>
        <v>1000000000000</v>
      </c>
    </row>
    <row r="409" spans="1:91" ht="38.25" x14ac:dyDescent="0.2">
      <c r="A409" s="7">
        <f t="shared" ca="1" si="16"/>
        <v>7</v>
      </c>
      <c r="B409" s="7" t="str">
        <f ca="1">OFFSET(ORÇAMENTO!C$15,ROW(B409)-ROW(B$15),0)</f>
        <v>S</v>
      </c>
      <c r="C409" s="7" t="str">
        <f ca="1">OFFSET(ORÇAMENTO!L$15,ROW(C409)-ROW(C$15),0)</f>
        <v>F</v>
      </c>
      <c r="D409" s="116" t="str">
        <f ca="1">OFFSET(ORÇAMENTO!N$15,ROW(D409)-ROW(D$15),0)</f>
        <v>Serviço</v>
      </c>
      <c r="E409" s="117" t="str">
        <f ca="1">OFFSET(ORÇAMENTO!O$15,ROW(E409)-ROW(E$15),0)</f>
        <v>1.8.2.3.9.</v>
      </c>
      <c r="F409" s="163" t="str">
        <f ca="1">OFFSET(ORÇAMENTO!R$15,ROW(F409)-ROW(F$15),0)</f>
        <v>CABO DE COBRE FLEXÍVEL, CLASSE 5, ISOLAMENTO TIPO EPR/HEPR, NÃO HALOGENADO, ANTICHAMA, TERMOFIXO, UNIPOLAR, SEÇÃO 2,5 MM2, 90°C, 0,6/1KV</v>
      </c>
      <c r="G409" s="164" t="str">
        <f ca="1">IF($D409&lt;&gt;"Serviço","",OFFSET(ORÇAMENTO!S$15,ROW(G409)-ROW(G$15),0))</f>
        <v>M</v>
      </c>
      <c r="H409" s="122" cm="1">
        <f t="array" aca="1" ref="H409" ca="1">IF($D409&lt;&gt;"Serviço",0,IF(ACOMPANHAMENTO="BM",ROUND(OFFSET(ORÇAMENTO!AJ$15,ROW(H409)-ROW(H$15),0),15-13*ORÇAMENTO!$AF$7),SUMPRODUCT(($Q$1:$AI$1=1)*ROUND($Q409:$AI409,15-13*ORÇAMENTO!$AF$7))))</f>
        <v>950.4</v>
      </c>
      <c r="I409" s="468" t="s">
        <v>1431</v>
      </c>
      <c r="J409" s="640" t="str" cm="1">
        <f t="array" aca="1" ref="J409" ca="1">IF(OR(B409&lt;&gt;"S",CÁLCULO.FrentesPreenchidas=0),"",IF(AND(ACOMPANHAMENTO="PLE",AUTOEVENTO="Manual",OR(H409&gt;0,ORÇAMENTO!AC409="QUANT."),OR(K409="",M409=0,N409="")),"►E",IF(AND(ACOMPANHAMENTO="PLE",ORÇAMENTO!AC409="QUANT."),"►Q",IF(AND(ACOMPANHAMENTO="PLE",H409&lt;&gt;SUMPRODUCT(($Q$1:$AI$1=1)*ROUND(Q409:AI409,15))),"►S",IF(AND(COUNTIF($P$11:$AI$11,"▼")=0,H409&gt;0,I409=""),"◄M","")))))</f>
        <v/>
      </c>
      <c r="K409" s="641" t="s">
        <v>1391</v>
      </c>
      <c r="L409" s="165" t="s">
        <v>764</v>
      </c>
      <c r="M409" s="166">
        <f ca="1">IF($D409&lt;&gt;"Serviço","",
          IF(AUTOEVENTO="manual",$A409,
                IF(ISERROR(MATCH($A409,$A$15:OFFSET($A409,-1,0),0)),MAX($M$15:OFFSET(M409,-1,0))+1,
                      INDEX($M$15:OFFSET(M409,-1,0),MATCH($A409,$A$15:OFFSET($A409,-1,0),0)))))</f>
        <v>7</v>
      </c>
      <c r="N409" s="167" t="str">
        <f ca="1">IF($D409&lt;&gt;"Serviço","",
         IF(AUTOEVENTO="Manual",
                IF($A409=0,"&lt;-- defina o número do agrupador",
                       OFFSET(EVENTOS!$D$15,$A409-$A$15,0)),
                OFFSET($F$15,$A409,0)))</f>
        <v>Instalações Elétricas</v>
      </c>
      <c r="O409" s="168"/>
      <c r="Q409" s="168"/>
      <c r="R409" s="169"/>
      <c r="S409" s="169"/>
      <c r="T409" s="169"/>
      <c r="U409" s="169"/>
      <c r="V409" s="169"/>
      <c r="W409" s="169"/>
      <c r="X409" s="169">
        <f>475.2*2</f>
        <v>950.4</v>
      </c>
      <c r="Y409" s="169"/>
      <c r="Z409" s="170"/>
      <c r="AA409" s="169"/>
      <c r="AB409" s="169"/>
      <c r="AC409" s="169"/>
      <c r="AD409" s="169"/>
      <c r="AE409" s="169"/>
      <c r="AF409" s="169"/>
      <c r="AG409" s="169"/>
      <c r="AH409" s="170"/>
      <c r="AJ409" s="453">
        <f ca="1">IF(AND($D409="Serviço",AJ$12&lt;&gt;0,$H409&gt;0,OR(AUTOEVENTO&lt;&gt;"manual",$M409&lt;&gt;$A$15)),
        IF(Import.TipoArredondamento&lt;&gt;"TransfereGOV",
              ROUND(OFFSET($P409,0,AJ$13),15-13*ORÇAMENTO!$AF$7)/$H409*OFFSET(ORÇAMENTO!$X$15,ROW(AJ409)-ROW(AJ$15),0),
              ROUND(ROUND(OFFSET($P409,0,AJ$13),15-13*ORÇAMENTO!$AF$7)*OFFSET(ORÇAMENTO!$W$15,ROW(AJ409)-ROW(AJ$15),0),15-13*ORÇAMENTO!$AF$11)),
         0)</f>
        <v>0</v>
      </c>
      <c r="AK409" s="453">
        <f ca="1">IF(AND($D409="Serviço",AK$12&lt;&gt;0,$H409&gt;0,OR(AUTOEVENTO&lt;&gt;"manual",$M409&lt;&gt;$A$15)),
        IF(Import.TipoArredondamento&lt;&gt;"TransfereGOV",
              ROUND(OFFSET($P409,0,AK$13),15-13*ORÇAMENTO!$AF$7)/$H409*OFFSET(ORÇAMENTO!$X$15,ROW(AK409)-ROW(AK$15),0),
              ROUND(ROUND(OFFSET($P409,0,AK$13),15-13*ORÇAMENTO!$AF$7)*OFFSET(ORÇAMENTO!$W$15,ROW(AK409)-ROW(AK$15),0),15-13*ORÇAMENTO!$AF$11)),
         0)</f>
        <v>0</v>
      </c>
      <c r="AL409" s="453">
        <f ca="1">IF(AND($D409="Serviço",AL$12&lt;&gt;0,$H409&gt;0,OR(AUTOEVENTO&lt;&gt;"manual",$M409&lt;&gt;$A$15)),
        IF(Import.TipoArredondamento&lt;&gt;"TransfereGOV",
              ROUND(OFFSET($P409,0,AL$13),15-13*ORÇAMENTO!$AF$7)/$H409*OFFSET(ORÇAMENTO!$X$15,ROW(AL409)-ROW(AL$15),0),
              ROUND(ROUND(OFFSET($P409,0,AL$13),15-13*ORÇAMENTO!$AF$7)*OFFSET(ORÇAMENTO!$W$15,ROW(AL409)-ROW(AL$15),0),15-13*ORÇAMENTO!$AF$11)),
         0)</f>
        <v>0</v>
      </c>
      <c r="AM409" s="453">
        <f ca="1">IF(AND($D409="Serviço",AM$12&lt;&gt;0,$H409&gt;0,OR(AUTOEVENTO&lt;&gt;"manual",$M409&lt;&gt;$A$15)),
        IF(Import.TipoArredondamento&lt;&gt;"TransfereGOV",
              ROUND(OFFSET($P409,0,AM$13),15-13*ORÇAMENTO!$AF$7)/$H409*OFFSET(ORÇAMENTO!$X$15,ROW(AM409)-ROW(AM$15),0),
              ROUND(ROUND(OFFSET($P409,0,AM$13),15-13*ORÇAMENTO!$AF$7)*OFFSET(ORÇAMENTO!$W$15,ROW(AM409)-ROW(AM$15),0),15-13*ORÇAMENTO!$AF$11)),
         0)</f>
        <v>0</v>
      </c>
      <c r="AN409" s="453">
        <f ca="1">IF(AND($D409="Serviço",AN$12&lt;&gt;0,$H409&gt;0,OR(AUTOEVENTO&lt;&gt;"manual",$M409&lt;&gt;$A$15)),
        IF(Import.TipoArredondamento&lt;&gt;"TransfereGOV",
              ROUND(OFFSET($P409,0,AN$13),15-13*ORÇAMENTO!$AF$7)/$H409*OFFSET(ORÇAMENTO!$X$15,ROW(AN409)-ROW(AN$15),0),
              ROUND(ROUND(OFFSET($P409,0,AN$13),15-13*ORÇAMENTO!$AF$7)*OFFSET(ORÇAMENTO!$W$15,ROW(AN409)-ROW(AN$15),0),15-13*ORÇAMENTO!$AF$11)),
         0)</f>
        <v>0</v>
      </c>
      <c r="AO409" s="453">
        <f ca="1">IF(AND($D409="Serviço",AO$12&lt;&gt;0,$H409&gt;0,OR(AUTOEVENTO&lt;&gt;"manual",$M409&lt;&gt;$A$15)),
        IF(Import.TipoArredondamento&lt;&gt;"TransfereGOV",
              ROUND(OFFSET($P409,0,AO$13),15-13*ORÇAMENTO!$AF$7)/$H409*OFFSET(ORÇAMENTO!$X$15,ROW(AO409)-ROW(AO$15),0),
              ROUND(ROUND(OFFSET($P409,0,AO$13),15-13*ORÇAMENTO!$AF$7)*OFFSET(ORÇAMENTO!$W$15,ROW(AO409)-ROW(AO$15),0),15-13*ORÇAMENTO!$AF$11)),
         0)</f>
        <v>0</v>
      </c>
      <c r="AP409" s="453">
        <f ca="1">IF(AND($D409="Serviço",AP$12&lt;&gt;0,$H409&gt;0,OR(AUTOEVENTO&lt;&gt;"manual",$M409&lt;&gt;$A$15)),
        IF(Import.TipoArredondamento&lt;&gt;"TransfereGOV",
              ROUND(OFFSET($P409,0,AP$13),15-13*ORÇAMENTO!$AF$7)/$H409*OFFSET(ORÇAMENTO!$X$15,ROW(AP409)-ROW(AP$15),0),
              ROUND(ROUND(OFFSET($P409,0,AP$13),15-13*ORÇAMENTO!$AF$7)*OFFSET(ORÇAMENTO!$W$15,ROW(AP409)-ROW(AP$15),0),15-13*ORÇAMENTO!$AF$11)),
         0)</f>
        <v>0</v>
      </c>
      <c r="AQ409" s="453">
        <f ca="1">IF(AND($D409="Serviço",AQ$12&lt;&gt;0,$H409&gt;0,OR(AUTOEVENTO&lt;&gt;"manual",$M409&lt;&gt;$A$15)),
        IF(Import.TipoArredondamento&lt;&gt;"TransfereGOV",
              ROUND(OFFSET($P409,0,AQ$13),15-13*ORÇAMENTO!$AF$7)/$H409*OFFSET(ORÇAMENTO!$X$15,ROW(AQ409)-ROW(AQ$15),0),
              ROUND(ROUND(OFFSET($P409,0,AQ$13),15-13*ORÇAMENTO!$AF$7)*OFFSET(ORÇAMENTO!$W$15,ROW(AQ409)-ROW(AQ$15),0),15-13*ORÇAMENTO!$AF$11)),
         0)</f>
        <v>0</v>
      </c>
      <c r="AR409" s="453">
        <f ca="1">IF(AND($D409="Serviço",AR$12&lt;&gt;0,$H409&gt;0,OR(AUTOEVENTO&lt;&gt;"manual",$M409&lt;&gt;$A$15)),
        IF(Import.TipoArredondamento&lt;&gt;"TransfereGOV",
              ROUND(OFFSET($P409,0,AR$13),15-13*ORÇAMENTO!$AF$7)/$H409*OFFSET(ORÇAMENTO!$X$15,ROW(AR409)-ROW(AR$15),0),
              ROUND(ROUND(OFFSET($P409,0,AR$13),15-13*ORÇAMENTO!$AF$7)*OFFSET(ORÇAMENTO!$W$15,ROW(AR409)-ROW(AR$15),0),15-13*ORÇAMENTO!$AF$11)),
         0)</f>
        <v>0</v>
      </c>
      <c r="AS409" s="453">
        <f ca="1">IF(AND($D409="Serviço",AS$12&lt;&gt;0,$H409&gt;0,OR(AUTOEVENTO&lt;&gt;"manual",$M409&lt;&gt;$A$15)),
        IF(Import.TipoArredondamento&lt;&gt;"TransfereGOV",
              ROUND(OFFSET($P409,0,AS$13),15-13*ORÇAMENTO!$AF$7)/$H409*OFFSET(ORÇAMENTO!$X$15,ROW(AS409)-ROW(AS$15),0),
              ROUND(ROUND(OFFSET($P409,0,AS$13),15-13*ORÇAMENTO!$AF$7)*OFFSET(ORÇAMENTO!$W$15,ROW(AS409)-ROW(AS$15),0),15-13*ORÇAMENTO!$AF$11)),
         0)</f>
        <v>0</v>
      </c>
      <c r="AT409" s="453">
        <f ca="1">IF(AND($D409="Serviço",AT$12&lt;&gt;0,$H409&gt;0,OR(AUTOEVENTO&lt;&gt;"manual",$M409&lt;&gt;$A$15)),
        IF(Import.TipoArredondamento&lt;&gt;"TransfereGOV",
              ROUND(OFFSET($P409,0,AT$13),15-13*ORÇAMENTO!$AF$7)/$H409*OFFSET(ORÇAMENTO!$X$15,ROW(AT409)-ROW(AT$15),0),
              ROUND(ROUND(OFFSET($P409,0,AT$13),15-13*ORÇAMENTO!$AF$7)*OFFSET(ORÇAMENTO!$W$15,ROW(AT409)-ROW(AT$15),0),15-13*ORÇAMENTO!$AF$11)),
         0)</f>
        <v>0</v>
      </c>
      <c r="AU409" s="453">
        <f ca="1">IF(AND($D409="Serviço",AU$12&lt;&gt;0,$H409&gt;0,OR(AUTOEVENTO&lt;&gt;"manual",$M409&lt;&gt;$A$15)),
        IF(Import.TipoArredondamento&lt;&gt;"TransfereGOV",
              ROUND(OFFSET($P409,0,AU$13),15-13*ORÇAMENTO!$AF$7)/$H409*OFFSET(ORÇAMENTO!$X$15,ROW(AU409)-ROW(AU$15),0),
              ROUND(ROUND(OFFSET($P409,0,AU$13),15-13*ORÇAMENTO!$AF$7)*OFFSET(ORÇAMENTO!$W$15,ROW(AU409)-ROW(AU$15),0),15-13*ORÇAMENTO!$AF$11)),
         0)</f>
        <v>0</v>
      </c>
      <c r="AV409" s="453">
        <f ca="1">IF(AND($D409="Serviço",AV$12&lt;&gt;0,$H409&gt;0,OR(AUTOEVENTO&lt;&gt;"manual",$M409&lt;&gt;$A$15)),
        IF(Import.TipoArredondamento&lt;&gt;"TransfereGOV",
              ROUND(OFFSET($P409,0,AV$13),15-13*ORÇAMENTO!$AF$7)/$H409*OFFSET(ORÇAMENTO!$X$15,ROW(AV409)-ROW(AV$15),0),
              ROUND(ROUND(OFFSET($P409,0,AV$13),15-13*ORÇAMENTO!$AF$7)*OFFSET(ORÇAMENTO!$W$15,ROW(AV409)-ROW(AV$15),0),15-13*ORÇAMENTO!$AF$11)),
         0)</f>
        <v>0</v>
      </c>
      <c r="AW409" s="453">
        <f ca="1">IF(AND($D409="Serviço",AW$12&lt;&gt;0,$H409&gt;0,OR(AUTOEVENTO&lt;&gt;"manual",$M409&lt;&gt;$A$15)),
        IF(Import.TipoArredondamento&lt;&gt;"TransfereGOV",
              ROUND(OFFSET($P409,0,AW$13),15-13*ORÇAMENTO!$AF$7)/$H409*OFFSET(ORÇAMENTO!$X$15,ROW(AW409)-ROW(AW$15),0),
              ROUND(ROUND(OFFSET($P409,0,AW$13),15-13*ORÇAMENTO!$AF$7)*OFFSET(ORÇAMENTO!$W$15,ROW(AW409)-ROW(AW$15),0),15-13*ORÇAMENTO!$AF$11)),
         0)</f>
        <v>0</v>
      </c>
      <c r="AX409" s="453">
        <f ca="1">IF(AND($D409="Serviço",AX$12&lt;&gt;0,$H409&gt;0,OR(AUTOEVENTO&lt;&gt;"manual",$M409&lt;&gt;$A$15)),
        IF(Import.TipoArredondamento&lt;&gt;"TransfereGOV",
              ROUND(OFFSET($P409,0,AX$13),15-13*ORÇAMENTO!$AF$7)/$H409*OFFSET(ORÇAMENTO!$X$15,ROW(AX409)-ROW(AX$15),0),
              ROUND(ROUND(OFFSET($P409,0,AX$13),15-13*ORÇAMENTO!$AF$7)*OFFSET(ORÇAMENTO!$W$15,ROW(AX409)-ROW(AX$15),0),15-13*ORÇAMENTO!$AF$11)),
         0)</f>
        <v>0</v>
      </c>
      <c r="AY409" s="453">
        <f ca="1">IF(AND($D409="Serviço",AY$12&lt;&gt;0,$H409&gt;0,OR(AUTOEVENTO&lt;&gt;"manual",$M409&lt;&gt;$A$15)),
        IF(Import.TipoArredondamento&lt;&gt;"TransfereGOV",
              ROUND(OFFSET($P409,0,AY$13),15-13*ORÇAMENTO!$AF$7)/$H409*OFFSET(ORÇAMENTO!$X$15,ROW(AY409)-ROW(AY$15),0),
              ROUND(ROUND(OFFSET($P409,0,AY$13),15-13*ORÇAMENTO!$AF$7)*OFFSET(ORÇAMENTO!$W$15,ROW(AY409)-ROW(AY$15),0),15-13*ORÇAMENTO!$AF$11)),
         0)</f>
        <v>0</v>
      </c>
      <c r="AZ409" s="453">
        <f ca="1">IF(AND($D409="Serviço",AZ$12&lt;&gt;0,$H409&gt;0,OR(AUTOEVENTO&lt;&gt;"manual",$M409&lt;&gt;$A$15)),
        IF(Import.TipoArredondamento&lt;&gt;"TransfereGOV",
              ROUND(OFFSET($P409,0,AZ$13),15-13*ORÇAMENTO!$AF$7)/$H409*OFFSET(ORÇAMENTO!$X$15,ROW(AZ409)-ROW(AZ$15),0),
              ROUND(ROUND(OFFSET($P409,0,AZ$13),15-13*ORÇAMENTO!$AF$7)*OFFSET(ORÇAMENTO!$W$15,ROW(AZ409)-ROW(AZ$15),0),15-13*ORÇAMENTO!$AF$11)),
         0)</f>
        <v>0</v>
      </c>
      <c r="BA409" s="453">
        <f ca="1">IF(AND($D409="Serviço",BA$12&lt;&gt;0,$H409&gt;0,OR(AUTOEVENTO&lt;&gt;"manual",$M409&lt;&gt;$A$15)),
        IF(Import.TipoArredondamento&lt;&gt;"TransfereGOV",
              ROUND(OFFSET($P409,0,BA$13),15-13*ORÇAMENTO!$AF$7)/$H409*OFFSET(ORÇAMENTO!$X$15,ROW(BA409)-ROW(BA$15),0),
              ROUND(ROUND(OFFSET($P409,0,BA$13),15-13*ORÇAMENTO!$AF$7)*OFFSET(ORÇAMENTO!$W$15,ROW(BA409)-ROW(BA$15),0),15-13*ORÇAMENTO!$AF$11)),
         0)</f>
        <v>0</v>
      </c>
      <c r="BC409" s="171">
        <f ca="1">IF(OR($D409&lt;&gt;"Serviço",AND(AUTOEVENTO="Manual",$M409=$A$15)),0,
         IF(OFFSET(CRONOPLE!$F$15,$M409-$A$15,BC$13)=0,10^12,OFFSET(CRONOPLE!$F$15,$M409-$A$15,BC$13)))</f>
        <v>1</v>
      </c>
      <c r="BD409" s="171">
        <f ca="1">IF(OR($D409&lt;&gt;"Serviço",AND(AUTOEVENTO="Manual",$M409=$A$15)),0,
         IF(OFFSET(CRONOPLE!$F$15,$M409-$A$15,BD$13)=0,10^12,OFFSET(CRONOPLE!$F$15,$M409-$A$15,BD$13)))</f>
        <v>2</v>
      </c>
      <c r="BE409" s="171">
        <f ca="1">IF(OR($D409&lt;&gt;"Serviço",AND(AUTOEVENTO="Manual",$M409=$A$15)),0,
         IF(OFFSET(CRONOPLE!$F$15,$M409-$A$15,BE$13)=0,10^12,OFFSET(CRONOPLE!$F$15,$M409-$A$15,BE$13)))</f>
        <v>3</v>
      </c>
      <c r="BF409" s="171">
        <f ca="1">IF(OR($D409&lt;&gt;"Serviço",AND(AUTOEVENTO="Manual",$M409=$A$15)),0,
         IF(OFFSET(CRONOPLE!$F$15,$M409-$A$15,BF$13)=0,10^12,OFFSET(CRONOPLE!$F$15,$M409-$A$15,BF$13)))</f>
        <v>4</v>
      </c>
      <c r="BG409" s="171">
        <f ca="1">IF(OR($D409&lt;&gt;"Serviço",AND(AUTOEVENTO="Manual",$M409=$A$15)),0,
         IF(OFFSET(CRONOPLE!$F$15,$M409-$A$15,BG$13)=0,10^12,OFFSET(CRONOPLE!$F$15,$M409-$A$15,BG$13)))</f>
        <v>5</v>
      </c>
      <c r="BH409" s="171">
        <f ca="1">IF(OR($D409&lt;&gt;"Serviço",AND(AUTOEVENTO="Manual",$M409=$A$15)),0,
         IF(OFFSET(CRONOPLE!$F$15,$M409-$A$15,BH$13)=0,10^12,OFFSET(CRONOPLE!$F$15,$M409-$A$15,BH$13)))</f>
        <v>6</v>
      </c>
      <c r="BI409" s="171">
        <f ca="1">IF(OR($D409&lt;&gt;"Serviço",AND(AUTOEVENTO="Manual",$M409=$A$15)),0,
         IF(OFFSET(CRONOPLE!$F$15,$M409-$A$15,BI$13)=0,10^12,OFFSET(CRONOPLE!$F$15,$M409-$A$15,BI$13)))</f>
        <v>7</v>
      </c>
      <c r="BJ409" s="171">
        <f ca="1">IF(OR($D409&lt;&gt;"Serviço",AND(AUTOEVENTO="Manual",$M409=$A$15)),0,
         IF(OFFSET(CRONOPLE!$F$15,$M409-$A$15,BJ$13)=0,10^12,OFFSET(CRONOPLE!$F$15,$M409-$A$15,BJ$13)))</f>
        <v>8</v>
      </c>
      <c r="BK409" s="171">
        <f ca="1">IF(OR($D409&lt;&gt;"Serviço",AND(AUTOEVENTO="Manual",$M409=$A$15)),0,
         IF(OFFSET(CRONOPLE!$F$15,$M409-$A$15,BK$13)=0,10^12,OFFSET(CRONOPLE!$F$15,$M409-$A$15,BK$13)))</f>
        <v>9</v>
      </c>
      <c r="BL409" s="171">
        <f ca="1">IF(OR($D409&lt;&gt;"Serviço",AND(AUTOEVENTO="Manual",$M409=$A$15)),0,
         IF(OFFSET(CRONOPLE!$F$15,$M409-$A$15,BL$13)=0,10^12,OFFSET(CRONOPLE!$F$15,$M409-$A$15,BL$13)))</f>
        <v>1000000000000</v>
      </c>
      <c r="BM409" s="171">
        <f ca="1">IF(OR($D409&lt;&gt;"Serviço",AND(AUTOEVENTO="Manual",$M409=$A$15)),0,
         IF(OFFSET(CRONOPLE!$F$15,$M409-$A$15,BM$13)=0,10^12,OFFSET(CRONOPLE!$F$15,$M409-$A$15,BM$13)))</f>
        <v>1000000000000</v>
      </c>
      <c r="BN409" s="171">
        <f ca="1">IF(OR($D409&lt;&gt;"Serviço",AND(AUTOEVENTO="Manual",$M409=$A$15)),0,
         IF(OFFSET(CRONOPLE!$F$15,$M409-$A$15,BN$13)=0,10^12,OFFSET(CRONOPLE!$F$15,$M409-$A$15,BN$13)))</f>
        <v>1000000000000</v>
      </c>
      <c r="BO409" s="171">
        <f ca="1">IF(OR($D409&lt;&gt;"Serviço",AND(AUTOEVENTO="Manual",$M409=$A$15)),0,
         IF(OFFSET(CRONOPLE!$F$15,$M409-$A$15,BO$13)=0,10^12,OFFSET(CRONOPLE!$F$15,$M409-$A$15,BO$13)))</f>
        <v>1000000000000</v>
      </c>
      <c r="BP409" s="171">
        <f ca="1">IF(OR($D409&lt;&gt;"Serviço",AND(AUTOEVENTO="Manual",$M409=$A$15)),0,
         IF(OFFSET(CRONOPLE!$F$15,$M409-$A$15,BP$13)=0,10^12,OFFSET(CRONOPLE!$F$15,$M409-$A$15,BP$13)))</f>
        <v>1000000000000</v>
      </c>
      <c r="BQ409" s="171">
        <f ca="1">IF(OR($D409&lt;&gt;"Serviço",AND(AUTOEVENTO="Manual",$M409=$A$15)),0,
         IF(OFFSET(CRONOPLE!$F$15,$M409-$A$15,BQ$13)=0,10^12,OFFSET(CRONOPLE!$F$15,$M409-$A$15,BQ$13)))</f>
        <v>1000000000000</v>
      </c>
      <c r="BR409" s="171">
        <f ca="1">IF(OR($D409&lt;&gt;"Serviço",AND(AUTOEVENTO="Manual",$M409=$A$15)),0,
         IF(OFFSET(CRONOPLE!$F$15,$M409-$A$15,BR$13)=0,10^12,OFFSET(CRONOPLE!$F$15,$M409-$A$15,BR$13)))</f>
        <v>1000000000000</v>
      </c>
      <c r="BS409" s="171">
        <f ca="1">IF(OR($D409&lt;&gt;"Serviço",AND(AUTOEVENTO="Manual",$M409=$A$15)),0,
         IF(OFFSET(CRONOPLE!$F$15,$M409-$A$15,BS$13)=0,10^12,OFFSET(CRONOPLE!$F$15,$M409-$A$15,BS$13)))</f>
        <v>1000000000000</v>
      </c>
      <c r="BT409" s="171">
        <f ca="1">IF(OR($D409&lt;&gt;"Serviço",AND(AUTOEVENTO="Manual",$M409=$A$15)),0,
         IF(OFFSET(CRONOPLE!$F$15,$M409-$A$15,BT$13)=0,10^12,OFFSET(CRONOPLE!$F$15,$M409-$A$15,BT$13)))</f>
        <v>1000000000000</v>
      </c>
      <c r="BV409" s="172">
        <f ca="1">IF(OR($D409&lt;&gt;"Serviço",AND(AUTOEVENTO="Manual",$M409=$A$15),$M409&gt;(ROW(PLE.lastrow)-ROW(PLE.firstrow))),0,
           IF(OFFSET(PLE!$G$15,$M409-$A$15,BV$13)="",10^12,OFFSET(PLE!$G$15,$M409-$A$15,BV$13)))</f>
        <v>1000000000000</v>
      </c>
      <c r="BW409" s="172">
        <f ca="1">IF(OR($D409&lt;&gt;"Serviço",AND(AUTOEVENTO="Manual",$M409=$A$15),$M409&gt;(ROW(PLE.lastrow)-ROW(PLE.firstrow))),0,
           IF(OFFSET(PLE!$G$15,$M409-$A$15,BW$13)="",10^12,OFFSET(PLE!$G$15,$M409-$A$15,BW$13)))</f>
        <v>1000000000000</v>
      </c>
      <c r="BX409" s="172">
        <f ca="1">IF(OR($D409&lt;&gt;"Serviço",AND(AUTOEVENTO="Manual",$M409=$A$15),$M409&gt;(ROW(PLE.lastrow)-ROW(PLE.firstrow))),0,
           IF(OFFSET(PLE!$G$15,$M409-$A$15,BX$13)="",10^12,OFFSET(PLE!$G$15,$M409-$A$15,BX$13)))</f>
        <v>1000000000000</v>
      </c>
      <c r="BY409" s="172">
        <f ca="1">IF(OR($D409&lt;&gt;"Serviço",AND(AUTOEVENTO="Manual",$M409=$A$15),$M409&gt;(ROW(PLE.lastrow)-ROW(PLE.firstrow))),0,
           IF(OFFSET(PLE!$G$15,$M409-$A$15,BY$13)="",10^12,OFFSET(PLE!$G$15,$M409-$A$15,BY$13)))</f>
        <v>1000000000000</v>
      </c>
      <c r="BZ409" s="172">
        <f ca="1">IF(OR($D409&lt;&gt;"Serviço",AND(AUTOEVENTO="Manual",$M409=$A$15),$M409&gt;(ROW(PLE.lastrow)-ROW(PLE.firstrow))),0,
           IF(OFFSET(PLE!$G$15,$M409-$A$15,BZ$13)="",10^12,OFFSET(PLE!$G$15,$M409-$A$15,BZ$13)))</f>
        <v>1000000000000</v>
      </c>
      <c r="CA409" s="172">
        <f ca="1">IF(OR($D409&lt;&gt;"Serviço",AND(AUTOEVENTO="Manual",$M409=$A$15),$M409&gt;(ROW(PLE.lastrow)-ROW(PLE.firstrow))),0,
           IF(OFFSET(PLE!$G$15,$M409-$A$15,CA$13)="",10^12,OFFSET(PLE!$G$15,$M409-$A$15,CA$13)))</f>
        <v>1000000000000</v>
      </c>
      <c r="CB409" s="172">
        <f ca="1">IF(OR($D409&lt;&gt;"Serviço",AND(AUTOEVENTO="Manual",$M409=$A$15),$M409&gt;(ROW(PLE.lastrow)-ROW(PLE.firstrow))),0,
           IF(OFFSET(PLE!$G$15,$M409-$A$15,CB$13)="",10^12,OFFSET(PLE!$G$15,$M409-$A$15,CB$13)))</f>
        <v>1000000000000</v>
      </c>
      <c r="CC409" s="172">
        <f ca="1">IF(OR($D409&lt;&gt;"Serviço",AND(AUTOEVENTO="Manual",$M409=$A$15),$M409&gt;(ROW(PLE.lastrow)-ROW(PLE.firstrow))),0,
           IF(OFFSET(PLE!$G$15,$M409-$A$15,CC$13)="",10^12,OFFSET(PLE!$G$15,$M409-$A$15,CC$13)))</f>
        <v>1000000000000</v>
      </c>
      <c r="CD409" s="172">
        <f ca="1">IF(OR($D409&lt;&gt;"Serviço",AND(AUTOEVENTO="Manual",$M409=$A$15),$M409&gt;(ROW(PLE.lastrow)-ROW(PLE.firstrow))),0,
           IF(OFFSET(PLE!$G$15,$M409-$A$15,CD$13)="",10^12,OFFSET(PLE!$G$15,$M409-$A$15,CD$13)))</f>
        <v>1000000000000</v>
      </c>
      <c r="CE409" s="172">
        <f ca="1">IF(OR($D409&lt;&gt;"Serviço",AND(AUTOEVENTO="Manual",$M409=$A$15),$M409&gt;(ROW(PLE.lastrow)-ROW(PLE.firstrow))),0,
           IF(OFFSET(PLE!$G$15,$M409-$A$15,CE$13)="",10^12,OFFSET(PLE!$G$15,$M409-$A$15,CE$13)))</f>
        <v>1000000000000</v>
      </c>
      <c r="CF409" s="172">
        <f ca="1">IF(OR($D409&lt;&gt;"Serviço",AND(AUTOEVENTO="Manual",$M409=$A$15),$M409&gt;(ROW(PLE.lastrow)-ROW(PLE.firstrow))),0,
           IF(OFFSET(PLE!$G$15,$M409-$A$15,CF$13)="",10^12,OFFSET(PLE!$G$15,$M409-$A$15,CF$13)))</f>
        <v>1000000000000</v>
      </c>
      <c r="CG409" s="172">
        <f ca="1">IF(OR($D409&lt;&gt;"Serviço",AND(AUTOEVENTO="Manual",$M409=$A$15),$M409&gt;(ROW(PLE.lastrow)-ROW(PLE.firstrow))),0,
           IF(OFFSET(PLE!$G$15,$M409-$A$15,CG$13)="",10^12,OFFSET(PLE!$G$15,$M409-$A$15,CG$13)))</f>
        <v>1000000000000</v>
      </c>
      <c r="CH409" s="172">
        <f ca="1">IF(OR($D409&lt;&gt;"Serviço",AND(AUTOEVENTO="Manual",$M409=$A$15),$M409&gt;(ROW(PLE.lastrow)-ROW(PLE.firstrow))),0,
           IF(OFFSET(PLE!$G$15,$M409-$A$15,CH$13)="",10^12,OFFSET(PLE!$G$15,$M409-$A$15,CH$13)))</f>
        <v>1000000000000</v>
      </c>
      <c r="CI409" s="172">
        <f ca="1">IF(OR($D409&lt;&gt;"Serviço",AND(AUTOEVENTO="Manual",$M409=$A$15),$M409&gt;(ROW(PLE.lastrow)-ROW(PLE.firstrow))),0,
           IF(OFFSET(PLE!$G$15,$M409-$A$15,CI$13)="",10^12,OFFSET(PLE!$G$15,$M409-$A$15,CI$13)))</f>
        <v>1000000000000</v>
      </c>
      <c r="CJ409" s="172">
        <f ca="1">IF(OR($D409&lt;&gt;"Serviço",AND(AUTOEVENTO="Manual",$M409=$A$15),$M409&gt;(ROW(PLE.lastrow)-ROW(PLE.firstrow))),0,
           IF(OFFSET(PLE!$G$15,$M409-$A$15,CJ$13)="",10^12,OFFSET(PLE!$G$15,$M409-$A$15,CJ$13)))</f>
        <v>1000000000000</v>
      </c>
      <c r="CK409" s="172">
        <f ca="1">IF(OR($D409&lt;&gt;"Serviço",AND(AUTOEVENTO="Manual",$M409=$A$15),$M409&gt;(ROW(PLE.lastrow)-ROW(PLE.firstrow))),0,
           IF(OFFSET(PLE!$G$15,$M409-$A$15,CK$13)="",10^12,OFFSET(PLE!$G$15,$M409-$A$15,CK$13)))</f>
        <v>1000000000000</v>
      </c>
      <c r="CL409" s="172">
        <f ca="1">IF(OR($D409&lt;&gt;"Serviço",AND(AUTOEVENTO="Manual",$M409=$A$15),$M409&gt;(ROW(PLE.lastrow)-ROW(PLE.firstrow))),0,
           IF(OFFSET(PLE!$G$15,$M409-$A$15,CL$13)="",10^12,OFFSET(PLE!$G$15,$M409-$A$15,CL$13)))</f>
        <v>1000000000000</v>
      </c>
      <c r="CM409" s="172">
        <f ca="1">IF(OR($D409&lt;&gt;"Serviço",AND(AUTOEVENTO="Manual",$M409=$A$15),$M409&gt;(ROW(PLE.lastrow)-ROW(PLE.firstrow))),0,
           IF(OFFSET(PLE!$G$15,$M409-$A$15,CM$13)="",10^12,OFFSET(PLE!$G$15,$M409-$A$15,CM$13)))</f>
        <v>1000000000000</v>
      </c>
    </row>
    <row r="410" spans="1:91" ht="12.75" x14ac:dyDescent="0.2">
      <c r="A410" s="7">
        <f t="shared" ca="1" si="16"/>
        <v>0</v>
      </c>
      <c r="B410" s="7">
        <f ca="1">OFFSET(ORÇAMENTO!C$15,ROW(B410)-ROW(B$15),0)</f>
        <v>4</v>
      </c>
      <c r="C410" s="7" t="str">
        <f ca="1">OFFSET(ORÇAMENTO!L$15,ROW(C410)-ROW(C$15),0)</f>
        <v>F</v>
      </c>
      <c r="D410" s="116" t="str">
        <f ca="1">OFFSET(ORÇAMENTO!N$15,ROW(D410)-ROW(D$15),0)</f>
        <v>Nível 4</v>
      </c>
      <c r="E410" s="117" t="str">
        <f ca="1">OFFSET(ORÇAMENTO!O$15,ROW(E410)-ROW(E$15),0)</f>
        <v>1.8.2.4.</v>
      </c>
      <c r="F410" s="163" t="str">
        <f ca="1">OFFSET(ORÇAMENTO!R$15,ROW(F410)-ROW(F$15),0)</f>
        <v>QUADRO DE DISTRIBUIÇÃO DE CIRCUITOS (QUV)</v>
      </c>
      <c r="G410" s="164" t="str">
        <f ca="1">IF($D410&lt;&gt;"Serviço","",OFFSET(ORÇAMENTO!S$15,ROW(G410)-ROW(G$15),0))</f>
        <v/>
      </c>
      <c r="H410" s="122" cm="1">
        <f t="array" aca="1" ref="H410" ca="1">IF($D410&lt;&gt;"Serviço",0,IF(ACOMPANHAMENTO="BM",ROUND(OFFSET(ORÇAMENTO!AJ$15,ROW(H410)-ROW(H$15),0),15-13*ORÇAMENTO!$AF$7),SUMPRODUCT(($Q$1:$AI$1=1)*ROUND($Q410:$AI410,15-13*ORÇAMENTO!$AF$7))))</f>
        <v>0</v>
      </c>
      <c r="I410" s="468"/>
      <c r="J410" s="640" t="str" cm="1">
        <f t="array" aca="1" ref="J410" ca="1">IF(OR(B410&lt;&gt;"S",CÁLCULO.FrentesPreenchidas=0),"",IF(AND(ACOMPANHAMENTO="PLE",AUTOEVENTO="Manual",OR(H410&gt;0,ORÇAMENTO!AC410="QUANT."),OR(K410="",M410=0,N410="")),"►E",IF(AND(ACOMPANHAMENTO="PLE",ORÇAMENTO!AC410="QUANT."),"►Q",IF(AND(ACOMPANHAMENTO="PLE",H410&lt;&gt;SUMPRODUCT(($Q$1:$AI$1=1)*ROUND(Q410:AI410,15))),"►S",IF(AND(COUNTIF($P$11:$AI$11,"▼")=0,H410&gt;0,I410=""),"◄M","")))))</f>
        <v/>
      </c>
      <c r="K410" s="641"/>
      <c r="L410" s="165" t="s">
        <v>764</v>
      </c>
      <c r="M410" s="166" t="str">
        <f ca="1">IF($D410&lt;&gt;"Serviço","",
          IF(AUTOEVENTO="manual",$A410,
                IF(ISERROR(MATCH($A410,$A$15:OFFSET($A410,-1,0),0)),MAX($M$15:OFFSET(M410,-1,0))+1,
                      INDEX($M$15:OFFSET(M410,-1,0),MATCH($A410,$A$15:OFFSET($A410,-1,0),0)))))</f>
        <v/>
      </c>
      <c r="N410" s="167" t="str">
        <f ca="1">IF($D410&lt;&gt;"Serviço","",
         IF(AUTOEVENTO="Manual",
                IF($A410=0,"&lt;-- defina o número do agrupador",
                       OFFSET(EVENTOS!$D$15,$A410-$A$15,0)),
                OFFSET($F$15,$A410,0)))</f>
        <v/>
      </c>
      <c r="O410" s="168"/>
      <c r="Q410" s="168"/>
      <c r="R410" s="169"/>
      <c r="S410" s="169"/>
      <c r="T410" s="169"/>
      <c r="U410" s="169"/>
      <c r="V410" s="169"/>
      <c r="W410" s="169"/>
      <c r="X410" s="169"/>
      <c r="Y410" s="169"/>
      <c r="Z410" s="170"/>
      <c r="AA410" s="169"/>
      <c r="AB410" s="169"/>
      <c r="AC410" s="169"/>
      <c r="AD410" s="169"/>
      <c r="AE410" s="169"/>
      <c r="AF410" s="169"/>
      <c r="AG410" s="169"/>
      <c r="AH410" s="170"/>
      <c r="AJ410" s="453">
        <f ca="1">IF(AND($D410="Serviço",AJ$12&lt;&gt;0,$H410&gt;0,OR(AUTOEVENTO&lt;&gt;"manual",$M410&lt;&gt;$A$15)),
        IF(Import.TipoArredondamento&lt;&gt;"TransfereGOV",
              ROUND(OFFSET($P410,0,AJ$13),15-13*ORÇAMENTO!$AF$7)/$H410*OFFSET(ORÇAMENTO!$X$15,ROW(AJ410)-ROW(AJ$15),0),
              ROUND(ROUND(OFFSET($P410,0,AJ$13),15-13*ORÇAMENTO!$AF$7)*OFFSET(ORÇAMENTO!$W$15,ROW(AJ410)-ROW(AJ$15),0),15-13*ORÇAMENTO!$AF$11)),
         0)</f>
        <v>0</v>
      </c>
      <c r="AK410" s="453">
        <f ca="1">IF(AND($D410="Serviço",AK$12&lt;&gt;0,$H410&gt;0,OR(AUTOEVENTO&lt;&gt;"manual",$M410&lt;&gt;$A$15)),
        IF(Import.TipoArredondamento&lt;&gt;"TransfereGOV",
              ROUND(OFFSET($P410,0,AK$13),15-13*ORÇAMENTO!$AF$7)/$H410*OFFSET(ORÇAMENTO!$X$15,ROW(AK410)-ROW(AK$15),0),
              ROUND(ROUND(OFFSET($P410,0,AK$13),15-13*ORÇAMENTO!$AF$7)*OFFSET(ORÇAMENTO!$W$15,ROW(AK410)-ROW(AK$15),0),15-13*ORÇAMENTO!$AF$11)),
         0)</f>
        <v>0</v>
      </c>
      <c r="AL410" s="453">
        <f ca="1">IF(AND($D410="Serviço",AL$12&lt;&gt;0,$H410&gt;0,OR(AUTOEVENTO&lt;&gt;"manual",$M410&lt;&gt;$A$15)),
        IF(Import.TipoArredondamento&lt;&gt;"TransfereGOV",
              ROUND(OFFSET($P410,0,AL$13),15-13*ORÇAMENTO!$AF$7)/$H410*OFFSET(ORÇAMENTO!$X$15,ROW(AL410)-ROW(AL$15),0),
              ROUND(ROUND(OFFSET($P410,0,AL$13),15-13*ORÇAMENTO!$AF$7)*OFFSET(ORÇAMENTO!$W$15,ROW(AL410)-ROW(AL$15),0),15-13*ORÇAMENTO!$AF$11)),
         0)</f>
        <v>0</v>
      </c>
      <c r="AM410" s="453">
        <f ca="1">IF(AND($D410="Serviço",AM$12&lt;&gt;0,$H410&gt;0,OR(AUTOEVENTO&lt;&gt;"manual",$M410&lt;&gt;$A$15)),
        IF(Import.TipoArredondamento&lt;&gt;"TransfereGOV",
              ROUND(OFFSET($P410,0,AM$13),15-13*ORÇAMENTO!$AF$7)/$H410*OFFSET(ORÇAMENTO!$X$15,ROW(AM410)-ROW(AM$15),0),
              ROUND(ROUND(OFFSET($P410,0,AM$13),15-13*ORÇAMENTO!$AF$7)*OFFSET(ORÇAMENTO!$W$15,ROW(AM410)-ROW(AM$15),0),15-13*ORÇAMENTO!$AF$11)),
         0)</f>
        <v>0</v>
      </c>
      <c r="AN410" s="453">
        <f ca="1">IF(AND($D410="Serviço",AN$12&lt;&gt;0,$H410&gt;0,OR(AUTOEVENTO&lt;&gt;"manual",$M410&lt;&gt;$A$15)),
        IF(Import.TipoArredondamento&lt;&gt;"TransfereGOV",
              ROUND(OFFSET($P410,0,AN$13),15-13*ORÇAMENTO!$AF$7)/$H410*OFFSET(ORÇAMENTO!$X$15,ROW(AN410)-ROW(AN$15),0),
              ROUND(ROUND(OFFSET($P410,0,AN$13),15-13*ORÇAMENTO!$AF$7)*OFFSET(ORÇAMENTO!$W$15,ROW(AN410)-ROW(AN$15),0),15-13*ORÇAMENTO!$AF$11)),
         0)</f>
        <v>0</v>
      </c>
      <c r="AO410" s="453">
        <f ca="1">IF(AND($D410="Serviço",AO$12&lt;&gt;0,$H410&gt;0,OR(AUTOEVENTO&lt;&gt;"manual",$M410&lt;&gt;$A$15)),
        IF(Import.TipoArredondamento&lt;&gt;"TransfereGOV",
              ROUND(OFFSET($P410,0,AO$13),15-13*ORÇAMENTO!$AF$7)/$H410*OFFSET(ORÇAMENTO!$X$15,ROW(AO410)-ROW(AO$15),0),
              ROUND(ROUND(OFFSET($P410,0,AO$13),15-13*ORÇAMENTO!$AF$7)*OFFSET(ORÇAMENTO!$W$15,ROW(AO410)-ROW(AO$15),0),15-13*ORÇAMENTO!$AF$11)),
         0)</f>
        <v>0</v>
      </c>
      <c r="AP410" s="453">
        <f ca="1">IF(AND($D410="Serviço",AP$12&lt;&gt;0,$H410&gt;0,OR(AUTOEVENTO&lt;&gt;"manual",$M410&lt;&gt;$A$15)),
        IF(Import.TipoArredondamento&lt;&gt;"TransfereGOV",
              ROUND(OFFSET($P410,0,AP$13),15-13*ORÇAMENTO!$AF$7)/$H410*OFFSET(ORÇAMENTO!$X$15,ROW(AP410)-ROW(AP$15),0),
              ROUND(ROUND(OFFSET($P410,0,AP$13),15-13*ORÇAMENTO!$AF$7)*OFFSET(ORÇAMENTO!$W$15,ROW(AP410)-ROW(AP$15),0),15-13*ORÇAMENTO!$AF$11)),
         0)</f>
        <v>0</v>
      </c>
      <c r="AQ410" s="453">
        <f ca="1">IF(AND($D410="Serviço",AQ$12&lt;&gt;0,$H410&gt;0,OR(AUTOEVENTO&lt;&gt;"manual",$M410&lt;&gt;$A$15)),
        IF(Import.TipoArredondamento&lt;&gt;"TransfereGOV",
              ROUND(OFFSET($P410,0,AQ$13),15-13*ORÇAMENTO!$AF$7)/$H410*OFFSET(ORÇAMENTO!$X$15,ROW(AQ410)-ROW(AQ$15),0),
              ROUND(ROUND(OFFSET($P410,0,AQ$13),15-13*ORÇAMENTO!$AF$7)*OFFSET(ORÇAMENTO!$W$15,ROW(AQ410)-ROW(AQ$15),0),15-13*ORÇAMENTO!$AF$11)),
         0)</f>
        <v>0</v>
      </c>
      <c r="AR410" s="453">
        <f ca="1">IF(AND($D410="Serviço",AR$12&lt;&gt;0,$H410&gt;0,OR(AUTOEVENTO&lt;&gt;"manual",$M410&lt;&gt;$A$15)),
        IF(Import.TipoArredondamento&lt;&gt;"TransfereGOV",
              ROUND(OFFSET($P410,0,AR$13),15-13*ORÇAMENTO!$AF$7)/$H410*OFFSET(ORÇAMENTO!$X$15,ROW(AR410)-ROW(AR$15),0),
              ROUND(ROUND(OFFSET($P410,0,AR$13),15-13*ORÇAMENTO!$AF$7)*OFFSET(ORÇAMENTO!$W$15,ROW(AR410)-ROW(AR$15),0),15-13*ORÇAMENTO!$AF$11)),
         0)</f>
        <v>0</v>
      </c>
      <c r="AS410" s="453">
        <f ca="1">IF(AND($D410="Serviço",AS$12&lt;&gt;0,$H410&gt;0,OR(AUTOEVENTO&lt;&gt;"manual",$M410&lt;&gt;$A$15)),
        IF(Import.TipoArredondamento&lt;&gt;"TransfereGOV",
              ROUND(OFFSET($P410,0,AS$13),15-13*ORÇAMENTO!$AF$7)/$H410*OFFSET(ORÇAMENTO!$X$15,ROW(AS410)-ROW(AS$15),0),
              ROUND(ROUND(OFFSET($P410,0,AS$13),15-13*ORÇAMENTO!$AF$7)*OFFSET(ORÇAMENTO!$W$15,ROW(AS410)-ROW(AS$15),0),15-13*ORÇAMENTO!$AF$11)),
         0)</f>
        <v>0</v>
      </c>
      <c r="AT410" s="453">
        <f ca="1">IF(AND($D410="Serviço",AT$12&lt;&gt;0,$H410&gt;0,OR(AUTOEVENTO&lt;&gt;"manual",$M410&lt;&gt;$A$15)),
        IF(Import.TipoArredondamento&lt;&gt;"TransfereGOV",
              ROUND(OFFSET($P410,0,AT$13),15-13*ORÇAMENTO!$AF$7)/$H410*OFFSET(ORÇAMENTO!$X$15,ROW(AT410)-ROW(AT$15),0),
              ROUND(ROUND(OFFSET($P410,0,AT$13),15-13*ORÇAMENTO!$AF$7)*OFFSET(ORÇAMENTO!$W$15,ROW(AT410)-ROW(AT$15),0),15-13*ORÇAMENTO!$AF$11)),
         0)</f>
        <v>0</v>
      </c>
      <c r="AU410" s="453">
        <f ca="1">IF(AND($D410="Serviço",AU$12&lt;&gt;0,$H410&gt;0,OR(AUTOEVENTO&lt;&gt;"manual",$M410&lt;&gt;$A$15)),
        IF(Import.TipoArredondamento&lt;&gt;"TransfereGOV",
              ROUND(OFFSET($P410,0,AU$13),15-13*ORÇAMENTO!$AF$7)/$H410*OFFSET(ORÇAMENTO!$X$15,ROW(AU410)-ROW(AU$15),0),
              ROUND(ROUND(OFFSET($P410,0,AU$13),15-13*ORÇAMENTO!$AF$7)*OFFSET(ORÇAMENTO!$W$15,ROW(AU410)-ROW(AU$15),0),15-13*ORÇAMENTO!$AF$11)),
         0)</f>
        <v>0</v>
      </c>
      <c r="AV410" s="453">
        <f ca="1">IF(AND($D410="Serviço",AV$12&lt;&gt;0,$H410&gt;0,OR(AUTOEVENTO&lt;&gt;"manual",$M410&lt;&gt;$A$15)),
        IF(Import.TipoArredondamento&lt;&gt;"TransfereGOV",
              ROUND(OFFSET($P410,0,AV$13),15-13*ORÇAMENTO!$AF$7)/$H410*OFFSET(ORÇAMENTO!$X$15,ROW(AV410)-ROW(AV$15),0),
              ROUND(ROUND(OFFSET($P410,0,AV$13),15-13*ORÇAMENTO!$AF$7)*OFFSET(ORÇAMENTO!$W$15,ROW(AV410)-ROW(AV$15),0),15-13*ORÇAMENTO!$AF$11)),
         0)</f>
        <v>0</v>
      </c>
      <c r="AW410" s="453">
        <f ca="1">IF(AND($D410="Serviço",AW$12&lt;&gt;0,$H410&gt;0,OR(AUTOEVENTO&lt;&gt;"manual",$M410&lt;&gt;$A$15)),
        IF(Import.TipoArredondamento&lt;&gt;"TransfereGOV",
              ROUND(OFFSET($P410,0,AW$13),15-13*ORÇAMENTO!$AF$7)/$H410*OFFSET(ORÇAMENTO!$X$15,ROW(AW410)-ROW(AW$15),0),
              ROUND(ROUND(OFFSET($P410,0,AW$13),15-13*ORÇAMENTO!$AF$7)*OFFSET(ORÇAMENTO!$W$15,ROW(AW410)-ROW(AW$15),0),15-13*ORÇAMENTO!$AF$11)),
         0)</f>
        <v>0</v>
      </c>
      <c r="AX410" s="453">
        <f ca="1">IF(AND($D410="Serviço",AX$12&lt;&gt;0,$H410&gt;0,OR(AUTOEVENTO&lt;&gt;"manual",$M410&lt;&gt;$A$15)),
        IF(Import.TipoArredondamento&lt;&gt;"TransfereGOV",
              ROUND(OFFSET($P410,0,AX$13),15-13*ORÇAMENTO!$AF$7)/$H410*OFFSET(ORÇAMENTO!$X$15,ROW(AX410)-ROW(AX$15),0),
              ROUND(ROUND(OFFSET($P410,0,AX$13),15-13*ORÇAMENTO!$AF$7)*OFFSET(ORÇAMENTO!$W$15,ROW(AX410)-ROW(AX$15),0),15-13*ORÇAMENTO!$AF$11)),
         0)</f>
        <v>0</v>
      </c>
      <c r="AY410" s="453">
        <f ca="1">IF(AND($D410="Serviço",AY$12&lt;&gt;0,$H410&gt;0,OR(AUTOEVENTO&lt;&gt;"manual",$M410&lt;&gt;$A$15)),
        IF(Import.TipoArredondamento&lt;&gt;"TransfereGOV",
              ROUND(OFFSET($P410,0,AY$13),15-13*ORÇAMENTO!$AF$7)/$H410*OFFSET(ORÇAMENTO!$X$15,ROW(AY410)-ROW(AY$15),0),
              ROUND(ROUND(OFFSET($P410,0,AY$13),15-13*ORÇAMENTO!$AF$7)*OFFSET(ORÇAMENTO!$W$15,ROW(AY410)-ROW(AY$15),0),15-13*ORÇAMENTO!$AF$11)),
         0)</f>
        <v>0</v>
      </c>
      <c r="AZ410" s="453">
        <f ca="1">IF(AND($D410="Serviço",AZ$12&lt;&gt;0,$H410&gt;0,OR(AUTOEVENTO&lt;&gt;"manual",$M410&lt;&gt;$A$15)),
        IF(Import.TipoArredondamento&lt;&gt;"TransfereGOV",
              ROUND(OFFSET($P410,0,AZ$13),15-13*ORÇAMENTO!$AF$7)/$H410*OFFSET(ORÇAMENTO!$X$15,ROW(AZ410)-ROW(AZ$15),0),
              ROUND(ROUND(OFFSET($P410,0,AZ$13),15-13*ORÇAMENTO!$AF$7)*OFFSET(ORÇAMENTO!$W$15,ROW(AZ410)-ROW(AZ$15),0),15-13*ORÇAMENTO!$AF$11)),
         0)</f>
        <v>0</v>
      </c>
      <c r="BA410" s="453">
        <f ca="1">IF(AND($D410="Serviço",BA$12&lt;&gt;0,$H410&gt;0,OR(AUTOEVENTO&lt;&gt;"manual",$M410&lt;&gt;$A$15)),
        IF(Import.TipoArredondamento&lt;&gt;"TransfereGOV",
              ROUND(OFFSET($P410,0,BA$13),15-13*ORÇAMENTO!$AF$7)/$H410*OFFSET(ORÇAMENTO!$X$15,ROW(BA410)-ROW(BA$15),0),
              ROUND(ROUND(OFFSET($P410,0,BA$13),15-13*ORÇAMENTO!$AF$7)*OFFSET(ORÇAMENTO!$W$15,ROW(BA410)-ROW(BA$15),0),15-13*ORÇAMENTO!$AF$11)),
         0)</f>
        <v>0</v>
      </c>
      <c r="BC410" s="171">
        <f ca="1">IF(OR($D410&lt;&gt;"Serviço",AND(AUTOEVENTO="Manual",$M410=$A$15)),0,
         IF(OFFSET(CRONOPLE!$F$15,$M410-$A$15,BC$13)=0,10^12,OFFSET(CRONOPLE!$F$15,$M410-$A$15,BC$13)))</f>
        <v>0</v>
      </c>
      <c r="BD410" s="171">
        <f ca="1">IF(OR($D410&lt;&gt;"Serviço",AND(AUTOEVENTO="Manual",$M410=$A$15)),0,
         IF(OFFSET(CRONOPLE!$F$15,$M410-$A$15,BD$13)=0,10^12,OFFSET(CRONOPLE!$F$15,$M410-$A$15,BD$13)))</f>
        <v>0</v>
      </c>
      <c r="BE410" s="171">
        <f ca="1">IF(OR($D410&lt;&gt;"Serviço",AND(AUTOEVENTO="Manual",$M410=$A$15)),0,
         IF(OFFSET(CRONOPLE!$F$15,$M410-$A$15,BE$13)=0,10^12,OFFSET(CRONOPLE!$F$15,$M410-$A$15,BE$13)))</f>
        <v>0</v>
      </c>
      <c r="BF410" s="171">
        <f ca="1">IF(OR($D410&lt;&gt;"Serviço",AND(AUTOEVENTO="Manual",$M410=$A$15)),0,
         IF(OFFSET(CRONOPLE!$F$15,$M410-$A$15,BF$13)=0,10^12,OFFSET(CRONOPLE!$F$15,$M410-$A$15,BF$13)))</f>
        <v>0</v>
      </c>
      <c r="BG410" s="171">
        <f ca="1">IF(OR($D410&lt;&gt;"Serviço",AND(AUTOEVENTO="Manual",$M410=$A$15)),0,
         IF(OFFSET(CRONOPLE!$F$15,$M410-$A$15,BG$13)=0,10^12,OFFSET(CRONOPLE!$F$15,$M410-$A$15,BG$13)))</f>
        <v>0</v>
      </c>
      <c r="BH410" s="171">
        <f ca="1">IF(OR($D410&lt;&gt;"Serviço",AND(AUTOEVENTO="Manual",$M410=$A$15)),0,
         IF(OFFSET(CRONOPLE!$F$15,$M410-$A$15,BH$13)=0,10^12,OFFSET(CRONOPLE!$F$15,$M410-$A$15,BH$13)))</f>
        <v>0</v>
      </c>
      <c r="BI410" s="171">
        <f ca="1">IF(OR($D410&lt;&gt;"Serviço",AND(AUTOEVENTO="Manual",$M410=$A$15)),0,
         IF(OFFSET(CRONOPLE!$F$15,$M410-$A$15,BI$13)=0,10^12,OFFSET(CRONOPLE!$F$15,$M410-$A$15,BI$13)))</f>
        <v>0</v>
      </c>
      <c r="BJ410" s="171">
        <f ca="1">IF(OR($D410&lt;&gt;"Serviço",AND(AUTOEVENTO="Manual",$M410=$A$15)),0,
         IF(OFFSET(CRONOPLE!$F$15,$M410-$A$15,BJ$13)=0,10^12,OFFSET(CRONOPLE!$F$15,$M410-$A$15,BJ$13)))</f>
        <v>0</v>
      </c>
      <c r="BK410" s="171">
        <f ca="1">IF(OR($D410&lt;&gt;"Serviço",AND(AUTOEVENTO="Manual",$M410=$A$15)),0,
         IF(OFFSET(CRONOPLE!$F$15,$M410-$A$15,BK$13)=0,10^12,OFFSET(CRONOPLE!$F$15,$M410-$A$15,BK$13)))</f>
        <v>0</v>
      </c>
      <c r="BL410" s="171">
        <f ca="1">IF(OR($D410&lt;&gt;"Serviço",AND(AUTOEVENTO="Manual",$M410=$A$15)),0,
         IF(OFFSET(CRONOPLE!$F$15,$M410-$A$15,BL$13)=0,10^12,OFFSET(CRONOPLE!$F$15,$M410-$A$15,BL$13)))</f>
        <v>0</v>
      </c>
      <c r="BM410" s="171">
        <f ca="1">IF(OR($D410&lt;&gt;"Serviço",AND(AUTOEVENTO="Manual",$M410=$A$15)),0,
         IF(OFFSET(CRONOPLE!$F$15,$M410-$A$15,BM$13)=0,10^12,OFFSET(CRONOPLE!$F$15,$M410-$A$15,BM$13)))</f>
        <v>0</v>
      </c>
      <c r="BN410" s="171">
        <f ca="1">IF(OR($D410&lt;&gt;"Serviço",AND(AUTOEVENTO="Manual",$M410=$A$15)),0,
         IF(OFFSET(CRONOPLE!$F$15,$M410-$A$15,BN$13)=0,10^12,OFFSET(CRONOPLE!$F$15,$M410-$A$15,BN$13)))</f>
        <v>0</v>
      </c>
      <c r="BO410" s="171">
        <f ca="1">IF(OR($D410&lt;&gt;"Serviço",AND(AUTOEVENTO="Manual",$M410=$A$15)),0,
         IF(OFFSET(CRONOPLE!$F$15,$M410-$A$15,BO$13)=0,10^12,OFFSET(CRONOPLE!$F$15,$M410-$A$15,BO$13)))</f>
        <v>0</v>
      </c>
      <c r="BP410" s="171">
        <f ca="1">IF(OR($D410&lt;&gt;"Serviço",AND(AUTOEVENTO="Manual",$M410=$A$15)),0,
         IF(OFFSET(CRONOPLE!$F$15,$M410-$A$15,BP$13)=0,10^12,OFFSET(CRONOPLE!$F$15,$M410-$A$15,BP$13)))</f>
        <v>0</v>
      </c>
      <c r="BQ410" s="171">
        <f ca="1">IF(OR($D410&lt;&gt;"Serviço",AND(AUTOEVENTO="Manual",$M410=$A$15)),0,
         IF(OFFSET(CRONOPLE!$F$15,$M410-$A$15,BQ$13)=0,10^12,OFFSET(CRONOPLE!$F$15,$M410-$A$15,BQ$13)))</f>
        <v>0</v>
      </c>
      <c r="BR410" s="171">
        <f ca="1">IF(OR($D410&lt;&gt;"Serviço",AND(AUTOEVENTO="Manual",$M410=$A$15)),0,
         IF(OFFSET(CRONOPLE!$F$15,$M410-$A$15,BR$13)=0,10^12,OFFSET(CRONOPLE!$F$15,$M410-$A$15,BR$13)))</f>
        <v>0</v>
      </c>
      <c r="BS410" s="171">
        <f ca="1">IF(OR($D410&lt;&gt;"Serviço",AND(AUTOEVENTO="Manual",$M410=$A$15)),0,
         IF(OFFSET(CRONOPLE!$F$15,$M410-$A$15,BS$13)=0,10^12,OFFSET(CRONOPLE!$F$15,$M410-$A$15,BS$13)))</f>
        <v>0</v>
      </c>
      <c r="BT410" s="171">
        <f ca="1">IF(OR($D410&lt;&gt;"Serviço",AND(AUTOEVENTO="Manual",$M410=$A$15)),0,
         IF(OFFSET(CRONOPLE!$F$15,$M410-$A$15,BT$13)=0,10^12,OFFSET(CRONOPLE!$F$15,$M410-$A$15,BT$13)))</f>
        <v>0</v>
      </c>
      <c r="BV410" s="172">
        <f ca="1">IF(OR($D410&lt;&gt;"Serviço",AND(AUTOEVENTO="Manual",$M410=$A$15),$M410&gt;(ROW(PLE.lastrow)-ROW(PLE.firstrow))),0,
           IF(OFFSET(PLE!$G$15,$M410-$A$15,BV$13)="",10^12,OFFSET(PLE!$G$15,$M410-$A$15,BV$13)))</f>
        <v>0</v>
      </c>
      <c r="BW410" s="172">
        <f ca="1">IF(OR($D410&lt;&gt;"Serviço",AND(AUTOEVENTO="Manual",$M410=$A$15),$M410&gt;(ROW(PLE.lastrow)-ROW(PLE.firstrow))),0,
           IF(OFFSET(PLE!$G$15,$M410-$A$15,BW$13)="",10^12,OFFSET(PLE!$G$15,$M410-$A$15,BW$13)))</f>
        <v>0</v>
      </c>
      <c r="BX410" s="172">
        <f ca="1">IF(OR($D410&lt;&gt;"Serviço",AND(AUTOEVENTO="Manual",$M410=$A$15),$M410&gt;(ROW(PLE.lastrow)-ROW(PLE.firstrow))),0,
           IF(OFFSET(PLE!$G$15,$M410-$A$15,BX$13)="",10^12,OFFSET(PLE!$G$15,$M410-$A$15,BX$13)))</f>
        <v>0</v>
      </c>
      <c r="BY410" s="172">
        <f ca="1">IF(OR($D410&lt;&gt;"Serviço",AND(AUTOEVENTO="Manual",$M410=$A$15),$M410&gt;(ROW(PLE.lastrow)-ROW(PLE.firstrow))),0,
           IF(OFFSET(PLE!$G$15,$M410-$A$15,BY$13)="",10^12,OFFSET(PLE!$G$15,$M410-$A$15,BY$13)))</f>
        <v>0</v>
      </c>
      <c r="BZ410" s="172">
        <f ca="1">IF(OR($D410&lt;&gt;"Serviço",AND(AUTOEVENTO="Manual",$M410=$A$15),$M410&gt;(ROW(PLE.lastrow)-ROW(PLE.firstrow))),0,
           IF(OFFSET(PLE!$G$15,$M410-$A$15,BZ$13)="",10^12,OFFSET(PLE!$G$15,$M410-$A$15,BZ$13)))</f>
        <v>0</v>
      </c>
      <c r="CA410" s="172">
        <f ca="1">IF(OR($D410&lt;&gt;"Serviço",AND(AUTOEVENTO="Manual",$M410=$A$15),$M410&gt;(ROW(PLE.lastrow)-ROW(PLE.firstrow))),0,
           IF(OFFSET(PLE!$G$15,$M410-$A$15,CA$13)="",10^12,OFFSET(PLE!$G$15,$M410-$A$15,CA$13)))</f>
        <v>0</v>
      </c>
      <c r="CB410" s="172">
        <f ca="1">IF(OR($D410&lt;&gt;"Serviço",AND(AUTOEVENTO="Manual",$M410=$A$15),$M410&gt;(ROW(PLE.lastrow)-ROW(PLE.firstrow))),0,
           IF(OFFSET(PLE!$G$15,$M410-$A$15,CB$13)="",10^12,OFFSET(PLE!$G$15,$M410-$A$15,CB$13)))</f>
        <v>0</v>
      </c>
      <c r="CC410" s="172">
        <f ca="1">IF(OR($D410&lt;&gt;"Serviço",AND(AUTOEVENTO="Manual",$M410=$A$15),$M410&gt;(ROW(PLE.lastrow)-ROW(PLE.firstrow))),0,
           IF(OFFSET(PLE!$G$15,$M410-$A$15,CC$13)="",10^12,OFFSET(PLE!$G$15,$M410-$A$15,CC$13)))</f>
        <v>0</v>
      </c>
      <c r="CD410" s="172">
        <f ca="1">IF(OR($D410&lt;&gt;"Serviço",AND(AUTOEVENTO="Manual",$M410=$A$15),$M410&gt;(ROW(PLE.lastrow)-ROW(PLE.firstrow))),0,
           IF(OFFSET(PLE!$G$15,$M410-$A$15,CD$13)="",10^12,OFFSET(PLE!$G$15,$M410-$A$15,CD$13)))</f>
        <v>0</v>
      </c>
      <c r="CE410" s="172">
        <f ca="1">IF(OR($D410&lt;&gt;"Serviço",AND(AUTOEVENTO="Manual",$M410=$A$15),$M410&gt;(ROW(PLE.lastrow)-ROW(PLE.firstrow))),0,
           IF(OFFSET(PLE!$G$15,$M410-$A$15,CE$13)="",10^12,OFFSET(PLE!$G$15,$M410-$A$15,CE$13)))</f>
        <v>0</v>
      </c>
      <c r="CF410" s="172">
        <f ca="1">IF(OR($D410&lt;&gt;"Serviço",AND(AUTOEVENTO="Manual",$M410=$A$15),$M410&gt;(ROW(PLE.lastrow)-ROW(PLE.firstrow))),0,
           IF(OFFSET(PLE!$G$15,$M410-$A$15,CF$13)="",10^12,OFFSET(PLE!$G$15,$M410-$A$15,CF$13)))</f>
        <v>0</v>
      </c>
      <c r="CG410" s="172">
        <f ca="1">IF(OR($D410&lt;&gt;"Serviço",AND(AUTOEVENTO="Manual",$M410=$A$15),$M410&gt;(ROW(PLE.lastrow)-ROW(PLE.firstrow))),0,
           IF(OFFSET(PLE!$G$15,$M410-$A$15,CG$13)="",10^12,OFFSET(PLE!$G$15,$M410-$A$15,CG$13)))</f>
        <v>0</v>
      </c>
      <c r="CH410" s="172">
        <f ca="1">IF(OR($D410&lt;&gt;"Serviço",AND(AUTOEVENTO="Manual",$M410=$A$15),$M410&gt;(ROW(PLE.lastrow)-ROW(PLE.firstrow))),0,
           IF(OFFSET(PLE!$G$15,$M410-$A$15,CH$13)="",10^12,OFFSET(PLE!$G$15,$M410-$A$15,CH$13)))</f>
        <v>0</v>
      </c>
      <c r="CI410" s="172">
        <f ca="1">IF(OR($D410&lt;&gt;"Serviço",AND(AUTOEVENTO="Manual",$M410=$A$15),$M410&gt;(ROW(PLE.lastrow)-ROW(PLE.firstrow))),0,
           IF(OFFSET(PLE!$G$15,$M410-$A$15,CI$13)="",10^12,OFFSET(PLE!$G$15,$M410-$A$15,CI$13)))</f>
        <v>0</v>
      </c>
      <c r="CJ410" s="172">
        <f ca="1">IF(OR($D410&lt;&gt;"Serviço",AND(AUTOEVENTO="Manual",$M410=$A$15),$M410&gt;(ROW(PLE.lastrow)-ROW(PLE.firstrow))),0,
           IF(OFFSET(PLE!$G$15,$M410-$A$15,CJ$13)="",10^12,OFFSET(PLE!$G$15,$M410-$A$15,CJ$13)))</f>
        <v>0</v>
      </c>
      <c r="CK410" s="172">
        <f ca="1">IF(OR($D410&lt;&gt;"Serviço",AND(AUTOEVENTO="Manual",$M410=$A$15),$M410&gt;(ROW(PLE.lastrow)-ROW(PLE.firstrow))),0,
           IF(OFFSET(PLE!$G$15,$M410-$A$15,CK$13)="",10^12,OFFSET(PLE!$G$15,$M410-$A$15,CK$13)))</f>
        <v>0</v>
      </c>
      <c r="CL410" s="172">
        <f ca="1">IF(OR($D410&lt;&gt;"Serviço",AND(AUTOEVENTO="Manual",$M410=$A$15),$M410&gt;(ROW(PLE.lastrow)-ROW(PLE.firstrow))),0,
           IF(OFFSET(PLE!$G$15,$M410-$A$15,CL$13)="",10^12,OFFSET(PLE!$G$15,$M410-$A$15,CL$13)))</f>
        <v>0</v>
      </c>
      <c r="CM410" s="172">
        <f ca="1">IF(OR($D410&lt;&gt;"Serviço",AND(AUTOEVENTO="Manual",$M410=$A$15),$M410&gt;(ROW(PLE.lastrow)-ROW(PLE.firstrow))),0,
           IF(OFFSET(PLE!$G$15,$M410-$A$15,CM$13)="",10^12,OFFSET(PLE!$G$15,$M410-$A$15,CM$13)))</f>
        <v>0</v>
      </c>
    </row>
    <row r="411" spans="1:91" ht="38.25" x14ac:dyDescent="0.2">
      <c r="A411" s="7">
        <f t="shared" ca="1" si="16"/>
        <v>7</v>
      </c>
      <c r="B411" s="7" t="str">
        <f ca="1">OFFSET(ORÇAMENTO!C$15,ROW(B411)-ROW(B$15),0)</f>
        <v>S</v>
      </c>
      <c r="C411" s="7" t="str">
        <f ca="1">OFFSET(ORÇAMENTO!L$15,ROW(C411)-ROW(C$15),0)</f>
        <v>F</v>
      </c>
      <c r="D411" s="116" t="str">
        <f ca="1">OFFSET(ORÇAMENTO!N$15,ROW(D411)-ROW(D$15),0)</f>
        <v>Serviço</v>
      </c>
      <c r="E411" s="117" t="str">
        <f ca="1">OFFSET(ORÇAMENTO!O$15,ROW(E411)-ROW(E$15),0)</f>
        <v>1.8.2.4.1.</v>
      </c>
      <c r="F411" s="163" t="str">
        <f ca="1">OFFSET(ORÇAMENTO!R$15,ROW(F411)-ROW(F$15),0)</f>
        <v>QUADRO DE DISTRIBUIÇÃO DE SOBREPOR EM CHAPA, PARA 24 DISJUNTORES DIN, INCLUSIVE BARRAMENTOS NEUTRO/TERRA E BARRAMENTO TRIFÁSICO DE 100A</v>
      </c>
      <c r="G411" s="164" t="str">
        <f ca="1">IF($D411&lt;&gt;"Serviço","",OFFSET(ORÇAMENTO!S$15,ROW(G411)-ROW(G$15),0))</f>
        <v>UN</v>
      </c>
      <c r="H411" s="122" cm="1">
        <f t="array" aca="1" ref="H411" ca="1">IF($D411&lt;&gt;"Serviço",0,IF(ACOMPANHAMENTO="BM",ROUND(OFFSET(ORÇAMENTO!AJ$15,ROW(H411)-ROW(H$15),0),15-13*ORÇAMENTO!$AF$7),SUMPRODUCT(($Q$1:$AI$1=1)*ROUND($Q411:$AI411,15-13*ORÇAMENTO!$AF$7))))</f>
        <v>1</v>
      </c>
      <c r="I411" s="468" t="s">
        <v>1431</v>
      </c>
      <c r="J411" s="640" t="str" cm="1">
        <f t="array" aca="1" ref="J411" ca="1">IF(OR(B411&lt;&gt;"S",CÁLCULO.FrentesPreenchidas=0),"",IF(AND(ACOMPANHAMENTO="PLE",AUTOEVENTO="Manual",OR(H411&gt;0,ORÇAMENTO!AC411="QUANT."),OR(K411="",M411=0,N411="")),"►E",IF(AND(ACOMPANHAMENTO="PLE",ORÇAMENTO!AC411="QUANT."),"►Q",IF(AND(ACOMPANHAMENTO="PLE",H411&lt;&gt;SUMPRODUCT(($Q$1:$AI$1=1)*ROUND(Q411:AI411,15))),"►S",IF(AND(COUNTIF($P$11:$AI$11,"▼")=0,H411&gt;0,I411=""),"◄M","")))))</f>
        <v/>
      </c>
      <c r="K411" s="641" t="s">
        <v>1391</v>
      </c>
      <c r="L411" s="165" t="s">
        <v>764</v>
      </c>
      <c r="M411" s="166">
        <f ca="1">IF($D411&lt;&gt;"Serviço","",
          IF(AUTOEVENTO="manual",$A411,
                IF(ISERROR(MATCH($A411,$A$15:OFFSET($A411,-1,0),0)),MAX($M$15:OFFSET(M411,-1,0))+1,
                      INDEX($M$15:OFFSET(M411,-1,0),MATCH($A411,$A$15:OFFSET($A411,-1,0),0)))))</f>
        <v>7</v>
      </c>
      <c r="N411" s="167" t="str">
        <f ca="1">IF($D411&lt;&gt;"Serviço","",
         IF(AUTOEVENTO="Manual",
                IF($A411=0,"&lt;-- defina o número do agrupador",
                       OFFSET(EVENTOS!$D$15,$A411-$A$15,0)),
                OFFSET($F$15,$A411,0)))</f>
        <v>Instalações Elétricas</v>
      </c>
      <c r="O411" s="168"/>
      <c r="Q411" s="168"/>
      <c r="R411" s="169"/>
      <c r="S411" s="169"/>
      <c r="T411" s="169"/>
      <c r="U411" s="169"/>
      <c r="V411" s="169"/>
      <c r="W411" s="169"/>
      <c r="X411" s="169">
        <v>1</v>
      </c>
      <c r="Y411" s="169"/>
      <c r="Z411" s="170"/>
      <c r="AA411" s="169"/>
      <c r="AB411" s="169"/>
      <c r="AC411" s="169"/>
      <c r="AD411" s="169"/>
      <c r="AE411" s="169"/>
      <c r="AF411" s="169"/>
      <c r="AG411" s="169"/>
      <c r="AH411" s="170"/>
      <c r="AJ411" s="453">
        <f ca="1">IF(AND($D411="Serviço",AJ$12&lt;&gt;0,$H411&gt;0,OR(AUTOEVENTO&lt;&gt;"manual",$M411&lt;&gt;$A$15)),
        IF(Import.TipoArredondamento&lt;&gt;"TransfereGOV",
              ROUND(OFFSET($P411,0,AJ$13),15-13*ORÇAMENTO!$AF$7)/$H411*OFFSET(ORÇAMENTO!$X$15,ROW(AJ411)-ROW(AJ$15),0),
              ROUND(ROUND(OFFSET($P411,0,AJ$13),15-13*ORÇAMENTO!$AF$7)*OFFSET(ORÇAMENTO!$W$15,ROW(AJ411)-ROW(AJ$15),0),15-13*ORÇAMENTO!$AF$11)),
         0)</f>
        <v>0</v>
      </c>
      <c r="AK411" s="453">
        <f ca="1">IF(AND($D411="Serviço",AK$12&lt;&gt;0,$H411&gt;0,OR(AUTOEVENTO&lt;&gt;"manual",$M411&lt;&gt;$A$15)),
        IF(Import.TipoArredondamento&lt;&gt;"TransfereGOV",
              ROUND(OFFSET($P411,0,AK$13),15-13*ORÇAMENTO!$AF$7)/$H411*OFFSET(ORÇAMENTO!$X$15,ROW(AK411)-ROW(AK$15),0),
              ROUND(ROUND(OFFSET($P411,0,AK$13),15-13*ORÇAMENTO!$AF$7)*OFFSET(ORÇAMENTO!$W$15,ROW(AK411)-ROW(AK$15),0),15-13*ORÇAMENTO!$AF$11)),
         0)</f>
        <v>0</v>
      </c>
      <c r="AL411" s="453">
        <f ca="1">IF(AND($D411="Serviço",AL$12&lt;&gt;0,$H411&gt;0,OR(AUTOEVENTO&lt;&gt;"manual",$M411&lt;&gt;$A$15)),
        IF(Import.TipoArredondamento&lt;&gt;"TransfereGOV",
              ROUND(OFFSET($P411,0,AL$13),15-13*ORÇAMENTO!$AF$7)/$H411*OFFSET(ORÇAMENTO!$X$15,ROW(AL411)-ROW(AL$15),0),
              ROUND(ROUND(OFFSET($P411,0,AL$13),15-13*ORÇAMENTO!$AF$7)*OFFSET(ORÇAMENTO!$W$15,ROW(AL411)-ROW(AL$15),0),15-13*ORÇAMENTO!$AF$11)),
         0)</f>
        <v>0</v>
      </c>
      <c r="AM411" s="453">
        <f ca="1">IF(AND($D411="Serviço",AM$12&lt;&gt;0,$H411&gt;0,OR(AUTOEVENTO&lt;&gt;"manual",$M411&lt;&gt;$A$15)),
        IF(Import.TipoArredondamento&lt;&gt;"TransfereGOV",
              ROUND(OFFSET($P411,0,AM$13),15-13*ORÇAMENTO!$AF$7)/$H411*OFFSET(ORÇAMENTO!$X$15,ROW(AM411)-ROW(AM$15),0),
              ROUND(ROUND(OFFSET($P411,0,AM$13),15-13*ORÇAMENTO!$AF$7)*OFFSET(ORÇAMENTO!$W$15,ROW(AM411)-ROW(AM$15),0),15-13*ORÇAMENTO!$AF$11)),
         0)</f>
        <v>0</v>
      </c>
      <c r="AN411" s="453">
        <f ca="1">IF(AND($D411="Serviço",AN$12&lt;&gt;0,$H411&gt;0,OR(AUTOEVENTO&lt;&gt;"manual",$M411&lt;&gt;$A$15)),
        IF(Import.TipoArredondamento&lt;&gt;"TransfereGOV",
              ROUND(OFFSET($P411,0,AN$13),15-13*ORÇAMENTO!$AF$7)/$H411*OFFSET(ORÇAMENTO!$X$15,ROW(AN411)-ROW(AN$15),0),
              ROUND(ROUND(OFFSET($P411,0,AN$13),15-13*ORÇAMENTO!$AF$7)*OFFSET(ORÇAMENTO!$W$15,ROW(AN411)-ROW(AN$15),0),15-13*ORÇAMENTO!$AF$11)),
         0)</f>
        <v>0</v>
      </c>
      <c r="AO411" s="453">
        <f ca="1">IF(AND($D411="Serviço",AO$12&lt;&gt;0,$H411&gt;0,OR(AUTOEVENTO&lt;&gt;"manual",$M411&lt;&gt;$A$15)),
        IF(Import.TipoArredondamento&lt;&gt;"TransfereGOV",
              ROUND(OFFSET($P411,0,AO$13),15-13*ORÇAMENTO!$AF$7)/$H411*OFFSET(ORÇAMENTO!$X$15,ROW(AO411)-ROW(AO$15),0),
              ROUND(ROUND(OFFSET($P411,0,AO$13),15-13*ORÇAMENTO!$AF$7)*OFFSET(ORÇAMENTO!$W$15,ROW(AO411)-ROW(AO$15),0),15-13*ORÇAMENTO!$AF$11)),
         0)</f>
        <v>0</v>
      </c>
      <c r="AP411" s="453">
        <f ca="1">IF(AND($D411="Serviço",AP$12&lt;&gt;0,$H411&gt;0,OR(AUTOEVENTO&lt;&gt;"manual",$M411&lt;&gt;$A$15)),
        IF(Import.TipoArredondamento&lt;&gt;"TransfereGOV",
              ROUND(OFFSET($P411,0,AP$13),15-13*ORÇAMENTO!$AF$7)/$H411*OFFSET(ORÇAMENTO!$X$15,ROW(AP411)-ROW(AP$15),0),
              ROUND(ROUND(OFFSET($P411,0,AP$13),15-13*ORÇAMENTO!$AF$7)*OFFSET(ORÇAMENTO!$W$15,ROW(AP411)-ROW(AP$15),0),15-13*ORÇAMENTO!$AF$11)),
         0)</f>
        <v>0</v>
      </c>
      <c r="AQ411" s="453">
        <f ca="1">IF(AND($D411="Serviço",AQ$12&lt;&gt;0,$H411&gt;0,OR(AUTOEVENTO&lt;&gt;"manual",$M411&lt;&gt;$A$15)),
        IF(Import.TipoArredondamento&lt;&gt;"TransfereGOV",
              ROUND(OFFSET($P411,0,AQ$13),15-13*ORÇAMENTO!$AF$7)/$H411*OFFSET(ORÇAMENTO!$X$15,ROW(AQ411)-ROW(AQ$15),0),
              ROUND(ROUND(OFFSET($P411,0,AQ$13),15-13*ORÇAMENTO!$AF$7)*OFFSET(ORÇAMENTO!$W$15,ROW(AQ411)-ROW(AQ$15),0),15-13*ORÇAMENTO!$AF$11)),
         0)</f>
        <v>0</v>
      </c>
      <c r="AR411" s="453">
        <f ca="1">IF(AND($D411="Serviço",AR$12&lt;&gt;0,$H411&gt;0,OR(AUTOEVENTO&lt;&gt;"manual",$M411&lt;&gt;$A$15)),
        IF(Import.TipoArredondamento&lt;&gt;"TransfereGOV",
              ROUND(OFFSET($P411,0,AR$13),15-13*ORÇAMENTO!$AF$7)/$H411*OFFSET(ORÇAMENTO!$X$15,ROW(AR411)-ROW(AR$15),0),
              ROUND(ROUND(OFFSET($P411,0,AR$13),15-13*ORÇAMENTO!$AF$7)*OFFSET(ORÇAMENTO!$W$15,ROW(AR411)-ROW(AR$15),0),15-13*ORÇAMENTO!$AF$11)),
         0)</f>
        <v>0</v>
      </c>
      <c r="AS411" s="453">
        <f ca="1">IF(AND($D411="Serviço",AS$12&lt;&gt;0,$H411&gt;0,OR(AUTOEVENTO&lt;&gt;"manual",$M411&lt;&gt;$A$15)),
        IF(Import.TipoArredondamento&lt;&gt;"TransfereGOV",
              ROUND(OFFSET($P411,0,AS$13),15-13*ORÇAMENTO!$AF$7)/$H411*OFFSET(ORÇAMENTO!$X$15,ROW(AS411)-ROW(AS$15),0),
              ROUND(ROUND(OFFSET($P411,0,AS$13),15-13*ORÇAMENTO!$AF$7)*OFFSET(ORÇAMENTO!$W$15,ROW(AS411)-ROW(AS$15),0),15-13*ORÇAMENTO!$AF$11)),
         0)</f>
        <v>0</v>
      </c>
      <c r="AT411" s="453">
        <f ca="1">IF(AND($D411="Serviço",AT$12&lt;&gt;0,$H411&gt;0,OR(AUTOEVENTO&lt;&gt;"manual",$M411&lt;&gt;$A$15)),
        IF(Import.TipoArredondamento&lt;&gt;"TransfereGOV",
              ROUND(OFFSET($P411,0,AT$13),15-13*ORÇAMENTO!$AF$7)/$H411*OFFSET(ORÇAMENTO!$X$15,ROW(AT411)-ROW(AT$15),0),
              ROUND(ROUND(OFFSET($P411,0,AT$13),15-13*ORÇAMENTO!$AF$7)*OFFSET(ORÇAMENTO!$W$15,ROW(AT411)-ROW(AT$15),0),15-13*ORÇAMENTO!$AF$11)),
         0)</f>
        <v>0</v>
      </c>
      <c r="AU411" s="453">
        <f ca="1">IF(AND($D411="Serviço",AU$12&lt;&gt;0,$H411&gt;0,OR(AUTOEVENTO&lt;&gt;"manual",$M411&lt;&gt;$A$15)),
        IF(Import.TipoArredondamento&lt;&gt;"TransfereGOV",
              ROUND(OFFSET($P411,0,AU$13),15-13*ORÇAMENTO!$AF$7)/$H411*OFFSET(ORÇAMENTO!$X$15,ROW(AU411)-ROW(AU$15),0),
              ROUND(ROUND(OFFSET($P411,0,AU$13),15-13*ORÇAMENTO!$AF$7)*OFFSET(ORÇAMENTO!$W$15,ROW(AU411)-ROW(AU$15),0),15-13*ORÇAMENTO!$AF$11)),
         0)</f>
        <v>0</v>
      </c>
      <c r="AV411" s="453">
        <f ca="1">IF(AND($D411="Serviço",AV$12&lt;&gt;0,$H411&gt;0,OR(AUTOEVENTO&lt;&gt;"manual",$M411&lt;&gt;$A$15)),
        IF(Import.TipoArredondamento&lt;&gt;"TransfereGOV",
              ROUND(OFFSET($P411,0,AV$13),15-13*ORÇAMENTO!$AF$7)/$H411*OFFSET(ORÇAMENTO!$X$15,ROW(AV411)-ROW(AV$15),0),
              ROUND(ROUND(OFFSET($P411,0,AV$13),15-13*ORÇAMENTO!$AF$7)*OFFSET(ORÇAMENTO!$W$15,ROW(AV411)-ROW(AV$15),0),15-13*ORÇAMENTO!$AF$11)),
         0)</f>
        <v>0</v>
      </c>
      <c r="AW411" s="453">
        <f ca="1">IF(AND($D411="Serviço",AW$12&lt;&gt;0,$H411&gt;0,OR(AUTOEVENTO&lt;&gt;"manual",$M411&lt;&gt;$A$15)),
        IF(Import.TipoArredondamento&lt;&gt;"TransfereGOV",
              ROUND(OFFSET($P411,0,AW$13),15-13*ORÇAMENTO!$AF$7)/$H411*OFFSET(ORÇAMENTO!$X$15,ROW(AW411)-ROW(AW$15),0),
              ROUND(ROUND(OFFSET($P411,0,AW$13),15-13*ORÇAMENTO!$AF$7)*OFFSET(ORÇAMENTO!$W$15,ROW(AW411)-ROW(AW$15),0),15-13*ORÇAMENTO!$AF$11)),
         0)</f>
        <v>0</v>
      </c>
      <c r="AX411" s="453">
        <f ca="1">IF(AND($D411="Serviço",AX$12&lt;&gt;0,$H411&gt;0,OR(AUTOEVENTO&lt;&gt;"manual",$M411&lt;&gt;$A$15)),
        IF(Import.TipoArredondamento&lt;&gt;"TransfereGOV",
              ROUND(OFFSET($P411,0,AX$13),15-13*ORÇAMENTO!$AF$7)/$H411*OFFSET(ORÇAMENTO!$X$15,ROW(AX411)-ROW(AX$15),0),
              ROUND(ROUND(OFFSET($P411,0,AX$13),15-13*ORÇAMENTO!$AF$7)*OFFSET(ORÇAMENTO!$W$15,ROW(AX411)-ROW(AX$15),0),15-13*ORÇAMENTO!$AF$11)),
         0)</f>
        <v>0</v>
      </c>
      <c r="AY411" s="453">
        <f ca="1">IF(AND($D411="Serviço",AY$12&lt;&gt;0,$H411&gt;0,OR(AUTOEVENTO&lt;&gt;"manual",$M411&lt;&gt;$A$15)),
        IF(Import.TipoArredondamento&lt;&gt;"TransfereGOV",
              ROUND(OFFSET($P411,0,AY$13),15-13*ORÇAMENTO!$AF$7)/$H411*OFFSET(ORÇAMENTO!$X$15,ROW(AY411)-ROW(AY$15),0),
              ROUND(ROUND(OFFSET($P411,0,AY$13),15-13*ORÇAMENTO!$AF$7)*OFFSET(ORÇAMENTO!$W$15,ROW(AY411)-ROW(AY$15),0),15-13*ORÇAMENTO!$AF$11)),
         0)</f>
        <v>0</v>
      </c>
      <c r="AZ411" s="453">
        <f ca="1">IF(AND($D411="Serviço",AZ$12&lt;&gt;0,$H411&gt;0,OR(AUTOEVENTO&lt;&gt;"manual",$M411&lt;&gt;$A$15)),
        IF(Import.TipoArredondamento&lt;&gt;"TransfereGOV",
              ROUND(OFFSET($P411,0,AZ$13),15-13*ORÇAMENTO!$AF$7)/$H411*OFFSET(ORÇAMENTO!$X$15,ROW(AZ411)-ROW(AZ$15),0),
              ROUND(ROUND(OFFSET($P411,0,AZ$13),15-13*ORÇAMENTO!$AF$7)*OFFSET(ORÇAMENTO!$W$15,ROW(AZ411)-ROW(AZ$15),0),15-13*ORÇAMENTO!$AF$11)),
         0)</f>
        <v>0</v>
      </c>
      <c r="BA411" s="453">
        <f ca="1">IF(AND($D411="Serviço",BA$12&lt;&gt;0,$H411&gt;0,OR(AUTOEVENTO&lt;&gt;"manual",$M411&lt;&gt;$A$15)),
        IF(Import.TipoArredondamento&lt;&gt;"TransfereGOV",
              ROUND(OFFSET($P411,0,BA$13),15-13*ORÇAMENTO!$AF$7)/$H411*OFFSET(ORÇAMENTO!$X$15,ROW(BA411)-ROW(BA$15),0),
              ROUND(ROUND(OFFSET($P411,0,BA$13),15-13*ORÇAMENTO!$AF$7)*OFFSET(ORÇAMENTO!$W$15,ROW(BA411)-ROW(BA$15),0),15-13*ORÇAMENTO!$AF$11)),
         0)</f>
        <v>0</v>
      </c>
      <c r="BC411" s="171">
        <f ca="1">IF(OR($D411&lt;&gt;"Serviço",AND(AUTOEVENTO="Manual",$M411=$A$15)),0,
         IF(OFFSET(CRONOPLE!$F$15,$M411-$A$15,BC$13)=0,10^12,OFFSET(CRONOPLE!$F$15,$M411-$A$15,BC$13)))</f>
        <v>1</v>
      </c>
      <c r="BD411" s="171">
        <f ca="1">IF(OR($D411&lt;&gt;"Serviço",AND(AUTOEVENTO="Manual",$M411=$A$15)),0,
         IF(OFFSET(CRONOPLE!$F$15,$M411-$A$15,BD$13)=0,10^12,OFFSET(CRONOPLE!$F$15,$M411-$A$15,BD$13)))</f>
        <v>2</v>
      </c>
      <c r="BE411" s="171">
        <f ca="1">IF(OR($D411&lt;&gt;"Serviço",AND(AUTOEVENTO="Manual",$M411=$A$15)),0,
         IF(OFFSET(CRONOPLE!$F$15,$M411-$A$15,BE$13)=0,10^12,OFFSET(CRONOPLE!$F$15,$M411-$A$15,BE$13)))</f>
        <v>3</v>
      </c>
      <c r="BF411" s="171">
        <f ca="1">IF(OR($D411&lt;&gt;"Serviço",AND(AUTOEVENTO="Manual",$M411=$A$15)),0,
         IF(OFFSET(CRONOPLE!$F$15,$M411-$A$15,BF$13)=0,10^12,OFFSET(CRONOPLE!$F$15,$M411-$A$15,BF$13)))</f>
        <v>4</v>
      </c>
      <c r="BG411" s="171">
        <f ca="1">IF(OR($D411&lt;&gt;"Serviço",AND(AUTOEVENTO="Manual",$M411=$A$15)),0,
         IF(OFFSET(CRONOPLE!$F$15,$M411-$A$15,BG$13)=0,10^12,OFFSET(CRONOPLE!$F$15,$M411-$A$15,BG$13)))</f>
        <v>5</v>
      </c>
      <c r="BH411" s="171">
        <f ca="1">IF(OR($D411&lt;&gt;"Serviço",AND(AUTOEVENTO="Manual",$M411=$A$15)),0,
         IF(OFFSET(CRONOPLE!$F$15,$M411-$A$15,BH$13)=0,10^12,OFFSET(CRONOPLE!$F$15,$M411-$A$15,BH$13)))</f>
        <v>6</v>
      </c>
      <c r="BI411" s="171">
        <f ca="1">IF(OR($D411&lt;&gt;"Serviço",AND(AUTOEVENTO="Manual",$M411=$A$15)),0,
         IF(OFFSET(CRONOPLE!$F$15,$M411-$A$15,BI$13)=0,10^12,OFFSET(CRONOPLE!$F$15,$M411-$A$15,BI$13)))</f>
        <v>7</v>
      </c>
      <c r="BJ411" s="171">
        <f ca="1">IF(OR($D411&lt;&gt;"Serviço",AND(AUTOEVENTO="Manual",$M411=$A$15)),0,
         IF(OFFSET(CRONOPLE!$F$15,$M411-$A$15,BJ$13)=0,10^12,OFFSET(CRONOPLE!$F$15,$M411-$A$15,BJ$13)))</f>
        <v>8</v>
      </c>
      <c r="BK411" s="171">
        <f ca="1">IF(OR($D411&lt;&gt;"Serviço",AND(AUTOEVENTO="Manual",$M411=$A$15)),0,
         IF(OFFSET(CRONOPLE!$F$15,$M411-$A$15,BK$13)=0,10^12,OFFSET(CRONOPLE!$F$15,$M411-$A$15,BK$13)))</f>
        <v>9</v>
      </c>
      <c r="BL411" s="171">
        <f ca="1">IF(OR($D411&lt;&gt;"Serviço",AND(AUTOEVENTO="Manual",$M411=$A$15)),0,
         IF(OFFSET(CRONOPLE!$F$15,$M411-$A$15,BL$13)=0,10^12,OFFSET(CRONOPLE!$F$15,$M411-$A$15,BL$13)))</f>
        <v>1000000000000</v>
      </c>
      <c r="BM411" s="171">
        <f ca="1">IF(OR($D411&lt;&gt;"Serviço",AND(AUTOEVENTO="Manual",$M411=$A$15)),0,
         IF(OFFSET(CRONOPLE!$F$15,$M411-$A$15,BM$13)=0,10^12,OFFSET(CRONOPLE!$F$15,$M411-$A$15,BM$13)))</f>
        <v>1000000000000</v>
      </c>
      <c r="BN411" s="171">
        <f ca="1">IF(OR($D411&lt;&gt;"Serviço",AND(AUTOEVENTO="Manual",$M411=$A$15)),0,
         IF(OFFSET(CRONOPLE!$F$15,$M411-$A$15,BN$13)=0,10^12,OFFSET(CRONOPLE!$F$15,$M411-$A$15,BN$13)))</f>
        <v>1000000000000</v>
      </c>
      <c r="BO411" s="171">
        <f ca="1">IF(OR($D411&lt;&gt;"Serviço",AND(AUTOEVENTO="Manual",$M411=$A$15)),0,
         IF(OFFSET(CRONOPLE!$F$15,$M411-$A$15,BO$13)=0,10^12,OFFSET(CRONOPLE!$F$15,$M411-$A$15,BO$13)))</f>
        <v>1000000000000</v>
      </c>
      <c r="BP411" s="171">
        <f ca="1">IF(OR($D411&lt;&gt;"Serviço",AND(AUTOEVENTO="Manual",$M411=$A$15)),0,
         IF(OFFSET(CRONOPLE!$F$15,$M411-$A$15,BP$13)=0,10^12,OFFSET(CRONOPLE!$F$15,$M411-$A$15,BP$13)))</f>
        <v>1000000000000</v>
      </c>
      <c r="BQ411" s="171">
        <f ca="1">IF(OR($D411&lt;&gt;"Serviço",AND(AUTOEVENTO="Manual",$M411=$A$15)),0,
         IF(OFFSET(CRONOPLE!$F$15,$M411-$A$15,BQ$13)=0,10^12,OFFSET(CRONOPLE!$F$15,$M411-$A$15,BQ$13)))</f>
        <v>1000000000000</v>
      </c>
      <c r="BR411" s="171">
        <f ca="1">IF(OR($D411&lt;&gt;"Serviço",AND(AUTOEVENTO="Manual",$M411=$A$15)),0,
         IF(OFFSET(CRONOPLE!$F$15,$M411-$A$15,BR$13)=0,10^12,OFFSET(CRONOPLE!$F$15,$M411-$A$15,BR$13)))</f>
        <v>1000000000000</v>
      </c>
      <c r="BS411" s="171">
        <f ca="1">IF(OR($D411&lt;&gt;"Serviço",AND(AUTOEVENTO="Manual",$M411=$A$15)),0,
         IF(OFFSET(CRONOPLE!$F$15,$M411-$A$15,BS$13)=0,10^12,OFFSET(CRONOPLE!$F$15,$M411-$A$15,BS$13)))</f>
        <v>1000000000000</v>
      </c>
      <c r="BT411" s="171">
        <f ca="1">IF(OR($D411&lt;&gt;"Serviço",AND(AUTOEVENTO="Manual",$M411=$A$15)),0,
         IF(OFFSET(CRONOPLE!$F$15,$M411-$A$15,BT$13)=0,10^12,OFFSET(CRONOPLE!$F$15,$M411-$A$15,BT$13)))</f>
        <v>1000000000000</v>
      </c>
      <c r="BV411" s="172">
        <f ca="1">IF(OR($D411&lt;&gt;"Serviço",AND(AUTOEVENTO="Manual",$M411=$A$15),$M411&gt;(ROW(PLE.lastrow)-ROW(PLE.firstrow))),0,
           IF(OFFSET(PLE!$G$15,$M411-$A$15,BV$13)="",10^12,OFFSET(PLE!$G$15,$M411-$A$15,BV$13)))</f>
        <v>1000000000000</v>
      </c>
      <c r="BW411" s="172">
        <f ca="1">IF(OR($D411&lt;&gt;"Serviço",AND(AUTOEVENTO="Manual",$M411=$A$15),$M411&gt;(ROW(PLE.lastrow)-ROW(PLE.firstrow))),0,
           IF(OFFSET(PLE!$G$15,$M411-$A$15,BW$13)="",10^12,OFFSET(PLE!$G$15,$M411-$A$15,BW$13)))</f>
        <v>1000000000000</v>
      </c>
      <c r="BX411" s="172">
        <f ca="1">IF(OR($D411&lt;&gt;"Serviço",AND(AUTOEVENTO="Manual",$M411=$A$15),$M411&gt;(ROW(PLE.lastrow)-ROW(PLE.firstrow))),0,
           IF(OFFSET(PLE!$G$15,$M411-$A$15,BX$13)="",10^12,OFFSET(PLE!$G$15,$M411-$A$15,BX$13)))</f>
        <v>1000000000000</v>
      </c>
      <c r="BY411" s="172">
        <f ca="1">IF(OR($D411&lt;&gt;"Serviço",AND(AUTOEVENTO="Manual",$M411=$A$15),$M411&gt;(ROW(PLE.lastrow)-ROW(PLE.firstrow))),0,
           IF(OFFSET(PLE!$G$15,$M411-$A$15,BY$13)="",10^12,OFFSET(PLE!$G$15,$M411-$A$15,BY$13)))</f>
        <v>1000000000000</v>
      </c>
      <c r="BZ411" s="172">
        <f ca="1">IF(OR($D411&lt;&gt;"Serviço",AND(AUTOEVENTO="Manual",$M411=$A$15),$M411&gt;(ROW(PLE.lastrow)-ROW(PLE.firstrow))),0,
           IF(OFFSET(PLE!$G$15,$M411-$A$15,BZ$13)="",10^12,OFFSET(PLE!$G$15,$M411-$A$15,BZ$13)))</f>
        <v>1000000000000</v>
      </c>
      <c r="CA411" s="172">
        <f ca="1">IF(OR($D411&lt;&gt;"Serviço",AND(AUTOEVENTO="Manual",$M411=$A$15),$M411&gt;(ROW(PLE.lastrow)-ROW(PLE.firstrow))),0,
           IF(OFFSET(PLE!$G$15,$M411-$A$15,CA$13)="",10^12,OFFSET(PLE!$G$15,$M411-$A$15,CA$13)))</f>
        <v>1000000000000</v>
      </c>
      <c r="CB411" s="172">
        <f ca="1">IF(OR($D411&lt;&gt;"Serviço",AND(AUTOEVENTO="Manual",$M411=$A$15),$M411&gt;(ROW(PLE.lastrow)-ROW(PLE.firstrow))),0,
           IF(OFFSET(PLE!$G$15,$M411-$A$15,CB$13)="",10^12,OFFSET(PLE!$G$15,$M411-$A$15,CB$13)))</f>
        <v>1000000000000</v>
      </c>
      <c r="CC411" s="172">
        <f ca="1">IF(OR($D411&lt;&gt;"Serviço",AND(AUTOEVENTO="Manual",$M411=$A$15),$M411&gt;(ROW(PLE.lastrow)-ROW(PLE.firstrow))),0,
           IF(OFFSET(PLE!$G$15,$M411-$A$15,CC$13)="",10^12,OFFSET(PLE!$G$15,$M411-$A$15,CC$13)))</f>
        <v>1000000000000</v>
      </c>
      <c r="CD411" s="172">
        <f ca="1">IF(OR($D411&lt;&gt;"Serviço",AND(AUTOEVENTO="Manual",$M411=$A$15),$M411&gt;(ROW(PLE.lastrow)-ROW(PLE.firstrow))),0,
           IF(OFFSET(PLE!$G$15,$M411-$A$15,CD$13)="",10^12,OFFSET(PLE!$G$15,$M411-$A$15,CD$13)))</f>
        <v>1000000000000</v>
      </c>
      <c r="CE411" s="172">
        <f ca="1">IF(OR($D411&lt;&gt;"Serviço",AND(AUTOEVENTO="Manual",$M411=$A$15),$M411&gt;(ROW(PLE.lastrow)-ROW(PLE.firstrow))),0,
           IF(OFFSET(PLE!$G$15,$M411-$A$15,CE$13)="",10^12,OFFSET(PLE!$G$15,$M411-$A$15,CE$13)))</f>
        <v>1000000000000</v>
      </c>
      <c r="CF411" s="172">
        <f ca="1">IF(OR($D411&lt;&gt;"Serviço",AND(AUTOEVENTO="Manual",$M411=$A$15),$M411&gt;(ROW(PLE.lastrow)-ROW(PLE.firstrow))),0,
           IF(OFFSET(PLE!$G$15,$M411-$A$15,CF$13)="",10^12,OFFSET(PLE!$G$15,$M411-$A$15,CF$13)))</f>
        <v>1000000000000</v>
      </c>
      <c r="CG411" s="172">
        <f ca="1">IF(OR($D411&lt;&gt;"Serviço",AND(AUTOEVENTO="Manual",$M411=$A$15),$M411&gt;(ROW(PLE.lastrow)-ROW(PLE.firstrow))),0,
           IF(OFFSET(PLE!$G$15,$M411-$A$15,CG$13)="",10^12,OFFSET(PLE!$G$15,$M411-$A$15,CG$13)))</f>
        <v>1000000000000</v>
      </c>
      <c r="CH411" s="172">
        <f ca="1">IF(OR($D411&lt;&gt;"Serviço",AND(AUTOEVENTO="Manual",$M411=$A$15),$M411&gt;(ROW(PLE.lastrow)-ROW(PLE.firstrow))),0,
           IF(OFFSET(PLE!$G$15,$M411-$A$15,CH$13)="",10^12,OFFSET(PLE!$G$15,$M411-$A$15,CH$13)))</f>
        <v>1000000000000</v>
      </c>
      <c r="CI411" s="172">
        <f ca="1">IF(OR($D411&lt;&gt;"Serviço",AND(AUTOEVENTO="Manual",$M411=$A$15),$M411&gt;(ROW(PLE.lastrow)-ROW(PLE.firstrow))),0,
           IF(OFFSET(PLE!$G$15,$M411-$A$15,CI$13)="",10^12,OFFSET(PLE!$G$15,$M411-$A$15,CI$13)))</f>
        <v>1000000000000</v>
      </c>
      <c r="CJ411" s="172">
        <f ca="1">IF(OR($D411&lt;&gt;"Serviço",AND(AUTOEVENTO="Manual",$M411=$A$15),$M411&gt;(ROW(PLE.lastrow)-ROW(PLE.firstrow))),0,
           IF(OFFSET(PLE!$G$15,$M411-$A$15,CJ$13)="",10^12,OFFSET(PLE!$G$15,$M411-$A$15,CJ$13)))</f>
        <v>1000000000000</v>
      </c>
      <c r="CK411" s="172">
        <f ca="1">IF(OR($D411&lt;&gt;"Serviço",AND(AUTOEVENTO="Manual",$M411=$A$15),$M411&gt;(ROW(PLE.lastrow)-ROW(PLE.firstrow))),0,
           IF(OFFSET(PLE!$G$15,$M411-$A$15,CK$13)="",10^12,OFFSET(PLE!$G$15,$M411-$A$15,CK$13)))</f>
        <v>1000000000000</v>
      </c>
      <c r="CL411" s="172">
        <f ca="1">IF(OR($D411&lt;&gt;"Serviço",AND(AUTOEVENTO="Manual",$M411=$A$15),$M411&gt;(ROW(PLE.lastrow)-ROW(PLE.firstrow))),0,
           IF(OFFSET(PLE!$G$15,$M411-$A$15,CL$13)="",10^12,OFFSET(PLE!$G$15,$M411-$A$15,CL$13)))</f>
        <v>1000000000000</v>
      </c>
      <c r="CM411" s="172">
        <f ca="1">IF(OR($D411&lt;&gt;"Serviço",AND(AUTOEVENTO="Manual",$M411=$A$15),$M411&gt;(ROW(PLE.lastrow)-ROW(PLE.firstrow))),0,
           IF(OFFSET(PLE!$G$15,$M411-$A$15,CM$13)="",10^12,OFFSET(PLE!$G$15,$M411-$A$15,CM$13)))</f>
        <v>1000000000000</v>
      </c>
    </row>
    <row r="412" spans="1:91" ht="38.25" x14ac:dyDescent="0.2">
      <c r="A412" s="7">
        <f t="shared" ca="1" si="16"/>
        <v>7</v>
      </c>
      <c r="B412" s="7" t="str">
        <f ca="1">OFFSET(ORÇAMENTO!C$15,ROW(B412)-ROW(B$15),0)</f>
        <v>S</v>
      </c>
      <c r="C412" s="7" t="str">
        <f ca="1">OFFSET(ORÇAMENTO!L$15,ROW(C412)-ROW(C$15),0)</f>
        <v>F</v>
      </c>
      <c r="D412" s="116" t="str">
        <f ca="1">OFFSET(ORÇAMENTO!N$15,ROW(D412)-ROW(D$15),0)</f>
        <v>Serviço</v>
      </c>
      <c r="E412" s="117" t="str">
        <f ca="1">OFFSET(ORÇAMENTO!O$15,ROW(E412)-ROW(E$15),0)</f>
        <v>1.8.2.4.2.</v>
      </c>
      <c r="F412" s="163" t="str">
        <f ca="1">OFFSET(ORÇAMENTO!R$15,ROW(F412)-ROW(F$15),0)</f>
        <v xml:space="preserve">DISPOSITIVO SUPRESSOR DE SURTO - CLASSE I e II -  BASEADO EM SETOP (ED-49527) </v>
      </c>
      <c r="G412" s="164" t="str">
        <f ca="1">IF($D412&lt;&gt;"Serviço","",OFFSET(ORÇAMENTO!S$15,ROW(G412)-ROW(G$15),0))</f>
        <v>UN</v>
      </c>
      <c r="H412" s="122" cm="1">
        <f t="array" aca="1" ref="H412" ca="1">IF($D412&lt;&gt;"Serviço",0,IF(ACOMPANHAMENTO="BM",ROUND(OFFSET(ORÇAMENTO!AJ$15,ROW(H412)-ROW(H$15),0),15-13*ORÇAMENTO!$AF$7),SUMPRODUCT(($Q$1:$AI$1=1)*ROUND($Q412:$AI412,15-13*ORÇAMENTO!$AF$7))))</f>
        <v>3</v>
      </c>
      <c r="I412" s="468" t="s">
        <v>1431</v>
      </c>
      <c r="J412" s="640" t="str" cm="1">
        <f t="array" aca="1" ref="J412" ca="1">IF(OR(B412&lt;&gt;"S",CÁLCULO.FrentesPreenchidas=0),"",IF(AND(ACOMPANHAMENTO="PLE",AUTOEVENTO="Manual",OR(H412&gt;0,ORÇAMENTO!AC412="QUANT."),OR(K412="",M412=0,N412="")),"►E",IF(AND(ACOMPANHAMENTO="PLE",ORÇAMENTO!AC412="QUANT."),"►Q",IF(AND(ACOMPANHAMENTO="PLE",H412&lt;&gt;SUMPRODUCT(($Q$1:$AI$1=1)*ROUND(Q412:AI412,15))),"►S",IF(AND(COUNTIF($P$11:$AI$11,"▼")=0,H412&gt;0,I412=""),"◄M","")))))</f>
        <v/>
      </c>
      <c r="K412" s="641" t="s">
        <v>1391</v>
      </c>
      <c r="L412" s="165" t="s">
        <v>764</v>
      </c>
      <c r="M412" s="166">
        <f ca="1">IF($D412&lt;&gt;"Serviço","",
          IF(AUTOEVENTO="manual",$A412,
                IF(ISERROR(MATCH($A412,$A$15:OFFSET($A412,-1,0),0)),MAX($M$15:OFFSET(M412,-1,0))+1,
                      INDEX($M$15:OFFSET(M412,-1,0),MATCH($A412,$A$15:OFFSET($A412,-1,0),0)))))</f>
        <v>7</v>
      </c>
      <c r="N412" s="167" t="str">
        <f ca="1">IF($D412&lt;&gt;"Serviço","",
         IF(AUTOEVENTO="Manual",
                IF($A412=0,"&lt;-- defina o número do agrupador",
                       OFFSET(EVENTOS!$D$15,$A412-$A$15,0)),
                OFFSET($F$15,$A412,0)))</f>
        <v>Instalações Elétricas</v>
      </c>
      <c r="O412" s="168"/>
      <c r="Q412" s="168"/>
      <c r="R412" s="169"/>
      <c r="S412" s="169"/>
      <c r="T412" s="169"/>
      <c r="U412" s="169"/>
      <c r="V412" s="169"/>
      <c r="W412" s="169"/>
      <c r="X412" s="169">
        <v>3</v>
      </c>
      <c r="Y412" s="169"/>
      <c r="Z412" s="170"/>
      <c r="AA412" s="169"/>
      <c r="AB412" s="169"/>
      <c r="AC412" s="169"/>
      <c r="AD412" s="169"/>
      <c r="AE412" s="169"/>
      <c r="AF412" s="169"/>
      <c r="AG412" s="169"/>
      <c r="AH412" s="170"/>
      <c r="AJ412" s="453">
        <f ca="1">IF(AND($D412="Serviço",AJ$12&lt;&gt;0,$H412&gt;0,OR(AUTOEVENTO&lt;&gt;"manual",$M412&lt;&gt;$A$15)),
        IF(Import.TipoArredondamento&lt;&gt;"TransfereGOV",
              ROUND(OFFSET($P412,0,AJ$13),15-13*ORÇAMENTO!$AF$7)/$H412*OFFSET(ORÇAMENTO!$X$15,ROW(AJ412)-ROW(AJ$15),0),
              ROUND(ROUND(OFFSET($P412,0,AJ$13),15-13*ORÇAMENTO!$AF$7)*OFFSET(ORÇAMENTO!$W$15,ROW(AJ412)-ROW(AJ$15),0),15-13*ORÇAMENTO!$AF$11)),
         0)</f>
        <v>0</v>
      </c>
      <c r="AK412" s="453">
        <f ca="1">IF(AND($D412="Serviço",AK$12&lt;&gt;0,$H412&gt;0,OR(AUTOEVENTO&lt;&gt;"manual",$M412&lt;&gt;$A$15)),
        IF(Import.TipoArredondamento&lt;&gt;"TransfereGOV",
              ROUND(OFFSET($P412,0,AK$13),15-13*ORÇAMENTO!$AF$7)/$H412*OFFSET(ORÇAMENTO!$X$15,ROW(AK412)-ROW(AK$15),0),
              ROUND(ROUND(OFFSET($P412,0,AK$13),15-13*ORÇAMENTO!$AF$7)*OFFSET(ORÇAMENTO!$W$15,ROW(AK412)-ROW(AK$15),0),15-13*ORÇAMENTO!$AF$11)),
         0)</f>
        <v>0</v>
      </c>
      <c r="AL412" s="453">
        <f ca="1">IF(AND($D412="Serviço",AL$12&lt;&gt;0,$H412&gt;0,OR(AUTOEVENTO&lt;&gt;"manual",$M412&lt;&gt;$A$15)),
        IF(Import.TipoArredondamento&lt;&gt;"TransfereGOV",
              ROUND(OFFSET($P412,0,AL$13),15-13*ORÇAMENTO!$AF$7)/$H412*OFFSET(ORÇAMENTO!$X$15,ROW(AL412)-ROW(AL$15),0),
              ROUND(ROUND(OFFSET($P412,0,AL$13),15-13*ORÇAMENTO!$AF$7)*OFFSET(ORÇAMENTO!$W$15,ROW(AL412)-ROW(AL$15),0),15-13*ORÇAMENTO!$AF$11)),
         0)</f>
        <v>0</v>
      </c>
      <c r="AM412" s="453">
        <f ca="1">IF(AND($D412="Serviço",AM$12&lt;&gt;0,$H412&gt;0,OR(AUTOEVENTO&lt;&gt;"manual",$M412&lt;&gt;$A$15)),
        IF(Import.TipoArredondamento&lt;&gt;"TransfereGOV",
              ROUND(OFFSET($P412,0,AM$13),15-13*ORÇAMENTO!$AF$7)/$H412*OFFSET(ORÇAMENTO!$X$15,ROW(AM412)-ROW(AM$15),0),
              ROUND(ROUND(OFFSET($P412,0,AM$13),15-13*ORÇAMENTO!$AF$7)*OFFSET(ORÇAMENTO!$W$15,ROW(AM412)-ROW(AM$15),0),15-13*ORÇAMENTO!$AF$11)),
         0)</f>
        <v>0</v>
      </c>
      <c r="AN412" s="453">
        <f ca="1">IF(AND($D412="Serviço",AN$12&lt;&gt;0,$H412&gt;0,OR(AUTOEVENTO&lt;&gt;"manual",$M412&lt;&gt;$A$15)),
        IF(Import.TipoArredondamento&lt;&gt;"TransfereGOV",
              ROUND(OFFSET($P412,0,AN$13),15-13*ORÇAMENTO!$AF$7)/$H412*OFFSET(ORÇAMENTO!$X$15,ROW(AN412)-ROW(AN$15),0),
              ROUND(ROUND(OFFSET($P412,0,AN$13),15-13*ORÇAMENTO!$AF$7)*OFFSET(ORÇAMENTO!$W$15,ROW(AN412)-ROW(AN$15),0),15-13*ORÇAMENTO!$AF$11)),
         0)</f>
        <v>0</v>
      </c>
      <c r="AO412" s="453">
        <f ca="1">IF(AND($D412="Serviço",AO$12&lt;&gt;0,$H412&gt;0,OR(AUTOEVENTO&lt;&gt;"manual",$M412&lt;&gt;$A$15)),
        IF(Import.TipoArredondamento&lt;&gt;"TransfereGOV",
              ROUND(OFFSET($P412,0,AO$13),15-13*ORÇAMENTO!$AF$7)/$H412*OFFSET(ORÇAMENTO!$X$15,ROW(AO412)-ROW(AO$15),0),
              ROUND(ROUND(OFFSET($P412,0,AO$13),15-13*ORÇAMENTO!$AF$7)*OFFSET(ORÇAMENTO!$W$15,ROW(AO412)-ROW(AO$15),0),15-13*ORÇAMENTO!$AF$11)),
         0)</f>
        <v>0</v>
      </c>
      <c r="AP412" s="453">
        <f ca="1">IF(AND($D412="Serviço",AP$12&lt;&gt;0,$H412&gt;0,OR(AUTOEVENTO&lt;&gt;"manual",$M412&lt;&gt;$A$15)),
        IF(Import.TipoArredondamento&lt;&gt;"TransfereGOV",
              ROUND(OFFSET($P412,0,AP$13),15-13*ORÇAMENTO!$AF$7)/$H412*OFFSET(ORÇAMENTO!$X$15,ROW(AP412)-ROW(AP$15),0),
              ROUND(ROUND(OFFSET($P412,0,AP$13),15-13*ORÇAMENTO!$AF$7)*OFFSET(ORÇAMENTO!$W$15,ROW(AP412)-ROW(AP$15),0),15-13*ORÇAMENTO!$AF$11)),
         0)</f>
        <v>0</v>
      </c>
      <c r="AQ412" s="453">
        <f ca="1">IF(AND($D412="Serviço",AQ$12&lt;&gt;0,$H412&gt;0,OR(AUTOEVENTO&lt;&gt;"manual",$M412&lt;&gt;$A$15)),
        IF(Import.TipoArredondamento&lt;&gt;"TransfereGOV",
              ROUND(OFFSET($P412,0,AQ$13),15-13*ORÇAMENTO!$AF$7)/$H412*OFFSET(ORÇAMENTO!$X$15,ROW(AQ412)-ROW(AQ$15),0),
              ROUND(ROUND(OFFSET($P412,0,AQ$13),15-13*ORÇAMENTO!$AF$7)*OFFSET(ORÇAMENTO!$W$15,ROW(AQ412)-ROW(AQ$15),0),15-13*ORÇAMENTO!$AF$11)),
         0)</f>
        <v>0</v>
      </c>
      <c r="AR412" s="453">
        <f ca="1">IF(AND($D412="Serviço",AR$12&lt;&gt;0,$H412&gt;0,OR(AUTOEVENTO&lt;&gt;"manual",$M412&lt;&gt;$A$15)),
        IF(Import.TipoArredondamento&lt;&gt;"TransfereGOV",
              ROUND(OFFSET($P412,0,AR$13),15-13*ORÇAMENTO!$AF$7)/$H412*OFFSET(ORÇAMENTO!$X$15,ROW(AR412)-ROW(AR$15),0),
              ROUND(ROUND(OFFSET($P412,0,AR$13),15-13*ORÇAMENTO!$AF$7)*OFFSET(ORÇAMENTO!$W$15,ROW(AR412)-ROW(AR$15),0),15-13*ORÇAMENTO!$AF$11)),
         0)</f>
        <v>0</v>
      </c>
      <c r="AS412" s="453">
        <f ca="1">IF(AND($D412="Serviço",AS$12&lt;&gt;0,$H412&gt;0,OR(AUTOEVENTO&lt;&gt;"manual",$M412&lt;&gt;$A$15)),
        IF(Import.TipoArredondamento&lt;&gt;"TransfereGOV",
              ROUND(OFFSET($P412,0,AS$13),15-13*ORÇAMENTO!$AF$7)/$H412*OFFSET(ORÇAMENTO!$X$15,ROW(AS412)-ROW(AS$15),0),
              ROUND(ROUND(OFFSET($P412,0,AS$13),15-13*ORÇAMENTO!$AF$7)*OFFSET(ORÇAMENTO!$W$15,ROW(AS412)-ROW(AS$15),0),15-13*ORÇAMENTO!$AF$11)),
         0)</f>
        <v>0</v>
      </c>
      <c r="AT412" s="453">
        <f ca="1">IF(AND($D412="Serviço",AT$12&lt;&gt;0,$H412&gt;0,OR(AUTOEVENTO&lt;&gt;"manual",$M412&lt;&gt;$A$15)),
        IF(Import.TipoArredondamento&lt;&gt;"TransfereGOV",
              ROUND(OFFSET($P412,0,AT$13),15-13*ORÇAMENTO!$AF$7)/$H412*OFFSET(ORÇAMENTO!$X$15,ROW(AT412)-ROW(AT$15),0),
              ROUND(ROUND(OFFSET($P412,0,AT$13),15-13*ORÇAMENTO!$AF$7)*OFFSET(ORÇAMENTO!$W$15,ROW(AT412)-ROW(AT$15),0),15-13*ORÇAMENTO!$AF$11)),
         0)</f>
        <v>0</v>
      </c>
      <c r="AU412" s="453">
        <f ca="1">IF(AND($D412="Serviço",AU$12&lt;&gt;0,$H412&gt;0,OR(AUTOEVENTO&lt;&gt;"manual",$M412&lt;&gt;$A$15)),
        IF(Import.TipoArredondamento&lt;&gt;"TransfereGOV",
              ROUND(OFFSET($P412,0,AU$13),15-13*ORÇAMENTO!$AF$7)/$H412*OFFSET(ORÇAMENTO!$X$15,ROW(AU412)-ROW(AU$15),0),
              ROUND(ROUND(OFFSET($P412,0,AU$13),15-13*ORÇAMENTO!$AF$7)*OFFSET(ORÇAMENTO!$W$15,ROW(AU412)-ROW(AU$15),0),15-13*ORÇAMENTO!$AF$11)),
         0)</f>
        <v>0</v>
      </c>
      <c r="AV412" s="453">
        <f ca="1">IF(AND($D412="Serviço",AV$12&lt;&gt;0,$H412&gt;0,OR(AUTOEVENTO&lt;&gt;"manual",$M412&lt;&gt;$A$15)),
        IF(Import.TipoArredondamento&lt;&gt;"TransfereGOV",
              ROUND(OFFSET($P412,0,AV$13),15-13*ORÇAMENTO!$AF$7)/$H412*OFFSET(ORÇAMENTO!$X$15,ROW(AV412)-ROW(AV$15),0),
              ROUND(ROUND(OFFSET($P412,0,AV$13),15-13*ORÇAMENTO!$AF$7)*OFFSET(ORÇAMENTO!$W$15,ROW(AV412)-ROW(AV$15),0),15-13*ORÇAMENTO!$AF$11)),
         0)</f>
        <v>0</v>
      </c>
      <c r="AW412" s="453">
        <f ca="1">IF(AND($D412="Serviço",AW$12&lt;&gt;0,$H412&gt;0,OR(AUTOEVENTO&lt;&gt;"manual",$M412&lt;&gt;$A$15)),
        IF(Import.TipoArredondamento&lt;&gt;"TransfereGOV",
              ROUND(OFFSET($P412,0,AW$13),15-13*ORÇAMENTO!$AF$7)/$H412*OFFSET(ORÇAMENTO!$X$15,ROW(AW412)-ROW(AW$15),0),
              ROUND(ROUND(OFFSET($P412,0,AW$13),15-13*ORÇAMENTO!$AF$7)*OFFSET(ORÇAMENTO!$W$15,ROW(AW412)-ROW(AW$15),0),15-13*ORÇAMENTO!$AF$11)),
         0)</f>
        <v>0</v>
      </c>
      <c r="AX412" s="453">
        <f ca="1">IF(AND($D412="Serviço",AX$12&lt;&gt;0,$H412&gt;0,OR(AUTOEVENTO&lt;&gt;"manual",$M412&lt;&gt;$A$15)),
        IF(Import.TipoArredondamento&lt;&gt;"TransfereGOV",
              ROUND(OFFSET($P412,0,AX$13),15-13*ORÇAMENTO!$AF$7)/$H412*OFFSET(ORÇAMENTO!$X$15,ROW(AX412)-ROW(AX$15),0),
              ROUND(ROUND(OFFSET($P412,0,AX$13),15-13*ORÇAMENTO!$AF$7)*OFFSET(ORÇAMENTO!$W$15,ROW(AX412)-ROW(AX$15),0),15-13*ORÇAMENTO!$AF$11)),
         0)</f>
        <v>0</v>
      </c>
      <c r="AY412" s="453">
        <f ca="1">IF(AND($D412="Serviço",AY$12&lt;&gt;0,$H412&gt;0,OR(AUTOEVENTO&lt;&gt;"manual",$M412&lt;&gt;$A$15)),
        IF(Import.TipoArredondamento&lt;&gt;"TransfereGOV",
              ROUND(OFFSET($P412,0,AY$13),15-13*ORÇAMENTO!$AF$7)/$H412*OFFSET(ORÇAMENTO!$X$15,ROW(AY412)-ROW(AY$15),0),
              ROUND(ROUND(OFFSET($P412,0,AY$13),15-13*ORÇAMENTO!$AF$7)*OFFSET(ORÇAMENTO!$W$15,ROW(AY412)-ROW(AY$15),0),15-13*ORÇAMENTO!$AF$11)),
         0)</f>
        <v>0</v>
      </c>
      <c r="AZ412" s="453">
        <f ca="1">IF(AND($D412="Serviço",AZ$12&lt;&gt;0,$H412&gt;0,OR(AUTOEVENTO&lt;&gt;"manual",$M412&lt;&gt;$A$15)),
        IF(Import.TipoArredondamento&lt;&gt;"TransfereGOV",
              ROUND(OFFSET($P412,0,AZ$13),15-13*ORÇAMENTO!$AF$7)/$H412*OFFSET(ORÇAMENTO!$X$15,ROW(AZ412)-ROW(AZ$15),0),
              ROUND(ROUND(OFFSET($P412,0,AZ$13),15-13*ORÇAMENTO!$AF$7)*OFFSET(ORÇAMENTO!$W$15,ROW(AZ412)-ROW(AZ$15),0),15-13*ORÇAMENTO!$AF$11)),
         0)</f>
        <v>0</v>
      </c>
      <c r="BA412" s="453">
        <f ca="1">IF(AND($D412="Serviço",BA$12&lt;&gt;0,$H412&gt;0,OR(AUTOEVENTO&lt;&gt;"manual",$M412&lt;&gt;$A$15)),
        IF(Import.TipoArredondamento&lt;&gt;"TransfereGOV",
              ROUND(OFFSET($P412,0,BA$13),15-13*ORÇAMENTO!$AF$7)/$H412*OFFSET(ORÇAMENTO!$X$15,ROW(BA412)-ROW(BA$15),0),
              ROUND(ROUND(OFFSET($P412,0,BA$13),15-13*ORÇAMENTO!$AF$7)*OFFSET(ORÇAMENTO!$W$15,ROW(BA412)-ROW(BA$15),0),15-13*ORÇAMENTO!$AF$11)),
         0)</f>
        <v>0</v>
      </c>
      <c r="BC412" s="171">
        <f ca="1">IF(OR($D412&lt;&gt;"Serviço",AND(AUTOEVENTO="Manual",$M412=$A$15)),0,
         IF(OFFSET(CRONOPLE!$F$15,$M412-$A$15,BC$13)=0,10^12,OFFSET(CRONOPLE!$F$15,$M412-$A$15,BC$13)))</f>
        <v>1</v>
      </c>
      <c r="BD412" s="171">
        <f ca="1">IF(OR($D412&lt;&gt;"Serviço",AND(AUTOEVENTO="Manual",$M412=$A$15)),0,
         IF(OFFSET(CRONOPLE!$F$15,$M412-$A$15,BD$13)=0,10^12,OFFSET(CRONOPLE!$F$15,$M412-$A$15,BD$13)))</f>
        <v>2</v>
      </c>
      <c r="BE412" s="171">
        <f ca="1">IF(OR($D412&lt;&gt;"Serviço",AND(AUTOEVENTO="Manual",$M412=$A$15)),0,
         IF(OFFSET(CRONOPLE!$F$15,$M412-$A$15,BE$13)=0,10^12,OFFSET(CRONOPLE!$F$15,$M412-$A$15,BE$13)))</f>
        <v>3</v>
      </c>
      <c r="BF412" s="171">
        <f ca="1">IF(OR($D412&lt;&gt;"Serviço",AND(AUTOEVENTO="Manual",$M412=$A$15)),0,
         IF(OFFSET(CRONOPLE!$F$15,$M412-$A$15,BF$13)=0,10^12,OFFSET(CRONOPLE!$F$15,$M412-$A$15,BF$13)))</f>
        <v>4</v>
      </c>
      <c r="BG412" s="171">
        <f ca="1">IF(OR($D412&lt;&gt;"Serviço",AND(AUTOEVENTO="Manual",$M412=$A$15)),0,
         IF(OFFSET(CRONOPLE!$F$15,$M412-$A$15,BG$13)=0,10^12,OFFSET(CRONOPLE!$F$15,$M412-$A$15,BG$13)))</f>
        <v>5</v>
      </c>
      <c r="BH412" s="171">
        <f ca="1">IF(OR($D412&lt;&gt;"Serviço",AND(AUTOEVENTO="Manual",$M412=$A$15)),0,
         IF(OFFSET(CRONOPLE!$F$15,$M412-$A$15,BH$13)=0,10^12,OFFSET(CRONOPLE!$F$15,$M412-$A$15,BH$13)))</f>
        <v>6</v>
      </c>
      <c r="BI412" s="171">
        <f ca="1">IF(OR($D412&lt;&gt;"Serviço",AND(AUTOEVENTO="Manual",$M412=$A$15)),0,
         IF(OFFSET(CRONOPLE!$F$15,$M412-$A$15,BI$13)=0,10^12,OFFSET(CRONOPLE!$F$15,$M412-$A$15,BI$13)))</f>
        <v>7</v>
      </c>
      <c r="BJ412" s="171">
        <f ca="1">IF(OR($D412&lt;&gt;"Serviço",AND(AUTOEVENTO="Manual",$M412=$A$15)),0,
         IF(OFFSET(CRONOPLE!$F$15,$M412-$A$15,BJ$13)=0,10^12,OFFSET(CRONOPLE!$F$15,$M412-$A$15,BJ$13)))</f>
        <v>8</v>
      </c>
      <c r="BK412" s="171">
        <f ca="1">IF(OR($D412&lt;&gt;"Serviço",AND(AUTOEVENTO="Manual",$M412=$A$15)),0,
         IF(OFFSET(CRONOPLE!$F$15,$M412-$A$15,BK$13)=0,10^12,OFFSET(CRONOPLE!$F$15,$M412-$A$15,BK$13)))</f>
        <v>9</v>
      </c>
      <c r="BL412" s="171">
        <f ca="1">IF(OR($D412&lt;&gt;"Serviço",AND(AUTOEVENTO="Manual",$M412=$A$15)),0,
         IF(OFFSET(CRONOPLE!$F$15,$M412-$A$15,BL$13)=0,10^12,OFFSET(CRONOPLE!$F$15,$M412-$A$15,BL$13)))</f>
        <v>1000000000000</v>
      </c>
      <c r="BM412" s="171">
        <f ca="1">IF(OR($D412&lt;&gt;"Serviço",AND(AUTOEVENTO="Manual",$M412=$A$15)),0,
         IF(OFFSET(CRONOPLE!$F$15,$M412-$A$15,BM$13)=0,10^12,OFFSET(CRONOPLE!$F$15,$M412-$A$15,BM$13)))</f>
        <v>1000000000000</v>
      </c>
      <c r="BN412" s="171">
        <f ca="1">IF(OR($D412&lt;&gt;"Serviço",AND(AUTOEVENTO="Manual",$M412=$A$15)),0,
         IF(OFFSET(CRONOPLE!$F$15,$M412-$A$15,BN$13)=0,10^12,OFFSET(CRONOPLE!$F$15,$M412-$A$15,BN$13)))</f>
        <v>1000000000000</v>
      </c>
      <c r="BO412" s="171">
        <f ca="1">IF(OR($D412&lt;&gt;"Serviço",AND(AUTOEVENTO="Manual",$M412=$A$15)),0,
         IF(OFFSET(CRONOPLE!$F$15,$M412-$A$15,BO$13)=0,10^12,OFFSET(CRONOPLE!$F$15,$M412-$A$15,BO$13)))</f>
        <v>1000000000000</v>
      </c>
      <c r="BP412" s="171">
        <f ca="1">IF(OR($D412&lt;&gt;"Serviço",AND(AUTOEVENTO="Manual",$M412=$A$15)),0,
         IF(OFFSET(CRONOPLE!$F$15,$M412-$A$15,BP$13)=0,10^12,OFFSET(CRONOPLE!$F$15,$M412-$A$15,BP$13)))</f>
        <v>1000000000000</v>
      </c>
      <c r="BQ412" s="171">
        <f ca="1">IF(OR($D412&lt;&gt;"Serviço",AND(AUTOEVENTO="Manual",$M412=$A$15)),0,
         IF(OFFSET(CRONOPLE!$F$15,$M412-$A$15,BQ$13)=0,10^12,OFFSET(CRONOPLE!$F$15,$M412-$A$15,BQ$13)))</f>
        <v>1000000000000</v>
      </c>
      <c r="BR412" s="171">
        <f ca="1">IF(OR($D412&lt;&gt;"Serviço",AND(AUTOEVENTO="Manual",$M412=$A$15)),0,
         IF(OFFSET(CRONOPLE!$F$15,$M412-$A$15,BR$13)=0,10^12,OFFSET(CRONOPLE!$F$15,$M412-$A$15,BR$13)))</f>
        <v>1000000000000</v>
      </c>
      <c r="BS412" s="171">
        <f ca="1">IF(OR($D412&lt;&gt;"Serviço",AND(AUTOEVENTO="Manual",$M412=$A$15)),0,
         IF(OFFSET(CRONOPLE!$F$15,$M412-$A$15,BS$13)=0,10^12,OFFSET(CRONOPLE!$F$15,$M412-$A$15,BS$13)))</f>
        <v>1000000000000</v>
      </c>
      <c r="BT412" s="171">
        <f ca="1">IF(OR($D412&lt;&gt;"Serviço",AND(AUTOEVENTO="Manual",$M412=$A$15)),0,
         IF(OFFSET(CRONOPLE!$F$15,$M412-$A$15,BT$13)=0,10^12,OFFSET(CRONOPLE!$F$15,$M412-$A$15,BT$13)))</f>
        <v>1000000000000</v>
      </c>
      <c r="BV412" s="172">
        <f ca="1">IF(OR($D412&lt;&gt;"Serviço",AND(AUTOEVENTO="Manual",$M412=$A$15),$M412&gt;(ROW(PLE.lastrow)-ROW(PLE.firstrow))),0,
           IF(OFFSET(PLE!$G$15,$M412-$A$15,BV$13)="",10^12,OFFSET(PLE!$G$15,$M412-$A$15,BV$13)))</f>
        <v>1000000000000</v>
      </c>
      <c r="BW412" s="172">
        <f ca="1">IF(OR($D412&lt;&gt;"Serviço",AND(AUTOEVENTO="Manual",$M412=$A$15),$M412&gt;(ROW(PLE.lastrow)-ROW(PLE.firstrow))),0,
           IF(OFFSET(PLE!$G$15,$M412-$A$15,BW$13)="",10^12,OFFSET(PLE!$G$15,$M412-$A$15,BW$13)))</f>
        <v>1000000000000</v>
      </c>
      <c r="BX412" s="172">
        <f ca="1">IF(OR($D412&lt;&gt;"Serviço",AND(AUTOEVENTO="Manual",$M412=$A$15),$M412&gt;(ROW(PLE.lastrow)-ROW(PLE.firstrow))),0,
           IF(OFFSET(PLE!$G$15,$M412-$A$15,BX$13)="",10^12,OFFSET(PLE!$G$15,$M412-$A$15,BX$13)))</f>
        <v>1000000000000</v>
      </c>
      <c r="BY412" s="172">
        <f ca="1">IF(OR($D412&lt;&gt;"Serviço",AND(AUTOEVENTO="Manual",$M412=$A$15),$M412&gt;(ROW(PLE.lastrow)-ROW(PLE.firstrow))),0,
           IF(OFFSET(PLE!$G$15,$M412-$A$15,BY$13)="",10^12,OFFSET(PLE!$G$15,$M412-$A$15,BY$13)))</f>
        <v>1000000000000</v>
      </c>
      <c r="BZ412" s="172">
        <f ca="1">IF(OR($D412&lt;&gt;"Serviço",AND(AUTOEVENTO="Manual",$M412=$A$15),$M412&gt;(ROW(PLE.lastrow)-ROW(PLE.firstrow))),0,
           IF(OFFSET(PLE!$G$15,$M412-$A$15,BZ$13)="",10^12,OFFSET(PLE!$G$15,$M412-$A$15,BZ$13)))</f>
        <v>1000000000000</v>
      </c>
      <c r="CA412" s="172">
        <f ca="1">IF(OR($D412&lt;&gt;"Serviço",AND(AUTOEVENTO="Manual",$M412=$A$15),$M412&gt;(ROW(PLE.lastrow)-ROW(PLE.firstrow))),0,
           IF(OFFSET(PLE!$G$15,$M412-$A$15,CA$13)="",10^12,OFFSET(PLE!$G$15,$M412-$A$15,CA$13)))</f>
        <v>1000000000000</v>
      </c>
      <c r="CB412" s="172">
        <f ca="1">IF(OR($D412&lt;&gt;"Serviço",AND(AUTOEVENTO="Manual",$M412=$A$15),$M412&gt;(ROW(PLE.lastrow)-ROW(PLE.firstrow))),0,
           IF(OFFSET(PLE!$G$15,$M412-$A$15,CB$13)="",10^12,OFFSET(PLE!$G$15,$M412-$A$15,CB$13)))</f>
        <v>1000000000000</v>
      </c>
      <c r="CC412" s="172">
        <f ca="1">IF(OR($D412&lt;&gt;"Serviço",AND(AUTOEVENTO="Manual",$M412=$A$15),$M412&gt;(ROW(PLE.lastrow)-ROW(PLE.firstrow))),0,
           IF(OFFSET(PLE!$G$15,$M412-$A$15,CC$13)="",10^12,OFFSET(PLE!$G$15,$M412-$A$15,CC$13)))</f>
        <v>1000000000000</v>
      </c>
      <c r="CD412" s="172">
        <f ca="1">IF(OR($D412&lt;&gt;"Serviço",AND(AUTOEVENTO="Manual",$M412=$A$15),$M412&gt;(ROW(PLE.lastrow)-ROW(PLE.firstrow))),0,
           IF(OFFSET(PLE!$G$15,$M412-$A$15,CD$13)="",10^12,OFFSET(PLE!$G$15,$M412-$A$15,CD$13)))</f>
        <v>1000000000000</v>
      </c>
      <c r="CE412" s="172">
        <f ca="1">IF(OR($D412&lt;&gt;"Serviço",AND(AUTOEVENTO="Manual",$M412=$A$15),$M412&gt;(ROW(PLE.lastrow)-ROW(PLE.firstrow))),0,
           IF(OFFSET(PLE!$G$15,$M412-$A$15,CE$13)="",10^12,OFFSET(PLE!$G$15,$M412-$A$15,CE$13)))</f>
        <v>1000000000000</v>
      </c>
      <c r="CF412" s="172">
        <f ca="1">IF(OR($D412&lt;&gt;"Serviço",AND(AUTOEVENTO="Manual",$M412=$A$15),$M412&gt;(ROW(PLE.lastrow)-ROW(PLE.firstrow))),0,
           IF(OFFSET(PLE!$G$15,$M412-$A$15,CF$13)="",10^12,OFFSET(PLE!$G$15,$M412-$A$15,CF$13)))</f>
        <v>1000000000000</v>
      </c>
      <c r="CG412" s="172">
        <f ca="1">IF(OR($D412&lt;&gt;"Serviço",AND(AUTOEVENTO="Manual",$M412=$A$15),$M412&gt;(ROW(PLE.lastrow)-ROW(PLE.firstrow))),0,
           IF(OFFSET(PLE!$G$15,$M412-$A$15,CG$13)="",10^12,OFFSET(PLE!$G$15,$M412-$A$15,CG$13)))</f>
        <v>1000000000000</v>
      </c>
      <c r="CH412" s="172">
        <f ca="1">IF(OR($D412&lt;&gt;"Serviço",AND(AUTOEVENTO="Manual",$M412=$A$15),$M412&gt;(ROW(PLE.lastrow)-ROW(PLE.firstrow))),0,
           IF(OFFSET(PLE!$G$15,$M412-$A$15,CH$13)="",10^12,OFFSET(PLE!$G$15,$M412-$A$15,CH$13)))</f>
        <v>1000000000000</v>
      </c>
      <c r="CI412" s="172">
        <f ca="1">IF(OR($D412&lt;&gt;"Serviço",AND(AUTOEVENTO="Manual",$M412=$A$15),$M412&gt;(ROW(PLE.lastrow)-ROW(PLE.firstrow))),0,
           IF(OFFSET(PLE!$G$15,$M412-$A$15,CI$13)="",10^12,OFFSET(PLE!$G$15,$M412-$A$15,CI$13)))</f>
        <v>1000000000000</v>
      </c>
      <c r="CJ412" s="172">
        <f ca="1">IF(OR($D412&lt;&gt;"Serviço",AND(AUTOEVENTO="Manual",$M412=$A$15),$M412&gt;(ROW(PLE.lastrow)-ROW(PLE.firstrow))),0,
           IF(OFFSET(PLE!$G$15,$M412-$A$15,CJ$13)="",10^12,OFFSET(PLE!$G$15,$M412-$A$15,CJ$13)))</f>
        <v>1000000000000</v>
      </c>
      <c r="CK412" s="172">
        <f ca="1">IF(OR($D412&lt;&gt;"Serviço",AND(AUTOEVENTO="Manual",$M412=$A$15),$M412&gt;(ROW(PLE.lastrow)-ROW(PLE.firstrow))),0,
           IF(OFFSET(PLE!$G$15,$M412-$A$15,CK$13)="",10^12,OFFSET(PLE!$G$15,$M412-$A$15,CK$13)))</f>
        <v>1000000000000</v>
      </c>
      <c r="CL412" s="172">
        <f ca="1">IF(OR($D412&lt;&gt;"Serviço",AND(AUTOEVENTO="Manual",$M412=$A$15),$M412&gt;(ROW(PLE.lastrow)-ROW(PLE.firstrow))),0,
           IF(OFFSET(PLE!$G$15,$M412-$A$15,CL$13)="",10^12,OFFSET(PLE!$G$15,$M412-$A$15,CL$13)))</f>
        <v>1000000000000</v>
      </c>
      <c r="CM412" s="172">
        <f ca="1">IF(OR($D412&lt;&gt;"Serviço",AND(AUTOEVENTO="Manual",$M412=$A$15),$M412&gt;(ROW(PLE.lastrow)-ROW(PLE.firstrow))),0,
           IF(OFFSET(PLE!$G$15,$M412-$A$15,CM$13)="",10^12,OFFSET(PLE!$G$15,$M412-$A$15,CM$13)))</f>
        <v>1000000000000</v>
      </c>
    </row>
    <row r="413" spans="1:91" ht="38.25" x14ac:dyDescent="0.2">
      <c r="A413" s="7">
        <f t="shared" ca="1" si="16"/>
        <v>7</v>
      </c>
      <c r="B413" s="7" t="str">
        <f ca="1">OFFSET(ORÇAMENTO!C$15,ROW(B413)-ROW(B$15),0)</f>
        <v>S</v>
      </c>
      <c r="C413" s="7" t="str">
        <f ca="1">OFFSET(ORÇAMENTO!L$15,ROW(C413)-ROW(C$15),0)</f>
        <v>F</v>
      </c>
      <c r="D413" s="116" t="str">
        <f ca="1">OFFSET(ORÇAMENTO!N$15,ROW(D413)-ROW(D$15),0)</f>
        <v>Serviço</v>
      </c>
      <c r="E413" s="117" t="str">
        <f ca="1">OFFSET(ORÇAMENTO!O$15,ROW(E413)-ROW(E$15),0)</f>
        <v>1.8.2.4.3.</v>
      </c>
      <c r="F413" s="163" t="str">
        <f ca="1">OFFSET(ORÇAMENTO!R$15,ROW(F413)-ROW(F$15),0)</f>
        <v>DISJUNTOR MONOPOLAR TIPO DIN, CORRENTE NOMINAL DE 10A, FORNECIMENTO E INSTALAÇÃO, INCLUSIVE TERMINAL ILHÓS</v>
      </c>
      <c r="G413" s="164" t="str">
        <f ca="1">IF($D413&lt;&gt;"Serviço","",OFFSET(ORÇAMENTO!S$15,ROW(G413)-ROW(G$15),0))</f>
        <v>UN</v>
      </c>
      <c r="H413" s="122" cm="1">
        <f t="array" aca="1" ref="H413" ca="1">IF($D413&lt;&gt;"Serviço",0,IF(ACOMPANHAMENTO="BM",ROUND(OFFSET(ORÇAMENTO!AJ$15,ROW(H413)-ROW(H$15),0),15-13*ORÇAMENTO!$AF$7),SUMPRODUCT(($Q$1:$AI$1=1)*ROUND($Q413:$AI413,15-13*ORÇAMENTO!$AF$7))))</f>
        <v>4</v>
      </c>
      <c r="I413" s="468" t="s">
        <v>1431</v>
      </c>
      <c r="J413" s="640" t="str" cm="1">
        <f t="array" aca="1" ref="J413" ca="1">IF(OR(B413&lt;&gt;"S",CÁLCULO.FrentesPreenchidas=0),"",IF(AND(ACOMPANHAMENTO="PLE",AUTOEVENTO="Manual",OR(H413&gt;0,ORÇAMENTO!AC413="QUANT."),OR(K413="",M413=0,N413="")),"►E",IF(AND(ACOMPANHAMENTO="PLE",ORÇAMENTO!AC413="QUANT."),"►Q",IF(AND(ACOMPANHAMENTO="PLE",H413&lt;&gt;SUMPRODUCT(($Q$1:$AI$1=1)*ROUND(Q413:AI413,15))),"►S",IF(AND(COUNTIF($P$11:$AI$11,"▼")=0,H413&gt;0,I413=""),"◄M","")))))</f>
        <v/>
      </c>
      <c r="K413" s="641" t="s">
        <v>1391</v>
      </c>
      <c r="L413" s="165" t="s">
        <v>764</v>
      </c>
      <c r="M413" s="166">
        <f ca="1">IF($D413&lt;&gt;"Serviço","",
          IF(AUTOEVENTO="manual",$A413,
                IF(ISERROR(MATCH($A413,$A$15:OFFSET($A413,-1,0),0)),MAX($M$15:OFFSET(M413,-1,0))+1,
                      INDEX($M$15:OFFSET(M413,-1,0),MATCH($A413,$A$15:OFFSET($A413,-1,0),0)))))</f>
        <v>7</v>
      </c>
      <c r="N413" s="167" t="str">
        <f ca="1">IF($D413&lt;&gt;"Serviço","",
         IF(AUTOEVENTO="Manual",
                IF($A413=0,"&lt;-- defina o número do agrupador",
                       OFFSET(EVENTOS!$D$15,$A413-$A$15,0)),
                OFFSET($F$15,$A413,0)))</f>
        <v>Instalações Elétricas</v>
      </c>
      <c r="O413" s="168"/>
      <c r="Q413" s="168"/>
      <c r="R413" s="169"/>
      <c r="S413" s="169"/>
      <c r="T413" s="169"/>
      <c r="U413" s="169"/>
      <c r="V413" s="169"/>
      <c r="W413" s="169"/>
      <c r="X413" s="169">
        <v>4</v>
      </c>
      <c r="Y413" s="169"/>
      <c r="Z413" s="170"/>
      <c r="AA413" s="169"/>
      <c r="AB413" s="169"/>
      <c r="AC413" s="169"/>
      <c r="AD413" s="169"/>
      <c r="AE413" s="169"/>
      <c r="AF413" s="169"/>
      <c r="AG413" s="169"/>
      <c r="AH413" s="170"/>
      <c r="AJ413" s="453">
        <f ca="1">IF(AND($D413="Serviço",AJ$12&lt;&gt;0,$H413&gt;0,OR(AUTOEVENTO&lt;&gt;"manual",$M413&lt;&gt;$A$15)),
        IF(Import.TipoArredondamento&lt;&gt;"TransfereGOV",
              ROUND(OFFSET($P413,0,AJ$13),15-13*ORÇAMENTO!$AF$7)/$H413*OFFSET(ORÇAMENTO!$X$15,ROW(AJ413)-ROW(AJ$15),0),
              ROUND(ROUND(OFFSET($P413,0,AJ$13),15-13*ORÇAMENTO!$AF$7)*OFFSET(ORÇAMENTO!$W$15,ROW(AJ413)-ROW(AJ$15),0),15-13*ORÇAMENTO!$AF$11)),
         0)</f>
        <v>0</v>
      </c>
      <c r="AK413" s="453">
        <f ca="1">IF(AND($D413="Serviço",AK$12&lt;&gt;0,$H413&gt;0,OR(AUTOEVENTO&lt;&gt;"manual",$M413&lt;&gt;$A$15)),
        IF(Import.TipoArredondamento&lt;&gt;"TransfereGOV",
              ROUND(OFFSET($P413,0,AK$13),15-13*ORÇAMENTO!$AF$7)/$H413*OFFSET(ORÇAMENTO!$X$15,ROW(AK413)-ROW(AK$15),0),
              ROUND(ROUND(OFFSET($P413,0,AK$13),15-13*ORÇAMENTO!$AF$7)*OFFSET(ORÇAMENTO!$W$15,ROW(AK413)-ROW(AK$15),0),15-13*ORÇAMENTO!$AF$11)),
         0)</f>
        <v>0</v>
      </c>
      <c r="AL413" s="453">
        <f ca="1">IF(AND($D413="Serviço",AL$12&lt;&gt;0,$H413&gt;0,OR(AUTOEVENTO&lt;&gt;"manual",$M413&lt;&gt;$A$15)),
        IF(Import.TipoArredondamento&lt;&gt;"TransfereGOV",
              ROUND(OFFSET($P413,0,AL$13),15-13*ORÇAMENTO!$AF$7)/$H413*OFFSET(ORÇAMENTO!$X$15,ROW(AL413)-ROW(AL$15),0),
              ROUND(ROUND(OFFSET($P413,0,AL$13),15-13*ORÇAMENTO!$AF$7)*OFFSET(ORÇAMENTO!$W$15,ROW(AL413)-ROW(AL$15),0),15-13*ORÇAMENTO!$AF$11)),
         0)</f>
        <v>0</v>
      </c>
      <c r="AM413" s="453">
        <f ca="1">IF(AND($D413="Serviço",AM$12&lt;&gt;0,$H413&gt;0,OR(AUTOEVENTO&lt;&gt;"manual",$M413&lt;&gt;$A$15)),
        IF(Import.TipoArredondamento&lt;&gt;"TransfereGOV",
              ROUND(OFFSET($P413,0,AM$13),15-13*ORÇAMENTO!$AF$7)/$H413*OFFSET(ORÇAMENTO!$X$15,ROW(AM413)-ROW(AM$15),0),
              ROUND(ROUND(OFFSET($P413,0,AM$13),15-13*ORÇAMENTO!$AF$7)*OFFSET(ORÇAMENTO!$W$15,ROW(AM413)-ROW(AM$15),0),15-13*ORÇAMENTO!$AF$11)),
         0)</f>
        <v>0</v>
      </c>
      <c r="AN413" s="453">
        <f ca="1">IF(AND($D413="Serviço",AN$12&lt;&gt;0,$H413&gt;0,OR(AUTOEVENTO&lt;&gt;"manual",$M413&lt;&gt;$A$15)),
        IF(Import.TipoArredondamento&lt;&gt;"TransfereGOV",
              ROUND(OFFSET($P413,0,AN$13),15-13*ORÇAMENTO!$AF$7)/$H413*OFFSET(ORÇAMENTO!$X$15,ROW(AN413)-ROW(AN$15),0),
              ROUND(ROUND(OFFSET($P413,0,AN$13),15-13*ORÇAMENTO!$AF$7)*OFFSET(ORÇAMENTO!$W$15,ROW(AN413)-ROW(AN$15),0),15-13*ORÇAMENTO!$AF$11)),
         0)</f>
        <v>0</v>
      </c>
      <c r="AO413" s="453">
        <f ca="1">IF(AND($D413="Serviço",AO$12&lt;&gt;0,$H413&gt;0,OR(AUTOEVENTO&lt;&gt;"manual",$M413&lt;&gt;$A$15)),
        IF(Import.TipoArredondamento&lt;&gt;"TransfereGOV",
              ROUND(OFFSET($P413,0,AO$13),15-13*ORÇAMENTO!$AF$7)/$H413*OFFSET(ORÇAMENTO!$X$15,ROW(AO413)-ROW(AO$15),0),
              ROUND(ROUND(OFFSET($P413,0,AO$13),15-13*ORÇAMENTO!$AF$7)*OFFSET(ORÇAMENTO!$W$15,ROW(AO413)-ROW(AO$15),0),15-13*ORÇAMENTO!$AF$11)),
         0)</f>
        <v>0</v>
      </c>
      <c r="AP413" s="453">
        <f ca="1">IF(AND($D413="Serviço",AP$12&lt;&gt;0,$H413&gt;0,OR(AUTOEVENTO&lt;&gt;"manual",$M413&lt;&gt;$A$15)),
        IF(Import.TipoArredondamento&lt;&gt;"TransfereGOV",
              ROUND(OFFSET($P413,0,AP$13),15-13*ORÇAMENTO!$AF$7)/$H413*OFFSET(ORÇAMENTO!$X$15,ROW(AP413)-ROW(AP$15),0),
              ROUND(ROUND(OFFSET($P413,0,AP$13),15-13*ORÇAMENTO!$AF$7)*OFFSET(ORÇAMENTO!$W$15,ROW(AP413)-ROW(AP$15),0),15-13*ORÇAMENTO!$AF$11)),
         0)</f>
        <v>0</v>
      </c>
      <c r="AQ413" s="453">
        <f ca="1">IF(AND($D413="Serviço",AQ$12&lt;&gt;0,$H413&gt;0,OR(AUTOEVENTO&lt;&gt;"manual",$M413&lt;&gt;$A$15)),
        IF(Import.TipoArredondamento&lt;&gt;"TransfereGOV",
              ROUND(OFFSET($P413,0,AQ$13),15-13*ORÇAMENTO!$AF$7)/$H413*OFFSET(ORÇAMENTO!$X$15,ROW(AQ413)-ROW(AQ$15),0),
              ROUND(ROUND(OFFSET($P413,0,AQ$13),15-13*ORÇAMENTO!$AF$7)*OFFSET(ORÇAMENTO!$W$15,ROW(AQ413)-ROW(AQ$15),0),15-13*ORÇAMENTO!$AF$11)),
         0)</f>
        <v>0</v>
      </c>
      <c r="AR413" s="453">
        <f ca="1">IF(AND($D413="Serviço",AR$12&lt;&gt;0,$H413&gt;0,OR(AUTOEVENTO&lt;&gt;"manual",$M413&lt;&gt;$A$15)),
        IF(Import.TipoArredondamento&lt;&gt;"TransfereGOV",
              ROUND(OFFSET($P413,0,AR$13),15-13*ORÇAMENTO!$AF$7)/$H413*OFFSET(ORÇAMENTO!$X$15,ROW(AR413)-ROW(AR$15),0),
              ROUND(ROUND(OFFSET($P413,0,AR$13),15-13*ORÇAMENTO!$AF$7)*OFFSET(ORÇAMENTO!$W$15,ROW(AR413)-ROW(AR$15),0),15-13*ORÇAMENTO!$AF$11)),
         0)</f>
        <v>0</v>
      </c>
      <c r="AS413" s="453">
        <f ca="1">IF(AND($D413="Serviço",AS$12&lt;&gt;0,$H413&gt;0,OR(AUTOEVENTO&lt;&gt;"manual",$M413&lt;&gt;$A$15)),
        IF(Import.TipoArredondamento&lt;&gt;"TransfereGOV",
              ROUND(OFFSET($P413,0,AS$13),15-13*ORÇAMENTO!$AF$7)/$H413*OFFSET(ORÇAMENTO!$X$15,ROW(AS413)-ROW(AS$15),0),
              ROUND(ROUND(OFFSET($P413,0,AS$13),15-13*ORÇAMENTO!$AF$7)*OFFSET(ORÇAMENTO!$W$15,ROW(AS413)-ROW(AS$15),0),15-13*ORÇAMENTO!$AF$11)),
         0)</f>
        <v>0</v>
      </c>
      <c r="AT413" s="453">
        <f ca="1">IF(AND($D413="Serviço",AT$12&lt;&gt;0,$H413&gt;0,OR(AUTOEVENTO&lt;&gt;"manual",$M413&lt;&gt;$A$15)),
        IF(Import.TipoArredondamento&lt;&gt;"TransfereGOV",
              ROUND(OFFSET($P413,0,AT$13),15-13*ORÇAMENTO!$AF$7)/$H413*OFFSET(ORÇAMENTO!$X$15,ROW(AT413)-ROW(AT$15),0),
              ROUND(ROUND(OFFSET($P413,0,AT$13),15-13*ORÇAMENTO!$AF$7)*OFFSET(ORÇAMENTO!$W$15,ROW(AT413)-ROW(AT$15),0),15-13*ORÇAMENTO!$AF$11)),
         0)</f>
        <v>0</v>
      </c>
      <c r="AU413" s="453">
        <f ca="1">IF(AND($D413="Serviço",AU$12&lt;&gt;0,$H413&gt;0,OR(AUTOEVENTO&lt;&gt;"manual",$M413&lt;&gt;$A$15)),
        IF(Import.TipoArredondamento&lt;&gt;"TransfereGOV",
              ROUND(OFFSET($P413,0,AU$13),15-13*ORÇAMENTO!$AF$7)/$H413*OFFSET(ORÇAMENTO!$X$15,ROW(AU413)-ROW(AU$15),0),
              ROUND(ROUND(OFFSET($P413,0,AU$13),15-13*ORÇAMENTO!$AF$7)*OFFSET(ORÇAMENTO!$W$15,ROW(AU413)-ROW(AU$15),0),15-13*ORÇAMENTO!$AF$11)),
         0)</f>
        <v>0</v>
      </c>
      <c r="AV413" s="453">
        <f ca="1">IF(AND($D413="Serviço",AV$12&lt;&gt;0,$H413&gt;0,OR(AUTOEVENTO&lt;&gt;"manual",$M413&lt;&gt;$A$15)),
        IF(Import.TipoArredondamento&lt;&gt;"TransfereGOV",
              ROUND(OFFSET($P413,0,AV$13),15-13*ORÇAMENTO!$AF$7)/$H413*OFFSET(ORÇAMENTO!$X$15,ROW(AV413)-ROW(AV$15),0),
              ROUND(ROUND(OFFSET($P413,0,AV$13),15-13*ORÇAMENTO!$AF$7)*OFFSET(ORÇAMENTO!$W$15,ROW(AV413)-ROW(AV$15),0),15-13*ORÇAMENTO!$AF$11)),
         0)</f>
        <v>0</v>
      </c>
      <c r="AW413" s="453">
        <f ca="1">IF(AND($D413="Serviço",AW$12&lt;&gt;0,$H413&gt;0,OR(AUTOEVENTO&lt;&gt;"manual",$M413&lt;&gt;$A$15)),
        IF(Import.TipoArredondamento&lt;&gt;"TransfereGOV",
              ROUND(OFFSET($P413,0,AW$13),15-13*ORÇAMENTO!$AF$7)/$H413*OFFSET(ORÇAMENTO!$X$15,ROW(AW413)-ROW(AW$15),0),
              ROUND(ROUND(OFFSET($P413,0,AW$13),15-13*ORÇAMENTO!$AF$7)*OFFSET(ORÇAMENTO!$W$15,ROW(AW413)-ROW(AW$15),0),15-13*ORÇAMENTO!$AF$11)),
         0)</f>
        <v>0</v>
      </c>
      <c r="AX413" s="453">
        <f ca="1">IF(AND($D413="Serviço",AX$12&lt;&gt;0,$H413&gt;0,OR(AUTOEVENTO&lt;&gt;"manual",$M413&lt;&gt;$A$15)),
        IF(Import.TipoArredondamento&lt;&gt;"TransfereGOV",
              ROUND(OFFSET($P413,0,AX$13),15-13*ORÇAMENTO!$AF$7)/$H413*OFFSET(ORÇAMENTO!$X$15,ROW(AX413)-ROW(AX$15),0),
              ROUND(ROUND(OFFSET($P413,0,AX$13),15-13*ORÇAMENTO!$AF$7)*OFFSET(ORÇAMENTO!$W$15,ROW(AX413)-ROW(AX$15),0),15-13*ORÇAMENTO!$AF$11)),
         0)</f>
        <v>0</v>
      </c>
      <c r="AY413" s="453">
        <f ca="1">IF(AND($D413="Serviço",AY$12&lt;&gt;0,$H413&gt;0,OR(AUTOEVENTO&lt;&gt;"manual",$M413&lt;&gt;$A$15)),
        IF(Import.TipoArredondamento&lt;&gt;"TransfereGOV",
              ROUND(OFFSET($P413,0,AY$13),15-13*ORÇAMENTO!$AF$7)/$H413*OFFSET(ORÇAMENTO!$X$15,ROW(AY413)-ROW(AY$15),0),
              ROUND(ROUND(OFFSET($P413,0,AY$13),15-13*ORÇAMENTO!$AF$7)*OFFSET(ORÇAMENTO!$W$15,ROW(AY413)-ROW(AY$15),0),15-13*ORÇAMENTO!$AF$11)),
         0)</f>
        <v>0</v>
      </c>
      <c r="AZ413" s="453">
        <f ca="1">IF(AND($D413="Serviço",AZ$12&lt;&gt;0,$H413&gt;0,OR(AUTOEVENTO&lt;&gt;"manual",$M413&lt;&gt;$A$15)),
        IF(Import.TipoArredondamento&lt;&gt;"TransfereGOV",
              ROUND(OFFSET($P413,0,AZ$13),15-13*ORÇAMENTO!$AF$7)/$H413*OFFSET(ORÇAMENTO!$X$15,ROW(AZ413)-ROW(AZ$15),0),
              ROUND(ROUND(OFFSET($P413,0,AZ$13),15-13*ORÇAMENTO!$AF$7)*OFFSET(ORÇAMENTO!$W$15,ROW(AZ413)-ROW(AZ$15),0),15-13*ORÇAMENTO!$AF$11)),
         0)</f>
        <v>0</v>
      </c>
      <c r="BA413" s="453">
        <f ca="1">IF(AND($D413="Serviço",BA$12&lt;&gt;0,$H413&gt;0,OR(AUTOEVENTO&lt;&gt;"manual",$M413&lt;&gt;$A$15)),
        IF(Import.TipoArredondamento&lt;&gt;"TransfereGOV",
              ROUND(OFFSET($P413,0,BA$13),15-13*ORÇAMENTO!$AF$7)/$H413*OFFSET(ORÇAMENTO!$X$15,ROW(BA413)-ROW(BA$15),0),
              ROUND(ROUND(OFFSET($P413,0,BA$13),15-13*ORÇAMENTO!$AF$7)*OFFSET(ORÇAMENTO!$W$15,ROW(BA413)-ROW(BA$15),0),15-13*ORÇAMENTO!$AF$11)),
         0)</f>
        <v>0</v>
      </c>
      <c r="BC413" s="171">
        <f ca="1">IF(OR($D413&lt;&gt;"Serviço",AND(AUTOEVENTO="Manual",$M413=$A$15)),0,
         IF(OFFSET(CRONOPLE!$F$15,$M413-$A$15,BC$13)=0,10^12,OFFSET(CRONOPLE!$F$15,$M413-$A$15,BC$13)))</f>
        <v>1</v>
      </c>
      <c r="BD413" s="171">
        <f ca="1">IF(OR($D413&lt;&gt;"Serviço",AND(AUTOEVENTO="Manual",$M413=$A$15)),0,
         IF(OFFSET(CRONOPLE!$F$15,$M413-$A$15,BD$13)=0,10^12,OFFSET(CRONOPLE!$F$15,$M413-$A$15,BD$13)))</f>
        <v>2</v>
      </c>
      <c r="BE413" s="171">
        <f ca="1">IF(OR($D413&lt;&gt;"Serviço",AND(AUTOEVENTO="Manual",$M413=$A$15)),0,
         IF(OFFSET(CRONOPLE!$F$15,$M413-$A$15,BE$13)=0,10^12,OFFSET(CRONOPLE!$F$15,$M413-$A$15,BE$13)))</f>
        <v>3</v>
      </c>
      <c r="BF413" s="171">
        <f ca="1">IF(OR($D413&lt;&gt;"Serviço",AND(AUTOEVENTO="Manual",$M413=$A$15)),0,
         IF(OFFSET(CRONOPLE!$F$15,$M413-$A$15,BF$13)=0,10^12,OFFSET(CRONOPLE!$F$15,$M413-$A$15,BF$13)))</f>
        <v>4</v>
      </c>
      <c r="BG413" s="171">
        <f ca="1">IF(OR($D413&lt;&gt;"Serviço",AND(AUTOEVENTO="Manual",$M413=$A$15)),0,
         IF(OFFSET(CRONOPLE!$F$15,$M413-$A$15,BG$13)=0,10^12,OFFSET(CRONOPLE!$F$15,$M413-$A$15,BG$13)))</f>
        <v>5</v>
      </c>
      <c r="BH413" s="171">
        <f ca="1">IF(OR($D413&lt;&gt;"Serviço",AND(AUTOEVENTO="Manual",$M413=$A$15)),0,
         IF(OFFSET(CRONOPLE!$F$15,$M413-$A$15,BH$13)=0,10^12,OFFSET(CRONOPLE!$F$15,$M413-$A$15,BH$13)))</f>
        <v>6</v>
      </c>
      <c r="BI413" s="171">
        <f ca="1">IF(OR($D413&lt;&gt;"Serviço",AND(AUTOEVENTO="Manual",$M413=$A$15)),0,
         IF(OFFSET(CRONOPLE!$F$15,$M413-$A$15,BI$13)=0,10^12,OFFSET(CRONOPLE!$F$15,$M413-$A$15,BI$13)))</f>
        <v>7</v>
      </c>
      <c r="BJ413" s="171">
        <f ca="1">IF(OR($D413&lt;&gt;"Serviço",AND(AUTOEVENTO="Manual",$M413=$A$15)),0,
         IF(OFFSET(CRONOPLE!$F$15,$M413-$A$15,BJ$13)=0,10^12,OFFSET(CRONOPLE!$F$15,$M413-$A$15,BJ$13)))</f>
        <v>8</v>
      </c>
      <c r="BK413" s="171">
        <f ca="1">IF(OR($D413&lt;&gt;"Serviço",AND(AUTOEVENTO="Manual",$M413=$A$15)),0,
         IF(OFFSET(CRONOPLE!$F$15,$M413-$A$15,BK$13)=0,10^12,OFFSET(CRONOPLE!$F$15,$M413-$A$15,BK$13)))</f>
        <v>9</v>
      </c>
      <c r="BL413" s="171">
        <f ca="1">IF(OR($D413&lt;&gt;"Serviço",AND(AUTOEVENTO="Manual",$M413=$A$15)),0,
         IF(OFFSET(CRONOPLE!$F$15,$M413-$A$15,BL$13)=0,10^12,OFFSET(CRONOPLE!$F$15,$M413-$A$15,BL$13)))</f>
        <v>1000000000000</v>
      </c>
      <c r="BM413" s="171">
        <f ca="1">IF(OR($D413&lt;&gt;"Serviço",AND(AUTOEVENTO="Manual",$M413=$A$15)),0,
         IF(OFFSET(CRONOPLE!$F$15,$M413-$A$15,BM$13)=0,10^12,OFFSET(CRONOPLE!$F$15,$M413-$A$15,BM$13)))</f>
        <v>1000000000000</v>
      </c>
      <c r="BN413" s="171">
        <f ca="1">IF(OR($D413&lt;&gt;"Serviço",AND(AUTOEVENTO="Manual",$M413=$A$15)),0,
         IF(OFFSET(CRONOPLE!$F$15,$M413-$A$15,BN$13)=0,10^12,OFFSET(CRONOPLE!$F$15,$M413-$A$15,BN$13)))</f>
        <v>1000000000000</v>
      </c>
      <c r="BO413" s="171">
        <f ca="1">IF(OR($D413&lt;&gt;"Serviço",AND(AUTOEVENTO="Manual",$M413=$A$15)),0,
         IF(OFFSET(CRONOPLE!$F$15,$M413-$A$15,BO$13)=0,10^12,OFFSET(CRONOPLE!$F$15,$M413-$A$15,BO$13)))</f>
        <v>1000000000000</v>
      </c>
      <c r="BP413" s="171">
        <f ca="1">IF(OR($D413&lt;&gt;"Serviço",AND(AUTOEVENTO="Manual",$M413=$A$15)),0,
         IF(OFFSET(CRONOPLE!$F$15,$M413-$A$15,BP$13)=0,10^12,OFFSET(CRONOPLE!$F$15,$M413-$A$15,BP$13)))</f>
        <v>1000000000000</v>
      </c>
      <c r="BQ413" s="171">
        <f ca="1">IF(OR($D413&lt;&gt;"Serviço",AND(AUTOEVENTO="Manual",$M413=$A$15)),0,
         IF(OFFSET(CRONOPLE!$F$15,$M413-$A$15,BQ$13)=0,10^12,OFFSET(CRONOPLE!$F$15,$M413-$A$15,BQ$13)))</f>
        <v>1000000000000</v>
      </c>
      <c r="BR413" s="171">
        <f ca="1">IF(OR($D413&lt;&gt;"Serviço",AND(AUTOEVENTO="Manual",$M413=$A$15)),0,
         IF(OFFSET(CRONOPLE!$F$15,$M413-$A$15,BR$13)=0,10^12,OFFSET(CRONOPLE!$F$15,$M413-$A$15,BR$13)))</f>
        <v>1000000000000</v>
      </c>
      <c r="BS413" s="171">
        <f ca="1">IF(OR($D413&lt;&gt;"Serviço",AND(AUTOEVENTO="Manual",$M413=$A$15)),0,
         IF(OFFSET(CRONOPLE!$F$15,$M413-$A$15,BS$13)=0,10^12,OFFSET(CRONOPLE!$F$15,$M413-$A$15,BS$13)))</f>
        <v>1000000000000</v>
      </c>
      <c r="BT413" s="171">
        <f ca="1">IF(OR($D413&lt;&gt;"Serviço",AND(AUTOEVENTO="Manual",$M413=$A$15)),0,
         IF(OFFSET(CRONOPLE!$F$15,$M413-$A$15,BT$13)=0,10^12,OFFSET(CRONOPLE!$F$15,$M413-$A$15,BT$13)))</f>
        <v>1000000000000</v>
      </c>
      <c r="BV413" s="172">
        <f ca="1">IF(OR($D413&lt;&gt;"Serviço",AND(AUTOEVENTO="Manual",$M413=$A$15),$M413&gt;(ROW(PLE.lastrow)-ROW(PLE.firstrow))),0,
           IF(OFFSET(PLE!$G$15,$M413-$A$15,BV$13)="",10^12,OFFSET(PLE!$G$15,$M413-$A$15,BV$13)))</f>
        <v>1000000000000</v>
      </c>
      <c r="BW413" s="172">
        <f ca="1">IF(OR($D413&lt;&gt;"Serviço",AND(AUTOEVENTO="Manual",$M413=$A$15),$M413&gt;(ROW(PLE.lastrow)-ROW(PLE.firstrow))),0,
           IF(OFFSET(PLE!$G$15,$M413-$A$15,BW$13)="",10^12,OFFSET(PLE!$G$15,$M413-$A$15,BW$13)))</f>
        <v>1000000000000</v>
      </c>
      <c r="BX413" s="172">
        <f ca="1">IF(OR($D413&lt;&gt;"Serviço",AND(AUTOEVENTO="Manual",$M413=$A$15),$M413&gt;(ROW(PLE.lastrow)-ROW(PLE.firstrow))),0,
           IF(OFFSET(PLE!$G$15,$M413-$A$15,BX$13)="",10^12,OFFSET(PLE!$G$15,$M413-$A$15,BX$13)))</f>
        <v>1000000000000</v>
      </c>
      <c r="BY413" s="172">
        <f ca="1">IF(OR($D413&lt;&gt;"Serviço",AND(AUTOEVENTO="Manual",$M413=$A$15),$M413&gt;(ROW(PLE.lastrow)-ROW(PLE.firstrow))),0,
           IF(OFFSET(PLE!$G$15,$M413-$A$15,BY$13)="",10^12,OFFSET(PLE!$G$15,$M413-$A$15,BY$13)))</f>
        <v>1000000000000</v>
      </c>
      <c r="BZ413" s="172">
        <f ca="1">IF(OR($D413&lt;&gt;"Serviço",AND(AUTOEVENTO="Manual",$M413=$A$15),$M413&gt;(ROW(PLE.lastrow)-ROW(PLE.firstrow))),0,
           IF(OFFSET(PLE!$G$15,$M413-$A$15,BZ$13)="",10^12,OFFSET(PLE!$G$15,$M413-$A$15,BZ$13)))</f>
        <v>1000000000000</v>
      </c>
      <c r="CA413" s="172">
        <f ca="1">IF(OR($D413&lt;&gt;"Serviço",AND(AUTOEVENTO="Manual",$M413=$A$15),$M413&gt;(ROW(PLE.lastrow)-ROW(PLE.firstrow))),0,
           IF(OFFSET(PLE!$G$15,$M413-$A$15,CA$13)="",10^12,OFFSET(PLE!$G$15,$M413-$A$15,CA$13)))</f>
        <v>1000000000000</v>
      </c>
      <c r="CB413" s="172">
        <f ca="1">IF(OR($D413&lt;&gt;"Serviço",AND(AUTOEVENTO="Manual",$M413=$A$15),$M413&gt;(ROW(PLE.lastrow)-ROW(PLE.firstrow))),0,
           IF(OFFSET(PLE!$G$15,$M413-$A$15,CB$13)="",10^12,OFFSET(PLE!$G$15,$M413-$A$15,CB$13)))</f>
        <v>1000000000000</v>
      </c>
      <c r="CC413" s="172">
        <f ca="1">IF(OR($D413&lt;&gt;"Serviço",AND(AUTOEVENTO="Manual",$M413=$A$15),$M413&gt;(ROW(PLE.lastrow)-ROW(PLE.firstrow))),0,
           IF(OFFSET(PLE!$G$15,$M413-$A$15,CC$13)="",10^12,OFFSET(PLE!$G$15,$M413-$A$15,CC$13)))</f>
        <v>1000000000000</v>
      </c>
      <c r="CD413" s="172">
        <f ca="1">IF(OR($D413&lt;&gt;"Serviço",AND(AUTOEVENTO="Manual",$M413=$A$15),$M413&gt;(ROW(PLE.lastrow)-ROW(PLE.firstrow))),0,
           IF(OFFSET(PLE!$G$15,$M413-$A$15,CD$13)="",10^12,OFFSET(PLE!$G$15,$M413-$A$15,CD$13)))</f>
        <v>1000000000000</v>
      </c>
      <c r="CE413" s="172">
        <f ca="1">IF(OR($D413&lt;&gt;"Serviço",AND(AUTOEVENTO="Manual",$M413=$A$15),$M413&gt;(ROW(PLE.lastrow)-ROW(PLE.firstrow))),0,
           IF(OFFSET(PLE!$G$15,$M413-$A$15,CE$13)="",10^12,OFFSET(PLE!$G$15,$M413-$A$15,CE$13)))</f>
        <v>1000000000000</v>
      </c>
      <c r="CF413" s="172">
        <f ca="1">IF(OR($D413&lt;&gt;"Serviço",AND(AUTOEVENTO="Manual",$M413=$A$15),$M413&gt;(ROW(PLE.lastrow)-ROW(PLE.firstrow))),0,
           IF(OFFSET(PLE!$G$15,$M413-$A$15,CF$13)="",10^12,OFFSET(PLE!$G$15,$M413-$A$15,CF$13)))</f>
        <v>1000000000000</v>
      </c>
      <c r="CG413" s="172">
        <f ca="1">IF(OR($D413&lt;&gt;"Serviço",AND(AUTOEVENTO="Manual",$M413=$A$15),$M413&gt;(ROW(PLE.lastrow)-ROW(PLE.firstrow))),0,
           IF(OFFSET(PLE!$G$15,$M413-$A$15,CG$13)="",10^12,OFFSET(PLE!$G$15,$M413-$A$15,CG$13)))</f>
        <v>1000000000000</v>
      </c>
      <c r="CH413" s="172">
        <f ca="1">IF(OR($D413&lt;&gt;"Serviço",AND(AUTOEVENTO="Manual",$M413=$A$15),$M413&gt;(ROW(PLE.lastrow)-ROW(PLE.firstrow))),0,
           IF(OFFSET(PLE!$G$15,$M413-$A$15,CH$13)="",10^12,OFFSET(PLE!$G$15,$M413-$A$15,CH$13)))</f>
        <v>1000000000000</v>
      </c>
      <c r="CI413" s="172">
        <f ca="1">IF(OR($D413&lt;&gt;"Serviço",AND(AUTOEVENTO="Manual",$M413=$A$15),$M413&gt;(ROW(PLE.lastrow)-ROW(PLE.firstrow))),0,
           IF(OFFSET(PLE!$G$15,$M413-$A$15,CI$13)="",10^12,OFFSET(PLE!$G$15,$M413-$A$15,CI$13)))</f>
        <v>1000000000000</v>
      </c>
      <c r="CJ413" s="172">
        <f ca="1">IF(OR($D413&lt;&gt;"Serviço",AND(AUTOEVENTO="Manual",$M413=$A$15),$M413&gt;(ROW(PLE.lastrow)-ROW(PLE.firstrow))),0,
           IF(OFFSET(PLE!$G$15,$M413-$A$15,CJ$13)="",10^12,OFFSET(PLE!$G$15,$M413-$A$15,CJ$13)))</f>
        <v>1000000000000</v>
      </c>
      <c r="CK413" s="172">
        <f ca="1">IF(OR($D413&lt;&gt;"Serviço",AND(AUTOEVENTO="Manual",$M413=$A$15),$M413&gt;(ROW(PLE.lastrow)-ROW(PLE.firstrow))),0,
           IF(OFFSET(PLE!$G$15,$M413-$A$15,CK$13)="",10^12,OFFSET(PLE!$G$15,$M413-$A$15,CK$13)))</f>
        <v>1000000000000</v>
      </c>
      <c r="CL413" s="172">
        <f ca="1">IF(OR($D413&lt;&gt;"Serviço",AND(AUTOEVENTO="Manual",$M413=$A$15),$M413&gt;(ROW(PLE.lastrow)-ROW(PLE.firstrow))),0,
           IF(OFFSET(PLE!$G$15,$M413-$A$15,CL$13)="",10^12,OFFSET(PLE!$G$15,$M413-$A$15,CL$13)))</f>
        <v>1000000000000</v>
      </c>
      <c r="CM413" s="172">
        <f ca="1">IF(OR($D413&lt;&gt;"Serviço",AND(AUTOEVENTO="Manual",$M413=$A$15),$M413&gt;(ROW(PLE.lastrow)-ROW(PLE.firstrow))),0,
           IF(OFFSET(PLE!$G$15,$M413-$A$15,CM$13)="",10^12,OFFSET(PLE!$G$15,$M413-$A$15,CM$13)))</f>
        <v>1000000000000</v>
      </c>
    </row>
    <row r="414" spans="1:91" ht="38.25" x14ac:dyDescent="0.2">
      <c r="A414" s="7">
        <f t="shared" ca="1" si="16"/>
        <v>7</v>
      </c>
      <c r="B414" s="7" t="str">
        <f ca="1">OFFSET(ORÇAMENTO!C$15,ROW(B414)-ROW(B$15),0)</f>
        <v>S</v>
      </c>
      <c r="C414" s="7" t="str">
        <f ca="1">OFFSET(ORÇAMENTO!L$15,ROW(C414)-ROW(C$15),0)</f>
        <v>F</v>
      </c>
      <c r="D414" s="116" t="str">
        <f ca="1">OFFSET(ORÇAMENTO!N$15,ROW(D414)-ROW(D$15),0)</f>
        <v>Serviço</v>
      </c>
      <c r="E414" s="117" t="str">
        <f ca="1">OFFSET(ORÇAMENTO!O$15,ROW(E414)-ROW(E$15),0)</f>
        <v>1.8.2.4.4.</v>
      </c>
      <c r="F414" s="163" t="str">
        <f ca="1">OFFSET(ORÇAMENTO!R$15,ROW(F414)-ROW(F$15),0)</f>
        <v>DISJUNTOR MONOPOLAR TIPO DIN, CORRENTE NOMINAL DE 20A, FORNECIMENTO E INSTALAÇÃO, INCLUSIVE TERMINAL ILHÓS</v>
      </c>
      <c r="G414" s="164" t="str">
        <f ca="1">IF($D414&lt;&gt;"Serviço","",OFFSET(ORÇAMENTO!S$15,ROW(G414)-ROW(G$15),0))</f>
        <v>UN</v>
      </c>
      <c r="H414" s="122" cm="1">
        <f t="array" aca="1" ref="H414" ca="1">IF($D414&lt;&gt;"Serviço",0,IF(ACOMPANHAMENTO="BM",ROUND(OFFSET(ORÇAMENTO!AJ$15,ROW(H414)-ROW(H$15),0),15-13*ORÇAMENTO!$AF$7),SUMPRODUCT(($Q$1:$AI$1=1)*ROUND($Q414:$AI414,15-13*ORÇAMENTO!$AF$7))))</f>
        <v>1</v>
      </c>
      <c r="I414" s="468" t="s">
        <v>1431</v>
      </c>
      <c r="J414" s="640" t="str" cm="1">
        <f t="array" aca="1" ref="J414" ca="1">IF(OR(B414&lt;&gt;"S",CÁLCULO.FrentesPreenchidas=0),"",IF(AND(ACOMPANHAMENTO="PLE",AUTOEVENTO="Manual",OR(H414&gt;0,ORÇAMENTO!AC414="QUANT."),OR(K414="",M414=0,N414="")),"►E",IF(AND(ACOMPANHAMENTO="PLE",ORÇAMENTO!AC414="QUANT."),"►Q",IF(AND(ACOMPANHAMENTO="PLE",H414&lt;&gt;SUMPRODUCT(($Q$1:$AI$1=1)*ROUND(Q414:AI414,15))),"►S",IF(AND(COUNTIF($P$11:$AI$11,"▼")=0,H414&gt;0,I414=""),"◄M","")))))</f>
        <v/>
      </c>
      <c r="K414" s="641" t="s">
        <v>1391</v>
      </c>
      <c r="L414" s="165" t="s">
        <v>764</v>
      </c>
      <c r="M414" s="166">
        <f ca="1">IF($D414&lt;&gt;"Serviço","",
          IF(AUTOEVENTO="manual",$A414,
                IF(ISERROR(MATCH($A414,$A$15:OFFSET($A414,-1,0),0)),MAX($M$15:OFFSET(M414,-1,0))+1,
                      INDEX($M$15:OFFSET(M414,-1,0),MATCH($A414,$A$15:OFFSET($A414,-1,0),0)))))</f>
        <v>7</v>
      </c>
      <c r="N414" s="167" t="str">
        <f ca="1">IF($D414&lt;&gt;"Serviço","",
         IF(AUTOEVENTO="Manual",
                IF($A414=0,"&lt;-- defina o número do agrupador",
                       OFFSET(EVENTOS!$D$15,$A414-$A$15,0)),
                OFFSET($F$15,$A414,0)))</f>
        <v>Instalações Elétricas</v>
      </c>
      <c r="O414" s="168"/>
      <c r="Q414" s="168"/>
      <c r="R414" s="169"/>
      <c r="S414" s="169"/>
      <c r="T414" s="169"/>
      <c r="U414" s="169"/>
      <c r="V414" s="169"/>
      <c r="W414" s="169"/>
      <c r="X414" s="169">
        <v>1</v>
      </c>
      <c r="Y414" s="169"/>
      <c r="Z414" s="170"/>
      <c r="AA414" s="169"/>
      <c r="AB414" s="169"/>
      <c r="AC414" s="169"/>
      <c r="AD414" s="169"/>
      <c r="AE414" s="169"/>
      <c r="AF414" s="169"/>
      <c r="AG414" s="169"/>
      <c r="AH414" s="170"/>
      <c r="AJ414" s="453">
        <f ca="1">IF(AND($D414="Serviço",AJ$12&lt;&gt;0,$H414&gt;0,OR(AUTOEVENTO&lt;&gt;"manual",$M414&lt;&gt;$A$15)),
        IF(Import.TipoArredondamento&lt;&gt;"TransfereGOV",
              ROUND(OFFSET($P414,0,AJ$13),15-13*ORÇAMENTO!$AF$7)/$H414*OFFSET(ORÇAMENTO!$X$15,ROW(AJ414)-ROW(AJ$15),0),
              ROUND(ROUND(OFFSET($P414,0,AJ$13),15-13*ORÇAMENTO!$AF$7)*OFFSET(ORÇAMENTO!$W$15,ROW(AJ414)-ROW(AJ$15),0),15-13*ORÇAMENTO!$AF$11)),
         0)</f>
        <v>0</v>
      </c>
      <c r="AK414" s="453">
        <f ca="1">IF(AND($D414="Serviço",AK$12&lt;&gt;0,$H414&gt;0,OR(AUTOEVENTO&lt;&gt;"manual",$M414&lt;&gt;$A$15)),
        IF(Import.TipoArredondamento&lt;&gt;"TransfereGOV",
              ROUND(OFFSET($P414,0,AK$13),15-13*ORÇAMENTO!$AF$7)/$H414*OFFSET(ORÇAMENTO!$X$15,ROW(AK414)-ROW(AK$15),0),
              ROUND(ROUND(OFFSET($P414,0,AK$13),15-13*ORÇAMENTO!$AF$7)*OFFSET(ORÇAMENTO!$W$15,ROW(AK414)-ROW(AK$15),0),15-13*ORÇAMENTO!$AF$11)),
         0)</f>
        <v>0</v>
      </c>
      <c r="AL414" s="453">
        <f ca="1">IF(AND($D414="Serviço",AL$12&lt;&gt;0,$H414&gt;0,OR(AUTOEVENTO&lt;&gt;"manual",$M414&lt;&gt;$A$15)),
        IF(Import.TipoArredondamento&lt;&gt;"TransfereGOV",
              ROUND(OFFSET($P414,0,AL$13),15-13*ORÇAMENTO!$AF$7)/$H414*OFFSET(ORÇAMENTO!$X$15,ROW(AL414)-ROW(AL$15),0),
              ROUND(ROUND(OFFSET($P414,0,AL$13),15-13*ORÇAMENTO!$AF$7)*OFFSET(ORÇAMENTO!$W$15,ROW(AL414)-ROW(AL$15),0),15-13*ORÇAMENTO!$AF$11)),
         0)</f>
        <v>0</v>
      </c>
      <c r="AM414" s="453">
        <f ca="1">IF(AND($D414="Serviço",AM$12&lt;&gt;0,$H414&gt;0,OR(AUTOEVENTO&lt;&gt;"manual",$M414&lt;&gt;$A$15)),
        IF(Import.TipoArredondamento&lt;&gt;"TransfereGOV",
              ROUND(OFFSET($P414,0,AM$13),15-13*ORÇAMENTO!$AF$7)/$H414*OFFSET(ORÇAMENTO!$X$15,ROW(AM414)-ROW(AM$15),0),
              ROUND(ROUND(OFFSET($P414,0,AM$13),15-13*ORÇAMENTO!$AF$7)*OFFSET(ORÇAMENTO!$W$15,ROW(AM414)-ROW(AM$15),0),15-13*ORÇAMENTO!$AF$11)),
         0)</f>
        <v>0</v>
      </c>
      <c r="AN414" s="453">
        <f ca="1">IF(AND($D414="Serviço",AN$12&lt;&gt;0,$H414&gt;0,OR(AUTOEVENTO&lt;&gt;"manual",$M414&lt;&gt;$A$15)),
        IF(Import.TipoArredondamento&lt;&gt;"TransfereGOV",
              ROUND(OFFSET($P414,0,AN$13),15-13*ORÇAMENTO!$AF$7)/$H414*OFFSET(ORÇAMENTO!$X$15,ROW(AN414)-ROW(AN$15),0),
              ROUND(ROUND(OFFSET($P414,0,AN$13),15-13*ORÇAMENTO!$AF$7)*OFFSET(ORÇAMENTO!$W$15,ROW(AN414)-ROW(AN$15),0),15-13*ORÇAMENTO!$AF$11)),
         0)</f>
        <v>0</v>
      </c>
      <c r="AO414" s="453">
        <f ca="1">IF(AND($D414="Serviço",AO$12&lt;&gt;0,$H414&gt;0,OR(AUTOEVENTO&lt;&gt;"manual",$M414&lt;&gt;$A$15)),
        IF(Import.TipoArredondamento&lt;&gt;"TransfereGOV",
              ROUND(OFFSET($P414,0,AO$13),15-13*ORÇAMENTO!$AF$7)/$H414*OFFSET(ORÇAMENTO!$X$15,ROW(AO414)-ROW(AO$15),0),
              ROUND(ROUND(OFFSET($P414,0,AO$13),15-13*ORÇAMENTO!$AF$7)*OFFSET(ORÇAMENTO!$W$15,ROW(AO414)-ROW(AO$15),0),15-13*ORÇAMENTO!$AF$11)),
         0)</f>
        <v>0</v>
      </c>
      <c r="AP414" s="453">
        <f ca="1">IF(AND($D414="Serviço",AP$12&lt;&gt;0,$H414&gt;0,OR(AUTOEVENTO&lt;&gt;"manual",$M414&lt;&gt;$A$15)),
        IF(Import.TipoArredondamento&lt;&gt;"TransfereGOV",
              ROUND(OFFSET($P414,0,AP$13),15-13*ORÇAMENTO!$AF$7)/$H414*OFFSET(ORÇAMENTO!$X$15,ROW(AP414)-ROW(AP$15),0),
              ROUND(ROUND(OFFSET($P414,0,AP$13),15-13*ORÇAMENTO!$AF$7)*OFFSET(ORÇAMENTO!$W$15,ROW(AP414)-ROW(AP$15),0),15-13*ORÇAMENTO!$AF$11)),
         0)</f>
        <v>0</v>
      </c>
      <c r="AQ414" s="453">
        <f ca="1">IF(AND($D414="Serviço",AQ$12&lt;&gt;0,$H414&gt;0,OR(AUTOEVENTO&lt;&gt;"manual",$M414&lt;&gt;$A$15)),
        IF(Import.TipoArredondamento&lt;&gt;"TransfereGOV",
              ROUND(OFFSET($P414,0,AQ$13),15-13*ORÇAMENTO!$AF$7)/$H414*OFFSET(ORÇAMENTO!$X$15,ROW(AQ414)-ROW(AQ$15),0),
              ROUND(ROUND(OFFSET($P414,0,AQ$13),15-13*ORÇAMENTO!$AF$7)*OFFSET(ORÇAMENTO!$W$15,ROW(AQ414)-ROW(AQ$15),0),15-13*ORÇAMENTO!$AF$11)),
         0)</f>
        <v>0</v>
      </c>
      <c r="AR414" s="453">
        <f ca="1">IF(AND($D414="Serviço",AR$12&lt;&gt;0,$H414&gt;0,OR(AUTOEVENTO&lt;&gt;"manual",$M414&lt;&gt;$A$15)),
        IF(Import.TipoArredondamento&lt;&gt;"TransfereGOV",
              ROUND(OFFSET($P414,0,AR$13),15-13*ORÇAMENTO!$AF$7)/$H414*OFFSET(ORÇAMENTO!$X$15,ROW(AR414)-ROW(AR$15),0),
              ROUND(ROUND(OFFSET($P414,0,AR$13),15-13*ORÇAMENTO!$AF$7)*OFFSET(ORÇAMENTO!$W$15,ROW(AR414)-ROW(AR$15),0),15-13*ORÇAMENTO!$AF$11)),
         0)</f>
        <v>0</v>
      </c>
      <c r="AS414" s="453">
        <f ca="1">IF(AND($D414="Serviço",AS$12&lt;&gt;0,$H414&gt;0,OR(AUTOEVENTO&lt;&gt;"manual",$M414&lt;&gt;$A$15)),
        IF(Import.TipoArredondamento&lt;&gt;"TransfereGOV",
              ROUND(OFFSET($P414,0,AS$13),15-13*ORÇAMENTO!$AF$7)/$H414*OFFSET(ORÇAMENTO!$X$15,ROW(AS414)-ROW(AS$15),0),
              ROUND(ROUND(OFFSET($P414,0,AS$13),15-13*ORÇAMENTO!$AF$7)*OFFSET(ORÇAMENTO!$W$15,ROW(AS414)-ROW(AS$15),0),15-13*ORÇAMENTO!$AF$11)),
         0)</f>
        <v>0</v>
      </c>
      <c r="AT414" s="453">
        <f ca="1">IF(AND($D414="Serviço",AT$12&lt;&gt;0,$H414&gt;0,OR(AUTOEVENTO&lt;&gt;"manual",$M414&lt;&gt;$A$15)),
        IF(Import.TipoArredondamento&lt;&gt;"TransfereGOV",
              ROUND(OFFSET($P414,0,AT$13),15-13*ORÇAMENTO!$AF$7)/$H414*OFFSET(ORÇAMENTO!$X$15,ROW(AT414)-ROW(AT$15),0),
              ROUND(ROUND(OFFSET($P414,0,AT$13),15-13*ORÇAMENTO!$AF$7)*OFFSET(ORÇAMENTO!$W$15,ROW(AT414)-ROW(AT$15),0),15-13*ORÇAMENTO!$AF$11)),
         0)</f>
        <v>0</v>
      </c>
      <c r="AU414" s="453">
        <f ca="1">IF(AND($D414="Serviço",AU$12&lt;&gt;0,$H414&gt;0,OR(AUTOEVENTO&lt;&gt;"manual",$M414&lt;&gt;$A$15)),
        IF(Import.TipoArredondamento&lt;&gt;"TransfereGOV",
              ROUND(OFFSET($P414,0,AU$13),15-13*ORÇAMENTO!$AF$7)/$H414*OFFSET(ORÇAMENTO!$X$15,ROW(AU414)-ROW(AU$15),0),
              ROUND(ROUND(OFFSET($P414,0,AU$13),15-13*ORÇAMENTO!$AF$7)*OFFSET(ORÇAMENTO!$W$15,ROW(AU414)-ROW(AU$15),0),15-13*ORÇAMENTO!$AF$11)),
         0)</f>
        <v>0</v>
      </c>
      <c r="AV414" s="453">
        <f ca="1">IF(AND($D414="Serviço",AV$12&lt;&gt;0,$H414&gt;0,OR(AUTOEVENTO&lt;&gt;"manual",$M414&lt;&gt;$A$15)),
        IF(Import.TipoArredondamento&lt;&gt;"TransfereGOV",
              ROUND(OFFSET($P414,0,AV$13),15-13*ORÇAMENTO!$AF$7)/$H414*OFFSET(ORÇAMENTO!$X$15,ROW(AV414)-ROW(AV$15),0),
              ROUND(ROUND(OFFSET($P414,0,AV$13),15-13*ORÇAMENTO!$AF$7)*OFFSET(ORÇAMENTO!$W$15,ROW(AV414)-ROW(AV$15),0),15-13*ORÇAMENTO!$AF$11)),
         0)</f>
        <v>0</v>
      </c>
      <c r="AW414" s="453">
        <f ca="1">IF(AND($D414="Serviço",AW$12&lt;&gt;0,$H414&gt;0,OR(AUTOEVENTO&lt;&gt;"manual",$M414&lt;&gt;$A$15)),
        IF(Import.TipoArredondamento&lt;&gt;"TransfereGOV",
              ROUND(OFFSET($P414,0,AW$13),15-13*ORÇAMENTO!$AF$7)/$H414*OFFSET(ORÇAMENTO!$X$15,ROW(AW414)-ROW(AW$15),0),
              ROUND(ROUND(OFFSET($P414,0,AW$13),15-13*ORÇAMENTO!$AF$7)*OFFSET(ORÇAMENTO!$W$15,ROW(AW414)-ROW(AW$15),0),15-13*ORÇAMENTO!$AF$11)),
         0)</f>
        <v>0</v>
      </c>
      <c r="AX414" s="453">
        <f ca="1">IF(AND($D414="Serviço",AX$12&lt;&gt;0,$H414&gt;0,OR(AUTOEVENTO&lt;&gt;"manual",$M414&lt;&gt;$A$15)),
        IF(Import.TipoArredondamento&lt;&gt;"TransfereGOV",
              ROUND(OFFSET($P414,0,AX$13),15-13*ORÇAMENTO!$AF$7)/$H414*OFFSET(ORÇAMENTO!$X$15,ROW(AX414)-ROW(AX$15),0),
              ROUND(ROUND(OFFSET($P414,0,AX$13),15-13*ORÇAMENTO!$AF$7)*OFFSET(ORÇAMENTO!$W$15,ROW(AX414)-ROW(AX$15),0),15-13*ORÇAMENTO!$AF$11)),
         0)</f>
        <v>0</v>
      </c>
      <c r="AY414" s="453">
        <f ca="1">IF(AND($D414="Serviço",AY$12&lt;&gt;0,$H414&gt;0,OR(AUTOEVENTO&lt;&gt;"manual",$M414&lt;&gt;$A$15)),
        IF(Import.TipoArredondamento&lt;&gt;"TransfereGOV",
              ROUND(OFFSET($P414,0,AY$13),15-13*ORÇAMENTO!$AF$7)/$H414*OFFSET(ORÇAMENTO!$X$15,ROW(AY414)-ROW(AY$15),0),
              ROUND(ROUND(OFFSET($P414,0,AY$13),15-13*ORÇAMENTO!$AF$7)*OFFSET(ORÇAMENTO!$W$15,ROW(AY414)-ROW(AY$15),0),15-13*ORÇAMENTO!$AF$11)),
         0)</f>
        <v>0</v>
      </c>
      <c r="AZ414" s="453">
        <f ca="1">IF(AND($D414="Serviço",AZ$12&lt;&gt;0,$H414&gt;0,OR(AUTOEVENTO&lt;&gt;"manual",$M414&lt;&gt;$A$15)),
        IF(Import.TipoArredondamento&lt;&gt;"TransfereGOV",
              ROUND(OFFSET($P414,0,AZ$13),15-13*ORÇAMENTO!$AF$7)/$H414*OFFSET(ORÇAMENTO!$X$15,ROW(AZ414)-ROW(AZ$15),0),
              ROUND(ROUND(OFFSET($P414,0,AZ$13),15-13*ORÇAMENTO!$AF$7)*OFFSET(ORÇAMENTO!$W$15,ROW(AZ414)-ROW(AZ$15),0),15-13*ORÇAMENTO!$AF$11)),
         0)</f>
        <v>0</v>
      </c>
      <c r="BA414" s="453">
        <f ca="1">IF(AND($D414="Serviço",BA$12&lt;&gt;0,$H414&gt;0,OR(AUTOEVENTO&lt;&gt;"manual",$M414&lt;&gt;$A$15)),
        IF(Import.TipoArredondamento&lt;&gt;"TransfereGOV",
              ROUND(OFFSET($P414,0,BA$13),15-13*ORÇAMENTO!$AF$7)/$H414*OFFSET(ORÇAMENTO!$X$15,ROW(BA414)-ROW(BA$15),0),
              ROUND(ROUND(OFFSET($P414,0,BA$13),15-13*ORÇAMENTO!$AF$7)*OFFSET(ORÇAMENTO!$W$15,ROW(BA414)-ROW(BA$15),0),15-13*ORÇAMENTO!$AF$11)),
         0)</f>
        <v>0</v>
      </c>
      <c r="BC414" s="171">
        <f ca="1">IF(OR($D414&lt;&gt;"Serviço",AND(AUTOEVENTO="Manual",$M414=$A$15)),0,
         IF(OFFSET(CRONOPLE!$F$15,$M414-$A$15,BC$13)=0,10^12,OFFSET(CRONOPLE!$F$15,$M414-$A$15,BC$13)))</f>
        <v>1</v>
      </c>
      <c r="BD414" s="171">
        <f ca="1">IF(OR($D414&lt;&gt;"Serviço",AND(AUTOEVENTO="Manual",$M414=$A$15)),0,
         IF(OFFSET(CRONOPLE!$F$15,$M414-$A$15,BD$13)=0,10^12,OFFSET(CRONOPLE!$F$15,$M414-$A$15,BD$13)))</f>
        <v>2</v>
      </c>
      <c r="BE414" s="171">
        <f ca="1">IF(OR($D414&lt;&gt;"Serviço",AND(AUTOEVENTO="Manual",$M414=$A$15)),0,
         IF(OFFSET(CRONOPLE!$F$15,$M414-$A$15,BE$13)=0,10^12,OFFSET(CRONOPLE!$F$15,$M414-$A$15,BE$13)))</f>
        <v>3</v>
      </c>
      <c r="BF414" s="171">
        <f ca="1">IF(OR($D414&lt;&gt;"Serviço",AND(AUTOEVENTO="Manual",$M414=$A$15)),0,
         IF(OFFSET(CRONOPLE!$F$15,$M414-$A$15,BF$13)=0,10^12,OFFSET(CRONOPLE!$F$15,$M414-$A$15,BF$13)))</f>
        <v>4</v>
      </c>
      <c r="BG414" s="171">
        <f ca="1">IF(OR($D414&lt;&gt;"Serviço",AND(AUTOEVENTO="Manual",$M414=$A$15)),0,
         IF(OFFSET(CRONOPLE!$F$15,$M414-$A$15,BG$13)=0,10^12,OFFSET(CRONOPLE!$F$15,$M414-$A$15,BG$13)))</f>
        <v>5</v>
      </c>
      <c r="BH414" s="171">
        <f ca="1">IF(OR($D414&lt;&gt;"Serviço",AND(AUTOEVENTO="Manual",$M414=$A$15)),0,
         IF(OFFSET(CRONOPLE!$F$15,$M414-$A$15,BH$13)=0,10^12,OFFSET(CRONOPLE!$F$15,$M414-$A$15,BH$13)))</f>
        <v>6</v>
      </c>
      <c r="BI414" s="171">
        <f ca="1">IF(OR($D414&lt;&gt;"Serviço",AND(AUTOEVENTO="Manual",$M414=$A$15)),0,
         IF(OFFSET(CRONOPLE!$F$15,$M414-$A$15,BI$13)=0,10^12,OFFSET(CRONOPLE!$F$15,$M414-$A$15,BI$13)))</f>
        <v>7</v>
      </c>
      <c r="BJ414" s="171">
        <f ca="1">IF(OR($D414&lt;&gt;"Serviço",AND(AUTOEVENTO="Manual",$M414=$A$15)),0,
         IF(OFFSET(CRONOPLE!$F$15,$M414-$A$15,BJ$13)=0,10^12,OFFSET(CRONOPLE!$F$15,$M414-$A$15,BJ$13)))</f>
        <v>8</v>
      </c>
      <c r="BK414" s="171">
        <f ca="1">IF(OR($D414&lt;&gt;"Serviço",AND(AUTOEVENTO="Manual",$M414=$A$15)),0,
         IF(OFFSET(CRONOPLE!$F$15,$M414-$A$15,BK$13)=0,10^12,OFFSET(CRONOPLE!$F$15,$M414-$A$15,BK$13)))</f>
        <v>9</v>
      </c>
      <c r="BL414" s="171">
        <f ca="1">IF(OR($D414&lt;&gt;"Serviço",AND(AUTOEVENTO="Manual",$M414=$A$15)),0,
         IF(OFFSET(CRONOPLE!$F$15,$M414-$A$15,BL$13)=0,10^12,OFFSET(CRONOPLE!$F$15,$M414-$A$15,BL$13)))</f>
        <v>1000000000000</v>
      </c>
      <c r="BM414" s="171">
        <f ca="1">IF(OR($D414&lt;&gt;"Serviço",AND(AUTOEVENTO="Manual",$M414=$A$15)),0,
         IF(OFFSET(CRONOPLE!$F$15,$M414-$A$15,BM$13)=0,10^12,OFFSET(CRONOPLE!$F$15,$M414-$A$15,BM$13)))</f>
        <v>1000000000000</v>
      </c>
      <c r="BN414" s="171">
        <f ca="1">IF(OR($D414&lt;&gt;"Serviço",AND(AUTOEVENTO="Manual",$M414=$A$15)),0,
         IF(OFFSET(CRONOPLE!$F$15,$M414-$A$15,BN$13)=0,10^12,OFFSET(CRONOPLE!$F$15,$M414-$A$15,BN$13)))</f>
        <v>1000000000000</v>
      </c>
      <c r="BO414" s="171">
        <f ca="1">IF(OR($D414&lt;&gt;"Serviço",AND(AUTOEVENTO="Manual",$M414=$A$15)),0,
         IF(OFFSET(CRONOPLE!$F$15,$M414-$A$15,BO$13)=0,10^12,OFFSET(CRONOPLE!$F$15,$M414-$A$15,BO$13)))</f>
        <v>1000000000000</v>
      </c>
      <c r="BP414" s="171">
        <f ca="1">IF(OR($D414&lt;&gt;"Serviço",AND(AUTOEVENTO="Manual",$M414=$A$15)),0,
         IF(OFFSET(CRONOPLE!$F$15,$M414-$A$15,BP$13)=0,10^12,OFFSET(CRONOPLE!$F$15,$M414-$A$15,BP$13)))</f>
        <v>1000000000000</v>
      </c>
      <c r="BQ414" s="171">
        <f ca="1">IF(OR($D414&lt;&gt;"Serviço",AND(AUTOEVENTO="Manual",$M414=$A$15)),0,
         IF(OFFSET(CRONOPLE!$F$15,$M414-$A$15,BQ$13)=0,10^12,OFFSET(CRONOPLE!$F$15,$M414-$A$15,BQ$13)))</f>
        <v>1000000000000</v>
      </c>
      <c r="BR414" s="171">
        <f ca="1">IF(OR($D414&lt;&gt;"Serviço",AND(AUTOEVENTO="Manual",$M414=$A$15)),0,
         IF(OFFSET(CRONOPLE!$F$15,$M414-$A$15,BR$13)=0,10^12,OFFSET(CRONOPLE!$F$15,$M414-$A$15,BR$13)))</f>
        <v>1000000000000</v>
      </c>
      <c r="BS414" s="171">
        <f ca="1">IF(OR($D414&lt;&gt;"Serviço",AND(AUTOEVENTO="Manual",$M414=$A$15)),0,
         IF(OFFSET(CRONOPLE!$F$15,$M414-$A$15,BS$13)=0,10^12,OFFSET(CRONOPLE!$F$15,$M414-$A$15,BS$13)))</f>
        <v>1000000000000</v>
      </c>
      <c r="BT414" s="171">
        <f ca="1">IF(OR($D414&lt;&gt;"Serviço",AND(AUTOEVENTO="Manual",$M414=$A$15)),0,
         IF(OFFSET(CRONOPLE!$F$15,$M414-$A$15,BT$13)=0,10^12,OFFSET(CRONOPLE!$F$15,$M414-$A$15,BT$13)))</f>
        <v>1000000000000</v>
      </c>
      <c r="BV414" s="172">
        <f ca="1">IF(OR($D414&lt;&gt;"Serviço",AND(AUTOEVENTO="Manual",$M414=$A$15),$M414&gt;(ROW(PLE.lastrow)-ROW(PLE.firstrow))),0,
           IF(OFFSET(PLE!$G$15,$M414-$A$15,BV$13)="",10^12,OFFSET(PLE!$G$15,$M414-$A$15,BV$13)))</f>
        <v>1000000000000</v>
      </c>
      <c r="BW414" s="172">
        <f ca="1">IF(OR($D414&lt;&gt;"Serviço",AND(AUTOEVENTO="Manual",$M414=$A$15),$M414&gt;(ROW(PLE.lastrow)-ROW(PLE.firstrow))),0,
           IF(OFFSET(PLE!$G$15,$M414-$A$15,BW$13)="",10^12,OFFSET(PLE!$G$15,$M414-$A$15,BW$13)))</f>
        <v>1000000000000</v>
      </c>
      <c r="BX414" s="172">
        <f ca="1">IF(OR($D414&lt;&gt;"Serviço",AND(AUTOEVENTO="Manual",$M414=$A$15),$M414&gt;(ROW(PLE.lastrow)-ROW(PLE.firstrow))),0,
           IF(OFFSET(PLE!$G$15,$M414-$A$15,BX$13)="",10^12,OFFSET(PLE!$G$15,$M414-$A$15,BX$13)))</f>
        <v>1000000000000</v>
      </c>
      <c r="BY414" s="172">
        <f ca="1">IF(OR($D414&lt;&gt;"Serviço",AND(AUTOEVENTO="Manual",$M414=$A$15),$M414&gt;(ROW(PLE.lastrow)-ROW(PLE.firstrow))),0,
           IF(OFFSET(PLE!$G$15,$M414-$A$15,BY$13)="",10^12,OFFSET(PLE!$G$15,$M414-$A$15,BY$13)))</f>
        <v>1000000000000</v>
      </c>
      <c r="BZ414" s="172">
        <f ca="1">IF(OR($D414&lt;&gt;"Serviço",AND(AUTOEVENTO="Manual",$M414=$A$15),$M414&gt;(ROW(PLE.lastrow)-ROW(PLE.firstrow))),0,
           IF(OFFSET(PLE!$G$15,$M414-$A$15,BZ$13)="",10^12,OFFSET(PLE!$G$15,$M414-$A$15,BZ$13)))</f>
        <v>1000000000000</v>
      </c>
      <c r="CA414" s="172">
        <f ca="1">IF(OR($D414&lt;&gt;"Serviço",AND(AUTOEVENTO="Manual",$M414=$A$15),$M414&gt;(ROW(PLE.lastrow)-ROW(PLE.firstrow))),0,
           IF(OFFSET(PLE!$G$15,$M414-$A$15,CA$13)="",10^12,OFFSET(PLE!$G$15,$M414-$A$15,CA$13)))</f>
        <v>1000000000000</v>
      </c>
      <c r="CB414" s="172">
        <f ca="1">IF(OR($D414&lt;&gt;"Serviço",AND(AUTOEVENTO="Manual",$M414=$A$15),$M414&gt;(ROW(PLE.lastrow)-ROW(PLE.firstrow))),0,
           IF(OFFSET(PLE!$G$15,$M414-$A$15,CB$13)="",10^12,OFFSET(PLE!$G$15,$M414-$A$15,CB$13)))</f>
        <v>1000000000000</v>
      </c>
      <c r="CC414" s="172">
        <f ca="1">IF(OR($D414&lt;&gt;"Serviço",AND(AUTOEVENTO="Manual",$M414=$A$15),$M414&gt;(ROW(PLE.lastrow)-ROW(PLE.firstrow))),0,
           IF(OFFSET(PLE!$G$15,$M414-$A$15,CC$13)="",10^12,OFFSET(PLE!$G$15,$M414-$A$15,CC$13)))</f>
        <v>1000000000000</v>
      </c>
      <c r="CD414" s="172">
        <f ca="1">IF(OR($D414&lt;&gt;"Serviço",AND(AUTOEVENTO="Manual",$M414=$A$15),$M414&gt;(ROW(PLE.lastrow)-ROW(PLE.firstrow))),0,
           IF(OFFSET(PLE!$G$15,$M414-$A$15,CD$13)="",10^12,OFFSET(PLE!$G$15,$M414-$A$15,CD$13)))</f>
        <v>1000000000000</v>
      </c>
      <c r="CE414" s="172">
        <f ca="1">IF(OR($D414&lt;&gt;"Serviço",AND(AUTOEVENTO="Manual",$M414=$A$15),$M414&gt;(ROW(PLE.lastrow)-ROW(PLE.firstrow))),0,
           IF(OFFSET(PLE!$G$15,$M414-$A$15,CE$13)="",10^12,OFFSET(PLE!$G$15,$M414-$A$15,CE$13)))</f>
        <v>1000000000000</v>
      </c>
      <c r="CF414" s="172">
        <f ca="1">IF(OR($D414&lt;&gt;"Serviço",AND(AUTOEVENTO="Manual",$M414=$A$15),$M414&gt;(ROW(PLE.lastrow)-ROW(PLE.firstrow))),0,
           IF(OFFSET(PLE!$G$15,$M414-$A$15,CF$13)="",10^12,OFFSET(PLE!$G$15,$M414-$A$15,CF$13)))</f>
        <v>1000000000000</v>
      </c>
      <c r="CG414" s="172">
        <f ca="1">IF(OR($D414&lt;&gt;"Serviço",AND(AUTOEVENTO="Manual",$M414=$A$15),$M414&gt;(ROW(PLE.lastrow)-ROW(PLE.firstrow))),0,
           IF(OFFSET(PLE!$G$15,$M414-$A$15,CG$13)="",10^12,OFFSET(PLE!$G$15,$M414-$A$15,CG$13)))</f>
        <v>1000000000000</v>
      </c>
      <c r="CH414" s="172">
        <f ca="1">IF(OR($D414&lt;&gt;"Serviço",AND(AUTOEVENTO="Manual",$M414=$A$15),$M414&gt;(ROW(PLE.lastrow)-ROW(PLE.firstrow))),0,
           IF(OFFSET(PLE!$G$15,$M414-$A$15,CH$13)="",10^12,OFFSET(PLE!$G$15,$M414-$A$15,CH$13)))</f>
        <v>1000000000000</v>
      </c>
      <c r="CI414" s="172">
        <f ca="1">IF(OR($D414&lt;&gt;"Serviço",AND(AUTOEVENTO="Manual",$M414=$A$15),$M414&gt;(ROW(PLE.lastrow)-ROW(PLE.firstrow))),0,
           IF(OFFSET(PLE!$G$15,$M414-$A$15,CI$13)="",10^12,OFFSET(PLE!$G$15,$M414-$A$15,CI$13)))</f>
        <v>1000000000000</v>
      </c>
      <c r="CJ414" s="172">
        <f ca="1">IF(OR($D414&lt;&gt;"Serviço",AND(AUTOEVENTO="Manual",$M414=$A$15),$M414&gt;(ROW(PLE.lastrow)-ROW(PLE.firstrow))),0,
           IF(OFFSET(PLE!$G$15,$M414-$A$15,CJ$13)="",10^12,OFFSET(PLE!$G$15,$M414-$A$15,CJ$13)))</f>
        <v>1000000000000</v>
      </c>
      <c r="CK414" s="172">
        <f ca="1">IF(OR($D414&lt;&gt;"Serviço",AND(AUTOEVENTO="Manual",$M414=$A$15),$M414&gt;(ROW(PLE.lastrow)-ROW(PLE.firstrow))),0,
           IF(OFFSET(PLE!$G$15,$M414-$A$15,CK$13)="",10^12,OFFSET(PLE!$G$15,$M414-$A$15,CK$13)))</f>
        <v>1000000000000</v>
      </c>
      <c r="CL414" s="172">
        <f ca="1">IF(OR($D414&lt;&gt;"Serviço",AND(AUTOEVENTO="Manual",$M414=$A$15),$M414&gt;(ROW(PLE.lastrow)-ROW(PLE.firstrow))),0,
           IF(OFFSET(PLE!$G$15,$M414-$A$15,CL$13)="",10^12,OFFSET(PLE!$G$15,$M414-$A$15,CL$13)))</f>
        <v>1000000000000</v>
      </c>
      <c r="CM414" s="172">
        <f ca="1">IF(OR($D414&lt;&gt;"Serviço",AND(AUTOEVENTO="Manual",$M414=$A$15),$M414&gt;(ROW(PLE.lastrow)-ROW(PLE.firstrow))),0,
           IF(OFFSET(PLE!$G$15,$M414-$A$15,CM$13)="",10^12,OFFSET(PLE!$G$15,$M414-$A$15,CM$13)))</f>
        <v>1000000000000</v>
      </c>
    </row>
    <row r="415" spans="1:91" ht="38.25" x14ac:dyDescent="0.2">
      <c r="A415" s="7">
        <f t="shared" ca="1" si="16"/>
        <v>7</v>
      </c>
      <c r="B415" s="7" t="str">
        <f ca="1">OFFSET(ORÇAMENTO!C$15,ROW(B415)-ROW(B$15),0)</f>
        <v>S</v>
      </c>
      <c r="C415" s="7" t="str">
        <f ca="1">OFFSET(ORÇAMENTO!L$15,ROW(C415)-ROW(C$15),0)</f>
        <v>F</v>
      </c>
      <c r="D415" s="116" t="str">
        <f ca="1">OFFSET(ORÇAMENTO!N$15,ROW(D415)-ROW(D$15),0)</f>
        <v>Serviço</v>
      </c>
      <c r="E415" s="117" t="str">
        <f ca="1">OFFSET(ORÇAMENTO!O$15,ROW(E415)-ROW(E$15),0)</f>
        <v>1.8.2.4.5.</v>
      </c>
      <c r="F415" s="163" t="str">
        <f ca="1">OFFSET(ORÇAMENTO!R$15,ROW(F415)-ROW(F$15),0)</f>
        <v xml:space="preserve">DISJUNTOR MOTOR, FAIXA DE AJUSTE: 4-6,3A, ICU: 50KA EM 380/400V - BASEADO EM </v>
      </c>
      <c r="G415" s="164" t="str">
        <f ca="1">IF($D415&lt;&gt;"Serviço","",OFFSET(ORÇAMENTO!S$15,ROW(G415)-ROW(G$15),0))</f>
        <v>UN</v>
      </c>
      <c r="H415" s="122" cm="1">
        <f t="array" aca="1" ref="H415" ca="1">IF($D415&lt;&gt;"Serviço",0,IF(ACOMPANHAMENTO="BM",ROUND(OFFSET(ORÇAMENTO!AJ$15,ROW(H415)-ROW(H$15),0),15-13*ORÇAMENTO!$AF$7),SUMPRODUCT(($Q$1:$AI$1=1)*ROUND($Q415:$AI415,15-13*ORÇAMENTO!$AF$7))))</f>
        <v>1</v>
      </c>
      <c r="I415" s="468" t="s">
        <v>1431</v>
      </c>
      <c r="J415" s="640" t="str" cm="1">
        <f t="array" aca="1" ref="J415" ca="1">IF(OR(B415&lt;&gt;"S",CÁLCULO.FrentesPreenchidas=0),"",IF(AND(ACOMPANHAMENTO="PLE",AUTOEVENTO="Manual",OR(H415&gt;0,ORÇAMENTO!AC415="QUANT."),OR(K415="",M415=0,N415="")),"►E",IF(AND(ACOMPANHAMENTO="PLE",ORÇAMENTO!AC415="QUANT."),"►Q",IF(AND(ACOMPANHAMENTO="PLE",H415&lt;&gt;SUMPRODUCT(($Q$1:$AI$1=1)*ROUND(Q415:AI415,15))),"►S",IF(AND(COUNTIF($P$11:$AI$11,"▼")=0,H415&gt;0,I415=""),"◄M","")))))</f>
        <v/>
      </c>
      <c r="K415" s="641" t="s">
        <v>1391</v>
      </c>
      <c r="L415" s="165" t="s">
        <v>764</v>
      </c>
      <c r="M415" s="166">
        <f ca="1">IF($D415&lt;&gt;"Serviço","",
          IF(AUTOEVENTO="manual",$A415,
                IF(ISERROR(MATCH($A415,$A$15:OFFSET($A415,-1,0),0)),MAX($M$15:OFFSET(M415,-1,0))+1,
                      INDEX($M$15:OFFSET(M415,-1,0),MATCH($A415,$A$15:OFFSET($A415,-1,0),0)))))</f>
        <v>7</v>
      </c>
      <c r="N415" s="167" t="str">
        <f ca="1">IF($D415&lt;&gt;"Serviço","",
         IF(AUTOEVENTO="Manual",
                IF($A415=0,"&lt;-- defina o número do agrupador",
                       OFFSET(EVENTOS!$D$15,$A415-$A$15,0)),
                OFFSET($F$15,$A415,0)))</f>
        <v>Instalações Elétricas</v>
      </c>
      <c r="O415" s="168"/>
      <c r="Q415" s="168"/>
      <c r="R415" s="169"/>
      <c r="S415" s="169"/>
      <c r="T415" s="169"/>
      <c r="U415" s="169"/>
      <c r="V415" s="169"/>
      <c r="W415" s="169"/>
      <c r="X415" s="169">
        <v>1</v>
      </c>
      <c r="Y415" s="169"/>
      <c r="Z415" s="170"/>
      <c r="AA415" s="169"/>
      <c r="AB415" s="169"/>
      <c r="AC415" s="169"/>
      <c r="AD415" s="169"/>
      <c r="AE415" s="169"/>
      <c r="AF415" s="169"/>
      <c r="AG415" s="169"/>
      <c r="AH415" s="170"/>
      <c r="AJ415" s="453">
        <f ca="1">IF(AND($D415="Serviço",AJ$12&lt;&gt;0,$H415&gt;0,OR(AUTOEVENTO&lt;&gt;"manual",$M415&lt;&gt;$A$15)),
        IF(Import.TipoArredondamento&lt;&gt;"TransfereGOV",
              ROUND(OFFSET($P415,0,AJ$13),15-13*ORÇAMENTO!$AF$7)/$H415*OFFSET(ORÇAMENTO!$X$15,ROW(AJ415)-ROW(AJ$15),0),
              ROUND(ROUND(OFFSET($P415,0,AJ$13),15-13*ORÇAMENTO!$AF$7)*OFFSET(ORÇAMENTO!$W$15,ROW(AJ415)-ROW(AJ$15),0),15-13*ORÇAMENTO!$AF$11)),
         0)</f>
        <v>0</v>
      </c>
      <c r="AK415" s="453">
        <f ca="1">IF(AND($D415="Serviço",AK$12&lt;&gt;0,$H415&gt;0,OR(AUTOEVENTO&lt;&gt;"manual",$M415&lt;&gt;$A$15)),
        IF(Import.TipoArredondamento&lt;&gt;"TransfereGOV",
              ROUND(OFFSET($P415,0,AK$13),15-13*ORÇAMENTO!$AF$7)/$H415*OFFSET(ORÇAMENTO!$X$15,ROW(AK415)-ROW(AK$15),0),
              ROUND(ROUND(OFFSET($P415,0,AK$13),15-13*ORÇAMENTO!$AF$7)*OFFSET(ORÇAMENTO!$W$15,ROW(AK415)-ROW(AK$15),0),15-13*ORÇAMENTO!$AF$11)),
         0)</f>
        <v>0</v>
      </c>
      <c r="AL415" s="453">
        <f ca="1">IF(AND($D415="Serviço",AL$12&lt;&gt;0,$H415&gt;0,OR(AUTOEVENTO&lt;&gt;"manual",$M415&lt;&gt;$A$15)),
        IF(Import.TipoArredondamento&lt;&gt;"TransfereGOV",
              ROUND(OFFSET($P415,0,AL$13),15-13*ORÇAMENTO!$AF$7)/$H415*OFFSET(ORÇAMENTO!$X$15,ROW(AL415)-ROW(AL$15),0),
              ROUND(ROUND(OFFSET($P415,0,AL$13),15-13*ORÇAMENTO!$AF$7)*OFFSET(ORÇAMENTO!$W$15,ROW(AL415)-ROW(AL$15),0),15-13*ORÇAMENTO!$AF$11)),
         0)</f>
        <v>0</v>
      </c>
      <c r="AM415" s="453">
        <f ca="1">IF(AND($D415="Serviço",AM$12&lt;&gt;0,$H415&gt;0,OR(AUTOEVENTO&lt;&gt;"manual",$M415&lt;&gt;$A$15)),
        IF(Import.TipoArredondamento&lt;&gt;"TransfereGOV",
              ROUND(OFFSET($P415,0,AM$13),15-13*ORÇAMENTO!$AF$7)/$H415*OFFSET(ORÇAMENTO!$X$15,ROW(AM415)-ROW(AM$15),0),
              ROUND(ROUND(OFFSET($P415,0,AM$13),15-13*ORÇAMENTO!$AF$7)*OFFSET(ORÇAMENTO!$W$15,ROW(AM415)-ROW(AM$15),0),15-13*ORÇAMENTO!$AF$11)),
         0)</f>
        <v>0</v>
      </c>
      <c r="AN415" s="453">
        <f ca="1">IF(AND($D415="Serviço",AN$12&lt;&gt;0,$H415&gt;0,OR(AUTOEVENTO&lt;&gt;"manual",$M415&lt;&gt;$A$15)),
        IF(Import.TipoArredondamento&lt;&gt;"TransfereGOV",
              ROUND(OFFSET($P415,0,AN$13),15-13*ORÇAMENTO!$AF$7)/$H415*OFFSET(ORÇAMENTO!$X$15,ROW(AN415)-ROW(AN$15),0),
              ROUND(ROUND(OFFSET($P415,0,AN$13),15-13*ORÇAMENTO!$AF$7)*OFFSET(ORÇAMENTO!$W$15,ROW(AN415)-ROW(AN$15),0),15-13*ORÇAMENTO!$AF$11)),
         0)</f>
        <v>0</v>
      </c>
      <c r="AO415" s="453">
        <f ca="1">IF(AND($D415="Serviço",AO$12&lt;&gt;0,$H415&gt;0,OR(AUTOEVENTO&lt;&gt;"manual",$M415&lt;&gt;$A$15)),
        IF(Import.TipoArredondamento&lt;&gt;"TransfereGOV",
              ROUND(OFFSET($P415,0,AO$13),15-13*ORÇAMENTO!$AF$7)/$H415*OFFSET(ORÇAMENTO!$X$15,ROW(AO415)-ROW(AO$15),0),
              ROUND(ROUND(OFFSET($P415,0,AO$13),15-13*ORÇAMENTO!$AF$7)*OFFSET(ORÇAMENTO!$W$15,ROW(AO415)-ROW(AO$15),0),15-13*ORÇAMENTO!$AF$11)),
         0)</f>
        <v>0</v>
      </c>
      <c r="AP415" s="453">
        <f ca="1">IF(AND($D415="Serviço",AP$12&lt;&gt;0,$H415&gt;0,OR(AUTOEVENTO&lt;&gt;"manual",$M415&lt;&gt;$A$15)),
        IF(Import.TipoArredondamento&lt;&gt;"TransfereGOV",
              ROUND(OFFSET($P415,0,AP$13),15-13*ORÇAMENTO!$AF$7)/$H415*OFFSET(ORÇAMENTO!$X$15,ROW(AP415)-ROW(AP$15),0),
              ROUND(ROUND(OFFSET($P415,0,AP$13),15-13*ORÇAMENTO!$AF$7)*OFFSET(ORÇAMENTO!$W$15,ROW(AP415)-ROW(AP$15),0),15-13*ORÇAMENTO!$AF$11)),
         0)</f>
        <v>0</v>
      </c>
      <c r="AQ415" s="453">
        <f ca="1">IF(AND($D415="Serviço",AQ$12&lt;&gt;0,$H415&gt;0,OR(AUTOEVENTO&lt;&gt;"manual",$M415&lt;&gt;$A$15)),
        IF(Import.TipoArredondamento&lt;&gt;"TransfereGOV",
              ROUND(OFFSET($P415,0,AQ$13),15-13*ORÇAMENTO!$AF$7)/$H415*OFFSET(ORÇAMENTO!$X$15,ROW(AQ415)-ROW(AQ$15),0),
              ROUND(ROUND(OFFSET($P415,0,AQ$13),15-13*ORÇAMENTO!$AF$7)*OFFSET(ORÇAMENTO!$W$15,ROW(AQ415)-ROW(AQ$15),0),15-13*ORÇAMENTO!$AF$11)),
         0)</f>
        <v>0</v>
      </c>
      <c r="AR415" s="453">
        <f ca="1">IF(AND($D415="Serviço",AR$12&lt;&gt;0,$H415&gt;0,OR(AUTOEVENTO&lt;&gt;"manual",$M415&lt;&gt;$A$15)),
        IF(Import.TipoArredondamento&lt;&gt;"TransfereGOV",
              ROUND(OFFSET($P415,0,AR$13),15-13*ORÇAMENTO!$AF$7)/$H415*OFFSET(ORÇAMENTO!$X$15,ROW(AR415)-ROW(AR$15),0),
              ROUND(ROUND(OFFSET($P415,0,AR$13),15-13*ORÇAMENTO!$AF$7)*OFFSET(ORÇAMENTO!$W$15,ROW(AR415)-ROW(AR$15),0),15-13*ORÇAMENTO!$AF$11)),
         0)</f>
        <v>0</v>
      </c>
      <c r="AS415" s="453">
        <f ca="1">IF(AND($D415="Serviço",AS$12&lt;&gt;0,$H415&gt;0,OR(AUTOEVENTO&lt;&gt;"manual",$M415&lt;&gt;$A$15)),
        IF(Import.TipoArredondamento&lt;&gt;"TransfereGOV",
              ROUND(OFFSET($P415,0,AS$13),15-13*ORÇAMENTO!$AF$7)/$H415*OFFSET(ORÇAMENTO!$X$15,ROW(AS415)-ROW(AS$15),0),
              ROUND(ROUND(OFFSET($P415,0,AS$13),15-13*ORÇAMENTO!$AF$7)*OFFSET(ORÇAMENTO!$W$15,ROW(AS415)-ROW(AS$15),0),15-13*ORÇAMENTO!$AF$11)),
         0)</f>
        <v>0</v>
      </c>
      <c r="AT415" s="453">
        <f ca="1">IF(AND($D415="Serviço",AT$12&lt;&gt;0,$H415&gt;0,OR(AUTOEVENTO&lt;&gt;"manual",$M415&lt;&gt;$A$15)),
        IF(Import.TipoArredondamento&lt;&gt;"TransfereGOV",
              ROUND(OFFSET($P415,0,AT$13),15-13*ORÇAMENTO!$AF$7)/$H415*OFFSET(ORÇAMENTO!$X$15,ROW(AT415)-ROW(AT$15),0),
              ROUND(ROUND(OFFSET($P415,0,AT$13),15-13*ORÇAMENTO!$AF$7)*OFFSET(ORÇAMENTO!$W$15,ROW(AT415)-ROW(AT$15),0),15-13*ORÇAMENTO!$AF$11)),
         0)</f>
        <v>0</v>
      </c>
      <c r="AU415" s="453">
        <f ca="1">IF(AND($D415="Serviço",AU$12&lt;&gt;0,$H415&gt;0,OR(AUTOEVENTO&lt;&gt;"manual",$M415&lt;&gt;$A$15)),
        IF(Import.TipoArredondamento&lt;&gt;"TransfereGOV",
              ROUND(OFFSET($P415,0,AU$13),15-13*ORÇAMENTO!$AF$7)/$H415*OFFSET(ORÇAMENTO!$X$15,ROW(AU415)-ROW(AU$15),0),
              ROUND(ROUND(OFFSET($P415,0,AU$13),15-13*ORÇAMENTO!$AF$7)*OFFSET(ORÇAMENTO!$W$15,ROW(AU415)-ROW(AU$15),0),15-13*ORÇAMENTO!$AF$11)),
         0)</f>
        <v>0</v>
      </c>
      <c r="AV415" s="453">
        <f ca="1">IF(AND($D415="Serviço",AV$12&lt;&gt;0,$H415&gt;0,OR(AUTOEVENTO&lt;&gt;"manual",$M415&lt;&gt;$A$15)),
        IF(Import.TipoArredondamento&lt;&gt;"TransfereGOV",
              ROUND(OFFSET($P415,0,AV$13),15-13*ORÇAMENTO!$AF$7)/$H415*OFFSET(ORÇAMENTO!$X$15,ROW(AV415)-ROW(AV$15),0),
              ROUND(ROUND(OFFSET($P415,0,AV$13),15-13*ORÇAMENTO!$AF$7)*OFFSET(ORÇAMENTO!$W$15,ROW(AV415)-ROW(AV$15),0),15-13*ORÇAMENTO!$AF$11)),
         0)</f>
        <v>0</v>
      </c>
      <c r="AW415" s="453">
        <f ca="1">IF(AND($D415="Serviço",AW$12&lt;&gt;0,$H415&gt;0,OR(AUTOEVENTO&lt;&gt;"manual",$M415&lt;&gt;$A$15)),
        IF(Import.TipoArredondamento&lt;&gt;"TransfereGOV",
              ROUND(OFFSET($P415,0,AW$13),15-13*ORÇAMENTO!$AF$7)/$H415*OFFSET(ORÇAMENTO!$X$15,ROW(AW415)-ROW(AW$15),0),
              ROUND(ROUND(OFFSET($P415,0,AW$13),15-13*ORÇAMENTO!$AF$7)*OFFSET(ORÇAMENTO!$W$15,ROW(AW415)-ROW(AW$15),0),15-13*ORÇAMENTO!$AF$11)),
         0)</f>
        <v>0</v>
      </c>
      <c r="AX415" s="453">
        <f ca="1">IF(AND($D415="Serviço",AX$12&lt;&gt;0,$H415&gt;0,OR(AUTOEVENTO&lt;&gt;"manual",$M415&lt;&gt;$A$15)),
        IF(Import.TipoArredondamento&lt;&gt;"TransfereGOV",
              ROUND(OFFSET($P415,0,AX$13),15-13*ORÇAMENTO!$AF$7)/$H415*OFFSET(ORÇAMENTO!$X$15,ROW(AX415)-ROW(AX$15),0),
              ROUND(ROUND(OFFSET($P415,0,AX$13),15-13*ORÇAMENTO!$AF$7)*OFFSET(ORÇAMENTO!$W$15,ROW(AX415)-ROW(AX$15),0),15-13*ORÇAMENTO!$AF$11)),
         0)</f>
        <v>0</v>
      </c>
      <c r="AY415" s="453">
        <f ca="1">IF(AND($D415="Serviço",AY$12&lt;&gt;0,$H415&gt;0,OR(AUTOEVENTO&lt;&gt;"manual",$M415&lt;&gt;$A$15)),
        IF(Import.TipoArredondamento&lt;&gt;"TransfereGOV",
              ROUND(OFFSET($P415,0,AY$13),15-13*ORÇAMENTO!$AF$7)/$H415*OFFSET(ORÇAMENTO!$X$15,ROW(AY415)-ROW(AY$15),0),
              ROUND(ROUND(OFFSET($P415,0,AY$13),15-13*ORÇAMENTO!$AF$7)*OFFSET(ORÇAMENTO!$W$15,ROW(AY415)-ROW(AY$15),0),15-13*ORÇAMENTO!$AF$11)),
         0)</f>
        <v>0</v>
      </c>
      <c r="AZ415" s="453">
        <f ca="1">IF(AND($D415="Serviço",AZ$12&lt;&gt;0,$H415&gt;0,OR(AUTOEVENTO&lt;&gt;"manual",$M415&lt;&gt;$A$15)),
        IF(Import.TipoArredondamento&lt;&gt;"TransfereGOV",
              ROUND(OFFSET($P415,0,AZ$13),15-13*ORÇAMENTO!$AF$7)/$H415*OFFSET(ORÇAMENTO!$X$15,ROW(AZ415)-ROW(AZ$15),0),
              ROUND(ROUND(OFFSET($P415,0,AZ$13),15-13*ORÇAMENTO!$AF$7)*OFFSET(ORÇAMENTO!$W$15,ROW(AZ415)-ROW(AZ$15),0),15-13*ORÇAMENTO!$AF$11)),
         0)</f>
        <v>0</v>
      </c>
      <c r="BA415" s="453">
        <f ca="1">IF(AND($D415="Serviço",BA$12&lt;&gt;0,$H415&gt;0,OR(AUTOEVENTO&lt;&gt;"manual",$M415&lt;&gt;$A$15)),
        IF(Import.TipoArredondamento&lt;&gt;"TransfereGOV",
              ROUND(OFFSET($P415,0,BA$13),15-13*ORÇAMENTO!$AF$7)/$H415*OFFSET(ORÇAMENTO!$X$15,ROW(BA415)-ROW(BA$15),0),
              ROUND(ROUND(OFFSET($P415,0,BA$13),15-13*ORÇAMENTO!$AF$7)*OFFSET(ORÇAMENTO!$W$15,ROW(BA415)-ROW(BA$15),0),15-13*ORÇAMENTO!$AF$11)),
         0)</f>
        <v>0</v>
      </c>
      <c r="BC415" s="171">
        <f ca="1">IF(OR($D415&lt;&gt;"Serviço",AND(AUTOEVENTO="Manual",$M415=$A$15)),0,
         IF(OFFSET(CRONOPLE!$F$15,$M415-$A$15,BC$13)=0,10^12,OFFSET(CRONOPLE!$F$15,$M415-$A$15,BC$13)))</f>
        <v>1</v>
      </c>
      <c r="BD415" s="171">
        <f ca="1">IF(OR($D415&lt;&gt;"Serviço",AND(AUTOEVENTO="Manual",$M415=$A$15)),0,
         IF(OFFSET(CRONOPLE!$F$15,$M415-$A$15,BD$13)=0,10^12,OFFSET(CRONOPLE!$F$15,$M415-$A$15,BD$13)))</f>
        <v>2</v>
      </c>
      <c r="BE415" s="171">
        <f ca="1">IF(OR($D415&lt;&gt;"Serviço",AND(AUTOEVENTO="Manual",$M415=$A$15)),0,
         IF(OFFSET(CRONOPLE!$F$15,$M415-$A$15,BE$13)=0,10^12,OFFSET(CRONOPLE!$F$15,$M415-$A$15,BE$13)))</f>
        <v>3</v>
      </c>
      <c r="BF415" s="171">
        <f ca="1">IF(OR($D415&lt;&gt;"Serviço",AND(AUTOEVENTO="Manual",$M415=$A$15)),0,
         IF(OFFSET(CRONOPLE!$F$15,$M415-$A$15,BF$13)=0,10^12,OFFSET(CRONOPLE!$F$15,$M415-$A$15,BF$13)))</f>
        <v>4</v>
      </c>
      <c r="BG415" s="171">
        <f ca="1">IF(OR($D415&lt;&gt;"Serviço",AND(AUTOEVENTO="Manual",$M415=$A$15)),0,
         IF(OFFSET(CRONOPLE!$F$15,$M415-$A$15,BG$13)=0,10^12,OFFSET(CRONOPLE!$F$15,$M415-$A$15,BG$13)))</f>
        <v>5</v>
      </c>
      <c r="BH415" s="171">
        <f ca="1">IF(OR($D415&lt;&gt;"Serviço",AND(AUTOEVENTO="Manual",$M415=$A$15)),0,
         IF(OFFSET(CRONOPLE!$F$15,$M415-$A$15,BH$13)=0,10^12,OFFSET(CRONOPLE!$F$15,$M415-$A$15,BH$13)))</f>
        <v>6</v>
      </c>
      <c r="BI415" s="171">
        <f ca="1">IF(OR($D415&lt;&gt;"Serviço",AND(AUTOEVENTO="Manual",$M415=$A$15)),0,
         IF(OFFSET(CRONOPLE!$F$15,$M415-$A$15,BI$13)=0,10^12,OFFSET(CRONOPLE!$F$15,$M415-$A$15,BI$13)))</f>
        <v>7</v>
      </c>
      <c r="BJ415" s="171">
        <f ca="1">IF(OR($D415&lt;&gt;"Serviço",AND(AUTOEVENTO="Manual",$M415=$A$15)),0,
         IF(OFFSET(CRONOPLE!$F$15,$M415-$A$15,BJ$13)=0,10^12,OFFSET(CRONOPLE!$F$15,$M415-$A$15,BJ$13)))</f>
        <v>8</v>
      </c>
      <c r="BK415" s="171">
        <f ca="1">IF(OR($D415&lt;&gt;"Serviço",AND(AUTOEVENTO="Manual",$M415=$A$15)),0,
         IF(OFFSET(CRONOPLE!$F$15,$M415-$A$15,BK$13)=0,10^12,OFFSET(CRONOPLE!$F$15,$M415-$A$15,BK$13)))</f>
        <v>9</v>
      </c>
      <c r="BL415" s="171">
        <f ca="1">IF(OR($D415&lt;&gt;"Serviço",AND(AUTOEVENTO="Manual",$M415=$A$15)),0,
         IF(OFFSET(CRONOPLE!$F$15,$M415-$A$15,BL$13)=0,10^12,OFFSET(CRONOPLE!$F$15,$M415-$A$15,BL$13)))</f>
        <v>1000000000000</v>
      </c>
      <c r="BM415" s="171">
        <f ca="1">IF(OR($D415&lt;&gt;"Serviço",AND(AUTOEVENTO="Manual",$M415=$A$15)),0,
         IF(OFFSET(CRONOPLE!$F$15,$M415-$A$15,BM$13)=0,10^12,OFFSET(CRONOPLE!$F$15,$M415-$A$15,BM$13)))</f>
        <v>1000000000000</v>
      </c>
      <c r="BN415" s="171">
        <f ca="1">IF(OR($D415&lt;&gt;"Serviço",AND(AUTOEVENTO="Manual",$M415=$A$15)),0,
         IF(OFFSET(CRONOPLE!$F$15,$M415-$A$15,BN$13)=0,10^12,OFFSET(CRONOPLE!$F$15,$M415-$A$15,BN$13)))</f>
        <v>1000000000000</v>
      </c>
      <c r="BO415" s="171">
        <f ca="1">IF(OR($D415&lt;&gt;"Serviço",AND(AUTOEVENTO="Manual",$M415=$A$15)),0,
         IF(OFFSET(CRONOPLE!$F$15,$M415-$A$15,BO$13)=0,10^12,OFFSET(CRONOPLE!$F$15,$M415-$A$15,BO$13)))</f>
        <v>1000000000000</v>
      </c>
      <c r="BP415" s="171">
        <f ca="1">IF(OR($D415&lt;&gt;"Serviço",AND(AUTOEVENTO="Manual",$M415=$A$15)),0,
         IF(OFFSET(CRONOPLE!$F$15,$M415-$A$15,BP$13)=0,10^12,OFFSET(CRONOPLE!$F$15,$M415-$A$15,BP$13)))</f>
        <v>1000000000000</v>
      </c>
      <c r="BQ415" s="171">
        <f ca="1">IF(OR($D415&lt;&gt;"Serviço",AND(AUTOEVENTO="Manual",$M415=$A$15)),0,
         IF(OFFSET(CRONOPLE!$F$15,$M415-$A$15,BQ$13)=0,10^12,OFFSET(CRONOPLE!$F$15,$M415-$A$15,BQ$13)))</f>
        <v>1000000000000</v>
      </c>
      <c r="BR415" s="171">
        <f ca="1">IF(OR($D415&lt;&gt;"Serviço",AND(AUTOEVENTO="Manual",$M415=$A$15)),0,
         IF(OFFSET(CRONOPLE!$F$15,$M415-$A$15,BR$13)=0,10^12,OFFSET(CRONOPLE!$F$15,$M415-$A$15,BR$13)))</f>
        <v>1000000000000</v>
      </c>
      <c r="BS415" s="171">
        <f ca="1">IF(OR($D415&lt;&gt;"Serviço",AND(AUTOEVENTO="Manual",$M415=$A$15)),0,
         IF(OFFSET(CRONOPLE!$F$15,$M415-$A$15,BS$13)=0,10^12,OFFSET(CRONOPLE!$F$15,$M415-$A$15,BS$13)))</f>
        <v>1000000000000</v>
      </c>
      <c r="BT415" s="171">
        <f ca="1">IF(OR($D415&lt;&gt;"Serviço",AND(AUTOEVENTO="Manual",$M415=$A$15)),0,
         IF(OFFSET(CRONOPLE!$F$15,$M415-$A$15,BT$13)=0,10^12,OFFSET(CRONOPLE!$F$15,$M415-$A$15,BT$13)))</f>
        <v>1000000000000</v>
      </c>
      <c r="BV415" s="172">
        <f ca="1">IF(OR($D415&lt;&gt;"Serviço",AND(AUTOEVENTO="Manual",$M415=$A$15),$M415&gt;(ROW(PLE.lastrow)-ROW(PLE.firstrow))),0,
           IF(OFFSET(PLE!$G$15,$M415-$A$15,BV$13)="",10^12,OFFSET(PLE!$G$15,$M415-$A$15,BV$13)))</f>
        <v>1000000000000</v>
      </c>
      <c r="BW415" s="172">
        <f ca="1">IF(OR($D415&lt;&gt;"Serviço",AND(AUTOEVENTO="Manual",$M415=$A$15),$M415&gt;(ROW(PLE.lastrow)-ROW(PLE.firstrow))),0,
           IF(OFFSET(PLE!$G$15,$M415-$A$15,BW$13)="",10^12,OFFSET(PLE!$G$15,$M415-$A$15,BW$13)))</f>
        <v>1000000000000</v>
      </c>
      <c r="BX415" s="172">
        <f ca="1">IF(OR($D415&lt;&gt;"Serviço",AND(AUTOEVENTO="Manual",$M415=$A$15),$M415&gt;(ROW(PLE.lastrow)-ROW(PLE.firstrow))),0,
           IF(OFFSET(PLE!$G$15,$M415-$A$15,BX$13)="",10^12,OFFSET(PLE!$G$15,$M415-$A$15,BX$13)))</f>
        <v>1000000000000</v>
      </c>
      <c r="BY415" s="172">
        <f ca="1">IF(OR($D415&lt;&gt;"Serviço",AND(AUTOEVENTO="Manual",$M415=$A$15),$M415&gt;(ROW(PLE.lastrow)-ROW(PLE.firstrow))),0,
           IF(OFFSET(PLE!$G$15,$M415-$A$15,BY$13)="",10^12,OFFSET(PLE!$G$15,$M415-$A$15,BY$13)))</f>
        <v>1000000000000</v>
      </c>
      <c r="BZ415" s="172">
        <f ca="1">IF(OR($D415&lt;&gt;"Serviço",AND(AUTOEVENTO="Manual",$M415=$A$15),$M415&gt;(ROW(PLE.lastrow)-ROW(PLE.firstrow))),0,
           IF(OFFSET(PLE!$G$15,$M415-$A$15,BZ$13)="",10^12,OFFSET(PLE!$G$15,$M415-$A$15,BZ$13)))</f>
        <v>1000000000000</v>
      </c>
      <c r="CA415" s="172">
        <f ca="1">IF(OR($D415&lt;&gt;"Serviço",AND(AUTOEVENTO="Manual",$M415=$A$15),$M415&gt;(ROW(PLE.lastrow)-ROW(PLE.firstrow))),0,
           IF(OFFSET(PLE!$G$15,$M415-$A$15,CA$13)="",10^12,OFFSET(PLE!$G$15,$M415-$A$15,CA$13)))</f>
        <v>1000000000000</v>
      </c>
      <c r="CB415" s="172">
        <f ca="1">IF(OR($D415&lt;&gt;"Serviço",AND(AUTOEVENTO="Manual",$M415=$A$15),$M415&gt;(ROW(PLE.lastrow)-ROW(PLE.firstrow))),0,
           IF(OFFSET(PLE!$G$15,$M415-$A$15,CB$13)="",10^12,OFFSET(PLE!$G$15,$M415-$A$15,CB$13)))</f>
        <v>1000000000000</v>
      </c>
      <c r="CC415" s="172">
        <f ca="1">IF(OR($D415&lt;&gt;"Serviço",AND(AUTOEVENTO="Manual",$M415=$A$15),$M415&gt;(ROW(PLE.lastrow)-ROW(PLE.firstrow))),0,
           IF(OFFSET(PLE!$G$15,$M415-$A$15,CC$13)="",10^12,OFFSET(PLE!$G$15,$M415-$A$15,CC$13)))</f>
        <v>1000000000000</v>
      </c>
      <c r="CD415" s="172">
        <f ca="1">IF(OR($D415&lt;&gt;"Serviço",AND(AUTOEVENTO="Manual",$M415=$A$15),$M415&gt;(ROW(PLE.lastrow)-ROW(PLE.firstrow))),0,
           IF(OFFSET(PLE!$G$15,$M415-$A$15,CD$13)="",10^12,OFFSET(PLE!$G$15,$M415-$A$15,CD$13)))</f>
        <v>1000000000000</v>
      </c>
      <c r="CE415" s="172">
        <f ca="1">IF(OR($D415&lt;&gt;"Serviço",AND(AUTOEVENTO="Manual",$M415=$A$15),$M415&gt;(ROW(PLE.lastrow)-ROW(PLE.firstrow))),0,
           IF(OFFSET(PLE!$G$15,$M415-$A$15,CE$13)="",10^12,OFFSET(PLE!$G$15,$M415-$A$15,CE$13)))</f>
        <v>1000000000000</v>
      </c>
      <c r="CF415" s="172">
        <f ca="1">IF(OR($D415&lt;&gt;"Serviço",AND(AUTOEVENTO="Manual",$M415=$A$15),$M415&gt;(ROW(PLE.lastrow)-ROW(PLE.firstrow))),0,
           IF(OFFSET(PLE!$G$15,$M415-$A$15,CF$13)="",10^12,OFFSET(PLE!$G$15,$M415-$A$15,CF$13)))</f>
        <v>1000000000000</v>
      </c>
      <c r="CG415" s="172">
        <f ca="1">IF(OR($D415&lt;&gt;"Serviço",AND(AUTOEVENTO="Manual",$M415=$A$15),$M415&gt;(ROW(PLE.lastrow)-ROW(PLE.firstrow))),0,
           IF(OFFSET(PLE!$G$15,$M415-$A$15,CG$13)="",10^12,OFFSET(PLE!$G$15,$M415-$A$15,CG$13)))</f>
        <v>1000000000000</v>
      </c>
      <c r="CH415" s="172">
        <f ca="1">IF(OR($D415&lt;&gt;"Serviço",AND(AUTOEVENTO="Manual",$M415=$A$15),$M415&gt;(ROW(PLE.lastrow)-ROW(PLE.firstrow))),0,
           IF(OFFSET(PLE!$G$15,$M415-$A$15,CH$13)="",10^12,OFFSET(PLE!$G$15,$M415-$A$15,CH$13)))</f>
        <v>1000000000000</v>
      </c>
      <c r="CI415" s="172">
        <f ca="1">IF(OR($D415&lt;&gt;"Serviço",AND(AUTOEVENTO="Manual",$M415=$A$15),$M415&gt;(ROW(PLE.lastrow)-ROW(PLE.firstrow))),0,
           IF(OFFSET(PLE!$G$15,$M415-$A$15,CI$13)="",10^12,OFFSET(PLE!$G$15,$M415-$A$15,CI$13)))</f>
        <v>1000000000000</v>
      </c>
      <c r="CJ415" s="172">
        <f ca="1">IF(OR($D415&lt;&gt;"Serviço",AND(AUTOEVENTO="Manual",$M415=$A$15),$M415&gt;(ROW(PLE.lastrow)-ROW(PLE.firstrow))),0,
           IF(OFFSET(PLE!$G$15,$M415-$A$15,CJ$13)="",10^12,OFFSET(PLE!$G$15,$M415-$A$15,CJ$13)))</f>
        <v>1000000000000</v>
      </c>
      <c r="CK415" s="172">
        <f ca="1">IF(OR($D415&lt;&gt;"Serviço",AND(AUTOEVENTO="Manual",$M415=$A$15),$M415&gt;(ROW(PLE.lastrow)-ROW(PLE.firstrow))),0,
           IF(OFFSET(PLE!$G$15,$M415-$A$15,CK$13)="",10^12,OFFSET(PLE!$G$15,$M415-$A$15,CK$13)))</f>
        <v>1000000000000</v>
      </c>
      <c r="CL415" s="172">
        <f ca="1">IF(OR($D415&lt;&gt;"Serviço",AND(AUTOEVENTO="Manual",$M415=$A$15),$M415&gt;(ROW(PLE.lastrow)-ROW(PLE.firstrow))),0,
           IF(OFFSET(PLE!$G$15,$M415-$A$15,CL$13)="",10^12,OFFSET(PLE!$G$15,$M415-$A$15,CL$13)))</f>
        <v>1000000000000</v>
      </c>
      <c r="CM415" s="172">
        <f ca="1">IF(OR($D415&lt;&gt;"Serviço",AND(AUTOEVENTO="Manual",$M415=$A$15),$M415&gt;(ROW(PLE.lastrow)-ROW(PLE.firstrow))),0,
           IF(OFFSET(PLE!$G$15,$M415-$A$15,CM$13)="",10^12,OFFSET(PLE!$G$15,$M415-$A$15,CM$13)))</f>
        <v>1000000000000</v>
      </c>
    </row>
    <row r="416" spans="1:91" ht="38.25" x14ac:dyDescent="0.2">
      <c r="A416" s="7">
        <f t="shared" ca="1" si="16"/>
        <v>7</v>
      </c>
      <c r="B416" s="7" t="str">
        <f ca="1">OFFSET(ORÇAMENTO!C$15,ROW(B416)-ROW(B$15),0)</f>
        <v>S</v>
      </c>
      <c r="C416" s="7" t="str">
        <f ca="1">OFFSET(ORÇAMENTO!L$15,ROW(C416)-ROW(C$15),0)</f>
        <v>F</v>
      </c>
      <c r="D416" s="116" t="str">
        <f ca="1">OFFSET(ORÇAMENTO!N$15,ROW(D416)-ROW(D$15),0)</f>
        <v>Serviço</v>
      </c>
      <c r="E416" s="117" t="str">
        <f ca="1">OFFSET(ORÇAMENTO!O$15,ROW(E416)-ROW(E$15),0)</f>
        <v>1.8.2.4.6.</v>
      </c>
      <c r="F416" s="163" t="str">
        <f ca="1">OFFSET(ORÇAMENTO!R$15,ROW(F416)-ROW(F$15),0)</f>
        <v>DISJUNTOR TRIPOLAR TIPO DIN, CORRENTE NOMINAL DE 63A, FORNECIMENTO E INSTALAÇÃO, INCLUSIVE TERMINAL ILHÓS</v>
      </c>
      <c r="G416" s="164" t="str">
        <f ca="1">IF($D416&lt;&gt;"Serviço","",OFFSET(ORÇAMENTO!S$15,ROW(G416)-ROW(G$15),0))</f>
        <v>UN</v>
      </c>
      <c r="H416" s="122" cm="1">
        <f t="array" aca="1" ref="H416" ca="1">IF($D416&lt;&gt;"Serviço",0,IF(ACOMPANHAMENTO="BM",ROUND(OFFSET(ORÇAMENTO!AJ$15,ROW(H416)-ROW(H$15),0),15-13*ORÇAMENTO!$AF$7),SUMPRODUCT(($Q$1:$AI$1=1)*ROUND($Q416:$AI416,15-13*ORÇAMENTO!$AF$7))))</f>
        <v>1</v>
      </c>
      <c r="I416" s="468" t="s">
        <v>1431</v>
      </c>
      <c r="J416" s="640" t="str" cm="1">
        <f t="array" aca="1" ref="J416" ca="1">IF(OR(B416&lt;&gt;"S",CÁLCULO.FrentesPreenchidas=0),"",IF(AND(ACOMPANHAMENTO="PLE",AUTOEVENTO="Manual",OR(H416&gt;0,ORÇAMENTO!AC416="QUANT."),OR(K416="",M416=0,N416="")),"►E",IF(AND(ACOMPANHAMENTO="PLE",ORÇAMENTO!AC416="QUANT."),"►Q",IF(AND(ACOMPANHAMENTO="PLE",H416&lt;&gt;SUMPRODUCT(($Q$1:$AI$1=1)*ROUND(Q416:AI416,15))),"►S",IF(AND(COUNTIF($P$11:$AI$11,"▼")=0,H416&gt;0,I416=""),"◄M","")))))</f>
        <v/>
      </c>
      <c r="K416" s="641" t="s">
        <v>1391</v>
      </c>
      <c r="L416" s="165" t="s">
        <v>764</v>
      </c>
      <c r="M416" s="166">
        <f ca="1">IF($D416&lt;&gt;"Serviço","",
          IF(AUTOEVENTO="manual",$A416,
                IF(ISERROR(MATCH($A416,$A$15:OFFSET($A416,-1,0),0)),MAX($M$15:OFFSET(M416,-1,0))+1,
                      INDEX($M$15:OFFSET(M416,-1,0),MATCH($A416,$A$15:OFFSET($A416,-1,0),0)))))</f>
        <v>7</v>
      </c>
      <c r="N416" s="167" t="str">
        <f ca="1">IF($D416&lt;&gt;"Serviço","",
         IF(AUTOEVENTO="Manual",
                IF($A416=0,"&lt;-- defina o número do agrupador",
                       OFFSET(EVENTOS!$D$15,$A416-$A$15,0)),
                OFFSET($F$15,$A416,0)))</f>
        <v>Instalações Elétricas</v>
      </c>
      <c r="O416" s="168"/>
      <c r="Q416" s="168"/>
      <c r="R416" s="169"/>
      <c r="S416" s="169"/>
      <c r="T416" s="169"/>
      <c r="U416" s="169"/>
      <c r="V416" s="169"/>
      <c r="W416" s="169"/>
      <c r="X416" s="169">
        <v>1</v>
      </c>
      <c r="Y416" s="169"/>
      <c r="Z416" s="170"/>
      <c r="AA416" s="169"/>
      <c r="AB416" s="169"/>
      <c r="AC416" s="169"/>
      <c r="AD416" s="169"/>
      <c r="AE416" s="169"/>
      <c r="AF416" s="169"/>
      <c r="AG416" s="169"/>
      <c r="AH416" s="170"/>
      <c r="AJ416" s="453">
        <f ca="1">IF(AND($D416="Serviço",AJ$12&lt;&gt;0,$H416&gt;0,OR(AUTOEVENTO&lt;&gt;"manual",$M416&lt;&gt;$A$15)),
        IF(Import.TipoArredondamento&lt;&gt;"TransfereGOV",
              ROUND(OFFSET($P416,0,AJ$13),15-13*ORÇAMENTO!$AF$7)/$H416*OFFSET(ORÇAMENTO!$X$15,ROW(AJ416)-ROW(AJ$15),0),
              ROUND(ROUND(OFFSET($P416,0,AJ$13),15-13*ORÇAMENTO!$AF$7)*OFFSET(ORÇAMENTO!$W$15,ROW(AJ416)-ROW(AJ$15),0),15-13*ORÇAMENTO!$AF$11)),
         0)</f>
        <v>0</v>
      </c>
      <c r="AK416" s="453">
        <f ca="1">IF(AND($D416="Serviço",AK$12&lt;&gt;0,$H416&gt;0,OR(AUTOEVENTO&lt;&gt;"manual",$M416&lt;&gt;$A$15)),
        IF(Import.TipoArredondamento&lt;&gt;"TransfereGOV",
              ROUND(OFFSET($P416,0,AK$13),15-13*ORÇAMENTO!$AF$7)/$H416*OFFSET(ORÇAMENTO!$X$15,ROW(AK416)-ROW(AK$15),0),
              ROUND(ROUND(OFFSET($P416,0,AK$13),15-13*ORÇAMENTO!$AF$7)*OFFSET(ORÇAMENTO!$W$15,ROW(AK416)-ROW(AK$15),0),15-13*ORÇAMENTO!$AF$11)),
         0)</f>
        <v>0</v>
      </c>
      <c r="AL416" s="453">
        <f ca="1">IF(AND($D416="Serviço",AL$12&lt;&gt;0,$H416&gt;0,OR(AUTOEVENTO&lt;&gt;"manual",$M416&lt;&gt;$A$15)),
        IF(Import.TipoArredondamento&lt;&gt;"TransfereGOV",
              ROUND(OFFSET($P416,0,AL$13),15-13*ORÇAMENTO!$AF$7)/$H416*OFFSET(ORÇAMENTO!$X$15,ROW(AL416)-ROW(AL$15),0),
              ROUND(ROUND(OFFSET($P416,0,AL$13),15-13*ORÇAMENTO!$AF$7)*OFFSET(ORÇAMENTO!$W$15,ROW(AL416)-ROW(AL$15),0),15-13*ORÇAMENTO!$AF$11)),
         0)</f>
        <v>0</v>
      </c>
      <c r="AM416" s="453">
        <f ca="1">IF(AND($D416="Serviço",AM$12&lt;&gt;0,$H416&gt;0,OR(AUTOEVENTO&lt;&gt;"manual",$M416&lt;&gt;$A$15)),
        IF(Import.TipoArredondamento&lt;&gt;"TransfereGOV",
              ROUND(OFFSET($P416,0,AM$13),15-13*ORÇAMENTO!$AF$7)/$H416*OFFSET(ORÇAMENTO!$X$15,ROW(AM416)-ROW(AM$15),0),
              ROUND(ROUND(OFFSET($P416,0,AM$13),15-13*ORÇAMENTO!$AF$7)*OFFSET(ORÇAMENTO!$W$15,ROW(AM416)-ROW(AM$15),0),15-13*ORÇAMENTO!$AF$11)),
         0)</f>
        <v>0</v>
      </c>
      <c r="AN416" s="453">
        <f ca="1">IF(AND($D416="Serviço",AN$12&lt;&gt;0,$H416&gt;0,OR(AUTOEVENTO&lt;&gt;"manual",$M416&lt;&gt;$A$15)),
        IF(Import.TipoArredondamento&lt;&gt;"TransfereGOV",
              ROUND(OFFSET($P416,0,AN$13),15-13*ORÇAMENTO!$AF$7)/$H416*OFFSET(ORÇAMENTO!$X$15,ROW(AN416)-ROW(AN$15),0),
              ROUND(ROUND(OFFSET($P416,0,AN$13),15-13*ORÇAMENTO!$AF$7)*OFFSET(ORÇAMENTO!$W$15,ROW(AN416)-ROW(AN$15),0),15-13*ORÇAMENTO!$AF$11)),
         0)</f>
        <v>0</v>
      </c>
      <c r="AO416" s="453">
        <f ca="1">IF(AND($D416="Serviço",AO$12&lt;&gt;0,$H416&gt;0,OR(AUTOEVENTO&lt;&gt;"manual",$M416&lt;&gt;$A$15)),
        IF(Import.TipoArredondamento&lt;&gt;"TransfereGOV",
              ROUND(OFFSET($P416,0,AO$13),15-13*ORÇAMENTO!$AF$7)/$H416*OFFSET(ORÇAMENTO!$X$15,ROW(AO416)-ROW(AO$15),0),
              ROUND(ROUND(OFFSET($P416,0,AO$13),15-13*ORÇAMENTO!$AF$7)*OFFSET(ORÇAMENTO!$W$15,ROW(AO416)-ROW(AO$15),0),15-13*ORÇAMENTO!$AF$11)),
         0)</f>
        <v>0</v>
      </c>
      <c r="AP416" s="453">
        <f ca="1">IF(AND($D416="Serviço",AP$12&lt;&gt;0,$H416&gt;0,OR(AUTOEVENTO&lt;&gt;"manual",$M416&lt;&gt;$A$15)),
        IF(Import.TipoArredondamento&lt;&gt;"TransfereGOV",
              ROUND(OFFSET($P416,0,AP$13),15-13*ORÇAMENTO!$AF$7)/$H416*OFFSET(ORÇAMENTO!$X$15,ROW(AP416)-ROW(AP$15),0),
              ROUND(ROUND(OFFSET($P416,0,AP$13),15-13*ORÇAMENTO!$AF$7)*OFFSET(ORÇAMENTO!$W$15,ROW(AP416)-ROW(AP$15),0),15-13*ORÇAMENTO!$AF$11)),
         0)</f>
        <v>0</v>
      </c>
      <c r="AQ416" s="453">
        <f ca="1">IF(AND($D416="Serviço",AQ$12&lt;&gt;0,$H416&gt;0,OR(AUTOEVENTO&lt;&gt;"manual",$M416&lt;&gt;$A$15)),
        IF(Import.TipoArredondamento&lt;&gt;"TransfereGOV",
              ROUND(OFFSET($P416,0,AQ$13),15-13*ORÇAMENTO!$AF$7)/$H416*OFFSET(ORÇAMENTO!$X$15,ROW(AQ416)-ROW(AQ$15),0),
              ROUND(ROUND(OFFSET($P416,0,AQ$13),15-13*ORÇAMENTO!$AF$7)*OFFSET(ORÇAMENTO!$W$15,ROW(AQ416)-ROW(AQ$15),0),15-13*ORÇAMENTO!$AF$11)),
         0)</f>
        <v>0</v>
      </c>
      <c r="AR416" s="453">
        <f ca="1">IF(AND($D416="Serviço",AR$12&lt;&gt;0,$H416&gt;0,OR(AUTOEVENTO&lt;&gt;"manual",$M416&lt;&gt;$A$15)),
        IF(Import.TipoArredondamento&lt;&gt;"TransfereGOV",
              ROUND(OFFSET($P416,0,AR$13),15-13*ORÇAMENTO!$AF$7)/$H416*OFFSET(ORÇAMENTO!$X$15,ROW(AR416)-ROW(AR$15),0),
              ROUND(ROUND(OFFSET($P416,0,AR$13),15-13*ORÇAMENTO!$AF$7)*OFFSET(ORÇAMENTO!$W$15,ROW(AR416)-ROW(AR$15),0),15-13*ORÇAMENTO!$AF$11)),
         0)</f>
        <v>0</v>
      </c>
      <c r="AS416" s="453">
        <f ca="1">IF(AND($D416="Serviço",AS$12&lt;&gt;0,$H416&gt;0,OR(AUTOEVENTO&lt;&gt;"manual",$M416&lt;&gt;$A$15)),
        IF(Import.TipoArredondamento&lt;&gt;"TransfereGOV",
              ROUND(OFFSET($P416,0,AS$13),15-13*ORÇAMENTO!$AF$7)/$H416*OFFSET(ORÇAMENTO!$X$15,ROW(AS416)-ROW(AS$15),0),
              ROUND(ROUND(OFFSET($P416,0,AS$13),15-13*ORÇAMENTO!$AF$7)*OFFSET(ORÇAMENTO!$W$15,ROW(AS416)-ROW(AS$15),0),15-13*ORÇAMENTO!$AF$11)),
         0)</f>
        <v>0</v>
      </c>
      <c r="AT416" s="453">
        <f ca="1">IF(AND($D416="Serviço",AT$12&lt;&gt;0,$H416&gt;0,OR(AUTOEVENTO&lt;&gt;"manual",$M416&lt;&gt;$A$15)),
        IF(Import.TipoArredondamento&lt;&gt;"TransfereGOV",
              ROUND(OFFSET($P416,0,AT$13),15-13*ORÇAMENTO!$AF$7)/$H416*OFFSET(ORÇAMENTO!$X$15,ROW(AT416)-ROW(AT$15),0),
              ROUND(ROUND(OFFSET($P416,0,AT$13),15-13*ORÇAMENTO!$AF$7)*OFFSET(ORÇAMENTO!$W$15,ROW(AT416)-ROW(AT$15),0),15-13*ORÇAMENTO!$AF$11)),
         0)</f>
        <v>0</v>
      </c>
      <c r="AU416" s="453">
        <f ca="1">IF(AND($D416="Serviço",AU$12&lt;&gt;0,$H416&gt;0,OR(AUTOEVENTO&lt;&gt;"manual",$M416&lt;&gt;$A$15)),
        IF(Import.TipoArredondamento&lt;&gt;"TransfereGOV",
              ROUND(OFFSET($P416,0,AU$13),15-13*ORÇAMENTO!$AF$7)/$H416*OFFSET(ORÇAMENTO!$X$15,ROW(AU416)-ROW(AU$15),0),
              ROUND(ROUND(OFFSET($P416,0,AU$13),15-13*ORÇAMENTO!$AF$7)*OFFSET(ORÇAMENTO!$W$15,ROW(AU416)-ROW(AU$15),0),15-13*ORÇAMENTO!$AF$11)),
         0)</f>
        <v>0</v>
      </c>
      <c r="AV416" s="453">
        <f ca="1">IF(AND($D416="Serviço",AV$12&lt;&gt;0,$H416&gt;0,OR(AUTOEVENTO&lt;&gt;"manual",$M416&lt;&gt;$A$15)),
        IF(Import.TipoArredondamento&lt;&gt;"TransfereGOV",
              ROUND(OFFSET($P416,0,AV$13),15-13*ORÇAMENTO!$AF$7)/$H416*OFFSET(ORÇAMENTO!$X$15,ROW(AV416)-ROW(AV$15),0),
              ROUND(ROUND(OFFSET($P416,0,AV$13),15-13*ORÇAMENTO!$AF$7)*OFFSET(ORÇAMENTO!$W$15,ROW(AV416)-ROW(AV$15),0),15-13*ORÇAMENTO!$AF$11)),
         0)</f>
        <v>0</v>
      </c>
      <c r="AW416" s="453">
        <f ca="1">IF(AND($D416="Serviço",AW$12&lt;&gt;0,$H416&gt;0,OR(AUTOEVENTO&lt;&gt;"manual",$M416&lt;&gt;$A$15)),
        IF(Import.TipoArredondamento&lt;&gt;"TransfereGOV",
              ROUND(OFFSET($P416,0,AW$13),15-13*ORÇAMENTO!$AF$7)/$H416*OFFSET(ORÇAMENTO!$X$15,ROW(AW416)-ROW(AW$15),0),
              ROUND(ROUND(OFFSET($P416,0,AW$13),15-13*ORÇAMENTO!$AF$7)*OFFSET(ORÇAMENTO!$W$15,ROW(AW416)-ROW(AW$15),0),15-13*ORÇAMENTO!$AF$11)),
         0)</f>
        <v>0</v>
      </c>
      <c r="AX416" s="453">
        <f ca="1">IF(AND($D416="Serviço",AX$12&lt;&gt;0,$H416&gt;0,OR(AUTOEVENTO&lt;&gt;"manual",$M416&lt;&gt;$A$15)),
        IF(Import.TipoArredondamento&lt;&gt;"TransfereGOV",
              ROUND(OFFSET($P416,0,AX$13),15-13*ORÇAMENTO!$AF$7)/$H416*OFFSET(ORÇAMENTO!$X$15,ROW(AX416)-ROW(AX$15),0),
              ROUND(ROUND(OFFSET($P416,0,AX$13),15-13*ORÇAMENTO!$AF$7)*OFFSET(ORÇAMENTO!$W$15,ROW(AX416)-ROW(AX$15),0),15-13*ORÇAMENTO!$AF$11)),
         0)</f>
        <v>0</v>
      </c>
      <c r="AY416" s="453">
        <f ca="1">IF(AND($D416="Serviço",AY$12&lt;&gt;0,$H416&gt;0,OR(AUTOEVENTO&lt;&gt;"manual",$M416&lt;&gt;$A$15)),
        IF(Import.TipoArredondamento&lt;&gt;"TransfereGOV",
              ROUND(OFFSET($P416,0,AY$13),15-13*ORÇAMENTO!$AF$7)/$H416*OFFSET(ORÇAMENTO!$X$15,ROW(AY416)-ROW(AY$15),0),
              ROUND(ROUND(OFFSET($P416,0,AY$13),15-13*ORÇAMENTO!$AF$7)*OFFSET(ORÇAMENTO!$W$15,ROW(AY416)-ROW(AY$15),0),15-13*ORÇAMENTO!$AF$11)),
         0)</f>
        <v>0</v>
      </c>
      <c r="AZ416" s="453">
        <f ca="1">IF(AND($D416="Serviço",AZ$12&lt;&gt;0,$H416&gt;0,OR(AUTOEVENTO&lt;&gt;"manual",$M416&lt;&gt;$A$15)),
        IF(Import.TipoArredondamento&lt;&gt;"TransfereGOV",
              ROUND(OFFSET($P416,0,AZ$13),15-13*ORÇAMENTO!$AF$7)/$H416*OFFSET(ORÇAMENTO!$X$15,ROW(AZ416)-ROW(AZ$15),0),
              ROUND(ROUND(OFFSET($P416,0,AZ$13),15-13*ORÇAMENTO!$AF$7)*OFFSET(ORÇAMENTO!$W$15,ROW(AZ416)-ROW(AZ$15),0),15-13*ORÇAMENTO!$AF$11)),
         0)</f>
        <v>0</v>
      </c>
      <c r="BA416" s="453">
        <f ca="1">IF(AND($D416="Serviço",BA$12&lt;&gt;0,$H416&gt;0,OR(AUTOEVENTO&lt;&gt;"manual",$M416&lt;&gt;$A$15)),
        IF(Import.TipoArredondamento&lt;&gt;"TransfereGOV",
              ROUND(OFFSET($P416,0,BA$13),15-13*ORÇAMENTO!$AF$7)/$H416*OFFSET(ORÇAMENTO!$X$15,ROW(BA416)-ROW(BA$15),0),
              ROUND(ROUND(OFFSET($P416,0,BA$13),15-13*ORÇAMENTO!$AF$7)*OFFSET(ORÇAMENTO!$W$15,ROW(BA416)-ROW(BA$15),0),15-13*ORÇAMENTO!$AF$11)),
         0)</f>
        <v>0</v>
      </c>
      <c r="BC416" s="171">
        <f ca="1">IF(OR($D416&lt;&gt;"Serviço",AND(AUTOEVENTO="Manual",$M416=$A$15)),0,
         IF(OFFSET(CRONOPLE!$F$15,$M416-$A$15,BC$13)=0,10^12,OFFSET(CRONOPLE!$F$15,$M416-$A$15,BC$13)))</f>
        <v>1</v>
      </c>
      <c r="BD416" s="171">
        <f ca="1">IF(OR($D416&lt;&gt;"Serviço",AND(AUTOEVENTO="Manual",$M416=$A$15)),0,
         IF(OFFSET(CRONOPLE!$F$15,$M416-$A$15,BD$13)=0,10^12,OFFSET(CRONOPLE!$F$15,$M416-$A$15,BD$13)))</f>
        <v>2</v>
      </c>
      <c r="BE416" s="171">
        <f ca="1">IF(OR($D416&lt;&gt;"Serviço",AND(AUTOEVENTO="Manual",$M416=$A$15)),0,
         IF(OFFSET(CRONOPLE!$F$15,$M416-$A$15,BE$13)=0,10^12,OFFSET(CRONOPLE!$F$15,$M416-$A$15,BE$13)))</f>
        <v>3</v>
      </c>
      <c r="BF416" s="171">
        <f ca="1">IF(OR($D416&lt;&gt;"Serviço",AND(AUTOEVENTO="Manual",$M416=$A$15)),0,
         IF(OFFSET(CRONOPLE!$F$15,$M416-$A$15,BF$13)=0,10^12,OFFSET(CRONOPLE!$F$15,$M416-$A$15,BF$13)))</f>
        <v>4</v>
      </c>
      <c r="BG416" s="171">
        <f ca="1">IF(OR($D416&lt;&gt;"Serviço",AND(AUTOEVENTO="Manual",$M416=$A$15)),0,
         IF(OFFSET(CRONOPLE!$F$15,$M416-$A$15,BG$13)=0,10^12,OFFSET(CRONOPLE!$F$15,$M416-$A$15,BG$13)))</f>
        <v>5</v>
      </c>
      <c r="BH416" s="171">
        <f ca="1">IF(OR($D416&lt;&gt;"Serviço",AND(AUTOEVENTO="Manual",$M416=$A$15)),0,
         IF(OFFSET(CRONOPLE!$F$15,$M416-$A$15,BH$13)=0,10^12,OFFSET(CRONOPLE!$F$15,$M416-$A$15,BH$13)))</f>
        <v>6</v>
      </c>
      <c r="BI416" s="171">
        <f ca="1">IF(OR($D416&lt;&gt;"Serviço",AND(AUTOEVENTO="Manual",$M416=$A$15)),0,
         IF(OFFSET(CRONOPLE!$F$15,$M416-$A$15,BI$13)=0,10^12,OFFSET(CRONOPLE!$F$15,$M416-$A$15,BI$13)))</f>
        <v>7</v>
      </c>
      <c r="BJ416" s="171">
        <f ca="1">IF(OR($D416&lt;&gt;"Serviço",AND(AUTOEVENTO="Manual",$M416=$A$15)),0,
         IF(OFFSET(CRONOPLE!$F$15,$M416-$A$15,BJ$13)=0,10^12,OFFSET(CRONOPLE!$F$15,$M416-$A$15,BJ$13)))</f>
        <v>8</v>
      </c>
      <c r="BK416" s="171">
        <f ca="1">IF(OR($D416&lt;&gt;"Serviço",AND(AUTOEVENTO="Manual",$M416=$A$15)),0,
         IF(OFFSET(CRONOPLE!$F$15,$M416-$A$15,BK$13)=0,10^12,OFFSET(CRONOPLE!$F$15,$M416-$A$15,BK$13)))</f>
        <v>9</v>
      </c>
      <c r="BL416" s="171">
        <f ca="1">IF(OR($D416&lt;&gt;"Serviço",AND(AUTOEVENTO="Manual",$M416=$A$15)),0,
         IF(OFFSET(CRONOPLE!$F$15,$M416-$A$15,BL$13)=0,10^12,OFFSET(CRONOPLE!$F$15,$M416-$A$15,BL$13)))</f>
        <v>1000000000000</v>
      </c>
      <c r="BM416" s="171">
        <f ca="1">IF(OR($D416&lt;&gt;"Serviço",AND(AUTOEVENTO="Manual",$M416=$A$15)),0,
         IF(OFFSET(CRONOPLE!$F$15,$M416-$A$15,BM$13)=0,10^12,OFFSET(CRONOPLE!$F$15,$M416-$A$15,BM$13)))</f>
        <v>1000000000000</v>
      </c>
      <c r="BN416" s="171">
        <f ca="1">IF(OR($D416&lt;&gt;"Serviço",AND(AUTOEVENTO="Manual",$M416=$A$15)),0,
         IF(OFFSET(CRONOPLE!$F$15,$M416-$A$15,BN$13)=0,10^12,OFFSET(CRONOPLE!$F$15,$M416-$A$15,BN$13)))</f>
        <v>1000000000000</v>
      </c>
      <c r="BO416" s="171">
        <f ca="1">IF(OR($D416&lt;&gt;"Serviço",AND(AUTOEVENTO="Manual",$M416=$A$15)),0,
         IF(OFFSET(CRONOPLE!$F$15,$M416-$A$15,BO$13)=0,10^12,OFFSET(CRONOPLE!$F$15,$M416-$A$15,BO$13)))</f>
        <v>1000000000000</v>
      </c>
      <c r="BP416" s="171">
        <f ca="1">IF(OR($D416&lt;&gt;"Serviço",AND(AUTOEVENTO="Manual",$M416=$A$15)),0,
         IF(OFFSET(CRONOPLE!$F$15,$M416-$A$15,BP$13)=0,10^12,OFFSET(CRONOPLE!$F$15,$M416-$A$15,BP$13)))</f>
        <v>1000000000000</v>
      </c>
      <c r="BQ416" s="171">
        <f ca="1">IF(OR($D416&lt;&gt;"Serviço",AND(AUTOEVENTO="Manual",$M416=$A$15)),0,
         IF(OFFSET(CRONOPLE!$F$15,$M416-$A$15,BQ$13)=0,10^12,OFFSET(CRONOPLE!$F$15,$M416-$A$15,BQ$13)))</f>
        <v>1000000000000</v>
      </c>
      <c r="BR416" s="171">
        <f ca="1">IF(OR($D416&lt;&gt;"Serviço",AND(AUTOEVENTO="Manual",$M416=$A$15)),0,
         IF(OFFSET(CRONOPLE!$F$15,$M416-$A$15,BR$13)=0,10^12,OFFSET(CRONOPLE!$F$15,$M416-$A$15,BR$13)))</f>
        <v>1000000000000</v>
      </c>
      <c r="BS416" s="171">
        <f ca="1">IF(OR($D416&lt;&gt;"Serviço",AND(AUTOEVENTO="Manual",$M416=$A$15)),0,
         IF(OFFSET(CRONOPLE!$F$15,$M416-$A$15,BS$13)=0,10^12,OFFSET(CRONOPLE!$F$15,$M416-$A$15,BS$13)))</f>
        <v>1000000000000</v>
      </c>
      <c r="BT416" s="171">
        <f ca="1">IF(OR($D416&lt;&gt;"Serviço",AND(AUTOEVENTO="Manual",$M416=$A$15)),0,
         IF(OFFSET(CRONOPLE!$F$15,$M416-$A$15,BT$13)=0,10^12,OFFSET(CRONOPLE!$F$15,$M416-$A$15,BT$13)))</f>
        <v>1000000000000</v>
      </c>
      <c r="BV416" s="172">
        <f ca="1">IF(OR($D416&lt;&gt;"Serviço",AND(AUTOEVENTO="Manual",$M416=$A$15),$M416&gt;(ROW(PLE.lastrow)-ROW(PLE.firstrow))),0,
           IF(OFFSET(PLE!$G$15,$M416-$A$15,BV$13)="",10^12,OFFSET(PLE!$G$15,$M416-$A$15,BV$13)))</f>
        <v>1000000000000</v>
      </c>
      <c r="BW416" s="172">
        <f ca="1">IF(OR($D416&lt;&gt;"Serviço",AND(AUTOEVENTO="Manual",$M416=$A$15),$M416&gt;(ROW(PLE.lastrow)-ROW(PLE.firstrow))),0,
           IF(OFFSET(PLE!$G$15,$M416-$A$15,BW$13)="",10^12,OFFSET(PLE!$G$15,$M416-$A$15,BW$13)))</f>
        <v>1000000000000</v>
      </c>
      <c r="BX416" s="172">
        <f ca="1">IF(OR($D416&lt;&gt;"Serviço",AND(AUTOEVENTO="Manual",$M416=$A$15),$M416&gt;(ROW(PLE.lastrow)-ROW(PLE.firstrow))),0,
           IF(OFFSET(PLE!$G$15,$M416-$A$15,BX$13)="",10^12,OFFSET(PLE!$G$15,$M416-$A$15,BX$13)))</f>
        <v>1000000000000</v>
      </c>
      <c r="BY416" s="172">
        <f ca="1">IF(OR($D416&lt;&gt;"Serviço",AND(AUTOEVENTO="Manual",$M416=$A$15),$M416&gt;(ROW(PLE.lastrow)-ROW(PLE.firstrow))),0,
           IF(OFFSET(PLE!$G$15,$M416-$A$15,BY$13)="",10^12,OFFSET(PLE!$G$15,$M416-$A$15,BY$13)))</f>
        <v>1000000000000</v>
      </c>
      <c r="BZ416" s="172">
        <f ca="1">IF(OR($D416&lt;&gt;"Serviço",AND(AUTOEVENTO="Manual",$M416=$A$15),$M416&gt;(ROW(PLE.lastrow)-ROW(PLE.firstrow))),0,
           IF(OFFSET(PLE!$G$15,$M416-$A$15,BZ$13)="",10^12,OFFSET(PLE!$G$15,$M416-$A$15,BZ$13)))</f>
        <v>1000000000000</v>
      </c>
      <c r="CA416" s="172">
        <f ca="1">IF(OR($D416&lt;&gt;"Serviço",AND(AUTOEVENTO="Manual",$M416=$A$15),$M416&gt;(ROW(PLE.lastrow)-ROW(PLE.firstrow))),0,
           IF(OFFSET(PLE!$G$15,$M416-$A$15,CA$13)="",10^12,OFFSET(PLE!$G$15,$M416-$A$15,CA$13)))</f>
        <v>1000000000000</v>
      </c>
      <c r="CB416" s="172">
        <f ca="1">IF(OR($D416&lt;&gt;"Serviço",AND(AUTOEVENTO="Manual",$M416=$A$15),$M416&gt;(ROW(PLE.lastrow)-ROW(PLE.firstrow))),0,
           IF(OFFSET(PLE!$G$15,$M416-$A$15,CB$13)="",10^12,OFFSET(PLE!$G$15,$M416-$A$15,CB$13)))</f>
        <v>1000000000000</v>
      </c>
      <c r="CC416" s="172">
        <f ca="1">IF(OR($D416&lt;&gt;"Serviço",AND(AUTOEVENTO="Manual",$M416=$A$15),$M416&gt;(ROW(PLE.lastrow)-ROW(PLE.firstrow))),0,
           IF(OFFSET(PLE!$G$15,$M416-$A$15,CC$13)="",10^12,OFFSET(PLE!$G$15,$M416-$A$15,CC$13)))</f>
        <v>1000000000000</v>
      </c>
      <c r="CD416" s="172">
        <f ca="1">IF(OR($D416&lt;&gt;"Serviço",AND(AUTOEVENTO="Manual",$M416=$A$15),$M416&gt;(ROW(PLE.lastrow)-ROW(PLE.firstrow))),0,
           IF(OFFSET(PLE!$G$15,$M416-$A$15,CD$13)="",10^12,OFFSET(PLE!$G$15,$M416-$A$15,CD$13)))</f>
        <v>1000000000000</v>
      </c>
      <c r="CE416" s="172">
        <f ca="1">IF(OR($D416&lt;&gt;"Serviço",AND(AUTOEVENTO="Manual",$M416=$A$15),$M416&gt;(ROW(PLE.lastrow)-ROW(PLE.firstrow))),0,
           IF(OFFSET(PLE!$G$15,$M416-$A$15,CE$13)="",10^12,OFFSET(PLE!$G$15,$M416-$A$15,CE$13)))</f>
        <v>1000000000000</v>
      </c>
      <c r="CF416" s="172">
        <f ca="1">IF(OR($D416&lt;&gt;"Serviço",AND(AUTOEVENTO="Manual",$M416=$A$15),$M416&gt;(ROW(PLE.lastrow)-ROW(PLE.firstrow))),0,
           IF(OFFSET(PLE!$G$15,$M416-$A$15,CF$13)="",10^12,OFFSET(PLE!$G$15,$M416-$A$15,CF$13)))</f>
        <v>1000000000000</v>
      </c>
      <c r="CG416" s="172">
        <f ca="1">IF(OR($D416&lt;&gt;"Serviço",AND(AUTOEVENTO="Manual",$M416=$A$15),$M416&gt;(ROW(PLE.lastrow)-ROW(PLE.firstrow))),0,
           IF(OFFSET(PLE!$G$15,$M416-$A$15,CG$13)="",10^12,OFFSET(PLE!$G$15,$M416-$A$15,CG$13)))</f>
        <v>1000000000000</v>
      </c>
      <c r="CH416" s="172">
        <f ca="1">IF(OR($D416&lt;&gt;"Serviço",AND(AUTOEVENTO="Manual",$M416=$A$15),$M416&gt;(ROW(PLE.lastrow)-ROW(PLE.firstrow))),0,
           IF(OFFSET(PLE!$G$15,$M416-$A$15,CH$13)="",10^12,OFFSET(PLE!$G$15,$M416-$A$15,CH$13)))</f>
        <v>1000000000000</v>
      </c>
      <c r="CI416" s="172">
        <f ca="1">IF(OR($D416&lt;&gt;"Serviço",AND(AUTOEVENTO="Manual",$M416=$A$15),$M416&gt;(ROW(PLE.lastrow)-ROW(PLE.firstrow))),0,
           IF(OFFSET(PLE!$G$15,$M416-$A$15,CI$13)="",10^12,OFFSET(PLE!$G$15,$M416-$A$15,CI$13)))</f>
        <v>1000000000000</v>
      </c>
      <c r="CJ416" s="172">
        <f ca="1">IF(OR($D416&lt;&gt;"Serviço",AND(AUTOEVENTO="Manual",$M416=$A$15),$M416&gt;(ROW(PLE.lastrow)-ROW(PLE.firstrow))),0,
           IF(OFFSET(PLE!$G$15,$M416-$A$15,CJ$13)="",10^12,OFFSET(PLE!$G$15,$M416-$A$15,CJ$13)))</f>
        <v>1000000000000</v>
      </c>
      <c r="CK416" s="172">
        <f ca="1">IF(OR($D416&lt;&gt;"Serviço",AND(AUTOEVENTO="Manual",$M416=$A$15),$M416&gt;(ROW(PLE.lastrow)-ROW(PLE.firstrow))),0,
           IF(OFFSET(PLE!$G$15,$M416-$A$15,CK$13)="",10^12,OFFSET(PLE!$G$15,$M416-$A$15,CK$13)))</f>
        <v>1000000000000</v>
      </c>
      <c r="CL416" s="172">
        <f ca="1">IF(OR($D416&lt;&gt;"Serviço",AND(AUTOEVENTO="Manual",$M416=$A$15),$M416&gt;(ROW(PLE.lastrow)-ROW(PLE.firstrow))),0,
           IF(OFFSET(PLE!$G$15,$M416-$A$15,CL$13)="",10^12,OFFSET(PLE!$G$15,$M416-$A$15,CL$13)))</f>
        <v>1000000000000</v>
      </c>
      <c r="CM416" s="172">
        <f ca="1">IF(OR($D416&lt;&gt;"Serviço",AND(AUTOEVENTO="Manual",$M416=$A$15),$M416&gt;(ROW(PLE.lastrow)-ROW(PLE.firstrow))),0,
           IF(OFFSET(PLE!$G$15,$M416-$A$15,CM$13)="",10^12,OFFSET(PLE!$G$15,$M416-$A$15,CM$13)))</f>
        <v>1000000000000</v>
      </c>
    </row>
    <row r="417" spans="1:91" ht="38.25" x14ac:dyDescent="0.2">
      <c r="A417" s="7">
        <f t="shared" ca="1" si="16"/>
        <v>7</v>
      </c>
      <c r="B417" s="7" t="str">
        <f ca="1">OFFSET(ORÇAMENTO!C$15,ROW(B417)-ROW(B$15),0)</f>
        <v>S</v>
      </c>
      <c r="C417" s="7" t="str">
        <f ca="1">OFFSET(ORÇAMENTO!L$15,ROW(C417)-ROW(C$15),0)</f>
        <v>F</v>
      </c>
      <c r="D417" s="116" t="str">
        <f ca="1">OFFSET(ORÇAMENTO!N$15,ROW(D417)-ROW(D$15),0)</f>
        <v>Serviço</v>
      </c>
      <c r="E417" s="117" t="str">
        <f ca="1">OFFSET(ORÇAMENTO!O$15,ROW(E417)-ROW(E$15),0)</f>
        <v>1.8.2.4.7.</v>
      </c>
      <c r="F417" s="163" t="str">
        <f ca="1">OFFSET(ORÇAMENTO!R$15,ROW(F417)-ROW(F$15),0)</f>
        <v>DISJUNTOR TRIPOLAR TIPO DIN, CORRENTE NOMINAL DE 70A, FORNECIMENTO E INSTALAÇÃO, INCLUSIVE TERMINAL ILHÓS</v>
      </c>
      <c r="G417" s="164" t="str">
        <f ca="1">IF($D417&lt;&gt;"Serviço","",OFFSET(ORÇAMENTO!S$15,ROW(G417)-ROW(G$15),0))</f>
        <v>UN</v>
      </c>
      <c r="H417" s="122" cm="1">
        <f t="array" aca="1" ref="H417" ca="1">IF($D417&lt;&gt;"Serviço",0,IF(ACOMPANHAMENTO="BM",ROUND(OFFSET(ORÇAMENTO!AJ$15,ROW(H417)-ROW(H$15),0),15-13*ORÇAMENTO!$AF$7),SUMPRODUCT(($Q$1:$AI$1=1)*ROUND($Q417:$AI417,15-13*ORÇAMENTO!$AF$7))))</f>
        <v>1</v>
      </c>
      <c r="I417" s="468" t="s">
        <v>1431</v>
      </c>
      <c r="J417" s="640" t="str" cm="1">
        <f t="array" aca="1" ref="J417" ca="1">IF(OR(B417&lt;&gt;"S",CÁLCULO.FrentesPreenchidas=0),"",IF(AND(ACOMPANHAMENTO="PLE",AUTOEVENTO="Manual",OR(H417&gt;0,ORÇAMENTO!AC417="QUANT."),OR(K417="",M417=0,N417="")),"►E",IF(AND(ACOMPANHAMENTO="PLE",ORÇAMENTO!AC417="QUANT."),"►Q",IF(AND(ACOMPANHAMENTO="PLE",H417&lt;&gt;SUMPRODUCT(($Q$1:$AI$1=1)*ROUND(Q417:AI417,15))),"►S",IF(AND(COUNTIF($P$11:$AI$11,"▼")=0,H417&gt;0,I417=""),"◄M","")))))</f>
        <v/>
      </c>
      <c r="K417" s="641" t="s">
        <v>1391</v>
      </c>
      <c r="L417" s="165" t="s">
        <v>764</v>
      </c>
      <c r="M417" s="166">
        <f ca="1">IF($D417&lt;&gt;"Serviço","",
          IF(AUTOEVENTO="manual",$A417,
                IF(ISERROR(MATCH($A417,$A$15:OFFSET($A417,-1,0),0)),MAX($M$15:OFFSET(M417,-1,0))+1,
                      INDEX($M$15:OFFSET(M417,-1,0),MATCH($A417,$A$15:OFFSET($A417,-1,0),0)))))</f>
        <v>7</v>
      </c>
      <c r="N417" s="167" t="str">
        <f ca="1">IF($D417&lt;&gt;"Serviço","",
         IF(AUTOEVENTO="Manual",
                IF($A417=0,"&lt;-- defina o número do agrupador",
                       OFFSET(EVENTOS!$D$15,$A417-$A$15,0)),
                OFFSET($F$15,$A417,0)))</f>
        <v>Instalações Elétricas</v>
      </c>
      <c r="O417" s="168"/>
      <c r="Q417" s="168"/>
      <c r="R417" s="169"/>
      <c r="S417" s="169"/>
      <c r="T417" s="169"/>
      <c r="U417" s="169"/>
      <c r="V417" s="169"/>
      <c r="W417" s="169"/>
      <c r="X417" s="169">
        <v>1</v>
      </c>
      <c r="Y417" s="169"/>
      <c r="Z417" s="170"/>
      <c r="AA417" s="169"/>
      <c r="AB417" s="169"/>
      <c r="AC417" s="169"/>
      <c r="AD417" s="169"/>
      <c r="AE417" s="169"/>
      <c r="AF417" s="169"/>
      <c r="AG417" s="169"/>
      <c r="AH417" s="170"/>
      <c r="AJ417" s="453">
        <f ca="1">IF(AND($D417="Serviço",AJ$12&lt;&gt;0,$H417&gt;0,OR(AUTOEVENTO&lt;&gt;"manual",$M417&lt;&gt;$A$15)),
        IF(Import.TipoArredondamento&lt;&gt;"TransfereGOV",
              ROUND(OFFSET($P417,0,AJ$13),15-13*ORÇAMENTO!$AF$7)/$H417*OFFSET(ORÇAMENTO!$X$15,ROW(AJ417)-ROW(AJ$15),0),
              ROUND(ROUND(OFFSET($P417,0,AJ$13),15-13*ORÇAMENTO!$AF$7)*OFFSET(ORÇAMENTO!$W$15,ROW(AJ417)-ROW(AJ$15),0),15-13*ORÇAMENTO!$AF$11)),
         0)</f>
        <v>0</v>
      </c>
      <c r="AK417" s="453">
        <f ca="1">IF(AND($D417="Serviço",AK$12&lt;&gt;0,$H417&gt;0,OR(AUTOEVENTO&lt;&gt;"manual",$M417&lt;&gt;$A$15)),
        IF(Import.TipoArredondamento&lt;&gt;"TransfereGOV",
              ROUND(OFFSET($P417,0,AK$13),15-13*ORÇAMENTO!$AF$7)/$H417*OFFSET(ORÇAMENTO!$X$15,ROW(AK417)-ROW(AK$15),0),
              ROUND(ROUND(OFFSET($P417,0,AK$13),15-13*ORÇAMENTO!$AF$7)*OFFSET(ORÇAMENTO!$W$15,ROW(AK417)-ROW(AK$15),0),15-13*ORÇAMENTO!$AF$11)),
         0)</f>
        <v>0</v>
      </c>
      <c r="AL417" s="453">
        <f ca="1">IF(AND($D417="Serviço",AL$12&lt;&gt;0,$H417&gt;0,OR(AUTOEVENTO&lt;&gt;"manual",$M417&lt;&gt;$A$15)),
        IF(Import.TipoArredondamento&lt;&gt;"TransfereGOV",
              ROUND(OFFSET($P417,0,AL$13),15-13*ORÇAMENTO!$AF$7)/$H417*OFFSET(ORÇAMENTO!$X$15,ROW(AL417)-ROW(AL$15),0),
              ROUND(ROUND(OFFSET($P417,0,AL$13),15-13*ORÇAMENTO!$AF$7)*OFFSET(ORÇAMENTO!$W$15,ROW(AL417)-ROW(AL$15),0),15-13*ORÇAMENTO!$AF$11)),
         0)</f>
        <v>0</v>
      </c>
      <c r="AM417" s="453">
        <f ca="1">IF(AND($D417="Serviço",AM$12&lt;&gt;0,$H417&gt;0,OR(AUTOEVENTO&lt;&gt;"manual",$M417&lt;&gt;$A$15)),
        IF(Import.TipoArredondamento&lt;&gt;"TransfereGOV",
              ROUND(OFFSET($P417,0,AM$13),15-13*ORÇAMENTO!$AF$7)/$H417*OFFSET(ORÇAMENTO!$X$15,ROW(AM417)-ROW(AM$15),0),
              ROUND(ROUND(OFFSET($P417,0,AM$13),15-13*ORÇAMENTO!$AF$7)*OFFSET(ORÇAMENTO!$W$15,ROW(AM417)-ROW(AM$15),0),15-13*ORÇAMENTO!$AF$11)),
         0)</f>
        <v>0</v>
      </c>
      <c r="AN417" s="453">
        <f ca="1">IF(AND($D417="Serviço",AN$12&lt;&gt;0,$H417&gt;0,OR(AUTOEVENTO&lt;&gt;"manual",$M417&lt;&gt;$A$15)),
        IF(Import.TipoArredondamento&lt;&gt;"TransfereGOV",
              ROUND(OFFSET($P417,0,AN$13),15-13*ORÇAMENTO!$AF$7)/$H417*OFFSET(ORÇAMENTO!$X$15,ROW(AN417)-ROW(AN$15),0),
              ROUND(ROUND(OFFSET($P417,0,AN$13),15-13*ORÇAMENTO!$AF$7)*OFFSET(ORÇAMENTO!$W$15,ROW(AN417)-ROW(AN$15),0),15-13*ORÇAMENTO!$AF$11)),
         0)</f>
        <v>0</v>
      </c>
      <c r="AO417" s="453">
        <f ca="1">IF(AND($D417="Serviço",AO$12&lt;&gt;0,$H417&gt;0,OR(AUTOEVENTO&lt;&gt;"manual",$M417&lt;&gt;$A$15)),
        IF(Import.TipoArredondamento&lt;&gt;"TransfereGOV",
              ROUND(OFFSET($P417,0,AO$13),15-13*ORÇAMENTO!$AF$7)/$H417*OFFSET(ORÇAMENTO!$X$15,ROW(AO417)-ROW(AO$15),0),
              ROUND(ROUND(OFFSET($P417,0,AO$13),15-13*ORÇAMENTO!$AF$7)*OFFSET(ORÇAMENTO!$W$15,ROW(AO417)-ROW(AO$15),0),15-13*ORÇAMENTO!$AF$11)),
         0)</f>
        <v>0</v>
      </c>
      <c r="AP417" s="453">
        <f ca="1">IF(AND($D417="Serviço",AP$12&lt;&gt;0,$H417&gt;0,OR(AUTOEVENTO&lt;&gt;"manual",$M417&lt;&gt;$A$15)),
        IF(Import.TipoArredondamento&lt;&gt;"TransfereGOV",
              ROUND(OFFSET($P417,0,AP$13),15-13*ORÇAMENTO!$AF$7)/$H417*OFFSET(ORÇAMENTO!$X$15,ROW(AP417)-ROW(AP$15),0),
              ROUND(ROUND(OFFSET($P417,0,AP$13),15-13*ORÇAMENTO!$AF$7)*OFFSET(ORÇAMENTO!$W$15,ROW(AP417)-ROW(AP$15),0),15-13*ORÇAMENTO!$AF$11)),
         0)</f>
        <v>0</v>
      </c>
      <c r="AQ417" s="453">
        <f ca="1">IF(AND($D417="Serviço",AQ$12&lt;&gt;0,$H417&gt;0,OR(AUTOEVENTO&lt;&gt;"manual",$M417&lt;&gt;$A$15)),
        IF(Import.TipoArredondamento&lt;&gt;"TransfereGOV",
              ROUND(OFFSET($P417,0,AQ$13),15-13*ORÇAMENTO!$AF$7)/$H417*OFFSET(ORÇAMENTO!$X$15,ROW(AQ417)-ROW(AQ$15),0),
              ROUND(ROUND(OFFSET($P417,0,AQ$13),15-13*ORÇAMENTO!$AF$7)*OFFSET(ORÇAMENTO!$W$15,ROW(AQ417)-ROW(AQ$15),0),15-13*ORÇAMENTO!$AF$11)),
         0)</f>
        <v>0</v>
      </c>
      <c r="AR417" s="453">
        <f ca="1">IF(AND($D417="Serviço",AR$12&lt;&gt;0,$H417&gt;0,OR(AUTOEVENTO&lt;&gt;"manual",$M417&lt;&gt;$A$15)),
        IF(Import.TipoArredondamento&lt;&gt;"TransfereGOV",
              ROUND(OFFSET($P417,0,AR$13),15-13*ORÇAMENTO!$AF$7)/$H417*OFFSET(ORÇAMENTO!$X$15,ROW(AR417)-ROW(AR$15),0),
              ROUND(ROUND(OFFSET($P417,0,AR$13),15-13*ORÇAMENTO!$AF$7)*OFFSET(ORÇAMENTO!$W$15,ROW(AR417)-ROW(AR$15),0),15-13*ORÇAMENTO!$AF$11)),
         0)</f>
        <v>0</v>
      </c>
      <c r="AS417" s="453">
        <f ca="1">IF(AND($D417="Serviço",AS$12&lt;&gt;0,$H417&gt;0,OR(AUTOEVENTO&lt;&gt;"manual",$M417&lt;&gt;$A$15)),
        IF(Import.TipoArredondamento&lt;&gt;"TransfereGOV",
              ROUND(OFFSET($P417,0,AS$13),15-13*ORÇAMENTO!$AF$7)/$H417*OFFSET(ORÇAMENTO!$X$15,ROW(AS417)-ROW(AS$15),0),
              ROUND(ROUND(OFFSET($P417,0,AS$13),15-13*ORÇAMENTO!$AF$7)*OFFSET(ORÇAMENTO!$W$15,ROW(AS417)-ROW(AS$15),0),15-13*ORÇAMENTO!$AF$11)),
         0)</f>
        <v>0</v>
      </c>
      <c r="AT417" s="453">
        <f ca="1">IF(AND($D417="Serviço",AT$12&lt;&gt;0,$H417&gt;0,OR(AUTOEVENTO&lt;&gt;"manual",$M417&lt;&gt;$A$15)),
        IF(Import.TipoArredondamento&lt;&gt;"TransfereGOV",
              ROUND(OFFSET($P417,0,AT$13),15-13*ORÇAMENTO!$AF$7)/$H417*OFFSET(ORÇAMENTO!$X$15,ROW(AT417)-ROW(AT$15),0),
              ROUND(ROUND(OFFSET($P417,0,AT$13),15-13*ORÇAMENTO!$AF$7)*OFFSET(ORÇAMENTO!$W$15,ROW(AT417)-ROW(AT$15),0),15-13*ORÇAMENTO!$AF$11)),
         0)</f>
        <v>0</v>
      </c>
      <c r="AU417" s="453">
        <f ca="1">IF(AND($D417="Serviço",AU$12&lt;&gt;0,$H417&gt;0,OR(AUTOEVENTO&lt;&gt;"manual",$M417&lt;&gt;$A$15)),
        IF(Import.TipoArredondamento&lt;&gt;"TransfereGOV",
              ROUND(OFFSET($P417,0,AU$13),15-13*ORÇAMENTO!$AF$7)/$H417*OFFSET(ORÇAMENTO!$X$15,ROW(AU417)-ROW(AU$15),0),
              ROUND(ROUND(OFFSET($P417,0,AU$13),15-13*ORÇAMENTO!$AF$7)*OFFSET(ORÇAMENTO!$W$15,ROW(AU417)-ROW(AU$15),0),15-13*ORÇAMENTO!$AF$11)),
         0)</f>
        <v>0</v>
      </c>
      <c r="AV417" s="453">
        <f ca="1">IF(AND($D417="Serviço",AV$12&lt;&gt;0,$H417&gt;0,OR(AUTOEVENTO&lt;&gt;"manual",$M417&lt;&gt;$A$15)),
        IF(Import.TipoArredondamento&lt;&gt;"TransfereGOV",
              ROUND(OFFSET($P417,0,AV$13),15-13*ORÇAMENTO!$AF$7)/$H417*OFFSET(ORÇAMENTO!$X$15,ROW(AV417)-ROW(AV$15),0),
              ROUND(ROUND(OFFSET($P417,0,AV$13),15-13*ORÇAMENTO!$AF$7)*OFFSET(ORÇAMENTO!$W$15,ROW(AV417)-ROW(AV$15),0),15-13*ORÇAMENTO!$AF$11)),
         0)</f>
        <v>0</v>
      </c>
      <c r="AW417" s="453">
        <f ca="1">IF(AND($D417="Serviço",AW$12&lt;&gt;0,$H417&gt;0,OR(AUTOEVENTO&lt;&gt;"manual",$M417&lt;&gt;$A$15)),
        IF(Import.TipoArredondamento&lt;&gt;"TransfereGOV",
              ROUND(OFFSET($P417,0,AW$13),15-13*ORÇAMENTO!$AF$7)/$H417*OFFSET(ORÇAMENTO!$X$15,ROW(AW417)-ROW(AW$15),0),
              ROUND(ROUND(OFFSET($P417,0,AW$13),15-13*ORÇAMENTO!$AF$7)*OFFSET(ORÇAMENTO!$W$15,ROW(AW417)-ROW(AW$15),0),15-13*ORÇAMENTO!$AF$11)),
         0)</f>
        <v>0</v>
      </c>
      <c r="AX417" s="453">
        <f ca="1">IF(AND($D417="Serviço",AX$12&lt;&gt;0,$H417&gt;0,OR(AUTOEVENTO&lt;&gt;"manual",$M417&lt;&gt;$A$15)),
        IF(Import.TipoArredondamento&lt;&gt;"TransfereGOV",
              ROUND(OFFSET($P417,0,AX$13),15-13*ORÇAMENTO!$AF$7)/$H417*OFFSET(ORÇAMENTO!$X$15,ROW(AX417)-ROW(AX$15),0),
              ROUND(ROUND(OFFSET($P417,0,AX$13),15-13*ORÇAMENTO!$AF$7)*OFFSET(ORÇAMENTO!$W$15,ROW(AX417)-ROW(AX$15),0),15-13*ORÇAMENTO!$AF$11)),
         0)</f>
        <v>0</v>
      </c>
      <c r="AY417" s="453">
        <f ca="1">IF(AND($D417="Serviço",AY$12&lt;&gt;0,$H417&gt;0,OR(AUTOEVENTO&lt;&gt;"manual",$M417&lt;&gt;$A$15)),
        IF(Import.TipoArredondamento&lt;&gt;"TransfereGOV",
              ROUND(OFFSET($P417,0,AY$13),15-13*ORÇAMENTO!$AF$7)/$H417*OFFSET(ORÇAMENTO!$X$15,ROW(AY417)-ROW(AY$15),0),
              ROUND(ROUND(OFFSET($P417,0,AY$13),15-13*ORÇAMENTO!$AF$7)*OFFSET(ORÇAMENTO!$W$15,ROW(AY417)-ROW(AY$15),0),15-13*ORÇAMENTO!$AF$11)),
         0)</f>
        <v>0</v>
      </c>
      <c r="AZ417" s="453">
        <f ca="1">IF(AND($D417="Serviço",AZ$12&lt;&gt;0,$H417&gt;0,OR(AUTOEVENTO&lt;&gt;"manual",$M417&lt;&gt;$A$15)),
        IF(Import.TipoArredondamento&lt;&gt;"TransfereGOV",
              ROUND(OFFSET($P417,0,AZ$13),15-13*ORÇAMENTO!$AF$7)/$H417*OFFSET(ORÇAMENTO!$X$15,ROW(AZ417)-ROW(AZ$15),0),
              ROUND(ROUND(OFFSET($P417,0,AZ$13),15-13*ORÇAMENTO!$AF$7)*OFFSET(ORÇAMENTO!$W$15,ROW(AZ417)-ROW(AZ$15),0),15-13*ORÇAMENTO!$AF$11)),
         0)</f>
        <v>0</v>
      </c>
      <c r="BA417" s="453">
        <f ca="1">IF(AND($D417="Serviço",BA$12&lt;&gt;0,$H417&gt;0,OR(AUTOEVENTO&lt;&gt;"manual",$M417&lt;&gt;$A$15)),
        IF(Import.TipoArredondamento&lt;&gt;"TransfereGOV",
              ROUND(OFFSET($P417,0,BA$13),15-13*ORÇAMENTO!$AF$7)/$H417*OFFSET(ORÇAMENTO!$X$15,ROW(BA417)-ROW(BA$15),0),
              ROUND(ROUND(OFFSET($P417,0,BA$13),15-13*ORÇAMENTO!$AF$7)*OFFSET(ORÇAMENTO!$W$15,ROW(BA417)-ROW(BA$15),0),15-13*ORÇAMENTO!$AF$11)),
         0)</f>
        <v>0</v>
      </c>
      <c r="BC417" s="171">
        <f ca="1">IF(OR($D417&lt;&gt;"Serviço",AND(AUTOEVENTO="Manual",$M417=$A$15)),0,
         IF(OFFSET(CRONOPLE!$F$15,$M417-$A$15,BC$13)=0,10^12,OFFSET(CRONOPLE!$F$15,$M417-$A$15,BC$13)))</f>
        <v>1</v>
      </c>
      <c r="BD417" s="171">
        <f ca="1">IF(OR($D417&lt;&gt;"Serviço",AND(AUTOEVENTO="Manual",$M417=$A$15)),0,
         IF(OFFSET(CRONOPLE!$F$15,$M417-$A$15,BD$13)=0,10^12,OFFSET(CRONOPLE!$F$15,$M417-$A$15,BD$13)))</f>
        <v>2</v>
      </c>
      <c r="BE417" s="171">
        <f ca="1">IF(OR($D417&lt;&gt;"Serviço",AND(AUTOEVENTO="Manual",$M417=$A$15)),0,
         IF(OFFSET(CRONOPLE!$F$15,$M417-$A$15,BE$13)=0,10^12,OFFSET(CRONOPLE!$F$15,$M417-$A$15,BE$13)))</f>
        <v>3</v>
      </c>
      <c r="BF417" s="171">
        <f ca="1">IF(OR($D417&lt;&gt;"Serviço",AND(AUTOEVENTO="Manual",$M417=$A$15)),0,
         IF(OFFSET(CRONOPLE!$F$15,$M417-$A$15,BF$13)=0,10^12,OFFSET(CRONOPLE!$F$15,$M417-$A$15,BF$13)))</f>
        <v>4</v>
      </c>
      <c r="BG417" s="171">
        <f ca="1">IF(OR($D417&lt;&gt;"Serviço",AND(AUTOEVENTO="Manual",$M417=$A$15)),0,
         IF(OFFSET(CRONOPLE!$F$15,$M417-$A$15,BG$13)=0,10^12,OFFSET(CRONOPLE!$F$15,$M417-$A$15,BG$13)))</f>
        <v>5</v>
      </c>
      <c r="BH417" s="171">
        <f ca="1">IF(OR($D417&lt;&gt;"Serviço",AND(AUTOEVENTO="Manual",$M417=$A$15)),0,
         IF(OFFSET(CRONOPLE!$F$15,$M417-$A$15,BH$13)=0,10^12,OFFSET(CRONOPLE!$F$15,$M417-$A$15,BH$13)))</f>
        <v>6</v>
      </c>
      <c r="BI417" s="171">
        <f ca="1">IF(OR($D417&lt;&gt;"Serviço",AND(AUTOEVENTO="Manual",$M417=$A$15)),0,
         IF(OFFSET(CRONOPLE!$F$15,$M417-$A$15,BI$13)=0,10^12,OFFSET(CRONOPLE!$F$15,$M417-$A$15,BI$13)))</f>
        <v>7</v>
      </c>
      <c r="BJ417" s="171">
        <f ca="1">IF(OR($D417&lt;&gt;"Serviço",AND(AUTOEVENTO="Manual",$M417=$A$15)),0,
         IF(OFFSET(CRONOPLE!$F$15,$M417-$A$15,BJ$13)=0,10^12,OFFSET(CRONOPLE!$F$15,$M417-$A$15,BJ$13)))</f>
        <v>8</v>
      </c>
      <c r="BK417" s="171">
        <f ca="1">IF(OR($D417&lt;&gt;"Serviço",AND(AUTOEVENTO="Manual",$M417=$A$15)),0,
         IF(OFFSET(CRONOPLE!$F$15,$M417-$A$15,BK$13)=0,10^12,OFFSET(CRONOPLE!$F$15,$M417-$A$15,BK$13)))</f>
        <v>9</v>
      </c>
      <c r="BL417" s="171">
        <f ca="1">IF(OR($D417&lt;&gt;"Serviço",AND(AUTOEVENTO="Manual",$M417=$A$15)),0,
         IF(OFFSET(CRONOPLE!$F$15,$M417-$A$15,BL$13)=0,10^12,OFFSET(CRONOPLE!$F$15,$M417-$A$15,BL$13)))</f>
        <v>1000000000000</v>
      </c>
      <c r="BM417" s="171">
        <f ca="1">IF(OR($D417&lt;&gt;"Serviço",AND(AUTOEVENTO="Manual",$M417=$A$15)),0,
         IF(OFFSET(CRONOPLE!$F$15,$M417-$A$15,BM$13)=0,10^12,OFFSET(CRONOPLE!$F$15,$M417-$A$15,BM$13)))</f>
        <v>1000000000000</v>
      </c>
      <c r="BN417" s="171">
        <f ca="1">IF(OR($D417&lt;&gt;"Serviço",AND(AUTOEVENTO="Manual",$M417=$A$15)),0,
         IF(OFFSET(CRONOPLE!$F$15,$M417-$A$15,BN$13)=0,10^12,OFFSET(CRONOPLE!$F$15,$M417-$A$15,BN$13)))</f>
        <v>1000000000000</v>
      </c>
      <c r="BO417" s="171">
        <f ca="1">IF(OR($D417&lt;&gt;"Serviço",AND(AUTOEVENTO="Manual",$M417=$A$15)),0,
         IF(OFFSET(CRONOPLE!$F$15,$M417-$A$15,BO$13)=0,10^12,OFFSET(CRONOPLE!$F$15,$M417-$A$15,BO$13)))</f>
        <v>1000000000000</v>
      </c>
      <c r="BP417" s="171">
        <f ca="1">IF(OR($D417&lt;&gt;"Serviço",AND(AUTOEVENTO="Manual",$M417=$A$15)),0,
         IF(OFFSET(CRONOPLE!$F$15,$M417-$A$15,BP$13)=0,10^12,OFFSET(CRONOPLE!$F$15,$M417-$A$15,BP$13)))</f>
        <v>1000000000000</v>
      </c>
      <c r="BQ417" s="171">
        <f ca="1">IF(OR($D417&lt;&gt;"Serviço",AND(AUTOEVENTO="Manual",$M417=$A$15)),0,
         IF(OFFSET(CRONOPLE!$F$15,$M417-$A$15,BQ$13)=0,10^12,OFFSET(CRONOPLE!$F$15,$M417-$A$15,BQ$13)))</f>
        <v>1000000000000</v>
      </c>
      <c r="BR417" s="171">
        <f ca="1">IF(OR($D417&lt;&gt;"Serviço",AND(AUTOEVENTO="Manual",$M417=$A$15)),0,
         IF(OFFSET(CRONOPLE!$F$15,$M417-$A$15,BR$13)=0,10^12,OFFSET(CRONOPLE!$F$15,$M417-$A$15,BR$13)))</f>
        <v>1000000000000</v>
      </c>
      <c r="BS417" s="171">
        <f ca="1">IF(OR($D417&lt;&gt;"Serviço",AND(AUTOEVENTO="Manual",$M417=$A$15)),0,
         IF(OFFSET(CRONOPLE!$F$15,$M417-$A$15,BS$13)=0,10^12,OFFSET(CRONOPLE!$F$15,$M417-$A$15,BS$13)))</f>
        <v>1000000000000</v>
      </c>
      <c r="BT417" s="171">
        <f ca="1">IF(OR($D417&lt;&gt;"Serviço",AND(AUTOEVENTO="Manual",$M417=$A$15)),0,
         IF(OFFSET(CRONOPLE!$F$15,$M417-$A$15,BT$13)=0,10^12,OFFSET(CRONOPLE!$F$15,$M417-$A$15,BT$13)))</f>
        <v>1000000000000</v>
      </c>
      <c r="BV417" s="172">
        <f ca="1">IF(OR($D417&lt;&gt;"Serviço",AND(AUTOEVENTO="Manual",$M417=$A$15),$M417&gt;(ROW(PLE.lastrow)-ROW(PLE.firstrow))),0,
           IF(OFFSET(PLE!$G$15,$M417-$A$15,BV$13)="",10^12,OFFSET(PLE!$G$15,$M417-$A$15,BV$13)))</f>
        <v>1000000000000</v>
      </c>
      <c r="BW417" s="172">
        <f ca="1">IF(OR($D417&lt;&gt;"Serviço",AND(AUTOEVENTO="Manual",$M417=$A$15),$M417&gt;(ROW(PLE.lastrow)-ROW(PLE.firstrow))),0,
           IF(OFFSET(PLE!$G$15,$M417-$A$15,BW$13)="",10^12,OFFSET(PLE!$G$15,$M417-$A$15,BW$13)))</f>
        <v>1000000000000</v>
      </c>
      <c r="BX417" s="172">
        <f ca="1">IF(OR($D417&lt;&gt;"Serviço",AND(AUTOEVENTO="Manual",$M417=$A$15),$M417&gt;(ROW(PLE.lastrow)-ROW(PLE.firstrow))),0,
           IF(OFFSET(PLE!$G$15,$M417-$A$15,BX$13)="",10^12,OFFSET(PLE!$G$15,$M417-$A$15,BX$13)))</f>
        <v>1000000000000</v>
      </c>
      <c r="BY417" s="172">
        <f ca="1">IF(OR($D417&lt;&gt;"Serviço",AND(AUTOEVENTO="Manual",$M417=$A$15),$M417&gt;(ROW(PLE.lastrow)-ROW(PLE.firstrow))),0,
           IF(OFFSET(PLE!$G$15,$M417-$A$15,BY$13)="",10^12,OFFSET(PLE!$G$15,$M417-$A$15,BY$13)))</f>
        <v>1000000000000</v>
      </c>
      <c r="BZ417" s="172">
        <f ca="1">IF(OR($D417&lt;&gt;"Serviço",AND(AUTOEVENTO="Manual",$M417=$A$15),$M417&gt;(ROW(PLE.lastrow)-ROW(PLE.firstrow))),0,
           IF(OFFSET(PLE!$G$15,$M417-$A$15,BZ$13)="",10^12,OFFSET(PLE!$G$15,$M417-$A$15,BZ$13)))</f>
        <v>1000000000000</v>
      </c>
      <c r="CA417" s="172">
        <f ca="1">IF(OR($D417&lt;&gt;"Serviço",AND(AUTOEVENTO="Manual",$M417=$A$15),$M417&gt;(ROW(PLE.lastrow)-ROW(PLE.firstrow))),0,
           IF(OFFSET(PLE!$G$15,$M417-$A$15,CA$13)="",10^12,OFFSET(PLE!$G$15,$M417-$A$15,CA$13)))</f>
        <v>1000000000000</v>
      </c>
      <c r="CB417" s="172">
        <f ca="1">IF(OR($D417&lt;&gt;"Serviço",AND(AUTOEVENTO="Manual",$M417=$A$15),$M417&gt;(ROW(PLE.lastrow)-ROW(PLE.firstrow))),0,
           IF(OFFSET(PLE!$G$15,$M417-$A$15,CB$13)="",10^12,OFFSET(PLE!$G$15,$M417-$A$15,CB$13)))</f>
        <v>1000000000000</v>
      </c>
      <c r="CC417" s="172">
        <f ca="1">IF(OR($D417&lt;&gt;"Serviço",AND(AUTOEVENTO="Manual",$M417=$A$15),$M417&gt;(ROW(PLE.lastrow)-ROW(PLE.firstrow))),0,
           IF(OFFSET(PLE!$G$15,$M417-$A$15,CC$13)="",10^12,OFFSET(PLE!$G$15,$M417-$A$15,CC$13)))</f>
        <v>1000000000000</v>
      </c>
      <c r="CD417" s="172">
        <f ca="1">IF(OR($D417&lt;&gt;"Serviço",AND(AUTOEVENTO="Manual",$M417=$A$15),$M417&gt;(ROW(PLE.lastrow)-ROW(PLE.firstrow))),0,
           IF(OFFSET(PLE!$G$15,$M417-$A$15,CD$13)="",10^12,OFFSET(PLE!$G$15,$M417-$A$15,CD$13)))</f>
        <v>1000000000000</v>
      </c>
      <c r="CE417" s="172">
        <f ca="1">IF(OR($D417&lt;&gt;"Serviço",AND(AUTOEVENTO="Manual",$M417=$A$15),$M417&gt;(ROW(PLE.lastrow)-ROW(PLE.firstrow))),0,
           IF(OFFSET(PLE!$G$15,$M417-$A$15,CE$13)="",10^12,OFFSET(PLE!$G$15,$M417-$A$15,CE$13)))</f>
        <v>1000000000000</v>
      </c>
      <c r="CF417" s="172">
        <f ca="1">IF(OR($D417&lt;&gt;"Serviço",AND(AUTOEVENTO="Manual",$M417=$A$15),$M417&gt;(ROW(PLE.lastrow)-ROW(PLE.firstrow))),0,
           IF(OFFSET(PLE!$G$15,$M417-$A$15,CF$13)="",10^12,OFFSET(PLE!$G$15,$M417-$A$15,CF$13)))</f>
        <v>1000000000000</v>
      </c>
      <c r="CG417" s="172">
        <f ca="1">IF(OR($D417&lt;&gt;"Serviço",AND(AUTOEVENTO="Manual",$M417=$A$15),$M417&gt;(ROW(PLE.lastrow)-ROW(PLE.firstrow))),0,
           IF(OFFSET(PLE!$G$15,$M417-$A$15,CG$13)="",10^12,OFFSET(PLE!$G$15,$M417-$A$15,CG$13)))</f>
        <v>1000000000000</v>
      </c>
      <c r="CH417" s="172">
        <f ca="1">IF(OR($D417&lt;&gt;"Serviço",AND(AUTOEVENTO="Manual",$M417=$A$15),$M417&gt;(ROW(PLE.lastrow)-ROW(PLE.firstrow))),0,
           IF(OFFSET(PLE!$G$15,$M417-$A$15,CH$13)="",10^12,OFFSET(PLE!$G$15,$M417-$A$15,CH$13)))</f>
        <v>1000000000000</v>
      </c>
      <c r="CI417" s="172">
        <f ca="1">IF(OR($D417&lt;&gt;"Serviço",AND(AUTOEVENTO="Manual",$M417=$A$15),$M417&gt;(ROW(PLE.lastrow)-ROW(PLE.firstrow))),0,
           IF(OFFSET(PLE!$G$15,$M417-$A$15,CI$13)="",10^12,OFFSET(PLE!$G$15,$M417-$A$15,CI$13)))</f>
        <v>1000000000000</v>
      </c>
      <c r="CJ417" s="172">
        <f ca="1">IF(OR($D417&lt;&gt;"Serviço",AND(AUTOEVENTO="Manual",$M417=$A$15),$M417&gt;(ROW(PLE.lastrow)-ROW(PLE.firstrow))),0,
           IF(OFFSET(PLE!$G$15,$M417-$A$15,CJ$13)="",10^12,OFFSET(PLE!$G$15,$M417-$A$15,CJ$13)))</f>
        <v>1000000000000</v>
      </c>
      <c r="CK417" s="172">
        <f ca="1">IF(OR($D417&lt;&gt;"Serviço",AND(AUTOEVENTO="Manual",$M417=$A$15),$M417&gt;(ROW(PLE.lastrow)-ROW(PLE.firstrow))),0,
           IF(OFFSET(PLE!$G$15,$M417-$A$15,CK$13)="",10^12,OFFSET(PLE!$G$15,$M417-$A$15,CK$13)))</f>
        <v>1000000000000</v>
      </c>
      <c r="CL417" s="172">
        <f ca="1">IF(OR($D417&lt;&gt;"Serviço",AND(AUTOEVENTO="Manual",$M417=$A$15),$M417&gt;(ROW(PLE.lastrow)-ROW(PLE.firstrow))),0,
           IF(OFFSET(PLE!$G$15,$M417-$A$15,CL$13)="",10^12,OFFSET(PLE!$G$15,$M417-$A$15,CL$13)))</f>
        <v>1000000000000</v>
      </c>
      <c r="CM417" s="172">
        <f ca="1">IF(OR($D417&lt;&gt;"Serviço",AND(AUTOEVENTO="Manual",$M417=$A$15),$M417&gt;(ROW(PLE.lastrow)-ROW(PLE.firstrow))),0,
           IF(OFFSET(PLE!$G$15,$M417-$A$15,CM$13)="",10^12,OFFSET(PLE!$G$15,$M417-$A$15,CM$13)))</f>
        <v>1000000000000</v>
      </c>
    </row>
    <row r="418" spans="1:91" ht="38.25" x14ac:dyDescent="0.2">
      <c r="A418" s="7">
        <f t="shared" ca="1" si="16"/>
        <v>7</v>
      </c>
      <c r="B418" s="7" t="str">
        <f ca="1">OFFSET(ORÇAMENTO!C$15,ROW(B418)-ROW(B$15),0)</f>
        <v>S</v>
      </c>
      <c r="C418" s="7" t="str">
        <f ca="1">OFFSET(ORÇAMENTO!L$15,ROW(C418)-ROW(C$15),0)</f>
        <v>F</v>
      </c>
      <c r="D418" s="116" t="str">
        <f ca="1">OFFSET(ORÇAMENTO!N$15,ROW(D418)-ROW(D$15),0)</f>
        <v>Serviço</v>
      </c>
      <c r="E418" s="117" t="str">
        <f ca="1">OFFSET(ORÇAMENTO!O$15,ROW(E418)-ROW(E$15),0)</f>
        <v>1.8.2.4.8.</v>
      </c>
      <c r="F418" s="163" t="str">
        <f ca="1">OFFSET(ORÇAMENTO!R$15,ROW(F418)-ROW(F$15),0)</f>
        <v>AUTOTRANSFORMADOR TRIFÁSICO 1.01kVA E/S 220/440V 60Hz IP00, FORNECIMENTO E INSTALAÇÃO - BASEADO EM SIURB (9014034)</v>
      </c>
      <c r="G418" s="164" t="str">
        <f ca="1">IF($D418&lt;&gt;"Serviço","",OFFSET(ORÇAMENTO!S$15,ROW(G418)-ROW(G$15),0))</f>
        <v>UN</v>
      </c>
      <c r="H418" s="122" cm="1">
        <f t="array" aca="1" ref="H418" ca="1">IF($D418&lt;&gt;"Serviço",0,IF(ACOMPANHAMENTO="BM",ROUND(OFFSET(ORÇAMENTO!AJ$15,ROW(H418)-ROW(H$15),0),15-13*ORÇAMENTO!$AF$7),SUMPRODUCT(($Q$1:$AI$1=1)*ROUND($Q418:$AI418,15-13*ORÇAMENTO!$AF$7))))</f>
        <v>1</v>
      </c>
      <c r="I418" s="468" t="s">
        <v>1431</v>
      </c>
      <c r="J418" s="640" t="str" cm="1">
        <f t="array" aca="1" ref="J418" ca="1">IF(OR(B418&lt;&gt;"S",CÁLCULO.FrentesPreenchidas=0),"",IF(AND(ACOMPANHAMENTO="PLE",AUTOEVENTO="Manual",OR(H418&gt;0,ORÇAMENTO!AC418="QUANT."),OR(K418="",M418=0,N418="")),"►E",IF(AND(ACOMPANHAMENTO="PLE",ORÇAMENTO!AC418="QUANT."),"►Q",IF(AND(ACOMPANHAMENTO="PLE",H418&lt;&gt;SUMPRODUCT(($Q$1:$AI$1=1)*ROUND(Q418:AI418,15))),"►S",IF(AND(COUNTIF($P$11:$AI$11,"▼")=0,H418&gt;0,I418=""),"◄M","")))))</f>
        <v/>
      </c>
      <c r="K418" s="641" t="s">
        <v>1391</v>
      </c>
      <c r="L418" s="165" t="s">
        <v>764</v>
      </c>
      <c r="M418" s="166">
        <f ca="1">IF($D418&lt;&gt;"Serviço","",
          IF(AUTOEVENTO="manual",$A418,
                IF(ISERROR(MATCH($A418,$A$15:OFFSET($A418,-1,0),0)),MAX($M$15:OFFSET(M418,-1,0))+1,
                      INDEX($M$15:OFFSET(M418,-1,0),MATCH($A418,$A$15:OFFSET($A418,-1,0),0)))))</f>
        <v>7</v>
      </c>
      <c r="N418" s="167" t="str">
        <f ca="1">IF($D418&lt;&gt;"Serviço","",
         IF(AUTOEVENTO="Manual",
                IF($A418=0,"&lt;-- defina o número do agrupador",
                       OFFSET(EVENTOS!$D$15,$A418-$A$15,0)),
                OFFSET($F$15,$A418,0)))</f>
        <v>Instalações Elétricas</v>
      </c>
      <c r="O418" s="168"/>
      <c r="Q418" s="168"/>
      <c r="R418" s="169"/>
      <c r="S418" s="169"/>
      <c r="T418" s="169"/>
      <c r="U418" s="169"/>
      <c r="V418" s="169"/>
      <c r="W418" s="169"/>
      <c r="X418" s="169">
        <v>1</v>
      </c>
      <c r="Y418" s="169"/>
      <c r="Z418" s="170"/>
      <c r="AA418" s="169"/>
      <c r="AB418" s="169"/>
      <c r="AC418" s="169"/>
      <c r="AD418" s="169"/>
      <c r="AE418" s="169"/>
      <c r="AF418" s="169"/>
      <c r="AG418" s="169"/>
      <c r="AH418" s="170"/>
      <c r="AJ418" s="453">
        <f ca="1">IF(AND($D418="Serviço",AJ$12&lt;&gt;0,$H418&gt;0,OR(AUTOEVENTO&lt;&gt;"manual",$M418&lt;&gt;$A$15)),
        IF(Import.TipoArredondamento&lt;&gt;"TransfereGOV",
              ROUND(OFFSET($P418,0,AJ$13),15-13*ORÇAMENTO!$AF$7)/$H418*OFFSET(ORÇAMENTO!$X$15,ROW(AJ418)-ROW(AJ$15),0),
              ROUND(ROUND(OFFSET($P418,0,AJ$13),15-13*ORÇAMENTO!$AF$7)*OFFSET(ORÇAMENTO!$W$15,ROW(AJ418)-ROW(AJ$15),0),15-13*ORÇAMENTO!$AF$11)),
         0)</f>
        <v>0</v>
      </c>
      <c r="AK418" s="453">
        <f ca="1">IF(AND($D418="Serviço",AK$12&lt;&gt;0,$H418&gt;0,OR(AUTOEVENTO&lt;&gt;"manual",$M418&lt;&gt;$A$15)),
        IF(Import.TipoArredondamento&lt;&gt;"TransfereGOV",
              ROUND(OFFSET($P418,0,AK$13),15-13*ORÇAMENTO!$AF$7)/$H418*OFFSET(ORÇAMENTO!$X$15,ROW(AK418)-ROW(AK$15),0),
              ROUND(ROUND(OFFSET($P418,0,AK$13),15-13*ORÇAMENTO!$AF$7)*OFFSET(ORÇAMENTO!$W$15,ROW(AK418)-ROW(AK$15),0),15-13*ORÇAMENTO!$AF$11)),
         0)</f>
        <v>0</v>
      </c>
      <c r="AL418" s="453">
        <f ca="1">IF(AND($D418="Serviço",AL$12&lt;&gt;0,$H418&gt;0,OR(AUTOEVENTO&lt;&gt;"manual",$M418&lt;&gt;$A$15)),
        IF(Import.TipoArredondamento&lt;&gt;"TransfereGOV",
              ROUND(OFFSET($P418,0,AL$13),15-13*ORÇAMENTO!$AF$7)/$H418*OFFSET(ORÇAMENTO!$X$15,ROW(AL418)-ROW(AL$15),0),
              ROUND(ROUND(OFFSET($P418,0,AL$13),15-13*ORÇAMENTO!$AF$7)*OFFSET(ORÇAMENTO!$W$15,ROW(AL418)-ROW(AL$15),0),15-13*ORÇAMENTO!$AF$11)),
         0)</f>
        <v>0</v>
      </c>
      <c r="AM418" s="453">
        <f ca="1">IF(AND($D418="Serviço",AM$12&lt;&gt;0,$H418&gt;0,OR(AUTOEVENTO&lt;&gt;"manual",$M418&lt;&gt;$A$15)),
        IF(Import.TipoArredondamento&lt;&gt;"TransfereGOV",
              ROUND(OFFSET($P418,0,AM$13),15-13*ORÇAMENTO!$AF$7)/$H418*OFFSET(ORÇAMENTO!$X$15,ROW(AM418)-ROW(AM$15),0),
              ROUND(ROUND(OFFSET($P418,0,AM$13),15-13*ORÇAMENTO!$AF$7)*OFFSET(ORÇAMENTO!$W$15,ROW(AM418)-ROW(AM$15),0),15-13*ORÇAMENTO!$AF$11)),
         0)</f>
        <v>0</v>
      </c>
      <c r="AN418" s="453">
        <f ca="1">IF(AND($D418="Serviço",AN$12&lt;&gt;0,$H418&gt;0,OR(AUTOEVENTO&lt;&gt;"manual",$M418&lt;&gt;$A$15)),
        IF(Import.TipoArredondamento&lt;&gt;"TransfereGOV",
              ROUND(OFFSET($P418,0,AN$13),15-13*ORÇAMENTO!$AF$7)/$H418*OFFSET(ORÇAMENTO!$X$15,ROW(AN418)-ROW(AN$15),0),
              ROUND(ROUND(OFFSET($P418,0,AN$13),15-13*ORÇAMENTO!$AF$7)*OFFSET(ORÇAMENTO!$W$15,ROW(AN418)-ROW(AN$15),0),15-13*ORÇAMENTO!$AF$11)),
         0)</f>
        <v>0</v>
      </c>
      <c r="AO418" s="453">
        <f ca="1">IF(AND($D418="Serviço",AO$12&lt;&gt;0,$H418&gt;0,OR(AUTOEVENTO&lt;&gt;"manual",$M418&lt;&gt;$A$15)),
        IF(Import.TipoArredondamento&lt;&gt;"TransfereGOV",
              ROUND(OFFSET($P418,0,AO$13),15-13*ORÇAMENTO!$AF$7)/$H418*OFFSET(ORÇAMENTO!$X$15,ROW(AO418)-ROW(AO$15),0),
              ROUND(ROUND(OFFSET($P418,0,AO$13),15-13*ORÇAMENTO!$AF$7)*OFFSET(ORÇAMENTO!$W$15,ROW(AO418)-ROW(AO$15),0),15-13*ORÇAMENTO!$AF$11)),
         0)</f>
        <v>0</v>
      </c>
      <c r="AP418" s="453">
        <f ca="1">IF(AND($D418="Serviço",AP$12&lt;&gt;0,$H418&gt;0,OR(AUTOEVENTO&lt;&gt;"manual",$M418&lt;&gt;$A$15)),
        IF(Import.TipoArredondamento&lt;&gt;"TransfereGOV",
              ROUND(OFFSET($P418,0,AP$13),15-13*ORÇAMENTO!$AF$7)/$H418*OFFSET(ORÇAMENTO!$X$15,ROW(AP418)-ROW(AP$15),0),
              ROUND(ROUND(OFFSET($P418,0,AP$13),15-13*ORÇAMENTO!$AF$7)*OFFSET(ORÇAMENTO!$W$15,ROW(AP418)-ROW(AP$15),0),15-13*ORÇAMENTO!$AF$11)),
         0)</f>
        <v>0</v>
      </c>
      <c r="AQ418" s="453">
        <f ca="1">IF(AND($D418="Serviço",AQ$12&lt;&gt;0,$H418&gt;0,OR(AUTOEVENTO&lt;&gt;"manual",$M418&lt;&gt;$A$15)),
        IF(Import.TipoArredondamento&lt;&gt;"TransfereGOV",
              ROUND(OFFSET($P418,0,AQ$13),15-13*ORÇAMENTO!$AF$7)/$H418*OFFSET(ORÇAMENTO!$X$15,ROW(AQ418)-ROW(AQ$15),0),
              ROUND(ROUND(OFFSET($P418,0,AQ$13),15-13*ORÇAMENTO!$AF$7)*OFFSET(ORÇAMENTO!$W$15,ROW(AQ418)-ROW(AQ$15),0),15-13*ORÇAMENTO!$AF$11)),
         0)</f>
        <v>0</v>
      </c>
      <c r="AR418" s="453">
        <f ca="1">IF(AND($D418="Serviço",AR$12&lt;&gt;0,$H418&gt;0,OR(AUTOEVENTO&lt;&gt;"manual",$M418&lt;&gt;$A$15)),
        IF(Import.TipoArredondamento&lt;&gt;"TransfereGOV",
              ROUND(OFFSET($P418,0,AR$13),15-13*ORÇAMENTO!$AF$7)/$H418*OFFSET(ORÇAMENTO!$X$15,ROW(AR418)-ROW(AR$15),0),
              ROUND(ROUND(OFFSET($P418,0,AR$13),15-13*ORÇAMENTO!$AF$7)*OFFSET(ORÇAMENTO!$W$15,ROW(AR418)-ROW(AR$15),0),15-13*ORÇAMENTO!$AF$11)),
         0)</f>
        <v>0</v>
      </c>
      <c r="AS418" s="453">
        <f ca="1">IF(AND($D418="Serviço",AS$12&lt;&gt;0,$H418&gt;0,OR(AUTOEVENTO&lt;&gt;"manual",$M418&lt;&gt;$A$15)),
        IF(Import.TipoArredondamento&lt;&gt;"TransfereGOV",
              ROUND(OFFSET($P418,0,AS$13),15-13*ORÇAMENTO!$AF$7)/$H418*OFFSET(ORÇAMENTO!$X$15,ROW(AS418)-ROW(AS$15),0),
              ROUND(ROUND(OFFSET($P418,0,AS$13),15-13*ORÇAMENTO!$AF$7)*OFFSET(ORÇAMENTO!$W$15,ROW(AS418)-ROW(AS$15),0),15-13*ORÇAMENTO!$AF$11)),
         0)</f>
        <v>0</v>
      </c>
      <c r="AT418" s="453">
        <f ca="1">IF(AND($D418="Serviço",AT$12&lt;&gt;0,$H418&gt;0,OR(AUTOEVENTO&lt;&gt;"manual",$M418&lt;&gt;$A$15)),
        IF(Import.TipoArredondamento&lt;&gt;"TransfereGOV",
              ROUND(OFFSET($P418,0,AT$13),15-13*ORÇAMENTO!$AF$7)/$H418*OFFSET(ORÇAMENTO!$X$15,ROW(AT418)-ROW(AT$15),0),
              ROUND(ROUND(OFFSET($P418,0,AT$13),15-13*ORÇAMENTO!$AF$7)*OFFSET(ORÇAMENTO!$W$15,ROW(AT418)-ROW(AT$15),0),15-13*ORÇAMENTO!$AF$11)),
         0)</f>
        <v>0</v>
      </c>
      <c r="AU418" s="453">
        <f ca="1">IF(AND($D418="Serviço",AU$12&lt;&gt;0,$H418&gt;0,OR(AUTOEVENTO&lt;&gt;"manual",$M418&lt;&gt;$A$15)),
        IF(Import.TipoArredondamento&lt;&gt;"TransfereGOV",
              ROUND(OFFSET($P418,0,AU$13),15-13*ORÇAMENTO!$AF$7)/$H418*OFFSET(ORÇAMENTO!$X$15,ROW(AU418)-ROW(AU$15),0),
              ROUND(ROUND(OFFSET($P418,0,AU$13),15-13*ORÇAMENTO!$AF$7)*OFFSET(ORÇAMENTO!$W$15,ROW(AU418)-ROW(AU$15),0),15-13*ORÇAMENTO!$AF$11)),
         0)</f>
        <v>0</v>
      </c>
      <c r="AV418" s="453">
        <f ca="1">IF(AND($D418="Serviço",AV$12&lt;&gt;0,$H418&gt;0,OR(AUTOEVENTO&lt;&gt;"manual",$M418&lt;&gt;$A$15)),
        IF(Import.TipoArredondamento&lt;&gt;"TransfereGOV",
              ROUND(OFFSET($P418,0,AV$13),15-13*ORÇAMENTO!$AF$7)/$H418*OFFSET(ORÇAMENTO!$X$15,ROW(AV418)-ROW(AV$15),0),
              ROUND(ROUND(OFFSET($P418,0,AV$13),15-13*ORÇAMENTO!$AF$7)*OFFSET(ORÇAMENTO!$W$15,ROW(AV418)-ROW(AV$15),0),15-13*ORÇAMENTO!$AF$11)),
         0)</f>
        <v>0</v>
      </c>
      <c r="AW418" s="453">
        <f ca="1">IF(AND($D418="Serviço",AW$12&lt;&gt;0,$H418&gt;0,OR(AUTOEVENTO&lt;&gt;"manual",$M418&lt;&gt;$A$15)),
        IF(Import.TipoArredondamento&lt;&gt;"TransfereGOV",
              ROUND(OFFSET($P418,0,AW$13),15-13*ORÇAMENTO!$AF$7)/$H418*OFFSET(ORÇAMENTO!$X$15,ROW(AW418)-ROW(AW$15),0),
              ROUND(ROUND(OFFSET($P418,0,AW$13),15-13*ORÇAMENTO!$AF$7)*OFFSET(ORÇAMENTO!$W$15,ROW(AW418)-ROW(AW$15),0),15-13*ORÇAMENTO!$AF$11)),
         0)</f>
        <v>0</v>
      </c>
      <c r="AX418" s="453">
        <f ca="1">IF(AND($D418="Serviço",AX$12&lt;&gt;0,$H418&gt;0,OR(AUTOEVENTO&lt;&gt;"manual",$M418&lt;&gt;$A$15)),
        IF(Import.TipoArredondamento&lt;&gt;"TransfereGOV",
              ROUND(OFFSET($P418,0,AX$13),15-13*ORÇAMENTO!$AF$7)/$H418*OFFSET(ORÇAMENTO!$X$15,ROW(AX418)-ROW(AX$15),0),
              ROUND(ROUND(OFFSET($P418,0,AX$13),15-13*ORÇAMENTO!$AF$7)*OFFSET(ORÇAMENTO!$W$15,ROW(AX418)-ROW(AX$15),0),15-13*ORÇAMENTO!$AF$11)),
         0)</f>
        <v>0</v>
      </c>
      <c r="AY418" s="453">
        <f ca="1">IF(AND($D418="Serviço",AY$12&lt;&gt;0,$H418&gt;0,OR(AUTOEVENTO&lt;&gt;"manual",$M418&lt;&gt;$A$15)),
        IF(Import.TipoArredondamento&lt;&gt;"TransfereGOV",
              ROUND(OFFSET($P418,0,AY$13),15-13*ORÇAMENTO!$AF$7)/$H418*OFFSET(ORÇAMENTO!$X$15,ROW(AY418)-ROW(AY$15),0),
              ROUND(ROUND(OFFSET($P418,0,AY$13),15-13*ORÇAMENTO!$AF$7)*OFFSET(ORÇAMENTO!$W$15,ROW(AY418)-ROW(AY$15),0),15-13*ORÇAMENTO!$AF$11)),
         0)</f>
        <v>0</v>
      </c>
      <c r="AZ418" s="453">
        <f ca="1">IF(AND($D418="Serviço",AZ$12&lt;&gt;0,$H418&gt;0,OR(AUTOEVENTO&lt;&gt;"manual",$M418&lt;&gt;$A$15)),
        IF(Import.TipoArredondamento&lt;&gt;"TransfereGOV",
              ROUND(OFFSET($P418,0,AZ$13),15-13*ORÇAMENTO!$AF$7)/$H418*OFFSET(ORÇAMENTO!$X$15,ROW(AZ418)-ROW(AZ$15),0),
              ROUND(ROUND(OFFSET($P418,0,AZ$13),15-13*ORÇAMENTO!$AF$7)*OFFSET(ORÇAMENTO!$W$15,ROW(AZ418)-ROW(AZ$15),0),15-13*ORÇAMENTO!$AF$11)),
         0)</f>
        <v>0</v>
      </c>
      <c r="BA418" s="453">
        <f ca="1">IF(AND($D418="Serviço",BA$12&lt;&gt;0,$H418&gt;0,OR(AUTOEVENTO&lt;&gt;"manual",$M418&lt;&gt;$A$15)),
        IF(Import.TipoArredondamento&lt;&gt;"TransfereGOV",
              ROUND(OFFSET($P418,0,BA$13),15-13*ORÇAMENTO!$AF$7)/$H418*OFFSET(ORÇAMENTO!$X$15,ROW(BA418)-ROW(BA$15),0),
              ROUND(ROUND(OFFSET($P418,0,BA$13),15-13*ORÇAMENTO!$AF$7)*OFFSET(ORÇAMENTO!$W$15,ROW(BA418)-ROW(BA$15),0),15-13*ORÇAMENTO!$AF$11)),
         0)</f>
        <v>0</v>
      </c>
      <c r="BC418" s="171">
        <f ca="1">IF(OR($D418&lt;&gt;"Serviço",AND(AUTOEVENTO="Manual",$M418=$A$15)),0,
         IF(OFFSET(CRONOPLE!$F$15,$M418-$A$15,BC$13)=0,10^12,OFFSET(CRONOPLE!$F$15,$M418-$A$15,BC$13)))</f>
        <v>1</v>
      </c>
      <c r="BD418" s="171">
        <f ca="1">IF(OR($D418&lt;&gt;"Serviço",AND(AUTOEVENTO="Manual",$M418=$A$15)),0,
         IF(OFFSET(CRONOPLE!$F$15,$M418-$A$15,BD$13)=0,10^12,OFFSET(CRONOPLE!$F$15,$M418-$A$15,BD$13)))</f>
        <v>2</v>
      </c>
      <c r="BE418" s="171">
        <f ca="1">IF(OR($D418&lt;&gt;"Serviço",AND(AUTOEVENTO="Manual",$M418=$A$15)),0,
         IF(OFFSET(CRONOPLE!$F$15,$M418-$A$15,BE$13)=0,10^12,OFFSET(CRONOPLE!$F$15,$M418-$A$15,BE$13)))</f>
        <v>3</v>
      </c>
      <c r="BF418" s="171">
        <f ca="1">IF(OR($D418&lt;&gt;"Serviço",AND(AUTOEVENTO="Manual",$M418=$A$15)),0,
         IF(OFFSET(CRONOPLE!$F$15,$M418-$A$15,BF$13)=0,10^12,OFFSET(CRONOPLE!$F$15,$M418-$A$15,BF$13)))</f>
        <v>4</v>
      </c>
      <c r="BG418" s="171">
        <f ca="1">IF(OR($D418&lt;&gt;"Serviço",AND(AUTOEVENTO="Manual",$M418=$A$15)),0,
         IF(OFFSET(CRONOPLE!$F$15,$M418-$A$15,BG$13)=0,10^12,OFFSET(CRONOPLE!$F$15,$M418-$A$15,BG$13)))</f>
        <v>5</v>
      </c>
      <c r="BH418" s="171">
        <f ca="1">IF(OR($D418&lt;&gt;"Serviço",AND(AUTOEVENTO="Manual",$M418=$A$15)),0,
         IF(OFFSET(CRONOPLE!$F$15,$M418-$A$15,BH$13)=0,10^12,OFFSET(CRONOPLE!$F$15,$M418-$A$15,BH$13)))</f>
        <v>6</v>
      </c>
      <c r="BI418" s="171">
        <f ca="1">IF(OR($D418&lt;&gt;"Serviço",AND(AUTOEVENTO="Manual",$M418=$A$15)),0,
         IF(OFFSET(CRONOPLE!$F$15,$M418-$A$15,BI$13)=0,10^12,OFFSET(CRONOPLE!$F$15,$M418-$A$15,BI$13)))</f>
        <v>7</v>
      </c>
      <c r="BJ418" s="171">
        <f ca="1">IF(OR($D418&lt;&gt;"Serviço",AND(AUTOEVENTO="Manual",$M418=$A$15)),0,
         IF(OFFSET(CRONOPLE!$F$15,$M418-$A$15,BJ$13)=0,10^12,OFFSET(CRONOPLE!$F$15,$M418-$A$15,BJ$13)))</f>
        <v>8</v>
      </c>
      <c r="BK418" s="171">
        <f ca="1">IF(OR($D418&lt;&gt;"Serviço",AND(AUTOEVENTO="Manual",$M418=$A$15)),0,
         IF(OFFSET(CRONOPLE!$F$15,$M418-$A$15,BK$13)=0,10^12,OFFSET(CRONOPLE!$F$15,$M418-$A$15,BK$13)))</f>
        <v>9</v>
      </c>
      <c r="BL418" s="171">
        <f ca="1">IF(OR($D418&lt;&gt;"Serviço",AND(AUTOEVENTO="Manual",$M418=$A$15)),0,
         IF(OFFSET(CRONOPLE!$F$15,$M418-$A$15,BL$13)=0,10^12,OFFSET(CRONOPLE!$F$15,$M418-$A$15,BL$13)))</f>
        <v>1000000000000</v>
      </c>
      <c r="BM418" s="171">
        <f ca="1">IF(OR($D418&lt;&gt;"Serviço",AND(AUTOEVENTO="Manual",$M418=$A$15)),0,
         IF(OFFSET(CRONOPLE!$F$15,$M418-$A$15,BM$13)=0,10^12,OFFSET(CRONOPLE!$F$15,$M418-$A$15,BM$13)))</f>
        <v>1000000000000</v>
      </c>
      <c r="BN418" s="171">
        <f ca="1">IF(OR($D418&lt;&gt;"Serviço",AND(AUTOEVENTO="Manual",$M418=$A$15)),0,
         IF(OFFSET(CRONOPLE!$F$15,$M418-$A$15,BN$13)=0,10^12,OFFSET(CRONOPLE!$F$15,$M418-$A$15,BN$13)))</f>
        <v>1000000000000</v>
      </c>
      <c r="BO418" s="171">
        <f ca="1">IF(OR($D418&lt;&gt;"Serviço",AND(AUTOEVENTO="Manual",$M418=$A$15)),0,
         IF(OFFSET(CRONOPLE!$F$15,$M418-$A$15,BO$13)=0,10^12,OFFSET(CRONOPLE!$F$15,$M418-$A$15,BO$13)))</f>
        <v>1000000000000</v>
      </c>
      <c r="BP418" s="171">
        <f ca="1">IF(OR($D418&lt;&gt;"Serviço",AND(AUTOEVENTO="Manual",$M418=$A$15)),0,
         IF(OFFSET(CRONOPLE!$F$15,$M418-$A$15,BP$13)=0,10^12,OFFSET(CRONOPLE!$F$15,$M418-$A$15,BP$13)))</f>
        <v>1000000000000</v>
      </c>
      <c r="BQ418" s="171">
        <f ca="1">IF(OR($D418&lt;&gt;"Serviço",AND(AUTOEVENTO="Manual",$M418=$A$15)),0,
         IF(OFFSET(CRONOPLE!$F$15,$M418-$A$15,BQ$13)=0,10^12,OFFSET(CRONOPLE!$F$15,$M418-$A$15,BQ$13)))</f>
        <v>1000000000000</v>
      </c>
      <c r="BR418" s="171">
        <f ca="1">IF(OR($D418&lt;&gt;"Serviço",AND(AUTOEVENTO="Manual",$M418=$A$15)),0,
         IF(OFFSET(CRONOPLE!$F$15,$M418-$A$15,BR$13)=0,10^12,OFFSET(CRONOPLE!$F$15,$M418-$A$15,BR$13)))</f>
        <v>1000000000000</v>
      </c>
      <c r="BS418" s="171">
        <f ca="1">IF(OR($D418&lt;&gt;"Serviço",AND(AUTOEVENTO="Manual",$M418=$A$15)),0,
         IF(OFFSET(CRONOPLE!$F$15,$M418-$A$15,BS$13)=0,10^12,OFFSET(CRONOPLE!$F$15,$M418-$A$15,BS$13)))</f>
        <v>1000000000000</v>
      </c>
      <c r="BT418" s="171">
        <f ca="1">IF(OR($D418&lt;&gt;"Serviço",AND(AUTOEVENTO="Manual",$M418=$A$15)),0,
         IF(OFFSET(CRONOPLE!$F$15,$M418-$A$15,BT$13)=0,10^12,OFFSET(CRONOPLE!$F$15,$M418-$A$15,BT$13)))</f>
        <v>1000000000000</v>
      </c>
      <c r="BV418" s="172">
        <f ca="1">IF(OR($D418&lt;&gt;"Serviço",AND(AUTOEVENTO="Manual",$M418=$A$15),$M418&gt;(ROW(PLE.lastrow)-ROW(PLE.firstrow))),0,
           IF(OFFSET(PLE!$G$15,$M418-$A$15,BV$13)="",10^12,OFFSET(PLE!$G$15,$M418-$A$15,BV$13)))</f>
        <v>1000000000000</v>
      </c>
      <c r="BW418" s="172">
        <f ca="1">IF(OR($D418&lt;&gt;"Serviço",AND(AUTOEVENTO="Manual",$M418=$A$15),$M418&gt;(ROW(PLE.lastrow)-ROW(PLE.firstrow))),0,
           IF(OFFSET(PLE!$G$15,$M418-$A$15,BW$13)="",10^12,OFFSET(PLE!$G$15,$M418-$A$15,BW$13)))</f>
        <v>1000000000000</v>
      </c>
      <c r="BX418" s="172">
        <f ca="1">IF(OR($D418&lt;&gt;"Serviço",AND(AUTOEVENTO="Manual",$M418=$A$15),$M418&gt;(ROW(PLE.lastrow)-ROW(PLE.firstrow))),0,
           IF(OFFSET(PLE!$G$15,$M418-$A$15,BX$13)="",10^12,OFFSET(PLE!$G$15,$M418-$A$15,BX$13)))</f>
        <v>1000000000000</v>
      </c>
      <c r="BY418" s="172">
        <f ca="1">IF(OR($D418&lt;&gt;"Serviço",AND(AUTOEVENTO="Manual",$M418=$A$15),$M418&gt;(ROW(PLE.lastrow)-ROW(PLE.firstrow))),0,
           IF(OFFSET(PLE!$G$15,$M418-$A$15,BY$13)="",10^12,OFFSET(PLE!$G$15,$M418-$A$15,BY$13)))</f>
        <v>1000000000000</v>
      </c>
      <c r="BZ418" s="172">
        <f ca="1">IF(OR($D418&lt;&gt;"Serviço",AND(AUTOEVENTO="Manual",$M418=$A$15),$M418&gt;(ROW(PLE.lastrow)-ROW(PLE.firstrow))),0,
           IF(OFFSET(PLE!$G$15,$M418-$A$15,BZ$13)="",10^12,OFFSET(PLE!$G$15,$M418-$A$15,BZ$13)))</f>
        <v>1000000000000</v>
      </c>
      <c r="CA418" s="172">
        <f ca="1">IF(OR($D418&lt;&gt;"Serviço",AND(AUTOEVENTO="Manual",$M418=$A$15),$M418&gt;(ROW(PLE.lastrow)-ROW(PLE.firstrow))),0,
           IF(OFFSET(PLE!$G$15,$M418-$A$15,CA$13)="",10^12,OFFSET(PLE!$G$15,$M418-$A$15,CA$13)))</f>
        <v>1000000000000</v>
      </c>
      <c r="CB418" s="172">
        <f ca="1">IF(OR($D418&lt;&gt;"Serviço",AND(AUTOEVENTO="Manual",$M418=$A$15),$M418&gt;(ROW(PLE.lastrow)-ROW(PLE.firstrow))),0,
           IF(OFFSET(PLE!$G$15,$M418-$A$15,CB$13)="",10^12,OFFSET(PLE!$G$15,$M418-$A$15,CB$13)))</f>
        <v>1000000000000</v>
      </c>
      <c r="CC418" s="172">
        <f ca="1">IF(OR($D418&lt;&gt;"Serviço",AND(AUTOEVENTO="Manual",$M418=$A$15),$M418&gt;(ROW(PLE.lastrow)-ROW(PLE.firstrow))),0,
           IF(OFFSET(PLE!$G$15,$M418-$A$15,CC$13)="",10^12,OFFSET(PLE!$G$15,$M418-$A$15,CC$13)))</f>
        <v>1000000000000</v>
      </c>
      <c r="CD418" s="172">
        <f ca="1">IF(OR($D418&lt;&gt;"Serviço",AND(AUTOEVENTO="Manual",$M418=$A$15),$M418&gt;(ROW(PLE.lastrow)-ROW(PLE.firstrow))),0,
           IF(OFFSET(PLE!$G$15,$M418-$A$15,CD$13)="",10^12,OFFSET(PLE!$G$15,$M418-$A$15,CD$13)))</f>
        <v>1000000000000</v>
      </c>
      <c r="CE418" s="172">
        <f ca="1">IF(OR($D418&lt;&gt;"Serviço",AND(AUTOEVENTO="Manual",$M418=$A$15),$M418&gt;(ROW(PLE.lastrow)-ROW(PLE.firstrow))),0,
           IF(OFFSET(PLE!$G$15,$M418-$A$15,CE$13)="",10^12,OFFSET(PLE!$G$15,$M418-$A$15,CE$13)))</f>
        <v>1000000000000</v>
      </c>
      <c r="CF418" s="172">
        <f ca="1">IF(OR($D418&lt;&gt;"Serviço",AND(AUTOEVENTO="Manual",$M418=$A$15),$M418&gt;(ROW(PLE.lastrow)-ROW(PLE.firstrow))),0,
           IF(OFFSET(PLE!$G$15,$M418-$A$15,CF$13)="",10^12,OFFSET(PLE!$G$15,$M418-$A$15,CF$13)))</f>
        <v>1000000000000</v>
      </c>
      <c r="CG418" s="172">
        <f ca="1">IF(OR($D418&lt;&gt;"Serviço",AND(AUTOEVENTO="Manual",$M418=$A$15),$M418&gt;(ROW(PLE.lastrow)-ROW(PLE.firstrow))),0,
           IF(OFFSET(PLE!$G$15,$M418-$A$15,CG$13)="",10^12,OFFSET(PLE!$G$15,$M418-$A$15,CG$13)))</f>
        <v>1000000000000</v>
      </c>
      <c r="CH418" s="172">
        <f ca="1">IF(OR($D418&lt;&gt;"Serviço",AND(AUTOEVENTO="Manual",$M418=$A$15),$M418&gt;(ROW(PLE.lastrow)-ROW(PLE.firstrow))),0,
           IF(OFFSET(PLE!$G$15,$M418-$A$15,CH$13)="",10^12,OFFSET(PLE!$G$15,$M418-$A$15,CH$13)))</f>
        <v>1000000000000</v>
      </c>
      <c r="CI418" s="172">
        <f ca="1">IF(OR($D418&lt;&gt;"Serviço",AND(AUTOEVENTO="Manual",$M418=$A$15),$M418&gt;(ROW(PLE.lastrow)-ROW(PLE.firstrow))),0,
           IF(OFFSET(PLE!$G$15,$M418-$A$15,CI$13)="",10^12,OFFSET(PLE!$G$15,$M418-$A$15,CI$13)))</f>
        <v>1000000000000</v>
      </c>
      <c r="CJ418" s="172">
        <f ca="1">IF(OR($D418&lt;&gt;"Serviço",AND(AUTOEVENTO="Manual",$M418=$A$15),$M418&gt;(ROW(PLE.lastrow)-ROW(PLE.firstrow))),0,
           IF(OFFSET(PLE!$G$15,$M418-$A$15,CJ$13)="",10^12,OFFSET(PLE!$G$15,$M418-$A$15,CJ$13)))</f>
        <v>1000000000000</v>
      </c>
      <c r="CK418" s="172">
        <f ca="1">IF(OR($D418&lt;&gt;"Serviço",AND(AUTOEVENTO="Manual",$M418=$A$15),$M418&gt;(ROW(PLE.lastrow)-ROW(PLE.firstrow))),0,
           IF(OFFSET(PLE!$G$15,$M418-$A$15,CK$13)="",10^12,OFFSET(PLE!$G$15,$M418-$A$15,CK$13)))</f>
        <v>1000000000000</v>
      </c>
      <c r="CL418" s="172">
        <f ca="1">IF(OR($D418&lt;&gt;"Serviço",AND(AUTOEVENTO="Manual",$M418=$A$15),$M418&gt;(ROW(PLE.lastrow)-ROW(PLE.firstrow))),0,
           IF(OFFSET(PLE!$G$15,$M418-$A$15,CL$13)="",10^12,OFFSET(PLE!$G$15,$M418-$A$15,CL$13)))</f>
        <v>1000000000000</v>
      </c>
      <c r="CM418" s="172">
        <f ca="1">IF(OR($D418&lt;&gt;"Serviço",AND(AUTOEVENTO="Manual",$M418=$A$15),$M418&gt;(ROW(PLE.lastrow)-ROW(PLE.firstrow))),0,
           IF(OFFSET(PLE!$G$15,$M418-$A$15,CM$13)="",10^12,OFFSET(PLE!$G$15,$M418-$A$15,CM$13)))</f>
        <v>1000000000000</v>
      </c>
    </row>
    <row r="419" spans="1:91" ht="51" x14ac:dyDescent="0.2">
      <c r="A419" s="7">
        <f t="shared" ca="1" si="16"/>
        <v>7</v>
      </c>
      <c r="B419" s="7" t="str">
        <f ca="1">OFFSET(ORÇAMENTO!C$15,ROW(B419)-ROW(B$15),0)</f>
        <v>S</v>
      </c>
      <c r="C419" s="7" t="str">
        <f ca="1">OFFSET(ORÇAMENTO!L$15,ROW(C419)-ROW(C$15),0)</f>
        <v>F</v>
      </c>
      <c r="D419" s="116" t="str">
        <f ca="1">OFFSET(ORÇAMENTO!N$15,ROW(D419)-ROW(D$15),0)</f>
        <v>Serviço</v>
      </c>
      <c r="E419" s="117" t="str">
        <f ca="1">OFFSET(ORÇAMENTO!O$15,ROW(E419)-ROW(E$15),0)</f>
        <v>1.8.2.4.9.</v>
      </c>
      <c r="F419" s="163" t="str">
        <f ca="1">OFFSET(ORÇAMENTO!R$15,ROW(F419)-ROW(F$15),0)</f>
        <v>QCM-COMPORTA - PAINEL DE COMANDO EM CHAPA DE AÇO SAE 1008, 1200X800X350MM, COMPOSTO POR CAIXA, PLACA DE MONTAGEM E FLANGE. REF.: CEMAR QCS-8060, FORNECIMENTO E INSTALAÇÃO - BASEADO SINAPI (102136)</v>
      </c>
      <c r="G419" s="164" t="str">
        <f ca="1">IF($D419&lt;&gt;"Serviço","",OFFSET(ORÇAMENTO!S$15,ROW(G419)-ROW(G$15),0))</f>
        <v>UN</v>
      </c>
      <c r="H419" s="122" cm="1">
        <f t="array" aca="1" ref="H419" ca="1">IF($D419&lt;&gt;"Serviço",0,IF(ACOMPANHAMENTO="BM",ROUND(OFFSET(ORÇAMENTO!AJ$15,ROW(H419)-ROW(H$15),0),15-13*ORÇAMENTO!$AF$7),SUMPRODUCT(($Q$1:$AI$1=1)*ROUND($Q419:$AI419,15-13*ORÇAMENTO!$AF$7))))</f>
        <v>1</v>
      </c>
      <c r="I419" s="468" t="s">
        <v>1431</v>
      </c>
      <c r="J419" s="640" t="str" cm="1">
        <f t="array" aca="1" ref="J419" ca="1">IF(OR(B419&lt;&gt;"S",CÁLCULO.FrentesPreenchidas=0),"",IF(AND(ACOMPANHAMENTO="PLE",AUTOEVENTO="Manual",OR(H419&gt;0,ORÇAMENTO!AC419="QUANT."),OR(K419="",M419=0,N419="")),"►E",IF(AND(ACOMPANHAMENTO="PLE",ORÇAMENTO!AC419="QUANT."),"►Q",IF(AND(ACOMPANHAMENTO="PLE",H419&lt;&gt;SUMPRODUCT(($Q$1:$AI$1=1)*ROUND(Q419:AI419,15))),"►S",IF(AND(COUNTIF($P$11:$AI$11,"▼")=0,H419&gt;0,I419=""),"◄M","")))))</f>
        <v/>
      </c>
      <c r="K419" s="641" t="s">
        <v>1391</v>
      </c>
      <c r="L419" s="165" t="s">
        <v>764</v>
      </c>
      <c r="M419" s="166">
        <f ca="1">IF($D419&lt;&gt;"Serviço","",
          IF(AUTOEVENTO="manual",$A419,
                IF(ISERROR(MATCH($A419,$A$15:OFFSET($A419,-1,0),0)),MAX($M$15:OFFSET(M419,-1,0))+1,
                      INDEX($M$15:OFFSET(M419,-1,0),MATCH($A419,$A$15:OFFSET($A419,-1,0),0)))))</f>
        <v>7</v>
      </c>
      <c r="N419" s="167" t="str">
        <f ca="1">IF($D419&lt;&gt;"Serviço","",
         IF(AUTOEVENTO="Manual",
                IF($A419=0,"&lt;-- defina o número do agrupador",
                       OFFSET(EVENTOS!$D$15,$A419-$A$15,0)),
                OFFSET($F$15,$A419,0)))</f>
        <v>Instalações Elétricas</v>
      </c>
      <c r="O419" s="168"/>
      <c r="Q419" s="168"/>
      <c r="R419" s="169"/>
      <c r="S419" s="169"/>
      <c r="T419" s="169"/>
      <c r="U419" s="169"/>
      <c r="V419" s="169"/>
      <c r="W419" s="169"/>
      <c r="X419" s="169">
        <v>1</v>
      </c>
      <c r="Y419" s="169"/>
      <c r="Z419" s="170"/>
      <c r="AA419" s="169"/>
      <c r="AB419" s="169"/>
      <c r="AC419" s="169"/>
      <c r="AD419" s="169"/>
      <c r="AE419" s="169"/>
      <c r="AF419" s="169"/>
      <c r="AG419" s="169"/>
      <c r="AH419" s="170"/>
      <c r="AJ419" s="453">
        <f ca="1">IF(AND($D419="Serviço",AJ$12&lt;&gt;0,$H419&gt;0,OR(AUTOEVENTO&lt;&gt;"manual",$M419&lt;&gt;$A$15)),
        IF(Import.TipoArredondamento&lt;&gt;"TransfereGOV",
              ROUND(OFFSET($P419,0,AJ$13),15-13*ORÇAMENTO!$AF$7)/$H419*OFFSET(ORÇAMENTO!$X$15,ROW(AJ419)-ROW(AJ$15),0),
              ROUND(ROUND(OFFSET($P419,0,AJ$13),15-13*ORÇAMENTO!$AF$7)*OFFSET(ORÇAMENTO!$W$15,ROW(AJ419)-ROW(AJ$15),0),15-13*ORÇAMENTO!$AF$11)),
         0)</f>
        <v>0</v>
      </c>
      <c r="AK419" s="453">
        <f ca="1">IF(AND($D419="Serviço",AK$12&lt;&gt;0,$H419&gt;0,OR(AUTOEVENTO&lt;&gt;"manual",$M419&lt;&gt;$A$15)),
        IF(Import.TipoArredondamento&lt;&gt;"TransfereGOV",
              ROUND(OFFSET($P419,0,AK$13),15-13*ORÇAMENTO!$AF$7)/$H419*OFFSET(ORÇAMENTO!$X$15,ROW(AK419)-ROW(AK$15),0),
              ROUND(ROUND(OFFSET($P419,0,AK$13),15-13*ORÇAMENTO!$AF$7)*OFFSET(ORÇAMENTO!$W$15,ROW(AK419)-ROW(AK$15),0),15-13*ORÇAMENTO!$AF$11)),
         0)</f>
        <v>0</v>
      </c>
      <c r="AL419" s="453">
        <f ca="1">IF(AND($D419="Serviço",AL$12&lt;&gt;0,$H419&gt;0,OR(AUTOEVENTO&lt;&gt;"manual",$M419&lt;&gt;$A$15)),
        IF(Import.TipoArredondamento&lt;&gt;"TransfereGOV",
              ROUND(OFFSET($P419,0,AL$13),15-13*ORÇAMENTO!$AF$7)/$H419*OFFSET(ORÇAMENTO!$X$15,ROW(AL419)-ROW(AL$15),0),
              ROUND(ROUND(OFFSET($P419,0,AL$13),15-13*ORÇAMENTO!$AF$7)*OFFSET(ORÇAMENTO!$W$15,ROW(AL419)-ROW(AL$15),0),15-13*ORÇAMENTO!$AF$11)),
         0)</f>
        <v>0</v>
      </c>
      <c r="AM419" s="453">
        <f ca="1">IF(AND($D419="Serviço",AM$12&lt;&gt;0,$H419&gt;0,OR(AUTOEVENTO&lt;&gt;"manual",$M419&lt;&gt;$A$15)),
        IF(Import.TipoArredondamento&lt;&gt;"TransfereGOV",
              ROUND(OFFSET($P419,0,AM$13),15-13*ORÇAMENTO!$AF$7)/$H419*OFFSET(ORÇAMENTO!$X$15,ROW(AM419)-ROW(AM$15),0),
              ROUND(ROUND(OFFSET($P419,0,AM$13),15-13*ORÇAMENTO!$AF$7)*OFFSET(ORÇAMENTO!$W$15,ROW(AM419)-ROW(AM$15),0),15-13*ORÇAMENTO!$AF$11)),
         0)</f>
        <v>0</v>
      </c>
      <c r="AN419" s="453">
        <f ca="1">IF(AND($D419="Serviço",AN$12&lt;&gt;0,$H419&gt;0,OR(AUTOEVENTO&lt;&gt;"manual",$M419&lt;&gt;$A$15)),
        IF(Import.TipoArredondamento&lt;&gt;"TransfereGOV",
              ROUND(OFFSET($P419,0,AN$13),15-13*ORÇAMENTO!$AF$7)/$H419*OFFSET(ORÇAMENTO!$X$15,ROW(AN419)-ROW(AN$15),0),
              ROUND(ROUND(OFFSET($P419,0,AN$13),15-13*ORÇAMENTO!$AF$7)*OFFSET(ORÇAMENTO!$W$15,ROW(AN419)-ROW(AN$15),0),15-13*ORÇAMENTO!$AF$11)),
         0)</f>
        <v>0</v>
      </c>
      <c r="AO419" s="453">
        <f ca="1">IF(AND($D419="Serviço",AO$12&lt;&gt;0,$H419&gt;0,OR(AUTOEVENTO&lt;&gt;"manual",$M419&lt;&gt;$A$15)),
        IF(Import.TipoArredondamento&lt;&gt;"TransfereGOV",
              ROUND(OFFSET($P419,0,AO$13),15-13*ORÇAMENTO!$AF$7)/$H419*OFFSET(ORÇAMENTO!$X$15,ROW(AO419)-ROW(AO$15),0),
              ROUND(ROUND(OFFSET($P419,0,AO$13),15-13*ORÇAMENTO!$AF$7)*OFFSET(ORÇAMENTO!$W$15,ROW(AO419)-ROW(AO$15),0),15-13*ORÇAMENTO!$AF$11)),
         0)</f>
        <v>0</v>
      </c>
      <c r="AP419" s="453">
        <f ca="1">IF(AND($D419="Serviço",AP$12&lt;&gt;0,$H419&gt;0,OR(AUTOEVENTO&lt;&gt;"manual",$M419&lt;&gt;$A$15)),
        IF(Import.TipoArredondamento&lt;&gt;"TransfereGOV",
              ROUND(OFFSET($P419,0,AP$13),15-13*ORÇAMENTO!$AF$7)/$H419*OFFSET(ORÇAMENTO!$X$15,ROW(AP419)-ROW(AP$15),0),
              ROUND(ROUND(OFFSET($P419,0,AP$13),15-13*ORÇAMENTO!$AF$7)*OFFSET(ORÇAMENTO!$W$15,ROW(AP419)-ROW(AP$15),0),15-13*ORÇAMENTO!$AF$11)),
         0)</f>
        <v>0</v>
      </c>
      <c r="AQ419" s="453">
        <f ca="1">IF(AND($D419="Serviço",AQ$12&lt;&gt;0,$H419&gt;0,OR(AUTOEVENTO&lt;&gt;"manual",$M419&lt;&gt;$A$15)),
        IF(Import.TipoArredondamento&lt;&gt;"TransfereGOV",
              ROUND(OFFSET($P419,0,AQ$13),15-13*ORÇAMENTO!$AF$7)/$H419*OFFSET(ORÇAMENTO!$X$15,ROW(AQ419)-ROW(AQ$15),0),
              ROUND(ROUND(OFFSET($P419,0,AQ$13),15-13*ORÇAMENTO!$AF$7)*OFFSET(ORÇAMENTO!$W$15,ROW(AQ419)-ROW(AQ$15),0),15-13*ORÇAMENTO!$AF$11)),
         0)</f>
        <v>0</v>
      </c>
      <c r="AR419" s="453">
        <f ca="1">IF(AND($D419="Serviço",AR$12&lt;&gt;0,$H419&gt;0,OR(AUTOEVENTO&lt;&gt;"manual",$M419&lt;&gt;$A$15)),
        IF(Import.TipoArredondamento&lt;&gt;"TransfereGOV",
              ROUND(OFFSET($P419,0,AR$13),15-13*ORÇAMENTO!$AF$7)/$H419*OFFSET(ORÇAMENTO!$X$15,ROW(AR419)-ROW(AR$15),0),
              ROUND(ROUND(OFFSET($P419,0,AR$13),15-13*ORÇAMENTO!$AF$7)*OFFSET(ORÇAMENTO!$W$15,ROW(AR419)-ROW(AR$15),0),15-13*ORÇAMENTO!$AF$11)),
         0)</f>
        <v>0</v>
      </c>
      <c r="AS419" s="453">
        <f ca="1">IF(AND($D419="Serviço",AS$12&lt;&gt;0,$H419&gt;0,OR(AUTOEVENTO&lt;&gt;"manual",$M419&lt;&gt;$A$15)),
        IF(Import.TipoArredondamento&lt;&gt;"TransfereGOV",
              ROUND(OFFSET($P419,0,AS$13),15-13*ORÇAMENTO!$AF$7)/$H419*OFFSET(ORÇAMENTO!$X$15,ROW(AS419)-ROW(AS$15),0),
              ROUND(ROUND(OFFSET($P419,0,AS$13),15-13*ORÇAMENTO!$AF$7)*OFFSET(ORÇAMENTO!$W$15,ROW(AS419)-ROW(AS$15),0),15-13*ORÇAMENTO!$AF$11)),
         0)</f>
        <v>0</v>
      </c>
      <c r="AT419" s="453">
        <f ca="1">IF(AND($D419="Serviço",AT$12&lt;&gt;0,$H419&gt;0,OR(AUTOEVENTO&lt;&gt;"manual",$M419&lt;&gt;$A$15)),
        IF(Import.TipoArredondamento&lt;&gt;"TransfereGOV",
              ROUND(OFFSET($P419,0,AT$13),15-13*ORÇAMENTO!$AF$7)/$H419*OFFSET(ORÇAMENTO!$X$15,ROW(AT419)-ROW(AT$15),0),
              ROUND(ROUND(OFFSET($P419,0,AT$13),15-13*ORÇAMENTO!$AF$7)*OFFSET(ORÇAMENTO!$W$15,ROW(AT419)-ROW(AT$15),0),15-13*ORÇAMENTO!$AF$11)),
         0)</f>
        <v>0</v>
      </c>
      <c r="AU419" s="453">
        <f ca="1">IF(AND($D419="Serviço",AU$12&lt;&gt;0,$H419&gt;0,OR(AUTOEVENTO&lt;&gt;"manual",$M419&lt;&gt;$A$15)),
        IF(Import.TipoArredondamento&lt;&gt;"TransfereGOV",
              ROUND(OFFSET($P419,0,AU$13),15-13*ORÇAMENTO!$AF$7)/$H419*OFFSET(ORÇAMENTO!$X$15,ROW(AU419)-ROW(AU$15),0),
              ROUND(ROUND(OFFSET($P419,0,AU$13),15-13*ORÇAMENTO!$AF$7)*OFFSET(ORÇAMENTO!$W$15,ROW(AU419)-ROW(AU$15),0),15-13*ORÇAMENTO!$AF$11)),
         0)</f>
        <v>0</v>
      </c>
      <c r="AV419" s="453">
        <f ca="1">IF(AND($D419="Serviço",AV$12&lt;&gt;0,$H419&gt;0,OR(AUTOEVENTO&lt;&gt;"manual",$M419&lt;&gt;$A$15)),
        IF(Import.TipoArredondamento&lt;&gt;"TransfereGOV",
              ROUND(OFFSET($P419,0,AV$13),15-13*ORÇAMENTO!$AF$7)/$H419*OFFSET(ORÇAMENTO!$X$15,ROW(AV419)-ROW(AV$15),0),
              ROUND(ROUND(OFFSET($P419,0,AV$13),15-13*ORÇAMENTO!$AF$7)*OFFSET(ORÇAMENTO!$W$15,ROW(AV419)-ROW(AV$15),0),15-13*ORÇAMENTO!$AF$11)),
         0)</f>
        <v>0</v>
      </c>
      <c r="AW419" s="453">
        <f ca="1">IF(AND($D419="Serviço",AW$12&lt;&gt;0,$H419&gt;0,OR(AUTOEVENTO&lt;&gt;"manual",$M419&lt;&gt;$A$15)),
        IF(Import.TipoArredondamento&lt;&gt;"TransfereGOV",
              ROUND(OFFSET($P419,0,AW$13),15-13*ORÇAMENTO!$AF$7)/$H419*OFFSET(ORÇAMENTO!$X$15,ROW(AW419)-ROW(AW$15),0),
              ROUND(ROUND(OFFSET($P419,0,AW$13),15-13*ORÇAMENTO!$AF$7)*OFFSET(ORÇAMENTO!$W$15,ROW(AW419)-ROW(AW$15),0),15-13*ORÇAMENTO!$AF$11)),
         0)</f>
        <v>0</v>
      </c>
      <c r="AX419" s="453">
        <f ca="1">IF(AND($D419="Serviço",AX$12&lt;&gt;0,$H419&gt;0,OR(AUTOEVENTO&lt;&gt;"manual",$M419&lt;&gt;$A$15)),
        IF(Import.TipoArredondamento&lt;&gt;"TransfereGOV",
              ROUND(OFFSET($P419,0,AX$13),15-13*ORÇAMENTO!$AF$7)/$H419*OFFSET(ORÇAMENTO!$X$15,ROW(AX419)-ROW(AX$15),0),
              ROUND(ROUND(OFFSET($P419,0,AX$13),15-13*ORÇAMENTO!$AF$7)*OFFSET(ORÇAMENTO!$W$15,ROW(AX419)-ROW(AX$15),0),15-13*ORÇAMENTO!$AF$11)),
         0)</f>
        <v>0</v>
      </c>
      <c r="AY419" s="453">
        <f ca="1">IF(AND($D419="Serviço",AY$12&lt;&gt;0,$H419&gt;0,OR(AUTOEVENTO&lt;&gt;"manual",$M419&lt;&gt;$A$15)),
        IF(Import.TipoArredondamento&lt;&gt;"TransfereGOV",
              ROUND(OFFSET($P419,0,AY$13),15-13*ORÇAMENTO!$AF$7)/$H419*OFFSET(ORÇAMENTO!$X$15,ROW(AY419)-ROW(AY$15),0),
              ROUND(ROUND(OFFSET($P419,0,AY$13),15-13*ORÇAMENTO!$AF$7)*OFFSET(ORÇAMENTO!$W$15,ROW(AY419)-ROW(AY$15),0),15-13*ORÇAMENTO!$AF$11)),
         0)</f>
        <v>0</v>
      </c>
      <c r="AZ419" s="453">
        <f ca="1">IF(AND($D419="Serviço",AZ$12&lt;&gt;0,$H419&gt;0,OR(AUTOEVENTO&lt;&gt;"manual",$M419&lt;&gt;$A$15)),
        IF(Import.TipoArredondamento&lt;&gt;"TransfereGOV",
              ROUND(OFFSET($P419,0,AZ$13),15-13*ORÇAMENTO!$AF$7)/$H419*OFFSET(ORÇAMENTO!$X$15,ROW(AZ419)-ROW(AZ$15),0),
              ROUND(ROUND(OFFSET($P419,0,AZ$13),15-13*ORÇAMENTO!$AF$7)*OFFSET(ORÇAMENTO!$W$15,ROW(AZ419)-ROW(AZ$15),0),15-13*ORÇAMENTO!$AF$11)),
         0)</f>
        <v>0</v>
      </c>
      <c r="BA419" s="453">
        <f ca="1">IF(AND($D419="Serviço",BA$12&lt;&gt;0,$H419&gt;0,OR(AUTOEVENTO&lt;&gt;"manual",$M419&lt;&gt;$A$15)),
        IF(Import.TipoArredondamento&lt;&gt;"TransfereGOV",
              ROUND(OFFSET($P419,0,BA$13),15-13*ORÇAMENTO!$AF$7)/$H419*OFFSET(ORÇAMENTO!$X$15,ROW(BA419)-ROW(BA$15),0),
              ROUND(ROUND(OFFSET($P419,0,BA$13),15-13*ORÇAMENTO!$AF$7)*OFFSET(ORÇAMENTO!$W$15,ROW(BA419)-ROW(BA$15),0),15-13*ORÇAMENTO!$AF$11)),
         0)</f>
        <v>0</v>
      </c>
      <c r="BC419" s="171">
        <f ca="1">IF(OR($D419&lt;&gt;"Serviço",AND(AUTOEVENTO="Manual",$M419=$A$15)),0,
         IF(OFFSET(CRONOPLE!$F$15,$M419-$A$15,BC$13)=0,10^12,OFFSET(CRONOPLE!$F$15,$M419-$A$15,BC$13)))</f>
        <v>1</v>
      </c>
      <c r="BD419" s="171">
        <f ca="1">IF(OR($D419&lt;&gt;"Serviço",AND(AUTOEVENTO="Manual",$M419=$A$15)),0,
         IF(OFFSET(CRONOPLE!$F$15,$M419-$A$15,BD$13)=0,10^12,OFFSET(CRONOPLE!$F$15,$M419-$A$15,BD$13)))</f>
        <v>2</v>
      </c>
      <c r="BE419" s="171">
        <f ca="1">IF(OR($D419&lt;&gt;"Serviço",AND(AUTOEVENTO="Manual",$M419=$A$15)),0,
         IF(OFFSET(CRONOPLE!$F$15,$M419-$A$15,BE$13)=0,10^12,OFFSET(CRONOPLE!$F$15,$M419-$A$15,BE$13)))</f>
        <v>3</v>
      </c>
      <c r="BF419" s="171">
        <f ca="1">IF(OR($D419&lt;&gt;"Serviço",AND(AUTOEVENTO="Manual",$M419=$A$15)),0,
         IF(OFFSET(CRONOPLE!$F$15,$M419-$A$15,BF$13)=0,10^12,OFFSET(CRONOPLE!$F$15,$M419-$A$15,BF$13)))</f>
        <v>4</v>
      </c>
      <c r="BG419" s="171">
        <f ca="1">IF(OR($D419&lt;&gt;"Serviço",AND(AUTOEVENTO="Manual",$M419=$A$15)),0,
         IF(OFFSET(CRONOPLE!$F$15,$M419-$A$15,BG$13)=0,10^12,OFFSET(CRONOPLE!$F$15,$M419-$A$15,BG$13)))</f>
        <v>5</v>
      </c>
      <c r="BH419" s="171">
        <f ca="1">IF(OR($D419&lt;&gt;"Serviço",AND(AUTOEVENTO="Manual",$M419=$A$15)),0,
         IF(OFFSET(CRONOPLE!$F$15,$M419-$A$15,BH$13)=0,10^12,OFFSET(CRONOPLE!$F$15,$M419-$A$15,BH$13)))</f>
        <v>6</v>
      </c>
      <c r="BI419" s="171">
        <f ca="1">IF(OR($D419&lt;&gt;"Serviço",AND(AUTOEVENTO="Manual",$M419=$A$15)),0,
         IF(OFFSET(CRONOPLE!$F$15,$M419-$A$15,BI$13)=0,10^12,OFFSET(CRONOPLE!$F$15,$M419-$A$15,BI$13)))</f>
        <v>7</v>
      </c>
      <c r="BJ419" s="171">
        <f ca="1">IF(OR($D419&lt;&gt;"Serviço",AND(AUTOEVENTO="Manual",$M419=$A$15)),0,
         IF(OFFSET(CRONOPLE!$F$15,$M419-$A$15,BJ$13)=0,10^12,OFFSET(CRONOPLE!$F$15,$M419-$A$15,BJ$13)))</f>
        <v>8</v>
      </c>
      <c r="BK419" s="171">
        <f ca="1">IF(OR($D419&lt;&gt;"Serviço",AND(AUTOEVENTO="Manual",$M419=$A$15)),0,
         IF(OFFSET(CRONOPLE!$F$15,$M419-$A$15,BK$13)=0,10^12,OFFSET(CRONOPLE!$F$15,$M419-$A$15,BK$13)))</f>
        <v>9</v>
      </c>
      <c r="BL419" s="171">
        <f ca="1">IF(OR($D419&lt;&gt;"Serviço",AND(AUTOEVENTO="Manual",$M419=$A$15)),0,
         IF(OFFSET(CRONOPLE!$F$15,$M419-$A$15,BL$13)=0,10^12,OFFSET(CRONOPLE!$F$15,$M419-$A$15,BL$13)))</f>
        <v>1000000000000</v>
      </c>
      <c r="BM419" s="171">
        <f ca="1">IF(OR($D419&lt;&gt;"Serviço",AND(AUTOEVENTO="Manual",$M419=$A$15)),0,
         IF(OFFSET(CRONOPLE!$F$15,$M419-$A$15,BM$13)=0,10^12,OFFSET(CRONOPLE!$F$15,$M419-$A$15,BM$13)))</f>
        <v>1000000000000</v>
      </c>
      <c r="BN419" s="171">
        <f ca="1">IF(OR($D419&lt;&gt;"Serviço",AND(AUTOEVENTO="Manual",$M419=$A$15)),0,
         IF(OFFSET(CRONOPLE!$F$15,$M419-$A$15,BN$13)=0,10^12,OFFSET(CRONOPLE!$F$15,$M419-$A$15,BN$13)))</f>
        <v>1000000000000</v>
      </c>
      <c r="BO419" s="171">
        <f ca="1">IF(OR($D419&lt;&gt;"Serviço",AND(AUTOEVENTO="Manual",$M419=$A$15)),0,
         IF(OFFSET(CRONOPLE!$F$15,$M419-$A$15,BO$13)=0,10^12,OFFSET(CRONOPLE!$F$15,$M419-$A$15,BO$13)))</f>
        <v>1000000000000</v>
      </c>
      <c r="BP419" s="171">
        <f ca="1">IF(OR($D419&lt;&gt;"Serviço",AND(AUTOEVENTO="Manual",$M419=$A$15)),0,
         IF(OFFSET(CRONOPLE!$F$15,$M419-$A$15,BP$13)=0,10^12,OFFSET(CRONOPLE!$F$15,$M419-$A$15,BP$13)))</f>
        <v>1000000000000</v>
      </c>
      <c r="BQ419" s="171">
        <f ca="1">IF(OR($D419&lt;&gt;"Serviço",AND(AUTOEVENTO="Manual",$M419=$A$15)),0,
         IF(OFFSET(CRONOPLE!$F$15,$M419-$A$15,BQ$13)=0,10^12,OFFSET(CRONOPLE!$F$15,$M419-$A$15,BQ$13)))</f>
        <v>1000000000000</v>
      </c>
      <c r="BR419" s="171">
        <f ca="1">IF(OR($D419&lt;&gt;"Serviço",AND(AUTOEVENTO="Manual",$M419=$A$15)),0,
         IF(OFFSET(CRONOPLE!$F$15,$M419-$A$15,BR$13)=0,10^12,OFFSET(CRONOPLE!$F$15,$M419-$A$15,BR$13)))</f>
        <v>1000000000000</v>
      </c>
      <c r="BS419" s="171">
        <f ca="1">IF(OR($D419&lt;&gt;"Serviço",AND(AUTOEVENTO="Manual",$M419=$A$15)),0,
         IF(OFFSET(CRONOPLE!$F$15,$M419-$A$15,BS$13)=0,10^12,OFFSET(CRONOPLE!$F$15,$M419-$A$15,BS$13)))</f>
        <v>1000000000000</v>
      </c>
      <c r="BT419" s="171">
        <f ca="1">IF(OR($D419&lt;&gt;"Serviço",AND(AUTOEVENTO="Manual",$M419=$A$15)),0,
         IF(OFFSET(CRONOPLE!$F$15,$M419-$A$15,BT$13)=0,10^12,OFFSET(CRONOPLE!$F$15,$M419-$A$15,BT$13)))</f>
        <v>1000000000000</v>
      </c>
      <c r="BV419" s="172">
        <f ca="1">IF(OR($D419&lt;&gt;"Serviço",AND(AUTOEVENTO="Manual",$M419=$A$15),$M419&gt;(ROW(PLE.lastrow)-ROW(PLE.firstrow))),0,
           IF(OFFSET(PLE!$G$15,$M419-$A$15,BV$13)="",10^12,OFFSET(PLE!$G$15,$M419-$A$15,BV$13)))</f>
        <v>1000000000000</v>
      </c>
      <c r="BW419" s="172">
        <f ca="1">IF(OR($D419&lt;&gt;"Serviço",AND(AUTOEVENTO="Manual",$M419=$A$15),$M419&gt;(ROW(PLE.lastrow)-ROW(PLE.firstrow))),0,
           IF(OFFSET(PLE!$G$15,$M419-$A$15,BW$13)="",10^12,OFFSET(PLE!$G$15,$M419-$A$15,BW$13)))</f>
        <v>1000000000000</v>
      </c>
      <c r="BX419" s="172">
        <f ca="1">IF(OR($D419&lt;&gt;"Serviço",AND(AUTOEVENTO="Manual",$M419=$A$15),$M419&gt;(ROW(PLE.lastrow)-ROW(PLE.firstrow))),0,
           IF(OFFSET(PLE!$G$15,$M419-$A$15,BX$13)="",10^12,OFFSET(PLE!$G$15,$M419-$A$15,BX$13)))</f>
        <v>1000000000000</v>
      </c>
      <c r="BY419" s="172">
        <f ca="1">IF(OR($D419&lt;&gt;"Serviço",AND(AUTOEVENTO="Manual",$M419=$A$15),$M419&gt;(ROW(PLE.lastrow)-ROW(PLE.firstrow))),0,
           IF(OFFSET(PLE!$G$15,$M419-$A$15,BY$13)="",10^12,OFFSET(PLE!$G$15,$M419-$A$15,BY$13)))</f>
        <v>1000000000000</v>
      </c>
      <c r="BZ419" s="172">
        <f ca="1">IF(OR($D419&lt;&gt;"Serviço",AND(AUTOEVENTO="Manual",$M419=$A$15),$M419&gt;(ROW(PLE.lastrow)-ROW(PLE.firstrow))),0,
           IF(OFFSET(PLE!$G$15,$M419-$A$15,BZ$13)="",10^12,OFFSET(PLE!$G$15,$M419-$A$15,BZ$13)))</f>
        <v>1000000000000</v>
      </c>
      <c r="CA419" s="172">
        <f ca="1">IF(OR($D419&lt;&gt;"Serviço",AND(AUTOEVENTO="Manual",$M419=$A$15),$M419&gt;(ROW(PLE.lastrow)-ROW(PLE.firstrow))),0,
           IF(OFFSET(PLE!$G$15,$M419-$A$15,CA$13)="",10^12,OFFSET(PLE!$G$15,$M419-$A$15,CA$13)))</f>
        <v>1000000000000</v>
      </c>
      <c r="CB419" s="172">
        <f ca="1">IF(OR($D419&lt;&gt;"Serviço",AND(AUTOEVENTO="Manual",$M419=$A$15),$M419&gt;(ROW(PLE.lastrow)-ROW(PLE.firstrow))),0,
           IF(OFFSET(PLE!$G$15,$M419-$A$15,CB$13)="",10^12,OFFSET(PLE!$G$15,$M419-$A$15,CB$13)))</f>
        <v>1000000000000</v>
      </c>
      <c r="CC419" s="172">
        <f ca="1">IF(OR($D419&lt;&gt;"Serviço",AND(AUTOEVENTO="Manual",$M419=$A$15),$M419&gt;(ROW(PLE.lastrow)-ROW(PLE.firstrow))),0,
           IF(OFFSET(PLE!$G$15,$M419-$A$15,CC$13)="",10^12,OFFSET(PLE!$G$15,$M419-$A$15,CC$13)))</f>
        <v>1000000000000</v>
      </c>
      <c r="CD419" s="172">
        <f ca="1">IF(OR($D419&lt;&gt;"Serviço",AND(AUTOEVENTO="Manual",$M419=$A$15),$M419&gt;(ROW(PLE.lastrow)-ROW(PLE.firstrow))),0,
           IF(OFFSET(PLE!$G$15,$M419-$A$15,CD$13)="",10^12,OFFSET(PLE!$G$15,$M419-$A$15,CD$13)))</f>
        <v>1000000000000</v>
      </c>
      <c r="CE419" s="172">
        <f ca="1">IF(OR($D419&lt;&gt;"Serviço",AND(AUTOEVENTO="Manual",$M419=$A$15),$M419&gt;(ROW(PLE.lastrow)-ROW(PLE.firstrow))),0,
           IF(OFFSET(PLE!$G$15,$M419-$A$15,CE$13)="",10^12,OFFSET(PLE!$G$15,$M419-$A$15,CE$13)))</f>
        <v>1000000000000</v>
      </c>
      <c r="CF419" s="172">
        <f ca="1">IF(OR($D419&lt;&gt;"Serviço",AND(AUTOEVENTO="Manual",$M419=$A$15),$M419&gt;(ROW(PLE.lastrow)-ROW(PLE.firstrow))),0,
           IF(OFFSET(PLE!$G$15,$M419-$A$15,CF$13)="",10^12,OFFSET(PLE!$G$15,$M419-$A$15,CF$13)))</f>
        <v>1000000000000</v>
      </c>
      <c r="CG419" s="172">
        <f ca="1">IF(OR($D419&lt;&gt;"Serviço",AND(AUTOEVENTO="Manual",$M419=$A$15),$M419&gt;(ROW(PLE.lastrow)-ROW(PLE.firstrow))),0,
           IF(OFFSET(PLE!$G$15,$M419-$A$15,CG$13)="",10^12,OFFSET(PLE!$G$15,$M419-$A$15,CG$13)))</f>
        <v>1000000000000</v>
      </c>
      <c r="CH419" s="172">
        <f ca="1">IF(OR($D419&lt;&gt;"Serviço",AND(AUTOEVENTO="Manual",$M419=$A$15),$M419&gt;(ROW(PLE.lastrow)-ROW(PLE.firstrow))),0,
           IF(OFFSET(PLE!$G$15,$M419-$A$15,CH$13)="",10^12,OFFSET(PLE!$G$15,$M419-$A$15,CH$13)))</f>
        <v>1000000000000</v>
      </c>
      <c r="CI419" s="172">
        <f ca="1">IF(OR($D419&lt;&gt;"Serviço",AND(AUTOEVENTO="Manual",$M419=$A$15),$M419&gt;(ROW(PLE.lastrow)-ROW(PLE.firstrow))),0,
           IF(OFFSET(PLE!$G$15,$M419-$A$15,CI$13)="",10^12,OFFSET(PLE!$G$15,$M419-$A$15,CI$13)))</f>
        <v>1000000000000</v>
      </c>
      <c r="CJ419" s="172">
        <f ca="1">IF(OR($D419&lt;&gt;"Serviço",AND(AUTOEVENTO="Manual",$M419=$A$15),$M419&gt;(ROW(PLE.lastrow)-ROW(PLE.firstrow))),0,
           IF(OFFSET(PLE!$G$15,$M419-$A$15,CJ$13)="",10^12,OFFSET(PLE!$G$15,$M419-$A$15,CJ$13)))</f>
        <v>1000000000000</v>
      </c>
      <c r="CK419" s="172">
        <f ca="1">IF(OR($D419&lt;&gt;"Serviço",AND(AUTOEVENTO="Manual",$M419=$A$15),$M419&gt;(ROW(PLE.lastrow)-ROW(PLE.firstrow))),0,
           IF(OFFSET(PLE!$G$15,$M419-$A$15,CK$13)="",10^12,OFFSET(PLE!$G$15,$M419-$A$15,CK$13)))</f>
        <v>1000000000000</v>
      </c>
      <c r="CL419" s="172">
        <f ca="1">IF(OR($D419&lt;&gt;"Serviço",AND(AUTOEVENTO="Manual",$M419=$A$15),$M419&gt;(ROW(PLE.lastrow)-ROW(PLE.firstrow))),0,
           IF(OFFSET(PLE!$G$15,$M419-$A$15,CL$13)="",10^12,OFFSET(PLE!$G$15,$M419-$A$15,CL$13)))</f>
        <v>1000000000000</v>
      </c>
      <c r="CM419" s="172">
        <f ca="1">IF(OR($D419&lt;&gt;"Serviço",AND(AUTOEVENTO="Manual",$M419=$A$15),$M419&gt;(ROW(PLE.lastrow)-ROW(PLE.firstrow))),0,
           IF(OFFSET(PLE!$G$15,$M419-$A$15,CM$13)="",10^12,OFFSET(PLE!$G$15,$M419-$A$15,CM$13)))</f>
        <v>1000000000000</v>
      </c>
    </row>
    <row r="420" spans="1:91" ht="38.25" x14ac:dyDescent="0.2">
      <c r="A420" s="7">
        <f t="shared" ca="1" si="16"/>
        <v>7</v>
      </c>
      <c r="B420" s="7" t="str">
        <f ca="1">OFFSET(ORÇAMENTO!C$15,ROW(B420)-ROW(B$15),0)</f>
        <v>S</v>
      </c>
      <c r="C420" s="7" t="str">
        <f ca="1">OFFSET(ORÇAMENTO!L$15,ROW(C420)-ROW(C$15),0)</f>
        <v>F</v>
      </c>
      <c r="D420" s="116" t="str">
        <f ca="1">OFFSET(ORÇAMENTO!N$15,ROW(D420)-ROW(D$15),0)</f>
        <v>Serviço</v>
      </c>
      <c r="E420" s="117" t="str">
        <f ca="1">OFFSET(ORÇAMENTO!O$15,ROW(E420)-ROW(E$15),0)</f>
        <v>1.8.2.4.10.</v>
      </c>
      <c r="F420" s="163" t="str">
        <f ca="1">OFFSET(ORÇAMENTO!R$15,ROW(F420)-ROW(F$15),0)</f>
        <v>DISJUNTOR MONOPOLAR TIPO DIN, CORRENTE NOMINAL DE 10A - FORNECIMENTO E INSTALAÇÃO. AF_10/2020</v>
      </c>
      <c r="G420" s="164" t="str">
        <f ca="1">IF($D420&lt;&gt;"Serviço","",OFFSET(ORÇAMENTO!S$15,ROW(G420)-ROW(G$15),0))</f>
        <v>UN</v>
      </c>
      <c r="H420" s="122" cm="1">
        <f t="array" aca="1" ref="H420" ca="1">IF($D420&lt;&gt;"Serviço",0,IF(ACOMPANHAMENTO="BM",ROUND(OFFSET(ORÇAMENTO!AJ$15,ROW(H420)-ROW(H$15),0),15-13*ORÇAMENTO!$AF$7),SUMPRODUCT(($Q$1:$AI$1=1)*ROUND($Q420:$AI420,15-13*ORÇAMENTO!$AF$7))))</f>
        <v>1</v>
      </c>
      <c r="I420" s="468" t="s">
        <v>1431</v>
      </c>
      <c r="J420" s="640" t="str" cm="1">
        <f t="array" aca="1" ref="J420" ca="1">IF(OR(B420&lt;&gt;"S",CÁLCULO.FrentesPreenchidas=0),"",IF(AND(ACOMPANHAMENTO="PLE",AUTOEVENTO="Manual",OR(H420&gt;0,ORÇAMENTO!AC420="QUANT."),OR(K420="",M420=0,N420="")),"►E",IF(AND(ACOMPANHAMENTO="PLE",ORÇAMENTO!AC420="QUANT."),"►Q",IF(AND(ACOMPANHAMENTO="PLE",H420&lt;&gt;SUMPRODUCT(($Q$1:$AI$1=1)*ROUND(Q420:AI420,15))),"►S",IF(AND(COUNTIF($P$11:$AI$11,"▼")=0,H420&gt;0,I420=""),"◄M","")))))</f>
        <v/>
      </c>
      <c r="K420" s="641" t="s">
        <v>1391</v>
      </c>
      <c r="L420" s="165" t="s">
        <v>764</v>
      </c>
      <c r="M420" s="166">
        <f ca="1">IF($D420&lt;&gt;"Serviço","",
          IF(AUTOEVENTO="manual",$A420,
                IF(ISERROR(MATCH($A420,$A$15:OFFSET($A420,-1,0),0)),MAX($M$15:OFFSET(M420,-1,0))+1,
                      INDEX($M$15:OFFSET(M420,-1,0),MATCH($A420,$A$15:OFFSET($A420,-1,0),0)))))</f>
        <v>7</v>
      </c>
      <c r="N420" s="167" t="str">
        <f ca="1">IF($D420&lt;&gt;"Serviço","",
         IF(AUTOEVENTO="Manual",
                IF($A420=0,"&lt;-- defina o número do agrupador",
                       OFFSET(EVENTOS!$D$15,$A420-$A$15,0)),
                OFFSET($F$15,$A420,0)))</f>
        <v>Instalações Elétricas</v>
      </c>
      <c r="O420" s="168"/>
      <c r="Q420" s="168"/>
      <c r="R420" s="169"/>
      <c r="S420" s="169"/>
      <c r="T420" s="169"/>
      <c r="U420" s="169"/>
      <c r="V420" s="169"/>
      <c r="W420" s="169"/>
      <c r="X420" s="169">
        <v>1</v>
      </c>
      <c r="Y420" s="169"/>
      <c r="Z420" s="170"/>
      <c r="AA420" s="169"/>
      <c r="AB420" s="169"/>
      <c r="AC420" s="169"/>
      <c r="AD420" s="169"/>
      <c r="AE420" s="169"/>
      <c r="AF420" s="169"/>
      <c r="AG420" s="169"/>
      <c r="AH420" s="170"/>
      <c r="AJ420" s="453">
        <f ca="1">IF(AND($D420="Serviço",AJ$12&lt;&gt;0,$H420&gt;0,OR(AUTOEVENTO&lt;&gt;"manual",$M420&lt;&gt;$A$15)),
        IF(Import.TipoArredondamento&lt;&gt;"TransfereGOV",
              ROUND(OFFSET($P420,0,AJ$13),15-13*ORÇAMENTO!$AF$7)/$H420*OFFSET(ORÇAMENTO!$X$15,ROW(AJ420)-ROW(AJ$15),0),
              ROUND(ROUND(OFFSET($P420,0,AJ$13),15-13*ORÇAMENTO!$AF$7)*OFFSET(ORÇAMENTO!$W$15,ROW(AJ420)-ROW(AJ$15),0),15-13*ORÇAMENTO!$AF$11)),
         0)</f>
        <v>0</v>
      </c>
      <c r="AK420" s="453">
        <f ca="1">IF(AND($D420="Serviço",AK$12&lt;&gt;0,$H420&gt;0,OR(AUTOEVENTO&lt;&gt;"manual",$M420&lt;&gt;$A$15)),
        IF(Import.TipoArredondamento&lt;&gt;"TransfereGOV",
              ROUND(OFFSET($P420,0,AK$13),15-13*ORÇAMENTO!$AF$7)/$H420*OFFSET(ORÇAMENTO!$X$15,ROW(AK420)-ROW(AK$15),0),
              ROUND(ROUND(OFFSET($P420,0,AK$13),15-13*ORÇAMENTO!$AF$7)*OFFSET(ORÇAMENTO!$W$15,ROW(AK420)-ROW(AK$15),0),15-13*ORÇAMENTO!$AF$11)),
         0)</f>
        <v>0</v>
      </c>
      <c r="AL420" s="453">
        <f ca="1">IF(AND($D420="Serviço",AL$12&lt;&gt;0,$H420&gt;0,OR(AUTOEVENTO&lt;&gt;"manual",$M420&lt;&gt;$A$15)),
        IF(Import.TipoArredondamento&lt;&gt;"TransfereGOV",
              ROUND(OFFSET($P420,0,AL$13),15-13*ORÇAMENTO!$AF$7)/$H420*OFFSET(ORÇAMENTO!$X$15,ROW(AL420)-ROW(AL$15),0),
              ROUND(ROUND(OFFSET($P420,0,AL$13),15-13*ORÇAMENTO!$AF$7)*OFFSET(ORÇAMENTO!$W$15,ROW(AL420)-ROW(AL$15),0),15-13*ORÇAMENTO!$AF$11)),
         0)</f>
        <v>0</v>
      </c>
      <c r="AM420" s="453">
        <f ca="1">IF(AND($D420="Serviço",AM$12&lt;&gt;0,$H420&gt;0,OR(AUTOEVENTO&lt;&gt;"manual",$M420&lt;&gt;$A$15)),
        IF(Import.TipoArredondamento&lt;&gt;"TransfereGOV",
              ROUND(OFFSET($P420,0,AM$13),15-13*ORÇAMENTO!$AF$7)/$H420*OFFSET(ORÇAMENTO!$X$15,ROW(AM420)-ROW(AM$15),0),
              ROUND(ROUND(OFFSET($P420,0,AM$13),15-13*ORÇAMENTO!$AF$7)*OFFSET(ORÇAMENTO!$W$15,ROW(AM420)-ROW(AM$15),0),15-13*ORÇAMENTO!$AF$11)),
         0)</f>
        <v>0</v>
      </c>
      <c r="AN420" s="453">
        <f ca="1">IF(AND($D420="Serviço",AN$12&lt;&gt;0,$H420&gt;0,OR(AUTOEVENTO&lt;&gt;"manual",$M420&lt;&gt;$A$15)),
        IF(Import.TipoArredondamento&lt;&gt;"TransfereGOV",
              ROUND(OFFSET($P420,0,AN$13),15-13*ORÇAMENTO!$AF$7)/$H420*OFFSET(ORÇAMENTO!$X$15,ROW(AN420)-ROW(AN$15),0),
              ROUND(ROUND(OFFSET($P420,0,AN$13),15-13*ORÇAMENTO!$AF$7)*OFFSET(ORÇAMENTO!$W$15,ROW(AN420)-ROW(AN$15),0),15-13*ORÇAMENTO!$AF$11)),
         0)</f>
        <v>0</v>
      </c>
      <c r="AO420" s="453">
        <f ca="1">IF(AND($D420="Serviço",AO$12&lt;&gt;0,$H420&gt;0,OR(AUTOEVENTO&lt;&gt;"manual",$M420&lt;&gt;$A$15)),
        IF(Import.TipoArredondamento&lt;&gt;"TransfereGOV",
              ROUND(OFFSET($P420,0,AO$13),15-13*ORÇAMENTO!$AF$7)/$H420*OFFSET(ORÇAMENTO!$X$15,ROW(AO420)-ROW(AO$15),0),
              ROUND(ROUND(OFFSET($P420,0,AO$13),15-13*ORÇAMENTO!$AF$7)*OFFSET(ORÇAMENTO!$W$15,ROW(AO420)-ROW(AO$15),0),15-13*ORÇAMENTO!$AF$11)),
         0)</f>
        <v>0</v>
      </c>
      <c r="AP420" s="453">
        <f ca="1">IF(AND($D420="Serviço",AP$12&lt;&gt;0,$H420&gt;0,OR(AUTOEVENTO&lt;&gt;"manual",$M420&lt;&gt;$A$15)),
        IF(Import.TipoArredondamento&lt;&gt;"TransfereGOV",
              ROUND(OFFSET($P420,0,AP$13),15-13*ORÇAMENTO!$AF$7)/$H420*OFFSET(ORÇAMENTO!$X$15,ROW(AP420)-ROW(AP$15),0),
              ROUND(ROUND(OFFSET($P420,0,AP$13),15-13*ORÇAMENTO!$AF$7)*OFFSET(ORÇAMENTO!$W$15,ROW(AP420)-ROW(AP$15),0),15-13*ORÇAMENTO!$AF$11)),
         0)</f>
        <v>0</v>
      </c>
      <c r="AQ420" s="453">
        <f ca="1">IF(AND($D420="Serviço",AQ$12&lt;&gt;0,$H420&gt;0,OR(AUTOEVENTO&lt;&gt;"manual",$M420&lt;&gt;$A$15)),
        IF(Import.TipoArredondamento&lt;&gt;"TransfereGOV",
              ROUND(OFFSET($P420,0,AQ$13),15-13*ORÇAMENTO!$AF$7)/$H420*OFFSET(ORÇAMENTO!$X$15,ROW(AQ420)-ROW(AQ$15),0),
              ROUND(ROUND(OFFSET($P420,0,AQ$13),15-13*ORÇAMENTO!$AF$7)*OFFSET(ORÇAMENTO!$W$15,ROW(AQ420)-ROW(AQ$15),0),15-13*ORÇAMENTO!$AF$11)),
         0)</f>
        <v>0</v>
      </c>
      <c r="AR420" s="453">
        <f ca="1">IF(AND($D420="Serviço",AR$12&lt;&gt;0,$H420&gt;0,OR(AUTOEVENTO&lt;&gt;"manual",$M420&lt;&gt;$A$15)),
        IF(Import.TipoArredondamento&lt;&gt;"TransfereGOV",
              ROUND(OFFSET($P420,0,AR$13),15-13*ORÇAMENTO!$AF$7)/$H420*OFFSET(ORÇAMENTO!$X$15,ROW(AR420)-ROW(AR$15),0),
              ROUND(ROUND(OFFSET($P420,0,AR$13),15-13*ORÇAMENTO!$AF$7)*OFFSET(ORÇAMENTO!$W$15,ROW(AR420)-ROW(AR$15),0),15-13*ORÇAMENTO!$AF$11)),
         0)</f>
        <v>0</v>
      </c>
      <c r="AS420" s="453">
        <f ca="1">IF(AND($D420="Serviço",AS$12&lt;&gt;0,$H420&gt;0,OR(AUTOEVENTO&lt;&gt;"manual",$M420&lt;&gt;$A$15)),
        IF(Import.TipoArredondamento&lt;&gt;"TransfereGOV",
              ROUND(OFFSET($P420,0,AS$13),15-13*ORÇAMENTO!$AF$7)/$H420*OFFSET(ORÇAMENTO!$X$15,ROW(AS420)-ROW(AS$15),0),
              ROUND(ROUND(OFFSET($P420,0,AS$13),15-13*ORÇAMENTO!$AF$7)*OFFSET(ORÇAMENTO!$W$15,ROW(AS420)-ROW(AS$15),0),15-13*ORÇAMENTO!$AF$11)),
         0)</f>
        <v>0</v>
      </c>
      <c r="AT420" s="453">
        <f ca="1">IF(AND($D420="Serviço",AT$12&lt;&gt;0,$H420&gt;0,OR(AUTOEVENTO&lt;&gt;"manual",$M420&lt;&gt;$A$15)),
        IF(Import.TipoArredondamento&lt;&gt;"TransfereGOV",
              ROUND(OFFSET($P420,0,AT$13),15-13*ORÇAMENTO!$AF$7)/$H420*OFFSET(ORÇAMENTO!$X$15,ROW(AT420)-ROW(AT$15),0),
              ROUND(ROUND(OFFSET($P420,0,AT$13),15-13*ORÇAMENTO!$AF$7)*OFFSET(ORÇAMENTO!$W$15,ROW(AT420)-ROW(AT$15),0),15-13*ORÇAMENTO!$AF$11)),
         0)</f>
        <v>0</v>
      </c>
      <c r="AU420" s="453">
        <f ca="1">IF(AND($D420="Serviço",AU$12&lt;&gt;0,$H420&gt;0,OR(AUTOEVENTO&lt;&gt;"manual",$M420&lt;&gt;$A$15)),
        IF(Import.TipoArredondamento&lt;&gt;"TransfereGOV",
              ROUND(OFFSET($P420,0,AU$13),15-13*ORÇAMENTO!$AF$7)/$H420*OFFSET(ORÇAMENTO!$X$15,ROW(AU420)-ROW(AU$15),0),
              ROUND(ROUND(OFFSET($P420,0,AU$13),15-13*ORÇAMENTO!$AF$7)*OFFSET(ORÇAMENTO!$W$15,ROW(AU420)-ROW(AU$15),0),15-13*ORÇAMENTO!$AF$11)),
         0)</f>
        <v>0</v>
      </c>
      <c r="AV420" s="453">
        <f ca="1">IF(AND($D420="Serviço",AV$12&lt;&gt;0,$H420&gt;0,OR(AUTOEVENTO&lt;&gt;"manual",$M420&lt;&gt;$A$15)),
        IF(Import.TipoArredondamento&lt;&gt;"TransfereGOV",
              ROUND(OFFSET($P420,0,AV$13),15-13*ORÇAMENTO!$AF$7)/$H420*OFFSET(ORÇAMENTO!$X$15,ROW(AV420)-ROW(AV$15),0),
              ROUND(ROUND(OFFSET($P420,0,AV$13),15-13*ORÇAMENTO!$AF$7)*OFFSET(ORÇAMENTO!$W$15,ROW(AV420)-ROW(AV$15),0),15-13*ORÇAMENTO!$AF$11)),
         0)</f>
        <v>0</v>
      </c>
      <c r="AW420" s="453">
        <f ca="1">IF(AND($D420="Serviço",AW$12&lt;&gt;0,$H420&gt;0,OR(AUTOEVENTO&lt;&gt;"manual",$M420&lt;&gt;$A$15)),
        IF(Import.TipoArredondamento&lt;&gt;"TransfereGOV",
              ROUND(OFFSET($P420,0,AW$13),15-13*ORÇAMENTO!$AF$7)/$H420*OFFSET(ORÇAMENTO!$X$15,ROW(AW420)-ROW(AW$15),0),
              ROUND(ROUND(OFFSET($P420,0,AW$13),15-13*ORÇAMENTO!$AF$7)*OFFSET(ORÇAMENTO!$W$15,ROW(AW420)-ROW(AW$15),0),15-13*ORÇAMENTO!$AF$11)),
         0)</f>
        <v>0</v>
      </c>
      <c r="AX420" s="453">
        <f ca="1">IF(AND($D420="Serviço",AX$12&lt;&gt;0,$H420&gt;0,OR(AUTOEVENTO&lt;&gt;"manual",$M420&lt;&gt;$A$15)),
        IF(Import.TipoArredondamento&lt;&gt;"TransfereGOV",
              ROUND(OFFSET($P420,0,AX$13),15-13*ORÇAMENTO!$AF$7)/$H420*OFFSET(ORÇAMENTO!$X$15,ROW(AX420)-ROW(AX$15),0),
              ROUND(ROUND(OFFSET($P420,0,AX$13),15-13*ORÇAMENTO!$AF$7)*OFFSET(ORÇAMENTO!$W$15,ROW(AX420)-ROW(AX$15),0),15-13*ORÇAMENTO!$AF$11)),
         0)</f>
        <v>0</v>
      </c>
      <c r="AY420" s="453">
        <f ca="1">IF(AND($D420="Serviço",AY$12&lt;&gt;0,$H420&gt;0,OR(AUTOEVENTO&lt;&gt;"manual",$M420&lt;&gt;$A$15)),
        IF(Import.TipoArredondamento&lt;&gt;"TransfereGOV",
              ROUND(OFFSET($P420,0,AY$13),15-13*ORÇAMENTO!$AF$7)/$H420*OFFSET(ORÇAMENTO!$X$15,ROW(AY420)-ROW(AY$15),0),
              ROUND(ROUND(OFFSET($P420,0,AY$13),15-13*ORÇAMENTO!$AF$7)*OFFSET(ORÇAMENTO!$W$15,ROW(AY420)-ROW(AY$15),0),15-13*ORÇAMENTO!$AF$11)),
         0)</f>
        <v>0</v>
      </c>
      <c r="AZ420" s="453">
        <f ca="1">IF(AND($D420="Serviço",AZ$12&lt;&gt;0,$H420&gt;0,OR(AUTOEVENTO&lt;&gt;"manual",$M420&lt;&gt;$A$15)),
        IF(Import.TipoArredondamento&lt;&gt;"TransfereGOV",
              ROUND(OFFSET($P420,0,AZ$13),15-13*ORÇAMENTO!$AF$7)/$H420*OFFSET(ORÇAMENTO!$X$15,ROW(AZ420)-ROW(AZ$15),0),
              ROUND(ROUND(OFFSET($P420,0,AZ$13),15-13*ORÇAMENTO!$AF$7)*OFFSET(ORÇAMENTO!$W$15,ROW(AZ420)-ROW(AZ$15),0),15-13*ORÇAMENTO!$AF$11)),
         0)</f>
        <v>0</v>
      </c>
      <c r="BA420" s="453">
        <f ca="1">IF(AND($D420="Serviço",BA$12&lt;&gt;0,$H420&gt;0,OR(AUTOEVENTO&lt;&gt;"manual",$M420&lt;&gt;$A$15)),
        IF(Import.TipoArredondamento&lt;&gt;"TransfereGOV",
              ROUND(OFFSET($P420,0,BA$13),15-13*ORÇAMENTO!$AF$7)/$H420*OFFSET(ORÇAMENTO!$X$15,ROW(BA420)-ROW(BA$15),0),
              ROUND(ROUND(OFFSET($P420,0,BA$13),15-13*ORÇAMENTO!$AF$7)*OFFSET(ORÇAMENTO!$W$15,ROW(BA420)-ROW(BA$15),0),15-13*ORÇAMENTO!$AF$11)),
         0)</f>
        <v>0</v>
      </c>
      <c r="BC420" s="171">
        <f ca="1">IF(OR($D420&lt;&gt;"Serviço",AND(AUTOEVENTO="Manual",$M420=$A$15)),0,
         IF(OFFSET(CRONOPLE!$F$15,$M420-$A$15,BC$13)=0,10^12,OFFSET(CRONOPLE!$F$15,$M420-$A$15,BC$13)))</f>
        <v>1</v>
      </c>
      <c r="BD420" s="171">
        <f ca="1">IF(OR($D420&lt;&gt;"Serviço",AND(AUTOEVENTO="Manual",$M420=$A$15)),0,
         IF(OFFSET(CRONOPLE!$F$15,$M420-$A$15,BD$13)=0,10^12,OFFSET(CRONOPLE!$F$15,$M420-$A$15,BD$13)))</f>
        <v>2</v>
      </c>
      <c r="BE420" s="171">
        <f ca="1">IF(OR($D420&lt;&gt;"Serviço",AND(AUTOEVENTO="Manual",$M420=$A$15)),0,
         IF(OFFSET(CRONOPLE!$F$15,$M420-$A$15,BE$13)=0,10^12,OFFSET(CRONOPLE!$F$15,$M420-$A$15,BE$13)))</f>
        <v>3</v>
      </c>
      <c r="BF420" s="171">
        <f ca="1">IF(OR($D420&lt;&gt;"Serviço",AND(AUTOEVENTO="Manual",$M420=$A$15)),0,
         IF(OFFSET(CRONOPLE!$F$15,$M420-$A$15,BF$13)=0,10^12,OFFSET(CRONOPLE!$F$15,$M420-$A$15,BF$13)))</f>
        <v>4</v>
      </c>
      <c r="BG420" s="171">
        <f ca="1">IF(OR($D420&lt;&gt;"Serviço",AND(AUTOEVENTO="Manual",$M420=$A$15)),0,
         IF(OFFSET(CRONOPLE!$F$15,$M420-$A$15,BG$13)=0,10^12,OFFSET(CRONOPLE!$F$15,$M420-$A$15,BG$13)))</f>
        <v>5</v>
      </c>
      <c r="BH420" s="171">
        <f ca="1">IF(OR($D420&lt;&gt;"Serviço",AND(AUTOEVENTO="Manual",$M420=$A$15)),0,
         IF(OFFSET(CRONOPLE!$F$15,$M420-$A$15,BH$13)=0,10^12,OFFSET(CRONOPLE!$F$15,$M420-$A$15,BH$13)))</f>
        <v>6</v>
      </c>
      <c r="BI420" s="171">
        <f ca="1">IF(OR($D420&lt;&gt;"Serviço",AND(AUTOEVENTO="Manual",$M420=$A$15)),0,
         IF(OFFSET(CRONOPLE!$F$15,$M420-$A$15,BI$13)=0,10^12,OFFSET(CRONOPLE!$F$15,$M420-$A$15,BI$13)))</f>
        <v>7</v>
      </c>
      <c r="BJ420" s="171">
        <f ca="1">IF(OR($D420&lt;&gt;"Serviço",AND(AUTOEVENTO="Manual",$M420=$A$15)),0,
         IF(OFFSET(CRONOPLE!$F$15,$M420-$A$15,BJ$13)=0,10^12,OFFSET(CRONOPLE!$F$15,$M420-$A$15,BJ$13)))</f>
        <v>8</v>
      </c>
      <c r="BK420" s="171">
        <f ca="1">IF(OR($D420&lt;&gt;"Serviço",AND(AUTOEVENTO="Manual",$M420=$A$15)),0,
         IF(OFFSET(CRONOPLE!$F$15,$M420-$A$15,BK$13)=0,10^12,OFFSET(CRONOPLE!$F$15,$M420-$A$15,BK$13)))</f>
        <v>9</v>
      </c>
      <c r="BL420" s="171">
        <f ca="1">IF(OR($D420&lt;&gt;"Serviço",AND(AUTOEVENTO="Manual",$M420=$A$15)),0,
         IF(OFFSET(CRONOPLE!$F$15,$M420-$A$15,BL$13)=0,10^12,OFFSET(CRONOPLE!$F$15,$M420-$A$15,BL$13)))</f>
        <v>1000000000000</v>
      </c>
      <c r="BM420" s="171">
        <f ca="1">IF(OR($D420&lt;&gt;"Serviço",AND(AUTOEVENTO="Manual",$M420=$A$15)),0,
         IF(OFFSET(CRONOPLE!$F$15,$M420-$A$15,BM$13)=0,10^12,OFFSET(CRONOPLE!$F$15,$M420-$A$15,BM$13)))</f>
        <v>1000000000000</v>
      </c>
      <c r="BN420" s="171">
        <f ca="1">IF(OR($D420&lt;&gt;"Serviço",AND(AUTOEVENTO="Manual",$M420=$A$15)),0,
         IF(OFFSET(CRONOPLE!$F$15,$M420-$A$15,BN$13)=0,10^12,OFFSET(CRONOPLE!$F$15,$M420-$A$15,BN$13)))</f>
        <v>1000000000000</v>
      </c>
      <c r="BO420" s="171">
        <f ca="1">IF(OR($D420&lt;&gt;"Serviço",AND(AUTOEVENTO="Manual",$M420=$A$15)),0,
         IF(OFFSET(CRONOPLE!$F$15,$M420-$A$15,BO$13)=0,10^12,OFFSET(CRONOPLE!$F$15,$M420-$A$15,BO$13)))</f>
        <v>1000000000000</v>
      </c>
      <c r="BP420" s="171">
        <f ca="1">IF(OR($D420&lt;&gt;"Serviço",AND(AUTOEVENTO="Manual",$M420=$A$15)),0,
         IF(OFFSET(CRONOPLE!$F$15,$M420-$A$15,BP$13)=0,10^12,OFFSET(CRONOPLE!$F$15,$M420-$A$15,BP$13)))</f>
        <v>1000000000000</v>
      </c>
      <c r="BQ420" s="171">
        <f ca="1">IF(OR($D420&lt;&gt;"Serviço",AND(AUTOEVENTO="Manual",$M420=$A$15)),0,
         IF(OFFSET(CRONOPLE!$F$15,$M420-$A$15,BQ$13)=0,10^12,OFFSET(CRONOPLE!$F$15,$M420-$A$15,BQ$13)))</f>
        <v>1000000000000</v>
      </c>
      <c r="BR420" s="171">
        <f ca="1">IF(OR($D420&lt;&gt;"Serviço",AND(AUTOEVENTO="Manual",$M420=$A$15)),0,
         IF(OFFSET(CRONOPLE!$F$15,$M420-$A$15,BR$13)=0,10^12,OFFSET(CRONOPLE!$F$15,$M420-$A$15,BR$13)))</f>
        <v>1000000000000</v>
      </c>
      <c r="BS420" s="171">
        <f ca="1">IF(OR($D420&lt;&gt;"Serviço",AND(AUTOEVENTO="Manual",$M420=$A$15)),0,
         IF(OFFSET(CRONOPLE!$F$15,$M420-$A$15,BS$13)=0,10^12,OFFSET(CRONOPLE!$F$15,$M420-$A$15,BS$13)))</f>
        <v>1000000000000</v>
      </c>
      <c r="BT420" s="171">
        <f ca="1">IF(OR($D420&lt;&gt;"Serviço",AND(AUTOEVENTO="Manual",$M420=$A$15)),0,
         IF(OFFSET(CRONOPLE!$F$15,$M420-$A$15,BT$13)=0,10^12,OFFSET(CRONOPLE!$F$15,$M420-$A$15,BT$13)))</f>
        <v>1000000000000</v>
      </c>
      <c r="BV420" s="172">
        <f ca="1">IF(OR($D420&lt;&gt;"Serviço",AND(AUTOEVENTO="Manual",$M420=$A$15),$M420&gt;(ROW(PLE.lastrow)-ROW(PLE.firstrow))),0,
           IF(OFFSET(PLE!$G$15,$M420-$A$15,BV$13)="",10^12,OFFSET(PLE!$G$15,$M420-$A$15,BV$13)))</f>
        <v>1000000000000</v>
      </c>
      <c r="BW420" s="172">
        <f ca="1">IF(OR($D420&lt;&gt;"Serviço",AND(AUTOEVENTO="Manual",$M420=$A$15),$M420&gt;(ROW(PLE.lastrow)-ROW(PLE.firstrow))),0,
           IF(OFFSET(PLE!$G$15,$M420-$A$15,BW$13)="",10^12,OFFSET(PLE!$G$15,$M420-$A$15,BW$13)))</f>
        <v>1000000000000</v>
      </c>
      <c r="BX420" s="172">
        <f ca="1">IF(OR($D420&lt;&gt;"Serviço",AND(AUTOEVENTO="Manual",$M420=$A$15),$M420&gt;(ROW(PLE.lastrow)-ROW(PLE.firstrow))),0,
           IF(OFFSET(PLE!$G$15,$M420-$A$15,BX$13)="",10^12,OFFSET(PLE!$G$15,$M420-$A$15,BX$13)))</f>
        <v>1000000000000</v>
      </c>
      <c r="BY420" s="172">
        <f ca="1">IF(OR($D420&lt;&gt;"Serviço",AND(AUTOEVENTO="Manual",$M420=$A$15),$M420&gt;(ROW(PLE.lastrow)-ROW(PLE.firstrow))),0,
           IF(OFFSET(PLE!$G$15,$M420-$A$15,BY$13)="",10^12,OFFSET(PLE!$G$15,$M420-$A$15,BY$13)))</f>
        <v>1000000000000</v>
      </c>
      <c r="BZ420" s="172">
        <f ca="1">IF(OR($D420&lt;&gt;"Serviço",AND(AUTOEVENTO="Manual",$M420=$A$15),$M420&gt;(ROW(PLE.lastrow)-ROW(PLE.firstrow))),0,
           IF(OFFSET(PLE!$G$15,$M420-$A$15,BZ$13)="",10^12,OFFSET(PLE!$G$15,$M420-$A$15,BZ$13)))</f>
        <v>1000000000000</v>
      </c>
      <c r="CA420" s="172">
        <f ca="1">IF(OR($D420&lt;&gt;"Serviço",AND(AUTOEVENTO="Manual",$M420=$A$15),$M420&gt;(ROW(PLE.lastrow)-ROW(PLE.firstrow))),0,
           IF(OFFSET(PLE!$G$15,$M420-$A$15,CA$13)="",10^12,OFFSET(PLE!$G$15,$M420-$A$15,CA$13)))</f>
        <v>1000000000000</v>
      </c>
      <c r="CB420" s="172">
        <f ca="1">IF(OR($D420&lt;&gt;"Serviço",AND(AUTOEVENTO="Manual",$M420=$A$15),$M420&gt;(ROW(PLE.lastrow)-ROW(PLE.firstrow))),0,
           IF(OFFSET(PLE!$G$15,$M420-$A$15,CB$13)="",10^12,OFFSET(PLE!$G$15,$M420-$A$15,CB$13)))</f>
        <v>1000000000000</v>
      </c>
      <c r="CC420" s="172">
        <f ca="1">IF(OR($D420&lt;&gt;"Serviço",AND(AUTOEVENTO="Manual",$M420=$A$15),$M420&gt;(ROW(PLE.lastrow)-ROW(PLE.firstrow))),0,
           IF(OFFSET(PLE!$G$15,$M420-$A$15,CC$13)="",10^12,OFFSET(PLE!$G$15,$M420-$A$15,CC$13)))</f>
        <v>1000000000000</v>
      </c>
      <c r="CD420" s="172">
        <f ca="1">IF(OR($D420&lt;&gt;"Serviço",AND(AUTOEVENTO="Manual",$M420=$A$15),$M420&gt;(ROW(PLE.lastrow)-ROW(PLE.firstrow))),0,
           IF(OFFSET(PLE!$G$15,$M420-$A$15,CD$13)="",10^12,OFFSET(PLE!$G$15,$M420-$A$15,CD$13)))</f>
        <v>1000000000000</v>
      </c>
      <c r="CE420" s="172">
        <f ca="1">IF(OR($D420&lt;&gt;"Serviço",AND(AUTOEVENTO="Manual",$M420=$A$15),$M420&gt;(ROW(PLE.lastrow)-ROW(PLE.firstrow))),0,
           IF(OFFSET(PLE!$G$15,$M420-$A$15,CE$13)="",10^12,OFFSET(PLE!$G$15,$M420-$A$15,CE$13)))</f>
        <v>1000000000000</v>
      </c>
      <c r="CF420" s="172">
        <f ca="1">IF(OR($D420&lt;&gt;"Serviço",AND(AUTOEVENTO="Manual",$M420=$A$15),$M420&gt;(ROW(PLE.lastrow)-ROW(PLE.firstrow))),0,
           IF(OFFSET(PLE!$G$15,$M420-$A$15,CF$13)="",10^12,OFFSET(PLE!$G$15,$M420-$A$15,CF$13)))</f>
        <v>1000000000000</v>
      </c>
      <c r="CG420" s="172">
        <f ca="1">IF(OR($D420&lt;&gt;"Serviço",AND(AUTOEVENTO="Manual",$M420=$A$15),$M420&gt;(ROW(PLE.lastrow)-ROW(PLE.firstrow))),0,
           IF(OFFSET(PLE!$G$15,$M420-$A$15,CG$13)="",10^12,OFFSET(PLE!$G$15,$M420-$A$15,CG$13)))</f>
        <v>1000000000000</v>
      </c>
      <c r="CH420" s="172">
        <f ca="1">IF(OR($D420&lt;&gt;"Serviço",AND(AUTOEVENTO="Manual",$M420=$A$15),$M420&gt;(ROW(PLE.lastrow)-ROW(PLE.firstrow))),0,
           IF(OFFSET(PLE!$G$15,$M420-$A$15,CH$13)="",10^12,OFFSET(PLE!$G$15,$M420-$A$15,CH$13)))</f>
        <v>1000000000000</v>
      </c>
      <c r="CI420" s="172">
        <f ca="1">IF(OR($D420&lt;&gt;"Serviço",AND(AUTOEVENTO="Manual",$M420=$A$15),$M420&gt;(ROW(PLE.lastrow)-ROW(PLE.firstrow))),0,
           IF(OFFSET(PLE!$G$15,$M420-$A$15,CI$13)="",10^12,OFFSET(PLE!$G$15,$M420-$A$15,CI$13)))</f>
        <v>1000000000000</v>
      </c>
      <c r="CJ420" s="172">
        <f ca="1">IF(OR($D420&lt;&gt;"Serviço",AND(AUTOEVENTO="Manual",$M420=$A$15),$M420&gt;(ROW(PLE.lastrow)-ROW(PLE.firstrow))),0,
           IF(OFFSET(PLE!$G$15,$M420-$A$15,CJ$13)="",10^12,OFFSET(PLE!$G$15,$M420-$A$15,CJ$13)))</f>
        <v>1000000000000</v>
      </c>
      <c r="CK420" s="172">
        <f ca="1">IF(OR($D420&lt;&gt;"Serviço",AND(AUTOEVENTO="Manual",$M420=$A$15),$M420&gt;(ROW(PLE.lastrow)-ROW(PLE.firstrow))),0,
           IF(OFFSET(PLE!$G$15,$M420-$A$15,CK$13)="",10^12,OFFSET(PLE!$G$15,$M420-$A$15,CK$13)))</f>
        <v>1000000000000</v>
      </c>
      <c r="CL420" s="172">
        <f ca="1">IF(OR($D420&lt;&gt;"Serviço",AND(AUTOEVENTO="Manual",$M420=$A$15),$M420&gt;(ROW(PLE.lastrow)-ROW(PLE.firstrow))),0,
           IF(OFFSET(PLE!$G$15,$M420-$A$15,CL$13)="",10^12,OFFSET(PLE!$G$15,$M420-$A$15,CL$13)))</f>
        <v>1000000000000</v>
      </c>
      <c r="CM420" s="172">
        <f ca="1">IF(OR($D420&lt;&gt;"Serviço",AND(AUTOEVENTO="Manual",$M420=$A$15),$M420&gt;(ROW(PLE.lastrow)-ROW(PLE.firstrow))),0,
           IF(OFFSET(PLE!$G$15,$M420-$A$15,CM$13)="",10^12,OFFSET(PLE!$G$15,$M420-$A$15,CM$13)))</f>
        <v>1000000000000</v>
      </c>
    </row>
    <row r="421" spans="1:91" ht="38.25" x14ac:dyDescent="0.2">
      <c r="A421" s="7">
        <f t="shared" ca="1" si="16"/>
        <v>7</v>
      </c>
      <c r="B421" s="7" t="str">
        <f ca="1">OFFSET(ORÇAMENTO!C$15,ROW(B421)-ROW(B$15),0)</f>
        <v>S</v>
      </c>
      <c r="C421" s="7" t="str">
        <f ca="1">OFFSET(ORÇAMENTO!L$15,ROW(C421)-ROW(C$15),0)</f>
        <v>F</v>
      </c>
      <c r="D421" s="116" t="str">
        <f ca="1">OFFSET(ORÇAMENTO!N$15,ROW(D421)-ROW(D$15),0)</f>
        <v>Serviço</v>
      </c>
      <c r="E421" s="117" t="str">
        <f ca="1">OFFSET(ORÇAMENTO!O$15,ROW(E421)-ROW(E$15),0)</f>
        <v>1.8.2.4.11.</v>
      </c>
      <c r="F421" s="163" t="str">
        <f ca="1">OFFSET(ORÇAMENTO!R$15,ROW(F421)-ROW(F$15),0)</f>
        <v>DISJUNTOR TRIPOLAR TIPO DIN, CORRENTE NOMINAL DE 10A - FORNECIMENTO E INSTALAÇÃO. AF_10/2020</v>
      </c>
      <c r="G421" s="164" t="str">
        <f ca="1">IF($D421&lt;&gt;"Serviço","",OFFSET(ORÇAMENTO!S$15,ROW(G421)-ROW(G$15),0))</f>
        <v>UN</v>
      </c>
      <c r="H421" s="122" cm="1">
        <f t="array" aca="1" ref="H421" ca="1">IF($D421&lt;&gt;"Serviço",0,IF(ACOMPANHAMENTO="BM",ROUND(OFFSET(ORÇAMENTO!AJ$15,ROW(H421)-ROW(H$15),0),15-13*ORÇAMENTO!$AF$7),SUMPRODUCT(($Q$1:$AI$1=1)*ROUND($Q421:$AI421,15-13*ORÇAMENTO!$AF$7))))</f>
        <v>1</v>
      </c>
      <c r="I421" s="468" t="s">
        <v>1431</v>
      </c>
      <c r="J421" s="640" t="str" cm="1">
        <f t="array" aca="1" ref="J421" ca="1">IF(OR(B421&lt;&gt;"S",CÁLCULO.FrentesPreenchidas=0),"",IF(AND(ACOMPANHAMENTO="PLE",AUTOEVENTO="Manual",OR(H421&gt;0,ORÇAMENTO!AC421="QUANT."),OR(K421="",M421=0,N421="")),"►E",IF(AND(ACOMPANHAMENTO="PLE",ORÇAMENTO!AC421="QUANT."),"►Q",IF(AND(ACOMPANHAMENTO="PLE",H421&lt;&gt;SUMPRODUCT(($Q$1:$AI$1=1)*ROUND(Q421:AI421,15))),"►S",IF(AND(COUNTIF($P$11:$AI$11,"▼")=0,H421&gt;0,I421=""),"◄M","")))))</f>
        <v/>
      </c>
      <c r="K421" s="641" t="s">
        <v>1391</v>
      </c>
      <c r="L421" s="165" t="s">
        <v>764</v>
      </c>
      <c r="M421" s="166">
        <f ca="1">IF($D421&lt;&gt;"Serviço","",
          IF(AUTOEVENTO="manual",$A421,
                IF(ISERROR(MATCH($A421,$A$15:OFFSET($A421,-1,0),0)),MAX($M$15:OFFSET(M421,-1,0))+1,
                      INDEX($M$15:OFFSET(M421,-1,0),MATCH($A421,$A$15:OFFSET($A421,-1,0),0)))))</f>
        <v>7</v>
      </c>
      <c r="N421" s="167" t="str">
        <f ca="1">IF($D421&lt;&gt;"Serviço","",
         IF(AUTOEVENTO="Manual",
                IF($A421=0,"&lt;-- defina o número do agrupador",
                       OFFSET(EVENTOS!$D$15,$A421-$A$15,0)),
                OFFSET($F$15,$A421,0)))</f>
        <v>Instalações Elétricas</v>
      </c>
      <c r="O421" s="168"/>
      <c r="Q421" s="168"/>
      <c r="R421" s="169"/>
      <c r="S421" s="169"/>
      <c r="T421" s="169"/>
      <c r="U421" s="169"/>
      <c r="V421" s="169"/>
      <c r="W421" s="169"/>
      <c r="X421" s="169">
        <v>1</v>
      </c>
      <c r="Y421" s="169"/>
      <c r="Z421" s="170"/>
      <c r="AA421" s="169"/>
      <c r="AB421" s="169"/>
      <c r="AC421" s="169"/>
      <c r="AD421" s="169"/>
      <c r="AE421" s="169"/>
      <c r="AF421" s="169"/>
      <c r="AG421" s="169"/>
      <c r="AH421" s="170"/>
      <c r="AJ421" s="453">
        <f ca="1">IF(AND($D421="Serviço",AJ$12&lt;&gt;0,$H421&gt;0,OR(AUTOEVENTO&lt;&gt;"manual",$M421&lt;&gt;$A$15)),
        IF(Import.TipoArredondamento&lt;&gt;"TransfereGOV",
              ROUND(OFFSET($P421,0,AJ$13),15-13*ORÇAMENTO!$AF$7)/$H421*OFFSET(ORÇAMENTO!$X$15,ROW(AJ421)-ROW(AJ$15),0),
              ROUND(ROUND(OFFSET($P421,0,AJ$13),15-13*ORÇAMENTO!$AF$7)*OFFSET(ORÇAMENTO!$W$15,ROW(AJ421)-ROW(AJ$15),0),15-13*ORÇAMENTO!$AF$11)),
         0)</f>
        <v>0</v>
      </c>
      <c r="AK421" s="453">
        <f ca="1">IF(AND($D421="Serviço",AK$12&lt;&gt;0,$H421&gt;0,OR(AUTOEVENTO&lt;&gt;"manual",$M421&lt;&gt;$A$15)),
        IF(Import.TipoArredondamento&lt;&gt;"TransfereGOV",
              ROUND(OFFSET($P421,0,AK$13),15-13*ORÇAMENTO!$AF$7)/$H421*OFFSET(ORÇAMENTO!$X$15,ROW(AK421)-ROW(AK$15),0),
              ROUND(ROUND(OFFSET($P421,0,AK$13),15-13*ORÇAMENTO!$AF$7)*OFFSET(ORÇAMENTO!$W$15,ROW(AK421)-ROW(AK$15),0),15-13*ORÇAMENTO!$AF$11)),
         0)</f>
        <v>0</v>
      </c>
      <c r="AL421" s="453">
        <f ca="1">IF(AND($D421="Serviço",AL$12&lt;&gt;0,$H421&gt;0,OR(AUTOEVENTO&lt;&gt;"manual",$M421&lt;&gt;$A$15)),
        IF(Import.TipoArredondamento&lt;&gt;"TransfereGOV",
              ROUND(OFFSET($P421,0,AL$13),15-13*ORÇAMENTO!$AF$7)/$H421*OFFSET(ORÇAMENTO!$X$15,ROW(AL421)-ROW(AL$15),0),
              ROUND(ROUND(OFFSET($P421,0,AL$13),15-13*ORÇAMENTO!$AF$7)*OFFSET(ORÇAMENTO!$W$15,ROW(AL421)-ROW(AL$15),0),15-13*ORÇAMENTO!$AF$11)),
         0)</f>
        <v>0</v>
      </c>
      <c r="AM421" s="453">
        <f ca="1">IF(AND($D421="Serviço",AM$12&lt;&gt;0,$H421&gt;0,OR(AUTOEVENTO&lt;&gt;"manual",$M421&lt;&gt;$A$15)),
        IF(Import.TipoArredondamento&lt;&gt;"TransfereGOV",
              ROUND(OFFSET($P421,0,AM$13),15-13*ORÇAMENTO!$AF$7)/$H421*OFFSET(ORÇAMENTO!$X$15,ROW(AM421)-ROW(AM$15),0),
              ROUND(ROUND(OFFSET($P421,0,AM$13),15-13*ORÇAMENTO!$AF$7)*OFFSET(ORÇAMENTO!$W$15,ROW(AM421)-ROW(AM$15),0),15-13*ORÇAMENTO!$AF$11)),
         0)</f>
        <v>0</v>
      </c>
      <c r="AN421" s="453">
        <f ca="1">IF(AND($D421="Serviço",AN$12&lt;&gt;0,$H421&gt;0,OR(AUTOEVENTO&lt;&gt;"manual",$M421&lt;&gt;$A$15)),
        IF(Import.TipoArredondamento&lt;&gt;"TransfereGOV",
              ROUND(OFFSET($P421,0,AN$13),15-13*ORÇAMENTO!$AF$7)/$H421*OFFSET(ORÇAMENTO!$X$15,ROW(AN421)-ROW(AN$15),0),
              ROUND(ROUND(OFFSET($P421,0,AN$13),15-13*ORÇAMENTO!$AF$7)*OFFSET(ORÇAMENTO!$W$15,ROW(AN421)-ROW(AN$15),0),15-13*ORÇAMENTO!$AF$11)),
         0)</f>
        <v>0</v>
      </c>
      <c r="AO421" s="453">
        <f ca="1">IF(AND($D421="Serviço",AO$12&lt;&gt;0,$H421&gt;0,OR(AUTOEVENTO&lt;&gt;"manual",$M421&lt;&gt;$A$15)),
        IF(Import.TipoArredondamento&lt;&gt;"TransfereGOV",
              ROUND(OFFSET($P421,0,AO$13),15-13*ORÇAMENTO!$AF$7)/$H421*OFFSET(ORÇAMENTO!$X$15,ROW(AO421)-ROW(AO$15),0),
              ROUND(ROUND(OFFSET($P421,0,AO$13),15-13*ORÇAMENTO!$AF$7)*OFFSET(ORÇAMENTO!$W$15,ROW(AO421)-ROW(AO$15),0),15-13*ORÇAMENTO!$AF$11)),
         0)</f>
        <v>0</v>
      </c>
      <c r="AP421" s="453">
        <f ca="1">IF(AND($D421="Serviço",AP$12&lt;&gt;0,$H421&gt;0,OR(AUTOEVENTO&lt;&gt;"manual",$M421&lt;&gt;$A$15)),
        IF(Import.TipoArredondamento&lt;&gt;"TransfereGOV",
              ROUND(OFFSET($P421,0,AP$13),15-13*ORÇAMENTO!$AF$7)/$H421*OFFSET(ORÇAMENTO!$X$15,ROW(AP421)-ROW(AP$15),0),
              ROUND(ROUND(OFFSET($P421,0,AP$13),15-13*ORÇAMENTO!$AF$7)*OFFSET(ORÇAMENTO!$W$15,ROW(AP421)-ROW(AP$15),0),15-13*ORÇAMENTO!$AF$11)),
         0)</f>
        <v>0</v>
      </c>
      <c r="AQ421" s="453">
        <f ca="1">IF(AND($D421="Serviço",AQ$12&lt;&gt;0,$H421&gt;0,OR(AUTOEVENTO&lt;&gt;"manual",$M421&lt;&gt;$A$15)),
        IF(Import.TipoArredondamento&lt;&gt;"TransfereGOV",
              ROUND(OFFSET($P421,0,AQ$13),15-13*ORÇAMENTO!$AF$7)/$H421*OFFSET(ORÇAMENTO!$X$15,ROW(AQ421)-ROW(AQ$15),0),
              ROUND(ROUND(OFFSET($P421,0,AQ$13),15-13*ORÇAMENTO!$AF$7)*OFFSET(ORÇAMENTO!$W$15,ROW(AQ421)-ROW(AQ$15),0),15-13*ORÇAMENTO!$AF$11)),
         0)</f>
        <v>0</v>
      </c>
      <c r="AR421" s="453">
        <f ca="1">IF(AND($D421="Serviço",AR$12&lt;&gt;0,$H421&gt;0,OR(AUTOEVENTO&lt;&gt;"manual",$M421&lt;&gt;$A$15)),
        IF(Import.TipoArredondamento&lt;&gt;"TransfereGOV",
              ROUND(OFFSET($P421,0,AR$13),15-13*ORÇAMENTO!$AF$7)/$H421*OFFSET(ORÇAMENTO!$X$15,ROW(AR421)-ROW(AR$15),0),
              ROUND(ROUND(OFFSET($P421,0,AR$13),15-13*ORÇAMENTO!$AF$7)*OFFSET(ORÇAMENTO!$W$15,ROW(AR421)-ROW(AR$15),0),15-13*ORÇAMENTO!$AF$11)),
         0)</f>
        <v>0</v>
      </c>
      <c r="AS421" s="453">
        <f ca="1">IF(AND($D421="Serviço",AS$12&lt;&gt;0,$H421&gt;0,OR(AUTOEVENTO&lt;&gt;"manual",$M421&lt;&gt;$A$15)),
        IF(Import.TipoArredondamento&lt;&gt;"TransfereGOV",
              ROUND(OFFSET($P421,0,AS$13),15-13*ORÇAMENTO!$AF$7)/$H421*OFFSET(ORÇAMENTO!$X$15,ROW(AS421)-ROW(AS$15),0),
              ROUND(ROUND(OFFSET($P421,0,AS$13),15-13*ORÇAMENTO!$AF$7)*OFFSET(ORÇAMENTO!$W$15,ROW(AS421)-ROW(AS$15),0),15-13*ORÇAMENTO!$AF$11)),
         0)</f>
        <v>0</v>
      </c>
      <c r="AT421" s="453">
        <f ca="1">IF(AND($D421="Serviço",AT$12&lt;&gt;0,$H421&gt;0,OR(AUTOEVENTO&lt;&gt;"manual",$M421&lt;&gt;$A$15)),
        IF(Import.TipoArredondamento&lt;&gt;"TransfereGOV",
              ROUND(OFFSET($P421,0,AT$13),15-13*ORÇAMENTO!$AF$7)/$H421*OFFSET(ORÇAMENTO!$X$15,ROW(AT421)-ROW(AT$15),0),
              ROUND(ROUND(OFFSET($P421,0,AT$13),15-13*ORÇAMENTO!$AF$7)*OFFSET(ORÇAMENTO!$W$15,ROW(AT421)-ROW(AT$15),0),15-13*ORÇAMENTO!$AF$11)),
         0)</f>
        <v>0</v>
      </c>
      <c r="AU421" s="453">
        <f ca="1">IF(AND($D421="Serviço",AU$12&lt;&gt;0,$H421&gt;0,OR(AUTOEVENTO&lt;&gt;"manual",$M421&lt;&gt;$A$15)),
        IF(Import.TipoArredondamento&lt;&gt;"TransfereGOV",
              ROUND(OFFSET($P421,0,AU$13),15-13*ORÇAMENTO!$AF$7)/$H421*OFFSET(ORÇAMENTO!$X$15,ROW(AU421)-ROW(AU$15),0),
              ROUND(ROUND(OFFSET($P421,0,AU$13),15-13*ORÇAMENTO!$AF$7)*OFFSET(ORÇAMENTO!$W$15,ROW(AU421)-ROW(AU$15),0),15-13*ORÇAMENTO!$AF$11)),
         0)</f>
        <v>0</v>
      </c>
      <c r="AV421" s="453">
        <f ca="1">IF(AND($D421="Serviço",AV$12&lt;&gt;0,$H421&gt;0,OR(AUTOEVENTO&lt;&gt;"manual",$M421&lt;&gt;$A$15)),
        IF(Import.TipoArredondamento&lt;&gt;"TransfereGOV",
              ROUND(OFFSET($P421,0,AV$13),15-13*ORÇAMENTO!$AF$7)/$H421*OFFSET(ORÇAMENTO!$X$15,ROW(AV421)-ROW(AV$15),0),
              ROUND(ROUND(OFFSET($P421,0,AV$13),15-13*ORÇAMENTO!$AF$7)*OFFSET(ORÇAMENTO!$W$15,ROW(AV421)-ROW(AV$15),0),15-13*ORÇAMENTO!$AF$11)),
         0)</f>
        <v>0</v>
      </c>
      <c r="AW421" s="453">
        <f ca="1">IF(AND($D421="Serviço",AW$12&lt;&gt;0,$H421&gt;0,OR(AUTOEVENTO&lt;&gt;"manual",$M421&lt;&gt;$A$15)),
        IF(Import.TipoArredondamento&lt;&gt;"TransfereGOV",
              ROUND(OFFSET($P421,0,AW$13),15-13*ORÇAMENTO!$AF$7)/$H421*OFFSET(ORÇAMENTO!$X$15,ROW(AW421)-ROW(AW$15),0),
              ROUND(ROUND(OFFSET($P421,0,AW$13),15-13*ORÇAMENTO!$AF$7)*OFFSET(ORÇAMENTO!$W$15,ROW(AW421)-ROW(AW$15),0),15-13*ORÇAMENTO!$AF$11)),
         0)</f>
        <v>0</v>
      </c>
      <c r="AX421" s="453">
        <f ca="1">IF(AND($D421="Serviço",AX$12&lt;&gt;0,$H421&gt;0,OR(AUTOEVENTO&lt;&gt;"manual",$M421&lt;&gt;$A$15)),
        IF(Import.TipoArredondamento&lt;&gt;"TransfereGOV",
              ROUND(OFFSET($P421,0,AX$13),15-13*ORÇAMENTO!$AF$7)/$H421*OFFSET(ORÇAMENTO!$X$15,ROW(AX421)-ROW(AX$15),0),
              ROUND(ROUND(OFFSET($P421,0,AX$13),15-13*ORÇAMENTO!$AF$7)*OFFSET(ORÇAMENTO!$W$15,ROW(AX421)-ROW(AX$15),0),15-13*ORÇAMENTO!$AF$11)),
         0)</f>
        <v>0</v>
      </c>
      <c r="AY421" s="453">
        <f ca="1">IF(AND($D421="Serviço",AY$12&lt;&gt;0,$H421&gt;0,OR(AUTOEVENTO&lt;&gt;"manual",$M421&lt;&gt;$A$15)),
        IF(Import.TipoArredondamento&lt;&gt;"TransfereGOV",
              ROUND(OFFSET($P421,0,AY$13),15-13*ORÇAMENTO!$AF$7)/$H421*OFFSET(ORÇAMENTO!$X$15,ROW(AY421)-ROW(AY$15),0),
              ROUND(ROUND(OFFSET($P421,0,AY$13),15-13*ORÇAMENTO!$AF$7)*OFFSET(ORÇAMENTO!$W$15,ROW(AY421)-ROW(AY$15),0),15-13*ORÇAMENTO!$AF$11)),
         0)</f>
        <v>0</v>
      </c>
      <c r="AZ421" s="453">
        <f ca="1">IF(AND($D421="Serviço",AZ$12&lt;&gt;0,$H421&gt;0,OR(AUTOEVENTO&lt;&gt;"manual",$M421&lt;&gt;$A$15)),
        IF(Import.TipoArredondamento&lt;&gt;"TransfereGOV",
              ROUND(OFFSET($P421,0,AZ$13),15-13*ORÇAMENTO!$AF$7)/$H421*OFFSET(ORÇAMENTO!$X$15,ROW(AZ421)-ROW(AZ$15),0),
              ROUND(ROUND(OFFSET($P421,0,AZ$13),15-13*ORÇAMENTO!$AF$7)*OFFSET(ORÇAMENTO!$W$15,ROW(AZ421)-ROW(AZ$15),0),15-13*ORÇAMENTO!$AF$11)),
         0)</f>
        <v>0</v>
      </c>
      <c r="BA421" s="453">
        <f ca="1">IF(AND($D421="Serviço",BA$12&lt;&gt;0,$H421&gt;0,OR(AUTOEVENTO&lt;&gt;"manual",$M421&lt;&gt;$A$15)),
        IF(Import.TipoArredondamento&lt;&gt;"TransfereGOV",
              ROUND(OFFSET($P421,0,BA$13),15-13*ORÇAMENTO!$AF$7)/$H421*OFFSET(ORÇAMENTO!$X$15,ROW(BA421)-ROW(BA$15),0),
              ROUND(ROUND(OFFSET($P421,0,BA$13),15-13*ORÇAMENTO!$AF$7)*OFFSET(ORÇAMENTO!$W$15,ROW(BA421)-ROW(BA$15),0),15-13*ORÇAMENTO!$AF$11)),
         0)</f>
        <v>0</v>
      </c>
      <c r="BC421" s="171">
        <f ca="1">IF(OR($D421&lt;&gt;"Serviço",AND(AUTOEVENTO="Manual",$M421=$A$15)),0,
         IF(OFFSET(CRONOPLE!$F$15,$M421-$A$15,BC$13)=0,10^12,OFFSET(CRONOPLE!$F$15,$M421-$A$15,BC$13)))</f>
        <v>1</v>
      </c>
      <c r="BD421" s="171">
        <f ca="1">IF(OR($D421&lt;&gt;"Serviço",AND(AUTOEVENTO="Manual",$M421=$A$15)),0,
         IF(OFFSET(CRONOPLE!$F$15,$M421-$A$15,BD$13)=0,10^12,OFFSET(CRONOPLE!$F$15,$M421-$A$15,BD$13)))</f>
        <v>2</v>
      </c>
      <c r="BE421" s="171">
        <f ca="1">IF(OR($D421&lt;&gt;"Serviço",AND(AUTOEVENTO="Manual",$M421=$A$15)),0,
         IF(OFFSET(CRONOPLE!$F$15,$M421-$A$15,BE$13)=0,10^12,OFFSET(CRONOPLE!$F$15,$M421-$A$15,BE$13)))</f>
        <v>3</v>
      </c>
      <c r="BF421" s="171">
        <f ca="1">IF(OR($D421&lt;&gt;"Serviço",AND(AUTOEVENTO="Manual",$M421=$A$15)),0,
         IF(OFFSET(CRONOPLE!$F$15,$M421-$A$15,BF$13)=0,10^12,OFFSET(CRONOPLE!$F$15,$M421-$A$15,BF$13)))</f>
        <v>4</v>
      </c>
      <c r="BG421" s="171">
        <f ca="1">IF(OR($D421&lt;&gt;"Serviço",AND(AUTOEVENTO="Manual",$M421=$A$15)),0,
         IF(OFFSET(CRONOPLE!$F$15,$M421-$A$15,BG$13)=0,10^12,OFFSET(CRONOPLE!$F$15,$M421-$A$15,BG$13)))</f>
        <v>5</v>
      </c>
      <c r="BH421" s="171">
        <f ca="1">IF(OR($D421&lt;&gt;"Serviço",AND(AUTOEVENTO="Manual",$M421=$A$15)),0,
         IF(OFFSET(CRONOPLE!$F$15,$M421-$A$15,BH$13)=0,10^12,OFFSET(CRONOPLE!$F$15,$M421-$A$15,BH$13)))</f>
        <v>6</v>
      </c>
      <c r="BI421" s="171">
        <f ca="1">IF(OR($D421&lt;&gt;"Serviço",AND(AUTOEVENTO="Manual",$M421=$A$15)),0,
         IF(OFFSET(CRONOPLE!$F$15,$M421-$A$15,BI$13)=0,10^12,OFFSET(CRONOPLE!$F$15,$M421-$A$15,BI$13)))</f>
        <v>7</v>
      </c>
      <c r="BJ421" s="171">
        <f ca="1">IF(OR($D421&lt;&gt;"Serviço",AND(AUTOEVENTO="Manual",$M421=$A$15)),0,
         IF(OFFSET(CRONOPLE!$F$15,$M421-$A$15,BJ$13)=0,10^12,OFFSET(CRONOPLE!$F$15,$M421-$A$15,BJ$13)))</f>
        <v>8</v>
      </c>
      <c r="BK421" s="171">
        <f ca="1">IF(OR($D421&lt;&gt;"Serviço",AND(AUTOEVENTO="Manual",$M421=$A$15)),0,
         IF(OFFSET(CRONOPLE!$F$15,$M421-$A$15,BK$13)=0,10^12,OFFSET(CRONOPLE!$F$15,$M421-$A$15,BK$13)))</f>
        <v>9</v>
      </c>
      <c r="BL421" s="171">
        <f ca="1">IF(OR($D421&lt;&gt;"Serviço",AND(AUTOEVENTO="Manual",$M421=$A$15)),0,
         IF(OFFSET(CRONOPLE!$F$15,$M421-$A$15,BL$13)=0,10^12,OFFSET(CRONOPLE!$F$15,$M421-$A$15,BL$13)))</f>
        <v>1000000000000</v>
      </c>
      <c r="BM421" s="171">
        <f ca="1">IF(OR($D421&lt;&gt;"Serviço",AND(AUTOEVENTO="Manual",$M421=$A$15)),0,
         IF(OFFSET(CRONOPLE!$F$15,$M421-$A$15,BM$13)=0,10^12,OFFSET(CRONOPLE!$F$15,$M421-$A$15,BM$13)))</f>
        <v>1000000000000</v>
      </c>
      <c r="BN421" s="171">
        <f ca="1">IF(OR($D421&lt;&gt;"Serviço",AND(AUTOEVENTO="Manual",$M421=$A$15)),0,
         IF(OFFSET(CRONOPLE!$F$15,$M421-$A$15,BN$13)=0,10^12,OFFSET(CRONOPLE!$F$15,$M421-$A$15,BN$13)))</f>
        <v>1000000000000</v>
      </c>
      <c r="BO421" s="171">
        <f ca="1">IF(OR($D421&lt;&gt;"Serviço",AND(AUTOEVENTO="Manual",$M421=$A$15)),0,
         IF(OFFSET(CRONOPLE!$F$15,$M421-$A$15,BO$13)=0,10^12,OFFSET(CRONOPLE!$F$15,$M421-$A$15,BO$13)))</f>
        <v>1000000000000</v>
      </c>
      <c r="BP421" s="171">
        <f ca="1">IF(OR($D421&lt;&gt;"Serviço",AND(AUTOEVENTO="Manual",$M421=$A$15)),0,
         IF(OFFSET(CRONOPLE!$F$15,$M421-$A$15,BP$13)=0,10^12,OFFSET(CRONOPLE!$F$15,$M421-$A$15,BP$13)))</f>
        <v>1000000000000</v>
      </c>
      <c r="BQ421" s="171">
        <f ca="1">IF(OR($D421&lt;&gt;"Serviço",AND(AUTOEVENTO="Manual",$M421=$A$15)),0,
         IF(OFFSET(CRONOPLE!$F$15,$M421-$A$15,BQ$13)=0,10^12,OFFSET(CRONOPLE!$F$15,$M421-$A$15,BQ$13)))</f>
        <v>1000000000000</v>
      </c>
      <c r="BR421" s="171">
        <f ca="1">IF(OR($D421&lt;&gt;"Serviço",AND(AUTOEVENTO="Manual",$M421=$A$15)),0,
         IF(OFFSET(CRONOPLE!$F$15,$M421-$A$15,BR$13)=0,10^12,OFFSET(CRONOPLE!$F$15,$M421-$A$15,BR$13)))</f>
        <v>1000000000000</v>
      </c>
      <c r="BS421" s="171">
        <f ca="1">IF(OR($D421&lt;&gt;"Serviço",AND(AUTOEVENTO="Manual",$M421=$A$15)),0,
         IF(OFFSET(CRONOPLE!$F$15,$M421-$A$15,BS$13)=0,10^12,OFFSET(CRONOPLE!$F$15,$M421-$A$15,BS$13)))</f>
        <v>1000000000000</v>
      </c>
      <c r="BT421" s="171">
        <f ca="1">IF(OR($D421&lt;&gt;"Serviço",AND(AUTOEVENTO="Manual",$M421=$A$15)),0,
         IF(OFFSET(CRONOPLE!$F$15,$M421-$A$15,BT$13)=0,10^12,OFFSET(CRONOPLE!$F$15,$M421-$A$15,BT$13)))</f>
        <v>1000000000000</v>
      </c>
      <c r="BV421" s="172">
        <f ca="1">IF(OR($D421&lt;&gt;"Serviço",AND(AUTOEVENTO="Manual",$M421=$A$15),$M421&gt;(ROW(PLE.lastrow)-ROW(PLE.firstrow))),0,
           IF(OFFSET(PLE!$G$15,$M421-$A$15,BV$13)="",10^12,OFFSET(PLE!$G$15,$M421-$A$15,BV$13)))</f>
        <v>1000000000000</v>
      </c>
      <c r="BW421" s="172">
        <f ca="1">IF(OR($D421&lt;&gt;"Serviço",AND(AUTOEVENTO="Manual",$M421=$A$15),$M421&gt;(ROW(PLE.lastrow)-ROW(PLE.firstrow))),0,
           IF(OFFSET(PLE!$G$15,$M421-$A$15,BW$13)="",10^12,OFFSET(PLE!$G$15,$M421-$A$15,BW$13)))</f>
        <v>1000000000000</v>
      </c>
      <c r="BX421" s="172">
        <f ca="1">IF(OR($D421&lt;&gt;"Serviço",AND(AUTOEVENTO="Manual",$M421=$A$15),$M421&gt;(ROW(PLE.lastrow)-ROW(PLE.firstrow))),0,
           IF(OFFSET(PLE!$G$15,$M421-$A$15,BX$13)="",10^12,OFFSET(PLE!$G$15,$M421-$A$15,BX$13)))</f>
        <v>1000000000000</v>
      </c>
      <c r="BY421" s="172">
        <f ca="1">IF(OR($D421&lt;&gt;"Serviço",AND(AUTOEVENTO="Manual",$M421=$A$15),$M421&gt;(ROW(PLE.lastrow)-ROW(PLE.firstrow))),0,
           IF(OFFSET(PLE!$G$15,$M421-$A$15,BY$13)="",10^12,OFFSET(PLE!$G$15,$M421-$A$15,BY$13)))</f>
        <v>1000000000000</v>
      </c>
      <c r="BZ421" s="172">
        <f ca="1">IF(OR($D421&lt;&gt;"Serviço",AND(AUTOEVENTO="Manual",$M421=$A$15),$M421&gt;(ROW(PLE.lastrow)-ROW(PLE.firstrow))),0,
           IF(OFFSET(PLE!$G$15,$M421-$A$15,BZ$13)="",10^12,OFFSET(PLE!$G$15,$M421-$A$15,BZ$13)))</f>
        <v>1000000000000</v>
      </c>
      <c r="CA421" s="172">
        <f ca="1">IF(OR($D421&lt;&gt;"Serviço",AND(AUTOEVENTO="Manual",$M421=$A$15),$M421&gt;(ROW(PLE.lastrow)-ROW(PLE.firstrow))),0,
           IF(OFFSET(PLE!$G$15,$M421-$A$15,CA$13)="",10^12,OFFSET(PLE!$G$15,$M421-$A$15,CA$13)))</f>
        <v>1000000000000</v>
      </c>
      <c r="CB421" s="172">
        <f ca="1">IF(OR($D421&lt;&gt;"Serviço",AND(AUTOEVENTO="Manual",$M421=$A$15),$M421&gt;(ROW(PLE.lastrow)-ROW(PLE.firstrow))),0,
           IF(OFFSET(PLE!$G$15,$M421-$A$15,CB$13)="",10^12,OFFSET(PLE!$G$15,$M421-$A$15,CB$13)))</f>
        <v>1000000000000</v>
      </c>
      <c r="CC421" s="172">
        <f ca="1">IF(OR($D421&lt;&gt;"Serviço",AND(AUTOEVENTO="Manual",$M421=$A$15),$M421&gt;(ROW(PLE.lastrow)-ROW(PLE.firstrow))),0,
           IF(OFFSET(PLE!$G$15,$M421-$A$15,CC$13)="",10^12,OFFSET(PLE!$G$15,$M421-$A$15,CC$13)))</f>
        <v>1000000000000</v>
      </c>
      <c r="CD421" s="172">
        <f ca="1">IF(OR($D421&lt;&gt;"Serviço",AND(AUTOEVENTO="Manual",$M421=$A$15),$M421&gt;(ROW(PLE.lastrow)-ROW(PLE.firstrow))),0,
           IF(OFFSET(PLE!$G$15,$M421-$A$15,CD$13)="",10^12,OFFSET(PLE!$G$15,$M421-$A$15,CD$13)))</f>
        <v>1000000000000</v>
      </c>
      <c r="CE421" s="172">
        <f ca="1">IF(OR($D421&lt;&gt;"Serviço",AND(AUTOEVENTO="Manual",$M421=$A$15),$M421&gt;(ROW(PLE.lastrow)-ROW(PLE.firstrow))),0,
           IF(OFFSET(PLE!$G$15,$M421-$A$15,CE$13)="",10^12,OFFSET(PLE!$G$15,$M421-$A$15,CE$13)))</f>
        <v>1000000000000</v>
      </c>
      <c r="CF421" s="172">
        <f ca="1">IF(OR($D421&lt;&gt;"Serviço",AND(AUTOEVENTO="Manual",$M421=$A$15),$M421&gt;(ROW(PLE.lastrow)-ROW(PLE.firstrow))),0,
           IF(OFFSET(PLE!$G$15,$M421-$A$15,CF$13)="",10^12,OFFSET(PLE!$G$15,$M421-$A$15,CF$13)))</f>
        <v>1000000000000</v>
      </c>
      <c r="CG421" s="172">
        <f ca="1">IF(OR($D421&lt;&gt;"Serviço",AND(AUTOEVENTO="Manual",$M421=$A$15),$M421&gt;(ROW(PLE.lastrow)-ROW(PLE.firstrow))),0,
           IF(OFFSET(PLE!$G$15,$M421-$A$15,CG$13)="",10^12,OFFSET(PLE!$G$15,$M421-$A$15,CG$13)))</f>
        <v>1000000000000</v>
      </c>
      <c r="CH421" s="172">
        <f ca="1">IF(OR($D421&lt;&gt;"Serviço",AND(AUTOEVENTO="Manual",$M421=$A$15),$M421&gt;(ROW(PLE.lastrow)-ROW(PLE.firstrow))),0,
           IF(OFFSET(PLE!$G$15,$M421-$A$15,CH$13)="",10^12,OFFSET(PLE!$G$15,$M421-$A$15,CH$13)))</f>
        <v>1000000000000</v>
      </c>
      <c r="CI421" s="172">
        <f ca="1">IF(OR($D421&lt;&gt;"Serviço",AND(AUTOEVENTO="Manual",$M421=$A$15),$M421&gt;(ROW(PLE.lastrow)-ROW(PLE.firstrow))),0,
           IF(OFFSET(PLE!$G$15,$M421-$A$15,CI$13)="",10^12,OFFSET(PLE!$G$15,$M421-$A$15,CI$13)))</f>
        <v>1000000000000</v>
      </c>
      <c r="CJ421" s="172">
        <f ca="1">IF(OR($D421&lt;&gt;"Serviço",AND(AUTOEVENTO="Manual",$M421=$A$15),$M421&gt;(ROW(PLE.lastrow)-ROW(PLE.firstrow))),0,
           IF(OFFSET(PLE!$G$15,$M421-$A$15,CJ$13)="",10^12,OFFSET(PLE!$G$15,$M421-$A$15,CJ$13)))</f>
        <v>1000000000000</v>
      </c>
      <c r="CK421" s="172">
        <f ca="1">IF(OR($D421&lt;&gt;"Serviço",AND(AUTOEVENTO="Manual",$M421=$A$15),$M421&gt;(ROW(PLE.lastrow)-ROW(PLE.firstrow))),0,
           IF(OFFSET(PLE!$G$15,$M421-$A$15,CK$13)="",10^12,OFFSET(PLE!$G$15,$M421-$A$15,CK$13)))</f>
        <v>1000000000000</v>
      </c>
      <c r="CL421" s="172">
        <f ca="1">IF(OR($D421&lt;&gt;"Serviço",AND(AUTOEVENTO="Manual",$M421=$A$15),$M421&gt;(ROW(PLE.lastrow)-ROW(PLE.firstrow))),0,
           IF(OFFSET(PLE!$G$15,$M421-$A$15,CL$13)="",10^12,OFFSET(PLE!$G$15,$M421-$A$15,CL$13)))</f>
        <v>1000000000000</v>
      </c>
      <c r="CM421" s="172">
        <f ca="1">IF(OR($D421&lt;&gt;"Serviço",AND(AUTOEVENTO="Manual",$M421=$A$15),$M421&gt;(ROW(PLE.lastrow)-ROW(PLE.firstrow))),0,
           IF(OFFSET(PLE!$G$15,$M421-$A$15,CM$13)="",10^12,OFFSET(PLE!$G$15,$M421-$A$15,CM$13)))</f>
        <v>1000000000000</v>
      </c>
    </row>
    <row r="422" spans="1:91" ht="38.25" x14ac:dyDescent="0.2">
      <c r="A422" s="7">
        <f t="shared" ca="1" si="16"/>
        <v>7</v>
      </c>
      <c r="B422" s="7" t="str">
        <f ca="1">OFFSET(ORÇAMENTO!C$15,ROW(B422)-ROW(B$15),0)</f>
        <v>S</v>
      </c>
      <c r="C422" s="7" t="str">
        <f ca="1">OFFSET(ORÇAMENTO!L$15,ROW(C422)-ROW(C$15),0)</f>
        <v>F</v>
      </c>
      <c r="D422" s="116" t="str">
        <f ca="1">OFFSET(ORÇAMENTO!N$15,ROW(D422)-ROW(D$15),0)</f>
        <v>Serviço</v>
      </c>
      <c r="E422" s="117" t="str">
        <f ca="1">OFFSET(ORÇAMENTO!O$15,ROW(E422)-ROW(E$15),0)</f>
        <v>1.8.2.4.12.</v>
      </c>
      <c r="F422" s="163" t="str">
        <f ca="1">OFFSET(ORÇAMENTO!R$15,ROW(F422)-ROW(F$15),0)</f>
        <v>DISJUNTOR MOTOR, CORRENTE NOMINAL MÁXIMA 40A, TERMINAL PARAFUSO. REF.: WEG MPW40-3-U040 , FORNECIMENTO E INSTALAÇÃO - BASEADO EM SINAPI (93655)</v>
      </c>
      <c r="G422" s="164" t="str">
        <f ca="1">IF($D422&lt;&gt;"Serviço","",OFFSET(ORÇAMENTO!S$15,ROW(G422)-ROW(G$15),0))</f>
        <v>UN</v>
      </c>
      <c r="H422" s="122" cm="1">
        <f t="array" aca="1" ref="H422" ca="1">IF($D422&lt;&gt;"Serviço",0,IF(ACOMPANHAMENTO="BM",ROUND(OFFSET(ORÇAMENTO!AJ$15,ROW(H422)-ROW(H$15),0),15-13*ORÇAMENTO!$AF$7),SUMPRODUCT(($Q$1:$AI$1=1)*ROUND($Q422:$AI422,15-13*ORÇAMENTO!$AF$7))))</f>
        <v>1</v>
      </c>
      <c r="I422" s="468" t="s">
        <v>1431</v>
      </c>
      <c r="J422" s="640" t="str" cm="1">
        <f t="array" aca="1" ref="J422" ca="1">IF(OR(B422&lt;&gt;"S",CÁLCULO.FrentesPreenchidas=0),"",IF(AND(ACOMPANHAMENTO="PLE",AUTOEVENTO="Manual",OR(H422&gt;0,ORÇAMENTO!AC422="QUANT."),OR(K422="",M422=0,N422="")),"►E",IF(AND(ACOMPANHAMENTO="PLE",ORÇAMENTO!AC422="QUANT."),"►Q",IF(AND(ACOMPANHAMENTO="PLE",H422&lt;&gt;SUMPRODUCT(($Q$1:$AI$1=1)*ROUND(Q422:AI422,15))),"►S",IF(AND(COUNTIF($P$11:$AI$11,"▼")=0,H422&gt;0,I422=""),"◄M","")))))</f>
        <v/>
      </c>
      <c r="K422" s="641" t="s">
        <v>1391</v>
      </c>
      <c r="L422" s="165" t="s">
        <v>764</v>
      </c>
      <c r="M422" s="166">
        <f ca="1">IF($D422&lt;&gt;"Serviço","",
          IF(AUTOEVENTO="manual",$A422,
                IF(ISERROR(MATCH($A422,$A$15:OFFSET($A422,-1,0),0)),MAX($M$15:OFFSET(M422,-1,0))+1,
                      INDEX($M$15:OFFSET(M422,-1,0),MATCH($A422,$A$15:OFFSET($A422,-1,0),0)))))</f>
        <v>7</v>
      </c>
      <c r="N422" s="167" t="str">
        <f ca="1">IF($D422&lt;&gt;"Serviço","",
         IF(AUTOEVENTO="Manual",
                IF($A422=0,"&lt;-- defina o número do agrupador",
                       OFFSET(EVENTOS!$D$15,$A422-$A$15,0)),
                OFFSET($F$15,$A422,0)))</f>
        <v>Instalações Elétricas</v>
      </c>
      <c r="O422" s="168"/>
      <c r="Q422" s="168"/>
      <c r="R422" s="169"/>
      <c r="S422" s="169"/>
      <c r="T422" s="169"/>
      <c r="U422" s="169"/>
      <c r="V422" s="169"/>
      <c r="W422" s="169"/>
      <c r="X422" s="169">
        <v>1</v>
      </c>
      <c r="Y422" s="169"/>
      <c r="Z422" s="170"/>
      <c r="AA422" s="169"/>
      <c r="AB422" s="169"/>
      <c r="AC422" s="169"/>
      <c r="AD422" s="169"/>
      <c r="AE422" s="169"/>
      <c r="AF422" s="169"/>
      <c r="AG422" s="169"/>
      <c r="AH422" s="170"/>
      <c r="AJ422" s="453">
        <f ca="1">IF(AND($D422="Serviço",AJ$12&lt;&gt;0,$H422&gt;0,OR(AUTOEVENTO&lt;&gt;"manual",$M422&lt;&gt;$A$15)),
        IF(Import.TipoArredondamento&lt;&gt;"TransfereGOV",
              ROUND(OFFSET($P422,0,AJ$13),15-13*ORÇAMENTO!$AF$7)/$H422*OFFSET(ORÇAMENTO!$X$15,ROW(AJ422)-ROW(AJ$15),0),
              ROUND(ROUND(OFFSET($P422,0,AJ$13),15-13*ORÇAMENTO!$AF$7)*OFFSET(ORÇAMENTO!$W$15,ROW(AJ422)-ROW(AJ$15),0),15-13*ORÇAMENTO!$AF$11)),
         0)</f>
        <v>0</v>
      </c>
      <c r="AK422" s="453">
        <f ca="1">IF(AND($D422="Serviço",AK$12&lt;&gt;0,$H422&gt;0,OR(AUTOEVENTO&lt;&gt;"manual",$M422&lt;&gt;$A$15)),
        IF(Import.TipoArredondamento&lt;&gt;"TransfereGOV",
              ROUND(OFFSET($P422,0,AK$13),15-13*ORÇAMENTO!$AF$7)/$H422*OFFSET(ORÇAMENTO!$X$15,ROW(AK422)-ROW(AK$15),0),
              ROUND(ROUND(OFFSET($P422,0,AK$13),15-13*ORÇAMENTO!$AF$7)*OFFSET(ORÇAMENTO!$W$15,ROW(AK422)-ROW(AK$15),0),15-13*ORÇAMENTO!$AF$11)),
         0)</f>
        <v>0</v>
      </c>
      <c r="AL422" s="453">
        <f ca="1">IF(AND($D422="Serviço",AL$12&lt;&gt;0,$H422&gt;0,OR(AUTOEVENTO&lt;&gt;"manual",$M422&lt;&gt;$A$15)),
        IF(Import.TipoArredondamento&lt;&gt;"TransfereGOV",
              ROUND(OFFSET($P422,0,AL$13),15-13*ORÇAMENTO!$AF$7)/$H422*OFFSET(ORÇAMENTO!$X$15,ROW(AL422)-ROW(AL$15),0),
              ROUND(ROUND(OFFSET($P422,0,AL$13),15-13*ORÇAMENTO!$AF$7)*OFFSET(ORÇAMENTO!$W$15,ROW(AL422)-ROW(AL$15),0),15-13*ORÇAMENTO!$AF$11)),
         0)</f>
        <v>0</v>
      </c>
      <c r="AM422" s="453">
        <f ca="1">IF(AND($D422="Serviço",AM$12&lt;&gt;0,$H422&gt;0,OR(AUTOEVENTO&lt;&gt;"manual",$M422&lt;&gt;$A$15)),
        IF(Import.TipoArredondamento&lt;&gt;"TransfereGOV",
              ROUND(OFFSET($P422,0,AM$13),15-13*ORÇAMENTO!$AF$7)/$H422*OFFSET(ORÇAMENTO!$X$15,ROW(AM422)-ROW(AM$15),0),
              ROUND(ROUND(OFFSET($P422,0,AM$13),15-13*ORÇAMENTO!$AF$7)*OFFSET(ORÇAMENTO!$W$15,ROW(AM422)-ROW(AM$15),0),15-13*ORÇAMENTO!$AF$11)),
         0)</f>
        <v>0</v>
      </c>
      <c r="AN422" s="453">
        <f ca="1">IF(AND($D422="Serviço",AN$12&lt;&gt;0,$H422&gt;0,OR(AUTOEVENTO&lt;&gt;"manual",$M422&lt;&gt;$A$15)),
        IF(Import.TipoArredondamento&lt;&gt;"TransfereGOV",
              ROUND(OFFSET($P422,0,AN$13),15-13*ORÇAMENTO!$AF$7)/$H422*OFFSET(ORÇAMENTO!$X$15,ROW(AN422)-ROW(AN$15),0),
              ROUND(ROUND(OFFSET($P422,0,AN$13),15-13*ORÇAMENTO!$AF$7)*OFFSET(ORÇAMENTO!$W$15,ROW(AN422)-ROW(AN$15),0),15-13*ORÇAMENTO!$AF$11)),
         0)</f>
        <v>0</v>
      </c>
      <c r="AO422" s="453">
        <f ca="1">IF(AND($D422="Serviço",AO$12&lt;&gt;0,$H422&gt;0,OR(AUTOEVENTO&lt;&gt;"manual",$M422&lt;&gt;$A$15)),
        IF(Import.TipoArredondamento&lt;&gt;"TransfereGOV",
              ROUND(OFFSET($P422,0,AO$13),15-13*ORÇAMENTO!$AF$7)/$H422*OFFSET(ORÇAMENTO!$X$15,ROW(AO422)-ROW(AO$15),0),
              ROUND(ROUND(OFFSET($P422,0,AO$13),15-13*ORÇAMENTO!$AF$7)*OFFSET(ORÇAMENTO!$W$15,ROW(AO422)-ROW(AO$15),0),15-13*ORÇAMENTO!$AF$11)),
         0)</f>
        <v>0</v>
      </c>
      <c r="AP422" s="453">
        <f ca="1">IF(AND($D422="Serviço",AP$12&lt;&gt;0,$H422&gt;0,OR(AUTOEVENTO&lt;&gt;"manual",$M422&lt;&gt;$A$15)),
        IF(Import.TipoArredondamento&lt;&gt;"TransfereGOV",
              ROUND(OFFSET($P422,0,AP$13),15-13*ORÇAMENTO!$AF$7)/$H422*OFFSET(ORÇAMENTO!$X$15,ROW(AP422)-ROW(AP$15),0),
              ROUND(ROUND(OFFSET($P422,0,AP$13),15-13*ORÇAMENTO!$AF$7)*OFFSET(ORÇAMENTO!$W$15,ROW(AP422)-ROW(AP$15),0),15-13*ORÇAMENTO!$AF$11)),
         0)</f>
        <v>0</v>
      </c>
      <c r="AQ422" s="453">
        <f ca="1">IF(AND($D422="Serviço",AQ$12&lt;&gt;0,$H422&gt;0,OR(AUTOEVENTO&lt;&gt;"manual",$M422&lt;&gt;$A$15)),
        IF(Import.TipoArredondamento&lt;&gt;"TransfereGOV",
              ROUND(OFFSET($P422,0,AQ$13),15-13*ORÇAMENTO!$AF$7)/$H422*OFFSET(ORÇAMENTO!$X$15,ROW(AQ422)-ROW(AQ$15),0),
              ROUND(ROUND(OFFSET($P422,0,AQ$13),15-13*ORÇAMENTO!$AF$7)*OFFSET(ORÇAMENTO!$W$15,ROW(AQ422)-ROW(AQ$15),0),15-13*ORÇAMENTO!$AF$11)),
         0)</f>
        <v>0</v>
      </c>
      <c r="AR422" s="453">
        <f ca="1">IF(AND($D422="Serviço",AR$12&lt;&gt;0,$H422&gt;0,OR(AUTOEVENTO&lt;&gt;"manual",$M422&lt;&gt;$A$15)),
        IF(Import.TipoArredondamento&lt;&gt;"TransfereGOV",
              ROUND(OFFSET($P422,0,AR$13),15-13*ORÇAMENTO!$AF$7)/$H422*OFFSET(ORÇAMENTO!$X$15,ROW(AR422)-ROW(AR$15),0),
              ROUND(ROUND(OFFSET($P422,0,AR$13),15-13*ORÇAMENTO!$AF$7)*OFFSET(ORÇAMENTO!$W$15,ROW(AR422)-ROW(AR$15),0),15-13*ORÇAMENTO!$AF$11)),
         0)</f>
        <v>0</v>
      </c>
      <c r="AS422" s="453">
        <f ca="1">IF(AND($D422="Serviço",AS$12&lt;&gt;0,$H422&gt;0,OR(AUTOEVENTO&lt;&gt;"manual",$M422&lt;&gt;$A$15)),
        IF(Import.TipoArredondamento&lt;&gt;"TransfereGOV",
              ROUND(OFFSET($P422,0,AS$13),15-13*ORÇAMENTO!$AF$7)/$H422*OFFSET(ORÇAMENTO!$X$15,ROW(AS422)-ROW(AS$15),0),
              ROUND(ROUND(OFFSET($P422,0,AS$13),15-13*ORÇAMENTO!$AF$7)*OFFSET(ORÇAMENTO!$W$15,ROW(AS422)-ROW(AS$15),0),15-13*ORÇAMENTO!$AF$11)),
         0)</f>
        <v>0</v>
      </c>
      <c r="AT422" s="453">
        <f ca="1">IF(AND($D422="Serviço",AT$12&lt;&gt;0,$H422&gt;0,OR(AUTOEVENTO&lt;&gt;"manual",$M422&lt;&gt;$A$15)),
        IF(Import.TipoArredondamento&lt;&gt;"TransfereGOV",
              ROUND(OFFSET($P422,0,AT$13),15-13*ORÇAMENTO!$AF$7)/$H422*OFFSET(ORÇAMENTO!$X$15,ROW(AT422)-ROW(AT$15),0),
              ROUND(ROUND(OFFSET($P422,0,AT$13),15-13*ORÇAMENTO!$AF$7)*OFFSET(ORÇAMENTO!$W$15,ROW(AT422)-ROW(AT$15),0),15-13*ORÇAMENTO!$AF$11)),
         0)</f>
        <v>0</v>
      </c>
      <c r="AU422" s="453">
        <f ca="1">IF(AND($D422="Serviço",AU$12&lt;&gt;0,$H422&gt;0,OR(AUTOEVENTO&lt;&gt;"manual",$M422&lt;&gt;$A$15)),
        IF(Import.TipoArredondamento&lt;&gt;"TransfereGOV",
              ROUND(OFFSET($P422,0,AU$13),15-13*ORÇAMENTO!$AF$7)/$H422*OFFSET(ORÇAMENTO!$X$15,ROW(AU422)-ROW(AU$15),0),
              ROUND(ROUND(OFFSET($P422,0,AU$13),15-13*ORÇAMENTO!$AF$7)*OFFSET(ORÇAMENTO!$W$15,ROW(AU422)-ROW(AU$15),0),15-13*ORÇAMENTO!$AF$11)),
         0)</f>
        <v>0</v>
      </c>
      <c r="AV422" s="453">
        <f ca="1">IF(AND($D422="Serviço",AV$12&lt;&gt;0,$H422&gt;0,OR(AUTOEVENTO&lt;&gt;"manual",$M422&lt;&gt;$A$15)),
        IF(Import.TipoArredondamento&lt;&gt;"TransfereGOV",
              ROUND(OFFSET($P422,0,AV$13),15-13*ORÇAMENTO!$AF$7)/$H422*OFFSET(ORÇAMENTO!$X$15,ROW(AV422)-ROW(AV$15),0),
              ROUND(ROUND(OFFSET($P422,0,AV$13),15-13*ORÇAMENTO!$AF$7)*OFFSET(ORÇAMENTO!$W$15,ROW(AV422)-ROW(AV$15),0),15-13*ORÇAMENTO!$AF$11)),
         0)</f>
        <v>0</v>
      </c>
      <c r="AW422" s="453">
        <f ca="1">IF(AND($D422="Serviço",AW$12&lt;&gt;0,$H422&gt;0,OR(AUTOEVENTO&lt;&gt;"manual",$M422&lt;&gt;$A$15)),
        IF(Import.TipoArredondamento&lt;&gt;"TransfereGOV",
              ROUND(OFFSET($P422,0,AW$13),15-13*ORÇAMENTO!$AF$7)/$H422*OFFSET(ORÇAMENTO!$X$15,ROW(AW422)-ROW(AW$15),0),
              ROUND(ROUND(OFFSET($P422,0,AW$13),15-13*ORÇAMENTO!$AF$7)*OFFSET(ORÇAMENTO!$W$15,ROW(AW422)-ROW(AW$15),0),15-13*ORÇAMENTO!$AF$11)),
         0)</f>
        <v>0</v>
      </c>
      <c r="AX422" s="453">
        <f ca="1">IF(AND($D422="Serviço",AX$12&lt;&gt;0,$H422&gt;0,OR(AUTOEVENTO&lt;&gt;"manual",$M422&lt;&gt;$A$15)),
        IF(Import.TipoArredondamento&lt;&gt;"TransfereGOV",
              ROUND(OFFSET($P422,0,AX$13),15-13*ORÇAMENTO!$AF$7)/$H422*OFFSET(ORÇAMENTO!$X$15,ROW(AX422)-ROW(AX$15),0),
              ROUND(ROUND(OFFSET($P422,0,AX$13),15-13*ORÇAMENTO!$AF$7)*OFFSET(ORÇAMENTO!$W$15,ROW(AX422)-ROW(AX$15),0),15-13*ORÇAMENTO!$AF$11)),
         0)</f>
        <v>0</v>
      </c>
      <c r="AY422" s="453">
        <f ca="1">IF(AND($D422="Serviço",AY$12&lt;&gt;0,$H422&gt;0,OR(AUTOEVENTO&lt;&gt;"manual",$M422&lt;&gt;$A$15)),
        IF(Import.TipoArredondamento&lt;&gt;"TransfereGOV",
              ROUND(OFFSET($P422,0,AY$13),15-13*ORÇAMENTO!$AF$7)/$H422*OFFSET(ORÇAMENTO!$X$15,ROW(AY422)-ROW(AY$15),0),
              ROUND(ROUND(OFFSET($P422,0,AY$13),15-13*ORÇAMENTO!$AF$7)*OFFSET(ORÇAMENTO!$W$15,ROW(AY422)-ROW(AY$15),0),15-13*ORÇAMENTO!$AF$11)),
         0)</f>
        <v>0</v>
      </c>
      <c r="AZ422" s="453">
        <f ca="1">IF(AND($D422="Serviço",AZ$12&lt;&gt;0,$H422&gt;0,OR(AUTOEVENTO&lt;&gt;"manual",$M422&lt;&gt;$A$15)),
        IF(Import.TipoArredondamento&lt;&gt;"TransfereGOV",
              ROUND(OFFSET($P422,0,AZ$13),15-13*ORÇAMENTO!$AF$7)/$H422*OFFSET(ORÇAMENTO!$X$15,ROW(AZ422)-ROW(AZ$15),0),
              ROUND(ROUND(OFFSET($P422,0,AZ$13),15-13*ORÇAMENTO!$AF$7)*OFFSET(ORÇAMENTO!$W$15,ROW(AZ422)-ROW(AZ$15),0),15-13*ORÇAMENTO!$AF$11)),
         0)</f>
        <v>0</v>
      </c>
      <c r="BA422" s="453">
        <f ca="1">IF(AND($D422="Serviço",BA$12&lt;&gt;0,$H422&gt;0,OR(AUTOEVENTO&lt;&gt;"manual",$M422&lt;&gt;$A$15)),
        IF(Import.TipoArredondamento&lt;&gt;"TransfereGOV",
              ROUND(OFFSET($P422,0,BA$13),15-13*ORÇAMENTO!$AF$7)/$H422*OFFSET(ORÇAMENTO!$X$15,ROW(BA422)-ROW(BA$15),0),
              ROUND(ROUND(OFFSET($P422,0,BA$13),15-13*ORÇAMENTO!$AF$7)*OFFSET(ORÇAMENTO!$W$15,ROW(BA422)-ROW(BA$15),0),15-13*ORÇAMENTO!$AF$11)),
         0)</f>
        <v>0</v>
      </c>
      <c r="BC422" s="171">
        <f ca="1">IF(OR($D422&lt;&gt;"Serviço",AND(AUTOEVENTO="Manual",$M422=$A$15)),0,
         IF(OFFSET(CRONOPLE!$F$15,$M422-$A$15,BC$13)=0,10^12,OFFSET(CRONOPLE!$F$15,$M422-$A$15,BC$13)))</f>
        <v>1</v>
      </c>
      <c r="BD422" s="171">
        <f ca="1">IF(OR($D422&lt;&gt;"Serviço",AND(AUTOEVENTO="Manual",$M422=$A$15)),0,
         IF(OFFSET(CRONOPLE!$F$15,$M422-$A$15,BD$13)=0,10^12,OFFSET(CRONOPLE!$F$15,$M422-$A$15,BD$13)))</f>
        <v>2</v>
      </c>
      <c r="BE422" s="171">
        <f ca="1">IF(OR($D422&lt;&gt;"Serviço",AND(AUTOEVENTO="Manual",$M422=$A$15)),0,
         IF(OFFSET(CRONOPLE!$F$15,$M422-$A$15,BE$13)=0,10^12,OFFSET(CRONOPLE!$F$15,$M422-$A$15,BE$13)))</f>
        <v>3</v>
      </c>
      <c r="BF422" s="171">
        <f ca="1">IF(OR($D422&lt;&gt;"Serviço",AND(AUTOEVENTO="Manual",$M422=$A$15)),0,
         IF(OFFSET(CRONOPLE!$F$15,$M422-$A$15,BF$13)=0,10^12,OFFSET(CRONOPLE!$F$15,$M422-$A$15,BF$13)))</f>
        <v>4</v>
      </c>
      <c r="BG422" s="171">
        <f ca="1">IF(OR($D422&lt;&gt;"Serviço",AND(AUTOEVENTO="Manual",$M422=$A$15)),0,
         IF(OFFSET(CRONOPLE!$F$15,$M422-$A$15,BG$13)=0,10^12,OFFSET(CRONOPLE!$F$15,$M422-$A$15,BG$13)))</f>
        <v>5</v>
      </c>
      <c r="BH422" s="171">
        <f ca="1">IF(OR($D422&lt;&gt;"Serviço",AND(AUTOEVENTO="Manual",$M422=$A$15)),0,
         IF(OFFSET(CRONOPLE!$F$15,$M422-$A$15,BH$13)=0,10^12,OFFSET(CRONOPLE!$F$15,$M422-$A$15,BH$13)))</f>
        <v>6</v>
      </c>
      <c r="BI422" s="171">
        <f ca="1">IF(OR($D422&lt;&gt;"Serviço",AND(AUTOEVENTO="Manual",$M422=$A$15)),0,
         IF(OFFSET(CRONOPLE!$F$15,$M422-$A$15,BI$13)=0,10^12,OFFSET(CRONOPLE!$F$15,$M422-$A$15,BI$13)))</f>
        <v>7</v>
      </c>
      <c r="BJ422" s="171">
        <f ca="1">IF(OR($D422&lt;&gt;"Serviço",AND(AUTOEVENTO="Manual",$M422=$A$15)),0,
         IF(OFFSET(CRONOPLE!$F$15,$M422-$A$15,BJ$13)=0,10^12,OFFSET(CRONOPLE!$F$15,$M422-$A$15,BJ$13)))</f>
        <v>8</v>
      </c>
      <c r="BK422" s="171">
        <f ca="1">IF(OR($D422&lt;&gt;"Serviço",AND(AUTOEVENTO="Manual",$M422=$A$15)),0,
         IF(OFFSET(CRONOPLE!$F$15,$M422-$A$15,BK$13)=0,10^12,OFFSET(CRONOPLE!$F$15,$M422-$A$15,BK$13)))</f>
        <v>9</v>
      </c>
      <c r="BL422" s="171">
        <f ca="1">IF(OR($D422&lt;&gt;"Serviço",AND(AUTOEVENTO="Manual",$M422=$A$15)),0,
         IF(OFFSET(CRONOPLE!$F$15,$M422-$A$15,BL$13)=0,10^12,OFFSET(CRONOPLE!$F$15,$M422-$A$15,BL$13)))</f>
        <v>1000000000000</v>
      </c>
      <c r="BM422" s="171">
        <f ca="1">IF(OR($D422&lt;&gt;"Serviço",AND(AUTOEVENTO="Manual",$M422=$A$15)),0,
         IF(OFFSET(CRONOPLE!$F$15,$M422-$A$15,BM$13)=0,10^12,OFFSET(CRONOPLE!$F$15,$M422-$A$15,BM$13)))</f>
        <v>1000000000000</v>
      </c>
      <c r="BN422" s="171">
        <f ca="1">IF(OR($D422&lt;&gt;"Serviço",AND(AUTOEVENTO="Manual",$M422=$A$15)),0,
         IF(OFFSET(CRONOPLE!$F$15,$M422-$A$15,BN$13)=0,10^12,OFFSET(CRONOPLE!$F$15,$M422-$A$15,BN$13)))</f>
        <v>1000000000000</v>
      </c>
      <c r="BO422" s="171">
        <f ca="1">IF(OR($D422&lt;&gt;"Serviço",AND(AUTOEVENTO="Manual",$M422=$A$15)),0,
         IF(OFFSET(CRONOPLE!$F$15,$M422-$A$15,BO$13)=0,10^12,OFFSET(CRONOPLE!$F$15,$M422-$A$15,BO$13)))</f>
        <v>1000000000000</v>
      </c>
      <c r="BP422" s="171">
        <f ca="1">IF(OR($D422&lt;&gt;"Serviço",AND(AUTOEVENTO="Manual",$M422=$A$15)),0,
         IF(OFFSET(CRONOPLE!$F$15,$M422-$A$15,BP$13)=0,10^12,OFFSET(CRONOPLE!$F$15,$M422-$A$15,BP$13)))</f>
        <v>1000000000000</v>
      </c>
      <c r="BQ422" s="171">
        <f ca="1">IF(OR($D422&lt;&gt;"Serviço",AND(AUTOEVENTO="Manual",$M422=$A$15)),0,
         IF(OFFSET(CRONOPLE!$F$15,$M422-$A$15,BQ$13)=0,10^12,OFFSET(CRONOPLE!$F$15,$M422-$A$15,BQ$13)))</f>
        <v>1000000000000</v>
      </c>
      <c r="BR422" s="171">
        <f ca="1">IF(OR($D422&lt;&gt;"Serviço",AND(AUTOEVENTO="Manual",$M422=$A$15)),0,
         IF(OFFSET(CRONOPLE!$F$15,$M422-$A$15,BR$13)=0,10^12,OFFSET(CRONOPLE!$F$15,$M422-$A$15,BR$13)))</f>
        <v>1000000000000</v>
      </c>
      <c r="BS422" s="171">
        <f ca="1">IF(OR($D422&lt;&gt;"Serviço",AND(AUTOEVENTO="Manual",$M422=$A$15)),0,
         IF(OFFSET(CRONOPLE!$F$15,$M422-$A$15,BS$13)=0,10^12,OFFSET(CRONOPLE!$F$15,$M422-$A$15,BS$13)))</f>
        <v>1000000000000</v>
      </c>
      <c r="BT422" s="171">
        <f ca="1">IF(OR($D422&lt;&gt;"Serviço",AND(AUTOEVENTO="Manual",$M422=$A$15)),0,
         IF(OFFSET(CRONOPLE!$F$15,$M422-$A$15,BT$13)=0,10^12,OFFSET(CRONOPLE!$F$15,$M422-$A$15,BT$13)))</f>
        <v>1000000000000</v>
      </c>
      <c r="BV422" s="172">
        <f ca="1">IF(OR($D422&lt;&gt;"Serviço",AND(AUTOEVENTO="Manual",$M422=$A$15),$M422&gt;(ROW(PLE.lastrow)-ROW(PLE.firstrow))),0,
           IF(OFFSET(PLE!$G$15,$M422-$A$15,BV$13)="",10^12,OFFSET(PLE!$G$15,$M422-$A$15,BV$13)))</f>
        <v>1000000000000</v>
      </c>
      <c r="BW422" s="172">
        <f ca="1">IF(OR($D422&lt;&gt;"Serviço",AND(AUTOEVENTO="Manual",$M422=$A$15),$M422&gt;(ROW(PLE.lastrow)-ROW(PLE.firstrow))),0,
           IF(OFFSET(PLE!$G$15,$M422-$A$15,BW$13)="",10^12,OFFSET(PLE!$G$15,$M422-$A$15,BW$13)))</f>
        <v>1000000000000</v>
      </c>
      <c r="BX422" s="172">
        <f ca="1">IF(OR($D422&lt;&gt;"Serviço",AND(AUTOEVENTO="Manual",$M422=$A$15),$M422&gt;(ROW(PLE.lastrow)-ROW(PLE.firstrow))),0,
           IF(OFFSET(PLE!$G$15,$M422-$A$15,BX$13)="",10^12,OFFSET(PLE!$G$15,$M422-$A$15,BX$13)))</f>
        <v>1000000000000</v>
      </c>
      <c r="BY422" s="172">
        <f ca="1">IF(OR($D422&lt;&gt;"Serviço",AND(AUTOEVENTO="Manual",$M422=$A$15),$M422&gt;(ROW(PLE.lastrow)-ROW(PLE.firstrow))),0,
           IF(OFFSET(PLE!$G$15,$M422-$A$15,BY$13)="",10^12,OFFSET(PLE!$G$15,$M422-$A$15,BY$13)))</f>
        <v>1000000000000</v>
      </c>
      <c r="BZ422" s="172">
        <f ca="1">IF(OR($D422&lt;&gt;"Serviço",AND(AUTOEVENTO="Manual",$M422=$A$15),$M422&gt;(ROW(PLE.lastrow)-ROW(PLE.firstrow))),0,
           IF(OFFSET(PLE!$G$15,$M422-$A$15,BZ$13)="",10^12,OFFSET(PLE!$G$15,$M422-$A$15,BZ$13)))</f>
        <v>1000000000000</v>
      </c>
      <c r="CA422" s="172">
        <f ca="1">IF(OR($D422&lt;&gt;"Serviço",AND(AUTOEVENTO="Manual",$M422=$A$15),$M422&gt;(ROW(PLE.lastrow)-ROW(PLE.firstrow))),0,
           IF(OFFSET(PLE!$G$15,$M422-$A$15,CA$13)="",10^12,OFFSET(PLE!$G$15,$M422-$A$15,CA$13)))</f>
        <v>1000000000000</v>
      </c>
      <c r="CB422" s="172">
        <f ca="1">IF(OR($D422&lt;&gt;"Serviço",AND(AUTOEVENTO="Manual",$M422=$A$15),$M422&gt;(ROW(PLE.lastrow)-ROW(PLE.firstrow))),0,
           IF(OFFSET(PLE!$G$15,$M422-$A$15,CB$13)="",10^12,OFFSET(PLE!$G$15,$M422-$A$15,CB$13)))</f>
        <v>1000000000000</v>
      </c>
      <c r="CC422" s="172">
        <f ca="1">IF(OR($D422&lt;&gt;"Serviço",AND(AUTOEVENTO="Manual",$M422=$A$15),$M422&gt;(ROW(PLE.lastrow)-ROW(PLE.firstrow))),0,
           IF(OFFSET(PLE!$G$15,$M422-$A$15,CC$13)="",10^12,OFFSET(PLE!$G$15,$M422-$A$15,CC$13)))</f>
        <v>1000000000000</v>
      </c>
      <c r="CD422" s="172">
        <f ca="1">IF(OR($D422&lt;&gt;"Serviço",AND(AUTOEVENTO="Manual",$M422=$A$15),$M422&gt;(ROW(PLE.lastrow)-ROW(PLE.firstrow))),0,
           IF(OFFSET(PLE!$G$15,$M422-$A$15,CD$13)="",10^12,OFFSET(PLE!$G$15,$M422-$A$15,CD$13)))</f>
        <v>1000000000000</v>
      </c>
      <c r="CE422" s="172">
        <f ca="1">IF(OR($D422&lt;&gt;"Serviço",AND(AUTOEVENTO="Manual",$M422=$A$15),$M422&gt;(ROW(PLE.lastrow)-ROW(PLE.firstrow))),0,
           IF(OFFSET(PLE!$G$15,$M422-$A$15,CE$13)="",10^12,OFFSET(PLE!$G$15,$M422-$A$15,CE$13)))</f>
        <v>1000000000000</v>
      </c>
      <c r="CF422" s="172">
        <f ca="1">IF(OR($D422&lt;&gt;"Serviço",AND(AUTOEVENTO="Manual",$M422=$A$15),$M422&gt;(ROW(PLE.lastrow)-ROW(PLE.firstrow))),0,
           IF(OFFSET(PLE!$G$15,$M422-$A$15,CF$13)="",10^12,OFFSET(PLE!$G$15,$M422-$A$15,CF$13)))</f>
        <v>1000000000000</v>
      </c>
      <c r="CG422" s="172">
        <f ca="1">IF(OR($D422&lt;&gt;"Serviço",AND(AUTOEVENTO="Manual",$M422=$A$15),$M422&gt;(ROW(PLE.lastrow)-ROW(PLE.firstrow))),0,
           IF(OFFSET(PLE!$G$15,$M422-$A$15,CG$13)="",10^12,OFFSET(PLE!$G$15,$M422-$A$15,CG$13)))</f>
        <v>1000000000000</v>
      </c>
      <c r="CH422" s="172">
        <f ca="1">IF(OR($D422&lt;&gt;"Serviço",AND(AUTOEVENTO="Manual",$M422=$A$15),$M422&gt;(ROW(PLE.lastrow)-ROW(PLE.firstrow))),0,
           IF(OFFSET(PLE!$G$15,$M422-$A$15,CH$13)="",10^12,OFFSET(PLE!$G$15,$M422-$A$15,CH$13)))</f>
        <v>1000000000000</v>
      </c>
      <c r="CI422" s="172">
        <f ca="1">IF(OR($D422&lt;&gt;"Serviço",AND(AUTOEVENTO="Manual",$M422=$A$15),$M422&gt;(ROW(PLE.lastrow)-ROW(PLE.firstrow))),0,
           IF(OFFSET(PLE!$G$15,$M422-$A$15,CI$13)="",10^12,OFFSET(PLE!$G$15,$M422-$A$15,CI$13)))</f>
        <v>1000000000000</v>
      </c>
      <c r="CJ422" s="172">
        <f ca="1">IF(OR($D422&lt;&gt;"Serviço",AND(AUTOEVENTO="Manual",$M422=$A$15),$M422&gt;(ROW(PLE.lastrow)-ROW(PLE.firstrow))),0,
           IF(OFFSET(PLE!$G$15,$M422-$A$15,CJ$13)="",10^12,OFFSET(PLE!$G$15,$M422-$A$15,CJ$13)))</f>
        <v>1000000000000</v>
      </c>
      <c r="CK422" s="172">
        <f ca="1">IF(OR($D422&lt;&gt;"Serviço",AND(AUTOEVENTO="Manual",$M422=$A$15),$M422&gt;(ROW(PLE.lastrow)-ROW(PLE.firstrow))),0,
           IF(OFFSET(PLE!$G$15,$M422-$A$15,CK$13)="",10^12,OFFSET(PLE!$G$15,$M422-$A$15,CK$13)))</f>
        <v>1000000000000</v>
      </c>
      <c r="CL422" s="172">
        <f ca="1">IF(OR($D422&lt;&gt;"Serviço",AND(AUTOEVENTO="Manual",$M422=$A$15),$M422&gt;(ROW(PLE.lastrow)-ROW(PLE.firstrow))),0,
           IF(OFFSET(PLE!$G$15,$M422-$A$15,CL$13)="",10^12,OFFSET(PLE!$G$15,$M422-$A$15,CL$13)))</f>
        <v>1000000000000</v>
      </c>
      <c r="CM422" s="172">
        <f ca="1">IF(OR($D422&lt;&gt;"Serviço",AND(AUTOEVENTO="Manual",$M422=$A$15),$M422&gt;(ROW(PLE.lastrow)-ROW(PLE.firstrow))),0,
           IF(OFFSET(PLE!$G$15,$M422-$A$15,CM$13)="",10^12,OFFSET(PLE!$G$15,$M422-$A$15,CM$13)))</f>
        <v>1000000000000</v>
      </c>
    </row>
    <row r="423" spans="1:91" ht="38.25" x14ac:dyDescent="0.2">
      <c r="A423" s="7">
        <f t="shared" ca="1" si="16"/>
        <v>7</v>
      </c>
      <c r="B423" s="7" t="str">
        <f ca="1">OFFSET(ORÇAMENTO!C$15,ROW(B423)-ROW(B$15),0)</f>
        <v>S</v>
      </c>
      <c r="C423" s="7" t="str">
        <f ca="1">OFFSET(ORÇAMENTO!L$15,ROW(C423)-ROW(C$15),0)</f>
        <v>F</v>
      </c>
      <c r="D423" s="116" t="str">
        <f ca="1">OFFSET(ORÇAMENTO!N$15,ROW(D423)-ROW(D$15),0)</f>
        <v>Serviço</v>
      </c>
      <c r="E423" s="117" t="str">
        <f ca="1">OFFSET(ORÇAMENTO!O$15,ROW(E423)-ROW(E$15),0)</f>
        <v>1.8.2.4.13.</v>
      </c>
      <c r="F423" s="163" t="str">
        <f ca="1">OFFSET(ORÇAMENTO!R$15,ROW(F423)-ROW(F$15),0)</f>
        <v>CONTATOR DE POTÊNCIA 18A 100-250VCC/CA. REF.: WEG, FORNECIMENTO E INSTALAÇÃO- BASEADO EM CPOS/CDHU (40.10.040)</v>
      </c>
      <c r="G423" s="164" t="str">
        <f ca="1">IF($D423&lt;&gt;"Serviço","",OFFSET(ORÇAMENTO!S$15,ROW(G423)-ROW(G$15),0))</f>
        <v>UN</v>
      </c>
      <c r="H423" s="122" cm="1">
        <f t="array" aca="1" ref="H423" ca="1">IF($D423&lt;&gt;"Serviço",0,IF(ACOMPANHAMENTO="BM",ROUND(OFFSET(ORÇAMENTO!AJ$15,ROW(H423)-ROW(H$15),0),15-13*ORÇAMENTO!$AF$7),SUMPRODUCT(($Q$1:$AI$1=1)*ROUND($Q423:$AI423,15-13*ORÇAMENTO!$AF$7))))</f>
        <v>1</v>
      </c>
      <c r="I423" s="468" t="s">
        <v>1431</v>
      </c>
      <c r="J423" s="640" t="str" cm="1">
        <f t="array" aca="1" ref="J423" ca="1">IF(OR(B423&lt;&gt;"S",CÁLCULO.FrentesPreenchidas=0),"",IF(AND(ACOMPANHAMENTO="PLE",AUTOEVENTO="Manual",OR(H423&gt;0,ORÇAMENTO!AC423="QUANT."),OR(K423="",M423=0,N423="")),"►E",IF(AND(ACOMPANHAMENTO="PLE",ORÇAMENTO!AC423="QUANT."),"►Q",IF(AND(ACOMPANHAMENTO="PLE",H423&lt;&gt;SUMPRODUCT(($Q$1:$AI$1=1)*ROUND(Q423:AI423,15))),"►S",IF(AND(COUNTIF($P$11:$AI$11,"▼")=0,H423&gt;0,I423=""),"◄M","")))))</f>
        <v/>
      </c>
      <c r="K423" s="641" t="s">
        <v>1391</v>
      </c>
      <c r="L423" s="165" t="s">
        <v>764</v>
      </c>
      <c r="M423" s="166">
        <f ca="1">IF($D423&lt;&gt;"Serviço","",
          IF(AUTOEVENTO="manual",$A423,
                IF(ISERROR(MATCH($A423,$A$15:OFFSET($A423,-1,0),0)),MAX($M$15:OFFSET(M423,-1,0))+1,
                      INDEX($M$15:OFFSET(M423,-1,0),MATCH($A423,$A$15:OFFSET($A423,-1,0),0)))))</f>
        <v>7</v>
      </c>
      <c r="N423" s="167" t="str">
        <f ca="1">IF($D423&lt;&gt;"Serviço","",
         IF(AUTOEVENTO="Manual",
                IF($A423=0,"&lt;-- defina o número do agrupador",
                       OFFSET(EVENTOS!$D$15,$A423-$A$15,0)),
                OFFSET($F$15,$A423,0)))</f>
        <v>Instalações Elétricas</v>
      </c>
      <c r="O423" s="168"/>
      <c r="Q423" s="168"/>
      <c r="R423" s="169"/>
      <c r="S423" s="169"/>
      <c r="T423" s="169"/>
      <c r="U423" s="169"/>
      <c r="V423" s="169"/>
      <c r="W423" s="169"/>
      <c r="X423" s="169">
        <v>1</v>
      </c>
      <c r="Y423" s="169"/>
      <c r="Z423" s="170"/>
      <c r="AA423" s="169"/>
      <c r="AB423" s="169"/>
      <c r="AC423" s="169"/>
      <c r="AD423" s="169"/>
      <c r="AE423" s="169"/>
      <c r="AF423" s="169"/>
      <c r="AG423" s="169"/>
      <c r="AH423" s="170"/>
      <c r="AJ423" s="453">
        <f ca="1">IF(AND($D423="Serviço",AJ$12&lt;&gt;0,$H423&gt;0,OR(AUTOEVENTO&lt;&gt;"manual",$M423&lt;&gt;$A$15)),
        IF(Import.TipoArredondamento&lt;&gt;"TransfereGOV",
              ROUND(OFFSET($P423,0,AJ$13),15-13*ORÇAMENTO!$AF$7)/$H423*OFFSET(ORÇAMENTO!$X$15,ROW(AJ423)-ROW(AJ$15),0),
              ROUND(ROUND(OFFSET($P423,0,AJ$13),15-13*ORÇAMENTO!$AF$7)*OFFSET(ORÇAMENTO!$W$15,ROW(AJ423)-ROW(AJ$15),0),15-13*ORÇAMENTO!$AF$11)),
         0)</f>
        <v>0</v>
      </c>
      <c r="AK423" s="453">
        <f ca="1">IF(AND($D423="Serviço",AK$12&lt;&gt;0,$H423&gt;0,OR(AUTOEVENTO&lt;&gt;"manual",$M423&lt;&gt;$A$15)),
        IF(Import.TipoArredondamento&lt;&gt;"TransfereGOV",
              ROUND(OFFSET($P423,0,AK$13),15-13*ORÇAMENTO!$AF$7)/$H423*OFFSET(ORÇAMENTO!$X$15,ROW(AK423)-ROW(AK$15),0),
              ROUND(ROUND(OFFSET($P423,0,AK$13),15-13*ORÇAMENTO!$AF$7)*OFFSET(ORÇAMENTO!$W$15,ROW(AK423)-ROW(AK$15),0),15-13*ORÇAMENTO!$AF$11)),
         0)</f>
        <v>0</v>
      </c>
      <c r="AL423" s="453">
        <f ca="1">IF(AND($D423="Serviço",AL$12&lt;&gt;0,$H423&gt;0,OR(AUTOEVENTO&lt;&gt;"manual",$M423&lt;&gt;$A$15)),
        IF(Import.TipoArredondamento&lt;&gt;"TransfereGOV",
              ROUND(OFFSET($P423,0,AL$13),15-13*ORÇAMENTO!$AF$7)/$H423*OFFSET(ORÇAMENTO!$X$15,ROW(AL423)-ROW(AL$15),0),
              ROUND(ROUND(OFFSET($P423,0,AL$13),15-13*ORÇAMENTO!$AF$7)*OFFSET(ORÇAMENTO!$W$15,ROW(AL423)-ROW(AL$15),0),15-13*ORÇAMENTO!$AF$11)),
         0)</f>
        <v>0</v>
      </c>
      <c r="AM423" s="453">
        <f ca="1">IF(AND($D423="Serviço",AM$12&lt;&gt;0,$H423&gt;0,OR(AUTOEVENTO&lt;&gt;"manual",$M423&lt;&gt;$A$15)),
        IF(Import.TipoArredondamento&lt;&gt;"TransfereGOV",
              ROUND(OFFSET($P423,0,AM$13),15-13*ORÇAMENTO!$AF$7)/$H423*OFFSET(ORÇAMENTO!$X$15,ROW(AM423)-ROW(AM$15),0),
              ROUND(ROUND(OFFSET($P423,0,AM$13),15-13*ORÇAMENTO!$AF$7)*OFFSET(ORÇAMENTO!$W$15,ROW(AM423)-ROW(AM$15),0),15-13*ORÇAMENTO!$AF$11)),
         0)</f>
        <v>0</v>
      </c>
      <c r="AN423" s="453">
        <f ca="1">IF(AND($D423="Serviço",AN$12&lt;&gt;0,$H423&gt;0,OR(AUTOEVENTO&lt;&gt;"manual",$M423&lt;&gt;$A$15)),
        IF(Import.TipoArredondamento&lt;&gt;"TransfereGOV",
              ROUND(OFFSET($P423,0,AN$13),15-13*ORÇAMENTO!$AF$7)/$H423*OFFSET(ORÇAMENTO!$X$15,ROW(AN423)-ROW(AN$15),0),
              ROUND(ROUND(OFFSET($P423,0,AN$13),15-13*ORÇAMENTO!$AF$7)*OFFSET(ORÇAMENTO!$W$15,ROW(AN423)-ROW(AN$15),0),15-13*ORÇAMENTO!$AF$11)),
         0)</f>
        <v>0</v>
      </c>
      <c r="AO423" s="453">
        <f ca="1">IF(AND($D423="Serviço",AO$12&lt;&gt;0,$H423&gt;0,OR(AUTOEVENTO&lt;&gt;"manual",$M423&lt;&gt;$A$15)),
        IF(Import.TipoArredondamento&lt;&gt;"TransfereGOV",
              ROUND(OFFSET($P423,0,AO$13),15-13*ORÇAMENTO!$AF$7)/$H423*OFFSET(ORÇAMENTO!$X$15,ROW(AO423)-ROW(AO$15),0),
              ROUND(ROUND(OFFSET($P423,0,AO$13),15-13*ORÇAMENTO!$AF$7)*OFFSET(ORÇAMENTO!$W$15,ROW(AO423)-ROW(AO$15),0),15-13*ORÇAMENTO!$AF$11)),
         0)</f>
        <v>0</v>
      </c>
      <c r="AP423" s="453">
        <f ca="1">IF(AND($D423="Serviço",AP$12&lt;&gt;0,$H423&gt;0,OR(AUTOEVENTO&lt;&gt;"manual",$M423&lt;&gt;$A$15)),
        IF(Import.TipoArredondamento&lt;&gt;"TransfereGOV",
              ROUND(OFFSET($P423,0,AP$13),15-13*ORÇAMENTO!$AF$7)/$H423*OFFSET(ORÇAMENTO!$X$15,ROW(AP423)-ROW(AP$15),0),
              ROUND(ROUND(OFFSET($P423,0,AP$13),15-13*ORÇAMENTO!$AF$7)*OFFSET(ORÇAMENTO!$W$15,ROW(AP423)-ROW(AP$15),0),15-13*ORÇAMENTO!$AF$11)),
         0)</f>
        <v>0</v>
      </c>
      <c r="AQ423" s="453">
        <f ca="1">IF(AND($D423="Serviço",AQ$12&lt;&gt;0,$H423&gt;0,OR(AUTOEVENTO&lt;&gt;"manual",$M423&lt;&gt;$A$15)),
        IF(Import.TipoArredondamento&lt;&gt;"TransfereGOV",
              ROUND(OFFSET($P423,0,AQ$13),15-13*ORÇAMENTO!$AF$7)/$H423*OFFSET(ORÇAMENTO!$X$15,ROW(AQ423)-ROW(AQ$15),0),
              ROUND(ROUND(OFFSET($P423,0,AQ$13),15-13*ORÇAMENTO!$AF$7)*OFFSET(ORÇAMENTO!$W$15,ROW(AQ423)-ROW(AQ$15),0),15-13*ORÇAMENTO!$AF$11)),
         0)</f>
        <v>0</v>
      </c>
      <c r="AR423" s="453">
        <f ca="1">IF(AND($D423="Serviço",AR$12&lt;&gt;0,$H423&gt;0,OR(AUTOEVENTO&lt;&gt;"manual",$M423&lt;&gt;$A$15)),
        IF(Import.TipoArredondamento&lt;&gt;"TransfereGOV",
              ROUND(OFFSET($P423,0,AR$13),15-13*ORÇAMENTO!$AF$7)/$H423*OFFSET(ORÇAMENTO!$X$15,ROW(AR423)-ROW(AR$15),0),
              ROUND(ROUND(OFFSET($P423,0,AR$13),15-13*ORÇAMENTO!$AF$7)*OFFSET(ORÇAMENTO!$W$15,ROW(AR423)-ROW(AR$15),0),15-13*ORÇAMENTO!$AF$11)),
         0)</f>
        <v>0</v>
      </c>
      <c r="AS423" s="453">
        <f ca="1">IF(AND($D423="Serviço",AS$12&lt;&gt;0,$H423&gt;0,OR(AUTOEVENTO&lt;&gt;"manual",$M423&lt;&gt;$A$15)),
        IF(Import.TipoArredondamento&lt;&gt;"TransfereGOV",
              ROUND(OFFSET($P423,0,AS$13),15-13*ORÇAMENTO!$AF$7)/$H423*OFFSET(ORÇAMENTO!$X$15,ROW(AS423)-ROW(AS$15),0),
              ROUND(ROUND(OFFSET($P423,0,AS$13),15-13*ORÇAMENTO!$AF$7)*OFFSET(ORÇAMENTO!$W$15,ROW(AS423)-ROW(AS$15),0),15-13*ORÇAMENTO!$AF$11)),
         0)</f>
        <v>0</v>
      </c>
      <c r="AT423" s="453">
        <f ca="1">IF(AND($D423="Serviço",AT$12&lt;&gt;0,$H423&gt;0,OR(AUTOEVENTO&lt;&gt;"manual",$M423&lt;&gt;$A$15)),
        IF(Import.TipoArredondamento&lt;&gt;"TransfereGOV",
              ROUND(OFFSET($P423,0,AT$13),15-13*ORÇAMENTO!$AF$7)/$H423*OFFSET(ORÇAMENTO!$X$15,ROW(AT423)-ROW(AT$15),0),
              ROUND(ROUND(OFFSET($P423,0,AT$13),15-13*ORÇAMENTO!$AF$7)*OFFSET(ORÇAMENTO!$W$15,ROW(AT423)-ROW(AT$15),0),15-13*ORÇAMENTO!$AF$11)),
         0)</f>
        <v>0</v>
      </c>
      <c r="AU423" s="453">
        <f ca="1">IF(AND($D423="Serviço",AU$12&lt;&gt;0,$H423&gt;0,OR(AUTOEVENTO&lt;&gt;"manual",$M423&lt;&gt;$A$15)),
        IF(Import.TipoArredondamento&lt;&gt;"TransfereGOV",
              ROUND(OFFSET($P423,0,AU$13),15-13*ORÇAMENTO!$AF$7)/$H423*OFFSET(ORÇAMENTO!$X$15,ROW(AU423)-ROW(AU$15),0),
              ROUND(ROUND(OFFSET($P423,0,AU$13),15-13*ORÇAMENTO!$AF$7)*OFFSET(ORÇAMENTO!$W$15,ROW(AU423)-ROW(AU$15),0),15-13*ORÇAMENTO!$AF$11)),
         0)</f>
        <v>0</v>
      </c>
      <c r="AV423" s="453">
        <f ca="1">IF(AND($D423="Serviço",AV$12&lt;&gt;0,$H423&gt;0,OR(AUTOEVENTO&lt;&gt;"manual",$M423&lt;&gt;$A$15)),
        IF(Import.TipoArredondamento&lt;&gt;"TransfereGOV",
              ROUND(OFFSET($P423,0,AV$13),15-13*ORÇAMENTO!$AF$7)/$H423*OFFSET(ORÇAMENTO!$X$15,ROW(AV423)-ROW(AV$15),0),
              ROUND(ROUND(OFFSET($P423,0,AV$13),15-13*ORÇAMENTO!$AF$7)*OFFSET(ORÇAMENTO!$W$15,ROW(AV423)-ROW(AV$15),0),15-13*ORÇAMENTO!$AF$11)),
         0)</f>
        <v>0</v>
      </c>
      <c r="AW423" s="453">
        <f ca="1">IF(AND($D423="Serviço",AW$12&lt;&gt;0,$H423&gt;0,OR(AUTOEVENTO&lt;&gt;"manual",$M423&lt;&gt;$A$15)),
        IF(Import.TipoArredondamento&lt;&gt;"TransfereGOV",
              ROUND(OFFSET($P423,0,AW$13),15-13*ORÇAMENTO!$AF$7)/$H423*OFFSET(ORÇAMENTO!$X$15,ROW(AW423)-ROW(AW$15),0),
              ROUND(ROUND(OFFSET($P423,0,AW$13),15-13*ORÇAMENTO!$AF$7)*OFFSET(ORÇAMENTO!$W$15,ROW(AW423)-ROW(AW$15),0),15-13*ORÇAMENTO!$AF$11)),
         0)</f>
        <v>0</v>
      </c>
      <c r="AX423" s="453">
        <f ca="1">IF(AND($D423="Serviço",AX$12&lt;&gt;0,$H423&gt;0,OR(AUTOEVENTO&lt;&gt;"manual",$M423&lt;&gt;$A$15)),
        IF(Import.TipoArredondamento&lt;&gt;"TransfereGOV",
              ROUND(OFFSET($P423,0,AX$13),15-13*ORÇAMENTO!$AF$7)/$H423*OFFSET(ORÇAMENTO!$X$15,ROW(AX423)-ROW(AX$15),0),
              ROUND(ROUND(OFFSET($P423,0,AX$13),15-13*ORÇAMENTO!$AF$7)*OFFSET(ORÇAMENTO!$W$15,ROW(AX423)-ROW(AX$15),0),15-13*ORÇAMENTO!$AF$11)),
         0)</f>
        <v>0</v>
      </c>
      <c r="AY423" s="453">
        <f ca="1">IF(AND($D423="Serviço",AY$12&lt;&gt;0,$H423&gt;0,OR(AUTOEVENTO&lt;&gt;"manual",$M423&lt;&gt;$A$15)),
        IF(Import.TipoArredondamento&lt;&gt;"TransfereGOV",
              ROUND(OFFSET($P423,0,AY$13),15-13*ORÇAMENTO!$AF$7)/$H423*OFFSET(ORÇAMENTO!$X$15,ROW(AY423)-ROW(AY$15),0),
              ROUND(ROUND(OFFSET($P423,0,AY$13),15-13*ORÇAMENTO!$AF$7)*OFFSET(ORÇAMENTO!$W$15,ROW(AY423)-ROW(AY$15),0),15-13*ORÇAMENTO!$AF$11)),
         0)</f>
        <v>0</v>
      </c>
      <c r="AZ423" s="453">
        <f ca="1">IF(AND($D423="Serviço",AZ$12&lt;&gt;0,$H423&gt;0,OR(AUTOEVENTO&lt;&gt;"manual",$M423&lt;&gt;$A$15)),
        IF(Import.TipoArredondamento&lt;&gt;"TransfereGOV",
              ROUND(OFFSET($P423,0,AZ$13),15-13*ORÇAMENTO!$AF$7)/$H423*OFFSET(ORÇAMENTO!$X$15,ROW(AZ423)-ROW(AZ$15),0),
              ROUND(ROUND(OFFSET($P423,0,AZ$13),15-13*ORÇAMENTO!$AF$7)*OFFSET(ORÇAMENTO!$W$15,ROW(AZ423)-ROW(AZ$15),0),15-13*ORÇAMENTO!$AF$11)),
         0)</f>
        <v>0</v>
      </c>
      <c r="BA423" s="453">
        <f ca="1">IF(AND($D423="Serviço",BA$12&lt;&gt;0,$H423&gt;0,OR(AUTOEVENTO&lt;&gt;"manual",$M423&lt;&gt;$A$15)),
        IF(Import.TipoArredondamento&lt;&gt;"TransfereGOV",
              ROUND(OFFSET($P423,0,BA$13),15-13*ORÇAMENTO!$AF$7)/$H423*OFFSET(ORÇAMENTO!$X$15,ROW(BA423)-ROW(BA$15),0),
              ROUND(ROUND(OFFSET($P423,0,BA$13),15-13*ORÇAMENTO!$AF$7)*OFFSET(ORÇAMENTO!$W$15,ROW(BA423)-ROW(BA$15),0),15-13*ORÇAMENTO!$AF$11)),
         0)</f>
        <v>0</v>
      </c>
      <c r="BC423" s="171">
        <f ca="1">IF(OR($D423&lt;&gt;"Serviço",AND(AUTOEVENTO="Manual",$M423=$A$15)),0,
         IF(OFFSET(CRONOPLE!$F$15,$M423-$A$15,BC$13)=0,10^12,OFFSET(CRONOPLE!$F$15,$M423-$A$15,BC$13)))</f>
        <v>1</v>
      </c>
      <c r="BD423" s="171">
        <f ca="1">IF(OR($D423&lt;&gt;"Serviço",AND(AUTOEVENTO="Manual",$M423=$A$15)),0,
         IF(OFFSET(CRONOPLE!$F$15,$M423-$A$15,BD$13)=0,10^12,OFFSET(CRONOPLE!$F$15,$M423-$A$15,BD$13)))</f>
        <v>2</v>
      </c>
      <c r="BE423" s="171">
        <f ca="1">IF(OR($D423&lt;&gt;"Serviço",AND(AUTOEVENTO="Manual",$M423=$A$15)),0,
         IF(OFFSET(CRONOPLE!$F$15,$M423-$A$15,BE$13)=0,10^12,OFFSET(CRONOPLE!$F$15,$M423-$A$15,BE$13)))</f>
        <v>3</v>
      </c>
      <c r="BF423" s="171">
        <f ca="1">IF(OR($D423&lt;&gt;"Serviço",AND(AUTOEVENTO="Manual",$M423=$A$15)),0,
         IF(OFFSET(CRONOPLE!$F$15,$M423-$A$15,BF$13)=0,10^12,OFFSET(CRONOPLE!$F$15,$M423-$A$15,BF$13)))</f>
        <v>4</v>
      </c>
      <c r="BG423" s="171">
        <f ca="1">IF(OR($D423&lt;&gt;"Serviço",AND(AUTOEVENTO="Manual",$M423=$A$15)),0,
         IF(OFFSET(CRONOPLE!$F$15,$M423-$A$15,BG$13)=0,10^12,OFFSET(CRONOPLE!$F$15,$M423-$A$15,BG$13)))</f>
        <v>5</v>
      </c>
      <c r="BH423" s="171">
        <f ca="1">IF(OR($D423&lt;&gt;"Serviço",AND(AUTOEVENTO="Manual",$M423=$A$15)),0,
         IF(OFFSET(CRONOPLE!$F$15,$M423-$A$15,BH$13)=0,10^12,OFFSET(CRONOPLE!$F$15,$M423-$A$15,BH$13)))</f>
        <v>6</v>
      </c>
      <c r="BI423" s="171">
        <f ca="1">IF(OR($D423&lt;&gt;"Serviço",AND(AUTOEVENTO="Manual",$M423=$A$15)),0,
         IF(OFFSET(CRONOPLE!$F$15,$M423-$A$15,BI$13)=0,10^12,OFFSET(CRONOPLE!$F$15,$M423-$A$15,BI$13)))</f>
        <v>7</v>
      </c>
      <c r="BJ423" s="171">
        <f ca="1">IF(OR($D423&lt;&gt;"Serviço",AND(AUTOEVENTO="Manual",$M423=$A$15)),0,
         IF(OFFSET(CRONOPLE!$F$15,$M423-$A$15,BJ$13)=0,10^12,OFFSET(CRONOPLE!$F$15,$M423-$A$15,BJ$13)))</f>
        <v>8</v>
      </c>
      <c r="BK423" s="171">
        <f ca="1">IF(OR($D423&lt;&gt;"Serviço",AND(AUTOEVENTO="Manual",$M423=$A$15)),0,
         IF(OFFSET(CRONOPLE!$F$15,$M423-$A$15,BK$13)=0,10^12,OFFSET(CRONOPLE!$F$15,$M423-$A$15,BK$13)))</f>
        <v>9</v>
      </c>
      <c r="BL423" s="171">
        <f ca="1">IF(OR($D423&lt;&gt;"Serviço",AND(AUTOEVENTO="Manual",$M423=$A$15)),0,
         IF(OFFSET(CRONOPLE!$F$15,$M423-$A$15,BL$13)=0,10^12,OFFSET(CRONOPLE!$F$15,$M423-$A$15,BL$13)))</f>
        <v>1000000000000</v>
      </c>
      <c r="BM423" s="171">
        <f ca="1">IF(OR($D423&lt;&gt;"Serviço",AND(AUTOEVENTO="Manual",$M423=$A$15)),0,
         IF(OFFSET(CRONOPLE!$F$15,$M423-$A$15,BM$13)=0,10^12,OFFSET(CRONOPLE!$F$15,$M423-$A$15,BM$13)))</f>
        <v>1000000000000</v>
      </c>
      <c r="BN423" s="171">
        <f ca="1">IF(OR($D423&lt;&gt;"Serviço",AND(AUTOEVENTO="Manual",$M423=$A$15)),0,
         IF(OFFSET(CRONOPLE!$F$15,$M423-$A$15,BN$13)=0,10^12,OFFSET(CRONOPLE!$F$15,$M423-$A$15,BN$13)))</f>
        <v>1000000000000</v>
      </c>
      <c r="BO423" s="171">
        <f ca="1">IF(OR($D423&lt;&gt;"Serviço",AND(AUTOEVENTO="Manual",$M423=$A$15)),0,
         IF(OFFSET(CRONOPLE!$F$15,$M423-$A$15,BO$13)=0,10^12,OFFSET(CRONOPLE!$F$15,$M423-$A$15,BO$13)))</f>
        <v>1000000000000</v>
      </c>
      <c r="BP423" s="171">
        <f ca="1">IF(OR($D423&lt;&gt;"Serviço",AND(AUTOEVENTO="Manual",$M423=$A$15)),0,
         IF(OFFSET(CRONOPLE!$F$15,$M423-$A$15,BP$13)=0,10^12,OFFSET(CRONOPLE!$F$15,$M423-$A$15,BP$13)))</f>
        <v>1000000000000</v>
      </c>
      <c r="BQ423" s="171">
        <f ca="1">IF(OR($D423&lt;&gt;"Serviço",AND(AUTOEVENTO="Manual",$M423=$A$15)),0,
         IF(OFFSET(CRONOPLE!$F$15,$M423-$A$15,BQ$13)=0,10^12,OFFSET(CRONOPLE!$F$15,$M423-$A$15,BQ$13)))</f>
        <v>1000000000000</v>
      </c>
      <c r="BR423" s="171">
        <f ca="1">IF(OR($D423&lt;&gt;"Serviço",AND(AUTOEVENTO="Manual",$M423=$A$15)),0,
         IF(OFFSET(CRONOPLE!$F$15,$M423-$A$15,BR$13)=0,10^12,OFFSET(CRONOPLE!$F$15,$M423-$A$15,BR$13)))</f>
        <v>1000000000000</v>
      </c>
      <c r="BS423" s="171">
        <f ca="1">IF(OR($D423&lt;&gt;"Serviço",AND(AUTOEVENTO="Manual",$M423=$A$15)),0,
         IF(OFFSET(CRONOPLE!$F$15,$M423-$A$15,BS$13)=0,10^12,OFFSET(CRONOPLE!$F$15,$M423-$A$15,BS$13)))</f>
        <v>1000000000000</v>
      </c>
      <c r="BT423" s="171">
        <f ca="1">IF(OR($D423&lt;&gt;"Serviço",AND(AUTOEVENTO="Manual",$M423=$A$15)),0,
         IF(OFFSET(CRONOPLE!$F$15,$M423-$A$15,BT$13)=0,10^12,OFFSET(CRONOPLE!$F$15,$M423-$A$15,BT$13)))</f>
        <v>1000000000000</v>
      </c>
      <c r="BV423" s="172">
        <f ca="1">IF(OR($D423&lt;&gt;"Serviço",AND(AUTOEVENTO="Manual",$M423=$A$15),$M423&gt;(ROW(PLE.lastrow)-ROW(PLE.firstrow))),0,
           IF(OFFSET(PLE!$G$15,$M423-$A$15,BV$13)="",10^12,OFFSET(PLE!$G$15,$M423-$A$15,BV$13)))</f>
        <v>1000000000000</v>
      </c>
      <c r="BW423" s="172">
        <f ca="1">IF(OR($D423&lt;&gt;"Serviço",AND(AUTOEVENTO="Manual",$M423=$A$15),$M423&gt;(ROW(PLE.lastrow)-ROW(PLE.firstrow))),0,
           IF(OFFSET(PLE!$G$15,$M423-$A$15,BW$13)="",10^12,OFFSET(PLE!$G$15,$M423-$A$15,BW$13)))</f>
        <v>1000000000000</v>
      </c>
      <c r="BX423" s="172">
        <f ca="1">IF(OR($D423&lt;&gt;"Serviço",AND(AUTOEVENTO="Manual",$M423=$A$15),$M423&gt;(ROW(PLE.lastrow)-ROW(PLE.firstrow))),0,
           IF(OFFSET(PLE!$G$15,$M423-$A$15,BX$13)="",10^12,OFFSET(PLE!$G$15,$M423-$A$15,BX$13)))</f>
        <v>1000000000000</v>
      </c>
      <c r="BY423" s="172">
        <f ca="1">IF(OR($D423&lt;&gt;"Serviço",AND(AUTOEVENTO="Manual",$M423=$A$15),$M423&gt;(ROW(PLE.lastrow)-ROW(PLE.firstrow))),0,
           IF(OFFSET(PLE!$G$15,$M423-$A$15,BY$13)="",10^12,OFFSET(PLE!$G$15,$M423-$A$15,BY$13)))</f>
        <v>1000000000000</v>
      </c>
      <c r="BZ423" s="172">
        <f ca="1">IF(OR($D423&lt;&gt;"Serviço",AND(AUTOEVENTO="Manual",$M423=$A$15),$M423&gt;(ROW(PLE.lastrow)-ROW(PLE.firstrow))),0,
           IF(OFFSET(PLE!$G$15,$M423-$A$15,BZ$13)="",10^12,OFFSET(PLE!$G$15,$M423-$A$15,BZ$13)))</f>
        <v>1000000000000</v>
      </c>
      <c r="CA423" s="172">
        <f ca="1">IF(OR($D423&lt;&gt;"Serviço",AND(AUTOEVENTO="Manual",$M423=$A$15),$M423&gt;(ROW(PLE.lastrow)-ROW(PLE.firstrow))),0,
           IF(OFFSET(PLE!$G$15,$M423-$A$15,CA$13)="",10^12,OFFSET(PLE!$G$15,$M423-$A$15,CA$13)))</f>
        <v>1000000000000</v>
      </c>
      <c r="CB423" s="172">
        <f ca="1">IF(OR($D423&lt;&gt;"Serviço",AND(AUTOEVENTO="Manual",$M423=$A$15),$M423&gt;(ROW(PLE.lastrow)-ROW(PLE.firstrow))),0,
           IF(OFFSET(PLE!$G$15,$M423-$A$15,CB$13)="",10^12,OFFSET(PLE!$G$15,$M423-$A$15,CB$13)))</f>
        <v>1000000000000</v>
      </c>
      <c r="CC423" s="172">
        <f ca="1">IF(OR($D423&lt;&gt;"Serviço",AND(AUTOEVENTO="Manual",$M423=$A$15),$M423&gt;(ROW(PLE.lastrow)-ROW(PLE.firstrow))),0,
           IF(OFFSET(PLE!$G$15,$M423-$A$15,CC$13)="",10^12,OFFSET(PLE!$G$15,$M423-$A$15,CC$13)))</f>
        <v>1000000000000</v>
      </c>
      <c r="CD423" s="172">
        <f ca="1">IF(OR($D423&lt;&gt;"Serviço",AND(AUTOEVENTO="Manual",$M423=$A$15),$M423&gt;(ROW(PLE.lastrow)-ROW(PLE.firstrow))),0,
           IF(OFFSET(PLE!$G$15,$M423-$A$15,CD$13)="",10^12,OFFSET(PLE!$G$15,$M423-$A$15,CD$13)))</f>
        <v>1000000000000</v>
      </c>
      <c r="CE423" s="172">
        <f ca="1">IF(OR($D423&lt;&gt;"Serviço",AND(AUTOEVENTO="Manual",$M423=$A$15),$M423&gt;(ROW(PLE.lastrow)-ROW(PLE.firstrow))),0,
           IF(OFFSET(PLE!$G$15,$M423-$A$15,CE$13)="",10^12,OFFSET(PLE!$G$15,$M423-$A$15,CE$13)))</f>
        <v>1000000000000</v>
      </c>
      <c r="CF423" s="172">
        <f ca="1">IF(OR($D423&lt;&gt;"Serviço",AND(AUTOEVENTO="Manual",$M423=$A$15),$M423&gt;(ROW(PLE.lastrow)-ROW(PLE.firstrow))),0,
           IF(OFFSET(PLE!$G$15,$M423-$A$15,CF$13)="",10^12,OFFSET(PLE!$G$15,$M423-$A$15,CF$13)))</f>
        <v>1000000000000</v>
      </c>
      <c r="CG423" s="172">
        <f ca="1">IF(OR($D423&lt;&gt;"Serviço",AND(AUTOEVENTO="Manual",$M423=$A$15),$M423&gt;(ROW(PLE.lastrow)-ROW(PLE.firstrow))),0,
           IF(OFFSET(PLE!$G$15,$M423-$A$15,CG$13)="",10^12,OFFSET(PLE!$G$15,$M423-$A$15,CG$13)))</f>
        <v>1000000000000</v>
      </c>
      <c r="CH423" s="172">
        <f ca="1">IF(OR($D423&lt;&gt;"Serviço",AND(AUTOEVENTO="Manual",$M423=$A$15),$M423&gt;(ROW(PLE.lastrow)-ROW(PLE.firstrow))),0,
           IF(OFFSET(PLE!$G$15,$M423-$A$15,CH$13)="",10^12,OFFSET(PLE!$G$15,$M423-$A$15,CH$13)))</f>
        <v>1000000000000</v>
      </c>
      <c r="CI423" s="172">
        <f ca="1">IF(OR($D423&lt;&gt;"Serviço",AND(AUTOEVENTO="Manual",$M423=$A$15),$M423&gt;(ROW(PLE.lastrow)-ROW(PLE.firstrow))),0,
           IF(OFFSET(PLE!$G$15,$M423-$A$15,CI$13)="",10^12,OFFSET(PLE!$G$15,$M423-$A$15,CI$13)))</f>
        <v>1000000000000</v>
      </c>
      <c r="CJ423" s="172">
        <f ca="1">IF(OR($D423&lt;&gt;"Serviço",AND(AUTOEVENTO="Manual",$M423=$A$15),$M423&gt;(ROW(PLE.lastrow)-ROW(PLE.firstrow))),0,
           IF(OFFSET(PLE!$G$15,$M423-$A$15,CJ$13)="",10^12,OFFSET(PLE!$G$15,$M423-$A$15,CJ$13)))</f>
        <v>1000000000000</v>
      </c>
      <c r="CK423" s="172">
        <f ca="1">IF(OR($D423&lt;&gt;"Serviço",AND(AUTOEVENTO="Manual",$M423=$A$15),$M423&gt;(ROW(PLE.lastrow)-ROW(PLE.firstrow))),0,
           IF(OFFSET(PLE!$G$15,$M423-$A$15,CK$13)="",10^12,OFFSET(PLE!$G$15,$M423-$A$15,CK$13)))</f>
        <v>1000000000000</v>
      </c>
      <c r="CL423" s="172">
        <f ca="1">IF(OR($D423&lt;&gt;"Serviço",AND(AUTOEVENTO="Manual",$M423=$A$15),$M423&gt;(ROW(PLE.lastrow)-ROW(PLE.firstrow))),0,
           IF(OFFSET(PLE!$G$15,$M423-$A$15,CL$13)="",10^12,OFFSET(PLE!$G$15,$M423-$A$15,CL$13)))</f>
        <v>1000000000000</v>
      </c>
      <c r="CM423" s="172">
        <f ca="1">IF(OR($D423&lt;&gt;"Serviço",AND(AUTOEVENTO="Manual",$M423=$A$15),$M423&gt;(ROW(PLE.lastrow)-ROW(PLE.firstrow))),0,
           IF(OFFSET(PLE!$G$15,$M423-$A$15,CM$13)="",10^12,OFFSET(PLE!$G$15,$M423-$A$15,CM$13)))</f>
        <v>1000000000000</v>
      </c>
    </row>
    <row r="424" spans="1:91" ht="38.25" x14ac:dyDescent="0.2">
      <c r="A424" s="7">
        <f t="shared" ca="1" si="16"/>
        <v>7</v>
      </c>
      <c r="B424" s="7" t="str">
        <f ca="1">OFFSET(ORÇAMENTO!C$15,ROW(B424)-ROW(B$15),0)</f>
        <v>S</v>
      </c>
      <c r="C424" s="7" t="str">
        <f ca="1">OFFSET(ORÇAMENTO!L$15,ROW(C424)-ROW(C$15),0)</f>
        <v>F</v>
      </c>
      <c r="D424" s="116" t="str">
        <f ca="1">OFFSET(ORÇAMENTO!N$15,ROW(D424)-ROW(D$15),0)</f>
        <v>Serviço</v>
      </c>
      <c r="E424" s="117" t="str">
        <f ca="1">OFFSET(ORÇAMENTO!O$15,ROW(E424)-ROW(E$15),0)</f>
        <v>1.8.2.4.14.</v>
      </c>
      <c r="F424" s="163" t="str">
        <f ca="1">OFFSET(ORÇAMENTO!R$15,ROW(F424)-ROW(F$15),0)</f>
        <v xml:space="preserve">INVERSOR DE FREQUÊNCIA 47A 220V. REF.: WEG CFW900C56P0T2, FORNECIMENTO E INSTALAÇÃO - BASEADO EM ORSE (3821) </v>
      </c>
      <c r="G424" s="164" t="str">
        <f ca="1">IF($D424&lt;&gt;"Serviço","",OFFSET(ORÇAMENTO!S$15,ROW(G424)-ROW(G$15),0))</f>
        <v>UN</v>
      </c>
      <c r="H424" s="122" cm="1">
        <f t="array" aca="1" ref="H424" ca="1">IF($D424&lt;&gt;"Serviço",0,IF(ACOMPANHAMENTO="BM",ROUND(OFFSET(ORÇAMENTO!AJ$15,ROW(H424)-ROW(H$15),0),15-13*ORÇAMENTO!$AF$7),SUMPRODUCT(($Q$1:$AI$1=1)*ROUND($Q424:$AI424,15-13*ORÇAMENTO!$AF$7))))</f>
        <v>1</v>
      </c>
      <c r="I424" s="468" t="s">
        <v>1431</v>
      </c>
      <c r="J424" s="640" t="str" cm="1">
        <f t="array" aca="1" ref="J424" ca="1">IF(OR(B424&lt;&gt;"S",CÁLCULO.FrentesPreenchidas=0),"",IF(AND(ACOMPANHAMENTO="PLE",AUTOEVENTO="Manual",OR(H424&gt;0,ORÇAMENTO!AC424="QUANT."),OR(K424="",M424=0,N424="")),"►E",IF(AND(ACOMPANHAMENTO="PLE",ORÇAMENTO!AC424="QUANT."),"►Q",IF(AND(ACOMPANHAMENTO="PLE",H424&lt;&gt;SUMPRODUCT(($Q$1:$AI$1=1)*ROUND(Q424:AI424,15))),"►S",IF(AND(COUNTIF($P$11:$AI$11,"▼")=0,H424&gt;0,I424=""),"◄M","")))))</f>
        <v/>
      </c>
      <c r="K424" s="641" t="s">
        <v>1391</v>
      </c>
      <c r="L424" s="165" t="s">
        <v>764</v>
      </c>
      <c r="M424" s="166">
        <f ca="1">IF($D424&lt;&gt;"Serviço","",
          IF(AUTOEVENTO="manual",$A424,
                IF(ISERROR(MATCH($A424,$A$15:OFFSET($A424,-1,0),0)),MAX($M$15:OFFSET(M424,-1,0))+1,
                      INDEX($M$15:OFFSET(M424,-1,0),MATCH($A424,$A$15:OFFSET($A424,-1,0),0)))))</f>
        <v>7</v>
      </c>
      <c r="N424" s="167" t="str">
        <f ca="1">IF($D424&lt;&gt;"Serviço","",
         IF(AUTOEVENTO="Manual",
                IF($A424=0,"&lt;-- defina o número do agrupador",
                       OFFSET(EVENTOS!$D$15,$A424-$A$15,0)),
                OFFSET($F$15,$A424,0)))</f>
        <v>Instalações Elétricas</v>
      </c>
      <c r="O424" s="168"/>
      <c r="Q424" s="168"/>
      <c r="R424" s="169"/>
      <c r="S424" s="169"/>
      <c r="T424" s="169"/>
      <c r="U424" s="169"/>
      <c r="V424" s="169"/>
      <c r="W424" s="169"/>
      <c r="X424" s="169">
        <v>1</v>
      </c>
      <c r="Y424" s="169"/>
      <c r="Z424" s="170"/>
      <c r="AA424" s="169"/>
      <c r="AB424" s="169"/>
      <c r="AC424" s="169"/>
      <c r="AD424" s="169"/>
      <c r="AE424" s="169"/>
      <c r="AF424" s="169"/>
      <c r="AG424" s="169"/>
      <c r="AH424" s="170"/>
      <c r="AJ424" s="453">
        <f ca="1">IF(AND($D424="Serviço",AJ$12&lt;&gt;0,$H424&gt;0,OR(AUTOEVENTO&lt;&gt;"manual",$M424&lt;&gt;$A$15)),
        IF(Import.TipoArredondamento&lt;&gt;"TransfereGOV",
              ROUND(OFFSET($P424,0,AJ$13),15-13*ORÇAMENTO!$AF$7)/$H424*OFFSET(ORÇAMENTO!$X$15,ROW(AJ424)-ROW(AJ$15),0),
              ROUND(ROUND(OFFSET($P424,0,AJ$13),15-13*ORÇAMENTO!$AF$7)*OFFSET(ORÇAMENTO!$W$15,ROW(AJ424)-ROW(AJ$15),0),15-13*ORÇAMENTO!$AF$11)),
         0)</f>
        <v>0</v>
      </c>
      <c r="AK424" s="453">
        <f ca="1">IF(AND($D424="Serviço",AK$12&lt;&gt;0,$H424&gt;0,OR(AUTOEVENTO&lt;&gt;"manual",$M424&lt;&gt;$A$15)),
        IF(Import.TipoArredondamento&lt;&gt;"TransfereGOV",
              ROUND(OFFSET($P424,0,AK$13),15-13*ORÇAMENTO!$AF$7)/$H424*OFFSET(ORÇAMENTO!$X$15,ROW(AK424)-ROW(AK$15),0),
              ROUND(ROUND(OFFSET($P424,0,AK$13),15-13*ORÇAMENTO!$AF$7)*OFFSET(ORÇAMENTO!$W$15,ROW(AK424)-ROW(AK$15),0),15-13*ORÇAMENTO!$AF$11)),
         0)</f>
        <v>0</v>
      </c>
      <c r="AL424" s="453">
        <f ca="1">IF(AND($D424="Serviço",AL$12&lt;&gt;0,$H424&gt;0,OR(AUTOEVENTO&lt;&gt;"manual",$M424&lt;&gt;$A$15)),
        IF(Import.TipoArredondamento&lt;&gt;"TransfereGOV",
              ROUND(OFFSET($P424,0,AL$13),15-13*ORÇAMENTO!$AF$7)/$H424*OFFSET(ORÇAMENTO!$X$15,ROW(AL424)-ROW(AL$15),0),
              ROUND(ROUND(OFFSET($P424,0,AL$13),15-13*ORÇAMENTO!$AF$7)*OFFSET(ORÇAMENTO!$W$15,ROW(AL424)-ROW(AL$15),0),15-13*ORÇAMENTO!$AF$11)),
         0)</f>
        <v>0</v>
      </c>
      <c r="AM424" s="453">
        <f ca="1">IF(AND($D424="Serviço",AM$12&lt;&gt;0,$H424&gt;0,OR(AUTOEVENTO&lt;&gt;"manual",$M424&lt;&gt;$A$15)),
        IF(Import.TipoArredondamento&lt;&gt;"TransfereGOV",
              ROUND(OFFSET($P424,0,AM$13),15-13*ORÇAMENTO!$AF$7)/$H424*OFFSET(ORÇAMENTO!$X$15,ROW(AM424)-ROW(AM$15),0),
              ROUND(ROUND(OFFSET($P424,0,AM$13),15-13*ORÇAMENTO!$AF$7)*OFFSET(ORÇAMENTO!$W$15,ROW(AM424)-ROW(AM$15),0),15-13*ORÇAMENTO!$AF$11)),
         0)</f>
        <v>0</v>
      </c>
      <c r="AN424" s="453">
        <f ca="1">IF(AND($D424="Serviço",AN$12&lt;&gt;0,$H424&gt;0,OR(AUTOEVENTO&lt;&gt;"manual",$M424&lt;&gt;$A$15)),
        IF(Import.TipoArredondamento&lt;&gt;"TransfereGOV",
              ROUND(OFFSET($P424,0,AN$13),15-13*ORÇAMENTO!$AF$7)/$H424*OFFSET(ORÇAMENTO!$X$15,ROW(AN424)-ROW(AN$15),0),
              ROUND(ROUND(OFFSET($P424,0,AN$13),15-13*ORÇAMENTO!$AF$7)*OFFSET(ORÇAMENTO!$W$15,ROW(AN424)-ROW(AN$15),0),15-13*ORÇAMENTO!$AF$11)),
         0)</f>
        <v>0</v>
      </c>
      <c r="AO424" s="453">
        <f ca="1">IF(AND($D424="Serviço",AO$12&lt;&gt;0,$H424&gt;0,OR(AUTOEVENTO&lt;&gt;"manual",$M424&lt;&gt;$A$15)),
        IF(Import.TipoArredondamento&lt;&gt;"TransfereGOV",
              ROUND(OFFSET($P424,0,AO$13),15-13*ORÇAMENTO!$AF$7)/$H424*OFFSET(ORÇAMENTO!$X$15,ROW(AO424)-ROW(AO$15),0),
              ROUND(ROUND(OFFSET($P424,0,AO$13),15-13*ORÇAMENTO!$AF$7)*OFFSET(ORÇAMENTO!$W$15,ROW(AO424)-ROW(AO$15),0),15-13*ORÇAMENTO!$AF$11)),
         0)</f>
        <v>0</v>
      </c>
      <c r="AP424" s="453">
        <f ca="1">IF(AND($D424="Serviço",AP$12&lt;&gt;0,$H424&gt;0,OR(AUTOEVENTO&lt;&gt;"manual",$M424&lt;&gt;$A$15)),
        IF(Import.TipoArredondamento&lt;&gt;"TransfereGOV",
              ROUND(OFFSET($P424,0,AP$13),15-13*ORÇAMENTO!$AF$7)/$H424*OFFSET(ORÇAMENTO!$X$15,ROW(AP424)-ROW(AP$15),0),
              ROUND(ROUND(OFFSET($P424,0,AP$13),15-13*ORÇAMENTO!$AF$7)*OFFSET(ORÇAMENTO!$W$15,ROW(AP424)-ROW(AP$15),0),15-13*ORÇAMENTO!$AF$11)),
         0)</f>
        <v>0</v>
      </c>
      <c r="AQ424" s="453">
        <f ca="1">IF(AND($D424="Serviço",AQ$12&lt;&gt;0,$H424&gt;0,OR(AUTOEVENTO&lt;&gt;"manual",$M424&lt;&gt;$A$15)),
        IF(Import.TipoArredondamento&lt;&gt;"TransfereGOV",
              ROUND(OFFSET($P424,0,AQ$13),15-13*ORÇAMENTO!$AF$7)/$H424*OFFSET(ORÇAMENTO!$X$15,ROW(AQ424)-ROW(AQ$15),0),
              ROUND(ROUND(OFFSET($P424,0,AQ$13),15-13*ORÇAMENTO!$AF$7)*OFFSET(ORÇAMENTO!$W$15,ROW(AQ424)-ROW(AQ$15),0),15-13*ORÇAMENTO!$AF$11)),
         0)</f>
        <v>0</v>
      </c>
      <c r="AR424" s="453">
        <f ca="1">IF(AND($D424="Serviço",AR$12&lt;&gt;0,$H424&gt;0,OR(AUTOEVENTO&lt;&gt;"manual",$M424&lt;&gt;$A$15)),
        IF(Import.TipoArredondamento&lt;&gt;"TransfereGOV",
              ROUND(OFFSET($P424,0,AR$13),15-13*ORÇAMENTO!$AF$7)/$H424*OFFSET(ORÇAMENTO!$X$15,ROW(AR424)-ROW(AR$15),0),
              ROUND(ROUND(OFFSET($P424,0,AR$13),15-13*ORÇAMENTO!$AF$7)*OFFSET(ORÇAMENTO!$W$15,ROW(AR424)-ROW(AR$15),0),15-13*ORÇAMENTO!$AF$11)),
         0)</f>
        <v>0</v>
      </c>
      <c r="AS424" s="453">
        <f ca="1">IF(AND($D424="Serviço",AS$12&lt;&gt;0,$H424&gt;0,OR(AUTOEVENTO&lt;&gt;"manual",$M424&lt;&gt;$A$15)),
        IF(Import.TipoArredondamento&lt;&gt;"TransfereGOV",
              ROUND(OFFSET($P424,0,AS$13),15-13*ORÇAMENTO!$AF$7)/$H424*OFFSET(ORÇAMENTO!$X$15,ROW(AS424)-ROW(AS$15),0),
              ROUND(ROUND(OFFSET($P424,0,AS$13),15-13*ORÇAMENTO!$AF$7)*OFFSET(ORÇAMENTO!$W$15,ROW(AS424)-ROW(AS$15),0),15-13*ORÇAMENTO!$AF$11)),
         0)</f>
        <v>0</v>
      </c>
      <c r="AT424" s="453">
        <f ca="1">IF(AND($D424="Serviço",AT$12&lt;&gt;0,$H424&gt;0,OR(AUTOEVENTO&lt;&gt;"manual",$M424&lt;&gt;$A$15)),
        IF(Import.TipoArredondamento&lt;&gt;"TransfereGOV",
              ROUND(OFFSET($P424,0,AT$13),15-13*ORÇAMENTO!$AF$7)/$H424*OFFSET(ORÇAMENTO!$X$15,ROW(AT424)-ROW(AT$15),0),
              ROUND(ROUND(OFFSET($P424,0,AT$13),15-13*ORÇAMENTO!$AF$7)*OFFSET(ORÇAMENTO!$W$15,ROW(AT424)-ROW(AT$15),0),15-13*ORÇAMENTO!$AF$11)),
         0)</f>
        <v>0</v>
      </c>
      <c r="AU424" s="453">
        <f ca="1">IF(AND($D424="Serviço",AU$12&lt;&gt;0,$H424&gt;0,OR(AUTOEVENTO&lt;&gt;"manual",$M424&lt;&gt;$A$15)),
        IF(Import.TipoArredondamento&lt;&gt;"TransfereGOV",
              ROUND(OFFSET($P424,0,AU$13),15-13*ORÇAMENTO!$AF$7)/$H424*OFFSET(ORÇAMENTO!$X$15,ROW(AU424)-ROW(AU$15),0),
              ROUND(ROUND(OFFSET($P424,0,AU$13),15-13*ORÇAMENTO!$AF$7)*OFFSET(ORÇAMENTO!$W$15,ROW(AU424)-ROW(AU$15),0),15-13*ORÇAMENTO!$AF$11)),
         0)</f>
        <v>0</v>
      </c>
      <c r="AV424" s="453">
        <f ca="1">IF(AND($D424="Serviço",AV$12&lt;&gt;0,$H424&gt;0,OR(AUTOEVENTO&lt;&gt;"manual",$M424&lt;&gt;$A$15)),
        IF(Import.TipoArredondamento&lt;&gt;"TransfereGOV",
              ROUND(OFFSET($P424,0,AV$13),15-13*ORÇAMENTO!$AF$7)/$H424*OFFSET(ORÇAMENTO!$X$15,ROW(AV424)-ROW(AV$15),0),
              ROUND(ROUND(OFFSET($P424,0,AV$13),15-13*ORÇAMENTO!$AF$7)*OFFSET(ORÇAMENTO!$W$15,ROW(AV424)-ROW(AV$15),0),15-13*ORÇAMENTO!$AF$11)),
         0)</f>
        <v>0</v>
      </c>
      <c r="AW424" s="453">
        <f ca="1">IF(AND($D424="Serviço",AW$12&lt;&gt;0,$H424&gt;0,OR(AUTOEVENTO&lt;&gt;"manual",$M424&lt;&gt;$A$15)),
        IF(Import.TipoArredondamento&lt;&gt;"TransfereGOV",
              ROUND(OFFSET($P424,0,AW$13),15-13*ORÇAMENTO!$AF$7)/$H424*OFFSET(ORÇAMENTO!$X$15,ROW(AW424)-ROW(AW$15),0),
              ROUND(ROUND(OFFSET($P424,0,AW$13),15-13*ORÇAMENTO!$AF$7)*OFFSET(ORÇAMENTO!$W$15,ROW(AW424)-ROW(AW$15),0),15-13*ORÇAMENTO!$AF$11)),
         0)</f>
        <v>0</v>
      </c>
      <c r="AX424" s="453">
        <f ca="1">IF(AND($D424="Serviço",AX$12&lt;&gt;0,$H424&gt;0,OR(AUTOEVENTO&lt;&gt;"manual",$M424&lt;&gt;$A$15)),
        IF(Import.TipoArredondamento&lt;&gt;"TransfereGOV",
              ROUND(OFFSET($P424,0,AX$13),15-13*ORÇAMENTO!$AF$7)/$H424*OFFSET(ORÇAMENTO!$X$15,ROW(AX424)-ROW(AX$15),0),
              ROUND(ROUND(OFFSET($P424,0,AX$13),15-13*ORÇAMENTO!$AF$7)*OFFSET(ORÇAMENTO!$W$15,ROW(AX424)-ROW(AX$15),0),15-13*ORÇAMENTO!$AF$11)),
         0)</f>
        <v>0</v>
      </c>
      <c r="AY424" s="453">
        <f ca="1">IF(AND($D424="Serviço",AY$12&lt;&gt;0,$H424&gt;0,OR(AUTOEVENTO&lt;&gt;"manual",$M424&lt;&gt;$A$15)),
        IF(Import.TipoArredondamento&lt;&gt;"TransfereGOV",
              ROUND(OFFSET($P424,0,AY$13),15-13*ORÇAMENTO!$AF$7)/$H424*OFFSET(ORÇAMENTO!$X$15,ROW(AY424)-ROW(AY$15),0),
              ROUND(ROUND(OFFSET($P424,0,AY$13),15-13*ORÇAMENTO!$AF$7)*OFFSET(ORÇAMENTO!$W$15,ROW(AY424)-ROW(AY$15),0),15-13*ORÇAMENTO!$AF$11)),
         0)</f>
        <v>0</v>
      </c>
      <c r="AZ424" s="453">
        <f ca="1">IF(AND($D424="Serviço",AZ$12&lt;&gt;0,$H424&gt;0,OR(AUTOEVENTO&lt;&gt;"manual",$M424&lt;&gt;$A$15)),
        IF(Import.TipoArredondamento&lt;&gt;"TransfereGOV",
              ROUND(OFFSET($P424,0,AZ$13),15-13*ORÇAMENTO!$AF$7)/$H424*OFFSET(ORÇAMENTO!$X$15,ROW(AZ424)-ROW(AZ$15),0),
              ROUND(ROUND(OFFSET($P424,0,AZ$13),15-13*ORÇAMENTO!$AF$7)*OFFSET(ORÇAMENTO!$W$15,ROW(AZ424)-ROW(AZ$15),0),15-13*ORÇAMENTO!$AF$11)),
         0)</f>
        <v>0</v>
      </c>
      <c r="BA424" s="453">
        <f ca="1">IF(AND($D424="Serviço",BA$12&lt;&gt;0,$H424&gt;0,OR(AUTOEVENTO&lt;&gt;"manual",$M424&lt;&gt;$A$15)),
        IF(Import.TipoArredondamento&lt;&gt;"TransfereGOV",
              ROUND(OFFSET($P424,0,BA$13),15-13*ORÇAMENTO!$AF$7)/$H424*OFFSET(ORÇAMENTO!$X$15,ROW(BA424)-ROW(BA$15),0),
              ROUND(ROUND(OFFSET($P424,0,BA$13),15-13*ORÇAMENTO!$AF$7)*OFFSET(ORÇAMENTO!$W$15,ROW(BA424)-ROW(BA$15),0),15-13*ORÇAMENTO!$AF$11)),
         0)</f>
        <v>0</v>
      </c>
      <c r="BC424" s="171">
        <f ca="1">IF(OR($D424&lt;&gt;"Serviço",AND(AUTOEVENTO="Manual",$M424=$A$15)),0,
         IF(OFFSET(CRONOPLE!$F$15,$M424-$A$15,BC$13)=0,10^12,OFFSET(CRONOPLE!$F$15,$M424-$A$15,BC$13)))</f>
        <v>1</v>
      </c>
      <c r="BD424" s="171">
        <f ca="1">IF(OR($D424&lt;&gt;"Serviço",AND(AUTOEVENTO="Manual",$M424=$A$15)),0,
         IF(OFFSET(CRONOPLE!$F$15,$M424-$A$15,BD$13)=0,10^12,OFFSET(CRONOPLE!$F$15,$M424-$A$15,BD$13)))</f>
        <v>2</v>
      </c>
      <c r="BE424" s="171">
        <f ca="1">IF(OR($D424&lt;&gt;"Serviço",AND(AUTOEVENTO="Manual",$M424=$A$15)),0,
         IF(OFFSET(CRONOPLE!$F$15,$M424-$A$15,BE$13)=0,10^12,OFFSET(CRONOPLE!$F$15,$M424-$A$15,BE$13)))</f>
        <v>3</v>
      </c>
      <c r="BF424" s="171">
        <f ca="1">IF(OR($D424&lt;&gt;"Serviço",AND(AUTOEVENTO="Manual",$M424=$A$15)),0,
         IF(OFFSET(CRONOPLE!$F$15,$M424-$A$15,BF$13)=0,10^12,OFFSET(CRONOPLE!$F$15,$M424-$A$15,BF$13)))</f>
        <v>4</v>
      </c>
      <c r="BG424" s="171">
        <f ca="1">IF(OR($D424&lt;&gt;"Serviço",AND(AUTOEVENTO="Manual",$M424=$A$15)),0,
         IF(OFFSET(CRONOPLE!$F$15,$M424-$A$15,BG$13)=0,10^12,OFFSET(CRONOPLE!$F$15,$M424-$A$15,BG$13)))</f>
        <v>5</v>
      </c>
      <c r="BH424" s="171">
        <f ca="1">IF(OR($D424&lt;&gt;"Serviço",AND(AUTOEVENTO="Manual",$M424=$A$15)),0,
         IF(OFFSET(CRONOPLE!$F$15,$M424-$A$15,BH$13)=0,10^12,OFFSET(CRONOPLE!$F$15,$M424-$A$15,BH$13)))</f>
        <v>6</v>
      </c>
      <c r="BI424" s="171">
        <f ca="1">IF(OR($D424&lt;&gt;"Serviço",AND(AUTOEVENTO="Manual",$M424=$A$15)),0,
         IF(OFFSET(CRONOPLE!$F$15,$M424-$A$15,BI$13)=0,10^12,OFFSET(CRONOPLE!$F$15,$M424-$A$15,BI$13)))</f>
        <v>7</v>
      </c>
      <c r="BJ424" s="171">
        <f ca="1">IF(OR($D424&lt;&gt;"Serviço",AND(AUTOEVENTO="Manual",$M424=$A$15)),0,
         IF(OFFSET(CRONOPLE!$F$15,$M424-$A$15,BJ$13)=0,10^12,OFFSET(CRONOPLE!$F$15,$M424-$A$15,BJ$13)))</f>
        <v>8</v>
      </c>
      <c r="BK424" s="171">
        <f ca="1">IF(OR($D424&lt;&gt;"Serviço",AND(AUTOEVENTO="Manual",$M424=$A$15)),0,
         IF(OFFSET(CRONOPLE!$F$15,$M424-$A$15,BK$13)=0,10^12,OFFSET(CRONOPLE!$F$15,$M424-$A$15,BK$13)))</f>
        <v>9</v>
      </c>
      <c r="BL424" s="171">
        <f ca="1">IF(OR($D424&lt;&gt;"Serviço",AND(AUTOEVENTO="Manual",$M424=$A$15)),0,
         IF(OFFSET(CRONOPLE!$F$15,$M424-$A$15,BL$13)=0,10^12,OFFSET(CRONOPLE!$F$15,$M424-$A$15,BL$13)))</f>
        <v>1000000000000</v>
      </c>
      <c r="BM424" s="171">
        <f ca="1">IF(OR($D424&lt;&gt;"Serviço",AND(AUTOEVENTO="Manual",$M424=$A$15)),0,
         IF(OFFSET(CRONOPLE!$F$15,$M424-$A$15,BM$13)=0,10^12,OFFSET(CRONOPLE!$F$15,$M424-$A$15,BM$13)))</f>
        <v>1000000000000</v>
      </c>
      <c r="BN424" s="171">
        <f ca="1">IF(OR($D424&lt;&gt;"Serviço",AND(AUTOEVENTO="Manual",$M424=$A$15)),0,
         IF(OFFSET(CRONOPLE!$F$15,$M424-$A$15,BN$13)=0,10^12,OFFSET(CRONOPLE!$F$15,$M424-$A$15,BN$13)))</f>
        <v>1000000000000</v>
      </c>
      <c r="BO424" s="171">
        <f ca="1">IF(OR($D424&lt;&gt;"Serviço",AND(AUTOEVENTO="Manual",$M424=$A$15)),0,
         IF(OFFSET(CRONOPLE!$F$15,$M424-$A$15,BO$13)=0,10^12,OFFSET(CRONOPLE!$F$15,$M424-$A$15,BO$13)))</f>
        <v>1000000000000</v>
      </c>
      <c r="BP424" s="171">
        <f ca="1">IF(OR($D424&lt;&gt;"Serviço",AND(AUTOEVENTO="Manual",$M424=$A$15)),0,
         IF(OFFSET(CRONOPLE!$F$15,$M424-$A$15,BP$13)=0,10^12,OFFSET(CRONOPLE!$F$15,$M424-$A$15,BP$13)))</f>
        <v>1000000000000</v>
      </c>
      <c r="BQ424" s="171">
        <f ca="1">IF(OR($D424&lt;&gt;"Serviço",AND(AUTOEVENTO="Manual",$M424=$A$15)),0,
         IF(OFFSET(CRONOPLE!$F$15,$M424-$A$15,BQ$13)=0,10^12,OFFSET(CRONOPLE!$F$15,$M424-$A$15,BQ$13)))</f>
        <v>1000000000000</v>
      </c>
      <c r="BR424" s="171">
        <f ca="1">IF(OR($D424&lt;&gt;"Serviço",AND(AUTOEVENTO="Manual",$M424=$A$15)),0,
         IF(OFFSET(CRONOPLE!$F$15,$M424-$A$15,BR$13)=0,10^12,OFFSET(CRONOPLE!$F$15,$M424-$A$15,BR$13)))</f>
        <v>1000000000000</v>
      </c>
      <c r="BS424" s="171">
        <f ca="1">IF(OR($D424&lt;&gt;"Serviço",AND(AUTOEVENTO="Manual",$M424=$A$15)),0,
         IF(OFFSET(CRONOPLE!$F$15,$M424-$A$15,BS$13)=0,10^12,OFFSET(CRONOPLE!$F$15,$M424-$A$15,BS$13)))</f>
        <v>1000000000000</v>
      </c>
      <c r="BT424" s="171">
        <f ca="1">IF(OR($D424&lt;&gt;"Serviço",AND(AUTOEVENTO="Manual",$M424=$A$15)),0,
         IF(OFFSET(CRONOPLE!$F$15,$M424-$A$15,BT$13)=0,10^12,OFFSET(CRONOPLE!$F$15,$M424-$A$15,BT$13)))</f>
        <v>1000000000000</v>
      </c>
      <c r="BV424" s="172">
        <f ca="1">IF(OR($D424&lt;&gt;"Serviço",AND(AUTOEVENTO="Manual",$M424=$A$15),$M424&gt;(ROW(PLE.lastrow)-ROW(PLE.firstrow))),0,
           IF(OFFSET(PLE!$G$15,$M424-$A$15,BV$13)="",10^12,OFFSET(PLE!$G$15,$M424-$A$15,BV$13)))</f>
        <v>1000000000000</v>
      </c>
      <c r="BW424" s="172">
        <f ca="1">IF(OR($D424&lt;&gt;"Serviço",AND(AUTOEVENTO="Manual",$M424=$A$15),$M424&gt;(ROW(PLE.lastrow)-ROW(PLE.firstrow))),0,
           IF(OFFSET(PLE!$G$15,$M424-$A$15,BW$13)="",10^12,OFFSET(PLE!$G$15,$M424-$A$15,BW$13)))</f>
        <v>1000000000000</v>
      </c>
      <c r="BX424" s="172">
        <f ca="1">IF(OR($D424&lt;&gt;"Serviço",AND(AUTOEVENTO="Manual",$M424=$A$15),$M424&gt;(ROW(PLE.lastrow)-ROW(PLE.firstrow))),0,
           IF(OFFSET(PLE!$G$15,$M424-$A$15,BX$13)="",10^12,OFFSET(PLE!$G$15,$M424-$A$15,BX$13)))</f>
        <v>1000000000000</v>
      </c>
      <c r="BY424" s="172">
        <f ca="1">IF(OR($D424&lt;&gt;"Serviço",AND(AUTOEVENTO="Manual",$M424=$A$15),$M424&gt;(ROW(PLE.lastrow)-ROW(PLE.firstrow))),0,
           IF(OFFSET(PLE!$G$15,$M424-$A$15,BY$13)="",10^12,OFFSET(PLE!$G$15,$M424-$A$15,BY$13)))</f>
        <v>1000000000000</v>
      </c>
      <c r="BZ424" s="172">
        <f ca="1">IF(OR($D424&lt;&gt;"Serviço",AND(AUTOEVENTO="Manual",$M424=$A$15),$M424&gt;(ROW(PLE.lastrow)-ROW(PLE.firstrow))),0,
           IF(OFFSET(PLE!$G$15,$M424-$A$15,BZ$13)="",10^12,OFFSET(PLE!$G$15,$M424-$A$15,BZ$13)))</f>
        <v>1000000000000</v>
      </c>
      <c r="CA424" s="172">
        <f ca="1">IF(OR($D424&lt;&gt;"Serviço",AND(AUTOEVENTO="Manual",$M424=$A$15),$M424&gt;(ROW(PLE.lastrow)-ROW(PLE.firstrow))),0,
           IF(OFFSET(PLE!$G$15,$M424-$A$15,CA$13)="",10^12,OFFSET(PLE!$G$15,$M424-$A$15,CA$13)))</f>
        <v>1000000000000</v>
      </c>
      <c r="CB424" s="172">
        <f ca="1">IF(OR($D424&lt;&gt;"Serviço",AND(AUTOEVENTO="Manual",$M424=$A$15),$M424&gt;(ROW(PLE.lastrow)-ROW(PLE.firstrow))),0,
           IF(OFFSET(PLE!$G$15,$M424-$A$15,CB$13)="",10^12,OFFSET(PLE!$G$15,$M424-$A$15,CB$13)))</f>
        <v>1000000000000</v>
      </c>
      <c r="CC424" s="172">
        <f ca="1">IF(OR($D424&lt;&gt;"Serviço",AND(AUTOEVENTO="Manual",$M424=$A$15),$M424&gt;(ROW(PLE.lastrow)-ROW(PLE.firstrow))),0,
           IF(OFFSET(PLE!$G$15,$M424-$A$15,CC$13)="",10^12,OFFSET(PLE!$G$15,$M424-$A$15,CC$13)))</f>
        <v>1000000000000</v>
      </c>
      <c r="CD424" s="172">
        <f ca="1">IF(OR($D424&lt;&gt;"Serviço",AND(AUTOEVENTO="Manual",$M424=$A$15),$M424&gt;(ROW(PLE.lastrow)-ROW(PLE.firstrow))),0,
           IF(OFFSET(PLE!$G$15,$M424-$A$15,CD$13)="",10^12,OFFSET(PLE!$G$15,$M424-$A$15,CD$13)))</f>
        <v>1000000000000</v>
      </c>
      <c r="CE424" s="172">
        <f ca="1">IF(OR($D424&lt;&gt;"Serviço",AND(AUTOEVENTO="Manual",$M424=$A$15),$M424&gt;(ROW(PLE.lastrow)-ROW(PLE.firstrow))),0,
           IF(OFFSET(PLE!$G$15,$M424-$A$15,CE$13)="",10^12,OFFSET(PLE!$G$15,$M424-$A$15,CE$13)))</f>
        <v>1000000000000</v>
      </c>
      <c r="CF424" s="172">
        <f ca="1">IF(OR($D424&lt;&gt;"Serviço",AND(AUTOEVENTO="Manual",$M424=$A$15),$M424&gt;(ROW(PLE.lastrow)-ROW(PLE.firstrow))),0,
           IF(OFFSET(PLE!$G$15,$M424-$A$15,CF$13)="",10^12,OFFSET(PLE!$G$15,$M424-$A$15,CF$13)))</f>
        <v>1000000000000</v>
      </c>
      <c r="CG424" s="172">
        <f ca="1">IF(OR($D424&lt;&gt;"Serviço",AND(AUTOEVENTO="Manual",$M424=$A$15),$M424&gt;(ROW(PLE.lastrow)-ROW(PLE.firstrow))),0,
           IF(OFFSET(PLE!$G$15,$M424-$A$15,CG$13)="",10^12,OFFSET(PLE!$G$15,$M424-$A$15,CG$13)))</f>
        <v>1000000000000</v>
      </c>
      <c r="CH424" s="172">
        <f ca="1">IF(OR($D424&lt;&gt;"Serviço",AND(AUTOEVENTO="Manual",$M424=$A$15),$M424&gt;(ROW(PLE.lastrow)-ROW(PLE.firstrow))),0,
           IF(OFFSET(PLE!$G$15,$M424-$A$15,CH$13)="",10^12,OFFSET(PLE!$G$15,$M424-$A$15,CH$13)))</f>
        <v>1000000000000</v>
      </c>
      <c r="CI424" s="172">
        <f ca="1">IF(OR($D424&lt;&gt;"Serviço",AND(AUTOEVENTO="Manual",$M424=$A$15),$M424&gt;(ROW(PLE.lastrow)-ROW(PLE.firstrow))),0,
           IF(OFFSET(PLE!$G$15,$M424-$A$15,CI$13)="",10^12,OFFSET(PLE!$G$15,$M424-$A$15,CI$13)))</f>
        <v>1000000000000</v>
      </c>
      <c r="CJ424" s="172">
        <f ca="1">IF(OR($D424&lt;&gt;"Serviço",AND(AUTOEVENTO="Manual",$M424=$A$15),$M424&gt;(ROW(PLE.lastrow)-ROW(PLE.firstrow))),0,
           IF(OFFSET(PLE!$G$15,$M424-$A$15,CJ$13)="",10^12,OFFSET(PLE!$G$15,$M424-$A$15,CJ$13)))</f>
        <v>1000000000000</v>
      </c>
      <c r="CK424" s="172">
        <f ca="1">IF(OR($D424&lt;&gt;"Serviço",AND(AUTOEVENTO="Manual",$M424=$A$15),$M424&gt;(ROW(PLE.lastrow)-ROW(PLE.firstrow))),0,
           IF(OFFSET(PLE!$G$15,$M424-$A$15,CK$13)="",10^12,OFFSET(PLE!$G$15,$M424-$A$15,CK$13)))</f>
        <v>1000000000000</v>
      </c>
      <c r="CL424" s="172">
        <f ca="1">IF(OR($D424&lt;&gt;"Serviço",AND(AUTOEVENTO="Manual",$M424=$A$15),$M424&gt;(ROW(PLE.lastrow)-ROW(PLE.firstrow))),0,
           IF(OFFSET(PLE!$G$15,$M424-$A$15,CL$13)="",10^12,OFFSET(PLE!$G$15,$M424-$A$15,CL$13)))</f>
        <v>1000000000000</v>
      </c>
      <c r="CM424" s="172">
        <f ca="1">IF(OR($D424&lt;&gt;"Serviço",AND(AUTOEVENTO="Manual",$M424=$A$15),$M424&gt;(ROW(PLE.lastrow)-ROW(PLE.firstrow))),0,
           IF(OFFSET(PLE!$G$15,$M424-$A$15,CM$13)="",10^12,OFFSET(PLE!$G$15,$M424-$A$15,CM$13)))</f>
        <v>1000000000000</v>
      </c>
    </row>
    <row r="425" spans="1:91" ht="38.25" x14ac:dyDescent="0.2">
      <c r="A425" s="7">
        <f t="shared" ca="1" si="16"/>
        <v>7</v>
      </c>
      <c r="B425" s="7" t="str">
        <f ca="1">OFFSET(ORÇAMENTO!C$15,ROW(B425)-ROW(B$15),0)</f>
        <v>S</v>
      </c>
      <c r="C425" s="7" t="str">
        <f ca="1">OFFSET(ORÇAMENTO!L$15,ROW(C425)-ROW(C$15),0)</f>
        <v>F</v>
      </c>
      <c r="D425" s="116" t="str">
        <f ca="1">OFFSET(ORÇAMENTO!N$15,ROW(D425)-ROW(D$15),0)</f>
        <v>Serviço</v>
      </c>
      <c r="E425" s="117" t="str">
        <f ca="1">OFFSET(ORÇAMENTO!O$15,ROW(E425)-ROW(E$15),0)</f>
        <v>1.8.2.4.15.</v>
      </c>
      <c r="F425" s="163" t="str">
        <f ca="1">OFFSET(ORÇAMENTO!R$15,ROW(F425)-ROW(F$15),0)</f>
        <v>RELÉ PROTETOR DE FALTA DE FASE 24V. REF.: WEG , FORNECIMENTO E INSTALAÇÃO - BASEADO EM SBC (064568)</v>
      </c>
      <c r="G425" s="164" t="str">
        <f ca="1">IF($D425&lt;&gt;"Serviço","",OFFSET(ORÇAMENTO!S$15,ROW(G425)-ROW(G$15),0))</f>
        <v>UN</v>
      </c>
      <c r="H425" s="122" cm="1">
        <f t="array" aca="1" ref="H425" ca="1">IF($D425&lt;&gt;"Serviço",0,IF(ACOMPANHAMENTO="BM",ROUND(OFFSET(ORÇAMENTO!AJ$15,ROW(H425)-ROW(H$15),0),15-13*ORÇAMENTO!$AF$7),SUMPRODUCT(($Q$1:$AI$1=1)*ROUND($Q425:$AI425,15-13*ORÇAMENTO!$AF$7))))</f>
        <v>1</v>
      </c>
      <c r="I425" s="468" t="s">
        <v>1431</v>
      </c>
      <c r="J425" s="640" t="str" cm="1">
        <f t="array" aca="1" ref="J425" ca="1">IF(OR(B425&lt;&gt;"S",CÁLCULO.FrentesPreenchidas=0),"",IF(AND(ACOMPANHAMENTO="PLE",AUTOEVENTO="Manual",OR(H425&gt;0,ORÇAMENTO!AC425="QUANT."),OR(K425="",M425=0,N425="")),"►E",IF(AND(ACOMPANHAMENTO="PLE",ORÇAMENTO!AC425="QUANT."),"►Q",IF(AND(ACOMPANHAMENTO="PLE",H425&lt;&gt;SUMPRODUCT(($Q$1:$AI$1=1)*ROUND(Q425:AI425,15))),"►S",IF(AND(COUNTIF($P$11:$AI$11,"▼")=0,H425&gt;0,I425=""),"◄M","")))))</f>
        <v/>
      </c>
      <c r="K425" s="641" t="s">
        <v>1391</v>
      </c>
      <c r="L425" s="165" t="s">
        <v>764</v>
      </c>
      <c r="M425" s="166">
        <f ca="1">IF($D425&lt;&gt;"Serviço","",
          IF(AUTOEVENTO="manual",$A425,
                IF(ISERROR(MATCH($A425,$A$15:OFFSET($A425,-1,0),0)),MAX($M$15:OFFSET(M425,-1,0))+1,
                      INDEX($M$15:OFFSET(M425,-1,0),MATCH($A425,$A$15:OFFSET($A425,-1,0),0)))))</f>
        <v>7</v>
      </c>
      <c r="N425" s="167" t="str">
        <f ca="1">IF($D425&lt;&gt;"Serviço","",
         IF(AUTOEVENTO="Manual",
                IF($A425=0,"&lt;-- defina o número do agrupador",
                       OFFSET(EVENTOS!$D$15,$A425-$A$15,0)),
                OFFSET($F$15,$A425,0)))</f>
        <v>Instalações Elétricas</v>
      </c>
      <c r="O425" s="168"/>
      <c r="Q425" s="168"/>
      <c r="R425" s="169"/>
      <c r="S425" s="169"/>
      <c r="T425" s="169"/>
      <c r="U425" s="169"/>
      <c r="V425" s="169"/>
      <c r="W425" s="169"/>
      <c r="X425" s="169">
        <v>1</v>
      </c>
      <c r="Y425" s="169"/>
      <c r="Z425" s="170"/>
      <c r="AA425" s="169"/>
      <c r="AB425" s="169"/>
      <c r="AC425" s="169"/>
      <c r="AD425" s="169"/>
      <c r="AE425" s="169"/>
      <c r="AF425" s="169"/>
      <c r="AG425" s="169"/>
      <c r="AH425" s="170"/>
      <c r="AJ425" s="453">
        <f ca="1">IF(AND($D425="Serviço",AJ$12&lt;&gt;0,$H425&gt;0,OR(AUTOEVENTO&lt;&gt;"manual",$M425&lt;&gt;$A$15)),
        IF(Import.TipoArredondamento&lt;&gt;"TransfereGOV",
              ROUND(OFFSET($P425,0,AJ$13),15-13*ORÇAMENTO!$AF$7)/$H425*OFFSET(ORÇAMENTO!$X$15,ROW(AJ425)-ROW(AJ$15),0),
              ROUND(ROUND(OFFSET($P425,0,AJ$13),15-13*ORÇAMENTO!$AF$7)*OFFSET(ORÇAMENTO!$W$15,ROW(AJ425)-ROW(AJ$15),0),15-13*ORÇAMENTO!$AF$11)),
         0)</f>
        <v>0</v>
      </c>
      <c r="AK425" s="453">
        <f ca="1">IF(AND($D425="Serviço",AK$12&lt;&gt;0,$H425&gt;0,OR(AUTOEVENTO&lt;&gt;"manual",$M425&lt;&gt;$A$15)),
        IF(Import.TipoArredondamento&lt;&gt;"TransfereGOV",
              ROUND(OFFSET($P425,0,AK$13),15-13*ORÇAMENTO!$AF$7)/$H425*OFFSET(ORÇAMENTO!$X$15,ROW(AK425)-ROW(AK$15),0),
              ROUND(ROUND(OFFSET($P425,0,AK$13),15-13*ORÇAMENTO!$AF$7)*OFFSET(ORÇAMENTO!$W$15,ROW(AK425)-ROW(AK$15),0),15-13*ORÇAMENTO!$AF$11)),
         0)</f>
        <v>0</v>
      </c>
      <c r="AL425" s="453">
        <f ca="1">IF(AND($D425="Serviço",AL$12&lt;&gt;0,$H425&gt;0,OR(AUTOEVENTO&lt;&gt;"manual",$M425&lt;&gt;$A$15)),
        IF(Import.TipoArredondamento&lt;&gt;"TransfereGOV",
              ROUND(OFFSET($P425,0,AL$13),15-13*ORÇAMENTO!$AF$7)/$H425*OFFSET(ORÇAMENTO!$X$15,ROW(AL425)-ROW(AL$15),0),
              ROUND(ROUND(OFFSET($P425,0,AL$13),15-13*ORÇAMENTO!$AF$7)*OFFSET(ORÇAMENTO!$W$15,ROW(AL425)-ROW(AL$15),0),15-13*ORÇAMENTO!$AF$11)),
         0)</f>
        <v>0</v>
      </c>
      <c r="AM425" s="453">
        <f ca="1">IF(AND($D425="Serviço",AM$12&lt;&gt;0,$H425&gt;0,OR(AUTOEVENTO&lt;&gt;"manual",$M425&lt;&gt;$A$15)),
        IF(Import.TipoArredondamento&lt;&gt;"TransfereGOV",
              ROUND(OFFSET($P425,0,AM$13),15-13*ORÇAMENTO!$AF$7)/$H425*OFFSET(ORÇAMENTO!$X$15,ROW(AM425)-ROW(AM$15),0),
              ROUND(ROUND(OFFSET($P425,0,AM$13),15-13*ORÇAMENTO!$AF$7)*OFFSET(ORÇAMENTO!$W$15,ROW(AM425)-ROW(AM$15),0),15-13*ORÇAMENTO!$AF$11)),
         0)</f>
        <v>0</v>
      </c>
      <c r="AN425" s="453">
        <f ca="1">IF(AND($D425="Serviço",AN$12&lt;&gt;0,$H425&gt;0,OR(AUTOEVENTO&lt;&gt;"manual",$M425&lt;&gt;$A$15)),
        IF(Import.TipoArredondamento&lt;&gt;"TransfereGOV",
              ROUND(OFFSET($P425,0,AN$13),15-13*ORÇAMENTO!$AF$7)/$H425*OFFSET(ORÇAMENTO!$X$15,ROW(AN425)-ROW(AN$15),0),
              ROUND(ROUND(OFFSET($P425,0,AN$13),15-13*ORÇAMENTO!$AF$7)*OFFSET(ORÇAMENTO!$W$15,ROW(AN425)-ROW(AN$15),0),15-13*ORÇAMENTO!$AF$11)),
         0)</f>
        <v>0</v>
      </c>
      <c r="AO425" s="453">
        <f ca="1">IF(AND($D425="Serviço",AO$12&lt;&gt;0,$H425&gt;0,OR(AUTOEVENTO&lt;&gt;"manual",$M425&lt;&gt;$A$15)),
        IF(Import.TipoArredondamento&lt;&gt;"TransfereGOV",
              ROUND(OFFSET($P425,0,AO$13),15-13*ORÇAMENTO!$AF$7)/$H425*OFFSET(ORÇAMENTO!$X$15,ROW(AO425)-ROW(AO$15),0),
              ROUND(ROUND(OFFSET($P425,0,AO$13),15-13*ORÇAMENTO!$AF$7)*OFFSET(ORÇAMENTO!$W$15,ROW(AO425)-ROW(AO$15),0),15-13*ORÇAMENTO!$AF$11)),
         0)</f>
        <v>0</v>
      </c>
      <c r="AP425" s="453">
        <f ca="1">IF(AND($D425="Serviço",AP$12&lt;&gt;0,$H425&gt;0,OR(AUTOEVENTO&lt;&gt;"manual",$M425&lt;&gt;$A$15)),
        IF(Import.TipoArredondamento&lt;&gt;"TransfereGOV",
              ROUND(OFFSET($P425,0,AP$13),15-13*ORÇAMENTO!$AF$7)/$H425*OFFSET(ORÇAMENTO!$X$15,ROW(AP425)-ROW(AP$15),0),
              ROUND(ROUND(OFFSET($P425,0,AP$13),15-13*ORÇAMENTO!$AF$7)*OFFSET(ORÇAMENTO!$W$15,ROW(AP425)-ROW(AP$15),0),15-13*ORÇAMENTO!$AF$11)),
         0)</f>
        <v>0</v>
      </c>
      <c r="AQ425" s="453">
        <f ca="1">IF(AND($D425="Serviço",AQ$12&lt;&gt;0,$H425&gt;0,OR(AUTOEVENTO&lt;&gt;"manual",$M425&lt;&gt;$A$15)),
        IF(Import.TipoArredondamento&lt;&gt;"TransfereGOV",
              ROUND(OFFSET($P425,0,AQ$13),15-13*ORÇAMENTO!$AF$7)/$H425*OFFSET(ORÇAMENTO!$X$15,ROW(AQ425)-ROW(AQ$15),0),
              ROUND(ROUND(OFFSET($P425,0,AQ$13),15-13*ORÇAMENTO!$AF$7)*OFFSET(ORÇAMENTO!$W$15,ROW(AQ425)-ROW(AQ$15),0),15-13*ORÇAMENTO!$AF$11)),
         0)</f>
        <v>0</v>
      </c>
      <c r="AR425" s="453">
        <f ca="1">IF(AND($D425="Serviço",AR$12&lt;&gt;0,$H425&gt;0,OR(AUTOEVENTO&lt;&gt;"manual",$M425&lt;&gt;$A$15)),
        IF(Import.TipoArredondamento&lt;&gt;"TransfereGOV",
              ROUND(OFFSET($P425,0,AR$13),15-13*ORÇAMENTO!$AF$7)/$H425*OFFSET(ORÇAMENTO!$X$15,ROW(AR425)-ROW(AR$15),0),
              ROUND(ROUND(OFFSET($P425,0,AR$13),15-13*ORÇAMENTO!$AF$7)*OFFSET(ORÇAMENTO!$W$15,ROW(AR425)-ROW(AR$15),0),15-13*ORÇAMENTO!$AF$11)),
         0)</f>
        <v>0</v>
      </c>
      <c r="AS425" s="453">
        <f ca="1">IF(AND($D425="Serviço",AS$12&lt;&gt;0,$H425&gt;0,OR(AUTOEVENTO&lt;&gt;"manual",$M425&lt;&gt;$A$15)),
        IF(Import.TipoArredondamento&lt;&gt;"TransfereGOV",
              ROUND(OFFSET($P425,0,AS$13),15-13*ORÇAMENTO!$AF$7)/$H425*OFFSET(ORÇAMENTO!$X$15,ROW(AS425)-ROW(AS$15),0),
              ROUND(ROUND(OFFSET($P425,0,AS$13),15-13*ORÇAMENTO!$AF$7)*OFFSET(ORÇAMENTO!$W$15,ROW(AS425)-ROW(AS$15),0),15-13*ORÇAMENTO!$AF$11)),
         0)</f>
        <v>0</v>
      </c>
      <c r="AT425" s="453">
        <f ca="1">IF(AND($D425="Serviço",AT$12&lt;&gt;0,$H425&gt;0,OR(AUTOEVENTO&lt;&gt;"manual",$M425&lt;&gt;$A$15)),
        IF(Import.TipoArredondamento&lt;&gt;"TransfereGOV",
              ROUND(OFFSET($P425,0,AT$13),15-13*ORÇAMENTO!$AF$7)/$H425*OFFSET(ORÇAMENTO!$X$15,ROW(AT425)-ROW(AT$15),0),
              ROUND(ROUND(OFFSET($P425,0,AT$13),15-13*ORÇAMENTO!$AF$7)*OFFSET(ORÇAMENTO!$W$15,ROW(AT425)-ROW(AT$15),0),15-13*ORÇAMENTO!$AF$11)),
         0)</f>
        <v>0</v>
      </c>
      <c r="AU425" s="453">
        <f ca="1">IF(AND($D425="Serviço",AU$12&lt;&gt;0,$H425&gt;0,OR(AUTOEVENTO&lt;&gt;"manual",$M425&lt;&gt;$A$15)),
        IF(Import.TipoArredondamento&lt;&gt;"TransfereGOV",
              ROUND(OFFSET($P425,0,AU$13),15-13*ORÇAMENTO!$AF$7)/$H425*OFFSET(ORÇAMENTO!$X$15,ROW(AU425)-ROW(AU$15),0),
              ROUND(ROUND(OFFSET($P425,0,AU$13),15-13*ORÇAMENTO!$AF$7)*OFFSET(ORÇAMENTO!$W$15,ROW(AU425)-ROW(AU$15),0),15-13*ORÇAMENTO!$AF$11)),
         0)</f>
        <v>0</v>
      </c>
      <c r="AV425" s="453">
        <f ca="1">IF(AND($D425="Serviço",AV$12&lt;&gt;0,$H425&gt;0,OR(AUTOEVENTO&lt;&gt;"manual",$M425&lt;&gt;$A$15)),
        IF(Import.TipoArredondamento&lt;&gt;"TransfereGOV",
              ROUND(OFFSET($P425,0,AV$13),15-13*ORÇAMENTO!$AF$7)/$H425*OFFSET(ORÇAMENTO!$X$15,ROW(AV425)-ROW(AV$15),0),
              ROUND(ROUND(OFFSET($P425,0,AV$13),15-13*ORÇAMENTO!$AF$7)*OFFSET(ORÇAMENTO!$W$15,ROW(AV425)-ROW(AV$15),0),15-13*ORÇAMENTO!$AF$11)),
         0)</f>
        <v>0</v>
      </c>
      <c r="AW425" s="453">
        <f ca="1">IF(AND($D425="Serviço",AW$12&lt;&gt;0,$H425&gt;0,OR(AUTOEVENTO&lt;&gt;"manual",$M425&lt;&gt;$A$15)),
        IF(Import.TipoArredondamento&lt;&gt;"TransfereGOV",
              ROUND(OFFSET($P425,0,AW$13),15-13*ORÇAMENTO!$AF$7)/$H425*OFFSET(ORÇAMENTO!$X$15,ROW(AW425)-ROW(AW$15),0),
              ROUND(ROUND(OFFSET($P425,0,AW$13),15-13*ORÇAMENTO!$AF$7)*OFFSET(ORÇAMENTO!$W$15,ROW(AW425)-ROW(AW$15),0),15-13*ORÇAMENTO!$AF$11)),
         0)</f>
        <v>0</v>
      </c>
      <c r="AX425" s="453">
        <f ca="1">IF(AND($D425="Serviço",AX$12&lt;&gt;0,$H425&gt;0,OR(AUTOEVENTO&lt;&gt;"manual",$M425&lt;&gt;$A$15)),
        IF(Import.TipoArredondamento&lt;&gt;"TransfereGOV",
              ROUND(OFFSET($P425,0,AX$13),15-13*ORÇAMENTO!$AF$7)/$H425*OFFSET(ORÇAMENTO!$X$15,ROW(AX425)-ROW(AX$15),0),
              ROUND(ROUND(OFFSET($P425,0,AX$13),15-13*ORÇAMENTO!$AF$7)*OFFSET(ORÇAMENTO!$W$15,ROW(AX425)-ROW(AX$15),0),15-13*ORÇAMENTO!$AF$11)),
         0)</f>
        <v>0</v>
      </c>
      <c r="AY425" s="453">
        <f ca="1">IF(AND($D425="Serviço",AY$12&lt;&gt;0,$H425&gt;0,OR(AUTOEVENTO&lt;&gt;"manual",$M425&lt;&gt;$A$15)),
        IF(Import.TipoArredondamento&lt;&gt;"TransfereGOV",
              ROUND(OFFSET($P425,0,AY$13),15-13*ORÇAMENTO!$AF$7)/$H425*OFFSET(ORÇAMENTO!$X$15,ROW(AY425)-ROW(AY$15),0),
              ROUND(ROUND(OFFSET($P425,0,AY$13),15-13*ORÇAMENTO!$AF$7)*OFFSET(ORÇAMENTO!$W$15,ROW(AY425)-ROW(AY$15),0),15-13*ORÇAMENTO!$AF$11)),
         0)</f>
        <v>0</v>
      </c>
      <c r="AZ425" s="453">
        <f ca="1">IF(AND($D425="Serviço",AZ$12&lt;&gt;0,$H425&gt;0,OR(AUTOEVENTO&lt;&gt;"manual",$M425&lt;&gt;$A$15)),
        IF(Import.TipoArredondamento&lt;&gt;"TransfereGOV",
              ROUND(OFFSET($P425,0,AZ$13),15-13*ORÇAMENTO!$AF$7)/$H425*OFFSET(ORÇAMENTO!$X$15,ROW(AZ425)-ROW(AZ$15),0),
              ROUND(ROUND(OFFSET($P425,0,AZ$13),15-13*ORÇAMENTO!$AF$7)*OFFSET(ORÇAMENTO!$W$15,ROW(AZ425)-ROW(AZ$15),0),15-13*ORÇAMENTO!$AF$11)),
         0)</f>
        <v>0</v>
      </c>
      <c r="BA425" s="453">
        <f ca="1">IF(AND($D425="Serviço",BA$12&lt;&gt;0,$H425&gt;0,OR(AUTOEVENTO&lt;&gt;"manual",$M425&lt;&gt;$A$15)),
        IF(Import.TipoArredondamento&lt;&gt;"TransfereGOV",
              ROUND(OFFSET($P425,0,BA$13),15-13*ORÇAMENTO!$AF$7)/$H425*OFFSET(ORÇAMENTO!$X$15,ROW(BA425)-ROW(BA$15),0),
              ROUND(ROUND(OFFSET($P425,0,BA$13),15-13*ORÇAMENTO!$AF$7)*OFFSET(ORÇAMENTO!$W$15,ROW(BA425)-ROW(BA$15),0),15-13*ORÇAMENTO!$AF$11)),
         0)</f>
        <v>0</v>
      </c>
      <c r="BC425" s="171">
        <f ca="1">IF(OR($D425&lt;&gt;"Serviço",AND(AUTOEVENTO="Manual",$M425=$A$15)),0,
         IF(OFFSET(CRONOPLE!$F$15,$M425-$A$15,BC$13)=0,10^12,OFFSET(CRONOPLE!$F$15,$M425-$A$15,BC$13)))</f>
        <v>1</v>
      </c>
      <c r="BD425" s="171">
        <f ca="1">IF(OR($D425&lt;&gt;"Serviço",AND(AUTOEVENTO="Manual",$M425=$A$15)),0,
         IF(OFFSET(CRONOPLE!$F$15,$M425-$A$15,BD$13)=0,10^12,OFFSET(CRONOPLE!$F$15,$M425-$A$15,BD$13)))</f>
        <v>2</v>
      </c>
      <c r="BE425" s="171">
        <f ca="1">IF(OR($D425&lt;&gt;"Serviço",AND(AUTOEVENTO="Manual",$M425=$A$15)),0,
         IF(OFFSET(CRONOPLE!$F$15,$M425-$A$15,BE$13)=0,10^12,OFFSET(CRONOPLE!$F$15,$M425-$A$15,BE$13)))</f>
        <v>3</v>
      </c>
      <c r="BF425" s="171">
        <f ca="1">IF(OR($D425&lt;&gt;"Serviço",AND(AUTOEVENTO="Manual",$M425=$A$15)),0,
         IF(OFFSET(CRONOPLE!$F$15,$M425-$A$15,BF$13)=0,10^12,OFFSET(CRONOPLE!$F$15,$M425-$A$15,BF$13)))</f>
        <v>4</v>
      </c>
      <c r="BG425" s="171">
        <f ca="1">IF(OR($D425&lt;&gt;"Serviço",AND(AUTOEVENTO="Manual",$M425=$A$15)),0,
         IF(OFFSET(CRONOPLE!$F$15,$M425-$A$15,BG$13)=0,10^12,OFFSET(CRONOPLE!$F$15,$M425-$A$15,BG$13)))</f>
        <v>5</v>
      </c>
      <c r="BH425" s="171">
        <f ca="1">IF(OR($D425&lt;&gt;"Serviço",AND(AUTOEVENTO="Manual",$M425=$A$15)),0,
         IF(OFFSET(CRONOPLE!$F$15,$M425-$A$15,BH$13)=0,10^12,OFFSET(CRONOPLE!$F$15,$M425-$A$15,BH$13)))</f>
        <v>6</v>
      </c>
      <c r="BI425" s="171">
        <f ca="1">IF(OR($D425&lt;&gt;"Serviço",AND(AUTOEVENTO="Manual",$M425=$A$15)),0,
         IF(OFFSET(CRONOPLE!$F$15,$M425-$A$15,BI$13)=0,10^12,OFFSET(CRONOPLE!$F$15,$M425-$A$15,BI$13)))</f>
        <v>7</v>
      </c>
      <c r="BJ425" s="171">
        <f ca="1">IF(OR($D425&lt;&gt;"Serviço",AND(AUTOEVENTO="Manual",$M425=$A$15)),0,
         IF(OFFSET(CRONOPLE!$F$15,$M425-$A$15,BJ$13)=0,10^12,OFFSET(CRONOPLE!$F$15,$M425-$A$15,BJ$13)))</f>
        <v>8</v>
      </c>
      <c r="BK425" s="171">
        <f ca="1">IF(OR($D425&lt;&gt;"Serviço",AND(AUTOEVENTO="Manual",$M425=$A$15)),0,
         IF(OFFSET(CRONOPLE!$F$15,$M425-$A$15,BK$13)=0,10^12,OFFSET(CRONOPLE!$F$15,$M425-$A$15,BK$13)))</f>
        <v>9</v>
      </c>
      <c r="BL425" s="171">
        <f ca="1">IF(OR($D425&lt;&gt;"Serviço",AND(AUTOEVENTO="Manual",$M425=$A$15)),0,
         IF(OFFSET(CRONOPLE!$F$15,$M425-$A$15,BL$13)=0,10^12,OFFSET(CRONOPLE!$F$15,$M425-$A$15,BL$13)))</f>
        <v>1000000000000</v>
      </c>
      <c r="BM425" s="171">
        <f ca="1">IF(OR($D425&lt;&gt;"Serviço",AND(AUTOEVENTO="Manual",$M425=$A$15)),0,
         IF(OFFSET(CRONOPLE!$F$15,$M425-$A$15,BM$13)=0,10^12,OFFSET(CRONOPLE!$F$15,$M425-$A$15,BM$13)))</f>
        <v>1000000000000</v>
      </c>
      <c r="BN425" s="171">
        <f ca="1">IF(OR($D425&lt;&gt;"Serviço",AND(AUTOEVENTO="Manual",$M425=$A$15)),0,
         IF(OFFSET(CRONOPLE!$F$15,$M425-$A$15,BN$13)=0,10^12,OFFSET(CRONOPLE!$F$15,$M425-$A$15,BN$13)))</f>
        <v>1000000000000</v>
      </c>
      <c r="BO425" s="171">
        <f ca="1">IF(OR($D425&lt;&gt;"Serviço",AND(AUTOEVENTO="Manual",$M425=$A$15)),0,
         IF(OFFSET(CRONOPLE!$F$15,$M425-$A$15,BO$13)=0,10^12,OFFSET(CRONOPLE!$F$15,$M425-$A$15,BO$13)))</f>
        <v>1000000000000</v>
      </c>
      <c r="BP425" s="171">
        <f ca="1">IF(OR($D425&lt;&gt;"Serviço",AND(AUTOEVENTO="Manual",$M425=$A$15)),0,
         IF(OFFSET(CRONOPLE!$F$15,$M425-$A$15,BP$13)=0,10^12,OFFSET(CRONOPLE!$F$15,$M425-$A$15,BP$13)))</f>
        <v>1000000000000</v>
      </c>
      <c r="BQ425" s="171">
        <f ca="1">IF(OR($D425&lt;&gt;"Serviço",AND(AUTOEVENTO="Manual",$M425=$A$15)),0,
         IF(OFFSET(CRONOPLE!$F$15,$M425-$A$15,BQ$13)=0,10^12,OFFSET(CRONOPLE!$F$15,$M425-$A$15,BQ$13)))</f>
        <v>1000000000000</v>
      </c>
      <c r="BR425" s="171">
        <f ca="1">IF(OR($D425&lt;&gt;"Serviço",AND(AUTOEVENTO="Manual",$M425=$A$15)),0,
         IF(OFFSET(CRONOPLE!$F$15,$M425-$A$15,BR$13)=0,10^12,OFFSET(CRONOPLE!$F$15,$M425-$A$15,BR$13)))</f>
        <v>1000000000000</v>
      </c>
      <c r="BS425" s="171">
        <f ca="1">IF(OR($D425&lt;&gt;"Serviço",AND(AUTOEVENTO="Manual",$M425=$A$15)),0,
         IF(OFFSET(CRONOPLE!$F$15,$M425-$A$15,BS$13)=0,10^12,OFFSET(CRONOPLE!$F$15,$M425-$A$15,BS$13)))</f>
        <v>1000000000000</v>
      </c>
      <c r="BT425" s="171">
        <f ca="1">IF(OR($D425&lt;&gt;"Serviço",AND(AUTOEVENTO="Manual",$M425=$A$15)),0,
         IF(OFFSET(CRONOPLE!$F$15,$M425-$A$15,BT$13)=0,10^12,OFFSET(CRONOPLE!$F$15,$M425-$A$15,BT$13)))</f>
        <v>1000000000000</v>
      </c>
      <c r="BV425" s="172">
        <f ca="1">IF(OR($D425&lt;&gt;"Serviço",AND(AUTOEVENTO="Manual",$M425=$A$15),$M425&gt;(ROW(PLE.lastrow)-ROW(PLE.firstrow))),0,
           IF(OFFSET(PLE!$G$15,$M425-$A$15,BV$13)="",10^12,OFFSET(PLE!$G$15,$M425-$A$15,BV$13)))</f>
        <v>1000000000000</v>
      </c>
      <c r="BW425" s="172">
        <f ca="1">IF(OR($D425&lt;&gt;"Serviço",AND(AUTOEVENTO="Manual",$M425=$A$15),$M425&gt;(ROW(PLE.lastrow)-ROW(PLE.firstrow))),0,
           IF(OFFSET(PLE!$G$15,$M425-$A$15,BW$13)="",10^12,OFFSET(PLE!$G$15,$M425-$A$15,BW$13)))</f>
        <v>1000000000000</v>
      </c>
      <c r="BX425" s="172">
        <f ca="1">IF(OR($D425&lt;&gt;"Serviço",AND(AUTOEVENTO="Manual",$M425=$A$15),$M425&gt;(ROW(PLE.lastrow)-ROW(PLE.firstrow))),0,
           IF(OFFSET(PLE!$G$15,$M425-$A$15,BX$13)="",10^12,OFFSET(PLE!$G$15,$M425-$A$15,BX$13)))</f>
        <v>1000000000000</v>
      </c>
      <c r="BY425" s="172">
        <f ca="1">IF(OR($D425&lt;&gt;"Serviço",AND(AUTOEVENTO="Manual",$M425=$A$15),$M425&gt;(ROW(PLE.lastrow)-ROW(PLE.firstrow))),0,
           IF(OFFSET(PLE!$G$15,$M425-$A$15,BY$13)="",10^12,OFFSET(PLE!$G$15,$M425-$A$15,BY$13)))</f>
        <v>1000000000000</v>
      </c>
      <c r="BZ425" s="172">
        <f ca="1">IF(OR($D425&lt;&gt;"Serviço",AND(AUTOEVENTO="Manual",$M425=$A$15),$M425&gt;(ROW(PLE.lastrow)-ROW(PLE.firstrow))),0,
           IF(OFFSET(PLE!$G$15,$M425-$A$15,BZ$13)="",10^12,OFFSET(PLE!$G$15,$M425-$A$15,BZ$13)))</f>
        <v>1000000000000</v>
      </c>
      <c r="CA425" s="172">
        <f ca="1">IF(OR($D425&lt;&gt;"Serviço",AND(AUTOEVENTO="Manual",$M425=$A$15),$M425&gt;(ROW(PLE.lastrow)-ROW(PLE.firstrow))),0,
           IF(OFFSET(PLE!$G$15,$M425-$A$15,CA$13)="",10^12,OFFSET(PLE!$G$15,$M425-$A$15,CA$13)))</f>
        <v>1000000000000</v>
      </c>
      <c r="CB425" s="172">
        <f ca="1">IF(OR($D425&lt;&gt;"Serviço",AND(AUTOEVENTO="Manual",$M425=$A$15),$M425&gt;(ROW(PLE.lastrow)-ROW(PLE.firstrow))),0,
           IF(OFFSET(PLE!$G$15,$M425-$A$15,CB$13)="",10^12,OFFSET(PLE!$G$15,$M425-$A$15,CB$13)))</f>
        <v>1000000000000</v>
      </c>
      <c r="CC425" s="172">
        <f ca="1">IF(OR($D425&lt;&gt;"Serviço",AND(AUTOEVENTO="Manual",$M425=$A$15),$M425&gt;(ROW(PLE.lastrow)-ROW(PLE.firstrow))),0,
           IF(OFFSET(PLE!$G$15,$M425-$A$15,CC$13)="",10^12,OFFSET(PLE!$G$15,$M425-$A$15,CC$13)))</f>
        <v>1000000000000</v>
      </c>
      <c r="CD425" s="172">
        <f ca="1">IF(OR($D425&lt;&gt;"Serviço",AND(AUTOEVENTO="Manual",$M425=$A$15),$M425&gt;(ROW(PLE.lastrow)-ROW(PLE.firstrow))),0,
           IF(OFFSET(PLE!$G$15,$M425-$A$15,CD$13)="",10^12,OFFSET(PLE!$G$15,$M425-$A$15,CD$13)))</f>
        <v>1000000000000</v>
      </c>
      <c r="CE425" s="172">
        <f ca="1">IF(OR($D425&lt;&gt;"Serviço",AND(AUTOEVENTO="Manual",$M425=$A$15),$M425&gt;(ROW(PLE.lastrow)-ROW(PLE.firstrow))),0,
           IF(OFFSET(PLE!$G$15,$M425-$A$15,CE$13)="",10^12,OFFSET(PLE!$G$15,$M425-$A$15,CE$13)))</f>
        <v>1000000000000</v>
      </c>
      <c r="CF425" s="172">
        <f ca="1">IF(OR($D425&lt;&gt;"Serviço",AND(AUTOEVENTO="Manual",$M425=$A$15),$M425&gt;(ROW(PLE.lastrow)-ROW(PLE.firstrow))),0,
           IF(OFFSET(PLE!$G$15,$M425-$A$15,CF$13)="",10^12,OFFSET(PLE!$G$15,$M425-$A$15,CF$13)))</f>
        <v>1000000000000</v>
      </c>
      <c r="CG425" s="172">
        <f ca="1">IF(OR($D425&lt;&gt;"Serviço",AND(AUTOEVENTO="Manual",$M425=$A$15),$M425&gt;(ROW(PLE.lastrow)-ROW(PLE.firstrow))),0,
           IF(OFFSET(PLE!$G$15,$M425-$A$15,CG$13)="",10^12,OFFSET(PLE!$G$15,$M425-$A$15,CG$13)))</f>
        <v>1000000000000</v>
      </c>
      <c r="CH425" s="172">
        <f ca="1">IF(OR($D425&lt;&gt;"Serviço",AND(AUTOEVENTO="Manual",$M425=$A$15),$M425&gt;(ROW(PLE.lastrow)-ROW(PLE.firstrow))),0,
           IF(OFFSET(PLE!$G$15,$M425-$A$15,CH$13)="",10^12,OFFSET(PLE!$G$15,$M425-$A$15,CH$13)))</f>
        <v>1000000000000</v>
      </c>
      <c r="CI425" s="172">
        <f ca="1">IF(OR($D425&lt;&gt;"Serviço",AND(AUTOEVENTO="Manual",$M425=$A$15),$M425&gt;(ROW(PLE.lastrow)-ROW(PLE.firstrow))),0,
           IF(OFFSET(PLE!$G$15,$M425-$A$15,CI$13)="",10^12,OFFSET(PLE!$G$15,$M425-$A$15,CI$13)))</f>
        <v>1000000000000</v>
      </c>
      <c r="CJ425" s="172">
        <f ca="1">IF(OR($D425&lt;&gt;"Serviço",AND(AUTOEVENTO="Manual",$M425=$A$15),$M425&gt;(ROW(PLE.lastrow)-ROW(PLE.firstrow))),0,
           IF(OFFSET(PLE!$G$15,$M425-$A$15,CJ$13)="",10^12,OFFSET(PLE!$G$15,$M425-$A$15,CJ$13)))</f>
        <v>1000000000000</v>
      </c>
      <c r="CK425" s="172">
        <f ca="1">IF(OR($D425&lt;&gt;"Serviço",AND(AUTOEVENTO="Manual",$M425=$A$15),$M425&gt;(ROW(PLE.lastrow)-ROW(PLE.firstrow))),0,
           IF(OFFSET(PLE!$G$15,$M425-$A$15,CK$13)="",10^12,OFFSET(PLE!$G$15,$M425-$A$15,CK$13)))</f>
        <v>1000000000000</v>
      </c>
      <c r="CL425" s="172">
        <f ca="1">IF(OR($D425&lt;&gt;"Serviço",AND(AUTOEVENTO="Manual",$M425=$A$15),$M425&gt;(ROW(PLE.lastrow)-ROW(PLE.firstrow))),0,
           IF(OFFSET(PLE!$G$15,$M425-$A$15,CL$13)="",10^12,OFFSET(PLE!$G$15,$M425-$A$15,CL$13)))</f>
        <v>1000000000000</v>
      </c>
      <c r="CM425" s="172">
        <f ca="1">IF(OR($D425&lt;&gt;"Serviço",AND(AUTOEVENTO="Manual",$M425=$A$15),$M425&gt;(ROW(PLE.lastrow)-ROW(PLE.firstrow))),0,
           IF(OFFSET(PLE!$G$15,$M425-$A$15,CM$13)="",10^12,OFFSET(PLE!$G$15,$M425-$A$15,CM$13)))</f>
        <v>1000000000000</v>
      </c>
    </row>
    <row r="426" spans="1:91" ht="38.25" x14ac:dyDescent="0.2">
      <c r="A426" s="7">
        <f t="shared" ca="1" si="16"/>
        <v>7</v>
      </c>
      <c r="B426" s="7" t="str">
        <f ca="1">OFFSET(ORÇAMENTO!C$15,ROW(B426)-ROW(B$15),0)</f>
        <v>S</v>
      </c>
      <c r="C426" s="7" t="str">
        <f ca="1">OFFSET(ORÇAMENTO!L$15,ROW(C426)-ROW(C$15),0)</f>
        <v>F</v>
      </c>
      <c r="D426" s="116" t="str">
        <f ca="1">OFFSET(ORÇAMENTO!N$15,ROW(D426)-ROW(D$15),0)</f>
        <v>Serviço</v>
      </c>
      <c r="E426" s="117" t="str">
        <f ca="1">OFFSET(ORÇAMENTO!O$15,ROW(E426)-ROW(E$15),0)</f>
        <v>1.8.2.4.16.</v>
      </c>
      <c r="F426" s="163" t="str">
        <f ca="1">OFFSET(ORÇAMENTO!R$15,ROW(F426)-ROW(F$15),0)</f>
        <v>BOTÃO PULSADOR, FORNECIMENTO E INSTALAÇÃO - BASEADO EM  ORSE (3803)</v>
      </c>
      <c r="G426" s="164" t="str">
        <f ca="1">IF($D426&lt;&gt;"Serviço","",OFFSET(ORÇAMENTO!S$15,ROW(G426)-ROW(G$15),0))</f>
        <v>UN</v>
      </c>
      <c r="H426" s="122" cm="1">
        <f t="array" aca="1" ref="H426" ca="1">IF($D426&lt;&gt;"Serviço",0,IF(ACOMPANHAMENTO="BM",ROUND(OFFSET(ORÇAMENTO!AJ$15,ROW(H426)-ROW(H$15),0),15-13*ORÇAMENTO!$AF$7),SUMPRODUCT(($Q$1:$AI$1=1)*ROUND($Q426:$AI426,15-13*ORÇAMENTO!$AF$7))))</f>
        <v>4</v>
      </c>
      <c r="I426" s="468" t="s">
        <v>1431</v>
      </c>
      <c r="J426" s="640" t="str" cm="1">
        <f t="array" aca="1" ref="J426" ca="1">IF(OR(B426&lt;&gt;"S",CÁLCULO.FrentesPreenchidas=0),"",IF(AND(ACOMPANHAMENTO="PLE",AUTOEVENTO="Manual",OR(H426&gt;0,ORÇAMENTO!AC426="QUANT."),OR(K426="",M426=0,N426="")),"►E",IF(AND(ACOMPANHAMENTO="PLE",ORÇAMENTO!AC426="QUANT."),"►Q",IF(AND(ACOMPANHAMENTO="PLE",H426&lt;&gt;SUMPRODUCT(($Q$1:$AI$1=1)*ROUND(Q426:AI426,15))),"►S",IF(AND(COUNTIF($P$11:$AI$11,"▼")=0,H426&gt;0,I426=""),"◄M","")))))</f>
        <v/>
      </c>
      <c r="K426" s="641" t="s">
        <v>1391</v>
      </c>
      <c r="L426" s="165" t="s">
        <v>764</v>
      </c>
      <c r="M426" s="166">
        <f ca="1">IF($D426&lt;&gt;"Serviço","",
          IF(AUTOEVENTO="manual",$A426,
                IF(ISERROR(MATCH($A426,$A$15:OFFSET($A426,-1,0),0)),MAX($M$15:OFFSET(M426,-1,0))+1,
                      INDEX($M$15:OFFSET(M426,-1,0),MATCH($A426,$A$15:OFFSET($A426,-1,0),0)))))</f>
        <v>7</v>
      </c>
      <c r="N426" s="167" t="str">
        <f ca="1">IF($D426&lt;&gt;"Serviço","",
         IF(AUTOEVENTO="Manual",
                IF($A426=0,"&lt;-- defina o número do agrupador",
                       OFFSET(EVENTOS!$D$15,$A426-$A$15,0)),
                OFFSET($F$15,$A426,0)))</f>
        <v>Instalações Elétricas</v>
      </c>
      <c r="O426" s="168"/>
      <c r="Q426" s="168"/>
      <c r="R426" s="169"/>
      <c r="S426" s="169"/>
      <c r="T426" s="169"/>
      <c r="U426" s="169"/>
      <c r="V426" s="169"/>
      <c r="W426" s="169"/>
      <c r="X426" s="169">
        <v>4</v>
      </c>
      <c r="Y426" s="169"/>
      <c r="Z426" s="170"/>
      <c r="AA426" s="169"/>
      <c r="AB426" s="169"/>
      <c r="AC426" s="169"/>
      <c r="AD426" s="169"/>
      <c r="AE426" s="169"/>
      <c r="AF426" s="169"/>
      <c r="AG426" s="169"/>
      <c r="AH426" s="170"/>
      <c r="AJ426" s="453">
        <f ca="1">IF(AND($D426="Serviço",AJ$12&lt;&gt;0,$H426&gt;0,OR(AUTOEVENTO&lt;&gt;"manual",$M426&lt;&gt;$A$15)),
        IF(Import.TipoArredondamento&lt;&gt;"TransfereGOV",
              ROUND(OFFSET($P426,0,AJ$13),15-13*ORÇAMENTO!$AF$7)/$H426*OFFSET(ORÇAMENTO!$X$15,ROW(AJ426)-ROW(AJ$15),0),
              ROUND(ROUND(OFFSET($P426,0,AJ$13),15-13*ORÇAMENTO!$AF$7)*OFFSET(ORÇAMENTO!$W$15,ROW(AJ426)-ROW(AJ$15),0),15-13*ORÇAMENTO!$AF$11)),
         0)</f>
        <v>0</v>
      </c>
      <c r="AK426" s="453">
        <f ca="1">IF(AND($D426="Serviço",AK$12&lt;&gt;0,$H426&gt;0,OR(AUTOEVENTO&lt;&gt;"manual",$M426&lt;&gt;$A$15)),
        IF(Import.TipoArredondamento&lt;&gt;"TransfereGOV",
              ROUND(OFFSET($P426,0,AK$13),15-13*ORÇAMENTO!$AF$7)/$H426*OFFSET(ORÇAMENTO!$X$15,ROW(AK426)-ROW(AK$15),0),
              ROUND(ROUND(OFFSET($P426,0,AK$13),15-13*ORÇAMENTO!$AF$7)*OFFSET(ORÇAMENTO!$W$15,ROW(AK426)-ROW(AK$15),0),15-13*ORÇAMENTO!$AF$11)),
         0)</f>
        <v>0</v>
      </c>
      <c r="AL426" s="453">
        <f ca="1">IF(AND($D426="Serviço",AL$12&lt;&gt;0,$H426&gt;0,OR(AUTOEVENTO&lt;&gt;"manual",$M426&lt;&gt;$A$15)),
        IF(Import.TipoArredondamento&lt;&gt;"TransfereGOV",
              ROUND(OFFSET($P426,0,AL$13),15-13*ORÇAMENTO!$AF$7)/$H426*OFFSET(ORÇAMENTO!$X$15,ROW(AL426)-ROW(AL$15),0),
              ROUND(ROUND(OFFSET($P426,0,AL$13),15-13*ORÇAMENTO!$AF$7)*OFFSET(ORÇAMENTO!$W$15,ROW(AL426)-ROW(AL$15),0),15-13*ORÇAMENTO!$AF$11)),
         0)</f>
        <v>0</v>
      </c>
      <c r="AM426" s="453">
        <f ca="1">IF(AND($D426="Serviço",AM$12&lt;&gt;0,$H426&gt;0,OR(AUTOEVENTO&lt;&gt;"manual",$M426&lt;&gt;$A$15)),
        IF(Import.TipoArredondamento&lt;&gt;"TransfereGOV",
              ROUND(OFFSET($P426,0,AM$13),15-13*ORÇAMENTO!$AF$7)/$H426*OFFSET(ORÇAMENTO!$X$15,ROW(AM426)-ROW(AM$15),0),
              ROUND(ROUND(OFFSET($P426,0,AM$13),15-13*ORÇAMENTO!$AF$7)*OFFSET(ORÇAMENTO!$W$15,ROW(AM426)-ROW(AM$15),0),15-13*ORÇAMENTO!$AF$11)),
         0)</f>
        <v>0</v>
      </c>
      <c r="AN426" s="453">
        <f ca="1">IF(AND($D426="Serviço",AN$12&lt;&gt;0,$H426&gt;0,OR(AUTOEVENTO&lt;&gt;"manual",$M426&lt;&gt;$A$15)),
        IF(Import.TipoArredondamento&lt;&gt;"TransfereGOV",
              ROUND(OFFSET($P426,0,AN$13),15-13*ORÇAMENTO!$AF$7)/$H426*OFFSET(ORÇAMENTO!$X$15,ROW(AN426)-ROW(AN$15),0),
              ROUND(ROUND(OFFSET($P426,0,AN$13),15-13*ORÇAMENTO!$AF$7)*OFFSET(ORÇAMENTO!$W$15,ROW(AN426)-ROW(AN$15),0),15-13*ORÇAMENTO!$AF$11)),
         0)</f>
        <v>0</v>
      </c>
      <c r="AO426" s="453">
        <f ca="1">IF(AND($D426="Serviço",AO$12&lt;&gt;0,$H426&gt;0,OR(AUTOEVENTO&lt;&gt;"manual",$M426&lt;&gt;$A$15)),
        IF(Import.TipoArredondamento&lt;&gt;"TransfereGOV",
              ROUND(OFFSET($P426,0,AO$13),15-13*ORÇAMENTO!$AF$7)/$H426*OFFSET(ORÇAMENTO!$X$15,ROW(AO426)-ROW(AO$15),0),
              ROUND(ROUND(OFFSET($P426,0,AO$13),15-13*ORÇAMENTO!$AF$7)*OFFSET(ORÇAMENTO!$W$15,ROW(AO426)-ROW(AO$15),0),15-13*ORÇAMENTO!$AF$11)),
         0)</f>
        <v>0</v>
      </c>
      <c r="AP426" s="453">
        <f ca="1">IF(AND($D426="Serviço",AP$12&lt;&gt;0,$H426&gt;0,OR(AUTOEVENTO&lt;&gt;"manual",$M426&lt;&gt;$A$15)),
        IF(Import.TipoArredondamento&lt;&gt;"TransfereGOV",
              ROUND(OFFSET($P426,0,AP$13),15-13*ORÇAMENTO!$AF$7)/$H426*OFFSET(ORÇAMENTO!$X$15,ROW(AP426)-ROW(AP$15),0),
              ROUND(ROUND(OFFSET($P426,0,AP$13),15-13*ORÇAMENTO!$AF$7)*OFFSET(ORÇAMENTO!$W$15,ROW(AP426)-ROW(AP$15),0),15-13*ORÇAMENTO!$AF$11)),
         0)</f>
        <v>0</v>
      </c>
      <c r="AQ426" s="453">
        <f ca="1">IF(AND($D426="Serviço",AQ$12&lt;&gt;0,$H426&gt;0,OR(AUTOEVENTO&lt;&gt;"manual",$M426&lt;&gt;$A$15)),
        IF(Import.TipoArredondamento&lt;&gt;"TransfereGOV",
              ROUND(OFFSET($P426,0,AQ$13),15-13*ORÇAMENTO!$AF$7)/$H426*OFFSET(ORÇAMENTO!$X$15,ROW(AQ426)-ROW(AQ$15),0),
              ROUND(ROUND(OFFSET($P426,0,AQ$13),15-13*ORÇAMENTO!$AF$7)*OFFSET(ORÇAMENTO!$W$15,ROW(AQ426)-ROW(AQ$15),0),15-13*ORÇAMENTO!$AF$11)),
         0)</f>
        <v>0</v>
      </c>
      <c r="AR426" s="453">
        <f ca="1">IF(AND($D426="Serviço",AR$12&lt;&gt;0,$H426&gt;0,OR(AUTOEVENTO&lt;&gt;"manual",$M426&lt;&gt;$A$15)),
        IF(Import.TipoArredondamento&lt;&gt;"TransfereGOV",
              ROUND(OFFSET($P426,0,AR$13),15-13*ORÇAMENTO!$AF$7)/$H426*OFFSET(ORÇAMENTO!$X$15,ROW(AR426)-ROW(AR$15),0),
              ROUND(ROUND(OFFSET($P426,0,AR$13),15-13*ORÇAMENTO!$AF$7)*OFFSET(ORÇAMENTO!$W$15,ROW(AR426)-ROW(AR$15),0),15-13*ORÇAMENTO!$AF$11)),
         0)</f>
        <v>0</v>
      </c>
      <c r="AS426" s="453">
        <f ca="1">IF(AND($D426="Serviço",AS$12&lt;&gt;0,$H426&gt;0,OR(AUTOEVENTO&lt;&gt;"manual",$M426&lt;&gt;$A$15)),
        IF(Import.TipoArredondamento&lt;&gt;"TransfereGOV",
              ROUND(OFFSET($P426,0,AS$13),15-13*ORÇAMENTO!$AF$7)/$H426*OFFSET(ORÇAMENTO!$X$15,ROW(AS426)-ROW(AS$15),0),
              ROUND(ROUND(OFFSET($P426,0,AS$13),15-13*ORÇAMENTO!$AF$7)*OFFSET(ORÇAMENTO!$W$15,ROW(AS426)-ROW(AS$15),0),15-13*ORÇAMENTO!$AF$11)),
         0)</f>
        <v>0</v>
      </c>
      <c r="AT426" s="453">
        <f ca="1">IF(AND($D426="Serviço",AT$12&lt;&gt;0,$H426&gt;0,OR(AUTOEVENTO&lt;&gt;"manual",$M426&lt;&gt;$A$15)),
        IF(Import.TipoArredondamento&lt;&gt;"TransfereGOV",
              ROUND(OFFSET($P426,0,AT$13),15-13*ORÇAMENTO!$AF$7)/$H426*OFFSET(ORÇAMENTO!$X$15,ROW(AT426)-ROW(AT$15),0),
              ROUND(ROUND(OFFSET($P426,0,AT$13),15-13*ORÇAMENTO!$AF$7)*OFFSET(ORÇAMENTO!$W$15,ROW(AT426)-ROW(AT$15),0),15-13*ORÇAMENTO!$AF$11)),
         0)</f>
        <v>0</v>
      </c>
      <c r="AU426" s="453">
        <f ca="1">IF(AND($D426="Serviço",AU$12&lt;&gt;0,$H426&gt;0,OR(AUTOEVENTO&lt;&gt;"manual",$M426&lt;&gt;$A$15)),
        IF(Import.TipoArredondamento&lt;&gt;"TransfereGOV",
              ROUND(OFFSET($P426,0,AU$13),15-13*ORÇAMENTO!$AF$7)/$H426*OFFSET(ORÇAMENTO!$X$15,ROW(AU426)-ROW(AU$15),0),
              ROUND(ROUND(OFFSET($P426,0,AU$13),15-13*ORÇAMENTO!$AF$7)*OFFSET(ORÇAMENTO!$W$15,ROW(AU426)-ROW(AU$15),0),15-13*ORÇAMENTO!$AF$11)),
         0)</f>
        <v>0</v>
      </c>
      <c r="AV426" s="453">
        <f ca="1">IF(AND($D426="Serviço",AV$12&lt;&gt;0,$H426&gt;0,OR(AUTOEVENTO&lt;&gt;"manual",$M426&lt;&gt;$A$15)),
        IF(Import.TipoArredondamento&lt;&gt;"TransfereGOV",
              ROUND(OFFSET($P426,0,AV$13),15-13*ORÇAMENTO!$AF$7)/$H426*OFFSET(ORÇAMENTO!$X$15,ROW(AV426)-ROW(AV$15),0),
              ROUND(ROUND(OFFSET($P426,0,AV$13),15-13*ORÇAMENTO!$AF$7)*OFFSET(ORÇAMENTO!$W$15,ROW(AV426)-ROW(AV$15),0),15-13*ORÇAMENTO!$AF$11)),
         0)</f>
        <v>0</v>
      </c>
      <c r="AW426" s="453">
        <f ca="1">IF(AND($D426="Serviço",AW$12&lt;&gt;0,$H426&gt;0,OR(AUTOEVENTO&lt;&gt;"manual",$M426&lt;&gt;$A$15)),
        IF(Import.TipoArredondamento&lt;&gt;"TransfereGOV",
              ROUND(OFFSET($P426,0,AW$13),15-13*ORÇAMENTO!$AF$7)/$H426*OFFSET(ORÇAMENTO!$X$15,ROW(AW426)-ROW(AW$15),0),
              ROUND(ROUND(OFFSET($P426,0,AW$13),15-13*ORÇAMENTO!$AF$7)*OFFSET(ORÇAMENTO!$W$15,ROW(AW426)-ROW(AW$15),0),15-13*ORÇAMENTO!$AF$11)),
         0)</f>
        <v>0</v>
      </c>
      <c r="AX426" s="453">
        <f ca="1">IF(AND($D426="Serviço",AX$12&lt;&gt;0,$H426&gt;0,OR(AUTOEVENTO&lt;&gt;"manual",$M426&lt;&gt;$A$15)),
        IF(Import.TipoArredondamento&lt;&gt;"TransfereGOV",
              ROUND(OFFSET($P426,0,AX$13),15-13*ORÇAMENTO!$AF$7)/$H426*OFFSET(ORÇAMENTO!$X$15,ROW(AX426)-ROW(AX$15),0),
              ROUND(ROUND(OFFSET($P426,0,AX$13),15-13*ORÇAMENTO!$AF$7)*OFFSET(ORÇAMENTO!$W$15,ROW(AX426)-ROW(AX$15),0),15-13*ORÇAMENTO!$AF$11)),
         0)</f>
        <v>0</v>
      </c>
      <c r="AY426" s="453">
        <f ca="1">IF(AND($D426="Serviço",AY$12&lt;&gt;0,$H426&gt;0,OR(AUTOEVENTO&lt;&gt;"manual",$M426&lt;&gt;$A$15)),
        IF(Import.TipoArredondamento&lt;&gt;"TransfereGOV",
              ROUND(OFFSET($P426,0,AY$13),15-13*ORÇAMENTO!$AF$7)/$H426*OFFSET(ORÇAMENTO!$X$15,ROW(AY426)-ROW(AY$15),0),
              ROUND(ROUND(OFFSET($P426,0,AY$13),15-13*ORÇAMENTO!$AF$7)*OFFSET(ORÇAMENTO!$W$15,ROW(AY426)-ROW(AY$15),0),15-13*ORÇAMENTO!$AF$11)),
         0)</f>
        <v>0</v>
      </c>
      <c r="AZ426" s="453">
        <f ca="1">IF(AND($D426="Serviço",AZ$12&lt;&gt;0,$H426&gt;0,OR(AUTOEVENTO&lt;&gt;"manual",$M426&lt;&gt;$A$15)),
        IF(Import.TipoArredondamento&lt;&gt;"TransfereGOV",
              ROUND(OFFSET($P426,0,AZ$13),15-13*ORÇAMENTO!$AF$7)/$H426*OFFSET(ORÇAMENTO!$X$15,ROW(AZ426)-ROW(AZ$15),0),
              ROUND(ROUND(OFFSET($P426,0,AZ$13),15-13*ORÇAMENTO!$AF$7)*OFFSET(ORÇAMENTO!$W$15,ROW(AZ426)-ROW(AZ$15),0),15-13*ORÇAMENTO!$AF$11)),
         0)</f>
        <v>0</v>
      </c>
      <c r="BA426" s="453">
        <f ca="1">IF(AND($D426="Serviço",BA$12&lt;&gt;0,$H426&gt;0,OR(AUTOEVENTO&lt;&gt;"manual",$M426&lt;&gt;$A$15)),
        IF(Import.TipoArredondamento&lt;&gt;"TransfereGOV",
              ROUND(OFFSET($P426,0,BA$13),15-13*ORÇAMENTO!$AF$7)/$H426*OFFSET(ORÇAMENTO!$X$15,ROW(BA426)-ROW(BA$15),0),
              ROUND(ROUND(OFFSET($P426,0,BA$13),15-13*ORÇAMENTO!$AF$7)*OFFSET(ORÇAMENTO!$W$15,ROW(BA426)-ROW(BA$15),0),15-13*ORÇAMENTO!$AF$11)),
         0)</f>
        <v>0</v>
      </c>
      <c r="BC426" s="171">
        <f ca="1">IF(OR($D426&lt;&gt;"Serviço",AND(AUTOEVENTO="Manual",$M426=$A$15)),0,
         IF(OFFSET(CRONOPLE!$F$15,$M426-$A$15,BC$13)=0,10^12,OFFSET(CRONOPLE!$F$15,$M426-$A$15,BC$13)))</f>
        <v>1</v>
      </c>
      <c r="BD426" s="171">
        <f ca="1">IF(OR($D426&lt;&gt;"Serviço",AND(AUTOEVENTO="Manual",$M426=$A$15)),0,
         IF(OFFSET(CRONOPLE!$F$15,$M426-$A$15,BD$13)=0,10^12,OFFSET(CRONOPLE!$F$15,$M426-$A$15,BD$13)))</f>
        <v>2</v>
      </c>
      <c r="BE426" s="171">
        <f ca="1">IF(OR($D426&lt;&gt;"Serviço",AND(AUTOEVENTO="Manual",$M426=$A$15)),0,
         IF(OFFSET(CRONOPLE!$F$15,$M426-$A$15,BE$13)=0,10^12,OFFSET(CRONOPLE!$F$15,$M426-$A$15,BE$13)))</f>
        <v>3</v>
      </c>
      <c r="BF426" s="171">
        <f ca="1">IF(OR($D426&lt;&gt;"Serviço",AND(AUTOEVENTO="Manual",$M426=$A$15)),0,
         IF(OFFSET(CRONOPLE!$F$15,$M426-$A$15,BF$13)=0,10^12,OFFSET(CRONOPLE!$F$15,$M426-$A$15,BF$13)))</f>
        <v>4</v>
      </c>
      <c r="BG426" s="171">
        <f ca="1">IF(OR($D426&lt;&gt;"Serviço",AND(AUTOEVENTO="Manual",$M426=$A$15)),0,
         IF(OFFSET(CRONOPLE!$F$15,$M426-$A$15,BG$13)=0,10^12,OFFSET(CRONOPLE!$F$15,$M426-$A$15,BG$13)))</f>
        <v>5</v>
      </c>
      <c r="BH426" s="171">
        <f ca="1">IF(OR($D426&lt;&gt;"Serviço",AND(AUTOEVENTO="Manual",$M426=$A$15)),0,
         IF(OFFSET(CRONOPLE!$F$15,$M426-$A$15,BH$13)=0,10^12,OFFSET(CRONOPLE!$F$15,$M426-$A$15,BH$13)))</f>
        <v>6</v>
      </c>
      <c r="BI426" s="171">
        <f ca="1">IF(OR($D426&lt;&gt;"Serviço",AND(AUTOEVENTO="Manual",$M426=$A$15)),0,
         IF(OFFSET(CRONOPLE!$F$15,$M426-$A$15,BI$13)=0,10^12,OFFSET(CRONOPLE!$F$15,$M426-$A$15,BI$13)))</f>
        <v>7</v>
      </c>
      <c r="BJ426" s="171">
        <f ca="1">IF(OR($D426&lt;&gt;"Serviço",AND(AUTOEVENTO="Manual",$M426=$A$15)),0,
         IF(OFFSET(CRONOPLE!$F$15,$M426-$A$15,BJ$13)=0,10^12,OFFSET(CRONOPLE!$F$15,$M426-$A$15,BJ$13)))</f>
        <v>8</v>
      </c>
      <c r="BK426" s="171">
        <f ca="1">IF(OR($D426&lt;&gt;"Serviço",AND(AUTOEVENTO="Manual",$M426=$A$15)),0,
         IF(OFFSET(CRONOPLE!$F$15,$M426-$A$15,BK$13)=0,10^12,OFFSET(CRONOPLE!$F$15,$M426-$A$15,BK$13)))</f>
        <v>9</v>
      </c>
      <c r="BL426" s="171">
        <f ca="1">IF(OR($D426&lt;&gt;"Serviço",AND(AUTOEVENTO="Manual",$M426=$A$15)),0,
         IF(OFFSET(CRONOPLE!$F$15,$M426-$A$15,BL$13)=0,10^12,OFFSET(CRONOPLE!$F$15,$M426-$A$15,BL$13)))</f>
        <v>1000000000000</v>
      </c>
      <c r="BM426" s="171">
        <f ca="1">IF(OR($D426&lt;&gt;"Serviço",AND(AUTOEVENTO="Manual",$M426=$A$15)),0,
         IF(OFFSET(CRONOPLE!$F$15,$M426-$A$15,BM$13)=0,10^12,OFFSET(CRONOPLE!$F$15,$M426-$A$15,BM$13)))</f>
        <v>1000000000000</v>
      </c>
      <c r="BN426" s="171">
        <f ca="1">IF(OR($D426&lt;&gt;"Serviço",AND(AUTOEVENTO="Manual",$M426=$A$15)),0,
         IF(OFFSET(CRONOPLE!$F$15,$M426-$A$15,BN$13)=0,10^12,OFFSET(CRONOPLE!$F$15,$M426-$A$15,BN$13)))</f>
        <v>1000000000000</v>
      </c>
      <c r="BO426" s="171">
        <f ca="1">IF(OR($D426&lt;&gt;"Serviço",AND(AUTOEVENTO="Manual",$M426=$A$15)),0,
         IF(OFFSET(CRONOPLE!$F$15,$M426-$A$15,BO$13)=0,10^12,OFFSET(CRONOPLE!$F$15,$M426-$A$15,BO$13)))</f>
        <v>1000000000000</v>
      </c>
      <c r="BP426" s="171">
        <f ca="1">IF(OR($D426&lt;&gt;"Serviço",AND(AUTOEVENTO="Manual",$M426=$A$15)),0,
         IF(OFFSET(CRONOPLE!$F$15,$M426-$A$15,BP$13)=0,10^12,OFFSET(CRONOPLE!$F$15,$M426-$A$15,BP$13)))</f>
        <v>1000000000000</v>
      </c>
      <c r="BQ426" s="171">
        <f ca="1">IF(OR($D426&lt;&gt;"Serviço",AND(AUTOEVENTO="Manual",$M426=$A$15)),0,
         IF(OFFSET(CRONOPLE!$F$15,$M426-$A$15,BQ$13)=0,10^12,OFFSET(CRONOPLE!$F$15,$M426-$A$15,BQ$13)))</f>
        <v>1000000000000</v>
      </c>
      <c r="BR426" s="171">
        <f ca="1">IF(OR($D426&lt;&gt;"Serviço",AND(AUTOEVENTO="Manual",$M426=$A$15)),0,
         IF(OFFSET(CRONOPLE!$F$15,$M426-$A$15,BR$13)=0,10^12,OFFSET(CRONOPLE!$F$15,$M426-$A$15,BR$13)))</f>
        <v>1000000000000</v>
      </c>
      <c r="BS426" s="171">
        <f ca="1">IF(OR($D426&lt;&gt;"Serviço",AND(AUTOEVENTO="Manual",$M426=$A$15)),0,
         IF(OFFSET(CRONOPLE!$F$15,$M426-$A$15,BS$13)=0,10^12,OFFSET(CRONOPLE!$F$15,$M426-$A$15,BS$13)))</f>
        <v>1000000000000</v>
      </c>
      <c r="BT426" s="171">
        <f ca="1">IF(OR($D426&lt;&gt;"Serviço",AND(AUTOEVENTO="Manual",$M426=$A$15)),0,
         IF(OFFSET(CRONOPLE!$F$15,$M426-$A$15,BT$13)=0,10^12,OFFSET(CRONOPLE!$F$15,$M426-$A$15,BT$13)))</f>
        <v>1000000000000</v>
      </c>
      <c r="BV426" s="172">
        <f ca="1">IF(OR($D426&lt;&gt;"Serviço",AND(AUTOEVENTO="Manual",$M426=$A$15),$M426&gt;(ROW(PLE.lastrow)-ROW(PLE.firstrow))),0,
           IF(OFFSET(PLE!$G$15,$M426-$A$15,BV$13)="",10^12,OFFSET(PLE!$G$15,$M426-$A$15,BV$13)))</f>
        <v>1000000000000</v>
      </c>
      <c r="BW426" s="172">
        <f ca="1">IF(OR($D426&lt;&gt;"Serviço",AND(AUTOEVENTO="Manual",$M426=$A$15),$M426&gt;(ROW(PLE.lastrow)-ROW(PLE.firstrow))),0,
           IF(OFFSET(PLE!$G$15,$M426-$A$15,BW$13)="",10^12,OFFSET(PLE!$G$15,$M426-$A$15,BW$13)))</f>
        <v>1000000000000</v>
      </c>
      <c r="BX426" s="172">
        <f ca="1">IF(OR($D426&lt;&gt;"Serviço",AND(AUTOEVENTO="Manual",$M426=$A$15),$M426&gt;(ROW(PLE.lastrow)-ROW(PLE.firstrow))),0,
           IF(OFFSET(PLE!$G$15,$M426-$A$15,BX$13)="",10^12,OFFSET(PLE!$G$15,$M426-$A$15,BX$13)))</f>
        <v>1000000000000</v>
      </c>
      <c r="BY426" s="172">
        <f ca="1">IF(OR($D426&lt;&gt;"Serviço",AND(AUTOEVENTO="Manual",$M426=$A$15),$M426&gt;(ROW(PLE.lastrow)-ROW(PLE.firstrow))),0,
           IF(OFFSET(PLE!$G$15,$M426-$A$15,BY$13)="",10^12,OFFSET(PLE!$G$15,$M426-$A$15,BY$13)))</f>
        <v>1000000000000</v>
      </c>
      <c r="BZ426" s="172">
        <f ca="1">IF(OR($D426&lt;&gt;"Serviço",AND(AUTOEVENTO="Manual",$M426=$A$15),$M426&gt;(ROW(PLE.lastrow)-ROW(PLE.firstrow))),0,
           IF(OFFSET(PLE!$G$15,$M426-$A$15,BZ$13)="",10^12,OFFSET(PLE!$G$15,$M426-$A$15,BZ$13)))</f>
        <v>1000000000000</v>
      </c>
      <c r="CA426" s="172">
        <f ca="1">IF(OR($D426&lt;&gt;"Serviço",AND(AUTOEVENTO="Manual",$M426=$A$15),$M426&gt;(ROW(PLE.lastrow)-ROW(PLE.firstrow))),0,
           IF(OFFSET(PLE!$G$15,$M426-$A$15,CA$13)="",10^12,OFFSET(PLE!$G$15,$M426-$A$15,CA$13)))</f>
        <v>1000000000000</v>
      </c>
      <c r="CB426" s="172">
        <f ca="1">IF(OR($D426&lt;&gt;"Serviço",AND(AUTOEVENTO="Manual",$M426=$A$15),$M426&gt;(ROW(PLE.lastrow)-ROW(PLE.firstrow))),0,
           IF(OFFSET(PLE!$G$15,$M426-$A$15,CB$13)="",10^12,OFFSET(PLE!$G$15,$M426-$A$15,CB$13)))</f>
        <v>1000000000000</v>
      </c>
      <c r="CC426" s="172">
        <f ca="1">IF(OR($D426&lt;&gt;"Serviço",AND(AUTOEVENTO="Manual",$M426=$A$15),$M426&gt;(ROW(PLE.lastrow)-ROW(PLE.firstrow))),0,
           IF(OFFSET(PLE!$G$15,$M426-$A$15,CC$13)="",10^12,OFFSET(PLE!$G$15,$M426-$A$15,CC$13)))</f>
        <v>1000000000000</v>
      </c>
      <c r="CD426" s="172">
        <f ca="1">IF(OR($D426&lt;&gt;"Serviço",AND(AUTOEVENTO="Manual",$M426=$A$15),$M426&gt;(ROW(PLE.lastrow)-ROW(PLE.firstrow))),0,
           IF(OFFSET(PLE!$G$15,$M426-$A$15,CD$13)="",10^12,OFFSET(PLE!$G$15,$M426-$A$15,CD$13)))</f>
        <v>1000000000000</v>
      </c>
      <c r="CE426" s="172">
        <f ca="1">IF(OR($D426&lt;&gt;"Serviço",AND(AUTOEVENTO="Manual",$M426=$A$15),$M426&gt;(ROW(PLE.lastrow)-ROW(PLE.firstrow))),0,
           IF(OFFSET(PLE!$G$15,$M426-$A$15,CE$13)="",10^12,OFFSET(PLE!$G$15,$M426-$A$15,CE$13)))</f>
        <v>1000000000000</v>
      </c>
      <c r="CF426" s="172">
        <f ca="1">IF(OR($D426&lt;&gt;"Serviço",AND(AUTOEVENTO="Manual",$M426=$A$15),$M426&gt;(ROW(PLE.lastrow)-ROW(PLE.firstrow))),0,
           IF(OFFSET(PLE!$G$15,$M426-$A$15,CF$13)="",10^12,OFFSET(PLE!$G$15,$M426-$A$15,CF$13)))</f>
        <v>1000000000000</v>
      </c>
      <c r="CG426" s="172">
        <f ca="1">IF(OR($D426&lt;&gt;"Serviço",AND(AUTOEVENTO="Manual",$M426=$A$15),$M426&gt;(ROW(PLE.lastrow)-ROW(PLE.firstrow))),0,
           IF(OFFSET(PLE!$G$15,$M426-$A$15,CG$13)="",10^12,OFFSET(PLE!$G$15,$M426-$A$15,CG$13)))</f>
        <v>1000000000000</v>
      </c>
      <c r="CH426" s="172">
        <f ca="1">IF(OR($D426&lt;&gt;"Serviço",AND(AUTOEVENTO="Manual",$M426=$A$15),$M426&gt;(ROW(PLE.lastrow)-ROW(PLE.firstrow))),0,
           IF(OFFSET(PLE!$G$15,$M426-$A$15,CH$13)="",10^12,OFFSET(PLE!$G$15,$M426-$A$15,CH$13)))</f>
        <v>1000000000000</v>
      </c>
      <c r="CI426" s="172">
        <f ca="1">IF(OR($D426&lt;&gt;"Serviço",AND(AUTOEVENTO="Manual",$M426=$A$15),$M426&gt;(ROW(PLE.lastrow)-ROW(PLE.firstrow))),0,
           IF(OFFSET(PLE!$G$15,$M426-$A$15,CI$13)="",10^12,OFFSET(PLE!$G$15,$M426-$A$15,CI$13)))</f>
        <v>1000000000000</v>
      </c>
      <c r="CJ426" s="172">
        <f ca="1">IF(OR($D426&lt;&gt;"Serviço",AND(AUTOEVENTO="Manual",$M426=$A$15),$M426&gt;(ROW(PLE.lastrow)-ROW(PLE.firstrow))),0,
           IF(OFFSET(PLE!$G$15,$M426-$A$15,CJ$13)="",10^12,OFFSET(PLE!$G$15,$M426-$A$15,CJ$13)))</f>
        <v>1000000000000</v>
      </c>
      <c r="CK426" s="172">
        <f ca="1">IF(OR($D426&lt;&gt;"Serviço",AND(AUTOEVENTO="Manual",$M426=$A$15),$M426&gt;(ROW(PLE.lastrow)-ROW(PLE.firstrow))),0,
           IF(OFFSET(PLE!$G$15,$M426-$A$15,CK$13)="",10^12,OFFSET(PLE!$G$15,$M426-$A$15,CK$13)))</f>
        <v>1000000000000</v>
      </c>
      <c r="CL426" s="172">
        <f ca="1">IF(OR($D426&lt;&gt;"Serviço",AND(AUTOEVENTO="Manual",$M426=$A$15),$M426&gt;(ROW(PLE.lastrow)-ROW(PLE.firstrow))),0,
           IF(OFFSET(PLE!$G$15,$M426-$A$15,CL$13)="",10^12,OFFSET(PLE!$G$15,$M426-$A$15,CL$13)))</f>
        <v>1000000000000</v>
      </c>
      <c r="CM426" s="172">
        <f ca="1">IF(OR($D426&lt;&gt;"Serviço",AND(AUTOEVENTO="Manual",$M426=$A$15),$M426&gt;(ROW(PLE.lastrow)-ROW(PLE.firstrow))),0,
           IF(OFFSET(PLE!$G$15,$M426-$A$15,CM$13)="",10^12,OFFSET(PLE!$G$15,$M426-$A$15,CM$13)))</f>
        <v>1000000000000</v>
      </c>
    </row>
    <row r="427" spans="1:91" ht="38.25" x14ac:dyDescent="0.2">
      <c r="A427" s="7">
        <f t="shared" ca="1" si="16"/>
        <v>7</v>
      </c>
      <c r="B427" s="7" t="str">
        <f ca="1">OFFSET(ORÇAMENTO!C$15,ROW(B427)-ROW(B$15),0)</f>
        <v>S</v>
      </c>
      <c r="C427" s="7" t="str">
        <f ca="1">OFFSET(ORÇAMENTO!L$15,ROW(C427)-ROW(C$15),0)</f>
        <v>F</v>
      </c>
      <c r="D427" s="116" t="str">
        <f ca="1">OFFSET(ORÇAMENTO!N$15,ROW(D427)-ROW(D$15),0)</f>
        <v>Serviço</v>
      </c>
      <c r="E427" s="117" t="str">
        <f ca="1">OFFSET(ORÇAMENTO!O$15,ROW(E427)-ROW(E$15),0)</f>
        <v>1.8.2.4.17.</v>
      </c>
      <c r="F427" s="163" t="str">
        <f ca="1">OFFSET(ORÇAMENTO!R$15,ROW(F427)-ROW(F$15),0)</f>
        <v>VOLTÍMETRO/ AMPERÍMETRO, FORNECIMENTO E INSTALAÇÃO - BASEADO EM SEDOP (171083)</v>
      </c>
      <c r="G427" s="164" t="str">
        <f ca="1">IF($D427&lt;&gt;"Serviço","",OFFSET(ORÇAMENTO!S$15,ROW(G427)-ROW(G$15),0))</f>
        <v>UN</v>
      </c>
      <c r="H427" s="122" cm="1">
        <f t="array" aca="1" ref="H427" ca="1">IF($D427&lt;&gt;"Serviço",0,IF(ACOMPANHAMENTO="BM",ROUND(OFFSET(ORÇAMENTO!AJ$15,ROW(H427)-ROW(H$15),0),15-13*ORÇAMENTO!$AF$7),SUMPRODUCT(($Q$1:$AI$1=1)*ROUND($Q427:$AI427,15-13*ORÇAMENTO!$AF$7))))</f>
        <v>1</v>
      </c>
      <c r="I427" s="468" t="s">
        <v>1431</v>
      </c>
      <c r="J427" s="640" t="str" cm="1">
        <f t="array" aca="1" ref="J427" ca="1">IF(OR(B427&lt;&gt;"S",CÁLCULO.FrentesPreenchidas=0),"",IF(AND(ACOMPANHAMENTO="PLE",AUTOEVENTO="Manual",OR(H427&gt;0,ORÇAMENTO!AC427="QUANT."),OR(K427="",M427=0,N427="")),"►E",IF(AND(ACOMPANHAMENTO="PLE",ORÇAMENTO!AC427="QUANT."),"►Q",IF(AND(ACOMPANHAMENTO="PLE",H427&lt;&gt;SUMPRODUCT(($Q$1:$AI$1=1)*ROUND(Q427:AI427,15))),"►S",IF(AND(COUNTIF($P$11:$AI$11,"▼")=0,H427&gt;0,I427=""),"◄M","")))))</f>
        <v/>
      </c>
      <c r="K427" s="641" t="s">
        <v>1391</v>
      </c>
      <c r="L427" s="165" t="s">
        <v>764</v>
      </c>
      <c r="M427" s="166">
        <f ca="1">IF($D427&lt;&gt;"Serviço","",
          IF(AUTOEVENTO="manual",$A427,
                IF(ISERROR(MATCH($A427,$A$15:OFFSET($A427,-1,0),0)),MAX($M$15:OFFSET(M427,-1,0))+1,
                      INDEX($M$15:OFFSET(M427,-1,0),MATCH($A427,$A$15:OFFSET($A427,-1,0),0)))))</f>
        <v>7</v>
      </c>
      <c r="N427" s="167" t="str">
        <f ca="1">IF($D427&lt;&gt;"Serviço","",
         IF(AUTOEVENTO="Manual",
                IF($A427=0,"&lt;-- defina o número do agrupador",
                       OFFSET(EVENTOS!$D$15,$A427-$A$15,0)),
                OFFSET($F$15,$A427,0)))</f>
        <v>Instalações Elétricas</v>
      </c>
      <c r="O427" s="168"/>
      <c r="Q427" s="168"/>
      <c r="R427" s="169"/>
      <c r="S427" s="169"/>
      <c r="T427" s="169"/>
      <c r="U427" s="169"/>
      <c r="V427" s="169"/>
      <c r="W427" s="169"/>
      <c r="X427" s="169">
        <v>1</v>
      </c>
      <c r="Y427" s="169"/>
      <c r="Z427" s="170"/>
      <c r="AA427" s="169"/>
      <c r="AB427" s="169"/>
      <c r="AC427" s="169"/>
      <c r="AD427" s="169"/>
      <c r="AE427" s="169"/>
      <c r="AF427" s="169"/>
      <c r="AG427" s="169"/>
      <c r="AH427" s="170"/>
      <c r="AJ427" s="453">
        <f ca="1">IF(AND($D427="Serviço",AJ$12&lt;&gt;0,$H427&gt;0,OR(AUTOEVENTO&lt;&gt;"manual",$M427&lt;&gt;$A$15)),
        IF(Import.TipoArredondamento&lt;&gt;"TransfereGOV",
              ROUND(OFFSET($P427,0,AJ$13),15-13*ORÇAMENTO!$AF$7)/$H427*OFFSET(ORÇAMENTO!$X$15,ROW(AJ427)-ROW(AJ$15),0),
              ROUND(ROUND(OFFSET($P427,0,AJ$13),15-13*ORÇAMENTO!$AF$7)*OFFSET(ORÇAMENTO!$W$15,ROW(AJ427)-ROW(AJ$15),0),15-13*ORÇAMENTO!$AF$11)),
         0)</f>
        <v>0</v>
      </c>
      <c r="AK427" s="453">
        <f ca="1">IF(AND($D427="Serviço",AK$12&lt;&gt;0,$H427&gt;0,OR(AUTOEVENTO&lt;&gt;"manual",$M427&lt;&gt;$A$15)),
        IF(Import.TipoArredondamento&lt;&gt;"TransfereGOV",
              ROUND(OFFSET($P427,0,AK$13),15-13*ORÇAMENTO!$AF$7)/$H427*OFFSET(ORÇAMENTO!$X$15,ROW(AK427)-ROW(AK$15),0),
              ROUND(ROUND(OFFSET($P427,0,AK$13),15-13*ORÇAMENTO!$AF$7)*OFFSET(ORÇAMENTO!$W$15,ROW(AK427)-ROW(AK$15),0),15-13*ORÇAMENTO!$AF$11)),
         0)</f>
        <v>0</v>
      </c>
      <c r="AL427" s="453">
        <f ca="1">IF(AND($D427="Serviço",AL$12&lt;&gt;0,$H427&gt;0,OR(AUTOEVENTO&lt;&gt;"manual",$M427&lt;&gt;$A$15)),
        IF(Import.TipoArredondamento&lt;&gt;"TransfereGOV",
              ROUND(OFFSET($P427,0,AL$13),15-13*ORÇAMENTO!$AF$7)/$H427*OFFSET(ORÇAMENTO!$X$15,ROW(AL427)-ROW(AL$15),0),
              ROUND(ROUND(OFFSET($P427,0,AL$13),15-13*ORÇAMENTO!$AF$7)*OFFSET(ORÇAMENTO!$W$15,ROW(AL427)-ROW(AL$15),0),15-13*ORÇAMENTO!$AF$11)),
         0)</f>
        <v>0</v>
      </c>
      <c r="AM427" s="453">
        <f ca="1">IF(AND($D427="Serviço",AM$12&lt;&gt;0,$H427&gt;0,OR(AUTOEVENTO&lt;&gt;"manual",$M427&lt;&gt;$A$15)),
        IF(Import.TipoArredondamento&lt;&gt;"TransfereGOV",
              ROUND(OFFSET($P427,0,AM$13),15-13*ORÇAMENTO!$AF$7)/$H427*OFFSET(ORÇAMENTO!$X$15,ROW(AM427)-ROW(AM$15),0),
              ROUND(ROUND(OFFSET($P427,0,AM$13),15-13*ORÇAMENTO!$AF$7)*OFFSET(ORÇAMENTO!$W$15,ROW(AM427)-ROW(AM$15),0),15-13*ORÇAMENTO!$AF$11)),
         0)</f>
        <v>0</v>
      </c>
      <c r="AN427" s="453">
        <f ca="1">IF(AND($D427="Serviço",AN$12&lt;&gt;0,$H427&gt;0,OR(AUTOEVENTO&lt;&gt;"manual",$M427&lt;&gt;$A$15)),
        IF(Import.TipoArredondamento&lt;&gt;"TransfereGOV",
              ROUND(OFFSET($P427,0,AN$13),15-13*ORÇAMENTO!$AF$7)/$H427*OFFSET(ORÇAMENTO!$X$15,ROW(AN427)-ROW(AN$15),0),
              ROUND(ROUND(OFFSET($P427,0,AN$13),15-13*ORÇAMENTO!$AF$7)*OFFSET(ORÇAMENTO!$W$15,ROW(AN427)-ROW(AN$15),0),15-13*ORÇAMENTO!$AF$11)),
         0)</f>
        <v>0</v>
      </c>
      <c r="AO427" s="453">
        <f ca="1">IF(AND($D427="Serviço",AO$12&lt;&gt;0,$H427&gt;0,OR(AUTOEVENTO&lt;&gt;"manual",$M427&lt;&gt;$A$15)),
        IF(Import.TipoArredondamento&lt;&gt;"TransfereGOV",
              ROUND(OFFSET($P427,0,AO$13),15-13*ORÇAMENTO!$AF$7)/$H427*OFFSET(ORÇAMENTO!$X$15,ROW(AO427)-ROW(AO$15),0),
              ROUND(ROUND(OFFSET($P427,0,AO$13),15-13*ORÇAMENTO!$AF$7)*OFFSET(ORÇAMENTO!$W$15,ROW(AO427)-ROW(AO$15),0),15-13*ORÇAMENTO!$AF$11)),
         0)</f>
        <v>0</v>
      </c>
      <c r="AP427" s="453">
        <f ca="1">IF(AND($D427="Serviço",AP$12&lt;&gt;0,$H427&gt;0,OR(AUTOEVENTO&lt;&gt;"manual",$M427&lt;&gt;$A$15)),
        IF(Import.TipoArredondamento&lt;&gt;"TransfereGOV",
              ROUND(OFFSET($P427,0,AP$13),15-13*ORÇAMENTO!$AF$7)/$H427*OFFSET(ORÇAMENTO!$X$15,ROW(AP427)-ROW(AP$15),0),
              ROUND(ROUND(OFFSET($P427,0,AP$13),15-13*ORÇAMENTO!$AF$7)*OFFSET(ORÇAMENTO!$W$15,ROW(AP427)-ROW(AP$15),0),15-13*ORÇAMENTO!$AF$11)),
         0)</f>
        <v>0</v>
      </c>
      <c r="AQ427" s="453">
        <f ca="1">IF(AND($D427="Serviço",AQ$12&lt;&gt;0,$H427&gt;0,OR(AUTOEVENTO&lt;&gt;"manual",$M427&lt;&gt;$A$15)),
        IF(Import.TipoArredondamento&lt;&gt;"TransfereGOV",
              ROUND(OFFSET($P427,0,AQ$13),15-13*ORÇAMENTO!$AF$7)/$H427*OFFSET(ORÇAMENTO!$X$15,ROW(AQ427)-ROW(AQ$15),0),
              ROUND(ROUND(OFFSET($P427,0,AQ$13),15-13*ORÇAMENTO!$AF$7)*OFFSET(ORÇAMENTO!$W$15,ROW(AQ427)-ROW(AQ$15),0),15-13*ORÇAMENTO!$AF$11)),
         0)</f>
        <v>0</v>
      </c>
      <c r="AR427" s="453">
        <f ca="1">IF(AND($D427="Serviço",AR$12&lt;&gt;0,$H427&gt;0,OR(AUTOEVENTO&lt;&gt;"manual",$M427&lt;&gt;$A$15)),
        IF(Import.TipoArredondamento&lt;&gt;"TransfereGOV",
              ROUND(OFFSET($P427,0,AR$13),15-13*ORÇAMENTO!$AF$7)/$H427*OFFSET(ORÇAMENTO!$X$15,ROW(AR427)-ROW(AR$15),0),
              ROUND(ROUND(OFFSET($P427,0,AR$13),15-13*ORÇAMENTO!$AF$7)*OFFSET(ORÇAMENTO!$W$15,ROW(AR427)-ROW(AR$15),0),15-13*ORÇAMENTO!$AF$11)),
         0)</f>
        <v>0</v>
      </c>
      <c r="AS427" s="453">
        <f ca="1">IF(AND($D427="Serviço",AS$12&lt;&gt;0,$H427&gt;0,OR(AUTOEVENTO&lt;&gt;"manual",$M427&lt;&gt;$A$15)),
        IF(Import.TipoArredondamento&lt;&gt;"TransfereGOV",
              ROUND(OFFSET($P427,0,AS$13),15-13*ORÇAMENTO!$AF$7)/$H427*OFFSET(ORÇAMENTO!$X$15,ROW(AS427)-ROW(AS$15),0),
              ROUND(ROUND(OFFSET($P427,0,AS$13),15-13*ORÇAMENTO!$AF$7)*OFFSET(ORÇAMENTO!$W$15,ROW(AS427)-ROW(AS$15),0),15-13*ORÇAMENTO!$AF$11)),
         0)</f>
        <v>0</v>
      </c>
      <c r="AT427" s="453">
        <f ca="1">IF(AND($D427="Serviço",AT$12&lt;&gt;0,$H427&gt;0,OR(AUTOEVENTO&lt;&gt;"manual",$M427&lt;&gt;$A$15)),
        IF(Import.TipoArredondamento&lt;&gt;"TransfereGOV",
              ROUND(OFFSET($P427,0,AT$13),15-13*ORÇAMENTO!$AF$7)/$H427*OFFSET(ORÇAMENTO!$X$15,ROW(AT427)-ROW(AT$15),0),
              ROUND(ROUND(OFFSET($P427,0,AT$13),15-13*ORÇAMENTO!$AF$7)*OFFSET(ORÇAMENTO!$W$15,ROW(AT427)-ROW(AT$15),0),15-13*ORÇAMENTO!$AF$11)),
         0)</f>
        <v>0</v>
      </c>
      <c r="AU427" s="453">
        <f ca="1">IF(AND($D427="Serviço",AU$12&lt;&gt;0,$H427&gt;0,OR(AUTOEVENTO&lt;&gt;"manual",$M427&lt;&gt;$A$15)),
        IF(Import.TipoArredondamento&lt;&gt;"TransfereGOV",
              ROUND(OFFSET($P427,0,AU$13),15-13*ORÇAMENTO!$AF$7)/$H427*OFFSET(ORÇAMENTO!$X$15,ROW(AU427)-ROW(AU$15),0),
              ROUND(ROUND(OFFSET($P427,0,AU$13),15-13*ORÇAMENTO!$AF$7)*OFFSET(ORÇAMENTO!$W$15,ROW(AU427)-ROW(AU$15),0),15-13*ORÇAMENTO!$AF$11)),
         0)</f>
        <v>0</v>
      </c>
      <c r="AV427" s="453">
        <f ca="1">IF(AND($D427="Serviço",AV$12&lt;&gt;0,$H427&gt;0,OR(AUTOEVENTO&lt;&gt;"manual",$M427&lt;&gt;$A$15)),
        IF(Import.TipoArredondamento&lt;&gt;"TransfereGOV",
              ROUND(OFFSET($P427,0,AV$13),15-13*ORÇAMENTO!$AF$7)/$H427*OFFSET(ORÇAMENTO!$X$15,ROW(AV427)-ROW(AV$15),0),
              ROUND(ROUND(OFFSET($P427,0,AV$13),15-13*ORÇAMENTO!$AF$7)*OFFSET(ORÇAMENTO!$W$15,ROW(AV427)-ROW(AV$15),0),15-13*ORÇAMENTO!$AF$11)),
         0)</f>
        <v>0</v>
      </c>
      <c r="AW427" s="453">
        <f ca="1">IF(AND($D427="Serviço",AW$12&lt;&gt;0,$H427&gt;0,OR(AUTOEVENTO&lt;&gt;"manual",$M427&lt;&gt;$A$15)),
        IF(Import.TipoArredondamento&lt;&gt;"TransfereGOV",
              ROUND(OFFSET($P427,0,AW$13),15-13*ORÇAMENTO!$AF$7)/$H427*OFFSET(ORÇAMENTO!$X$15,ROW(AW427)-ROW(AW$15),0),
              ROUND(ROUND(OFFSET($P427,0,AW$13),15-13*ORÇAMENTO!$AF$7)*OFFSET(ORÇAMENTO!$W$15,ROW(AW427)-ROW(AW$15),0),15-13*ORÇAMENTO!$AF$11)),
         0)</f>
        <v>0</v>
      </c>
      <c r="AX427" s="453">
        <f ca="1">IF(AND($D427="Serviço",AX$12&lt;&gt;0,$H427&gt;0,OR(AUTOEVENTO&lt;&gt;"manual",$M427&lt;&gt;$A$15)),
        IF(Import.TipoArredondamento&lt;&gt;"TransfereGOV",
              ROUND(OFFSET($P427,0,AX$13),15-13*ORÇAMENTO!$AF$7)/$H427*OFFSET(ORÇAMENTO!$X$15,ROW(AX427)-ROW(AX$15),0),
              ROUND(ROUND(OFFSET($P427,0,AX$13),15-13*ORÇAMENTO!$AF$7)*OFFSET(ORÇAMENTO!$W$15,ROW(AX427)-ROW(AX$15),0),15-13*ORÇAMENTO!$AF$11)),
         0)</f>
        <v>0</v>
      </c>
      <c r="AY427" s="453">
        <f ca="1">IF(AND($D427="Serviço",AY$12&lt;&gt;0,$H427&gt;0,OR(AUTOEVENTO&lt;&gt;"manual",$M427&lt;&gt;$A$15)),
        IF(Import.TipoArredondamento&lt;&gt;"TransfereGOV",
              ROUND(OFFSET($P427,0,AY$13),15-13*ORÇAMENTO!$AF$7)/$H427*OFFSET(ORÇAMENTO!$X$15,ROW(AY427)-ROW(AY$15),0),
              ROUND(ROUND(OFFSET($P427,0,AY$13),15-13*ORÇAMENTO!$AF$7)*OFFSET(ORÇAMENTO!$W$15,ROW(AY427)-ROW(AY$15),0),15-13*ORÇAMENTO!$AF$11)),
         0)</f>
        <v>0</v>
      </c>
      <c r="AZ427" s="453">
        <f ca="1">IF(AND($D427="Serviço",AZ$12&lt;&gt;0,$H427&gt;0,OR(AUTOEVENTO&lt;&gt;"manual",$M427&lt;&gt;$A$15)),
        IF(Import.TipoArredondamento&lt;&gt;"TransfereGOV",
              ROUND(OFFSET($P427,0,AZ$13),15-13*ORÇAMENTO!$AF$7)/$H427*OFFSET(ORÇAMENTO!$X$15,ROW(AZ427)-ROW(AZ$15),0),
              ROUND(ROUND(OFFSET($P427,0,AZ$13),15-13*ORÇAMENTO!$AF$7)*OFFSET(ORÇAMENTO!$W$15,ROW(AZ427)-ROW(AZ$15),0),15-13*ORÇAMENTO!$AF$11)),
         0)</f>
        <v>0</v>
      </c>
      <c r="BA427" s="453">
        <f ca="1">IF(AND($D427="Serviço",BA$12&lt;&gt;0,$H427&gt;0,OR(AUTOEVENTO&lt;&gt;"manual",$M427&lt;&gt;$A$15)),
        IF(Import.TipoArredondamento&lt;&gt;"TransfereGOV",
              ROUND(OFFSET($P427,0,BA$13),15-13*ORÇAMENTO!$AF$7)/$H427*OFFSET(ORÇAMENTO!$X$15,ROW(BA427)-ROW(BA$15),0),
              ROUND(ROUND(OFFSET($P427,0,BA$13),15-13*ORÇAMENTO!$AF$7)*OFFSET(ORÇAMENTO!$W$15,ROW(BA427)-ROW(BA$15),0),15-13*ORÇAMENTO!$AF$11)),
         0)</f>
        <v>0</v>
      </c>
      <c r="BC427" s="171">
        <f ca="1">IF(OR($D427&lt;&gt;"Serviço",AND(AUTOEVENTO="Manual",$M427=$A$15)),0,
         IF(OFFSET(CRONOPLE!$F$15,$M427-$A$15,BC$13)=0,10^12,OFFSET(CRONOPLE!$F$15,$M427-$A$15,BC$13)))</f>
        <v>1</v>
      </c>
      <c r="BD427" s="171">
        <f ca="1">IF(OR($D427&lt;&gt;"Serviço",AND(AUTOEVENTO="Manual",$M427=$A$15)),0,
         IF(OFFSET(CRONOPLE!$F$15,$M427-$A$15,BD$13)=0,10^12,OFFSET(CRONOPLE!$F$15,$M427-$A$15,BD$13)))</f>
        <v>2</v>
      </c>
      <c r="BE427" s="171">
        <f ca="1">IF(OR($D427&lt;&gt;"Serviço",AND(AUTOEVENTO="Manual",$M427=$A$15)),0,
         IF(OFFSET(CRONOPLE!$F$15,$M427-$A$15,BE$13)=0,10^12,OFFSET(CRONOPLE!$F$15,$M427-$A$15,BE$13)))</f>
        <v>3</v>
      </c>
      <c r="BF427" s="171">
        <f ca="1">IF(OR($D427&lt;&gt;"Serviço",AND(AUTOEVENTO="Manual",$M427=$A$15)),0,
         IF(OFFSET(CRONOPLE!$F$15,$M427-$A$15,BF$13)=0,10^12,OFFSET(CRONOPLE!$F$15,$M427-$A$15,BF$13)))</f>
        <v>4</v>
      </c>
      <c r="BG427" s="171">
        <f ca="1">IF(OR($D427&lt;&gt;"Serviço",AND(AUTOEVENTO="Manual",$M427=$A$15)),0,
         IF(OFFSET(CRONOPLE!$F$15,$M427-$A$15,BG$13)=0,10^12,OFFSET(CRONOPLE!$F$15,$M427-$A$15,BG$13)))</f>
        <v>5</v>
      </c>
      <c r="BH427" s="171">
        <f ca="1">IF(OR($D427&lt;&gt;"Serviço",AND(AUTOEVENTO="Manual",$M427=$A$15)),0,
         IF(OFFSET(CRONOPLE!$F$15,$M427-$A$15,BH$13)=0,10^12,OFFSET(CRONOPLE!$F$15,$M427-$A$15,BH$13)))</f>
        <v>6</v>
      </c>
      <c r="BI427" s="171">
        <f ca="1">IF(OR($D427&lt;&gt;"Serviço",AND(AUTOEVENTO="Manual",$M427=$A$15)),0,
         IF(OFFSET(CRONOPLE!$F$15,$M427-$A$15,BI$13)=0,10^12,OFFSET(CRONOPLE!$F$15,$M427-$A$15,BI$13)))</f>
        <v>7</v>
      </c>
      <c r="BJ427" s="171">
        <f ca="1">IF(OR($D427&lt;&gt;"Serviço",AND(AUTOEVENTO="Manual",$M427=$A$15)),0,
         IF(OFFSET(CRONOPLE!$F$15,$M427-$A$15,BJ$13)=0,10^12,OFFSET(CRONOPLE!$F$15,$M427-$A$15,BJ$13)))</f>
        <v>8</v>
      </c>
      <c r="BK427" s="171">
        <f ca="1">IF(OR($D427&lt;&gt;"Serviço",AND(AUTOEVENTO="Manual",$M427=$A$15)),0,
         IF(OFFSET(CRONOPLE!$F$15,$M427-$A$15,BK$13)=0,10^12,OFFSET(CRONOPLE!$F$15,$M427-$A$15,BK$13)))</f>
        <v>9</v>
      </c>
      <c r="BL427" s="171">
        <f ca="1">IF(OR($D427&lt;&gt;"Serviço",AND(AUTOEVENTO="Manual",$M427=$A$15)),0,
         IF(OFFSET(CRONOPLE!$F$15,$M427-$A$15,BL$13)=0,10^12,OFFSET(CRONOPLE!$F$15,$M427-$A$15,BL$13)))</f>
        <v>1000000000000</v>
      </c>
      <c r="BM427" s="171">
        <f ca="1">IF(OR($D427&lt;&gt;"Serviço",AND(AUTOEVENTO="Manual",$M427=$A$15)),0,
         IF(OFFSET(CRONOPLE!$F$15,$M427-$A$15,BM$13)=0,10^12,OFFSET(CRONOPLE!$F$15,$M427-$A$15,BM$13)))</f>
        <v>1000000000000</v>
      </c>
      <c r="BN427" s="171">
        <f ca="1">IF(OR($D427&lt;&gt;"Serviço",AND(AUTOEVENTO="Manual",$M427=$A$15)),0,
         IF(OFFSET(CRONOPLE!$F$15,$M427-$A$15,BN$13)=0,10^12,OFFSET(CRONOPLE!$F$15,$M427-$A$15,BN$13)))</f>
        <v>1000000000000</v>
      </c>
      <c r="BO427" s="171">
        <f ca="1">IF(OR($D427&lt;&gt;"Serviço",AND(AUTOEVENTO="Manual",$M427=$A$15)),0,
         IF(OFFSET(CRONOPLE!$F$15,$M427-$A$15,BO$13)=0,10^12,OFFSET(CRONOPLE!$F$15,$M427-$A$15,BO$13)))</f>
        <v>1000000000000</v>
      </c>
      <c r="BP427" s="171">
        <f ca="1">IF(OR($D427&lt;&gt;"Serviço",AND(AUTOEVENTO="Manual",$M427=$A$15)),0,
         IF(OFFSET(CRONOPLE!$F$15,$M427-$A$15,BP$13)=0,10^12,OFFSET(CRONOPLE!$F$15,$M427-$A$15,BP$13)))</f>
        <v>1000000000000</v>
      </c>
      <c r="BQ427" s="171">
        <f ca="1">IF(OR($D427&lt;&gt;"Serviço",AND(AUTOEVENTO="Manual",$M427=$A$15)),0,
         IF(OFFSET(CRONOPLE!$F$15,$M427-$A$15,BQ$13)=0,10^12,OFFSET(CRONOPLE!$F$15,$M427-$A$15,BQ$13)))</f>
        <v>1000000000000</v>
      </c>
      <c r="BR427" s="171">
        <f ca="1">IF(OR($D427&lt;&gt;"Serviço",AND(AUTOEVENTO="Manual",$M427=$A$15)),0,
         IF(OFFSET(CRONOPLE!$F$15,$M427-$A$15,BR$13)=0,10^12,OFFSET(CRONOPLE!$F$15,$M427-$A$15,BR$13)))</f>
        <v>1000000000000</v>
      </c>
      <c r="BS427" s="171">
        <f ca="1">IF(OR($D427&lt;&gt;"Serviço",AND(AUTOEVENTO="Manual",$M427=$A$15)),0,
         IF(OFFSET(CRONOPLE!$F$15,$M427-$A$15,BS$13)=0,10^12,OFFSET(CRONOPLE!$F$15,$M427-$A$15,BS$13)))</f>
        <v>1000000000000</v>
      </c>
      <c r="BT427" s="171">
        <f ca="1">IF(OR($D427&lt;&gt;"Serviço",AND(AUTOEVENTO="Manual",$M427=$A$15)),0,
         IF(OFFSET(CRONOPLE!$F$15,$M427-$A$15,BT$13)=0,10^12,OFFSET(CRONOPLE!$F$15,$M427-$A$15,BT$13)))</f>
        <v>1000000000000</v>
      </c>
      <c r="BV427" s="172">
        <f ca="1">IF(OR($D427&lt;&gt;"Serviço",AND(AUTOEVENTO="Manual",$M427=$A$15),$M427&gt;(ROW(PLE.lastrow)-ROW(PLE.firstrow))),0,
           IF(OFFSET(PLE!$G$15,$M427-$A$15,BV$13)="",10^12,OFFSET(PLE!$G$15,$M427-$A$15,BV$13)))</f>
        <v>1000000000000</v>
      </c>
      <c r="BW427" s="172">
        <f ca="1">IF(OR($D427&lt;&gt;"Serviço",AND(AUTOEVENTO="Manual",$M427=$A$15),$M427&gt;(ROW(PLE.lastrow)-ROW(PLE.firstrow))),0,
           IF(OFFSET(PLE!$G$15,$M427-$A$15,BW$13)="",10^12,OFFSET(PLE!$G$15,$M427-$A$15,BW$13)))</f>
        <v>1000000000000</v>
      </c>
      <c r="BX427" s="172">
        <f ca="1">IF(OR($D427&lt;&gt;"Serviço",AND(AUTOEVENTO="Manual",$M427=$A$15),$M427&gt;(ROW(PLE.lastrow)-ROW(PLE.firstrow))),0,
           IF(OFFSET(PLE!$G$15,$M427-$A$15,BX$13)="",10^12,OFFSET(PLE!$G$15,$M427-$A$15,BX$13)))</f>
        <v>1000000000000</v>
      </c>
      <c r="BY427" s="172">
        <f ca="1">IF(OR($D427&lt;&gt;"Serviço",AND(AUTOEVENTO="Manual",$M427=$A$15),$M427&gt;(ROW(PLE.lastrow)-ROW(PLE.firstrow))),0,
           IF(OFFSET(PLE!$G$15,$M427-$A$15,BY$13)="",10^12,OFFSET(PLE!$G$15,$M427-$A$15,BY$13)))</f>
        <v>1000000000000</v>
      </c>
      <c r="BZ427" s="172">
        <f ca="1">IF(OR($D427&lt;&gt;"Serviço",AND(AUTOEVENTO="Manual",$M427=$A$15),$M427&gt;(ROW(PLE.lastrow)-ROW(PLE.firstrow))),0,
           IF(OFFSET(PLE!$G$15,$M427-$A$15,BZ$13)="",10^12,OFFSET(PLE!$G$15,$M427-$A$15,BZ$13)))</f>
        <v>1000000000000</v>
      </c>
      <c r="CA427" s="172">
        <f ca="1">IF(OR($D427&lt;&gt;"Serviço",AND(AUTOEVENTO="Manual",$M427=$A$15),$M427&gt;(ROW(PLE.lastrow)-ROW(PLE.firstrow))),0,
           IF(OFFSET(PLE!$G$15,$M427-$A$15,CA$13)="",10^12,OFFSET(PLE!$G$15,$M427-$A$15,CA$13)))</f>
        <v>1000000000000</v>
      </c>
      <c r="CB427" s="172">
        <f ca="1">IF(OR($D427&lt;&gt;"Serviço",AND(AUTOEVENTO="Manual",$M427=$A$15),$M427&gt;(ROW(PLE.lastrow)-ROW(PLE.firstrow))),0,
           IF(OFFSET(PLE!$G$15,$M427-$A$15,CB$13)="",10^12,OFFSET(PLE!$G$15,$M427-$A$15,CB$13)))</f>
        <v>1000000000000</v>
      </c>
      <c r="CC427" s="172">
        <f ca="1">IF(OR($D427&lt;&gt;"Serviço",AND(AUTOEVENTO="Manual",$M427=$A$15),$M427&gt;(ROW(PLE.lastrow)-ROW(PLE.firstrow))),0,
           IF(OFFSET(PLE!$G$15,$M427-$A$15,CC$13)="",10^12,OFFSET(PLE!$G$15,$M427-$A$15,CC$13)))</f>
        <v>1000000000000</v>
      </c>
      <c r="CD427" s="172">
        <f ca="1">IF(OR($D427&lt;&gt;"Serviço",AND(AUTOEVENTO="Manual",$M427=$A$15),$M427&gt;(ROW(PLE.lastrow)-ROW(PLE.firstrow))),0,
           IF(OFFSET(PLE!$G$15,$M427-$A$15,CD$13)="",10^12,OFFSET(PLE!$G$15,$M427-$A$15,CD$13)))</f>
        <v>1000000000000</v>
      </c>
      <c r="CE427" s="172">
        <f ca="1">IF(OR($D427&lt;&gt;"Serviço",AND(AUTOEVENTO="Manual",$M427=$A$15),$M427&gt;(ROW(PLE.lastrow)-ROW(PLE.firstrow))),0,
           IF(OFFSET(PLE!$G$15,$M427-$A$15,CE$13)="",10^12,OFFSET(PLE!$G$15,$M427-$A$15,CE$13)))</f>
        <v>1000000000000</v>
      </c>
      <c r="CF427" s="172">
        <f ca="1">IF(OR($D427&lt;&gt;"Serviço",AND(AUTOEVENTO="Manual",$M427=$A$15),$M427&gt;(ROW(PLE.lastrow)-ROW(PLE.firstrow))),0,
           IF(OFFSET(PLE!$G$15,$M427-$A$15,CF$13)="",10^12,OFFSET(PLE!$G$15,$M427-$A$15,CF$13)))</f>
        <v>1000000000000</v>
      </c>
      <c r="CG427" s="172">
        <f ca="1">IF(OR($D427&lt;&gt;"Serviço",AND(AUTOEVENTO="Manual",$M427=$A$15),$M427&gt;(ROW(PLE.lastrow)-ROW(PLE.firstrow))),0,
           IF(OFFSET(PLE!$G$15,$M427-$A$15,CG$13)="",10^12,OFFSET(PLE!$G$15,$M427-$A$15,CG$13)))</f>
        <v>1000000000000</v>
      </c>
      <c r="CH427" s="172">
        <f ca="1">IF(OR($D427&lt;&gt;"Serviço",AND(AUTOEVENTO="Manual",$M427=$A$15),$M427&gt;(ROW(PLE.lastrow)-ROW(PLE.firstrow))),0,
           IF(OFFSET(PLE!$G$15,$M427-$A$15,CH$13)="",10^12,OFFSET(PLE!$G$15,$M427-$A$15,CH$13)))</f>
        <v>1000000000000</v>
      </c>
      <c r="CI427" s="172">
        <f ca="1">IF(OR($D427&lt;&gt;"Serviço",AND(AUTOEVENTO="Manual",$M427=$A$15),$M427&gt;(ROW(PLE.lastrow)-ROW(PLE.firstrow))),0,
           IF(OFFSET(PLE!$G$15,$M427-$A$15,CI$13)="",10^12,OFFSET(PLE!$G$15,$M427-$A$15,CI$13)))</f>
        <v>1000000000000</v>
      </c>
      <c r="CJ427" s="172">
        <f ca="1">IF(OR($D427&lt;&gt;"Serviço",AND(AUTOEVENTO="Manual",$M427=$A$15),$M427&gt;(ROW(PLE.lastrow)-ROW(PLE.firstrow))),0,
           IF(OFFSET(PLE!$G$15,$M427-$A$15,CJ$13)="",10^12,OFFSET(PLE!$G$15,$M427-$A$15,CJ$13)))</f>
        <v>1000000000000</v>
      </c>
      <c r="CK427" s="172">
        <f ca="1">IF(OR($D427&lt;&gt;"Serviço",AND(AUTOEVENTO="Manual",$M427=$A$15),$M427&gt;(ROW(PLE.lastrow)-ROW(PLE.firstrow))),0,
           IF(OFFSET(PLE!$G$15,$M427-$A$15,CK$13)="",10^12,OFFSET(PLE!$G$15,$M427-$A$15,CK$13)))</f>
        <v>1000000000000</v>
      </c>
      <c r="CL427" s="172">
        <f ca="1">IF(OR($D427&lt;&gt;"Serviço",AND(AUTOEVENTO="Manual",$M427=$A$15),$M427&gt;(ROW(PLE.lastrow)-ROW(PLE.firstrow))),0,
           IF(OFFSET(PLE!$G$15,$M427-$A$15,CL$13)="",10^12,OFFSET(PLE!$G$15,$M427-$A$15,CL$13)))</f>
        <v>1000000000000</v>
      </c>
      <c r="CM427" s="172">
        <f ca="1">IF(OR($D427&lt;&gt;"Serviço",AND(AUTOEVENTO="Manual",$M427=$A$15),$M427&gt;(ROW(PLE.lastrow)-ROW(PLE.firstrow))),0,
           IF(OFFSET(PLE!$G$15,$M427-$A$15,CM$13)="",10^12,OFFSET(PLE!$G$15,$M427-$A$15,CM$13)))</f>
        <v>1000000000000</v>
      </c>
    </row>
    <row r="428" spans="1:91" ht="38.25" x14ac:dyDescent="0.2">
      <c r="A428" s="7">
        <f t="shared" ca="1" si="16"/>
        <v>7</v>
      </c>
      <c r="B428" s="7" t="str">
        <f ca="1">OFFSET(ORÇAMENTO!C$15,ROW(B428)-ROW(B$15),0)</f>
        <v>S</v>
      </c>
      <c r="C428" s="7" t="str">
        <f ca="1">OFFSET(ORÇAMENTO!L$15,ROW(C428)-ROW(C$15),0)</f>
        <v>F</v>
      </c>
      <c r="D428" s="116" t="str">
        <f ca="1">OFFSET(ORÇAMENTO!N$15,ROW(D428)-ROW(D$15),0)</f>
        <v>Serviço</v>
      </c>
      <c r="E428" s="117" t="str">
        <f ca="1">OFFSET(ORÇAMENTO!O$15,ROW(E428)-ROW(E$15),0)</f>
        <v>1.8.2.4.18.</v>
      </c>
      <c r="F428" s="163" t="str">
        <f ca="1">OFFSET(ORÇAMENTO!R$15,ROW(F428)-ROW(F$15),0)</f>
        <v>AUTOTRANSFORMADOR TRIFÁSICO 1.01kVA E/S 220/440V 60Hz IP00, FORNECIMENTO E INSTALAÇÃO - BASEADO EM SIURB (9014034)</v>
      </c>
      <c r="G428" s="164" t="str">
        <f ca="1">IF($D428&lt;&gt;"Serviço","",OFFSET(ORÇAMENTO!S$15,ROW(G428)-ROW(G$15),0))</f>
        <v>UN</v>
      </c>
      <c r="H428" s="122" cm="1">
        <f t="array" aca="1" ref="H428" ca="1">IF($D428&lt;&gt;"Serviço",0,IF(ACOMPANHAMENTO="BM",ROUND(OFFSET(ORÇAMENTO!AJ$15,ROW(H428)-ROW(H$15),0),15-13*ORÇAMENTO!$AF$7),SUMPRODUCT(($Q$1:$AI$1=1)*ROUND($Q428:$AI428,15-13*ORÇAMENTO!$AF$7))))</f>
        <v>1</v>
      </c>
      <c r="I428" s="468" t="s">
        <v>1431</v>
      </c>
      <c r="J428" s="640" t="str" cm="1">
        <f t="array" aca="1" ref="J428" ca="1">IF(OR(B428&lt;&gt;"S",CÁLCULO.FrentesPreenchidas=0),"",IF(AND(ACOMPANHAMENTO="PLE",AUTOEVENTO="Manual",OR(H428&gt;0,ORÇAMENTO!AC428="QUANT."),OR(K428="",M428=0,N428="")),"►E",IF(AND(ACOMPANHAMENTO="PLE",ORÇAMENTO!AC428="QUANT."),"►Q",IF(AND(ACOMPANHAMENTO="PLE",H428&lt;&gt;SUMPRODUCT(($Q$1:$AI$1=1)*ROUND(Q428:AI428,15))),"►S",IF(AND(COUNTIF($P$11:$AI$11,"▼")=0,H428&gt;0,I428=""),"◄M","")))))</f>
        <v/>
      </c>
      <c r="K428" s="641" t="s">
        <v>1391</v>
      </c>
      <c r="L428" s="165" t="s">
        <v>764</v>
      </c>
      <c r="M428" s="166">
        <f ca="1">IF($D428&lt;&gt;"Serviço","",
          IF(AUTOEVENTO="manual",$A428,
                IF(ISERROR(MATCH($A428,$A$15:OFFSET($A428,-1,0),0)),MAX($M$15:OFFSET(M428,-1,0))+1,
                      INDEX($M$15:OFFSET(M428,-1,0),MATCH($A428,$A$15:OFFSET($A428,-1,0),0)))))</f>
        <v>7</v>
      </c>
      <c r="N428" s="167" t="str">
        <f ca="1">IF($D428&lt;&gt;"Serviço","",
         IF(AUTOEVENTO="Manual",
                IF($A428=0,"&lt;-- defina o número do agrupador",
                       OFFSET(EVENTOS!$D$15,$A428-$A$15,0)),
                OFFSET($F$15,$A428,0)))</f>
        <v>Instalações Elétricas</v>
      </c>
      <c r="O428" s="168"/>
      <c r="Q428" s="168"/>
      <c r="R428" s="169"/>
      <c r="S428" s="169"/>
      <c r="T428" s="169"/>
      <c r="U428" s="169"/>
      <c r="V428" s="169"/>
      <c r="W428" s="169"/>
      <c r="X428" s="169">
        <v>1</v>
      </c>
      <c r="Y428" s="169"/>
      <c r="Z428" s="170"/>
      <c r="AA428" s="169"/>
      <c r="AB428" s="169"/>
      <c r="AC428" s="169"/>
      <c r="AD428" s="169"/>
      <c r="AE428" s="169"/>
      <c r="AF428" s="169"/>
      <c r="AG428" s="169"/>
      <c r="AH428" s="170"/>
      <c r="AJ428" s="453">
        <f ca="1">IF(AND($D428="Serviço",AJ$12&lt;&gt;0,$H428&gt;0,OR(AUTOEVENTO&lt;&gt;"manual",$M428&lt;&gt;$A$15)),
        IF(Import.TipoArredondamento&lt;&gt;"TransfereGOV",
              ROUND(OFFSET($P428,0,AJ$13),15-13*ORÇAMENTO!$AF$7)/$H428*OFFSET(ORÇAMENTO!$X$15,ROW(AJ428)-ROW(AJ$15),0),
              ROUND(ROUND(OFFSET($P428,0,AJ$13),15-13*ORÇAMENTO!$AF$7)*OFFSET(ORÇAMENTO!$W$15,ROW(AJ428)-ROW(AJ$15),0),15-13*ORÇAMENTO!$AF$11)),
         0)</f>
        <v>0</v>
      </c>
      <c r="AK428" s="453">
        <f ca="1">IF(AND($D428="Serviço",AK$12&lt;&gt;0,$H428&gt;0,OR(AUTOEVENTO&lt;&gt;"manual",$M428&lt;&gt;$A$15)),
        IF(Import.TipoArredondamento&lt;&gt;"TransfereGOV",
              ROUND(OFFSET($P428,0,AK$13),15-13*ORÇAMENTO!$AF$7)/$H428*OFFSET(ORÇAMENTO!$X$15,ROW(AK428)-ROW(AK$15),0),
              ROUND(ROUND(OFFSET($P428,0,AK$13),15-13*ORÇAMENTO!$AF$7)*OFFSET(ORÇAMENTO!$W$15,ROW(AK428)-ROW(AK$15),0),15-13*ORÇAMENTO!$AF$11)),
         0)</f>
        <v>0</v>
      </c>
      <c r="AL428" s="453">
        <f ca="1">IF(AND($D428="Serviço",AL$12&lt;&gt;0,$H428&gt;0,OR(AUTOEVENTO&lt;&gt;"manual",$M428&lt;&gt;$A$15)),
        IF(Import.TipoArredondamento&lt;&gt;"TransfereGOV",
              ROUND(OFFSET($P428,0,AL$13),15-13*ORÇAMENTO!$AF$7)/$H428*OFFSET(ORÇAMENTO!$X$15,ROW(AL428)-ROW(AL$15),0),
              ROUND(ROUND(OFFSET($P428,0,AL$13),15-13*ORÇAMENTO!$AF$7)*OFFSET(ORÇAMENTO!$W$15,ROW(AL428)-ROW(AL$15),0),15-13*ORÇAMENTO!$AF$11)),
         0)</f>
        <v>0</v>
      </c>
      <c r="AM428" s="453">
        <f ca="1">IF(AND($D428="Serviço",AM$12&lt;&gt;0,$H428&gt;0,OR(AUTOEVENTO&lt;&gt;"manual",$M428&lt;&gt;$A$15)),
        IF(Import.TipoArredondamento&lt;&gt;"TransfereGOV",
              ROUND(OFFSET($P428,0,AM$13),15-13*ORÇAMENTO!$AF$7)/$H428*OFFSET(ORÇAMENTO!$X$15,ROW(AM428)-ROW(AM$15),0),
              ROUND(ROUND(OFFSET($P428,0,AM$13),15-13*ORÇAMENTO!$AF$7)*OFFSET(ORÇAMENTO!$W$15,ROW(AM428)-ROW(AM$15),0),15-13*ORÇAMENTO!$AF$11)),
         0)</f>
        <v>0</v>
      </c>
      <c r="AN428" s="453">
        <f ca="1">IF(AND($D428="Serviço",AN$12&lt;&gt;0,$H428&gt;0,OR(AUTOEVENTO&lt;&gt;"manual",$M428&lt;&gt;$A$15)),
        IF(Import.TipoArredondamento&lt;&gt;"TransfereGOV",
              ROUND(OFFSET($P428,0,AN$13),15-13*ORÇAMENTO!$AF$7)/$H428*OFFSET(ORÇAMENTO!$X$15,ROW(AN428)-ROW(AN$15),0),
              ROUND(ROUND(OFFSET($P428,0,AN$13),15-13*ORÇAMENTO!$AF$7)*OFFSET(ORÇAMENTO!$W$15,ROW(AN428)-ROW(AN$15),0),15-13*ORÇAMENTO!$AF$11)),
         0)</f>
        <v>0</v>
      </c>
      <c r="AO428" s="453">
        <f ca="1">IF(AND($D428="Serviço",AO$12&lt;&gt;0,$H428&gt;0,OR(AUTOEVENTO&lt;&gt;"manual",$M428&lt;&gt;$A$15)),
        IF(Import.TipoArredondamento&lt;&gt;"TransfereGOV",
              ROUND(OFFSET($P428,0,AO$13),15-13*ORÇAMENTO!$AF$7)/$H428*OFFSET(ORÇAMENTO!$X$15,ROW(AO428)-ROW(AO$15),0),
              ROUND(ROUND(OFFSET($P428,0,AO$13),15-13*ORÇAMENTO!$AF$7)*OFFSET(ORÇAMENTO!$W$15,ROW(AO428)-ROW(AO$15),0),15-13*ORÇAMENTO!$AF$11)),
         0)</f>
        <v>0</v>
      </c>
      <c r="AP428" s="453">
        <f ca="1">IF(AND($D428="Serviço",AP$12&lt;&gt;0,$H428&gt;0,OR(AUTOEVENTO&lt;&gt;"manual",$M428&lt;&gt;$A$15)),
        IF(Import.TipoArredondamento&lt;&gt;"TransfereGOV",
              ROUND(OFFSET($P428,0,AP$13),15-13*ORÇAMENTO!$AF$7)/$H428*OFFSET(ORÇAMENTO!$X$15,ROW(AP428)-ROW(AP$15),0),
              ROUND(ROUND(OFFSET($P428,0,AP$13),15-13*ORÇAMENTO!$AF$7)*OFFSET(ORÇAMENTO!$W$15,ROW(AP428)-ROW(AP$15),0),15-13*ORÇAMENTO!$AF$11)),
         0)</f>
        <v>0</v>
      </c>
      <c r="AQ428" s="453">
        <f ca="1">IF(AND($D428="Serviço",AQ$12&lt;&gt;0,$H428&gt;0,OR(AUTOEVENTO&lt;&gt;"manual",$M428&lt;&gt;$A$15)),
        IF(Import.TipoArredondamento&lt;&gt;"TransfereGOV",
              ROUND(OFFSET($P428,0,AQ$13),15-13*ORÇAMENTO!$AF$7)/$H428*OFFSET(ORÇAMENTO!$X$15,ROW(AQ428)-ROW(AQ$15),0),
              ROUND(ROUND(OFFSET($P428,0,AQ$13),15-13*ORÇAMENTO!$AF$7)*OFFSET(ORÇAMENTO!$W$15,ROW(AQ428)-ROW(AQ$15),0),15-13*ORÇAMENTO!$AF$11)),
         0)</f>
        <v>0</v>
      </c>
      <c r="AR428" s="453">
        <f ca="1">IF(AND($D428="Serviço",AR$12&lt;&gt;0,$H428&gt;0,OR(AUTOEVENTO&lt;&gt;"manual",$M428&lt;&gt;$A$15)),
        IF(Import.TipoArredondamento&lt;&gt;"TransfereGOV",
              ROUND(OFFSET($P428,0,AR$13),15-13*ORÇAMENTO!$AF$7)/$H428*OFFSET(ORÇAMENTO!$X$15,ROW(AR428)-ROW(AR$15),0),
              ROUND(ROUND(OFFSET($P428,0,AR$13),15-13*ORÇAMENTO!$AF$7)*OFFSET(ORÇAMENTO!$W$15,ROW(AR428)-ROW(AR$15),0),15-13*ORÇAMENTO!$AF$11)),
         0)</f>
        <v>0</v>
      </c>
      <c r="AS428" s="453">
        <f ca="1">IF(AND($D428="Serviço",AS$12&lt;&gt;0,$H428&gt;0,OR(AUTOEVENTO&lt;&gt;"manual",$M428&lt;&gt;$A$15)),
        IF(Import.TipoArredondamento&lt;&gt;"TransfereGOV",
              ROUND(OFFSET($P428,0,AS$13),15-13*ORÇAMENTO!$AF$7)/$H428*OFFSET(ORÇAMENTO!$X$15,ROW(AS428)-ROW(AS$15),0),
              ROUND(ROUND(OFFSET($P428,0,AS$13),15-13*ORÇAMENTO!$AF$7)*OFFSET(ORÇAMENTO!$W$15,ROW(AS428)-ROW(AS$15),0),15-13*ORÇAMENTO!$AF$11)),
         0)</f>
        <v>0</v>
      </c>
      <c r="AT428" s="453">
        <f ca="1">IF(AND($D428="Serviço",AT$12&lt;&gt;0,$H428&gt;0,OR(AUTOEVENTO&lt;&gt;"manual",$M428&lt;&gt;$A$15)),
        IF(Import.TipoArredondamento&lt;&gt;"TransfereGOV",
              ROUND(OFFSET($P428,0,AT$13),15-13*ORÇAMENTO!$AF$7)/$H428*OFFSET(ORÇAMENTO!$X$15,ROW(AT428)-ROW(AT$15),0),
              ROUND(ROUND(OFFSET($P428,0,AT$13),15-13*ORÇAMENTO!$AF$7)*OFFSET(ORÇAMENTO!$W$15,ROW(AT428)-ROW(AT$15),0),15-13*ORÇAMENTO!$AF$11)),
         0)</f>
        <v>0</v>
      </c>
      <c r="AU428" s="453">
        <f ca="1">IF(AND($D428="Serviço",AU$12&lt;&gt;0,$H428&gt;0,OR(AUTOEVENTO&lt;&gt;"manual",$M428&lt;&gt;$A$15)),
        IF(Import.TipoArredondamento&lt;&gt;"TransfereGOV",
              ROUND(OFFSET($P428,0,AU$13),15-13*ORÇAMENTO!$AF$7)/$H428*OFFSET(ORÇAMENTO!$X$15,ROW(AU428)-ROW(AU$15),0),
              ROUND(ROUND(OFFSET($P428,0,AU$13),15-13*ORÇAMENTO!$AF$7)*OFFSET(ORÇAMENTO!$W$15,ROW(AU428)-ROW(AU$15),0),15-13*ORÇAMENTO!$AF$11)),
         0)</f>
        <v>0</v>
      </c>
      <c r="AV428" s="453">
        <f ca="1">IF(AND($D428="Serviço",AV$12&lt;&gt;0,$H428&gt;0,OR(AUTOEVENTO&lt;&gt;"manual",$M428&lt;&gt;$A$15)),
        IF(Import.TipoArredondamento&lt;&gt;"TransfereGOV",
              ROUND(OFFSET($P428,0,AV$13),15-13*ORÇAMENTO!$AF$7)/$H428*OFFSET(ORÇAMENTO!$X$15,ROW(AV428)-ROW(AV$15),0),
              ROUND(ROUND(OFFSET($P428,0,AV$13),15-13*ORÇAMENTO!$AF$7)*OFFSET(ORÇAMENTO!$W$15,ROW(AV428)-ROW(AV$15),0),15-13*ORÇAMENTO!$AF$11)),
         0)</f>
        <v>0</v>
      </c>
      <c r="AW428" s="453">
        <f ca="1">IF(AND($D428="Serviço",AW$12&lt;&gt;0,$H428&gt;0,OR(AUTOEVENTO&lt;&gt;"manual",$M428&lt;&gt;$A$15)),
        IF(Import.TipoArredondamento&lt;&gt;"TransfereGOV",
              ROUND(OFFSET($P428,0,AW$13),15-13*ORÇAMENTO!$AF$7)/$H428*OFFSET(ORÇAMENTO!$X$15,ROW(AW428)-ROW(AW$15),0),
              ROUND(ROUND(OFFSET($P428,0,AW$13),15-13*ORÇAMENTO!$AF$7)*OFFSET(ORÇAMENTO!$W$15,ROW(AW428)-ROW(AW$15),0),15-13*ORÇAMENTO!$AF$11)),
         0)</f>
        <v>0</v>
      </c>
      <c r="AX428" s="453">
        <f ca="1">IF(AND($D428="Serviço",AX$12&lt;&gt;0,$H428&gt;0,OR(AUTOEVENTO&lt;&gt;"manual",$M428&lt;&gt;$A$15)),
        IF(Import.TipoArredondamento&lt;&gt;"TransfereGOV",
              ROUND(OFFSET($P428,0,AX$13),15-13*ORÇAMENTO!$AF$7)/$H428*OFFSET(ORÇAMENTO!$X$15,ROW(AX428)-ROW(AX$15),0),
              ROUND(ROUND(OFFSET($P428,0,AX$13),15-13*ORÇAMENTO!$AF$7)*OFFSET(ORÇAMENTO!$W$15,ROW(AX428)-ROW(AX$15),0),15-13*ORÇAMENTO!$AF$11)),
         0)</f>
        <v>0</v>
      </c>
      <c r="AY428" s="453">
        <f ca="1">IF(AND($D428="Serviço",AY$12&lt;&gt;0,$H428&gt;0,OR(AUTOEVENTO&lt;&gt;"manual",$M428&lt;&gt;$A$15)),
        IF(Import.TipoArredondamento&lt;&gt;"TransfereGOV",
              ROUND(OFFSET($P428,0,AY$13),15-13*ORÇAMENTO!$AF$7)/$H428*OFFSET(ORÇAMENTO!$X$15,ROW(AY428)-ROW(AY$15),0),
              ROUND(ROUND(OFFSET($P428,0,AY$13),15-13*ORÇAMENTO!$AF$7)*OFFSET(ORÇAMENTO!$W$15,ROW(AY428)-ROW(AY$15),0),15-13*ORÇAMENTO!$AF$11)),
         0)</f>
        <v>0</v>
      </c>
      <c r="AZ428" s="453">
        <f ca="1">IF(AND($D428="Serviço",AZ$12&lt;&gt;0,$H428&gt;0,OR(AUTOEVENTO&lt;&gt;"manual",$M428&lt;&gt;$A$15)),
        IF(Import.TipoArredondamento&lt;&gt;"TransfereGOV",
              ROUND(OFFSET($P428,0,AZ$13),15-13*ORÇAMENTO!$AF$7)/$H428*OFFSET(ORÇAMENTO!$X$15,ROW(AZ428)-ROW(AZ$15),0),
              ROUND(ROUND(OFFSET($P428,0,AZ$13),15-13*ORÇAMENTO!$AF$7)*OFFSET(ORÇAMENTO!$W$15,ROW(AZ428)-ROW(AZ$15),0),15-13*ORÇAMENTO!$AF$11)),
         0)</f>
        <v>0</v>
      </c>
      <c r="BA428" s="453">
        <f ca="1">IF(AND($D428="Serviço",BA$12&lt;&gt;0,$H428&gt;0,OR(AUTOEVENTO&lt;&gt;"manual",$M428&lt;&gt;$A$15)),
        IF(Import.TipoArredondamento&lt;&gt;"TransfereGOV",
              ROUND(OFFSET($P428,0,BA$13),15-13*ORÇAMENTO!$AF$7)/$H428*OFFSET(ORÇAMENTO!$X$15,ROW(BA428)-ROW(BA$15),0),
              ROUND(ROUND(OFFSET($P428,0,BA$13),15-13*ORÇAMENTO!$AF$7)*OFFSET(ORÇAMENTO!$W$15,ROW(BA428)-ROW(BA$15),0),15-13*ORÇAMENTO!$AF$11)),
         0)</f>
        <v>0</v>
      </c>
      <c r="BC428" s="171">
        <f ca="1">IF(OR($D428&lt;&gt;"Serviço",AND(AUTOEVENTO="Manual",$M428=$A$15)),0,
         IF(OFFSET(CRONOPLE!$F$15,$M428-$A$15,BC$13)=0,10^12,OFFSET(CRONOPLE!$F$15,$M428-$A$15,BC$13)))</f>
        <v>1</v>
      </c>
      <c r="BD428" s="171">
        <f ca="1">IF(OR($D428&lt;&gt;"Serviço",AND(AUTOEVENTO="Manual",$M428=$A$15)),0,
         IF(OFFSET(CRONOPLE!$F$15,$M428-$A$15,BD$13)=0,10^12,OFFSET(CRONOPLE!$F$15,$M428-$A$15,BD$13)))</f>
        <v>2</v>
      </c>
      <c r="BE428" s="171">
        <f ca="1">IF(OR($D428&lt;&gt;"Serviço",AND(AUTOEVENTO="Manual",$M428=$A$15)),0,
         IF(OFFSET(CRONOPLE!$F$15,$M428-$A$15,BE$13)=0,10^12,OFFSET(CRONOPLE!$F$15,$M428-$A$15,BE$13)))</f>
        <v>3</v>
      </c>
      <c r="BF428" s="171">
        <f ca="1">IF(OR($D428&lt;&gt;"Serviço",AND(AUTOEVENTO="Manual",$M428=$A$15)),0,
         IF(OFFSET(CRONOPLE!$F$15,$M428-$A$15,BF$13)=0,10^12,OFFSET(CRONOPLE!$F$15,$M428-$A$15,BF$13)))</f>
        <v>4</v>
      </c>
      <c r="BG428" s="171">
        <f ca="1">IF(OR($D428&lt;&gt;"Serviço",AND(AUTOEVENTO="Manual",$M428=$A$15)),0,
         IF(OFFSET(CRONOPLE!$F$15,$M428-$A$15,BG$13)=0,10^12,OFFSET(CRONOPLE!$F$15,$M428-$A$15,BG$13)))</f>
        <v>5</v>
      </c>
      <c r="BH428" s="171">
        <f ca="1">IF(OR($D428&lt;&gt;"Serviço",AND(AUTOEVENTO="Manual",$M428=$A$15)),0,
         IF(OFFSET(CRONOPLE!$F$15,$M428-$A$15,BH$13)=0,10^12,OFFSET(CRONOPLE!$F$15,$M428-$A$15,BH$13)))</f>
        <v>6</v>
      </c>
      <c r="BI428" s="171">
        <f ca="1">IF(OR($D428&lt;&gt;"Serviço",AND(AUTOEVENTO="Manual",$M428=$A$15)),0,
         IF(OFFSET(CRONOPLE!$F$15,$M428-$A$15,BI$13)=0,10^12,OFFSET(CRONOPLE!$F$15,$M428-$A$15,BI$13)))</f>
        <v>7</v>
      </c>
      <c r="BJ428" s="171">
        <f ca="1">IF(OR($D428&lt;&gt;"Serviço",AND(AUTOEVENTO="Manual",$M428=$A$15)),0,
         IF(OFFSET(CRONOPLE!$F$15,$M428-$A$15,BJ$13)=0,10^12,OFFSET(CRONOPLE!$F$15,$M428-$A$15,BJ$13)))</f>
        <v>8</v>
      </c>
      <c r="BK428" s="171">
        <f ca="1">IF(OR($D428&lt;&gt;"Serviço",AND(AUTOEVENTO="Manual",$M428=$A$15)),0,
         IF(OFFSET(CRONOPLE!$F$15,$M428-$A$15,BK$13)=0,10^12,OFFSET(CRONOPLE!$F$15,$M428-$A$15,BK$13)))</f>
        <v>9</v>
      </c>
      <c r="BL428" s="171">
        <f ca="1">IF(OR($D428&lt;&gt;"Serviço",AND(AUTOEVENTO="Manual",$M428=$A$15)),0,
         IF(OFFSET(CRONOPLE!$F$15,$M428-$A$15,BL$13)=0,10^12,OFFSET(CRONOPLE!$F$15,$M428-$A$15,BL$13)))</f>
        <v>1000000000000</v>
      </c>
      <c r="BM428" s="171">
        <f ca="1">IF(OR($D428&lt;&gt;"Serviço",AND(AUTOEVENTO="Manual",$M428=$A$15)),0,
         IF(OFFSET(CRONOPLE!$F$15,$M428-$A$15,BM$13)=0,10^12,OFFSET(CRONOPLE!$F$15,$M428-$A$15,BM$13)))</f>
        <v>1000000000000</v>
      </c>
      <c r="BN428" s="171">
        <f ca="1">IF(OR($D428&lt;&gt;"Serviço",AND(AUTOEVENTO="Manual",$M428=$A$15)),0,
         IF(OFFSET(CRONOPLE!$F$15,$M428-$A$15,BN$13)=0,10^12,OFFSET(CRONOPLE!$F$15,$M428-$A$15,BN$13)))</f>
        <v>1000000000000</v>
      </c>
      <c r="BO428" s="171">
        <f ca="1">IF(OR($D428&lt;&gt;"Serviço",AND(AUTOEVENTO="Manual",$M428=$A$15)),0,
         IF(OFFSET(CRONOPLE!$F$15,$M428-$A$15,BO$13)=0,10^12,OFFSET(CRONOPLE!$F$15,$M428-$A$15,BO$13)))</f>
        <v>1000000000000</v>
      </c>
      <c r="BP428" s="171">
        <f ca="1">IF(OR($D428&lt;&gt;"Serviço",AND(AUTOEVENTO="Manual",$M428=$A$15)),0,
         IF(OFFSET(CRONOPLE!$F$15,$M428-$A$15,BP$13)=0,10^12,OFFSET(CRONOPLE!$F$15,$M428-$A$15,BP$13)))</f>
        <v>1000000000000</v>
      </c>
      <c r="BQ428" s="171">
        <f ca="1">IF(OR($D428&lt;&gt;"Serviço",AND(AUTOEVENTO="Manual",$M428=$A$15)),0,
         IF(OFFSET(CRONOPLE!$F$15,$M428-$A$15,BQ$13)=0,10^12,OFFSET(CRONOPLE!$F$15,$M428-$A$15,BQ$13)))</f>
        <v>1000000000000</v>
      </c>
      <c r="BR428" s="171">
        <f ca="1">IF(OR($D428&lt;&gt;"Serviço",AND(AUTOEVENTO="Manual",$M428=$A$15)),0,
         IF(OFFSET(CRONOPLE!$F$15,$M428-$A$15,BR$13)=0,10^12,OFFSET(CRONOPLE!$F$15,$M428-$A$15,BR$13)))</f>
        <v>1000000000000</v>
      </c>
      <c r="BS428" s="171">
        <f ca="1">IF(OR($D428&lt;&gt;"Serviço",AND(AUTOEVENTO="Manual",$M428=$A$15)),0,
         IF(OFFSET(CRONOPLE!$F$15,$M428-$A$15,BS$13)=0,10^12,OFFSET(CRONOPLE!$F$15,$M428-$A$15,BS$13)))</f>
        <v>1000000000000</v>
      </c>
      <c r="BT428" s="171">
        <f ca="1">IF(OR($D428&lt;&gt;"Serviço",AND(AUTOEVENTO="Manual",$M428=$A$15)),0,
         IF(OFFSET(CRONOPLE!$F$15,$M428-$A$15,BT$13)=0,10^12,OFFSET(CRONOPLE!$F$15,$M428-$A$15,BT$13)))</f>
        <v>1000000000000</v>
      </c>
      <c r="BV428" s="172">
        <f ca="1">IF(OR($D428&lt;&gt;"Serviço",AND(AUTOEVENTO="Manual",$M428=$A$15),$M428&gt;(ROW(PLE.lastrow)-ROW(PLE.firstrow))),0,
           IF(OFFSET(PLE!$G$15,$M428-$A$15,BV$13)="",10^12,OFFSET(PLE!$G$15,$M428-$A$15,BV$13)))</f>
        <v>1000000000000</v>
      </c>
      <c r="BW428" s="172">
        <f ca="1">IF(OR($D428&lt;&gt;"Serviço",AND(AUTOEVENTO="Manual",$M428=$A$15),$M428&gt;(ROW(PLE.lastrow)-ROW(PLE.firstrow))),0,
           IF(OFFSET(PLE!$G$15,$M428-$A$15,BW$13)="",10^12,OFFSET(PLE!$G$15,$M428-$A$15,BW$13)))</f>
        <v>1000000000000</v>
      </c>
      <c r="BX428" s="172">
        <f ca="1">IF(OR($D428&lt;&gt;"Serviço",AND(AUTOEVENTO="Manual",$M428=$A$15),$M428&gt;(ROW(PLE.lastrow)-ROW(PLE.firstrow))),0,
           IF(OFFSET(PLE!$G$15,$M428-$A$15,BX$13)="",10^12,OFFSET(PLE!$G$15,$M428-$A$15,BX$13)))</f>
        <v>1000000000000</v>
      </c>
      <c r="BY428" s="172">
        <f ca="1">IF(OR($D428&lt;&gt;"Serviço",AND(AUTOEVENTO="Manual",$M428=$A$15),$M428&gt;(ROW(PLE.lastrow)-ROW(PLE.firstrow))),0,
           IF(OFFSET(PLE!$G$15,$M428-$A$15,BY$13)="",10^12,OFFSET(PLE!$G$15,$M428-$A$15,BY$13)))</f>
        <v>1000000000000</v>
      </c>
      <c r="BZ428" s="172">
        <f ca="1">IF(OR($D428&lt;&gt;"Serviço",AND(AUTOEVENTO="Manual",$M428=$A$15),$M428&gt;(ROW(PLE.lastrow)-ROW(PLE.firstrow))),0,
           IF(OFFSET(PLE!$G$15,$M428-$A$15,BZ$13)="",10^12,OFFSET(PLE!$G$15,$M428-$A$15,BZ$13)))</f>
        <v>1000000000000</v>
      </c>
      <c r="CA428" s="172">
        <f ca="1">IF(OR($D428&lt;&gt;"Serviço",AND(AUTOEVENTO="Manual",$M428=$A$15),$M428&gt;(ROW(PLE.lastrow)-ROW(PLE.firstrow))),0,
           IF(OFFSET(PLE!$G$15,$M428-$A$15,CA$13)="",10^12,OFFSET(PLE!$G$15,$M428-$A$15,CA$13)))</f>
        <v>1000000000000</v>
      </c>
      <c r="CB428" s="172">
        <f ca="1">IF(OR($D428&lt;&gt;"Serviço",AND(AUTOEVENTO="Manual",$M428=$A$15),$M428&gt;(ROW(PLE.lastrow)-ROW(PLE.firstrow))),0,
           IF(OFFSET(PLE!$G$15,$M428-$A$15,CB$13)="",10^12,OFFSET(PLE!$G$15,$M428-$A$15,CB$13)))</f>
        <v>1000000000000</v>
      </c>
      <c r="CC428" s="172">
        <f ca="1">IF(OR($D428&lt;&gt;"Serviço",AND(AUTOEVENTO="Manual",$M428=$A$15),$M428&gt;(ROW(PLE.lastrow)-ROW(PLE.firstrow))),0,
           IF(OFFSET(PLE!$G$15,$M428-$A$15,CC$13)="",10^12,OFFSET(PLE!$G$15,$M428-$A$15,CC$13)))</f>
        <v>1000000000000</v>
      </c>
      <c r="CD428" s="172">
        <f ca="1">IF(OR($D428&lt;&gt;"Serviço",AND(AUTOEVENTO="Manual",$M428=$A$15),$M428&gt;(ROW(PLE.lastrow)-ROW(PLE.firstrow))),0,
           IF(OFFSET(PLE!$G$15,$M428-$A$15,CD$13)="",10^12,OFFSET(PLE!$G$15,$M428-$A$15,CD$13)))</f>
        <v>1000000000000</v>
      </c>
      <c r="CE428" s="172">
        <f ca="1">IF(OR($D428&lt;&gt;"Serviço",AND(AUTOEVENTO="Manual",$M428=$A$15),$M428&gt;(ROW(PLE.lastrow)-ROW(PLE.firstrow))),0,
           IF(OFFSET(PLE!$G$15,$M428-$A$15,CE$13)="",10^12,OFFSET(PLE!$G$15,$M428-$A$15,CE$13)))</f>
        <v>1000000000000</v>
      </c>
      <c r="CF428" s="172">
        <f ca="1">IF(OR($D428&lt;&gt;"Serviço",AND(AUTOEVENTO="Manual",$M428=$A$15),$M428&gt;(ROW(PLE.lastrow)-ROW(PLE.firstrow))),0,
           IF(OFFSET(PLE!$G$15,$M428-$A$15,CF$13)="",10^12,OFFSET(PLE!$G$15,$M428-$A$15,CF$13)))</f>
        <v>1000000000000</v>
      </c>
      <c r="CG428" s="172">
        <f ca="1">IF(OR($D428&lt;&gt;"Serviço",AND(AUTOEVENTO="Manual",$M428=$A$15),$M428&gt;(ROW(PLE.lastrow)-ROW(PLE.firstrow))),0,
           IF(OFFSET(PLE!$G$15,$M428-$A$15,CG$13)="",10^12,OFFSET(PLE!$G$15,$M428-$A$15,CG$13)))</f>
        <v>1000000000000</v>
      </c>
      <c r="CH428" s="172">
        <f ca="1">IF(OR($D428&lt;&gt;"Serviço",AND(AUTOEVENTO="Manual",$M428=$A$15),$M428&gt;(ROW(PLE.lastrow)-ROW(PLE.firstrow))),0,
           IF(OFFSET(PLE!$G$15,$M428-$A$15,CH$13)="",10^12,OFFSET(PLE!$G$15,$M428-$A$15,CH$13)))</f>
        <v>1000000000000</v>
      </c>
      <c r="CI428" s="172">
        <f ca="1">IF(OR($D428&lt;&gt;"Serviço",AND(AUTOEVENTO="Manual",$M428=$A$15),$M428&gt;(ROW(PLE.lastrow)-ROW(PLE.firstrow))),0,
           IF(OFFSET(PLE!$G$15,$M428-$A$15,CI$13)="",10^12,OFFSET(PLE!$G$15,$M428-$A$15,CI$13)))</f>
        <v>1000000000000</v>
      </c>
      <c r="CJ428" s="172">
        <f ca="1">IF(OR($D428&lt;&gt;"Serviço",AND(AUTOEVENTO="Manual",$M428=$A$15),$M428&gt;(ROW(PLE.lastrow)-ROW(PLE.firstrow))),0,
           IF(OFFSET(PLE!$G$15,$M428-$A$15,CJ$13)="",10^12,OFFSET(PLE!$G$15,$M428-$A$15,CJ$13)))</f>
        <v>1000000000000</v>
      </c>
      <c r="CK428" s="172">
        <f ca="1">IF(OR($D428&lt;&gt;"Serviço",AND(AUTOEVENTO="Manual",$M428=$A$15),$M428&gt;(ROW(PLE.lastrow)-ROW(PLE.firstrow))),0,
           IF(OFFSET(PLE!$G$15,$M428-$A$15,CK$13)="",10^12,OFFSET(PLE!$G$15,$M428-$A$15,CK$13)))</f>
        <v>1000000000000</v>
      </c>
      <c r="CL428" s="172">
        <f ca="1">IF(OR($D428&lt;&gt;"Serviço",AND(AUTOEVENTO="Manual",$M428=$A$15),$M428&gt;(ROW(PLE.lastrow)-ROW(PLE.firstrow))),0,
           IF(OFFSET(PLE!$G$15,$M428-$A$15,CL$13)="",10^12,OFFSET(PLE!$G$15,$M428-$A$15,CL$13)))</f>
        <v>1000000000000</v>
      </c>
      <c r="CM428" s="172">
        <f ca="1">IF(OR($D428&lt;&gt;"Serviço",AND(AUTOEVENTO="Manual",$M428=$A$15),$M428&gt;(ROW(PLE.lastrow)-ROW(PLE.firstrow))),0,
           IF(OFFSET(PLE!$G$15,$M428-$A$15,CM$13)="",10^12,OFFSET(PLE!$G$15,$M428-$A$15,CM$13)))</f>
        <v>1000000000000</v>
      </c>
    </row>
    <row r="429" spans="1:91" ht="38.25" x14ac:dyDescent="0.2">
      <c r="A429" s="7">
        <f t="shared" ca="1" si="16"/>
        <v>7</v>
      </c>
      <c r="B429" s="7" t="str">
        <f ca="1">OFFSET(ORÇAMENTO!C$15,ROW(B429)-ROW(B$15),0)</f>
        <v>S</v>
      </c>
      <c r="C429" s="7" t="str">
        <f ca="1">OFFSET(ORÇAMENTO!L$15,ROW(C429)-ROW(C$15),0)</f>
        <v>F</v>
      </c>
      <c r="D429" s="116" t="str">
        <f ca="1">OFFSET(ORÇAMENTO!N$15,ROW(D429)-ROW(D$15),0)</f>
        <v>Serviço</v>
      </c>
      <c r="E429" s="117" t="str">
        <f ca="1">OFFSET(ORÇAMENTO!O$15,ROW(E429)-ROW(E$15),0)</f>
        <v>1.8.2.4.19.</v>
      </c>
      <c r="F429" s="163" t="str">
        <f ca="1">OFFSET(ORÇAMENTO!R$15,ROW(F429)-ROW(F$15),0)</f>
        <v>TRANSFORMADOR DE COMANDO 110/220V PARA 24V-5A 120 VA - BASEADA EM SBC (055692)</v>
      </c>
      <c r="G429" s="164" t="str">
        <f ca="1">IF($D429&lt;&gt;"Serviço","",OFFSET(ORÇAMENTO!S$15,ROW(G429)-ROW(G$15),0))</f>
        <v>UN</v>
      </c>
      <c r="H429" s="122" cm="1">
        <f t="array" aca="1" ref="H429" ca="1">IF($D429&lt;&gt;"Serviço",0,IF(ACOMPANHAMENTO="BM",ROUND(OFFSET(ORÇAMENTO!AJ$15,ROW(H429)-ROW(H$15),0),15-13*ORÇAMENTO!$AF$7),SUMPRODUCT(($Q$1:$AI$1=1)*ROUND($Q429:$AI429,15-13*ORÇAMENTO!$AF$7))))</f>
        <v>1</v>
      </c>
      <c r="I429" s="468" t="s">
        <v>1431</v>
      </c>
      <c r="J429" s="640" t="str" cm="1">
        <f t="array" aca="1" ref="J429" ca="1">IF(OR(B429&lt;&gt;"S",CÁLCULO.FrentesPreenchidas=0),"",IF(AND(ACOMPANHAMENTO="PLE",AUTOEVENTO="Manual",OR(H429&gt;0,ORÇAMENTO!AC429="QUANT."),OR(K429="",M429=0,N429="")),"►E",IF(AND(ACOMPANHAMENTO="PLE",ORÇAMENTO!AC429="QUANT."),"►Q",IF(AND(ACOMPANHAMENTO="PLE",H429&lt;&gt;SUMPRODUCT(($Q$1:$AI$1=1)*ROUND(Q429:AI429,15))),"►S",IF(AND(COUNTIF($P$11:$AI$11,"▼")=0,H429&gt;0,I429=""),"◄M","")))))</f>
        <v/>
      </c>
      <c r="K429" s="641" t="s">
        <v>1391</v>
      </c>
      <c r="L429" s="165" t="s">
        <v>764</v>
      </c>
      <c r="M429" s="166">
        <f ca="1">IF($D429&lt;&gt;"Serviço","",
          IF(AUTOEVENTO="manual",$A429,
                IF(ISERROR(MATCH($A429,$A$15:OFFSET($A429,-1,0),0)),MAX($M$15:OFFSET(M429,-1,0))+1,
                      INDEX($M$15:OFFSET(M429,-1,0),MATCH($A429,$A$15:OFFSET($A429,-1,0),0)))))</f>
        <v>7</v>
      </c>
      <c r="N429" s="167" t="str">
        <f ca="1">IF($D429&lt;&gt;"Serviço","",
         IF(AUTOEVENTO="Manual",
                IF($A429=0,"&lt;-- defina o número do agrupador",
                       OFFSET(EVENTOS!$D$15,$A429-$A$15,0)),
                OFFSET($F$15,$A429,0)))</f>
        <v>Instalações Elétricas</v>
      </c>
      <c r="O429" s="168"/>
      <c r="Q429" s="168"/>
      <c r="R429" s="169"/>
      <c r="S429" s="169"/>
      <c r="T429" s="169"/>
      <c r="U429" s="169"/>
      <c r="V429" s="169"/>
      <c r="W429" s="169"/>
      <c r="X429" s="169">
        <v>1</v>
      </c>
      <c r="Y429" s="169"/>
      <c r="Z429" s="170"/>
      <c r="AA429" s="169"/>
      <c r="AB429" s="169"/>
      <c r="AC429" s="169"/>
      <c r="AD429" s="169"/>
      <c r="AE429" s="169"/>
      <c r="AF429" s="169"/>
      <c r="AG429" s="169"/>
      <c r="AH429" s="170"/>
      <c r="AJ429" s="453">
        <f ca="1">IF(AND($D429="Serviço",AJ$12&lt;&gt;0,$H429&gt;0,OR(AUTOEVENTO&lt;&gt;"manual",$M429&lt;&gt;$A$15)),
        IF(Import.TipoArredondamento&lt;&gt;"TransfereGOV",
              ROUND(OFFSET($P429,0,AJ$13),15-13*ORÇAMENTO!$AF$7)/$H429*OFFSET(ORÇAMENTO!$X$15,ROW(AJ429)-ROW(AJ$15),0),
              ROUND(ROUND(OFFSET($P429,0,AJ$13),15-13*ORÇAMENTO!$AF$7)*OFFSET(ORÇAMENTO!$W$15,ROW(AJ429)-ROW(AJ$15),0),15-13*ORÇAMENTO!$AF$11)),
         0)</f>
        <v>0</v>
      </c>
      <c r="AK429" s="453">
        <f ca="1">IF(AND($D429="Serviço",AK$12&lt;&gt;0,$H429&gt;0,OR(AUTOEVENTO&lt;&gt;"manual",$M429&lt;&gt;$A$15)),
        IF(Import.TipoArredondamento&lt;&gt;"TransfereGOV",
              ROUND(OFFSET($P429,0,AK$13),15-13*ORÇAMENTO!$AF$7)/$H429*OFFSET(ORÇAMENTO!$X$15,ROW(AK429)-ROW(AK$15),0),
              ROUND(ROUND(OFFSET($P429,0,AK$13),15-13*ORÇAMENTO!$AF$7)*OFFSET(ORÇAMENTO!$W$15,ROW(AK429)-ROW(AK$15),0),15-13*ORÇAMENTO!$AF$11)),
         0)</f>
        <v>0</v>
      </c>
      <c r="AL429" s="453">
        <f ca="1">IF(AND($D429="Serviço",AL$12&lt;&gt;0,$H429&gt;0,OR(AUTOEVENTO&lt;&gt;"manual",$M429&lt;&gt;$A$15)),
        IF(Import.TipoArredondamento&lt;&gt;"TransfereGOV",
              ROUND(OFFSET($P429,0,AL$13),15-13*ORÇAMENTO!$AF$7)/$H429*OFFSET(ORÇAMENTO!$X$15,ROW(AL429)-ROW(AL$15),0),
              ROUND(ROUND(OFFSET($P429,0,AL$13),15-13*ORÇAMENTO!$AF$7)*OFFSET(ORÇAMENTO!$W$15,ROW(AL429)-ROW(AL$15),0),15-13*ORÇAMENTO!$AF$11)),
         0)</f>
        <v>0</v>
      </c>
      <c r="AM429" s="453">
        <f ca="1">IF(AND($D429="Serviço",AM$12&lt;&gt;0,$H429&gt;0,OR(AUTOEVENTO&lt;&gt;"manual",$M429&lt;&gt;$A$15)),
        IF(Import.TipoArredondamento&lt;&gt;"TransfereGOV",
              ROUND(OFFSET($P429,0,AM$13),15-13*ORÇAMENTO!$AF$7)/$H429*OFFSET(ORÇAMENTO!$X$15,ROW(AM429)-ROW(AM$15),0),
              ROUND(ROUND(OFFSET($P429,0,AM$13),15-13*ORÇAMENTO!$AF$7)*OFFSET(ORÇAMENTO!$W$15,ROW(AM429)-ROW(AM$15),0),15-13*ORÇAMENTO!$AF$11)),
         0)</f>
        <v>0</v>
      </c>
      <c r="AN429" s="453">
        <f ca="1">IF(AND($D429="Serviço",AN$12&lt;&gt;0,$H429&gt;0,OR(AUTOEVENTO&lt;&gt;"manual",$M429&lt;&gt;$A$15)),
        IF(Import.TipoArredondamento&lt;&gt;"TransfereGOV",
              ROUND(OFFSET($P429,0,AN$13),15-13*ORÇAMENTO!$AF$7)/$H429*OFFSET(ORÇAMENTO!$X$15,ROW(AN429)-ROW(AN$15),0),
              ROUND(ROUND(OFFSET($P429,0,AN$13),15-13*ORÇAMENTO!$AF$7)*OFFSET(ORÇAMENTO!$W$15,ROW(AN429)-ROW(AN$15),0),15-13*ORÇAMENTO!$AF$11)),
         0)</f>
        <v>0</v>
      </c>
      <c r="AO429" s="453">
        <f ca="1">IF(AND($D429="Serviço",AO$12&lt;&gt;0,$H429&gt;0,OR(AUTOEVENTO&lt;&gt;"manual",$M429&lt;&gt;$A$15)),
        IF(Import.TipoArredondamento&lt;&gt;"TransfereGOV",
              ROUND(OFFSET($P429,0,AO$13),15-13*ORÇAMENTO!$AF$7)/$H429*OFFSET(ORÇAMENTO!$X$15,ROW(AO429)-ROW(AO$15),0),
              ROUND(ROUND(OFFSET($P429,0,AO$13),15-13*ORÇAMENTO!$AF$7)*OFFSET(ORÇAMENTO!$W$15,ROW(AO429)-ROW(AO$15),0),15-13*ORÇAMENTO!$AF$11)),
         0)</f>
        <v>0</v>
      </c>
      <c r="AP429" s="453">
        <f ca="1">IF(AND($D429="Serviço",AP$12&lt;&gt;0,$H429&gt;0,OR(AUTOEVENTO&lt;&gt;"manual",$M429&lt;&gt;$A$15)),
        IF(Import.TipoArredondamento&lt;&gt;"TransfereGOV",
              ROUND(OFFSET($P429,0,AP$13),15-13*ORÇAMENTO!$AF$7)/$H429*OFFSET(ORÇAMENTO!$X$15,ROW(AP429)-ROW(AP$15),0),
              ROUND(ROUND(OFFSET($P429,0,AP$13),15-13*ORÇAMENTO!$AF$7)*OFFSET(ORÇAMENTO!$W$15,ROW(AP429)-ROW(AP$15),0),15-13*ORÇAMENTO!$AF$11)),
         0)</f>
        <v>0</v>
      </c>
      <c r="AQ429" s="453">
        <f ca="1">IF(AND($D429="Serviço",AQ$12&lt;&gt;0,$H429&gt;0,OR(AUTOEVENTO&lt;&gt;"manual",$M429&lt;&gt;$A$15)),
        IF(Import.TipoArredondamento&lt;&gt;"TransfereGOV",
              ROUND(OFFSET($P429,0,AQ$13),15-13*ORÇAMENTO!$AF$7)/$H429*OFFSET(ORÇAMENTO!$X$15,ROW(AQ429)-ROW(AQ$15),0),
              ROUND(ROUND(OFFSET($P429,0,AQ$13),15-13*ORÇAMENTO!$AF$7)*OFFSET(ORÇAMENTO!$W$15,ROW(AQ429)-ROW(AQ$15),0),15-13*ORÇAMENTO!$AF$11)),
         0)</f>
        <v>0</v>
      </c>
      <c r="AR429" s="453">
        <f ca="1">IF(AND($D429="Serviço",AR$12&lt;&gt;0,$H429&gt;0,OR(AUTOEVENTO&lt;&gt;"manual",$M429&lt;&gt;$A$15)),
        IF(Import.TipoArredondamento&lt;&gt;"TransfereGOV",
              ROUND(OFFSET($P429,0,AR$13),15-13*ORÇAMENTO!$AF$7)/$H429*OFFSET(ORÇAMENTO!$X$15,ROW(AR429)-ROW(AR$15),0),
              ROUND(ROUND(OFFSET($P429,0,AR$13),15-13*ORÇAMENTO!$AF$7)*OFFSET(ORÇAMENTO!$W$15,ROW(AR429)-ROW(AR$15),0),15-13*ORÇAMENTO!$AF$11)),
         0)</f>
        <v>0</v>
      </c>
      <c r="AS429" s="453">
        <f ca="1">IF(AND($D429="Serviço",AS$12&lt;&gt;0,$H429&gt;0,OR(AUTOEVENTO&lt;&gt;"manual",$M429&lt;&gt;$A$15)),
        IF(Import.TipoArredondamento&lt;&gt;"TransfereGOV",
              ROUND(OFFSET($P429,0,AS$13),15-13*ORÇAMENTO!$AF$7)/$H429*OFFSET(ORÇAMENTO!$X$15,ROW(AS429)-ROW(AS$15),0),
              ROUND(ROUND(OFFSET($P429,0,AS$13),15-13*ORÇAMENTO!$AF$7)*OFFSET(ORÇAMENTO!$W$15,ROW(AS429)-ROW(AS$15),0),15-13*ORÇAMENTO!$AF$11)),
         0)</f>
        <v>0</v>
      </c>
      <c r="AT429" s="453">
        <f ca="1">IF(AND($D429="Serviço",AT$12&lt;&gt;0,$H429&gt;0,OR(AUTOEVENTO&lt;&gt;"manual",$M429&lt;&gt;$A$15)),
        IF(Import.TipoArredondamento&lt;&gt;"TransfereGOV",
              ROUND(OFFSET($P429,0,AT$13),15-13*ORÇAMENTO!$AF$7)/$H429*OFFSET(ORÇAMENTO!$X$15,ROW(AT429)-ROW(AT$15),0),
              ROUND(ROUND(OFFSET($P429,0,AT$13),15-13*ORÇAMENTO!$AF$7)*OFFSET(ORÇAMENTO!$W$15,ROW(AT429)-ROW(AT$15),0),15-13*ORÇAMENTO!$AF$11)),
         0)</f>
        <v>0</v>
      </c>
      <c r="AU429" s="453">
        <f ca="1">IF(AND($D429="Serviço",AU$12&lt;&gt;0,$H429&gt;0,OR(AUTOEVENTO&lt;&gt;"manual",$M429&lt;&gt;$A$15)),
        IF(Import.TipoArredondamento&lt;&gt;"TransfereGOV",
              ROUND(OFFSET($P429,0,AU$13),15-13*ORÇAMENTO!$AF$7)/$H429*OFFSET(ORÇAMENTO!$X$15,ROW(AU429)-ROW(AU$15),0),
              ROUND(ROUND(OFFSET($P429,0,AU$13),15-13*ORÇAMENTO!$AF$7)*OFFSET(ORÇAMENTO!$W$15,ROW(AU429)-ROW(AU$15),0),15-13*ORÇAMENTO!$AF$11)),
         0)</f>
        <v>0</v>
      </c>
      <c r="AV429" s="453">
        <f ca="1">IF(AND($D429="Serviço",AV$12&lt;&gt;0,$H429&gt;0,OR(AUTOEVENTO&lt;&gt;"manual",$M429&lt;&gt;$A$15)),
        IF(Import.TipoArredondamento&lt;&gt;"TransfereGOV",
              ROUND(OFFSET($P429,0,AV$13),15-13*ORÇAMENTO!$AF$7)/$H429*OFFSET(ORÇAMENTO!$X$15,ROW(AV429)-ROW(AV$15),0),
              ROUND(ROUND(OFFSET($P429,0,AV$13),15-13*ORÇAMENTO!$AF$7)*OFFSET(ORÇAMENTO!$W$15,ROW(AV429)-ROW(AV$15),0),15-13*ORÇAMENTO!$AF$11)),
         0)</f>
        <v>0</v>
      </c>
      <c r="AW429" s="453">
        <f ca="1">IF(AND($D429="Serviço",AW$12&lt;&gt;0,$H429&gt;0,OR(AUTOEVENTO&lt;&gt;"manual",$M429&lt;&gt;$A$15)),
        IF(Import.TipoArredondamento&lt;&gt;"TransfereGOV",
              ROUND(OFFSET($P429,0,AW$13),15-13*ORÇAMENTO!$AF$7)/$H429*OFFSET(ORÇAMENTO!$X$15,ROW(AW429)-ROW(AW$15),0),
              ROUND(ROUND(OFFSET($P429,0,AW$13),15-13*ORÇAMENTO!$AF$7)*OFFSET(ORÇAMENTO!$W$15,ROW(AW429)-ROW(AW$15),0),15-13*ORÇAMENTO!$AF$11)),
         0)</f>
        <v>0</v>
      </c>
      <c r="AX429" s="453">
        <f ca="1">IF(AND($D429="Serviço",AX$12&lt;&gt;0,$H429&gt;0,OR(AUTOEVENTO&lt;&gt;"manual",$M429&lt;&gt;$A$15)),
        IF(Import.TipoArredondamento&lt;&gt;"TransfereGOV",
              ROUND(OFFSET($P429,0,AX$13),15-13*ORÇAMENTO!$AF$7)/$H429*OFFSET(ORÇAMENTO!$X$15,ROW(AX429)-ROW(AX$15),0),
              ROUND(ROUND(OFFSET($P429,0,AX$13),15-13*ORÇAMENTO!$AF$7)*OFFSET(ORÇAMENTO!$W$15,ROW(AX429)-ROW(AX$15),0),15-13*ORÇAMENTO!$AF$11)),
         0)</f>
        <v>0</v>
      </c>
      <c r="AY429" s="453">
        <f ca="1">IF(AND($D429="Serviço",AY$12&lt;&gt;0,$H429&gt;0,OR(AUTOEVENTO&lt;&gt;"manual",$M429&lt;&gt;$A$15)),
        IF(Import.TipoArredondamento&lt;&gt;"TransfereGOV",
              ROUND(OFFSET($P429,0,AY$13),15-13*ORÇAMENTO!$AF$7)/$H429*OFFSET(ORÇAMENTO!$X$15,ROW(AY429)-ROW(AY$15),0),
              ROUND(ROUND(OFFSET($P429,0,AY$13),15-13*ORÇAMENTO!$AF$7)*OFFSET(ORÇAMENTO!$W$15,ROW(AY429)-ROW(AY$15),0),15-13*ORÇAMENTO!$AF$11)),
         0)</f>
        <v>0</v>
      </c>
      <c r="AZ429" s="453">
        <f ca="1">IF(AND($D429="Serviço",AZ$12&lt;&gt;0,$H429&gt;0,OR(AUTOEVENTO&lt;&gt;"manual",$M429&lt;&gt;$A$15)),
        IF(Import.TipoArredondamento&lt;&gt;"TransfereGOV",
              ROUND(OFFSET($P429,0,AZ$13),15-13*ORÇAMENTO!$AF$7)/$H429*OFFSET(ORÇAMENTO!$X$15,ROW(AZ429)-ROW(AZ$15),0),
              ROUND(ROUND(OFFSET($P429,0,AZ$13),15-13*ORÇAMENTO!$AF$7)*OFFSET(ORÇAMENTO!$W$15,ROW(AZ429)-ROW(AZ$15),0),15-13*ORÇAMENTO!$AF$11)),
         0)</f>
        <v>0</v>
      </c>
      <c r="BA429" s="453">
        <f ca="1">IF(AND($D429="Serviço",BA$12&lt;&gt;0,$H429&gt;0,OR(AUTOEVENTO&lt;&gt;"manual",$M429&lt;&gt;$A$15)),
        IF(Import.TipoArredondamento&lt;&gt;"TransfereGOV",
              ROUND(OFFSET($P429,0,BA$13),15-13*ORÇAMENTO!$AF$7)/$H429*OFFSET(ORÇAMENTO!$X$15,ROW(BA429)-ROW(BA$15),0),
              ROUND(ROUND(OFFSET($P429,0,BA$13),15-13*ORÇAMENTO!$AF$7)*OFFSET(ORÇAMENTO!$W$15,ROW(BA429)-ROW(BA$15),0),15-13*ORÇAMENTO!$AF$11)),
         0)</f>
        <v>0</v>
      </c>
      <c r="BC429" s="171">
        <f ca="1">IF(OR($D429&lt;&gt;"Serviço",AND(AUTOEVENTO="Manual",$M429=$A$15)),0,
         IF(OFFSET(CRONOPLE!$F$15,$M429-$A$15,BC$13)=0,10^12,OFFSET(CRONOPLE!$F$15,$M429-$A$15,BC$13)))</f>
        <v>1</v>
      </c>
      <c r="BD429" s="171">
        <f ca="1">IF(OR($D429&lt;&gt;"Serviço",AND(AUTOEVENTO="Manual",$M429=$A$15)),0,
         IF(OFFSET(CRONOPLE!$F$15,$M429-$A$15,BD$13)=0,10^12,OFFSET(CRONOPLE!$F$15,$M429-$A$15,BD$13)))</f>
        <v>2</v>
      </c>
      <c r="BE429" s="171">
        <f ca="1">IF(OR($D429&lt;&gt;"Serviço",AND(AUTOEVENTO="Manual",$M429=$A$15)),0,
         IF(OFFSET(CRONOPLE!$F$15,$M429-$A$15,BE$13)=0,10^12,OFFSET(CRONOPLE!$F$15,$M429-$A$15,BE$13)))</f>
        <v>3</v>
      </c>
      <c r="BF429" s="171">
        <f ca="1">IF(OR($D429&lt;&gt;"Serviço",AND(AUTOEVENTO="Manual",$M429=$A$15)),0,
         IF(OFFSET(CRONOPLE!$F$15,$M429-$A$15,BF$13)=0,10^12,OFFSET(CRONOPLE!$F$15,$M429-$A$15,BF$13)))</f>
        <v>4</v>
      </c>
      <c r="BG429" s="171">
        <f ca="1">IF(OR($D429&lt;&gt;"Serviço",AND(AUTOEVENTO="Manual",$M429=$A$15)),0,
         IF(OFFSET(CRONOPLE!$F$15,$M429-$A$15,BG$13)=0,10^12,OFFSET(CRONOPLE!$F$15,$M429-$A$15,BG$13)))</f>
        <v>5</v>
      </c>
      <c r="BH429" s="171">
        <f ca="1">IF(OR($D429&lt;&gt;"Serviço",AND(AUTOEVENTO="Manual",$M429=$A$15)),0,
         IF(OFFSET(CRONOPLE!$F$15,$M429-$A$15,BH$13)=0,10^12,OFFSET(CRONOPLE!$F$15,$M429-$A$15,BH$13)))</f>
        <v>6</v>
      </c>
      <c r="BI429" s="171">
        <f ca="1">IF(OR($D429&lt;&gt;"Serviço",AND(AUTOEVENTO="Manual",$M429=$A$15)),0,
         IF(OFFSET(CRONOPLE!$F$15,$M429-$A$15,BI$13)=0,10^12,OFFSET(CRONOPLE!$F$15,$M429-$A$15,BI$13)))</f>
        <v>7</v>
      </c>
      <c r="BJ429" s="171">
        <f ca="1">IF(OR($D429&lt;&gt;"Serviço",AND(AUTOEVENTO="Manual",$M429=$A$15)),0,
         IF(OFFSET(CRONOPLE!$F$15,$M429-$A$15,BJ$13)=0,10^12,OFFSET(CRONOPLE!$F$15,$M429-$A$15,BJ$13)))</f>
        <v>8</v>
      </c>
      <c r="BK429" s="171">
        <f ca="1">IF(OR($D429&lt;&gt;"Serviço",AND(AUTOEVENTO="Manual",$M429=$A$15)),0,
         IF(OFFSET(CRONOPLE!$F$15,$M429-$A$15,BK$13)=0,10^12,OFFSET(CRONOPLE!$F$15,$M429-$A$15,BK$13)))</f>
        <v>9</v>
      </c>
      <c r="BL429" s="171">
        <f ca="1">IF(OR($D429&lt;&gt;"Serviço",AND(AUTOEVENTO="Manual",$M429=$A$15)),0,
         IF(OFFSET(CRONOPLE!$F$15,$M429-$A$15,BL$13)=0,10^12,OFFSET(CRONOPLE!$F$15,$M429-$A$15,BL$13)))</f>
        <v>1000000000000</v>
      </c>
      <c r="BM429" s="171">
        <f ca="1">IF(OR($D429&lt;&gt;"Serviço",AND(AUTOEVENTO="Manual",$M429=$A$15)),0,
         IF(OFFSET(CRONOPLE!$F$15,$M429-$A$15,BM$13)=0,10^12,OFFSET(CRONOPLE!$F$15,$M429-$A$15,BM$13)))</f>
        <v>1000000000000</v>
      </c>
      <c r="BN429" s="171">
        <f ca="1">IF(OR($D429&lt;&gt;"Serviço",AND(AUTOEVENTO="Manual",$M429=$A$15)),0,
         IF(OFFSET(CRONOPLE!$F$15,$M429-$A$15,BN$13)=0,10^12,OFFSET(CRONOPLE!$F$15,$M429-$A$15,BN$13)))</f>
        <v>1000000000000</v>
      </c>
      <c r="BO429" s="171">
        <f ca="1">IF(OR($D429&lt;&gt;"Serviço",AND(AUTOEVENTO="Manual",$M429=$A$15)),0,
         IF(OFFSET(CRONOPLE!$F$15,$M429-$A$15,BO$13)=0,10^12,OFFSET(CRONOPLE!$F$15,$M429-$A$15,BO$13)))</f>
        <v>1000000000000</v>
      </c>
      <c r="BP429" s="171">
        <f ca="1">IF(OR($D429&lt;&gt;"Serviço",AND(AUTOEVENTO="Manual",$M429=$A$15)),0,
         IF(OFFSET(CRONOPLE!$F$15,$M429-$A$15,BP$13)=0,10^12,OFFSET(CRONOPLE!$F$15,$M429-$A$15,BP$13)))</f>
        <v>1000000000000</v>
      </c>
      <c r="BQ429" s="171">
        <f ca="1">IF(OR($D429&lt;&gt;"Serviço",AND(AUTOEVENTO="Manual",$M429=$A$15)),0,
         IF(OFFSET(CRONOPLE!$F$15,$M429-$A$15,BQ$13)=0,10^12,OFFSET(CRONOPLE!$F$15,$M429-$A$15,BQ$13)))</f>
        <v>1000000000000</v>
      </c>
      <c r="BR429" s="171">
        <f ca="1">IF(OR($D429&lt;&gt;"Serviço",AND(AUTOEVENTO="Manual",$M429=$A$15)),0,
         IF(OFFSET(CRONOPLE!$F$15,$M429-$A$15,BR$13)=0,10^12,OFFSET(CRONOPLE!$F$15,$M429-$A$15,BR$13)))</f>
        <v>1000000000000</v>
      </c>
      <c r="BS429" s="171">
        <f ca="1">IF(OR($D429&lt;&gt;"Serviço",AND(AUTOEVENTO="Manual",$M429=$A$15)),0,
         IF(OFFSET(CRONOPLE!$F$15,$M429-$A$15,BS$13)=0,10^12,OFFSET(CRONOPLE!$F$15,$M429-$A$15,BS$13)))</f>
        <v>1000000000000</v>
      </c>
      <c r="BT429" s="171">
        <f ca="1">IF(OR($D429&lt;&gt;"Serviço",AND(AUTOEVENTO="Manual",$M429=$A$15)),0,
         IF(OFFSET(CRONOPLE!$F$15,$M429-$A$15,BT$13)=0,10^12,OFFSET(CRONOPLE!$F$15,$M429-$A$15,BT$13)))</f>
        <v>1000000000000</v>
      </c>
      <c r="BV429" s="172">
        <f ca="1">IF(OR($D429&lt;&gt;"Serviço",AND(AUTOEVENTO="Manual",$M429=$A$15),$M429&gt;(ROW(PLE.lastrow)-ROW(PLE.firstrow))),0,
           IF(OFFSET(PLE!$G$15,$M429-$A$15,BV$13)="",10^12,OFFSET(PLE!$G$15,$M429-$A$15,BV$13)))</f>
        <v>1000000000000</v>
      </c>
      <c r="BW429" s="172">
        <f ca="1">IF(OR($D429&lt;&gt;"Serviço",AND(AUTOEVENTO="Manual",$M429=$A$15),$M429&gt;(ROW(PLE.lastrow)-ROW(PLE.firstrow))),0,
           IF(OFFSET(PLE!$G$15,$M429-$A$15,BW$13)="",10^12,OFFSET(PLE!$G$15,$M429-$A$15,BW$13)))</f>
        <v>1000000000000</v>
      </c>
      <c r="BX429" s="172">
        <f ca="1">IF(OR($D429&lt;&gt;"Serviço",AND(AUTOEVENTO="Manual",$M429=$A$15),$M429&gt;(ROW(PLE.lastrow)-ROW(PLE.firstrow))),0,
           IF(OFFSET(PLE!$G$15,$M429-$A$15,BX$13)="",10^12,OFFSET(PLE!$G$15,$M429-$A$15,BX$13)))</f>
        <v>1000000000000</v>
      </c>
      <c r="BY429" s="172">
        <f ca="1">IF(OR($D429&lt;&gt;"Serviço",AND(AUTOEVENTO="Manual",$M429=$A$15),$M429&gt;(ROW(PLE.lastrow)-ROW(PLE.firstrow))),0,
           IF(OFFSET(PLE!$G$15,$M429-$A$15,BY$13)="",10^12,OFFSET(PLE!$G$15,$M429-$A$15,BY$13)))</f>
        <v>1000000000000</v>
      </c>
      <c r="BZ429" s="172">
        <f ca="1">IF(OR($D429&lt;&gt;"Serviço",AND(AUTOEVENTO="Manual",$M429=$A$15),$M429&gt;(ROW(PLE.lastrow)-ROW(PLE.firstrow))),0,
           IF(OFFSET(PLE!$G$15,$M429-$A$15,BZ$13)="",10^12,OFFSET(PLE!$G$15,$M429-$A$15,BZ$13)))</f>
        <v>1000000000000</v>
      </c>
      <c r="CA429" s="172">
        <f ca="1">IF(OR($D429&lt;&gt;"Serviço",AND(AUTOEVENTO="Manual",$M429=$A$15),$M429&gt;(ROW(PLE.lastrow)-ROW(PLE.firstrow))),0,
           IF(OFFSET(PLE!$G$15,$M429-$A$15,CA$13)="",10^12,OFFSET(PLE!$G$15,$M429-$A$15,CA$13)))</f>
        <v>1000000000000</v>
      </c>
      <c r="CB429" s="172">
        <f ca="1">IF(OR($D429&lt;&gt;"Serviço",AND(AUTOEVENTO="Manual",$M429=$A$15),$M429&gt;(ROW(PLE.lastrow)-ROW(PLE.firstrow))),0,
           IF(OFFSET(PLE!$G$15,$M429-$A$15,CB$13)="",10^12,OFFSET(PLE!$G$15,$M429-$A$15,CB$13)))</f>
        <v>1000000000000</v>
      </c>
      <c r="CC429" s="172">
        <f ca="1">IF(OR($D429&lt;&gt;"Serviço",AND(AUTOEVENTO="Manual",$M429=$A$15),$M429&gt;(ROW(PLE.lastrow)-ROW(PLE.firstrow))),0,
           IF(OFFSET(PLE!$G$15,$M429-$A$15,CC$13)="",10^12,OFFSET(PLE!$G$15,$M429-$A$15,CC$13)))</f>
        <v>1000000000000</v>
      </c>
      <c r="CD429" s="172">
        <f ca="1">IF(OR($D429&lt;&gt;"Serviço",AND(AUTOEVENTO="Manual",$M429=$A$15),$M429&gt;(ROW(PLE.lastrow)-ROW(PLE.firstrow))),0,
           IF(OFFSET(PLE!$G$15,$M429-$A$15,CD$13)="",10^12,OFFSET(PLE!$G$15,$M429-$A$15,CD$13)))</f>
        <v>1000000000000</v>
      </c>
      <c r="CE429" s="172">
        <f ca="1">IF(OR($D429&lt;&gt;"Serviço",AND(AUTOEVENTO="Manual",$M429=$A$15),$M429&gt;(ROW(PLE.lastrow)-ROW(PLE.firstrow))),0,
           IF(OFFSET(PLE!$G$15,$M429-$A$15,CE$13)="",10^12,OFFSET(PLE!$G$15,$M429-$A$15,CE$13)))</f>
        <v>1000000000000</v>
      </c>
      <c r="CF429" s="172">
        <f ca="1">IF(OR($D429&lt;&gt;"Serviço",AND(AUTOEVENTO="Manual",$M429=$A$15),$M429&gt;(ROW(PLE.lastrow)-ROW(PLE.firstrow))),0,
           IF(OFFSET(PLE!$G$15,$M429-$A$15,CF$13)="",10^12,OFFSET(PLE!$G$15,$M429-$A$15,CF$13)))</f>
        <v>1000000000000</v>
      </c>
      <c r="CG429" s="172">
        <f ca="1">IF(OR($D429&lt;&gt;"Serviço",AND(AUTOEVENTO="Manual",$M429=$A$15),$M429&gt;(ROW(PLE.lastrow)-ROW(PLE.firstrow))),0,
           IF(OFFSET(PLE!$G$15,$M429-$A$15,CG$13)="",10^12,OFFSET(PLE!$G$15,$M429-$A$15,CG$13)))</f>
        <v>1000000000000</v>
      </c>
      <c r="CH429" s="172">
        <f ca="1">IF(OR($D429&lt;&gt;"Serviço",AND(AUTOEVENTO="Manual",$M429=$A$15),$M429&gt;(ROW(PLE.lastrow)-ROW(PLE.firstrow))),0,
           IF(OFFSET(PLE!$G$15,$M429-$A$15,CH$13)="",10^12,OFFSET(PLE!$G$15,$M429-$A$15,CH$13)))</f>
        <v>1000000000000</v>
      </c>
      <c r="CI429" s="172">
        <f ca="1">IF(OR($D429&lt;&gt;"Serviço",AND(AUTOEVENTO="Manual",$M429=$A$15),$M429&gt;(ROW(PLE.lastrow)-ROW(PLE.firstrow))),0,
           IF(OFFSET(PLE!$G$15,$M429-$A$15,CI$13)="",10^12,OFFSET(PLE!$G$15,$M429-$A$15,CI$13)))</f>
        <v>1000000000000</v>
      </c>
      <c r="CJ429" s="172">
        <f ca="1">IF(OR($D429&lt;&gt;"Serviço",AND(AUTOEVENTO="Manual",$M429=$A$15),$M429&gt;(ROW(PLE.lastrow)-ROW(PLE.firstrow))),0,
           IF(OFFSET(PLE!$G$15,$M429-$A$15,CJ$13)="",10^12,OFFSET(PLE!$G$15,$M429-$A$15,CJ$13)))</f>
        <v>1000000000000</v>
      </c>
      <c r="CK429" s="172">
        <f ca="1">IF(OR($D429&lt;&gt;"Serviço",AND(AUTOEVENTO="Manual",$M429=$A$15),$M429&gt;(ROW(PLE.lastrow)-ROW(PLE.firstrow))),0,
           IF(OFFSET(PLE!$G$15,$M429-$A$15,CK$13)="",10^12,OFFSET(PLE!$G$15,$M429-$A$15,CK$13)))</f>
        <v>1000000000000</v>
      </c>
      <c r="CL429" s="172">
        <f ca="1">IF(OR($D429&lt;&gt;"Serviço",AND(AUTOEVENTO="Manual",$M429=$A$15),$M429&gt;(ROW(PLE.lastrow)-ROW(PLE.firstrow))),0,
           IF(OFFSET(PLE!$G$15,$M429-$A$15,CL$13)="",10^12,OFFSET(PLE!$G$15,$M429-$A$15,CL$13)))</f>
        <v>1000000000000</v>
      </c>
      <c r="CM429" s="172">
        <f ca="1">IF(OR($D429&lt;&gt;"Serviço",AND(AUTOEVENTO="Manual",$M429=$A$15),$M429&gt;(ROW(PLE.lastrow)-ROW(PLE.firstrow))),0,
           IF(OFFSET(PLE!$G$15,$M429-$A$15,CM$13)="",10^12,OFFSET(PLE!$G$15,$M429-$A$15,CM$13)))</f>
        <v>1000000000000</v>
      </c>
    </row>
    <row r="430" spans="1:91" ht="38.25" x14ac:dyDescent="0.2">
      <c r="A430" s="7">
        <f t="shared" ca="1" si="16"/>
        <v>7</v>
      </c>
      <c r="B430" s="7" t="str">
        <f ca="1">OFFSET(ORÇAMENTO!C$15,ROW(B430)-ROW(B$15),0)</f>
        <v>S</v>
      </c>
      <c r="C430" s="7" t="str">
        <f ca="1">OFFSET(ORÇAMENTO!L$15,ROW(C430)-ROW(C$15),0)</f>
        <v>F</v>
      </c>
      <c r="D430" s="116" t="str">
        <f ca="1">OFFSET(ORÇAMENTO!N$15,ROW(D430)-ROW(D$15),0)</f>
        <v>Serviço</v>
      </c>
      <c r="E430" s="117" t="str">
        <f ca="1">OFFSET(ORÇAMENTO!O$15,ROW(E430)-ROW(E$15),0)</f>
        <v>1.8.2.4.20.</v>
      </c>
      <c r="F430" s="163" t="str">
        <f ca="1">OFFSET(ORÇAMENTO!R$15,ROW(F430)-ROW(F$15),0)</f>
        <v xml:space="preserve">VENTILADOR COOLER PAINEL ELETRICO BIVOLT 120x120x25mm - BASEADO EM SBC (059468) </v>
      </c>
      <c r="G430" s="164" t="str">
        <f ca="1">IF($D430&lt;&gt;"Serviço","",OFFSET(ORÇAMENTO!S$15,ROW(G430)-ROW(G$15),0))</f>
        <v>UN</v>
      </c>
      <c r="H430" s="122" cm="1">
        <f t="array" aca="1" ref="H430" ca="1">IF($D430&lt;&gt;"Serviço",0,IF(ACOMPANHAMENTO="BM",ROUND(OFFSET(ORÇAMENTO!AJ$15,ROW(H430)-ROW(H$15),0),15-13*ORÇAMENTO!$AF$7),SUMPRODUCT(($Q$1:$AI$1=1)*ROUND($Q430:$AI430,15-13*ORÇAMENTO!$AF$7))))</f>
        <v>1</v>
      </c>
      <c r="I430" s="468" t="s">
        <v>1431</v>
      </c>
      <c r="J430" s="640" t="str" cm="1">
        <f t="array" aca="1" ref="J430" ca="1">IF(OR(B430&lt;&gt;"S",CÁLCULO.FrentesPreenchidas=0),"",IF(AND(ACOMPANHAMENTO="PLE",AUTOEVENTO="Manual",OR(H430&gt;0,ORÇAMENTO!AC430="QUANT."),OR(K430="",M430=0,N430="")),"►E",IF(AND(ACOMPANHAMENTO="PLE",ORÇAMENTO!AC430="QUANT."),"►Q",IF(AND(ACOMPANHAMENTO="PLE",H430&lt;&gt;SUMPRODUCT(($Q$1:$AI$1=1)*ROUND(Q430:AI430,15))),"►S",IF(AND(COUNTIF($P$11:$AI$11,"▼")=0,H430&gt;0,I430=""),"◄M","")))))</f>
        <v/>
      </c>
      <c r="K430" s="641" t="s">
        <v>1391</v>
      </c>
      <c r="L430" s="165" t="s">
        <v>764</v>
      </c>
      <c r="M430" s="166">
        <f ca="1">IF($D430&lt;&gt;"Serviço","",
          IF(AUTOEVENTO="manual",$A430,
                IF(ISERROR(MATCH($A430,$A$15:OFFSET($A430,-1,0),0)),MAX($M$15:OFFSET(M430,-1,0))+1,
                      INDEX($M$15:OFFSET(M430,-1,0),MATCH($A430,$A$15:OFFSET($A430,-1,0),0)))))</f>
        <v>7</v>
      </c>
      <c r="N430" s="167" t="str">
        <f ca="1">IF($D430&lt;&gt;"Serviço","",
         IF(AUTOEVENTO="Manual",
                IF($A430=0,"&lt;-- defina o número do agrupador",
                       OFFSET(EVENTOS!$D$15,$A430-$A$15,0)),
                OFFSET($F$15,$A430,0)))</f>
        <v>Instalações Elétricas</v>
      </c>
      <c r="O430" s="168"/>
      <c r="Q430" s="168"/>
      <c r="R430" s="169"/>
      <c r="S430" s="169"/>
      <c r="T430" s="169"/>
      <c r="U430" s="169"/>
      <c r="V430" s="169"/>
      <c r="W430" s="169"/>
      <c r="X430" s="169">
        <v>1</v>
      </c>
      <c r="Y430" s="169"/>
      <c r="Z430" s="170"/>
      <c r="AA430" s="169"/>
      <c r="AB430" s="169"/>
      <c r="AC430" s="169"/>
      <c r="AD430" s="169"/>
      <c r="AE430" s="169"/>
      <c r="AF430" s="169"/>
      <c r="AG430" s="169"/>
      <c r="AH430" s="170"/>
      <c r="AJ430" s="453">
        <f ca="1">IF(AND($D430="Serviço",AJ$12&lt;&gt;0,$H430&gt;0,OR(AUTOEVENTO&lt;&gt;"manual",$M430&lt;&gt;$A$15)),
        IF(Import.TipoArredondamento&lt;&gt;"TransfereGOV",
              ROUND(OFFSET($P430,0,AJ$13),15-13*ORÇAMENTO!$AF$7)/$H430*OFFSET(ORÇAMENTO!$X$15,ROW(AJ430)-ROW(AJ$15),0),
              ROUND(ROUND(OFFSET($P430,0,AJ$13),15-13*ORÇAMENTO!$AF$7)*OFFSET(ORÇAMENTO!$W$15,ROW(AJ430)-ROW(AJ$15),0),15-13*ORÇAMENTO!$AF$11)),
         0)</f>
        <v>0</v>
      </c>
      <c r="AK430" s="453">
        <f ca="1">IF(AND($D430="Serviço",AK$12&lt;&gt;0,$H430&gt;0,OR(AUTOEVENTO&lt;&gt;"manual",$M430&lt;&gt;$A$15)),
        IF(Import.TipoArredondamento&lt;&gt;"TransfereGOV",
              ROUND(OFFSET($P430,0,AK$13),15-13*ORÇAMENTO!$AF$7)/$H430*OFFSET(ORÇAMENTO!$X$15,ROW(AK430)-ROW(AK$15),0),
              ROUND(ROUND(OFFSET($P430,0,AK$13),15-13*ORÇAMENTO!$AF$7)*OFFSET(ORÇAMENTO!$W$15,ROW(AK430)-ROW(AK$15),0),15-13*ORÇAMENTO!$AF$11)),
         0)</f>
        <v>0</v>
      </c>
      <c r="AL430" s="453">
        <f ca="1">IF(AND($D430="Serviço",AL$12&lt;&gt;0,$H430&gt;0,OR(AUTOEVENTO&lt;&gt;"manual",$M430&lt;&gt;$A$15)),
        IF(Import.TipoArredondamento&lt;&gt;"TransfereGOV",
              ROUND(OFFSET($P430,0,AL$13),15-13*ORÇAMENTO!$AF$7)/$H430*OFFSET(ORÇAMENTO!$X$15,ROW(AL430)-ROW(AL$15),0),
              ROUND(ROUND(OFFSET($P430,0,AL$13),15-13*ORÇAMENTO!$AF$7)*OFFSET(ORÇAMENTO!$W$15,ROW(AL430)-ROW(AL$15),0),15-13*ORÇAMENTO!$AF$11)),
         0)</f>
        <v>0</v>
      </c>
      <c r="AM430" s="453">
        <f ca="1">IF(AND($D430="Serviço",AM$12&lt;&gt;0,$H430&gt;0,OR(AUTOEVENTO&lt;&gt;"manual",$M430&lt;&gt;$A$15)),
        IF(Import.TipoArredondamento&lt;&gt;"TransfereGOV",
              ROUND(OFFSET($P430,0,AM$13),15-13*ORÇAMENTO!$AF$7)/$H430*OFFSET(ORÇAMENTO!$X$15,ROW(AM430)-ROW(AM$15),0),
              ROUND(ROUND(OFFSET($P430,0,AM$13),15-13*ORÇAMENTO!$AF$7)*OFFSET(ORÇAMENTO!$W$15,ROW(AM430)-ROW(AM$15),0),15-13*ORÇAMENTO!$AF$11)),
         0)</f>
        <v>0</v>
      </c>
      <c r="AN430" s="453">
        <f ca="1">IF(AND($D430="Serviço",AN$12&lt;&gt;0,$H430&gt;0,OR(AUTOEVENTO&lt;&gt;"manual",$M430&lt;&gt;$A$15)),
        IF(Import.TipoArredondamento&lt;&gt;"TransfereGOV",
              ROUND(OFFSET($P430,0,AN$13),15-13*ORÇAMENTO!$AF$7)/$H430*OFFSET(ORÇAMENTO!$X$15,ROW(AN430)-ROW(AN$15),0),
              ROUND(ROUND(OFFSET($P430,0,AN$13),15-13*ORÇAMENTO!$AF$7)*OFFSET(ORÇAMENTO!$W$15,ROW(AN430)-ROW(AN$15),0),15-13*ORÇAMENTO!$AF$11)),
         0)</f>
        <v>0</v>
      </c>
      <c r="AO430" s="453">
        <f ca="1">IF(AND($D430="Serviço",AO$12&lt;&gt;0,$H430&gt;0,OR(AUTOEVENTO&lt;&gt;"manual",$M430&lt;&gt;$A$15)),
        IF(Import.TipoArredondamento&lt;&gt;"TransfereGOV",
              ROUND(OFFSET($P430,0,AO$13),15-13*ORÇAMENTO!$AF$7)/$H430*OFFSET(ORÇAMENTO!$X$15,ROW(AO430)-ROW(AO$15),0),
              ROUND(ROUND(OFFSET($P430,0,AO$13),15-13*ORÇAMENTO!$AF$7)*OFFSET(ORÇAMENTO!$W$15,ROW(AO430)-ROW(AO$15),0),15-13*ORÇAMENTO!$AF$11)),
         0)</f>
        <v>0</v>
      </c>
      <c r="AP430" s="453">
        <f ca="1">IF(AND($D430="Serviço",AP$12&lt;&gt;0,$H430&gt;0,OR(AUTOEVENTO&lt;&gt;"manual",$M430&lt;&gt;$A$15)),
        IF(Import.TipoArredondamento&lt;&gt;"TransfereGOV",
              ROUND(OFFSET($P430,0,AP$13),15-13*ORÇAMENTO!$AF$7)/$H430*OFFSET(ORÇAMENTO!$X$15,ROW(AP430)-ROW(AP$15),0),
              ROUND(ROUND(OFFSET($P430,0,AP$13),15-13*ORÇAMENTO!$AF$7)*OFFSET(ORÇAMENTO!$W$15,ROW(AP430)-ROW(AP$15),0),15-13*ORÇAMENTO!$AF$11)),
         0)</f>
        <v>0</v>
      </c>
      <c r="AQ430" s="453">
        <f ca="1">IF(AND($D430="Serviço",AQ$12&lt;&gt;0,$H430&gt;0,OR(AUTOEVENTO&lt;&gt;"manual",$M430&lt;&gt;$A$15)),
        IF(Import.TipoArredondamento&lt;&gt;"TransfereGOV",
              ROUND(OFFSET($P430,0,AQ$13),15-13*ORÇAMENTO!$AF$7)/$H430*OFFSET(ORÇAMENTO!$X$15,ROW(AQ430)-ROW(AQ$15),0),
              ROUND(ROUND(OFFSET($P430,0,AQ$13),15-13*ORÇAMENTO!$AF$7)*OFFSET(ORÇAMENTO!$W$15,ROW(AQ430)-ROW(AQ$15),0),15-13*ORÇAMENTO!$AF$11)),
         0)</f>
        <v>0</v>
      </c>
      <c r="AR430" s="453">
        <f ca="1">IF(AND($D430="Serviço",AR$12&lt;&gt;0,$H430&gt;0,OR(AUTOEVENTO&lt;&gt;"manual",$M430&lt;&gt;$A$15)),
        IF(Import.TipoArredondamento&lt;&gt;"TransfereGOV",
              ROUND(OFFSET($P430,0,AR$13),15-13*ORÇAMENTO!$AF$7)/$H430*OFFSET(ORÇAMENTO!$X$15,ROW(AR430)-ROW(AR$15),0),
              ROUND(ROUND(OFFSET($P430,0,AR$13),15-13*ORÇAMENTO!$AF$7)*OFFSET(ORÇAMENTO!$W$15,ROW(AR430)-ROW(AR$15),0),15-13*ORÇAMENTO!$AF$11)),
         0)</f>
        <v>0</v>
      </c>
      <c r="AS430" s="453">
        <f ca="1">IF(AND($D430="Serviço",AS$12&lt;&gt;0,$H430&gt;0,OR(AUTOEVENTO&lt;&gt;"manual",$M430&lt;&gt;$A$15)),
        IF(Import.TipoArredondamento&lt;&gt;"TransfereGOV",
              ROUND(OFFSET($P430,0,AS$13),15-13*ORÇAMENTO!$AF$7)/$H430*OFFSET(ORÇAMENTO!$X$15,ROW(AS430)-ROW(AS$15),0),
              ROUND(ROUND(OFFSET($P430,0,AS$13),15-13*ORÇAMENTO!$AF$7)*OFFSET(ORÇAMENTO!$W$15,ROW(AS430)-ROW(AS$15),0),15-13*ORÇAMENTO!$AF$11)),
         0)</f>
        <v>0</v>
      </c>
      <c r="AT430" s="453">
        <f ca="1">IF(AND($D430="Serviço",AT$12&lt;&gt;0,$H430&gt;0,OR(AUTOEVENTO&lt;&gt;"manual",$M430&lt;&gt;$A$15)),
        IF(Import.TipoArredondamento&lt;&gt;"TransfereGOV",
              ROUND(OFFSET($P430,0,AT$13),15-13*ORÇAMENTO!$AF$7)/$H430*OFFSET(ORÇAMENTO!$X$15,ROW(AT430)-ROW(AT$15),0),
              ROUND(ROUND(OFFSET($P430,0,AT$13),15-13*ORÇAMENTO!$AF$7)*OFFSET(ORÇAMENTO!$W$15,ROW(AT430)-ROW(AT$15),0),15-13*ORÇAMENTO!$AF$11)),
         0)</f>
        <v>0</v>
      </c>
      <c r="AU430" s="453">
        <f ca="1">IF(AND($D430="Serviço",AU$12&lt;&gt;0,$H430&gt;0,OR(AUTOEVENTO&lt;&gt;"manual",$M430&lt;&gt;$A$15)),
        IF(Import.TipoArredondamento&lt;&gt;"TransfereGOV",
              ROUND(OFFSET($P430,0,AU$13),15-13*ORÇAMENTO!$AF$7)/$H430*OFFSET(ORÇAMENTO!$X$15,ROW(AU430)-ROW(AU$15),0),
              ROUND(ROUND(OFFSET($P430,0,AU$13),15-13*ORÇAMENTO!$AF$7)*OFFSET(ORÇAMENTO!$W$15,ROW(AU430)-ROW(AU$15),0),15-13*ORÇAMENTO!$AF$11)),
         0)</f>
        <v>0</v>
      </c>
      <c r="AV430" s="453">
        <f ca="1">IF(AND($D430="Serviço",AV$12&lt;&gt;0,$H430&gt;0,OR(AUTOEVENTO&lt;&gt;"manual",$M430&lt;&gt;$A$15)),
        IF(Import.TipoArredondamento&lt;&gt;"TransfereGOV",
              ROUND(OFFSET($P430,0,AV$13),15-13*ORÇAMENTO!$AF$7)/$H430*OFFSET(ORÇAMENTO!$X$15,ROW(AV430)-ROW(AV$15),0),
              ROUND(ROUND(OFFSET($P430,0,AV$13),15-13*ORÇAMENTO!$AF$7)*OFFSET(ORÇAMENTO!$W$15,ROW(AV430)-ROW(AV$15),0),15-13*ORÇAMENTO!$AF$11)),
         0)</f>
        <v>0</v>
      </c>
      <c r="AW430" s="453">
        <f ca="1">IF(AND($D430="Serviço",AW$12&lt;&gt;0,$H430&gt;0,OR(AUTOEVENTO&lt;&gt;"manual",$M430&lt;&gt;$A$15)),
        IF(Import.TipoArredondamento&lt;&gt;"TransfereGOV",
              ROUND(OFFSET($P430,0,AW$13),15-13*ORÇAMENTO!$AF$7)/$H430*OFFSET(ORÇAMENTO!$X$15,ROW(AW430)-ROW(AW$15),0),
              ROUND(ROUND(OFFSET($P430,0,AW$13),15-13*ORÇAMENTO!$AF$7)*OFFSET(ORÇAMENTO!$W$15,ROW(AW430)-ROW(AW$15),0),15-13*ORÇAMENTO!$AF$11)),
         0)</f>
        <v>0</v>
      </c>
      <c r="AX430" s="453">
        <f ca="1">IF(AND($D430="Serviço",AX$12&lt;&gt;0,$H430&gt;0,OR(AUTOEVENTO&lt;&gt;"manual",$M430&lt;&gt;$A$15)),
        IF(Import.TipoArredondamento&lt;&gt;"TransfereGOV",
              ROUND(OFFSET($P430,0,AX$13),15-13*ORÇAMENTO!$AF$7)/$H430*OFFSET(ORÇAMENTO!$X$15,ROW(AX430)-ROW(AX$15),0),
              ROUND(ROUND(OFFSET($P430,0,AX$13),15-13*ORÇAMENTO!$AF$7)*OFFSET(ORÇAMENTO!$W$15,ROW(AX430)-ROW(AX$15),0),15-13*ORÇAMENTO!$AF$11)),
         0)</f>
        <v>0</v>
      </c>
      <c r="AY430" s="453">
        <f ca="1">IF(AND($D430="Serviço",AY$12&lt;&gt;0,$H430&gt;0,OR(AUTOEVENTO&lt;&gt;"manual",$M430&lt;&gt;$A$15)),
        IF(Import.TipoArredondamento&lt;&gt;"TransfereGOV",
              ROUND(OFFSET($P430,0,AY$13),15-13*ORÇAMENTO!$AF$7)/$H430*OFFSET(ORÇAMENTO!$X$15,ROW(AY430)-ROW(AY$15),0),
              ROUND(ROUND(OFFSET($P430,0,AY$13),15-13*ORÇAMENTO!$AF$7)*OFFSET(ORÇAMENTO!$W$15,ROW(AY430)-ROW(AY$15),0),15-13*ORÇAMENTO!$AF$11)),
         0)</f>
        <v>0</v>
      </c>
      <c r="AZ430" s="453">
        <f ca="1">IF(AND($D430="Serviço",AZ$12&lt;&gt;0,$H430&gt;0,OR(AUTOEVENTO&lt;&gt;"manual",$M430&lt;&gt;$A$15)),
        IF(Import.TipoArredondamento&lt;&gt;"TransfereGOV",
              ROUND(OFFSET($P430,0,AZ$13),15-13*ORÇAMENTO!$AF$7)/$H430*OFFSET(ORÇAMENTO!$X$15,ROW(AZ430)-ROW(AZ$15),0),
              ROUND(ROUND(OFFSET($P430,0,AZ$13),15-13*ORÇAMENTO!$AF$7)*OFFSET(ORÇAMENTO!$W$15,ROW(AZ430)-ROW(AZ$15),0),15-13*ORÇAMENTO!$AF$11)),
         0)</f>
        <v>0</v>
      </c>
      <c r="BA430" s="453">
        <f ca="1">IF(AND($D430="Serviço",BA$12&lt;&gt;0,$H430&gt;0,OR(AUTOEVENTO&lt;&gt;"manual",$M430&lt;&gt;$A$15)),
        IF(Import.TipoArredondamento&lt;&gt;"TransfereGOV",
              ROUND(OFFSET($P430,0,BA$13),15-13*ORÇAMENTO!$AF$7)/$H430*OFFSET(ORÇAMENTO!$X$15,ROW(BA430)-ROW(BA$15),0),
              ROUND(ROUND(OFFSET($P430,0,BA$13),15-13*ORÇAMENTO!$AF$7)*OFFSET(ORÇAMENTO!$W$15,ROW(BA430)-ROW(BA$15),0),15-13*ORÇAMENTO!$AF$11)),
         0)</f>
        <v>0</v>
      </c>
      <c r="BC430" s="171">
        <f ca="1">IF(OR($D430&lt;&gt;"Serviço",AND(AUTOEVENTO="Manual",$M430=$A$15)),0,
         IF(OFFSET(CRONOPLE!$F$15,$M430-$A$15,BC$13)=0,10^12,OFFSET(CRONOPLE!$F$15,$M430-$A$15,BC$13)))</f>
        <v>1</v>
      </c>
      <c r="BD430" s="171">
        <f ca="1">IF(OR($D430&lt;&gt;"Serviço",AND(AUTOEVENTO="Manual",$M430=$A$15)),0,
         IF(OFFSET(CRONOPLE!$F$15,$M430-$A$15,BD$13)=0,10^12,OFFSET(CRONOPLE!$F$15,$M430-$A$15,BD$13)))</f>
        <v>2</v>
      </c>
      <c r="BE430" s="171">
        <f ca="1">IF(OR($D430&lt;&gt;"Serviço",AND(AUTOEVENTO="Manual",$M430=$A$15)),0,
         IF(OFFSET(CRONOPLE!$F$15,$M430-$A$15,BE$13)=0,10^12,OFFSET(CRONOPLE!$F$15,$M430-$A$15,BE$13)))</f>
        <v>3</v>
      </c>
      <c r="BF430" s="171">
        <f ca="1">IF(OR($D430&lt;&gt;"Serviço",AND(AUTOEVENTO="Manual",$M430=$A$15)),0,
         IF(OFFSET(CRONOPLE!$F$15,$M430-$A$15,BF$13)=0,10^12,OFFSET(CRONOPLE!$F$15,$M430-$A$15,BF$13)))</f>
        <v>4</v>
      </c>
      <c r="BG430" s="171">
        <f ca="1">IF(OR($D430&lt;&gt;"Serviço",AND(AUTOEVENTO="Manual",$M430=$A$15)),0,
         IF(OFFSET(CRONOPLE!$F$15,$M430-$A$15,BG$13)=0,10^12,OFFSET(CRONOPLE!$F$15,$M430-$A$15,BG$13)))</f>
        <v>5</v>
      </c>
      <c r="BH430" s="171">
        <f ca="1">IF(OR($D430&lt;&gt;"Serviço",AND(AUTOEVENTO="Manual",$M430=$A$15)),0,
         IF(OFFSET(CRONOPLE!$F$15,$M430-$A$15,BH$13)=0,10^12,OFFSET(CRONOPLE!$F$15,$M430-$A$15,BH$13)))</f>
        <v>6</v>
      </c>
      <c r="BI430" s="171">
        <f ca="1">IF(OR($D430&lt;&gt;"Serviço",AND(AUTOEVENTO="Manual",$M430=$A$15)),0,
         IF(OFFSET(CRONOPLE!$F$15,$M430-$A$15,BI$13)=0,10^12,OFFSET(CRONOPLE!$F$15,$M430-$A$15,BI$13)))</f>
        <v>7</v>
      </c>
      <c r="BJ430" s="171">
        <f ca="1">IF(OR($D430&lt;&gt;"Serviço",AND(AUTOEVENTO="Manual",$M430=$A$15)),0,
         IF(OFFSET(CRONOPLE!$F$15,$M430-$A$15,BJ$13)=0,10^12,OFFSET(CRONOPLE!$F$15,$M430-$A$15,BJ$13)))</f>
        <v>8</v>
      </c>
      <c r="BK430" s="171">
        <f ca="1">IF(OR($D430&lt;&gt;"Serviço",AND(AUTOEVENTO="Manual",$M430=$A$15)),0,
         IF(OFFSET(CRONOPLE!$F$15,$M430-$A$15,BK$13)=0,10^12,OFFSET(CRONOPLE!$F$15,$M430-$A$15,BK$13)))</f>
        <v>9</v>
      </c>
      <c r="BL430" s="171">
        <f ca="1">IF(OR($D430&lt;&gt;"Serviço",AND(AUTOEVENTO="Manual",$M430=$A$15)),0,
         IF(OFFSET(CRONOPLE!$F$15,$M430-$A$15,BL$13)=0,10^12,OFFSET(CRONOPLE!$F$15,$M430-$A$15,BL$13)))</f>
        <v>1000000000000</v>
      </c>
      <c r="BM430" s="171">
        <f ca="1">IF(OR($D430&lt;&gt;"Serviço",AND(AUTOEVENTO="Manual",$M430=$A$15)),0,
         IF(OFFSET(CRONOPLE!$F$15,$M430-$A$15,BM$13)=0,10^12,OFFSET(CRONOPLE!$F$15,$M430-$A$15,BM$13)))</f>
        <v>1000000000000</v>
      </c>
      <c r="BN430" s="171">
        <f ca="1">IF(OR($D430&lt;&gt;"Serviço",AND(AUTOEVENTO="Manual",$M430=$A$15)),0,
         IF(OFFSET(CRONOPLE!$F$15,$M430-$A$15,BN$13)=0,10^12,OFFSET(CRONOPLE!$F$15,$M430-$A$15,BN$13)))</f>
        <v>1000000000000</v>
      </c>
      <c r="BO430" s="171">
        <f ca="1">IF(OR($D430&lt;&gt;"Serviço",AND(AUTOEVENTO="Manual",$M430=$A$15)),0,
         IF(OFFSET(CRONOPLE!$F$15,$M430-$A$15,BO$13)=0,10^12,OFFSET(CRONOPLE!$F$15,$M430-$A$15,BO$13)))</f>
        <v>1000000000000</v>
      </c>
      <c r="BP430" s="171">
        <f ca="1">IF(OR($D430&lt;&gt;"Serviço",AND(AUTOEVENTO="Manual",$M430=$A$15)),0,
         IF(OFFSET(CRONOPLE!$F$15,$M430-$A$15,BP$13)=0,10^12,OFFSET(CRONOPLE!$F$15,$M430-$A$15,BP$13)))</f>
        <v>1000000000000</v>
      </c>
      <c r="BQ430" s="171">
        <f ca="1">IF(OR($D430&lt;&gt;"Serviço",AND(AUTOEVENTO="Manual",$M430=$A$15)),0,
         IF(OFFSET(CRONOPLE!$F$15,$M430-$A$15,BQ$13)=0,10^12,OFFSET(CRONOPLE!$F$15,$M430-$A$15,BQ$13)))</f>
        <v>1000000000000</v>
      </c>
      <c r="BR430" s="171">
        <f ca="1">IF(OR($D430&lt;&gt;"Serviço",AND(AUTOEVENTO="Manual",$M430=$A$15)),0,
         IF(OFFSET(CRONOPLE!$F$15,$M430-$A$15,BR$13)=0,10^12,OFFSET(CRONOPLE!$F$15,$M430-$A$15,BR$13)))</f>
        <v>1000000000000</v>
      </c>
      <c r="BS430" s="171">
        <f ca="1">IF(OR($D430&lt;&gt;"Serviço",AND(AUTOEVENTO="Manual",$M430=$A$15)),0,
         IF(OFFSET(CRONOPLE!$F$15,$M430-$A$15,BS$13)=0,10^12,OFFSET(CRONOPLE!$F$15,$M430-$A$15,BS$13)))</f>
        <v>1000000000000</v>
      </c>
      <c r="BT430" s="171">
        <f ca="1">IF(OR($D430&lt;&gt;"Serviço",AND(AUTOEVENTO="Manual",$M430=$A$15)),0,
         IF(OFFSET(CRONOPLE!$F$15,$M430-$A$15,BT$13)=0,10^12,OFFSET(CRONOPLE!$F$15,$M430-$A$15,BT$13)))</f>
        <v>1000000000000</v>
      </c>
      <c r="BV430" s="172">
        <f ca="1">IF(OR($D430&lt;&gt;"Serviço",AND(AUTOEVENTO="Manual",$M430=$A$15),$M430&gt;(ROW(PLE.lastrow)-ROW(PLE.firstrow))),0,
           IF(OFFSET(PLE!$G$15,$M430-$A$15,BV$13)="",10^12,OFFSET(PLE!$G$15,$M430-$A$15,BV$13)))</f>
        <v>1000000000000</v>
      </c>
      <c r="BW430" s="172">
        <f ca="1">IF(OR($D430&lt;&gt;"Serviço",AND(AUTOEVENTO="Manual",$M430=$A$15),$M430&gt;(ROW(PLE.lastrow)-ROW(PLE.firstrow))),0,
           IF(OFFSET(PLE!$G$15,$M430-$A$15,BW$13)="",10^12,OFFSET(PLE!$G$15,$M430-$A$15,BW$13)))</f>
        <v>1000000000000</v>
      </c>
      <c r="BX430" s="172">
        <f ca="1">IF(OR($D430&lt;&gt;"Serviço",AND(AUTOEVENTO="Manual",$M430=$A$15),$M430&gt;(ROW(PLE.lastrow)-ROW(PLE.firstrow))),0,
           IF(OFFSET(PLE!$G$15,$M430-$A$15,BX$13)="",10^12,OFFSET(PLE!$G$15,$M430-$A$15,BX$13)))</f>
        <v>1000000000000</v>
      </c>
      <c r="BY430" s="172">
        <f ca="1">IF(OR($D430&lt;&gt;"Serviço",AND(AUTOEVENTO="Manual",$M430=$A$15),$M430&gt;(ROW(PLE.lastrow)-ROW(PLE.firstrow))),0,
           IF(OFFSET(PLE!$G$15,$M430-$A$15,BY$13)="",10^12,OFFSET(PLE!$G$15,$M430-$A$15,BY$13)))</f>
        <v>1000000000000</v>
      </c>
      <c r="BZ430" s="172">
        <f ca="1">IF(OR($D430&lt;&gt;"Serviço",AND(AUTOEVENTO="Manual",$M430=$A$15),$M430&gt;(ROW(PLE.lastrow)-ROW(PLE.firstrow))),0,
           IF(OFFSET(PLE!$G$15,$M430-$A$15,BZ$13)="",10^12,OFFSET(PLE!$G$15,$M430-$A$15,BZ$13)))</f>
        <v>1000000000000</v>
      </c>
      <c r="CA430" s="172">
        <f ca="1">IF(OR($D430&lt;&gt;"Serviço",AND(AUTOEVENTO="Manual",$M430=$A$15),$M430&gt;(ROW(PLE.lastrow)-ROW(PLE.firstrow))),0,
           IF(OFFSET(PLE!$G$15,$M430-$A$15,CA$13)="",10^12,OFFSET(PLE!$G$15,$M430-$A$15,CA$13)))</f>
        <v>1000000000000</v>
      </c>
      <c r="CB430" s="172">
        <f ca="1">IF(OR($D430&lt;&gt;"Serviço",AND(AUTOEVENTO="Manual",$M430=$A$15),$M430&gt;(ROW(PLE.lastrow)-ROW(PLE.firstrow))),0,
           IF(OFFSET(PLE!$G$15,$M430-$A$15,CB$13)="",10^12,OFFSET(PLE!$G$15,$M430-$A$15,CB$13)))</f>
        <v>1000000000000</v>
      </c>
      <c r="CC430" s="172">
        <f ca="1">IF(OR($D430&lt;&gt;"Serviço",AND(AUTOEVENTO="Manual",$M430=$A$15),$M430&gt;(ROW(PLE.lastrow)-ROW(PLE.firstrow))),0,
           IF(OFFSET(PLE!$G$15,$M430-$A$15,CC$13)="",10^12,OFFSET(PLE!$G$15,$M430-$A$15,CC$13)))</f>
        <v>1000000000000</v>
      </c>
      <c r="CD430" s="172">
        <f ca="1">IF(OR($D430&lt;&gt;"Serviço",AND(AUTOEVENTO="Manual",$M430=$A$15),$M430&gt;(ROW(PLE.lastrow)-ROW(PLE.firstrow))),0,
           IF(OFFSET(PLE!$G$15,$M430-$A$15,CD$13)="",10^12,OFFSET(PLE!$G$15,$M430-$A$15,CD$13)))</f>
        <v>1000000000000</v>
      </c>
      <c r="CE430" s="172">
        <f ca="1">IF(OR($D430&lt;&gt;"Serviço",AND(AUTOEVENTO="Manual",$M430=$A$15),$M430&gt;(ROW(PLE.lastrow)-ROW(PLE.firstrow))),0,
           IF(OFFSET(PLE!$G$15,$M430-$A$15,CE$13)="",10^12,OFFSET(PLE!$G$15,$M430-$A$15,CE$13)))</f>
        <v>1000000000000</v>
      </c>
      <c r="CF430" s="172">
        <f ca="1">IF(OR($D430&lt;&gt;"Serviço",AND(AUTOEVENTO="Manual",$M430=$A$15),$M430&gt;(ROW(PLE.lastrow)-ROW(PLE.firstrow))),0,
           IF(OFFSET(PLE!$G$15,$M430-$A$15,CF$13)="",10^12,OFFSET(PLE!$G$15,$M430-$A$15,CF$13)))</f>
        <v>1000000000000</v>
      </c>
      <c r="CG430" s="172">
        <f ca="1">IF(OR($D430&lt;&gt;"Serviço",AND(AUTOEVENTO="Manual",$M430=$A$15),$M430&gt;(ROW(PLE.lastrow)-ROW(PLE.firstrow))),0,
           IF(OFFSET(PLE!$G$15,$M430-$A$15,CG$13)="",10^12,OFFSET(PLE!$G$15,$M430-$A$15,CG$13)))</f>
        <v>1000000000000</v>
      </c>
      <c r="CH430" s="172">
        <f ca="1">IF(OR($D430&lt;&gt;"Serviço",AND(AUTOEVENTO="Manual",$M430=$A$15),$M430&gt;(ROW(PLE.lastrow)-ROW(PLE.firstrow))),0,
           IF(OFFSET(PLE!$G$15,$M430-$A$15,CH$13)="",10^12,OFFSET(PLE!$G$15,$M430-$A$15,CH$13)))</f>
        <v>1000000000000</v>
      </c>
      <c r="CI430" s="172">
        <f ca="1">IF(OR($D430&lt;&gt;"Serviço",AND(AUTOEVENTO="Manual",$M430=$A$15),$M430&gt;(ROW(PLE.lastrow)-ROW(PLE.firstrow))),0,
           IF(OFFSET(PLE!$G$15,$M430-$A$15,CI$13)="",10^12,OFFSET(PLE!$G$15,$M430-$A$15,CI$13)))</f>
        <v>1000000000000</v>
      </c>
      <c r="CJ430" s="172">
        <f ca="1">IF(OR($D430&lt;&gt;"Serviço",AND(AUTOEVENTO="Manual",$M430=$A$15),$M430&gt;(ROW(PLE.lastrow)-ROW(PLE.firstrow))),0,
           IF(OFFSET(PLE!$G$15,$M430-$A$15,CJ$13)="",10^12,OFFSET(PLE!$G$15,$M430-$A$15,CJ$13)))</f>
        <v>1000000000000</v>
      </c>
      <c r="CK430" s="172">
        <f ca="1">IF(OR($D430&lt;&gt;"Serviço",AND(AUTOEVENTO="Manual",$M430=$A$15),$M430&gt;(ROW(PLE.lastrow)-ROW(PLE.firstrow))),0,
           IF(OFFSET(PLE!$G$15,$M430-$A$15,CK$13)="",10^12,OFFSET(PLE!$G$15,$M430-$A$15,CK$13)))</f>
        <v>1000000000000</v>
      </c>
      <c r="CL430" s="172">
        <f ca="1">IF(OR($D430&lt;&gt;"Serviço",AND(AUTOEVENTO="Manual",$M430=$A$15),$M430&gt;(ROW(PLE.lastrow)-ROW(PLE.firstrow))),0,
           IF(OFFSET(PLE!$G$15,$M430-$A$15,CL$13)="",10^12,OFFSET(PLE!$G$15,$M430-$A$15,CL$13)))</f>
        <v>1000000000000</v>
      </c>
      <c r="CM430" s="172">
        <f ca="1">IF(OR($D430&lt;&gt;"Serviço",AND(AUTOEVENTO="Manual",$M430=$A$15),$M430&gt;(ROW(PLE.lastrow)-ROW(PLE.firstrow))),0,
           IF(OFFSET(PLE!$G$15,$M430-$A$15,CM$13)="",10^12,OFFSET(PLE!$G$15,$M430-$A$15,CM$13)))</f>
        <v>1000000000000</v>
      </c>
    </row>
    <row r="431" spans="1:91" ht="38.25" x14ac:dyDescent="0.2">
      <c r="A431" s="7">
        <f t="shared" ca="1" si="16"/>
        <v>7</v>
      </c>
      <c r="B431" s="7" t="str">
        <f ca="1">OFFSET(ORÇAMENTO!C$15,ROW(B431)-ROW(B$15),0)</f>
        <v>S</v>
      </c>
      <c r="C431" s="7" t="str">
        <f ca="1">OFFSET(ORÇAMENTO!L$15,ROW(C431)-ROW(C$15),0)</f>
        <v>F</v>
      </c>
      <c r="D431" s="116" t="str">
        <f ca="1">OFFSET(ORÇAMENTO!N$15,ROW(D431)-ROW(D$15),0)</f>
        <v>Serviço</v>
      </c>
      <c r="E431" s="117" t="str">
        <f ca="1">OFFSET(ORÇAMENTO!O$15,ROW(E431)-ROW(E$15),0)</f>
        <v>1.8.2.4.21.</v>
      </c>
      <c r="F431" s="163" t="str">
        <f ca="1">OFFSET(ORÇAMENTO!R$15,ROW(F431)-ROW(F$15),0)</f>
        <v xml:space="preserve">RELE FALTA DE FASE TRIPOLAR 380V COM CONTATO REVERSIVEL - BASEADO EM  SBC (064568) </v>
      </c>
      <c r="G431" s="164" t="str">
        <f ca="1">IF($D431&lt;&gt;"Serviço","",OFFSET(ORÇAMENTO!S$15,ROW(G431)-ROW(G$15),0))</f>
        <v>UN</v>
      </c>
      <c r="H431" s="122" cm="1">
        <f t="array" aca="1" ref="H431" ca="1">IF($D431&lt;&gt;"Serviço",0,IF(ACOMPANHAMENTO="BM",ROUND(OFFSET(ORÇAMENTO!AJ$15,ROW(H431)-ROW(H$15),0),15-13*ORÇAMENTO!$AF$7),SUMPRODUCT(($Q$1:$AI$1=1)*ROUND($Q431:$AI431,15-13*ORÇAMENTO!$AF$7))))</f>
        <v>1</v>
      </c>
      <c r="I431" s="468" t="s">
        <v>1431</v>
      </c>
      <c r="J431" s="640" t="str" cm="1">
        <f t="array" aca="1" ref="J431" ca="1">IF(OR(B431&lt;&gt;"S",CÁLCULO.FrentesPreenchidas=0),"",IF(AND(ACOMPANHAMENTO="PLE",AUTOEVENTO="Manual",OR(H431&gt;0,ORÇAMENTO!AC431="QUANT."),OR(K431="",M431=0,N431="")),"►E",IF(AND(ACOMPANHAMENTO="PLE",ORÇAMENTO!AC431="QUANT."),"►Q",IF(AND(ACOMPANHAMENTO="PLE",H431&lt;&gt;SUMPRODUCT(($Q$1:$AI$1=1)*ROUND(Q431:AI431,15))),"►S",IF(AND(COUNTIF($P$11:$AI$11,"▼")=0,H431&gt;0,I431=""),"◄M","")))))</f>
        <v/>
      </c>
      <c r="K431" s="641" t="s">
        <v>1391</v>
      </c>
      <c r="L431" s="165" t="s">
        <v>764</v>
      </c>
      <c r="M431" s="166">
        <f ca="1">IF($D431&lt;&gt;"Serviço","",
          IF(AUTOEVENTO="manual",$A431,
                IF(ISERROR(MATCH($A431,$A$15:OFFSET($A431,-1,0),0)),MAX($M$15:OFFSET(M431,-1,0))+1,
                      INDEX($M$15:OFFSET(M431,-1,0),MATCH($A431,$A$15:OFFSET($A431,-1,0),0)))))</f>
        <v>7</v>
      </c>
      <c r="N431" s="167" t="str">
        <f ca="1">IF($D431&lt;&gt;"Serviço","",
         IF(AUTOEVENTO="Manual",
                IF($A431=0,"&lt;-- defina o número do agrupador",
                       OFFSET(EVENTOS!$D$15,$A431-$A$15,0)),
                OFFSET($F$15,$A431,0)))</f>
        <v>Instalações Elétricas</v>
      </c>
      <c r="O431" s="168"/>
      <c r="Q431" s="168"/>
      <c r="R431" s="169"/>
      <c r="S431" s="169"/>
      <c r="T431" s="169"/>
      <c r="U431" s="169"/>
      <c r="V431" s="169"/>
      <c r="W431" s="169"/>
      <c r="X431" s="169">
        <v>1</v>
      </c>
      <c r="Y431" s="169"/>
      <c r="Z431" s="170"/>
      <c r="AA431" s="169"/>
      <c r="AB431" s="169"/>
      <c r="AC431" s="169"/>
      <c r="AD431" s="169"/>
      <c r="AE431" s="169"/>
      <c r="AF431" s="169"/>
      <c r="AG431" s="169"/>
      <c r="AH431" s="170"/>
      <c r="AJ431" s="453">
        <f ca="1">IF(AND($D431="Serviço",AJ$12&lt;&gt;0,$H431&gt;0,OR(AUTOEVENTO&lt;&gt;"manual",$M431&lt;&gt;$A$15)),
        IF(Import.TipoArredondamento&lt;&gt;"TransfereGOV",
              ROUND(OFFSET($P431,0,AJ$13),15-13*ORÇAMENTO!$AF$7)/$H431*OFFSET(ORÇAMENTO!$X$15,ROW(AJ431)-ROW(AJ$15),0),
              ROUND(ROUND(OFFSET($P431,0,AJ$13),15-13*ORÇAMENTO!$AF$7)*OFFSET(ORÇAMENTO!$W$15,ROW(AJ431)-ROW(AJ$15),0),15-13*ORÇAMENTO!$AF$11)),
         0)</f>
        <v>0</v>
      </c>
      <c r="AK431" s="453">
        <f ca="1">IF(AND($D431="Serviço",AK$12&lt;&gt;0,$H431&gt;0,OR(AUTOEVENTO&lt;&gt;"manual",$M431&lt;&gt;$A$15)),
        IF(Import.TipoArredondamento&lt;&gt;"TransfereGOV",
              ROUND(OFFSET($P431,0,AK$13),15-13*ORÇAMENTO!$AF$7)/$H431*OFFSET(ORÇAMENTO!$X$15,ROW(AK431)-ROW(AK$15),0),
              ROUND(ROUND(OFFSET($P431,0,AK$13),15-13*ORÇAMENTO!$AF$7)*OFFSET(ORÇAMENTO!$W$15,ROW(AK431)-ROW(AK$15),0),15-13*ORÇAMENTO!$AF$11)),
         0)</f>
        <v>0</v>
      </c>
      <c r="AL431" s="453">
        <f ca="1">IF(AND($D431="Serviço",AL$12&lt;&gt;0,$H431&gt;0,OR(AUTOEVENTO&lt;&gt;"manual",$M431&lt;&gt;$A$15)),
        IF(Import.TipoArredondamento&lt;&gt;"TransfereGOV",
              ROUND(OFFSET($P431,0,AL$13),15-13*ORÇAMENTO!$AF$7)/$H431*OFFSET(ORÇAMENTO!$X$15,ROW(AL431)-ROW(AL$15),0),
              ROUND(ROUND(OFFSET($P431,0,AL$13),15-13*ORÇAMENTO!$AF$7)*OFFSET(ORÇAMENTO!$W$15,ROW(AL431)-ROW(AL$15),0),15-13*ORÇAMENTO!$AF$11)),
         0)</f>
        <v>0</v>
      </c>
      <c r="AM431" s="453">
        <f ca="1">IF(AND($D431="Serviço",AM$12&lt;&gt;0,$H431&gt;0,OR(AUTOEVENTO&lt;&gt;"manual",$M431&lt;&gt;$A$15)),
        IF(Import.TipoArredondamento&lt;&gt;"TransfereGOV",
              ROUND(OFFSET($P431,0,AM$13),15-13*ORÇAMENTO!$AF$7)/$H431*OFFSET(ORÇAMENTO!$X$15,ROW(AM431)-ROW(AM$15),0),
              ROUND(ROUND(OFFSET($P431,0,AM$13),15-13*ORÇAMENTO!$AF$7)*OFFSET(ORÇAMENTO!$W$15,ROW(AM431)-ROW(AM$15),0),15-13*ORÇAMENTO!$AF$11)),
         0)</f>
        <v>0</v>
      </c>
      <c r="AN431" s="453">
        <f ca="1">IF(AND($D431="Serviço",AN$12&lt;&gt;0,$H431&gt;0,OR(AUTOEVENTO&lt;&gt;"manual",$M431&lt;&gt;$A$15)),
        IF(Import.TipoArredondamento&lt;&gt;"TransfereGOV",
              ROUND(OFFSET($P431,0,AN$13),15-13*ORÇAMENTO!$AF$7)/$H431*OFFSET(ORÇAMENTO!$X$15,ROW(AN431)-ROW(AN$15),0),
              ROUND(ROUND(OFFSET($P431,0,AN$13),15-13*ORÇAMENTO!$AF$7)*OFFSET(ORÇAMENTO!$W$15,ROW(AN431)-ROW(AN$15),0),15-13*ORÇAMENTO!$AF$11)),
         0)</f>
        <v>0</v>
      </c>
      <c r="AO431" s="453">
        <f ca="1">IF(AND($D431="Serviço",AO$12&lt;&gt;0,$H431&gt;0,OR(AUTOEVENTO&lt;&gt;"manual",$M431&lt;&gt;$A$15)),
        IF(Import.TipoArredondamento&lt;&gt;"TransfereGOV",
              ROUND(OFFSET($P431,0,AO$13),15-13*ORÇAMENTO!$AF$7)/$H431*OFFSET(ORÇAMENTO!$X$15,ROW(AO431)-ROW(AO$15),0),
              ROUND(ROUND(OFFSET($P431,0,AO$13),15-13*ORÇAMENTO!$AF$7)*OFFSET(ORÇAMENTO!$W$15,ROW(AO431)-ROW(AO$15),0),15-13*ORÇAMENTO!$AF$11)),
         0)</f>
        <v>0</v>
      </c>
      <c r="AP431" s="453">
        <f ca="1">IF(AND($D431="Serviço",AP$12&lt;&gt;0,$H431&gt;0,OR(AUTOEVENTO&lt;&gt;"manual",$M431&lt;&gt;$A$15)),
        IF(Import.TipoArredondamento&lt;&gt;"TransfereGOV",
              ROUND(OFFSET($P431,0,AP$13),15-13*ORÇAMENTO!$AF$7)/$H431*OFFSET(ORÇAMENTO!$X$15,ROW(AP431)-ROW(AP$15),0),
              ROUND(ROUND(OFFSET($P431,0,AP$13),15-13*ORÇAMENTO!$AF$7)*OFFSET(ORÇAMENTO!$W$15,ROW(AP431)-ROW(AP$15),0),15-13*ORÇAMENTO!$AF$11)),
         0)</f>
        <v>0</v>
      </c>
      <c r="AQ431" s="453">
        <f ca="1">IF(AND($D431="Serviço",AQ$12&lt;&gt;0,$H431&gt;0,OR(AUTOEVENTO&lt;&gt;"manual",$M431&lt;&gt;$A$15)),
        IF(Import.TipoArredondamento&lt;&gt;"TransfereGOV",
              ROUND(OFFSET($P431,0,AQ$13),15-13*ORÇAMENTO!$AF$7)/$H431*OFFSET(ORÇAMENTO!$X$15,ROW(AQ431)-ROW(AQ$15),0),
              ROUND(ROUND(OFFSET($P431,0,AQ$13),15-13*ORÇAMENTO!$AF$7)*OFFSET(ORÇAMENTO!$W$15,ROW(AQ431)-ROW(AQ$15),0),15-13*ORÇAMENTO!$AF$11)),
         0)</f>
        <v>0</v>
      </c>
      <c r="AR431" s="453">
        <f ca="1">IF(AND($D431="Serviço",AR$12&lt;&gt;0,$H431&gt;0,OR(AUTOEVENTO&lt;&gt;"manual",$M431&lt;&gt;$A$15)),
        IF(Import.TipoArredondamento&lt;&gt;"TransfereGOV",
              ROUND(OFFSET($P431,0,AR$13),15-13*ORÇAMENTO!$AF$7)/$H431*OFFSET(ORÇAMENTO!$X$15,ROW(AR431)-ROW(AR$15),0),
              ROUND(ROUND(OFFSET($P431,0,AR$13),15-13*ORÇAMENTO!$AF$7)*OFFSET(ORÇAMENTO!$W$15,ROW(AR431)-ROW(AR$15),0),15-13*ORÇAMENTO!$AF$11)),
         0)</f>
        <v>0</v>
      </c>
      <c r="AS431" s="453">
        <f ca="1">IF(AND($D431="Serviço",AS$12&lt;&gt;0,$H431&gt;0,OR(AUTOEVENTO&lt;&gt;"manual",$M431&lt;&gt;$A$15)),
        IF(Import.TipoArredondamento&lt;&gt;"TransfereGOV",
              ROUND(OFFSET($P431,0,AS$13),15-13*ORÇAMENTO!$AF$7)/$H431*OFFSET(ORÇAMENTO!$X$15,ROW(AS431)-ROW(AS$15),0),
              ROUND(ROUND(OFFSET($P431,0,AS$13),15-13*ORÇAMENTO!$AF$7)*OFFSET(ORÇAMENTO!$W$15,ROW(AS431)-ROW(AS$15),0),15-13*ORÇAMENTO!$AF$11)),
         0)</f>
        <v>0</v>
      </c>
      <c r="AT431" s="453">
        <f ca="1">IF(AND($D431="Serviço",AT$12&lt;&gt;0,$H431&gt;0,OR(AUTOEVENTO&lt;&gt;"manual",$M431&lt;&gt;$A$15)),
        IF(Import.TipoArredondamento&lt;&gt;"TransfereGOV",
              ROUND(OFFSET($P431,0,AT$13),15-13*ORÇAMENTO!$AF$7)/$H431*OFFSET(ORÇAMENTO!$X$15,ROW(AT431)-ROW(AT$15),0),
              ROUND(ROUND(OFFSET($P431,0,AT$13),15-13*ORÇAMENTO!$AF$7)*OFFSET(ORÇAMENTO!$W$15,ROW(AT431)-ROW(AT$15),0),15-13*ORÇAMENTO!$AF$11)),
         0)</f>
        <v>0</v>
      </c>
      <c r="AU431" s="453">
        <f ca="1">IF(AND($D431="Serviço",AU$12&lt;&gt;0,$H431&gt;0,OR(AUTOEVENTO&lt;&gt;"manual",$M431&lt;&gt;$A$15)),
        IF(Import.TipoArredondamento&lt;&gt;"TransfereGOV",
              ROUND(OFFSET($P431,0,AU$13),15-13*ORÇAMENTO!$AF$7)/$H431*OFFSET(ORÇAMENTO!$X$15,ROW(AU431)-ROW(AU$15),0),
              ROUND(ROUND(OFFSET($P431,0,AU$13),15-13*ORÇAMENTO!$AF$7)*OFFSET(ORÇAMENTO!$W$15,ROW(AU431)-ROW(AU$15),0),15-13*ORÇAMENTO!$AF$11)),
         0)</f>
        <v>0</v>
      </c>
      <c r="AV431" s="453">
        <f ca="1">IF(AND($D431="Serviço",AV$12&lt;&gt;0,$H431&gt;0,OR(AUTOEVENTO&lt;&gt;"manual",$M431&lt;&gt;$A$15)),
        IF(Import.TipoArredondamento&lt;&gt;"TransfereGOV",
              ROUND(OFFSET($P431,0,AV$13),15-13*ORÇAMENTO!$AF$7)/$H431*OFFSET(ORÇAMENTO!$X$15,ROW(AV431)-ROW(AV$15),0),
              ROUND(ROUND(OFFSET($P431,0,AV$13),15-13*ORÇAMENTO!$AF$7)*OFFSET(ORÇAMENTO!$W$15,ROW(AV431)-ROW(AV$15),0),15-13*ORÇAMENTO!$AF$11)),
         0)</f>
        <v>0</v>
      </c>
      <c r="AW431" s="453">
        <f ca="1">IF(AND($D431="Serviço",AW$12&lt;&gt;0,$H431&gt;0,OR(AUTOEVENTO&lt;&gt;"manual",$M431&lt;&gt;$A$15)),
        IF(Import.TipoArredondamento&lt;&gt;"TransfereGOV",
              ROUND(OFFSET($P431,0,AW$13),15-13*ORÇAMENTO!$AF$7)/$H431*OFFSET(ORÇAMENTO!$X$15,ROW(AW431)-ROW(AW$15),0),
              ROUND(ROUND(OFFSET($P431,0,AW$13),15-13*ORÇAMENTO!$AF$7)*OFFSET(ORÇAMENTO!$W$15,ROW(AW431)-ROW(AW$15),0),15-13*ORÇAMENTO!$AF$11)),
         0)</f>
        <v>0</v>
      </c>
      <c r="AX431" s="453">
        <f ca="1">IF(AND($D431="Serviço",AX$12&lt;&gt;0,$H431&gt;0,OR(AUTOEVENTO&lt;&gt;"manual",$M431&lt;&gt;$A$15)),
        IF(Import.TipoArredondamento&lt;&gt;"TransfereGOV",
              ROUND(OFFSET($P431,0,AX$13),15-13*ORÇAMENTO!$AF$7)/$H431*OFFSET(ORÇAMENTO!$X$15,ROW(AX431)-ROW(AX$15),0),
              ROUND(ROUND(OFFSET($P431,0,AX$13),15-13*ORÇAMENTO!$AF$7)*OFFSET(ORÇAMENTO!$W$15,ROW(AX431)-ROW(AX$15),0),15-13*ORÇAMENTO!$AF$11)),
         0)</f>
        <v>0</v>
      </c>
      <c r="AY431" s="453">
        <f ca="1">IF(AND($D431="Serviço",AY$12&lt;&gt;0,$H431&gt;0,OR(AUTOEVENTO&lt;&gt;"manual",$M431&lt;&gt;$A$15)),
        IF(Import.TipoArredondamento&lt;&gt;"TransfereGOV",
              ROUND(OFFSET($P431,0,AY$13),15-13*ORÇAMENTO!$AF$7)/$H431*OFFSET(ORÇAMENTO!$X$15,ROW(AY431)-ROW(AY$15),0),
              ROUND(ROUND(OFFSET($P431,0,AY$13),15-13*ORÇAMENTO!$AF$7)*OFFSET(ORÇAMENTO!$W$15,ROW(AY431)-ROW(AY$15),0),15-13*ORÇAMENTO!$AF$11)),
         0)</f>
        <v>0</v>
      </c>
      <c r="AZ431" s="453">
        <f ca="1">IF(AND($D431="Serviço",AZ$12&lt;&gt;0,$H431&gt;0,OR(AUTOEVENTO&lt;&gt;"manual",$M431&lt;&gt;$A$15)),
        IF(Import.TipoArredondamento&lt;&gt;"TransfereGOV",
              ROUND(OFFSET($P431,0,AZ$13),15-13*ORÇAMENTO!$AF$7)/$H431*OFFSET(ORÇAMENTO!$X$15,ROW(AZ431)-ROW(AZ$15),0),
              ROUND(ROUND(OFFSET($P431,0,AZ$13),15-13*ORÇAMENTO!$AF$7)*OFFSET(ORÇAMENTO!$W$15,ROW(AZ431)-ROW(AZ$15),0),15-13*ORÇAMENTO!$AF$11)),
         0)</f>
        <v>0</v>
      </c>
      <c r="BA431" s="453">
        <f ca="1">IF(AND($D431="Serviço",BA$12&lt;&gt;0,$H431&gt;0,OR(AUTOEVENTO&lt;&gt;"manual",$M431&lt;&gt;$A$15)),
        IF(Import.TipoArredondamento&lt;&gt;"TransfereGOV",
              ROUND(OFFSET($P431,0,BA$13),15-13*ORÇAMENTO!$AF$7)/$H431*OFFSET(ORÇAMENTO!$X$15,ROW(BA431)-ROW(BA$15),0),
              ROUND(ROUND(OFFSET($P431,0,BA$13),15-13*ORÇAMENTO!$AF$7)*OFFSET(ORÇAMENTO!$W$15,ROW(BA431)-ROW(BA$15),0),15-13*ORÇAMENTO!$AF$11)),
         0)</f>
        <v>0</v>
      </c>
      <c r="BC431" s="171">
        <f ca="1">IF(OR($D431&lt;&gt;"Serviço",AND(AUTOEVENTO="Manual",$M431=$A$15)),0,
         IF(OFFSET(CRONOPLE!$F$15,$M431-$A$15,BC$13)=0,10^12,OFFSET(CRONOPLE!$F$15,$M431-$A$15,BC$13)))</f>
        <v>1</v>
      </c>
      <c r="BD431" s="171">
        <f ca="1">IF(OR($D431&lt;&gt;"Serviço",AND(AUTOEVENTO="Manual",$M431=$A$15)),0,
         IF(OFFSET(CRONOPLE!$F$15,$M431-$A$15,BD$13)=0,10^12,OFFSET(CRONOPLE!$F$15,$M431-$A$15,BD$13)))</f>
        <v>2</v>
      </c>
      <c r="BE431" s="171">
        <f ca="1">IF(OR($D431&lt;&gt;"Serviço",AND(AUTOEVENTO="Manual",$M431=$A$15)),0,
         IF(OFFSET(CRONOPLE!$F$15,$M431-$A$15,BE$13)=0,10^12,OFFSET(CRONOPLE!$F$15,$M431-$A$15,BE$13)))</f>
        <v>3</v>
      </c>
      <c r="BF431" s="171">
        <f ca="1">IF(OR($D431&lt;&gt;"Serviço",AND(AUTOEVENTO="Manual",$M431=$A$15)),0,
         IF(OFFSET(CRONOPLE!$F$15,$M431-$A$15,BF$13)=0,10^12,OFFSET(CRONOPLE!$F$15,$M431-$A$15,BF$13)))</f>
        <v>4</v>
      </c>
      <c r="BG431" s="171">
        <f ca="1">IF(OR($D431&lt;&gt;"Serviço",AND(AUTOEVENTO="Manual",$M431=$A$15)),0,
         IF(OFFSET(CRONOPLE!$F$15,$M431-$A$15,BG$13)=0,10^12,OFFSET(CRONOPLE!$F$15,$M431-$A$15,BG$13)))</f>
        <v>5</v>
      </c>
      <c r="BH431" s="171">
        <f ca="1">IF(OR($D431&lt;&gt;"Serviço",AND(AUTOEVENTO="Manual",$M431=$A$15)),0,
         IF(OFFSET(CRONOPLE!$F$15,$M431-$A$15,BH$13)=0,10^12,OFFSET(CRONOPLE!$F$15,$M431-$A$15,BH$13)))</f>
        <v>6</v>
      </c>
      <c r="BI431" s="171">
        <f ca="1">IF(OR($D431&lt;&gt;"Serviço",AND(AUTOEVENTO="Manual",$M431=$A$15)),0,
         IF(OFFSET(CRONOPLE!$F$15,$M431-$A$15,BI$13)=0,10^12,OFFSET(CRONOPLE!$F$15,$M431-$A$15,BI$13)))</f>
        <v>7</v>
      </c>
      <c r="BJ431" s="171">
        <f ca="1">IF(OR($D431&lt;&gt;"Serviço",AND(AUTOEVENTO="Manual",$M431=$A$15)),0,
         IF(OFFSET(CRONOPLE!$F$15,$M431-$A$15,BJ$13)=0,10^12,OFFSET(CRONOPLE!$F$15,$M431-$A$15,BJ$13)))</f>
        <v>8</v>
      </c>
      <c r="BK431" s="171">
        <f ca="1">IF(OR($D431&lt;&gt;"Serviço",AND(AUTOEVENTO="Manual",$M431=$A$15)),0,
         IF(OFFSET(CRONOPLE!$F$15,$M431-$A$15,BK$13)=0,10^12,OFFSET(CRONOPLE!$F$15,$M431-$A$15,BK$13)))</f>
        <v>9</v>
      </c>
      <c r="BL431" s="171">
        <f ca="1">IF(OR($D431&lt;&gt;"Serviço",AND(AUTOEVENTO="Manual",$M431=$A$15)),0,
         IF(OFFSET(CRONOPLE!$F$15,$M431-$A$15,BL$13)=0,10^12,OFFSET(CRONOPLE!$F$15,$M431-$A$15,BL$13)))</f>
        <v>1000000000000</v>
      </c>
      <c r="BM431" s="171">
        <f ca="1">IF(OR($D431&lt;&gt;"Serviço",AND(AUTOEVENTO="Manual",$M431=$A$15)),0,
         IF(OFFSET(CRONOPLE!$F$15,$M431-$A$15,BM$13)=0,10^12,OFFSET(CRONOPLE!$F$15,$M431-$A$15,BM$13)))</f>
        <v>1000000000000</v>
      </c>
      <c r="BN431" s="171">
        <f ca="1">IF(OR($D431&lt;&gt;"Serviço",AND(AUTOEVENTO="Manual",$M431=$A$15)),0,
         IF(OFFSET(CRONOPLE!$F$15,$M431-$A$15,BN$13)=0,10^12,OFFSET(CRONOPLE!$F$15,$M431-$A$15,BN$13)))</f>
        <v>1000000000000</v>
      </c>
      <c r="BO431" s="171">
        <f ca="1">IF(OR($D431&lt;&gt;"Serviço",AND(AUTOEVENTO="Manual",$M431=$A$15)),0,
         IF(OFFSET(CRONOPLE!$F$15,$M431-$A$15,BO$13)=0,10^12,OFFSET(CRONOPLE!$F$15,$M431-$A$15,BO$13)))</f>
        <v>1000000000000</v>
      </c>
      <c r="BP431" s="171">
        <f ca="1">IF(OR($D431&lt;&gt;"Serviço",AND(AUTOEVENTO="Manual",$M431=$A$15)),0,
         IF(OFFSET(CRONOPLE!$F$15,$M431-$A$15,BP$13)=0,10^12,OFFSET(CRONOPLE!$F$15,$M431-$A$15,BP$13)))</f>
        <v>1000000000000</v>
      </c>
      <c r="BQ431" s="171">
        <f ca="1">IF(OR($D431&lt;&gt;"Serviço",AND(AUTOEVENTO="Manual",$M431=$A$15)),0,
         IF(OFFSET(CRONOPLE!$F$15,$M431-$A$15,BQ$13)=0,10^12,OFFSET(CRONOPLE!$F$15,$M431-$A$15,BQ$13)))</f>
        <v>1000000000000</v>
      </c>
      <c r="BR431" s="171">
        <f ca="1">IF(OR($D431&lt;&gt;"Serviço",AND(AUTOEVENTO="Manual",$M431=$A$15)),0,
         IF(OFFSET(CRONOPLE!$F$15,$M431-$A$15,BR$13)=0,10^12,OFFSET(CRONOPLE!$F$15,$M431-$A$15,BR$13)))</f>
        <v>1000000000000</v>
      </c>
      <c r="BS431" s="171">
        <f ca="1">IF(OR($D431&lt;&gt;"Serviço",AND(AUTOEVENTO="Manual",$M431=$A$15)),0,
         IF(OFFSET(CRONOPLE!$F$15,$M431-$A$15,BS$13)=0,10^12,OFFSET(CRONOPLE!$F$15,$M431-$A$15,BS$13)))</f>
        <v>1000000000000</v>
      </c>
      <c r="BT431" s="171">
        <f ca="1">IF(OR($D431&lt;&gt;"Serviço",AND(AUTOEVENTO="Manual",$M431=$A$15)),0,
         IF(OFFSET(CRONOPLE!$F$15,$M431-$A$15,BT$13)=0,10^12,OFFSET(CRONOPLE!$F$15,$M431-$A$15,BT$13)))</f>
        <v>1000000000000</v>
      </c>
      <c r="BV431" s="172">
        <f ca="1">IF(OR($D431&lt;&gt;"Serviço",AND(AUTOEVENTO="Manual",$M431=$A$15),$M431&gt;(ROW(PLE.lastrow)-ROW(PLE.firstrow))),0,
           IF(OFFSET(PLE!$G$15,$M431-$A$15,BV$13)="",10^12,OFFSET(PLE!$G$15,$M431-$A$15,BV$13)))</f>
        <v>1000000000000</v>
      </c>
      <c r="BW431" s="172">
        <f ca="1">IF(OR($D431&lt;&gt;"Serviço",AND(AUTOEVENTO="Manual",$M431=$A$15),$M431&gt;(ROW(PLE.lastrow)-ROW(PLE.firstrow))),0,
           IF(OFFSET(PLE!$G$15,$M431-$A$15,BW$13)="",10^12,OFFSET(PLE!$G$15,$M431-$A$15,BW$13)))</f>
        <v>1000000000000</v>
      </c>
      <c r="BX431" s="172">
        <f ca="1">IF(OR($D431&lt;&gt;"Serviço",AND(AUTOEVENTO="Manual",$M431=$A$15),$M431&gt;(ROW(PLE.lastrow)-ROW(PLE.firstrow))),0,
           IF(OFFSET(PLE!$G$15,$M431-$A$15,BX$13)="",10^12,OFFSET(PLE!$G$15,$M431-$A$15,BX$13)))</f>
        <v>1000000000000</v>
      </c>
      <c r="BY431" s="172">
        <f ca="1">IF(OR($D431&lt;&gt;"Serviço",AND(AUTOEVENTO="Manual",$M431=$A$15),$M431&gt;(ROW(PLE.lastrow)-ROW(PLE.firstrow))),0,
           IF(OFFSET(PLE!$G$15,$M431-$A$15,BY$13)="",10^12,OFFSET(PLE!$G$15,$M431-$A$15,BY$13)))</f>
        <v>1000000000000</v>
      </c>
      <c r="BZ431" s="172">
        <f ca="1">IF(OR($D431&lt;&gt;"Serviço",AND(AUTOEVENTO="Manual",$M431=$A$15),$M431&gt;(ROW(PLE.lastrow)-ROW(PLE.firstrow))),0,
           IF(OFFSET(PLE!$G$15,$M431-$A$15,BZ$13)="",10^12,OFFSET(PLE!$G$15,$M431-$A$15,BZ$13)))</f>
        <v>1000000000000</v>
      </c>
      <c r="CA431" s="172">
        <f ca="1">IF(OR($D431&lt;&gt;"Serviço",AND(AUTOEVENTO="Manual",$M431=$A$15),$M431&gt;(ROW(PLE.lastrow)-ROW(PLE.firstrow))),0,
           IF(OFFSET(PLE!$G$15,$M431-$A$15,CA$13)="",10^12,OFFSET(PLE!$G$15,$M431-$A$15,CA$13)))</f>
        <v>1000000000000</v>
      </c>
      <c r="CB431" s="172">
        <f ca="1">IF(OR($D431&lt;&gt;"Serviço",AND(AUTOEVENTO="Manual",$M431=$A$15),$M431&gt;(ROW(PLE.lastrow)-ROW(PLE.firstrow))),0,
           IF(OFFSET(PLE!$G$15,$M431-$A$15,CB$13)="",10^12,OFFSET(PLE!$G$15,$M431-$A$15,CB$13)))</f>
        <v>1000000000000</v>
      </c>
      <c r="CC431" s="172">
        <f ca="1">IF(OR($D431&lt;&gt;"Serviço",AND(AUTOEVENTO="Manual",$M431=$A$15),$M431&gt;(ROW(PLE.lastrow)-ROW(PLE.firstrow))),0,
           IF(OFFSET(PLE!$G$15,$M431-$A$15,CC$13)="",10^12,OFFSET(PLE!$G$15,$M431-$A$15,CC$13)))</f>
        <v>1000000000000</v>
      </c>
      <c r="CD431" s="172">
        <f ca="1">IF(OR($D431&lt;&gt;"Serviço",AND(AUTOEVENTO="Manual",$M431=$A$15),$M431&gt;(ROW(PLE.lastrow)-ROW(PLE.firstrow))),0,
           IF(OFFSET(PLE!$G$15,$M431-$A$15,CD$13)="",10^12,OFFSET(PLE!$G$15,$M431-$A$15,CD$13)))</f>
        <v>1000000000000</v>
      </c>
      <c r="CE431" s="172">
        <f ca="1">IF(OR($D431&lt;&gt;"Serviço",AND(AUTOEVENTO="Manual",$M431=$A$15),$M431&gt;(ROW(PLE.lastrow)-ROW(PLE.firstrow))),0,
           IF(OFFSET(PLE!$G$15,$M431-$A$15,CE$13)="",10^12,OFFSET(PLE!$G$15,$M431-$A$15,CE$13)))</f>
        <v>1000000000000</v>
      </c>
      <c r="CF431" s="172">
        <f ca="1">IF(OR($D431&lt;&gt;"Serviço",AND(AUTOEVENTO="Manual",$M431=$A$15),$M431&gt;(ROW(PLE.lastrow)-ROW(PLE.firstrow))),0,
           IF(OFFSET(PLE!$G$15,$M431-$A$15,CF$13)="",10^12,OFFSET(PLE!$G$15,$M431-$A$15,CF$13)))</f>
        <v>1000000000000</v>
      </c>
      <c r="CG431" s="172">
        <f ca="1">IF(OR($D431&lt;&gt;"Serviço",AND(AUTOEVENTO="Manual",$M431=$A$15),$M431&gt;(ROW(PLE.lastrow)-ROW(PLE.firstrow))),0,
           IF(OFFSET(PLE!$G$15,$M431-$A$15,CG$13)="",10^12,OFFSET(PLE!$G$15,$M431-$A$15,CG$13)))</f>
        <v>1000000000000</v>
      </c>
      <c r="CH431" s="172">
        <f ca="1">IF(OR($D431&lt;&gt;"Serviço",AND(AUTOEVENTO="Manual",$M431=$A$15),$M431&gt;(ROW(PLE.lastrow)-ROW(PLE.firstrow))),0,
           IF(OFFSET(PLE!$G$15,$M431-$A$15,CH$13)="",10^12,OFFSET(PLE!$G$15,$M431-$A$15,CH$13)))</f>
        <v>1000000000000</v>
      </c>
      <c r="CI431" s="172">
        <f ca="1">IF(OR($D431&lt;&gt;"Serviço",AND(AUTOEVENTO="Manual",$M431=$A$15),$M431&gt;(ROW(PLE.lastrow)-ROW(PLE.firstrow))),0,
           IF(OFFSET(PLE!$G$15,$M431-$A$15,CI$13)="",10^12,OFFSET(PLE!$G$15,$M431-$A$15,CI$13)))</f>
        <v>1000000000000</v>
      </c>
      <c r="CJ431" s="172">
        <f ca="1">IF(OR($D431&lt;&gt;"Serviço",AND(AUTOEVENTO="Manual",$M431=$A$15),$M431&gt;(ROW(PLE.lastrow)-ROW(PLE.firstrow))),0,
           IF(OFFSET(PLE!$G$15,$M431-$A$15,CJ$13)="",10^12,OFFSET(PLE!$G$15,$M431-$A$15,CJ$13)))</f>
        <v>1000000000000</v>
      </c>
      <c r="CK431" s="172">
        <f ca="1">IF(OR($D431&lt;&gt;"Serviço",AND(AUTOEVENTO="Manual",$M431=$A$15),$M431&gt;(ROW(PLE.lastrow)-ROW(PLE.firstrow))),0,
           IF(OFFSET(PLE!$G$15,$M431-$A$15,CK$13)="",10^12,OFFSET(PLE!$G$15,$M431-$A$15,CK$13)))</f>
        <v>1000000000000</v>
      </c>
      <c r="CL431" s="172">
        <f ca="1">IF(OR($D431&lt;&gt;"Serviço",AND(AUTOEVENTO="Manual",$M431=$A$15),$M431&gt;(ROW(PLE.lastrow)-ROW(PLE.firstrow))),0,
           IF(OFFSET(PLE!$G$15,$M431-$A$15,CL$13)="",10^12,OFFSET(PLE!$G$15,$M431-$A$15,CL$13)))</f>
        <v>1000000000000</v>
      </c>
      <c r="CM431" s="172">
        <f ca="1">IF(OR($D431&lt;&gt;"Serviço",AND(AUTOEVENTO="Manual",$M431=$A$15),$M431&gt;(ROW(PLE.lastrow)-ROW(PLE.firstrow))),0,
           IF(OFFSET(PLE!$G$15,$M431-$A$15,CM$13)="",10^12,OFFSET(PLE!$G$15,$M431-$A$15,CM$13)))</f>
        <v>1000000000000</v>
      </c>
    </row>
    <row r="432" spans="1:91" ht="38.25" x14ac:dyDescent="0.2">
      <c r="A432" s="7">
        <f t="shared" ca="1" si="16"/>
        <v>7</v>
      </c>
      <c r="B432" s="7" t="str">
        <f ca="1">OFFSET(ORÇAMENTO!C$15,ROW(B432)-ROW(B$15),0)</f>
        <v>S</v>
      </c>
      <c r="C432" s="7" t="str">
        <f ca="1">OFFSET(ORÇAMENTO!L$15,ROW(C432)-ROW(C$15),0)</f>
        <v>F</v>
      </c>
      <c r="D432" s="116" t="str">
        <f ca="1">OFFSET(ORÇAMENTO!N$15,ROW(D432)-ROW(D$15),0)</f>
        <v>Serviço</v>
      </c>
      <c r="E432" s="117" t="str">
        <f ca="1">OFFSET(ORÇAMENTO!O$15,ROW(E432)-ROW(E$15),0)</f>
        <v>1.8.2.4.22.</v>
      </c>
      <c r="F432" s="163" t="str">
        <f ca="1">OFFSET(ORÇAMENTO!R$15,ROW(F432)-ROW(F$15),0)</f>
        <v>SINALIZADOR SIRENE MODELO TBY METALTEX - BASEADA DA AGETOP CIVIL (085042)</v>
      </c>
      <c r="G432" s="164" t="str">
        <f ca="1">IF($D432&lt;&gt;"Serviço","",OFFSET(ORÇAMENTO!S$15,ROW(G432)-ROW(G$15),0))</f>
        <v>UN</v>
      </c>
      <c r="H432" s="122" cm="1">
        <f t="array" aca="1" ref="H432" ca="1">IF($D432&lt;&gt;"Serviço",0,IF(ACOMPANHAMENTO="BM",ROUND(OFFSET(ORÇAMENTO!AJ$15,ROW(H432)-ROW(H$15),0),15-13*ORÇAMENTO!$AF$7),SUMPRODUCT(($Q$1:$AI$1=1)*ROUND($Q432:$AI432,15-13*ORÇAMENTO!$AF$7))))</f>
        <v>1</v>
      </c>
      <c r="I432" s="468" t="s">
        <v>1431</v>
      </c>
      <c r="J432" s="640" t="str" cm="1">
        <f t="array" aca="1" ref="J432" ca="1">IF(OR(B432&lt;&gt;"S",CÁLCULO.FrentesPreenchidas=0),"",IF(AND(ACOMPANHAMENTO="PLE",AUTOEVENTO="Manual",OR(H432&gt;0,ORÇAMENTO!AC432="QUANT."),OR(K432="",M432=0,N432="")),"►E",IF(AND(ACOMPANHAMENTO="PLE",ORÇAMENTO!AC432="QUANT."),"►Q",IF(AND(ACOMPANHAMENTO="PLE",H432&lt;&gt;SUMPRODUCT(($Q$1:$AI$1=1)*ROUND(Q432:AI432,15))),"►S",IF(AND(COUNTIF($P$11:$AI$11,"▼")=0,H432&gt;0,I432=""),"◄M","")))))</f>
        <v/>
      </c>
      <c r="K432" s="641" t="s">
        <v>1391</v>
      </c>
      <c r="L432" s="165" t="s">
        <v>764</v>
      </c>
      <c r="M432" s="166">
        <f ca="1">IF($D432&lt;&gt;"Serviço","",
          IF(AUTOEVENTO="manual",$A432,
                IF(ISERROR(MATCH($A432,$A$15:OFFSET($A432,-1,0),0)),MAX($M$15:OFFSET(M432,-1,0))+1,
                      INDEX($M$15:OFFSET(M432,-1,0),MATCH($A432,$A$15:OFFSET($A432,-1,0),0)))))</f>
        <v>7</v>
      </c>
      <c r="N432" s="167" t="str">
        <f ca="1">IF($D432&lt;&gt;"Serviço","",
         IF(AUTOEVENTO="Manual",
                IF($A432=0,"&lt;-- defina o número do agrupador",
                       OFFSET(EVENTOS!$D$15,$A432-$A$15,0)),
                OFFSET($F$15,$A432,0)))</f>
        <v>Instalações Elétricas</v>
      </c>
      <c r="O432" s="168"/>
      <c r="Q432" s="168"/>
      <c r="R432" s="169"/>
      <c r="S432" s="169"/>
      <c r="T432" s="169"/>
      <c r="U432" s="169"/>
      <c r="V432" s="169"/>
      <c r="W432" s="169"/>
      <c r="X432" s="169">
        <v>1</v>
      </c>
      <c r="Y432" s="169"/>
      <c r="Z432" s="170"/>
      <c r="AA432" s="169"/>
      <c r="AB432" s="169"/>
      <c r="AC432" s="169"/>
      <c r="AD432" s="169"/>
      <c r="AE432" s="169"/>
      <c r="AF432" s="169"/>
      <c r="AG432" s="169"/>
      <c r="AH432" s="170"/>
      <c r="AJ432" s="453">
        <f ca="1">IF(AND($D432="Serviço",AJ$12&lt;&gt;0,$H432&gt;0,OR(AUTOEVENTO&lt;&gt;"manual",$M432&lt;&gt;$A$15)),
        IF(Import.TipoArredondamento&lt;&gt;"TransfereGOV",
              ROUND(OFFSET($P432,0,AJ$13),15-13*ORÇAMENTO!$AF$7)/$H432*OFFSET(ORÇAMENTO!$X$15,ROW(AJ432)-ROW(AJ$15),0),
              ROUND(ROUND(OFFSET($P432,0,AJ$13),15-13*ORÇAMENTO!$AF$7)*OFFSET(ORÇAMENTO!$W$15,ROW(AJ432)-ROW(AJ$15),0),15-13*ORÇAMENTO!$AF$11)),
         0)</f>
        <v>0</v>
      </c>
      <c r="AK432" s="453">
        <f ca="1">IF(AND($D432="Serviço",AK$12&lt;&gt;0,$H432&gt;0,OR(AUTOEVENTO&lt;&gt;"manual",$M432&lt;&gt;$A$15)),
        IF(Import.TipoArredondamento&lt;&gt;"TransfereGOV",
              ROUND(OFFSET($P432,0,AK$13),15-13*ORÇAMENTO!$AF$7)/$H432*OFFSET(ORÇAMENTO!$X$15,ROW(AK432)-ROW(AK$15),0),
              ROUND(ROUND(OFFSET($P432,0,AK$13),15-13*ORÇAMENTO!$AF$7)*OFFSET(ORÇAMENTO!$W$15,ROW(AK432)-ROW(AK$15),0),15-13*ORÇAMENTO!$AF$11)),
         0)</f>
        <v>0</v>
      </c>
      <c r="AL432" s="453">
        <f ca="1">IF(AND($D432="Serviço",AL$12&lt;&gt;0,$H432&gt;0,OR(AUTOEVENTO&lt;&gt;"manual",$M432&lt;&gt;$A$15)),
        IF(Import.TipoArredondamento&lt;&gt;"TransfereGOV",
              ROUND(OFFSET($P432,0,AL$13),15-13*ORÇAMENTO!$AF$7)/$H432*OFFSET(ORÇAMENTO!$X$15,ROW(AL432)-ROW(AL$15),0),
              ROUND(ROUND(OFFSET($P432,0,AL$13),15-13*ORÇAMENTO!$AF$7)*OFFSET(ORÇAMENTO!$W$15,ROW(AL432)-ROW(AL$15),0),15-13*ORÇAMENTO!$AF$11)),
         0)</f>
        <v>0</v>
      </c>
      <c r="AM432" s="453">
        <f ca="1">IF(AND($D432="Serviço",AM$12&lt;&gt;0,$H432&gt;0,OR(AUTOEVENTO&lt;&gt;"manual",$M432&lt;&gt;$A$15)),
        IF(Import.TipoArredondamento&lt;&gt;"TransfereGOV",
              ROUND(OFFSET($P432,0,AM$13),15-13*ORÇAMENTO!$AF$7)/$H432*OFFSET(ORÇAMENTO!$X$15,ROW(AM432)-ROW(AM$15),0),
              ROUND(ROUND(OFFSET($P432,0,AM$13),15-13*ORÇAMENTO!$AF$7)*OFFSET(ORÇAMENTO!$W$15,ROW(AM432)-ROW(AM$15),0),15-13*ORÇAMENTO!$AF$11)),
         0)</f>
        <v>0</v>
      </c>
      <c r="AN432" s="453">
        <f ca="1">IF(AND($D432="Serviço",AN$12&lt;&gt;0,$H432&gt;0,OR(AUTOEVENTO&lt;&gt;"manual",$M432&lt;&gt;$A$15)),
        IF(Import.TipoArredondamento&lt;&gt;"TransfereGOV",
              ROUND(OFFSET($P432,0,AN$13),15-13*ORÇAMENTO!$AF$7)/$H432*OFFSET(ORÇAMENTO!$X$15,ROW(AN432)-ROW(AN$15),0),
              ROUND(ROUND(OFFSET($P432,0,AN$13),15-13*ORÇAMENTO!$AF$7)*OFFSET(ORÇAMENTO!$W$15,ROW(AN432)-ROW(AN$15),0),15-13*ORÇAMENTO!$AF$11)),
         0)</f>
        <v>0</v>
      </c>
      <c r="AO432" s="453">
        <f ca="1">IF(AND($D432="Serviço",AO$12&lt;&gt;0,$H432&gt;0,OR(AUTOEVENTO&lt;&gt;"manual",$M432&lt;&gt;$A$15)),
        IF(Import.TipoArredondamento&lt;&gt;"TransfereGOV",
              ROUND(OFFSET($P432,0,AO$13),15-13*ORÇAMENTO!$AF$7)/$H432*OFFSET(ORÇAMENTO!$X$15,ROW(AO432)-ROW(AO$15),0),
              ROUND(ROUND(OFFSET($P432,0,AO$13),15-13*ORÇAMENTO!$AF$7)*OFFSET(ORÇAMENTO!$W$15,ROW(AO432)-ROW(AO$15),0),15-13*ORÇAMENTO!$AF$11)),
         0)</f>
        <v>0</v>
      </c>
      <c r="AP432" s="453">
        <f ca="1">IF(AND($D432="Serviço",AP$12&lt;&gt;0,$H432&gt;0,OR(AUTOEVENTO&lt;&gt;"manual",$M432&lt;&gt;$A$15)),
        IF(Import.TipoArredondamento&lt;&gt;"TransfereGOV",
              ROUND(OFFSET($P432,0,AP$13),15-13*ORÇAMENTO!$AF$7)/$H432*OFFSET(ORÇAMENTO!$X$15,ROW(AP432)-ROW(AP$15),0),
              ROUND(ROUND(OFFSET($P432,0,AP$13),15-13*ORÇAMENTO!$AF$7)*OFFSET(ORÇAMENTO!$W$15,ROW(AP432)-ROW(AP$15),0),15-13*ORÇAMENTO!$AF$11)),
         0)</f>
        <v>0</v>
      </c>
      <c r="AQ432" s="453">
        <f ca="1">IF(AND($D432="Serviço",AQ$12&lt;&gt;0,$H432&gt;0,OR(AUTOEVENTO&lt;&gt;"manual",$M432&lt;&gt;$A$15)),
        IF(Import.TipoArredondamento&lt;&gt;"TransfereGOV",
              ROUND(OFFSET($P432,0,AQ$13),15-13*ORÇAMENTO!$AF$7)/$H432*OFFSET(ORÇAMENTO!$X$15,ROW(AQ432)-ROW(AQ$15),0),
              ROUND(ROUND(OFFSET($P432,0,AQ$13),15-13*ORÇAMENTO!$AF$7)*OFFSET(ORÇAMENTO!$W$15,ROW(AQ432)-ROW(AQ$15),0),15-13*ORÇAMENTO!$AF$11)),
         0)</f>
        <v>0</v>
      </c>
      <c r="AR432" s="453">
        <f ca="1">IF(AND($D432="Serviço",AR$12&lt;&gt;0,$H432&gt;0,OR(AUTOEVENTO&lt;&gt;"manual",$M432&lt;&gt;$A$15)),
        IF(Import.TipoArredondamento&lt;&gt;"TransfereGOV",
              ROUND(OFFSET($P432,0,AR$13),15-13*ORÇAMENTO!$AF$7)/$H432*OFFSET(ORÇAMENTO!$X$15,ROW(AR432)-ROW(AR$15),0),
              ROUND(ROUND(OFFSET($P432,0,AR$13),15-13*ORÇAMENTO!$AF$7)*OFFSET(ORÇAMENTO!$W$15,ROW(AR432)-ROW(AR$15),0),15-13*ORÇAMENTO!$AF$11)),
         0)</f>
        <v>0</v>
      </c>
      <c r="AS432" s="453">
        <f ca="1">IF(AND($D432="Serviço",AS$12&lt;&gt;0,$H432&gt;0,OR(AUTOEVENTO&lt;&gt;"manual",$M432&lt;&gt;$A$15)),
        IF(Import.TipoArredondamento&lt;&gt;"TransfereGOV",
              ROUND(OFFSET($P432,0,AS$13),15-13*ORÇAMENTO!$AF$7)/$H432*OFFSET(ORÇAMENTO!$X$15,ROW(AS432)-ROW(AS$15),0),
              ROUND(ROUND(OFFSET($P432,0,AS$13),15-13*ORÇAMENTO!$AF$7)*OFFSET(ORÇAMENTO!$W$15,ROW(AS432)-ROW(AS$15),0),15-13*ORÇAMENTO!$AF$11)),
         0)</f>
        <v>0</v>
      </c>
      <c r="AT432" s="453">
        <f ca="1">IF(AND($D432="Serviço",AT$12&lt;&gt;0,$H432&gt;0,OR(AUTOEVENTO&lt;&gt;"manual",$M432&lt;&gt;$A$15)),
        IF(Import.TipoArredondamento&lt;&gt;"TransfereGOV",
              ROUND(OFFSET($P432,0,AT$13),15-13*ORÇAMENTO!$AF$7)/$H432*OFFSET(ORÇAMENTO!$X$15,ROW(AT432)-ROW(AT$15),0),
              ROUND(ROUND(OFFSET($P432,0,AT$13),15-13*ORÇAMENTO!$AF$7)*OFFSET(ORÇAMENTO!$W$15,ROW(AT432)-ROW(AT$15),0),15-13*ORÇAMENTO!$AF$11)),
         0)</f>
        <v>0</v>
      </c>
      <c r="AU432" s="453">
        <f ca="1">IF(AND($D432="Serviço",AU$12&lt;&gt;0,$H432&gt;0,OR(AUTOEVENTO&lt;&gt;"manual",$M432&lt;&gt;$A$15)),
        IF(Import.TipoArredondamento&lt;&gt;"TransfereGOV",
              ROUND(OFFSET($P432,0,AU$13),15-13*ORÇAMENTO!$AF$7)/$H432*OFFSET(ORÇAMENTO!$X$15,ROW(AU432)-ROW(AU$15),0),
              ROUND(ROUND(OFFSET($P432,0,AU$13),15-13*ORÇAMENTO!$AF$7)*OFFSET(ORÇAMENTO!$W$15,ROW(AU432)-ROW(AU$15),0),15-13*ORÇAMENTO!$AF$11)),
         0)</f>
        <v>0</v>
      </c>
      <c r="AV432" s="453">
        <f ca="1">IF(AND($D432="Serviço",AV$12&lt;&gt;0,$H432&gt;0,OR(AUTOEVENTO&lt;&gt;"manual",$M432&lt;&gt;$A$15)),
        IF(Import.TipoArredondamento&lt;&gt;"TransfereGOV",
              ROUND(OFFSET($P432,0,AV$13),15-13*ORÇAMENTO!$AF$7)/$H432*OFFSET(ORÇAMENTO!$X$15,ROW(AV432)-ROW(AV$15),0),
              ROUND(ROUND(OFFSET($P432,0,AV$13),15-13*ORÇAMENTO!$AF$7)*OFFSET(ORÇAMENTO!$W$15,ROW(AV432)-ROW(AV$15),0),15-13*ORÇAMENTO!$AF$11)),
         0)</f>
        <v>0</v>
      </c>
      <c r="AW432" s="453">
        <f ca="1">IF(AND($D432="Serviço",AW$12&lt;&gt;0,$H432&gt;0,OR(AUTOEVENTO&lt;&gt;"manual",$M432&lt;&gt;$A$15)),
        IF(Import.TipoArredondamento&lt;&gt;"TransfereGOV",
              ROUND(OFFSET($P432,0,AW$13),15-13*ORÇAMENTO!$AF$7)/$H432*OFFSET(ORÇAMENTO!$X$15,ROW(AW432)-ROW(AW$15),0),
              ROUND(ROUND(OFFSET($P432,0,AW$13),15-13*ORÇAMENTO!$AF$7)*OFFSET(ORÇAMENTO!$W$15,ROW(AW432)-ROW(AW$15),0),15-13*ORÇAMENTO!$AF$11)),
         0)</f>
        <v>0</v>
      </c>
      <c r="AX432" s="453">
        <f ca="1">IF(AND($D432="Serviço",AX$12&lt;&gt;0,$H432&gt;0,OR(AUTOEVENTO&lt;&gt;"manual",$M432&lt;&gt;$A$15)),
        IF(Import.TipoArredondamento&lt;&gt;"TransfereGOV",
              ROUND(OFFSET($P432,0,AX$13),15-13*ORÇAMENTO!$AF$7)/$H432*OFFSET(ORÇAMENTO!$X$15,ROW(AX432)-ROW(AX$15),0),
              ROUND(ROUND(OFFSET($P432,0,AX$13),15-13*ORÇAMENTO!$AF$7)*OFFSET(ORÇAMENTO!$W$15,ROW(AX432)-ROW(AX$15),0),15-13*ORÇAMENTO!$AF$11)),
         0)</f>
        <v>0</v>
      </c>
      <c r="AY432" s="453">
        <f ca="1">IF(AND($D432="Serviço",AY$12&lt;&gt;0,$H432&gt;0,OR(AUTOEVENTO&lt;&gt;"manual",$M432&lt;&gt;$A$15)),
        IF(Import.TipoArredondamento&lt;&gt;"TransfereGOV",
              ROUND(OFFSET($P432,0,AY$13),15-13*ORÇAMENTO!$AF$7)/$H432*OFFSET(ORÇAMENTO!$X$15,ROW(AY432)-ROW(AY$15),0),
              ROUND(ROUND(OFFSET($P432,0,AY$13),15-13*ORÇAMENTO!$AF$7)*OFFSET(ORÇAMENTO!$W$15,ROW(AY432)-ROW(AY$15),0),15-13*ORÇAMENTO!$AF$11)),
         0)</f>
        <v>0</v>
      </c>
      <c r="AZ432" s="453">
        <f ca="1">IF(AND($D432="Serviço",AZ$12&lt;&gt;0,$H432&gt;0,OR(AUTOEVENTO&lt;&gt;"manual",$M432&lt;&gt;$A$15)),
        IF(Import.TipoArredondamento&lt;&gt;"TransfereGOV",
              ROUND(OFFSET($P432,0,AZ$13),15-13*ORÇAMENTO!$AF$7)/$H432*OFFSET(ORÇAMENTO!$X$15,ROW(AZ432)-ROW(AZ$15),0),
              ROUND(ROUND(OFFSET($P432,0,AZ$13),15-13*ORÇAMENTO!$AF$7)*OFFSET(ORÇAMENTO!$W$15,ROW(AZ432)-ROW(AZ$15),0),15-13*ORÇAMENTO!$AF$11)),
         0)</f>
        <v>0</v>
      </c>
      <c r="BA432" s="453">
        <f ca="1">IF(AND($D432="Serviço",BA$12&lt;&gt;0,$H432&gt;0,OR(AUTOEVENTO&lt;&gt;"manual",$M432&lt;&gt;$A$15)),
        IF(Import.TipoArredondamento&lt;&gt;"TransfereGOV",
              ROUND(OFFSET($P432,0,BA$13),15-13*ORÇAMENTO!$AF$7)/$H432*OFFSET(ORÇAMENTO!$X$15,ROW(BA432)-ROW(BA$15),0),
              ROUND(ROUND(OFFSET($P432,0,BA$13),15-13*ORÇAMENTO!$AF$7)*OFFSET(ORÇAMENTO!$W$15,ROW(BA432)-ROW(BA$15),0),15-13*ORÇAMENTO!$AF$11)),
         0)</f>
        <v>0</v>
      </c>
      <c r="BC432" s="171">
        <f ca="1">IF(OR($D432&lt;&gt;"Serviço",AND(AUTOEVENTO="Manual",$M432=$A$15)),0,
         IF(OFFSET(CRONOPLE!$F$15,$M432-$A$15,BC$13)=0,10^12,OFFSET(CRONOPLE!$F$15,$M432-$A$15,BC$13)))</f>
        <v>1</v>
      </c>
      <c r="BD432" s="171">
        <f ca="1">IF(OR($D432&lt;&gt;"Serviço",AND(AUTOEVENTO="Manual",$M432=$A$15)),0,
         IF(OFFSET(CRONOPLE!$F$15,$M432-$A$15,BD$13)=0,10^12,OFFSET(CRONOPLE!$F$15,$M432-$A$15,BD$13)))</f>
        <v>2</v>
      </c>
      <c r="BE432" s="171">
        <f ca="1">IF(OR($D432&lt;&gt;"Serviço",AND(AUTOEVENTO="Manual",$M432=$A$15)),0,
         IF(OFFSET(CRONOPLE!$F$15,$M432-$A$15,BE$13)=0,10^12,OFFSET(CRONOPLE!$F$15,$M432-$A$15,BE$13)))</f>
        <v>3</v>
      </c>
      <c r="BF432" s="171">
        <f ca="1">IF(OR($D432&lt;&gt;"Serviço",AND(AUTOEVENTO="Manual",$M432=$A$15)),0,
         IF(OFFSET(CRONOPLE!$F$15,$M432-$A$15,BF$13)=0,10^12,OFFSET(CRONOPLE!$F$15,$M432-$A$15,BF$13)))</f>
        <v>4</v>
      </c>
      <c r="BG432" s="171">
        <f ca="1">IF(OR($D432&lt;&gt;"Serviço",AND(AUTOEVENTO="Manual",$M432=$A$15)),0,
         IF(OFFSET(CRONOPLE!$F$15,$M432-$A$15,BG$13)=0,10^12,OFFSET(CRONOPLE!$F$15,$M432-$A$15,BG$13)))</f>
        <v>5</v>
      </c>
      <c r="BH432" s="171">
        <f ca="1">IF(OR($D432&lt;&gt;"Serviço",AND(AUTOEVENTO="Manual",$M432=$A$15)),0,
         IF(OFFSET(CRONOPLE!$F$15,$M432-$A$15,BH$13)=0,10^12,OFFSET(CRONOPLE!$F$15,$M432-$A$15,BH$13)))</f>
        <v>6</v>
      </c>
      <c r="BI432" s="171">
        <f ca="1">IF(OR($D432&lt;&gt;"Serviço",AND(AUTOEVENTO="Manual",$M432=$A$15)),0,
         IF(OFFSET(CRONOPLE!$F$15,$M432-$A$15,BI$13)=0,10^12,OFFSET(CRONOPLE!$F$15,$M432-$A$15,BI$13)))</f>
        <v>7</v>
      </c>
      <c r="BJ432" s="171">
        <f ca="1">IF(OR($D432&lt;&gt;"Serviço",AND(AUTOEVENTO="Manual",$M432=$A$15)),0,
         IF(OFFSET(CRONOPLE!$F$15,$M432-$A$15,BJ$13)=0,10^12,OFFSET(CRONOPLE!$F$15,$M432-$A$15,BJ$13)))</f>
        <v>8</v>
      </c>
      <c r="BK432" s="171">
        <f ca="1">IF(OR($D432&lt;&gt;"Serviço",AND(AUTOEVENTO="Manual",$M432=$A$15)),0,
         IF(OFFSET(CRONOPLE!$F$15,$M432-$A$15,BK$13)=0,10^12,OFFSET(CRONOPLE!$F$15,$M432-$A$15,BK$13)))</f>
        <v>9</v>
      </c>
      <c r="BL432" s="171">
        <f ca="1">IF(OR($D432&lt;&gt;"Serviço",AND(AUTOEVENTO="Manual",$M432=$A$15)),0,
         IF(OFFSET(CRONOPLE!$F$15,$M432-$A$15,BL$13)=0,10^12,OFFSET(CRONOPLE!$F$15,$M432-$A$15,BL$13)))</f>
        <v>1000000000000</v>
      </c>
      <c r="BM432" s="171">
        <f ca="1">IF(OR($D432&lt;&gt;"Serviço",AND(AUTOEVENTO="Manual",$M432=$A$15)),0,
         IF(OFFSET(CRONOPLE!$F$15,$M432-$A$15,BM$13)=0,10^12,OFFSET(CRONOPLE!$F$15,$M432-$A$15,BM$13)))</f>
        <v>1000000000000</v>
      </c>
      <c r="BN432" s="171">
        <f ca="1">IF(OR($D432&lt;&gt;"Serviço",AND(AUTOEVENTO="Manual",$M432=$A$15)),0,
         IF(OFFSET(CRONOPLE!$F$15,$M432-$A$15,BN$13)=0,10^12,OFFSET(CRONOPLE!$F$15,$M432-$A$15,BN$13)))</f>
        <v>1000000000000</v>
      </c>
      <c r="BO432" s="171">
        <f ca="1">IF(OR($D432&lt;&gt;"Serviço",AND(AUTOEVENTO="Manual",$M432=$A$15)),0,
         IF(OFFSET(CRONOPLE!$F$15,$M432-$A$15,BO$13)=0,10^12,OFFSET(CRONOPLE!$F$15,$M432-$A$15,BO$13)))</f>
        <v>1000000000000</v>
      </c>
      <c r="BP432" s="171">
        <f ca="1">IF(OR($D432&lt;&gt;"Serviço",AND(AUTOEVENTO="Manual",$M432=$A$15)),0,
         IF(OFFSET(CRONOPLE!$F$15,$M432-$A$15,BP$13)=0,10^12,OFFSET(CRONOPLE!$F$15,$M432-$A$15,BP$13)))</f>
        <v>1000000000000</v>
      </c>
      <c r="BQ432" s="171">
        <f ca="1">IF(OR($D432&lt;&gt;"Serviço",AND(AUTOEVENTO="Manual",$M432=$A$15)),0,
         IF(OFFSET(CRONOPLE!$F$15,$M432-$A$15,BQ$13)=0,10^12,OFFSET(CRONOPLE!$F$15,$M432-$A$15,BQ$13)))</f>
        <v>1000000000000</v>
      </c>
      <c r="BR432" s="171">
        <f ca="1">IF(OR($D432&lt;&gt;"Serviço",AND(AUTOEVENTO="Manual",$M432=$A$15)),0,
         IF(OFFSET(CRONOPLE!$F$15,$M432-$A$15,BR$13)=0,10^12,OFFSET(CRONOPLE!$F$15,$M432-$A$15,BR$13)))</f>
        <v>1000000000000</v>
      </c>
      <c r="BS432" s="171">
        <f ca="1">IF(OR($D432&lt;&gt;"Serviço",AND(AUTOEVENTO="Manual",$M432=$A$15)),0,
         IF(OFFSET(CRONOPLE!$F$15,$M432-$A$15,BS$13)=0,10^12,OFFSET(CRONOPLE!$F$15,$M432-$A$15,BS$13)))</f>
        <v>1000000000000</v>
      </c>
      <c r="BT432" s="171">
        <f ca="1">IF(OR($D432&lt;&gt;"Serviço",AND(AUTOEVENTO="Manual",$M432=$A$15)),0,
         IF(OFFSET(CRONOPLE!$F$15,$M432-$A$15,BT$13)=0,10^12,OFFSET(CRONOPLE!$F$15,$M432-$A$15,BT$13)))</f>
        <v>1000000000000</v>
      </c>
      <c r="BV432" s="172">
        <f ca="1">IF(OR($D432&lt;&gt;"Serviço",AND(AUTOEVENTO="Manual",$M432=$A$15),$M432&gt;(ROW(PLE.lastrow)-ROW(PLE.firstrow))),0,
           IF(OFFSET(PLE!$G$15,$M432-$A$15,BV$13)="",10^12,OFFSET(PLE!$G$15,$M432-$A$15,BV$13)))</f>
        <v>1000000000000</v>
      </c>
      <c r="BW432" s="172">
        <f ca="1">IF(OR($D432&lt;&gt;"Serviço",AND(AUTOEVENTO="Manual",$M432=$A$15),$M432&gt;(ROW(PLE.lastrow)-ROW(PLE.firstrow))),0,
           IF(OFFSET(PLE!$G$15,$M432-$A$15,BW$13)="",10^12,OFFSET(PLE!$G$15,$M432-$A$15,BW$13)))</f>
        <v>1000000000000</v>
      </c>
      <c r="BX432" s="172">
        <f ca="1">IF(OR($D432&lt;&gt;"Serviço",AND(AUTOEVENTO="Manual",$M432=$A$15),$M432&gt;(ROW(PLE.lastrow)-ROW(PLE.firstrow))),0,
           IF(OFFSET(PLE!$G$15,$M432-$A$15,BX$13)="",10^12,OFFSET(PLE!$G$15,$M432-$A$15,BX$13)))</f>
        <v>1000000000000</v>
      </c>
      <c r="BY432" s="172">
        <f ca="1">IF(OR($D432&lt;&gt;"Serviço",AND(AUTOEVENTO="Manual",$M432=$A$15),$M432&gt;(ROW(PLE.lastrow)-ROW(PLE.firstrow))),0,
           IF(OFFSET(PLE!$G$15,$M432-$A$15,BY$13)="",10^12,OFFSET(PLE!$G$15,$M432-$A$15,BY$13)))</f>
        <v>1000000000000</v>
      </c>
      <c r="BZ432" s="172">
        <f ca="1">IF(OR($D432&lt;&gt;"Serviço",AND(AUTOEVENTO="Manual",$M432=$A$15),$M432&gt;(ROW(PLE.lastrow)-ROW(PLE.firstrow))),0,
           IF(OFFSET(PLE!$G$15,$M432-$A$15,BZ$13)="",10^12,OFFSET(PLE!$G$15,$M432-$A$15,BZ$13)))</f>
        <v>1000000000000</v>
      </c>
      <c r="CA432" s="172">
        <f ca="1">IF(OR($D432&lt;&gt;"Serviço",AND(AUTOEVENTO="Manual",$M432=$A$15),$M432&gt;(ROW(PLE.lastrow)-ROW(PLE.firstrow))),0,
           IF(OFFSET(PLE!$G$15,$M432-$A$15,CA$13)="",10^12,OFFSET(PLE!$G$15,$M432-$A$15,CA$13)))</f>
        <v>1000000000000</v>
      </c>
      <c r="CB432" s="172">
        <f ca="1">IF(OR($D432&lt;&gt;"Serviço",AND(AUTOEVENTO="Manual",$M432=$A$15),$M432&gt;(ROW(PLE.lastrow)-ROW(PLE.firstrow))),0,
           IF(OFFSET(PLE!$G$15,$M432-$A$15,CB$13)="",10^12,OFFSET(PLE!$G$15,$M432-$A$15,CB$13)))</f>
        <v>1000000000000</v>
      </c>
      <c r="CC432" s="172">
        <f ca="1">IF(OR($D432&lt;&gt;"Serviço",AND(AUTOEVENTO="Manual",$M432=$A$15),$M432&gt;(ROW(PLE.lastrow)-ROW(PLE.firstrow))),0,
           IF(OFFSET(PLE!$G$15,$M432-$A$15,CC$13)="",10^12,OFFSET(PLE!$G$15,$M432-$A$15,CC$13)))</f>
        <v>1000000000000</v>
      </c>
      <c r="CD432" s="172">
        <f ca="1">IF(OR($D432&lt;&gt;"Serviço",AND(AUTOEVENTO="Manual",$M432=$A$15),$M432&gt;(ROW(PLE.lastrow)-ROW(PLE.firstrow))),0,
           IF(OFFSET(PLE!$G$15,$M432-$A$15,CD$13)="",10^12,OFFSET(PLE!$G$15,$M432-$A$15,CD$13)))</f>
        <v>1000000000000</v>
      </c>
      <c r="CE432" s="172">
        <f ca="1">IF(OR($D432&lt;&gt;"Serviço",AND(AUTOEVENTO="Manual",$M432=$A$15),$M432&gt;(ROW(PLE.lastrow)-ROW(PLE.firstrow))),0,
           IF(OFFSET(PLE!$G$15,$M432-$A$15,CE$13)="",10^12,OFFSET(PLE!$G$15,$M432-$A$15,CE$13)))</f>
        <v>1000000000000</v>
      </c>
      <c r="CF432" s="172">
        <f ca="1">IF(OR($D432&lt;&gt;"Serviço",AND(AUTOEVENTO="Manual",$M432=$A$15),$M432&gt;(ROW(PLE.lastrow)-ROW(PLE.firstrow))),0,
           IF(OFFSET(PLE!$G$15,$M432-$A$15,CF$13)="",10^12,OFFSET(PLE!$G$15,$M432-$A$15,CF$13)))</f>
        <v>1000000000000</v>
      </c>
      <c r="CG432" s="172">
        <f ca="1">IF(OR($D432&lt;&gt;"Serviço",AND(AUTOEVENTO="Manual",$M432=$A$15),$M432&gt;(ROW(PLE.lastrow)-ROW(PLE.firstrow))),0,
           IF(OFFSET(PLE!$G$15,$M432-$A$15,CG$13)="",10^12,OFFSET(PLE!$G$15,$M432-$A$15,CG$13)))</f>
        <v>1000000000000</v>
      </c>
      <c r="CH432" s="172">
        <f ca="1">IF(OR($D432&lt;&gt;"Serviço",AND(AUTOEVENTO="Manual",$M432=$A$15),$M432&gt;(ROW(PLE.lastrow)-ROW(PLE.firstrow))),0,
           IF(OFFSET(PLE!$G$15,$M432-$A$15,CH$13)="",10^12,OFFSET(PLE!$G$15,$M432-$A$15,CH$13)))</f>
        <v>1000000000000</v>
      </c>
      <c r="CI432" s="172">
        <f ca="1">IF(OR($D432&lt;&gt;"Serviço",AND(AUTOEVENTO="Manual",$M432=$A$15),$M432&gt;(ROW(PLE.lastrow)-ROW(PLE.firstrow))),0,
           IF(OFFSET(PLE!$G$15,$M432-$A$15,CI$13)="",10^12,OFFSET(PLE!$G$15,$M432-$A$15,CI$13)))</f>
        <v>1000000000000</v>
      </c>
      <c r="CJ432" s="172">
        <f ca="1">IF(OR($D432&lt;&gt;"Serviço",AND(AUTOEVENTO="Manual",$M432=$A$15),$M432&gt;(ROW(PLE.lastrow)-ROW(PLE.firstrow))),0,
           IF(OFFSET(PLE!$G$15,$M432-$A$15,CJ$13)="",10^12,OFFSET(PLE!$G$15,$M432-$A$15,CJ$13)))</f>
        <v>1000000000000</v>
      </c>
      <c r="CK432" s="172">
        <f ca="1">IF(OR($D432&lt;&gt;"Serviço",AND(AUTOEVENTO="Manual",$M432=$A$15),$M432&gt;(ROW(PLE.lastrow)-ROW(PLE.firstrow))),0,
           IF(OFFSET(PLE!$G$15,$M432-$A$15,CK$13)="",10^12,OFFSET(PLE!$G$15,$M432-$A$15,CK$13)))</f>
        <v>1000000000000</v>
      </c>
      <c r="CL432" s="172">
        <f ca="1">IF(OR($D432&lt;&gt;"Serviço",AND(AUTOEVENTO="Manual",$M432=$A$15),$M432&gt;(ROW(PLE.lastrow)-ROW(PLE.firstrow))),0,
           IF(OFFSET(PLE!$G$15,$M432-$A$15,CL$13)="",10^12,OFFSET(PLE!$G$15,$M432-$A$15,CL$13)))</f>
        <v>1000000000000</v>
      </c>
      <c r="CM432" s="172">
        <f ca="1">IF(OR($D432&lt;&gt;"Serviço",AND(AUTOEVENTO="Manual",$M432=$A$15),$M432&gt;(ROW(PLE.lastrow)-ROW(PLE.firstrow))),0,
           IF(OFFSET(PLE!$G$15,$M432-$A$15,CM$13)="",10^12,OFFSET(PLE!$G$15,$M432-$A$15,CM$13)))</f>
        <v>1000000000000</v>
      </c>
    </row>
    <row r="433" spans="1:91" ht="38.25" x14ac:dyDescent="0.2">
      <c r="A433" s="7">
        <f t="shared" ca="1" si="16"/>
        <v>7</v>
      </c>
      <c r="B433" s="7" t="str">
        <f ca="1">OFFSET(ORÇAMENTO!C$15,ROW(B433)-ROW(B$15),0)</f>
        <v>S</v>
      </c>
      <c r="C433" s="7" t="str">
        <f ca="1">OFFSET(ORÇAMENTO!L$15,ROW(C433)-ROW(C$15),0)</f>
        <v>F</v>
      </c>
      <c r="D433" s="116" t="str">
        <f ca="1">OFFSET(ORÇAMENTO!N$15,ROW(D433)-ROW(D$15),0)</f>
        <v>Serviço</v>
      </c>
      <c r="E433" s="117" t="str">
        <f ca="1">OFFSET(ORÇAMENTO!O$15,ROW(E433)-ROW(E$15),0)</f>
        <v>1.8.2.4.23.</v>
      </c>
      <c r="F433" s="163" t="str">
        <f ca="1">OFFSET(ORÇAMENTO!R$15,ROW(F433)-ROW(F$15),0)</f>
        <v xml:space="preserve">SINALEIRO MONOBLOCO LED110/220V - BASEADO EM ORSE (11444) </v>
      </c>
      <c r="G433" s="164" t="str">
        <f ca="1">IF($D433&lt;&gt;"Serviço","",OFFSET(ORÇAMENTO!S$15,ROW(G433)-ROW(G$15),0))</f>
        <v>UN</v>
      </c>
      <c r="H433" s="122" cm="1">
        <f t="array" aca="1" ref="H433" ca="1">IF($D433&lt;&gt;"Serviço",0,IF(ACOMPANHAMENTO="BM",ROUND(OFFSET(ORÇAMENTO!AJ$15,ROW(H433)-ROW(H$15),0),15-13*ORÇAMENTO!$AF$7),SUMPRODUCT(($Q$1:$AI$1=1)*ROUND($Q433:$AI433,15-13*ORÇAMENTO!$AF$7))))</f>
        <v>5</v>
      </c>
      <c r="I433" s="468" t="s">
        <v>1431</v>
      </c>
      <c r="J433" s="640" t="str" cm="1">
        <f t="array" aca="1" ref="J433" ca="1">IF(OR(B433&lt;&gt;"S",CÁLCULO.FrentesPreenchidas=0),"",IF(AND(ACOMPANHAMENTO="PLE",AUTOEVENTO="Manual",OR(H433&gt;0,ORÇAMENTO!AC433="QUANT."),OR(K433="",M433=0,N433="")),"►E",IF(AND(ACOMPANHAMENTO="PLE",ORÇAMENTO!AC433="QUANT."),"►Q",IF(AND(ACOMPANHAMENTO="PLE",H433&lt;&gt;SUMPRODUCT(($Q$1:$AI$1=1)*ROUND(Q433:AI433,15))),"►S",IF(AND(COUNTIF($P$11:$AI$11,"▼")=0,H433&gt;0,I433=""),"◄M","")))))</f>
        <v/>
      </c>
      <c r="K433" s="641" t="s">
        <v>1391</v>
      </c>
      <c r="L433" s="165" t="s">
        <v>764</v>
      </c>
      <c r="M433" s="166">
        <f ca="1">IF($D433&lt;&gt;"Serviço","",
          IF(AUTOEVENTO="manual",$A433,
                IF(ISERROR(MATCH($A433,$A$15:OFFSET($A433,-1,0),0)),MAX($M$15:OFFSET(M433,-1,0))+1,
                      INDEX($M$15:OFFSET(M433,-1,0),MATCH($A433,$A$15:OFFSET($A433,-1,0),0)))))</f>
        <v>7</v>
      </c>
      <c r="N433" s="167" t="str">
        <f ca="1">IF($D433&lt;&gt;"Serviço","",
         IF(AUTOEVENTO="Manual",
                IF($A433=0,"&lt;-- defina o número do agrupador",
                       OFFSET(EVENTOS!$D$15,$A433-$A$15,0)),
                OFFSET($F$15,$A433,0)))</f>
        <v>Instalações Elétricas</v>
      </c>
      <c r="O433" s="168"/>
      <c r="Q433" s="168"/>
      <c r="R433" s="169"/>
      <c r="S433" s="169"/>
      <c r="T433" s="169"/>
      <c r="U433" s="169"/>
      <c r="V433" s="169"/>
      <c r="W433" s="169"/>
      <c r="X433" s="169">
        <v>5</v>
      </c>
      <c r="Y433" s="169"/>
      <c r="Z433" s="170"/>
      <c r="AA433" s="169"/>
      <c r="AB433" s="169"/>
      <c r="AC433" s="169"/>
      <c r="AD433" s="169"/>
      <c r="AE433" s="169"/>
      <c r="AF433" s="169"/>
      <c r="AG433" s="169"/>
      <c r="AH433" s="170"/>
      <c r="AJ433" s="453">
        <f ca="1">IF(AND($D433="Serviço",AJ$12&lt;&gt;0,$H433&gt;0,OR(AUTOEVENTO&lt;&gt;"manual",$M433&lt;&gt;$A$15)),
        IF(Import.TipoArredondamento&lt;&gt;"TransfereGOV",
              ROUND(OFFSET($P433,0,AJ$13),15-13*ORÇAMENTO!$AF$7)/$H433*OFFSET(ORÇAMENTO!$X$15,ROW(AJ433)-ROW(AJ$15),0),
              ROUND(ROUND(OFFSET($P433,0,AJ$13),15-13*ORÇAMENTO!$AF$7)*OFFSET(ORÇAMENTO!$W$15,ROW(AJ433)-ROW(AJ$15),0),15-13*ORÇAMENTO!$AF$11)),
         0)</f>
        <v>0</v>
      </c>
      <c r="AK433" s="453">
        <f ca="1">IF(AND($D433="Serviço",AK$12&lt;&gt;0,$H433&gt;0,OR(AUTOEVENTO&lt;&gt;"manual",$M433&lt;&gt;$A$15)),
        IF(Import.TipoArredondamento&lt;&gt;"TransfereGOV",
              ROUND(OFFSET($P433,0,AK$13),15-13*ORÇAMENTO!$AF$7)/$H433*OFFSET(ORÇAMENTO!$X$15,ROW(AK433)-ROW(AK$15),0),
              ROUND(ROUND(OFFSET($P433,0,AK$13),15-13*ORÇAMENTO!$AF$7)*OFFSET(ORÇAMENTO!$W$15,ROW(AK433)-ROW(AK$15),0),15-13*ORÇAMENTO!$AF$11)),
         0)</f>
        <v>0</v>
      </c>
      <c r="AL433" s="453">
        <f ca="1">IF(AND($D433="Serviço",AL$12&lt;&gt;0,$H433&gt;0,OR(AUTOEVENTO&lt;&gt;"manual",$M433&lt;&gt;$A$15)),
        IF(Import.TipoArredondamento&lt;&gt;"TransfereGOV",
              ROUND(OFFSET($P433,0,AL$13),15-13*ORÇAMENTO!$AF$7)/$H433*OFFSET(ORÇAMENTO!$X$15,ROW(AL433)-ROW(AL$15),0),
              ROUND(ROUND(OFFSET($P433,0,AL$13),15-13*ORÇAMENTO!$AF$7)*OFFSET(ORÇAMENTO!$W$15,ROW(AL433)-ROW(AL$15),0),15-13*ORÇAMENTO!$AF$11)),
         0)</f>
        <v>0</v>
      </c>
      <c r="AM433" s="453">
        <f ca="1">IF(AND($D433="Serviço",AM$12&lt;&gt;0,$H433&gt;0,OR(AUTOEVENTO&lt;&gt;"manual",$M433&lt;&gt;$A$15)),
        IF(Import.TipoArredondamento&lt;&gt;"TransfereGOV",
              ROUND(OFFSET($P433,0,AM$13),15-13*ORÇAMENTO!$AF$7)/$H433*OFFSET(ORÇAMENTO!$X$15,ROW(AM433)-ROW(AM$15),0),
              ROUND(ROUND(OFFSET($P433,0,AM$13),15-13*ORÇAMENTO!$AF$7)*OFFSET(ORÇAMENTO!$W$15,ROW(AM433)-ROW(AM$15),0),15-13*ORÇAMENTO!$AF$11)),
         0)</f>
        <v>0</v>
      </c>
      <c r="AN433" s="453">
        <f ca="1">IF(AND($D433="Serviço",AN$12&lt;&gt;0,$H433&gt;0,OR(AUTOEVENTO&lt;&gt;"manual",$M433&lt;&gt;$A$15)),
        IF(Import.TipoArredondamento&lt;&gt;"TransfereGOV",
              ROUND(OFFSET($P433,0,AN$13),15-13*ORÇAMENTO!$AF$7)/$H433*OFFSET(ORÇAMENTO!$X$15,ROW(AN433)-ROW(AN$15),0),
              ROUND(ROUND(OFFSET($P433,0,AN$13),15-13*ORÇAMENTO!$AF$7)*OFFSET(ORÇAMENTO!$W$15,ROW(AN433)-ROW(AN$15),0),15-13*ORÇAMENTO!$AF$11)),
         0)</f>
        <v>0</v>
      </c>
      <c r="AO433" s="453">
        <f ca="1">IF(AND($D433="Serviço",AO$12&lt;&gt;0,$H433&gt;0,OR(AUTOEVENTO&lt;&gt;"manual",$M433&lt;&gt;$A$15)),
        IF(Import.TipoArredondamento&lt;&gt;"TransfereGOV",
              ROUND(OFFSET($P433,0,AO$13),15-13*ORÇAMENTO!$AF$7)/$H433*OFFSET(ORÇAMENTO!$X$15,ROW(AO433)-ROW(AO$15),0),
              ROUND(ROUND(OFFSET($P433,0,AO$13),15-13*ORÇAMENTO!$AF$7)*OFFSET(ORÇAMENTO!$W$15,ROW(AO433)-ROW(AO$15),0),15-13*ORÇAMENTO!$AF$11)),
         0)</f>
        <v>0</v>
      </c>
      <c r="AP433" s="453">
        <f ca="1">IF(AND($D433="Serviço",AP$12&lt;&gt;0,$H433&gt;0,OR(AUTOEVENTO&lt;&gt;"manual",$M433&lt;&gt;$A$15)),
        IF(Import.TipoArredondamento&lt;&gt;"TransfereGOV",
              ROUND(OFFSET($P433,0,AP$13),15-13*ORÇAMENTO!$AF$7)/$H433*OFFSET(ORÇAMENTO!$X$15,ROW(AP433)-ROW(AP$15),0),
              ROUND(ROUND(OFFSET($P433,0,AP$13),15-13*ORÇAMENTO!$AF$7)*OFFSET(ORÇAMENTO!$W$15,ROW(AP433)-ROW(AP$15),0),15-13*ORÇAMENTO!$AF$11)),
         0)</f>
        <v>0</v>
      </c>
      <c r="AQ433" s="453">
        <f ca="1">IF(AND($D433="Serviço",AQ$12&lt;&gt;0,$H433&gt;0,OR(AUTOEVENTO&lt;&gt;"manual",$M433&lt;&gt;$A$15)),
        IF(Import.TipoArredondamento&lt;&gt;"TransfereGOV",
              ROUND(OFFSET($P433,0,AQ$13),15-13*ORÇAMENTO!$AF$7)/$H433*OFFSET(ORÇAMENTO!$X$15,ROW(AQ433)-ROW(AQ$15),0),
              ROUND(ROUND(OFFSET($P433,0,AQ$13),15-13*ORÇAMENTO!$AF$7)*OFFSET(ORÇAMENTO!$W$15,ROW(AQ433)-ROW(AQ$15),0),15-13*ORÇAMENTO!$AF$11)),
         0)</f>
        <v>0</v>
      </c>
      <c r="AR433" s="453">
        <f ca="1">IF(AND($D433="Serviço",AR$12&lt;&gt;0,$H433&gt;0,OR(AUTOEVENTO&lt;&gt;"manual",$M433&lt;&gt;$A$15)),
        IF(Import.TipoArredondamento&lt;&gt;"TransfereGOV",
              ROUND(OFFSET($P433,0,AR$13),15-13*ORÇAMENTO!$AF$7)/$H433*OFFSET(ORÇAMENTO!$X$15,ROW(AR433)-ROW(AR$15),0),
              ROUND(ROUND(OFFSET($P433,0,AR$13),15-13*ORÇAMENTO!$AF$7)*OFFSET(ORÇAMENTO!$W$15,ROW(AR433)-ROW(AR$15),0),15-13*ORÇAMENTO!$AF$11)),
         0)</f>
        <v>0</v>
      </c>
      <c r="AS433" s="453">
        <f ca="1">IF(AND($D433="Serviço",AS$12&lt;&gt;0,$H433&gt;0,OR(AUTOEVENTO&lt;&gt;"manual",$M433&lt;&gt;$A$15)),
        IF(Import.TipoArredondamento&lt;&gt;"TransfereGOV",
              ROUND(OFFSET($P433,0,AS$13),15-13*ORÇAMENTO!$AF$7)/$H433*OFFSET(ORÇAMENTO!$X$15,ROW(AS433)-ROW(AS$15),0),
              ROUND(ROUND(OFFSET($P433,0,AS$13),15-13*ORÇAMENTO!$AF$7)*OFFSET(ORÇAMENTO!$W$15,ROW(AS433)-ROW(AS$15),0),15-13*ORÇAMENTO!$AF$11)),
         0)</f>
        <v>0</v>
      </c>
      <c r="AT433" s="453">
        <f ca="1">IF(AND($D433="Serviço",AT$12&lt;&gt;0,$H433&gt;0,OR(AUTOEVENTO&lt;&gt;"manual",$M433&lt;&gt;$A$15)),
        IF(Import.TipoArredondamento&lt;&gt;"TransfereGOV",
              ROUND(OFFSET($P433,0,AT$13),15-13*ORÇAMENTO!$AF$7)/$H433*OFFSET(ORÇAMENTO!$X$15,ROW(AT433)-ROW(AT$15),0),
              ROUND(ROUND(OFFSET($P433,0,AT$13),15-13*ORÇAMENTO!$AF$7)*OFFSET(ORÇAMENTO!$W$15,ROW(AT433)-ROW(AT$15),0),15-13*ORÇAMENTO!$AF$11)),
         0)</f>
        <v>0</v>
      </c>
      <c r="AU433" s="453">
        <f ca="1">IF(AND($D433="Serviço",AU$12&lt;&gt;0,$H433&gt;0,OR(AUTOEVENTO&lt;&gt;"manual",$M433&lt;&gt;$A$15)),
        IF(Import.TipoArredondamento&lt;&gt;"TransfereGOV",
              ROUND(OFFSET($P433,0,AU$13),15-13*ORÇAMENTO!$AF$7)/$H433*OFFSET(ORÇAMENTO!$X$15,ROW(AU433)-ROW(AU$15),0),
              ROUND(ROUND(OFFSET($P433,0,AU$13),15-13*ORÇAMENTO!$AF$7)*OFFSET(ORÇAMENTO!$W$15,ROW(AU433)-ROW(AU$15),0),15-13*ORÇAMENTO!$AF$11)),
         0)</f>
        <v>0</v>
      </c>
      <c r="AV433" s="453">
        <f ca="1">IF(AND($D433="Serviço",AV$12&lt;&gt;0,$H433&gt;0,OR(AUTOEVENTO&lt;&gt;"manual",$M433&lt;&gt;$A$15)),
        IF(Import.TipoArredondamento&lt;&gt;"TransfereGOV",
              ROUND(OFFSET($P433,0,AV$13),15-13*ORÇAMENTO!$AF$7)/$H433*OFFSET(ORÇAMENTO!$X$15,ROW(AV433)-ROW(AV$15),0),
              ROUND(ROUND(OFFSET($P433,0,AV$13),15-13*ORÇAMENTO!$AF$7)*OFFSET(ORÇAMENTO!$W$15,ROW(AV433)-ROW(AV$15),0),15-13*ORÇAMENTO!$AF$11)),
         0)</f>
        <v>0</v>
      </c>
      <c r="AW433" s="453">
        <f ca="1">IF(AND($D433="Serviço",AW$12&lt;&gt;0,$H433&gt;0,OR(AUTOEVENTO&lt;&gt;"manual",$M433&lt;&gt;$A$15)),
        IF(Import.TipoArredondamento&lt;&gt;"TransfereGOV",
              ROUND(OFFSET($P433,0,AW$13),15-13*ORÇAMENTO!$AF$7)/$H433*OFFSET(ORÇAMENTO!$X$15,ROW(AW433)-ROW(AW$15),0),
              ROUND(ROUND(OFFSET($P433,0,AW$13),15-13*ORÇAMENTO!$AF$7)*OFFSET(ORÇAMENTO!$W$15,ROW(AW433)-ROW(AW$15),0),15-13*ORÇAMENTO!$AF$11)),
         0)</f>
        <v>0</v>
      </c>
      <c r="AX433" s="453">
        <f ca="1">IF(AND($D433="Serviço",AX$12&lt;&gt;0,$H433&gt;0,OR(AUTOEVENTO&lt;&gt;"manual",$M433&lt;&gt;$A$15)),
        IF(Import.TipoArredondamento&lt;&gt;"TransfereGOV",
              ROUND(OFFSET($P433,0,AX$13),15-13*ORÇAMENTO!$AF$7)/$H433*OFFSET(ORÇAMENTO!$X$15,ROW(AX433)-ROW(AX$15),0),
              ROUND(ROUND(OFFSET($P433,0,AX$13),15-13*ORÇAMENTO!$AF$7)*OFFSET(ORÇAMENTO!$W$15,ROW(AX433)-ROW(AX$15),0),15-13*ORÇAMENTO!$AF$11)),
         0)</f>
        <v>0</v>
      </c>
      <c r="AY433" s="453">
        <f ca="1">IF(AND($D433="Serviço",AY$12&lt;&gt;0,$H433&gt;0,OR(AUTOEVENTO&lt;&gt;"manual",$M433&lt;&gt;$A$15)),
        IF(Import.TipoArredondamento&lt;&gt;"TransfereGOV",
              ROUND(OFFSET($P433,0,AY$13),15-13*ORÇAMENTO!$AF$7)/$H433*OFFSET(ORÇAMENTO!$X$15,ROW(AY433)-ROW(AY$15),0),
              ROUND(ROUND(OFFSET($P433,0,AY$13),15-13*ORÇAMENTO!$AF$7)*OFFSET(ORÇAMENTO!$W$15,ROW(AY433)-ROW(AY$15),0),15-13*ORÇAMENTO!$AF$11)),
         0)</f>
        <v>0</v>
      </c>
      <c r="AZ433" s="453">
        <f ca="1">IF(AND($D433="Serviço",AZ$12&lt;&gt;0,$H433&gt;0,OR(AUTOEVENTO&lt;&gt;"manual",$M433&lt;&gt;$A$15)),
        IF(Import.TipoArredondamento&lt;&gt;"TransfereGOV",
              ROUND(OFFSET($P433,0,AZ$13),15-13*ORÇAMENTO!$AF$7)/$H433*OFFSET(ORÇAMENTO!$X$15,ROW(AZ433)-ROW(AZ$15),0),
              ROUND(ROUND(OFFSET($P433,0,AZ$13),15-13*ORÇAMENTO!$AF$7)*OFFSET(ORÇAMENTO!$W$15,ROW(AZ433)-ROW(AZ$15),0),15-13*ORÇAMENTO!$AF$11)),
         0)</f>
        <v>0</v>
      </c>
      <c r="BA433" s="453">
        <f ca="1">IF(AND($D433="Serviço",BA$12&lt;&gt;0,$H433&gt;0,OR(AUTOEVENTO&lt;&gt;"manual",$M433&lt;&gt;$A$15)),
        IF(Import.TipoArredondamento&lt;&gt;"TransfereGOV",
              ROUND(OFFSET($P433,0,BA$13),15-13*ORÇAMENTO!$AF$7)/$H433*OFFSET(ORÇAMENTO!$X$15,ROW(BA433)-ROW(BA$15),0),
              ROUND(ROUND(OFFSET($P433,0,BA$13),15-13*ORÇAMENTO!$AF$7)*OFFSET(ORÇAMENTO!$W$15,ROW(BA433)-ROW(BA$15),0),15-13*ORÇAMENTO!$AF$11)),
         0)</f>
        <v>0</v>
      </c>
      <c r="BC433" s="171">
        <f ca="1">IF(OR($D433&lt;&gt;"Serviço",AND(AUTOEVENTO="Manual",$M433=$A$15)),0,
         IF(OFFSET(CRONOPLE!$F$15,$M433-$A$15,BC$13)=0,10^12,OFFSET(CRONOPLE!$F$15,$M433-$A$15,BC$13)))</f>
        <v>1</v>
      </c>
      <c r="BD433" s="171">
        <f ca="1">IF(OR($D433&lt;&gt;"Serviço",AND(AUTOEVENTO="Manual",$M433=$A$15)),0,
         IF(OFFSET(CRONOPLE!$F$15,$M433-$A$15,BD$13)=0,10^12,OFFSET(CRONOPLE!$F$15,$M433-$A$15,BD$13)))</f>
        <v>2</v>
      </c>
      <c r="BE433" s="171">
        <f ca="1">IF(OR($D433&lt;&gt;"Serviço",AND(AUTOEVENTO="Manual",$M433=$A$15)),0,
         IF(OFFSET(CRONOPLE!$F$15,$M433-$A$15,BE$13)=0,10^12,OFFSET(CRONOPLE!$F$15,$M433-$A$15,BE$13)))</f>
        <v>3</v>
      </c>
      <c r="BF433" s="171">
        <f ca="1">IF(OR($D433&lt;&gt;"Serviço",AND(AUTOEVENTO="Manual",$M433=$A$15)),0,
         IF(OFFSET(CRONOPLE!$F$15,$M433-$A$15,BF$13)=0,10^12,OFFSET(CRONOPLE!$F$15,$M433-$A$15,BF$13)))</f>
        <v>4</v>
      </c>
      <c r="BG433" s="171">
        <f ca="1">IF(OR($D433&lt;&gt;"Serviço",AND(AUTOEVENTO="Manual",$M433=$A$15)),0,
         IF(OFFSET(CRONOPLE!$F$15,$M433-$A$15,BG$13)=0,10^12,OFFSET(CRONOPLE!$F$15,$M433-$A$15,BG$13)))</f>
        <v>5</v>
      </c>
      <c r="BH433" s="171">
        <f ca="1">IF(OR($D433&lt;&gt;"Serviço",AND(AUTOEVENTO="Manual",$M433=$A$15)),0,
         IF(OFFSET(CRONOPLE!$F$15,$M433-$A$15,BH$13)=0,10^12,OFFSET(CRONOPLE!$F$15,$M433-$A$15,BH$13)))</f>
        <v>6</v>
      </c>
      <c r="BI433" s="171">
        <f ca="1">IF(OR($D433&lt;&gt;"Serviço",AND(AUTOEVENTO="Manual",$M433=$A$15)),0,
         IF(OFFSET(CRONOPLE!$F$15,$M433-$A$15,BI$13)=0,10^12,OFFSET(CRONOPLE!$F$15,$M433-$A$15,BI$13)))</f>
        <v>7</v>
      </c>
      <c r="BJ433" s="171">
        <f ca="1">IF(OR($D433&lt;&gt;"Serviço",AND(AUTOEVENTO="Manual",$M433=$A$15)),0,
         IF(OFFSET(CRONOPLE!$F$15,$M433-$A$15,BJ$13)=0,10^12,OFFSET(CRONOPLE!$F$15,$M433-$A$15,BJ$13)))</f>
        <v>8</v>
      </c>
      <c r="BK433" s="171">
        <f ca="1">IF(OR($D433&lt;&gt;"Serviço",AND(AUTOEVENTO="Manual",$M433=$A$15)),0,
         IF(OFFSET(CRONOPLE!$F$15,$M433-$A$15,BK$13)=0,10^12,OFFSET(CRONOPLE!$F$15,$M433-$A$15,BK$13)))</f>
        <v>9</v>
      </c>
      <c r="BL433" s="171">
        <f ca="1">IF(OR($D433&lt;&gt;"Serviço",AND(AUTOEVENTO="Manual",$M433=$A$15)),0,
         IF(OFFSET(CRONOPLE!$F$15,$M433-$A$15,BL$13)=0,10^12,OFFSET(CRONOPLE!$F$15,$M433-$A$15,BL$13)))</f>
        <v>1000000000000</v>
      </c>
      <c r="BM433" s="171">
        <f ca="1">IF(OR($D433&lt;&gt;"Serviço",AND(AUTOEVENTO="Manual",$M433=$A$15)),0,
         IF(OFFSET(CRONOPLE!$F$15,$M433-$A$15,BM$13)=0,10^12,OFFSET(CRONOPLE!$F$15,$M433-$A$15,BM$13)))</f>
        <v>1000000000000</v>
      </c>
      <c r="BN433" s="171">
        <f ca="1">IF(OR($D433&lt;&gt;"Serviço",AND(AUTOEVENTO="Manual",$M433=$A$15)),0,
         IF(OFFSET(CRONOPLE!$F$15,$M433-$A$15,BN$13)=0,10^12,OFFSET(CRONOPLE!$F$15,$M433-$A$15,BN$13)))</f>
        <v>1000000000000</v>
      </c>
      <c r="BO433" s="171">
        <f ca="1">IF(OR($D433&lt;&gt;"Serviço",AND(AUTOEVENTO="Manual",$M433=$A$15)),0,
         IF(OFFSET(CRONOPLE!$F$15,$M433-$A$15,BO$13)=0,10^12,OFFSET(CRONOPLE!$F$15,$M433-$A$15,BO$13)))</f>
        <v>1000000000000</v>
      </c>
      <c r="BP433" s="171">
        <f ca="1">IF(OR($D433&lt;&gt;"Serviço",AND(AUTOEVENTO="Manual",$M433=$A$15)),0,
         IF(OFFSET(CRONOPLE!$F$15,$M433-$A$15,BP$13)=0,10^12,OFFSET(CRONOPLE!$F$15,$M433-$A$15,BP$13)))</f>
        <v>1000000000000</v>
      </c>
      <c r="BQ433" s="171">
        <f ca="1">IF(OR($D433&lt;&gt;"Serviço",AND(AUTOEVENTO="Manual",$M433=$A$15)),0,
         IF(OFFSET(CRONOPLE!$F$15,$M433-$A$15,BQ$13)=0,10^12,OFFSET(CRONOPLE!$F$15,$M433-$A$15,BQ$13)))</f>
        <v>1000000000000</v>
      </c>
      <c r="BR433" s="171">
        <f ca="1">IF(OR($D433&lt;&gt;"Serviço",AND(AUTOEVENTO="Manual",$M433=$A$15)),0,
         IF(OFFSET(CRONOPLE!$F$15,$M433-$A$15,BR$13)=0,10^12,OFFSET(CRONOPLE!$F$15,$M433-$A$15,BR$13)))</f>
        <v>1000000000000</v>
      </c>
      <c r="BS433" s="171">
        <f ca="1">IF(OR($D433&lt;&gt;"Serviço",AND(AUTOEVENTO="Manual",$M433=$A$15)),0,
         IF(OFFSET(CRONOPLE!$F$15,$M433-$A$15,BS$13)=0,10^12,OFFSET(CRONOPLE!$F$15,$M433-$A$15,BS$13)))</f>
        <v>1000000000000</v>
      </c>
      <c r="BT433" s="171">
        <f ca="1">IF(OR($D433&lt;&gt;"Serviço",AND(AUTOEVENTO="Manual",$M433=$A$15)),0,
         IF(OFFSET(CRONOPLE!$F$15,$M433-$A$15,BT$13)=0,10^12,OFFSET(CRONOPLE!$F$15,$M433-$A$15,BT$13)))</f>
        <v>1000000000000</v>
      </c>
      <c r="BV433" s="172">
        <f ca="1">IF(OR($D433&lt;&gt;"Serviço",AND(AUTOEVENTO="Manual",$M433=$A$15),$M433&gt;(ROW(PLE.lastrow)-ROW(PLE.firstrow))),0,
           IF(OFFSET(PLE!$G$15,$M433-$A$15,BV$13)="",10^12,OFFSET(PLE!$G$15,$M433-$A$15,BV$13)))</f>
        <v>1000000000000</v>
      </c>
      <c r="BW433" s="172">
        <f ca="1">IF(OR($D433&lt;&gt;"Serviço",AND(AUTOEVENTO="Manual",$M433=$A$15),$M433&gt;(ROW(PLE.lastrow)-ROW(PLE.firstrow))),0,
           IF(OFFSET(PLE!$G$15,$M433-$A$15,BW$13)="",10^12,OFFSET(PLE!$G$15,$M433-$A$15,BW$13)))</f>
        <v>1000000000000</v>
      </c>
      <c r="BX433" s="172">
        <f ca="1">IF(OR($D433&lt;&gt;"Serviço",AND(AUTOEVENTO="Manual",$M433=$A$15),$M433&gt;(ROW(PLE.lastrow)-ROW(PLE.firstrow))),0,
           IF(OFFSET(PLE!$G$15,$M433-$A$15,BX$13)="",10^12,OFFSET(PLE!$G$15,$M433-$A$15,BX$13)))</f>
        <v>1000000000000</v>
      </c>
      <c r="BY433" s="172">
        <f ca="1">IF(OR($D433&lt;&gt;"Serviço",AND(AUTOEVENTO="Manual",$M433=$A$15),$M433&gt;(ROW(PLE.lastrow)-ROW(PLE.firstrow))),0,
           IF(OFFSET(PLE!$G$15,$M433-$A$15,BY$13)="",10^12,OFFSET(PLE!$G$15,$M433-$A$15,BY$13)))</f>
        <v>1000000000000</v>
      </c>
      <c r="BZ433" s="172">
        <f ca="1">IF(OR($D433&lt;&gt;"Serviço",AND(AUTOEVENTO="Manual",$M433=$A$15),$M433&gt;(ROW(PLE.lastrow)-ROW(PLE.firstrow))),0,
           IF(OFFSET(PLE!$G$15,$M433-$A$15,BZ$13)="",10^12,OFFSET(PLE!$G$15,$M433-$A$15,BZ$13)))</f>
        <v>1000000000000</v>
      </c>
      <c r="CA433" s="172">
        <f ca="1">IF(OR($D433&lt;&gt;"Serviço",AND(AUTOEVENTO="Manual",$M433=$A$15),$M433&gt;(ROW(PLE.lastrow)-ROW(PLE.firstrow))),0,
           IF(OFFSET(PLE!$G$15,$M433-$A$15,CA$13)="",10^12,OFFSET(PLE!$G$15,$M433-$A$15,CA$13)))</f>
        <v>1000000000000</v>
      </c>
      <c r="CB433" s="172">
        <f ca="1">IF(OR($D433&lt;&gt;"Serviço",AND(AUTOEVENTO="Manual",$M433=$A$15),$M433&gt;(ROW(PLE.lastrow)-ROW(PLE.firstrow))),0,
           IF(OFFSET(PLE!$G$15,$M433-$A$15,CB$13)="",10^12,OFFSET(PLE!$G$15,$M433-$A$15,CB$13)))</f>
        <v>1000000000000</v>
      </c>
      <c r="CC433" s="172">
        <f ca="1">IF(OR($D433&lt;&gt;"Serviço",AND(AUTOEVENTO="Manual",$M433=$A$15),$M433&gt;(ROW(PLE.lastrow)-ROW(PLE.firstrow))),0,
           IF(OFFSET(PLE!$G$15,$M433-$A$15,CC$13)="",10^12,OFFSET(PLE!$G$15,$M433-$A$15,CC$13)))</f>
        <v>1000000000000</v>
      </c>
      <c r="CD433" s="172">
        <f ca="1">IF(OR($D433&lt;&gt;"Serviço",AND(AUTOEVENTO="Manual",$M433=$A$15),$M433&gt;(ROW(PLE.lastrow)-ROW(PLE.firstrow))),0,
           IF(OFFSET(PLE!$G$15,$M433-$A$15,CD$13)="",10^12,OFFSET(PLE!$G$15,$M433-$A$15,CD$13)))</f>
        <v>1000000000000</v>
      </c>
      <c r="CE433" s="172">
        <f ca="1">IF(OR($D433&lt;&gt;"Serviço",AND(AUTOEVENTO="Manual",$M433=$A$15),$M433&gt;(ROW(PLE.lastrow)-ROW(PLE.firstrow))),0,
           IF(OFFSET(PLE!$G$15,$M433-$A$15,CE$13)="",10^12,OFFSET(PLE!$G$15,$M433-$A$15,CE$13)))</f>
        <v>1000000000000</v>
      </c>
      <c r="CF433" s="172">
        <f ca="1">IF(OR($D433&lt;&gt;"Serviço",AND(AUTOEVENTO="Manual",$M433=$A$15),$M433&gt;(ROW(PLE.lastrow)-ROW(PLE.firstrow))),0,
           IF(OFFSET(PLE!$G$15,$M433-$A$15,CF$13)="",10^12,OFFSET(PLE!$G$15,$M433-$A$15,CF$13)))</f>
        <v>1000000000000</v>
      </c>
      <c r="CG433" s="172">
        <f ca="1">IF(OR($D433&lt;&gt;"Serviço",AND(AUTOEVENTO="Manual",$M433=$A$15),$M433&gt;(ROW(PLE.lastrow)-ROW(PLE.firstrow))),0,
           IF(OFFSET(PLE!$G$15,$M433-$A$15,CG$13)="",10^12,OFFSET(PLE!$G$15,$M433-$A$15,CG$13)))</f>
        <v>1000000000000</v>
      </c>
      <c r="CH433" s="172">
        <f ca="1">IF(OR($D433&lt;&gt;"Serviço",AND(AUTOEVENTO="Manual",$M433=$A$15),$M433&gt;(ROW(PLE.lastrow)-ROW(PLE.firstrow))),0,
           IF(OFFSET(PLE!$G$15,$M433-$A$15,CH$13)="",10^12,OFFSET(PLE!$G$15,$M433-$A$15,CH$13)))</f>
        <v>1000000000000</v>
      </c>
      <c r="CI433" s="172">
        <f ca="1">IF(OR($D433&lt;&gt;"Serviço",AND(AUTOEVENTO="Manual",$M433=$A$15),$M433&gt;(ROW(PLE.lastrow)-ROW(PLE.firstrow))),0,
           IF(OFFSET(PLE!$G$15,$M433-$A$15,CI$13)="",10^12,OFFSET(PLE!$G$15,$M433-$A$15,CI$13)))</f>
        <v>1000000000000</v>
      </c>
      <c r="CJ433" s="172">
        <f ca="1">IF(OR($D433&lt;&gt;"Serviço",AND(AUTOEVENTO="Manual",$M433=$A$15),$M433&gt;(ROW(PLE.lastrow)-ROW(PLE.firstrow))),0,
           IF(OFFSET(PLE!$G$15,$M433-$A$15,CJ$13)="",10^12,OFFSET(PLE!$G$15,$M433-$A$15,CJ$13)))</f>
        <v>1000000000000</v>
      </c>
      <c r="CK433" s="172">
        <f ca="1">IF(OR($D433&lt;&gt;"Serviço",AND(AUTOEVENTO="Manual",$M433=$A$15),$M433&gt;(ROW(PLE.lastrow)-ROW(PLE.firstrow))),0,
           IF(OFFSET(PLE!$G$15,$M433-$A$15,CK$13)="",10^12,OFFSET(PLE!$G$15,$M433-$A$15,CK$13)))</f>
        <v>1000000000000</v>
      </c>
      <c r="CL433" s="172">
        <f ca="1">IF(OR($D433&lt;&gt;"Serviço",AND(AUTOEVENTO="Manual",$M433=$A$15),$M433&gt;(ROW(PLE.lastrow)-ROW(PLE.firstrow))),0,
           IF(OFFSET(PLE!$G$15,$M433-$A$15,CL$13)="",10^12,OFFSET(PLE!$G$15,$M433-$A$15,CL$13)))</f>
        <v>1000000000000</v>
      </c>
      <c r="CM433" s="172">
        <f ca="1">IF(OR($D433&lt;&gt;"Serviço",AND(AUTOEVENTO="Manual",$M433=$A$15),$M433&gt;(ROW(PLE.lastrow)-ROW(PLE.firstrow))),0,
           IF(OFFSET(PLE!$G$15,$M433-$A$15,CM$13)="",10^12,OFFSET(PLE!$G$15,$M433-$A$15,CM$13)))</f>
        <v>1000000000000</v>
      </c>
    </row>
    <row r="434" spans="1:91" ht="12.75" x14ac:dyDescent="0.2">
      <c r="A434" s="7">
        <f t="shared" ca="1" si="16"/>
        <v>0</v>
      </c>
      <c r="B434" s="7">
        <f ca="1">OFFSET(ORÇAMENTO!C$15,ROW(B434)-ROW(B$15),0)</f>
        <v>4</v>
      </c>
      <c r="C434" s="7" t="str">
        <f ca="1">OFFSET(ORÇAMENTO!L$15,ROW(C434)-ROW(C$15),0)</f>
        <v>F</v>
      </c>
      <c r="D434" s="116" t="str">
        <f ca="1">OFFSET(ORÇAMENTO!N$15,ROW(D434)-ROW(D$15),0)</f>
        <v>Nível 4</v>
      </c>
      <c r="E434" s="117" t="str">
        <f ca="1">OFFSET(ORÇAMENTO!O$15,ROW(E434)-ROW(E$15),0)</f>
        <v>1.8.2.5.</v>
      </c>
      <c r="F434" s="163" t="str">
        <f ca="1">OFFSET(ORÇAMENTO!R$15,ROW(F434)-ROW(F$15),0)</f>
        <v>GRUPO GERADOR</v>
      </c>
      <c r="G434" s="164" t="str">
        <f ca="1">IF($D434&lt;&gt;"Serviço","",OFFSET(ORÇAMENTO!S$15,ROW(G434)-ROW(G$15),0))</f>
        <v/>
      </c>
      <c r="H434" s="122" cm="1">
        <f t="array" aca="1" ref="H434" ca="1">IF($D434&lt;&gt;"Serviço",0,IF(ACOMPANHAMENTO="BM",ROUND(OFFSET(ORÇAMENTO!AJ$15,ROW(H434)-ROW(H$15),0),15-13*ORÇAMENTO!$AF$7),SUMPRODUCT(($Q$1:$AI$1=1)*ROUND($Q434:$AI434,15-13*ORÇAMENTO!$AF$7))))</f>
        <v>0</v>
      </c>
      <c r="I434" s="468"/>
      <c r="J434" s="640" t="str" cm="1">
        <f t="array" aca="1" ref="J434" ca="1">IF(OR(B434&lt;&gt;"S",CÁLCULO.FrentesPreenchidas=0),"",IF(AND(ACOMPANHAMENTO="PLE",AUTOEVENTO="Manual",OR(H434&gt;0,ORÇAMENTO!AC434="QUANT."),OR(K434="",M434=0,N434="")),"►E",IF(AND(ACOMPANHAMENTO="PLE",ORÇAMENTO!AC434="QUANT."),"►Q",IF(AND(ACOMPANHAMENTO="PLE",H434&lt;&gt;SUMPRODUCT(($Q$1:$AI$1=1)*ROUND(Q434:AI434,15))),"►S",IF(AND(COUNTIF($P$11:$AI$11,"▼")=0,H434&gt;0,I434=""),"◄M","")))))</f>
        <v/>
      </c>
      <c r="K434" s="641"/>
      <c r="L434" s="165" t="s">
        <v>764</v>
      </c>
      <c r="M434" s="166" t="str">
        <f ca="1">IF($D434&lt;&gt;"Serviço","",
          IF(AUTOEVENTO="manual",$A434,
                IF(ISERROR(MATCH($A434,$A$15:OFFSET($A434,-1,0),0)),MAX($M$15:OFFSET(M434,-1,0))+1,
                      INDEX($M$15:OFFSET(M434,-1,0),MATCH($A434,$A$15:OFFSET($A434,-1,0),0)))))</f>
        <v/>
      </c>
      <c r="N434" s="167" t="str">
        <f ca="1">IF($D434&lt;&gt;"Serviço","",
         IF(AUTOEVENTO="Manual",
                IF($A434=0,"&lt;-- defina o número do agrupador",
                       OFFSET(EVENTOS!$D$15,$A434-$A$15,0)),
                OFFSET($F$15,$A434,0)))</f>
        <v/>
      </c>
      <c r="O434" s="168"/>
      <c r="Q434" s="168"/>
      <c r="R434" s="169"/>
      <c r="S434" s="169"/>
      <c r="T434" s="169"/>
      <c r="U434" s="169"/>
      <c r="V434" s="169"/>
      <c r="W434" s="169"/>
      <c r="X434" s="169"/>
      <c r="Y434" s="169"/>
      <c r="Z434" s="170"/>
      <c r="AA434" s="169"/>
      <c r="AB434" s="169"/>
      <c r="AC434" s="169"/>
      <c r="AD434" s="169"/>
      <c r="AE434" s="169"/>
      <c r="AF434" s="169"/>
      <c r="AG434" s="169"/>
      <c r="AH434" s="170"/>
      <c r="AJ434" s="453">
        <f ca="1">IF(AND($D434="Serviço",AJ$12&lt;&gt;0,$H434&gt;0,OR(AUTOEVENTO&lt;&gt;"manual",$M434&lt;&gt;$A$15)),
        IF(Import.TipoArredondamento&lt;&gt;"TransfereGOV",
              ROUND(OFFSET($P434,0,AJ$13),15-13*ORÇAMENTO!$AF$7)/$H434*OFFSET(ORÇAMENTO!$X$15,ROW(AJ434)-ROW(AJ$15),0),
              ROUND(ROUND(OFFSET($P434,0,AJ$13),15-13*ORÇAMENTO!$AF$7)*OFFSET(ORÇAMENTO!$W$15,ROW(AJ434)-ROW(AJ$15),0),15-13*ORÇAMENTO!$AF$11)),
         0)</f>
        <v>0</v>
      </c>
      <c r="AK434" s="453">
        <f ca="1">IF(AND($D434="Serviço",AK$12&lt;&gt;0,$H434&gt;0,OR(AUTOEVENTO&lt;&gt;"manual",$M434&lt;&gt;$A$15)),
        IF(Import.TipoArredondamento&lt;&gt;"TransfereGOV",
              ROUND(OFFSET($P434,0,AK$13),15-13*ORÇAMENTO!$AF$7)/$H434*OFFSET(ORÇAMENTO!$X$15,ROW(AK434)-ROW(AK$15),0),
              ROUND(ROUND(OFFSET($P434,0,AK$13),15-13*ORÇAMENTO!$AF$7)*OFFSET(ORÇAMENTO!$W$15,ROW(AK434)-ROW(AK$15),0),15-13*ORÇAMENTO!$AF$11)),
         0)</f>
        <v>0</v>
      </c>
      <c r="AL434" s="453">
        <f ca="1">IF(AND($D434="Serviço",AL$12&lt;&gt;0,$H434&gt;0,OR(AUTOEVENTO&lt;&gt;"manual",$M434&lt;&gt;$A$15)),
        IF(Import.TipoArredondamento&lt;&gt;"TransfereGOV",
              ROUND(OFFSET($P434,0,AL$13),15-13*ORÇAMENTO!$AF$7)/$H434*OFFSET(ORÇAMENTO!$X$15,ROW(AL434)-ROW(AL$15),0),
              ROUND(ROUND(OFFSET($P434,0,AL$13),15-13*ORÇAMENTO!$AF$7)*OFFSET(ORÇAMENTO!$W$15,ROW(AL434)-ROW(AL$15),0),15-13*ORÇAMENTO!$AF$11)),
         0)</f>
        <v>0</v>
      </c>
      <c r="AM434" s="453">
        <f ca="1">IF(AND($D434="Serviço",AM$12&lt;&gt;0,$H434&gt;0,OR(AUTOEVENTO&lt;&gt;"manual",$M434&lt;&gt;$A$15)),
        IF(Import.TipoArredondamento&lt;&gt;"TransfereGOV",
              ROUND(OFFSET($P434,0,AM$13),15-13*ORÇAMENTO!$AF$7)/$H434*OFFSET(ORÇAMENTO!$X$15,ROW(AM434)-ROW(AM$15),0),
              ROUND(ROUND(OFFSET($P434,0,AM$13),15-13*ORÇAMENTO!$AF$7)*OFFSET(ORÇAMENTO!$W$15,ROW(AM434)-ROW(AM$15),0),15-13*ORÇAMENTO!$AF$11)),
         0)</f>
        <v>0</v>
      </c>
      <c r="AN434" s="453">
        <f ca="1">IF(AND($D434="Serviço",AN$12&lt;&gt;0,$H434&gt;0,OR(AUTOEVENTO&lt;&gt;"manual",$M434&lt;&gt;$A$15)),
        IF(Import.TipoArredondamento&lt;&gt;"TransfereGOV",
              ROUND(OFFSET($P434,0,AN$13),15-13*ORÇAMENTO!$AF$7)/$H434*OFFSET(ORÇAMENTO!$X$15,ROW(AN434)-ROW(AN$15),0),
              ROUND(ROUND(OFFSET($P434,0,AN$13),15-13*ORÇAMENTO!$AF$7)*OFFSET(ORÇAMENTO!$W$15,ROW(AN434)-ROW(AN$15),0),15-13*ORÇAMENTO!$AF$11)),
         0)</f>
        <v>0</v>
      </c>
      <c r="AO434" s="453">
        <f ca="1">IF(AND($D434="Serviço",AO$12&lt;&gt;0,$H434&gt;0,OR(AUTOEVENTO&lt;&gt;"manual",$M434&lt;&gt;$A$15)),
        IF(Import.TipoArredondamento&lt;&gt;"TransfereGOV",
              ROUND(OFFSET($P434,0,AO$13),15-13*ORÇAMENTO!$AF$7)/$H434*OFFSET(ORÇAMENTO!$X$15,ROW(AO434)-ROW(AO$15),0),
              ROUND(ROUND(OFFSET($P434,0,AO$13),15-13*ORÇAMENTO!$AF$7)*OFFSET(ORÇAMENTO!$W$15,ROW(AO434)-ROW(AO$15),0),15-13*ORÇAMENTO!$AF$11)),
         0)</f>
        <v>0</v>
      </c>
      <c r="AP434" s="453">
        <f ca="1">IF(AND($D434="Serviço",AP$12&lt;&gt;0,$H434&gt;0,OR(AUTOEVENTO&lt;&gt;"manual",$M434&lt;&gt;$A$15)),
        IF(Import.TipoArredondamento&lt;&gt;"TransfereGOV",
              ROUND(OFFSET($P434,0,AP$13),15-13*ORÇAMENTO!$AF$7)/$H434*OFFSET(ORÇAMENTO!$X$15,ROW(AP434)-ROW(AP$15),0),
              ROUND(ROUND(OFFSET($P434,0,AP$13),15-13*ORÇAMENTO!$AF$7)*OFFSET(ORÇAMENTO!$W$15,ROW(AP434)-ROW(AP$15),0),15-13*ORÇAMENTO!$AF$11)),
         0)</f>
        <v>0</v>
      </c>
      <c r="AQ434" s="453">
        <f ca="1">IF(AND($D434="Serviço",AQ$12&lt;&gt;0,$H434&gt;0,OR(AUTOEVENTO&lt;&gt;"manual",$M434&lt;&gt;$A$15)),
        IF(Import.TipoArredondamento&lt;&gt;"TransfereGOV",
              ROUND(OFFSET($P434,0,AQ$13),15-13*ORÇAMENTO!$AF$7)/$H434*OFFSET(ORÇAMENTO!$X$15,ROW(AQ434)-ROW(AQ$15),0),
              ROUND(ROUND(OFFSET($P434,0,AQ$13),15-13*ORÇAMENTO!$AF$7)*OFFSET(ORÇAMENTO!$W$15,ROW(AQ434)-ROW(AQ$15),0),15-13*ORÇAMENTO!$AF$11)),
         0)</f>
        <v>0</v>
      </c>
      <c r="AR434" s="453">
        <f ca="1">IF(AND($D434="Serviço",AR$12&lt;&gt;0,$H434&gt;0,OR(AUTOEVENTO&lt;&gt;"manual",$M434&lt;&gt;$A$15)),
        IF(Import.TipoArredondamento&lt;&gt;"TransfereGOV",
              ROUND(OFFSET($P434,0,AR$13),15-13*ORÇAMENTO!$AF$7)/$H434*OFFSET(ORÇAMENTO!$X$15,ROW(AR434)-ROW(AR$15),0),
              ROUND(ROUND(OFFSET($P434,0,AR$13),15-13*ORÇAMENTO!$AF$7)*OFFSET(ORÇAMENTO!$W$15,ROW(AR434)-ROW(AR$15),0),15-13*ORÇAMENTO!$AF$11)),
         0)</f>
        <v>0</v>
      </c>
      <c r="AS434" s="453">
        <f ca="1">IF(AND($D434="Serviço",AS$12&lt;&gt;0,$H434&gt;0,OR(AUTOEVENTO&lt;&gt;"manual",$M434&lt;&gt;$A$15)),
        IF(Import.TipoArredondamento&lt;&gt;"TransfereGOV",
              ROUND(OFFSET($P434,0,AS$13),15-13*ORÇAMENTO!$AF$7)/$H434*OFFSET(ORÇAMENTO!$X$15,ROW(AS434)-ROW(AS$15),0),
              ROUND(ROUND(OFFSET($P434,0,AS$13),15-13*ORÇAMENTO!$AF$7)*OFFSET(ORÇAMENTO!$W$15,ROW(AS434)-ROW(AS$15),0),15-13*ORÇAMENTO!$AF$11)),
         0)</f>
        <v>0</v>
      </c>
      <c r="AT434" s="453">
        <f ca="1">IF(AND($D434="Serviço",AT$12&lt;&gt;0,$H434&gt;0,OR(AUTOEVENTO&lt;&gt;"manual",$M434&lt;&gt;$A$15)),
        IF(Import.TipoArredondamento&lt;&gt;"TransfereGOV",
              ROUND(OFFSET($P434,0,AT$13),15-13*ORÇAMENTO!$AF$7)/$H434*OFFSET(ORÇAMENTO!$X$15,ROW(AT434)-ROW(AT$15),0),
              ROUND(ROUND(OFFSET($P434,0,AT$13),15-13*ORÇAMENTO!$AF$7)*OFFSET(ORÇAMENTO!$W$15,ROW(AT434)-ROW(AT$15),0),15-13*ORÇAMENTO!$AF$11)),
         0)</f>
        <v>0</v>
      </c>
      <c r="AU434" s="453">
        <f ca="1">IF(AND($D434="Serviço",AU$12&lt;&gt;0,$H434&gt;0,OR(AUTOEVENTO&lt;&gt;"manual",$M434&lt;&gt;$A$15)),
        IF(Import.TipoArredondamento&lt;&gt;"TransfereGOV",
              ROUND(OFFSET($P434,0,AU$13),15-13*ORÇAMENTO!$AF$7)/$H434*OFFSET(ORÇAMENTO!$X$15,ROW(AU434)-ROW(AU$15),0),
              ROUND(ROUND(OFFSET($P434,0,AU$13),15-13*ORÇAMENTO!$AF$7)*OFFSET(ORÇAMENTO!$W$15,ROW(AU434)-ROW(AU$15),0),15-13*ORÇAMENTO!$AF$11)),
         0)</f>
        <v>0</v>
      </c>
      <c r="AV434" s="453">
        <f ca="1">IF(AND($D434="Serviço",AV$12&lt;&gt;0,$H434&gt;0,OR(AUTOEVENTO&lt;&gt;"manual",$M434&lt;&gt;$A$15)),
        IF(Import.TipoArredondamento&lt;&gt;"TransfereGOV",
              ROUND(OFFSET($P434,0,AV$13),15-13*ORÇAMENTO!$AF$7)/$H434*OFFSET(ORÇAMENTO!$X$15,ROW(AV434)-ROW(AV$15),0),
              ROUND(ROUND(OFFSET($P434,0,AV$13),15-13*ORÇAMENTO!$AF$7)*OFFSET(ORÇAMENTO!$W$15,ROW(AV434)-ROW(AV$15),0),15-13*ORÇAMENTO!$AF$11)),
         0)</f>
        <v>0</v>
      </c>
      <c r="AW434" s="453">
        <f ca="1">IF(AND($D434="Serviço",AW$12&lt;&gt;0,$H434&gt;0,OR(AUTOEVENTO&lt;&gt;"manual",$M434&lt;&gt;$A$15)),
        IF(Import.TipoArredondamento&lt;&gt;"TransfereGOV",
              ROUND(OFFSET($P434,0,AW$13),15-13*ORÇAMENTO!$AF$7)/$H434*OFFSET(ORÇAMENTO!$X$15,ROW(AW434)-ROW(AW$15),0),
              ROUND(ROUND(OFFSET($P434,0,AW$13),15-13*ORÇAMENTO!$AF$7)*OFFSET(ORÇAMENTO!$W$15,ROW(AW434)-ROW(AW$15),0),15-13*ORÇAMENTO!$AF$11)),
         0)</f>
        <v>0</v>
      </c>
      <c r="AX434" s="453">
        <f ca="1">IF(AND($D434="Serviço",AX$12&lt;&gt;0,$H434&gt;0,OR(AUTOEVENTO&lt;&gt;"manual",$M434&lt;&gt;$A$15)),
        IF(Import.TipoArredondamento&lt;&gt;"TransfereGOV",
              ROUND(OFFSET($P434,0,AX$13),15-13*ORÇAMENTO!$AF$7)/$H434*OFFSET(ORÇAMENTO!$X$15,ROW(AX434)-ROW(AX$15),0),
              ROUND(ROUND(OFFSET($P434,0,AX$13),15-13*ORÇAMENTO!$AF$7)*OFFSET(ORÇAMENTO!$W$15,ROW(AX434)-ROW(AX$15),0),15-13*ORÇAMENTO!$AF$11)),
         0)</f>
        <v>0</v>
      </c>
      <c r="AY434" s="453">
        <f ca="1">IF(AND($D434="Serviço",AY$12&lt;&gt;0,$H434&gt;0,OR(AUTOEVENTO&lt;&gt;"manual",$M434&lt;&gt;$A$15)),
        IF(Import.TipoArredondamento&lt;&gt;"TransfereGOV",
              ROUND(OFFSET($P434,0,AY$13),15-13*ORÇAMENTO!$AF$7)/$H434*OFFSET(ORÇAMENTO!$X$15,ROW(AY434)-ROW(AY$15),0),
              ROUND(ROUND(OFFSET($P434,0,AY$13),15-13*ORÇAMENTO!$AF$7)*OFFSET(ORÇAMENTO!$W$15,ROW(AY434)-ROW(AY$15),0),15-13*ORÇAMENTO!$AF$11)),
         0)</f>
        <v>0</v>
      </c>
      <c r="AZ434" s="453">
        <f ca="1">IF(AND($D434="Serviço",AZ$12&lt;&gt;0,$H434&gt;0,OR(AUTOEVENTO&lt;&gt;"manual",$M434&lt;&gt;$A$15)),
        IF(Import.TipoArredondamento&lt;&gt;"TransfereGOV",
              ROUND(OFFSET($P434,0,AZ$13),15-13*ORÇAMENTO!$AF$7)/$H434*OFFSET(ORÇAMENTO!$X$15,ROW(AZ434)-ROW(AZ$15),0),
              ROUND(ROUND(OFFSET($P434,0,AZ$13),15-13*ORÇAMENTO!$AF$7)*OFFSET(ORÇAMENTO!$W$15,ROW(AZ434)-ROW(AZ$15),0),15-13*ORÇAMENTO!$AF$11)),
         0)</f>
        <v>0</v>
      </c>
      <c r="BA434" s="453">
        <f ca="1">IF(AND($D434="Serviço",BA$12&lt;&gt;0,$H434&gt;0,OR(AUTOEVENTO&lt;&gt;"manual",$M434&lt;&gt;$A$15)),
        IF(Import.TipoArredondamento&lt;&gt;"TransfereGOV",
              ROUND(OFFSET($P434,0,BA$13),15-13*ORÇAMENTO!$AF$7)/$H434*OFFSET(ORÇAMENTO!$X$15,ROW(BA434)-ROW(BA$15),0),
              ROUND(ROUND(OFFSET($P434,0,BA$13),15-13*ORÇAMENTO!$AF$7)*OFFSET(ORÇAMENTO!$W$15,ROW(BA434)-ROW(BA$15),0),15-13*ORÇAMENTO!$AF$11)),
         0)</f>
        <v>0</v>
      </c>
      <c r="BC434" s="171">
        <f ca="1">IF(OR($D434&lt;&gt;"Serviço",AND(AUTOEVENTO="Manual",$M434=$A$15)),0,
         IF(OFFSET(CRONOPLE!$F$15,$M434-$A$15,BC$13)=0,10^12,OFFSET(CRONOPLE!$F$15,$M434-$A$15,BC$13)))</f>
        <v>0</v>
      </c>
      <c r="BD434" s="171">
        <f ca="1">IF(OR($D434&lt;&gt;"Serviço",AND(AUTOEVENTO="Manual",$M434=$A$15)),0,
         IF(OFFSET(CRONOPLE!$F$15,$M434-$A$15,BD$13)=0,10^12,OFFSET(CRONOPLE!$F$15,$M434-$A$15,BD$13)))</f>
        <v>0</v>
      </c>
      <c r="BE434" s="171">
        <f ca="1">IF(OR($D434&lt;&gt;"Serviço",AND(AUTOEVENTO="Manual",$M434=$A$15)),0,
         IF(OFFSET(CRONOPLE!$F$15,$M434-$A$15,BE$13)=0,10^12,OFFSET(CRONOPLE!$F$15,$M434-$A$15,BE$13)))</f>
        <v>0</v>
      </c>
      <c r="BF434" s="171">
        <f ca="1">IF(OR($D434&lt;&gt;"Serviço",AND(AUTOEVENTO="Manual",$M434=$A$15)),0,
         IF(OFFSET(CRONOPLE!$F$15,$M434-$A$15,BF$13)=0,10^12,OFFSET(CRONOPLE!$F$15,$M434-$A$15,BF$13)))</f>
        <v>0</v>
      </c>
      <c r="BG434" s="171">
        <f ca="1">IF(OR($D434&lt;&gt;"Serviço",AND(AUTOEVENTO="Manual",$M434=$A$15)),0,
         IF(OFFSET(CRONOPLE!$F$15,$M434-$A$15,BG$13)=0,10^12,OFFSET(CRONOPLE!$F$15,$M434-$A$15,BG$13)))</f>
        <v>0</v>
      </c>
      <c r="BH434" s="171">
        <f ca="1">IF(OR($D434&lt;&gt;"Serviço",AND(AUTOEVENTO="Manual",$M434=$A$15)),0,
         IF(OFFSET(CRONOPLE!$F$15,$M434-$A$15,BH$13)=0,10^12,OFFSET(CRONOPLE!$F$15,$M434-$A$15,BH$13)))</f>
        <v>0</v>
      </c>
      <c r="BI434" s="171">
        <f ca="1">IF(OR($D434&lt;&gt;"Serviço",AND(AUTOEVENTO="Manual",$M434=$A$15)),0,
         IF(OFFSET(CRONOPLE!$F$15,$M434-$A$15,BI$13)=0,10^12,OFFSET(CRONOPLE!$F$15,$M434-$A$15,BI$13)))</f>
        <v>0</v>
      </c>
      <c r="BJ434" s="171">
        <f ca="1">IF(OR($D434&lt;&gt;"Serviço",AND(AUTOEVENTO="Manual",$M434=$A$15)),0,
         IF(OFFSET(CRONOPLE!$F$15,$M434-$A$15,BJ$13)=0,10^12,OFFSET(CRONOPLE!$F$15,$M434-$A$15,BJ$13)))</f>
        <v>0</v>
      </c>
      <c r="BK434" s="171">
        <f ca="1">IF(OR($D434&lt;&gt;"Serviço",AND(AUTOEVENTO="Manual",$M434=$A$15)),0,
         IF(OFFSET(CRONOPLE!$F$15,$M434-$A$15,BK$13)=0,10^12,OFFSET(CRONOPLE!$F$15,$M434-$A$15,BK$13)))</f>
        <v>0</v>
      </c>
      <c r="BL434" s="171">
        <f ca="1">IF(OR($D434&lt;&gt;"Serviço",AND(AUTOEVENTO="Manual",$M434=$A$15)),0,
         IF(OFFSET(CRONOPLE!$F$15,$M434-$A$15,BL$13)=0,10^12,OFFSET(CRONOPLE!$F$15,$M434-$A$15,BL$13)))</f>
        <v>0</v>
      </c>
      <c r="BM434" s="171">
        <f ca="1">IF(OR($D434&lt;&gt;"Serviço",AND(AUTOEVENTO="Manual",$M434=$A$15)),0,
         IF(OFFSET(CRONOPLE!$F$15,$M434-$A$15,BM$13)=0,10^12,OFFSET(CRONOPLE!$F$15,$M434-$A$15,BM$13)))</f>
        <v>0</v>
      </c>
      <c r="BN434" s="171">
        <f ca="1">IF(OR($D434&lt;&gt;"Serviço",AND(AUTOEVENTO="Manual",$M434=$A$15)),0,
         IF(OFFSET(CRONOPLE!$F$15,$M434-$A$15,BN$13)=0,10^12,OFFSET(CRONOPLE!$F$15,$M434-$A$15,BN$13)))</f>
        <v>0</v>
      </c>
      <c r="BO434" s="171">
        <f ca="1">IF(OR($D434&lt;&gt;"Serviço",AND(AUTOEVENTO="Manual",$M434=$A$15)),0,
         IF(OFFSET(CRONOPLE!$F$15,$M434-$A$15,BO$13)=0,10^12,OFFSET(CRONOPLE!$F$15,$M434-$A$15,BO$13)))</f>
        <v>0</v>
      </c>
      <c r="BP434" s="171">
        <f ca="1">IF(OR($D434&lt;&gt;"Serviço",AND(AUTOEVENTO="Manual",$M434=$A$15)),0,
         IF(OFFSET(CRONOPLE!$F$15,$M434-$A$15,BP$13)=0,10^12,OFFSET(CRONOPLE!$F$15,$M434-$A$15,BP$13)))</f>
        <v>0</v>
      </c>
      <c r="BQ434" s="171">
        <f ca="1">IF(OR($D434&lt;&gt;"Serviço",AND(AUTOEVENTO="Manual",$M434=$A$15)),0,
         IF(OFFSET(CRONOPLE!$F$15,$M434-$A$15,BQ$13)=0,10^12,OFFSET(CRONOPLE!$F$15,$M434-$A$15,BQ$13)))</f>
        <v>0</v>
      </c>
      <c r="BR434" s="171">
        <f ca="1">IF(OR($D434&lt;&gt;"Serviço",AND(AUTOEVENTO="Manual",$M434=$A$15)),0,
         IF(OFFSET(CRONOPLE!$F$15,$M434-$A$15,BR$13)=0,10^12,OFFSET(CRONOPLE!$F$15,$M434-$A$15,BR$13)))</f>
        <v>0</v>
      </c>
      <c r="BS434" s="171">
        <f ca="1">IF(OR($D434&lt;&gt;"Serviço",AND(AUTOEVENTO="Manual",$M434=$A$15)),0,
         IF(OFFSET(CRONOPLE!$F$15,$M434-$A$15,BS$13)=0,10^12,OFFSET(CRONOPLE!$F$15,$M434-$A$15,BS$13)))</f>
        <v>0</v>
      </c>
      <c r="BT434" s="171">
        <f ca="1">IF(OR($D434&lt;&gt;"Serviço",AND(AUTOEVENTO="Manual",$M434=$A$15)),0,
         IF(OFFSET(CRONOPLE!$F$15,$M434-$A$15,BT$13)=0,10^12,OFFSET(CRONOPLE!$F$15,$M434-$A$15,BT$13)))</f>
        <v>0</v>
      </c>
      <c r="BV434" s="172">
        <f ca="1">IF(OR($D434&lt;&gt;"Serviço",AND(AUTOEVENTO="Manual",$M434=$A$15),$M434&gt;(ROW(PLE.lastrow)-ROW(PLE.firstrow))),0,
           IF(OFFSET(PLE!$G$15,$M434-$A$15,BV$13)="",10^12,OFFSET(PLE!$G$15,$M434-$A$15,BV$13)))</f>
        <v>0</v>
      </c>
      <c r="BW434" s="172">
        <f ca="1">IF(OR($D434&lt;&gt;"Serviço",AND(AUTOEVENTO="Manual",$M434=$A$15),$M434&gt;(ROW(PLE.lastrow)-ROW(PLE.firstrow))),0,
           IF(OFFSET(PLE!$G$15,$M434-$A$15,BW$13)="",10^12,OFFSET(PLE!$G$15,$M434-$A$15,BW$13)))</f>
        <v>0</v>
      </c>
      <c r="BX434" s="172">
        <f ca="1">IF(OR($D434&lt;&gt;"Serviço",AND(AUTOEVENTO="Manual",$M434=$A$15),$M434&gt;(ROW(PLE.lastrow)-ROW(PLE.firstrow))),0,
           IF(OFFSET(PLE!$G$15,$M434-$A$15,BX$13)="",10^12,OFFSET(PLE!$G$15,$M434-$A$15,BX$13)))</f>
        <v>0</v>
      </c>
      <c r="BY434" s="172">
        <f ca="1">IF(OR($D434&lt;&gt;"Serviço",AND(AUTOEVENTO="Manual",$M434=$A$15),$M434&gt;(ROW(PLE.lastrow)-ROW(PLE.firstrow))),0,
           IF(OFFSET(PLE!$G$15,$M434-$A$15,BY$13)="",10^12,OFFSET(PLE!$G$15,$M434-$A$15,BY$13)))</f>
        <v>0</v>
      </c>
      <c r="BZ434" s="172">
        <f ca="1">IF(OR($D434&lt;&gt;"Serviço",AND(AUTOEVENTO="Manual",$M434=$A$15),$M434&gt;(ROW(PLE.lastrow)-ROW(PLE.firstrow))),0,
           IF(OFFSET(PLE!$G$15,$M434-$A$15,BZ$13)="",10^12,OFFSET(PLE!$G$15,$M434-$A$15,BZ$13)))</f>
        <v>0</v>
      </c>
      <c r="CA434" s="172">
        <f ca="1">IF(OR($D434&lt;&gt;"Serviço",AND(AUTOEVENTO="Manual",$M434=$A$15),$M434&gt;(ROW(PLE.lastrow)-ROW(PLE.firstrow))),0,
           IF(OFFSET(PLE!$G$15,$M434-$A$15,CA$13)="",10^12,OFFSET(PLE!$G$15,$M434-$A$15,CA$13)))</f>
        <v>0</v>
      </c>
      <c r="CB434" s="172">
        <f ca="1">IF(OR($D434&lt;&gt;"Serviço",AND(AUTOEVENTO="Manual",$M434=$A$15),$M434&gt;(ROW(PLE.lastrow)-ROW(PLE.firstrow))),0,
           IF(OFFSET(PLE!$G$15,$M434-$A$15,CB$13)="",10^12,OFFSET(PLE!$G$15,$M434-$A$15,CB$13)))</f>
        <v>0</v>
      </c>
      <c r="CC434" s="172">
        <f ca="1">IF(OR($D434&lt;&gt;"Serviço",AND(AUTOEVENTO="Manual",$M434=$A$15),$M434&gt;(ROW(PLE.lastrow)-ROW(PLE.firstrow))),0,
           IF(OFFSET(PLE!$G$15,$M434-$A$15,CC$13)="",10^12,OFFSET(PLE!$G$15,$M434-$A$15,CC$13)))</f>
        <v>0</v>
      </c>
      <c r="CD434" s="172">
        <f ca="1">IF(OR($D434&lt;&gt;"Serviço",AND(AUTOEVENTO="Manual",$M434=$A$15),$M434&gt;(ROW(PLE.lastrow)-ROW(PLE.firstrow))),0,
           IF(OFFSET(PLE!$G$15,$M434-$A$15,CD$13)="",10^12,OFFSET(PLE!$G$15,$M434-$A$15,CD$13)))</f>
        <v>0</v>
      </c>
      <c r="CE434" s="172">
        <f ca="1">IF(OR($D434&lt;&gt;"Serviço",AND(AUTOEVENTO="Manual",$M434=$A$15),$M434&gt;(ROW(PLE.lastrow)-ROW(PLE.firstrow))),0,
           IF(OFFSET(PLE!$G$15,$M434-$A$15,CE$13)="",10^12,OFFSET(PLE!$G$15,$M434-$A$15,CE$13)))</f>
        <v>0</v>
      </c>
      <c r="CF434" s="172">
        <f ca="1">IF(OR($D434&lt;&gt;"Serviço",AND(AUTOEVENTO="Manual",$M434=$A$15),$M434&gt;(ROW(PLE.lastrow)-ROW(PLE.firstrow))),0,
           IF(OFFSET(PLE!$G$15,$M434-$A$15,CF$13)="",10^12,OFFSET(PLE!$G$15,$M434-$A$15,CF$13)))</f>
        <v>0</v>
      </c>
      <c r="CG434" s="172">
        <f ca="1">IF(OR($D434&lt;&gt;"Serviço",AND(AUTOEVENTO="Manual",$M434=$A$15),$M434&gt;(ROW(PLE.lastrow)-ROW(PLE.firstrow))),0,
           IF(OFFSET(PLE!$G$15,$M434-$A$15,CG$13)="",10^12,OFFSET(PLE!$G$15,$M434-$A$15,CG$13)))</f>
        <v>0</v>
      </c>
      <c r="CH434" s="172">
        <f ca="1">IF(OR($D434&lt;&gt;"Serviço",AND(AUTOEVENTO="Manual",$M434=$A$15),$M434&gt;(ROW(PLE.lastrow)-ROW(PLE.firstrow))),0,
           IF(OFFSET(PLE!$G$15,$M434-$A$15,CH$13)="",10^12,OFFSET(PLE!$G$15,$M434-$A$15,CH$13)))</f>
        <v>0</v>
      </c>
      <c r="CI434" s="172">
        <f ca="1">IF(OR($D434&lt;&gt;"Serviço",AND(AUTOEVENTO="Manual",$M434=$A$15),$M434&gt;(ROW(PLE.lastrow)-ROW(PLE.firstrow))),0,
           IF(OFFSET(PLE!$G$15,$M434-$A$15,CI$13)="",10^12,OFFSET(PLE!$G$15,$M434-$A$15,CI$13)))</f>
        <v>0</v>
      </c>
      <c r="CJ434" s="172">
        <f ca="1">IF(OR($D434&lt;&gt;"Serviço",AND(AUTOEVENTO="Manual",$M434=$A$15),$M434&gt;(ROW(PLE.lastrow)-ROW(PLE.firstrow))),0,
           IF(OFFSET(PLE!$G$15,$M434-$A$15,CJ$13)="",10^12,OFFSET(PLE!$G$15,$M434-$A$15,CJ$13)))</f>
        <v>0</v>
      </c>
      <c r="CK434" s="172">
        <f ca="1">IF(OR($D434&lt;&gt;"Serviço",AND(AUTOEVENTO="Manual",$M434=$A$15),$M434&gt;(ROW(PLE.lastrow)-ROW(PLE.firstrow))),0,
           IF(OFFSET(PLE!$G$15,$M434-$A$15,CK$13)="",10^12,OFFSET(PLE!$G$15,$M434-$A$15,CK$13)))</f>
        <v>0</v>
      </c>
      <c r="CL434" s="172">
        <f ca="1">IF(OR($D434&lt;&gt;"Serviço",AND(AUTOEVENTO="Manual",$M434=$A$15),$M434&gt;(ROW(PLE.lastrow)-ROW(PLE.firstrow))),0,
           IF(OFFSET(PLE!$G$15,$M434-$A$15,CL$13)="",10^12,OFFSET(PLE!$G$15,$M434-$A$15,CL$13)))</f>
        <v>0</v>
      </c>
      <c r="CM434" s="172">
        <f ca="1">IF(OR($D434&lt;&gt;"Serviço",AND(AUTOEVENTO="Manual",$M434=$A$15),$M434&gt;(ROW(PLE.lastrow)-ROW(PLE.firstrow))),0,
           IF(OFFSET(PLE!$G$15,$M434-$A$15,CM$13)="",10^12,OFFSET(PLE!$G$15,$M434-$A$15,CM$13)))</f>
        <v>0</v>
      </c>
    </row>
    <row r="435" spans="1:91" ht="38.25" x14ac:dyDescent="0.2">
      <c r="A435" s="7">
        <f t="shared" ca="1" si="16"/>
        <v>7</v>
      </c>
      <c r="B435" s="7" t="str">
        <f ca="1">OFFSET(ORÇAMENTO!C$15,ROW(B435)-ROW(B$15),0)</f>
        <v>S</v>
      </c>
      <c r="C435" s="7" t="str">
        <f ca="1">OFFSET(ORÇAMENTO!L$15,ROW(C435)-ROW(C$15),0)</f>
        <v>F</v>
      </c>
      <c r="D435" s="116" t="str">
        <f ca="1">OFFSET(ORÇAMENTO!N$15,ROW(D435)-ROW(D$15),0)</f>
        <v>Serviço</v>
      </c>
      <c r="E435" s="117" t="str">
        <f ca="1">OFFSET(ORÇAMENTO!O$15,ROW(E435)-ROW(E$15),0)</f>
        <v>1.8.2.5.1.</v>
      </c>
      <c r="F435" s="163" t="str">
        <f ca="1">OFFSET(ORÇAMENTO!R$15,ROW(F435)-ROW(F$15),0)</f>
        <v>INSTALAÇÃO DE GRUPO GERADOR DIESEL 150KVA 220/380/440V - SILENCIADO C/ QTA - BASEADO EM SBC 065023</v>
      </c>
      <c r="G435" s="164" t="str">
        <f ca="1">IF($D435&lt;&gt;"Serviço","",OFFSET(ORÇAMENTO!S$15,ROW(G435)-ROW(G$15),0))</f>
        <v>UN</v>
      </c>
      <c r="H435" s="122" cm="1">
        <f t="array" aca="1" ref="H435" ca="1">IF($D435&lt;&gt;"Serviço",0,IF(ACOMPANHAMENTO="BM",ROUND(OFFSET(ORÇAMENTO!AJ$15,ROW(H435)-ROW(H$15),0),15-13*ORÇAMENTO!$AF$7),SUMPRODUCT(($Q$1:$AI$1=1)*ROUND($Q435:$AI435,15-13*ORÇAMENTO!$AF$7))))</f>
        <v>2</v>
      </c>
      <c r="I435" s="468" t="s">
        <v>1431</v>
      </c>
      <c r="J435" s="640" t="str" cm="1">
        <f t="array" aca="1" ref="J435" ca="1">IF(OR(B435&lt;&gt;"S",CÁLCULO.FrentesPreenchidas=0),"",IF(AND(ACOMPANHAMENTO="PLE",AUTOEVENTO="Manual",OR(H435&gt;0,ORÇAMENTO!AC435="QUANT."),OR(K435="",M435=0,N435="")),"►E",IF(AND(ACOMPANHAMENTO="PLE",ORÇAMENTO!AC435="QUANT."),"►Q",IF(AND(ACOMPANHAMENTO="PLE",H435&lt;&gt;SUMPRODUCT(($Q$1:$AI$1=1)*ROUND(Q435:AI435,15))),"►S",IF(AND(COUNTIF($P$11:$AI$11,"▼")=0,H435&gt;0,I435=""),"◄M","")))))</f>
        <v/>
      </c>
      <c r="K435" s="641" t="s">
        <v>1391</v>
      </c>
      <c r="L435" s="165" t="s">
        <v>764</v>
      </c>
      <c r="M435" s="166">
        <f ca="1">IF($D435&lt;&gt;"Serviço","",
          IF(AUTOEVENTO="manual",$A435,
                IF(ISERROR(MATCH($A435,$A$15:OFFSET($A435,-1,0),0)),MAX($M$15:OFFSET(M435,-1,0))+1,
                      INDEX($M$15:OFFSET(M435,-1,0),MATCH($A435,$A$15:OFFSET($A435,-1,0),0)))))</f>
        <v>7</v>
      </c>
      <c r="N435" s="167" t="str">
        <f ca="1">IF($D435&lt;&gt;"Serviço","",
         IF(AUTOEVENTO="Manual",
                IF($A435=0,"&lt;-- defina o número do agrupador",
                       OFFSET(EVENTOS!$D$15,$A435-$A$15,0)),
                OFFSET($F$15,$A435,0)))</f>
        <v>Instalações Elétricas</v>
      </c>
      <c r="O435" s="168"/>
      <c r="Q435" s="168"/>
      <c r="R435" s="169"/>
      <c r="S435" s="169"/>
      <c r="T435" s="169"/>
      <c r="U435" s="169"/>
      <c r="V435" s="169"/>
      <c r="W435" s="169"/>
      <c r="X435" s="169">
        <v>2</v>
      </c>
      <c r="Y435" s="169"/>
      <c r="Z435" s="170"/>
      <c r="AA435" s="169"/>
      <c r="AB435" s="169"/>
      <c r="AC435" s="169"/>
      <c r="AD435" s="169"/>
      <c r="AE435" s="169"/>
      <c r="AF435" s="169"/>
      <c r="AG435" s="169"/>
      <c r="AH435" s="170"/>
      <c r="AJ435" s="453">
        <f ca="1">IF(AND($D435="Serviço",AJ$12&lt;&gt;0,$H435&gt;0,OR(AUTOEVENTO&lt;&gt;"manual",$M435&lt;&gt;$A$15)),
        IF(Import.TipoArredondamento&lt;&gt;"TransfereGOV",
              ROUND(OFFSET($P435,0,AJ$13),15-13*ORÇAMENTO!$AF$7)/$H435*OFFSET(ORÇAMENTO!$X$15,ROW(AJ435)-ROW(AJ$15),0),
              ROUND(ROUND(OFFSET($P435,0,AJ$13),15-13*ORÇAMENTO!$AF$7)*OFFSET(ORÇAMENTO!$W$15,ROW(AJ435)-ROW(AJ$15),0),15-13*ORÇAMENTO!$AF$11)),
         0)</f>
        <v>0</v>
      </c>
      <c r="AK435" s="453">
        <f ca="1">IF(AND($D435="Serviço",AK$12&lt;&gt;0,$H435&gt;0,OR(AUTOEVENTO&lt;&gt;"manual",$M435&lt;&gt;$A$15)),
        IF(Import.TipoArredondamento&lt;&gt;"TransfereGOV",
              ROUND(OFFSET($P435,0,AK$13),15-13*ORÇAMENTO!$AF$7)/$H435*OFFSET(ORÇAMENTO!$X$15,ROW(AK435)-ROW(AK$15),0),
              ROUND(ROUND(OFFSET($P435,0,AK$13),15-13*ORÇAMENTO!$AF$7)*OFFSET(ORÇAMENTO!$W$15,ROW(AK435)-ROW(AK$15),0),15-13*ORÇAMENTO!$AF$11)),
         0)</f>
        <v>0</v>
      </c>
      <c r="AL435" s="453">
        <f ca="1">IF(AND($D435="Serviço",AL$12&lt;&gt;0,$H435&gt;0,OR(AUTOEVENTO&lt;&gt;"manual",$M435&lt;&gt;$A$15)),
        IF(Import.TipoArredondamento&lt;&gt;"TransfereGOV",
              ROUND(OFFSET($P435,0,AL$13),15-13*ORÇAMENTO!$AF$7)/$H435*OFFSET(ORÇAMENTO!$X$15,ROW(AL435)-ROW(AL$15),0),
              ROUND(ROUND(OFFSET($P435,0,AL$13),15-13*ORÇAMENTO!$AF$7)*OFFSET(ORÇAMENTO!$W$15,ROW(AL435)-ROW(AL$15),0),15-13*ORÇAMENTO!$AF$11)),
         0)</f>
        <v>0</v>
      </c>
      <c r="AM435" s="453">
        <f ca="1">IF(AND($D435="Serviço",AM$12&lt;&gt;0,$H435&gt;0,OR(AUTOEVENTO&lt;&gt;"manual",$M435&lt;&gt;$A$15)),
        IF(Import.TipoArredondamento&lt;&gt;"TransfereGOV",
              ROUND(OFFSET($P435,0,AM$13),15-13*ORÇAMENTO!$AF$7)/$H435*OFFSET(ORÇAMENTO!$X$15,ROW(AM435)-ROW(AM$15),0),
              ROUND(ROUND(OFFSET($P435,0,AM$13),15-13*ORÇAMENTO!$AF$7)*OFFSET(ORÇAMENTO!$W$15,ROW(AM435)-ROW(AM$15),0),15-13*ORÇAMENTO!$AF$11)),
         0)</f>
        <v>0</v>
      </c>
      <c r="AN435" s="453">
        <f ca="1">IF(AND($D435="Serviço",AN$12&lt;&gt;0,$H435&gt;0,OR(AUTOEVENTO&lt;&gt;"manual",$M435&lt;&gt;$A$15)),
        IF(Import.TipoArredondamento&lt;&gt;"TransfereGOV",
              ROUND(OFFSET($P435,0,AN$13),15-13*ORÇAMENTO!$AF$7)/$H435*OFFSET(ORÇAMENTO!$X$15,ROW(AN435)-ROW(AN$15),0),
              ROUND(ROUND(OFFSET($P435,0,AN$13),15-13*ORÇAMENTO!$AF$7)*OFFSET(ORÇAMENTO!$W$15,ROW(AN435)-ROW(AN$15),0),15-13*ORÇAMENTO!$AF$11)),
         0)</f>
        <v>0</v>
      </c>
      <c r="AO435" s="453">
        <f ca="1">IF(AND($D435="Serviço",AO$12&lt;&gt;0,$H435&gt;0,OR(AUTOEVENTO&lt;&gt;"manual",$M435&lt;&gt;$A$15)),
        IF(Import.TipoArredondamento&lt;&gt;"TransfereGOV",
              ROUND(OFFSET($P435,0,AO$13),15-13*ORÇAMENTO!$AF$7)/$H435*OFFSET(ORÇAMENTO!$X$15,ROW(AO435)-ROW(AO$15),0),
              ROUND(ROUND(OFFSET($P435,0,AO$13),15-13*ORÇAMENTO!$AF$7)*OFFSET(ORÇAMENTO!$W$15,ROW(AO435)-ROW(AO$15),0),15-13*ORÇAMENTO!$AF$11)),
         0)</f>
        <v>0</v>
      </c>
      <c r="AP435" s="453">
        <f ca="1">IF(AND($D435="Serviço",AP$12&lt;&gt;0,$H435&gt;0,OR(AUTOEVENTO&lt;&gt;"manual",$M435&lt;&gt;$A$15)),
        IF(Import.TipoArredondamento&lt;&gt;"TransfereGOV",
              ROUND(OFFSET($P435,0,AP$13),15-13*ORÇAMENTO!$AF$7)/$H435*OFFSET(ORÇAMENTO!$X$15,ROW(AP435)-ROW(AP$15),0),
              ROUND(ROUND(OFFSET($P435,0,AP$13),15-13*ORÇAMENTO!$AF$7)*OFFSET(ORÇAMENTO!$W$15,ROW(AP435)-ROW(AP$15),0),15-13*ORÇAMENTO!$AF$11)),
         0)</f>
        <v>0</v>
      </c>
      <c r="AQ435" s="453">
        <f ca="1">IF(AND($D435="Serviço",AQ$12&lt;&gt;0,$H435&gt;0,OR(AUTOEVENTO&lt;&gt;"manual",$M435&lt;&gt;$A$15)),
        IF(Import.TipoArredondamento&lt;&gt;"TransfereGOV",
              ROUND(OFFSET($P435,0,AQ$13),15-13*ORÇAMENTO!$AF$7)/$H435*OFFSET(ORÇAMENTO!$X$15,ROW(AQ435)-ROW(AQ$15),0),
              ROUND(ROUND(OFFSET($P435,0,AQ$13),15-13*ORÇAMENTO!$AF$7)*OFFSET(ORÇAMENTO!$W$15,ROW(AQ435)-ROW(AQ$15),0),15-13*ORÇAMENTO!$AF$11)),
         0)</f>
        <v>0</v>
      </c>
      <c r="AR435" s="453">
        <f ca="1">IF(AND($D435="Serviço",AR$12&lt;&gt;0,$H435&gt;0,OR(AUTOEVENTO&lt;&gt;"manual",$M435&lt;&gt;$A$15)),
        IF(Import.TipoArredondamento&lt;&gt;"TransfereGOV",
              ROUND(OFFSET($P435,0,AR$13),15-13*ORÇAMENTO!$AF$7)/$H435*OFFSET(ORÇAMENTO!$X$15,ROW(AR435)-ROW(AR$15),0),
              ROUND(ROUND(OFFSET($P435,0,AR$13),15-13*ORÇAMENTO!$AF$7)*OFFSET(ORÇAMENTO!$W$15,ROW(AR435)-ROW(AR$15),0),15-13*ORÇAMENTO!$AF$11)),
         0)</f>
        <v>0</v>
      </c>
      <c r="AS435" s="453">
        <f ca="1">IF(AND($D435="Serviço",AS$12&lt;&gt;0,$H435&gt;0,OR(AUTOEVENTO&lt;&gt;"manual",$M435&lt;&gt;$A$15)),
        IF(Import.TipoArredondamento&lt;&gt;"TransfereGOV",
              ROUND(OFFSET($P435,0,AS$13),15-13*ORÇAMENTO!$AF$7)/$H435*OFFSET(ORÇAMENTO!$X$15,ROW(AS435)-ROW(AS$15),0),
              ROUND(ROUND(OFFSET($P435,0,AS$13),15-13*ORÇAMENTO!$AF$7)*OFFSET(ORÇAMENTO!$W$15,ROW(AS435)-ROW(AS$15),0),15-13*ORÇAMENTO!$AF$11)),
         0)</f>
        <v>0</v>
      </c>
      <c r="AT435" s="453">
        <f ca="1">IF(AND($D435="Serviço",AT$12&lt;&gt;0,$H435&gt;0,OR(AUTOEVENTO&lt;&gt;"manual",$M435&lt;&gt;$A$15)),
        IF(Import.TipoArredondamento&lt;&gt;"TransfereGOV",
              ROUND(OFFSET($P435,0,AT$13),15-13*ORÇAMENTO!$AF$7)/$H435*OFFSET(ORÇAMENTO!$X$15,ROW(AT435)-ROW(AT$15),0),
              ROUND(ROUND(OFFSET($P435,0,AT$13),15-13*ORÇAMENTO!$AF$7)*OFFSET(ORÇAMENTO!$W$15,ROW(AT435)-ROW(AT$15),0),15-13*ORÇAMENTO!$AF$11)),
         0)</f>
        <v>0</v>
      </c>
      <c r="AU435" s="453">
        <f ca="1">IF(AND($D435="Serviço",AU$12&lt;&gt;0,$H435&gt;0,OR(AUTOEVENTO&lt;&gt;"manual",$M435&lt;&gt;$A$15)),
        IF(Import.TipoArredondamento&lt;&gt;"TransfereGOV",
              ROUND(OFFSET($P435,0,AU$13),15-13*ORÇAMENTO!$AF$7)/$H435*OFFSET(ORÇAMENTO!$X$15,ROW(AU435)-ROW(AU$15),0),
              ROUND(ROUND(OFFSET($P435,0,AU$13),15-13*ORÇAMENTO!$AF$7)*OFFSET(ORÇAMENTO!$W$15,ROW(AU435)-ROW(AU$15),0),15-13*ORÇAMENTO!$AF$11)),
         0)</f>
        <v>0</v>
      </c>
      <c r="AV435" s="453">
        <f ca="1">IF(AND($D435="Serviço",AV$12&lt;&gt;0,$H435&gt;0,OR(AUTOEVENTO&lt;&gt;"manual",$M435&lt;&gt;$A$15)),
        IF(Import.TipoArredondamento&lt;&gt;"TransfereGOV",
              ROUND(OFFSET($P435,0,AV$13),15-13*ORÇAMENTO!$AF$7)/$H435*OFFSET(ORÇAMENTO!$X$15,ROW(AV435)-ROW(AV$15),0),
              ROUND(ROUND(OFFSET($P435,0,AV$13),15-13*ORÇAMENTO!$AF$7)*OFFSET(ORÇAMENTO!$W$15,ROW(AV435)-ROW(AV$15),0),15-13*ORÇAMENTO!$AF$11)),
         0)</f>
        <v>0</v>
      </c>
      <c r="AW435" s="453">
        <f ca="1">IF(AND($D435="Serviço",AW$12&lt;&gt;0,$H435&gt;0,OR(AUTOEVENTO&lt;&gt;"manual",$M435&lt;&gt;$A$15)),
        IF(Import.TipoArredondamento&lt;&gt;"TransfereGOV",
              ROUND(OFFSET($P435,0,AW$13),15-13*ORÇAMENTO!$AF$7)/$H435*OFFSET(ORÇAMENTO!$X$15,ROW(AW435)-ROW(AW$15),0),
              ROUND(ROUND(OFFSET($P435,0,AW$13),15-13*ORÇAMENTO!$AF$7)*OFFSET(ORÇAMENTO!$W$15,ROW(AW435)-ROW(AW$15),0),15-13*ORÇAMENTO!$AF$11)),
         0)</f>
        <v>0</v>
      </c>
      <c r="AX435" s="453">
        <f ca="1">IF(AND($D435="Serviço",AX$12&lt;&gt;0,$H435&gt;0,OR(AUTOEVENTO&lt;&gt;"manual",$M435&lt;&gt;$A$15)),
        IF(Import.TipoArredondamento&lt;&gt;"TransfereGOV",
              ROUND(OFFSET($P435,0,AX$13),15-13*ORÇAMENTO!$AF$7)/$H435*OFFSET(ORÇAMENTO!$X$15,ROW(AX435)-ROW(AX$15),0),
              ROUND(ROUND(OFFSET($P435,0,AX$13),15-13*ORÇAMENTO!$AF$7)*OFFSET(ORÇAMENTO!$W$15,ROW(AX435)-ROW(AX$15),0),15-13*ORÇAMENTO!$AF$11)),
         0)</f>
        <v>0</v>
      </c>
      <c r="AY435" s="453">
        <f ca="1">IF(AND($D435="Serviço",AY$12&lt;&gt;0,$H435&gt;0,OR(AUTOEVENTO&lt;&gt;"manual",$M435&lt;&gt;$A$15)),
        IF(Import.TipoArredondamento&lt;&gt;"TransfereGOV",
              ROUND(OFFSET($P435,0,AY$13),15-13*ORÇAMENTO!$AF$7)/$H435*OFFSET(ORÇAMENTO!$X$15,ROW(AY435)-ROW(AY$15),0),
              ROUND(ROUND(OFFSET($P435,0,AY$13),15-13*ORÇAMENTO!$AF$7)*OFFSET(ORÇAMENTO!$W$15,ROW(AY435)-ROW(AY$15),0),15-13*ORÇAMENTO!$AF$11)),
         0)</f>
        <v>0</v>
      </c>
      <c r="AZ435" s="453">
        <f ca="1">IF(AND($D435="Serviço",AZ$12&lt;&gt;0,$H435&gt;0,OR(AUTOEVENTO&lt;&gt;"manual",$M435&lt;&gt;$A$15)),
        IF(Import.TipoArredondamento&lt;&gt;"TransfereGOV",
              ROUND(OFFSET($P435,0,AZ$13),15-13*ORÇAMENTO!$AF$7)/$H435*OFFSET(ORÇAMENTO!$X$15,ROW(AZ435)-ROW(AZ$15),0),
              ROUND(ROUND(OFFSET($P435,0,AZ$13),15-13*ORÇAMENTO!$AF$7)*OFFSET(ORÇAMENTO!$W$15,ROW(AZ435)-ROW(AZ$15),0),15-13*ORÇAMENTO!$AF$11)),
         0)</f>
        <v>0</v>
      </c>
      <c r="BA435" s="453">
        <f ca="1">IF(AND($D435="Serviço",BA$12&lt;&gt;0,$H435&gt;0,OR(AUTOEVENTO&lt;&gt;"manual",$M435&lt;&gt;$A$15)),
        IF(Import.TipoArredondamento&lt;&gt;"TransfereGOV",
              ROUND(OFFSET($P435,0,BA$13),15-13*ORÇAMENTO!$AF$7)/$H435*OFFSET(ORÇAMENTO!$X$15,ROW(BA435)-ROW(BA$15),0),
              ROUND(ROUND(OFFSET($P435,0,BA$13),15-13*ORÇAMENTO!$AF$7)*OFFSET(ORÇAMENTO!$W$15,ROW(BA435)-ROW(BA$15),0),15-13*ORÇAMENTO!$AF$11)),
         0)</f>
        <v>0</v>
      </c>
      <c r="BC435" s="171">
        <f ca="1">IF(OR($D435&lt;&gt;"Serviço",AND(AUTOEVENTO="Manual",$M435=$A$15)),0,
         IF(OFFSET(CRONOPLE!$F$15,$M435-$A$15,BC$13)=0,10^12,OFFSET(CRONOPLE!$F$15,$M435-$A$15,BC$13)))</f>
        <v>1</v>
      </c>
      <c r="BD435" s="171">
        <f ca="1">IF(OR($D435&lt;&gt;"Serviço",AND(AUTOEVENTO="Manual",$M435=$A$15)),0,
         IF(OFFSET(CRONOPLE!$F$15,$M435-$A$15,BD$13)=0,10^12,OFFSET(CRONOPLE!$F$15,$M435-$A$15,BD$13)))</f>
        <v>2</v>
      </c>
      <c r="BE435" s="171">
        <f ca="1">IF(OR($D435&lt;&gt;"Serviço",AND(AUTOEVENTO="Manual",$M435=$A$15)),0,
         IF(OFFSET(CRONOPLE!$F$15,$M435-$A$15,BE$13)=0,10^12,OFFSET(CRONOPLE!$F$15,$M435-$A$15,BE$13)))</f>
        <v>3</v>
      </c>
      <c r="BF435" s="171">
        <f ca="1">IF(OR($D435&lt;&gt;"Serviço",AND(AUTOEVENTO="Manual",$M435=$A$15)),0,
         IF(OFFSET(CRONOPLE!$F$15,$M435-$A$15,BF$13)=0,10^12,OFFSET(CRONOPLE!$F$15,$M435-$A$15,BF$13)))</f>
        <v>4</v>
      </c>
      <c r="BG435" s="171">
        <f ca="1">IF(OR($D435&lt;&gt;"Serviço",AND(AUTOEVENTO="Manual",$M435=$A$15)),0,
         IF(OFFSET(CRONOPLE!$F$15,$M435-$A$15,BG$13)=0,10^12,OFFSET(CRONOPLE!$F$15,$M435-$A$15,BG$13)))</f>
        <v>5</v>
      </c>
      <c r="BH435" s="171">
        <f ca="1">IF(OR($D435&lt;&gt;"Serviço",AND(AUTOEVENTO="Manual",$M435=$A$15)),0,
         IF(OFFSET(CRONOPLE!$F$15,$M435-$A$15,BH$13)=0,10^12,OFFSET(CRONOPLE!$F$15,$M435-$A$15,BH$13)))</f>
        <v>6</v>
      </c>
      <c r="BI435" s="171">
        <f ca="1">IF(OR($D435&lt;&gt;"Serviço",AND(AUTOEVENTO="Manual",$M435=$A$15)),0,
         IF(OFFSET(CRONOPLE!$F$15,$M435-$A$15,BI$13)=0,10^12,OFFSET(CRONOPLE!$F$15,$M435-$A$15,BI$13)))</f>
        <v>7</v>
      </c>
      <c r="BJ435" s="171">
        <f ca="1">IF(OR($D435&lt;&gt;"Serviço",AND(AUTOEVENTO="Manual",$M435=$A$15)),0,
         IF(OFFSET(CRONOPLE!$F$15,$M435-$A$15,BJ$13)=0,10^12,OFFSET(CRONOPLE!$F$15,$M435-$A$15,BJ$13)))</f>
        <v>8</v>
      </c>
      <c r="BK435" s="171">
        <f ca="1">IF(OR($D435&lt;&gt;"Serviço",AND(AUTOEVENTO="Manual",$M435=$A$15)),0,
         IF(OFFSET(CRONOPLE!$F$15,$M435-$A$15,BK$13)=0,10^12,OFFSET(CRONOPLE!$F$15,$M435-$A$15,BK$13)))</f>
        <v>9</v>
      </c>
      <c r="BL435" s="171">
        <f ca="1">IF(OR($D435&lt;&gt;"Serviço",AND(AUTOEVENTO="Manual",$M435=$A$15)),0,
         IF(OFFSET(CRONOPLE!$F$15,$M435-$A$15,BL$13)=0,10^12,OFFSET(CRONOPLE!$F$15,$M435-$A$15,BL$13)))</f>
        <v>1000000000000</v>
      </c>
      <c r="BM435" s="171">
        <f ca="1">IF(OR($D435&lt;&gt;"Serviço",AND(AUTOEVENTO="Manual",$M435=$A$15)),0,
         IF(OFFSET(CRONOPLE!$F$15,$M435-$A$15,BM$13)=0,10^12,OFFSET(CRONOPLE!$F$15,$M435-$A$15,BM$13)))</f>
        <v>1000000000000</v>
      </c>
      <c r="BN435" s="171">
        <f ca="1">IF(OR($D435&lt;&gt;"Serviço",AND(AUTOEVENTO="Manual",$M435=$A$15)),0,
         IF(OFFSET(CRONOPLE!$F$15,$M435-$A$15,BN$13)=0,10^12,OFFSET(CRONOPLE!$F$15,$M435-$A$15,BN$13)))</f>
        <v>1000000000000</v>
      </c>
      <c r="BO435" s="171">
        <f ca="1">IF(OR($D435&lt;&gt;"Serviço",AND(AUTOEVENTO="Manual",$M435=$A$15)),0,
         IF(OFFSET(CRONOPLE!$F$15,$M435-$A$15,BO$13)=0,10^12,OFFSET(CRONOPLE!$F$15,$M435-$A$15,BO$13)))</f>
        <v>1000000000000</v>
      </c>
      <c r="BP435" s="171">
        <f ca="1">IF(OR($D435&lt;&gt;"Serviço",AND(AUTOEVENTO="Manual",$M435=$A$15)),0,
         IF(OFFSET(CRONOPLE!$F$15,$M435-$A$15,BP$13)=0,10^12,OFFSET(CRONOPLE!$F$15,$M435-$A$15,BP$13)))</f>
        <v>1000000000000</v>
      </c>
      <c r="BQ435" s="171">
        <f ca="1">IF(OR($D435&lt;&gt;"Serviço",AND(AUTOEVENTO="Manual",$M435=$A$15)),0,
         IF(OFFSET(CRONOPLE!$F$15,$M435-$A$15,BQ$13)=0,10^12,OFFSET(CRONOPLE!$F$15,$M435-$A$15,BQ$13)))</f>
        <v>1000000000000</v>
      </c>
      <c r="BR435" s="171">
        <f ca="1">IF(OR($D435&lt;&gt;"Serviço",AND(AUTOEVENTO="Manual",$M435=$A$15)),0,
         IF(OFFSET(CRONOPLE!$F$15,$M435-$A$15,BR$13)=0,10^12,OFFSET(CRONOPLE!$F$15,$M435-$A$15,BR$13)))</f>
        <v>1000000000000</v>
      </c>
      <c r="BS435" s="171">
        <f ca="1">IF(OR($D435&lt;&gt;"Serviço",AND(AUTOEVENTO="Manual",$M435=$A$15)),0,
         IF(OFFSET(CRONOPLE!$F$15,$M435-$A$15,BS$13)=0,10^12,OFFSET(CRONOPLE!$F$15,$M435-$A$15,BS$13)))</f>
        <v>1000000000000</v>
      </c>
      <c r="BT435" s="171">
        <f ca="1">IF(OR($D435&lt;&gt;"Serviço",AND(AUTOEVENTO="Manual",$M435=$A$15)),0,
         IF(OFFSET(CRONOPLE!$F$15,$M435-$A$15,BT$13)=0,10^12,OFFSET(CRONOPLE!$F$15,$M435-$A$15,BT$13)))</f>
        <v>1000000000000</v>
      </c>
      <c r="BV435" s="172">
        <f ca="1">IF(OR($D435&lt;&gt;"Serviço",AND(AUTOEVENTO="Manual",$M435=$A$15),$M435&gt;(ROW(PLE.lastrow)-ROW(PLE.firstrow))),0,
           IF(OFFSET(PLE!$G$15,$M435-$A$15,BV$13)="",10^12,OFFSET(PLE!$G$15,$M435-$A$15,BV$13)))</f>
        <v>1000000000000</v>
      </c>
      <c r="BW435" s="172">
        <f ca="1">IF(OR($D435&lt;&gt;"Serviço",AND(AUTOEVENTO="Manual",$M435=$A$15),$M435&gt;(ROW(PLE.lastrow)-ROW(PLE.firstrow))),0,
           IF(OFFSET(PLE!$G$15,$M435-$A$15,BW$13)="",10^12,OFFSET(PLE!$G$15,$M435-$A$15,BW$13)))</f>
        <v>1000000000000</v>
      </c>
      <c r="BX435" s="172">
        <f ca="1">IF(OR($D435&lt;&gt;"Serviço",AND(AUTOEVENTO="Manual",$M435=$A$15),$M435&gt;(ROW(PLE.lastrow)-ROW(PLE.firstrow))),0,
           IF(OFFSET(PLE!$G$15,$M435-$A$15,BX$13)="",10^12,OFFSET(PLE!$G$15,$M435-$A$15,BX$13)))</f>
        <v>1000000000000</v>
      </c>
      <c r="BY435" s="172">
        <f ca="1">IF(OR($D435&lt;&gt;"Serviço",AND(AUTOEVENTO="Manual",$M435=$A$15),$M435&gt;(ROW(PLE.lastrow)-ROW(PLE.firstrow))),0,
           IF(OFFSET(PLE!$G$15,$M435-$A$15,BY$13)="",10^12,OFFSET(PLE!$G$15,$M435-$A$15,BY$13)))</f>
        <v>1000000000000</v>
      </c>
      <c r="BZ435" s="172">
        <f ca="1">IF(OR($D435&lt;&gt;"Serviço",AND(AUTOEVENTO="Manual",$M435=$A$15),$M435&gt;(ROW(PLE.lastrow)-ROW(PLE.firstrow))),0,
           IF(OFFSET(PLE!$G$15,$M435-$A$15,BZ$13)="",10^12,OFFSET(PLE!$G$15,$M435-$A$15,BZ$13)))</f>
        <v>1000000000000</v>
      </c>
      <c r="CA435" s="172">
        <f ca="1">IF(OR($D435&lt;&gt;"Serviço",AND(AUTOEVENTO="Manual",$M435=$A$15),$M435&gt;(ROW(PLE.lastrow)-ROW(PLE.firstrow))),0,
           IF(OFFSET(PLE!$G$15,$M435-$A$15,CA$13)="",10^12,OFFSET(PLE!$G$15,$M435-$A$15,CA$13)))</f>
        <v>1000000000000</v>
      </c>
      <c r="CB435" s="172">
        <f ca="1">IF(OR($D435&lt;&gt;"Serviço",AND(AUTOEVENTO="Manual",$M435=$A$15),$M435&gt;(ROW(PLE.lastrow)-ROW(PLE.firstrow))),0,
           IF(OFFSET(PLE!$G$15,$M435-$A$15,CB$13)="",10^12,OFFSET(PLE!$G$15,$M435-$A$15,CB$13)))</f>
        <v>1000000000000</v>
      </c>
      <c r="CC435" s="172">
        <f ca="1">IF(OR($D435&lt;&gt;"Serviço",AND(AUTOEVENTO="Manual",$M435=$A$15),$M435&gt;(ROW(PLE.lastrow)-ROW(PLE.firstrow))),0,
           IF(OFFSET(PLE!$G$15,$M435-$A$15,CC$13)="",10^12,OFFSET(PLE!$G$15,$M435-$A$15,CC$13)))</f>
        <v>1000000000000</v>
      </c>
      <c r="CD435" s="172">
        <f ca="1">IF(OR($D435&lt;&gt;"Serviço",AND(AUTOEVENTO="Manual",$M435=$A$15),$M435&gt;(ROW(PLE.lastrow)-ROW(PLE.firstrow))),0,
           IF(OFFSET(PLE!$G$15,$M435-$A$15,CD$13)="",10^12,OFFSET(PLE!$G$15,$M435-$A$15,CD$13)))</f>
        <v>1000000000000</v>
      </c>
      <c r="CE435" s="172">
        <f ca="1">IF(OR($D435&lt;&gt;"Serviço",AND(AUTOEVENTO="Manual",$M435=$A$15),$M435&gt;(ROW(PLE.lastrow)-ROW(PLE.firstrow))),0,
           IF(OFFSET(PLE!$G$15,$M435-$A$15,CE$13)="",10^12,OFFSET(PLE!$G$15,$M435-$A$15,CE$13)))</f>
        <v>1000000000000</v>
      </c>
      <c r="CF435" s="172">
        <f ca="1">IF(OR($D435&lt;&gt;"Serviço",AND(AUTOEVENTO="Manual",$M435=$A$15),$M435&gt;(ROW(PLE.lastrow)-ROW(PLE.firstrow))),0,
           IF(OFFSET(PLE!$G$15,$M435-$A$15,CF$13)="",10^12,OFFSET(PLE!$G$15,$M435-$A$15,CF$13)))</f>
        <v>1000000000000</v>
      </c>
      <c r="CG435" s="172">
        <f ca="1">IF(OR($D435&lt;&gt;"Serviço",AND(AUTOEVENTO="Manual",$M435=$A$15),$M435&gt;(ROW(PLE.lastrow)-ROW(PLE.firstrow))),0,
           IF(OFFSET(PLE!$G$15,$M435-$A$15,CG$13)="",10^12,OFFSET(PLE!$G$15,$M435-$A$15,CG$13)))</f>
        <v>1000000000000</v>
      </c>
      <c r="CH435" s="172">
        <f ca="1">IF(OR($D435&lt;&gt;"Serviço",AND(AUTOEVENTO="Manual",$M435=$A$15),$M435&gt;(ROW(PLE.lastrow)-ROW(PLE.firstrow))),0,
           IF(OFFSET(PLE!$G$15,$M435-$A$15,CH$13)="",10^12,OFFSET(PLE!$G$15,$M435-$A$15,CH$13)))</f>
        <v>1000000000000</v>
      </c>
      <c r="CI435" s="172">
        <f ca="1">IF(OR($D435&lt;&gt;"Serviço",AND(AUTOEVENTO="Manual",$M435=$A$15),$M435&gt;(ROW(PLE.lastrow)-ROW(PLE.firstrow))),0,
           IF(OFFSET(PLE!$G$15,$M435-$A$15,CI$13)="",10^12,OFFSET(PLE!$G$15,$M435-$A$15,CI$13)))</f>
        <v>1000000000000</v>
      </c>
      <c r="CJ435" s="172">
        <f ca="1">IF(OR($D435&lt;&gt;"Serviço",AND(AUTOEVENTO="Manual",$M435=$A$15),$M435&gt;(ROW(PLE.lastrow)-ROW(PLE.firstrow))),0,
           IF(OFFSET(PLE!$G$15,$M435-$A$15,CJ$13)="",10^12,OFFSET(PLE!$G$15,$M435-$A$15,CJ$13)))</f>
        <v>1000000000000</v>
      </c>
      <c r="CK435" s="172">
        <f ca="1">IF(OR($D435&lt;&gt;"Serviço",AND(AUTOEVENTO="Manual",$M435=$A$15),$M435&gt;(ROW(PLE.lastrow)-ROW(PLE.firstrow))),0,
           IF(OFFSET(PLE!$G$15,$M435-$A$15,CK$13)="",10^12,OFFSET(PLE!$G$15,$M435-$A$15,CK$13)))</f>
        <v>1000000000000</v>
      </c>
      <c r="CL435" s="172">
        <f ca="1">IF(OR($D435&lt;&gt;"Serviço",AND(AUTOEVENTO="Manual",$M435=$A$15),$M435&gt;(ROW(PLE.lastrow)-ROW(PLE.firstrow))),0,
           IF(OFFSET(PLE!$G$15,$M435-$A$15,CL$13)="",10^12,OFFSET(PLE!$G$15,$M435-$A$15,CL$13)))</f>
        <v>1000000000000</v>
      </c>
      <c r="CM435" s="172">
        <f ca="1">IF(OR($D435&lt;&gt;"Serviço",AND(AUTOEVENTO="Manual",$M435=$A$15),$M435&gt;(ROW(PLE.lastrow)-ROW(PLE.firstrow))),0,
           IF(OFFSET(PLE!$G$15,$M435-$A$15,CM$13)="",10^12,OFFSET(PLE!$G$15,$M435-$A$15,CM$13)))</f>
        <v>1000000000000</v>
      </c>
    </row>
    <row r="436" spans="1:91" ht="25.5" x14ac:dyDescent="0.2">
      <c r="A436" s="7">
        <f t="shared" ca="1" si="16"/>
        <v>7</v>
      </c>
      <c r="B436" s="7" t="str">
        <f ca="1">OFFSET(ORÇAMENTO!C$15,ROW(B436)-ROW(B$15),0)</f>
        <v>S</v>
      </c>
      <c r="C436" s="7" t="str">
        <f ca="1">OFFSET(ORÇAMENTO!L$15,ROW(C436)-ROW(C$15),0)</f>
        <v>F</v>
      </c>
      <c r="D436" s="116" t="str">
        <f ca="1">OFFSET(ORÇAMENTO!N$15,ROW(D436)-ROW(D$15),0)</f>
        <v>Serviço</v>
      </c>
      <c r="E436" s="117" t="str">
        <f ca="1">OFFSET(ORÇAMENTO!O$15,ROW(E436)-ROW(E$15),0)</f>
        <v>1.8.2.5.2.</v>
      </c>
      <c r="F436" s="163" t="str">
        <f ca="1">OFFSET(ORÇAMENTO!R$15,ROW(F436)-ROW(F$15),0)</f>
        <v>GRUPO GERADOR ESTACIONÁRIO, POTÊNCIA 150 KVA, MOTOR A DIESEL- CHP DIURNO. AF_03/2016</v>
      </c>
      <c r="G436" s="164" t="str">
        <f ca="1">IF($D436&lt;&gt;"Serviço","",OFFSET(ORÇAMENTO!S$15,ROW(G436)-ROW(G$15),0))</f>
        <v>CHP</v>
      </c>
      <c r="H436" s="122" cm="1">
        <f t="array" aca="1" ref="H436" ca="1">IF($D436&lt;&gt;"Serviço",0,IF(ACOMPANHAMENTO="BM",ROUND(OFFSET(ORÇAMENTO!AJ$15,ROW(H436)-ROW(H$15),0),15-13*ORÇAMENTO!$AF$7),SUMPRODUCT(($Q$1:$AI$1=1)*ROUND($Q436:$AI436,15-13*ORÇAMENTO!$AF$7))))</f>
        <v>1760</v>
      </c>
      <c r="I436" s="468" t="s">
        <v>1450</v>
      </c>
      <c r="J436" s="640" t="str" cm="1">
        <f t="array" aca="1" ref="J436" ca="1">IF(OR(B436&lt;&gt;"S",CÁLCULO.FrentesPreenchidas=0),"",IF(AND(ACOMPANHAMENTO="PLE",AUTOEVENTO="Manual",OR(H436&gt;0,ORÇAMENTO!AC436="QUANT."),OR(K436="",M436=0,N436="")),"►E",IF(AND(ACOMPANHAMENTO="PLE",ORÇAMENTO!AC436="QUANT."),"►Q",IF(AND(ACOMPANHAMENTO="PLE",H436&lt;&gt;SUMPRODUCT(($Q$1:$AI$1=1)*ROUND(Q436:AI436,15))),"►S",IF(AND(COUNTIF($P$11:$AI$11,"▼")=0,H436&gt;0,I436=""),"◄M","")))))</f>
        <v/>
      </c>
      <c r="K436" s="641" t="s">
        <v>1391</v>
      </c>
      <c r="L436" s="165" t="s">
        <v>764</v>
      </c>
      <c r="M436" s="166">
        <f ca="1">IF($D436&lt;&gt;"Serviço","",
          IF(AUTOEVENTO="manual",$A436,
                IF(ISERROR(MATCH($A436,$A$15:OFFSET($A436,-1,0),0)),MAX($M$15:OFFSET(M436,-1,0))+1,
                      INDEX($M$15:OFFSET(M436,-1,0),MATCH($A436,$A$15:OFFSET($A436,-1,0),0)))))</f>
        <v>7</v>
      </c>
      <c r="N436" s="167" t="str">
        <f ca="1">IF($D436&lt;&gt;"Serviço","",
         IF(AUTOEVENTO="Manual",
                IF($A436=0,"&lt;-- defina o número do agrupador",
                       OFFSET(EVENTOS!$D$15,$A436-$A$15,0)),
                OFFSET($F$15,$A436,0)))</f>
        <v>Instalações Elétricas</v>
      </c>
      <c r="O436" s="168"/>
      <c r="Q436" s="168"/>
      <c r="R436" s="169"/>
      <c r="S436" s="169"/>
      <c r="T436" s="169"/>
      <c r="U436" s="169"/>
      <c r="V436" s="169"/>
      <c r="W436" s="169"/>
      <c r="X436" s="169">
        <f>22*4*10*2</f>
        <v>1760</v>
      </c>
      <c r="Y436" s="169"/>
      <c r="Z436" s="170"/>
      <c r="AA436" s="169"/>
      <c r="AB436" s="169"/>
      <c r="AC436" s="169"/>
      <c r="AD436" s="169"/>
      <c r="AE436" s="169"/>
      <c r="AF436" s="169"/>
      <c r="AG436" s="169"/>
      <c r="AH436" s="170"/>
      <c r="AJ436" s="453">
        <f ca="1">IF(AND($D436="Serviço",AJ$12&lt;&gt;0,$H436&gt;0,OR(AUTOEVENTO&lt;&gt;"manual",$M436&lt;&gt;$A$15)),
        IF(Import.TipoArredondamento&lt;&gt;"TransfereGOV",
              ROUND(OFFSET($P436,0,AJ$13),15-13*ORÇAMENTO!$AF$7)/$H436*OFFSET(ORÇAMENTO!$X$15,ROW(AJ436)-ROW(AJ$15),0),
              ROUND(ROUND(OFFSET($P436,0,AJ$13),15-13*ORÇAMENTO!$AF$7)*OFFSET(ORÇAMENTO!$W$15,ROW(AJ436)-ROW(AJ$15),0),15-13*ORÇAMENTO!$AF$11)),
         0)</f>
        <v>0</v>
      </c>
      <c r="AK436" s="453">
        <f ca="1">IF(AND($D436="Serviço",AK$12&lt;&gt;0,$H436&gt;0,OR(AUTOEVENTO&lt;&gt;"manual",$M436&lt;&gt;$A$15)),
        IF(Import.TipoArredondamento&lt;&gt;"TransfereGOV",
              ROUND(OFFSET($P436,0,AK$13),15-13*ORÇAMENTO!$AF$7)/$H436*OFFSET(ORÇAMENTO!$X$15,ROW(AK436)-ROW(AK$15),0),
              ROUND(ROUND(OFFSET($P436,0,AK$13),15-13*ORÇAMENTO!$AF$7)*OFFSET(ORÇAMENTO!$W$15,ROW(AK436)-ROW(AK$15),0),15-13*ORÇAMENTO!$AF$11)),
         0)</f>
        <v>0</v>
      </c>
      <c r="AL436" s="453">
        <f ca="1">IF(AND($D436="Serviço",AL$12&lt;&gt;0,$H436&gt;0,OR(AUTOEVENTO&lt;&gt;"manual",$M436&lt;&gt;$A$15)),
        IF(Import.TipoArredondamento&lt;&gt;"TransfereGOV",
              ROUND(OFFSET($P436,0,AL$13),15-13*ORÇAMENTO!$AF$7)/$H436*OFFSET(ORÇAMENTO!$X$15,ROW(AL436)-ROW(AL$15),0),
              ROUND(ROUND(OFFSET($P436,0,AL$13),15-13*ORÇAMENTO!$AF$7)*OFFSET(ORÇAMENTO!$W$15,ROW(AL436)-ROW(AL$15),0),15-13*ORÇAMENTO!$AF$11)),
         0)</f>
        <v>0</v>
      </c>
      <c r="AM436" s="453">
        <f ca="1">IF(AND($D436="Serviço",AM$12&lt;&gt;0,$H436&gt;0,OR(AUTOEVENTO&lt;&gt;"manual",$M436&lt;&gt;$A$15)),
        IF(Import.TipoArredondamento&lt;&gt;"TransfereGOV",
              ROUND(OFFSET($P436,0,AM$13),15-13*ORÇAMENTO!$AF$7)/$H436*OFFSET(ORÇAMENTO!$X$15,ROW(AM436)-ROW(AM$15),0),
              ROUND(ROUND(OFFSET($P436,0,AM$13),15-13*ORÇAMENTO!$AF$7)*OFFSET(ORÇAMENTO!$W$15,ROW(AM436)-ROW(AM$15),0),15-13*ORÇAMENTO!$AF$11)),
         0)</f>
        <v>0</v>
      </c>
      <c r="AN436" s="453">
        <f ca="1">IF(AND($D436="Serviço",AN$12&lt;&gt;0,$H436&gt;0,OR(AUTOEVENTO&lt;&gt;"manual",$M436&lt;&gt;$A$15)),
        IF(Import.TipoArredondamento&lt;&gt;"TransfereGOV",
              ROUND(OFFSET($P436,0,AN$13),15-13*ORÇAMENTO!$AF$7)/$H436*OFFSET(ORÇAMENTO!$X$15,ROW(AN436)-ROW(AN$15),0),
              ROUND(ROUND(OFFSET($P436,0,AN$13),15-13*ORÇAMENTO!$AF$7)*OFFSET(ORÇAMENTO!$W$15,ROW(AN436)-ROW(AN$15),0),15-13*ORÇAMENTO!$AF$11)),
         0)</f>
        <v>0</v>
      </c>
      <c r="AO436" s="453">
        <f ca="1">IF(AND($D436="Serviço",AO$12&lt;&gt;0,$H436&gt;0,OR(AUTOEVENTO&lt;&gt;"manual",$M436&lt;&gt;$A$15)),
        IF(Import.TipoArredondamento&lt;&gt;"TransfereGOV",
              ROUND(OFFSET($P436,0,AO$13),15-13*ORÇAMENTO!$AF$7)/$H436*OFFSET(ORÇAMENTO!$X$15,ROW(AO436)-ROW(AO$15),0),
              ROUND(ROUND(OFFSET($P436,0,AO$13),15-13*ORÇAMENTO!$AF$7)*OFFSET(ORÇAMENTO!$W$15,ROW(AO436)-ROW(AO$15),0),15-13*ORÇAMENTO!$AF$11)),
         0)</f>
        <v>0</v>
      </c>
      <c r="AP436" s="453">
        <f ca="1">IF(AND($D436="Serviço",AP$12&lt;&gt;0,$H436&gt;0,OR(AUTOEVENTO&lt;&gt;"manual",$M436&lt;&gt;$A$15)),
        IF(Import.TipoArredondamento&lt;&gt;"TransfereGOV",
              ROUND(OFFSET($P436,0,AP$13),15-13*ORÇAMENTO!$AF$7)/$H436*OFFSET(ORÇAMENTO!$X$15,ROW(AP436)-ROW(AP$15),0),
              ROUND(ROUND(OFFSET($P436,0,AP$13),15-13*ORÇAMENTO!$AF$7)*OFFSET(ORÇAMENTO!$W$15,ROW(AP436)-ROW(AP$15),0),15-13*ORÇAMENTO!$AF$11)),
         0)</f>
        <v>0</v>
      </c>
      <c r="AQ436" s="453">
        <f ca="1">IF(AND($D436="Serviço",AQ$12&lt;&gt;0,$H436&gt;0,OR(AUTOEVENTO&lt;&gt;"manual",$M436&lt;&gt;$A$15)),
        IF(Import.TipoArredondamento&lt;&gt;"TransfereGOV",
              ROUND(OFFSET($P436,0,AQ$13),15-13*ORÇAMENTO!$AF$7)/$H436*OFFSET(ORÇAMENTO!$X$15,ROW(AQ436)-ROW(AQ$15),0),
              ROUND(ROUND(OFFSET($P436,0,AQ$13),15-13*ORÇAMENTO!$AF$7)*OFFSET(ORÇAMENTO!$W$15,ROW(AQ436)-ROW(AQ$15),0),15-13*ORÇAMENTO!$AF$11)),
         0)</f>
        <v>0</v>
      </c>
      <c r="AR436" s="453">
        <f ca="1">IF(AND($D436="Serviço",AR$12&lt;&gt;0,$H436&gt;0,OR(AUTOEVENTO&lt;&gt;"manual",$M436&lt;&gt;$A$15)),
        IF(Import.TipoArredondamento&lt;&gt;"TransfereGOV",
              ROUND(OFFSET($P436,0,AR$13),15-13*ORÇAMENTO!$AF$7)/$H436*OFFSET(ORÇAMENTO!$X$15,ROW(AR436)-ROW(AR$15),0),
              ROUND(ROUND(OFFSET($P436,0,AR$13),15-13*ORÇAMENTO!$AF$7)*OFFSET(ORÇAMENTO!$W$15,ROW(AR436)-ROW(AR$15),0),15-13*ORÇAMENTO!$AF$11)),
         0)</f>
        <v>0</v>
      </c>
      <c r="AS436" s="453">
        <f ca="1">IF(AND($D436="Serviço",AS$12&lt;&gt;0,$H436&gt;0,OR(AUTOEVENTO&lt;&gt;"manual",$M436&lt;&gt;$A$15)),
        IF(Import.TipoArredondamento&lt;&gt;"TransfereGOV",
              ROUND(OFFSET($P436,0,AS$13),15-13*ORÇAMENTO!$AF$7)/$H436*OFFSET(ORÇAMENTO!$X$15,ROW(AS436)-ROW(AS$15),0),
              ROUND(ROUND(OFFSET($P436,0,AS$13),15-13*ORÇAMENTO!$AF$7)*OFFSET(ORÇAMENTO!$W$15,ROW(AS436)-ROW(AS$15),0),15-13*ORÇAMENTO!$AF$11)),
         0)</f>
        <v>0</v>
      </c>
      <c r="AT436" s="453">
        <f ca="1">IF(AND($D436="Serviço",AT$12&lt;&gt;0,$H436&gt;0,OR(AUTOEVENTO&lt;&gt;"manual",$M436&lt;&gt;$A$15)),
        IF(Import.TipoArredondamento&lt;&gt;"TransfereGOV",
              ROUND(OFFSET($P436,0,AT$13),15-13*ORÇAMENTO!$AF$7)/$H436*OFFSET(ORÇAMENTO!$X$15,ROW(AT436)-ROW(AT$15),0),
              ROUND(ROUND(OFFSET($P436,0,AT$13),15-13*ORÇAMENTO!$AF$7)*OFFSET(ORÇAMENTO!$W$15,ROW(AT436)-ROW(AT$15),0),15-13*ORÇAMENTO!$AF$11)),
         0)</f>
        <v>0</v>
      </c>
      <c r="AU436" s="453">
        <f ca="1">IF(AND($D436="Serviço",AU$12&lt;&gt;0,$H436&gt;0,OR(AUTOEVENTO&lt;&gt;"manual",$M436&lt;&gt;$A$15)),
        IF(Import.TipoArredondamento&lt;&gt;"TransfereGOV",
              ROUND(OFFSET($P436,0,AU$13),15-13*ORÇAMENTO!$AF$7)/$H436*OFFSET(ORÇAMENTO!$X$15,ROW(AU436)-ROW(AU$15),0),
              ROUND(ROUND(OFFSET($P436,0,AU$13),15-13*ORÇAMENTO!$AF$7)*OFFSET(ORÇAMENTO!$W$15,ROW(AU436)-ROW(AU$15),0),15-13*ORÇAMENTO!$AF$11)),
         0)</f>
        <v>0</v>
      </c>
      <c r="AV436" s="453">
        <f ca="1">IF(AND($D436="Serviço",AV$12&lt;&gt;0,$H436&gt;0,OR(AUTOEVENTO&lt;&gt;"manual",$M436&lt;&gt;$A$15)),
        IF(Import.TipoArredondamento&lt;&gt;"TransfereGOV",
              ROUND(OFFSET($P436,0,AV$13),15-13*ORÇAMENTO!$AF$7)/$H436*OFFSET(ORÇAMENTO!$X$15,ROW(AV436)-ROW(AV$15),0),
              ROUND(ROUND(OFFSET($P436,0,AV$13),15-13*ORÇAMENTO!$AF$7)*OFFSET(ORÇAMENTO!$W$15,ROW(AV436)-ROW(AV$15),0),15-13*ORÇAMENTO!$AF$11)),
         0)</f>
        <v>0</v>
      </c>
      <c r="AW436" s="453">
        <f ca="1">IF(AND($D436="Serviço",AW$12&lt;&gt;0,$H436&gt;0,OR(AUTOEVENTO&lt;&gt;"manual",$M436&lt;&gt;$A$15)),
        IF(Import.TipoArredondamento&lt;&gt;"TransfereGOV",
              ROUND(OFFSET($P436,0,AW$13),15-13*ORÇAMENTO!$AF$7)/$H436*OFFSET(ORÇAMENTO!$X$15,ROW(AW436)-ROW(AW$15),0),
              ROUND(ROUND(OFFSET($P436,0,AW$13),15-13*ORÇAMENTO!$AF$7)*OFFSET(ORÇAMENTO!$W$15,ROW(AW436)-ROW(AW$15),0),15-13*ORÇAMENTO!$AF$11)),
         0)</f>
        <v>0</v>
      </c>
      <c r="AX436" s="453">
        <f ca="1">IF(AND($D436="Serviço",AX$12&lt;&gt;0,$H436&gt;0,OR(AUTOEVENTO&lt;&gt;"manual",$M436&lt;&gt;$A$15)),
        IF(Import.TipoArredondamento&lt;&gt;"TransfereGOV",
              ROUND(OFFSET($P436,0,AX$13),15-13*ORÇAMENTO!$AF$7)/$H436*OFFSET(ORÇAMENTO!$X$15,ROW(AX436)-ROW(AX$15),0),
              ROUND(ROUND(OFFSET($P436,0,AX$13),15-13*ORÇAMENTO!$AF$7)*OFFSET(ORÇAMENTO!$W$15,ROW(AX436)-ROW(AX$15),0),15-13*ORÇAMENTO!$AF$11)),
         0)</f>
        <v>0</v>
      </c>
      <c r="AY436" s="453">
        <f ca="1">IF(AND($D436="Serviço",AY$12&lt;&gt;0,$H436&gt;0,OR(AUTOEVENTO&lt;&gt;"manual",$M436&lt;&gt;$A$15)),
        IF(Import.TipoArredondamento&lt;&gt;"TransfereGOV",
              ROUND(OFFSET($P436,0,AY$13),15-13*ORÇAMENTO!$AF$7)/$H436*OFFSET(ORÇAMENTO!$X$15,ROW(AY436)-ROW(AY$15),0),
              ROUND(ROUND(OFFSET($P436,0,AY$13),15-13*ORÇAMENTO!$AF$7)*OFFSET(ORÇAMENTO!$W$15,ROW(AY436)-ROW(AY$15),0),15-13*ORÇAMENTO!$AF$11)),
         0)</f>
        <v>0</v>
      </c>
      <c r="AZ436" s="453">
        <f ca="1">IF(AND($D436="Serviço",AZ$12&lt;&gt;0,$H436&gt;0,OR(AUTOEVENTO&lt;&gt;"manual",$M436&lt;&gt;$A$15)),
        IF(Import.TipoArredondamento&lt;&gt;"TransfereGOV",
              ROUND(OFFSET($P436,0,AZ$13),15-13*ORÇAMENTO!$AF$7)/$H436*OFFSET(ORÇAMENTO!$X$15,ROW(AZ436)-ROW(AZ$15),0),
              ROUND(ROUND(OFFSET($P436,0,AZ$13),15-13*ORÇAMENTO!$AF$7)*OFFSET(ORÇAMENTO!$W$15,ROW(AZ436)-ROW(AZ$15),0),15-13*ORÇAMENTO!$AF$11)),
         0)</f>
        <v>0</v>
      </c>
      <c r="BA436" s="453">
        <f ca="1">IF(AND($D436="Serviço",BA$12&lt;&gt;0,$H436&gt;0,OR(AUTOEVENTO&lt;&gt;"manual",$M436&lt;&gt;$A$15)),
        IF(Import.TipoArredondamento&lt;&gt;"TransfereGOV",
              ROUND(OFFSET($P436,0,BA$13),15-13*ORÇAMENTO!$AF$7)/$H436*OFFSET(ORÇAMENTO!$X$15,ROW(BA436)-ROW(BA$15),0),
              ROUND(ROUND(OFFSET($P436,0,BA$13),15-13*ORÇAMENTO!$AF$7)*OFFSET(ORÇAMENTO!$W$15,ROW(BA436)-ROW(BA$15),0),15-13*ORÇAMENTO!$AF$11)),
         0)</f>
        <v>0</v>
      </c>
      <c r="BC436" s="171">
        <f ca="1">IF(OR($D436&lt;&gt;"Serviço",AND(AUTOEVENTO="Manual",$M436=$A$15)),0,
         IF(OFFSET(CRONOPLE!$F$15,$M436-$A$15,BC$13)=0,10^12,OFFSET(CRONOPLE!$F$15,$M436-$A$15,BC$13)))</f>
        <v>1</v>
      </c>
      <c r="BD436" s="171">
        <f ca="1">IF(OR($D436&lt;&gt;"Serviço",AND(AUTOEVENTO="Manual",$M436=$A$15)),0,
         IF(OFFSET(CRONOPLE!$F$15,$M436-$A$15,BD$13)=0,10^12,OFFSET(CRONOPLE!$F$15,$M436-$A$15,BD$13)))</f>
        <v>2</v>
      </c>
      <c r="BE436" s="171">
        <f ca="1">IF(OR($D436&lt;&gt;"Serviço",AND(AUTOEVENTO="Manual",$M436=$A$15)),0,
         IF(OFFSET(CRONOPLE!$F$15,$M436-$A$15,BE$13)=0,10^12,OFFSET(CRONOPLE!$F$15,$M436-$A$15,BE$13)))</f>
        <v>3</v>
      </c>
      <c r="BF436" s="171">
        <f ca="1">IF(OR($D436&lt;&gt;"Serviço",AND(AUTOEVENTO="Manual",$M436=$A$15)),0,
         IF(OFFSET(CRONOPLE!$F$15,$M436-$A$15,BF$13)=0,10^12,OFFSET(CRONOPLE!$F$15,$M436-$A$15,BF$13)))</f>
        <v>4</v>
      </c>
      <c r="BG436" s="171">
        <f ca="1">IF(OR($D436&lt;&gt;"Serviço",AND(AUTOEVENTO="Manual",$M436=$A$15)),0,
         IF(OFFSET(CRONOPLE!$F$15,$M436-$A$15,BG$13)=0,10^12,OFFSET(CRONOPLE!$F$15,$M436-$A$15,BG$13)))</f>
        <v>5</v>
      </c>
      <c r="BH436" s="171">
        <f ca="1">IF(OR($D436&lt;&gt;"Serviço",AND(AUTOEVENTO="Manual",$M436=$A$15)),0,
         IF(OFFSET(CRONOPLE!$F$15,$M436-$A$15,BH$13)=0,10^12,OFFSET(CRONOPLE!$F$15,$M436-$A$15,BH$13)))</f>
        <v>6</v>
      </c>
      <c r="BI436" s="171">
        <f ca="1">IF(OR($D436&lt;&gt;"Serviço",AND(AUTOEVENTO="Manual",$M436=$A$15)),0,
         IF(OFFSET(CRONOPLE!$F$15,$M436-$A$15,BI$13)=0,10^12,OFFSET(CRONOPLE!$F$15,$M436-$A$15,BI$13)))</f>
        <v>7</v>
      </c>
      <c r="BJ436" s="171">
        <f ca="1">IF(OR($D436&lt;&gt;"Serviço",AND(AUTOEVENTO="Manual",$M436=$A$15)),0,
         IF(OFFSET(CRONOPLE!$F$15,$M436-$A$15,BJ$13)=0,10^12,OFFSET(CRONOPLE!$F$15,$M436-$A$15,BJ$13)))</f>
        <v>8</v>
      </c>
      <c r="BK436" s="171">
        <f ca="1">IF(OR($D436&lt;&gt;"Serviço",AND(AUTOEVENTO="Manual",$M436=$A$15)),0,
         IF(OFFSET(CRONOPLE!$F$15,$M436-$A$15,BK$13)=0,10^12,OFFSET(CRONOPLE!$F$15,$M436-$A$15,BK$13)))</f>
        <v>9</v>
      </c>
      <c r="BL436" s="171">
        <f ca="1">IF(OR($D436&lt;&gt;"Serviço",AND(AUTOEVENTO="Manual",$M436=$A$15)),0,
         IF(OFFSET(CRONOPLE!$F$15,$M436-$A$15,BL$13)=0,10^12,OFFSET(CRONOPLE!$F$15,$M436-$A$15,BL$13)))</f>
        <v>1000000000000</v>
      </c>
      <c r="BM436" s="171">
        <f ca="1">IF(OR($D436&lt;&gt;"Serviço",AND(AUTOEVENTO="Manual",$M436=$A$15)),0,
         IF(OFFSET(CRONOPLE!$F$15,$M436-$A$15,BM$13)=0,10^12,OFFSET(CRONOPLE!$F$15,$M436-$A$15,BM$13)))</f>
        <v>1000000000000</v>
      </c>
      <c r="BN436" s="171">
        <f ca="1">IF(OR($D436&lt;&gt;"Serviço",AND(AUTOEVENTO="Manual",$M436=$A$15)),0,
         IF(OFFSET(CRONOPLE!$F$15,$M436-$A$15,BN$13)=0,10^12,OFFSET(CRONOPLE!$F$15,$M436-$A$15,BN$13)))</f>
        <v>1000000000000</v>
      </c>
      <c r="BO436" s="171">
        <f ca="1">IF(OR($D436&lt;&gt;"Serviço",AND(AUTOEVENTO="Manual",$M436=$A$15)),0,
         IF(OFFSET(CRONOPLE!$F$15,$M436-$A$15,BO$13)=0,10^12,OFFSET(CRONOPLE!$F$15,$M436-$A$15,BO$13)))</f>
        <v>1000000000000</v>
      </c>
      <c r="BP436" s="171">
        <f ca="1">IF(OR($D436&lt;&gt;"Serviço",AND(AUTOEVENTO="Manual",$M436=$A$15)),0,
         IF(OFFSET(CRONOPLE!$F$15,$M436-$A$15,BP$13)=0,10^12,OFFSET(CRONOPLE!$F$15,$M436-$A$15,BP$13)))</f>
        <v>1000000000000</v>
      </c>
      <c r="BQ436" s="171">
        <f ca="1">IF(OR($D436&lt;&gt;"Serviço",AND(AUTOEVENTO="Manual",$M436=$A$15)),0,
         IF(OFFSET(CRONOPLE!$F$15,$M436-$A$15,BQ$13)=0,10^12,OFFSET(CRONOPLE!$F$15,$M436-$A$15,BQ$13)))</f>
        <v>1000000000000</v>
      </c>
      <c r="BR436" s="171">
        <f ca="1">IF(OR($D436&lt;&gt;"Serviço",AND(AUTOEVENTO="Manual",$M436=$A$15)),0,
         IF(OFFSET(CRONOPLE!$F$15,$M436-$A$15,BR$13)=0,10^12,OFFSET(CRONOPLE!$F$15,$M436-$A$15,BR$13)))</f>
        <v>1000000000000</v>
      </c>
      <c r="BS436" s="171">
        <f ca="1">IF(OR($D436&lt;&gt;"Serviço",AND(AUTOEVENTO="Manual",$M436=$A$15)),0,
         IF(OFFSET(CRONOPLE!$F$15,$M436-$A$15,BS$13)=0,10^12,OFFSET(CRONOPLE!$F$15,$M436-$A$15,BS$13)))</f>
        <v>1000000000000</v>
      </c>
      <c r="BT436" s="171">
        <f ca="1">IF(OR($D436&lt;&gt;"Serviço",AND(AUTOEVENTO="Manual",$M436=$A$15)),0,
         IF(OFFSET(CRONOPLE!$F$15,$M436-$A$15,BT$13)=0,10^12,OFFSET(CRONOPLE!$F$15,$M436-$A$15,BT$13)))</f>
        <v>1000000000000</v>
      </c>
      <c r="BV436" s="172">
        <f ca="1">IF(OR($D436&lt;&gt;"Serviço",AND(AUTOEVENTO="Manual",$M436=$A$15),$M436&gt;(ROW(PLE.lastrow)-ROW(PLE.firstrow))),0,
           IF(OFFSET(PLE!$G$15,$M436-$A$15,BV$13)="",10^12,OFFSET(PLE!$G$15,$M436-$A$15,BV$13)))</f>
        <v>1000000000000</v>
      </c>
      <c r="BW436" s="172">
        <f ca="1">IF(OR($D436&lt;&gt;"Serviço",AND(AUTOEVENTO="Manual",$M436=$A$15),$M436&gt;(ROW(PLE.lastrow)-ROW(PLE.firstrow))),0,
           IF(OFFSET(PLE!$G$15,$M436-$A$15,BW$13)="",10^12,OFFSET(PLE!$G$15,$M436-$A$15,BW$13)))</f>
        <v>1000000000000</v>
      </c>
      <c r="BX436" s="172">
        <f ca="1">IF(OR($D436&lt;&gt;"Serviço",AND(AUTOEVENTO="Manual",$M436=$A$15),$M436&gt;(ROW(PLE.lastrow)-ROW(PLE.firstrow))),0,
           IF(OFFSET(PLE!$G$15,$M436-$A$15,BX$13)="",10^12,OFFSET(PLE!$G$15,$M436-$A$15,BX$13)))</f>
        <v>1000000000000</v>
      </c>
      <c r="BY436" s="172">
        <f ca="1">IF(OR($D436&lt;&gt;"Serviço",AND(AUTOEVENTO="Manual",$M436=$A$15),$M436&gt;(ROW(PLE.lastrow)-ROW(PLE.firstrow))),0,
           IF(OFFSET(PLE!$G$15,$M436-$A$15,BY$13)="",10^12,OFFSET(PLE!$G$15,$M436-$A$15,BY$13)))</f>
        <v>1000000000000</v>
      </c>
      <c r="BZ436" s="172">
        <f ca="1">IF(OR($D436&lt;&gt;"Serviço",AND(AUTOEVENTO="Manual",$M436=$A$15),$M436&gt;(ROW(PLE.lastrow)-ROW(PLE.firstrow))),0,
           IF(OFFSET(PLE!$G$15,$M436-$A$15,BZ$13)="",10^12,OFFSET(PLE!$G$15,$M436-$A$15,BZ$13)))</f>
        <v>1000000000000</v>
      </c>
      <c r="CA436" s="172">
        <f ca="1">IF(OR($D436&lt;&gt;"Serviço",AND(AUTOEVENTO="Manual",$M436=$A$15),$M436&gt;(ROW(PLE.lastrow)-ROW(PLE.firstrow))),0,
           IF(OFFSET(PLE!$G$15,$M436-$A$15,CA$13)="",10^12,OFFSET(PLE!$G$15,$M436-$A$15,CA$13)))</f>
        <v>1000000000000</v>
      </c>
      <c r="CB436" s="172">
        <f ca="1">IF(OR($D436&lt;&gt;"Serviço",AND(AUTOEVENTO="Manual",$M436=$A$15),$M436&gt;(ROW(PLE.lastrow)-ROW(PLE.firstrow))),0,
           IF(OFFSET(PLE!$G$15,$M436-$A$15,CB$13)="",10^12,OFFSET(PLE!$G$15,$M436-$A$15,CB$13)))</f>
        <v>1000000000000</v>
      </c>
      <c r="CC436" s="172">
        <f ca="1">IF(OR($D436&lt;&gt;"Serviço",AND(AUTOEVENTO="Manual",$M436=$A$15),$M436&gt;(ROW(PLE.lastrow)-ROW(PLE.firstrow))),0,
           IF(OFFSET(PLE!$G$15,$M436-$A$15,CC$13)="",10^12,OFFSET(PLE!$G$15,$M436-$A$15,CC$13)))</f>
        <v>1000000000000</v>
      </c>
      <c r="CD436" s="172">
        <f ca="1">IF(OR($D436&lt;&gt;"Serviço",AND(AUTOEVENTO="Manual",$M436=$A$15),$M436&gt;(ROW(PLE.lastrow)-ROW(PLE.firstrow))),0,
           IF(OFFSET(PLE!$G$15,$M436-$A$15,CD$13)="",10^12,OFFSET(PLE!$G$15,$M436-$A$15,CD$13)))</f>
        <v>1000000000000</v>
      </c>
      <c r="CE436" s="172">
        <f ca="1">IF(OR($D436&lt;&gt;"Serviço",AND(AUTOEVENTO="Manual",$M436=$A$15),$M436&gt;(ROW(PLE.lastrow)-ROW(PLE.firstrow))),0,
           IF(OFFSET(PLE!$G$15,$M436-$A$15,CE$13)="",10^12,OFFSET(PLE!$G$15,$M436-$A$15,CE$13)))</f>
        <v>1000000000000</v>
      </c>
      <c r="CF436" s="172">
        <f ca="1">IF(OR($D436&lt;&gt;"Serviço",AND(AUTOEVENTO="Manual",$M436=$A$15),$M436&gt;(ROW(PLE.lastrow)-ROW(PLE.firstrow))),0,
           IF(OFFSET(PLE!$G$15,$M436-$A$15,CF$13)="",10^12,OFFSET(PLE!$G$15,$M436-$A$15,CF$13)))</f>
        <v>1000000000000</v>
      </c>
      <c r="CG436" s="172">
        <f ca="1">IF(OR($D436&lt;&gt;"Serviço",AND(AUTOEVENTO="Manual",$M436=$A$15),$M436&gt;(ROW(PLE.lastrow)-ROW(PLE.firstrow))),0,
           IF(OFFSET(PLE!$G$15,$M436-$A$15,CG$13)="",10^12,OFFSET(PLE!$G$15,$M436-$A$15,CG$13)))</f>
        <v>1000000000000</v>
      </c>
      <c r="CH436" s="172">
        <f ca="1">IF(OR($D436&lt;&gt;"Serviço",AND(AUTOEVENTO="Manual",$M436=$A$15),$M436&gt;(ROW(PLE.lastrow)-ROW(PLE.firstrow))),0,
           IF(OFFSET(PLE!$G$15,$M436-$A$15,CH$13)="",10^12,OFFSET(PLE!$G$15,$M436-$A$15,CH$13)))</f>
        <v>1000000000000</v>
      </c>
      <c r="CI436" s="172">
        <f ca="1">IF(OR($D436&lt;&gt;"Serviço",AND(AUTOEVENTO="Manual",$M436=$A$15),$M436&gt;(ROW(PLE.lastrow)-ROW(PLE.firstrow))),0,
           IF(OFFSET(PLE!$G$15,$M436-$A$15,CI$13)="",10^12,OFFSET(PLE!$G$15,$M436-$A$15,CI$13)))</f>
        <v>1000000000000</v>
      </c>
      <c r="CJ436" s="172">
        <f ca="1">IF(OR($D436&lt;&gt;"Serviço",AND(AUTOEVENTO="Manual",$M436=$A$15),$M436&gt;(ROW(PLE.lastrow)-ROW(PLE.firstrow))),0,
           IF(OFFSET(PLE!$G$15,$M436-$A$15,CJ$13)="",10^12,OFFSET(PLE!$G$15,$M436-$A$15,CJ$13)))</f>
        <v>1000000000000</v>
      </c>
      <c r="CK436" s="172">
        <f ca="1">IF(OR($D436&lt;&gt;"Serviço",AND(AUTOEVENTO="Manual",$M436=$A$15),$M436&gt;(ROW(PLE.lastrow)-ROW(PLE.firstrow))),0,
           IF(OFFSET(PLE!$G$15,$M436-$A$15,CK$13)="",10^12,OFFSET(PLE!$G$15,$M436-$A$15,CK$13)))</f>
        <v>1000000000000</v>
      </c>
      <c r="CL436" s="172">
        <f ca="1">IF(OR($D436&lt;&gt;"Serviço",AND(AUTOEVENTO="Manual",$M436=$A$15),$M436&gt;(ROW(PLE.lastrow)-ROW(PLE.firstrow))),0,
           IF(OFFSET(PLE!$G$15,$M436-$A$15,CL$13)="",10^12,OFFSET(PLE!$G$15,$M436-$A$15,CL$13)))</f>
        <v>1000000000000</v>
      </c>
      <c r="CM436" s="172">
        <f ca="1">IF(OR($D436&lt;&gt;"Serviço",AND(AUTOEVENTO="Manual",$M436=$A$15),$M436&gt;(ROW(PLE.lastrow)-ROW(PLE.firstrow))),0,
           IF(OFFSET(PLE!$G$15,$M436-$A$15,CM$13)="",10^12,OFFSET(PLE!$G$15,$M436-$A$15,CM$13)))</f>
        <v>1000000000000</v>
      </c>
    </row>
    <row r="437" spans="1:91" ht="25.5" x14ac:dyDescent="0.2">
      <c r="A437" s="7">
        <f t="shared" ca="1" si="16"/>
        <v>7</v>
      </c>
      <c r="B437" s="7" t="str">
        <f ca="1">OFFSET(ORÇAMENTO!C$15,ROW(B437)-ROW(B$15),0)</f>
        <v>S</v>
      </c>
      <c r="C437" s="7" t="str">
        <f ca="1">OFFSET(ORÇAMENTO!L$15,ROW(C437)-ROW(C$15),0)</f>
        <v>F</v>
      </c>
      <c r="D437" s="116" t="str">
        <f ca="1">OFFSET(ORÇAMENTO!N$15,ROW(D437)-ROW(D$15),0)</f>
        <v>Serviço</v>
      </c>
      <c r="E437" s="117" t="str">
        <f ca="1">OFFSET(ORÇAMENTO!O$15,ROW(E437)-ROW(E$15),0)</f>
        <v>1.8.2.5.3.</v>
      </c>
      <c r="F437" s="163" t="str">
        <f ca="1">OFFSET(ORÇAMENTO!R$15,ROW(F437)-ROW(F$15),0)</f>
        <v>GRUPO GERADOR ESTACIONÁRIO, POTÊNCIA 150 KVA, MOTOR A DIESEL- CHI DIURNO. AF_03/2016</v>
      </c>
      <c r="G437" s="164" t="str">
        <f ca="1">IF($D437&lt;&gt;"Serviço","",OFFSET(ORÇAMENTO!S$15,ROW(G437)-ROW(G$15),0))</f>
        <v>CHI</v>
      </c>
      <c r="H437" s="122" cm="1">
        <f t="array" aca="1" ref="H437" ca="1">IF($D437&lt;&gt;"Serviço",0,IF(ACOMPANHAMENTO="BM",ROUND(OFFSET(ORÇAMENTO!AJ$15,ROW(H437)-ROW(H$15),0),15-13*ORÇAMENTO!$AF$7),SUMPRODUCT(($Q$1:$AI$1=1)*ROUND($Q437:$AI437,15-13*ORÇAMENTO!$AF$7))))</f>
        <v>1760</v>
      </c>
      <c r="I437" s="468" t="s">
        <v>1450</v>
      </c>
      <c r="J437" s="640" t="str" cm="1">
        <f t="array" aca="1" ref="J437" ca="1">IF(OR(B437&lt;&gt;"S",CÁLCULO.FrentesPreenchidas=0),"",IF(AND(ACOMPANHAMENTO="PLE",AUTOEVENTO="Manual",OR(H437&gt;0,ORÇAMENTO!AC437="QUANT."),OR(K437="",M437=0,N437="")),"►E",IF(AND(ACOMPANHAMENTO="PLE",ORÇAMENTO!AC437="QUANT."),"►Q",IF(AND(ACOMPANHAMENTO="PLE",H437&lt;&gt;SUMPRODUCT(($Q$1:$AI$1=1)*ROUND(Q437:AI437,15))),"►S",IF(AND(COUNTIF($P$11:$AI$11,"▼")=0,H437&gt;0,I437=""),"◄M","")))))</f>
        <v/>
      </c>
      <c r="K437" s="641" t="s">
        <v>1391</v>
      </c>
      <c r="L437" s="165" t="s">
        <v>764</v>
      </c>
      <c r="M437" s="166">
        <f ca="1">IF($D437&lt;&gt;"Serviço","",
          IF(AUTOEVENTO="manual",$A437,
                IF(ISERROR(MATCH($A437,$A$15:OFFSET($A437,-1,0),0)),MAX($M$15:OFFSET(M437,-1,0))+1,
                      INDEX($M$15:OFFSET(M437,-1,0),MATCH($A437,$A$15:OFFSET($A437,-1,0),0)))))</f>
        <v>7</v>
      </c>
      <c r="N437" s="167" t="str">
        <f ca="1">IF($D437&lt;&gt;"Serviço","",
         IF(AUTOEVENTO="Manual",
                IF($A437=0,"&lt;-- defina o número do agrupador",
                       OFFSET(EVENTOS!$D$15,$A437-$A$15,0)),
                OFFSET($F$15,$A437,0)))</f>
        <v>Instalações Elétricas</v>
      </c>
      <c r="O437" s="168"/>
      <c r="Q437" s="168"/>
      <c r="R437" s="169"/>
      <c r="S437" s="169"/>
      <c r="T437" s="169"/>
      <c r="U437" s="169"/>
      <c r="V437" s="169"/>
      <c r="W437" s="169"/>
      <c r="X437" s="169">
        <f>22*4*10*2</f>
        <v>1760</v>
      </c>
      <c r="Y437" s="169"/>
      <c r="Z437" s="170"/>
      <c r="AA437" s="169"/>
      <c r="AB437" s="169"/>
      <c r="AC437" s="169"/>
      <c r="AD437" s="169"/>
      <c r="AE437" s="169"/>
      <c r="AF437" s="169"/>
      <c r="AG437" s="169"/>
      <c r="AH437" s="170"/>
      <c r="AJ437" s="453">
        <f ca="1">IF(AND($D437="Serviço",AJ$12&lt;&gt;0,$H437&gt;0,OR(AUTOEVENTO&lt;&gt;"manual",$M437&lt;&gt;$A$15)),
        IF(Import.TipoArredondamento&lt;&gt;"TransfereGOV",
              ROUND(OFFSET($P437,0,AJ$13),15-13*ORÇAMENTO!$AF$7)/$H437*OFFSET(ORÇAMENTO!$X$15,ROW(AJ437)-ROW(AJ$15),0),
              ROUND(ROUND(OFFSET($P437,0,AJ$13),15-13*ORÇAMENTO!$AF$7)*OFFSET(ORÇAMENTO!$W$15,ROW(AJ437)-ROW(AJ$15),0),15-13*ORÇAMENTO!$AF$11)),
         0)</f>
        <v>0</v>
      </c>
      <c r="AK437" s="453">
        <f ca="1">IF(AND($D437="Serviço",AK$12&lt;&gt;0,$H437&gt;0,OR(AUTOEVENTO&lt;&gt;"manual",$M437&lt;&gt;$A$15)),
        IF(Import.TipoArredondamento&lt;&gt;"TransfereGOV",
              ROUND(OFFSET($P437,0,AK$13),15-13*ORÇAMENTO!$AF$7)/$H437*OFFSET(ORÇAMENTO!$X$15,ROW(AK437)-ROW(AK$15),0),
              ROUND(ROUND(OFFSET($P437,0,AK$13),15-13*ORÇAMENTO!$AF$7)*OFFSET(ORÇAMENTO!$W$15,ROW(AK437)-ROW(AK$15),0),15-13*ORÇAMENTO!$AF$11)),
         0)</f>
        <v>0</v>
      </c>
      <c r="AL437" s="453">
        <f ca="1">IF(AND($D437="Serviço",AL$12&lt;&gt;0,$H437&gt;0,OR(AUTOEVENTO&lt;&gt;"manual",$M437&lt;&gt;$A$15)),
        IF(Import.TipoArredondamento&lt;&gt;"TransfereGOV",
              ROUND(OFFSET($P437,0,AL$13),15-13*ORÇAMENTO!$AF$7)/$H437*OFFSET(ORÇAMENTO!$X$15,ROW(AL437)-ROW(AL$15),0),
              ROUND(ROUND(OFFSET($P437,0,AL$13),15-13*ORÇAMENTO!$AF$7)*OFFSET(ORÇAMENTO!$W$15,ROW(AL437)-ROW(AL$15),0),15-13*ORÇAMENTO!$AF$11)),
         0)</f>
        <v>0</v>
      </c>
      <c r="AM437" s="453">
        <f ca="1">IF(AND($D437="Serviço",AM$12&lt;&gt;0,$H437&gt;0,OR(AUTOEVENTO&lt;&gt;"manual",$M437&lt;&gt;$A$15)),
        IF(Import.TipoArredondamento&lt;&gt;"TransfereGOV",
              ROUND(OFFSET($P437,0,AM$13),15-13*ORÇAMENTO!$AF$7)/$H437*OFFSET(ORÇAMENTO!$X$15,ROW(AM437)-ROW(AM$15),0),
              ROUND(ROUND(OFFSET($P437,0,AM$13),15-13*ORÇAMENTO!$AF$7)*OFFSET(ORÇAMENTO!$W$15,ROW(AM437)-ROW(AM$15),0),15-13*ORÇAMENTO!$AF$11)),
         0)</f>
        <v>0</v>
      </c>
      <c r="AN437" s="453">
        <f ca="1">IF(AND($D437="Serviço",AN$12&lt;&gt;0,$H437&gt;0,OR(AUTOEVENTO&lt;&gt;"manual",$M437&lt;&gt;$A$15)),
        IF(Import.TipoArredondamento&lt;&gt;"TransfereGOV",
              ROUND(OFFSET($P437,0,AN$13),15-13*ORÇAMENTO!$AF$7)/$H437*OFFSET(ORÇAMENTO!$X$15,ROW(AN437)-ROW(AN$15),0),
              ROUND(ROUND(OFFSET($P437,0,AN$13),15-13*ORÇAMENTO!$AF$7)*OFFSET(ORÇAMENTO!$W$15,ROW(AN437)-ROW(AN$15),0),15-13*ORÇAMENTO!$AF$11)),
         0)</f>
        <v>0</v>
      </c>
      <c r="AO437" s="453">
        <f ca="1">IF(AND($D437="Serviço",AO$12&lt;&gt;0,$H437&gt;0,OR(AUTOEVENTO&lt;&gt;"manual",$M437&lt;&gt;$A$15)),
        IF(Import.TipoArredondamento&lt;&gt;"TransfereGOV",
              ROUND(OFFSET($P437,0,AO$13),15-13*ORÇAMENTO!$AF$7)/$H437*OFFSET(ORÇAMENTO!$X$15,ROW(AO437)-ROW(AO$15),0),
              ROUND(ROUND(OFFSET($P437,0,AO$13),15-13*ORÇAMENTO!$AF$7)*OFFSET(ORÇAMENTO!$W$15,ROW(AO437)-ROW(AO$15),0),15-13*ORÇAMENTO!$AF$11)),
         0)</f>
        <v>0</v>
      </c>
      <c r="AP437" s="453">
        <f ca="1">IF(AND($D437="Serviço",AP$12&lt;&gt;0,$H437&gt;0,OR(AUTOEVENTO&lt;&gt;"manual",$M437&lt;&gt;$A$15)),
        IF(Import.TipoArredondamento&lt;&gt;"TransfereGOV",
              ROUND(OFFSET($P437,0,AP$13),15-13*ORÇAMENTO!$AF$7)/$H437*OFFSET(ORÇAMENTO!$X$15,ROW(AP437)-ROW(AP$15),0),
              ROUND(ROUND(OFFSET($P437,0,AP$13),15-13*ORÇAMENTO!$AF$7)*OFFSET(ORÇAMENTO!$W$15,ROW(AP437)-ROW(AP$15),0),15-13*ORÇAMENTO!$AF$11)),
         0)</f>
        <v>0</v>
      </c>
      <c r="AQ437" s="453">
        <f ca="1">IF(AND($D437="Serviço",AQ$12&lt;&gt;0,$H437&gt;0,OR(AUTOEVENTO&lt;&gt;"manual",$M437&lt;&gt;$A$15)),
        IF(Import.TipoArredondamento&lt;&gt;"TransfereGOV",
              ROUND(OFFSET($P437,0,AQ$13),15-13*ORÇAMENTO!$AF$7)/$H437*OFFSET(ORÇAMENTO!$X$15,ROW(AQ437)-ROW(AQ$15),0),
              ROUND(ROUND(OFFSET($P437,0,AQ$13),15-13*ORÇAMENTO!$AF$7)*OFFSET(ORÇAMENTO!$W$15,ROW(AQ437)-ROW(AQ$15),0),15-13*ORÇAMENTO!$AF$11)),
         0)</f>
        <v>0</v>
      </c>
      <c r="AR437" s="453">
        <f ca="1">IF(AND($D437="Serviço",AR$12&lt;&gt;0,$H437&gt;0,OR(AUTOEVENTO&lt;&gt;"manual",$M437&lt;&gt;$A$15)),
        IF(Import.TipoArredondamento&lt;&gt;"TransfereGOV",
              ROUND(OFFSET($P437,0,AR$13),15-13*ORÇAMENTO!$AF$7)/$H437*OFFSET(ORÇAMENTO!$X$15,ROW(AR437)-ROW(AR$15),0),
              ROUND(ROUND(OFFSET($P437,0,AR$13),15-13*ORÇAMENTO!$AF$7)*OFFSET(ORÇAMENTO!$W$15,ROW(AR437)-ROW(AR$15),0),15-13*ORÇAMENTO!$AF$11)),
         0)</f>
        <v>0</v>
      </c>
      <c r="AS437" s="453">
        <f ca="1">IF(AND($D437="Serviço",AS$12&lt;&gt;0,$H437&gt;0,OR(AUTOEVENTO&lt;&gt;"manual",$M437&lt;&gt;$A$15)),
        IF(Import.TipoArredondamento&lt;&gt;"TransfereGOV",
              ROUND(OFFSET($P437,0,AS$13),15-13*ORÇAMENTO!$AF$7)/$H437*OFFSET(ORÇAMENTO!$X$15,ROW(AS437)-ROW(AS$15),0),
              ROUND(ROUND(OFFSET($P437,0,AS$13),15-13*ORÇAMENTO!$AF$7)*OFFSET(ORÇAMENTO!$W$15,ROW(AS437)-ROW(AS$15),0),15-13*ORÇAMENTO!$AF$11)),
         0)</f>
        <v>0</v>
      </c>
      <c r="AT437" s="453">
        <f ca="1">IF(AND($D437="Serviço",AT$12&lt;&gt;0,$H437&gt;0,OR(AUTOEVENTO&lt;&gt;"manual",$M437&lt;&gt;$A$15)),
        IF(Import.TipoArredondamento&lt;&gt;"TransfereGOV",
              ROUND(OFFSET($P437,0,AT$13),15-13*ORÇAMENTO!$AF$7)/$H437*OFFSET(ORÇAMENTO!$X$15,ROW(AT437)-ROW(AT$15),0),
              ROUND(ROUND(OFFSET($P437,0,AT$13),15-13*ORÇAMENTO!$AF$7)*OFFSET(ORÇAMENTO!$W$15,ROW(AT437)-ROW(AT$15),0),15-13*ORÇAMENTO!$AF$11)),
         0)</f>
        <v>0</v>
      </c>
      <c r="AU437" s="453">
        <f ca="1">IF(AND($D437="Serviço",AU$12&lt;&gt;0,$H437&gt;0,OR(AUTOEVENTO&lt;&gt;"manual",$M437&lt;&gt;$A$15)),
        IF(Import.TipoArredondamento&lt;&gt;"TransfereGOV",
              ROUND(OFFSET($P437,0,AU$13),15-13*ORÇAMENTO!$AF$7)/$H437*OFFSET(ORÇAMENTO!$X$15,ROW(AU437)-ROW(AU$15),0),
              ROUND(ROUND(OFFSET($P437,0,AU$13),15-13*ORÇAMENTO!$AF$7)*OFFSET(ORÇAMENTO!$W$15,ROW(AU437)-ROW(AU$15),0),15-13*ORÇAMENTO!$AF$11)),
         0)</f>
        <v>0</v>
      </c>
      <c r="AV437" s="453">
        <f ca="1">IF(AND($D437="Serviço",AV$12&lt;&gt;0,$H437&gt;0,OR(AUTOEVENTO&lt;&gt;"manual",$M437&lt;&gt;$A$15)),
        IF(Import.TipoArredondamento&lt;&gt;"TransfereGOV",
              ROUND(OFFSET($P437,0,AV$13),15-13*ORÇAMENTO!$AF$7)/$H437*OFFSET(ORÇAMENTO!$X$15,ROW(AV437)-ROW(AV$15),0),
              ROUND(ROUND(OFFSET($P437,0,AV$13),15-13*ORÇAMENTO!$AF$7)*OFFSET(ORÇAMENTO!$W$15,ROW(AV437)-ROW(AV$15),0),15-13*ORÇAMENTO!$AF$11)),
         0)</f>
        <v>0</v>
      </c>
      <c r="AW437" s="453">
        <f ca="1">IF(AND($D437="Serviço",AW$12&lt;&gt;0,$H437&gt;0,OR(AUTOEVENTO&lt;&gt;"manual",$M437&lt;&gt;$A$15)),
        IF(Import.TipoArredondamento&lt;&gt;"TransfereGOV",
              ROUND(OFFSET($P437,0,AW$13),15-13*ORÇAMENTO!$AF$7)/$H437*OFFSET(ORÇAMENTO!$X$15,ROW(AW437)-ROW(AW$15),0),
              ROUND(ROUND(OFFSET($P437,0,AW$13),15-13*ORÇAMENTO!$AF$7)*OFFSET(ORÇAMENTO!$W$15,ROW(AW437)-ROW(AW$15),0),15-13*ORÇAMENTO!$AF$11)),
         0)</f>
        <v>0</v>
      </c>
      <c r="AX437" s="453">
        <f ca="1">IF(AND($D437="Serviço",AX$12&lt;&gt;0,$H437&gt;0,OR(AUTOEVENTO&lt;&gt;"manual",$M437&lt;&gt;$A$15)),
        IF(Import.TipoArredondamento&lt;&gt;"TransfereGOV",
              ROUND(OFFSET($P437,0,AX$13),15-13*ORÇAMENTO!$AF$7)/$H437*OFFSET(ORÇAMENTO!$X$15,ROW(AX437)-ROW(AX$15),0),
              ROUND(ROUND(OFFSET($P437,0,AX$13),15-13*ORÇAMENTO!$AF$7)*OFFSET(ORÇAMENTO!$W$15,ROW(AX437)-ROW(AX$15),0),15-13*ORÇAMENTO!$AF$11)),
         0)</f>
        <v>0</v>
      </c>
      <c r="AY437" s="453">
        <f ca="1">IF(AND($D437="Serviço",AY$12&lt;&gt;0,$H437&gt;0,OR(AUTOEVENTO&lt;&gt;"manual",$M437&lt;&gt;$A$15)),
        IF(Import.TipoArredondamento&lt;&gt;"TransfereGOV",
              ROUND(OFFSET($P437,0,AY$13),15-13*ORÇAMENTO!$AF$7)/$H437*OFFSET(ORÇAMENTO!$X$15,ROW(AY437)-ROW(AY$15),0),
              ROUND(ROUND(OFFSET($P437,0,AY$13),15-13*ORÇAMENTO!$AF$7)*OFFSET(ORÇAMENTO!$W$15,ROW(AY437)-ROW(AY$15),0),15-13*ORÇAMENTO!$AF$11)),
         0)</f>
        <v>0</v>
      </c>
      <c r="AZ437" s="453">
        <f ca="1">IF(AND($D437="Serviço",AZ$12&lt;&gt;0,$H437&gt;0,OR(AUTOEVENTO&lt;&gt;"manual",$M437&lt;&gt;$A$15)),
        IF(Import.TipoArredondamento&lt;&gt;"TransfereGOV",
              ROUND(OFFSET($P437,0,AZ$13),15-13*ORÇAMENTO!$AF$7)/$H437*OFFSET(ORÇAMENTO!$X$15,ROW(AZ437)-ROW(AZ$15),0),
              ROUND(ROUND(OFFSET($P437,0,AZ$13),15-13*ORÇAMENTO!$AF$7)*OFFSET(ORÇAMENTO!$W$15,ROW(AZ437)-ROW(AZ$15),0),15-13*ORÇAMENTO!$AF$11)),
         0)</f>
        <v>0</v>
      </c>
      <c r="BA437" s="453">
        <f ca="1">IF(AND($D437="Serviço",BA$12&lt;&gt;0,$H437&gt;0,OR(AUTOEVENTO&lt;&gt;"manual",$M437&lt;&gt;$A$15)),
        IF(Import.TipoArredondamento&lt;&gt;"TransfereGOV",
              ROUND(OFFSET($P437,0,BA$13),15-13*ORÇAMENTO!$AF$7)/$H437*OFFSET(ORÇAMENTO!$X$15,ROW(BA437)-ROW(BA$15),0),
              ROUND(ROUND(OFFSET($P437,0,BA$13),15-13*ORÇAMENTO!$AF$7)*OFFSET(ORÇAMENTO!$W$15,ROW(BA437)-ROW(BA$15),0),15-13*ORÇAMENTO!$AF$11)),
         0)</f>
        <v>0</v>
      </c>
      <c r="BC437" s="171">
        <f ca="1">IF(OR($D437&lt;&gt;"Serviço",AND(AUTOEVENTO="Manual",$M437=$A$15)),0,
         IF(OFFSET(CRONOPLE!$F$15,$M437-$A$15,BC$13)=0,10^12,OFFSET(CRONOPLE!$F$15,$M437-$A$15,BC$13)))</f>
        <v>1</v>
      </c>
      <c r="BD437" s="171">
        <f ca="1">IF(OR($D437&lt;&gt;"Serviço",AND(AUTOEVENTO="Manual",$M437=$A$15)),0,
         IF(OFFSET(CRONOPLE!$F$15,$M437-$A$15,BD$13)=0,10^12,OFFSET(CRONOPLE!$F$15,$M437-$A$15,BD$13)))</f>
        <v>2</v>
      </c>
      <c r="BE437" s="171">
        <f ca="1">IF(OR($D437&lt;&gt;"Serviço",AND(AUTOEVENTO="Manual",$M437=$A$15)),0,
         IF(OFFSET(CRONOPLE!$F$15,$M437-$A$15,BE$13)=0,10^12,OFFSET(CRONOPLE!$F$15,$M437-$A$15,BE$13)))</f>
        <v>3</v>
      </c>
      <c r="BF437" s="171">
        <f ca="1">IF(OR($D437&lt;&gt;"Serviço",AND(AUTOEVENTO="Manual",$M437=$A$15)),0,
         IF(OFFSET(CRONOPLE!$F$15,$M437-$A$15,BF$13)=0,10^12,OFFSET(CRONOPLE!$F$15,$M437-$A$15,BF$13)))</f>
        <v>4</v>
      </c>
      <c r="BG437" s="171">
        <f ca="1">IF(OR($D437&lt;&gt;"Serviço",AND(AUTOEVENTO="Manual",$M437=$A$15)),0,
         IF(OFFSET(CRONOPLE!$F$15,$M437-$A$15,BG$13)=0,10^12,OFFSET(CRONOPLE!$F$15,$M437-$A$15,BG$13)))</f>
        <v>5</v>
      </c>
      <c r="BH437" s="171">
        <f ca="1">IF(OR($D437&lt;&gt;"Serviço",AND(AUTOEVENTO="Manual",$M437=$A$15)),0,
         IF(OFFSET(CRONOPLE!$F$15,$M437-$A$15,BH$13)=0,10^12,OFFSET(CRONOPLE!$F$15,$M437-$A$15,BH$13)))</f>
        <v>6</v>
      </c>
      <c r="BI437" s="171">
        <f ca="1">IF(OR($D437&lt;&gt;"Serviço",AND(AUTOEVENTO="Manual",$M437=$A$15)),0,
         IF(OFFSET(CRONOPLE!$F$15,$M437-$A$15,BI$13)=0,10^12,OFFSET(CRONOPLE!$F$15,$M437-$A$15,BI$13)))</f>
        <v>7</v>
      </c>
      <c r="BJ437" s="171">
        <f ca="1">IF(OR($D437&lt;&gt;"Serviço",AND(AUTOEVENTO="Manual",$M437=$A$15)),0,
         IF(OFFSET(CRONOPLE!$F$15,$M437-$A$15,BJ$13)=0,10^12,OFFSET(CRONOPLE!$F$15,$M437-$A$15,BJ$13)))</f>
        <v>8</v>
      </c>
      <c r="BK437" s="171">
        <f ca="1">IF(OR($D437&lt;&gt;"Serviço",AND(AUTOEVENTO="Manual",$M437=$A$15)),0,
         IF(OFFSET(CRONOPLE!$F$15,$M437-$A$15,BK$13)=0,10^12,OFFSET(CRONOPLE!$F$15,$M437-$A$15,BK$13)))</f>
        <v>9</v>
      </c>
      <c r="BL437" s="171">
        <f ca="1">IF(OR($D437&lt;&gt;"Serviço",AND(AUTOEVENTO="Manual",$M437=$A$15)),0,
         IF(OFFSET(CRONOPLE!$F$15,$M437-$A$15,BL$13)=0,10^12,OFFSET(CRONOPLE!$F$15,$M437-$A$15,BL$13)))</f>
        <v>1000000000000</v>
      </c>
      <c r="BM437" s="171">
        <f ca="1">IF(OR($D437&lt;&gt;"Serviço",AND(AUTOEVENTO="Manual",$M437=$A$15)),0,
         IF(OFFSET(CRONOPLE!$F$15,$M437-$A$15,BM$13)=0,10^12,OFFSET(CRONOPLE!$F$15,$M437-$A$15,BM$13)))</f>
        <v>1000000000000</v>
      </c>
      <c r="BN437" s="171">
        <f ca="1">IF(OR($D437&lt;&gt;"Serviço",AND(AUTOEVENTO="Manual",$M437=$A$15)),0,
         IF(OFFSET(CRONOPLE!$F$15,$M437-$A$15,BN$13)=0,10^12,OFFSET(CRONOPLE!$F$15,$M437-$A$15,BN$13)))</f>
        <v>1000000000000</v>
      </c>
      <c r="BO437" s="171">
        <f ca="1">IF(OR($D437&lt;&gt;"Serviço",AND(AUTOEVENTO="Manual",$M437=$A$15)),0,
         IF(OFFSET(CRONOPLE!$F$15,$M437-$A$15,BO$13)=0,10^12,OFFSET(CRONOPLE!$F$15,$M437-$A$15,BO$13)))</f>
        <v>1000000000000</v>
      </c>
      <c r="BP437" s="171">
        <f ca="1">IF(OR($D437&lt;&gt;"Serviço",AND(AUTOEVENTO="Manual",$M437=$A$15)),0,
         IF(OFFSET(CRONOPLE!$F$15,$M437-$A$15,BP$13)=0,10^12,OFFSET(CRONOPLE!$F$15,$M437-$A$15,BP$13)))</f>
        <v>1000000000000</v>
      </c>
      <c r="BQ437" s="171">
        <f ca="1">IF(OR($D437&lt;&gt;"Serviço",AND(AUTOEVENTO="Manual",$M437=$A$15)),0,
         IF(OFFSET(CRONOPLE!$F$15,$M437-$A$15,BQ$13)=0,10^12,OFFSET(CRONOPLE!$F$15,$M437-$A$15,BQ$13)))</f>
        <v>1000000000000</v>
      </c>
      <c r="BR437" s="171">
        <f ca="1">IF(OR($D437&lt;&gt;"Serviço",AND(AUTOEVENTO="Manual",$M437=$A$15)),0,
         IF(OFFSET(CRONOPLE!$F$15,$M437-$A$15,BR$13)=0,10^12,OFFSET(CRONOPLE!$F$15,$M437-$A$15,BR$13)))</f>
        <v>1000000000000</v>
      </c>
      <c r="BS437" s="171">
        <f ca="1">IF(OR($D437&lt;&gt;"Serviço",AND(AUTOEVENTO="Manual",$M437=$A$15)),0,
         IF(OFFSET(CRONOPLE!$F$15,$M437-$A$15,BS$13)=0,10^12,OFFSET(CRONOPLE!$F$15,$M437-$A$15,BS$13)))</f>
        <v>1000000000000</v>
      </c>
      <c r="BT437" s="171">
        <f ca="1">IF(OR($D437&lt;&gt;"Serviço",AND(AUTOEVENTO="Manual",$M437=$A$15)),0,
         IF(OFFSET(CRONOPLE!$F$15,$M437-$A$15,BT$13)=0,10^12,OFFSET(CRONOPLE!$F$15,$M437-$A$15,BT$13)))</f>
        <v>1000000000000</v>
      </c>
      <c r="BV437" s="172">
        <f ca="1">IF(OR($D437&lt;&gt;"Serviço",AND(AUTOEVENTO="Manual",$M437=$A$15),$M437&gt;(ROW(PLE.lastrow)-ROW(PLE.firstrow))),0,
           IF(OFFSET(PLE!$G$15,$M437-$A$15,BV$13)="",10^12,OFFSET(PLE!$G$15,$M437-$A$15,BV$13)))</f>
        <v>1000000000000</v>
      </c>
      <c r="BW437" s="172">
        <f ca="1">IF(OR($D437&lt;&gt;"Serviço",AND(AUTOEVENTO="Manual",$M437=$A$15),$M437&gt;(ROW(PLE.lastrow)-ROW(PLE.firstrow))),0,
           IF(OFFSET(PLE!$G$15,$M437-$A$15,BW$13)="",10^12,OFFSET(PLE!$G$15,$M437-$A$15,BW$13)))</f>
        <v>1000000000000</v>
      </c>
      <c r="BX437" s="172">
        <f ca="1">IF(OR($D437&lt;&gt;"Serviço",AND(AUTOEVENTO="Manual",$M437=$A$15),$M437&gt;(ROW(PLE.lastrow)-ROW(PLE.firstrow))),0,
           IF(OFFSET(PLE!$G$15,$M437-$A$15,BX$13)="",10^12,OFFSET(PLE!$G$15,$M437-$A$15,BX$13)))</f>
        <v>1000000000000</v>
      </c>
      <c r="BY437" s="172">
        <f ca="1">IF(OR($D437&lt;&gt;"Serviço",AND(AUTOEVENTO="Manual",$M437=$A$15),$M437&gt;(ROW(PLE.lastrow)-ROW(PLE.firstrow))),0,
           IF(OFFSET(PLE!$G$15,$M437-$A$15,BY$13)="",10^12,OFFSET(PLE!$G$15,$M437-$A$15,BY$13)))</f>
        <v>1000000000000</v>
      </c>
      <c r="BZ437" s="172">
        <f ca="1">IF(OR($D437&lt;&gt;"Serviço",AND(AUTOEVENTO="Manual",$M437=$A$15),$M437&gt;(ROW(PLE.lastrow)-ROW(PLE.firstrow))),0,
           IF(OFFSET(PLE!$G$15,$M437-$A$15,BZ$13)="",10^12,OFFSET(PLE!$G$15,$M437-$A$15,BZ$13)))</f>
        <v>1000000000000</v>
      </c>
      <c r="CA437" s="172">
        <f ca="1">IF(OR($D437&lt;&gt;"Serviço",AND(AUTOEVENTO="Manual",$M437=$A$15),$M437&gt;(ROW(PLE.lastrow)-ROW(PLE.firstrow))),0,
           IF(OFFSET(PLE!$G$15,$M437-$A$15,CA$13)="",10^12,OFFSET(PLE!$G$15,$M437-$A$15,CA$13)))</f>
        <v>1000000000000</v>
      </c>
      <c r="CB437" s="172">
        <f ca="1">IF(OR($D437&lt;&gt;"Serviço",AND(AUTOEVENTO="Manual",$M437=$A$15),$M437&gt;(ROW(PLE.lastrow)-ROW(PLE.firstrow))),0,
           IF(OFFSET(PLE!$G$15,$M437-$A$15,CB$13)="",10^12,OFFSET(PLE!$G$15,$M437-$A$15,CB$13)))</f>
        <v>1000000000000</v>
      </c>
      <c r="CC437" s="172">
        <f ca="1">IF(OR($D437&lt;&gt;"Serviço",AND(AUTOEVENTO="Manual",$M437=$A$15),$M437&gt;(ROW(PLE.lastrow)-ROW(PLE.firstrow))),0,
           IF(OFFSET(PLE!$G$15,$M437-$A$15,CC$13)="",10^12,OFFSET(PLE!$G$15,$M437-$A$15,CC$13)))</f>
        <v>1000000000000</v>
      </c>
      <c r="CD437" s="172">
        <f ca="1">IF(OR($D437&lt;&gt;"Serviço",AND(AUTOEVENTO="Manual",$M437=$A$15),$M437&gt;(ROW(PLE.lastrow)-ROW(PLE.firstrow))),0,
           IF(OFFSET(PLE!$G$15,$M437-$A$15,CD$13)="",10^12,OFFSET(PLE!$G$15,$M437-$A$15,CD$13)))</f>
        <v>1000000000000</v>
      </c>
      <c r="CE437" s="172">
        <f ca="1">IF(OR($D437&lt;&gt;"Serviço",AND(AUTOEVENTO="Manual",$M437=$A$15),$M437&gt;(ROW(PLE.lastrow)-ROW(PLE.firstrow))),0,
           IF(OFFSET(PLE!$G$15,$M437-$A$15,CE$13)="",10^12,OFFSET(PLE!$G$15,$M437-$A$15,CE$13)))</f>
        <v>1000000000000</v>
      </c>
      <c r="CF437" s="172">
        <f ca="1">IF(OR($D437&lt;&gt;"Serviço",AND(AUTOEVENTO="Manual",$M437=$A$15),$M437&gt;(ROW(PLE.lastrow)-ROW(PLE.firstrow))),0,
           IF(OFFSET(PLE!$G$15,$M437-$A$15,CF$13)="",10^12,OFFSET(PLE!$G$15,$M437-$A$15,CF$13)))</f>
        <v>1000000000000</v>
      </c>
      <c r="CG437" s="172">
        <f ca="1">IF(OR($D437&lt;&gt;"Serviço",AND(AUTOEVENTO="Manual",$M437=$A$15),$M437&gt;(ROW(PLE.lastrow)-ROW(PLE.firstrow))),0,
           IF(OFFSET(PLE!$G$15,$M437-$A$15,CG$13)="",10^12,OFFSET(PLE!$G$15,$M437-$A$15,CG$13)))</f>
        <v>1000000000000</v>
      </c>
      <c r="CH437" s="172">
        <f ca="1">IF(OR($D437&lt;&gt;"Serviço",AND(AUTOEVENTO="Manual",$M437=$A$15),$M437&gt;(ROW(PLE.lastrow)-ROW(PLE.firstrow))),0,
           IF(OFFSET(PLE!$G$15,$M437-$A$15,CH$13)="",10^12,OFFSET(PLE!$G$15,$M437-$A$15,CH$13)))</f>
        <v>1000000000000</v>
      </c>
      <c r="CI437" s="172">
        <f ca="1">IF(OR($D437&lt;&gt;"Serviço",AND(AUTOEVENTO="Manual",$M437=$A$15),$M437&gt;(ROW(PLE.lastrow)-ROW(PLE.firstrow))),0,
           IF(OFFSET(PLE!$G$15,$M437-$A$15,CI$13)="",10^12,OFFSET(PLE!$G$15,$M437-$A$15,CI$13)))</f>
        <v>1000000000000</v>
      </c>
      <c r="CJ437" s="172">
        <f ca="1">IF(OR($D437&lt;&gt;"Serviço",AND(AUTOEVENTO="Manual",$M437=$A$15),$M437&gt;(ROW(PLE.lastrow)-ROW(PLE.firstrow))),0,
           IF(OFFSET(PLE!$G$15,$M437-$A$15,CJ$13)="",10^12,OFFSET(PLE!$G$15,$M437-$A$15,CJ$13)))</f>
        <v>1000000000000</v>
      </c>
      <c r="CK437" s="172">
        <f ca="1">IF(OR($D437&lt;&gt;"Serviço",AND(AUTOEVENTO="Manual",$M437=$A$15),$M437&gt;(ROW(PLE.lastrow)-ROW(PLE.firstrow))),0,
           IF(OFFSET(PLE!$G$15,$M437-$A$15,CK$13)="",10^12,OFFSET(PLE!$G$15,$M437-$A$15,CK$13)))</f>
        <v>1000000000000</v>
      </c>
      <c r="CL437" s="172">
        <f ca="1">IF(OR($D437&lt;&gt;"Serviço",AND(AUTOEVENTO="Manual",$M437=$A$15),$M437&gt;(ROW(PLE.lastrow)-ROW(PLE.firstrow))),0,
           IF(OFFSET(PLE!$G$15,$M437-$A$15,CL$13)="",10^12,OFFSET(PLE!$G$15,$M437-$A$15,CL$13)))</f>
        <v>1000000000000</v>
      </c>
      <c r="CM437" s="172">
        <f ca="1">IF(OR($D437&lt;&gt;"Serviço",AND(AUTOEVENTO="Manual",$M437=$A$15),$M437&gt;(ROW(PLE.lastrow)-ROW(PLE.firstrow))),0,
           IF(OFFSET(PLE!$G$15,$M437-$A$15,CM$13)="",10^12,OFFSET(PLE!$G$15,$M437-$A$15,CM$13)))</f>
        <v>1000000000000</v>
      </c>
    </row>
    <row r="438" spans="1:91" ht="38.25" x14ac:dyDescent="0.2">
      <c r="A438" s="7">
        <f t="shared" ca="1" si="16"/>
        <v>7</v>
      </c>
      <c r="B438" s="7" t="str">
        <f ca="1">OFFSET(ORÇAMENTO!C$15,ROW(B438)-ROW(B$15),0)</f>
        <v>S</v>
      </c>
      <c r="C438" s="7" t="str">
        <f ca="1">OFFSET(ORÇAMENTO!L$15,ROW(C438)-ROW(C$15),0)</f>
        <v>F</v>
      </c>
      <c r="D438" s="116" t="str">
        <f ca="1">OFFSET(ORÇAMENTO!N$15,ROW(D438)-ROW(D$15),0)</f>
        <v>Serviço</v>
      </c>
      <c r="E438" s="117" t="str">
        <f ca="1">OFFSET(ORÇAMENTO!O$15,ROW(E438)-ROW(E$15),0)</f>
        <v>1.8.2.5.4.</v>
      </c>
      <c r="F438" s="163" t="str">
        <f ca="1">OFFSET(ORÇAMENTO!R$15,ROW(F438)-ROW(F$15),0)</f>
        <v>INSTALAÇÃO DE GRUPO GERADOR DIESEL 50KVA, CARENADO SILENCIOSO, FREQUÊNCIA 60HZ, INCLUSO QTA - BASEADO EM SBC 065023</v>
      </c>
      <c r="G438" s="164" t="str">
        <f ca="1">IF($D438&lt;&gt;"Serviço","",OFFSET(ORÇAMENTO!S$15,ROW(G438)-ROW(G$15),0))</f>
        <v>UN</v>
      </c>
      <c r="H438" s="122" cm="1">
        <f t="array" aca="1" ref="H438" ca="1">IF($D438&lt;&gt;"Serviço",0,IF(ACOMPANHAMENTO="BM",ROUND(OFFSET(ORÇAMENTO!AJ$15,ROW(H438)-ROW(H$15),0),15-13*ORÇAMENTO!$AF$7),SUMPRODUCT(($Q$1:$AI$1=1)*ROUND($Q438:$AI438,15-13*ORÇAMENTO!$AF$7))))</f>
        <v>1</v>
      </c>
      <c r="I438" s="468" t="s">
        <v>1431</v>
      </c>
      <c r="J438" s="640" t="str" cm="1">
        <f t="array" aca="1" ref="J438" ca="1">IF(OR(B438&lt;&gt;"S",CÁLCULO.FrentesPreenchidas=0),"",IF(AND(ACOMPANHAMENTO="PLE",AUTOEVENTO="Manual",OR(H438&gt;0,ORÇAMENTO!AC438="QUANT."),OR(K438="",M438=0,N438="")),"►E",IF(AND(ACOMPANHAMENTO="PLE",ORÇAMENTO!AC438="QUANT."),"►Q",IF(AND(ACOMPANHAMENTO="PLE",H438&lt;&gt;SUMPRODUCT(($Q$1:$AI$1=1)*ROUND(Q438:AI438,15))),"►S",IF(AND(COUNTIF($P$11:$AI$11,"▼")=0,H438&gt;0,I438=""),"◄M","")))))</f>
        <v/>
      </c>
      <c r="K438" s="641" t="s">
        <v>1391</v>
      </c>
      <c r="L438" s="165" t="s">
        <v>764</v>
      </c>
      <c r="M438" s="166">
        <f ca="1">IF($D438&lt;&gt;"Serviço","",
          IF(AUTOEVENTO="manual",$A438,
                IF(ISERROR(MATCH($A438,$A$15:OFFSET($A438,-1,0),0)),MAX($M$15:OFFSET(M438,-1,0))+1,
                      INDEX($M$15:OFFSET(M438,-1,0),MATCH($A438,$A$15:OFFSET($A438,-1,0),0)))))</f>
        <v>7</v>
      </c>
      <c r="N438" s="167" t="str">
        <f ca="1">IF($D438&lt;&gt;"Serviço","",
         IF(AUTOEVENTO="Manual",
                IF($A438=0,"&lt;-- defina o número do agrupador",
                       OFFSET(EVENTOS!$D$15,$A438-$A$15,0)),
                OFFSET($F$15,$A438,0)))</f>
        <v>Instalações Elétricas</v>
      </c>
      <c r="O438" s="168"/>
      <c r="Q438" s="168"/>
      <c r="R438" s="169"/>
      <c r="S438" s="169"/>
      <c r="T438" s="169"/>
      <c r="U438" s="169"/>
      <c r="V438" s="169"/>
      <c r="W438" s="169"/>
      <c r="X438" s="169">
        <v>1</v>
      </c>
      <c r="Y438" s="169"/>
      <c r="Z438" s="170"/>
      <c r="AA438" s="169"/>
      <c r="AB438" s="169"/>
      <c r="AC438" s="169"/>
      <c r="AD438" s="169"/>
      <c r="AE438" s="169"/>
      <c r="AF438" s="169"/>
      <c r="AG438" s="169"/>
      <c r="AH438" s="170"/>
      <c r="AJ438" s="453">
        <f ca="1">IF(AND($D438="Serviço",AJ$12&lt;&gt;0,$H438&gt;0,OR(AUTOEVENTO&lt;&gt;"manual",$M438&lt;&gt;$A$15)),
        IF(Import.TipoArredondamento&lt;&gt;"TransfereGOV",
              ROUND(OFFSET($P438,0,AJ$13),15-13*ORÇAMENTO!$AF$7)/$H438*OFFSET(ORÇAMENTO!$X$15,ROW(AJ438)-ROW(AJ$15),0),
              ROUND(ROUND(OFFSET($P438,0,AJ$13),15-13*ORÇAMENTO!$AF$7)*OFFSET(ORÇAMENTO!$W$15,ROW(AJ438)-ROW(AJ$15),0),15-13*ORÇAMENTO!$AF$11)),
         0)</f>
        <v>0</v>
      </c>
      <c r="AK438" s="453">
        <f ca="1">IF(AND($D438="Serviço",AK$12&lt;&gt;0,$H438&gt;0,OR(AUTOEVENTO&lt;&gt;"manual",$M438&lt;&gt;$A$15)),
        IF(Import.TipoArredondamento&lt;&gt;"TransfereGOV",
              ROUND(OFFSET($P438,0,AK$13),15-13*ORÇAMENTO!$AF$7)/$H438*OFFSET(ORÇAMENTO!$X$15,ROW(AK438)-ROW(AK$15),0),
              ROUND(ROUND(OFFSET($P438,0,AK$13),15-13*ORÇAMENTO!$AF$7)*OFFSET(ORÇAMENTO!$W$15,ROW(AK438)-ROW(AK$15),0),15-13*ORÇAMENTO!$AF$11)),
         0)</f>
        <v>0</v>
      </c>
      <c r="AL438" s="453">
        <f ca="1">IF(AND($D438="Serviço",AL$12&lt;&gt;0,$H438&gt;0,OR(AUTOEVENTO&lt;&gt;"manual",$M438&lt;&gt;$A$15)),
        IF(Import.TipoArredondamento&lt;&gt;"TransfereGOV",
              ROUND(OFFSET($P438,0,AL$13),15-13*ORÇAMENTO!$AF$7)/$H438*OFFSET(ORÇAMENTO!$X$15,ROW(AL438)-ROW(AL$15),0),
              ROUND(ROUND(OFFSET($P438,0,AL$13),15-13*ORÇAMENTO!$AF$7)*OFFSET(ORÇAMENTO!$W$15,ROW(AL438)-ROW(AL$15),0),15-13*ORÇAMENTO!$AF$11)),
         0)</f>
        <v>0</v>
      </c>
      <c r="AM438" s="453">
        <f ca="1">IF(AND($D438="Serviço",AM$12&lt;&gt;0,$H438&gt;0,OR(AUTOEVENTO&lt;&gt;"manual",$M438&lt;&gt;$A$15)),
        IF(Import.TipoArredondamento&lt;&gt;"TransfereGOV",
              ROUND(OFFSET($P438,0,AM$13),15-13*ORÇAMENTO!$AF$7)/$H438*OFFSET(ORÇAMENTO!$X$15,ROW(AM438)-ROW(AM$15),0),
              ROUND(ROUND(OFFSET($P438,0,AM$13),15-13*ORÇAMENTO!$AF$7)*OFFSET(ORÇAMENTO!$W$15,ROW(AM438)-ROW(AM$15),0),15-13*ORÇAMENTO!$AF$11)),
         0)</f>
        <v>0</v>
      </c>
      <c r="AN438" s="453">
        <f ca="1">IF(AND($D438="Serviço",AN$12&lt;&gt;0,$H438&gt;0,OR(AUTOEVENTO&lt;&gt;"manual",$M438&lt;&gt;$A$15)),
        IF(Import.TipoArredondamento&lt;&gt;"TransfereGOV",
              ROUND(OFFSET($P438,0,AN$13),15-13*ORÇAMENTO!$AF$7)/$H438*OFFSET(ORÇAMENTO!$X$15,ROW(AN438)-ROW(AN$15),0),
              ROUND(ROUND(OFFSET($P438,0,AN$13),15-13*ORÇAMENTO!$AF$7)*OFFSET(ORÇAMENTO!$W$15,ROW(AN438)-ROW(AN$15),0),15-13*ORÇAMENTO!$AF$11)),
         0)</f>
        <v>0</v>
      </c>
      <c r="AO438" s="453">
        <f ca="1">IF(AND($D438="Serviço",AO$12&lt;&gt;0,$H438&gt;0,OR(AUTOEVENTO&lt;&gt;"manual",$M438&lt;&gt;$A$15)),
        IF(Import.TipoArredondamento&lt;&gt;"TransfereGOV",
              ROUND(OFFSET($P438,0,AO$13),15-13*ORÇAMENTO!$AF$7)/$H438*OFFSET(ORÇAMENTO!$X$15,ROW(AO438)-ROW(AO$15),0),
              ROUND(ROUND(OFFSET($P438,0,AO$13),15-13*ORÇAMENTO!$AF$7)*OFFSET(ORÇAMENTO!$W$15,ROW(AO438)-ROW(AO$15),0),15-13*ORÇAMENTO!$AF$11)),
         0)</f>
        <v>0</v>
      </c>
      <c r="AP438" s="453">
        <f ca="1">IF(AND($D438="Serviço",AP$12&lt;&gt;0,$H438&gt;0,OR(AUTOEVENTO&lt;&gt;"manual",$M438&lt;&gt;$A$15)),
        IF(Import.TipoArredondamento&lt;&gt;"TransfereGOV",
              ROUND(OFFSET($P438,0,AP$13),15-13*ORÇAMENTO!$AF$7)/$H438*OFFSET(ORÇAMENTO!$X$15,ROW(AP438)-ROW(AP$15),0),
              ROUND(ROUND(OFFSET($P438,0,AP$13),15-13*ORÇAMENTO!$AF$7)*OFFSET(ORÇAMENTO!$W$15,ROW(AP438)-ROW(AP$15),0),15-13*ORÇAMENTO!$AF$11)),
         0)</f>
        <v>0</v>
      </c>
      <c r="AQ438" s="453">
        <f ca="1">IF(AND($D438="Serviço",AQ$12&lt;&gt;0,$H438&gt;0,OR(AUTOEVENTO&lt;&gt;"manual",$M438&lt;&gt;$A$15)),
        IF(Import.TipoArredondamento&lt;&gt;"TransfereGOV",
              ROUND(OFFSET($P438,0,AQ$13),15-13*ORÇAMENTO!$AF$7)/$H438*OFFSET(ORÇAMENTO!$X$15,ROW(AQ438)-ROW(AQ$15),0),
              ROUND(ROUND(OFFSET($P438,0,AQ$13),15-13*ORÇAMENTO!$AF$7)*OFFSET(ORÇAMENTO!$W$15,ROW(AQ438)-ROW(AQ$15),0),15-13*ORÇAMENTO!$AF$11)),
         0)</f>
        <v>0</v>
      </c>
      <c r="AR438" s="453">
        <f ca="1">IF(AND($D438="Serviço",AR$12&lt;&gt;0,$H438&gt;0,OR(AUTOEVENTO&lt;&gt;"manual",$M438&lt;&gt;$A$15)),
        IF(Import.TipoArredondamento&lt;&gt;"TransfereGOV",
              ROUND(OFFSET($P438,0,AR$13),15-13*ORÇAMENTO!$AF$7)/$H438*OFFSET(ORÇAMENTO!$X$15,ROW(AR438)-ROW(AR$15),0),
              ROUND(ROUND(OFFSET($P438,0,AR$13),15-13*ORÇAMENTO!$AF$7)*OFFSET(ORÇAMENTO!$W$15,ROW(AR438)-ROW(AR$15),0),15-13*ORÇAMENTO!$AF$11)),
         0)</f>
        <v>0</v>
      </c>
      <c r="AS438" s="453">
        <f ca="1">IF(AND($D438="Serviço",AS$12&lt;&gt;0,$H438&gt;0,OR(AUTOEVENTO&lt;&gt;"manual",$M438&lt;&gt;$A$15)),
        IF(Import.TipoArredondamento&lt;&gt;"TransfereGOV",
              ROUND(OFFSET($P438,0,AS$13),15-13*ORÇAMENTO!$AF$7)/$H438*OFFSET(ORÇAMENTO!$X$15,ROW(AS438)-ROW(AS$15),0),
              ROUND(ROUND(OFFSET($P438,0,AS$13),15-13*ORÇAMENTO!$AF$7)*OFFSET(ORÇAMENTO!$W$15,ROW(AS438)-ROW(AS$15),0),15-13*ORÇAMENTO!$AF$11)),
         0)</f>
        <v>0</v>
      </c>
      <c r="AT438" s="453">
        <f ca="1">IF(AND($D438="Serviço",AT$12&lt;&gt;0,$H438&gt;0,OR(AUTOEVENTO&lt;&gt;"manual",$M438&lt;&gt;$A$15)),
        IF(Import.TipoArredondamento&lt;&gt;"TransfereGOV",
              ROUND(OFFSET($P438,0,AT$13),15-13*ORÇAMENTO!$AF$7)/$H438*OFFSET(ORÇAMENTO!$X$15,ROW(AT438)-ROW(AT$15),0),
              ROUND(ROUND(OFFSET($P438,0,AT$13),15-13*ORÇAMENTO!$AF$7)*OFFSET(ORÇAMENTO!$W$15,ROW(AT438)-ROW(AT$15),0),15-13*ORÇAMENTO!$AF$11)),
         0)</f>
        <v>0</v>
      </c>
      <c r="AU438" s="453">
        <f ca="1">IF(AND($D438="Serviço",AU$12&lt;&gt;0,$H438&gt;0,OR(AUTOEVENTO&lt;&gt;"manual",$M438&lt;&gt;$A$15)),
        IF(Import.TipoArredondamento&lt;&gt;"TransfereGOV",
              ROUND(OFFSET($P438,0,AU$13),15-13*ORÇAMENTO!$AF$7)/$H438*OFFSET(ORÇAMENTO!$X$15,ROW(AU438)-ROW(AU$15),0),
              ROUND(ROUND(OFFSET($P438,0,AU$13),15-13*ORÇAMENTO!$AF$7)*OFFSET(ORÇAMENTO!$W$15,ROW(AU438)-ROW(AU$15),0),15-13*ORÇAMENTO!$AF$11)),
         0)</f>
        <v>0</v>
      </c>
      <c r="AV438" s="453">
        <f ca="1">IF(AND($D438="Serviço",AV$12&lt;&gt;0,$H438&gt;0,OR(AUTOEVENTO&lt;&gt;"manual",$M438&lt;&gt;$A$15)),
        IF(Import.TipoArredondamento&lt;&gt;"TransfereGOV",
              ROUND(OFFSET($P438,0,AV$13),15-13*ORÇAMENTO!$AF$7)/$H438*OFFSET(ORÇAMENTO!$X$15,ROW(AV438)-ROW(AV$15),0),
              ROUND(ROUND(OFFSET($P438,0,AV$13),15-13*ORÇAMENTO!$AF$7)*OFFSET(ORÇAMENTO!$W$15,ROW(AV438)-ROW(AV$15),0),15-13*ORÇAMENTO!$AF$11)),
         0)</f>
        <v>0</v>
      </c>
      <c r="AW438" s="453">
        <f ca="1">IF(AND($D438="Serviço",AW$12&lt;&gt;0,$H438&gt;0,OR(AUTOEVENTO&lt;&gt;"manual",$M438&lt;&gt;$A$15)),
        IF(Import.TipoArredondamento&lt;&gt;"TransfereGOV",
              ROUND(OFFSET($P438,0,AW$13),15-13*ORÇAMENTO!$AF$7)/$H438*OFFSET(ORÇAMENTO!$X$15,ROW(AW438)-ROW(AW$15),0),
              ROUND(ROUND(OFFSET($P438,0,AW$13),15-13*ORÇAMENTO!$AF$7)*OFFSET(ORÇAMENTO!$W$15,ROW(AW438)-ROW(AW$15),0),15-13*ORÇAMENTO!$AF$11)),
         0)</f>
        <v>0</v>
      </c>
      <c r="AX438" s="453">
        <f ca="1">IF(AND($D438="Serviço",AX$12&lt;&gt;0,$H438&gt;0,OR(AUTOEVENTO&lt;&gt;"manual",$M438&lt;&gt;$A$15)),
        IF(Import.TipoArredondamento&lt;&gt;"TransfereGOV",
              ROUND(OFFSET($P438,0,AX$13),15-13*ORÇAMENTO!$AF$7)/$H438*OFFSET(ORÇAMENTO!$X$15,ROW(AX438)-ROW(AX$15),0),
              ROUND(ROUND(OFFSET($P438,0,AX$13),15-13*ORÇAMENTO!$AF$7)*OFFSET(ORÇAMENTO!$W$15,ROW(AX438)-ROW(AX$15),0),15-13*ORÇAMENTO!$AF$11)),
         0)</f>
        <v>0</v>
      </c>
      <c r="AY438" s="453">
        <f ca="1">IF(AND($D438="Serviço",AY$12&lt;&gt;0,$H438&gt;0,OR(AUTOEVENTO&lt;&gt;"manual",$M438&lt;&gt;$A$15)),
        IF(Import.TipoArredondamento&lt;&gt;"TransfereGOV",
              ROUND(OFFSET($P438,0,AY$13),15-13*ORÇAMENTO!$AF$7)/$H438*OFFSET(ORÇAMENTO!$X$15,ROW(AY438)-ROW(AY$15),0),
              ROUND(ROUND(OFFSET($P438,0,AY$13),15-13*ORÇAMENTO!$AF$7)*OFFSET(ORÇAMENTO!$W$15,ROW(AY438)-ROW(AY$15),0),15-13*ORÇAMENTO!$AF$11)),
         0)</f>
        <v>0</v>
      </c>
      <c r="AZ438" s="453">
        <f ca="1">IF(AND($D438="Serviço",AZ$12&lt;&gt;0,$H438&gt;0,OR(AUTOEVENTO&lt;&gt;"manual",$M438&lt;&gt;$A$15)),
        IF(Import.TipoArredondamento&lt;&gt;"TransfereGOV",
              ROUND(OFFSET($P438,0,AZ$13),15-13*ORÇAMENTO!$AF$7)/$H438*OFFSET(ORÇAMENTO!$X$15,ROW(AZ438)-ROW(AZ$15),0),
              ROUND(ROUND(OFFSET($P438,0,AZ$13),15-13*ORÇAMENTO!$AF$7)*OFFSET(ORÇAMENTO!$W$15,ROW(AZ438)-ROW(AZ$15),0),15-13*ORÇAMENTO!$AF$11)),
         0)</f>
        <v>0</v>
      </c>
      <c r="BA438" s="453">
        <f ca="1">IF(AND($D438="Serviço",BA$12&lt;&gt;0,$H438&gt;0,OR(AUTOEVENTO&lt;&gt;"manual",$M438&lt;&gt;$A$15)),
        IF(Import.TipoArredondamento&lt;&gt;"TransfereGOV",
              ROUND(OFFSET($P438,0,BA$13),15-13*ORÇAMENTO!$AF$7)/$H438*OFFSET(ORÇAMENTO!$X$15,ROW(BA438)-ROW(BA$15),0),
              ROUND(ROUND(OFFSET($P438,0,BA$13),15-13*ORÇAMENTO!$AF$7)*OFFSET(ORÇAMENTO!$W$15,ROW(BA438)-ROW(BA$15),0),15-13*ORÇAMENTO!$AF$11)),
         0)</f>
        <v>0</v>
      </c>
      <c r="BC438" s="171">
        <f ca="1">IF(OR($D438&lt;&gt;"Serviço",AND(AUTOEVENTO="Manual",$M438=$A$15)),0,
         IF(OFFSET(CRONOPLE!$F$15,$M438-$A$15,BC$13)=0,10^12,OFFSET(CRONOPLE!$F$15,$M438-$A$15,BC$13)))</f>
        <v>1</v>
      </c>
      <c r="BD438" s="171">
        <f ca="1">IF(OR($D438&lt;&gt;"Serviço",AND(AUTOEVENTO="Manual",$M438=$A$15)),0,
         IF(OFFSET(CRONOPLE!$F$15,$M438-$A$15,BD$13)=0,10^12,OFFSET(CRONOPLE!$F$15,$M438-$A$15,BD$13)))</f>
        <v>2</v>
      </c>
      <c r="BE438" s="171">
        <f ca="1">IF(OR($D438&lt;&gt;"Serviço",AND(AUTOEVENTO="Manual",$M438=$A$15)),0,
         IF(OFFSET(CRONOPLE!$F$15,$M438-$A$15,BE$13)=0,10^12,OFFSET(CRONOPLE!$F$15,$M438-$A$15,BE$13)))</f>
        <v>3</v>
      </c>
      <c r="BF438" s="171">
        <f ca="1">IF(OR($D438&lt;&gt;"Serviço",AND(AUTOEVENTO="Manual",$M438=$A$15)),0,
         IF(OFFSET(CRONOPLE!$F$15,$M438-$A$15,BF$13)=0,10^12,OFFSET(CRONOPLE!$F$15,$M438-$A$15,BF$13)))</f>
        <v>4</v>
      </c>
      <c r="BG438" s="171">
        <f ca="1">IF(OR($D438&lt;&gt;"Serviço",AND(AUTOEVENTO="Manual",$M438=$A$15)),0,
         IF(OFFSET(CRONOPLE!$F$15,$M438-$A$15,BG$13)=0,10^12,OFFSET(CRONOPLE!$F$15,$M438-$A$15,BG$13)))</f>
        <v>5</v>
      </c>
      <c r="BH438" s="171">
        <f ca="1">IF(OR($D438&lt;&gt;"Serviço",AND(AUTOEVENTO="Manual",$M438=$A$15)),0,
         IF(OFFSET(CRONOPLE!$F$15,$M438-$A$15,BH$13)=0,10^12,OFFSET(CRONOPLE!$F$15,$M438-$A$15,BH$13)))</f>
        <v>6</v>
      </c>
      <c r="BI438" s="171">
        <f ca="1">IF(OR($D438&lt;&gt;"Serviço",AND(AUTOEVENTO="Manual",$M438=$A$15)),0,
         IF(OFFSET(CRONOPLE!$F$15,$M438-$A$15,BI$13)=0,10^12,OFFSET(CRONOPLE!$F$15,$M438-$A$15,BI$13)))</f>
        <v>7</v>
      </c>
      <c r="BJ438" s="171">
        <f ca="1">IF(OR($D438&lt;&gt;"Serviço",AND(AUTOEVENTO="Manual",$M438=$A$15)),0,
         IF(OFFSET(CRONOPLE!$F$15,$M438-$A$15,BJ$13)=0,10^12,OFFSET(CRONOPLE!$F$15,$M438-$A$15,BJ$13)))</f>
        <v>8</v>
      </c>
      <c r="BK438" s="171">
        <f ca="1">IF(OR($D438&lt;&gt;"Serviço",AND(AUTOEVENTO="Manual",$M438=$A$15)),0,
         IF(OFFSET(CRONOPLE!$F$15,$M438-$A$15,BK$13)=0,10^12,OFFSET(CRONOPLE!$F$15,$M438-$A$15,BK$13)))</f>
        <v>9</v>
      </c>
      <c r="BL438" s="171">
        <f ca="1">IF(OR($D438&lt;&gt;"Serviço",AND(AUTOEVENTO="Manual",$M438=$A$15)),0,
         IF(OFFSET(CRONOPLE!$F$15,$M438-$A$15,BL$13)=0,10^12,OFFSET(CRONOPLE!$F$15,$M438-$A$15,BL$13)))</f>
        <v>1000000000000</v>
      </c>
      <c r="BM438" s="171">
        <f ca="1">IF(OR($D438&lt;&gt;"Serviço",AND(AUTOEVENTO="Manual",$M438=$A$15)),0,
         IF(OFFSET(CRONOPLE!$F$15,$M438-$A$15,BM$13)=0,10^12,OFFSET(CRONOPLE!$F$15,$M438-$A$15,BM$13)))</f>
        <v>1000000000000</v>
      </c>
      <c r="BN438" s="171">
        <f ca="1">IF(OR($D438&lt;&gt;"Serviço",AND(AUTOEVENTO="Manual",$M438=$A$15)),0,
         IF(OFFSET(CRONOPLE!$F$15,$M438-$A$15,BN$13)=0,10^12,OFFSET(CRONOPLE!$F$15,$M438-$A$15,BN$13)))</f>
        <v>1000000000000</v>
      </c>
      <c r="BO438" s="171">
        <f ca="1">IF(OR($D438&lt;&gt;"Serviço",AND(AUTOEVENTO="Manual",$M438=$A$15)),0,
         IF(OFFSET(CRONOPLE!$F$15,$M438-$A$15,BO$13)=0,10^12,OFFSET(CRONOPLE!$F$15,$M438-$A$15,BO$13)))</f>
        <v>1000000000000</v>
      </c>
      <c r="BP438" s="171">
        <f ca="1">IF(OR($D438&lt;&gt;"Serviço",AND(AUTOEVENTO="Manual",$M438=$A$15)),0,
         IF(OFFSET(CRONOPLE!$F$15,$M438-$A$15,BP$13)=0,10^12,OFFSET(CRONOPLE!$F$15,$M438-$A$15,BP$13)))</f>
        <v>1000000000000</v>
      </c>
      <c r="BQ438" s="171">
        <f ca="1">IF(OR($D438&lt;&gt;"Serviço",AND(AUTOEVENTO="Manual",$M438=$A$15)),0,
         IF(OFFSET(CRONOPLE!$F$15,$M438-$A$15,BQ$13)=0,10^12,OFFSET(CRONOPLE!$F$15,$M438-$A$15,BQ$13)))</f>
        <v>1000000000000</v>
      </c>
      <c r="BR438" s="171">
        <f ca="1">IF(OR($D438&lt;&gt;"Serviço",AND(AUTOEVENTO="Manual",$M438=$A$15)),0,
         IF(OFFSET(CRONOPLE!$F$15,$M438-$A$15,BR$13)=0,10^12,OFFSET(CRONOPLE!$F$15,$M438-$A$15,BR$13)))</f>
        <v>1000000000000</v>
      </c>
      <c r="BS438" s="171">
        <f ca="1">IF(OR($D438&lt;&gt;"Serviço",AND(AUTOEVENTO="Manual",$M438=$A$15)),0,
         IF(OFFSET(CRONOPLE!$F$15,$M438-$A$15,BS$13)=0,10^12,OFFSET(CRONOPLE!$F$15,$M438-$A$15,BS$13)))</f>
        <v>1000000000000</v>
      </c>
      <c r="BT438" s="171">
        <f ca="1">IF(OR($D438&lt;&gt;"Serviço",AND(AUTOEVENTO="Manual",$M438=$A$15)),0,
         IF(OFFSET(CRONOPLE!$F$15,$M438-$A$15,BT$13)=0,10^12,OFFSET(CRONOPLE!$F$15,$M438-$A$15,BT$13)))</f>
        <v>1000000000000</v>
      </c>
      <c r="BV438" s="172">
        <f ca="1">IF(OR($D438&lt;&gt;"Serviço",AND(AUTOEVENTO="Manual",$M438=$A$15),$M438&gt;(ROW(PLE.lastrow)-ROW(PLE.firstrow))),0,
           IF(OFFSET(PLE!$G$15,$M438-$A$15,BV$13)="",10^12,OFFSET(PLE!$G$15,$M438-$A$15,BV$13)))</f>
        <v>1000000000000</v>
      </c>
      <c r="BW438" s="172">
        <f ca="1">IF(OR($D438&lt;&gt;"Serviço",AND(AUTOEVENTO="Manual",$M438=$A$15),$M438&gt;(ROW(PLE.lastrow)-ROW(PLE.firstrow))),0,
           IF(OFFSET(PLE!$G$15,$M438-$A$15,BW$13)="",10^12,OFFSET(PLE!$G$15,$M438-$A$15,BW$13)))</f>
        <v>1000000000000</v>
      </c>
      <c r="BX438" s="172">
        <f ca="1">IF(OR($D438&lt;&gt;"Serviço",AND(AUTOEVENTO="Manual",$M438=$A$15),$M438&gt;(ROW(PLE.lastrow)-ROW(PLE.firstrow))),0,
           IF(OFFSET(PLE!$G$15,$M438-$A$15,BX$13)="",10^12,OFFSET(PLE!$G$15,$M438-$A$15,BX$13)))</f>
        <v>1000000000000</v>
      </c>
      <c r="BY438" s="172">
        <f ca="1">IF(OR($D438&lt;&gt;"Serviço",AND(AUTOEVENTO="Manual",$M438=$A$15),$M438&gt;(ROW(PLE.lastrow)-ROW(PLE.firstrow))),0,
           IF(OFFSET(PLE!$G$15,$M438-$A$15,BY$13)="",10^12,OFFSET(PLE!$G$15,$M438-$A$15,BY$13)))</f>
        <v>1000000000000</v>
      </c>
      <c r="BZ438" s="172">
        <f ca="1">IF(OR($D438&lt;&gt;"Serviço",AND(AUTOEVENTO="Manual",$M438=$A$15),$M438&gt;(ROW(PLE.lastrow)-ROW(PLE.firstrow))),0,
           IF(OFFSET(PLE!$G$15,$M438-$A$15,BZ$13)="",10^12,OFFSET(PLE!$G$15,$M438-$A$15,BZ$13)))</f>
        <v>1000000000000</v>
      </c>
      <c r="CA438" s="172">
        <f ca="1">IF(OR($D438&lt;&gt;"Serviço",AND(AUTOEVENTO="Manual",$M438=$A$15),$M438&gt;(ROW(PLE.lastrow)-ROW(PLE.firstrow))),0,
           IF(OFFSET(PLE!$G$15,$M438-$A$15,CA$13)="",10^12,OFFSET(PLE!$G$15,$M438-$A$15,CA$13)))</f>
        <v>1000000000000</v>
      </c>
      <c r="CB438" s="172">
        <f ca="1">IF(OR($D438&lt;&gt;"Serviço",AND(AUTOEVENTO="Manual",$M438=$A$15),$M438&gt;(ROW(PLE.lastrow)-ROW(PLE.firstrow))),0,
           IF(OFFSET(PLE!$G$15,$M438-$A$15,CB$13)="",10^12,OFFSET(PLE!$G$15,$M438-$A$15,CB$13)))</f>
        <v>1000000000000</v>
      </c>
      <c r="CC438" s="172">
        <f ca="1">IF(OR($D438&lt;&gt;"Serviço",AND(AUTOEVENTO="Manual",$M438=$A$15),$M438&gt;(ROW(PLE.lastrow)-ROW(PLE.firstrow))),0,
           IF(OFFSET(PLE!$G$15,$M438-$A$15,CC$13)="",10^12,OFFSET(PLE!$G$15,$M438-$A$15,CC$13)))</f>
        <v>1000000000000</v>
      </c>
      <c r="CD438" s="172">
        <f ca="1">IF(OR($D438&lt;&gt;"Serviço",AND(AUTOEVENTO="Manual",$M438=$A$15),$M438&gt;(ROW(PLE.lastrow)-ROW(PLE.firstrow))),0,
           IF(OFFSET(PLE!$G$15,$M438-$A$15,CD$13)="",10^12,OFFSET(PLE!$G$15,$M438-$A$15,CD$13)))</f>
        <v>1000000000000</v>
      </c>
      <c r="CE438" s="172">
        <f ca="1">IF(OR($D438&lt;&gt;"Serviço",AND(AUTOEVENTO="Manual",$M438=$A$15),$M438&gt;(ROW(PLE.lastrow)-ROW(PLE.firstrow))),0,
           IF(OFFSET(PLE!$G$15,$M438-$A$15,CE$13)="",10^12,OFFSET(PLE!$G$15,$M438-$A$15,CE$13)))</f>
        <v>1000000000000</v>
      </c>
      <c r="CF438" s="172">
        <f ca="1">IF(OR($D438&lt;&gt;"Serviço",AND(AUTOEVENTO="Manual",$M438=$A$15),$M438&gt;(ROW(PLE.lastrow)-ROW(PLE.firstrow))),0,
           IF(OFFSET(PLE!$G$15,$M438-$A$15,CF$13)="",10^12,OFFSET(PLE!$G$15,$M438-$A$15,CF$13)))</f>
        <v>1000000000000</v>
      </c>
      <c r="CG438" s="172">
        <f ca="1">IF(OR($D438&lt;&gt;"Serviço",AND(AUTOEVENTO="Manual",$M438=$A$15),$M438&gt;(ROW(PLE.lastrow)-ROW(PLE.firstrow))),0,
           IF(OFFSET(PLE!$G$15,$M438-$A$15,CG$13)="",10^12,OFFSET(PLE!$G$15,$M438-$A$15,CG$13)))</f>
        <v>1000000000000</v>
      </c>
      <c r="CH438" s="172">
        <f ca="1">IF(OR($D438&lt;&gt;"Serviço",AND(AUTOEVENTO="Manual",$M438=$A$15),$M438&gt;(ROW(PLE.lastrow)-ROW(PLE.firstrow))),0,
           IF(OFFSET(PLE!$G$15,$M438-$A$15,CH$13)="",10^12,OFFSET(PLE!$G$15,$M438-$A$15,CH$13)))</f>
        <v>1000000000000</v>
      </c>
      <c r="CI438" s="172">
        <f ca="1">IF(OR($D438&lt;&gt;"Serviço",AND(AUTOEVENTO="Manual",$M438=$A$15),$M438&gt;(ROW(PLE.lastrow)-ROW(PLE.firstrow))),0,
           IF(OFFSET(PLE!$G$15,$M438-$A$15,CI$13)="",10^12,OFFSET(PLE!$G$15,$M438-$A$15,CI$13)))</f>
        <v>1000000000000</v>
      </c>
      <c r="CJ438" s="172">
        <f ca="1">IF(OR($D438&lt;&gt;"Serviço",AND(AUTOEVENTO="Manual",$M438=$A$15),$M438&gt;(ROW(PLE.lastrow)-ROW(PLE.firstrow))),0,
           IF(OFFSET(PLE!$G$15,$M438-$A$15,CJ$13)="",10^12,OFFSET(PLE!$G$15,$M438-$A$15,CJ$13)))</f>
        <v>1000000000000</v>
      </c>
      <c r="CK438" s="172">
        <f ca="1">IF(OR($D438&lt;&gt;"Serviço",AND(AUTOEVENTO="Manual",$M438=$A$15),$M438&gt;(ROW(PLE.lastrow)-ROW(PLE.firstrow))),0,
           IF(OFFSET(PLE!$G$15,$M438-$A$15,CK$13)="",10^12,OFFSET(PLE!$G$15,$M438-$A$15,CK$13)))</f>
        <v>1000000000000</v>
      </c>
      <c r="CL438" s="172">
        <f ca="1">IF(OR($D438&lt;&gt;"Serviço",AND(AUTOEVENTO="Manual",$M438=$A$15),$M438&gt;(ROW(PLE.lastrow)-ROW(PLE.firstrow))),0,
           IF(OFFSET(PLE!$G$15,$M438-$A$15,CL$13)="",10^12,OFFSET(PLE!$G$15,$M438-$A$15,CL$13)))</f>
        <v>1000000000000</v>
      </c>
      <c r="CM438" s="172">
        <f ca="1">IF(OR($D438&lt;&gt;"Serviço",AND(AUTOEVENTO="Manual",$M438=$A$15),$M438&gt;(ROW(PLE.lastrow)-ROW(PLE.firstrow))),0,
           IF(OFFSET(PLE!$G$15,$M438-$A$15,CM$13)="",10^12,OFFSET(PLE!$G$15,$M438-$A$15,CM$13)))</f>
        <v>1000000000000</v>
      </c>
    </row>
    <row r="439" spans="1:91" ht="25.5" x14ac:dyDescent="0.2">
      <c r="A439" s="7">
        <f t="shared" ca="1" si="16"/>
        <v>7</v>
      </c>
      <c r="B439" s="7" t="str">
        <f ca="1">OFFSET(ORÇAMENTO!C$15,ROW(B439)-ROW(B$15),0)</f>
        <v>S</v>
      </c>
      <c r="C439" s="7" t="str">
        <f ca="1">OFFSET(ORÇAMENTO!L$15,ROW(C439)-ROW(C$15),0)</f>
        <v>F</v>
      </c>
      <c r="D439" s="116" t="str">
        <f ca="1">OFFSET(ORÇAMENTO!N$15,ROW(D439)-ROW(D$15),0)</f>
        <v>Serviço</v>
      </c>
      <c r="E439" s="117" t="str">
        <f ca="1">OFFSET(ORÇAMENTO!O$15,ROW(E439)-ROW(E$15),0)</f>
        <v>1.8.2.5.5.</v>
      </c>
      <c r="F439" s="163" t="str">
        <f ca="1">OFFSET(ORÇAMENTO!R$15,ROW(F439)-ROW(F$15),0)</f>
        <v>GRUPO GERADOR REBOCÁVEL, POTÊNCIA 66 KVA, MOTOR A DIESEL - CHP DIURNO. AF_03/2016</v>
      </c>
      <c r="G439" s="164" t="str">
        <f ca="1">IF($D439&lt;&gt;"Serviço","",OFFSET(ORÇAMENTO!S$15,ROW(G439)-ROW(G$15),0))</f>
        <v>CHP</v>
      </c>
      <c r="H439" s="122" cm="1">
        <f t="array" aca="1" ref="H439" ca="1">IF($D439&lt;&gt;"Serviço",0,IF(ACOMPANHAMENTO="BM",ROUND(OFFSET(ORÇAMENTO!AJ$15,ROW(H439)-ROW(H$15),0),15-13*ORÇAMENTO!$AF$7),SUMPRODUCT(($Q$1:$AI$1=1)*ROUND($Q439:$AI439,15-13*ORÇAMENTO!$AF$7))))</f>
        <v>880</v>
      </c>
      <c r="I439" s="468" t="s">
        <v>1451</v>
      </c>
      <c r="J439" s="640" t="str" cm="1">
        <f t="array" aca="1" ref="J439" ca="1">IF(OR(B439&lt;&gt;"S",CÁLCULO.FrentesPreenchidas=0),"",IF(AND(ACOMPANHAMENTO="PLE",AUTOEVENTO="Manual",OR(H439&gt;0,ORÇAMENTO!AC439="QUANT."),OR(K439="",M439=0,N439="")),"►E",IF(AND(ACOMPANHAMENTO="PLE",ORÇAMENTO!AC439="QUANT."),"►Q",IF(AND(ACOMPANHAMENTO="PLE",H439&lt;&gt;SUMPRODUCT(($Q$1:$AI$1=1)*ROUND(Q439:AI439,15))),"►S",IF(AND(COUNTIF($P$11:$AI$11,"▼")=0,H439&gt;0,I439=""),"◄M","")))))</f>
        <v/>
      </c>
      <c r="K439" s="641" t="s">
        <v>1391</v>
      </c>
      <c r="L439" s="165" t="s">
        <v>764</v>
      </c>
      <c r="M439" s="166">
        <f ca="1">IF($D439&lt;&gt;"Serviço","",
          IF(AUTOEVENTO="manual",$A439,
                IF(ISERROR(MATCH($A439,$A$15:OFFSET($A439,-1,0),0)),MAX($M$15:OFFSET(M439,-1,0))+1,
                      INDEX($M$15:OFFSET(M439,-1,0),MATCH($A439,$A$15:OFFSET($A439,-1,0),0)))))</f>
        <v>7</v>
      </c>
      <c r="N439" s="167" t="str">
        <f ca="1">IF($D439&lt;&gt;"Serviço","",
         IF(AUTOEVENTO="Manual",
                IF($A439=0,"&lt;-- defina o número do agrupador",
                       OFFSET(EVENTOS!$D$15,$A439-$A$15,0)),
                OFFSET($F$15,$A439,0)))</f>
        <v>Instalações Elétricas</v>
      </c>
      <c r="O439" s="168"/>
      <c r="Q439" s="168"/>
      <c r="R439" s="169"/>
      <c r="S439" s="169"/>
      <c r="T439" s="169"/>
      <c r="U439" s="169"/>
      <c r="V439" s="169"/>
      <c r="W439" s="169"/>
      <c r="X439" s="169">
        <f>22*4*10</f>
        <v>880</v>
      </c>
      <c r="Y439" s="169"/>
      <c r="Z439" s="170"/>
      <c r="AA439" s="169"/>
      <c r="AB439" s="169"/>
      <c r="AC439" s="169"/>
      <c r="AD439" s="169"/>
      <c r="AE439" s="169"/>
      <c r="AF439" s="169"/>
      <c r="AG439" s="169"/>
      <c r="AH439" s="170"/>
      <c r="AJ439" s="453">
        <f ca="1">IF(AND($D439="Serviço",AJ$12&lt;&gt;0,$H439&gt;0,OR(AUTOEVENTO&lt;&gt;"manual",$M439&lt;&gt;$A$15)),
        IF(Import.TipoArredondamento&lt;&gt;"TransfereGOV",
              ROUND(OFFSET($P439,0,AJ$13),15-13*ORÇAMENTO!$AF$7)/$H439*OFFSET(ORÇAMENTO!$X$15,ROW(AJ439)-ROW(AJ$15),0),
              ROUND(ROUND(OFFSET($P439,0,AJ$13),15-13*ORÇAMENTO!$AF$7)*OFFSET(ORÇAMENTO!$W$15,ROW(AJ439)-ROW(AJ$15),0),15-13*ORÇAMENTO!$AF$11)),
         0)</f>
        <v>0</v>
      </c>
      <c r="AK439" s="453">
        <f ca="1">IF(AND($D439="Serviço",AK$12&lt;&gt;0,$H439&gt;0,OR(AUTOEVENTO&lt;&gt;"manual",$M439&lt;&gt;$A$15)),
        IF(Import.TipoArredondamento&lt;&gt;"TransfereGOV",
              ROUND(OFFSET($P439,0,AK$13),15-13*ORÇAMENTO!$AF$7)/$H439*OFFSET(ORÇAMENTO!$X$15,ROW(AK439)-ROW(AK$15),0),
              ROUND(ROUND(OFFSET($P439,0,AK$13),15-13*ORÇAMENTO!$AF$7)*OFFSET(ORÇAMENTO!$W$15,ROW(AK439)-ROW(AK$15),0),15-13*ORÇAMENTO!$AF$11)),
         0)</f>
        <v>0</v>
      </c>
      <c r="AL439" s="453">
        <f ca="1">IF(AND($D439="Serviço",AL$12&lt;&gt;0,$H439&gt;0,OR(AUTOEVENTO&lt;&gt;"manual",$M439&lt;&gt;$A$15)),
        IF(Import.TipoArredondamento&lt;&gt;"TransfereGOV",
              ROUND(OFFSET($P439,0,AL$13),15-13*ORÇAMENTO!$AF$7)/$H439*OFFSET(ORÇAMENTO!$X$15,ROW(AL439)-ROW(AL$15),0),
              ROUND(ROUND(OFFSET($P439,0,AL$13),15-13*ORÇAMENTO!$AF$7)*OFFSET(ORÇAMENTO!$W$15,ROW(AL439)-ROW(AL$15),0),15-13*ORÇAMENTO!$AF$11)),
         0)</f>
        <v>0</v>
      </c>
      <c r="AM439" s="453">
        <f ca="1">IF(AND($D439="Serviço",AM$12&lt;&gt;0,$H439&gt;0,OR(AUTOEVENTO&lt;&gt;"manual",$M439&lt;&gt;$A$15)),
        IF(Import.TipoArredondamento&lt;&gt;"TransfereGOV",
              ROUND(OFFSET($P439,0,AM$13),15-13*ORÇAMENTO!$AF$7)/$H439*OFFSET(ORÇAMENTO!$X$15,ROW(AM439)-ROW(AM$15),0),
              ROUND(ROUND(OFFSET($P439,0,AM$13),15-13*ORÇAMENTO!$AF$7)*OFFSET(ORÇAMENTO!$W$15,ROW(AM439)-ROW(AM$15),0),15-13*ORÇAMENTO!$AF$11)),
         0)</f>
        <v>0</v>
      </c>
      <c r="AN439" s="453">
        <f ca="1">IF(AND($D439="Serviço",AN$12&lt;&gt;0,$H439&gt;0,OR(AUTOEVENTO&lt;&gt;"manual",$M439&lt;&gt;$A$15)),
        IF(Import.TipoArredondamento&lt;&gt;"TransfereGOV",
              ROUND(OFFSET($P439,0,AN$13),15-13*ORÇAMENTO!$AF$7)/$H439*OFFSET(ORÇAMENTO!$X$15,ROW(AN439)-ROW(AN$15),0),
              ROUND(ROUND(OFFSET($P439,0,AN$13),15-13*ORÇAMENTO!$AF$7)*OFFSET(ORÇAMENTO!$W$15,ROW(AN439)-ROW(AN$15),0),15-13*ORÇAMENTO!$AF$11)),
         0)</f>
        <v>0</v>
      </c>
      <c r="AO439" s="453">
        <f ca="1">IF(AND($D439="Serviço",AO$12&lt;&gt;0,$H439&gt;0,OR(AUTOEVENTO&lt;&gt;"manual",$M439&lt;&gt;$A$15)),
        IF(Import.TipoArredondamento&lt;&gt;"TransfereGOV",
              ROUND(OFFSET($P439,0,AO$13),15-13*ORÇAMENTO!$AF$7)/$H439*OFFSET(ORÇAMENTO!$X$15,ROW(AO439)-ROW(AO$15),0),
              ROUND(ROUND(OFFSET($P439,0,AO$13),15-13*ORÇAMENTO!$AF$7)*OFFSET(ORÇAMENTO!$W$15,ROW(AO439)-ROW(AO$15),0),15-13*ORÇAMENTO!$AF$11)),
         0)</f>
        <v>0</v>
      </c>
      <c r="AP439" s="453">
        <f ca="1">IF(AND($D439="Serviço",AP$12&lt;&gt;0,$H439&gt;0,OR(AUTOEVENTO&lt;&gt;"manual",$M439&lt;&gt;$A$15)),
        IF(Import.TipoArredondamento&lt;&gt;"TransfereGOV",
              ROUND(OFFSET($P439,0,AP$13),15-13*ORÇAMENTO!$AF$7)/$H439*OFFSET(ORÇAMENTO!$X$15,ROW(AP439)-ROW(AP$15),0),
              ROUND(ROUND(OFFSET($P439,0,AP$13),15-13*ORÇAMENTO!$AF$7)*OFFSET(ORÇAMENTO!$W$15,ROW(AP439)-ROW(AP$15),0),15-13*ORÇAMENTO!$AF$11)),
         0)</f>
        <v>0</v>
      </c>
      <c r="AQ439" s="453">
        <f ca="1">IF(AND($D439="Serviço",AQ$12&lt;&gt;0,$H439&gt;0,OR(AUTOEVENTO&lt;&gt;"manual",$M439&lt;&gt;$A$15)),
        IF(Import.TipoArredondamento&lt;&gt;"TransfereGOV",
              ROUND(OFFSET($P439,0,AQ$13),15-13*ORÇAMENTO!$AF$7)/$H439*OFFSET(ORÇAMENTO!$X$15,ROW(AQ439)-ROW(AQ$15),0),
              ROUND(ROUND(OFFSET($P439,0,AQ$13),15-13*ORÇAMENTO!$AF$7)*OFFSET(ORÇAMENTO!$W$15,ROW(AQ439)-ROW(AQ$15),0),15-13*ORÇAMENTO!$AF$11)),
         0)</f>
        <v>0</v>
      </c>
      <c r="AR439" s="453">
        <f ca="1">IF(AND($D439="Serviço",AR$12&lt;&gt;0,$H439&gt;0,OR(AUTOEVENTO&lt;&gt;"manual",$M439&lt;&gt;$A$15)),
        IF(Import.TipoArredondamento&lt;&gt;"TransfereGOV",
              ROUND(OFFSET($P439,0,AR$13),15-13*ORÇAMENTO!$AF$7)/$H439*OFFSET(ORÇAMENTO!$X$15,ROW(AR439)-ROW(AR$15),0),
              ROUND(ROUND(OFFSET($P439,0,AR$13),15-13*ORÇAMENTO!$AF$7)*OFFSET(ORÇAMENTO!$W$15,ROW(AR439)-ROW(AR$15),0),15-13*ORÇAMENTO!$AF$11)),
         0)</f>
        <v>0</v>
      </c>
      <c r="AS439" s="453">
        <f ca="1">IF(AND($D439="Serviço",AS$12&lt;&gt;0,$H439&gt;0,OR(AUTOEVENTO&lt;&gt;"manual",$M439&lt;&gt;$A$15)),
        IF(Import.TipoArredondamento&lt;&gt;"TransfereGOV",
              ROUND(OFFSET($P439,0,AS$13),15-13*ORÇAMENTO!$AF$7)/$H439*OFFSET(ORÇAMENTO!$X$15,ROW(AS439)-ROW(AS$15),0),
              ROUND(ROUND(OFFSET($P439,0,AS$13),15-13*ORÇAMENTO!$AF$7)*OFFSET(ORÇAMENTO!$W$15,ROW(AS439)-ROW(AS$15),0),15-13*ORÇAMENTO!$AF$11)),
         0)</f>
        <v>0</v>
      </c>
      <c r="AT439" s="453">
        <f ca="1">IF(AND($D439="Serviço",AT$12&lt;&gt;0,$H439&gt;0,OR(AUTOEVENTO&lt;&gt;"manual",$M439&lt;&gt;$A$15)),
        IF(Import.TipoArredondamento&lt;&gt;"TransfereGOV",
              ROUND(OFFSET($P439,0,AT$13),15-13*ORÇAMENTO!$AF$7)/$H439*OFFSET(ORÇAMENTO!$X$15,ROW(AT439)-ROW(AT$15),0),
              ROUND(ROUND(OFFSET($P439,0,AT$13),15-13*ORÇAMENTO!$AF$7)*OFFSET(ORÇAMENTO!$W$15,ROW(AT439)-ROW(AT$15),0),15-13*ORÇAMENTO!$AF$11)),
         0)</f>
        <v>0</v>
      </c>
      <c r="AU439" s="453">
        <f ca="1">IF(AND($D439="Serviço",AU$12&lt;&gt;0,$H439&gt;0,OR(AUTOEVENTO&lt;&gt;"manual",$M439&lt;&gt;$A$15)),
        IF(Import.TipoArredondamento&lt;&gt;"TransfereGOV",
              ROUND(OFFSET($P439,0,AU$13),15-13*ORÇAMENTO!$AF$7)/$H439*OFFSET(ORÇAMENTO!$X$15,ROW(AU439)-ROW(AU$15),0),
              ROUND(ROUND(OFFSET($P439,0,AU$13),15-13*ORÇAMENTO!$AF$7)*OFFSET(ORÇAMENTO!$W$15,ROW(AU439)-ROW(AU$15),0),15-13*ORÇAMENTO!$AF$11)),
         0)</f>
        <v>0</v>
      </c>
      <c r="AV439" s="453">
        <f ca="1">IF(AND($D439="Serviço",AV$12&lt;&gt;0,$H439&gt;0,OR(AUTOEVENTO&lt;&gt;"manual",$M439&lt;&gt;$A$15)),
        IF(Import.TipoArredondamento&lt;&gt;"TransfereGOV",
              ROUND(OFFSET($P439,0,AV$13),15-13*ORÇAMENTO!$AF$7)/$H439*OFFSET(ORÇAMENTO!$X$15,ROW(AV439)-ROW(AV$15),0),
              ROUND(ROUND(OFFSET($P439,0,AV$13),15-13*ORÇAMENTO!$AF$7)*OFFSET(ORÇAMENTO!$W$15,ROW(AV439)-ROW(AV$15),0),15-13*ORÇAMENTO!$AF$11)),
         0)</f>
        <v>0</v>
      </c>
      <c r="AW439" s="453">
        <f ca="1">IF(AND($D439="Serviço",AW$12&lt;&gt;0,$H439&gt;0,OR(AUTOEVENTO&lt;&gt;"manual",$M439&lt;&gt;$A$15)),
        IF(Import.TipoArredondamento&lt;&gt;"TransfereGOV",
              ROUND(OFFSET($P439,0,AW$13),15-13*ORÇAMENTO!$AF$7)/$H439*OFFSET(ORÇAMENTO!$X$15,ROW(AW439)-ROW(AW$15),0),
              ROUND(ROUND(OFFSET($P439,0,AW$13),15-13*ORÇAMENTO!$AF$7)*OFFSET(ORÇAMENTO!$W$15,ROW(AW439)-ROW(AW$15),0),15-13*ORÇAMENTO!$AF$11)),
         0)</f>
        <v>0</v>
      </c>
      <c r="AX439" s="453">
        <f ca="1">IF(AND($D439="Serviço",AX$12&lt;&gt;0,$H439&gt;0,OR(AUTOEVENTO&lt;&gt;"manual",$M439&lt;&gt;$A$15)),
        IF(Import.TipoArredondamento&lt;&gt;"TransfereGOV",
              ROUND(OFFSET($P439,0,AX$13),15-13*ORÇAMENTO!$AF$7)/$H439*OFFSET(ORÇAMENTO!$X$15,ROW(AX439)-ROW(AX$15),0),
              ROUND(ROUND(OFFSET($P439,0,AX$13),15-13*ORÇAMENTO!$AF$7)*OFFSET(ORÇAMENTO!$W$15,ROW(AX439)-ROW(AX$15),0),15-13*ORÇAMENTO!$AF$11)),
         0)</f>
        <v>0</v>
      </c>
      <c r="AY439" s="453">
        <f ca="1">IF(AND($D439="Serviço",AY$12&lt;&gt;0,$H439&gt;0,OR(AUTOEVENTO&lt;&gt;"manual",$M439&lt;&gt;$A$15)),
        IF(Import.TipoArredondamento&lt;&gt;"TransfereGOV",
              ROUND(OFFSET($P439,0,AY$13),15-13*ORÇAMENTO!$AF$7)/$H439*OFFSET(ORÇAMENTO!$X$15,ROW(AY439)-ROW(AY$15),0),
              ROUND(ROUND(OFFSET($P439,0,AY$13),15-13*ORÇAMENTO!$AF$7)*OFFSET(ORÇAMENTO!$W$15,ROW(AY439)-ROW(AY$15),0),15-13*ORÇAMENTO!$AF$11)),
         0)</f>
        <v>0</v>
      </c>
      <c r="AZ439" s="453">
        <f ca="1">IF(AND($D439="Serviço",AZ$12&lt;&gt;0,$H439&gt;0,OR(AUTOEVENTO&lt;&gt;"manual",$M439&lt;&gt;$A$15)),
        IF(Import.TipoArredondamento&lt;&gt;"TransfereGOV",
              ROUND(OFFSET($P439,0,AZ$13),15-13*ORÇAMENTO!$AF$7)/$H439*OFFSET(ORÇAMENTO!$X$15,ROW(AZ439)-ROW(AZ$15),0),
              ROUND(ROUND(OFFSET($P439,0,AZ$13),15-13*ORÇAMENTO!$AF$7)*OFFSET(ORÇAMENTO!$W$15,ROW(AZ439)-ROW(AZ$15),0),15-13*ORÇAMENTO!$AF$11)),
         0)</f>
        <v>0</v>
      </c>
      <c r="BA439" s="453">
        <f ca="1">IF(AND($D439="Serviço",BA$12&lt;&gt;0,$H439&gt;0,OR(AUTOEVENTO&lt;&gt;"manual",$M439&lt;&gt;$A$15)),
        IF(Import.TipoArredondamento&lt;&gt;"TransfereGOV",
              ROUND(OFFSET($P439,0,BA$13),15-13*ORÇAMENTO!$AF$7)/$H439*OFFSET(ORÇAMENTO!$X$15,ROW(BA439)-ROW(BA$15),0),
              ROUND(ROUND(OFFSET($P439,0,BA$13),15-13*ORÇAMENTO!$AF$7)*OFFSET(ORÇAMENTO!$W$15,ROW(BA439)-ROW(BA$15),0),15-13*ORÇAMENTO!$AF$11)),
         0)</f>
        <v>0</v>
      </c>
      <c r="BC439" s="171">
        <f ca="1">IF(OR($D439&lt;&gt;"Serviço",AND(AUTOEVENTO="Manual",$M439=$A$15)),0,
         IF(OFFSET(CRONOPLE!$F$15,$M439-$A$15,BC$13)=0,10^12,OFFSET(CRONOPLE!$F$15,$M439-$A$15,BC$13)))</f>
        <v>1</v>
      </c>
      <c r="BD439" s="171">
        <f ca="1">IF(OR($D439&lt;&gt;"Serviço",AND(AUTOEVENTO="Manual",$M439=$A$15)),0,
         IF(OFFSET(CRONOPLE!$F$15,$M439-$A$15,BD$13)=0,10^12,OFFSET(CRONOPLE!$F$15,$M439-$A$15,BD$13)))</f>
        <v>2</v>
      </c>
      <c r="BE439" s="171">
        <f ca="1">IF(OR($D439&lt;&gt;"Serviço",AND(AUTOEVENTO="Manual",$M439=$A$15)),0,
         IF(OFFSET(CRONOPLE!$F$15,$M439-$A$15,BE$13)=0,10^12,OFFSET(CRONOPLE!$F$15,$M439-$A$15,BE$13)))</f>
        <v>3</v>
      </c>
      <c r="BF439" s="171">
        <f ca="1">IF(OR($D439&lt;&gt;"Serviço",AND(AUTOEVENTO="Manual",$M439=$A$15)),0,
         IF(OFFSET(CRONOPLE!$F$15,$M439-$A$15,BF$13)=0,10^12,OFFSET(CRONOPLE!$F$15,$M439-$A$15,BF$13)))</f>
        <v>4</v>
      </c>
      <c r="BG439" s="171">
        <f ca="1">IF(OR($D439&lt;&gt;"Serviço",AND(AUTOEVENTO="Manual",$M439=$A$15)),0,
         IF(OFFSET(CRONOPLE!$F$15,$M439-$A$15,BG$13)=0,10^12,OFFSET(CRONOPLE!$F$15,$M439-$A$15,BG$13)))</f>
        <v>5</v>
      </c>
      <c r="BH439" s="171">
        <f ca="1">IF(OR($D439&lt;&gt;"Serviço",AND(AUTOEVENTO="Manual",$M439=$A$15)),0,
         IF(OFFSET(CRONOPLE!$F$15,$M439-$A$15,BH$13)=0,10^12,OFFSET(CRONOPLE!$F$15,$M439-$A$15,BH$13)))</f>
        <v>6</v>
      </c>
      <c r="BI439" s="171">
        <f ca="1">IF(OR($D439&lt;&gt;"Serviço",AND(AUTOEVENTO="Manual",$M439=$A$15)),0,
         IF(OFFSET(CRONOPLE!$F$15,$M439-$A$15,BI$13)=0,10^12,OFFSET(CRONOPLE!$F$15,$M439-$A$15,BI$13)))</f>
        <v>7</v>
      </c>
      <c r="BJ439" s="171">
        <f ca="1">IF(OR($D439&lt;&gt;"Serviço",AND(AUTOEVENTO="Manual",$M439=$A$15)),0,
         IF(OFFSET(CRONOPLE!$F$15,$M439-$A$15,BJ$13)=0,10^12,OFFSET(CRONOPLE!$F$15,$M439-$A$15,BJ$13)))</f>
        <v>8</v>
      </c>
      <c r="BK439" s="171">
        <f ca="1">IF(OR($D439&lt;&gt;"Serviço",AND(AUTOEVENTO="Manual",$M439=$A$15)),0,
         IF(OFFSET(CRONOPLE!$F$15,$M439-$A$15,BK$13)=0,10^12,OFFSET(CRONOPLE!$F$15,$M439-$A$15,BK$13)))</f>
        <v>9</v>
      </c>
      <c r="BL439" s="171">
        <f ca="1">IF(OR($D439&lt;&gt;"Serviço",AND(AUTOEVENTO="Manual",$M439=$A$15)),0,
         IF(OFFSET(CRONOPLE!$F$15,$M439-$A$15,BL$13)=0,10^12,OFFSET(CRONOPLE!$F$15,$M439-$A$15,BL$13)))</f>
        <v>1000000000000</v>
      </c>
      <c r="BM439" s="171">
        <f ca="1">IF(OR($D439&lt;&gt;"Serviço",AND(AUTOEVENTO="Manual",$M439=$A$15)),0,
         IF(OFFSET(CRONOPLE!$F$15,$M439-$A$15,BM$13)=0,10^12,OFFSET(CRONOPLE!$F$15,$M439-$A$15,BM$13)))</f>
        <v>1000000000000</v>
      </c>
      <c r="BN439" s="171">
        <f ca="1">IF(OR($D439&lt;&gt;"Serviço",AND(AUTOEVENTO="Manual",$M439=$A$15)),0,
         IF(OFFSET(CRONOPLE!$F$15,$M439-$A$15,BN$13)=0,10^12,OFFSET(CRONOPLE!$F$15,$M439-$A$15,BN$13)))</f>
        <v>1000000000000</v>
      </c>
      <c r="BO439" s="171">
        <f ca="1">IF(OR($D439&lt;&gt;"Serviço",AND(AUTOEVENTO="Manual",$M439=$A$15)),0,
         IF(OFFSET(CRONOPLE!$F$15,$M439-$A$15,BO$13)=0,10^12,OFFSET(CRONOPLE!$F$15,$M439-$A$15,BO$13)))</f>
        <v>1000000000000</v>
      </c>
      <c r="BP439" s="171">
        <f ca="1">IF(OR($D439&lt;&gt;"Serviço",AND(AUTOEVENTO="Manual",$M439=$A$15)),0,
         IF(OFFSET(CRONOPLE!$F$15,$M439-$A$15,BP$13)=0,10^12,OFFSET(CRONOPLE!$F$15,$M439-$A$15,BP$13)))</f>
        <v>1000000000000</v>
      </c>
      <c r="BQ439" s="171">
        <f ca="1">IF(OR($D439&lt;&gt;"Serviço",AND(AUTOEVENTO="Manual",$M439=$A$15)),0,
         IF(OFFSET(CRONOPLE!$F$15,$M439-$A$15,BQ$13)=0,10^12,OFFSET(CRONOPLE!$F$15,$M439-$A$15,BQ$13)))</f>
        <v>1000000000000</v>
      </c>
      <c r="BR439" s="171">
        <f ca="1">IF(OR($D439&lt;&gt;"Serviço",AND(AUTOEVENTO="Manual",$M439=$A$15)),0,
         IF(OFFSET(CRONOPLE!$F$15,$M439-$A$15,BR$13)=0,10^12,OFFSET(CRONOPLE!$F$15,$M439-$A$15,BR$13)))</f>
        <v>1000000000000</v>
      </c>
      <c r="BS439" s="171">
        <f ca="1">IF(OR($D439&lt;&gt;"Serviço",AND(AUTOEVENTO="Manual",$M439=$A$15)),0,
         IF(OFFSET(CRONOPLE!$F$15,$M439-$A$15,BS$13)=0,10^12,OFFSET(CRONOPLE!$F$15,$M439-$A$15,BS$13)))</f>
        <v>1000000000000</v>
      </c>
      <c r="BT439" s="171">
        <f ca="1">IF(OR($D439&lt;&gt;"Serviço",AND(AUTOEVENTO="Manual",$M439=$A$15)),0,
         IF(OFFSET(CRONOPLE!$F$15,$M439-$A$15,BT$13)=0,10^12,OFFSET(CRONOPLE!$F$15,$M439-$A$15,BT$13)))</f>
        <v>1000000000000</v>
      </c>
      <c r="BV439" s="172">
        <f ca="1">IF(OR($D439&lt;&gt;"Serviço",AND(AUTOEVENTO="Manual",$M439=$A$15),$M439&gt;(ROW(PLE.lastrow)-ROW(PLE.firstrow))),0,
           IF(OFFSET(PLE!$G$15,$M439-$A$15,BV$13)="",10^12,OFFSET(PLE!$G$15,$M439-$A$15,BV$13)))</f>
        <v>1000000000000</v>
      </c>
      <c r="BW439" s="172">
        <f ca="1">IF(OR($D439&lt;&gt;"Serviço",AND(AUTOEVENTO="Manual",$M439=$A$15),$M439&gt;(ROW(PLE.lastrow)-ROW(PLE.firstrow))),0,
           IF(OFFSET(PLE!$G$15,$M439-$A$15,BW$13)="",10^12,OFFSET(PLE!$G$15,$M439-$A$15,BW$13)))</f>
        <v>1000000000000</v>
      </c>
      <c r="BX439" s="172">
        <f ca="1">IF(OR($D439&lt;&gt;"Serviço",AND(AUTOEVENTO="Manual",$M439=$A$15),$M439&gt;(ROW(PLE.lastrow)-ROW(PLE.firstrow))),0,
           IF(OFFSET(PLE!$G$15,$M439-$A$15,BX$13)="",10^12,OFFSET(PLE!$G$15,$M439-$A$15,BX$13)))</f>
        <v>1000000000000</v>
      </c>
      <c r="BY439" s="172">
        <f ca="1">IF(OR($D439&lt;&gt;"Serviço",AND(AUTOEVENTO="Manual",$M439=$A$15),$M439&gt;(ROW(PLE.lastrow)-ROW(PLE.firstrow))),0,
           IF(OFFSET(PLE!$G$15,$M439-$A$15,BY$13)="",10^12,OFFSET(PLE!$G$15,$M439-$A$15,BY$13)))</f>
        <v>1000000000000</v>
      </c>
      <c r="BZ439" s="172">
        <f ca="1">IF(OR($D439&lt;&gt;"Serviço",AND(AUTOEVENTO="Manual",$M439=$A$15),$M439&gt;(ROW(PLE.lastrow)-ROW(PLE.firstrow))),0,
           IF(OFFSET(PLE!$G$15,$M439-$A$15,BZ$13)="",10^12,OFFSET(PLE!$G$15,$M439-$A$15,BZ$13)))</f>
        <v>1000000000000</v>
      </c>
      <c r="CA439" s="172">
        <f ca="1">IF(OR($D439&lt;&gt;"Serviço",AND(AUTOEVENTO="Manual",$M439=$A$15),$M439&gt;(ROW(PLE.lastrow)-ROW(PLE.firstrow))),0,
           IF(OFFSET(PLE!$G$15,$M439-$A$15,CA$13)="",10^12,OFFSET(PLE!$G$15,$M439-$A$15,CA$13)))</f>
        <v>1000000000000</v>
      </c>
      <c r="CB439" s="172">
        <f ca="1">IF(OR($D439&lt;&gt;"Serviço",AND(AUTOEVENTO="Manual",$M439=$A$15),$M439&gt;(ROW(PLE.lastrow)-ROW(PLE.firstrow))),0,
           IF(OFFSET(PLE!$G$15,$M439-$A$15,CB$13)="",10^12,OFFSET(PLE!$G$15,$M439-$A$15,CB$13)))</f>
        <v>1000000000000</v>
      </c>
      <c r="CC439" s="172">
        <f ca="1">IF(OR($D439&lt;&gt;"Serviço",AND(AUTOEVENTO="Manual",$M439=$A$15),$M439&gt;(ROW(PLE.lastrow)-ROW(PLE.firstrow))),0,
           IF(OFFSET(PLE!$G$15,$M439-$A$15,CC$13)="",10^12,OFFSET(PLE!$G$15,$M439-$A$15,CC$13)))</f>
        <v>1000000000000</v>
      </c>
      <c r="CD439" s="172">
        <f ca="1">IF(OR($D439&lt;&gt;"Serviço",AND(AUTOEVENTO="Manual",$M439=$A$15),$M439&gt;(ROW(PLE.lastrow)-ROW(PLE.firstrow))),0,
           IF(OFFSET(PLE!$G$15,$M439-$A$15,CD$13)="",10^12,OFFSET(PLE!$G$15,$M439-$A$15,CD$13)))</f>
        <v>1000000000000</v>
      </c>
      <c r="CE439" s="172">
        <f ca="1">IF(OR($D439&lt;&gt;"Serviço",AND(AUTOEVENTO="Manual",$M439=$A$15),$M439&gt;(ROW(PLE.lastrow)-ROW(PLE.firstrow))),0,
           IF(OFFSET(PLE!$G$15,$M439-$A$15,CE$13)="",10^12,OFFSET(PLE!$G$15,$M439-$A$15,CE$13)))</f>
        <v>1000000000000</v>
      </c>
      <c r="CF439" s="172">
        <f ca="1">IF(OR($D439&lt;&gt;"Serviço",AND(AUTOEVENTO="Manual",$M439=$A$15),$M439&gt;(ROW(PLE.lastrow)-ROW(PLE.firstrow))),0,
           IF(OFFSET(PLE!$G$15,$M439-$A$15,CF$13)="",10^12,OFFSET(PLE!$G$15,$M439-$A$15,CF$13)))</f>
        <v>1000000000000</v>
      </c>
      <c r="CG439" s="172">
        <f ca="1">IF(OR($D439&lt;&gt;"Serviço",AND(AUTOEVENTO="Manual",$M439=$A$15),$M439&gt;(ROW(PLE.lastrow)-ROW(PLE.firstrow))),0,
           IF(OFFSET(PLE!$G$15,$M439-$A$15,CG$13)="",10^12,OFFSET(PLE!$G$15,$M439-$A$15,CG$13)))</f>
        <v>1000000000000</v>
      </c>
      <c r="CH439" s="172">
        <f ca="1">IF(OR($D439&lt;&gt;"Serviço",AND(AUTOEVENTO="Manual",$M439=$A$15),$M439&gt;(ROW(PLE.lastrow)-ROW(PLE.firstrow))),0,
           IF(OFFSET(PLE!$G$15,$M439-$A$15,CH$13)="",10^12,OFFSET(PLE!$G$15,$M439-$A$15,CH$13)))</f>
        <v>1000000000000</v>
      </c>
      <c r="CI439" s="172">
        <f ca="1">IF(OR($D439&lt;&gt;"Serviço",AND(AUTOEVENTO="Manual",$M439=$A$15),$M439&gt;(ROW(PLE.lastrow)-ROW(PLE.firstrow))),0,
           IF(OFFSET(PLE!$G$15,$M439-$A$15,CI$13)="",10^12,OFFSET(PLE!$G$15,$M439-$A$15,CI$13)))</f>
        <v>1000000000000</v>
      </c>
      <c r="CJ439" s="172">
        <f ca="1">IF(OR($D439&lt;&gt;"Serviço",AND(AUTOEVENTO="Manual",$M439=$A$15),$M439&gt;(ROW(PLE.lastrow)-ROW(PLE.firstrow))),0,
           IF(OFFSET(PLE!$G$15,$M439-$A$15,CJ$13)="",10^12,OFFSET(PLE!$G$15,$M439-$A$15,CJ$13)))</f>
        <v>1000000000000</v>
      </c>
      <c r="CK439" s="172">
        <f ca="1">IF(OR($D439&lt;&gt;"Serviço",AND(AUTOEVENTO="Manual",$M439=$A$15),$M439&gt;(ROW(PLE.lastrow)-ROW(PLE.firstrow))),0,
           IF(OFFSET(PLE!$G$15,$M439-$A$15,CK$13)="",10^12,OFFSET(PLE!$G$15,$M439-$A$15,CK$13)))</f>
        <v>1000000000000</v>
      </c>
      <c r="CL439" s="172">
        <f ca="1">IF(OR($D439&lt;&gt;"Serviço",AND(AUTOEVENTO="Manual",$M439=$A$15),$M439&gt;(ROW(PLE.lastrow)-ROW(PLE.firstrow))),0,
           IF(OFFSET(PLE!$G$15,$M439-$A$15,CL$13)="",10^12,OFFSET(PLE!$G$15,$M439-$A$15,CL$13)))</f>
        <v>1000000000000</v>
      </c>
      <c r="CM439" s="172">
        <f ca="1">IF(OR($D439&lt;&gt;"Serviço",AND(AUTOEVENTO="Manual",$M439=$A$15),$M439&gt;(ROW(PLE.lastrow)-ROW(PLE.firstrow))),0,
           IF(OFFSET(PLE!$G$15,$M439-$A$15,CM$13)="",10^12,OFFSET(PLE!$G$15,$M439-$A$15,CM$13)))</f>
        <v>1000000000000</v>
      </c>
    </row>
    <row r="440" spans="1:91" ht="25.5" x14ac:dyDescent="0.2">
      <c r="A440" s="7">
        <f t="shared" ca="1" si="16"/>
        <v>7</v>
      </c>
      <c r="B440" s="7" t="str">
        <f ca="1">OFFSET(ORÇAMENTO!C$15,ROW(B440)-ROW(B$15),0)</f>
        <v>S</v>
      </c>
      <c r="C440" s="7" t="str">
        <f ca="1">OFFSET(ORÇAMENTO!L$15,ROW(C440)-ROW(C$15),0)</f>
        <v>F</v>
      </c>
      <c r="D440" s="116" t="str">
        <f ca="1">OFFSET(ORÇAMENTO!N$15,ROW(D440)-ROW(D$15),0)</f>
        <v>Serviço</v>
      </c>
      <c r="E440" s="117" t="str">
        <f ca="1">OFFSET(ORÇAMENTO!O$15,ROW(E440)-ROW(E$15),0)</f>
        <v>1.8.2.5.6.</v>
      </c>
      <c r="F440" s="163" t="str">
        <f ca="1">OFFSET(ORÇAMENTO!R$15,ROW(F440)-ROW(F$15),0)</f>
        <v>GRUPO GERADOR REBOCÁVEL, POTÊNCIA 66 KVA, MOTOR A DIESEL - CHI DIURNO. AF_03/2016</v>
      </c>
      <c r="G440" s="164" t="str">
        <f ca="1">IF($D440&lt;&gt;"Serviço","",OFFSET(ORÇAMENTO!S$15,ROW(G440)-ROW(G$15),0))</f>
        <v>CHI</v>
      </c>
      <c r="H440" s="122" cm="1">
        <f t="array" aca="1" ref="H440" ca="1">IF($D440&lt;&gt;"Serviço",0,IF(ACOMPANHAMENTO="BM",ROUND(OFFSET(ORÇAMENTO!AJ$15,ROW(H440)-ROW(H$15),0),15-13*ORÇAMENTO!$AF$7),SUMPRODUCT(($Q$1:$AI$1=1)*ROUND($Q440:$AI440,15-13*ORÇAMENTO!$AF$7))))</f>
        <v>880</v>
      </c>
      <c r="I440" s="468" t="s">
        <v>1451</v>
      </c>
      <c r="J440" s="640" t="str" cm="1">
        <f t="array" aca="1" ref="J440" ca="1">IF(OR(B440&lt;&gt;"S",CÁLCULO.FrentesPreenchidas=0),"",IF(AND(ACOMPANHAMENTO="PLE",AUTOEVENTO="Manual",OR(H440&gt;0,ORÇAMENTO!AC440="QUANT."),OR(K440="",M440=0,N440="")),"►E",IF(AND(ACOMPANHAMENTO="PLE",ORÇAMENTO!AC440="QUANT."),"►Q",IF(AND(ACOMPANHAMENTO="PLE",H440&lt;&gt;SUMPRODUCT(($Q$1:$AI$1=1)*ROUND(Q440:AI440,15))),"►S",IF(AND(COUNTIF($P$11:$AI$11,"▼")=0,H440&gt;0,I440=""),"◄M","")))))</f>
        <v/>
      </c>
      <c r="K440" s="641" t="s">
        <v>1391</v>
      </c>
      <c r="L440" s="165" t="s">
        <v>764</v>
      </c>
      <c r="M440" s="166">
        <f ca="1">IF($D440&lt;&gt;"Serviço","",
          IF(AUTOEVENTO="manual",$A440,
                IF(ISERROR(MATCH($A440,$A$15:OFFSET($A440,-1,0),0)),MAX($M$15:OFFSET(M440,-1,0))+1,
                      INDEX($M$15:OFFSET(M440,-1,0),MATCH($A440,$A$15:OFFSET($A440,-1,0),0)))))</f>
        <v>7</v>
      </c>
      <c r="N440" s="167" t="str">
        <f ca="1">IF($D440&lt;&gt;"Serviço","",
         IF(AUTOEVENTO="Manual",
                IF($A440=0,"&lt;-- defina o número do agrupador",
                       OFFSET(EVENTOS!$D$15,$A440-$A$15,0)),
                OFFSET($F$15,$A440,0)))</f>
        <v>Instalações Elétricas</v>
      </c>
      <c r="O440" s="168"/>
      <c r="Q440" s="168"/>
      <c r="R440" s="169"/>
      <c r="S440" s="169"/>
      <c r="T440" s="169"/>
      <c r="U440" s="169"/>
      <c r="V440" s="169"/>
      <c r="W440" s="169"/>
      <c r="X440" s="169">
        <f>22*4*10</f>
        <v>880</v>
      </c>
      <c r="Y440" s="169"/>
      <c r="Z440" s="170"/>
      <c r="AA440" s="169"/>
      <c r="AB440" s="169"/>
      <c r="AC440" s="169"/>
      <c r="AD440" s="169"/>
      <c r="AE440" s="169"/>
      <c r="AF440" s="169"/>
      <c r="AG440" s="169"/>
      <c r="AH440" s="170"/>
      <c r="AJ440" s="453">
        <f ca="1">IF(AND($D440="Serviço",AJ$12&lt;&gt;0,$H440&gt;0,OR(AUTOEVENTO&lt;&gt;"manual",$M440&lt;&gt;$A$15)),
        IF(Import.TipoArredondamento&lt;&gt;"TransfereGOV",
              ROUND(OFFSET($P440,0,AJ$13),15-13*ORÇAMENTO!$AF$7)/$H440*OFFSET(ORÇAMENTO!$X$15,ROW(AJ440)-ROW(AJ$15),0),
              ROUND(ROUND(OFFSET($P440,0,AJ$13),15-13*ORÇAMENTO!$AF$7)*OFFSET(ORÇAMENTO!$W$15,ROW(AJ440)-ROW(AJ$15),0),15-13*ORÇAMENTO!$AF$11)),
         0)</f>
        <v>0</v>
      </c>
      <c r="AK440" s="453">
        <f ca="1">IF(AND($D440="Serviço",AK$12&lt;&gt;0,$H440&gt;0,OR(AUTOEVENTO&lt;&gt;"manual",$M440&lt;&gt;$A$15)),
        IF(Import.TipoArredondamento&lt;&gt;"TransfereGOV",
              ROUND(OFFSET($P440,0,AK$13),15-13*ORÇAMENTO!$AF$7)/$H440*OFFSET(ORÇAMENTO!$X$15,ROW(AK440)-ROW(AK$15),0),
              ROUND(ROUND(OFFSET($P440,0,AK$13),15-13*ORÇAMENTO!$AF$7)*OFFSET(ORÇAMENTO!$W$15,ROW(AK440)-ROW(AK$15),0),15-13*ORÇAMENTO!$AF$11)),
         0)</f>
        <v>0</v>
      </c>
      <c r="AL440" s="453">
        <f ca="1">IF(AND($D440="Serviço",AL$12&lt;&gt;0,$H440&gt;0,OR(AUTOEVENTO&lt;&gt;"manual",$M440&lt;&gt;$A$15)),
        IF(Import.TipoArredondamento&lt;&gt;"TransfereGOV",
              ROUND(OFFSET($P440,0,AL$13),15-13*ORÇAMENTO!$AF$7)/$H440*OFFSET(ORÇAMENTO!$X$15,ROW(AL440)-ROW(AL$15),0),
              ROUND(ROUND(OFFSET($P440,0,AL$13),15-13*ORÇAMENTO!$AF$7)*OFFSET(ORÇAMENTO!$W$15,ROW(AL440)-ROW(AL$15),0),15-13*ORÇAMENTO!$AF$11)),
         0)</f>
        <v>0</v>
      </c>
      <c r="AM440" s="453">
        <f ca="1">IF(AND($D440="Serviço",AM$12&lt;&gt;0,$H440&gt;0,OR(AUTOEVENTO&lt;&gt;"manual",$M440&lt;&gt;$A$15)),
        IF(Import.TipoArredondamento&lt;&gt;"TransfereGOV",
              ROUND(OFFSET($P440,0,AM$13),15-13*ORÇAMENTO!$AF$7)/$H440*OFFSET(ORÇAMENTO!$X$15,ROW(AM440)-ROW(AM$15),0),
              ROUND(ROUND(OFFSET($P440,0,AM$13),15-13*ORÇAMENTO!$AF$7)*OFFSET(ORÇAMENTO!$W$15,ROW(AM440)-ROW(AM$15),0),15-13*ORÇAMENTO!$AF$11)),
         0)</f>
        <v>0</v>
      </c>
      <c r="AN440" s="453">
        <f ca="1">IF(AND($D440="Serviço",AN$12&lt;&gt;0,$H440&gt;0,OR(AUTOEVENTO&lt;&gt;"manual",$M440&lt;&gt;$A$15)),
        IF(Import.TipoArredondamento&lt;&gt;"TransfereGOV",
              ROUND(OFFSET($P440,0,AN$13),15-13*ORÇAMENTO!$AF$7)/$H440*OFFSET(ORÇAMENTO!$X$15,ROW(AN440)-ROW(AN$15),0),
              ROUND(ROUND(OFFSET($P440,0,AN$13),15-13*ORÇAMENTO!$AF$7)*OFFSET(ORÇAMENTO!$W$15,ROW(AN440)-ROW(AN$15),0),15-13*ORÇAMENTO!$AF$11)),
         0)</f>
        <v>0</v>
      </c>
      <c r="AO440" s="453">
        <f ca="1">IF(AND($D440="Serviço",AO$12&lt;&gt;0,$H440&gt;0,OR(AUTOEVENTO&lt;&gt;"manual",$M440&lt;&gt;$A$15)),
        IF(Import.TipoArredondamento&lt;&gt;"TransfereGOV",
              ROUND(OFFSET($P440,0,AO$13),15-13*ORÇAMENTO!$AF$7)/$H440*OFFSET(ORÇAMENTO!$X$15,ROW(AO440)-ROW(AO$15),0),
              ROUND(ROUND(OFFSET($P440,0,AO$13),15-13*ORÇAMENTO!$AF$7)*OFFSET(ORÇAMENTO!$W$15,ROW(AO440)-ROW(AO$15),0),15-13*ORÇAMENTO!$AF$11)),
         0)</f>
        <v>0</v>
      </c>
      <c r="AP440" s="453">
        <f ca="1">IF(AND($D440="Serviço",AP$12&lt;&gt;0,$H440&gt;0,OR(AUTOEVENTO&lt;&gt;"manual",$M440&lt;&gt;$A$15)),
        IF(Import.TipoArredondamento&lt;&gt;"TransfereGOV",
              ROUND(OFFSET($P440,0,AP$13),15-13*ORÇAMENTO!$AF$7)/$H440*OFFSET(ORÇAMENTO!$X$15,ROW(AP440)-ROW(AP$15),0),
              ROUND(ROUND(OFFSET($P440,0,AP$13),15-13*ORÇAMENTO!$AF$7)*OFFSET(ORÇAMENTO!$W$15,ROW(AP440)-ROW(AP$15),0),15-13*ORÇAMENTO!$AF$11)),
         0)</f>
        <v>0</v>
      </c>
      <c r="AQ440" s="453">
        <f ca="1">IF(AND($D440="Serviço",AQ$12&lt;&gt;0,$H440&gt;0,OR(AUTOEVENTO&lt;&gt;"manual",$M440&lt;&gt;$A$15)),
        IF(Import.TipoArredondamento&lt;&gt;"TransfereGOV",
              ROUND(OFFSET($P440,0,AQ$13),15-13*ORÇAMENTO!$AF$7)/$H440*OFFSET(ORÇAMENTO!$X$15,ROW(AQ440)-ROW(AQ$15),0),
              ROUND(ROUND(OFFSET($P440,0,AQ$13),15-13*ORÇAMENTO!$AF$7)*OFFSET(ORÇAMENTO!$W$15,ROW(AQ440)-ROW(AQ$15),0),15-13*ORÇAMENTO!$AF$11)),
         0)</f>
        <v>0</v>
      </c>
      <c r="AR440" s="453">
        <f ca="1">IF(AND($D440="Serviço",AR$12&lt;&gt;0,$H440&gt;0,OR(AUTOEVENTO&lt;&gt;"manual",$M440&lt;&gt;$A$15)),
        IF(Import.TipoArredondamento&lt;&gt;"TransfereGOV",
              ROUND(OFFSET($P440,0,AR$13),15-13*ORÇAMENTO!$AF$7)/$H440*OFFSET(ORÇAMENTO!$X$15,ROW(AR440)-ROW(AR$15),0),
              ROUND(ROUND(OFFSET($P440,0,AR$13),15-13*ORÇAMENTO!$AF$7)*OFFSET(ORÇAMENTO!$W$15,ROW(AR440)-ROW(AR$15),0),15-13*ORÇAMENTO!$AF$11)),
         0)</f>
        <v>0</v>
      </c>
      <c r="AS440" s="453">
        <f ca="1">IF(AND($D440="Serviço",AS$12&lt;&gt;0,$H440&gt;0,OR(AUTOEVENTO&lt;&gt;"manual",$M440&lt;&gt;$A$15)),
        IF(Import.TipoArredondamento&lt;&gt;"TransfereGOV",
              ROUND(OFFSET($P440,0,AS$13),15-13*ORÇAMENTO!$AF$7)/$H440*OFFSET(ORÇAMENTO!$X$15,ROW(AS440)-ROW(AS$15),0),
              ROUND(ROUND(OFFSET($P440,0,AS$13),15-13*ORÇAMENTO!$AF$7)*OFFSET(ORÇAMENTO!$W$15,ROW(AS440)-ROW(AS$15),0),15-13*ORÇAMENTO!$AF$11)),
         0)</f>
        <v>0</v>
      </c>
      <c r="AT440" s="453">
        <f ca="1">IF(AND($D440="Serviço",AT$12&lt;&gt;0,$H440&gt;0,OR(AUTOEVENTO&lt;&gt;"manual",$M440&lt;&gt;$A$15)),
        IF(Import.TipoArredondamento&lt;&gt;"TransfereGOV",
              ROUND(OFFSET($P440,0,AT$13),15-13*ORÇAMENTO!$AF$7)/$H440*OFFSET(ORÇAMENTO!$X$15,ROW(AT440)-ROW(AT$15),0),
              ROUND(ROUND(OFFSET($P440,0,AT$13),15-13*ORÇAMENTO!$AF$7)*OFFSET(ORÇAMENTO!$W$15,ROW(AT440)-ROW(AT$15),0),15-13*ORÇAMENTO!$AF$11)),
         0)</f>
        <v>0</v>
      </c>
      <c r="AU440" s="453">
        <f ca="1">IF(AND($D440="Serviço",AU$12&lt;&gt;0,$H440&gt;0,OR(AUTOEVENTO&lt;&gt;"manual",$M440&lt;&gt;$A$15)),
        IF(Import.TipoArredondamento&lt;&gt;"TransfereGOV",
              ROUND(OFFSET($P440,0,AU$13),15-13*ORÇAMENTO!$AF$7)/$H440*OFFSET(ORÇAMENTO!$X$15,ROW(AU440)-ROW(AU$15),0),
              ROUND(ROUND(OFFSET($P440,0,AU$13),15-13*ORÇAMENTO!$AF$7)*OFFSET(ORÇAMENTO!$W$15,ROW(AU440)-ROW(AU$15),0),15-13*ORÇAMENTO!$AF$11)),
         0)</f>
        <v>0</v>
      </c>
      <c r="AV440" s="453">
        <f ca="1">IF(AND($D440="Serviço",AV$12&lt;&gt;0,$H440&gt;0,OR(AUTOEVENTO&lt;&gt;"manual",$M440&lt;&gt;$A$15)),
        IF(Import.TipoArredondamento&lt;&gt;"TransfereGOV",
              ROUND(OFFSET($P440,0,AV$13),15-13*ORÇAMENTO!$AF$7)/$H440*OFFSET(ORÇAMENTO!$X$15,ROW(AV440)-ROW(AV$15),0),
              ROUND(ROUND(OFFSET($P440,0,AV$13),15-13*ORÇAMENTO!$AF$7)*OFFSET(ORÇAMENTO!$W$15,ROW(AV440)-ROW(AV$15),0),15-13*ORÇAMENTO!$AF$11)),
         0)</f>
        <v>0</v>
      </c>
      <c r="AW440" s="453">
        <f ca="1">IF(AND($D440="Serviço",AW$12&lt;&gt;0,$H440&gt;0,OR(AUTOEVENTO&lt;&gt;"manual",$M440&lt;&gt;$A$15)),
        IF(Import.TipoArredondamento&lt;&gt;"TransfereGOV",
              ROUND(OFFSET($P440,0,AW$13),15-13*ORÇAMENTO!$AF$7)/$H440*OFFSET(ORÇAMENTO!$X$15,ROW(AW440)-ROW(AW$15),0),
              ROUND(ROUND(OFFSET($P440,0,AW$13),15-13*ORÇAMENTO!$AF$7)*OFFSET(ORÇAMENTO!$W$15,ROW(AW440)-ROW(AW$15),0),15-13*ORÇAMENTO!$AF$11)),
         0)</f>
        <v>0</v>
      </c>
      <c r="AX440" s="453">
        <f ca="1">IF(AND($D440="Serviço",AX$12&lt;&gt;0,$H440&gt;0,OR(AUTOEVENTO&lt;&gt;"manual",$M440&lt;&gt;$A$15)),
        IF(Import.TipoArredondamento&lt;&gt;"TransfereGOV",
              ROUND(OFFSET($P440,0,AX$13),15-13*ORÇAMENTO!$AF$7)/$H440*OFFSET(ORÇAMENTO!$X$15,ROW(AX440)-ROW(AX$15),0),
              ROUND(ROUND(OFFSET($P440,0,AX$13),15-13*ORÇAMENTO!$AF$7)*OFFSET(ORÇAMENTO!$W$15,ROW(AX440)-ROW(AX$15),0),15-13*ORÇAMENTO!$AF$11)),
         0)</f>
        <v>0</v>
      </c>
      <c r="AY440" s="453">
        <f ca="1">IF(AND($D440="Serviço",AY$12&lt;&gt;0,$H440&gt;0,OR(AUTOEVENTO&lt;&gt;"manual",$M440&lt;&gt;$A$15)),
        IF(Import.TipoArredondamento&lt;&gt;"TransfereGOV",
              ROUND(OFFSET($P440,0,AY$13),15-13*ORÇAMENTO!$AF$7)/$H440*OFFSET(ORÇAMENTO!$X$15,ROW(AY440)-ROW(AY$15),0),
              ROUND(ROUND(OFFSET($P440,0,AY$13),15-13*ORÇAMENTO!$AF$7)*OFFSET(ORÇAMENTO!$W$15,ROW(AY440)-ROW(AY$15),0),15-13*ORÇAMENTO!$AF$11)),
         0)</f>
        <v>0</v>
      </c>
      <c r="AZ440" s="453">
        <f ca="1">IF(AND($D440="Serviço",AZ$12&lt;&gt;0,$H440&gt;0,OR(AUTOEVENTO&lt;&gt;"manual",$M440&lt;&gt;$A$15)),
        IF(Import.TipoArredondamento&lt;&gt;"TransfereGOV",
              ROUND(OFFSET($P440,0,AZ$13),15-13*ORÇAMENTO!$AF$7)/$H440*OFFSET(ORÇAMENTO!$X$15,ROW(AZ440)-ROW(AZ$15),0),
              ROUND(ROUND(OFFSET($P440,0,AZ$13),15-13*ORÇAMENTO!$AF$7)*OFFSET(ORÇAMENTO!$W$15,ROW(AZ440)-ROW(AZ$15),0),15-13*ORÇAMENTO!$AF$11)),
         0)</f>
        <v>0</v>
      </c>
      <c r="BA440" s="453">
        <f ca="1">IF(AND($D440="Serviço",BA$12&lt;&gt;0,$H440&gt;0,OR(AUTOEVENTO&lt;&gt;"manual",$M440&lt;&gt;$A$15)),
        IF(Import.TipoArredondamento&lt;&gt;"TransfereGOV",
              ROUND(OFFSET($P440,0,BA$13),15-13*ORÇAMENTO!$AF$7)/$H440*OFFSET(ORÇAMENTO!$X$15,ROW(BA440)-ROW(BA$15),0),
              ROUND(ROUND(OFFSET($P440,0,BA$13),15-13*ORÇAMENTO!$AF$7)*OFFSET(ORÇAMENTO!$W$15,ROW(BA440)-ROW(BA$15),0),15-13*ORÇAMENTO!$AF$11)),
         0)</f>
        <v>0</v>
      </c>
      <c r="BC440" s="171">
        <f ca="1">IF(OR($D440&lt;&gt;"Serviço",AND(AUTOEVENTO="Manual",$M440=$A$15)),0,
         IF(OFFSET(CRONOPLE!$F$15,$M440-$A$15,BC$13)=0,10^12,OFFSET(CRONOPLE!$F$15,$M440-$A$15,BC$13)))</f>
        <v>1</v>
      </c>
      <c r="BD440" s="171">
        <f ca="1">IF(OR($D440&lt;&gt;"Serviço",AND(AUTOEVENTO="Manual",$M440=$A$15)),0,
         IF(OFFSET(CRONOPLE!$F$15,$M440-$A$15,BD$13)=0,10^12,OFFSET(CRONOPLE!$F$15,$M440-$A$15,BD$13)))</f>
        <v>2</v>
      </c>
      <c r="BE440" s="171">
        <f ca="1">IF(OR($D440&lt;&gt;"Serviço",AND(AUTOEVENTO="Manual",$M440=$A$15)),0,
         IF(OFFSET(CRONOPLE!$F$15,$M440-$A$15,BE$13)=0,10^12,OFFSET(CRONOPLE!$F$15,$M440-$A$15,BE$13)))</f>
        <v>3</v>
      </c>
      <c r="BF440" s="171">
        <f ca="1">IF(OR($D440&lt;&gt;"Serviço",AND(AUTOEVENTO="Manual",$M440=$A$15)),0,
         IF(OFFSET(CRONOPLE!$F$15,$M440-$A$15,BF$13)=0,10^12,OFFSET(CRONOPLE!$F$15,$M440-$A$15,BF$13)))</f>
        <v>4</v>
      </c>
      <c r="BG440" s="171">
        <f ca="1">IF(OR($D440&lt;&gt;"Serviço",AND(AUTOEVENTO="Manual",$M440=$A$15)),0,
         IF(OFFSET(CRONOPLE!$F$15,$M440-$A$15,BG$13)=0,10^12,OFFSET(CRONOPLE!$F$15,$M440-$A$15,BG$13)))</f>
        <v>5</v>
      </c>
      <c r="BH440" s="171">
        <f ca="1">IF(OR($D440&lt;&gt;"Serviço",AND(AUTOEVENTO="Manual",$M440=$A$15)),0,
         IF(OFFSET(CRONOPLE!$F$15,$M440-$A$15,BH$13)=0,10^12,OFFSET(CRONOPLE!$F$15,$M440-$A$15,BH$13)))</f>
        <v>6</v>
      </c>
      <c r="BI440" s="171">
        <f ca="1">IF(OR($D440&lt;&gt;"Serviço",AND(AUTOEVENTO="Manual",$M440=$A$15)),0,
         IF(OFFSET(CRONOPLE!$F$15,$M440-$A$15,BI$13)=0,10^12,OFFSET(CRONOPLE!$F$15,$M440-$A$15,BI$13)))</f>
        <v>7</v>
      </c>
      <c r="BJ440" s="171">
        <f ca="1">IF(OR($D440&lt;&gt;"Serviço",AND(AUTOEVENTO="Manual",$M440=$A$15)),0,
         IF(OFFSET(CRONOPLE!$F$15,$M440-$A$15,BJ$13)=0,10^12,OFFSET(CRONOPLE!$F$15,$M440-$A$15,BJ$13)))</f>
        <v>8</v>
      </c>
      <c r="BK440" s="171">
        <f ca="1">IF(OR($D440&lt;&gt;"Serviço",AND(AUTOEVENTO="Manual",$M440=$A$15)),0,
         IF(OFFSET(CRONOPLE!$F$15,$M440-$A$15,BK$13)=0,10^12,OFFSET(CRONOPLE!$F$15,$M440-$A$15,BK$13)))</f>
        <v>9</v>
      </c>
      <c r="BL440" s="171">
        <f ca="1">IF(OR($D440&lt;&gt;"Serviço",AND(AUTOEVENTO="Manual",$M440=$A$15)),0,
         IF(OFFSET(CRONOPLE!$F$15,$M440-$A$15,BL$13)=0,10^12,OFFSET(CRONOPLE!$F$15,$M440-$A$15,BL$13)))</f>
        <v>1000000000000</v>
      </c>
      <c r="BM440" s="171">
        <f ca="1">IF(OR($D440&lt;&gt;"Serviço",AND(AUTOEVENTO="Manual",$M440=$A$15)),0,
         IF(OFFSET(CRONOPLE!$F$15,$M440-$A$15,BM$13)=0,10^12,OFFSET(CRONOPLE!$F$15,$M440-$A$15,BM$13)))</f>
        <v>1000000000000</v>
      </c>
      <c r="BN440" s="171">
        <f ca="1">IF(OR($D440&lt;&gt;"Serviço",AND(AUTOEVENTO="Manual",$M440=$A$15)),0,
         IF(OFFSET(CRONOPLE!$F$15,$M440-$A$15,BN$13)=0,10^12,OFFSET(CRONOPLE!$F$15,$M440-$A$15,BN$13)))</f>
        <v>1000000000000</v>
      </c>
      <c r="BO440" s="171">
        <f ca="1">IF(OR($D440&lt;&gt;"Serviço",AND(AUTOEVENTO="Manual",$M440=$A$15)),0,
         IF(OFFSET(CRONOPLE!$F$15,$M440-$A$15,BO$13)=0,10^12,OFFSET(CRONOPLE!$F$15,$M440-$A$15,BO$13)))</f>
        <v>1000000000000</v>
      </c>
      <c r="BP440" s="171">
        <f ca="1">IF(OR($D440&lt;&gt;"Serviço",AND(AUTOEVENTO="Manual",$M440=$A$15)),0,
         IF(OFFSET(CRONOPLE!$F$15,$M440-$A$15,BP$13)=0,10^12,OFFSET(CRONOPLE!$F$15,$M440-$A$15,BP$13)))</f>
        <v>1000000000000</v>
      </c>
      <c r="BQ440" s="171">
        <f ca="1">IF(OR($D440&lt;&gt;"Serviço",AND(AUTOEVENTO="Manual",$M440=$A$15)),0,
         IF(OFFSET(CRONOPLE!$F$15,$M440-$A$15,BQ$13)=0,10^12,OFFSET(CRONOPLE!$F$15,$M440-$A$15,BQ$13)))</f>
        <v>1000000000000</v>
      </c>
      <c r="BR440" s="171">
        <f ca="1">IF(OR($D440&lt;&gt;"Serviço",AND(AUTOEVENTO="Manual",$M440=$A$15)),0,
         IF(OFFSET(CRONOPLE!$F$15,$M440-$A$15,BR$13)=0,10^12,OFFSET(CRONOPLE!$F$15,$M440-$A$15,BR$13)))</f>
        <v>1000000000000</v>
      </c>
      <c r="BS440" s="171">
        <f ca="1">IF(OR($D440&lt;&gt;"Serviço",AND(AUTOEVENTO="Manual",$M440=$A$15)),0,
         IF(OFFSET(CRONOPLE!$F$15,$M440-$A$15,BS$13)=0,10^12,OFFSET(CRONOPLE!$F$15,$M440-$A$15,BS$13)))</f>
        <v>1000000000000</v>
      </c>
      <c r="BT440" s="171">
        <f ca="1">IF(OR($D440&lt;&gt;"Serviço",AND(AUTOEVENTO="Manual",$M440=$A$15)),0,
         IF(OFFSET(CRONOPLE!$F$15,$M440-$A$15,BT$13)=0,10^12,OFFSET(CRONOPLE!$F$15,$M440-$A$15,BT$13)))</f>
        <v>1000000000000</v>
      </c>
      <c r="BV440" s="172">
        <f ca="1">IF(OR($D440&lt;&gt;"Serviço",AND(AUTOEVENTO="Manual",$M440=$A$15),$M440&gt;(ROW(PLE.lastrow)-ROW(PLE.firstrow))),0,
           IF(OFFSET(PLE!$G$15,$M440-$A$15,BV$13)="",10^12,OFFSET(PLE!$G$15,$M440-$A$15,BV$13)))</f>
        <v>1000000000000</v>
      </c>
      <c r="BW440" s="172">
        <f ca="1">IF(OR($D440&lt;&gt;"Serviço",AND(AUTOEVENTO="Manual",$M440=$A$15),$M440&gt;(ROW(PLE.lastrow)-ROW(PLE.firstrow))),0,
           IF(OFFSET(PLE!$G$15,$M440-$A$15,BW$13)="",10^12,OFFSET(PLE!$G$15,$M440-$A$15,BW$13)))</f>
        <v>1000000000000</v>
      </c>
      <c r="BX440" s="172">
        <f ca="1">IF(OR($D440&lt;&gt;"Serviço",AND(AUTOEVENTO="Manual",$M440=$A$15),$M440&gt;(ROW(PLE.lastrow)-ROW(PLE.firstrow))),0,
           IF(OFFSET(PLE!$G$15,$M440-$A$15,BX$13)="",10^12,OFFSET(PLE!$G$15,$M440-$A$15,BX$13)))</f>
        <v>1000000000000</v>
      </c>
      <c r="BY440" s="172">
        <f ca="1">IF(OR($D440&lt;&gt;"Serviço",AND(AUTOEVENTO="Manual",$M440=$A$15),$M440&gt;(ROW(PLE.lastrow)-ROW(PLE.firstrow))),0,
           IF(OFFSET(PLE!$G$15,$M440-$A$15,BY$13)="",10^12,OFFSET(PLE!$G$15,$M440-$A$15,BY$13)))</f>
        <v>1000000000000</v>
      </c>
      <c r="BZ440" s="172">
        <f ca="1">IF(OR($D440&lt;&gt;"Serviço",AND(AUTOEVENTO="Manual",$M440=$A$15),$M440&gt;(ROW(PLE.lastrow)-ROW(PLE.firstrow))),0,
           IF(OFFSET(PLE!$G$15,$M440-$A$15,BZ$13)="",10^12,OFFSET(PLE!$G$15,$M440-$A$15,BZ$13)))</f>
        <v>1000000000000</v>
      </c>
      <c r="CA440" s="172">
        <f ca="1">IF(OR($D440&lt;&gt;"Serviço",AND(AUTOEVENTO="Manual",$M440=$A$15),$M440&gt;(ROW(PLE.lastrow)-ROW(PLE.firstrow))),0,
           IF(OFFSET(PLE!$G$15,$M440-$A$15,CA$13)="",10^12,OFFSET(PLE!$G$15,$M440-$A$15,CA$13)))</f>
        <v>1000000000000</v>
      </c>
      <c r="CB440" s="172">
        <f ca="1">IF(OR($D440&lt;&gt;"Serviço",AND(AUTOEVENTO="Manual",$M440=$A$15),$M440&gt;(ROW(PLE.lastrow)-ROW(PLE.firstrow))),0,
           IF(OFFSET(PLE!$G$15,$M440-$A$15,CB$13)="",10^12,OFFSET(PLE!$G$15,$M440-$A$15,CB$13)))</f>
        <v>1000000000000</v>
      </c>
      <c r="CC440" s="172">
        <f ca="1">IF(OR($D440&lt;&gt;"Serviço",AND(AUTOEVENTO="Manual",$M440=$A$15),$M440&gt;(ROW(PLE.lastrow)-ROW(PLE.firstrow))),0,
           IF(OFFSET(PLE!$G$15,$M440-$A$15,CC$13)="",10^12,OFFSET(PLE!$G$15,$M440-$A$15,CC$13)))</f>
        <v>1000000000000</v>
      </c>
      <c r="CD440" s="172">
        <f ca="1">IF(OR($D440&lt;&gt;"Serviço",AND(AUTOEVENTO="Manual",$M440=$A$15),$M440&gt;(ROW(PLE.lastrow)-ROW(PLE.firstrow))),0,
           IF(OFFSET(PLE!$G$15,$M440-$A$15,CD$13)="",10^12,OFFSET(PLE!$G$15,$M440-$A$15,CD$13)))</f>
        <v>1000000000000</v>
      </c>
      <c r="CE440" s="172">
        <f ca="1">IF(OR($D440&lt;&gt;"Serviço",AND(AUTOEVENTO="Manual",$M440=$A$15),$M440&gt;(ROW(PLE.lastrow)-ROW(PLE.firstrow))),0,
           IF(OFFSET(PLE!$G$15,$M440-$A$15,CE$13)="",10^12,OFFSET(PLE!$G$15,$M440-$A$15,CE$13)))</f>
        <v>1000000000000</v>
      </c>
      <c r="CF440" s="172">
        <f ca="1">IF(OR($D440&lt;&gt;"Serviço",AND(AUTOEVENTO="Manual",$M440=$A$15),$M440&gt;(ROW(PLE.lastrow)-ROW(PLE.firstrow))),0,
           IF(OFFSET(PLE!$G$15,$M440-$A$15,CF$13)="",10^12,OFFSET(PLE!$G$15,$M440-$A$15,CF$13)))</f>
        <v>1000000000000</v>
      </c>
      <c r="CG440" s="172">
        <f ca="1">IF(OR($D440&lt;&gt;"Serviço",AND(AUTOEVENTO="Manual",$M440=$A$15),$M440&gt;(ROW(PLE.lastrow)-ROW(PLE.firstrow))),0,
           IF(OFFSET(PLE!$G$15,$M440-$A$15,CG$13)="",10^12,OFFSET(PLE!$G$15,$M440-$A$15,CG$13)))</f>
        <v>1000000000000</v>
      </c>
      <c r="CH440" s="172">
        <f ca="1">IF(OR($D440&lt;&gt;"Serviço",AND(AUTOEVENTO="Manual",$M440=$A$15),$M440&gt;(ROW(PLE.lastrow)-ROW(PLE.firstrow))),0,
           IF(OFFSET(PLE!$G$15,$M440-$A$15,CH$13)="",10^12,OFFSET(PLE!$G$15,$M440-$A$15,CH$13)))</f>
        <v>1000000000000</v>
      </c>
      <c r="CI440" s="172">
        <f ca="1">IF(OR($D440&lt;&gt;"Serviço",AND(AUTOEVENTO="Manual",$M440=$A$15),$M440&gt;(ROW(PLE.lastrow)-ROW(PLE.firstrow))),0,
           IF(OFFSET(PLE!$G$15,$M440-$A$15,CI$13)="",10^12,OFFSET(PLE!$G$15,$M440-$A$15,CI$13)))</f>
        <v>1000000000000</v>
      </c>
      <c r="CJ440" s="172">
        <f ca="1">IF(OR($D440&lt;&gt;"Serviço",AND(AUTOEVENTO="Manual",$M440=$A$15),$M440&gt;(ROW(PLE.lastrow)-ROW(PLE.firstrow))),0,
           IF(OFFSET(PLE!$G$15,$M440-$A$15,CJ$13)="",10^12,OFFSET(PLE!$G$15,$M440-$A$15,CJ$13)))</f>
        <v>1000000000000</v>
      </c>
      <c r="CK440" s="172">
        <f ca="1">IF(OR($D440&lt;&gt;"Serviço",AND(AUTOEVENTO="Manual",$M440=$A$15),$M440&gt;(ROW(PLE.lastrow)-ROW(PLE.firstrow))),0,
           IF(OFFSET(PLE!$G$15,$M440-$A$15,CK$13)="",10^12,OFFSET(PLE!$G$15,$M440-$A$15,CK$13)))</f>
        <v>1000000000000</v>
      </c>
      <c r="CL440" s="172">
        <f ca="1">IF(OR($D440&lt;&gt;"Serviço",AND(AUTOEVENTO="Manual",$M440=$A$15),$M440&gt;(ROW(PLE.lastrow)-ROW(PLE.firstrow))),0,
           IF(OFFSET(PLE!$G$15,$M440-$A$15,CL$13)="",10^12,OFFSET(PLE!$G$15,$M440-$A$15,CL$13)))</f>
        <v>1000000000000</v>
      </c>
      <c r="CM440" s="172">
        <f ca="1">IF(OR($D440&lt;&gt;"Serviço",AND(AUTOEVENTO="Manual",$M440=$A$15),$M440&gt;(ROW(PLE.lastrow)-ROW(PLE.firstrow))),0,
           IF(OFFSET(PLE!$G$15,$M440-$A$15,CM$13)="",10^12,OFFSET(PLE!$G$15,$M440-$A$15,CM$13)))</f>
        <v>1000000000000</v>
      </c>
    </row>
    <row r="441" spans="1:91" ht="12.75" x14ac:dyDescent="0.2">
      <c r="A441" s="7">
        <f t="shared" ca="1" si="16"/>
        <v>0</v>
      </c>
      <c r="B441" s="7">
        <f ca="1">OFFSET(ORÇAMENTO!C$15,ROW(B441)-ROW(B$15),0)</f>
        <v>2</v>
      </c>
      <c r="C441" s="7" t="str">
        <f ca="1">OFFSET(ORÇAMENTO!L$15,ROW(C441)-ROW(C$15),0)</f>
        <v>F</v>
      </c>
      <c r="D441" s="116" t="str">
        <f ca="1">OFFSET(ORÇAMENTO!N$15,ROW(D441)-ROW(D$15),0)</f>
        <v>Nível 2</v>
      </c>
      <c r="E441" s="117" t="str">
        <f ca="1">OFFSET(ORÇAMENTO!O$15,ROW(E441)-ROW(E$15),0)</f>
        <v>1.9.</v>
      </c>
      <c r="F441" s="163" t="str">
        <f ca="1">OFFSET(ORÇAMENTO!R$15,ROW(F441)-ROW(F$15),0)</f>
        <v>CFTV</v>
      </c>
      <c r="G441" s="164" t="str">
        <f ca="1">IF($D441&lt;&gt;"Serviço","",OFFSET(ORÇAMENTO!S$15,ROW(G441)-ROW(G$15),0))</f>
        <v/>
      </c>
      <c r="H441" s="122" cm="1">
        <f t="array" aca="1" ref="H441" ca="1">IF($D441&lt;&gt;"Serviço",0,IF(ACOMPANHAMENTO="BM",ROUND(OFFSET(ORÇAMENTO!AJ$15,ROW(H441)-ROW(H$15),0),15-13*ORÇAMENTO!$AF$7),SUMPRODUCT(($Q$1:$AI$1=1)*ROUND($Q441:$AI441,15-13*ORÇAMENTO!$AF$7))))</f>
        <v>0</v>
      </c>
      <c r="I441" s="468"/>
      <c r="J441" s="640" t="str" cm="1">
        <f t="array" aca="1" ref="J441" ca="1">IF(OR(B441&lt;&gt;"S",CÁLCULO.FrentesPreenchidas=0),"",IF(AND(ACOMPANHAMENTO="PLE",AUTOEVENTO="Manual",OR(H441&gt;0,ORÇAMENTO!AC441="QUANT."),OR(K441="",M441=0,N441="")),"►E",IF(AND(ACOMPANHAMENTO="PLE",ORÇAMENTO!AC441="QUANT."),"►Q",IF(AND(ACOMPANHAMENTO="PLE",H441&lt;&gt;SUMPRODUCT(($Q$1:$AI$1=1)*ROUND(Q441:AI441,15))),"►S",IF(AND(COUNTIF($P$11:$AI$11,"▼")=0,H441&gt;0,I441=""),"◄M","")))))</f>
        <v/>
      </c>
      <c r="K441" s="641"/>
      <c r="L441" s="165" t="s">
        <v>764</v>
      </c>
      <c r="M441" s="166" t="str">
        <f ca="1">IF($D441&lt;&gt;"Serviço","",
          IF(AUTOEVENTO="manual",$A441,
                IF(ISERROR(MATCH($A441,$A$15:OFFSET($A441,-1,0),0)),MAX($M$15:OFFSET(M441,-1,0))+1,
                      INDEX($M$15:OFFSET(M441,-1,0),MATCH($A441,$A$15:OFFSET($A441,-1,0),0)))))</f>
        <v/>
      </c>
      <c r="N441" s="167" t="str">
        <f ca="1">IF($D441&lt;&gt;"Serviço","",
         IF(AUTOEVENTO="Manual",
                IF($A441=0,"&lt;-- defina o número do agrupador",
                       OFFSET(EVENTOS!$D$15,$A441-$A$15,0)),
                OFFSET($F$15,$A441,0)))</f>
        <v/>
      </c>
      <c r="O441" s="168"/>
      <c r="Q441" s="168"/>
      <c r="R441" s="169"/>
      <c r="S441" s="169"/>
      <c r="T441" s="169"/>
      <c r="U441" s="169"/>
      <c r="V441" s="169"/>
      <c r="W441" s="169"/>
      <c r="X441" s="169"/>
      <c r="Y441" s="169"/>
      <c r="Z441" s="170"/>
      <c r="AA441" s="169"/>
      <c r="AB441" s="169"/>
      <c r="AC441" s="169"/>
      <c r="AD441" s="169"/>
      <c r="AE441" s="169"/>
      <c r="AF441" s="169"/>
      <c r="AG441" s="169"/>
      <c r="AH441" s="170"/>
      <c r="AJ441" s="453">
        <f ca="1">IF(AND($D441="Serviço",AJ$12&lt;&gt;0,$H441&gt;0,OR(AUTOEVENTO&lt;&gt;"manual",$M441&lt;&gt;$A$15)),
        IF(Import.TipoArredondamento&lt;&gt;"TransfereGOV",
              ROUND(OFFSET($P441,0,AJ$13),15-13*ORÇAMENTO!$AF$7)/$H441*OFFSET(ORÇAMENTO!$X$15,ROW(AJ441)-ROW(AJ$15),0),
              ROUND(ROUND(OFFSET($P441,0,AJ$13),15-13*ORÇAMENTO!$AF$7)*OFFSET(ORÇAMENTO!$W$15,ROW(AJ441)-ROW(AJ$15),0),15-13*ORÇAMENTO!$AF$11)),
         0)</f>
        <v>0</v>
      </c>
      <c r="AK441" s="453">
        <f ca="1">IF(AND($D441="Serviço",AK$12&lt;&gt;0,$H441&gt;0,OR(AUTOEVENTO&lt;&gt;"manual",$M441&lt;&gt;$A$15)),
        IF(Import.TipoArredondamento&lt;&gt;"TransfereGOV",
              ROUND(OFFSET($P441,0,AK$13),15-13*ORÇAMENTO!$AF$7)/$H441*OFFSET(ORÇAMENTO!$X$15,ROW(AK441)-ROW(AK$15),0),
              ROUND(ROUND(OFFSET($P441,0,AK$13),15-13*ORÇAMENTO!$AF$7)*OFFSET(ORÇAMENTO!$W$15,ROW(AK441)-ROW(AK$15),0),15-13*ORÇAMENTO!$AF$11)),
         0)</f>
        <v>0</v>
      </c>
      <c r="AL441" s="453">
        <f ca="1">IF(AND($D441="Serviço",AL$12&lt;&gt;0,$H441&gt;0,OR(AUTOEVENTO&lt;&gt;"manual",$M441&lt;&gt;$A$15)),
        IF(Import.TipoArredondamento&lt;&gt;"TransfereGOV",
              ROUND(OFFSET($P441,0,AL$13),15-13*ORÇAMENTO!$AF$7)/$H441*OFFSET(ORÇAMENTO!$X$15,ROW(AL441)-ROW(AL$15),0),
              ROUND(ROUND(OFFSET($P441,0,AL$13),15-13*ORÇAMENTO!$AF$7)*OFFSET(ORÇAMENTO!$W$15,ROW(AL441)-ROW(AL$15),0),15-13*ORÇAMENTO!$AF$11)),
         0)</f>
        <v>0</v>
      </c>
      <c r="AM441" s="453">
        <f ca="1">IF(AND($D441="Serviço",AM$12&lt;&gt;0,$H441&gt;0,OR(AUTOEVENTO&lt;&gt;"manual",$M441&lt;&gt;$A$15)),
        IF(Import.TipoArredondamento&lt;&gt;"TransfereGOV",
              ROUND(OFFSET($P441,0,AM$13),15-13*ORÇAMENTO!$AF$7)/$H441*OFFSET(ORÇAMENTO!$X$15,ROW(AM441)-ROW(AM$15),0),
              ROUND(ROUND(OFFSET($P441,0,AM$13),15-13*ORÇAMENTO!$AF$7)*OFFSET(ORÇAMENTO!$W$15,ROW(AM441)-ROW(AM$15),0),15-13*ORÇAMENTO!$AF$11)),
         0)</f>
        <v>0</v>
      </c>
      <c r="AN441" s="453">
        <f ca="1">IF(AND($D441="Serviço",AN$12&lt;&gt;0,$H441&gt;0,OR(AUTOEVENTO&lt;&gt;"manual",$M441&lt;&gt;$A$15)),
        IF(Import.TipoArredondamento&lt;&gt;"TransfereGOV",
              ROUND(OFFSET($P441,0,AN$13),15-13*ORÇAMENTO!$AF$7)/$H441*OFFSET(ORÇAMENTO!$X$15,ROW(AN441)-ROW(AN$15),0),
              ROUND(ROUND(OFFSET($P441,0,AN$13),15-13*ORÇAMENTO!$AF$7)*OFFSET(ORÇAMENTO!$W$15,ROW(AN441)-ROW(AN$15),0),15-13*ORÇAMENTO!$AF$11)),
         0)</f>
        <v>0</v>
      </c>
      <c r="AO441" s="453">
        <f ca="1">IF(AND($D441="Serviço",AO$12&lt;&gt;0,$H441&gt;0,OR(AUTOEVENTO&lt;&gt;"manual",$M441&lt;&gt;$A$15)),
        IF(Import.TipoArredondamento&lt;&gt;"TransfereGOV",
              ROUND(OFFSET($P441,0,AO$13),15-13*ORÇAMENTO!$AF$7)/$H441*OFFSET(ORÇAMENTO!$X$15,ROW(AO441)-ROW(AO$15),0),
              ROUND(ROUND(OFFSET($P441,0,AO$13),15-13*ORÇAMENTO!$AF$7)*OFFSET(ORÇAMENTO!$W$15,ROW(AO441)-ROW(AO$15),0),15-13*ORÇAMENTO!$AF$11)),
         0)</f>
        <v>0</v>
      </c>
      <c r="AP441" s="453">
        <f ca="1">IF(AND($D441="Serviço",AP$12&lt;&gt;0,$H441&gt;0,OR(AUTOEVENTO&lt;&gt;"manual",$M441&lt;&gt;$A$15)),
        IF(Import.TipoArredondamento&lt;&gt;"TransfereGOV",
              ROUND(OFFSET($P441,0,AP$13),15-13*ORÇAMENTO!$AF$7)/$H441*OFFSET(ORÇAMENTO!$X$15,ROW(AP441)-ROW(AP$15),0),
              ROUND(ROUND(OFFSET($P441,0,AP$13),15-13*ORÇAMENTO!$AF$7)*OFFSET(ORÇAMENTO!$W$15,ROW(AP441)-ROW(AP$15),0),15-13*ORÇAMENTO!$AF$11)),
         0)</f>
        <v>0</v>
      </c>
      <c r="AQ441" s="453">
        <f ca="1">IF(AND($D441="Serviço",AQ$12&lt;&gt;0,$H441&gt;0,OR(AUTOEVENTO&lt;&gt;"manual",$M441&lt;&gt;$A$15)),
        IF(Import.TipoArredondamento&lt;&gt;"TransfereGOV",
              ROUND(OFFSET($P441,0,AQ$13),15-13*ORÇAMENTO!$AF$7)/$H441*OFFSET(ORÇAMENTO!$X$15,ROW(AQ441)-ROW(AQ$15),0),
              ROUND(ROUND(OFFSET($P441,0,AQ$13),15-13*ORÇAMENTO!$AF$7)*OFFSET(ORÇAMENTO!$W$15,ROW(AQ441)-ROW(AQ$15),0),15-13*ORÇAMENTO!$AF$11)),
         0)</f>
        <v>0</v>
      </c>
      <c r="AR441" s="453">
        <f ca="1">IF(AND($D441="Serviço",AR$12&lt;&gt;0,$H441&gt;0,OR(AUTOEVENTO&lt;&gt;"manual",$M441&lt;&gt;$A$15)),
        IF(Import.TipoArredondamento&lt;&gt;"TransfereGOV",
              ROUND(OFFSET($P441,0,AR$13),15-13*ORÇAMENTO!$AF$7)/$H441*OFFSET(ORÇAMENTO!$X$15,ROW(AR441)-ROW(AR$15),0),
              ROUND(ROUND(OFFSET($P441,0,AR$13),15-13*ORÇAMENTO!$AF$7)*OFFSET(ORÇAMENTO!$W$15,ROW(AR441)-ROW(AR$15),0),15-13*ORÇAMENTO!$AF$11)),
         0)</f>
        <v>0</v>
      </c>
      <c r="AS441" s="453">
        <f ca="1">IF(AND($D441="Serviço",AS$12&lt;&gt;0,$H441&gt;0,OR(AUTOEVENTO&lt;&gt;"manual",$M441&lt;&gt;$A$15)),
        IF(Import.TipoArredondamento&lt;&gt;"TransfereGOV",
              ROUND(OFFSET($P441,0,AS$13),15-13*ORÇAMENTO!$AF$7)/$H441*OFFSET(ORÇAMENTO!$X$15,ROW(AS441)-ROW(AS$15),0),
              ROUND(ROUND(OFFSET($P441,0,AS$13),15-13*ORÇAMENTO!$AF$7)*OFFSET(ORÇAMENTO!$W$15,ROW(AS441)-ROW(AS$15),0),15-13*ORÇAMENTO!$AF$11)),
         0)</f>
        <v>0</v>
      </c>
      <c r="AT441" s="453">
        <f ca="1">IF(AND($D441="Serviço",AT$12&lt;&gt;0,$H441&gt;0,OR(AUTOEVENTO&lt;&gt;"manual",$M441&lt;&gt;$A$15)),
        IF(Import.TipoArredondamento&lt;&gt;"TransfereGOV",
              ROUND(OFFSET($P441,0,AT$13),15-13*ORÇAMENTO!$AF$7)/$H441*OFFSET(ORÇAMENTO!$X$15,ROW(AT441)-ROW(AT$15),0),
              ROUND(ROUND(OFFSET($P441,0,AT$13),15-13*ORÇAMENTO!$AF$7)*OFFSET(ORÇAMENTO!$W$15,ROW(AT441)-ROW(AT$15),0),15-13*ORÇAMENTO!$AF$11)),
         0)</f>
        <v>0</v>
      </c>
      <c r="AU441" s="453">
        <f ca="1">IF(AND($D441="Serviço",AU$12&lt;&gt;0,$H441&gt;0,OR(AUTOEVENTO&lt;&gt;"manual",$M441&lt;&gt;$A$15)),
        IF(Import.TipoArredondamento&lt;&gt;"TransfereGOV",
              ROUND(OFFSET($P441,0,AU$13),15-13*ORÇAMENTO!$AF$7)/$H441*OFFSET(ORÇAMENTO!$X$15,ROW(AU441)-ROW(AU$15),0),
              ROUND(ROUND(OFFSET($P441,0,AU$13),15-13*ORÇAMENTO!$AF$7)*OFFSET(ORÇAMENTO!$W$15,ROW(AU441)-ROW(AU$15),0),15-13*ORÇAMENTO!$AF$11)),
         0)</f>
        <v>0</v>
      </c>
      <c r="AV441" s="453">
        <f ca="1">IF(AND($D441="Serviço",AV$12&lt;&gt;0,$H441&gt;0,OR(AUTOEVENTO&lt;&gt;"manual",$M441&lt;&gt;$A$15)),
        IF(Import.TipoArredondamento&lt;&gt;"TransfereGOV",
              ROUND(OFFSET($P441,0,AV$13),15-13*ORÇAMENTO!$AF$7)/$H441*OFFSET(ORÇAMENTO!$X$15,ROW(AV441)-ROW(AV$15),0),
              ROUND(ROUND(OFFSET($P441,0,AV$13),15-13*ORÇAMENTO!$AF$7)*OFFSET(ORÇAMENTO!$W$15,ROW(AV441)-ROW(AV$15),0),15-13*ORÇAMENTO!$AF$11)),
         0)</f>
        <v>0</v>
      </c>
      <c r="AW441" s="453">
        <f ca="1">IF(AND($D441="Serviço",AW$12&lt;&gt;0,$H441&gt;0,OR(AUTOEVENTO&lt;&gt;"manual",$M441&lt;&gt;$A$15)),
        IF(Import.TipoArredondamento&lt;&gt;"TransfereGOV",
              ROUND(OFFSET($P441,0,AW$13),15-13*ORÇAMENTO!$AF$7)/$H441*OFFSET(ORÇAMENTO!$X$15,ROW(AW441)-ROW(AW$15),0),
              ROUND(ROUND(OFFSET($P441,0,AW$13),15-13*ORÇAMENTO!$AF$7)*OFFSET(ORÇAMENTO!$W$15,ROW(AW441)-ROW(AW$15),0),15-13*ORÇAMENTO!$AF$11)),
         0)</f>
        <v>0</v>
      </c>
      <c r="AX441" s="453">
        <f ca="1">IF(AND($D441="Serviço",AX$12&lt;&gt;0,$H441&gt;0,OR(AUTOEVENTO&lt;&gt;"manual",$M441&lt;&gt;$A$15)),
        IF(Import.TipoArredondamento&lt;&gt;"TransfereGOV",
              ROUND(OFFSET($P441,0,AX$13),15-13*ORÇAMENTO!$AF$7)/$H441*OFFSET(ORÇAMENTO!$X$15,ROW(AX441)-ROW(AX$15),0),
              ROUND(ROUND(OFFSET($P441,0,AX$13),15-13*ORÇAMENTO!$AF$7)*OFFSET(ORÇAMENTO!$W$15,ROW(AX441)-ROW(AX$15),0),15-13*ORÇAMENTO!$AF$11)),
         0)</f>
        <v>0</v>
      </c>
      <c r="AY441" s="453">
        <f ca="1">IF(AND($D441="Serviço",AY$12&lt;&gt;0,$H441&gt;0,OR(AUTOEVENTO&lt;&gt;"manual",$M441&lt;&gt;$A$15)),
        IF(Import.TipoArredondamento&lt;&gt;"TransfereGOV",
              ROUND(OFFSET($P441,0,AY$13),15-13*ORÇAMENTO!$AF$7)/$H441*OFFSET(ORÇAMENTO!$X$15,ROW(AY441)-ROW(AY$15),0),
              ROUND(ROUND(OFFSET($P441,0,AY$13),15-13*ORÇAMENTO!$AF$7)*OFFSET(ORÇAMENTO!$W$15,ROW(AY441)-ROW(AY$15),0),15-13*ORÇAMENTO!$AF$11)),
         0)</f>
        <v>0</v>
      </c>
      <c r="AZ441" s="453">
        <f ca="1">IF(AND($D441="Serviço",AZ$12&lt;&gt;0,$H441&gt;0,OR(AUTOEVENTO&lt;&gt;"manual",$M441&lt;&gt;$A$15)),
        IF(Import.TipoArredondamento&lt;&gt;"TransfereGOV",
              ROUND(OFFSET($P441,0,AZ$13),15-13*ORÇAMENTO!$AF$7)/$H441*OFFSET(ORÇAMENTO!$X$15,ROW(AZ441)-ROW(AZ$15),0),
              ROUND(ROUND(OFFSET($P441,0,AZ$13),15-13*ORÇAMENTO!$AF$7)*OFFSET(ORÇAMENTO!$W$15,ROW(AZ441)-ROW(AZ$15),0),15-13*ORÇAMENTO!$AF$11)),
         0)</f>
        <v>0</v>
      </c>
      <c r="BA441" s="453">
        <f ca="1">IF(AND($D441="Serviço",BA$12&lt;&gt;0,$H441&gt;0,OR(AUTOEVENTO&lt;&gt;"manual",$M441&lt;&gt;$A$15)),
        IF(Import.TipoArredondamento&lt;&gt;"TransfereGOV",
              ROUND(OFFSET($P441,0,BA$13),15-13*ORÇAMENTO!$AF$7)/$H441*OFFSET(ORÇAMENTO!$X$15,ROW(BA441)-ROW(BA$15),0),
              ROUND(ROUND(OFFSET($P441,0,BA$13),15-13*ORÇAMENTO!$AF$7)*OFFSET(ORÇAMENTO!$W$15,ROW(BA441)-ROW(BA$15),0),15-13*ORÇAMENTO!$AF$11)),
         0)</f>
        <v>0</v>
      </c>
      <c r="BC441" s="171">
        <f ca="1">IF(OR($D441&lt;&gt;"Serviço",AND(AUTOEVENTO="Manual",$M441=$A$15)),0,
         IF(OFFSET(CRONOPLE!$F$15,$M441-$A$15,BC$13)=0,10^12,OFFSET(CRONOPLE!$F$15,$M441-$A$15,BC$13)))</f>
        <v>0</v>
      </c>
      <c r="BD441" s="171">
        <f ca="1">IF(OR($D441&lt;&gt;"Serviço",AND(AUTOEVENTO="Manual",$M441=$A$15)),0,
         IF(OFFSET(CRONOPLE!$F$15,$M441-$A$15,BD$13)=0,10^12,OFFSET(CRONOPLE!$F$15,$M441-$A$15,BD$13)))</f>
        <v>0</v>
      </c>
      <c r="BE441" s="171">
        <f ca="1">IF(OR($D441&lt;&gt;"Serviço",AND(AUTOEVENTO="Manual",$M441=$A$15)),0,
         IF(OFFSET(CRONOPLE!$F$15,$M441-$A$15,BE$13)=0,10^12,OFFSET(CRONOPLE!$F$15,$M441-$A$15,BE$13)))</f>
        <v>0</v>
      </c>
      <c r="BF441" s="171">
        <f ca="1">IF(OR($D441&lt;&gt;"Serviço",AND(AUTOEVENTO="Manual",$M441=$A$15)),0,
         IF(OFFSET(CRONOPLE!$F$15,$M441-$A$15,BF$13)=0,10^12,OFFSET(CRONOPLE!$F$15,$M441-$A$15,BF$13)))</f>
        <v>0</v>
      </c>
      <c r="BG441" s="171">
        <f ca="1">IF(OR($D441&lt;&gt;"Serviço",AND(AUTOEVENTO="Manual",$M441=$A$15)),0,
         IF(OFFSET(CRONOPLE!$F$15,$M441-$A$15,BG$13)=0,10^12,OFFSET(CRONOPLE!$F$15,$M441-$A$15,BG$13)))</f>
        <v>0</v>
      </c>
      <c r="BH441" s="171">
        <f ca="1">IF(OR($D441&lt;&gt;"Serviço",AND(AUTOEVENTO="Manual",$M441=$A$15)),0,
         IF(OFFSET(CRONOPLE!$F$15,$M441-$A$15,BH$13)=0,10^12,OFFSET(CRONOPLE!$F$15,$M441-$A$15,BH$13)))</f>
        <v>0</v>
      </c>
      <c r="BI441" s="171">
        <f ca="1">IF(OR($D441&lt;&gt;"Serviço",AND(AUTOEVENTO="Manual",$M441=$A$15)),0,
         IF(OFFSET(CRONOPLE!$F$15,$M441-$A$15,BI$13)=0,10^12,OFFSET(CRONOPLE!$F$15,$M441-$A$15,BI$13)))</f>
        <v>0</v>
      </c>
      <c r="BJ441" s="171">
        <f ca="1">IF(OR($D441&lt;&gt;"Serviço",AND(AUTOEVENTO="Manual",$M441=$A$15)),0,
         IF(OFFSET(CRONOPLE!$F$15,$M441-$A$15,BJ$13)=0,10^12,OFFSET(CRONOPLE!$F$15,$M441-$A$15,BJ$13)))</f>
        <v>0</v>
      </c>
      <c r="BK441" s="171">
        <f ca="1">IF(OR($D441&lt;&gt;"Serviço",AND(AUTOEVENTO="Manual",$M441=$A$15)),0,
         IF(OFFSET(CRONOPLE!$F$15,$M441-$A$15,BK$13)=0,10^12,OFFSET(CRONOPLE!$F$15,$M441-$A$15,BK$13)))</f>
        <v>0</v>
      </c>
      <c r="BL441" s="171">
        <f ca="1">IF(OR($D441&lt;&gt;"Serviço",AND(AUTOEVENTO="Manual",$M441=$A$15)),0,
         IF(OFFSET(CRONOPLE!$F$15,$M441-$A$15,BL$13)=0,10^12,OFFSET(CRONOPLE!$F$15,$M441-$A$15,BL$13)))</f>
        <v>0</v>
      </c>
      <c r="BM441" s="171">
        <f ca="1">IF(OR($D441&lt;&gt;"Serviço",AND(AUTOEVENTO="Manual",$M441=$A$15)),0,
         IF(OFFSET(CRONOPLE!$F$15,$M441-$A$15,BM$13)=0,10^12,OFFSET(CRONOPLE!$F$15,$M441-$A$15,BM$13)))</f>
        <v>0</v>
      </c>
      <c r="BN441" s="171">
        <f ca="1">IF(OR($D441&lt;&gt;"Serviço",AND(AUTOEVENTO="Manual",$M441=$A$15)),0,
         IF(OFFSET(CRONOPLE!$F$15,$M441-$A$15,BN$13)=0,10^12,OFFSET(CRONOPLE!$F$15,$M441-$A$15,BN$13)))</f>
        <v>0</v>
      </c>
      <c r="BO441" s="171">
        <f ca="1">IF(OR($D441&lt;&gt;"Serviço",AND(AUTOEVENTO="Manual",$M441=$A$15)),0,
         IF(OFFSET(CRONOPLE!$F$15,$M441-$A$15,BO$13)=0,10^12,OFFSET(CRONOPLE!$F$15,$M441-$A$15,BO$13)))</f>
        <v>0</v>
      </c>
      <c r="BP441" s="171">
        <f ca="1">IF(OR($D441&lt;&gt;"Serviço",AND(AUTOEVENTO="Manual",$M441=$A$15)),0,
         IF(OFFSET(CRONOPLE!$F$15,$M441-$A$15,BP$13)=0,10^12,OFFSET(CRONOPLE!$F$15,$M441-$A$15,BP$13)))</f>
        <v>0</v>
      </c>
      <c r="BQ441" s="171">
        <f ca="1">IF(OR($D441&lt;&gt;"Serviço",AND(AUTOEVENTO="Manual",$M441=$A$15)),0,
         IF(OFFSET(CRONOPLE!$F$15,$M441-$A$15,BQ$13)=0,10^12,OFFSET(CRONOPLE!$F$15,$M441-$A$15,BQ$13)))</f>
        <v>0</v>
      </c>
      <c r="BR441" s="171">
        <f ca="1">IF(OR($D441&lt;&gt;"Serviço",AND(AUTOEVENTO="Manual",$M441=$A$15)),0,
         IF(OFFSET(CRONOPLE!$F$15,$M441-$A$15,BR$13)=0,10^12,OFFSET(CRONOPLE!$F$15,$M441-$A$15,BR$13)))</f>
        <v>0</v>
      </c>
      <c r="BS441" s="171">
        <f ca="1">IF(OR($D441&lt;&gt;"Serviço",AND(AUTOEVENTO="Manual",$M441=$A$15)),0,
         IF(OFFSET(CRONOPLE!$F$15,$M441-$A$15,BS$13)=0,10^12,OFFSET(CRONOPLE!$F$15,$M441-$A$15,BS$13)))</f>
        <v>0</v>
      </c>
      <c r="BT441" s="171">
        <f ca="1">IF(OR($D441&lt;&gt;"Serviço",AND(AUTOEVENTO="Manual",$M441=$A$15)),0,
         IF(OFFSET(CRONOPLE!$F$15,$M441-$A$15,BT$13)=0,10^12,OFFSET(CRONOPLE!$F$15,$M441-$A$15,BT$13)))</f>
        <v>0</v>
      </c>
      <c r="BV441" s="172">
        <f ca="1">IF(OR($D441&lt;&gt;"Serviço",AND(AUTOEVENTO="Manual",$M441=$A$15),$M441&gt;(ROW(PLE.lastrow)-ROW(PLE.firstrow))),0,
           IF(OFFSET(PLE!$G$15,$M441-$A$15,BV$13)="",10^12,OFFSET(PLE!$G$15,$M441-$A$15,BV$13)))</f>
        <v>0</v>
      </c>
      <c r="BW441" s="172">
        <f ca="1">IF(OR($D441&lt;&gt;"Serviço",AND(AUTOEVENTO="Manual",$M441=$A$15),$M441&gt;(ROW(PLE.lastrow)-ROW(PLE.firstrow))),0,
           IF(OFFSET(PLE!$G$15,$M441-$A$15,BW$13)="",10^12,OFFSET(PLE!$G$15,$M441-$A$15,BW$13)))</f>
        <v>0</v>
      </c>
      <c r="BX441" s="172">
        <f ca="1">IF(OR($D441&lt;&gt;"Serviço",AND(AUTOEVENTO="Manual",$M441=$A$15),$M441&gt;(ROW(PLE.lastrow)-ROW(PLE.firstrow))),0,
           IF(OFFSET(PLE!$G$15,$M441-$A$15,BX$13)="",10^12,OFFSET(PLE!$G$15,$M441-$A$15,BX$13)))</f>
        <v>0</v>
      </c>
      <c r="BY441" s="172">
        <f ca="1">IF(OR($D441&lt;&gt;"Serviço",AND(AUTOEVENTO="Manual",$M441=$A$15),$M441&gt;(ROW(PLE.lastrow)-ROW(PLE.firstrow))),0,
           IF(OFFSET(PLE!$G$15,$M441-$A$15,BY$13)="",10^12,OFFSET(PLE!$G$15,$M441-$A$15,BY$13)))</f>
        <v>0</v>
      </c>
      <c r="BZ441" s="172">
        <f ca="1">IF(OR($D441&lt;&gt;"Serviço",AND(AUTOEVENTO="Manual",$M441=$A$15),$M441&gt;(ROW(PLE.lastrow)-ROW(PLE.firstrow))),0,
           IF(OFFSET(PLE!$G$15,$M441-$A$15,BZ$13)="",10^12,OFFSET(PLE!$G$15,$M441-$A$15,BZ$13)))</f>
        <v>0</v>
      </c>
      <c r="CA441" s="172">
        <f ca="1">IF(OR($D441&lt;&gt;"Serviço",AND(AUTOEVENTO="Manual",$M441=$A$15),$M441&gt;(ROW(PLE.lastrow)-ROW(PLE.firstrow))),0,
           IF(OFFSET(PLE!$G$15,$M441-$A$15,CA$13)="",10^12,OFFSET(PLE!$G$15,$M441-$A$15,CA$13)))</f>
        <v>0</v>
      </c>
      <c r="CB441" s="172">
        <f ca="1">IF(OR($D441&lt;&gt;"Serviço",AND(AUTOEVENTO="Manual",$M441=$A$15),$M441&gt;(ROW(PLE.lastrow)-ROW(PLE.firstrow))),0,
           IF(OFFSET(PLE!$G$15,$M441-$A$15,CB$13)="",10^12,OFFSET(PLE!$G$15,$M441-$A$15,CB$13)))</f>
        <v>0</v>
      </c>
      <c r="CC441" s="172">
        <f ca="1">IF(OR($D441&lt;&gt;"Serviço",AND(AUTOEVENTO="Manual",$M441=$A$15),$M441&gt;(ROW(PLE.lastrow)-ROW(PLE.firstrow))),0,
           IF(OFFSET(PLE!$G$15,$M441-$A$15,CC$13)="",10^12,OFFSET(PLE!$G$15,$M441-$A$15,CC$13)))</f>
        <v>0</v>
      </c>
      <c r="CD441" s="172">
        <f ca="1">IF(OR($D441&lt;&gt;"Serviço",AND(AUTOEVENTO="Manual",$M441=$A$15),$M441&gt;(ROW(PLE.lastrow)-ROW(PLE.firstrow))),0,
           IF(OFFSET(PLE!$G$15,$M441-$A$15,CD$13)="",10^12,OFFSET(PLE!$G$15,$M441-$A$15,CD$13)))</f>
        <v>0</v>
      </c>
      <c r="CE441" s="172">
        <f ca="1">IF(OR($D441&lt;&gt;"Serviço",AND(AUTOEVENTO="Manual",$M441=$A$15),$M441&gt;(ROW(PLE.lastrow)-ROW(PLE.firstrow))),0,
           IF(OFFSET(PLE!$G$15,$M441-$A$15,CE$13)="",10^12,OFFSET(PLE!$G$15,$M441-$A$15,CE$13)))</f>
        <v>0</v>
      </c>
      <c r="CF441" s="172">
        <f ca="1">IF(OR($D441&lt;&gt;"Serviço",AND(AUTOEVENTO="Manual",$M441=$A$15),$M441&gt;(ROW(PLE.lastrow)-ROW(PLE.firstrow))),0,
           IF(OFFSET(PLE!$G$15,$M441-$A$15,CF$13)="",10^12,OFFSET(PLE!$G$15,$M441-$A$15,CF$13)))</f>
        <v>0</v>
      </c>
      <c r="CG441" s="172">
        <f ca="1">IF(OR($D441&lt;&gt;"Serviço",AND(AUTOEVENTO="Manual",$M441=$A$15),$M441&gt;(ROW(PLE.lastrow)-ROW(PLE.firstrow))),0,
           IF(OFFSET(PLE!$G$15,$M441-$A$15,CG$13)="",10^12,OFFSET(PLE!$G$15,$M441-$A$15,CG$13)))</f>
        <v>0</v>
      </c>
      <c r="CH441" s="172">
        <f ca="1">IF(OR($D441&lt;&gt;"Serviço",AND(AUTOEVENTO="Manual",$M441=$A$15),$M441&gt;(ROW(PLE.lastrow)-ROW(PLE.firstrow))),0,
           IF(OFFSET(PLE!$G$15,$M441-$A$15,CH$13)="",10^12,OFFSET(PLE!$G$15,$M441-$A$15,CH$13)))</f>
        <v>0</v>
      </c>
      <c r="CI441" s="172">
        <f ca="1">IF(OR($D441&lt;&gt;"Serviço",AND(AUTOEVENTO="Manual",$M441=$A$15),$M441&gt;(ROW(PLE.lastrow)-ROW(PLE.firstrow))),0,
           IF(OFFSET(PLE!$G$15,$M441-$A$15,CI$13)="",10^12,OFFSET(PLE!$G$15,$M441-$A$15,CI$13)))</f>
        <v>0</v>
      </c>
      <c r="CJ441" s="172">
        <f ca="1">IF(OR($D441&lt;&gt;"Serviço",AND(AUTOEVENTO="Manual",$M441=$A$15),$M441&gt;(ROW(PLE.lastrow)-ROW(PLE.firstrow))),0,
           IF(OFFSET(PLE!$G$15,$M441-$A$15,CJ$13)="",10^12,OFFSET(PLE!$G$15,$M441-$A$15,CJ$13)))</f>
        <v>0</v>
      </c>
      <c r="CK441" s="172">
        <f ca="1">IF(OR($D441&lt;&gt;"Serviço",AND(AUTOEVENTO="Manual",$M441=$A$15),$M441&gt;(ROW(PLE.lastrow)-ROW(PLE.firstrow))),0,
           IF(OFFSET(PLE!$G$15,$M441-$A$15,CK$13)="",10^12,OFFSET(PLE!$G$15,$M441-$A$15,CK$13)))</f>
        <v>0</v>
      </c>
      <c r="CL441" s="172">
        <f ca="1">IF(OR($D441&lt;&gt;"Serviço",AND(AUTOEVENTO="Manual",$M441=$A$15),$M441&gt;(ROW(PLE.lastrow)-ROW(PLE.firstrow))),0,
           IF(OFFSET(PLE!$G$15,$M441-$A$15,CL$13)="",10^12,OFFSET(PLE!$G$15,$M441-$A$15,CL$13)))</f>
        <v>0</v>
      </c>
      <c r="CM441" s="172">
        <f ca="1">IF(OR($D441&lt;&gt;"Serviço",AND(AUTOEVENTO="Manual",$M441=$A$15),$M441&gt;(ROW(PLE.lastrow)-ROW(PLE.firstrow))),0,
           IF(OFFSET(PLE!$G$15,$M441-$A$15,CM$13)="",10^12,OFFSET(PLE!$G$15,$M441-$A$15,CM$13)))</f>
        <v>0</v>
      </c>
    </row>
    <row r="442" spans="1:91" ht="12.75" x14ac:dyDescent="0.2">
      <c r="A442" s="7">
        <f t="shared" ca="1" si="16"/>
        <v>0</v>
      </c>
      <c r="B442" s="7">
        <f ca="1">OFFSET(ORÇAMENTO!C$15,ROW(B442)-ROW(B$15),0)</f>
        <v>3</v>
      </c>
      <c r="C442" s="7" t="str">
        <f ca="1">OFFSET(ORÇAMENTO!L$15,ROW(C442)-ROW(C$15),0)</f>
        <v>F</v>
      </c>
      <c r="D442" s="116" t="str">
        <f ca="1">OFFSET(ORÇAMENTO!N$15,ROW(D442)-ROW(D$15),0)</f>
        <v>Nível 3</v>
      </c>
      <c r="E442" s="117" t="str">
        <f ca="1">OFFSET(ORÇAMENTO!O$15,ROW(E442)-ROW(E$15),0)</f>
        <v>1.9.1.</v>
      </c>
      <c r="F442" s="163" t="str">
        <f ca="1">OFFSET(ORÇAMENTO!R$15,ROW(F442)-ROW(F$15),0)</f>
        <v>INFRAESTRUTURA</v>
      </c>
      <c r="G442" s="164" t="str">
        <f ca="1">IF($D442&lt;&gt;"Serviço","",OFFSET(ORÇAMENTO!S$15,ROW(G442)-ROW(G$15),0))</f>
        <v/>
      </c>
      <c r="H442" s="122" cm="1">
        <f t="array" aca="1" ref="H442" ca="1">IF($D442&lt;&gt;"Serviço",0,IF(ACOMPANHAMENTO="BM",ROUND(OFFSET(ORÇAMENTO!AJ$15,ROW(H442)-ROW(H$15),0),15-13*ORÇAMENTO!$AF$7),SUMPRODUCT(($Q$1:$AI$1=1)*ROUND($Q442:$AI442,15-13*ORÇAMENTO!$AF$7))))</f>
        <v>0</v>
      </c>
      <c r="I442" s="468"/>
      <c r="J442" s="640" t="str" cm="1">
        <f t="array" aca="1" ref="J442" ca="1">IF(OR(B442&lt;&gt;"S",CÁLCULO.FrentesPreenchidas=0),"",IF(AND(ACOMPANHAMENTO="PLE",AUTOEVENTO="Manual",OR(H442&gt;0,ORÇAMENTO!AC442="QUANT."),OR(K442="",M442=0,N442="")),"►E",IF(AND(ACOMPANHAMENTO="PLE",ORÇAMENTO!AC442="QUANT."),"►Q",IF(AND(ACOMPANHAMENTO="PLE",H442&lt;&gt;SUMPRODUCT(($Q$1:$AI$1=1)*ROUND(Q442:AI442,15))),"►S",IF(AND(COUNTIF($P$11:$AI$11,"▼")=0,H442&gt;0,I442=""),"◄M","")))))</f>
        <v/>
      </c>
      <c r="K442" s="641"/>
      <c r="L442" s="165" t="s">
        <v>764</v>
      </c>
      <c r="M442" s="166" t="str">
        <f ca="1">IF($D442&lt;&gt;"Serviço","",
          IF(AUTOEVENTO="manual",$A442,
                IF(ISERROR(MATCH($A442,$A$15:OFFSET($A442,-1,0),0)),MAX($M$15:OFFSET(M442,-1,0))+1,
                      INDEX($M$15:OFFSET(M442,-1,0),MATCH($A442,$A$15:OFFSET($A442,-1,0),0)))))</f>
        <v/>
      </c>
      <c r="N442" s="167" t="str">
        <f ca="1">IF($D442&lt;&gt;"Serviço","",
         IF(AUTOEVENTO="Manual",
                IF($A442=0,"&lt;-- defina o número do agrupador",
                       OFFSET(EVENTOS!$D$15,$A442-$A$15,0)),
                OFFSET($F$15,$A442,0)))</f>
        <v/>
      </c>
      <c r="O442" s="168"/>
      <c r="Q442" s="168"/>
      <c r="R442" s="169"/>
      <c r="S442" s="169"/>
      <c r="T442" s="169"/>
      <c r="U442" s="169"/>
      <c r="V442" s="169"/>
      <c r="W442" s="169"/>
      <c r="X442" s="169"/>
      <c r="Y442" s="169"/>
      <c r="Z442" s="170"/>
      <c r="AA442" s="169"/>
      <c r="AB442" s="169"/>
      <c r="AC442" s="169"/>
      <c r="AD442" s="169"/>
      <c r="AE442" s="169"/>
      <c r="AF442" s="169"/>
      <c r="AG442" s="169"/>
      <c r="AH442" s="170"/>
      <c r="AJ442" s="453">
        <f ca="1">IF(AND($D442="Serviço",AJ$12&lt;&gt;0,$H442&gt;0,OR(AUTOEVENTO&lt;&gt;"manual",$M442&lt;&gt;$A$15)),
        IF(Import.TipoArredondamento&lt;&gt;"TransfereGOV",
              ROUND(OFFSET($P442,0,AJ$13),15-13*ORÇAMENTO!$AF$7)/$H442*OFFSET(ORÇAMENTO!$X$15,ROW(AJ442)-ROW(AJ$15),0),
              ROUND(ROUND(OFFSET($P442,0,AJ$13),15-13*ORÇAMENTO!$AF$7)*OFFSET(ORÇAMENTO!$W$15,ROW(AJ442)-ROW(AJ$15),0),15-13*ORÇAMENTO!$AF$11)),
         0)</f>
        <v>0</v>
      </c>
      <c r="AK442" s="453">
        <f ca="1">IF(AND($D442="Serviço",AK$12&lt;&gt;0,$H442&gt;0,OR(AUTOEVENTO&lt;&gt;"manual",$M442&lt;&gt;$A$15)),
        IF(Import.TipoArredondamento&lt;&gt;"TransfereGOV",
              ROUND(OFFSET($P442,0,AK$13),15-13*ORÇAMENTO!$AF$7)/$H442*OFFSET(ORÇAMENTO!$X$15,ROW(AK442)-ROW(AK$15),0),
              ROUND(ROUND(OFFSET($P442,0,AK$13),15-13*ORÇAMENTO!$AF$7)*OFFSET(ORÇAMENTO!$W$15,ROW(AK442)-ROW(AK$15),0),15-13*ORÇAMENTO!$AF$11)),
         0)</f>
        <v>0</v>
      </c>
      <c r="AL442" s="453">
        <f ca="1">IF(AND($D442="Serviço",AL$12&lt;&gt;0,$H442&gt;0,OR(AUTOEVENTO&lt;&gt;"manual",$M442&lt;&gt;$A$15)),
        IF(Import.TipoArredondamento&lt;&gt;"TransfereGOV",
              ROUND(OFFSET($P442,0,AL$13),15-13*ORÇAMENTO!$AF$7)/$H442*OFFSET(ORÇAMENTO!$X$15,ROW(AL442)-ROW(AL$15),0),
              ROUND(ROUND(OFFSET($P442,0,AL$13),15-13*ORÇAMENTO!$AF$7)*OFFSET(ORÇAMENTO!$W$15,ROW(AL442)-ROW(AL$15),0),15-13*ORÇAMENTO!$AF$11)),
         0)</f>
        <v>0</v>
      </c>
      <c r="AM442" s="453">
        <f ca="1">IF(AND($D442="Serviço",AM$12&lt;&gt;0,$H442&gt;0,OR(AUTOEVENTO&lt;&gt;"manual",$M442&lt;&gt;$A$15)),
        IF(Import.TipoArredondamento&lt;&gt;"TransfereGOV",
              ROUND(OFFSET($P442,0,AM$13),15-13*ORÇAMENTO!$AF$7)/$H442*OFFSET(ORÇAMENTO!$X$15,ROW(AM442)-ROW(AM$15),0),
              ROUND(ROUND(OFFSET($P442,0,AM$13),15-13*ORÇAMENTO!$AF$7)*OFFSET(ORÇAMENTO!$W$15,ROW(AM442)-ROW(AM$15),0),15-13*ORÇAMENTO!$AF$11)),
         0)</f>
        <v>0</v>
      </c>
      <c r="AN442" s="453">
        <f ca="1">IF(AND($D442="Serviço",AN$12&lt;&gt;0,$H442&gt;0,OR(AUTOEVENTO&lt;&gt;"manual",$M442&lt;&gt;$A$15)),
        IF(Import.TipoArredondamento&lt;&gt;"TransfereGOV",
              ROUND(OFFSET($P442,0,AN$13),15-13*ORÇAMENTO!$AF$7)/$H442*OFFSET(ORÇAMENTO!$X$15,ROW(AN442)-ROW(AN$15),0),
              ROUND(ROUND(OFFSET($P442,0,AN$13),15-13*ORÇAMENTO!$AF$7)*OFFSET(ORÇAMENTO!$W$15,ROW(AN442)-ROW(AN$15),0),15-13*ORÇAMENTO!$AF$11)),
         0)</f>
        <v>0</v>
      </c>
      <c r="AO442" s="453">
        <f ca="1">IF(AND($D442="Serviço",AO$12&lt;&gt;0,$H442&gt;0,OR(AUTOEVENTO&lt;&gt;"manual",$M442&lt;&gt;$A$15)),
        IF(Import.TipoArredondamento&lt;&gt;"TransfereGOV",
              ROUND(OFFSET($P442,0,AO$13),15-13*ORÇAMENTO!$AF$7)/$H442*OFFSET(ORÇAMENTO!$X$15,ROW(AO442)-ROW(AO$15),0),
              ROUND(ROUND(OFFSET($P442,0,AO$13),15-13*ORÇAMENTO!$AF$7)*OFFSET(ORÇAMENTO!$W$15,ROW(AO442)-ROW(AO$15),0),15-13*ORÇAMENTO!$AF$11)),
         0)</f>
        <v>0</v>
      </c>
      <c r="AP442" s="453">
        <f ca="1">IF(AND($D442="Serviço",AP$12&lt;&gt;0,$H442&gt;0,OR(AUTOEVENTO&lt;&gt;"manual",$M442&lt;&gt;$A$15)),
        IF(Import.TipoArredondamento&lt;&gt;"TransfereGOV",
              ROUND(OFFSET($P442,0,AP$13),15-13*ORÇAMENTO!$AF$7)/$H442*OFFSET(ORÇAMENTO!$X$15,ROW(AP442)-ROW(AP$15),0),
              ROUND(ROUND(OFFSET($P442,0,AP$13),15-13*ORÇAMENTO!$AF$7)*OFFSET(ORÇAMENTO!$W$15,ROW(AP442)-ROW(AP$15),0),15-13*ORÇAMENTO!$AF$11)),
         0)</f>
        <v>0</v>
      </c>
      <c r="AQ442" s="453">
        <f ca="1">IF(AND($D442="Serviço",AQ$12&lt;&gt;0,$H442&gt;0,OR(AUTOEVENTO&lt;&gt;"manual",$M442&lt;&gt;$A$15)),
        IF(Import.TipoArredondamento&lt;&gt;"TransfereGOV",
              ROUND(OFFSET($P442,0,AQ$13),15-13*ORÇAMENTO!$AF$7)/$H442*OFFSET(ORÇAMENTO!$X$15,ROW(AQ442)-ROW(AQ$15),0),
              ROUND(ROUND(OFFSET($P442,0,AQ$13),15-13*ORÇAMENTO!$AF$7)*OFFSET(ORÇAMENTO!$W$15,ROW(AQ442)-ROW(AQ$15),0),15-13*ORÇAMENTO!$AF$11)),
         0)</f>
        <v>0</v>
      </c>
      <c r="AR442" s="453">
        <f ca="1">IF(AND($D442="Serviço",AR$12&lt;&gt;0,$H442&gt;0,OR(AUTOEVENTO&lt;&gt;"manual",$M442&lt;&gt;$A$15)),
        IF(Import.TipoArredondamento&lt;&gt;"TransfereGOV",
              ROUND(OFFSET($P442,0,AR$13),15-13*ORÇAMENTO!$AF$7)/$H442*OFFSET(ORÇAMENTO!$X$15,ROW(AR442)-ROW(AR$15),0),
              ROUND(ROUND(OFFSET($P442,0,AR$13),15-13*ORÇAMENTO!$AF$7)*OFFSET(ORÇAMENTO!$W$15,ROW(AR442)-ROW(AR$15),0),15-13*ORÇAMENTO!$AF$11)),
         0)</f>
        <v>0</v>
      </c>
      <c r="AS442" s="453">
        <f ca="1">IF(AND($D442="Serviço",AS$12&lt;&gt;0,$H442&gt;0,OR(AUTOEVENTO&lt;&gt;"manual",$M442&lt;&gt;$A$15)),
        IF(Import.TipoArredondamento&lt;&gt;"TransfereGOV",
              ROUND(OFFSET($P442,0,AS$13),15-13*ORÇAMENTO!$AF$7)/$H442*OFFSET(ORÇAMENTO!$X$15,ROW(AS442)-ROW(AS$15),0),
              ROUND(ROUND(OFFSET($P442,0,AS$13),15-13*ORÇAMENTO!$AF$7)*OFFSET(ORÇAMENTO!$W$15,ROW(AS442)-ROW(AS$15),0),15-13*ORÇAMENTO!$AF$11)),
         0)</f>
        <v>0</v>
      </c>
      <c r="AT442" s="453">
        <f ca="1">IF(AND($D442="Serviço",AT$12&lt;&gt;0,$H442&gt;0,OR(AUTOEVENTO&lt;&gt;"manual",$M442&lt;&gt;$A$15)),
        IF(Import.TipoArredondamento&lt;&gt;"TransfereGOV",
              ROUND(OFFSET($P442,0,AT$13),15-13*ORÇAMENTO!$AF$7)/$H442*OFFSET(ORÇAMENTO!$X$15,ROW(AT442)-ROW(AT$15),0),
              ROUND(ROUND(OFFSET($P442,0,AT$13),15-13*ORÇAMENTO!$AF$7)*OFFSET(ORÇAMENTO!$W$15,ROW(AT442)-ROW(AT$15),0),15-13*ORÇAMENTO!$AF$11)),
         0)</f>
        <v>0</v>
      </c>
      <c r="AU442" s="453">
        <f ca="1">IF(AND($D442="Serviço",AU$12&lt;&gt;0,$H442&gt;0,OR(AUTOEVENTO&lt;&gt;"manual",$M442&lt;&gt;$A$15)),
        IF(Import.TipoArredondamento&lt;&gt;"TransfereGOV",
              ROUND(OFFSET($P442,0,AU$13),15-13*ORÇAMENTO!$AF$7)/$H442*OFFSET(ORÇAMENTO!$X$15,ROW(AU442)-ROW(AU$15),0),
              ROUND(ROUND(OFFSET($P442,0,AU$13),15-13*ORÇAMENTO!$AF$7)*OFFSET(ORÇAMENTO!$W$15,ROW(AU442)-ROW(AU$15),0),15-13*ORÇAMENTO!$AF$11)),
         0)</f>
        <v>0</v>
      </c>
      <c r="AV442" s="453">
        <f ca="1">IF(AND($D442="Serviço",AV$12&lt;&gt;0,$H442&gt;0,OR(AUTOEVENTO&lt;&gt;"manual",$M442&lt;&gt;$A$15)),
        IF(Import.TipoArredondamento&lt;&gt;"TransfereGOV",
              ROUND(OFFSET($P442,0,AV$13),15-13*ORÇAMENTO!$AF$7)/$H442*OFFSET(ORÇAMENTO!$X$15,ROW(AV442)-ROW(AV$15),0),
              ROUND(ROUND(OFFSET($P442,0,AV$13),15-13*ORÇAMENTO!$AF$7)*OFFSET(ORÇAMENTO!$W$15,ROW(AV442)-ROW(AV$15),0),15-13*ORÇAMENTO!$AF$11)),
         0)</f>
        <v>0</v>
      </c>
      <c r="AW442" s="453">
        <f ca="1">IF(AND($D442="Serviço",AW$12&lt;&gt;0,$H442&gt;0,OR(AUTOEVENTO&lt;&gt;"manual",$M442&lt;&gt;$A$15)),
        IF(Import.TipoArredondamento&lt;&gt;"TransfereGOV",
              ROUND(OFFSET($P442,0,AW$13),15-13*ORÇAMENTO!$AF$7)/$H442*OFFSET(ORÇAMENTO!$X$15,ROW(AW442)-ROW(AW$15),0),
              ROUND(ROUND(OFFSET($P442,0,AW$13),15-13*ORÇAMENTO!$AF$7)*OFFSET(ORÇAMENTO!$W$15,ROW(AW442)-ROW(AW$15),0),15-13*ORÇAMENTO!$AF$11)),
         0)</f>
        <v>0</v>
      </c>
      <c r="AX442" s="453">
        <f ca="1">IF(AND($D442="Serviço",AX$12&lt;&gt;0,$H442&gt;0,OR(AUTOEVENTO&lt;&gt;"manual",$M442&lt;&gt;$A$15)),
        IF(Import.TipoArredondamento&lt;&gt;"TransfereGOV",
              ROUND(OFFSET($P442,0,AX$13),15-13*ORÇAMENTO!$AF$7)/$H442*OFFSET(ORÇAMENTO!$X$15,ROW(AX442)-ROW(AX$15),0),
              ROUND(ROUND(OFFSET($P442,0,AX$13),15-13*ORÇAMENTO!$AF$7)*OFFSET(ORÇAMENTO!$W$15,ROW(AX442)-ROW(AX$15),0),15-13*ORÇAMENTO!$AF$11)),
         0)</f>
        <v>0</v>
      </c>
      <c r="AY442" s="453">
        <f ca="1">IF(AND($D442="Serviço",AY$12&lt;&gt;0,$H442&gt;0,OR(AUTOEVENTO&lt;&gt;"manual",$M442&lt;&gt;$A$15)),
        IF(Import.TipoArredondamento&lt;&gt;"TransfereGOV",
              ROUND(OFFSET($P442,0,AY$13),15-13*ORÇAMENTO!$AF$7)/$H442*OFFSET(ORÇAMENTO!$X$15,ROW(AY442)-ROW(AY$15),0),
              ROUND(ROUND(OFFSET($P442,0,AY$13),15-13*ORÇAMENTO!$AF$7)*OFFSET(ORÇAMENTO!$W$15,ROW(AY442)-ROW(AY$15),0),15-13*ORÇAMENTO!$AF$11)),
         0)</f>
        <v>0</v>
      </c>
      <c r="AZ442" s="453">
        <f ca="1">IF(AND($D442="Serviço",AZ$12&lt;&gt;0,$H442&gt;0,OR(AUTOEVENTO&lt;&gt;"manual",$M442&lt;&gt;$A$15)),
        IF(Import.TipoArredondamento&lt;&gt;"TransfereGOV",
              ROUND(OFFSET($P442,0,AZ$13),15-13*ORÇAMENTO!$AF$7)/$H442*OFFSET(ORÇAMENTO!$X$15,ROW(AZ442)-ROW(AZ$15),0),
              ROUND(ROUND(OFFSET($P442,0,AZ$13),15-13*ORÇAMENTO!$AF$7)*OFFSET(ORÇAMENTO!$W$15,ROW(AZ442)-ROW(AZ$15),0),15-13*ORÇAMENTO!$AF$11)),
         0)</f>
        <v>0</v>
      </c>
      <c r="BA442" s="453">
        <f ca="1">IF(AND($D442="Serviço",BA$12&lt;&gt;0,$H442&gt;0,OR(AUTOEVENTO&lt;&gt;"manual",$M442&lt;&gt;$A$15)),
        IF(Import.TipoArredondamento&lt;&gt;"TransfereGOV",
              ROUND(OFFSET($P442,0,BA$13),15-13*ORÇAMENTO!$AF$7)/$H442*OFFSET(ORÇAMENTO!$X$15,ROW(BA442)-ROW(BA$15),0),
              ROUND(ROUND(OFFSET($P442,0,BA$13),15-13*ORÇAMENTO!$AF$7)*OFFSET(ORÇAMENTO!$W$15,ROW(BA442)-ROW(BA$15),0),15-13*ORÇAMENTO!$AF$11)),
         0)</f>
        <v>0</v>
      </c>
      <c r="BC442" s="171">
        <f ca="1">IF(OR($D442&lt;&gt;"Serviço",AND(AUTOEVENTO="Manual",$M442=$A$15)),0,
         IF(OFFSET(CRONOPLE!$F$15,$M442-$A$15,BC$13)=0,10^12,OFFSET(CRONOPLE!$F$15,$M442-$A$15,BC$13)))</f>
        <v>0</v>
      </c>
      <c r="BD442" s="171">
        <f ca="1">IF(OR($D442&lt;&gt;"Serviço",AND(AUTOEVENTO="Manual",$M442=$A$15)),0,
         IF(OFFSET(CRONOPLE!$F$15,$M442-$A$15,BD$13)=0,10^12,OFFSET(CRONOPLE!$F$15,$M442-$A$15,BD$13)))</f>
        <v>0</v>
      </c>
      <c r="BE442" s="171">
        <f ca="1">IF(OR($D442&lt;&gt;"Serviço",AND(AUTOEVENTO="Manual",$M442=$A$15)),0,
         IF(OFFSET(CRONOPLE!$F$15,$M442-$A$15,BE$13)=0,10^12,OFFSET(CRONOPLE!$F$15,$M442-$A$15,BE$13)))</f>
        <v>0</v>
      </c>
      <c r="BF442" s="171">
        <f ca="1">IF(OR($D442&lt;&gt;"Serviço",AND(AUTOEVENTO="Manual",$M442=$A$15)),0,
         IF(OFFSET(CRONOPLE!$F$15,$M442-$A$15,BF$13)=0,10^12,OFFSET(CRONOPLE!$F$15,$M442-$A$15,BF$13)))</f>
        <v>0</v>
      </c>
      <c r="BG442" s="171">
        <f ca="1">IF(OR($D442&lt;&gt;"Serviço",AND(AUTOEVENTO="Manual",$M442=$A$15)),0,
         IF(OFFSET(CRONOPLE!$F$15,$M442-$A$15,BG$13)=0,10^12,OFFSET(CRONOPLE!$F$15,$M442-$A$15,BG$13)))</f>
        <v>0</v>
      </c>
      <c r="BH442" s="171">
        <f ca="1">IF(OR($D442&lt;&gt;"Serviço",AND(AUTOEVENTO="Manual",$M442=$A$15)),0,
         IF(OFFSET(CRONOPLE!$F$15,$M442-$A$15,BH$13)=0,10^12,OFFSET(CRONOPLE!$F$15,$M442-$A$15,BH$13)))</f>
        <v>0</v>
      </c>
      <c r="BI442" s="171">
        <f ca="1">IF(OR($D442&lt;&gt;"Serviço",AND(AUTOEVENTO="Manual",$M442=$A$15)),0,
         IF(OFFSET(CRONOPLE!$F$15,$M442-$A$15,BI$13)=0,10^12,OFFSET(CRONOPLE!$F$15,$M442-$A$15,BI$13)))</f>
        <v>0</v>
      </c>
      <c r="BJ442" s="171">
        <f ca="1">IF(OR($D442&lt;&gt;"Serviço",AND(AUTOEVENTO="Manual",$M442=$A$15)),0,
         IF(OFFSET(CRONOPLE!$F$15,$M442-$A$15,BJ$13)=0,10^12,OFFSET(CRONOPLE!$F$15,$M442-$A$15,BJ$13)))</f>
        <v>0</v>
      </c>
      <c r="BK442" s="171">
        <f ca="1">IF(OR($D442&lt;&gt;"Serviço",AND(AUTOEVENTO="Manual",$M442=$A$15)),0,
         IF(OFFSET(CRONOPLE!$F$15,$M442-$A$15,BK$13)=0,10^12,OFFSET(CRONOPLE!$F$15,$M442-$A$15,BK$13)))</f>
        <v>0</v>
      </c>
      <c r="BL442" s="171">
        <f ca="1">IF(OR($D442&lt;&gt;"Serviço",AND(AUTOEVENTO="Manual",$M442=$A$15)),0,
         IF(OFFSET(CRONOPLE!$F$15,$M442-$A$15,BL$13)=0,10^12,OFFSET(CRONOPLE!$F$15,$M442-$A$15,BL$13)))</f>
        <v>0</v>
      </c>
      <c r="BM442" s="171">
        <f ca="1">IF(OR($D442&lt;&gt;"Serviço",AND(AUTOEVENTO="Manual",$M442=$A$15)),0,
         IF(OFFSET(CRONOPLE!$F$15,$M442-$A$15,BM$13)=0,10^12,OFFSET(CRONOPLE!$F$15,$M442-$A$15,BM$13)))</f>
        <v>0</v>
      </c>
      <c r="BN442" s="171">
        <f ca="1">IF(OR($D442&lt;&gt;"Serviço",AND(AUTOEVENTO="Manual",$M442=$A$15)),0,
         IF(OFFSET(CRONOPLE!$F$15,$M442-$A$15,BN$13)=0,10^12,OFFSET(CRONOPLE!$F$15,$M442-$A$15,BN$13)))</f>
        <v>0</v>
      </c>
      <c r="BO442" s="171">
        <f ca="1">IF(OR($D442&lt;&gt;"Serviço",AND(AUTOEVENTO="Manual",$M442=$A$15)),0,
         IF(OFFSET(CRONOPLE!$F$15,$M442-$A$15,BO$13)=0,10^12,OFFSET(CRONOPLE!$F$15,$M442-$A$15,BO$13)))</f>
        <v>0</v>
      </c>
      <c r="BP442" s="171">
        <f ca="1">IF(OR($D442&lt;&gt;"Serviço",AND(AUTOEVENTO="Manual",$M442=$A$15)),0,
         IF(OFFSET(CRONOPLE!$F$15,$M442-$A$15,BP$13)=0,10^12,OFFSET(CRONOPLE!$F$15,$M442-$A$15,BP$13)))</f>
        <v>0</v>
      </c>
      <c r="BQ442" s="171">
        <f ca="1">IF(OR($D442&lt;&gt;"Serviço",AND(AUTOEVENTO="Manual",$M442=$A$15)),0,
         IF(OFFSET(CRONOPLE!$F$15,$M442-$A$15,BQ$13)=0,10^12,OFFSET(CRONOPLE!$F$15,$M442-$A$15,BQ$13)))</f>
        <v>0</v>
      </c>
      <c r="BR442" s="171">
        <f ca="1">IF(OR($D442&lt;&gt;"Serviço",AND(AUTOEVENTO="Manual",$M442=$A$15)),0,
         IF(OFFSET(CRONOPLE!$F$15,$M442-$A$15,BR$13)=0,10^12,OFFSET(CRONOPLE!$F$15,$M442-$A$15,BR$13)))</f>
        <v>0</v>
      </c>
      <c r="BS442" s="171">
        <f ca="1">IF(OR($D442&lt;&gt;"Serviço",AND(AUTOEVENTO="Manual",$M442=$A$15)),0,
         IF(OFFSET(CRONOPLE!$F$15,$M442-$A$15,BS$13)=0,10^12,OFFSET(CRONOPLE!$F$15,$M442-$A$15,BS$13)))</f>
        <v>0</v>
      </c>
      <c r="BT442" s="171">
        <f ca="1">IF(OR($D442&lt;&gt;"Serviço",AND(AUTOEVENTO="Manual",$M442=$A$15)),0,
         IF(OFFSET(CRONOPLE!$F$15,$M442-$A$15,BT$13)=0,10^12,OFFSET(CRONOPLE!$F$15,$M442-$A$15,BT$13)))</f>
        <v>0</v>
      </c>
      <c r="BV442" s="172">
        <f ca="1">IF(OR($D442&lt;&gt;"Serviço",AND(AUTOEVENTO="Manual",$M442=$A$15),$M442&gt;(ROW(PLE.lastrow)-ROW(PLE.firstrow))),0,
           IF(OFFSET(PLE!$G$15,$M442-$A$15,BV$13)="",10^12,OFFSET(PLE!$G$15,$M442-$A$15,BV$13)))</f>
        <v>0</v>
      </c>
      <c r="BW442" s="172">
        <f ca="1">IF(OR($D442&lt;&gt;"Serviço",AND(AUTOEVENTO="Manual",$M442=$A$15),$M442&gt;(ROW(PLE.lastrow)-ROW(PLE.firstrow))),0,
           IF(OFFSET(PLE!$G$15,$M442-$A$15,BW$13)="",10^12,OFFSET(PLE!$G$15,$M442-$A$15,BW$13)))</f>
        <v>0</v>
      </c>
      <c r="BX442" s="172">
        <f ca="1">IF(OR($D442&lt;&gt;"Serviço",AND(AUTOEVENTO="Manual",$M442=$A$15),$M442&gt;(ROW(PLE.lastrow)-ROW(PLE.firstrow))),0,
           IF(OFFSET(PLE!$G$15,$M442-$A$15,BX$13)="",10^12,OFFSET(PLE!$G$15,$M442-$A$15,BX$13)))</f>
        <v>0</v>
      </c>
      <c r="BY442" s="172">
        <f ca="1">IF(OR($D442&lt;&gt;"Serviço",AND(AUTOEVENTO="Manual",$M442=$A$15),$M442&gt;(ROW(PLE.lastrow)-ROW(PLE.firstrow))),0,
           IF(OFFSET(PLE!$G$15,$M442-$A$15,BY$13)="",10^12,OFFSET(PLE!$G$15,$M442-$A$15,BY$13)))</f>
        <v>0</v>
      </c>
      <c r="BZ442" s="172">
        <f ca="1">IF(OR($D442&lt;&gt;"Serviço",AND(AUTOEVENTO="Manual",$M442=$A$15),$M442&gt;(ROW(PLE.lastrow)-ROW(PLE.firstrow))),0,
           IF(OFFSET(PLE!$G$15,$M442-$A$15,BZ$13)="",10^12,OFFSET(PLE!$G$15,$M442-$A$15,BZ$13)))</f>
        <v>0</v>
      </c>
      <c r="CA442" s="172">
        <f ca="1">IF(OR($D442&lt;&gt;"Serviço",AND(AUTOEVENTO="Manual",$M442=$A$15),$M442&gt;(ROW(PLE.lastrow)-ROW(PLE.firstrow))),0,
           IF(OFFSET(PLE!$G$15,$M442-$A$15,CA$13)="",10^12,OFFSET(PLE!$G$15,$M442-$A$15,CA$13)))</f>
        <v>0</v>
      </c>
      <c r="CB442" s="172">
        <f ca="1">IF(OR($D442&lt;&gt;"Serviço",AND(AUTOEVENTO="Manual",$M442=$A$15),$M442&gt;(ROW(PLE.lastrow)-ROW(PLE.firstrow))),0,
           IF(OFFSET(PLE!$G$15,$M442-$A$15,CB$13)="",10^12,OFFSET(PLE!$G$15,$M442-$A$15,CB$13)))</f>
        <v>0</v>
      </c>
      <c r="CC442" s="172">
        <f ca="1">IF(OR($D442&lt;&gt;"Serviço",AND(AUTOEVENTO="Manual",$M442=$A$15),$M442&gt;(ROW(PLE.lastrow)-ROW(PLE.firstrow))),0,
           IF(OFFSET(PLE!$G$15,$M442-$A$15,CC$13)="",10^12,OFFSET(PLE!$G$15,$M442-$A$15,CC$13)))</f>
        <v>0</v>
      </c>
      <c r="CD442" s="172">
        <f ca="1">IF(OR($D442&lt;&gt;"Serviço",AND(AUTOEVENTO="Manual",$M442=$A$15),$M442&gt;(ROW(PLE.lastrow)-ROW(PLE.firstrow))),0,
           IF(OFFSET(PLE!$G$15,$M442-$A$15,CD$13)="",10^12,OFFSET(PLE!$G$15,$M442-$A$15,CD$13)))</f>
        <v>0</v>
      </c>
      <c r="CE442" s="172">
        <f ca="1">IF(OR($D442&lt;&gt;"Serviço",AND(AUTOEVENTO="Manual",$M442=$A$15),$M442&gt;(ROW(PLE.lastrow)-ROW(PLE.firstrow))),0,
           IF(OFFSET(PLE!$G$15,$M442-$A$15,CE$13)="",10^12,OFFSET(PLE!$G$15,$M442-$A$15,CE$13)))</f>
        <v>0</v>
      </c>
      <c r="CF442" s="172">
        <f ca="1">IF(OR($D442&lt;&gt;"Serviço",AND(AUTOEVENTO="Manual",$M442=$A$15),$M442&gt;(ROW(PLE.lastrow)-ROW(PLE.firstrow))),0,
           IF(OFFSET(PLE!$G$15,$M442-$A$15,CF$13)="",10^12,OFFSET(PLE!$G$15,$M442-$A$15,CF$13)))</f>
        <v>0</v>
      </c>
      <c r="CG442" s="172">
        <f ca="1">IF(OR($D442&lt;&gt;"Serviço",AND(AUTOEVENTO="Manual",$M442=$A$15),$M442&gt;(ROW(PLE.lastrow)-ROW(PLE.firstrow))),0,
           IF(OFFSET(PLE!$G$15,$M442-$A$15,CG$13)="",10^12,OFFSET(PLE!$G$15,$M442-$A$15,CG$13)))</f>
        <v>0</v>
      </c>
      <c r="CH442" s="172">
        <f ca="1">IF(OR($D442&lt;&gt;"Serviço",AND(AUTOEVENTO="Manual",$M442=$A$15),$M442&gt;(ROW(PLE.lastrow)-ROW(PLE.firstrow))),0,
           IF(OFFSET(PLE!$G$15,$M442-$A$15,CH$13)="",10^12,OFFSET(PLE!$G$15,$M442-$A$15,CH$13)))</f>
        <v>0</v>
      </c>
      <c r="CI442" s="172">
        <f ca="1">IF(OR($D442&lt;&gt;"Serviço",AND(AUTOEVENTO="Manual",$M442=$A$15),$M442&gt;(ROW(PLE.lastrow)-ROW(PLE.firstrow))),0,
           IF(OFFSET(PLE!$G$15,$M442-$A$15,CI$13)="",10^12,OFFSET(PLE!$G$15,$M442-$A$15,CI$13)))</f>
        <v>0</v>
      </c>
      <c r="CJ442" s="172">
        <f ca="1">IF(OR($D442&lt;&gt;"Serviço",AND(AUTOEVENTO="Manual",$M442=$A$15),$M442&gt;(ROW(PLE.lastrow)-ROW(PLE.firstrow))),0,
           IF(OFFSET(PLE!$G$15,$M442-$A$15,CJ$13)="",10^12,OFFSET(PLE!$G$15,$M442-$A$15,CJ$13)))</f>
        <v>0</v>
      </c>
      <c r="CK442" s="172">
        <f ca="1">IF(OR($D442&lt;&gt;"Serviço",AND(AUTOEVENTO="Manual",$M442=$A$15),$M442&gt;(ROW(PLE.lastrow)-ROW(PLE.firstrow))),0,
           IF(OFFSET(PLE!$G$15,$M442-$A$15,CK$13)="",10^12,OFFSET(PLE!$G$15,$M442-$A$15,CK$13)))</f>
        <v>0</v>
      </c>
      <c r="CL442" s="172">
        <f ca="1">IF(OR($D442&lt;&gt;"Serviço",AND(AUTOEVENTO="Manual",$M442=$A$15),$M442&gt;(ROW(PLE.lastrow)-ROW(PLE.firstrow))),0,
           IF(OFFSET(PLE!$G$15,$M442-$A$15,CL$13)="",10^12,OFFSET(PLE!$G$15,$M442-$A$15,CL$13)))</f>
        <v>0</v>
      </c>
      <c r="CM442" s="172">
        <f ca="1">IF(OR($D442&lt;&gt;"Serviço",AND(AUTOEVENTO="Manual",$M442=$A$15),$M442&gt;(ROW(PLE.lastrow)-ROW(PLE.firstrow))),0,
           IF(OFFSET(PLE!$G$15,$M442-$A$15,CM$13)="",10^12,OFFSET(PLE!$G$15,$M442-$A$15,CM$13)))</f>
        <v>0</v>
      </c>
    </row>
    <row r="443" spans="1:91" ht="38.25" x14ac:dyDescent="0.2">
      <c r="A443" s="7">
        <f t="shared" ca="1" si="16"/>
        <v>8</v>
      </c>
      <c r="B443" s="7" t="str">
        <f ca="1">OFFSET(ORÇAMENTO!C$15,ROW(B443)-ROW(B$15),0)</f>
        <v>S</v>
      </c>
      <c r="C443" s="7" t="str">
        <f ca="1">OFFSET(ORÇAMENTO!L$15,ROW(C443)-ROW(C$15),0)</f>
        <v>F</v>
      </c>
      <c r="D443" s="116" t="str">
        <f ca="1">OFFSET(ORÇAMENTO!N$15,ROW(D443)-ROW(D$15),0)</f>
        <v>Serviço</v>
      </c>
      <c r="E443" s="117" t="str">
        <f ca="1">OFFSET(ORÇAMENTO!O$15,ROW(E443)-ROW(E$15),0)</f>
        <v>1.9.1.0.1.</v>
      </c>
      <c r="F443" s="163" t="str">
        <f ca="1">OFFSET(ORÇAMENTO!R$15,ROW(F443)-ROW(F$15),0)</f>
        <v>ELETRODUTO DE AÇO GALVANIZADO LEVE, INCLUSIVE CONEXÕES, SUPORTES E FIXAÇÃO DN 25 (1")</v>
      </c>
      <c r="G443" s="164" t="str">
        <f ca="1">IF($D443&lt;&gt;"Serviço","",OFFSET(ORÇAMENTO!S$15,ROW(G443)-ROW(G$15),0))</f>
        <v>M</v>
      </c>
      <c r="H443" s="122" cm="1">
        <f t="array" aca="1" ref="H443" ca="1">IF($D443&lt;&gt;"Serviço",0,IF(ACOMPANHAMENTO="BM",ROUND(OFFSET(ORÇAMENTO!AJ$15,ROW(H443)-ROW(H$15),0),15-13*ORÇAMENTO!$AF$7),SUMPRODUCT(($Q$1:$AI$1=1)*ROUND($Q443:$AI443,15-13*ORÇAMENTO!$AF$7))))</f>
        <v>144</v>
      </c>
      <c r="I443" s="468" t="s">
        <v>1432</v>
      </c>
      <c r="J443" s="640" t="str" cm="1">
        <f t="array" aca="1" ref="J443" ca="1">IF(OR(B443&lt;&gt;"S",CÁLCULO.FrentesPreenchidas=0),"",IF(AND(ACOMPANHAMENTO="PLE",AUTOEVENTO="Manual",OR(H443&gt;0,ORÇAMENTO!AC443="QUANT."),OR(K443="",M443=0,N443="")),"►E",IF(AND(ACOMPANHAMENTO="PLE",ORÇAMENTO!AC443="QUANT."),"►Q",IF(AND(ACOMPANHAMENTO="PLE",H443&lt;&gt;SUMPRODUCT(($Q$1:$AI$1=1)*ROUND(Q443:AI443,15))),"►S",IF(AND(COUNTIF($P$11:$AI$11,"▼")=0,H443&gt;0,I443=""),"◄M","")))))</f>
        <v/>
      </c>
      <c r="K443" s="641" t="s">
        <v>1392</v>
      </c>
      <c r="L443" s="165" t="s">
        <v>764</v>
      </c>
      <c r="M443" s="166">
        <f ca="1">IF($D443&lt;&gt;"Serviço","",
          IF(AUTOEVENTO="manual",$A443,
                IF(ISERROR(MATCH($A443,$A$15:OFFSET($A443,-1,0),0)),MAX($M$15:OFFSET(M443,-1,0))+1,
                      INDEX($M$15:OFFSET(M443,-1,0),MATCH($A443,$A$15:OFFSET($A443,-1,0),0)))))</f>
        <v>8</v>
      </c>
      <c r="N443" s="167" t="str">
        <f ca="1">IF($D443&lt;&gt;"Serviço","",
         IF(AUTOEVENTO="Manual",
                IF($A443=0,"&lt;-- defina o número do agrupador",
                       OFFSET(EVENTOS!$D$15,$A443-$A$15,0)),
                OFFSET($F$15,$A443,0)))</f>
        <v>CFTV</v>
      </c>
      <c r="O443" s="168"/>
      <c r="Q443" s="168"/>
      <c r="R443" s="169"/>
      <c r="S443" s="169"/>
      <c r="T443" s="169"/>
      <c r="U443" s="169"/>
      <c r="V443" s="169"/>
      <c r="W443" s="169"/>
      <c r="X443" s="169"/>
      <c r="Y443" s="169">
        <v>144</v>
      </c>
      <c r="Z443" s="170"/>
      <c r="AA443" s="169"/>
      <c r="AB443" s="169"/>
      <c r="AC443" s="169"/>
      <c r="AD443" s="169"/>
      <c r="AE443" s="169"/>
      <c r="AF443" s="169"/>
      <c r="AG443" s="169"/>
      <c r="AH443" s="170"/>
      <c r="AJ443" s="453">
        <f ca="1">IF(AND($D443="Serviço",AJ$12&lt;&gt;0,$H443&gt;0,OR(AUTOEVENTO&lt;&gt;"manual",$M443&lt;&gt;$A$15)),
        IF(Import.TipoArredondamento&lt;&gt;"TransfereGOV",
              ROUND(OFFSET($P443,0,AJ$13),15-13*ORÇAMENTO!$AF$7)/$H443*OFFSET(ORÇAMENTO!$X$15,ROW(AJ443)-ROW(AJ$15),0),
              ROUND(ROUND(OFFSET($P443,0,AJ$13),15-13*ORÇAMENTO!$AF$7)*OFFSET(ORÇAMENTO!$W$15,ROW(AJ443)-ROW(AJ$15),0),15-13*ORÇAMENTO!$AF$11)),
         0)</f>
        <v>0</v>
      </c>
      <c r="AK443" s="453">
        <f ca="1">IF(AND($D443="Serviço",AK$12&lt;&gt;0,$H443&gt;0,OR(AUTOEVENTO&lt;&gt;"manual",$M443&lt;&gt;$A$15)),
        IF(Import.TipoArredondamento&lt;&gt;"TransfereGOV",
              ROUND(OFFSET($P443,0,AK$13),15-13*ORÇAMENTO!$AF$7)/$H443*OFFSET(ORÇAMENTO!$X$15,ROW(AK443)-ROW(AK$15),0),
              ROUND(ROUND(OFFSET($P443,0,AK$13),15-13*ORÇAMENTO!$AF$7)*OFFSET(ORÇAMENTO!$W$15,ROW(AK443)-ROW(AK$15),0),15-13*ORÇAMENTO!$AF$11)),
         0)</f>
        <v>0</v>
      </c>
      <c r="AL443" s="453">
        <f ca="1">IF(AND($D443="Serviço",AL$12&lt;&gt;0,$H443&gt;0,OR(AUTOEVENTO&lt;&gt;"manual",$M443&lt;&gt;$A$15)),
        IF(Import.TipoArredondamento&lt;&gt;"TransfereGOV",
              ROUND(OFFSET($P443,0,AL$13),15-13*ORÇAMENTO!$AF$7)/$H443*OFFSET(ORÇAMENTO!$X$15,ROW(AL443)-ROW(AL$15),0),
              ROUND(ROUND(OFFSET($P443,0,AL$13),15-13*ORÇAMENTO!$AF$7)*OFFSET(ORÇAMENTO!$W$15,ROW(AL443)-ROW(AL$15),0),15-13*ORÇAMENTO!$AF$11)),
         0)</f>
        <v>0</v>
      </c>
      <c r="AM443" s="453">
        <f ca="1">IF(AND($D443="Serviço",AM$12&lt;&gt;0,$H443&gt;0,OR(AUTOEVENTO&lt;&gt;"manual",$M443&lt;&gt;$A$15)),
        IF(Import.TipoArredondamento&lt;&gt;"TransfereGOV",
              ROUND(OFFSET($P443,0,AM$13),15-13*ORÇAMENTO!$AF$7)/$H443*OFFSET(ORÇAMENTO!$X$15,ROW(AM443)-ROW(AM$15),0),
              ROUND(ROUND(OFFSET($P443,0,AM$13),15-13*ORÇAMENTO!$AF$7)*OFFSET(ORÇAMENTO!$W$15,ROW(AM443)-ROW(AM$15),0),15-13*ORÇAMENTO!$AF$11)),
         0)</f>
        <v>0</v>
      </c>
      <c r="AN443" s="453">
        <f ca="1">IF(AND($D443="Serviço",AN$12&lt;&gt;0,$H443&gt;0,OR(AUTOEVENTO&lt;&gt;"manual",$M443&lt;&gt;$A$15)),
        IF(Import.TipoArredondamento&lt;&gt;"TransfereGOV",
              ROUND(OFFSET($P443,0,AN$13),15-13*ORÇAMENTO!$AF$7)/$H443*OFFSET(ORÇAMENTO!$X$15,ROW(AN443)-ROW(AN$15),0),
              ROUND(ROUND(OFFSET($P443,0,AN$13),15-13*ORÇAMENTO!$AF$7)*OFFSET(ORÇAMENTO!$W$15,ROW(AN443)-ROW(AN$15),0),15-13*ORÇAMENTO!$AF$11)),
         0)</f>
        <v>0</v>
      </c>
      <c r="AO443" s="453">
        <f ca="1">IF(AND($D443="Serviço",AO$12&lt;&gt;0,$H443&gt;0,OR(AUTOEVENTO&lt;&gt;"manual",$M443&lt;&gt;$A$15)),
        IF(Import.TipoArredondamento&lt;&gt;"TransfereGOV",
              ROUND(OFFSET($P443,0,AO$13),15-13*ORÇAMENTO!$AF$7)/$H443*OFFSET(ORÇAMENTO!$X$15,ROW(AO443)-ROW(AO$15),0),
              ROUND(ROUND(OFFSET($P443,0,AO$13),15-13*ORÇAMENTO!$AF$7)*OFFSET(ORÇAMENTO!$W$15,ROW(AO443)-ROW(AO$15),0),15-13*ORÇAMENTO!$AF$11)),
         0)</f>
        <v>0</v>
      </c>
      <c r="AP443" s="453">
        <f ca="1">IF(AND($D443="Serviço",AP$12&lt;&gt;0,$H443&gt;0,OR(AUTOEVENTO&lt;&gt;"manual",$M443&lt;&gt;$A$15)),
        IF(Import.TipoArredondamento&lt;&gt;"TransfereGOV",
              ROUND(OFFSET($P443,0,AP$13),15-13*ORÇAMENTO!$AF$7)/$H443*OFFSET(ORÇAMENTO!$X$15,ROW(AP443)-ROW(AP$15),0),
              ROUND(ROUND(OFFSET($P443,0,AP$13),15-13*ORÇAMENTO!$AF$7)*OFFSET(ORÇAMENTO!$W$15,ROW(AP443)-ROW(AP$15),0),15-13*ORÇAMENTO!$AF$11)),
         0)</f>
        <v>0</v>
      </c>
      <c r="AQ443" s="453">
        <f ca="1">IF(AND($D443="Serviço",AQ$12&lt;&gt;0,$H443&gt;0,OR(AUTOEVENTO&lt;&gt;"manual",$M443&lt;&gt;$A$15)),
        IF(Import.TipoArredondamento&lt;&gt;"TransfereGOV",
              ROUND(OFFSET($P443,0,AQ$13),15-13*ORÇAMENTO!$AF$7)/$H443*OFFSET(ORÇAMENTO!$X$15,ROW(AQ443)-ROW(AQ$15),0),
              ROUND(ROUND(OFFSET($P443,0,AQ$13),15-13*ORÇAMENTO!$AF$7)*OFFSET(ORÇAMENTO!$W$15,ROW(AQ443)-ROW(AQ$15),0),15-13*ORÇAMENTO!$AF$11)),
         0)</f>
        <v>0</v>
      </c>
      <c r="AR443" s="453">
        <f ca="1">IF(AND($D443="Serviço",AR$12&lt;&gt;0,$H443&gt;0,OR(AUTOEVENTO&lt;&gt;"manual",$M443&lt;&gt;$A$15)),
        IF(Import.TipoArredondamento&lt;&gt;"TransfereGOV",
              ROUND(OFFSET($P443,0,AR$13),15-13*ORÇAMENTO!$AF$7)/$H443*OFFSET(ORÇAMENTO!$X$15,ROW(AR443)-ROW(AR$15),0),
              ROUND(ROUND(OFFSET($P443,0,AR$13),15-13*ORÇAMENTO!$AF$7)*OFFSET(ORÇAMENTO!$W$15,ROW(AR443)-ROW(AR$15),0),15-13*ORÇAMENTO!$AF$11)),
         0)</f>
        <v>0</v>
      </c>
      <c r="AS443" s="453">
        <f ca="1">IF(AND($D443="Serviço",AS$12&lt;&gt;0,$H443&gt;0,OR(AUTOEVENTO&lt;&gt;"manual",$M443&lt;&gt;$A$15)),
        IF(Import.TipoArredondamento&lt;&gt;"TransfereGOV",
              ROUND(OFFSET($P443,0,AS$13),15-13*ORÇAMENTO!$AF$7)/$H443*OFFSET(ORÇAMENTO!$X$15,ROW(AS443)-ROW(AS$15),0),
              ROUND(ROUND(OFFSET($P443,0,AS$13),15-13*ORÇAMENTO!$AF$7)*OFFSET(ORÇAMENTO!$W$15,ROW(AS443)-ROW(AS$15),0),15-13*ORÇAMENTO!$AF$11)),
         0)</f>
        <v>0</v>
      </c>
      <c r="AT443" s="453">
        <f ca="1">IF(AND($D443="Serviço",AT$12&lt;&gt;0,$H443&gt;0,OR(AUTOEVENTO&lt;&gt;"manual",$M443&lt;&gt;$A$15)),
        IF(Import.TipoArredondamento&lt;&gt;"TransfereGOV",
              ROUND(OFFSET($P443,0,AT$13),15-13*ORÇAMENTO!$AF$7)/$H443*OFFSET(ORÇAMENTO!$X$15,ROW(AT443)-ROW(AT$15),0),
              ROUND(ROUND(OFFSET($P443,0,AT$13),15-13*ORÇAMENTO!$AF$7)*OFFSET(ORÇAMENTO!$W$15,ROW(AT443)-ROW(AT$15),0),15-13*ORÇAMENTO!$AF$11)),
         0)</f>
        <v>0</v>
      </c>
      <c r="AU443" s="453">
        <f ca="1">IF(AND($D443="Serviço",AU$12&lt;&gt;0,$H443&gt;0,OR(AUTOEVENTO&lt;&gt;"manual",$M443&lt;&gt;$A$15)),
        IF(Import.TipoArredondamento&lt;&gt;"TransfereGOV",
              ROUND(OFFSET($P443,0,AU$13),15-13*ORÇAMENTO!$AF$7)/$H443*OFFSET(ORÇAMENTO!$X$15,ROW(AU443)-ROW(AU$15),0),
              ROUND(ROUND(OFFSET($P443,0,AU$13),15-13*ORÇAMENTO!$AF$7)*OFFSET(ORÇAMENTO!$W$15,ROW(AU443)-ROW(AU$15),0),15-13*ORÇAMENTO!$AF$11)),
         0)</f>
        <v>0</v>
      </c>
      <c r="AV443" s="453">
        <f ca="1">IF(AND($D443="Serviço",AV$12&lt;&gt;0,$H443&gt;0,OR(AUTOEVENTO&lt;&gt;"manual",$M443&lt;&gt;$A$15)),
        IF(Import.TipoArredondamento&lt;&gt;"TransfereGOV",
              ROUND(OFFSET($P443,0,AV$13),15-13*ORÇAMENTO!$AF$7)/$H443*OFFSET(ORÇAMENTO!$X$15,ROW(AV443)-ROW(AV$15),0),
              ROUND(ROUND(OFFSET($P443,0,AV$13),15-13*ORÇAMENTO!$AF$7)*OFFSET(ORÇAMENTO!$W$15,ROW(AV443)-ROW(AV$15),0),15-13*ORÇAMENTO!$AF$11)),
         0)</f>
        <v>0</v>
      </c>
      <c r="AW443" s="453">
        <f ca="1">IF(AND($D443="Serviço",AW$12&lt;&gt;0,$H443&gt;0,OR(AUTOEVENTO&lt;&gt;"manual",$M443&lt;&gt;$A$15)),
        IF(Import.TipoArredondamento&lt;&gt;"TransfereGOV",
              ROUND(OFFSET($P443,0,AW$13),15-13*ORÇAMENTO!$AF$7)/$H443*OFFSET(ORÇAMENTO!$X$15,ROW(AW443)-ROW(AW$15),0),
              ROUND(ROUND(OFFSET($P443,0,AW$13),15-13*ORÇAMENTO!$AF$7)*OFFSET(ORÇAMENTO!$W$15,ROW(AW443)-ROW(AW$15),0),15-13*ORÇAMENTO!$AF$11)),
         0)</f>
        <v>0</v>
      </c>
      <c r="AX443" s="453">
        <f ca="1">IF(AND($D443="Serviço",AX$12&lt;&gt;0,$H443&gt;0,OR(AUTOEVENTO&lt;&gt;"manual",$M443&lt;&gt;$A$15)),
        IF(Import.TipoArredondamento&lt;&gt;"TransfereGOV",
              ROUND(OFFSET($P443,0,AX$13),15-13*ORÇAMENTO!$AF$7)/$H443*OFFSET(ORÇAMENTO!$X$15,ROW(AX443)-ROW(AX$15),0),
              ROUND(ROUND(OFFSET($P443,0,AX$13),15-13*ORÇAMENTO!$AF$7)*OFFSET(ORÇAMENTO!$W$15,ROW(AX443)-ROW(AX$15),0),15-13*ORÇAMENTO!$AF$11)),
         0)</f>
        <v>0</v>
      </c>
      <c r="AY443" s="453">
        <f ca="1">IF(AND($D443="Serviço",AY$12&lt;&gt;0,$H443&gt;0,OR(AUTOEVENTO&lt;&gt;"manual",$M443&lt;&gt;$A$15)),
        IF(Import.TipoArredondamento&lt;&gt;"TransfereGOV",
              ROUND(OFFSET($P443,0,AY$13),15-13*ORÇAMENTO!$AF$7)/$H443*OFFSET(ORÇAMENTO!$X$15,ROW(AY443)-ROW(AY$15),0),
              ROUND(ROUND(OFFSET($P443,0,AY$13),15-13*ORÇAMENTO!$AF$7)*OFFSET(ORÇAMENTO!$W$15,ROW(AY443)-ROW(AY$15),0),15-13*ORÇAMENTO!$AF$11)),
         0)</f>
        <v>0</v>
      </c>
      <c r="AZ443" s="453">
        <f ca="1">IF(AND($D443="Serviço",AZ$12&lt;&gt;0,$H443&gt;0,OR(AUTOEVENTO&lt;&gt;"manual",$M443&lt;&gt;$A$15)),
        IF(Import.TipoArredondamento&lt;&gt;"TransfereGOV",
              ROUND(OFFSET($P443,0,AZ$13),15-13*ORÇAMENTO!$AF$7)/$H443*OFFSET(ORÇAMENTO!$X$15,ROW(AZ443)-ROW(AZ$15),0),
              ROUND(ROUND(OFFSET($P443,0,AZ$13),15-13*ORÇAMENTO!$AF$7)*OFFSET(ORÇAMENTO!$W$15,ROW(AZ443)-ROW(AZ$15),0),15-13*ORÇAMENTO!$AF$11)),
         0)</f>
        <v>0</v>
      </c>
      <c r="BA443" s="453">
        <f ca="1">IF(AND($D443="Serviço",BA$12&lt;&gt;0,$H443&gt;0,OR(AUTOEVENTO&lt;&gt;"manual",$M443&lt;&gt;$A$15)),
        IF(Import.TipoArredondamento&lt;&gt;"TransfereGOV",
              ROUND(OFFSET($P443,0,BA$13),15-13*ORÇAMENTO!$AF$7)/$H443*OFFSET(ORÇAMENTO!$X$15,ROW(BA443)-ROW(BA$15),0),
              ROUND(ROUND(OFFSET($P443,0,BA$13),15-13*ORÇAMENTO!$AF$7)*OFFSET(ORÇAMENTO!$W$15,ROW(BA443)-ROW(BA$15),0),15-13*ORÇAMENTO!$AF$11)),
         0)</f>
        <v>0</v>
      </c>
      <c r="BC443" s="171">
        <f ca="1">IF(OR($D443&lt;&gt;"Serviço",AND(AUTOEVENTO="Manual",$M443=$A$15)),0,
         IF(OFFSET(CRONOPLE!$F$15,$M443-$A$15,BC$13)=0,10^12,OFFSET(CRONOPLE!$F$15,$M443-$A$15,BC$13)))</f>
        <v>1</v>
      </c>
      <c r="BD443" s="171">
        <f ca="1">IF(OR($D443&lt;&gt;"Serviço",AND(AUTOEVENTO="Manual",$M443=$A$15)),0,
         IF(OFFSET(CRONOPLE!$F$15,$M443-$A$15,BD$13)=0,10^12,OFFSET(CRONOPLE!$F$15,$M443-$A$15,BD$13)))</f>
        <v>2</v>
      </c>
      <c r="BE443" s="171">
        <f ca="1">IF(OR($D443&lt;&gt;"Serviço",AND(AUTOEVENTO="Manual",$M443=$A$15)),0,
         IF(OFFSET(CRONOPLE!$F$15,$M443-$A$15,BE$13)=0,10^12,OFFSET(CRONOPLE!$F$15,$M443-$A$15,BE$13)))</f>
        <v>3</v>
      </c>
      <c r="BF443" s="171">
        <f ca="1">IF(OR($D443&lt;&gt;"Serviço",AND(AUTOEVENTO="Manual",$M443=$A$15)),0,
         IF(OFFSET(CRONOPLE!$F$15,$M443-$A$15,BF$13)=0,10^12,OFFSET(CRONOPLE!$F$15,$M443-$A$15,BF$13)))</f>
        <v>4</v>
      </c>
      <c r="BG443" s="171">
        <f ca="1">IF(OR($D443&lt;&gt;"Serviço",AND(AUTOEVENTO="Manual",$M443=$A$15)),0,
         IF(OFFSET(CRONOPLE!$F$15,$M443-$A$15,BG$13)=0,10^12,OFFSET(CRONOPLE!$F$15,$M443-$A$15,BG$13)))</f>
        <v>5</v>
      </c>
      <c r="BH443" s="171">
        <f ca="1">IF(OR($D443&lt;&gt;"Serviço",AND(AUTOEVENTO="Manual",$M443=$A$15)),0,
         IF(OFFSET(CRONOPLE!$F$15,$M443-$A$15,BH$13)=0,10^12,OFFSET(CRONOPLE!$F$15,$M443-$A$15,BH$13)))</f>
        <v>6</v>
      </c>
      <c r="BI443" s="171">
        <f ca="1">IF(OR($D443&lt;&gt;"Serviço",AND(AUTOEVENTO="Manual",$M443=$A$15)),0,
         IF(OFFSET(CRONOPLE!$F$15,$M443-$A$15,BI$13)=0,10^12,OFFSET(CRONOPLE!$F$15,$M443-$A$15,BI$13)))</f>
        <v>7</v>
      </c>
      <c r="BJ443" s="171">
        <f ca="1">IF(OR($D443&lt;&gt;"Serviço",AND(AUTOEVENTO="Manual",$M443=$A$15)),0,
         IF(OFFSET(CRONOPLE!$F$15,$M443-$A$15,BJ$13)=0,10^12,OFFSET(CRONOPLE!$F$15,$M443-$A$15,BJ$13)))</f>
        <v>8</v>
      </c>
      <c r="BK443" s="171">
        <f ca="1">IF(OR($D443&lt;&gt;"Serviço",AND(AUTOEVENTO="Manual",$M443=$A$15)),0,
         IF(OFFSET(CRONOPLE!$F$15,$M443-$A$15,BK$13)=0,10^12,OFFSET(CRONOPLE!$F$15,$M443-$A$15,BK$13)))</f>
        <v>9</v>
      </c>
      <c r="BL443" s="171">
        <f ca="1">IF(OR($D443&lt;&gt;"Serviço",AND(AUTOEVENTO="Manual",$M443=$A$15)),0,
         IF(OFFSET(CRONOPLE!$F$15,$M443-$A$15,BL$13)=0,10^12,OFFSET(CRONOPLE!$F$15,$M443-$A$15,BL$13)))</f>
        <v>1000000000000</v>
      </c>
      <c r="BM443" s="171">
        <f ca="1">IF(OR($D443&lt;&gt;"Serviço",AND(AUTOEVENTO="Manual",$M443=$A$15)),0,
         IF(OFFSET(CRONOPLE!$F$15,$M443-$A$15,BM$13)=0,10^12,OFFSET(CRONOPLE!$F$15,$M443-$A$15,BM$13)))</f>
        <v>1000000000000</v>
      </c>
      <c r="BN443" s="171">
        <f ca="1">IF(OR($D443&lt;&gt;"Serviço",AND(AUTOEVENTO="Manual",$M443=$A$15)),0,
         IF(OFFSET(CRONOPLE!$F$15,$M443-$A$15,BN$13)=0,10^12,OFFSET(CRONOPLE!$F$15,$M443-$A$15,BN$13)))</f>
        <v>1000000000000</v>
      </c>
      <c r="BO443" s="171">
        <f ca="1">IF(OR($D443&lt;&gt;"Serviço",AND(AUTOEVENTO="Manual",$M443=$A$15)),0,
         IF(OFFSET(CRONOPLE!$F$15,$M443-$A$15,BO$13)=0,10^12,OFFSET(CRONOPLE!$F$15,$M443-$A$15,BO$13)))</f>
        <v>1000000000000</v>
      </c>
      <c r="BP443" s="171">
        <f ca="1">IF(OR($D443&lt;&gt;"Serviço",AND(AUTOEVENTO="Manual",$M443=$A$15)),0,
         IF(OFFSET(CRONOPLE!$F$15,$M443-$A$15,BP$13)=0,10^12,OFFSET(CRONOPLE!$F$15,$M443-$A$15,BP$13)))</f>
        <v>1000000000000</v>
      </c>
      <c r="BQ443" s="171">
        <f ca="1">IF(OR($D443&lt;&gt;"Serviço",AND(AUTOEVENTO="Manual",$M443=$A$15)),0,
         IF(OFFSET(CRONOPLE!$F$15,$M443-$A$15,BQ$13)=0,10^12,OFFSET(CRONOPLE!$F$15,$M443-$A$15,BQ$13)))</f>
        <v>1000000000000</v>
      </c>
      <c r="BR443" s="171">
        <f ca="1">IF(OR($D443&lt;&gt;"Serviço",AND(AUTOEVENTO="Manual",$M443=$A$15)),0,
         IF(OFFSET(CRONOPLE!$F$15,$M443-$A$15,BR$13)=0,10^12,OFFSET(CRONOPLE!$F$15,$M443-$A$15,BR$13)))</f>
        <v>1000000000000</v>
      </c>
      <c r="BS443" s="171">
        <f ca="1">IF(OR($D443&lt;&gt;"Serviço",AND(AUTOEVENTO="Manual",$M443=$A$15)),0,
         IF(OFFSET(CRONOPLE!$F$15,$M443-$A$15,BS$13)=0,10^12,OFFSET(CRONOPLE!$F$15,$M443-$A$15,BS$13)))</f>
        <v>1000000000000</v>
      </c>
      <c r="BT443" s="171">
        <f ca="1">IF(OR($D443&lt;&gt;"Serviço",AND(AUTOEVENTO="Manual",$M443=$A$15)),0,
         IF(OFFSET(CRONOPLE!$F$15,$M443-$A$15,BT$13)=0,10^12,OFFSET(CRONOPLE!$F$15,$M443-$A$15,BT$13)))</f>
        <v>1000000000000</v>
      </c>
      <c r="BV443" s="172">
        <f ca="1">IF(OR($D443&lt;&gt;"Serviço",AND(AUTOEVENTO="Manual",$M443=$A$15),$M443&gt;(ROW(PLE.lastrow)-ROW(PLE.firstrow))),0,
           IF(OFFSET(PLE!$G$15,$M443-$A$15,BV$13)="",10^12,OFFSET(PLE!$G$15,$M443-$A$15,BV$13)))</f>
        <v>1000000000000</v>
      </c>
      <c r="BW443" s="172">
        <f ca="1">IF(OR($D443&lt;&gt;"Serviço",AND(AUTOEVENTO="Manual",$M443=$A$15),$M443&gt;(ROW(PLE.lastrow)-ROW(PLE.firstrow))),0,
           IF(OFFSET(PLE!$G$15,$M443-$A$15,BW$13)="",10^12,OFFSET(PLE!$G$15,$M443-$A$15,BW$13)))</f>
        <v>1000000000000</v>
      </c>
      <c r="BX443" s="172">
        <f ca="1">IF(OR($D443&lt;&gt;"Serviço",AND(AUTOEVENTO="Manual",$M443=$A$15),$M443&gt;(ROW(PLE.lastrow)-ROW(PLE.firstrow))),0,
           IF(OFFSET(PLE!$G$15,$M443-$A$15,BX$13)="",10^12,OFFSET(PLE!$G$15,$M443-$A$15,BX$13)))</f>
        <v>1000000000000</v>
      </c>
      <c r="BY443" s="172">
        <f ca="1">IF(OR($D443&lt;&gt;"Serviço",AND(AUTOEVENTO="Manual",$M443=$A$15),$M443&gt;(ROW(PLE.lastrow)-ROW(PLE.firstrow))),0,
           IF(OFFSET(PLE!$G$15,$M443-$A$15,BY$13)="",10^12,OFFSET(PLE!$G$15,$M443-$A$15,BY$13)))</f>
        <v>1000000000000</v>
      </c>
      <c r="BZ443" s="172">
        <f ca="1">IF(OR($D443&lt;&gt;"Serviço",AND(AUTOEVENTO="Manual",$M443=$A$15),$M443&gt;(ROW(PLE.lastrow)-ROW(PLE.firstrow))),0,
           IF(OFFSET(PLE!$G$15,$M443-$A$15,BZ$13)="",10^12,OFFSET(PLE!$G$15,$M443-$A$15,BZ$13)))</f>
        <v>1000000000000</v>
      </c>
      <c r="CA443" s="172">
        <f ca="1">IF(OR($D443&lt;&gt;"Serviço",AND(AUTOEVENTO="Manual",$M443=$A$15),$M443&gt;(ROW(PLE.lastrow)-ROW(PLE.firstrow))),0,
           IF(OFFSET(PLE!$G$15,$M443-$A$15,CA$13)="",10^12,OFFSET(PLE!$G$15,$M443-$A$15,CA$13)))</f>
        <v>1000000000000</v>
      </c>
      <c r="CB443" s="172">
        <f ca="1">IF(OR($D443&lt;&gt;"Serviço",AND(AUTOEVENTO="Manual",$M443=$A$15),$M443&gt;(ROW(PLE.lastrow)-ROW(PLE.firstrow))),0,
           IF(OFFSET(PLE!$G$15,$M443-$A$15,CB$13)="",10^12,OFFSET(PLE!$G$15,$M443-$A$15,CB$13)))</f>
        <v>1000000000000</v>
      </c>
      <c r="CC443" s="172">
        <f ca="1">IF(OR($D443&lt;&gt;"Serviço",AND(AUTOEVENTO="Manual",$M443=$A$15),$M443&gt;(ROW(PLE.lastrow)-ROW(PLE.firstrow))),0,
           IF(OFFSET(PLE!$G$15,$M443-$A$15,CC$13)="",10^12,OFFSET(PLE!$G$15,$M443-$A$15,CC$13)))</f>
        <v>1000000000000</v>
      </c>
      <c r="CD443" s="172">
        <f ca="1">IF(OR($D443&lt;&gt;"Serviço",AND(AUTOEVENTO="Manual",$M443=$A$15),$M443&gt;(ROW(PLE.lastrow)-ROW(PLE.firstrow))),0,
           IF(OFFSET(PLE!$G$15,$M443-$A$15,CD$13)="",10^12,OFFSET(PLE!$G$15,$M443-$A$15,CD$13)))</f>
        <v>1000000000000</v>
      </c>
      <c r="CE443" s="172">
        <f ca="1">IF(OR($D443&lt;&gt;"Serviço",AND(AUTOEVENTO="Manual",$M443=$A$15),$M443&gt;(ROW(PLE.lastrow)-ROW(PLE.firstrow))),0,
           IF(OFFSET(PLE!$G$15,$M443-$A$15,CE$13)="",10^12,OFFSET(PLE!$G$15,$M443-$A$15,CE$13)))</f>
        <v>1000000000000</v>
      </c>
      <c r="CF443" s="172">
        <f ca="1">IF(OR($D443&lt;&gt;"Serviço",AND(AUTOEVENTO="Manual",$M443=$A$15),$M443&gt;(ROW(PLE.lastrow)-ROW(PLE.firstrow))),0,
           IF(OFFSET(PLE!$G$15,$M443-$A$15,CF$13)="",10^12,OFFSET(PLE!$G$15,$M443-$A$15,CF$13)))</f>
        <v>1000000000000</v>
      </c>
      <c r="CG443" s="172">
        <f ca="1">IF(OR($D443&lt;&gt;"Serviço",AND(AUTOEVENTO="Manual",$M443=$A$15),$M443&gt;(ROW(PLE.lastrow)-ROW(PLE.firstrow))),0,
           IF(OFFSET(PLE!$G$15,$M443-$A$15,CG$13)="",10^12,OFFSET(PLE!$G$15,$M443-$A$15,CG$13)))</f>
        <v>1000000000000</v>
      </c>
      <c r="CH443" s="172">
        <f ca="1">IF(OR($D443&lt;&gt;"Serviço",AND(AUTOEVENTO="Manual",$M443=$A$15),$M443&gt;(ROW(PLE.lastrow)-ROW(PLE.firstrow))),0,
           IF(OFFSET(PLE!$G$15,$M443-$A$15,CH$13)="",10^12,OFFSET(PLE!$G$15,$M443-$A$15,CH$13)))</f>
        <v>1000000000000</v>
      </c>
      <c r="CI443" s="172">
        <f ca="1">IF(OR($D443&lt;&gt;"Serviço",AND(AUTOEVENTO="Manual",$M443=$A$15),$M443&gt;(ROW(PLE.lastrow)-ROW(PLE.firstrow))),0,
           IF(OFFSET(PLE!$G$15,$M443-$A$15,CI$13)="",10^12,OFFSET(PLE!$G$15,$M443-$A$15,CI$13)))</f>
        <v>1000000000000</v>
      </c>
      <c r="CJ443" s="172">
        <f ca="1">IF(OR($D443&lt;&gt;"Serviço",AND(AUTOEVENTO="Manual",$M443=$A$15),$M443&gt;(ROW(PLE.lastrow)-ROW(PLE.firstrow))),0,
           IF(OFFSET(PLE!$G$15,$M443-$A$15,CJ$13)="",10^12,OFFSET(PLE!$G$15,$M443-$A$15,CJ$13)))</f>
        <v>1000000000000</v>
      </c>
      <c r="CK443" s="172">
        <f ca="1">IF(OR($D443&lt;&gt;"Serviço",AND(AUTOEVENTO="Manual",$M443=$A$15),$M443&gt;(ROW(PLE.lastrow)-ROW(PLE.firstrow))),0,
           IF(OFFSET(PLE!$G$15,$M443-$A$15,CK$13)="",10^12,OFFSET(PLE!$G$15,$M443-$A$15,CK$13)))</f>
        <v>1000000000000</v>
      </c>
      <c r="CL443" s="172">
        <f ca="1">IF(OR($D443&lt;&gt;"Serviço",AND(AUTOEVENTO="Manual",$M443=$A$15),$M443&gt;(ROW(PLE.lastrow)-ROW(PLE.firstrow))),0,
           IF(OFFSET(PLE!$G$15,$M443-$A$15,CL$13)="",10^12,OFFSET(PLE!$G$15,$M443-$A$15,CL$13)))</f>
        <v>1000000000000</v>
      </c>
      <c r="CM443" s="172">
        <f ca="1">IF(OR($D443&lt;&gt;"Serviço",AND(AUTOEVENTO="Manual",$M443=$A$15),$M443&gt;(ROW(PLE.lastrow)-ROW(PLE.firstrow))),0,
           IF(OFFSET(PLE!$G$15,$M443-$A$15,CM$13)="",10^12,OFFSET(PLE!$G$15,$M443-$A$15,CM$13)))</f>
        <v>1000000000000</v>
      </c>
    </row>
    <row r="444" spans="1:91" ht="38.25" x14ac:dyDescent="0.2">
      <c r="A444" s="7">
        <f t="shared" ca="1" si="16"/>
        <v>8</v>
      </c>
      <c r="B444" s="7" t="str">
        <f ca="1">OFFSET(ORÇAMENTO!C$15,ROW(B444)-ROW(B$15),0)</f>
        <v>S</v>
      </c>
      <c r="C444" s="7" t="str">
        <f ca="1">OFFSET(ORÇAMENTO!L$15,ROW(C444)-ROW(C$15),0)</f>
        <v>F</v>
      </c>
      <c r="D444" s="116" t="str">
        <f ca="1">OFFSET(ORÇAMENTO!N$15,ROW(D444)-ROW(D$15),0)</f>
        <v>Serviço</v>
      </c>
      <c r="E444" s="117" t="str">
        <f ca="1">OFFSET(ORÇAMENTO!O$15,ROW(E444)-ROW(E$15),0)</f>
        <v>1.9.1.0.2.</v>
      </c>
      <c r="F444" s="163" t="str">
        <f ca="1">OFFSET(ORÇAMENTO!R$15,ROW(F444)-ROW(F$15),0)</f>
        <v>ELETRODUTO DE AÇO GALVANIZADO MÉDIO, INCLUSIVE CONEXÕES, SUPORTES E FIXAÇÃO DN 40 (1.1/2")</v>
      </c>
      <c r="G444" s="164" t="str">
        <f ca="1">IF($D444&lt;&gt;"Serviço","",OFFSET(ORÇAMENTO!S$15,ROW(G444)-ROW(G$15),0))</f>
        <v>M</v>
      </c>
      <c r="H444" s="122" cm="1">
        <f t="array" aca="1" ref="H444" ca="1">IF($D444&lt;&gt;"Serviço",0,IF(ACOMPANHAMENTO="BM",ROUND(OFFSET(ORÇAMENTO!AJ$15,ROW(H444)-ROW(H$15),0),15-13*ORÇAMENTO!$AF$7),SUMPRODUCT(($Q$1:$AI$1=1)*ROUND($Q444:$AI444,15-13*ORÇAMENTO!$AF$7))))</f>
        <v>4</v>
      </c>
      <c r="I444" s="468" t="s">
        <v>1432</v>
      </c>
      <c r="J444" s="640" t="str" cm="1">
        <f t="array" aca="1" ref="J444" ca="1">IF(OR(B444&lt;&gt;"S",CÁLCULO.FrentesPreenchidas=0),"",IF(AND(ACOMPANHAMENTO="PLE",AUTOEVENTO="Manual",OR(H444&gt;0,ORÇAMENTO!AC444="QUANT."),OR(K444="",M444=0,N444="")),"►E",IF(AND(ACOMPANHAMENTO="PLE",ORÇAMENTO!AC444="QUANT."),"►Q",IF(AND(ACOMPANHAMENTO="PLE",H444&lt;&gt;SUMPRODUCT(($Q$1:$AI$1=1)*ROUND(Q444:AI444,15))),"►S",IF(AND(COUNTIF($P$11:$AI$11,"▼")=0,H444&gt;0,I444=""),"◄M","")))))</f>
        <v/>
      </c>
      <c r="K444" s="641" t="s">
        <v>1392</v>
      </c>
      <c r="L444" s="165" t="s">
        <v>764</v>
      </c>
      <c r="M444" s="166">
        <f ca="1">IF($D444&lt;&gt;"Serviço","",
          IF(AUTOEVENTO="manual",$A444,
                IF(ISERROR(MATCH($A444,$A$15:OFFSET($A444,-1,0),0)),MAX($M$15:OFFSET(M444,-1,0))+1,
                      INDEX($M$15:OFFSET(M444,-1,0),MATCH($A444,$A$15:OFFSET($A444,-1,0),0)))))</f>
        <v>8</v>
      </c>
      <c r="N444" s="167" t="str">
        <f ca="1">IF($D444&lt;&gt;"Serviço","",
         IF(AUTOEVENTO="Manual",
                IF($A444=0,"&lt;-- defina o número do agrupador",
                       OFFSET(EVENTOS!$D$15,$A444-$A$15,0)),
                OFFSET($F$15,$A444,0)))</f>
        <v>CFTV</v>
      </c>
      <c r="O444" s="168"/>
      <c r="Q444" s="168"/>
      <c r="R444" s="169"/>
      <c r="S444" s="169"/>
      <c r="T444" s="169"/>
      <c r="U444" s="169"/>
      <c r="V444" s="169"/>
      <c r="W444" s="169"/>
      <c r="X444" s="169"/>
      <c r="Y444" s="169">
        <v>4</v>
      </c>
      <c r="Z444" s="170"/>
      <c r="AA444" s="169"/>
      <c r="AB444" s="169"/>
      <c r="AC444" s="169"/>
      <c r="AD444" s="169"/>
      <c r="AE444" s="169"/>
      <c r="AF444" s="169"/>
      <c r="AG444" s="169"/>
      <c r="AH444" s="170"/>
      <c r="AJ444" s="453">
        <f ca="1">IF(AND($D444="Serviço",AJ$12&lt;&gt;0,$H444&gt;0,OR(AUTOEVENTO&lt;&gt;"manual",$M444&lt;&gt;$A$15)),
        IF(Import.TipoArredondamento&lt;&gt;"TransfereGOV",
              ROUND(OFFSET($P444,0,AJ$13),15-13*ORÇAMENTO!$AF$7)/$H444*OFFSET(ORÇAMENTO!$X$15,ROW(AJ444)-ROW(AJ$15),0),
              ROUND(ROUND(OFFSET($P444,0,AJ$13),15-13*ORÇAMENTO!$AF$7)*OFFSET(ORÇAMENTO!$W$15,ROW(AJ444)-ROW(AJ$15),0),15-13*ORÇAMENTO!$AF$11)),
         0)</f>
        <v>0</v>
      </c>
      <c r="AK444" s="453">
        <f ca="1">IF(AND($D444="Serviço",AK$12&lt;&gt;0,$H444&gt;0,OR(AUTOEVENTO&lt;&gt;"manual",$M444&lt;&gt;$A$15)),
        IF(Import.TipoArredondamento&lt;&gt;"TransfereGOV",
              ROUND(OFFSET($P444,0,AK$13),15-13*ORÇAMENTO!$AF$7)/$H444*OFFSET(ORÇAMENTO!$X$15,ROW(AK444)-ROW(AK$15),0),
              ROUND(ROUND(OFFSET($P444,0,AK$13),15-13*ORÇAMENTO!$AF$7)*OFFSET(ORÇAMENTO!$W$15,ROW(AK444)-ROW(AK$15),0),15-13*ORÇAMENTO!$AF$11)),
         0)</f>
        <v>0</v>
      </c>
      <c r="AL444" s="453">
        <f ca="1">IF(AND($D444="Serviço",AL$12&lt;&gt;0,$H444&gt;0,OR(AUTOEVENTO&lt;&gt;"manual",$M444&lt;&gt;$A$15)),
        IF(Import.TipoArredondamento&lt;&gt;"TransfereGOV",
              ROUND(OFFSET($P444,0,AL$13),15-13*ORÇAMENTO!$AF$7)/$H444*OFFSET(ORÇAMENTO!$X$15,ROW(AL444)-ROW(AL$15),0),
              ROUND(ROUND(OFFSET($P444,0,AL$13),15-13*ORÇAMENTO!$AF$7)*OFFSET(ORÇAMENTO!$W$15,ROW(AL444)-ROW(AL$15),0),15-13*ORÇAMENTO!$AF$11)),
         0)</f>
        <v>0</v>
      </c>
      <c r="AM444" s="453">
        <f ca="1">IF(AND($D444="Serviço",AM$12&lt;&gt;0,$H444&gt;0,OR(AUTOEVENTO&lt;&gt;"manual",$M444&lt;&gt;$A$15)),
        IF(Import.TipoArredondamento&lt;&gt;"TransfereGOV",
              ROUND(OFFSET($P444,0,AM$13),15-13*ORÇAMENTO!$AF$7)/$H444*OFFSET(ORÇAMENTO!$X$15,ROW(AM444)-ROW(AM$15),0),
              ROUND(ROUND(OFFSET($P444,0,AM$13),15-13*ORÇAMENTO!$AF$7)*OFFSET(ORÇAMENTO!$W$15,ROW(AM444)-ROW(AM$15),0),15-13*ORÇAMENTO!$AF$11)),
         0)</f>
        <v>0</v>
      </c>
      <c r="AN444" s="453">
        <f ca="1">IF(AND($D444="Serviço",AN$12&lt;&gt;0,$H444&gt;0,OR(AUTOEVENTO&lt;&gt;"manual",$M444&lt;&gt;$A$15)),
        IF(Import.TipoArredondamento&lt;&gt;"TransfereGOV",
              ROUND(OFFSET($P444,0,AN$13),15-13*ORÇAMENTO!$AF$7)/$H444*OFFSET(ORÇAMENTO!$X$15,ROW(AN444)-ROW(AN$15),0),
              ROUND(ROUND(OFFSET($P444,0,AN$13),15-13*ORÇAMENTO!$AF$7)*OFFSET(ORÇAMENTO!$W$15,ROW(AN444)-ROW(AN$15),0),15-13*ORÇAMENTO!$AF$11)),
         0)</f>
        <v>0</v>
      </c>
      <c r="AO444" s="453">
        <f ca="1">IF(AND($D444="Serviço",AO$12&lt;&gt;0,$H444&gt;0,OR(AUTOEVENTO&lt;&gt;"manual",$M444&lt;&gt;$A$15)),
        IF(Import.TipoArredondamento&lt;&gt;"TransfereGOV",
              ROUND(OFFSET($P444,0,AO$13),15-13*ORÇAMENTO!$AF$7)/$H444*OFFSET(ORÇAMENTO!$X$15,ROW(AO444)-ROW(AO$15),0),
              ROUND(ROUND(OFFSET($P444,0,AO$13),15-13*ORÇAMENTO!$AF$7)*OFFSET(ORÇAMENTO!$W$15,ROW(AO444)-ROW(AO$15),0),15-13*ORÇAMENTO!$AF$11)),
         0)</f>
        <v>0</v>
      </c>
      <c r="AP444" s="453">
        <f ca="1">IF(AND($D444="Serviço",AP$12&lt;&gt;0,$H444&gt;0,OR(AUTOEVENTO&lt;&gt;"manual",$M444&lt;&gt;$A$15)),
        IF(Import.TipoArredondamento&lt;&gt;"TransfereGOV",
              ROUND(OFFSET($P444,0,AP$13),15-13*ORÇAMENTO!$AF$7)/$H444*OFFSET(ORÇAMENTO!$X$15,ROW(AP444)-ROW(AP$15),0),
              ROUND(ROUND(OFFSET($P444,0,AP$13),15-13*ORÇAMENTO!$AF$7)*OFFSET(ORÇAMENTO!$W$15,ROW(AP444)-ROW(AP$15),0),15-13*ORÇAMENTO!$AF$11)),
         0)</f>
        <v>0</v>
      </c>
      <c r="AQ444" s="453">
        <f ca="1">IF(AND($D444="Serviço",AQ$12&lt;&gt;0,$H444&gt;0,OR(AUTOEVENTO&lt;&gt;"manual",$M444&lt;&gt;$A$15)),
        IF(Import.TipoArredondamento&lt;&gt;"TransfereGOV",
              ROUND(OFFSET($P444,0,AQ$13),15-13*ORÇAMENTO!$AF$7)/$H444*OFFSET(ORÇAMENTO!$X$15,ROW(AQ444)-ROW(AQ$15),0),
              ROUND(ROUND(OFFSET($P444,0,AQ$13),15-13*ORÇAMENTO!$AF$7)*OFFSET(ORÇAMENTO!$W$15,ROW(AQ444)-ROW(AQ$15),0),15-13*ORÇAMENTO!$AF$11)),
         0)</f>
        <v>0</v>
      </c>
      <c r="AR444" s="453">
        <f ca="1">IF(AND($D444="Serviço",AR$12&lt;&gt;0,$H444&gt;0,OR(AUTOEVENTO&lt;&gt;"manual",$M444&lt;&gt;$A$15)),
        IF(Import.TipoArredondamento&lt;&gt;"TransfereGOV",
              ROUND(OFFSET($P444,0,AR$13),15-13*ORÇAMENTO!$AF$7)/$H444*OFFSET(ORÇAMENTO!$X$15,ROW(AR444)-ROW(AR$15),0),
              ROUND(ROUND(OFFSET($P444,0,AR$13),15-13*ORÇAMENTO!$AF$7)*OFFSET(ORÇAMENTO!$W$15,ROW(AR444)-ROW(AR$15),0),15-13*ORÇAMENTO!$AF$11)),
         0)</f>
        <v>0</v>
      </c>
      <c r="AS444" s="453">
        <f ca="1">IF(AND($D444="Serviço",AS$12&lt;&gt;0,$H444&gt;0,OR(AUTOEVENTO&lt;&gt;"manual",$M444&lt;&gt;$A$15)),
        IF(Import.TipoArredondamento&lt;&gt;"TransfereGOV",
              ROUND(OFFSET($P444,0,AS$13),15-13*ORÇAMENTO!$AF$7)/$H444*OFFSET(ORÇAMENTO!$X$15,ROW(AS444)-ROW(AS$15),0),
              ROUND(ROUND(OFFSET($P444,0,AS$13),15-13*ORÇAMENTO!$AF$7)*OFFSET(ORÇAMENTO!$W$15,ROW(AS444)-ROW(AS$15),0),15-13*ORÇAMENTO!$AF$11)),
         0)</f>
        <v>0</v>
      </c>
      <c r="AT444" s="453">
        <f ca="1">IF(AND($D444="Serviço",AT$12&lt;&gt;0,$H444&gt;0,OR(AUTOEVENTO&lt;&gt;"manual",$M444&lt;&gt;$A$15)),
        IF(Import.TipoArredondamento&lt;&gt;"TransfereGOV",
              ROUND(OFFSET($P444,0,AT$13),15-13*ORÇAMENTO!$AF$7)/$H444*OFFSET(ORÇAMENTO!$X$15,ROW(AT444)-ROW(AT$15),0),
              ROUND(ROUND(OFFSET($P444,0,AT$13),15-13*ORÇAMENTO!$AF$7)*OFFSET(ORÇAMENTO!$W$15,ROW(AT444)-ROW(AT$15),0),15-13*ORÇAMENTO!$AF$11)),
         0)</f>
        <v>0</v>
      </c>
      <c r="AU444" s="453">
        <f ca="1">IF(AND($D444="Serviço",AU$12&lt;&gt;0,$H444&gt;0,OR(AUTOEVENTO&lt;&gt;"manual",$M444&lt;&gt;$A$15)),
        IF(Import.TipoArredondamento&lt;&gt;"TransfereGOV",
              ROUND(OFFSET($P444,0,AU$13),15-13*ORÇAMENTO!$AF$7)/$H444*OFFSET(ORÇAMENTO!$X$15,ROW(AU444)-ROW(AU$15),0),
              ROUND(ROUND(OFFSET($P444,0,AU$13),15-13*ORÇAMENTO!$AF$7)*OFFSET(ORÇAMENTO!$W$15,ROW(AU444)-ROW(AU$15),0),15-13*ORÇAMENTO!$AF$11)),
         0)</f>
        <v>0</v>
      </c>
      <c r="AV444" s="453">
        <f ca="1">IF(AND($D444="Serviço",AV$12&lt;&gt;0,$H444&gt;0,OR(AUTOEVENTO&lt;&gt;"manual",$M444&lt;&gt;$A$15)),
        IF(Import.TipoArredondamento&lt;&gt;"TransfereGOV",
              ROUND(OFFSET($P444,0,AV$13),15-13*ORÇAMENTO!$AF$7)/$H444*OFFSET(ORÇAMENTO!$X$15,ROW(AV444)-ROW(AV$15),0),
              ROUND(ROUND(OFFSET($P444,0,AV$13),15-13*ORÇAMENTO!$AF$7)*OFFSET(ORÇAMENTO!$W$15,ROW(AV444)-ROW(AV$15),0),15-13*ORÇAMENTO!$AF$11)),
         0)</f>
        <v>0</v>
      </c>
      <c r="AW444" s="453">
        <f ca="1">IF(AND($D444="Serviço",AW$12&lt;&gt;0,$H444&gt;0,OR(AUTOEVENTO&lt;&gt;"manual",$M444&lt;&gt;$A$15)),
        IF(Import.TipoArredondamento&lt;&gt;"TransfereGOV",
              ROUND(OFFSET($P444,0,AW$13),15-13*ORÇAMENTO!$AF$7)/$H444*OFFSET(ORÇAMENTO!$X$15,ROW(AW444)-ROW(AW$15),0),
              ROUND(ROUND(OFFSET($P444,0,AW$13),15-13*ORÇAMENTO!$AF$7)*OFFSET(ORÇAMENTO!$W$15,ROW(AW444)-ROW(AW$15),0),15-13*ORÇAMENTO!$AF$11)),
         0)</f>
        <v>0</v>
      </c>
      <c r="AX444" s="453">
        <f ca="1">IF(AND($D444="Serviço",AX$12&lt;&gt;0,$H444&gt;0,OR(AUTOEVENTO&lt;&gt;"manual",$M444&lt;&gt;$A$15)),
        IF(Import.TipoArredondamento&lt;&gt;"TransfereGOV",
              ROUND(OFFSET($P444,0,AX$13),15-13*ORÇAMENTO!$AF$7)/$H444*OFFSET(ORÇAMENTO!$X$15,ROW(AX444)-ROW(AX$15),0),
              ROUND(ROUND(OFFSET($P444,0,AX$13),15-13*ORÇAMENTO!$AF$7)*OFFSET(ORÇAMENTO!$W$15,ROW(AX444)-ROW(AX$15),0),15-13*ORÇAMENTO!$AF$11)),
         0)</f>
        <v>0</v>
      </c>
      <c r="AY444" s="453">
        <f ca="1">IF(AND($D444="Serviço",AY$12&lt;&gt;0,$H444&gt;0,OR(AUTOEVENTO&lt;&gt;"manual",$M444&lt;&gt;$A$15)),
        IF(Import.TipoArredondamento&lt;&gt;"TransfereGOV",
              ROUND(OFFSET($P444,0,AY$13),15-13*ORÇAMENTO!$AF$7)/$H444*OFFSET(ORÇAMENTO!$X$15,ROW(AY444)-ROW(AY$15),0),
              ROUND(ROUND(OFFSET($P444,0,AY$13),15-13*ORÇAMENTO!$AF$7)*OFFSET(ORÇAMENTO!$W$15,ROW(AY444)-ROW(AY$15),0),15-13*ORÇAMENTO!$AF$11)),
         0)</f>
        <v>0</v>
      </c>
      <c r="AZ444" s="453">
        <f ca="1">IF(AND($D444="Serviço",AZ$12&lt;&gt;0,$H444&gt;0,OR(AUTOEVENTO&lt;&gt;"manual",$M444&lt;&gt;$A$15)),
        IF(Import.TipoArredondamento&lt;&gt;"TransfereGOV",
              ROUND(OFFSET($P444,0,AZ$13),15-13*ORÇAMENTO!$AF$7)/$H444*OFFSET(ORÇAMENTO!$X$15,ROW(AZ444)-ROW(AZ$15),0),
              ROUND(ROUND(OFFSET($P444,0,AZ$13),15-13*ORÇAMENTO!$AF$7)*OFFSET(ORÇAMENTO!$W$15,ROW(AZ444)-ROW(AZ$15),0),15-13*ORÇAMENTO!$AF$11)),
         0)</f>
        <v>0</v>
      </c>
      <c r="BA444" s="453">
        <f ca="1">IF(AND($D444="Serviço",BA$12&lt;&gt;0,$H444&gt;0,OR(AUTOEVENTO&lt;&gt;"manual",$M444&lt;&gt;$A$15)),
        IF(Import.TipoArredondamento&lt;&gt;"TransfereGOV",
              ROUND(OFFSET($P444,0,BA$13),15-13*ORÇAMENTO!$AF$7)/$H444*OFFSET(ORÇAMENTO!$X$15,ROW(BA444)-ROW(BA$15),0),
              ROUND(ROUND(OFFSET($P444,0,BA$13),15-13*ORÇAMENTO!$AF$7)*OFFSET(ORÇAMENTO!$W$15,ROW(BA444)-ROW(BA$15),0),15-13*ORÇAMENTO!$AF$11)),
         0)</f>
        <v>0</v>
      </c>
      <c r="BC444" s="171">
        <f ca="1">IF(OR($D444&lt;&gt;"Serviço",AND(AUTOEVENTO="Manual",$M444=$A$15)),0,
         IF(OFFSET(CRONOPLE!$F$15,$M444-$A$15,BC$13)=0,10^12,OFFSET(CRONOPLE!$F$15,$M444-$A$15,BC$13)))</f>
        <v>1</v>
      </c>
      <c r="BD444" s="171">
        <f ca="1">IF(OR($D444&lt;&gt;"Serviço",AND(AUTOEVENTO="Manual",$M444=$A$15)),0,
         IF(OFFSET(CRONOPLE!$F$15,$M444-$A$15,BD$13)=0,10^12,OFFSET(CRONOPLE!$F$15,$M444-$A$15,BD$13)))</f>
        <v>2</v>
      </c>
      <c r="BE444" s="171">
        <f ca="1">IF(OR($D444&lt;&gt;"Serviço",AND(AUTOEVENTO="Manual",$M444=$A$15)),0,
         IF(OFFSET(CRONOPLE!$F$15,$M444-$A$15,BE$13)=0,10^12,OFFSET(CRONOPLE!$F$15,$M444-$A$15,BE$13)))</f>
        <v>3</v>
      </c>
      <c r="BF444" s="171">
        <f ca="1">IF(OR($D444&lt;&gt;"Serviço",AND(AUTOEVENTO="Manual",$M444=$A$15)),0,
         IF(OFFSET(CRONOPLE!$F$15,$M444-$A$15,BF$13)=0,10^12,OFFSET(CRONOPLE!$F$15,$M444-$A$15,BF$13)))</f>
        <v>4</v>
      </c>
      <c r="BG444" s="171">
        <f ca="1">IF(OR($D444&lt;&gt;"Serviço",AND(AUTOEVENTO="Manual",$M444=$A$15)),0,
         IF(OFFSET(CRONOPLE!$F$15,$M444-$A$15,BG$13)=0,10^12,OFFSET(CRONOPLE!$F$15,$M444-$A$15,BG$13)))</f>
        <v>5</v>
      </c>
      <c r="BH444" s="171">
        <f ca="1">IF(OR($D444&lt;&gt;"Serviço",AND(AUTOEVENTO="Manual",$M444=$A$15)),0,
         IF(OFFSET(CRONOPLE!$F$15,$M444-$A$15,BH$13)=0,10^12,OFFSET(CRONOPLE!$F$15,$M444-$A$15,BH$13)))</f>
        <v>6</v>
      </c>
      <c r="BI444" s="171">
        <f ca="1">IF(OR($D444&lt;&gt;"Serviço",AND(AUTOEVENTO="Manual",$M444=$A$15)),0,
         IF(OFFSET(CRONOPLE!$F$15,$M444-$A$15,BI$13)=0,10^12,OFFSET(CRONOPLE!$F$15,$M444-$A$15,BI$13)))</f>
        <v>7</v>
      </c>
      <c r="BJ444" s="171">
        <f ca="1">IF(OR($D444&lt;&gt;"Serviço",AND(AUTOEVENTO="Manual",$M444=$A$15)),0,
         IF(OFFSET(CRONOPLE!$F$15,$M444-$A$15,BJ$13)=0,10^12,OFFSET(CRONOPLE!$F$15,$M444-$A$15,BJ$13)))</f>
        <v>8</v>
      </c>
      <c r="BK444" s="171">
        <f ca="1">IF(OR($D444&lt;&gt;"Serviço",AND(AUTOEVENTO="Manual",$M444=$A$15)),0,
         IF(OFFSET(CRONOPLE!$F$15,$M444-$A$15,BK$13)=0,10^12,OFFSET(CRONOPLE!$F$15,$M444-$A$15,BK$13)))</f>
        <v>9</v>
      </c>
      <c r="BL444" s="171">
        <f ca="1">IF(OR($D444&lt;&gt;"Serviço",AND(AUTOEVENTO="Manual",$M444=$A$15)),0,
         IF(OFFSET(CRONOPLE!$F$15,$M444-$A$15,BL$13)=0,10^12,OFFSET(CRONOPLE!$F$15,$M444-$A$15,BL$13)))</f>
        <v>1000000000000</v>
      </c>
      <c r="BM444" s="171">
        <f ca="1">IF(OR($D444&lt;&gt;"Serviço",AND(AUTOEVENTO="Manual",$M444=$A$15)),0,
         IF(OFFSET(CRONOPLE!$F$15,$M444-$A$15,BM$13)=0,10^12,OFFSET(CRONOPLE!$F$15,$M444-$A$15,BM$13)))</f>
        <v>1000000000000</v>
      </c>
      <c r="BN444" s="171">
        <f ca="1">IF(OR($D444&lt;&gt;"Serviço",AND(AUTOEVENTO="Manual",$M444=$A$15)),0,
         IF(OFFSET(CRONOPLE!$F$15,$M444-$A$15,BN$13)=0,10^12,OFFSET(CRONOPLE!$F$15,$M444-$A$15,BN$13)))</f>
        <v>1000000000000</v>
      </c>
      <c r="BO444" s="171">
        <f ca="1">IF(OR($D444&lt;&gt;"Serviço",AND(AUTOEVENTO="Manual",$M444=$A$15)),0,
         IF(OFFSET(CRONOPLE!$F$15,$M444-$A$15,BO$13)=0,10^12,OFFSET(CRONOPLE!$F$15,$M444-$A$15,BO$13)))</f>
        <v>1000000000000</v>
      </c>
      <c r="BP444" s="171">
        <f ca="1">IF(OR($D444&lt;&gt;"Serviço",AND(AUTOEVENTO="Manual",$M444=$A$15)),0,
         IF(OFFSET(CRONOPLE!$F$15,$M444-$A$15,BP$13)=0,10^12,OFFSET(CRONOPLE!$F$15,$M444-$A$15,BP$13)))</f>
        <v>1000000000000</v>
      </c>
      <c r="BQ444" s="171">
        <f ca="1">IF(OR($D444&lt;&gt;"Serviço",AND(AUTOEVENTO="Manual",$M444=$A$15)),0,
         IF(OFFSET(CRONOPLE!$F$15,$M444-$A$15,BQ$13)=0,10^12,OFFSET(CRONOPLE!$F$15,$M444-$A$15,BQ$13)))</f>
        <v>1000000000000</v>
      </c>
      <c r="BR444" s="171">
        <f ca="1">IF(OR($D444&lt;&gt;"Serviço",AND(AUTOEVENTO="Manual",$M444=$A$15)),0,
         IF(OFFSET(CRONOPLE!$F$15,$M444-$A$15,BR$13)=0,10^12,OFFSET(CRONOPLE!$F$15,$M444-$A$15,BR$13)))</f>
        <v>1000000000000</v>
      </c>
      <c r="BS444" s="171">
        <f ca="1">IF(OR($D444&lt;&gt;"Serviço",AND(AUTOEVENTO="Manual",$M444=$A$15)),0,
         IF(OFFSET(CRONOPLE!$F$15,$M444-$A$15,BS$13)=0,10^12,OFFSET(CRONOPLE!$F$15,$M444-$A$15,BS$13)))</f>
        <v>1000000000000</v>
      </c>
      <c r="BT444" s="171">
        <f ca="1">IF(OR($D444&lt;&gt;"Serviço",AND(AUTOEVENTO="Manual",$M444=$A$15)),0,
         IF(OFFSET(CRONOPLE!$F$15,$M444-$A$15,BT$13)=0,10^12,OFFSET(CRONOPLE!$F$15,$M444-$A$15,BT$13)))</f>
        <v>1000000000000</v>
      </c>
      <c r="BV444" s="172">
        <f ca="1">IF(OR($D444&lt;&gt;"Serviço",AND(AUTOEVENTO="Manual",$M444=$A$15),$M444&gt;(ROW(PLE.lastrow)-ROW(PLE.firstrow))),0,
           IF(OFFSET(PLE!$G$15,$M444-$A$15,BV$13)="",10^12,OFFSET(PLE!$G$15,$M444-$A$15,BV$13)))</f>
        <v>1000000000000</v>
      </c>
      <c r="BW444" s="172">
        <f ca="1">IF(OR($D444&lt;&gt;"Serviço",AND(AUTOEVENTO="Manual",$M444=$A$15),$M444&gt;(ROW(PLE.lastrow)-ROW(PLE.firstrow))),0,
           IF(OFFSET(PLE!$G$15,$M444-$A$15,BW$13)="",10^12,OFFSET(PLE!$G$15,$M444-$A$15,BW$13)))</f>
        <v>1000000000000</v>
      </c>
      <c r="BX444" s="172">
        <f ca="1">IF(OR($D444&lt;&gt;"Serviço",AND(AUTOEVENTO="Manual",$M444=$A$15),$M444&gt;(ROW(PLE.lastrow)-ROW(PLE.firstrow))),0,
           IF(OFFSET(PLE!$G$15,$M444-$A$15,BX$13)="",10^12,OFFSET(PLE!$G$15,$M444-$A$15,BX$13)))</f>
        <v>1000000000000</v>
      </c>
      <c r="BY444" s="172">
        <f ca="1">IF(OR($D444&lt;&gt;"Serviço",AND(AUTOEVENTO="Manual",$M444=$A$15),$M444&gt;(ROW(PLE.lastrow)-ROW(PLE.firstrow))),0,
           IF(OFFSET(PLE!$G$15,$M444-$A$15,BY$13)="",10^12,OFFSET(PLE!$G$15,$M444-$A$15,BY$13)))</f>
        <v>1000000000000</v>
      </c>
      <c r="BZ444" s="172">
        <f ca="1">IF(OR($D444&lt;&gt;"Serviço",AND(AUTOEVENTO="Manual",$M444=$A$15),$M444&gt;(ROW(PLE.lastrow)-ROW(PLE.firstrow))),0,
           IF(OFFSET(PLE!$G$15,$M444-$A$15,BZ$13)="",10^12,OFFSET(PLE!$G$15,$M444-$A$15,BZ$13)))</f>
        <v>1000000000000</v>
      </c>
      <c r="CA444" s="172">
        <f ca="1">IF(OR($D444&lt;&gt;"Serviço",AND(AUTOEVENTO="Manual",$M444=$A$15),$M444&gt;(ROW(PLE.lastrow)-ROW(PLE.firstrow))),0,
           IF(OFFSET(PLE!$G$15,$M444-$A$15,CA$13)="",10^12,OFFSET(PLE!$G$15,$M444-$A$15,CA$13)))</f>
        <v>1000000000000</v>
      </c>
      <c r="CB444" s="172">
        <f ca="1">IF(OR($D444&lt;&gt;"Serviço",AND(AUTOEVENTO="Manual",$M444=$A$15),$M444&gt;(ROW(PLE.lastrow)-ROW(PLE.firstrow))),0,
           IF(OFFSET(PLE!$G$15,$M444-$A$15,CB$13)="",10^12,OFFSET(PLE!$G$15,$M444-$A$15,CB$13)))</f>
        <v>1000000000000</v>
      </c>
      <c r="CC444" s="172">
        <f ca="1">IF(OR($D444&lt;&gt;"Serviço",AND(AUTOEVENTO="Manual",$M444=$A$15),$M444&gt;(ROW(PLE.lastrow)-ROW(PLE.firstrow))),0,
           IF(OFFSET(PLE!$G$15,$M444-$A$15,CC$13)="",10^12,OFFSET(PLE!$G$15,$M444-$A$15,CC$13)))</f>
        <v>1000000000000</v>
      </c>
      <c r="CD444" s="172">
        <f ca="1">IF(OR($D444&lt;&gt;"Serviço",AND(AUTOEVENTO="Manual",$M444=$A$15),$M444&gt;(ROW(PLE.lastrow)-ROW(PLE.firstrow))),0,
           IF(OFFSET(PLE!$G$15,$M444-$A$15,CD$13)="",10^12,OFFSET(PLE!$G$15,$M444-$A$15,CD$13)))</f>
        <v>1000000000000</v>
      </c>
      <c r="CE444" s="172">
        <f ca="1">IF(OR($D444&lt;&gt;"Serviço",AND(AUTOEVENTO="Manual",$M444=$A$15),$M444&gt;(ROW(PLE.lastrow)-ROW(PLE.firstrow))),0,
           IF(OFFSET(PLE!$G$15,$M444-$A$15,CE$13)="",10^12,OFFSET(PLE!$G$15,$M444-$A$15,CE$13)))</f>
        <v>1000000000000</v>
      </c>
      <c r="CF444" s="172">
        <f ca="1">IF(OR($D444&lt;&gt;"Serviço",AND(AUTOEVENTO="Manual",$M444=$A$15),$M444&gt;(ROW(PLE.lastrow)-ROW(PLE.firstrow))),0,
           IF(OFFSET(PLE!$G$15,$M444-$A$15,CF$13)="",10^12,OFFSET(PLE!$G$15,$M444-$A$15,CF$13)))</f>
        <v>1000000000000</v>
      </c>
      <c r="CG444" s="172">
        <f ca="1">IF(OR($D444&lt;&gt;"Serviço",AND(AUTOEVENTO="Manual",$M444=$A$15),$M444&gt;(ROW(PLE.lastrow)-ROW(PLE.firstrow))),0,
           IF(OFFSET(PLE!$G$15,$M444-$A$15,CG$13)="",10^12,OFFSET(PLE!$G$15,$M444-$A$15,CG$13)))</f>
        <v>1000000000000</v>
      </c>
      <c r="CH444" s="172">
        <f ca="1">IF(OR($D444&lt;&gt;"Serviço",AND(AUTOEVENTO="Manual",$M444=$A$15),$M444&gt;(ROW(PLE.lastrow)-ROW(PLE.firstrow))),0,
           IF(OFFSET(PLE!$G$15,$M444-$A$15,CH$13)="",10^12,OFFSET(PLE!$G$15,$M444-$A$15,CH$13)))</f>
        <v>1000000000000</v>
      </c>
      <c r="CI444" s="172">
        <f ca="1">IF(OR($D444&lt;&gt;"Serviço",AND(AUTOEVENTO="Manual",$M444=$A$15),$M444&gt;(ROW(PLE.lastrow)-ROW(PLE.firstrow))),0,
           IF(OFFSET(PLE!$G$15,$M444-$A$15,CI$13)="",10^12,OFFSET(PLE!$G$15,$M444-$A$15,CI$13)))</f>
        <v>1000000000000</v>
      </c>
      <c r="CJ444" s="172">
        <f ca="1">IF(OR($D444&lt;&gt;"Serviço",AND(AUTOEVENTO="Manual",$M444=$A$15),$M444&gt;(ROW(PLE.lastrow)-ROW(PLE.firstrow))),0,
           IF(OFFSET(PLE!$G$15,$M444-$A$15,CJ$13)="",10^12,OFFSET(PLE!$G$15,$M444-$A$15,CJ$13)))</f>
        <v>1000000000000</v>
      </c>
      <c r="CK444" s="172">
        <f ca="1">IF(OR($D444&lt;&gt;"Serviço",AND(AUTOEVENTO="Manual",$M444=$A$15),$M444&gt;(ROW(PLE.lastrow)-ROW(PLE.firstrow))),0,
           IF(OFFSET(PLE!$G$15,$M444-$A$15,CK$13)="",10^12,OFFSET(PLE!$G$15,$M444-$A$15,CK$13)))</f>
        <v>1000000000000</v>
      </c>
      <c r="CL444" s="172">
        <f ca="1">IF(OR($D444&lt;&gt;"Serviço",AND(AUTOEVENTO="Manual",$M444=$A$15),$M444&gt;(ROW(PLE.lastrow)-ROW(PLE.firstrow))),0,
           IF(OFFSET(PLE!$G$15,$M444-$A$15,CL$13)="",10^12,OFFSET(PLE!$G$15,$M444-$A$15,CL$13)))</f>
        <v>1000000000000</v>
      </c>
      <c r="CM444" s="172">
        <f ca="1">IF(OR($D444&lt;&gt;"Serviço",AND(AUTOEVENTO="Manual",$M444=$A$15),$M444&gt;(ROW(PLE.lastrow)-ROW(PLE.firstrow))),0,
           IF(OFFSET(PLE!$G$15,$M444-$A$15,CM$13)="",10^12,OFFSET(PLE!$G$15,$M444-$A$15,CM$13)))</f>
        <v>1000000000000</v>
      </c>
    </row>
    <row r="445" spans="1:91" ht="38.25" x14ac:dyDescent="0.2">
      <c r="A445" s="7">
        <f t="shared" ca="1" si="16"/>
        <v>8</v>
      </c>
      <c r="B445" s="7" t="str">
        <f ca="1">OFFSET(ORÇAMENTO!C$15,ROW(B445)-ROW(B$15),0)</f>
        <v>S</v>
      </c>
      <c r="C445" s="7" t="str">
        <f ca="1">OFFSET(ORÇAMENTO!L$15,ROW(C445)-ROW(C$15),0)</f>
        <v>F</v>
      </c>
      <c r="D445" s="116" t="str">
        <f ca="1">OFFSET(ORÇAMENTO!N$15,ROW(D445)-ROW(D$15),0)</f>
        <v>Serviço</v>
      </c>
      <c r="E445" s="117" t="str">
        <f ca="1">OFFSET(ORÇAMENTO!O$15,ROW(E445)-ROW(E$15),0)</f>
        <v>1.9.1.0.3.</v>
      </c>
      <c r="F445" s="163" t="str">
        <f ca="1">OFFSET(ORÇAMENTO!R$15,ROW(F445)-ROW(F$15),0)</f>
        <v>CONDULETE DE ALUMÍNIO, TIPO T, PARA ELETRODUTO DE AÇO GALVANIZADO DN 25 MM (1''), APARENTE - FORNECIMENTO E INSTALAÇÃO. AF_10/2022</v>
      </c>
      <c r="G445" s="164" t="str">
        <f ca="1">IF($D445&lt;&gt;"Serviço","",OFFSET(ORÇAMENTO!S$15,ROW(G445)-ROW(G$15),0))</f>
        <v>UN</v>
      </c>
      <c r="H445" s="122" cm="1">
        <f t="array" aca="1" ref="H445" ca="1">IF($D445&lt;&gt;"Serviço",0,IF(ACOMPANHAMENTO="BM",ROUND(OFFSET(ORÇAMENTO!AJ$15,ROW(H445)-ROW(H$15),0),15-13*ORÇAMENTO!$AF$7),SUMPRODUCT(($Q$1:$AI$1=1)*ROUND($Q445:$AI445,15-13*ORÇAMENTO!$AF$7))))</f>
        <v>13</v>
      </c>
      <c r="I445" s="468" t="s">
        <v>1432</v>
      </c>
      <c r="J445" s="640" t="str" cm="1">
        <f t="array" aca="1" ref="J445" ca="1">IF(OR(B445&lt;&gt;"S",CÁLCULO.FrentesPreenchidas=0),"",IF(AND(ACOMPANHAMENTO="PLE",AUTOEVENTO="Manual",OR(H445&gt;0,ORÇAMENTO!AC445="QUANT."),OR(K445="",M445=0,N445="")),"►E",IF(AND(ACOMPANHAMENTO="PLE",ORÇAMENTO!AC445="QUANT."),"►Q",IF(AND(ACOMPANHAMENTO="PLE",H445&lt;&gt;SUMPRODUCT(($Q$1:$AI$1=1)*ROUND(Q445:AI445,15))),"►S",IF(AND(COUNTIF($P$11:$AI$11,"▼")=0,H445&gt;0,I445=""),"◄M","")))))</f>
        <v/>
      </c>
      <c r="K445" s="641" t="s">
        <v>1392</v>
      </c>
      <c r="L445" s="165" t="s">
        <v>764</v>
      </c>
      <c r="M445" s="166">
        <f ca="1">IF($D445&lt;&gt;"Serviço","",
          IF(AUTOEVENTO="manual",$A445,
                IF(ISERROR(MATCH($A445,$A$15:OFFSET($A445,-1,0),0)),MAX($M$15:OFFSET(M445,-1,0))+1,
                      INDEX($M$15:OFFSET(M445,-1,0),MATCH($A445,$A$15:OFFSET($A445,-1,0),0)))))</f>
        <v>8</v>
      </c>
      <c r="N445" s="167" t="str">
        <f ca="1">IF($D445&lt;&gt;"Serviço","",
         IF(AUTOEVENTO="Manual",
                IF($A445=0,"&lt;-- defina o número do agrupador",
                       OFFSET(EVENTOS!$D$15,$A445-$A$15,0)),
                OFFSET($F$15,$A445,0)))</f>
        <v>CFTV</v>
      </c>
      <c r="O445" s="168"/>
      <c r="Q445" s="168"/>
      <c r="R445" s="169"/>
      <c r="S445" s="169"/>
      <c r="T445" s="169"/>
      <c r="U445" s="169"/>
      <c r="V445" s="169"/>
      <c r="W445" s="169"/>
      <c r="X445" s="169"/>
      <c r="Y445" s="169">
        <v>13</v>
      </c>
      <c r="Z445" s="170"/>
      <c r="AA445" s="169"/>
      <c r="AB445" s="169"/>
      <c r="AC445" s="169"/>
      <c r="AD445" s="169"/>
      <c r="AE445" s="169"/>
      <c r="AF445" s="169"/>
      <c r="AG445" s="169"/>
      <c r="AH445" s="170"/>
      <c r="AJ445" s="453">
        <f ca="1">IF(AND($D445="Serviço",AJ$12&lt;&gt;0,$H445&gt;0,OR(AUTOEVENTO&lt;&gt;"manual",$M445&lt;&gt;$A$15)),
        IF(Import.TipoArredondamento&lt;&gt;"TransfereGOV",
              ROUND(OFFSET($P445,0,AJ$13),15-13*ORÇAMENTO!$AF$7)/$H445*OFFSET(ORÇAMENTO!$X$15,ROW(AJ445)-ROW(AJ$15),0),
              ROUND(ROUND(OFFSET($P445,0,AJ$13),15-13*ORÇAMENTO!$AF$7)*OFFSET(ORÇAMENTO!$W$15,ROW(AJ445)-ROW(AJ$15),0),15-13*ORÇAMENTO!$AF$11)),
         0)</f>
        <v>0</v>
      </c>
      <c r="AK445" s="453">
        <f ca="1">IF(AND($D445="Serviço",AK$12&lt;&gt;0,$H445&gt;0,OR(AUTOEVENTO&lt;&gt;"manual",$M445&lt;&gt;$A$15)),
        IF(Import.TipoArredondamento&lt;&gt;"TransfereGOV",
              ROUND(OFFSET($P445,0,AK$13),15-13*ORÇAMENTO!$AF$7)/$H445*OFFSET(ORÇAMENTO!$X$15,ROW(AK445)-ROW(AK$15),0),
              ROUND(ROUND(OFFSET($P445,0,AK$13),15-13*ORÇAMENTO!$AF$7)*OFFSET(ORÇAMENTO!$W$15,ROW(AK445)-ROW(AK$15),0),15-13*ORÇAMENTO!$AF$11)),
         0)</f>
        <v>0</v>
      </c>
      <c r="AL445" s="453">
        <f ca="1">IF(AND($D445="Serviço",AL$12&lt;&gt;0,$H445&gt;0,OR(AUTOEVENTO&lt;&gt;"manual",$M445&lt;&gt;$A$15)),
        IF(Import.TipoArredondamento&lt;&gt;"TransfereGOV",
              ROUND(OFFSET($P445,0,AL$13),15-13*ORÇAMENTO!$AF$7)/$H445*OFFSET(ORÇAMENTO!$X$15,ROW(AL445)-ROW(AL$15),0),
              ROUND(ROUND(OFFSET($P445,0,AL$13),15-13*ORÇAMENTO!$AF$7)*OFFSET(ORÇAMENTO!$W$15,ROW(AL445)-ROW(AL$15),0),15-13*ORÇAMENTO!$AF$11)),
         0)</f>
        <v>0</v>
      </c>
      <c r="AM445" s="453">
        <f ca="1">IF(AND($D445="Serviço",AM$12&lt;&gt;0,$H445&gt;0,OR(AUTOEVENTO&lt;&gt;"manual",$M445&lt;&gt;$A$15)),
        IF(Import.TipoArredondamento&lt;&gt;"TransfereGOV",
              ROUND(OFFSET($P445,0,AM$13),15-13*ORÇAMENTO!$AF$7)/$H445*OFFSET(ORÇAMENTO!$X$15,ROW(AM445)-ROW(AM$15),0),
              ROUND(ROUND(OFFSET($P445,0,AM$13),15-13*ORÇAMENTO!$AF$7)*OFFSET(ORÇAMENTO!$W$15,ROW(AM445)-ROW(AM$15),0),15-13*ORÇAMENTO!$AF$11)),
         0)</f>
        <v>0</v>
      </c>
      <c r="AN445" s="453">
        <f ca="1">IF(AND($D445="Serviço",AN$12&lt;&gt;0,$H445&gt;0,OR(AUTOEVENTO&lt;&gt;"manual",$M445&lt;&gt;$A$15)),
        IF(Import.TipoArredondamento&lt;&gt;"TransfereGOV",
              ROUND(OFFSET($P445,0,AN$13),15-13*ORÇAMENTO!$AF$7)/$H445*OFFSET(ORÇAMENTO!$X$15,ROW(AN445)-ROW(AN$15),0),
              ROUND(ROUND(OFFSET($P445,0,AN$13),15-13*ORÇAMENTO!$AF$7)*OFFSET(ORÇAMENTO!$W$15,ROW(AN445)-ROW(AN$15),0),15-13*ORÇAMENTO!$AF$11)),
         0)</f>
        <v>0</v>
      </c>
      <c r="AO445" s="453">
        <f ca="1">IF(AND($D445="Serviço",AO$12&lt;&gt;0,$H445&gt;0,OR(AUTOEVENTO&lt;&gt;"manual",$M445&lt;&gt;$A$15)),
        IF(Import.TipoArredondamento&lt;&gt;"TransfereGOV",
              ROUND(OFFSET($P445,0,AO$13),15-13*ORÇAMENTO!$AF$7)/$H445*OFFSET(ORÇAMENTO!$X$15,ROW(AO445)-ROW(AO$15),0),
              ROUND(ROUND(OFFSET($P445,0,AO$13),15-13*ORÇAMENTO!$AF$7)*OFFSET(ORÇAMENTO!$W$15,ROW(AO445)-ROW(AO$15),0),15-13*ORÇAMENTO!$AF$11)),
         0)</f>
        <v>0</v>
      </c>
      <c r="AP445" s="453">
        <f ca="1">IF(AND($D445="Serviço",AP$12&lt;&gt;0,$H445&gt;0,OR(AUTOEVENTO&lt;&gt;"manual",$M445&lt;&gt;$A$15)),
        IF(Import.TipoArredondamento&lt;&gt;"TransfereGOV",
              ROUND(OFFSET($P445,0,AP$13),15-13*ORÇAMENTO!$AF$7)/$H445*OFFSET(ORÇAMENTO!$X$15,ROW(AP445)-ROW(AP$15),0),
              ROUND(ROUND(OFFSET($P445,0,AP$13),15-13*ORÇAMENTO!$AF$7)*OFFSET(ORÇAMENTO!$W$15,ROW(AP445)-ROW(AP$15),0),15-13*ORÇAMENTO!$AF$11)),
         0)</f>
        <v>0</v>
      </c>
      <c r="AQ445" s="453">
        <f ca="1">IF(AND($D445="Serviço",AQ$12&lt;&gt;0,$H445&gt;0,OR(AUTOEVENTO&lt;&gt;"manual",$M445&lt;&gt;$A$15)),
        IF(Import.TipoArredondamento&lt;&gt;"TransfereGOV",
              ROUND(OFFSET($P445,0,AQ$13),15-13*ORÇAMENTO!$AF$7)/$H445*OFFSET(ORÇAMENTO!$X$15,ROW(AQ445)-ROW(AQ$15),0),
              ROUND(ROUND(OFFSET($P445,0,AQ$13),15-13*ORÇAMENTO!$AF$7)*OFFSET(ORÇAMENTO!$W$15,ROW(AQ445)-ROW(AQ$15),0),15-13*ORÇAMENTO!$AF$11)),
         0)</f>
        <v>0</v>
      </c>
      <c r="AR445" s="453">
        <f ca="1">IF(AND($D445="Serviço",AR$12&lt;&gt;0,$H445&gt;0,OR(AUTOEVENTO&lt;&gt;"manual",$M445&lt;&gt;$A$15)),
        IF(Import.TipoArredondamento&lt;&gt;"TransfereGOV",
              ROUND(OFFSET($P445,0,AR$13),15-13*ORÇAMENTO!$AF$7)/$H445*OFFSET(ORÇAMENTO!$X$15,ROW(AR445)-ROW(AR$15),0),
              ROUND(ROUND(OFFSET($P445,0,AR$13),15-13*ORÇAMENTO!$AF$7)*OFFSET(ORÇAMENTO!$W$15,ROW(AR445)-ROW(AR$15),0),15-13*ORÇAMENTO!$AF$11)),
         0)</f>
        <v>0</v>
      </c>
      <c r="AS445" s="453">
        <f ca="1">IF(AND($D445="Serviço",AS$12&lt;&gt;0,$H445&gt;0,OR(AUTOEVENTO&lt;&gt;"manual",$M445&lt;&gt;$A$15)),
        IF(Import.TipoArredondamento&lt;&gt;"TransfereGOV",
              ROUND(OFFSET($P445,0,AS$13),15-13*ORÇAMENTO!$AF$7)/$H445*OFFSET(ORÇAMENTO!$X$15,ROW(AS445)-ROW(AS$15),0),
              ROUND(ROUND(OFFSET($P445,0,AS$13),15-13*ORÇAMENTO!$AF$7)*OFFSET(ORÇAMENTO!$W$15,ROW(AS445)-ROW(AS$15),0),15-13*ORÇAMENTO!$AF$11)),
         0)</f>
        <v>0</v>
      </c>
      <c r="AT445" s="453">
        <f ca="1">IF(AND($D445="Serviço",AT$12&lt;&gt;0,$H445&gt;0,OR(AUTOEVENTO&lt;&gt;"manual",$M445&lt;&gt;$A$15)),
        IF(Import.TipoArredondamento&lt;&gt;"TransfereGOV",
              ROUND(OFFSET($P445,0,AT$13),15-13*ORÇAMENTO!$AF$7)/$H445*OFFSET(ORÇAMENTO!$X$15,ROW(AT445)-ROW(AT$15),0),
              ROUND(ROUND(OFFSET($P445,0,AT$13),15-13*ORÇAMENTO!$AF$7)*OFFSET(ORÇAMENTO!$W$15,ROW(AT445)-ROW(AT$15),0),15-13*ORÇAMENTO!$AF$11)),
         0)</f>
        <v>0</v>
      </c>
      <c r="AU445" s="453">
        <f ca="1">IF(AND($D445="Serviço",AU$12&lt;&gt;0,$H445&gt;0,OR(AUTOEVENTO&lt;&gt;"manual",$M445&lt;&gt;$A$15)),
        IF(Import.TipoArredondamento&lt;&gt;"TransfereGOV",
              ROUND(OFFSET($P445,0,AU$13),15-13*ORÇAMENTO!$AF$7)/$H445*OFFSET(ORÇAMENTO!$X$15,ROW(AU445)-ROW(AU$15),0),
              ROUND(ROUND(OFFSET($P445,0,AU$13),15-13*ORÇAMENTO!$AF$7)*OFFSET(ORÇAMENTO!$W$15,ROW(AU445)-ROW(AU$15),0),15-13*ORÇAMENTO!$AF$11)),
         0)</f>
        <v>0</v>
      </c>
      <c r="AV445" s="453">
        <f ca="1">IF(AND($D445="Serviço",AV$12&lt;&gt;0,$H445&gt;0,OR(AUTOEVENTO&lt;&gt;"manual",$M445&lt;&gt;$A$15)),
        IF(Import.TipoArredondamento&lt;&gt;"TransfereGOV",
              ROUND(OFFSET($P445,0,AV$13),15-13*ORÇAMENTO!$AF$7)/$H445*OFFSET(ORÇAMENTO!$X$15,ROW(AV445)-ROW(AV$15),0),
              ROUND(ROUND(OFFSET($P445,0,AV$13),15-13*ORÇAMENTO!$AF$7)*OFFSET(ORÇAMENTO!$W$15,ROW(AV445)-ROW(AV$15),0),15-13*ORÇAMENTO!$AF$11)),
         0)</f>
        <v>0</v>
      </c>
      <c r="AW445" s="453">
        <f ca="1">IF(AND($D445="Serviço",AW$12&lt;&gt;0,$H445&gt;0,OR(AUTOEVENTO&lt;&gt;"manual",$M445&lt;&gt;$A$15)),
        IF(Import.TipoArredondamento&lt;&gt;"TransfereGOV",
              ROUND(OFFSET($P445,0,AW$13),15-13*ORÇAMENTO!$AF$7)/$H445*OFFSET(ORÇAMENTO!$X$15,ROW(AW445)-ROW(AW$15),0),
              ROUND(ROUND(OFFSET($P445,0,AW$13),15-13*ORÇAMENTO!$AF$7)*OFFSET(ORÇAMENTO!$W$15,ROW(AW445)-ROW(AW$15),0),15-13*ORÇAMENTO!$AF$11)),
         0)</f>
        <v>0</v>
      </c>
      <c r="AX445" s="453">
        <f ca="1">IF(AND($D445="Serviço",AX$12&lt;&gt;0,$H445&gt;0,OR(AUTOEVENTO&lt;&gt;"manual",$M445&lt;&gt;$A$15)),
        IF(Import.TipoArredondamento&lt;&gt;"TransfereGOV",
              ROUND(OFFSET($P445,0,AX$13),15-13*ORÇAMENTO!$AF$7)/$H445*OFFSET(ORÇAMENTO!$X$15,ROW(AX445)-ROW(AX$15),0),
              ROUND(ROUND(OFFSET($P445,0,AX$13),15-13*ORÇAMENTO!$AF$7)*OFFSET(ORÇAMENTO!$W$15,ROW(AX445)-ROW(AX$15),0),15-13*ORÇAMENTO!$AF$11)),
         0)</f>
        <v>0</v>
      </c>
      <c r="AY445" s="453">
        <f ca="1">IF(AND($D445="Serviço",AY$12&lt;&gt;0,$H445&gt;0,OR(AUTOEVENTO&lt;&gt;"manual",$M445&lt;&gt;$A$15)),
        IF(Import.TipoArredondamento&lt;&gt;"TransfereGOV",
              ROUND(OFFSET($P445,0,AY$13),15-13*ORÇAMENTO!$AF$7)/$H445*OFFSET(ORÇAMENTO!$X$15,ROW(AY445)-ROW(AY$15),0),
              ROUND(ROUND(OFFSET($P445,0,AY$13),15-13*ORÇAMENTO!$AF$7)*OFFSET(ORÇAMENTO!$W$15,ROW(AY445)-ROW(AY$15),0),15-13*ORÇAMENTO!$AF$11)),
         0)</f>
        <v>0</v>
      </c>
      <c r="AZ445" s="453">
        <f ca="1">IF(AND($D445="Serviço",AZ$12&lt;&gt;0,$H445&gt;0,OR(AUTOEVENTO&lt;&gt;"manual",$M445&lt;&gt;$A$15)),
        IF(Import.TipoArredondamento&lt;&gt;"TransfereGOV",
              ROUND(OFFSET($P445,0,AZ$13),15-13*ORÇAMENTO!$AF$7)/$H445*OFFSET(ORÇAMENTO!$X$15,ROW(AZ445)-ROW(AZ$15),0),
              ROUND(ROUND(OFFSET($P445,0,AZ$13),15-13*ORÇAMENTO!$AF$7)*OFFSET(ORÇAMENTO!$W$15,ROW(AZ445)-ROW(AZ$15),0),15-13*ORÇAMENTO!$AF$11)),
         0)</f>
        <v>0</v>
      </c>
      <c r="BA445" s="453">
        <f ca="1">IF(AND($D445="Serviço",BA$12&lt;&gt;0,$H445&gt;0,OR(AUTOEVENTO&lt;&gt;"manual",$M445&lt;&gt;$A$15)),
        IF(Import.TipoArredondamento&lt;&gt;"TransfereGOV",
              ROUND(OFFSET($P445,0,BA$13),15-13*ORÇAMENTO!$AF$7)/$H445*OFFSET(ORÇAMENTO!$X$15,ROW(BA445)-ROW(BA$15),0),
              ROUND(ROUND(OFFSET($P445,0,BA$13),15-13*ORÇAMENTO!$AF$7)*OFFSET(ORÇAMENTO!$W$15,ROW(BA445)-ROW(BA$15),0),15-13*ORÇAMENTO!$AF$11)),
         0)</f>
        <v>0</v>
      </c>
      <c r="BC445" s="171">
        <f ca="1">IF(OR($D445&lt;&gt;"Serviço",AND(AUTOEVENTO="Manual",$M445=$A$15)),0,
         IF(OFFSET(CRONOPLE!$F$15,$M445-$A$15,BC$13)=0,10^12,OFFSET(CRONOPLE!$F$15,$M445-$A$15,BC$13)))</f>
        <v>1</v>
      </c>
      <c r="BD445" s="171">
        <f ca="1">IF(OR($D445&lt;&gt;"Serviço",AND(AUTOEVENTO="Manual",$M445=$A$15)),0,
         IF(OFFSET(CRONOPLE!$F$15,$M445-$A$15,BD$13)=0,10^12,OFFSET(CRONOPLE!$F$15,$M445-$A$15,BD$13)))</f>
        <v>2</v>
      </c>
      <c r="BE445" s="171">
        <f ca="1">IF(OR($D445&lt;&gt;"Serviço",AND(AUTOEVENTO="Manual",$M445=$A$15)),0,
         IF(OFFSET(CRONOPLE!$F$15,$M445-$A$15,BE$13)=0,10^12,OFFSET(CRONOPLE!$F$15,$M445-$A$15,BE$13)))</f>
        <v>3</v>
      </c>
      <c r="BF445" s="171">
        <f ca="1">IF(OR($D445&lt;&gt;"Serviço",AND(AUTOEVENTO="Manual",$M445=$A$15)),0,
         IF(OFFSET(CRONOPLE!$F$15,$M445-$A$15,BF$13)=0,10^12,OFFSET(CRONOPLE!$F$15,$M445-$A$15,BF$13)))</f>
        <v>4</v>
      </c>
      <c r="BG445" s="171">
        <f ca="1">IF(OR($D445&lt;&gt;"Serviço",AND(AUTOEVENTO="Manual",$M445=$A$15)),0,
         IF(OFFSET(CRONOPLE!$F$15,$M445-$A$15,BG$13)=0,10^12,OFFSET(CRONOPLE!$F$15,$M445-$A$15,BG$13)))</f>
        <v>5</v>
      </c>
      <c r="BH445" s="171">
        <f ca="1">IF(OR($D445&lt;&gt;"Serviço",AND(AUTOEVENTO="Manual",$M445=$A$15)),0,
         IF(OFFSET(CRONOPLE!$F$15,$M445-$A$15,BH$13)=0,10^12,OFFSET(CRONOPLE!$F$15,$M445-$A$15,BH$13)))</f>
        <v>6</v>
      </c>
      <c r="BI445" s="171">
        <f ca="1">IF(OR($D445&lt;&gt;"Serviço",AND(AUTOEVENTO="Manual",$M445=$A$15)),0,
         IF(OFFSET(CRONOPLE!$F$15,$M445-$A$15,BI$13)=0,10^12,OFFSET(CRONOPLE!$F$15,$M445-$A$15,BI$13)))</f>
        <v>7</v>
      </c>
      <c r="BJ445" s="171">
        <f ca="1">IF(OR($D445&lt;&gt;"Serviço",AND(AUTOEVENTO="Manual",$M445=$A$15)),0,
         IF(OFFSET(CRONOPLE!$F$15,$M445-$A$15,BJ$13)=0,10^12,OFFSET(CRONOPLE!$F$15,$M445-$A$15,BJ$13)))</f>
        <v>8</v>
      </c>
      <c r="BK445" s="171">
        <f ca="1">IF(OR($D445&lt;&gt;"Serviço",AND(AUTOEVENTO="Manual",$M445=$A$15)),0,
         IF(OFFSET(CRONOPLE!$F$15,$M445-$A$15,BK$13)=0,10^12,OFFSET(CRONOPLE!$F$15,$M445-$A$15,BK$13)))</f>
        <v>9</v>
      </c>
      <c r="BL445" s="171">
        <f ca="1">IF(OR($D445&lt;&gt;"Serviço",AND(AUTOEVENTO="Manual",$M445=$A$15)),0,
         IF(OFFSET(CRONOPLE!$F$15,$M445-$A$15,BL$13)=0,10^12,OFFSET(CRONOPLE!$F$15,$M445-$A$15,BL$13)))</f>
        <v>1000000000000</v>
      </c>
      <c r="BM445" s="171">
        <f ca="1">IF(OR($D445&lt;&gt;"Serviço",AND(AUTOEVENTO="Manual",$M445=$A$15)),0,
         IF(OFFSET(CRONOPLE!$F$15,$M445-$A$15,BM$13)=0,10^12,OFFSET(CRONOPLE!$F$15,$M445-$A$15,BM$13)))</f>
        <v>1000000000000</v>
      </c>
      <c r="BN445" s="171">
        <f ca="1">IF(OR($D445&lt;&gt;"Serviço",AND(AUTOEVENTO="Manual",$M445=$A$15)),0,
         IF(OFFSET(CRONOPLE!$F$15,$M445-$A$15,BN$13)=0,10^12,OFFSET(CRONOPLE!$F$15,$M445-$A$15,BN$13)))</f>
        <v>1000000000000</v>
      </c>
      <c r="BO445" s="171">
        <f ca="1">IF(OR($D445&lt;&gt;"Serviço",AND(AUTOEVENTO="Manual",$M445=$A$15)),0,
         IF(OFFSET(CRONOPLE!$F$15,$M445-$A$15,BO$13)=0,10^12,OFFSET(CRONOPLE!$F$15,$M445-$A$15,BO$13)))</f>
        <v>1000000000000</v>
      </c>
      <c r="BP445" s="171">
        <f ca="1">IF(OR($D445&lt;&gt;"Serviço",AND(AUTOEVENTO="Manual",$M445=$A$15)),0,
         IF(OFFSET(CRONOPLE!$F$15,$M445-$A$15,BP$13)=0,10^12,OFFSET(CRONOPLE!$F$15,$M445-$A$15,BP$13)))</f>
        <v>1000000000000</v>
      </c>
      <c r="BQ445" s="171">
        <f ca="1">IF(OR($D445&lt;&gt;"Serviço",AND(AUTOEVENTO="Manual",$M445=$A$15)),0,
         IF(OFFSET(CRONOPLE!$F$15,$M445-$A$15,BQ$13)=0,10^12,OFFSET(CRONOPLE!$F$15,$M445-$A$15,BQ$13)))</f>
        <v>1000000000000</v>
      </c>
      <c r="BR445" s="171">
        <f ca="1">IF(OR($D445&lt;&gt;"Serviço",AND(AUTOEVENTO="Manual",$M445=$A$15)),0,
         IF(OFFSET(CRONOPLE!$F$15,$M445-$A$15,BR$13)=0,10^12,OFFSET(CRONOPLE!$F$15,$M445-$A$15,BR$13)))</f>
        <v>1000000000000</v>
      </c>
      <c r="BS445" s="171">
        <f ca="1">IF(OR($D445&lt;&gt;"Serviço",AND(AUTOEVENTO="Manual",$M445=$A$15)),0,
         IF(OFFSET(CRONOPLE!$F$15,$M445-$A$15,BS$13)=0,10^12,OFFSET(CRONOPLE!$F$15,$M445-$A$15,BS$13)))</f>
        <v>1000000000000</v>
      </c>
      <c r="BT445" s="171">
        <f ca="1">IF(OR($D445&lt;&gt;"Serviço",AND(AUTOEVENTO="Manual",$M445=$A$15)),0,
         IF(OFFSET(CRONOPLE!$F$15,$M445-$A$15,BT$13)=0,10^12,OFFSET(CRONOPLE!$F$15,$M445-$A$15,BT$13)))</f>
        <v>1000000000000</v>
      </c>
      <c r="BV445" s="172">
        <f ca="1">IF(OR($D445&lt;&gt;"Serviço",AND(AUTOEVENTO="Manual",$M445=$A$15),$M445&gt;(ROW(PLE.lastrow)-ROW(PLE.firstrow))),0,
           IF(OFFSET(PLE!$G$15,$M445-$A$15,BV$13)="",10^12,OFFSET(PLE!$G$15,$M445-$A$15,BV$13)))</f>
        <v>1000000000000</v>
      </c>
      <c r="BW445" s="172">
        <f ca="1">IF(OR($D445&lt;&gt;"Serviço",AND(AUTOEVENTO="Manual",$M445=$A$15),$M445&gt;(ROW(PLE.lastrow)-ROW(PLE.firstrow))),0,
           IF(OFFSET(PLE!$G$15,$M445-$A$15,BW$13)="",10^12,OFFSET(PLE!$G$15,$M445-$A$15,BW$13)))</f>
        <v>1000000000000</v>
      </c>
      <c r="BX445" s="172">
        <f ca="1">IF(OR($D445&lt;&gt;"Serviço",AND(AUTOEVENTO="Manual",$M445=$A$15),$M445&gt;(ROW(PLE.lastrow)-ROW(PLE.firstrow))),0,
           IF(OFFSET(PLE!$G$15,$M445-$A$15,BX$13)="",10^12,OFFSET(PLE!$G$15,$M445-$A$15,BX$13)))</f>
        <v>1000000000000</v>
      </c>
      <c r="BY445" s="172">
        <f ca="1">IF(OR($D445&lt;&gt;"Serviço",AND(AUTOEVENTO="Manual",$M445=$A$15),$M445&gt;(ROW(PLE.lastrow)-ROW(PLE.firstrow))),0,
           IF(OFFSET(PLE!$G$15,$M445-$A$15,BY$13)="",10^12,OFFSET(PLE!$G$15,$M445-$A$15,BY$13)))</f>
        <v>1000000000000</v>
      </c>
      <c r="BZ445" s="172">
        <f ca="1">IF(OR($D445&lt;&gt;"Serviço",AND(AUTOEVENTO="Manual",$M445=$A$15),$M445&gt;(ROW(PLE.lastrow)-ROW(PLE.firstrow))),0,
           IF(OFFSET(PLE!$G$15,$M445-$A$15,BZ$13)="",10^12,OFFSET(PLE!$G$15,$M445-$A$15,BZ$13)))</f>
        <v>1000000000000</v>
      </c>
      <c r="CA445" s="172">
        <f ca="1">IF(OR($D445&lt;&gt;"Serviço",AND(AUTOEVENTO="Manual",$M445=$A$15),$M445&gt;(ROW(PLE.lastrow)-ROW(PLE.firstrow))),0,
           IF(OFFSET(PLE!$G$15,$M445-$A$15,CA$13)="",10^12,OFFSET(PLE!$G$15,$M445-$A$15,CA$13)))</f>
        <v>1000000000000</v>
      </c>
      <c r="CB445" s="172">
        <f ca="1">IF(OR($D445&lt;&gt;"Serviço",AND(AUTOEVENTO="Manual",$M445=$A$15),$M445&gt;(ROW(PLE.lastrow)-ROW(PLE.firstrow))),0,
           IF(OFFSET(PLE!$G$15,$M445-$A$15,CB$13)="",10^12,OFFSET(PLE!$G$15,$M445-$A$15,CB$13)))</f>
        <v>1000000000000</v>
      </c>
      <c r="CC445" s="172">
        <f ca="1">IF(OR($D445&lt;&gt;"Serviço",AND(AUTOEVENTO="Manual",$M445=$A$15),$M445&gt;(ROW(PLE.lastrow)-ROW(PLE.firstrow))),0,
           IF(OFFSET(PLE!$G$15,$M445-$A$15,CC$13)="",10^12,OFFSET(PLE!$G$15,$M445-$A$15,CC$13)))</f>
        <v>1000000000000</v>
      </c>
      <c r="CD445" s="172">
        <f ca="1">IF(OR($D445&lt;&gt;"Serviço",AND(AUTOEVENTO="Manual",$M445=$A$15),$M445&gt;(ROW(PLE.lastrow)-ROW(PLE.firstrow))),0,
           IF(OFFSET(PLE!$G$15,$M445-$A$15,CD$13)="",10^12,OFFSET(PLE!$G$15,$M445-$A$15,CD$13)))</f>
        <v>1000000000000</v>
      </c>
      <c r="CE445" s="172">
        <f ca="1">IF(OR($D445&lt;&gt;"Serviço",AND(AUTOEVENTO="Manual",$M445=$A$15),$M445&gt;(ROW(PLE.lastrow)-ROW(PLE.firstrow))),0,
           IF(OFFSET(PLE!$G$15,$M445-$A$15,CE$13)="",10^12,OFFSET(PLE!$G$15,$M445-$A$15,CE$13)))</f>
        <v>1000000000000</v>
      </c>
      <c r="CF445" s="172">
        <f ca="1">IF(OR($D445&lt;&gt;"Serviço",AND(AUTOEVENTO="Manual",$M445=$A$15),$M445&gt;(ROW(PLE.lastrow)-ROW(PLE.firstrow))),0,
           IF(OFFSET(PLE!$G$15,$M445-$A$15,CF$13)="",10^12,OFFSET(PLE!$G$15,$M445-$A$15,CF$13)))</f>
        <v>1000000000000</v>
      </c>
      <c r="CG445" s="172">
        <f ca="1">IF(OR($D445&lt;&gt;"Serviço",AND(AUTOEVENTO="Manual",$M445=$A$15),$M445&gt;(ROW(PLE.lastrow)-ROW(PLE.firstrow))),0,
           IF(OFFSET(PLE!$G$15,$M445-$A$15,CG$13)="",10^12,OFFSET(PLE!$G$15,$M445-$A$15,CG$13)))</f>
        <v>1000000000000</v>
      </c>
      <c r="CH445" s="172">
        <f ca="1">IF(OR($D445&lt;&gt;"Serviço",AND(AUTOEVENTO="Manual",$M445=$A$15),$M445&gt;(ROW(PLE.lastrow)-ROW(PLE.firstrow))),0,
           IF(OFFSET(PLE!$G$15,$M445-$A$15,CH$13)="",10^12,OFFSET(PLE!$G$15,$M445-$A$15,CH$13)))</f>
        <v>1000000000000</v>
      </c>
      <c r="CI445" s="172">
        <f ca="1">IF(OR($D445&lt;&gt;"Serviço",AND(AUTOEVENTO="Manual",$M445=$A$15),$M445&gt;(ROW(PLE.lastrow)-ROW(PLE.firstrow))),0,
           IF(OFFSET(PLE!$G$15,$M445-$A$15,CI$13)="",10^12,OFFSET(PLE!$G$15,$M445-$A$15,CI$13)))</f>
        <v>1000000000000</v>
      </c>
      <c r="CJ445" s="172">
        <f ca="1">IF(OR($D445&lt;&gt;"Serviço",AND(AUTOEVENTO="Manual",$M445=$A$15),$M445&gt;(ROW(PLE.lastrow)-ROW(PLE.firstrow))),0,
           IF(OFFSET(PLE!$G$15,$M445-$A$15,CJ$13)="",10^12,OFFSET(PLE!$G$15,$M445-$A$15,CJ$13)))</f>
        <v>1000000000000</v>
      </c>
      <c r="CK445" s="172">
        <f ca="1">IF(OR($D445&lt;&gt;"Serviço",AND(AUTOEVENTO="Manual",$M445=$A$15),$M445&gt;(ROW(PLE.lastrow)-ROW(PLE.firstrow))),0,
           IF(OFFSET(PLE!$G$15,$M445-$A$15,CK$13)="",10^12,OFFSET(PLE!$G$15,$M445-$A$15,CK$13)))</f>
        <v>1000000000000</v>
      </c>
      <c r="CL445" s="172">
        <f ca="1">IF(OR($D445&lt;&gt;"Serviço",AND(AUTOEVENTO="Manual",$M445=$A$15),$M445&gt;(ROW(PLE.lastrow)-ROW(PLE.firstrow))),0,
           IF(OFFSET(PLE!$G$15,$M445-$A$15,CL$13)="",10^12,OFFSET(PLE!$G$15,$M445-$A$15,CL$13)))</f>
        <v>1000000000000</v>
      </c>
      <c r="CM445" s="172">
        <f ca="1">IF(OR($D445&lt;&gt;"Serviço",AND(AUTOEVENTO="Manual",$M445=$A$15),$M445&gt;(ROW(PLE.lastrow)-ROW(PLE.firstrow))),0,
           IF(OFFSET(PLE!$G$15,$M445-$A$15,CM$13)="",10^12,OFFSET(PLE!$G$15,$M445-$A$15,CM$13)))</f>
        <v>1000000000000</v>
      </c>
    </row>
    <row r="446" spans="1:91" ht="38.25" x14ac:dyDescent="0.2">
      <c r="A446" s="7">
        <f t="shared" ca="1" si="16"/>
        <v>8</v>
      </c>
      <c r="B446" s="7" t="str">
        <f ca="1">OFFSET(ORÇAMENTO!C$15,ROW(B446)-ROW(B$15),0)</f>
        <v>S</v>
      </c>
      <c r="C446" s="7" t="str">
        <f ca="1">OFFSET(ORÇAMENTO!L$15,ROW(C446)-ROW(C$15),0)</f>
        <v>F</v>
      </c>
      <c r="D446" s="116" t="str">
        <f ca="1">OFFSET(ORÇAMENTO!N$15,ROW(D446)-ROW(D$15),0)</f>
        <v>Serviço</v>
      </c>
      <c r="E446" s="117" t="str">
        <f ca="1">OFFSET(ORÇAMENTO!O$15,ROW(E446)-ROW(E$15),0)</f>
        <v>1.9.1.0.4.</v>
      </c>
      <c r="F446" s="163" t="str">
        <f ca="1">OFFSET(ORÇAMENTO!R$15,ROW(F446)-ROW(F$15),0)</f>
        <v>CONDULETE DE ALUMÍNIO, TIPO "T", DIÂMETRO DE SAÍDA 1.1/2" (40MM), EXCLUSIVE MÓDULO E PLACA, INCLUSIVE FIXAÇÃO</v>
      </c>
      <c r="G446" s="164" t="str">
        <f ca="1">IF($D446&lt;&gt;"Serviço","",OFFSET(ORÇAMENTO!S$15,ROW(G446)-ROW(G$15),0))</f>
        <v>UN</v>
      </c>
      <c r="H446" s="122" cm="1">
        <f t="array" aca="1" ref="H446" ca="1">IF($D446&lt;&gt;"Serviço",0,IF(ACOMPANHAMENTO="BM",ROUND(OFFSET(ORÇAMENTO!AJ$15,ROW(H446)-ROW(H$15),0),15-13*ORÇAMENTO!$AF$7),SUMPRODUCT(($Q$1:$AI$1=1)*ROUND($Q446:$AI446,15-13*ORÇAMENTO!$AF$7))))</f>
        <v>1</v>
      </c>
      <c r="I446" s="468" t="s">
        <v>1432</v>
      </c>
      <c r="J446" s="640" t="str" cm="1">
        <f t="array" aca="1" ref="J446" ca="1">IF(OR(B446&lt;&gt;"S",CÁLCULO.FrentesPreenchidas=0),"",IF(AND(ACOMPANHAMENTO="PLE",AUTOEVENTO="Manual",OR(H446&gt;0,ORÇAMENTO!AC446="QUANT."),OR(K446="",M446=0,N446="")),"►E",IF(AND(ACOMPANHAMENTO="PLE",ORÇAMENTO!AC446="QUANT."),"►Q",IF(AND(ACOMPANHAMENTO="PLE",H446&lt;&gt;SUMPRODUCT(($Q$1:$AI$1=1)*ROUND(Q446:AI446,15))),"►S",IF(AND(COUNTIF($P$11:$AI$11,"▼")=0,H446&gt;0,I446=""),"◄M","")))))</f>
        <v/>
      </c>
      <c r="K446" s="641" t="s">
        <v>1392</v>
      </c>
      <c r="L446" s="165" t="s">
        <v>764</v>
      </c>
      <c r="M446" s="166">
        <f ca="1">IF($D446&lt;&gt;"Serviço","",
          IF(AUTOEVENTO="manual",$A446,
                IF(ISERROR(MATCH($A446,$A$15:OFFSET($A446,-1,0),0)),MAX($M$15:OFFSET(M446,-1,0))+1,
                      INDEX($M$15:OFFSET(M446,-1,0),MATCH($A446,$A$15:OFFSET($A446,-1,0),0)))))</f>
        <v>8</v>
      </c>
      <c r="N446" s="167" t="str">
        <f ca="1">IF($D446&lt;&gt;"Serviço","",
         IF(AUTOEVENTO="Manual",
                IF($A446=0,"&lt;-- defina o número do agrupador",
                       OFFSET(EVENTOS!$D$15,$A446-$A$15,0)),
                OFFSET($F$15,$A446,0)))</f>
        <v>CFTV</v>
      </c>
      <c r="O446" s="168"/>
      <c r="Q446" s="168"/>
      <c r="R446" s="169"/>
      <c r="S446" s="169"/>
      <c r="T446" s="169"/>
      <c r="U446" s="169"/>
      <c r="V446" s="169"/>
      <c r="W446" s="169"/>
      <c r="X446" s="169"/>
      <c r="Y446" s="169">
        <v>1</v>
      </c>
      <c r="Z446" s="170"/>
      <c r="AA446" s="169"/>
      <c r="AB446" s="169"/>
      <c r="AC446" s="169"/>
      <c r="AD446" s="169"/>
      <c r="AE446" s="169"/>
      <c r="AF446" s="169"/>
      <c r="AG446" s="169"/>
      <c r="AH446" s="170"/>
      <c r="AJ446" s="453">
        <f ca="1">IF(AND($D446="Serviço",AJ$12&lt;&gt;0,$H446&gt;0,OR(AUTOEVENTO&lt;&gt;"manual",$M446&lt;&gt;$A$15)),
        IF(Import.TipoArredondamento&lt;&gt;"TransfereGOV",
              ROUND(OFFSET($P446,0,AJ$13),15-13*ORÇAMENTO!$AF$7)/$H446*OFFSET(ORÇAMENTO!$X$15,ROW(AJ446)-ROW(AJ$15),0),
              ROUND(ROUND(OFFSET($P446,0,AJ$13),15-13*ORÇAMENTO!$AF$7)*OFFSET(ORÇAMENTO!$W$15,ROW(AJ446)-ROW(AJ$15),0),15-13*ORÇAMENTO!$AF$11)),
         0)</f>
        <v>0</v>
      </c>
      <c r="AK446" s="453">
        <f ca="1">IF(AND($D446="Serviço",AK$12&lt;&gt;0,$H446&gt;0,OR(AUTOEVENTO&lt;&gt;"manual",$M446&lt;&gt;$A$15)),
        IF(Import.TipoArredondamento&lt;&gt;"TransfereGOV",
              ROUND(OFFSET($P446,0,AK$13),15-13*ORÇAMENTO!$AF$7)/$H446*OFFSET(ORÇAMENTO!$X$15,ROW(AK446)-ROW(AK$15),0),
              ROUND(ROUND(OFFSET($P446,0,AK$13),15-13*ORÇAMENTO!$AF$7)*OFFSET(ORÇAMENTO!$W$15,ROW(AK446)-ROW(AK$15),0),15-13*ORÇAMENTO!$AF$11)),
         0)</f>
        <v>0</v>
      </c>
      <c r="AL446" s="453">
        <f ca="1">IF(AND($D446="Serviço",AL$12&lt;&gt;0,$H446&gt;0,OR(AUTOEVENTO&lt;&gt;"manual",$M446&lt;&gt;$A$15)),
        IF(Import.TipoArredondamento&lt;&gt;"TransfereGOV",
              ROUND(OFFSET($P446,0,AL$13),15-13*ORÇAMENTO!$AF$7)/$H446*OFFSET(ORÇAMENTO!$X$15,ROW(AL446)-ROW(AL$15),0),
              ROUND(ROUND(OFFSET($P446,0,AL$13),15-13*ORÇAMENTO!$AF$7)*OFFSET(ORÇAMENTO!$W$15,ROW(AL446)-ROW(AL$15),0),15-13*ORÇAMENTO!$AF$11)),
         0)</f>
        <v>0</v>
      </c>
      <c r="AM446" s="453">
        <f ca="1">IF(AND($D446="Serviço",AM$12&lt;&gt;0,$H446&gt;0,OR(AUTOEVENTO&lt;&gt;"manual",$M446&lt;&gt;$A$15)),
        IF(Import.TipoArredondamento&lt;&gt;"TransfereGOV",
              ROUND(OFFSET($P446,0,AM$13),15-13*ORÇAMENTO!$AF$7)/$H446*OFFSET(ORÇAMENTO!$X$15,ROW(AM446)-ROW(AM$15),0),
              ROUND(ROUND(OFFSET($P446,0,AM$13),15-13*ORÇAMENTO!$AF$7)*OFFSET(ORÇAMENTO!$W$15,ROW(AM446)-ROW(AM$15),0),15-13*ORÇAMENTO!$AF$11)),
         0)</f>
        <v>0</v>
      </c>
      <c r="AN446" s="453">
        <f ca="1">IF(AND($D446="Serviço",AN$12&lt;&gt;0,$H446&gt;0,OR(AUTOEVENTO&lt;&gt;"manual",$M446&lt;&gt;$A$15)),
        IF(Import.TipoArredondamento&lt;&gt;"TransfereGOV",
              ROUND(OFFSET($P446,0,AN$13),15-13*ORÇAMENTO!$AF$7)/$H446*OFFSET(ORÇAMENTO!$X$15,ROW(AN446)-ROW(AN$15),0),
              ROUND(ROUND(OFFSET($P446,0,AN$13),15-13*ORÇAMENTO!$AF$7)*OFFSET(ORÇAMENTO!$W$15,ROW(AN446)-ROW(AN$15),0),15-13*ORÇAMENTO!$AF$11)),
         0)</f>
        <v>0</v>
      </c>
      <c r="AO446" s="453">
        <f ca="1">IF(AND($D446="Serviço",AO$12&lt;&gt;0,$H446&gt;0,OR(AUTOEVENTO&lt;&gt;"manual",$M446&lt;&gt;$A$15)),
        IF(Import.TipoArredondamento&lt;&gt;"TransfereGOV",
              ROUND(OFFSET($P446,0,AO$13),15-13*ORÇAMENTO!$AF$7)/$H446*OFFSET(ORÇAMENTO!$X$15,ROW(AO446)-ROW(AO$15),0),
              ROUND(ROUND(OFFSET($P446,0,AO$13),15-13*ORÇAMENTO!$AF$7)*OFFSET(ORÇAMENTO!$W$15,ROW(AO446)-ROW(AO$15),0),15-13*ORÇAMENTO!$AF$11)),
         0)</f>
        <v>0</v>
      </c>
      <c r="AP446" s="453">
        <f ca="1">IF(AND($D446="Serviço",AP$12&lt;&gt;0,$H446&gt;0,OR(AUTOEVENTO&lt;&gt;"manual",$M446&lt;&gt;$A$15)),
        IF(Import.TipoArredondamento&lt;&gt;"TransfereGOV",
              ROUND(OFFSET($P446,0,AP$13),15-13*ORÇAMENTO!$AF$7)/$H446*OFFSET(ORÇAMENTO!$X$15,ROW(AP446)-ROW(AP$15),0),
              ROUND(ROUND(OFFSET($P446,0,AP$13),15-13*ORÇAMENTO!$AF$7)*OFFSET(ORÇAMENTO!$W$15,ROW(AP446)-ROW(AP$15),0),15-13*ORÇAMENTO!$AF$11)),
         0)</f>
        <v>0</v>
      </c>
      <c r="AQ446" s="453">
        <f ca="1">IF(AND($D446="Serviço",AQ$12&lt;&gt;0,$H446&gt;0,OR(AUTOEVENTO&lt;&gt;"manual",$M446&lt;&gt;$A$15)),
        IF(Import.TipoArredondamento&lt;&gt;"TransfereGOV",
              ROUND(OFFSET($P446,0,AQ$13),15-13*ORÇAMENTO!$AF$7)/$H446*OFFSET(ORÇAMENTO!$X$15,ROW(AQ446)-ROW(AQ$15),0),
              ROUND(ROUND(OFFSET($P446,0,AQ$13),15-13*ORÇAMENTO!$AF$7)*OFFSET(ORÇAMENTO!$W$15,ROW(AQ446)-ROW(AQ$15),0),15-13*ORÇAMENTO!$AF$11)),
         0)</f>
        <v>0</v>
      </c>
      <c r="AR446" s="453">
        <f ca="1">IF(AND($D446="Serviço",AR$12&lt;&gt;0,$H446&gt;0,OR(AUTOEVENTO&lt;&gt;"manual",$M446&lt;&gt;$A$15)),
        IF(Import.TipoArredondamento&lt;&gt;"TransfereGOV",
              ROUND(OFFSET($P446,0,AR$13),15-13*ORÇAMENTO!$AF$7)/$H446*OFFSET(ORÇAMENTO!$X$15,ROW(AR446)-ROW(AR$15),0),
              ROUND(ROUND(OFFSET($P446,0,AR$13),15-13*ORÇAMENTO!$AF$7)*OFFSET(ORÇAMENTO!$W$15,ROW(AR446)-ROW(AR$15),0),15-13*ORÇAMENTO!$AF$11)),
         0)</f>
        <v>0</v>
      </c>
      <c r="AS446" s="453">
        <f ca="1">IF(AND($D446="Serviço",AS$12&lt;&gt;0,$H446&gt;0,OR(AUTOEVENTO&lt;&gt;"manual",$M446&lt;&gt;$A$15)),
        IF(Import.TipoArredondamento&lt;&gt;"TransfereGOV",
              ROUND(OFFSET($P446,0,AS$13),15-13*ORÇAMENTO!$AF$7)/$H446*OFFSET(ORÇAMENTO!$X$15,ROW(AS446)-ROW(AS$15),0),
              ROUND(ROUND(OFFSET($P446,0,AS$13),15-13*ORÇAMENTO!$AF$7)*OFFSET(ORÇAMENTO!$W$15,ROW(AS446)-ROW(AS$15),0),15-13*ORÇAMENTO!$AF$11)),
         0)</f>
        <v>0</v>
      </c>
      <c r="AT446" s="453">
        <f ca="1">IF(AND($D446="Serviço",AT$12&lt;&gt;0,$H446&gt;0,OR(AUTOEVENTO&lt;&gt;"manual",$M446&lt;&gt;$A$15)),
        IF(Import.TipoArredondamento&lt;&gt;"TransfereGOV",
              ROUND(OFFSET($P446,0,AT$13),15-13*ORÇAMENTO!$AF$7)/$H446*OFFSET(ORÇAMENTO!$X$15,ROW(AT446)-ROW(AT$15),0),
              ROUND(ROUND(OFFSET($P446,0,AT$13),15-13*ORÇAMENTO!$AF$7)*OFFSET(ORÇAMENTO!$W$15,ROW(AT446)-ROW(AT$15),0),15-13*ORÇAMENTO!$AF$11)),
         0)</f>
        <v>0</v>
      </c>
      <c r="AU446" s="453">
        <f ca="1">IF(AND($D446="Serviço",AU$12&lt;&gt;0,$H446&gt;0,OR(AUTOEVENTO&lt;&gt;"manual",$M446&lt;&gt;$A$15)),
        IF(Import.TipoArredondamento&lt;&gt;"TransfereGOV",
              ROUND(OFFSET($P446,0,AU$13),15-13*ORÇAMENTO!$AF$7)/$H446*OFFSET(ORÇAMENTO!$X$15,ROW(AU446)-ROW(AU$15),0),
              ROUND(ROUND(OFFSET($P446,0,AU$13),15-13*ORÇAMENTO!$AF$7)*OFFSET(ORÇAMENTO!$W$15,ROW(AU446)-ROW(AU$15),0),15-13*ORÇAMENTO!$AF$11)),
         0)</f>
        <v>0</v>
      </c>
      <c r="AV446" s="453">
        <f ca="1">IF(AND($D446="Serviço",AV$12&lt;&gt;0,$H446&gt;0,OR(AUTOEVENTO&lt;&gt;"manual",$M446&lt;&gt;$A$15)),
        IF(Import.TipoArredondamento&lt;&gt;"TransfereGOV",
              ROUND(OFFSET($P446,0,AV$13),15-13*ORÇAMENTO!$AF$7)/$H446*OFFSET(ORÇAMENTO!$X$15,ROW(AV446)-ROW(AV$15),0),
              ROUND(ROUND(OFFSET($P446,0,AV$13),15-13*ORÇAMENTO!$AF$7)*OFFSET(ORÇAMENTO!$W$15,ROW(AV446)-ROW(AV$15),0),15-13*ORÇAMENTO!$AF$11)),
         0)</f>
        <v>0</v>
      </c>
      <c r="AW446" s="453">
        <f ca="1">IF(AND($D446="Serviço",AW$12&lt;&gt;0,$H446&gt;0,OR(AUTOEVENTO&lt;&gt;"manual",$M446&lt;&gt;$A$15)),
        IF(Import.TipoArredondamento&lt;&gt;"TransfereGOV",
              ROUND(OFFSET($P446,0,AW$13),15-13*ORÇAMENTO!$AF$7)/$H446*OFFSET(ORÇAMENTO!$X$15,ROW(AW446)-ROW(AW$15),0),
              ROUND(ROUND(OFFSET($P446,0,AW$13),15-13*ORÇAMENTO!$AF$7)*OFFSET(ORÇAMENTO!$W$15,ROW(AW446)-ROW(AW$15),0),15-13*ORÇAMENTO!$AF$11)),
         0)</f>
        <v>0</v>
      </c>
      <c r="AX446" s="453">
        <f ca="1">IF(AND($D446="Serviço",AX$12&lt;&gt;0,$H446&gt;0,OR(AUTOEVENTO&lt;&gt;"manual",$M446&lt;&gt;$A$15)),
        IF(Import.TipoArredondamento&lt;&gt;"TransfereGOV",
              ROUND(OFFSET($P446,0,AX$13),15-13*ORÇAMENTO!$AF$7)/$H446*OFFSET(ORÇAMENTO!$X$15,ROW(AX446)-ROW(AX$15),0),
              ROUND(ROUND(OFFSET($P446,0,AX$13),15-13*ORÇAMENTO!$AF$7)*OFFSET(ORÇAMENTO!$W$15,ROW(AX446)-ROW(AX$15),0),15-13*ORÇAMENTO!$AF$11)),
         0)</f>
        <v>0</v>
      </c>
      <c r="AY446" s="453">
        <f ca="1">IF(AND($D446="Serviço",AY$12&lt;&gt;0,$H446&gt;0,OR(AUTOEVENTO&lt;&gt;"manual",$M446&lt;&gt;$A$15)),
        IF(Import.TipoArredondamento&lt;&gt;"TransfereGOV",
              ROUND(OFFSET($P446,0,AY$13),15-13*ORÇAMENTO!$AF$7)/$H446*OFFSET(ORÇAMENTO!$X$15,ROW(AY446)-ROW(AY$15),0),
              ROUND(ROUND(OFFSET($P446,0,AY$13),15-13*ORÇAMENTO!$AF$7)*OFFSET(ORÇAMENTO!$W$15,ROW(AY446)-ROW(AY$15),0),15-13*ORÇAMENTO!$AF$11)),
         0)</f>
        <v>0</v>
      </c>
      <c r="AZ446" s="453">
        <f ca="1">IF(AND($D446="Serviço",AZ$12&lt;&gt;0,$H446&gt;0,OR(AUTOEVENTO&lt;&gt;"manual",$M446&lt;&gt;$A$15)),
        IF(Import.TipoArredondamento&lt;&gt;"TransfereGOV",
              ROUND(OFFSET($P446,0,AZ$13),15-13*ORÇAMENTO!$AF$7)/$H446*OFFSET(ORÇAMENTO!$X$15,ROW(AZ446)-ROW(AZ$15),0),
              ROUND(ROUND(OFFSET($P446,0,AZ$13),15-13*ORÇAMENTO!$AF$7)*OFFSET(ORÇAMENTO!$W$15,ROW(AZ446)-ROW(AZ$15),0),15-13*ORÇAMENTO!$AF$11)),
         0)</f>
        <v>0</v>
      </c>
      <c r="BA446" s="453">
        <f ca="1">IF(AND($D446="Serviço",BA$12&lt;&gt;0,$H446&gt;0,OR(AUTOEVENTO&lt;&gt;"manual",$M446&lt;&gt;$A$15)),
        IF(Import.TipoArredondamento&lt;&gt;"TransfereGOV",
              ROUND(OFFSET($P446,0,BA$13),15-13*ORÇAMENTO!$AF$7)/$H446*OFFSET(ORÇAMENTO!$X$15,ROW(BA446)-ROW(BA$15),0),
              ROUND(ROUND(OFFSET($P446,0,BA$13),15-13*ORÇAMENTO!$AF$7)*OFFSET(ORÇAMENTO!$W$15,ROW(BA446)-ROW(BA$15),0),15-13*ORÇAMENTO!$AF$11)),
         0)</f>
        <v>0</v>
      </c>
      <c r="BC446" s="171">
        <f ca="1">IF(OR($D446&lt;&gt;"Serviço",AND(AUTOEVENTO="Manual",$M446=$A$15)),0,
         IF(OFFSET(CRONOPLE!$F$15,$M446-$A$15,BC$13)=0,10^12,OFFSET(CRONOPLE!$F$15,$M446-$A$15,BC$13)))</f>
        <v>1</v>
      </c>
      <c r="BD446" s="171">
        <f ca="1">IF(OR($D446&lt;&gt;"Serviço",AND(AUTOEVENTO="Manual",$M446=$A$15)),0,
         IF(OFFSET(CRONOPLE!$F$15,$M446-$A$15,BD$13)=0,10^12,OFFSET(CRONOPLE!$F$15,$M446-$A$15,BD$13)))</f>
        <v>2</v>
      </c>
      <c r="BE446" s="171">
        <f ca="1">IF(OR($D446&lt;&gt;"Serviço",AND(AUTOEVENTO="Manual",$M446=$A$15)),0,
         IF(OFFSET(CRONOPLE!$F$15,$M446-$A$15,BE$13)=0,10^12,OFFSET(CRONOPLE!$F$15,$M446-$A$15,BE$13)))</f>
        <v>3</v>
      </c>
      <c r="BF446" s="171">
        <f ca="1">IF(OR($D446&lt;&gt;"Serviço",AND(AUTOEVENTO="Manual",$M446=$A$15)),0,
         IF(OFFSET(CRONOPLE!$F$15,$M446-$A$15,BF$13)=0,10^12,OFFSET(CRONOPLE!$F$15,$M446-$A$15,BF$13)))</f>
        <v>4</v>
      </c>
      <c r="BG446" s="171">
        <f ca="1">IF(OR($D446&lt;&gt;"Serviço",AND(AUTOEVENTO="Manual",$M446=$A$15)),0,
         IF(OFFSET(CRONOPLE!$F$15,$M446-$A$15,BG$13)=0,10^12,OFFSET(CRONOPLE!$F$15,$M446-$A$15,BG$13)))</f>
        <v>5</v>
      </c>
      <c r="BH446" s="171">
        <f ca="1">IF(OR($D446&lt;&gt;"Serviço",AND(AUTOEVENTO="Manual",$M446=$A$15)),0,
         IF(OFFSET(CRONOPLE!$F$15,$M446-$A$15,BH$13)=0,10^12,OFFSET(CRONOPLE!$F$15,$M446-$A$15,BH$13)))</f>
        <v>6</v>
      </c>
      <c r="BI446" s="171">
        <f ca="1">IF(OR($D446&lt;&gt;"Serviço",AND(AUTOEVENTO="Manual",$M446=$A$15)),0,
         IF(OFFSET(CRONOPLE!$F$15,$M446-$A$15,BI$13)=0,10^12,OFFSET(CRONOPLE!$F$15,$M446-$A$15,BI$13)))</f>
        <v>7</v>
      </c>
      <c r="BJ446" s="171">
        <f ca="1">IF(OR($D446&lt;&gt;"Serviço",AND(AUTOEVENTO="Manual",$M446=$A$15)),0,
         IF(OFFSET(CRONOPLE!$F$15,$M446-$A$15,BJ$13)=0,10^12,OFFSET(CRONOPLE!$F$15,$M446-$A$15,BJ$13)))</f>
        <v>8</v>
      </c>
      <c r="BK446" s="171">
        <f ca="1">IF(OR($D446&lt;&gt;"Serviço",AND(AUTOEVENTO="Manual",$M446=$A$15)),0,
         IF(OFFSET(CRONOPLE!$F$15,$M446-$A$15,BK$13)=0,10^12,OFFSET(CRONOPLE!$F$15,$M446-$A$15,BK$13)))</f>
        <v>9</v>
      </c>
      <c r="BL446" s="171">
        <f ca="1">IF(OR($D446&lt;&gt;"Serviço",AND(AUTOEVENTO="Manual",$M446=$A$15)),0,
         IF(OFFSET(CRONOPLE!$F$15,$M446-$A$15,BL$13)=0,10^12,OFFSET(CRONOPLE!$F$15,$M446-$A$15,BL$13)))</f>
        <v>1000000000000</v>
      </c>
      <c r="BM446" s="171">
        <f ca="1">IF(OR($D446&lt;&gt;"Serviço",AND(AUTOEVENTO="Manual",$M446=$A$15)),0,
         IF(OFFSET(CRONOPLE!$F$15,$M446-$A$15,BM$13)=0,10^12,OFFSET(CRONOPLE!$F$15,$M446-$A$15,BM$13)))</f>
        <v>1000000000000</v>
      </c>
      <c r="BN446" s="171">
        <f ca="1">IF(OR($D446&lt;&gt;"Serviço",AND(AUTOEVENTO="Manual",$M446=$A$15)),0,
         IF(OFFSET(CRONOPLE!$F$15,$M446-$A$15,BN$13)=0,10^12,OFFSET(CRONOPLE!$F$15,$M446-$A$15,BN$13)))</f>
        <v>1000000000000</v>
      </c>
      <c r="BO446" s="171">
        <f ca="1">IF(OR($D446&lt;&gt;"Serviço",AND(AUTOEVENTO="Manual",$M446=$A$15)),0,
         IF(OFFSET(CRONOPLE!$F$15,$M446-$A$15,BO$13)=0,10^12,OFFSET(CRONOPLE!$F$15,$M446-$A$15,BO$13)))</f>
        <v>1000000000000</v>
      </c>
      <c r="BP446" s="171">
        <f ca="1">IF(OR($D446&lt;&gt;"Serviço",AND(AUTOEVENTO="Manual",$M446=$A$15)),0,
         IF(OFFSET(CRONOPLE!$F$15,$M446-$A$15,BP$13)=0,10^12,OFFSET(CRONOPLE!$F$15,$M446-$A$15,BP$13)))</f>
        <v>1000000000000</v>
      </c>
      <c r="BQ446" s="171">
        <f ca="1">IF(OR($D446&lt;&gt;"Serviço",AND(AUTOEVENTO="Manual",$M446=$A$15)),0,
         IF(OFFSET(CRONOPLE!$F$15,$M446-$A$15,BQ$13)=0,10^12,OFFSET(CRONOPLE!$F$15,$M446-$A$15,BQ$13)))</f>
        <v>1000000000000</v>
      </c>
      <c r="BR446" s="171">
        <f ca="1">IF(OR($D446&lt;&gt;"Serviço",AND(AUTOEVENTO="Manual",$M446=$A$15)),0,
         IF(OFFSET(CRONOPLE!$F$15,$M446-$A$15,BR$13)=0,10^12,OFFSET(CRONOPLE!$F$15,$M446-$A$15,BR$13)))</f>
        <v>1000000000000</v>
      </c>
      <c r="BS446" s="171">
        <f ca="1">IF(OR($D446&lt;&gt;"Serviço",AND(AUTOEVENTO="Manual",$M446=$A$15)),0,
         IF(OFFSET(CRONOPLE!$F$15,$M446-$A$15,BS$13)=0,10^12,OFFSET(CRONOPLE!$F$15,$M446-$A$15,BS$13)))</f>
        <v>1000000000000</v>
      </c>
      <c r="BT446" s="171">
        <f ca="1">IF(OR($D446&lt;&gt;"Serviço",AND(AUTOEVENTO="Manual",$M446=$A$15)),0,
         IF(OFFSET(CRONOPLE!$F$15,$M446-$A$15,BT$13)=0,10^12,OFFSET(CRONOPLE!$F$15,$M446-$A$15,BT$13)))</f>
        <v>1000000000000</v>
      </c>
      <c r="BV446" s="172">
        <f ca="1">IF(OR($D446&lt;&gt;"Serviço",AND(AUTOEVENTO="Manual",$M446=$A$15),$M446&gt;(ROW(PLE.lastrow)-ROW(PLE.firstrow))),0,
           IF(OFFSET(PLE!$G$15,$M446-$A$15,BV$13)="",10^12,OFFSET(PLE!$G$15,$M446-$A$15,BV$13)))</f>
        <v>1000000000000</v>
      </c>
      <c r="BW446" s="172">
        <f ca="1">IF(OR($D446&lt;&gt;"Serviço",AND(AUTOEVENTO="Manual",$M446=$A$15),$M446&gt;(ROW(PLE.lastrow)-ROW(PLE.firstrow))),0,
           IF(OFFSET(PLE!$G$15,$M446-$A$15,BW$13)="",10^12,OFFSET(PLE!$G$15,$M446-$A$15,BW$13)))</f>
        <v>1000000000000</v>
      </c>
      <c r="BX446" s="172">
        <f ca="1">IF(OR($D446&lt;&gt;"Serviço",AND(AUTOEVENTO="Manual",$M446=$A$15),$M446&gt;(ROW(PLE.lastrow)-ROW(PLE.firstrow))),0,
           IF(OFFSET(PLE!$G$15,$M446-$A$15,BX$13)="",10^12,OFFSET(PLE!$G$15,$M446-$A$15,BX$13)))</f>
        <v>1000000000000</v>
      </c>
      <c r="BY446" s="172">
        <f ca="1">IF(OR($D446&lt;&gt;"Serviço",AND(AUTOEVENTO="Manual",$M446=$A$15),$M446&gt;(ROW(PLE.lastrow)-ROW(PLE.firstrow))),0,
           IF(OFFSET(PLE!$G$15,$M446-$A$15,BY$13)="",10^12,OFFSET(PLE!$G$15,$M446-$A$15,BY$13)))</f>
        <v>1000000000000</v>
      </c>
      <c r="BZ446" s="172">
        <f ca="1">IF(OR($D446&lt;&gt;"Serviço",AND(AUTOEVENTO="Manual",$M446=$A$15),$M446&gt;(ROW(PLE.lastrow)-ROW(PLE.firstrow))),0,
           IF(OFFSET(PLE!$G$15,$M446-$A$15,BZ$13)="",10^12,OFFSET(PLE!$G$15,$M446-$A$15,BZ$13)))</f>
        <v>1000000000000</v>
      </c>
      <c r="CA446" s="172">
        <f ca="1">IF(OR($D446&lt;&gt;"Serviço",AND(AUTOEVENTO="Manual",$M446=$A$15),$M446&gt;(ROW(PLE.lastrow)-ROW(PLE.firstrow))),0,
           IF(OFFSET(PLE!$G$15,$M446-$A$15,CA$13)="",10^12,OFFSET(PLE!$G$15,$M446-$A$15,CA$13)))</f>
        <v>1000000000000</v>
      </c>
      <c r="CB446" s="172">
        <f ca="1">IF(OR($D446&lt;&gt;"Serviço",AND(AUTOEVENTO="Manual",$M446=$A$15),$M446&gt;(ROW(PLE.lastrow)-ROW(PLE.firstrow))),0,
           IF(OFFSET(PLE!$G$15,$M446-$A$15,CB$13)="",10^12,OFFSET(PLE!$G$15,$M446-$A$15,CB$13)))</f>
        <v>1000000000000</v>
      </c>
      <c r="CC446" s="172">
        <f ca="1">IF(OR($D446&lt;&gt;"Serviço",AND(AUTOEVENTO="Manual",$M446=$A$15),$M446&gt;(ROW(PLE.lastrow)-ROW(PLE.firstrow))),0,
           IF(OFFSET(PLE!$G$15,$M446-$A$15,CC$13)="",10^12,OFFSET(PLE!$G$15,$M446-$A$15,CC$13)))</f>
        <v>1000000000000</v>
      </c>
      <c r="CD446" s="172">
        <f ca="1">IF(OR($D446&lt;&gt;"Serviço",AND(AUTOEVENTO="Manual",$M446=$A$15),$M446&gt;(ROW(PLE.lastrow)-ROW(PLE.firstrow))),0,
           IF(OFFSET(PLE!$G$15,$M446-$A$15,CD$13)="",10^12,OFFSET(PLE!$G$15,$M446-$A$15,CD$13)))</f>
        <v>1000000000000</v>
      </c>
      <c r="CE446" s="172">
        <f ca="1">IF(OR($D446&lt;&gt;"Serviço",AND(AUTOEVENTO="Manual",$M446=$A$15),$M446&gt;(ROW(PLE.lastrow)-ROW(PLE.firstrow))),0,
           IF(OFFSET(PLE!$G$15,$M446-$A$15,CE$13)="",10^12,OFFSET(PLE!$G$15,$M446-$A$15,CE$13)))</f>
        <v>1000000000000</v>
      </c>
      <c r="CF446" s="172">
        <f ca="1">IF(OR($D446&lt;&gt;"Serviço",AND(AUTOEVENTO="Manual",$M446=$A$15),$M446&gt;(ROW(PLE.lastrow)-ROW(PLE.firstrow))),0,
           IF(OFFSET(PLE!$G$15,$M446-$A$15,CF$13)="",10^12,OFFSET(PLE!$G$15,$M446-$A$15,CF$13)))</f>
        <v>1000000000000</v>
      </c>
      <c r="CG446" s="172">
        <f ca="1">IF(OR($D446&lt;&gt;"Serviço",AND(AUTOEVENTO="Manual",$M446=$A$15),$M446&gt;(ROW(PLE.lastrow)-ROW(PLE.firstrow))),0,
           IF(OFFSET(PLE!$G$15,$M446-$A$15,CG$13)="",10^12,OFFSET(PLE!$G$15,$M446-$A$15,CG$13)))</f>
        <v>1000000000000</v>
      </c>
      <c r="CH446" s="172">
        <f ca="1">IF(OR($D446&lt;&gt;"Serviço",AND(AUTOEVENTO="Manual",$M446=$A$15),$M446&gt;(ROW(PLE.lastrow)-ROW(PLE.firstrow))),0,
           IF(OFFSET(PLE!$G$15,$M446-$A$15,CH$13)="",10^12,OFFSET(PLE!$G$15,$M446-$A$15,CH$13)))</f>
        <v>1000000000000</v>
      </c>
      <c r="CI446" s="172">
        <f ca="1">IF(OR($D446&lt;&gt;"Serviço",AND(AUTOEVENTO="Manual",$M446=$A$15),$M446&gt;(ROW(PLE.lastrow)-ROW(PLE.firstrow))),0,
           IF(OFFSET(PLE!$G$15,$M446-$A$15,CI$13)="",10^12,OFFSET(PLE!$G$15,$M446-$A$15,CI$13)))</f>
        <v>1000000000000</v>
      </c>
      <c r="CJ446" s="172">
        <f ca="1">IF(OR($D446&lt;&gt;"Serviço",AND(AUTOEVENTO="Manual",$M446=$A$15),$M446&gt;(ROW(PLE.lastrow)-ROW(PLE.firstrow))),0,
           IF(OFFSET(PLE!$G$15,$M446-$A$15,CJ$13)="",10^12,OFFSET(PLE!$G$15,$M446-$A$15,CJ$13)))</f>
        <v>1000000000000</v>
      </c>
      <c r="CK446" s="172">
        <f ca="1">IF(OR($D446&lt;&gt;"Serviço",AND(AUTOEVENTO="Manual",$M446=$A$15),$M446&gt;(ROW(PLE.lastrow)-ROW(PLE.firstrow))),0,
           IF(OFFSET(PLE!$G$15,$M446-$A$15,CK$13)="",10^12,OFFSET(PLE!$G$15,$M446-$A$15,CK$13)))</f>
        <v>1000000000000</v>
      </c>
      <c r="CL446" s="172">
        <f ca="1">IF(OR($D446&lt;&gt;"Serviço",AND(AUTOEVENTO="Manual",$M446=$A$15),$M446&gt;(ROW(PLE.lastrow)-ROW(PLE.firstrow))),0,
           IF(OFFSET(PLE!$G$15,$M446-$A$15,CL$13)="",10^12,OFFSET(PLE!$G$15,$M446-$A$15,CL$13)))</f>
        <v>1000000000000</v>
      </c>
      <c r="CM446" s="172">
        <f ca="1">IF(OR($D446&lt;&gt;"Serviço",AND(AUTOEVENTO="Manual",$M446=$A$15),$M446&gt;(ROW(PLE.lastrow)-ROW(PLE.firstrow))),0,
           IF(OFFSET(PLE!$G$15,$M446-$A$15,CM$13)="",10^12,OFFSET(PLE!$G$15,$M446-$A$15,CM$13)))</f>
        <v>1000000000000</v>
      </c>
    </row>
    <row r="447" spans="1:91" ht="38.25" x14ac:dyDescent="0.2">
      <c r="A447" s="7">
        <f t="shared" ca="1" si="16"/>
        <v>8</v>
      </c>
      <c r="B447" s="7" t="str">
        <f ca="1">OFFSET(ORÇAMENTO!C$15,ROW(B447)-ROW(B$15),0)</f>
        <v>S</v>
      </c>
      <c r="C447" s="7" t="str">
        <f ca="1">OFFSET(ORÇAMENTO!L$15,ROW(C447)-ROW(C$15),0)</f>
        <v>F</v>
      </c>
      <c r="D447" s="116" t="str">
        <f ca="1">OFFSET(ORÇAMENTO!N$15,ROW(D447)-ROW(D$15),0)</f>
        <v>Serviço</v>
      </c>
      <c r="E447" s="117" t="str">
        <f ca="1">OFFSET(ORÇAMENTO!O$15,ROW(E447)-ROW(E$15),0)</f>
        <v>1.9.1.0.5.</v>
      </c>
      <c r="F447" s="163" t="str">
        <f ca="1">OFFSET(ORÇAMENTO!R$15,ROW(F447)-ROW(F$15),0)</f>
        <v>CONDULETE DE ALUMÍNIO, TIPO LR, PARA ELETRODUTO DE AÇO GALVANIZADO DN 25 MM (1''), APARENTE - FORNECIMENTO E INSTALAÇÃO. AF_10/2022</v>
      </c>
      <c r="G447" s="164" t="str">
        <f ca="1">IF($D447&lt;&gt;"Serviço","",OFFSET(ORÇAMENTO!S$15,ROW(G447)-ROW(G$15),0))</f>
        <v>UN</v>
      </c>
      <c r="H447" s="122" cm="1">
        <f t="array" aca="1" ref="H447" ca="1">IF($D447&lt;&gt;"Serviço",0,IF(ACOMPANHAMENTO="BM",ROUND(OFFSET(ORÇAMENTO!AJ$15,ROW(H447)-ROW(H$15),0),15-13*ORÇAMENTO!$AF$7),SUMPRODUCT(($Q$1:$AI$1=1)*ROUND($Q447:$AI447,15-13*ORÇAMENTO!$AF$7))))</f>
        <v>17</v>
      </c>
      <c r="I447" s="468" t="s">
        <v>1432</v>
      </c>
      <c r="J447" s="640" t="str" cm="1">
        <f t="array" aca="1" ref="J447" ca="1">IF(OR(B447&lt;&gt;"S",CÁLCULO.FrentesPreenchidas=0),"",IF(AND(ACOMPANHAMENTO="PLE",AUTOEVENTO="Manual",OR(H447&gt;0,ORÇAMENTO!AC447="QUANT."),OR(K447="",M447=0,N447="")),"►E",IF(AND(ACOMPANHAMENTO="PLE",ORÇAMENTO!AC447="QUANT."),"►Q",IF(AND(ACOMPANHAMENTO="PLE",H447&lt;&gt;SUMPRODUCT(($Q$1:$AI$1=1)*ROUND(Q447:AI447,15))),"►S",IF(AND(COUNTIF($P$11:$AI$11,"▼")=0,H447&gt;0,I447=""),"◄M","")))))</f>
        <v/>
      </c>
      <c r="K447" s="641" t="s">
        <v>1392</v>
      </c>
      <c r="L447" s="165" t="s">
        <v>764</v>
      </c>
      <c r="M447" s="166">
        <f ca="1">IF($D447&lt;&gt;"Serviço","",
          IF(AUTOEVENTO="manual",$A447,
                IF(ISERROR(MATCH($A447,$A$15:OFFSET($A447,-1,0),0)),MAX($M$15:OFFSET(M447,-1,0))+1,
                      INDEX($M$15:OFFSET(M447,-1,0),MATCH($A447,$A$15:OFFSET($A447,-1,0),0)))))</f>
        <v>8</v>
      </c>
      <c r="N447" s="167" t="str">
        <f ca="1">IF($D447&lt;&gt;"Serviço","",
         IF(AUTOEVENTO="Manual",
                IF($A447=0,"&lt;-- defina o número do agrupador",
                       OFFSET(EVENTOS!$D$15,$A447-$A$15,0)),
                OFFSET($F$15,$A447,0)))</f>
        <v>CFTV</v>
      </c>
      <c r="O447" s="168"/>
      <c r="Q447" s="168"/>
      <c r="R447" s="169"/>
      <c r="S447" s="169"/>
      <c r="T447" s="169"/>
      <c r="U447" s="169"/>
      <c r="V447" s="169"/>
      <c r="W447" s="169"/>
      <c r="X447" s="169"/>
      <c r="Y447" s="169">
        <v>17</v>
      </c>
      <c r="Z447" s="170"/>
      <c r="AA447" s="169"/>
      <c r="AB447" s="169"/>
      <c r="AC447" s="169"/>
      <c r="AD447" s="169"/>
      <c r="AE447" s="169"/>
      <c r="AF447" s="169"/>
      <c r="AG447" s="169"/>
      <c r="AH447" s="170"/>
      <c r="AJ447" s="453">
        <f ca="1">IF(AND($D447="Serviço",AJ$12&lt;&gt;0,$H447&gt;0,OR(AUTOEVENTO&lt;&gt;"manual",$M447&lt;&gt;$A$15)),
        IF(Import.TipoArredondamento&lt;&gt;"TransfereGOV",
              ROUND(OFFSET($P447,0,AJ$13),15-13*ORÇAMENTO!$AF$7)/$H447*OFFSET(ORÇAMENTO!$X$15,ROW(AJ447)-ROW(AJ$15),0),
              ROUND(ROUND(OFFSET($P447,0,AJ$13),15-13*ORÇAMENTO!$AF$7)*OFFSET(ORÇAMENTO!$W$15,ROW(AJ447)-ROW(AJ$15),0),15-13*ORÇAMENTO!$AF$11)),
         0)</f>
        <v>0</v>
      </c>
      <c r="AK447" s="453">
        <f ca="1">IF(AND($D447="Serviço",AK$12&lt;&gt;0,$H447&gt;0,OR(AUTOEVENTO&lt;&gt;"manual",$M447&lt;&gt;$A$15)),
        IF(Import.TipoArredondamento&lt;&gt;"TransfereGOV",
              ROUND(OFFSET($P447,0,AK$13),15-13*ORÇAMENTO!$AF$7)/$H447*OFFSET(ORÇAMENTO!$X$15,ROW(AK447)-ROW(AK$15),0),
              ROUND(ROUND(OFFSET($P447,0,AK$13),15-13*ORÇAMENTO!$AF$7)*OFFSET(ORÇAMENTO!$W$15,ROW(AK447)-ROW(AK$15),0),15-13*ORÇAMENTO!$AF$11)),
         0)</f>
        <v>0</v>
      </c>
      <c r="AL447" s="453">
        <f ca="1">IF(AND($D447="Serviço",AL$12&lt;&gt;0,$H447&gt;0,OR(AUTOEVENTO&lt;&gt;"manual",$M447&lt;&gt;$A$15)),
        IF(Import.TipoArredondamento&lt;&gt;"TransfereGOV",
              ROUND(OFFSET($P447,0,AL$13),15-13*ORÇAMENTO!$AF$7)/$H447*OFFSET(ORÇAMENTO!$X$15,ROW(AL447)-ROW(AL$15),0),
              ROUND(ROUND(OFFSET($P447,0,AL$13),15-13*ORÇAMENTO!$AF$7)*OFFSET(ORÇAMENTO!$W$15,ROW(AL447)-ROW(AL$15),0),15-13*ORÇAMENTO!$AF$11)),
         0)</f>
        <v>0</v>
      </c>
      <c r="AM447" s="453">
        <f ca="1">IF(AND($D447="Serviço",AM$12&lt;&gt;0,$H447&gt;0,OR(AUTOEVENTO&lt;&gt;"manual",$M447&lt;&gt;$A$15)),
        IF(Import.TipoArredondamento&lt;&gt;"TransfereGOV",
              ROUND(OFFSET($P447,0,AM$13),15-13*ORÇAMENTO!$AF$7)/$H447*OFFSET(ORÇAMENTO!$X$15,ROW(AM447)-ROW(AM$15),0),
              ROUND(ROUND(OFFSET($P447,0,AM$13),15-13*ORÇAMENTO!$AF$7)*OFFSET(ORÇAMENTO!$W$15,ROW(AM447)-ROW(AM$15),0),15-13*ORÇAMENTO!$AF$11)),
         0)</f>
        <v>0</v>
      </c>
      <c r="AN447" s="453">
        <f ca="1">IF(AND($D447="Serviço",AN$12&lt;&gt;0,$H447&gt;0,OR(AUTOEVENTO&lt;&gt;"manual",$M447&lt;&gt;$A$15)),
        IF(Import.TipoArredondamento&lt;&gt;"TransfereGOV",
              ROUND(OFFSET($P447,0,AN$13),15-13*ORÇAMENTO!$AF$7)/$H447*OFFSET(ORÇAMENTO!$X$15,ROW(AN447)-ROW(AN$15),0),
              ROUND(ROUND(OFFSET($P447,0,AN$13),15-13*ORÇAMENTO!$AF$7)*OFFSET(ORÇAMENTO!$W$15,ROW(AN447)-ROW(AN$15),0),15-13*ORÇAMENTO!$AF$11)),
         0)</f>
        <v>0</v>
      </c>
      <c r="AO447" s="453">
        <f ca="1">IF(AND($D447="Serviço",AO$12&lt;&gt;0,$H447&gt;0,OR(AUTOEVENTO&lt;&gt;"manual",$M447&lt;&gt;$A$15)),
        IF(Import.TipoArredondamento&lt;&gt;"TransfereGOV",
              ROUND(OFFSET($P447,0,AO$13),15-13*ORÇAMENTO!$AF$7)/$H447*OFFSET(ORÇAMENTO!$X$15,ROW(AO447)-ROW(AO$15),0),
              ROUND(ROUND(OFFSET($P447,0,AO$13),15-13*ORÇAMENTO!$AF$7)*OFFSET(ORÇAMENTO!$W$15,ROW(AO447)-ROW(AO$15),0),15-13*ORÇAMENTO!$AF$11)),
         0)</f>
        <v>0</v>
      </c>
      <c r="AP447" s="453">
        <f ca="1">IF(AND($D447="Serviço",AP$12&lt;&gt;0,$H447&gt;0,OR(AUTOEVENTO&lt;&gt;"manual",$M447&lt;&gt;$A$15)),
        IF(Import.TipoArredondamento&lt;&gt;"TransfereGOV",
              ROUND(OFFSET($P447,0,AP$13),15-13*ORÇAMENTO!$AF$7)/$H447*OFFSET(ORÇAMENTO!$X$15,ROW(AP447)-ROW(AP$15),0),
              ROUND(ROUND(OFFSET($P447,0,AP$13),15-13*ORÇAMENTO!$AF$7)*OFFSET(ORÇAMENTO!$W$15,ROW(AP447)-ROW(AP$15),0),15-13*ORÇAMENTO!$AF$11)),
         0)</f>
        <v>0</v>
      </c>
      <c r="AQ447" s="453">
        <f ca="1">IF(AND($D447="Serviço",AQ$12&lt;&gt;0,$H447&gt;0,OR(AUTOEVENTO&lt;&gt;"manual",$M447&lt;&gt;$A$15)),
        IF(Import.TipoArredondamento&lt;&gt;"TransfereGOV",
              ROUND(OFFSET($P447,0,AQ$13),15-13*ORÇAMENTO!$AF$7)/$H447*OFFSET(ORÇAMENTO!$X$15,ROW(AQ447)-ROW(AQ$15),0),
              ROUND(ROUND(OFFSET($P447,0,AQ$13),15-13*ORÇAMENTO!$AF$7)*OFFSET(ORÇAMENTO!$W$15,ROW(AQ447)-ROW(AQ$15),0),15-13*ORÇAMENTO!$AF$11)),
         0)</f>
        <v>0</v>
      </c>
      <c r="AR447" s="453">
        <f ca="1">IF(AND($D447="Serviço",AR$12&lt;&gt;0,$H447&gt;0,OR(AUTOEVENTO&lt;&gt;"manual",$M447&lt;&gt;$A$15)),
        IF(Import.TipoArredondamento&lt;&gt;"TransfereGOV",
              ROUND(OFFSET($P447,0,AR$13),15-13*ORÇAMENTO!$AF$7)/$H447*OFFSET(ORÇAMENTO!$X$15,ROW(AR447)-ROW(AR$15),0),
              ROUND(ROUND(OFFSET($P447,0,AR$13),15-13*ORÇAMENTO!$AF$7)*OFFSET(ORÇAMENTO!$W$15,ROW(AR447)-ROW(AR$15),0),15-13*ORÇAMENTO!$AF$11)),
         0)</f>
        <v>0</v>
      </c>
      <c r="AS447" s="453">
        <f ca="1">IF(AND($D447="Serviço",AS$12&lt;&gt;0,$H447&gt;0,OR(AUTOEVENTO&lt;&gt;"manual",$M447&lt;&gt;$A$15)),
        IF(Import.TipoArredondamento&lt;&gt;"TransfereGOV",
              ROUND(OFFSET($P447,0,AS$13),15-13*ORÇAMENTO!$AF$7)/$H447*OFFSET(ORÇAMENTO!$X$15,ROW(AS447)-ROW(AS$15),0),
              ROUND(ROUND(OFFSET($P447,0,AS$13),15-13*ORÇAMENTO!$AF$7)*OFFSET(ORÇAMENTO!$W$15,ROW(AS447)-ROW(AS$15),0),15-13*ORÇAMENTO!$AF$11)),
         0)</f>
        <v>0</v>
      </c>
      <c r="AT447" s="453">
        <f ca="1">IF(AND($D447="Serviço",AT$12&lt;&gt;0,$H447&gt;0,OR(AUTOEVENTO&lt;&gt;"manual",$M447&lt;&gt;$A$15)),
        IF(Import.TipoArredondamento&lt;&gt;"TransfereGOV",
              ROUND(OFFSET($P447,0,AT$13),15-13*ORÇAMENTO!$AF$7)/$H447*OFFSET(ORÇAMENTO!$X$15,ROW(AT447)-ROW(AT$15),0),
              ROUND(ROUND(OFFSET($P447,0,AT$13),15-13*ORÇAMENTO!$AF$7)*OFFSET(ORÇAMENTO!$W$15,ROW(AT447)-ROW(AT$15),0),15-13*ORÇAMENTO!$AF$11)),
         0)</f>
        <v>0</v>
      </c>
      <c r="AU447" s="453">
        <f ca="1">IF(AND($D447="Serviço",AU$12&lt;&gt;0,$H447&gt;0,OR(AUTOEVENTO&lt;&gt;"manual",$M447&lt;&gt;$A$15)),
        IF(Import.TipoArredondamento&lt;&gt;"TransfereGOV",
              ROUND(OFFSET($P447,0,AU$13),15-13*ORÇAMENTO!$AF$7)/$H447*OFFSET(ORÇAMENTO!$X$15,ROW(AU447)-ROW(AU$15),0),
              ROUND(ROUND(OFFSET($P447,0,AU$13),15-13*ORÇAMENTO!$AF$7)*OFFSET(ORÇAMENTO!$W$15,ROW(AU447)-ROW(AU$15),0),15-13*ORÇAMENTO!$AF$11)),
         0)</f>
        <v>0</v>
      </c>
      <c r="AV447" s="453">
        <f ca="1">IF(AND($D447="Serviço",AV$12&lt;&gt;0,$H447&gt;0,OR(AUTOEVENTO&lt;&gt;"manual",$M447&lt;&gt;$A$15)),
        IF(Import.TipoArredondamento&lt;&gt;"TransfereGOV",
              ROUND(OFFSET($P447,0,AV$13),15-13*ORÇAMENTO!$AF$7)/$H447*OFFSET(ORÇAMENTO!$X$15,ROW(AV447)-ROW(AV$15),0),
              ROUND(ROUND(OFFSET($P447,0,AV$13),15-13*ORÇAMENTO!$AF$7)*OFFSET(ORÇAMENTO!$W$15,ROW(AV447)-ROW(AV$15),0),15-13*ORÇAMENTO!$AF$11)),
         0)</f>
        <v>0</v>
      </c>
      <c r="AW447" s="453">
        <f ca="1">IF(AND($D447="Serviço",AW$12&lt;&gt;0,$H447&gt;0,OR(AUTOEVENTO&lt;&gt;"manual",$M447&lt;&gt;$A$15)),
        IF(Import.TipoArredondamento&lt;&gt;"TransfereGOV",
              ROUND(OFFSET($P447,0,AW$13),15-13*ORÇAMENTO!$AF$7)/$H447*OFFSET(ORÇAMENTO!$X$15,ROW(AW447)-ROW(AW$15),0),
              ROUND(ROUND(OFFSET($P447,0,AW$13),15-13*ORÇAMENTO!$AF$7)*OFFSET(ORÇAMENTO!$W$15,ROW(AW447)-ROW(AW$15),0),15-13*ORÇAMENTO!$AF$11)),
         0)</f>
        <v>0</v>
      </c>
      <c r="AX447" s="453">
        <f ca="1">IF(AND($D447="Serviço",AX$12&lt;&gt;0,$H447&gt;0,OR(AUTOEVENTO&lt;&gt;"manual",$M447&lt;&gt;$A$15)),
        IF(Import.TipoArredondamento&lt;&gt;"TransfereGOV",
              ROUND(OFFSET($P447,0,AX$13),15-13*ORÇAMENTO!$AF$7)/$H447*OFFSET(ORÇAMENTO!$X$15,ROW(AX447)-ROW(AX$15),0),
              ROUND(ROUND(OFFSET($P447,0,AX$13),15-13*ORÇAMENTO!$AF$7)*OFFSET(ORÇAMENTO!$W$15,ROW(AX447)-ROW(AX$15),0),15-13*ORÇAMENTO!$AF$11)),
         0)</f>
        <v>0</v>
      </c>
      <c r="AY447" s="453">
        <f ca="1">IF(AND($D447="Serviço",AY$12&lt;&gt;0,$H447&gt;0,OR(AUTOEVENTO&lt;&gt;"manual",$M447&lt;&gt;$A$15)),
        IF(Import.TipoArredondamento&lt;&gt;"TransfereGOV",
              ROUND(OFFSET($P447,0,AY$13),15-13*ORÇAMENTO!$AF$7)/$H447*OFFSET(ORÇAMENTO!$X$15,ROW(AY447)-ROW(AY$15),0),
              ROUND(ROUND(OFFSET($P447,0,AY$13),15-13*ORÇAMENTO!$AF$7)*OFFSET(ORÇAMENTO!$W$15,ROW(AY447)-ROW(AY$15),0),15-13*ORÇAMENTO!$AF$11)),
         0)</f>
        <v>0</v>
      </c>
      <c r="AZ447" s="453">
        <f ca="1">IF(AND($D447="Serviço",AZ$12&lt;&gt;0,$H447&gt;0,OR(AUTOEVENTO&lt;&gt;"manual",$M447&lt;&gt;$A$15)),
        IF(Import.TipoArredondamento&lt;&gt;"TransfereGOV",
              ROUND(OFFSET($P447,0,AZ$13),15-13*ORÇAMENTO!$AF$7)/$H447*OFFSET(ORÇAMENTO!$X$15,ROW(AZ447)-ROW(AZ$15),0),
              ROUND(ROUND(OFFSET($P447,0,AZ$13),15-13*ORÇAMENTO!$AF$7)*OFFSET(ORÇAMENTO!$W$15,ROW(AZ447)-ROW(AZ$15),0),15-13*ORÇAMENTO!$AF$11)),
         0)</f>
        <v>0</v>
      </c>
      <c r="BA447" s="453">
        <f ca="1">IF(AND($D447="Serviço",BA$12&lt;&gt;0,$H447&gt;0,OR(AUTOEVENTO&lt;&gt;"manual",$M447&lt;&gt;$A$15)),
        IF(Import.TipoArredondamento&lt;&gt;"TransfereGOV",
              ROUND(OFFSET($P447,0,BA$13),15-13*ORÇAMENTO!$AF$7)/$H447*OFFSET(ORÇAMENTO!$X$15,ROW(BA447)-ROW(BA$15),0),
              ROUND(ROUND(OFFSET($P447,0,BA$13),15-13*ORÇAMENTO!$AF$7)*OFFSET(ORÇAMENTO!$W$15,ROW(BA447)-ROW(BA$15),0),15-13*ORÇAMENTO!$AF$11)),
         0)</f>
        <v>0</v>
      </c>
      <c r="BC447" s="171">
        <f ca="1">IF(OR($D447&lt;&gt;"Serviço",AND(AUTOEVENTO="Manual",$M447=$A$15)),0,
         IF(OFFSET(CRONOPLE!$F$15,$M447-$A$15,BC$13)=0,10^12,OFFSET(CRONOPLE!$F$15,$M447-$A$15,BC$13)))</f>
        <v>1</v>
      </c>
      <c r="BD447" s="171">
        <f ca="1">IF(OR($D447&lt;&gt;"Serviço",AND(AUTOEVENTO="Manual",$M447=$A$15)),0,
         IF(OFFSET(CRONOPLE!$F$15,$M447-$A$15,BD$13)=0,10^12,OFFSET(CRONOPLE!$F$15,$M447-$A$15,BD$13)))</f>
        <v>2</v>
      </c>
      <c r="BE447" s="171">
        <f ca="1">IF(OR($D447&lt;&gt;"Serviço",AND(AUTOEVENTO="Manual",$M447=$A$15)),0,
         IF(OFFSET(CRONOPLE!$F$15,$M447-$A$15,BE$13)=0,10^12,OFFSET(CRONOPLE!$F$15,$M447-$A$15,BE$13)))</f>
        <v>3</v>
      </c>
      <c r="BF447" s="171">
        <f ca="1">IF(OR($D447&lt;&gt;"Serviço",AND(AUTOEVENTO="Manual",$M447=$A$15)),0,
         IF(OFFSET(CRONOPLE!$F$15,$M447-$A$15,BF$13)=0,10^12,OFFSET(CRONOPLE!$F$15,$M447-$A$15,BF$13)))</f>
        <v>4</v>
      </c>
      <c r="BG447" s="171">
        <f ca="1">IF(OR($D447&lt;&gt;"Serviço",AND(AUTOEVENTO="Manual",$M447=$A$15)),0,
         IF(OFFSET(CRONOPLE!$F$15,$M447-$A$15,BG$13)=0,10^12,OFFSET(CRONOPLE!$F$15,$M447-$A$15,BG$13)))</f>
        <v>5</v>
      </c>
      <c r="BH447" s="171">
        <f ca="1">IF(OR($D447&lt;&gt;"Serviço",AND(AUTOEVENTO="Manual",$M447=$A$15)),0,
         IF(OFFSET(CRONOPLE!$F$15,$M447-$A$15,BH$13)=0,10^12,OFFSET(CRONOPLE!$F$15,$M447-$A$15,BH$13)))</f>
        <v>6</v>
      </c>
      <c r="BI447" s="171">
        <f ca="1">IF(OR($D447&lt;&gt;"Serviço",AND(AUTOEVENTO="Manual",$M447=$A$15)),0,
         IF(OFFSET(CRONOPLE!$F$15,$M447-$A$15,BI$13)=0,10^12,OFFSET(CRONOPLE!$F$15,$M447-$A$15,BI$13)))</f>
        <v>7</v>
      </c>
      <c r="BJ447" s="171">
        <f ca="1">IF(OR($D447&lt;&gt;"Serviço",AND(AUTOEVENTO="Manual",$M447=$A$15)),0,
         IF(OFFSET(CRONOPLE!$F$15,$M447-$A$15,BJ$13)=0,10^12,OFFSET(CRONOPLE!$F$15,$M447-$A$15,BJ$13)))</f>
        <v>8</v>
      </c>
      <c r="BK447" s="171">
        <f ca="1">IF(OR($D447&lt;&gt;"Serviço",AND(AUTOEVENTO="Manual",$M447=$A$15)),0,
         IF(OFFSET(CRONOPLE!$F$15,$M447-$A$15,BK$13)=0,10^12,OFFSET(CRONOPLE!$F$15,$M447-$A$15,BK$13)))</f>
        <v>9</v>
      </c>
      <c r="BL447" s="171">
        <f ca="1">IF(OR($D447&lt;&gt;"Serviço",AND(AUTOEVENTO="Manual",$M447=$A$15)),0,
         IF(OFFSET(CRONOPLE!$F$15,$M447-$A$15,BL$13)=0,10^12,OFFSET(CRONOPLE!$F$15,$M447-$A$15,BL$13)))</f>
        <v>1000000000000</v>
      </c>
      <c r="BM447" s="171">
        <f ca="1">IF(OR($D447&lt;&gt;"Serviço",AND(AUTOEVENTO="Manual",$M447=$A$15)),0,
         IF(OFFSET(CRONOPLE!$F$15,$M447-$A$15,BM$13)=0,10^12,OFFSET(CRONOPLE!$F$15,$M447-$A$15,BM$13)))</f>
        <v>1000000000000</v>
      </c>
      <c r="BN447" s="171">
        <f ca="1">IF(OR($D447&lt;&gt;"Serviço",AND(AUTOEVENTO="Manual",$M447=$A$15)),0,
         IF(OFFSET(CRONOPLE!$F$15,$M447-$A$15,BN$13)=0,10^12,OFFSET(CRONOPLE!$F$15,$M447-$A$15,BN$13)))</f>
        <v>1000000000000</v>
      </c>
      <c r="BO447" s="171">
        <f ca="1">IF(OR($D447&lt;&gt;"Serviço",AND(AUTOEVENTO="Manual",$M447=$A$15)),0,
         IF(OFFSET(CRONOPLE!$F$15,$M447-$A$15,BO$13)=0,10^12,OFFSET(CRONOPLE!$F$15,$M447-$A$15,BO$13)))</f>
        <v>1000000000000</v>
      </c>
      <c r="BP447" s="171">
        <f ca="1">IF(OR($D447&lt;&gt;"Serviço",AND(AUTOEVENTO="Manual",$M447=$A$15)),0,
         IF(OFFSET(CRONOPLE!$F$15,$M447-$A$15,BP$13)=0,10^12,OFFSET(CRONOPLE!$F$15,$M447-$A$15,BP$13)))</f>
        <v>1000000000000</v>
      </c>
      <c r="BQ447" s="171">
        <f ca="1">IF(OR($D447&lt;&gt;"Serviço",AND(AUTOEVENTO="Manual",$M447=$A$15)),0,
         IF(OFFSET(CRONOPLE!$F$15,$M447-$A$15,BQ$13)=0,10^12,OFFSET(CRONOPLE!$F$15,$M447-$A$15,BQ$13)))</f>
        <v>1000000000000</v>
      </c>
      <c r="BR447" s="171">
        <f ca="1">IF(OR($D447&lt;&gt;"Serviço",AND(AUTOEVENTO="Manual",$M447=$A$15)),0,
         IF(OFFSET(CRONOPLE!$F$15,$M447-$A$15,BR$13)=0,10^12,OFFSET(CRONOPLE!$F$15,$M447-$A$15,BR$13)))</f>
        <v>1000000000000</v>
      </c>
      <c r="BS447" s="171">
        <f ca="1">IF(OR($D447&lt;&gt;"Serviço",AND(AUTOEVENTO="Manual",$M447=$A$15)),0,
         IF(OFFSET(CRONOPLE!$F$15,$M447-$A$15,BS$13)=0,10^12,OFFSET(CRONOPLE!$F$15,$M447-$A$15,BS$13)))</f>
        <v>1000000000000</v>
      </c>
      <c r="BT447" s="171">
        <f ca="1">IF(OR($D447&lt;&gt;"Serviço",AND(AUTOEVENTO="Manual",$M447=$A$15)),0,
         IF(OFFSET(CRONOPLE!$F$15,$M447-$A$15,BT$13)=0,10^12,OFFSET(CRONOPLE!$F$15,$M447-$A$15,BT$13)))</f>
        <v>1000000000000</v>
      </c>
      <c r="BV447" s="172">
        <f ca="1">IF(OR($D447&lt;&gt;"Serviço",AND(AUTOEVENTO="Manual",$M447=$A$15),$M447&gt;(ROW(PLE.lastrow)-ROW(PLE.firstrow))),0,
           IF(OFFSET(PLE!$G$15,$M447-$A$15,BV$13)="",10^12,OFFSET(PLE!$G$15,$M447-$A$15,BV$13)))</f>
        <v>1000000000000</v>
      </c>
      <c r="BW447" s="172">
        <f ca="1">IF(OR($D447&lt;&gt;"Serviço",AND(AUTOEVENTO="Manual",$M447=$A$15),$M447&gt;(ROW(PLE.lastrow)-ROW(PLE.firstrow))),0,
           IF(OFFSET(PLE!$G$15,$M447-$A$15,BW$13)="",10^12,OFFSET(PLE!$G$15,$M447-$A$15,BW$13)))</f>
        <v>1000000000000</v>
      </c>
      <c r="BX447" s="172">
        <f ca="1">IF(OR($D447&lt;&gt;"Serviço",AND(AUTOEVENTO="Manual",$M447=$A$15),$M447&gt;(ROW(PLE.lastrow)-ROW(PLE.firstrow))),0,
           IF(OFFSET(PLE!$G$15,$M447-$A$15,BX$13)="",10^12,OFFSET(PLE!$G$15,$M447-$A$15,BX$13)))</f>
        <v>1000000000000</v>
      </c>
      <c r="BY447" s="172">
        <f ca="1">IF(OR($D447&lt;&gt;"Serviço",AND(AUTOEVENTO="Manual",$M447=$A$15),$M447&gt;(ROW(PLE.lastrow)-ROW(PLE.firstrow))),0,
           IF(OFFSET(PLE!$G$15,$M447-$A$15,BY$13)="",10^12,OFFSET(PLE!$G$15,$M447-$A$15,BY$13)))</f>
        <v>1000000000000</v>
      </c>
      <c r="BZ447" s="172">
        <f ca="1">IF(OR($D447&lt;&gt;"Serviço",AND(AUTOEVENTO="Manual",$M447=$A$15),$M447&gt;(ROW(PLE.lastrow)-ROW(PLE.firstrow))),0,
           IF(OFFSET(PLE!$G$15,$M447-$A$15,BZ$13)="",10^12,OFFSET(PLE!$G$15,$M447-$A$15,BZ$13)))</f>
        <v>1000000000000</v>
      </c>
      <c r="CA447" s="172">
        <f ca="1">IF(OR($D447&lt;&gt;"Serviço",AND(AUTOEVENTO="Manual",$M447=$A$15),$M447&gt;(ROW(PLE.lastrow)-ROW(PLE.firstrow))),0,
           IF(OFFSET(PLE!$G$15,$M447-$A$15,CA$13)="",10^12,OFFSET(PLE!$G$15,$M447-$A$15,CA$13)))</f>
        <v>1000000000000</v>
      </c>
      <c r="CB447" s="172">
        <f ca="1">IF(OR($D447&lt;&gt;"Serviço",AND(AUTOEVENTO="Manual",$M447=$A$15),$M447&gt;(ROW(PLE.lastrow)-ROW(PLE.firstrow))),0,
           IF(OFFSET(PLE!$G$15,$M447-$A$15,CB$13)="",10^12,OFFSET(PLE!$G$15,$M447-$A$15,CB$13)))</f>
        <v>1000000000000</v>
      </c>
      <c r="CC447" s="172">
        <f ca="1">IF(OR($D447&lt;&gt;"Serviço",AND(AUTOEVENTO="Manual",$M447=$A$15),$M447&gt;(ROW(PLE.lastrow)-ROW(PLE.firstrow))),0,
           IF(OFFSET(PLE!$G$15,$M447-$A$15,CC$13)="",10^12,OFFSET(PLE!$G$15,$M447-$A$15,CC$13)))</f>
        <v>1000000000000</v>
      </c>
      <c r="CD447" s="172">
        <f ca="1">IF(OR($D447&lt;&gt;"Serviço",AND(AUTOEVENTO="Manual",$M447=$A$15),$M447&gt;(ROW(PLE.lastrow)-ROW(PLE.firstrow))),0,
           IF(OFFSET(PLE!$G$15,$M447-$A$15,CD$13)="",10^12,OFFSET(PLE!$G$15,$M447-$A$15,CD$13)))</f>
        <v>1000000000000</v>
      </c>
      <c r="CE447" s="172">
        <f ca="1">IF(OR($D447&lt;&gt;"Serviço",AND(AUTOEVENTO="Manual",$M447=$A$15),$M447&gt;(ROW(PLE.lastrow)-ROW(PLE.firstrow))),0,
           IF(OFFSET(PLE!$G$15,$M447-$A$15,CE$13)="",10^12,OFFSET(PLE!$G$15,$M447-$A$15,CE$13)))</f>
        <v>1000000000000</v>
      </c>
      <c r="CF447" s="172">
        <f ca="1">IF(OR($D447&lt;&gt;"Serviço",AND(AUTOEVENTO="Manual",$M447=$A$15),$M447&gt;(ROW(PLE.lastrow)-ROW(PLE.firstrow))),0,
           IF(OFFSET(PLE!$G$15,$M447-$A$15,CF$13)="",10^12,OFFSET(PLE!$G$15,$M447-$A$15,CF$13)))</f>
        <v>1000000000000</v>
      </c>
      <c r="CG447" s="172">
        <f ca="1">IF(OR($D447&lt;&gt;"Serviço",AND(AUTOEVENTO="Manual",$M447=$A$15),$M447&gt;(ROW(PLE.lastrow)-ROW(PLE.firstrow))),0,
           IF(OFFSET(PLE!$G$15,$M447-$A$15,CG$13)="",10^12,OFFSET(PLE!$G$15,$M447-$A$15,CG$13)))</f>
        <v>1000000000000</v>
      </c>
      <c r="CH447" s="172">
        <f ca="1">IF(OR($D447&lt;&gt;"Serviço",AND(AUTOEVENTO="Manual",$M447=$A$15),$M447&gt;(ROW(PLE.lastrow)-ROW(PLE.firstrow))),0,
           IF(OFFSET(PLE!$G$15,$M447-$A$15,CH$13)="",10^12,OFFSET(PLE!$G$15,$M447-$A$15,CH$13)))</f>
        <v>1000000000000</v>
      </c>
      <c r="CI447" s="172">
        <f ca="1">IF(OR($D447&lt;&gt;"Serviço",AND(AUTOEVENTO="Manual",$M447=$A$15),$M447&gt;(ROW(PLE.lastrow)-ROW(PLE.firstrow))),0,
           IF(OFFSET(PLE!$G$15,$M447-$A$15,CI$13)="",10^12,OFFSET(PLE!$G$15,$M447-$A$15,CI$13)))</f>
        <v>1000000000000</v>
      </c>
      <c r="CJ447" s="172">
        <f ca="1">IF(OR($D447&lt;&gt;"Serviço",AND(AUTOEVENTO="Manual",$M447=$A$15),$M447&gt;(ROW(PLE.lastrow)-ROW(PLE.firstrow))),0,
           IF(OFFSET(PLE!$G$15,$M447-$A$15,CJ$13)="",10^12,OFFSET(PLE!$G$15,$M447-$A$15,CJ$13)))</f>
        <v>1000000000000</v>
      </c>
      <c r="CK447" s="172">
        <f ca="1">IF(OR($D447&lt;&gt;"Serviço",AND(AUTOEVENTO="Manual",$M447=$A$15),$M447&gt;(ROW(PLE.lastrow)-ROW(PLE.firstrow))),0,
           IF(OFFSET(PLE!$G$15,$M447-$A$15,CK$13)="",10^12,OFFSET(PLE!$G$15,$M447-$A$15,CK$13)))</f>
        <v>1000000000000</v>
      </c>
      <c r="CL447" s="172">
        <f ca="1">IF(OR($D447&lt;&gt;"Serviço",AND(AUTOEVENTO="Manual",$M447=$A$15),$M447&gt;(ROW(PLE.lastrow)-ROW(PLE.firstrow))),0,
           IF(OFFSET(PLE!$G$15,$M447-$A$15,CL$13)="",10^12,OFFSET(PLE!$G$15,$M447-$A$15,CL$13)))</f>
        <v>1000000000000</v>
      </c>
      <c r="CM447" s="172">
        <f ca="1">IF(OR($D447&lt;&gt;"Serviço",AND(AUTOEVENTO="Manual",$M447=$A$15),$M447&gt;(ROW(PLE.lastrow)-ROW(PLE.firstrow))),0,
           IF(OFFSET(PLE!$G$15,$M447-$A$15,CM$13)="",10^12,OFFSET(PLE!$G$15,$M447-$A$15,CM$13)))</f>
        <v>1000000000000</v>
      </c>
    </row>
    <row r="448" spans="1:91" ht="38.25" x14ac:dyDescent="0.2">
      <c r="A448" s="7">
        <f t="shared" ca="1" si="16"/>
        <v>8</v>
      </c>
      <c r="B448" s="7" t="str">
        <f ca="1">OFFSET(ORÇAMENTO!C$15,ROW(B448)-ROW(B$15),0)</f>
        <v>S</v>
      </c>
      <c r="C448" s="7" t="str">
        <f ca="1">OFFSET(ORÇAMENTO!L$15,ROW(C448)-ROW(C$15),0)</f>
        <v>F</v>
      </c>
      <c r="D448" s="116" t="str">
        <f ca="1">OFFSET(ORÇAMENTO!N$15,ROW(D448)-ROW(D$15),0)</f>
        <v>Serviço</v>
      </c>
      <c r="E448" s="117" t="str">
        <f ca="1">OFFSET(ORÇAMENTO!O$15,ROW(E448)-ROW(E$15),0)</f>
        <v>1.9.1.0.6.</v>
      </c>
      <c r="F448" s="163" t="str">
        <f ca="1">OFFSET(ORÇAMENTO!R$15,ROW(F448)-ROW(F$15),0)</f>
        <v>CONDULETE DE ALUMÍNIO, TIPO "LR", DIÂMETRO DE SAÍDA 1.1/2" (40MM), EXCLUSIVE MÓDULO E PLACA, INCLUSIVE FIXAÇÃO</v>
      </c>
      <c r="G448" s="164" t="str">
        <f ca="1">IF($D448&lt;&gt;"Serviço","",OFFSET(ORÇAMENTO!S$15,ROW(G448)-ROW(G$15),0))</f>
        <v>UN</v>
      </c>
      <c r="H448" s="122" cm="1">
        <f t="array" aca="1" ref="H448" ca="1">IF($D448&lt;&gt;"Serviço",0,IF(ACOMPANHAMENTO="BM",ROUND(OFFSET(ORÇAMENTO!AJ$15,ROW(H448)-ROW(H$15),0),15-13*ORÇAMENTO!$AF$7),SUMPRODUCT(($Q$1:$AI$1=1)*ROUND($Q448:$AI448,15-13*ORÇAMENTO!$AF$7))))</f>
        <v>1</v>
      </c>
      <c r="I448" s="468" t="s">
        <v>1432</v>
      </c>
      <c r="J448" s="640" t="str" cm="1">
        <f t="array" aca="1" ref="J448" ca="1">IF(OR(B448&lt;&gt;"S",CÁLCULO.FrentesPreenchidas=0),"",IF(AND(ACOMPANHAMENTO="PLE",AUTOEVENTO="Manual",OR(H448&gt;0,ORÇAMENTO!AC448="QUANT."),OR(K448="",M448=0,N448="")),"►E",IF(AND(ACOMPANHAMENTO="PLE",ORÇAMENTO!AC448="QUANT."),"►Q",IF(AND(ACOMPANHAMENTO="PLE",H448&lt;&gt;SUMPRODUCT(($Q$1:$AI$1=1)*ROUND(Q448:AI448,15))),"►S",IF(AND(COUNTIF($P$11:$AI$11,"▼")=0,H448&gt;0,I448=""),"◄M","")))))</f>
        <v/>
      </c>
      <c r="K448" s="641" t="s">
        <v>1392</v>
      </c>
      <c r="L448" s="165" t="s">
        <v>764</v>
      </c>
      <c r="M448" s="166">
        <f ca="1">IF($D448&lt;&gt;"Serviço","",
          IF(AUTOEVENTO="manual",$A448,
                IF(ISERROR(MATCH($A448,$A$15:OFFSET($A448,-1,0),0)),MAX($M$15:OFFSET(M448,-1,0))+1,
                      INDEX($M$15:OFFSET(M448,-1,0),MATCH($A448,$A$15:OFFSET($A448,-1,0),0)))))</f>
        <v>8</v>
      </c>
      <c r="N448" s="167" t="str">
        <f ca="1">IF($D448&lt;&gt;"Serviço","",
         IF(AUTOEVENTO="Manual",
                IF($A448=0,"&lt;-- defina o número do agrupador",
                       OFFSET(EVENTOS!$D$15,$A448-$A$15,0)),
                OFFSET($F$15,$A448,0)))</f>
        <v>CFTV</v>
      </c>
      <c r="O448" s="168"/>
      <c r="Q448" s="168"/>
      <c r="R448" s="169"/>
      <c r="S448" s="169"/>
      <c r="T448" s="169"/>
      <c r="U448" s="169"/>
      <c r="V448" s="169"/>
      <c r="W448" s="169"/>
      <c r="X448" s="169"/>
      <c r="Y448" s="169">
        <v>1</v>
      </c>
      <c r="Z448" s="170"/>
      <c r="AA448" s="169"/>
      <c r="AB448" s="169"/>
      <c r="AC448" s="169"/>
      <c r="AD448" s="169"/>
      <c r="AE448" s="169"/>
      <c r="AF448" s="169"/>
      <c r="AG448" s="169"/>
      <c r="AH448" s="170"/>
      <c r="AJ448" s="453">
        <f ca="1">IF(AND($D448="Serviço",AJ$12&lt;&gt;0,$H448&gt;0,OR(AUTOEVENTO&lt;&gt;"manual",$M448&lt;&gt;$A$15)),
        IF(Import.TipoArredondamento&lt;&gt;"TransfereGOV",
              ROUND(OFFSET($P448,0,AJ$13),15-13*ORÇAMENTO!$AF$7)/$H448*OFFSET(ORÇAMENTO!$X$15,ROW(AJ448)-ROW(AJ$15),0),
              ROUND(ROUND(OFFSET($P448,0,AJ$13),15-13*ORÇAMENTO!$AF$7)*OFFSET(ORÇAMENTO!$W$15,ROW(AJ448)-ROW(AJ$15),0),15-13*ORÇAMENTO!$AF$11)),
         0)</f>
        <v>0</v>
      </c>
      <c r="AK448" s="453">
        <f ca="1">IF(AND($D448="Serviço",AK$12&lt;&gt;0,$H448&gt;0,OR(AUTOEVENTO&lt;&gt;"manual",$M448&lt;&gt;$A$15)),
        IF(Import.TipoArredondamento&lt;&gt;"TransfereGOV",
              ROUND(OFFSET($P448,0,AK$13),15-13*ORÇAMENTO!$AF$7)/$H448*OFFSET(ORÇAMENTO!$X$15,ROW(AK448)-ROW(AK$15),0),
              ROUND(ROUND(OFFSET($P448,0,AK$13),15-13*ORÇAMENTO!$AF$7)*OFFSET(ORÇAMENTO!$W$15,ROW(AK448)-ROW(AK$15),0),15-13*ORÇAMENTO!$AF$11)),
         0)</f>
        <v>0</v>
      </c>
      <c r="AL448" s="453">
        <f ca="1">IF(AND($D448="Serviço",AL$12&lt;&gt;0,$H448&gt;0,OR(AUTOEVENTO&lt;&gt;"manual",$M448&lt;&gt;$A$15)),
        IF(Import.TipoArredondamento&lt;&gt;"TransfereGOV",
              ROUND(OFFSET($P448,0,AL$13),15-13*ORÇAMENTO!$AF$7)/$H448*OFFSET(ORÇAMENTO!$X$15,ROW(AL448)-ROW(AL$15),0),
              ROUND(ROUND(OFFSET($P448,0,AL$13),15-13*ORÇAMENTO!$AF$7)*OFFSET(ORÇAMENTO!$W$15,ROW(AL448)-ROW(AL$15),0),15-13*ORÇAMENTO!$AF$11)),
         0)</f>
        <v>0</v>
      </c>
      <c r="AM448" s="453">
        <f ca="1">IF(AND($D448="Serviço",AM$12&lt;&gt;0,$H448&gt;0,OR(AUTOEVENTO&lt;&gt;"manual",$M448&lt;&gt;$A$15)),
        IF(Import.TipoArredondamento&lt;&gt;"TransfereGOV",
              ROUND(OFFSET($P448,0,AM$13),15-13*ORÇAMENTO!$AF$7)/$H448*OFFSET(ORÇAMENTO!$X$15,ROW(AM448)-ROW(AM$15),0),
              ROUND(ROUND(OFFSET($P448,0,AM$13),15-13*ORÇAMENTO!$AF$7)*OFFSET(ORÇAMENTO!$W$15,ROW(AM448)-ROW(AM$15),0),15-13*ORÇAMENTO!$AF$11)),
         0)</f>
        <v>0</v>
      </c>
      <c r="AN448" s="453">
        <f ca="1">IF(AND($D448="Serviço",AN$12&lt;&gt;0,$H448&gt;0,OR(AUTOEVENTO&lt;&gt;"manual",$M448&lt;&gt;$A$15)),
        IF(Import.TipoArredondamento&lt;&gt;"TransfereGOV",
              ROUND(OFFSET($P448,0,AN$13),15-13*ORÇAMENTO!$AF$7)/$H448*OFFSET(ORÇAMENTO!$X$15,ROW(AN448)-ROW(AN$15),0),
              ROUND(ROUND(OFFSET($P448,0,AN$13),15-13*ORÇAMENTO!$AF$7)*OFFSET(ORÇAMENTO!$W$15,ROW(AN448)-ROW(AN$15),0),15-13*ORÇAMENTO!$AF$11)),
         0)</f>
        <v>0</v>
      </c>
      <c r="AO448" s="453">
        <f ca="1">IF(AND($D448="Serviço",AO$12&lt;&gt;0,$H448&gt;0,OR(AUTOEVENTO&lt;&gt;"manual",$M448&lt;&gt;$A$15)),
        IF(Import.TipoArredondamento&lt;&gt;"TransfereGOV",
              ROUND(OFFSET($P448,0,AO$13),15-13*ORÇAMENTO!$AF$7)/$H448*OFFSET(ORÇAMENTO!$X$15,ROW(AO448)-ROW(AO$15),0),
              ROUND(ROUND(OFFSET($P448,0,AO$13),15-13*ORÇAMENTO!$AF$7)*OFFSET(ORÇAMENTO!$W$15,ROW(AO448)-ROW(AO$15),0),15-13*ORÇAMENTO!$AF$11)),
         0)</f>
        <v>0</v>
      </c>
      <c r="AP448" s="453">
        <f ca="1">IF(AND($D448="Serviço",AP$12&lt;&gt;0,$H448&gt;0,OR(AUTOEVENTO&lt;&gt;"manual",$M448&lt;&gt;$A$15)),
        IF(Import.TipoArredondamento&lt;&gt;"TransfereGOV",
              ROUND(OFFSET($P448,0,AP$13),15-13*ORÇAMENTO!$AF$7)/$H448*OFFSET(ORÇAMENTO!$X$15,ROW(AP448)-ROW(AP$15),0),
              ROUND(ROUND(OFFSET($P448,0,AP$13),15-13*ORÇAMENTO!$AF$7)*OFFSET(ORÇAMENTO!$W$15,ROW(AP448)-ROW(AP$15),0),15-13*ORÇAMENTO!$AF$11)),
         0)</f>
        <v>0</v>
      </c>
      <c r="AQ448" s="453">
        <f ca="1">IF(AND($D448="Serviço",AQ$12&lt;&gt;0,$H448&gt;0,OR(AUTOEVENTO&lt;&gt;"manual",$M448&lt;&gt;$A$15)),
        IF(Import.TipoArredondamento&lt;&gt;"TransfereGOV",
              ROUND(OFFSET($P448,0,AQ$13),15-13*ORÇAMENTO!$AF$7)/$H448*OFFSET(ORÇAMENTO!$X$15,ROW(AQ448)-ROW(AQ$15),0),
              ROUND(ROUND(OFFSET($P448,0,AQ$13),15-13*ORÇAMENTO!$AF$7)*OFFSET(ORÇAMENTO!$W$15,ROW(AQ448)-ROW(AQ$15),0),15-13*ORÇAMENTO!$AF$11)),
         0)</f>
        <v>0</v>
      </c>
      <c r="AR448" s="453">
        <f ca="1">IF(AND($D448="Serviço",AR$12&lt;&gt;0,$H448&gt;0,OR(AUTOEVENTO&lt;&gt;"manual",$M448&lt;&gt;$A$15)),
        IF(Import.TipoArredondamento&lt;&gt;"TransfereGOV",
              ROUND(OFFSET($P448,0,AR$13),15-13*ORÇAMENTO!$AF$7)/$H448*OFFSET(ORÇAMENTO!$X$15,ROW(AR448)-ROW(AR$15),0),
              ROUND(ROUND(OFFSET($P448,0,AR$13),15-13*ORÇAMENTO!$AF$7)*OFFSET(ORÇAMENTO!$W$15,ROW(AR448)-ROW(AR$15),0),15-13*ORÇAMENTO!$AF$11)),
         0)</f>
        <v>0</v>
      </c>
      <c r="AS448" s="453">
        <f ca="1">IF(AND($D448="Serviço",AS$12&lt;&gt;0,$H448&gt;0,OR(AUTOEVENTO&lt;&gt;"manual",$M448&lt;&gt;$A$15)),
        IF(Import.TipoArredondamento&lt;&gt;"TransfereGOV",
              ROUND(OFFSET($P448,0,AS$13),15-13*ORÇAMENTO!$AF$7)/$H448*OFFSET(ORÇAMENTO!$X$15,ROW(AS448)-ROW(AS$15),0),
              ROUND(ROUND(OFFSET($P448,0,AS$13),15-13*ORÇAMENTO!$AF$7)*OFFSET(ORÇAMENTO!$W$15,ROW(AS448)-ROW(AS$15),0),15-13*ORÇAMENTO!$AF$11)),
         0)</f>
        <v>0</v>
      </c>
      <c r="AT448" s="453">
        <f ca="1">IF(AND($D448="Serviço",AT$12&lt;&gt;0,$H448&gt;0,OR(AUTOEVENTO&lt;&gt;"manual",$M448&lt;&gt;$A$15)),
        IF(Import.TipoArredondamento&lt;&gt;"TransfereGOV",
              ROUND(OFFSET($P448,0,AT$13),15-13*ORÇAMENTO!$AF$7)/$H448*OFFSET(ORÇAMENTO!$X$15,ROW(AT448)-ROW(AT$15),0),
              ROUND(ROUND(OFFSET($P448,0,AT$13),15-13*ORÇAMENTO!$AF$7)*OFFSET(ORÇAMENTO!$W$15,ROW(AT448)-ROW(AT$15),0),15-13*ORÇAMENTO!$AF$11)),
         0)</f>
        <v>0</v>
      </c>
      <c r="AU448" s="453">
        <f ca="1">IF(AND($D448="Serviço",AU$12&lt;&gt;0,$H448&gt;0,OR(AUTOEVENTO&lt;&gt;"manual",$M448&lt;&gt;$A$15)),
        IF(Import.TipoArredondamento&lt;&gt;"TransfereGOV",
              ROUND(OFFSET($P448,0,AU$13),15-13*ORÇAMENTO!$AF$7)/$H448*OFFSET(ORÇAMENTO!$X$15,ROW(AU448)-ROW(AU$15),0),
              ROUND(ROUND(OFFSET($P448,0,AU$13),15-13*ORÇAMENTO!$AF$7)*OFFSET(ORÇAMENTO!$W$15,ROW(AU448)-ROW(AU$15),0),15-13*ORÇAMENTO!$AF$11)),
         0)</f>
        <v>0</v>
      </c>
      <c r="AV448" s="453">
        <f ca="1">IF(AND($D448="Serviço",AV$12&lt;&gt;0,$H448&gt;0,OR(AUTOEVENTO&lt;&gt;"manual",$M448&lt;&gt;$A$15)),
        IF(Import.TipoArredondamento&lt;&gt;"TransfereGOV",
              ROUND(OFFSET($P448,0,AV$13),15-13*ORÇAMENTO!$AF$7)/$H448*OFFSET(ORÇAMENTO!$X$15,ROW(AV448)-ROW(AV$15),0),
              ROUND(ROUND(OFFSET($P448,0,AV$13),15-13*ORÇAMENTO!$AF$7)*OFFSET(ORÇAMENTO!$W$15,ROW(AV448)-ROW(AV$15),0),15-13*ORÇAMENTO!$AF$11)),
         0)</f>
        <v>0</v>
      </c>
      <c r="AW448" s="453">
        <f ca="1">IF(AND($D448="Serviço",AW$12&lt;&gt;0,$H448&gt;0,OR(AUTOEVENTO&lt;&gt;"manual",$M448&lt;&gt;$A$15)),
        IF(Import.TipoArredondamento&lt;&gt;"TransfereGOV",
              ROUND(OFFSET($P448,0,AW$13),15-13*ORÇAMENTO!$AF$7)/$H448*OFFSET(ORÇAMENTO!$X$15,ROW(AW448)-ROW(AW$15),0),
              ROUND(ROUND(OFFSET($P448,0,AW$13),15-13*ORÇAMENTO!$AF$7)*OFFSET(ORÇAMENTO!$W$15,ROW(AW448)-ROW(AW$15),0),15-13*ORÇAMENTO!$AF$11)),
         0)</f>
        <v>0</v>
      </c>
      <c r="AX448" s="453">
        <f ca="1">IF(AND($D448="Serviço",AX$12&lt;&gt;0,$H448&gt;0,OR(AUTOEVENTO&lt;&gt;"manual",$M448&lt;&gt;$A$15)),
        IF(Import.TipoArredondamento&lt;&gt;"TransfereGOV",
              ROUND(OFFSET($P448,0,AX$13),15-13*ORÇAMENTO!$AF$7)/$H448*OFFSET(ORÇAMENTO!$X$15,ROW(AX448)-ROW(AX$15),0),
              ROUND(ROUND(OFFSET($P448,0,AX$13),15-13*ORÇAMENTO!$AF$7)*OFFSET(ORÇAMENTO!$W$15,ROW(AX448)-ROW(AX$15),0),15-13*ORÇAMENTO!$AF$11)),
         0)</f>
        <v>0</v>
      </c>
      <c r="AY448" s="453">
        <f ca="1">IF(AND($D448="Serviço",AY$12&lt;&gt;0,$H448&gt;0,OR(AUTOEVENTO&lt;&gt;"manual",$M448&lt;&gt;$A$15)),
        IF(Import.TipoArredondamento&lt;&gt;"TransfereGOV",
              ROUND(OFFSET($P448,0,AY$13),15-13*ORÇAMENTO!$AF$7)/$H448*OFFSET(ORÇAMENTO!$X$15,ROW(AY448)-ROW(AY$15),0),
              ROUND(ROUND(OFFSET($P448,0,AY$13),15-13*ORÇAMENTO!$AF$7)*OFFSET(ORÇAMENTO!$W$15,ROW(AY448)-ROW(AY$15),0),15-13*ORÇAMENTO!$AF$11)),
         0)</f>
        <v>0</v>
      </c>
      <c r="AZ448" s="453">
        <f ca="1">IF(AND($D448="Serviço",AZ$12&lt;&gt;0,$H448&gt;0,OR(AUTOEVENTO&lt;&gt;"manual",$M448&lt;&gt;$A$15)),
        IF(Import.TipoArredondamento&lt;&gt;"TransfereGOV",
              ROUND(OFFSET($P448,0,AZ$13),15-13*ORÇAMENTO!$AF$7)/$H448*OFFSET(ORÇAMENTO!$X$15,ROW(AZ448)-ROW(AZ$15),0),
              ROUND(ROUND(OFFSET($P448,0,AZ$13),15-13*ORÇAMENTO!$AF$7)*OFFSET(ORÇAMENTO!$W$15,ROW(AZ448)-ROW(AZ$15),0),15-13*ORÇAMENTO!$AF$11)),
         0)</f>
        <v>0</v>
      </c>
      <c r="BA448" s="453">
        <f ca="1">IF(AND($D448="Serviço",BA$12&lt;&gt;0,$H448&gt;0,OR(AUTOEVENTO&lt;&gt;"manual",$M448&lt;&gt;$A$15)),
        IF(Import.TipoArredondamento&lt;&gt;"TransfereGOV",
              ROUND(OFFSET($P448,0,BA$13),15-13*ORÇAMENTO!$AF$7)/$H448*OFFSET(ORÇAMENTO!$X$15,ROW(BA448)-ROW(BA$15),0),
              ROUND(ROUND(OFFSET($P448,0,BA$13),15-13*ORÇAMENTO!$AF$7)*OFFSET(ORÇAMENTO!$W$15,ROW(BA448)-ROW(BA$15),0),15-13*ORÇAMENTO!$AF$11)),
         0)</f>
        <v>0</v>
      </c>
      <c r="BC448" s="171">
        <f ca="1">IF(OR($D448&lt;&gt;"Serviço",AND(AUTOEVENTO="Manual",$M448=$A$15)),0,
         IF(OFFSET(CRONOPLE!$F$15,$M448-$A$15,BC$13)=0,10^12,OFFSET(CRONOPLE!$F$15,$M448-$A$15,BC$13)))</f>
        <v>1</v>
      </c>
      <c r="BD448" s="171">
        <f ca="1">IF(OR($D448&lt;&gt;"Serviço",AND(AUTOEVENTO="Manual",$M448=$A$15)),0,
         IF(OFFSET(CRONOPLE!$F$15,$M448-$A$15,BD$13)=0,10^12,OFFSET(CRONOPLE!$F$15,$M448-$A$15,BD$13)))</f>
        <v>2</v>
      </c>
      <c r="BE448" s="171">
        <f ca="1">IF(OR($D448&lt;&gt;"Serviço",AND(AUTOEVENTO="Manual",$M448=$A$15)),0,
         IF(OFFSET(CRONOPLE!$F$15,$M448-$A$15,BE$13)=0,10^12,OFFSET(CRONOPLE!$F$15,$M448-$A$15,BE$13)))</f>
        <v>3</v>
      </c>
      <c r="BF448" s="171">
        <f ca="1">IF(OR($D448&lt;&gt;"Serviço",AND(AUTOEVENTO="Manual",$M448=$A$15)),0,
         IF(OFFSET(CRONOPLE!$F$15,$M448-$A$15,BF$13)=0,10^12,OFFSET(CRONOPLE!$F$15,$M448-$A$15,BF$13)))</f>
        <v>4</v>
      </c>
      <c r="BG448" s="171">
        <f ca="1">IF(OR($D448&lt;&gt;"Serviço",AND(AUTOEVENTO="Manual",$M448=$A$15)),0,
         IF(OFFSET(CRONOPLE!$F$15,$M448-$A$15,BG$13)=0,10^12,OFFSET(CRONOPLE!$F$15,$M448-$A$15,BG$13)))</f>
        <v>5</v>
      </c>
      <c r="BH448" s="171">
        <f ca="1">IF(OR($D448&lt;&gt;"Serviço",AND(AUTOEVENTO="Manual",$M448=$A$15)),0,
         IF(OFFSET(CRONOPLE!$F$15,$M448-$A$15,BH$13)=0,10^12,OFFSET(CRONOPLE!$F$15,$M448-$A$15,BH$13)))</f>
        <v>6</v>
      </c>
      <c r="BI448" s="171">
        <f ca="1">IF(OR($D448&lt;&gt;"Serviço",AND(AUTOEVENTO="Manual",$M448=$A$15)),0,
         IF(OFFSET(CRONOPLE!$F$15,$M448-$A$15,BI$13)=0,10^12,OFFSET(CRONOPLE!$F$15,$M448-$A$15,BI$13)))</f>
        <v>7</v>
      </c>
      <c r="BJ448" s="171">
        <f ca="1">IF(OR($D448&lt;&gt;"Serviço",AND(AUTOEVENTO="Manual",$M448=$A$15)),0,
         IF(OFFSET(CRONOPLE!$F$15,$M448-$A$15,BJ$13)=0,10^12,OFFSET(CRONOPLE!$F$15,$M448-$A$15,BJ$13)))</f>
        <v>8</v>
      </c>
      <c r="BK448" s="171">
        <f ca="1">IF(OR($D448&lt;&gt;"Serviço",AND(AUTOEVENTO="Manual",$M448=$A$15)),0,
         IF(OFFSET(CRONOPLE!$F$15,$M448-$A$15,BK$13)=0,10^12,OFFSET(CRONOPLE!$F$15,$M448-$A$15,BK$13)))</f>
        <v>9</v>
      </c>
      <c r="BL448" s="171">
        <f ca="1">IF(OR($D448&lt;&gt;"Serviço",AND(AUTOEVENTO="Manual",$M448=$A$15)),0,
         IF(OFFSET(CRONOPLE!$F$15,$M448-$A$15,BL$13)=0,10^12,OFFSET(CRONOPLE!$F$15,$M448-$A$15,BL$13)))</f>
        <v>1000000000000</v>
      </c>
      <c r="BM448" s="171">
        <f ca="1">IF(OR($D448&lt;&gt;"Serviço",AND(AUTOEVENTO="Manual",$M448=$A$15)),0,
         IF(OFFSET(CRONOPLE!$F$15,$M448-$A$15,BM$13)=0,10^12,OFFSET(CRONOPLE!$F$15,$M448-$A$15,BM$13)))</f>
        <v>1000000000000</v>
      </c>
      <c r="BN448" s="171">
        <f ca="1">IF(OR($D448&lt;&gt;"Serviço",AND(AUTOEVENTO="Manual",$M448=$A$15)),0,
         IF(OFFSET(CRONOPLE!$F$15,$M448-$A$15,BN$13)=0,10^12,OFFSET(CRONOPLE!$F$15,$M448-$A$15,BN$13)))</f>
        <v>1000000000000</v>
      </c>
      <c r="BO448" s="171">
        <f ca="1">IF(OR($D448&lt;&gt;"Serviço",AND(AUTOEVENTO="Manual",$M448=$A$15)),0,
         IF(OFFSET(CRONOPLE!$F$15,$M448-$A$15,BO$13)=0,10^12,OFFSET(CRONOPLE!$F$15,$M448-$A$15,BO$13)))</f>
        <v>1000000000000</v>
      </c>
      <c r="BP448" s="171">
        <f ca="1">IF(OR($D448&lt;&gt;"Serviço",AND(AUTOEVENTO="Manual",$M448=$A$15)),0,
         IF(OFFSET(CRONOPLE!$F$15,$M448-$A$15,BP$13)=0,10^12,OFFSET(CRONOPLE!$F$15,$M448-$A$15,BP$13)))</f>
        <v>1000000000000</v>
      </c>
      <c r="BQ448" s="171">
        <f ca="1">IF(OR($D448&lt;&gt;"Serviço",AND(AUTOEVENTO="Manual",$M448=$A$15)),0,
         IF(OFFSET(CRONOPLE!$F$15,$M448-$A$15,BQ$13)=0,10^12,OFFSET(CRONOPLE!$F$15,$M448-$A$15,BQ$13)))</f>
        <v>1000000000000</v>
      </c>
      <c r="BR448" s="171">
        <f ca="1">IF(OR($D448&lt;&gt;"Serviço",AND(AUTOEVENTO="Manual",$M448=$A$15)),0,
         IF(OFFSET(CRONOPLE!$F$15,$M448-$A$15,BR$13)=0,10^12,OFFSET(CRONOPLE!$F$15,$M448-$A$15,BR$13)))</f>
        <v>1000000000000</v>
      </c>
      <c r="BS448" s="171">
        <f ca="1">IF(OR($D448&lt;&gt;"Serviço",AND(AUTOEVENTO="Manual",$M448=$A$15)),0,
         IF(OFFSET(CRONOPLE!$F$15,$M448-$A$15,BS$13)=0,10^12,OFFSET(CRONOPLE!$F$15,$M448-$A$15,BS$13)))</f>
        <v>1000000000000</v>
      </c>
      <c r="BT448" s="171">
        <f ca="1">IF(OR($D448&lt;&gt;"Serviço",AND(AUTOEVENTO="Manual",$M448=$A$15)),0,
         IF(OFFSET(CRONOPLE!$F$15,$M448-$A$15,BT$13)=0,10^12,OFFSET(CRONOPLE!$F$15,$M448-$A$15,BT$13)))</f>
        <v>1000000000000</v>
      </c>
      <c r="BV448" s="172">
        <f ca="1">IF(OR($D448&lt;&gt;"Serviço",AND(AUTOEVENTO="Manual",$M448=$A$15),$M448&gt;(ROW(PLE.lastrow)-ROW(PLE.firstrow))),0,
           IF(OFFSET(PLE!$G$15,$M448-$A$15,BV$13)="",10^12,OFFSET(PLE!$G$15,$M448-$A$15,BV$13)))</f>
        <v>1000000000000</v>
      </c>
      <c r="BW448" s="172">
        <f ca="1">IF(OR($D448&lt;&gt;"Serviço",AND(AUTOEVENTO="Manual",$M448=$A$15),$M448&gt;(ROW(PLE.lastrow)-ROW(PLE.firstrow))),0,
           IF(OFFSET(PLE!$G$15,$M448-$A$15,BW$13)="",10^12,OFFSET(PLE!$G$15,$M448-$A$15,BW$13)))</f>
        <v>1000000000000</v>
      </c>
      <c r="BX448" s="172">
        <f ca="1">IF(OR($D448&lt;&gt;"Serviço",AND(AUTOEVENTO="Manual",$M448=$A$15),$M448&gt;(ROW(PLE.lastrow)-ROW(PLE.firstrow))),0,
           IF(OFFSET(PLE!$G$15,$M448-$A$15,BX$13)="",10^12,OFFSET(PLE!$G$15,$M448-$A$15,BX$13)))</f>
        <v>1000000000000</v>
      </c>
      <c r="BY448" s="172">
        <f ca="1">IF(OR($D448&lt;&gt;"Serviço",AND(AUTOEVENTO="Manual",$M448=$A$15),$M448&gt;(ROW(PLE.lastrow)-ROW(PLE.firstrow))),0,
           IF(OFFSET(PLE!$G$15,$M448-$A$15,BY$13)="",10^12,OFFSET(PLE!$G$15,$M448-$A$15,BY$13)))</f>
        <v>1000000000000</v>
      </c>
      <c r="BZ448" s="172">
        <f ca="1">IF(OR($D448&lt;&gt;"Serviço",AND(AUTOEVENTO="Manual",$M448=$A$15),$M448&gt;(ROW(PLE.lastrow)-ROW(PLE.firstrow))),0,
           IF(OFFSET(PLE!$G$15,$M448-$A$15,BZ$13)="",10^12,OFFSET(PLE!$G$15,$M448-$A$15,BZ$13)))</f>
        <v>1000000000000</v>
      </c>
      <c r="CA448" s="172">
        <f ca="1">IF(OR($D448&lt;&gt;"Serviço",AND(AUTOEVENTO="Manual",$M448=$A$15),$M448&gt;(ROW(PLE.lastrow)-ROW(PLE.firstrow))),0,
           IF(OFFSET(PLE!$G$15,$M448-$A$15,CA$13)="",10^12,OFFSET(PLE!$G$15,$M448-$A$15,CA$13)))</f>
        <v>1000000000000</v>
      </c>
      <c r="CB448" s="172">
        <f ca="1">IF(OR($D448&lt;&gt;"Serviço",AND(AUTOEVENTO="Manual",$M448=$A$15),$M448&gt;(ROW(PLE.lastrow)-ROW(PLE.firstrow))),0,
           IF(OFFSET(PLE!$G$15,$M448-$A$15,CB$13)="",10^12,OFFSET(PLE!$G$15,$M448-$A$15,CB$13)))</f>
        <v>1000000000000</v>
      </c>
      <c r="CC448" s="172">
        <f ca="1">IF(OR($D448&lt;&gt;"Serviço",AND(AUTOEVENTO="Manual",$M448=$A$15),$M448&gt;(ROW(PLE.lastrow)-ROW(PLE.firstrow))),0,
           IF(OFFSET(PLE!$G$15,$M448-$A$15,CC$13)="",10^12,OFFSET(PLE!$G$15,$M448-$A$15,CC$13)))</f>
        <v>1000000000000</v>
      </c>
      <c r="CD448" s="172">
        <f ca="1">IF(OR($D448&lt;&gt;"Serviço",AND(AUTOEVENTO="Manual",$M448=$A$15),$M448&gt;(ROW(PLE.lastrow)-ROW(PLE.firstrow))),0,
           IF(OFFSET(PLE!$G$15,$M448-$A$15,CD$13)="",10^12,OFFSET(PLE!$G$15,$M448-$A$15,CD$13)))</f>
        <v>1000000000000</v>
      </c>
      <c r="CE448" s="172">
        <f ca="1">IF(OR($D448&lt;&gt;"Serviço",AND(AUTOEVENTO="Manual",$M448=$A$15),$M448&gt;(ROW(PLE.lastrow)-ROW(PLE.firstrow))),0,
           IF(OFFSET(PLE!$G$15,$M448-$A$15,CE$13)="",10^12,OFFSET(PLE!$G$15,$M448-$A$15,CE$13)))</f>
        <v>1000000000000</v>
      </c>
      <c r="CF448" s="172">
        <f ca="1">IF(OR($D448&lt;&gt;"Serviço",AND(AUTOEVENTO="Manual",$M448=$A$15),$M448&gt;(ROW(PLE.lastrow)-ROW(PLE.firstrow))),0,
           IF(OFFSET(PLE!$G$15,$M448-$A$15,CF$13)="",10^12,OFFSET(PLE!$G$15,$M448-$A$15,CF$13)))</f>
        <v>1000000000000</v>
      </c>
      <c r="CG448" s="172">
        <f ca="1">IF(OR($D448&lt;&gt;"Serviço",AND(AUTOEVENTO="Manual",$M448=$A$15),$M448&gt;(ROW(PLE.lastrow)-ROW(PLE.firstrow))),0,
           IF(OFFSET(PLE!$G$15,$M448-$A$15,CG$13)="",10^12,OFFSET(PLE!$G$15,$M448-$A$15,CG$13)))</f>
        <v>1000000000000</v>
      </c>
      <c r="CH448" s="172">
        <f ca="1">IF(OR($D448&lt;&gt;"Serviço",AND(AUTOEVENTO="Manual",$M448=$A$15),$M448&gt;(ROW(PLE.lastrow)-ROW(PLE.firstrow))),0,
           IF(OFFSET(PLE!$G$15,$M448-$A$15,CH$13)="",10^12,OFFSET(PLE!$G$15,$M448-$A$15,CH$13)))</f>
        <v>1000000000000</v>
      </c>
      <c r="CI448" s="172">
        <f ca="1">IF(OR($D448&lt;&gt;"Serviço",AND(AUTOEVENTO="Manual",$M448=$A$15),$M448&gt;(ROW(PLE.lastrow)-ROW(PLE.firstrow))),0,
           IF(OFFSET(PLE!$G$15,$M448-$A$15,CI$13)="",10^12,OFFSET(PLE!$G$15,$M448-$A$15,CI$13)))</f>
        <v>1000000000000</v>
      </c>
      <c r="CJ448" s="172">
        <f ca="1">IF(OR($D448&lt;&gt;"Serviço",AND(AUTOEVENTO="Manual",$M448=$A$15),$M448&gt;(ROW(PLE.lastrow)-ROW(PLE.firstrow))),0,
           IF(OFFSET(PLE!$G$15,$M448-$A$15,CJ$13)="",10^12,OFFSET(PLE!$G$15,$M448-$A$15,CJ$13)))</f>
        <v>1000000000000</v>
      </c>
      <c r="CK448" s="172">
        <f ca="1">IF(OR($D448&lt;&gt;"Serviço",AND(AUTOEVENTO="Manual",$M448=$A$15),$M448&gt;(ROW(PLE.lastrow)-ROW(PLE.firstrow))),0,
           IF(OFFSET(PLE!$G$15,$M448-$A$15,CK$13)="",10^12,OFFSET(PLE!$G$15,$M448-$A$15,CK$13)))</f>
        <v>1000000000000</v>
      </c>
      <c r="CL448" s="172">
        <f ca="1">IF(OR($D448&lt;&gt;"Serviço",AND(AUTOEVENTO="Manual",$M448=$A$15),$M448&gt;(ROW(PLE.lastrow)-ROW(PLE.firstrow))),0,
           IF(OFFSET(PLE!$G$15,$M448-$A$15,CL$13)="",10^12,OFFSET(PLE!$G$15,$M448-$A$15,CL$13)))</f>
        <v>1000000000000</v>
      </c>
      <c r="CM448" s="172">
        <f ca="1">IF(OR($D448&lt;&gt;"Serviço",AND(AUTOEVENTO="Manual",$M448=$A$15),$M448&gt;(ROW(PLE.lastrow)-ROW(PLE.firstrow))),0,
           IF(OFFSET(PLE!$G$15,$M448-$A$15,CM$13)="",10^12,OFFSET(PLE!$G$15,$M448-$A$15,CM$13)))</f>
        <v>1000000000000</v>
      </c>
    </row>
    <row r="449" spans="1:91" ht="38.25" x14ac:dyDescent="0.2">
      <c r="A449" s="7">
        <f t="shared" ca="1" si="16"/>
        <v>8</v>
      </c>
      <c r="B449" s="7" t="str">
        <f ca="1">OFFSET(ORÇAMENTO!C$15,ROW(B449)-ROW(B$15),0)</f>
        <v>S</v>
      </c>
      <c r="C449" s="7" t="str">
        <f ca="1">OFFSET(ORÇAMENTO!L$15,ROW(C449)-ROW(C$15),0)</f>
        <v>F</v>
      </c>
      <c r="D449" s="116" t="str">
        <f ca="1">OFFSET(ORÇAMENTO!N$15,ROW(D449)-ROW(D$15),0)</f>
        <v>Serviço</v>
      </c>
      <c r="E449" s="117" t="str">
        <f ca="1">OFFSET(ORÇAMENTO!O$15,ROW(E449)-ROW(E$15),0)</f>
        <v>1.9.1.0.7.</v>
      </c>
      <c r="F449" s="163" t="str">
        <f ca="1">OFFSET(ORÇAMENTO!R$15,ROW(F449)-ROW(F$15),0)</f>
        <v>CONDULETE DE ALUMÍNIO, TIPO "X", DIÂMETRO DE SAÍDA 1" (25MM), EXCLUSIVE MÓDULO E PLACA, INCLUSIVE FIXAÇÃO</v>
      </c>
      <c r="G449" s="164" t="str">
        <f ca="1">IF($D449&lt;&gt;"Serviço","",OFFSET(ORÇAMENTO!S$15,ROW(G449)-ROW(G$15),0))</f>
        <v>UN</v>
      </c>
      <c r="H449" s="122" cm="1">
        <f t="array" aca="1" ref="H449" ca="1">IF($D449&lt;&gt;"Serviço",0,IF(ACOMPANHAMENTO="BM",ROUND(OFFSET(ORÇAMENTO!AJ$15,ROW(H449)-ROW(H$15),0),15-13*ORÇAMENTO!$AF$7),SUMPRODUCT(($Q$1:$AI$1=1)*ROUND($Q449:$AI449,15-13*ORÇAMENTO!$AF$7))))</f>
        <v>28</v>
      </c>
      <c r="I449" s="468" t="s">
        <v>1432</v>
      </c>
      <c r="J449" s="640" t="str" cm="1">
        <f t="array" aca="1" ref="J449" ca="1">IF(OR(B449&lt;&gt;"S",CÁLCULO.FrentesPreenchidas=0),"",IF(AND(ACOMPANHAMENTO="PLE",AUTOEVENTO="Manual",OR(H449&gt;0,ORÇAMENTO!AC449="QUANT."),OR(K449="",M449=0,N449="")),"►E",IF(AND(ACOMPANHAMENTO="PLE",ORÇAMENTO!AC449="QUANT."),"►Q",IF(AND(ACOMPANHAMENTO="PLE",H449&lt;&gt;SUMPRODUCT(($Q$1:$AI$1=1)*ROUND(Q449:AI449,15))),"►S",IF(AND(COUNTIF($P$11:$AI$11,"▼")=0,H449&gt;0,I449=""),"◄M","")))))</f>
        <v/>
      </c>
      <c r="K449" s="641" t="s">
        <v>1392</v>
      </c>
      <c r="L449" s="165" t="s">
        <v>764</v>
      </c>
      <c r="M449" s="166">
        <f ca="1">IF($D449&lt;&gt;"Serviço","",
          IF(AUTOEVENTO="manual",$A449,
                IF(ISERROR(MATCH($A449,$A$15:OFFSET($A449,-1,0),0)),MAX($M$15:OFFSET(M449,-1,0))+1,
                      INDEX($M$15:OFFSET(M449,-1,0),MATCH($A449,$A$15:OFFSET($A449,-1,0),0)))))</f>
        <v>8</v>
      </c>
      <c r="N449" s="167" t="str">
        <f ca="1">IF($D449&lt;&gt;"Serviço","",
         IF(AUTOEVENTO="Manual",
                IF($A449=0,"&lt;-- defina o número do agrupador",
                       OFFSET(EVENTOS!$D$15,$A449-$A$15,0)),
                OFFSET($F$15,$A449,0)))</f>
        <v>CFTV</v>
      </c>
      <c r="O449" s="168"/>
      <c r="Q449" s="168"/>
      <c r="R449" s="169"/>
      <c r="S449" s="169"/>
      <c r="T449" s="169"/>
      <c r="U449" s="169"/>
      <c r="V449" s="169"/>
      <c r="W449" s="169"/>
      <c r="X449" s="169"/>
      <c r="Y449" s="169">
        <v>28</v>
      </c>
      <c r="Z449" s="170"/>
      <c r="AA449" s="169"/>
      <c r="AB449" s="169"/>
      <c r="AC449" s="169"/>
      <c r="AD449" s="169"/>
      <c r="AE449" s="169"/>
      <c r="AF449" s="169"/>
      <c r="AG449" s="169"/>
      <c r="AH449" s="170"/>
      <c r="AJ449" s="453">
        <f ca="1">IF(AND($D449="Serviço",AJ$12&lt;&gt;0,$H449&gt;0,OR(AUTOEVENTO&lt;&gt;"manual",$M449&lt;&gt;$A$15)),
        IF(Import.TipoArredondamento&lt;&gt;"TransfereGOV",
              ROUND(OFFSET($P449,0,AJ$13),15-13*ORÇAMENTO!$AF$7)/$H449*OFFSET(ORÇAMENTO!$X$15,ROW(AJ449)-ROW(AJ$15),0),
              ROUND(ROUND(OFFSET($P449,0,AJ$13),15-13*ORÇAMENTO!$AF$7)*OFFSET(ORÇAMENTO!$W$15,ROW(AJ449)-ROW(AJ$15),0),15-13*ORÇAMENTO!$AF$11)),
         0)</f>
        <v>0</v>
      </c>
      <c r="AK449" s="453">
        <f ca="1">IF(AND($D449="Serviço",AK$12&lt;&gt;0,$H449&gt;0,OR(AUTOEVENTO&lt;&gt;"manual",$M449&lt;&gt;$A$15)),
        IF(Import.TipoArredondamento&lt;&gt;"TransfereGOV",
              ROUND(OFFSET($P449,0,AK$13),15-13*ORÇAMENTO!$AF$7)/$H449*OFFSET(ORÇAMENTO!$X$15,ROW(AK449)-ROW(AK$15),0),
              ROUND(ROUND(OFFSET($P449,0,AK$13),15-13*ORÇAMENTO!$AF$7)*OFFSET(ORÇAMENTO!$W$15,ROW(AK449)-ROW(AK$15),0),15-13*ORÇAMENTO!$AF$11)),
         0)</f>
        <v>0</v>
      </c>
      <c r="AL449" s="453">
        <f ca="1">IF(AND($D449="Serviço",AL$12&lt;&gt;0,$H449&gt;0,OR(AUTOEVENTO&lt;&gt;"manual",$M449&lt;&gt;$A$15)),
        IF(Import.TipoArredondamento&lt;&gt;"TransfereGOV",
              ROUND(OFFSET($P449,0,AL$13),15-13*ORÇAMENTO!$AF$7)/$H449*OFFSET(ORÇAMENTO!$X$15,ROW(AL449)-ROW(AL$15),0),
              ROUND(ROUND(OFFSET($P449,0,AL$13),15-13*ORÇAMENTO!$AF$7)*OFFSET(ORÇAMENTO!$W$15,ROW(AL449)-ROW(AL$15),0),15-13*ORÇAMENTO!$AF$11)),
         0)</f>
        <v>0</v>
      </c>
      <c r="AM449" s="453">
        <f ca="1">IF(AND($D449="Serviço",AM$12&lt;&gt;0,$H449&gt;0,OR(AUTOEVENTO&lt;&gt;"manual",$M449&lt;&gt;$A$15)),
        IF(Import.TipoArredondamento&lt;&gt;"TransfereGOV",
              ROUND(OFFSET($P449,0,AM$13),15-13*ORÇAMENTO!$AF$7)/$H449*OFFSET(ORÇAMENTO!$X$15,ROW(AM449)-ROW(AM$15),0),
              ROUND(ROUND(OFFSET($P449,0,AM$13),15-13*ORÇAMENTO!$AF$7)*OFFSET(ORÇAMENTO!$W$15,ROW(AM449)-ROW(AM$15),0),15-13*ORÇAMENTO!$AF$11)),
         0)</f>
        <v>0</v>
      </c>
      <c r="AN449" s="453">
        <f ca="1">IF(AND($D449="Serviço",AN$12&lt;&gt;0,$H449&gt;0,OR(AUTOEVENTO&lt;&gt;"manual",$M449&lt;&gt;$A$15)),
        IF(Import.TipoArredondamento&lt;&gt;"TransfereGOV",
              ROUND(OFFSET($P449,0,AN$13),15-13*ORÇAMENTO!$AF$7)/$H449*OFFSET(ORÇAMENTO!$X$15,ROW(AN449)-ROW(AN$15),0),
              ROUND(ROUND(OFFSET($P449,0,AN$13),15-13*ORÇAMENTO!$AF$7)*OFFSET(ORÇAMENTO!$W$15,ROW(AN449)-ROW(AN$15),0),15-13*ORÇAMENTO!$AF$11)),
         0)</f>
        <v>0</v>
      </c>
      <c r="AO449" s="453">
        <f ca="1">IF(AND($D449="Serviço",AO$12&lt;&gt;0,$H449&gt;0,OR(AUTOEVENTO&lt;&gt;"manual",$M449&lt;&gt;$A$15)),
        IF(Import.TipoArredondamento&lt;&gt;"TransfereGOV",
              ROUND(OFFSET($P449,0,AO$13),15-13*ORÇAMENTO!$AF$7)/$H449*OFFSET(ORÇAMENTO!$X$15,ROW(AO449)-ROW(AO$15),0),
              ROUND(ROUND(OFFSET($P449,0,AO$13),15-13*ORÇAMENTO!$AF$7)*OFFSET(ORÇAMENTO!$W$15,ROW(AO449)-ROW(AO$15),0),15-13*ORÇAMENTO!$AF$11)),
         0)</f>
        <v>0</v>
      </c>
      <c r="AP449" s="453">
        <f ca="1">IF(AND($D449="Serviço",AP$12&lt;&gt;0,$H449&gt;0,OR(AUTOEVENTO&lt;&gt;"manual",$M449&lt;&gt;$A$15)),
        IF(Import.TipoArredondamento&lt;&gt;"TransfereGOV",
              ROUND(OFFSET($P449,0,AP$13),15-13*ORÇAMENTO!$AF$7)/$H449*OFFSET(ORÇAMENTO!$X$15,ROW(AP449)-ROW(AP$15),0),
              ROUND(ROUND(OFFSET($P449,0,AP$13),15-13*ORÇAMENTO!$AF$7)*OFFSET(ORÇAMENTO!$W$15,ROW(AP449)-ROW(AP$15),0),15-13*ORÇAMENTO!$AF$11)),
         0)</f>
        <v>0</v>
      </c>
      <c r="AQ449" s="453">
        <f ca="1">IF(AND($D449="Serviço",AQ$12&lt;&gt;0,$H449&gt;0,OR(AUTOEVENTO&lt;&gt;"manual",$M449&lt;&gt;$A$15)),
        IF(Import.TipoArredondamento&lt;&gt;"TransfereGOV",
              ROUND(OFFSET($P449,0,AQ$13),15-13*ORÇAMENTO!$AF$7)/$H449*OFFSET(ORÇAMENTO!$X$15,ROW(AQ449)-ROW(AQ$15),0),
              ROUND(ROUND(OFFSET($P449,0,AQ$13),15-13*ORÇAMENTO!$AF$7)*OFFSET(ORÇAMENTO!$W$15,ROW(AQ449)-ROW(AQ$15),0),15-13*ORÇAMENTO!$AF$11)),
         0)</f>
        <v>0</v>
      </c>
      <c r="AR449" s="453">
        <f ca="1">IF(AND($D449="Serviço",AR$12&lt;&gt;0,$H449&gt;0,OR(AUTOEVENTO&lt;&gt;"manual",$M449&lt;&gt;$A$15)),
        IF(Import.TipoArredondamento&lt;&gt;"TransfereGOV",
              ROUND(OFFSET($P449,0,AR$13),15-13*ORÇAMENTO!$AF$7)/$H449*OFFSET(ORÇAMENTO!$X$15,ROW(AR449)-ROW(AR$15),0),
              ROUND(ROUND(OFFSET($P449,0,AR$13),15-13*ORÇAMENTO!$AF$7)*OFFSET(ORÇAMENTO!$W$15,ROW(AR449)-ROW(AR$15),0),15-13*ORÇAMENTO!$AF$11)),
         0)</f>
        <v>0</v>
      </c>
      <c r="AS449" s="453">
        <f ca="1">IF(AND($D449="Serviço",AS$12&lt;&gt;0,$H449&gt;0,OR(AUTOEVENTO&lt;&gt;"manual",$M449&lt;&gt;$A$15)),
        IF(Import.TipoArredondamento&lt;&gt;"TransfereGOV",
              ROUND(OFFSET($P449,0,AS$13),15-13*ORÇAMENTO!$AF$7)/$H449*OFFSET(ORÇAMENTO!$X$15,ROW(AS449)-ROW(AS$15),0),
              ROUND(ROUND(OFFSET($P449,0,AS$13),15-13*ORÇAMENTO!$AF$7)*OFFSET(ORÇAMENTO!$W$15,ROW(AS449)-ROW(AS$15),0),15-13*ORÇAMENTO!$AF$11)),
         0)</f>
        <v>0</v>
      </c>
      <c r="AT449" s="453">
        <f ca="1">IF(AND($D449="Serviço",AT$12&lt;&gt;0,$H449&gt;0,OR(AUTOEVENTO&lt;&gt;"manual",$M449&lt;&gt;$A$15)),
        IF(Import.TipoArredondamento&lt;&gt;"TransfereGOV",
              ROUND(OFFSET($P449,0,AT$13),15-13*ORÇAMENTO!$AF$7)/$H449*OFFSET(ORÇAMENTO!$X$15,ROW(AT449)-ROW(AT$15),0),
              ROUND(ROUND(OFFSET($P449,0,AT$13),15-13*ORÇAMENTO!$AF$7)*OFFSET(ORÇAMENTO!$W$15,ROW(AT449)-ROW(AT$15),0),15-13*ORÇAMENTO!$AF$11)),
         0)</f>
        <v>0</v>
      </c>
      <c r="AU449" s="453">
        <f ca="1">IF(AND($D449="Serviço",AU$12&lt;&gt;0,$H449&gt;0,OR(AUTOEVENTO&lt;&gt;"manual",$M449&lt;&gt;$A$15)),
        IF(Import.TipoArredondamento&lt;&gt;"TransfereGOV",
              ROUND(OFFSET($P449,0,AU$13),15-13*ORÇAMENTO!$AF$7)/$H449*OFFSET(ORÇAMENTO!$X$15,ROW(AU449)-ROW(AU$15),0),
              ROUND(ROUND(OFFSET($P449,0,AU$13),15-13*ORÇAMENTO!$AF$7)*OFFSET(ORÇAMENTO!$W$15,ROW(AU449)-ROW(AU$15),0),15-13*ORÇAMENTO!$AF$11)),
         0)</f>
        <v>0</v>
      </c>
      <c r="AV449" s="453">
        <f ca="1">IF(AND($D449="Serviço",AV$12&lt;&gt;0,$H449&gt;0,OR(AUTOEVENTO&lt;&gt;"manual",$M449&lt;&gt;$A$15)),
        IF(Import.TipoArredondamento&lt;&gt;"TransfereGOV",
              ROUND(OFFSET($P449,0,AV$13),15-13*ORÇAMENTO!$AF$7)/$H449*OFFSET(ORÇAMENTO!$X$15,ROW(AV449)-ROW(AV$15),0),
              ROUND(ROUND(OFFSET($P449,0,AV$13),15-13*ORÇAMENTO!$AF$7)*OFFSET(ORÇAMENTO!$W$15,ROW(AV449)-ROW(AV$15),0),15-13*ORÇAMENTO!$AF$11)),
         0)</f>
        <v>0</v>
      </c>
      <c r="AW449" s="453">
        <f ca="1">IF(AND($D449="Serviço",AW$12&lt;&gt;0,$H449&gt;0,OR(AUTOEVENTO&lt;&gt;"manual",$M449&lt;&gt;$A$15)),
        IF(Import.TipoArredondamento&lt;&gt;"TransfereGOV",
              ROUND(OFFSET($P449,0,AW$13),15-13*ORÇAMENTO!$AF$7)/$H449*OFFSET(ORÇAMENTO!$X$15,ROW(AW449)-ROW(AW$15),0),
              ROUND(ROUND(OFFSET($P449,0,AW$13),15-13*ORÇAMENTO!$AF$7)*OFFSET(ORÇAMENTO!$W$15,ROW(AW449)-ROW(AW$15),0),15-13*ORÇAMENTO!$AF$11)),
         0)</f>
        <v>0</v>
      </c>
      <c r="AX449" s="453">
        <f ca="1">IF(AND($D449="Serviço",AX$12&lt;&gt;0,$H449&gt;0,OR(AUTOEVENTO&lt;&gt;"manual",$M449&lt;&gt;$A$15)),
        IF(Import.TipoArredondamento&lt;&gt;"TransfereGOV",
              ROUND(OFFSET($P449,0,AX$13),15-13*ORÇAMENTO!$AF$7)/$H449*OFFSET(ORÇAMENTO!$X$15,ROW(AX449)-ROW(AX$15),0),
              ROUND(ROUND(OFFSET($P449,0,AX$13),15-13*ORÇAMENTO!$AF$7)*OFFSET(ORÇAMENTO!$W$15,ROW(AX449)-ROW(AX$15),0),15-13*ORÇAMENTO!$AF$11)),
         0)</f>
        <v>0</v>
      </c>
      <c r="AY449" s="453">
        <f ca="1">IF(AND($D449="Serviço",AY$12&lt;&gt;0,$H449&gt;0,OR(AUTOEVENTO&lt;&gt;"manual",$M449&lt;&gt;$A$15)),
        IF(Import.TipoArredondamento&lt;&gt;"TransfereGOV",
              ROUND(OFFSET($P449,0,AY$13),15-13*ORÇAMENTO!$AF$7)/$H449*OFFSET(ORÇAMENTO!$X$15,ROW(AY449)-ROW(AY$15),0),
              ROUND(ROUND(OFFSET($P449,0,AY$13),15-13*ORÇAMENTO!$AF$7)*OFFSET(ORÇAMENTO!$W$15,ROW(AY449)-ROW(AY$15),0),15-13*ORÇAMENTO!$AF$11)),
         0)</f>
        <v>0</v>
      </c>
      <c r="AZ449" s="453">
        <f ca="1">IF(AND($D449="Serviço",AZ$12&lt;&gt;0,$H449&gt;0,OR(AUTOEVENTO&lt;&gt;"manual",$M449&lt;&gt;$A$15)),
        IF(Import.TipoArredondamento&lt;&gt;"TransfereGOV",
              ROUND(OFFSET($P449,0,AZ$13),15-13*ORÇAMENTO!$AF$7)/$H449*OFFSET(ORÇAMENTO!$X$15,ROW(AZ449)-ROW(AZ$15),0),
              ROUND(ROUND(OFFSET($P449,0,AZ$13),15-13*ORÇAMENTO!$AF$7)*OFFSET(ORÇAMENTO!$W$15,ROW(AZ449)-ROW(AZ$15),0),15-13*ORÇAMENTO!$AF$11)),
         0)</f>
        <v>0</v>
      </c>
      <c r="BA449" s="453">
        <f ca="1">IF(AND($D449="Serviço",BA$12&lt;&gt;0,$H449&gt;0,OR(AUTOEVENTO&lt;&gt;"manual",$M449&lt;&gt;$A$15)),
        IF(Import.TipoArredondamento&lt;&gt;"TransfereGOV",
              ROUND(OFFSET($P449,0,BA$13),15-13*ORÇAMENTO!$AF$7)/$H449*OFFSET(ORÇAMENTO!$X$15,ROW(BA449)-ROW(BA$15),0),
              ROUND(ROUND(OFFSET($P449,0,BA$13),15-13*ORÇAMENTO!$AF$7)*OFFSET(ORÇAMENTO!$W$15,ROW(BA449)-ROW(BA$15),0),15-13*ORÇAMENTO!$AF$11)),
         0)</f>
        <v>0</v>
      </c>
      <c r="BC449" s="171">
        <f ca="1">IF(OR($D449&lt;&gt;"Serviço",AND(AUTOEVENTO="Manual",$M449=$A$15)),0,
         IF(OFFSET(CRONOPLE!$F$15,$M449-$A$15,BC$13)=0,10^12,OFFSET(CRONOPLE!$F$15,$M449-$A$15,BC$13)))</f>
        <v>1</v>
      </c>
      <c r="BD449" s="171">
        <f ca="1">IF(OR($D449&lt;&gt;"Serviço",AND(AUTOEVENTO="Manual",$M449=$A$15)),0,
         IF(OFFSET(CRONOPLE!$F$15,$M449-$A$15,BD$13)=0,10^12,OFFSET(CRONOPLE!$F$15,$M449-$A$15,BD$13)))</f>
        <v>2</v>
      </c>
      <c r="BE449" s="171">
        <f ca="1">IF(OR($D449&lt;&gt;"Serviço",AND(AUTOEVENTO="Manual",$M449=$A$15)),0,
         IF(OFFSET(CRONOPLE!$F$15,$M449-$A$15,BE$13)=0,10^12,OFFSET(CRONOPLE!$F$15,$M449-$A$15,BE$13)))</f>
        <v>3</v>
      </c>
      <c r="BF449" s="171">
        <f ca="1">IF(OR($D449&lt;&gt;"Serviço",AND(AUTOEVENTO="Manual",$M449=$A$15)),0,
         IF(OFFSET(CRONOPLE!$F$15,$M449-$A$15,BF$13)=0,10^12,OFFSET(CRONOPLE!$F$15,$M449-$A$15,BF$13)))</f>
        <v>4</v>
      </c>
      <c r="BG449" s="171">
        <f ca="1">IF(OR($D449&lt;&gt;"Serviço",AND(AUTOEVENTO="Manual",$M449=$A$15)),0,
         IF(OFFSET(CRONOPLE!$F$15,$M449-$A$15,BG$13)=0,10^12,OFFSET(CRONOPLE!$F$15,$M449-$A$15,BG$13)))</f>
        <v>5</v>
      </c>
      <c r="BH449" s="171">
        <f ca="1">IF(OR($D449&lt;&gt;"Serviço",AND(AUTOEVENTO="Manual",$M449=$A$15)),0,
         IF(OFFSET(CRONOPLE!$F$15,$M449-$A$15,BH$13)=0,10^12,OFFSET(CRONOPLE!$F$15,$M449-$A$15,BH$13)))</f>
        <v>6</v>
      </c>
      <c r="BI449" s="171">
        <f ca="1">IF(OR($D449&lt;&gt;"Serviço",AND(AUTOEVENTO="Manual",$M449=$A$15)),0,
         IF(OFFSET(CRONOPLE!$F$15,$M449-$A$15,BI$13)=0,10^12,OFFSET(CRONOPLE!$F$15,$M449-$A$15,BI$13)))</f>
        <v>7</v>
      </c>
      <c r="BJ449" s="171">
        <f ca="1">IF(OR($D449&lt;&gt;"Serviço",AND(AUTOEVENTO="Manual",$M449=$A$15)),0,
         IF(OFFSET(CRONOPLE!$F$15,$M449-$A$15,BJ$13)=0,10^12,OFFSET(CRONOPLE!$F$15,$M449-$A$15,BJ$13)))</f>
        <v>8</v>
      </c>
      <c r="BK449" s="171">
        <f ca="1">IF(OR($D449&lt;&gt;"Serviço",AND(AUTOEVENTO="Manual",$M449=$A$15)),0,
         IF(OFFSET(CRONOPLE!$F$15,$M449-$A$15,BK$13)=0,10^12,OFFSET(CRONOPLE!$F$15,$M449-$A$15,BK$13)))</f>
        <v>9</v>
      </c>
      <c r="BL449" s="171">
        <f ca="1">IF(OR($D449&lt;&gt;"Serviço",AND(AUTOEVENTO="Manual",$M449=$A$15)),0,
         IF(OFFSET(CRONOPLE!$F$15,$M449-$A$15,BL$13)=0,10^12,OFFSET(CRONOPLE!$F$15,$M449-$A$15,BL$13)))</f>
        <v>1000000000000</v>
      </c>
      <c r="BM449" s="171">
        <f ca="1">IF(OR($D449&lt;&gt;"Serviço",AND(AUTOEVENTO="Manual",$M449=$A$15)),0,
         IF(OFFSET(CRONOPLE!$F$15,$M449-$A$15,BM$13)=0,10^12,OFFSET(CRONOPLE!$F$15,$M449-$A$15,BM$13)))</f>
        <v>1000000000000</v>
      </c>
      <c r="BN449" s="171">
        <f ca="1">IF(OR($D449&lt;&gt;"Serviço",AND(AUTOEVENTO="Manual",$M449=$A$15)),0,
         IF(OFFSET(CRONOPLE!$F$15,$M449-$A$15,BN$13)=0,10^12,OFFSET(CRONOPLE!$F$15,$M449-$A$15,BN$13)))</f>
        <v>1000000000000</v>
      </c>
      <c r="BO449" s="171">
        <f ca="1">IF(OR($D449&lt;&gt;"Serviço",AND(AUTOEVENTO="Manual",$M449=$A$15)),0,
         IF(OFFSET(CRONOPLE!$F$15,$M449-$A$15,BO$13)=0,10^12,OFFSET(CRONOPLE!$F$15,$M449-$A$15,BO$13)))</f>
        <v>1000000000000</v>
      </c>
      <c r="BP449" s="171">
        <f ca="1">IF(OR($D449&lt;&gt;"Serviço",AND(AUTOEVENTO="Manual",$M449=$A$15)),0,
         IF(OFFSET(CRONOPLE!$F$15,$M449-$A$15,BP$13)=0,10^12,OFFSET(CRONOPLE!$F$15,$M449-$A$15,BP$13)))</f>
        <v>1000000000000</v>
      </c>
      <c r="BQ449" s="171">
        <f ca="1">IF(OR($D449&lt;&gt;"Serviço",AND(AUTOEVENTO="Manual",$M449=$A$15)),0,
         IF(OFFSET(CRONOPLE!$F$15,$M449-$A$15,BQ$13)=0,10^12,OFFSET(CRONOPLE!$F$15,$M449-$A$15,BQ$13)))</f>
        <v>1000000000000</v>
      </c>
      <c r="BR449" s="171">
        <f ca="1">IF(OR($D449&lt;&gt;"Serviço",AND(AUTOEVENTO="Manual",$M449=$A$15)),0,
         IF(OFFSET(CRONOPLE!$F$15,$M449-$A$15,BR$13)=0,10^12,OFFSET(CRONOPLE!$F$15,$M449-$A$15,BR$13)))</f>
        <v>1000000000000</v>
      </c>
      <c r="BS449" s="171">
        <f ca="1">IF(OR($D449&lt;&gt;"Serviço",AND(AUTOEVENTO="Manual",$M449=$A$15)),0,
         IF(OFFSET(CRONOPLE!$F$15,$M449-$A$15,BS$13)=0,10^12,OFFSET(CRONOPLE!$F$15,$M449-$A$15,BS$13)))</f>
        <v>1000000000000</v>
      </c>
      <c r="BT449" s="171">
        <f ca="1">IF(OR($D449&lt;&gt;"Serviço",AND(AUTOEVENTO="Manual",$M449=$A$15)),0,
         IF(OFFSET(CRONOPLE!$F$15,$M449-$A$15,BT$13)=0,10^12,OFFSET(CRONOPLE!$F$15,$M449-$A$15,BT$13)))</f>
        <v>1000000000000</v>
      </c>
      <c r="BV449" s="172">
        <f ca="1">IF(OR($D449&lt;&gt;"Serviço",AND(AUTOEVENTO="Manual",$M449=$A$15),$M449&gt;(ROW(PLE.lastrow)-ROW(PLE.firstrow))),0,
           IF(OFFSET(PLE!$G$15,$M449-$A$15,BV$13)="",10^12,OFFSET(PLE!$G$15,$M449-$A$15,BV$13)))</f>
        <v>1000000000000</v>
      </c>
      <c r="BW449" s="172">
        <f ca="1">IF(OR($D449&lt;&gt;"Serviço",AND(AUTOEVENTO="Manual",$M449=$A$15),$M449&gt;(ROW(PLE.lastrow)-ROW(PLE.firstrow))),0,
           IF(OFFSET(PLE!$G$15,$M449-$A$15,BW$13)="",10^12,OFFSET(PLE!$G$15,$M449-$A$15,BW$13)))</f>
        <v>1000000000000</v>
      </c>
      <c r="BX449" s="172">
        <f ca="1">IF(OR($D449&lt;&gt;"Serviço",AND(AUTOEVENTO="Manual",$M449=$A$15),$M449&gt;(ROW(PLE.lastrow)-ROW(PLE.firstrow))),0,
           IF(OFFSET(PLE!$G$15,$M449-$A$15,BX$13)="",10^12,OFFSET(PLE!$G$15,$M449-$A$15,BX$13)))</f>
        <v>1000000000000</v>
      </c>
      <c r="BY449" s="172">
        <f ca="1">IF(OR($D449&lt;&gt;"Serviço",AND(AUTOEVENTO="Manual",$M449=$A$15),$M449&gt;(ROW(PLE.lastrow)-ROW(PLE.firstrow))),0,
           IF(OFFSET(PLE!$G$15,$M449-$A$15,BY$13)="",10^12,OFFSET(PLE!$G$15,$M449-$A$15,BY$13)))</f>
        <v>1000000000000</v>
      </c>
      <c r="BZ449" s="172">
        <f ca="1">IF(OR($D449&lt;&gt;"Serviço",AND(AUTOEVENTO="Manual",$M449=$A$15),$M449&gt;(ROW(PLE.lastrow)-ROW(PLE.firstrow))),0,
           IF(OFFSET(PLE!$G$15,$M449-$A$15,BZ$13)="",10^12,OFFSET(PLE!$G$15,$M449-$A$15,BZ$13)))</f>
        <v>1000000000000</v>
      </c>
      <c r="CA449" s="172">
        <f ca="1">IF(OR($D449&lt;&gt;"Serviço",AND(AUTOEVENTO="Manual",$M449=$A$15),$M449&gt;(ROW(PLE.lastrow)-ROW(PLE.firstrow))),0,
           IF(OFFSET(PLE!$G$15,$M449-$A$15,CA$13)="",10^12,OFFSET(PLE!$G$15,$M449-$A$15,CA$13)))</f>
        <v>1000000000000</v>
      </c>
      <c r="CB449" s="172">
        <f ca="1">IF(OR($D449&lt;&gt;"Serviço",AND(AUTOEVENTO="Manual",$M449=$A$15),$M449&gt;(ROW(PLE.lastrow)-ROW(PLE.firstrow))),0,
           IF(OFFSET(PLE!$G$15,$M449-$A$15,CB$13)="",10^12,OFFSET(PLE!$G$15,$M449-$A$15,CB$13)))</f>
        <v>1000000000000</v>
      </c>
      <c r="CC449" s="172">
        <f ca="1">IF(OR($D449&lt;&gt;"Serviço",AND(AUTOEVENTO="Manual",$M449=$A$15),$M449&gt;(ROW(PLE.lastrow)-ROW(PLE.firstrow))),0,
           IF(OFFSET(PLE!$G$15,$M449-$A$15,CC$13)="",10^12,OFFSET(PLE!$G$15,$M449-$A$15,CC$13)))</f>
        <v>1000000000000</v>
      </c>
      <c r="CD449" s="172">
        <f ca="1">IF(OR($D449&lt;&gt;"Serviço",AND(AUTOEVENTO="Manual",$M449=$A$15),$M449&gt;(ROW(PLE.lastrow)-ROW(PLE.firstrow))),0,
           IF(OFFSET(PLE!$G$15,$M449-$A$15,CD$13)="",10^12,OFFSET(PLE!$G$15,$M449-$A$15,CD$13)))</f>
        <v>1000000000000</v>
      </c>
      <c r="CE449" s="172">
        <f ca="1">IF(OR($D449&lt;&gt;"Serviço",AND(AUTOEVENTO="Manual",$M449=$A$15),$M449&gt;(ROW(PLE.lastrow)-ROW(PLE.firstrow))),0,
           IF(OFFSET(PLE!$G$15,$M449-$A$15,CE$13)="",10^12,OFFSET(PLE!$G$15,$M449-$A$15,CE$13)))</f>
        <v>1000000000000</v>
      </c>
      <c r="CF449" s="172">
        <f ca="1">IF(OR($D449&lt;&gt;"Serviço",AND(AUTOEVENTO="Manual",$M449=$A$15),$M449&gt;(ROW(PLE.lastrow)-ROW(PLE.firstrow))),0,
           IF(OFFSET(PLE!$G$15,$M449-$A$15,CF$13)="",10^12,OFFSET(PLE!$G$15,$M449-$A$15,CF$13)))</f>
        <v>1000000000000</v>
      </c>
      <c r="CG449" s="172">
        <f ca="1">IF(OR($D449&lt;&gt;"Serviço",AND(AUTOEVENTO="Manual",$M449=$A$15),$M449&gt;(ROW(PLE.lastrow)-ROW(PLE.firstrow))),0,
           IF(OFFSET(PLE!$G$15,$M449-$A$15,CG$13)="",10^12,OFFSET(PLE!$G$15,$M449-$A$15,CG$13)))</f>
        <v>1000000000000</v>
      </c>
      <c r="CH449" s="172">
        <f ca="1">IF(OR($D449&lt;&gt;"Serviço",AND(AUTOEVENTO="Manual",$M449=$A$15),$M449&gt;(ROW(PLE.lastrow)-ROW(PLE.firstrow))),0,
           IF(OFFSET(PLE!$G$15,$M449-$A$15,CH$13)="",10^12,OFFSET(PLE!$G$15,$M449-$A$15,CH$13)))</f>
        <v>1000000000000</v>
      </c>
      <c r="CI449" s="172">
        <f ca="1">IF(OR($D449&lt;&gt;"Serviço",AND(AUTOEVENTO="Manual",$M449=$A$15),$M449&gt;(ROW(PLE.lastrow)-ROW(PLE.firstrow))),0,
           IF(OFFSET(PLE!$G$15,$M449-$A$15,CI$13)="",10^12,OFFSET(PLE!$G$15,$M449-$A$15,CI$13)))</f>
        <v>1000000000000</v>
      </c>
      <c r="CJ449" s="172">
        <f ca="1">IF(OR($D449&lt;&gt;"Serviço",AND(AUTOEVENTO="Manual",$M449=$A$15),$M449&gt;(ROW(PLE.lastrow)-ROW(PLE.firstrow))),0,
           IF(OFFSET(PLE!$G$15,$M449-$A$15,CJ$13)="",10^12,OFFSET(PLE!$G$15,$M449-$A$15,CJ$13)))</f>
        <v>1000000000000</v>
      </c>
      <c r="CK449" s="172">
        <f ca="1">IF(OR($D449&lt;&gt;"Serviço",AND(AUTOEVENTO="Manual",$M449=$A$15),$M449&gt;(ROW(PLE.lastrow)-ROW(PLE.firstrow))),0,
           IF(OFFSET(PLE!$G$15,$M449-$A$15,CK$13)="",10^12,OFFSET(PLE!$G$15,$M449-$A$15,CK$13)))</f>
        <v>1000000000000</v>
      </c>
      <c r="CL449" s="172">
        <f ca="1">IF(OR($D449&lt;&gt;"Serviço",AND(AUTOEVENTO="Manual",$M449=$A$15),$M449&gt;(ROW(PLE.lastrow)-ROW(PLE.firstrow))),0,
           IF(OFFSET(PLE!$G$15,$M449-$A$15,CL$13)="",10^12,OFFSET(PLE!$G$15,$M449-$A$15,CL$13)))</f>
        <v>1000000000000</v>
      </c>
      <c r="CM449" s="172">
        <f ca="1">IF(OR($D449&lt;&gt;"Serviço",AND(AUTOEVENTO="Manual",$M449=$A$15),$M449&gt;(ROW(PLE.lastrow)-ROW(PLE.firstrow))),0,
           IF(OFFSET(PLE!$G$15,$M449-$A$15,CM$13)="",10^12,OFFSET(PLE!$G$15,$M449-$A$15,CM$13)))</f>
        <v>1000000000000</v>
      </c>
    </row>
    <row r="450" spans="1:91" ht="38.25" x14ac:dyDescent="0.2">
      <c r="A450" s="7">
        <f t="shared" ca="1" si="16"/>
        <v>8</v>
      </c>
      <c r="B450" s="7" t="str">
        <f ca="1">OFFSET(ORÇAMENTO!C$15,ROW(B450)-ROW(B$15),0)</f>
        <v>S</v>
      </c>
      <c r="C450" s="7" t="str">
        <f ca="1">OFFSET(ORÇAMENTO!L$15,ROW(C450)-ROW(C$15),0)</f>
        <v>F</v>
      </c>
      <c r="D450" s="116" t="str">
        <f ca="1">OFFSET(ORÇAMENTO!N$15,ROW(D450)-ROW(D$15),0)</f>
        <v>Serviço</v>
      </c>
      <c r="E450" s="117" t="str">
        <f ca="1">OFFSET(ORÇAMENTO!O$15,ROW(E450)-ROW(E$15),0)</f>
        <v>1.9.1.0.8.</v>
      </c>
      <c r="F450" s="163" t="str">
        <f ca="1">OFFSET(ORÇAMENTO!R$15,ROW(F450)-ROW(F$15),0)</f>
        <v>DUTO CORRUGADO EM PEAD (POLIETILENO DE ALTA DENSIDADE), PARA PROTEÇÃO DE CABOS SUBTERRÂNEOS DN 30 MM (1.1/4")</v>
      </c>
      <c r="G450" s="164" t="str">
        <f ca="1">IF($D450&lt;&gt;"Serviço","",OFFSET(ORÇAMENTO!S$15,ROW(G450)-ROW(G$15),0))</f>
        <v>M</v>
      </c>
      <c r="H450" s="122" cm="1">
        <f t="array" aca="1" ref="H450" ca="1">IF($D450&lt;&gt;"Serviço",0,IF(ACOMPANHAMENTO="BM",ROUND(OFFSET(ORÇAMENTO!AJ$15,ROW(H450)-ROW(H$15),0),15-13*ORÇAMENTO!$AF$7),SUMPRODUCT(($Q$1:$AI$1=1)*ROUND($Q450:$AI450,15-13*ORÇAMENTO!$AF$7))))</f>
        <v>637</v>
      </c>
      <c r="I450" s="468" t="s">
        <v>1432</v>
      </c>
      <c r="J450" s="640" t="str" cm="1">
        <f t="array" aca="1" ref="J450" ca="1">IF(OR(B450&lt;&gt;"S",CÁLCULO.FrentesPreenchidas=0),"",IF(AND(ACOMPANHAMENTO="PLE",AUTOEVENTO="Manual",OR(H450&gt;0,ORÇAMENTO!AC450="QUANT."),OR(K450="",M450=0,N450="")),"►E",IF(AND(ACOMPANHAMENTO="PLE",ORÇAMENTO!AC450="QUANT."),"►Q",IF(AND(ACOMPANHAMENTO="PLE",H450&lt;&gt;SUMPRODUCT(($Q$1:$AI$1=1)*ROUND(Q450:AI450,15))),"►S",IF(AND(COUNTIF($P$11:$AI$11,"▼")=0,H450&gt;0,I450=""),"◄M","")))))</f>
        <v/>
      </c>
      <c r="K450" s="641" t="s">
        <v>1392</v>
      </c>
      <c r="L450" s="165" t="s">
        <v>764</v>
      </c>
      <c r="M450" s="166">
        <f ca="1">IF($D450&lt;&gt;"Serviço","",
          IF(AUTOEVENTO="manual",$A450,
                IF(ISERROR(MATCH($A450,$A$15:OFFSET($A450,-1,0),0)),MAX($M$15:OFFSET(M450,-1,0))+1,
                      INDEX($M$15:OFFSET(M450,-1,0),MATCH($A450,$A$15:OFFSET($A450,-1,0),0)))))</f>
        <v>8</v>
      </c>
      <c r="N450" s="167" t="str">
        <f ca="1">IF($D450&lt;&gt;"Serviço","",
         IF(AUTOEVENTO="Manual",
                IF($A450=0,"&lt;-- defina o número do agrupador",
                       OFFSET(EVENTOS!$D$15,$A450-$A$15,0)),
                OFFSET($F$15,$A450,0)))</f>
        <v>CFTV</v>
      </c>
      <c r="O450" s="168"/>
      <c r="Q450" s="168"/>
      <c r="R450" s="169"/>
      <c r="S450" s="169"/>
      <c r="T450" s="169"/>
      <c r="U450" s="169"/>
      <c r="V450" s="169"/>
      <c r="W450" s="169"/>
      <c r="X450" s="169"/>
      <c r="Y450" s="169">
        <v>637</v>
      </c>
      <c r="Z450" s="170"/>
      <c r="AA450" s="169"/>
      <c r="AB450" s="169"/>
      <c r="AC450" s="169"/>
      <c r="AD450" s="169"/>
      <c r="AE450" s="169"/>
      <c r="AF450" s="169"/>
      <c r="AG450" s="169"/>
      <c r="AH450" s="170"/>
      <c r="AJ450" s="453">
        <f ca="1">IF(AND($D450="Serviço",AJ$12&lt;&gt;0,$H450&gt;0,OR(AUTOEVENTO&lt;&gt;"manual",$M450&lt;&gt;$A$15)),
        IF(Import.TipoArredondamento&lt;&gt;"TransfereGOV",
              ROUND(OFFSET($P450,0,AJ$13),15-13*ORÇAMENTO!$AF$7)/$H450*OFFSET(ORÇAMENTO!$X$15,ROW(AJ450)-ROW(AJ$15),0),
              ROUND(ROUND(OFFSET($P450,0,AJ$13),15-13*ORÇAMENTO!$AF$7)*OFFSET(ORÇAMENTO!$W$15,ROW(AJ450)-ROW(AJ$15),0),15-13*ORÇAMENTO!$AF$11)),
         0)</f>
        <v>0</v>
      </c>
      <c r="AK450" s="453">
        <f ca="1">IF(AND($D450="Serviço",AK$12&lt;&gt;0,$H450&gt;0,OR(AUTOEVENTO&lt;&gt;"manual",$M450&lt;&gt;$A$15)),
        IF(Import.TipoArredondamento&lt;&gt;"TransfereGOV",
              ROUND(OFFSET($P450,0,AK$13),15-13*ORÇAMENTO!$AF$7)/$H450*OFFSET(ORÇAMENTO!$X$15,ROW(AK450)-ROW(AK$15),0),
              ROUND(ROUND(OFFSET($P450,0,AK$13),15-13*ORÇAMENTO!$AF$7)*OFFSET(ORÇAMENTO!$W$15,ROW(AK450)-ROW(AK$15),0),15-13*ORÇAMENTO!$AF$11)),
         0)</f>
        <v>0</v>
      </c>
      <c r="AL450" s="453">
        <f ca="1">IF(AND($D450="Serviço",AL$12&lt;&gt;0,$H450&gt;0,OR(AUTOEVENTO&lt;&gt;"manual",$M450&lt;&gt;$A$15)),
        IF(Import.TipoArredondamento&lt;&gt;"TransfereGOV",
              ROUND(OFFSET($P450,0,AL$13),15-13*ORÇAMENTO!$AF$7)/$H450*OFFSET(ORÇAMENTO!$X$15,ROW(AL450)-ROW(AL$15),0),
              ROUND(ROUND(OFFSET($P450,0,AL$13),15-13*ORÇAMENTO!$AF$7)*OFFSET(ORÇAMENTO!$W$15,ROW(AL450)-ROW(AL$15),0),15-13*ORÇAMENTO!$AF$11)),
         0)</f>
        <v>0</v>
      </c>
      <c r="AM450" s="453">
        <f ca="1">IF(AND($D450="Serviço",AM$12&lt;&gt;0,$H450&gt;0,OR(AUTOEVENTO&lt;&gt;"manual",$M450&lt;&gt;$A$15)),
        IF(Import.TipoArredondamento&lt;&gt;"TransfereGOV",
              ROUND(OFFSET($P450,0,AM$13),15-13*ORÇAMENTO!$AF$7)/$H450*OFFSET(ORÇAMENTO!$X$15,ROW(AM450)-ROW(AM$15),0),
              ROUND(ROUND(OFFSET($P450,0,AM$13),15-13*ORÇAMENTO!$AF$7)*OFFSET(ORÇAMENTO!$W$15,ROW(AM450)-ROW(AM$15),0),15-13*ORÇAMENTO!$AF$11)),
         0)</f>
        <v>0</v>
      </c>
      <c r="AN450" s="453">
        <f ca="1">IF(AND($D450="Serviço",AN$12&lt;&gt;0,$H450&gt;0,OR(AUTOEVENTO&lt;&gt;"manual",$M450&lt;&gt;$A$15)),
        IF(Import.TipoArredondamento&lt;&gt;"TransfereGOV",
              ROUND(OFFSET($P450,0,AN$13),15-13*ORÇAMENTO!$AF$7)/$H450*OFFSET(ORÇAMENTO!$X$15,ROW(AN450)-ROW(AN$15),0),
              ROUND(ROUND(OFFSET($P450,0,AN$13),15-13*ORÇAMENTO!$AF$7)*OFFSET(ORÇAMENTO!$W$15,ROW(AN450)-ROW(AN$15),0),15-13*ORÇAMENTO!$AF$11)),
         0)</f>
        <v>0</v>
      </c>
      <c r="AO450" s="453">
        <f ca="1">IF(AND($D450="Serviço",AO$12&lt;&gt;0,$H450&gt;0,OR(AUTOEVENTO&lt;&gt;"manual",$M450&lt;&gt;$A$15)),
        IF(Import.TipoArredondamento&lt;&gt;"TransfereGOV",
              ROUND(OFFSET($P450,0,AO$13),15-13*ORÇAMENTO!$AF$7)/$H450*OFFSET(ORÇAMENTO!$X$15,ROW(AO450)-ROW(AO$15),0),
              ROUND(ROUND(OFFSET($P450,0,AO$13),15-13*ORÇAMENTO!$AF$7)*OFFSET(ORÇAMENTO!$W$15,ROW(AO450)-ROW(AO$15),0),15-13*ORÇAMENTO!$AF$11)),
         0)</f>
        <v>0</v>
      </c>
      <c r="AP450" s="453">
        <f ca="1">IF(AND($D450="Serviço",AP$12&lt;&gt;0,$H450&gt;0,OR(AUTOEVENTO&lt;&gt;"manual",$M450&lt;&gt;$A$15)),
        IF(Import.TipoArredondamento&lt;&gt;"TransfereGOV",
              ROUND(OFFSET($P450,0,AP$13),15-13*ORÇAMENTO!$AF$7)/$H450*OFFSET(ORÇAMENTO!$X$15,ROW(AP450)-ROW(AP$15),0),
              ROUND(ROUND(OFFSET($P450,0,AP$13),15-13*ORÇAMENTO!$AF$7)*OFFSET(ORÇAMENTO!$W$15,ROW(AP450)-ROW(AP$15),0),15-13*ORÇAMENTO!$AF$11)),
         0)</f>
        <v>0</v>
      </c>
      <c r="AQ450" s="453">
        <f ca="1">IF(AND($D450="Serviço",AQ$12&lt;&gt;0,$H450&gt;0,OR(AUTOEVENTO&lt;&gt;"manual",$M450&lt;&gt;$A$15)),
        IF(Import.TipoArredondamento&lt;&gt;"TransfereGOV",
              ROUND(OFFSET($P450,0,AQ$13),15-13*ORÇAMENTO!$AF$7)/$H450*OFFSET(ORÇAMENTO!$X$15,ROW(AQ450)-ROW(AQ$15),0),
              ROUND(ROUND(OFFSET($P450,0,AQ$13),15-13*ORÇAMENTO!$AF$7)*OFFSET(ORÇAMENTO!$W$15,ROW(AQ450)-ROW(AQ$15),0),15-13*ORÇAMENTO!$AF$11)),
         0)</f>
        <v>0</v>
      </c>
      <c r="AR450" s="453">
        <f ca="1">IF(AND($D450="Serviço",AR$12&lt;&gt;0,$H450&gt;0,OR(AUTOEVENTO&lt;&gt;"manual",$M450&lt;&gt;$A$15)),
        IF(Import.TipoArredondamento&lt;&gt;"TransfereGOV",
              ROUND(OFFSET($P450,0,AR$13),15-13*ORÇAMENTO!$AF$7)/$H450*OFFSET(ORÇAMENTO!$X$15,ROW(AR450)-ROW(AR$15),0),
              ROUND(ROUND(OFFSET($P450,0,AR$13),15-13*ORÇAMENTO!$AF$7)*OFFSET(ORÇAMENTO!$W$15,ROW(AR450)-ROW(AR$15),0),15-13*ORÇAMENTO!$AF$11)),
         0)</f>
        <v>0</v>
      </c>
      <c r="AS450" s="453">
        <f ca="1">IF(AND($D450="Serviço",AS$12&lt;&gt;0,$H450&gt;0,OR(AUTOEVENTO&lt;&gt;"manual",$M450&lt;&gt;$A$15)),
        IF(Import.TipoArredondamento&lt;&gt;"TransfereGOV",
              ROUND(OFFSET($P450,0,AS$13),15-13*ORÇAMENTO!$AF$7)/$H450*OFFSET(ORÇAMENTO!$X$15,ROW(AS450)-ROW(AS$15),0),
              ROUND(ROUND(OFFSET($P450,0,AS$13),15-13*ORÇAMENTO!$AF$7)*OFFSET(ORÇAMENTO!$W$15,ROW(AS450)-ROW(AS$15),0),15-13*ORÇAMENTO!$AF$11)),
         0)</f>
        <v>0</v>
      </c>
      <c r="AT450" s="453">
        <f ca="1">IF(AND($D450="Serviço",AT$12&lt;&gt;0,$H450&gt;0,OR(AUTOEVENTO&lt;&gt;"manual",$M450&lt;&gt;$A$15)),
        IF(Import.TipoArredondamento&lt;&gt;"TransfereGOV",
              ROUND(OFFSET($P450,0,AT$13),15-13*ORÇAMENTO!$AF$7)/$H450*OFFSET(ORÇAMENTO!$X$15,ROW(AT450)-ROW(AT$15),0),
              ROUND(ROUND(OFFSET($P450,0,AT$13),15-13*ORÇAMENTO!$AF$7)*OFFSET(ORÇAMENTO!$W$15,ROW(AT450)-ROW(AT$15),0),15-13*ORÇAMENTO!$AF$11)),
         0)</f>
        <v>0</v>
      </c>
      <c r="AU450" s="453">
        <f ca="1">IF(AND($D450="Serviço",AU$12&lt;&gt;0,$H450&gt;0,OR(AUTOEVENTO&lt;&gt;"manual",$M450&lt;&gt;$A$15)),
        IF(Import.TipoArredondamento&lt;&gt;"TransfereGOV",
              ROUND(OFFSET($P450,0,AU$13),15-13*ORÇAMENTO!$AF$7)/$H450*OFFSET(ORÇAMENTO!$X$15,ROW(AU450)-ROW(AU$15),0),
              ROUND(ROUND(OFFSET($P450,0,AU$13),15-13*ORÇAMENTO!$AF$7)*OFFSET(ORÇAMENTO!$W$15,ROW(AU450)-ROW(AU$15),0),15-13*ORÇAMENTO!$AF$11)),
         0)</f>
        <v>0</v>
      </c>
      <c r="AV450" s="453">
        <f ca="1">IF(AND($D450="Serviço",AV$12&lt;&gt;0,$H450&gt;0,OR(AUTOEVENTO&lt;&gt;"manual",$M450&lt;&gt;$A$15)),
        IF(Import.TipoArredondamento&lt;&gt;"TransfereGOV",
              ROUND(OFFSET($P450,0,AV$13),15-13*ORÇAMENTO!$AF$7)/$H450*OFFSET(ORÇAMENTO!$X$15,ROW(AV450)-ROW(AV$15),0),
              ROUND(ROUND(OFFSET($P450,0,AV$13),15-13*ORÇAMENTO!$AF$7)*OFFSET(ORÇAMENTO!$W$15,ROW(AV450)-ROW(AV$15),0),15-13*ORÇAMENTO!$AF$11)),
         0)</f>
        <v>0</v>
      </c>
      <c r="AW450" s="453">
        <f ca="1">IF(AND($D450="Serviço",AW$12&lt;&gt;0,$H450&gt;0,OR(AUTOEVENTO&lt;&gt;"manual",$M450&lt;&gt;$A$15)),
        IF(Import.TipoArredondamento&lt;&gt;"TransfereGOV",
              ROUND(OFFSET($P450,0,AW$13),15-13*ORÇAMENTO!$AF$7)/$H450*OFFSET(ORÇAMENTO!$X$15,ROW(AW450)-ROW(AW$15),0),
              ROUND(ROUND(OFFSET($P450,0,AW$13),15-13*ORÇAMENTO!$AF$7)*OFFSET(ORÇAMENTO!$W$15,ROW(AW450)-ROW(AW$15),0),15-13*ORÇAMENTO!$AF$11)),
         0)</f>
        <v>0</v>
      </c>
      <c r="AX450" s="453">
        <f ca="1">IF(AND($D450="Serviço",AX$12&lt;&gt;0,$H450&gt;0,OR(AUTOEVENTO&lt;&gt;"manual",$M450&lt;&gt;$A$15)),
        IF(Import.TipoArredondamento&lt;&gt;"TransfereGOV",
              ROUND(OFFSET($P450,0,AX$13),15-13*ORÇAMENTO!$AF$7)/$H450*OFFSET(ORÇAMENTO!$X$15,ROW(AX450)-ROW(AX$15),0),
              ROUND(ROUND(OFFSET($P450,0,AX$13),15-13*ORÇAMENTO!$AF$7)*OFFSET(ORÇAMENTO!$W$15,ROW(AX450)-ROW(AX$15),0),15-13*ORÇAMENTO!$AF$11)),
         0)</f>
        <v>0</v>
      </c>
      <c r="AY450" s="453">
        <f ca="1">IF(AND($D450="Serviço",AY$12&lt;&gt;0,$H450&gt;0,OR(AUTOEVENTO&lt;&gt;"manual",$M450&lt;&gt;$A$15)),
        IF(Import.TipoArredondamento&lt;&gt;"TransfereGOV",
              ROUND(OFFSET($P450,0,AY$13),15-13*ORÇAMENTO!$AF$7)/$H450*OFFSET(ORÇAMENTO!$X$15,ROW(AY450)-ROW(AY$15),0),
              ROUND(ROUND(OFFSET($P450,0,AY$13),15-13*ORÇAMENTO!$AF$7)*OFFSET(ORÇAMENTO!$W$15,ROW(AY450)-ROW(AY$15),0),15-13*ORÇAMENTO!$AF$11)),
         0)</f>
        <v>0</v>
      </c>
      <c r="AZ450" s="453">
        <f ca="1">IF(AND($D450="Serviço",AZ$12&lt;&gt;0,$H450&gt;0,OR(AUTOEVENTO&lt;&gt;"manual",$M450&lt;&gt;$A$15)),
        IF(Import.TipoArredondamento&lt;&gt;"TransfereGOV",
              ROUND(OFFSET($P450,0,AZ$13),15-13*ORÇAMENTO!$AF$7)/$H450*OFFSET(ORÇAMENTO!$X$15,ROW(AZ450)-ROW(AZ$15),0),
              ROUND(ROUND(OFFSET($P450,0,AZ$13),15-13*ORÇAMENTO!$AF$7)*OFFSET(ORÇAMENTO!$W$15,ROW(AZ450)-ROW(AZ$15),0),15-13*ORÇAMENTO!$AF$11)),
         0)</f>
        <v>0</v>
      </c>
      <c r="BA450" s="453">
        <f ca="1">IF(AND($D450="Serviço",BA$12&lt;&gt;0,$H450&gt;0,OR(AUTOEVENTO&lt;&gt;"manual",$M450&lt;&gt;$A$15)),
        IF(Import.TipoArredondamento&lt;&gt;"TransfereGOV",
              ROUND(OFFSET($P450,0,BA$13),15-13*ORÇAMENTO!$AF$7)/$H450*OFFSET(ORÇAMENTO!$X$15,ROW(BA450)-ROW(BA$15),0),
              ROUND(ROUND(OFFSET($P450,0,BA$13),15-13*ORÇAMENTO!$AF$7)*OFFSET(ORÇAMENTO!$W$15,ROW(BA450)-ROW(BA$15),0),15-13*ORÇAMENTO!$AF$11)),
         0)</f>
        <v>0</v>
      </c>
      <c r="BC450" s="171">
        <f ca="1">IF(OR($D450&lt;&gt;"Serviço",AND(AUTOEVENTO="Manual",$M450=$A$15)),0,
         IF(OFFSET(CRONOPLE!$F$15,$M450-$A$15,BC$13)=0,10^12,OFFSET(CRONOPLE!$F$15,$M450-$A$15,BC$13)))</f>
        <v>1</v>
      </c>
      <c r="BD450" s="171">
        <f ca="1">IF(OR($D450&lt;&gt;"Serviço",AND(AUTOEVENTO="Manual",$M450=$A$15)),0,
         IF(OFFSET(CRONOPLE!$F$15,$M450-$A$15,BD$13)=0,10^12,OFFSET(CRONOPLE!$F$15,$M450-$A$15,BD$13)))</f>
        <v>2</v>
      </c>
      <c r="BE450" s="171">
        <f ca="1">IF(OR($D450&lt;&gt;"Serviço",AND(AUTOEVENTO="Manual",$M450=$A$15)),0,
         IF(OFFSET(CRONOPLE!$F$15,$M450-$A$15,BE$13)=0,10^12,OFFSET(CRONOPLE!$F$15,$M450-$A$15,BE$13)))</f>
        <v>3</v>
      </c>
      <c r="BF450" s="171">
        <f ca="1">IF(OR($D450&lt;&gt;"Serviço",AND(AUTOEVENTO="Manual",$M450=$A$15)),0,
         IF(OFFSET(CRONOPLE!$F$15,$M450-$A$15,BF$13)=0,10^12,OFFSET(CRONOPLE!$F$15,$M450-$A$15,BF$13)))</f>
        <v>4</v>
      </c>
      <c r="BG450" s="171">
        <f ca="1">IF(OR($D450&lt;&gt;"Serviço",AND(AUTOEVENTO="Manual",$M450=$A$15)),0,
         IF(OFFSET(CRONOPLE!$F$15,$M450-$A$15,BG$13)=0,10^12,OFFSET(CRONOPLE!$F$15,$M450-$A$15,BG$13)))</f>
        <v>5</v>
      </c>
      <c r="BH450" s="171">
        <f ca="1">IF(OR($D450&lt;&gt;"Serviço",AND(AUTOEVENTO="Manual",$M450=$A$15)),0,
         IF(OFFSET(CRONOPLE!$F$15,$M450-$A$15,BH$13)=0,10^12,OFFSET(CRONOPLE!$F$15,$M450-$A$15,BH$13)))</f>
        <v>6</v>
      </c>
      <c r="BI450" s="171">
        <f ca="1">IF(OR($D450&lt;&gt;"Serviço",AND(AUTOEVENTO="Manual",$M450=$A$15)),0,
         IF(OFFSET(CRONOPLE!$F$15,$M450-$A$15,BI$13)=0,10^12,OFFSET(CRONOPLE!$F$15,$M450-$A$15,BI$13)))</f>
        <v>7</v>
      </c>
      <c r="BJ450" s="171">
        <f ca="1">IF(OR($D450&lt;&gt;"Serviço",AND(AUTOEVENTO="Manual",$M450=$A$15)),0,
         IF(OFFSET(CRONOPLE!$F$15,$M450-$A$15,BJ$13)=0,10^12,OFFSET(CRONOPLE!$F$15,$M450-$A$15,BJ$13)))</f>
        <v>8</v>
      </c>
      <c r="BK450" s="171">
        <f ca="1">IF(OR($D450&lt;&gt;"Serviço",AND(AUTOEVENTO="Manual",$M450=$A$15)),0,
         IF(OFFSET(CRONOPLE!$F$15,$M450-$A$15,BK$13)=0,10^12,OFFSET(CRONOPLE!$F$15,$M450-$A$15,BK$13)))</f>
        <v>9</v>
      </c>
      <c r="BL450" s="171">
        <f ca="1">IF(OR($D450&lt;&gt;"Serviço",AND(AUTOEVENTO="Manual",$M450=$A$15)),0,
         IF(OFFSET(CRONOPLE!$F$15,$M450-$A$15,BL$13)=0,10^12,OFFSET(CRONOPLE!$F$15,$M450-$A$15,BL$13)))</f>
        <v>1000000000000</v>
      </c>
      <c r="BM450" s="171">
        <f ca="1">IF(OR($D450&lt;&gt;"Serviço",AND(AUTOEVENTO="Manual",$M450=$A$15)),0,
         IF(OFFSET(CRONOPLE!$F$15,$M450-$A$15,BM$13)=0,10^12,OFFSET(CRONOPLE!$F$15,$M450-$A$15,BM$13)))</f>
        <v>1000000000000</v>
      </c>
      <c r="BN450" s="171">
        <f ca="1">IF(OR($D450&lt;&gt;"Serviço",AND(AUTOEVENTO="Manual",$M450=$A$15)),0,
         IF(OFFSET(CRONOPLE!$F$15,$M450-$A$15,BN$13)=0,10^12,OFFSET(CRONOPLE!$F$15,$M450-$A$15,BN$13)))</f>
        <v>1000000000000</v>
      </c>
      <c r="BO450" s="171">
        <f ca="1">IF(OR($D450&lt;&gt;"Serviço",AND(AUTOEVENTO="Manual",$M450=$A$15)),0,
         IF(OFFSET(CRONOPLE!$F$15,$M450-$A$15,BO$13)=0,10^12,OFFSET(CRONOPLE!$F$15,$M450-$A$15,BO$13)))</f>
        <v>1000000000000</v>
      </c>
      <c r="BP450" s="171">
        <f ca="1">IF(OR($D450&lt;&gt;"Serviço",AND(AUTOEVENTO="Manual",$M450=$A$15)),0,
         IF(OFFSET(CRONOPLE!$F$15,$M450-$A$15,BP$13)=0,10^12,OFFSET(CRONOPLE!$F$15,$M450-$A$15,BP$13)))</f>
        <v>1000000000000</v>
      </c>
      <c r="BQ450" s="171">
        <f ca="1">IF(OR($D450&lt;&gt;"Serviço",AND(AUTOEVENTO="Manual",$M450=$A$15)),0,
         IF(OFFSET(CRONOPLE!$F$15,$M450-$A$15,BQ$13)=0,10^12,OFFSET(CRONOPLE!$F$15,$M450-$A$15,BQ$13)))</f>
        <v>1000000000000</v>
      </c>
      <c r="BR450" s="171">
        <f ca="1">IF(OR($D450&lt;&gt;"Serviço",AND(AUTOEVENTO="Manual",$M450=$A$15)),0,
         IF(OFFSET(CRONOPLE!$F$15,$M450-$A$15,BR$13)=0,10^12,OFFSET(CRONOPLE!$F$15,$M450-$A$15,BR$13)))</f>
        <v>1000000000000</v>
      </c>
      <c r="BS450" s="171">
        <f ca="1">IF(OR($D450&lt;&gt;"Serviço",AND(AUTOEVENTO="Manual",$M450=$A$15)),0,
         IF(OFFSET(CRONOPLE!$F$15,$M450-$A$15,BS$13)=0,10^12,OFFSET(CRONOPLE!$F$15,$M450-$A$15,BS$13)))</f>
        <v>1000000000000</v>
      </c>
      <c r="BT450" s="171">
        <f ca="1">IF(OR($D450&lt;&gt;"Serviço",AND(AUTOEVENTO="Manual",$M450=$A$15)),0,
         IF(OFFSET(CRONOPLE!$F$15,$M450-$A$15,BT$13)=0,10^12,OFFSET(CRONOPLE!$F$15,$M450-$A$15,BT$13)))</f>
        <v>1000000000000</v>
      </c>
      <c r="BV450" s="172">
        <f ca="1">IF(OR($D450&lt;&gt;"Serviço",AND(AUTOEVENTO="Manual",$M450=$A$15),$M450&gt;(ROW(PLE.lastrow)-ROW(PLE.firstrow))),0,
           IF(OFFSET(PLE!$G$15,$M450-$A$15,BV$13)="",10^12,OFFSET(PLE!$G$15,$M450-$A$15,BV$13)))</f>
        <v>1000000000000</v>
      </c>
      <c r="BW450" s="172">
        <f ca="1">IF(OR($D450&lt;&gt;"Serviço",AND(AUTOEVENTO="Manual",$M450=$A$15),$M450&gt;(ROW(PLE.lastrow)-ROW(PLE.firstrow))),0,
           IF(OFFSET(PLE!$G$15,$M450-$A$15,BW$13)="",10^12,OFFSET(PLE!$G$15,$M450-$A$15,BW$13)))</f>
        <v>1000000000000</v>
      </c>
      <c r="BX450" s="172">
        <f ca="1">IF(OR($D450&lt;&gt;"Serviço",AND(AUTOEVENTO="Manual",$M450=$A$15),$M450&gt;(ROW(PLE.lastrow)-ROW(PLE.firstrow))),0,
           IF(OFFSET(PLE!$G$15,$M450-$A$15,BX$13)="",10^12,OFFSET(PLE!$G$15,$M450-$A$15,BX$13)))</f>
        <v>1000000000000</v>
      </c>
      <c r="BY450" s="172">
        <f ca="1">IF(OR($D450&lt;&gt;"Serviço",AND(AUTOEVENTO="Manual",$M450=$A$15),$M450&gt;(ROW(PLE.lastrow)-ROW(PLE.firstrow))),0,
           IF(OFFSET(PLE!$G$15,$M450-$A$15,BY$13)="",10^12,OFFSET(PLE!$G$15,$M450-$A$15,BY$13)))</f>
        <v>1000000000000</v>
      </c>
      <c r="BZ450" s="172">
        <f ca="1">IF(OR($D450&lt;&gt;"Serviço",AND(AUTOEVENTO="Manual",$M450=$A$15),$M450&gt;(ROW(PLE.lastrow)-ROW(PLE.firstrow))),0,
           IF(OFFSET(PLE!$G$15,$M450-$A$15,BZ$13)="",10^12,OFFSET(PLE!$G$15,$M450-$A$15,BZ$13)))</f>
        <v>1000000000000</v>
      </c>
      <c r="CA450" s="172">
        <f ca="1">IF(OR($D450&lt;&gt;"Serviço",AND(AUTOEVENTO="Manual",$M450=$A$15),$M450&gt;(ROW(PLE.lastrow)-ROW(PLE.firstrow))),0,
           IF(OFFSET(PLE!$G$15,$M450-$A$15,CA$13)="",10^12,OFFSET(PLE!$G$15,$M450-$A$15,CA$13)))</f>
        <v>1000000000000</v>
      </c>
      <c r="CB450" s="172">
        <f ca="1">IF(OR($D450&lt;&gt;"Serviço",AND(AUTOEVENTO="Manual",$M450=$A$15),$M450&gt;(ROW(PLE.lastrow)-ROW(PLE.firstrow))),0,
           IF(OFFSET(PLE!$G$15,$M450-$A$15,CB$13)="",10^12,OFFSET(PLE!$G$15,$M450-$A$15,CB$13)))</f>
        <v>1000000000000</v>
      </c>
      <c r="CC450" s="172">
        <f ca="1">IF(OR($D450&lt;&gt;"Serviço",AND(AUTOEVENTO="Manual",$M450=$A$15),$M450&gt;(ROW(PLE.lastrow)-ROW(PLE.firstrow))),0,
           IF(OFFSET(PLE!$G$15,$M450-$A$15,CC$13)="",10^12,OFFSET(PLE!$G$15,$M450-$A$15,CC$13)))</f>
        <v>1000000000000</v>
      </c>
      <c r="CD450" s="172">
        <f ca="1">IF(OR($D450&lt;&gt;"Serviço",AND(AUTOEVENTO="Manual",$M450=$A$15),$M450&gt;(ROW(PLE.lastrow)-ROW(PLE.firstrow))),0,
           IF(OFFSET(PLE!$G$15,$M450-$A$15,CD$13)="",10^12,OFFSET(PLE!$G$15,$M450-$A$15,CD$13)))</f>
        <v>1000000000000</v>
      </c>
      <c r="CE450" s="172">
        <f ca="1">IF(OR($D450&lt;&gt;"Serviço",AND(AUTOEVENTO="Manual",$M450=$A$15),$M450&gt;(ROW(PLE.lastrow)-ROW(PLE.firstrow))),0,
           IF(OFFSET(PLE!$G$15,$M450-$A$15,CE$13)="",10^12,OFFSET(PLE!$G$15,$M450-$A$15,CE$13)))</f>
        <v>1000000000000</v>
      </c>
      <c r="CF450" s="172">
        <f ca="1">IF(OR($D450&lt;&gt;"Serviço",AND(AUTOEVENTO="Manual",$M450=$A$15),$M450&gt;(ROW(PLE.lastrow)-ROW(PLE.firstrow))),0,
           IF(OFFSET(PLE!$G$15,$M450-$A$15,CF$13)="",10^12,OFFSET(PLE!$G$15,$M450-$A$15,CF$13)))</f>
        <v>1000000000000</v>
      </c>
      <c r="CG450" s="172">
        <f ca="1">IF(OR($D450&lt;&gt;"Serviço",AND(AUTOEVENTO="Manual",$M450=$A$15),$M450&gt;(ROW(PLE.lastrow)-ROW(PLE.firstrow))),0,
           IF(OFFSET(PLE!$G$15,$M450-$A$15,CG$13)="",10^12,OFFSET(PLE!$G$15,$M450-$A$15,CG$13)))</f>
        <v>1000000000000</v>
      </c>
      <c r="CH450" s="172">
        <f ca="1">IF(OR($D450&lt;&gt;"Serviço",AND(AUTOEVENTO="Manual",$M450=$A$15),$M450&gt;(ROW(PLE.lastrow)-ROW(PLE.firstrow))),0,
           IF(OFFSET(PLE!$G$15,$M450-$A$15,CH$13)="",10^12,OFFSET(PLE!$G$15,$M450-$A$15,CH$13)))</f>
        <v>1000000000000</v>
      </c>
      <c r="CI450" s="172">
        <f ca="1">IF(OR($D450&lt;&gt;"Serviço",AND(AUTOEVENTO="Manual",$M450=$A$15),$M450&gt;(ROW(PLE.lastrow)-ROW(PLE.firstrow))),0,
           IF(OFFSET(PLE!$G$15,$M450-$A$15,CI$13)="",10^12,OFFSET(PLE!$G$15,$M450-$A$15,CI$13)))</f>
        <v>1000000000000</v>
      </c>
      <c r="CJ450" s="172">
        <f ca="1">IF(OR($D450&lt;&gt;"Serviço",AND(AUTOEVENTO="Manual",$M450=$A$15),$M450&gt;(ROW(PLE.lastrow)-ROW(PLE.firstrow))),0,
           IF(OFFSET(PLE!$G$15,$M450-$A$15,CJ$13)="",10^12,OFFSET(PLE!$G$15,$M450-$A$15,CJ$13)))</f>
        <v>1000000000000</v>
      </c>
      <c r="CK450" s="172">
        <f ca="1">IF(OR($D450&lt;&gt;"Serviço",AND(AUTOEVENTO="Manual",$M450=$A$15),$M450&gt;(ROW(PLE.lastrow)-ROW(PLE.firstrow))),0,
           IF(OFFSET(PLE!$G$15,$M450-$A$15,CK$13)="",10^12,OFFSET(PLE!$G$15,$M450-$A$15,CK$13)))</f>
        <v>1000000000000</v>
      </c>
      <c r="CL450" s="172">
        <f ca="1">IF(OR($D450&lt;&gt;"Serviço",AND(AUTOEVENTO="Manual",$M450=$A$15),$M450&gt;(ROW(PLE.lastrow)-ROW(PLE.firstrow))),0,
           IF(OFFSET(PLE!$G$15,$M450-$A$15,CL$13)="",10^12,OFFSET(PLE!$G$15,$M450-$A$15,CL$13)))</f>
        <v>1000000000000</v>
      </c>
      <c r="CM450" s="172">
        <f ca="1">IF(OR($D450&lt;&gt;"Serviço",AND(AUTOEVENTO="Manual",$M450=$A$15),$M450&gt;(ROW(PLE.lastrow)-ROW(PLE.firstrow))),0,
           IF(OFFSET(PLE!$G$15,$M450-$A$15,CM$13)="",10^12,OFFSET(PLE!$G$15,$M450-$A$15,CM$13)))</f>
        <v>1000000000000</v>
      </c>
    </row>
    <row r="451" spans="1:91" ht="38.25" x14ac:dyDescent="0.2">
      <c r="A451" s="7">
        <f t="shared" ca="1" si="16"/>
        <v>8</v>
      </c>
      <c r="B451" s="7" t="str">
        <f ca="1">OFFSET(ORÇAMENTO!C$15,ROW(B451)-ROW(B$15),0)</f>
        <v>S</v>
      </c>
      <c r="C451" s="7" t="str">
        <f ca="1">OFFSET(ORÇAMENTO!L$15,ROW(C451)-ROW(C$15),0)</f>
        <v>F</v>
      </c>
      <c r="D451" s="116" t="str">
        <f ca="1">OFFSET(ORÇAMENTO!N$15,ROW(D451)-ROW(D$15),0)</f>
        <v>Serviço</v>
      </c>
      <c r="E451" s="117" t="str">
        <f ca="1">OFFSET(ORÇAMENTO!O$15,ROW(E451)-ROW(E$15),0)</f>
        <v>1.9.1.0.9.</v>
      </c>
      <c r="F451" s="163" t="str">
        <f ca="1">OFFSET(ORÇAMENTO!R$15,ROW(F451)-ROW(F$15),0)</f>
        <v>CAIXA DE PASSAGEM PARA PISO EM ALUMÍNIO, TAMPA REVERSÍVEL (ANTIDERRAPANTE OU LISA), DIMENSÃO (200X200X100)MM, INCLUSIVE ACESSÓRIOS E FIXAÇÃO</v>
      </c>
      <c r="G451" s="164" t="str">
        <f ca="1">IF($D451&lt;&gt;"Serviço","",OFFSET(ORÇAMENTO!S$15,ROW(G451)-ROW(G$15),0))</f>
        <v>UN</v>
      </c>
      <c r="H451" s="122" cm="1">
        <f t="array" aca="1" ref="H451" ca="1">IF($D451&lt;&gt;"Serviço",0,IF(ACOMPANHAMENTO="BM",ROUND(OFFSET(ORÇAMENTO!AJ$15,ROW(H451)-ROW(H$15),0),15-13*ORÇAMENTO!$AF$7),SUMPRODUCT(($Q$1:$AI$1=1)*ROUND($Q451:$AI451,15-13*ORÇAMENTO!$AF$7))))</f>
        <v>36</v>
      </c>
      <c r="I451" s="468" t="s">
        <v>1432</v>
      </c>
      <c r="J451" s="640" t="str" cm="1">
        <f t="array" aca="1" ref="J451" ca="1">IF(OR(B451&lt;&gt;"S",CÁLCULO.FrentesPreenchidas=0),"",IF(AND(ACOMPANHAMENTO="PLE",AUTOEVENTO="Manual",OR(H451&gt;0,ORÇAMENTO!AC451="QUANT."),OR(K451="",M451=0,N451="")),"►E",IF(AND(ACOMPANHAMENTO="PLE",ORÇAMENTO!AC451="QUANT."),"►Q",IF(AND(ACOMPANHAMENTO="PLE",H451&lt;&gt;SUMPRODUCT(($Q$1:$AI$1=1)*ROUND(Q451:AI451,15))),"►S",IF(AND(COUNTIF($P$11:$AI$11,"▼")=0,H451&gt;0,I451=""),"◄M","")))))</f>
        <v/>
      </c>
      <c r="K451" s="641" t="s">
        <v>1392</v>
      </c>
      <c r="L451" s="165" t="s">
        <v>764</v>
      </c>
      <c r="M451" s="166">
        <f ca="1">IF($D451&lt;&gt;"Serviço","",
          IF(AUTOEVENTO="manual",$A451,
                IF(ISERROR(MATCH($A451,$A$15:OFFSET($A451,-1,0),0)),MAX($M$15:OFFSET(M451,-1,0))+1,
                      INDEX($M$15:OFFSET(M451,-1,0),MATCH($A451,$A$15:OFFSET($A451,-1,0),0)))))</f>
        <v>8</v>
      </c>
      <c r="N451" s="167" t="str">
        <f ca="1">IF($D451&lt;&gt;"Serviço","",
         IF(AUTOEVENTO="Manual",
                IF($A451=0,"&lt;-- defina o número do agrupador",
                       OFFSET(EVENTOS!$D$15,$A451-$A$15,0)),
                OFFSET($F$15,$A451,0)))</f>
        <v>CFTV</v>
      </c>
      <c r="O451" s="168"/>
      <c r="Q451" s="168"/>
      <c r="R451" s="169"/>
      <c r="S451" s="169"/>
      <c r="T451" s="169"/>
      <c r="U451" s="169"/>
      <c r="V451" s="169"/>
      <c r="W451" s="169"/>
      <c r="X451" s="169"/>
      <c r="Y451" s="169">
        <v>36</v>
      </c>
      <c r="Z451" s="170"/>
      <c r="AA451" s="169"/>
      <c r="AB451" s="169"/>
      <c r="AC451" s="169"/>
      <c r="AD451" s="169"/>
      <c r="AE451" s="169"/>
      <c r="AF451" s="169"/>
      <c r="AG451" s="169"/>
      <c r="AH451" s="170"/>
      <c r="AJ451" s="453">
        <f ca="1">IF(AND($D451="Serviço",AJ$12&lt;&gt;0,$H451&gt;0,OR(AUTOEVENTO&lt;&gt;"manual",$M451&lt;&gt;$A$15)),
        IF(Import.TipoArredondamento&lt;&gt;"TransfereGOV",
              ROUND(OFFSET($P451,0,AJ$13),15-13*ORÇAMENTO!$AF$7)/$H451*OFFSET(ORÇAMENTO!$X$15,ROW(AJ451)-ROW(AJ$15),0),
              ROUND(ROUND(OFFSET($P451,0,AJ$13),15-13*ORÇAMENTO!$AF$7)*OFFSET(ORÇAMENTO!$W$15,ROW(AJ451)-ROW(AJ$15),0),15-13*ORÇAMENTO!$AF$11)),
         0)</f>
        <v>0</v>
      </c>
      <c r="AK451" s="453">
        <f ca="1">IF(AND($D451="Serviço",AK$12&lt;&gt;0,$H451&gt;0,OR(AUTOEVENTO&lt;&gt;"manual",$M451&lt;&gt;$A$15)),
        IF(Import.TipoArredondamento&lt;&gt;"TransfereGOV",
              ROUND(OFFSET($P451,0,AK$13),15-13*ORÇAMENTO!$AF$7)/$H451*OFFSET(ORÇAMENTO!$X$15,ROW(AK451)-ROW(AK$15),0),
              ROUND(ROUND(OFFSET($P451,0,AK$13),15-13*ORÇAMENTO!$AF$7)*OFFSET(ORÇAMENTO!$W$15,ROW(AK451)-ROW(AK$15),0),15-13*ORÇAMENTO!$AF$11)),
         0)</f>
        <v>0</v>
      </c>
      <c r="AL451" s="453">
        <f ca="1">IF(AND($D451="Serviço",AL$12&lt;&gt;0,$H451&gt;0,OR(AUTOEVENTO&lt;&gt;"manual",$M451&lt;&gt;$A$15)),
        IF(Import.TipoArredondamento&lt;&gt;"TransfereGOV",
              ROUND(OFFSET($P451,0,AL$13),15-13*ORÇAMENTO!$AF$7)/$H451*OFFSET(ORÇAMENTO!$X$15,ROW(AL451)-ROW(AL$15),0),
              ROUND(ROUND(OFFSET($P451,0,AL$13),15-13*ORÇAMENTO!$AF$7)*OFFSET(ORÇAMENTO!$W$15,ROW(AL451)-ROW(AL$15),0),15-13*ORÇAMENTO!$AF$11)),
         0)</f>
        <v>0</v>
      </c>
      <c r="AM451" s="453">
        <f ca="1">IF(AND($D451="Serviço",AM$12&lt;&gt;0,$H451&gt;0,OR(AUTOEVENTO&lt;&gt;"manual",$M451&lt;&gt;$A$15)),
        IF(Import.TipoArredondamento&lt;&gt;"TransfereGOV",
              ROUND(OFFSET($P451,0,AM$13),15-13*ORÇAMENTO!$AF$7)/$H451*OFFSET(ORÇAMENTO!$X$15,ROW(AM451)-ROW(AM$15),0),
              ROUND(ROUND(OFFSET($P451,0,AM$13),15-13*ORÇAMENTO!$AF$7)*OFFSET(ORÇAMENTO!$W$15,ROW(AM451)-ROW(AM$15),0),15-13*ORÇAMENTO!$AF$11)),
         0)</f>
        <v>0</v>
      </c>
      <c r="AN451" s="453">
        <f ca="1">IF(AND($D451="Serviço",AN$12&lt;&gt;0,$H451&gt;0,OR(AUTOEVENTO&lt;&gt;"manual",$M451&lt;&gt;$A$15)),
        IF(Import.TipoArredondamento&lt;&gt;"TransfereGOV",
              ROUND(OFFSET($P451,0,AN$13),15-13*ORÇAMENTO!$AF$7)/$H451*OFFSET(ORÇAMENTO!$X$15,ROW(AN451)-ROW(AN$15),0),
              ROUND(ROUND(OFFSET($P451,0,AN$13),15-13*ORÇAMENTO!$AF$7)*OFFSET(ORÇAMENTO!$W$15,ROW(AN451)-ROW(AN$15),0),15-13*ORÇAMENTO!$AF$11)),
         0)</f>
        <v>0</v>
      </c>
      <c r="AO451" s="453">
        <f ca="1">IF(AND($D451="Serviço",AO$12&lt;&gt;0,$H451&gt;0,OR(AUTOEVENTO&lt;&gt;"manual",$M451&lt;&gt;$A$15)),
        IF(Import.TipoArredondamento&lt;&gt;"TransfereGOV",
              ROUND(OFFSET($P451,0,AO$13),15-13*ORÇAMENTO!$AF$7)/$H451*OFFSET(ORÇAMENTO!$X$15,ROW(AO451)-ROW(AO$15),0),
              ROUND(ROUND(OFFSET($P451,0,AO$13),15-13*ORÇAMENTO!$AF$7)*OFFSET(ORÇAMENTO!$W$15,ROW(AO451)-ROW(AO$15),0),15-13*ORÇAMENTO!$AF$11)),
         0)</f>
        <v>0</v>
      </c>
      <c r="AP451" s="453">
        <f ca="1">IF(AND($D451="Serviço",AP$12&lt;&gt;0,$H451&gt;0,OR(AUTOEVENTO&lt;&gt;"manual",$M451&lt;&gt;$A$15)),
        IF(Import.TipoArredondamento&lt;&gt;"TransfereGOV",
              ROUND(OFFSET($P451,0,AP$13),15-13*ORÇAMENTO!$AF$7)/$H451*OFFSET(ORÇAMENTO!$X$15,ROW(AP451)-ROW(AP$15),0),
              ROUND(ROUND(OFFSET($P451,0,AP$13),15-13*ORÇAMENTO!$AF$7)*OFFSET(ORÇAMENTO!$W$15,ROW(AP451)-ROW(AP$15),0),15-13*ORÇAMENTO!$AF$11)),
         0)</f>
        <v>0</v>
      </c>
      <c r="AQ451" s="453">
        <f ca="1">IF(AND($D451="Serviço",AQ$12&lt;&gt;0,$H451&gt;0,OR(AUTOEVENTO&lt;&gt;"manual",$M451&lt;&gt;$A$15)),
        IF(Import.TipoArredondamento&lt;&gt;"TransfereGOV",
              ROUND(OFFSET($P451,0,AQ$13),15-13*ORÇAMENTO!$AF$7)/$H451*OFFSET(ORÇAMENTO!$X$15,ROW(AQ451)-ROW(AQ$15),0),
              ROUND(ROUND(OFFSET($P451,0,AQ$13),15-13*ORÇAMENTO!$AF$7)*OFFSET(ORÇAMENTO!$W$15,ROW(AQ451)-ROW(AQ$15),0),15-13*ORÇAMENTO!$AF$11)),
         0)</f>
        <v>0</v>
      </c>
      <c r="AR451" s="453">
        <f ca="1">IF(AND($D451="Serviço",AR$12&lt;&gt;0,$H451&gt;0,OR(AUTOEVENTO&lt;&gt;"manual",$M451&lt;&gt;$A$15)),
        IF(Import.TipoArredondamento&lt;&gt;"TransfereGOV",
              ROUND(OFFSET($P451,0,AR$13),15-13*ORÇAMENTO!$AF$7)/$H451*OFFSET(ORÇAMENTO!$X$15,ROW(AR451)-ROW(AR$15),0),
              ROUND(ROUND(OFFSET($P451,0,AR$13),15-13*ORÇAMENTO!$AF$7)*OFFSET(ORÇAMENTO!$W$15,ROW(AR451)-ROW(AR$15),0),15-13*ORÇAMENTO!$AF$11)),
         0)</f>
        <v>0</v>
      </c>
      <c r="AS451" s="453">
        <f ca="1">IF(AND($D451="Serviço",AS$12&lt;&gt;0,$H451&gt;0,OR(AUTOEVENTO&lt;&gt;"manual",$M451&lt;&gt;$A$15)),
        IF(Import.TipoArredondamento&lt;&gt;"TransfereGOV",
              ROUND(OFFSET($P451,0,AS$13),15-13*ORÇAMENTO!$AF$7)/$H451*OFFSET(ORÇAMENTO!$X$15,ROW(AS451)-ROW(AS$15),0),
              ROUND(ROUND(OFFSET($P451,0,AS$13),15-13*ORÇAMENTO!$AF$7)*OFFSET(ORÇAMENTO!$W$15,ROW(AS451)-ROW(AS$15),0),15-13*ORÇAMENTO!$AF$11)),
         0)</f>
        <v>0</v>
      </c>
      <c r="AT451" s="453">
        <f ca="1">IF(AND($D451="Serviço",AT$12&lt;&gt;0,$H451&gt;0,OR(AUTOEVENTO&lt;&gt;"manual",$M451&lt;&gt;$A$15)),
        IF(Import.TipoArredondamento&lt;&gt;"TransfereGOV",
              ROUND(OFFSET($P451,0,AT$13),15-13*ORÇAMENTO!$AF$7)/$H451*OFFSET(ORÇAMENTO!$X$15,ROW(AT451)-ROW(AT$15),0),
              ROUND(ROUND(OFFSET($P451,0,AT$13),15-13*ORÇAMENTO!$AF$7)*OFFSET(ORÇAMENTO!$W$15,ROW(AT451)-ROW(AT$15),0),15-13*ORÇAMENTO!$AF$11)),
         0)</f>
        <v>0</v>
      </c>
      <c r="AU451" s="453">
        <f ca="1">IF(AND($D451="Serviço",AU$12&lt;&gt;0,$H451&gt;0,OR(AUTOEVENTO&lt;&gt;"manual",$M451&lt;&gt;$A$15)),
        IF(Import.TipoArredondamento&lt;&gt;"TransfereGOV",
              ROUND(OFFSET($P451,0,AU$13),15-13*ORÇAMENTO!$AF$7)/$H451*OFFSET(ORÇAMENTO!$X$15,ROW(AU451)-ROW(AU$15),0),
              ROUND(ROUND(OFFSET($P451,0,AU$13),15-13*ORÇAMENTO!$AF$7)*OFFSET(ORÇAMENTO!$W$15,ROW(AU451)-ROW(AU$15),0),15-13*ORÇAMENTO!$AF$11)),
         0)</f>
        <v>0</v>
      </c>
      <c r="AV451" s="453">
        <f ca="1">IF(AND($D451="Serviço",AV$12&lt;&gt;0,$H451&gt;0,OR(AUTOEVENTO&lt;&gt;"manual",$M451&lt;&gt;$A$15)),
        IF(Import.TipoArredondamento&lt;&gt;"TransfereGOV",
              ROUND(OFFSET($P451,0,AV$13),15-13*ORÇAMENTO!$AF$7)/$H451*OFFSET(ORÇAMENTO!$X$15,ROW(AV451)-ROW(AV$15),0),
              ROUND(ROUND(OFFSET($P451,0,AV$13),15-13*ORÇAMENTO!$AF$7)*OFFSET(ORÇAMENTO!$W$15,ROW(AV451)-ROW(AV$15),0),15-13*ORÇAMENTO!$AF$11)),
         0)</f>
        <v>0</v>
      </c>
      <c r="AW451" s="453">
        <f ca="1">IF(AND($D451="Serviço",AW$12&lt;&gt;0,$H451&gt;0,OR(AUTOEVENTO&lt;&gt;"manual",$M451&lt;&gt;$A$15)),
        IF(Import.TipoArredondamento&lt;&gt;"TransfereGOV",
              ROUND(OFFSET($P451,0,AW$13),15-13*ORÇAMENTO!$AF$7)/$H451*OFFSET(ORÇAMENTO!$X$15,ROW(AW451)-ROW(AW$15),0),
              ROUND(ROUND(OFFSET($P451,0,AW$13),15-13*ORÇAMENTO!$AF$7)*OFFSET(ORÇAMENTO!$W$15,ROW(AW451)-ROW(AW$15),0),15-13*ORÇAMENTO!$AF$11)),
         0)</f>
        <v>0</v>
      </c>
      <c r="AX451" s="453">
        <f ca="1">IF(AND($D451="Serviço",AX$12&lt;&gt;0,$H451&gt;0,OR(AUTOEVENTO&lt;&gt;"manual",$M451&lt;&gt;$A$15)),
        IF(Import.TipoArredondamento&lt;&gt;"TransfereGOV",
              ROUND(OFFSET($P451,0,AX$13),15-13*ORÇAMENTO!$AF$7)/$H451*OFFSET(ORÇAMENTO!$X$15,ROW(AX451)-ROW(AX$15),0),
              ROUND(ROUND(OFFSET($P451,0,AX$13),15-13*ORÇAMENTO!$AF$7)*OFFSET(ORÇAMENTO!$W$15,ROW(AX451)-ROW(AX$15),0),15-13*ORÇAMENTO!$AF$11)),
         0)</f>
        <v>0</v>
      </c>
      <c r="AY451" s="453">
        <f ca="1">IF(AND($D451="Serviço",AY$12&lt;&gt;0,$H451&gt;0,OR(AUTOEVENTO&lt;&gt;"manual",$M451&lt;&gt;$A$15)),
        IF(Import.TipoArredondamento&lt;&gt;"TransfereGOV",
              ROUND(OFFSET($P451,0,AY$13),15-13*ORÇAMENTO!$AF$7)/$H451*OFFSET(ORÇAMENTO!$X$15,ROW(AY451)-ROW(AY$15),0),
              ROUND(ROUND(OFFSET($P451,0,AY$13),15-13*ORÇAMENTO!$AF$7)*OFFSET(ORÇAMENTO!$W$15,ROW(AY451)-ROW(AY$15),0),15-13*ORÇAMENTO!$AF$11)),
         0)</f>
        <v>0</v>
      </c>
      <c r="AZ451" s="453">
        <f ca="1">IF(AND($D451="Serviço",AZ$12&lt;&gt;0,$H451&gt;0,OR(AUTOEVENTO&lt;&gt;"manual",$M451&lt;&gt;$A$15)),
        IF(Import.TipoArredondamento&lt;&gt;"TransfereGOV",
              ROUND(OFFSET($P451,0,AZ$13),15-13*ORÇAMENTO!$AF$7)/$H451*OFFSET(ORÇAMENTO!$X$15,ROW(AZ451)-ROW(AZ$15),0),
              ROUND(ROUND(OFFSET($P451,0,AZ$13),15-13*ORÇAMENTO!$AF$7)*OFFSET(ORÇAMENTO!$W$15,ROW(AZ451)-ROW(AZ$15),0),15-13*ORÇAMENTO!$AF$11)),
         0)</f>
        <v>0</v>
      </c>
      <c r="BA451" s="453">
        <f ca="1">IF(AND($D451="Serviço",BA$12&lt;&gt;0,$H451&gt;0,OR(AUTOEVENTO&lt;&gt;"manual",$M451&lt;&gt;$A$15)),
        IF(Import.TipoArredondamento&lt;&gt;"TransfereGOV",
              ROUND(OFFSET($P451,0,BA$13),15-13*ORÇAMENTO!$AF$7)/$H451*OFFSET(ORÇAMENTO!$X$15,ROW(BA451)-ROW(BA$15),0),
              ROUND(ROUND(OFFSET($P451,0,BA$13),15-13*ORÇAMENTO!$AF$7)*OFFSET(ORÇAMENTO!$W$15,ROW(BA451)-ROW(BA$15),0),15-13*ORÇAMENTO!$AF$11)),
         0)</f>
        <v>0</v>
      </c>
      <c r="BC451" s="171">
        <f ca="1">IF(OR($D451&lt;&gt;"Serviço",AND(AUTOEVENTO="Manual",$M451=$A$15)),0,
         IF(OFFSET(CRONOPLE!$F$15,$M451-$A$15,BC$13)=0,10^12,OFFSET(CRONOPLE!$F$15,$M451-$A$15,BC$13)))</f>
        <v>1</v>
      </c>
      <c r="BD451" s="171">
        <f ca="1">IF(OR($D451&lt;&gt;"Serviço",AND(AUTOEVENTO="Manual",$M451=$A$15)),0,
         IF(OFFSET(CRONOPLE!$F$15,$M451-$A$15,BD$13)=0,10^12,OFFSET(CRONOPLE!$F$15,$M451-$A$15,BD$13)))</f>
        <v>2</v>
      </c>
      <c r="BE451" s="171">
        <f ca="1">IF(OR($D451&lt;&gt;"Serviço",AND(AUTOEVENTO="Manual",$M451=$A$15)),0,
         IF(OFFSET(CRONOPLE!$F$15,$M451-$A$15,BE$13)=0,10^12,OFFSET(CRONOPLE!$F$15,$M451-$A$15,BE$13)))</f>
        <v>3</v>
      </c>
      <c r="BF451" s="171">
        <f ca="1">IF(OR($D451&lt;&gt;"Serviço",AND(AUTOEVENTO="Manual",$M451=$A$15)),0,
         IF(OFFSET(CRONOPLE!$F$15,$M451-$A$15,BF$13)=0,10^12,OFFSET(CRONOPLE!$F$15,$M451-$A$15,BF$13)))</f>
        <v>4</v>
      </c>
      <c r="BG451" s="171">
        <f ca="1">IF(OR($D451&lt;&gt;"Serviço",AND(AUTOEVENTO="Manual",$M451=$A$15)),0,
         IF(OFFSET(CRONOPLE!$F$15,$M451-$A$15,BG$13)=0,10^12,OFFSET(CRONOPLE!$F$15,$M451-$A$15,BG$13)))</f>
        <v>5</v>
      </c>
      <c r="BH451" s="171">
        <f ca="1">IF(OR($D451&lt;&gt;"Serviço",AND(AUTOEVENTO="Manual",$M451=$A$15)),0,
         IF(OFFSET(CRONOPLE!$F$15,$M451-$A$15,BH$13)=0,10^12,OFFSET(CRONOPLE!$F$15,$M451-$A$15,BH$13)))</f>
        <v>6</v>
      </c>
      <c r="BI451" s="171">
        <f ca="1">IF(OR($D451&lt;&gt;"Serviço",AND(AUTOEVENTO="Manual",$M451=$A$15)),0,
         IF(OFFSET(CRONOPLE!$F$15,$M451-$A$15,BI$13)=0,10^12,OFFSET(CRONOPLE!$F$15,$M451-$A$15,BI$13)))</f>
        <v>7</v>
      </c>
      <c r="BJ451" s="171">
        <f ca="1">IF(OR($D451&lt;&gt;"Serviço",AND(AUTOEVENTO="Manual",$M451=$A$15)),0,
         IF(OFFSET(CRONOPLE!$F$15,$M451-$A$15,BJ$13)=0,10^12,OFFSET(CRONOPLE!$F$15,$M451-$A$15,BJ$13)))</f>
        <v>8</v>
      </c>
      <c r="BK451" s="171">
        <f ca="1">IF(OR($D451&lt;&gt;"Serviço",AND(AUTOEVENTO="Manual",$M451=$A$15)),0,
         IF(OFFSET(CRONOPLE!$F$15,$M451-$A$15,BK$13)=0,10^12,OFFSET(CRONOPLE!$F$15,$M451-$A$15,BK$13)))</f>
        <v>9</v>
      </c>
      <c r="BL451" s="171">
        <f ca="1">IF(OR($D451&lt;&gt;"Serviço",AND(AUTOEVENTO="Manual",$M451=$A$15)),0,
         IF(OFFSET(CRONOPLE!$F$15,$M451-$A$15,BL$13)=0,10^12,OFFSET(CRONOPLE!$F$15,$M451-$A$15,BL$13)))</f>
        <v>1000000000000</v>
      </c>
      <c r="BM451" s="171">
        <f ca="1">IF(OR($D451&lt;&gt;"Serviço",AND(AUTOEVENTO="Manual",$M451=$A$15)),0,
         IF(OFFSET(CRONOPLE!$F$15,$M451-$A$15,BM$13)=0,10^12,OFFSET(CRONOPLE!$F$15,$M451-$A$15,BM$13)))</f>
        <v>1000000000000</v>
      </c>
      <c r="BN451" s="171">
        <f ca="1">IF(OR($D451&lt;&gt;"Serviço",AND(AUTOEVENTO="Manual",$M451=$A$15)),0,
         IF(OFFSET(CRONOPLE!$F$15,$M451-$A$15,BN$13)=0,10^12,OFFSET(CRONOPLE!$F$15,$M451-$A$15,BN$13)))</f>
        <v>1000000000000</v>
      </c>
      <c r="BO451" s="171">
        <f ca="1">IF(OR($D451&lt;&gt;"Serviço",AND(AUTOEVENTO="Manual",$M451=$A$15)),0,
         IF(OFFSET(CRONOPLE!$F$15,$M451-$A$15,BO$13)=0,10^12,OFFSET(CRONOPLE!$F$15,$M451-$A$15,BO$13)))</f>
        <v>1000000000000</v>
      </c>
      <c r="BP451" s="171">
        <f ca="1">IF(OR($D451&lt;&gt;"Serviço",AND(AUTOEVENTO="Manual",$M451=$A$15)),0,
         IF(OFFSET(CRONOPLE!$F$15,$M451-$A$15,BP$13)=0,10^12,OFFSET(CRONOPLE!$F$15,$M451-$A$15,BP$13)))</f>
        <v>1000000000000</v>
      </c>
      <c r="BQ451" s="171">
        <f ca="1">IF(OR($D451&lt;&gt;"Serviço",AND(AUTOEVENTO="Manual",$M451=$A$15)),0,
         IF(OFFSET(CRONOPLE!$F$15,$M451-$A$15,BQ$13)=0,10^12,OFFSET(CRONOPLE!$F$15,$M451-$A$15,BQ$13)))</f>
        <v>1000000000000</v>
      </c>
      <c r="BR451" s="171">
        <f ca="1">IF(OR($D451&lt;&gt;"Serviço",AND(AUTOEVENTO="Manual",$M451=$A$15)),0,
         IF(OFFSET(CRONOPLE!$F$15,$M451-$A$15,BR$13)=0,10^12,OFFSET(CRONOPLE!$F$15,$M451-$A$15,BR$13)))</f>
        <v>1000000000000</v>
      </c>
      <c r="BS451" s="171">
        <f ca="1">IF(OR($D451&lt;&gt;"Serviço",AND(AUTOEVENTO="Manual",$M451=$A$15)),0,
         IF(OFFSET(CRONOPLE!$F$15,$M451-$A$15,BS$13)=0,10^12,OFFSET(CRONOPLE!$F$15,$M451-$A$15,BS$13)))</f>
        <v>1000000000000</v>
      </c>
      <c r="BT451" s="171">
        <f ca="1">IF(OR($D451&lt;&gt;"Serviço",AND(AUTOEVENTO="Manual",$M451=$A$15)),0,
         IF(OFFSET(CRONOPLE!$F$15,$M451-$A$15,BT$13)=0,10^12,OFFSET(CRONOPLE!$F$15,$M451-$A$15,BT$13)))</f>
        <v>1000000000000</v>
      </c>
      <c r="BV451" s="172">
        <f ca="1">IF(OR($D451&lt;&gt;"Serviço",AND(AUTOEVENTO="Manual",$M451=$A$15),$M451&gt;(ROW(PLE.lastrow)-ROW(PLE.firstrow))),0,
           IF(OFFSET(PLE!$G$15,$M451-$A$15,BV$13)="",10^12,OFFSET(PLE!$G$15,$M451-$A$15,BV$13)))</f>
        <v>1000000000000</v>
      </c>
      <c r="BW451" s="172">
        <f ca="1">IF(OR($D451&lt;&gt;"Serviço",AND(AUTOEVENTO="Manual",$M451=$A$15),$M451&gt;(ROW(PLE.lastrow)-ROW(PLE.firstrow))),0,
           IF(OFFSET(PLE!$G$15,$M451-$A$15,BW$13)="",10^12,OFFSET(PLE!$G$15,$M451-$A$15,BW$13)))</f>
        <v>1000000000000</v>
      </c>
      <c r="BX451" s="172">
        <f ca="1">IF(OR($D451&lt;&gt;"Serviço",AND(AUTOEVENTO="Manual",$M451=$A$15),$M451&gt;(ROW(PLE.lastrow)-ROW(PLE.firstrow))),0,
           IF(OFFSET(PLE!$G$15,$M451-$A$15,BX$13)="",10^12,OFFSET(PLE!$G$15,$M451-$A$15,BX$13)))</f>
        <v>1000000000000</v>
      </c>
      <c r="BY451" s="172">
        <f ca="1">IF(OR($D451&lt;&gt;"Serviço",AND(AUTOEVENTO="Manual",$M451=$A$15),$M451&gt;(ROW(PLE.lastrow)-ROW(PLE.firstrow))),0,
           IF(OFFSET(PLE!$G$15,$M451-$A$15,BY$13)="",10^12,OFFSET(PLE!$G$15,$M451-$A$15,BY$13)))</f>
        <v>1000000000000</v>
      </c>
      <c r="BZ451" s="172">
        <f ca="1">IF(OR($D451&lt;&gt;"Serviço",AND(AUTOEVENTO="Manual",$M451=$A$15),$M451&gt;(ROW(PLE.lastrow)-ROW(PLE.firstrow))),0,
           IF(OFFSET(PLE!$G$15,$M451-$A$15,BZ$13)="",10^12,OFFSET(PLE!$G$15,$M451-$A$15,BZ$13)))</f>
        <v>1000000000000</v>
      </c>
      <c r="CA451" s="172">
        <f ca="1">IF(OR($D451&lt;&gt;"Serviço",AND(AUTOEVENTO="Manual",$M451=$A$15),$M451&gt;(ROW(PLE.lastrow)-ROW(PLE.firstrow))),0,
           IF(OFFSET(PLE!$G$15,$M451-$A$15,CA$13)="",10^12,OFFSET(PLE!$G$15,$M451-$A$15,CA$13)))</f>
        <v>1000000000000</v>
      </c>
      <c r="CB451" s="172">
        <f ca="1">IF(OR($D451&lt;&gt;"Serviço",AND(AUTOEVENTO="Manual",$M451=$A$15),$M451&gt;(ROW(PLE.lastrow)-ROW(PLE.firstrow))),0,
           IF(OFFSET(PLE!$G$15,$M451-$A$15,CB$13)="",10^12,OFFSET(PLE!$G$15,$M451-$A$15,CB$13)))</f>
        <v>1000000000000</v>
      </c>
      <c r="CC451" s="172">
        <f ca="1">IF(OR($D451&lt;&gt;"Serviço",AND(AUTOEVENTO="Manual",$M451=$A$15),$M451&gt;(ROW(PLE.lastrow)-ROW(PLE.firstrow))),0,
           IF(OFFSET(PLE!$G$15,$M451-$A$15,CC$13)="",10^12,OFFSET(PLE!$G$15,$M451-$A$15,CC$13)))</f>
        <v>1000000000000</v>
      </c>
      <c r="CD451" s="172">
        <f ca="1">IF(OR($D451&lt;&gt;"Serviço",AND(AUTOEVENTO="Manual",$M451=$A$15),$M451&gt;(ROW(PLE.lastrow)-ROW(PLE.firstrow))),0,
           IF(OFFSET(PLE!$G$15,$M451-$A$15,CD$13)="",10^12,OFFSET(PLE!$G$15,$M451-$A$15,CD$13)))</f>
        <v>1000000000000</v>
      </c>
      <c r="CE451" s="172">
        <f ca="1">IF(OR($D451&lt;&gt;"Serviço",AND(AUTOEVENTO="Manual",$M451=$A$15),$M451&gt;(ROW(PLE.lastrow)-ROW(PLE.firstrow))),0,
           IF(OFFSET(PLE!$G$15,$M451-$A$15,CE$13)="",10^12,OFFSET(PLE!$G$15,$M451-$A$15,CE$13)))</f>
        <v>1000000000000</v>
      </c>
      <c r="CF451" s="172">
        <f ca="1">IF(OR($D451&lt;&gt;"Serviço",AND(AUTOEVENTO="Manual",$M451=$A$15),$M451&gt;(ROW(PLE.lastrow)-ROW(PLE.firstrow))),0,
           IF(OFFSET(PLE!$G$15,$M451-$A$15,CF$13)="",10^12,OFFSET(PLE!$G$15,$M451-$A$15,CF$13)))</f>
        <v>1000000000000</v>
      </c>
      <c r="CG451" s="172">
        <f ca="1">IF(OR($D451&lt;&gt;"Serviço",AND(AUTOEVENTO="Manual",$M451=$A$15),$M451&gt;(ROW(PLE.lastrow)-ROW(PLE.firstrow))),0,
           IF(OFFSET(PLE!$G$15,$M451-$A$15,CG$13)="",10^12,OFFSET(PLE!$G$15,$M451-$A$15,CG$13)))</f>
        <v>1000000000000</v>
      </c>
      <c r="CH451" s="172">
        <f ca="1">IF(OR($D451&lt;&gt;"Serviço",AND(AUTOEVENTO="Manual",$M451=$A$15),$M451&gt;(ROW(PLE.lastrow)-ROW(PLE.firstrow))),0,
           IF(OFFSET(PLE!$G$15,$M451-$A$15,CH$13)="",10^12,OFFSET(PLE!$G$15,$M451-$A$15,CH$13)))</f>
        <v>1000000000000</v>
      </c>
      <c r="CI451" s="172">
        <f ca="1">IF(OR($D451&lt;&gt;"Serviço",AND(AUTOEVENTO="Manual",$M451=$A$15),$M451&gt;(ROW(PLE.lastrow)-ROW(PLE.firstrow))),0,
           IF(OFFSET(PLE!$G$15,$M451-$A$15,CI$13)="",10^12,OFFSET(PLE!$G$15,$M451-$A$15,CI$13)))</f>
        <v>1000000000000</v>
      </c>
      <c r="CJ451" s="172">
        <f ca="1">IF(OR($D451&lt;&gt;"Serviço",AND(AUTOEVENTO="Manual",$M451=$A$15),$M451&gt;(ROW(PLE.lastrow)-ROW(PLE.firstrow))),0,
           IF(OFFSET(PLE!$G$15,$M451-$A$15,CJ$13)="",10^12,OFFSET(PLE!$G$15,$M451-$A$15,CJ$13)))</f>
        <v>1000000000000</v>
      </c>
      <c r="CK451" s="172">
        <f ca="1">IF(OR($D451&lt;&gt;"Serviço",AND(AUTOEVENTO="Manual",$M451=$A$15),$M451&gt;(ROW(PLE.lastrow)-ROW(PLE.firstrow))),0,
           IF(OFFSET(PLE!$G$15,$M451-$A$15,CK$13)="",10^12,OFFSET(PLE!$G$15,$M451-$A$15,CK$13)))</f>
        <v>1000000000000</v>
      </c>
      <c r="CL451" s="172">
        <f ca="1">IF(OR($D451&lt;&gt;"Serviço",AND(AUTOEVENTO="Manual",$M451=$A$15),$M451&gt;(ROW(PLE.lastrow)-ROW(PLE.firstrow))),0,
           IF(OFFSET(PLE!$G$15,$M451-$A$15,CL$13)="",10^12,OFFSET(PLE!$G$15,$M451-$A$15,CL$13)))</f>
        <v>1000000000000</v>
      </c>
      <c r="CM451" s="172">
        <f ca="1">IF(OR($D451&lt;&gt;"Serviço",AND(AUTOEVENTO="Manual",$M451=$A$15),$M451&gt;(ROW(PLE.lastrow)-ROW(PLE.firstrow))),0,
           IF(OFFSET(PLE!$G$15,$M451-$A$15,CM$13)="",10^12,OFFSET(PLE!$G$15,$M451-$A$15,CM$13)))</f>
        <v>1000000000000</v>
      </c>
    </row>
    <row r="452" spans="1:91" ht="38.25" x14ac:dyDescent="0.2">
      <c r="A452" s="7">
        <f t="shared" ca="1" si="16"/>
        <v>8</v>
      </c>
      <c r="B452" s="7" t="str">
        <f ca="1">OFFSET(ORÇAMENTO!C$15,ROW(B452)-ROW(B$15),0)</f>
        <v>S</v>
      </c>
      <c r="C452" s="7" t="str">
        <f ca="1">OFFSET(ORÇAMENTO!L$15,ROW(C452)-ROW(C$15),0)</f>
        <v>F</v>
      </c>
      <c r="D452" s="116" t="str">
        <f ca="1">OFFSET(ORÇAMENTO!N$15,ROW(D452)-ROW(D$15),0)</f>
        <v>Serviço</v>
      </c>
      <c r="E452" s="117" t="str">
        <f ca="1">OFFSET(ORÇAMENTO!O$15,ROW(E452)-ROW(E$15),0)</f>
        <v>1.9.1.0.10.</v>
      </c>
      <c r="F452" s="163" t="str">
        <f ca="1">OFFSET(ORÇAMENTO!R$15,ROW(F452)-ROW(F$15),0)</f>
        <v>POSTE DE AÇO GALVANIZADO, TIPO RETO H=4M - BASEADO EM SIURB 9083072</v>
      </c>
      <c r="G452" s="164" t="str">
        <f ca="1">IF($D452&lt;&gt;"Serviço","",OFFSET(ORÇAMENTO!S$15,ROW(G452)-ROW(G$15),0))</f>
        <v>UN</v>
      </c>
      <c r="H452" s="122" cm="1">
        <f t="array" aca="1" ref="H452" ca="1">IF($D452&lt;&gt;"Serviço",0,IF(ACOMPANHAMENTO="BM",ROUND(OFFSET(ORÇAMENTO!AJ$15,ROW(H452)-ROW(H$15),0),15-13*ORÇAMENTO!$AF$7),SUMPRODUCT(($Q$1:$AI$1=1)*ROUND($Q452:$AI452,15-13*ORÇAMENTO!$AF$7))))</f>
        <v>10</v>
      </c>
      <c r="I452" s="468" t="s">
        <v>1432</v>
      </c>
      <c r="J452" s="640" t="str" cm="1">
        <f t="array" aca="1" ref="J452" ca="1">IF(OR(B452&lt;&gt;"S",CÁLCULO.FrentesPreenchidas=0),"",IF(AND(ACOMPANHAMENTO="PLE",AUTOEVENTO="Manual",OR(H452&gt;0,ORÇAMENTO!AC452="QUANT."),OR(K452="",M452=0,N452="")),"►E",IF(AND(ACOMPANHAMENTO="PLE",ORÇAMENTO!AC452="QUANT."),"►Q",IF(AND(ACOMPANHAMENTO="PLE",H452&lt;&gt;SUMPRODUCT(($Q$1:$AI$1=1)*ROUND(Q452:AI452,15))),"►S",IF(AND(COUNTIF($P$11:$AI$11,"▼")=0,H452&gt;0,I452=""),"◄M","")))))</f>
        <v/>
      </c>
      <c r="K452" s="641" t="s">
        <v>1392</v>
      </c>
      <c r="L452" s="165" t="s">
        <v>764</v>
      </c>
      <c r="M452" s="166">
        <f ca="1">IF($D452&lt;&gt;"Serviço","",
          IF(AUTOEVENTO="manual",$A452,
                IF(ISERROR(MATCH($A452,$A$15:OFFSET($A452,-1,0),0)),MAX($M$15:OFFSET(M452,-1,0))+1,
                      INDEX($M$15:OFFSET(M452,-1,0),MATCH($A452,$A$15:OFFSET($A452,-1,0),0)))))</f>
        <v>8</v>
      </c>
      <c r="N452" s="167" t="str">
        <f ca="1">IF($D452&lt;&gt;"Serviço","",
         IF(AUTOEVENTO="Manual",
                IF($A452=0,"&lt;-- defina o número do agrupador",
                       OFFSET(EVENTOS!$D$15,$A452-$A$15,0)),
                OFFSET($F$15,$A452,0)))</f>
        <v>CFTV</v>
      </c>
      <c r="O452" s="168"/>
      <c r="Q452" s="168"/>
      <c r="R452" s="169"/>
      <c r="S452" s="169"/>
      <c r="T452" s="169"/>
      <c r="U452" s="169"/>
      <c r="V452" s="169"/>
      <c r="W452" s="169"/>
      <c r="X452" s="169"/>
      <c r="Y452" s="169">
        <v>10</v>
      </c>
      <c r="Z452" s="170"/>
      <c r="AA452" s="169"/>
      <c r="AB452" s="169"/>
      <c r="AC452" s="169"/>
      <c r="AD452" s="169"/>
      <c r="AE452" s="169"/>
      <c r="AF452" s="169"/>
      <c r="AG452" s="169"/>
      <c r="AH452" s="170"/>
      <c r="AJ452" s="453">
        <f ca="1">IF(AND($D452="Serviço",AJ$12&lt;&gt;0,$H452&gt;0,OR(AUTOEVENTO&lt;&gt;"manual",$M452&lt;&gt;$A$15)),
        IF(Import.TipoArredondamento&lt;&gt;"TransfereGOV",
              ROUND(OFFSET($P452,0,AJ$13),15-13*ORÇAMENTO!$AF$7)/$H452*OFFSET(ORÇAMENTO!$X$15,ROW(AJ452)-ROW(AJ$15),0),
              ROUND(ROUND(OFFSET($P452,0,AJ$13),15-13*ORÇAMENTO!$AF$7)*OFFSET(ORÇAMENTO!$W$15,ROW(AJ452)-ROW(AJ$15),0),15-13*ORÇAMENTO!$AF$11)),
         0)</f>
        <v>0</v>
      </c>
      <c r="AK452" s="453">
        <f ca="1">IF(AND($D452="Serviço",AK$12&lt;&gt;0,$H452&gt;0,OR(AUTOEVENTO&lt;&gt;"manual",$M452&lt;&gt;$A$15)),
        IF(Import.TipoArredondamento&lt;&gt;"TransfereGOV",
              ROUND(OFFSET($P452,0,AK$13),15-13*ORÇAMENTO!$AF$7)/$H452*OFFSET(ORÇAMENTO!$X$15,ROW(AK452)-ROW(AK$15),0),
              ROUND(ROUND(OFFSET($P452,0,AK$13),15-13*ORÇAMENTO!$AF$7)*OFFSET(ORÇAMENTO!$W$15,ROW(AK452)-ROW(AK$15),0),15-13*ORÇAMENTO!$AF$11)),
         0)</f>
        <v>0</v>
      </c>
      <c r="AL452" s="453">
        <f ca="1">IF(AND($D452="Serviço",AL$12&lt;&gt;0,$H452&gt;0,OR(AUTOEVENTO&lt;&gt;"manual",$M452&lt;&gt;$A$15)),
        IF(Import.TipoArredondamento&lt;&gt;"TransfereGOV",
              ROUND(OFFSET($P452,0,AL$13),15-13*ORÇAMENTO!$AF$7)/$H452*OFFSET(ORÇAMENTO!$X$15,ROW(AL452)-ROW(AL$15),0),
              ROUND(ROUND(OFFSET($P452,0,AL$13),15-13*ORÇAMENTO!$AF$7)*OFFSET(ORÇAMENTO!$W$15,ROW(AL452)-ROW(AL$15),0),15-13*ORÇAMENTO!$AF$11)),
         0)</f>
        <v>0</v>
      </c>
      <c r="AM452" s="453">
        <f ca="1">IF(AND($D452="Serviço",AM$12&lt;&gt;0,$H452&gt;0,OR(AUTOEVENTO&lt;&gt;"manual",$M452&lt;&gt;$A$15)),
        IF(Import.TipoArredondamento&lt;&gt;"TransfereGOV",
              ROUND(OFFSET($P452,0,AM$13),15-13*ORÇAMENTO!$AF$7)/$H452*OFFSET(ORÇAMENTO!$X$15,ROW(AM452)-ROW(AM$15),0),
              ROUND(ROUND(OFFSET($P452,0,AM$13),15-13*ORÇAMENTO!$AF$7)*OFFSET(ORÇAMENTO!$W$15,ROW(AM452)-ROW(AM$15),0),15-13*ORÇAMENTO!$AF$11)),
         0)</f>
        <v>0</v>
      </c>
      <c r="AN452" s="453">
        <f ca="1">IF(AND($D452="Serviço",AN$12&lt;&gt;0,$H452&gt;0,OR(AUTOEVENTO&lt;&gt;"manual",$M452&lt;&gt;$A$15)),
        IF(Import.TipoArredondamento&lt;&gt;"TransfereGOV",
              ROUND(OFFSET($P452,0,AN$13),15-13*ORÇAMENTO!$AF$7)/$H452*OFFSET(ORÇAMENTO!$X$15,ROW(AN452)-ROW(AN$15),0),
              ROUND(ROUND(OFFSET($P452,0,AN$13),15-13*ORÇAMENTO!$AF$7)*OFFSET(ORÇAMENTO!$W$15,ROW(AN452)-ROW(AN$15),0),15-13*ORÇAMENTO!$AF$11)),
         0)</f>
        <v>0</v>
      </c>
      <c r="AO452" s="453">
        <f ca="1">IF(AND($D452="Serviço",AO$12&lt;&gt;0,$H452&gt;0,OR(AUTOEVENTO&lt;&gt;"manual",$M452&lt;&gt;$A$15)),
        IF(Import.TipoArredondamento&lt;&gt;"TransfereGOV",
              ROUND(OFFSET($P452,0,AO$13),15-13*ORÇAMENTO!$AF$7)/$H452*OFFSET(ORÇAMENTO!$X$15,ROW(AO452)-ROW(AO$15),0),
              ROUND(ROUND(OFFSET($P452,0,AO$13),15-13*ORÇAMENTO!$AF$7)*OFFSET(ORÇAMENTO!$W$15,ROW(AO452)-ROW(AO$15),0),15-13*ORÇAMENTO!$AF$11)),
         0)</f>
        <v>0</v>
      </c>
      <c r="AP452" s="453">
        <f ca="1">IF(AND($D452="Serviço",AP$12&lt;&gt;0,$H452&gt;0,OR(AUTOEVENTO&lt;&gt;"manual",$M452&lt;&gt;$A$15)),
        IF(Import.TipoArredondamento&lt;&gt;"TransfereGOV",
              ROUND(OFFSET($P452,0,AP$13),15-13*ORÇAMENTO!$AF$7)/$H452*OFFSET(ORÇAMENTO!$X$15,ROW(AP452)-ROW(AP$15),0),
              ROUND(ROUND(OFFSET($P452,0,AP$13),15-13*ORÇAMENTO!$AF$7)*OFFSET(ORÇAMENTO!$W$15,ROW(AP452)-ROW(AP$15),0),15-13*ORÇAMENTO!$AF$11)),
         0)</f>
        <v>0</v>
      </c>
      <c r="AQ452" s="453">
        <f ca="1">IF(AND($D452="Serviço",AQ$12&lt;&gt;0,$H452&gt;0,OR(AUTOEVENTO&lt;&gt;"manual",$M452&lt;&gt;$A$15)),
        IF(Import.TipoArredondamento&lt;&gt;"TransfereGOV",
              ROUND(OFFSET($P452,0,AQ$13),15-13*ORÇAMENTO!$AF$7)/$H452*OFFSET(ORÇAMENTO!$X$15,ROW(AQ452)-ROW(AQ$15),0),
              ROUND(ROUND(OFFSET($P452,0,AQ$13),15-13*ORÇAMENTO!$AF$7)*OFFSET(ORÇAMENTO!$W$15,ROW(AQ452)-ROW(AQ$15),0),15-13*ORÇAMENTO!$AF$11)),
         0)</f>
        <v>0</v>
      </c>
      <c r="AR452" s="453">
        <f ca="1">IF(AND($D452="Serviço",AR$12&lt;&gt;0,$H452&gt;0,OR(AUTOEVENTO&lt;&gt;"manual",$M452&lt;&gt;$A$15)),
        IF(Import.TipoArredondamento&lt;&gt;"TransfereGOV",
              ROUND(OFFSET($P452,0,AR$13),15-13*ORÇAMENTO!$AF$7)/$H452*OFFSET(ORÇAMENTO!$X$15,ROW(AR452)-ROW(AR$15),0),
              ROUND(ROUND(OFFSET($P452,0,AR$13),15-13*ORÇAMENTO!$AF$7)*OFFSET(ORÇAMENTO!$W$15,ROW(AR452)-ROW(AR$15),0),15-13*ORÇAMENTO!$AF$11)),
         0)</f>
        <v>0</v>
      </c>
      <c r="AS452" s="453">
        <f ca="1">IF(AND($D452="Serviço",AS$12&lt;&gt;0,$H452&gt;0,OR(AUTOEVENTO&lt;&gt;"manual",$M452&lt;&gt;$A$15)),
        IF(Import.TipoArredondamento&lt;&gt;"TransfereGOV",
              ROUND(OFFSET($P452,0,AS$13),15-13*ORÇAMENTO!$AF$7)/$H452*OFFSET(ORÇAMENTO!$X$15,ROW(AS452)-ROW(AS$15),0),
              ROUND(ROUND(OFFSET($P452,0,AS$13),15-13*ORÇAMENTO!$AF$7)*OFFSET(ORÇAMENTO!$W$15,ROW(AS452)-ROW(AS$15),0),15-13*ORÇAMENTO!$AF$11)),
         0)</f>
        <v>0</v>
      </c>
      <c r="AT452" s="453">
        <f ca="1">IF(AND($D452="Serviço",AT$12&lt;&gt;0,$H452&gt;0,OR(AUTOEVENTO&lt;&gt;"manual",$M452&lt;&gt;$A$15)),
        IF(Import.TipoArredondamento&lt;&gt;"TransfereGOV",
              ROUND(OFFSET($P452,0,AT$13),15-13*ORÇAMENTO!$AF$7)/$H452*OFFSET(ORÇAMENTO!$X$15,ROW(AT452)-ROW(AT$15),0),
              ROUND(ROUND(OFFSET($P452,0,AT$13),15-13*ORÇAMENTO!$AF$7)*OFFSET(ORÇAMENTO!$W$15,ROW(AT452)-ROW(AT$15),0),15-13*ORÇAMENTO!$AF$11)),
         0)</f>
        <v>0</v>
      </c>
      <c r="AU452" s="453">
        <f ca="1">IF(AND($D452="Serviço",AU$12&lt;&gt;0,$H452&gt;0,OR(AUTOEVENTO&lt;&gt;"manual",$M452&lt;&gt;$A$15)),
        IF(Import.TipoArredondamento&lt;&gt;"TransfereGOV",
              ROUND(OFFSET($P452,0,AU$13),15-13*ORÇAMENTO!$AF$7)/$H452*OFFSET(ORÇAMENTO!$X$15,ROW(AU452)-ROW(AU$15),0),
              ROUND(ROUND(OFFSET($P452,0,AU$13),15-13*ORÇAMENTO!$AF$7)*OFFSET(ORÇAMENTO!$W$15,ROW(AU452)-ROW(AU$15),0),15-13*ORÇAMENTO!$AF$11)),
         0)</f>
        <v>0</v>
      </c>
      <c r="AV452" s="453">
        <f ca="1">IF(AND($D452="Serviço",AV$12&lt;&gt;0,$H452&gt;0,OR(AUTOEVENTO&lt;&gt;"manual",$M452&lt;&gt;$A$15)),
        IF(Import.TipoArredondamento&lt;&gt;"TransfereGOV",
              ROUND(OFFSET($P452,0,AV$13),15-13*ORÇAMENTO!$AF$7)/$H452*OFFSET(ORÇAMENTO!$X$15,ROW(AV452)-ROW(AV$15),0),
              ROUND(ROUND(OFFSET($P452,0,AV$13),15-13*ORÇAMENTO!$AF$7)*OFFSET(ORÇAMENTO!$W$15,ROW(AV452)-ROW(AV$15),0),15-13*ORÇAMENTO!$AF$11)),
         0)</f>
        <v>0</v>
      </c>
      <c r="AW452" s="453">
        <f ca="1">IF(AND($D452="Serviço",AW$12&lt;&gt;0,$H452&gt;0,OR(AUTOEVENTO&lt;&gt;"manual",$M452&lt;&gt;$A$15)),
        IF(Import.TipoArredondamento&lt;&gt;"TransfereGOV",
              ROUND(OFFSET($P452,0,AW$13),15-13*ORÇAMENTO!$AF$7)/$H452*OFFSET(ORÇAMENTO!$X$15,ROW(AW452)-ROW(AW$15),0),
              ROUND(ROUND(OFFSET($P452,0,AW$13),15-13*ORÇAMENTO!$AF$7)*OFFSET(ORÇAMENTO!$W$15,ROW(AW452)-ROW(AW$15),0),15-13*ORÇAMENTO!$AF$11)),
         0)</f>
        <v>0</v>
      </c>
      <c r="AX452" s="453">
        <f ca="1">IF(AND($D452="Serviço",AX$12&lt;&gt;0,$H452&gt;0,OR(AUTOEVENTO&lt;&gt;"manual",$M452&lt;&gt;$A$15)),
        IF(Import.TipoArredondamento&lt;&gt;"TransfereGOV",
              ROUND(OFFSET($P452,0,AX$13),15-13*ORÇAMENTO!$AF$7)/$H452*OFFSET(ORÇAMENTO!$X$15,ROW(AX452)-ROW(AX$15),0),
              ROUND(ROUND(OFFSET($P452,0,AX$13),15-13*ORÇAMENTO!$AF$7)*OFFSET(ORÇAMENTO!$W$15,ROW(AX452)-ROW(AX$15),0),15-13*ORÇAMENTO!$AF$11)),
         0)</f>
        <v>0</v>
      </c>
      <c r="AY452" s="453">
        <f ca="1">IF(AND($D452="Serviço",AY$12&lt;&gt;0,$H452&gt;0,OR(AUTOEVENTO&lt;&gt;"manual",$M452&lt;&gt;$A$15)),
        IF(Import.TipoArredondamento&lt;&gt;"TransfereGOV",
              ROUND(OFFSET($P452,0,AY$13),15-13*ORÇAMENTO!$AF$7)/$H452*OFFSET(ORÇAMENTO!$X$15,ROW(AY452)-ROW(AY$15),0),
              ROUND(ROUND(OFFSET($P452,0,AY$13),15-13*ORÇAMENTO!$AF$7)*OFFSET(ORÇAMENTO!$W$15,ROW(AY452)-ROW(AY$15),0),15-13*ORÇAMENTO!$AF$11)),
         0)</f>
        <v>0</v>
      </c>
      <c r="AZ452" s="453">
        <f ca="1">IF(AND($D452="Serviço",AZ$12&lt;&gt;0,$H452&gt;0,OR(AUTOEVENTO&lt;&gt;"manual",$M452&lt;&gt;$A$15)),
        IF(Import.TipoArredondamento&lt;&gt;"TransfereGOV",
              ROUND(OFFSET($P452,0,AZ$13),15-13*ORÇAMENTO!$AF$7)/$H452*OFFSET(ORÇAMENTO!$X$15,ROW(AZ452)-ROW(AZ$15),0),
              ROUND(ROUND(OFFSET($P452,0,AZ$13),15-13*ORÇAMENTO!$AF$7)*OFFSET(ORÇAMENTO!$W$15,ROW(AZ452)-ROW(AZ$15),0),15-13*ORÇAMENTO!$AF$11)),
         0)</f>
        <v>0</v>
      </c>
      <c r="BA452" s="453">
        <f ca="1">IF(AND($D452="Serviço",BA$12&lt;&gt;0,$H452&gt;0,OR(AUTOEVENTO&lt;&gt;"manual",$M452&lt;&gt;$A$15)),
        IF(Import.TipoArredondamento&lt;&gt;"TransfereGOV",
              ROUND(OFFSET($P452,0,BA$13),15-13*ORÇAMENTO!$AF$7)/$H452*OFFSET(ORÇAMENTO!$X$15,ROW(BA452)-ROW(BA$15),0),
              ROUND(ROUND(OFFSET($P452,0,BA$13),15-13*ORÇAMENTO!$AF$7)*OFFSET(ORÇAMENTO!$W$15,ROW(BA452)-ROW(BA$15),0),15-13*ORÇAMENTO!$AF$11)),
         0)</f>
        <v>0</v>
      </c>
      <c r="BC452" s="171">
        <f ca="1">IF(OR($D452&lt;&gt;"Serviço",AND(AUTOEVENTO="Manual",$M452=$A$15)),0,
         IF(OFFSET(CRONOPLE!$F$15,$M452-$A$15,BC$13)=0,10^12,OFFSET(CRONOPLE!$F$15,$M452-$A$15,BC$13)))</f>
        <v>1</v>
      </c>
      <c r="BD452" s="171">
        <f ca="1">IF(OR($D452&lt;&gt;"Serviço",AND(AUTOEVENTO="Manual",$M452=$A$15)),0,
         IF(OFFSET(CRONOPLE!$F$15,$M452-$A$15,BD$13)=0,10^12,OFFSET(CRONOPLE!$F$15,$M452-$A$15,BD$13)))</f>
        <v>2</v>
      </c>
      <c r="BE452" s="171">
        <f ca="1">IF(OR($D452&lt;&gt;"Serviço",AND(AUTOEVENTO="Manual",$M452=$A$15)),0,
         IF(OFFSET(CRONOPLE!$F$15,$M452-$A$15,BE$13)=0,10^12,OFFSET(CRONOPLE!$F$15,$M452-$A$15,BE$13)))</f>
        <v>3</v>
      </c>
      <c r="BF452" s="171">
        <f ca="1">IF(OR($D452&lt;&gt;"Serviço",AND(AUTOEVENTO="Manual",$M452=$A$15)),0,
         IF(OFFSET(CRONOPLE!$F$15,$M452-$A$15,BF$13)=0,10^12,OFFSET(CRONOPLE!$F$15,$M452-$A$15,BF$13)))</f>
        <v>4</v>
      </c>
      <c r="BG452" s="171">
        <f ca="1">IF(OR($D452&lt;&gt;"Serviço",AND(AUTOEVENTO="Manual",$M452=$A$15)),0,
         IF(OFFSET(CRONOPLE!$F$15,$M452-$A$15,BG$13)=0,10^12,OFFSET(CRONOPLE!$F$15,$M452-$A$15,BG$13)))</f>
        <v>5</v>
      </c>
      <c r="BH452" s="171">
        <f ca="1">IF(OR($D452&lt;&gt;"Serviço",AND(AUTOEVENTO="Manual",$M452=$A$15)),0,
         IF(OFFSET(CRONOPLE!$F$15,$M452-$A$15,BH$13)=0,10^12,OFFSET(CRONOPLE!$F$15,$M452-$A$15,BH$13)))</f>
        <v>6</v>
      </c>
      <c r="BI452" s="171">
        <f ca="1">IF(OR($D452&lt;&gt;"Serviço",AND(AUTOEVENTO="Manual",$M452=$A$15)),0,
         IF(OFFSET(CRONOPLE!$F$15,$M452-$A$15,BI$13)=0,10^12,OFFSET(CRONOPLE!$F$15,$M452-$A$15,BI$13)))</f>
        <v>7</v>
      </c>
      <c r="BJ452" s="171">
        <f ca="1">IF(OR($D452&lt;&gt;"Serviço",AND(AUTOEVENTO="Manual",$M452=$A$15)),0,
         IF(OFFSET(CRONOPLE!$F$15,$M452-$A$15,BJ$13)=0,10^12,OFFSET(CRONOPLE!$F$15,$M452-$A$15,BJ$13)))</f>
        <v>8</v>
      </c>
      <c r="BK452" s="171">
        <f ca="1">IF(OR($D452&lt;&gt;"Serviço",AND(AUTOEVENTO="Manual",$M452=$A$15)),0,
         IF(OFFSET(CRONOPLE!$F$15,$M452-$A$15,BK$13)=0,10^12,OFFSET(CRONOPLE!$F$15,$M452-$A$15,BK$13)))</f>
        <v>9</v>
      </c>
      <c r="BL452" s="171">
        <f ca="1">IF(OR($D452&lt;&gt;"Serviço",AND(AUTOEVENTO="Manual",$M452=$A$15)),0,
         IF(OFFSET(CRONOPLE!$F$15,$M452-$A$15,BL$13)=0,10^12,OFFSET(CRONOPLE!$F$15,$M452-$A$15,BL$13)))</f>
        <v>1000000000000</v>
      </c>
      <c r="BM452" s="171">
        <f ca="1">IF(OR($D452&lt;&gt;"Serviço",AND(AUTOEVENTO="Manual",$M452=$A$15)),0,
         IF(OFFSET(CRONOPLE!$F$15,$M452-$A$15,BM$13)=0,10^12,OFFSET(CRONOPLE!$F$15,$M452-$A$15,BM$13)))</f>
        <v>1000000000000</v>
      </c>
      <c r="BN452" s="171">
        <f ca="1">IF(OR($D452&lt;&gt;"Serviço",AND(AUTOEVENTO="Manual",$M452=$A$15)),0,
         IF(OFFSET(CRONOPLE!$F$15,$M452-$A$15,BN$13)=0,10^12,OFFSET(CRONOPLE!$F$15,$M452-$A$15,BN$13)))</f>
        <v>1000000000000</v>
      </c>
      <c r="BO452" s="171">
        <f ca="1">IF(OR($D452&lt;&gt;"Serviço",AND(AUTOEVENTO="Manual",$M452=$A$15)),0,
         IF(OFFSET(CRONOPLE!$F$15,$M452-$A$15,BO$13)=0,10^12,OFFSET(CRONOPLE!$F$15,$M452-$A$15,BO$13)))</f>
        <v>1000000000000</v>
      </c>
      <c r="BP452" s="171">
        <f ca="1">IF(OR($D452&lt;&gt;"Serviço",AND(AUTOEVENTO="Manual",$M452=$A$15)),0,
         IF(OFFSET(CRONOPLE!$F$15,$M452-$A$15,BP$13)=0,10^12,OFFSET(CRONOPLE!$F$15,$M452-$A$15,BP$13)))</f>
        <v>1000000000000</v>
      </c>
      <c r="BQ452" s="171">
        <f ca="1">IF(OR($D452&lt;&gt;"Serviço",AND(AUTOEVENTO="Manual",$M452=$A$15)),0,
         IF(OFFSET(CRONOPLE!$F$15,$M452-$A$15,BQ$13)=0,10^12,OFFSET(CRONOPLE!$F$15,$M452-$A$15,BQ$13)))</f>
        <v>1000000000000</v>
      </c>
      <c r="BR452" s="171">
        <f ca="1">IF(OR($D452&lt;&gt;"Serviço",AND(AUTOEVENTO="Manual",$M452=$A$15)),0,
         IF(OFFSET(CRONOPLE!$F$15,$M452-$A$15,BR$13)=0,10^12,OFFSET(CRONOPLE!$F$15,$M452-$A$15,BR$13)))</f>
        <v>1000000000000</v>
      </c>
      <c r="BS452" s="171">
        <f ca="1">IF(OR($D452&lt;&gt;"Serviço",AND(AUTOEVENTO="Manual",$M452=$A$15)),0,
         IF(OFFSET(CRONOPLE!$F$15,$M452-$A$15,BS$13)=0,10^12,OFFSET(CRONOPLE!$F$15,$M452-$A$15,BS$13)))</f>
        <v>1000000000000</v>
      </c>
      <c r="BT452" s="171">
        <f ca="1">IF(OR($D452&lt;&gt;"Serviço",AND(AUTOEVENTO="Manual",$M452=$A$15)),0,
         IF(OFFSET(CRONOPLE!$F$15,$M452-$A$15,BT$13)=0,10^12,OFFSET(CRONOPLE!$F$15,$M452-$A$15,BT$13)))</f>
        <v>1000000000000</v>
      </c>
      <c r="BV452" s="172">
        <f ca="1">IF(OR($D452&lt;&gt;"Serviço",AND(AUTOEVENTO="Manual",$M452=$A$15),$M452&gt;(ROW(PLE.lastrow)-ROW(PLE.firstrow))),0,
           IF(OFFSET(PLE!$G$15,$M452-$A$15,BV$13)="",10^12,OFFSET(PLE!$G$15,$M452-$A$15,BV$13)))</f>
        <v>1000000000000</v>
      </c>
      <c r="BW452" s="172">
        <f ca="1">IF(OR($D452&lt;&gt;"Serviço",AND(AUTOEVENTO="Manual",$M452=$A$15),$M452&gt;(ROW(PLE.lastrow)-ROW(PLE.firstrow))),0,
           IF(OFFSET(PLE!$G$15,$M452-$A$15,BW$13)="",10^12,OFFSET(PLE!$G$15,$M452-$A$15,BW$13)))</f>
        <v>1000000000000</v>
      </c>
      <c r="BX452" s="172">
        <f ca="1">IF(OR($D452&lt;&gt;"Serviço",AND(AUTOEVENTO="Manual",$M452=$A$15),$M452&gt;(ROW(PLE.lastrow)-ROW(PLE.firstrow))),0,
           IF(OFFSET(PLE!$G$15,$M452-$A$15,BX$13)="",10^12,OFFSET(PLE!$G$15,$M452-$A$15,BX$13)))</f>
        <v>1000000000000</v>
      </c>
      <c r="BY452" s="172">
        <f ca="1">IF(OR($D452&lt;&gt;"Serviço",AND(AUTOEVENTO="Manual",$M452=$A$15),$M452&gt;(ROW(PLE.lastrow)-ROW(PLE.firstrow))),0,
           IF(OFFSET(PLE!$G$15,$M452-$A$15,BY$13)="",10^12,OFFSET(PLE!$G$15,$M452-$A$15,BY$13)))</f>
        <v>1000000000000</v>
      </c>
      <c r="BZ452" s="172">
        <f ca="1">IF(OR($D452&lt;&gt;"Serviço",AND(AUTOEVENTO="Manual",$M452=$A$15),$M452&gt;(ROW(PLE.lastrow)-ROW(PLE.firstrow))),0,
           IF(OFFSET(PLE!$G$15,$M452-$A$15,BZ$13)="",10^12,OFFSET(PLE!$G$15,$M452-$A$15,BZ$13)))</f>
        <v>1000000000000</v>
      </c>
      <c r="CA452" s="172">
        <f ca="1">IF(OR($D452&lt;&gt;"Serviço",AND(AUTOEVENTO="Manual",$M452=$A$15),$M452&gt;(ROW(PLE.lastrow)-ROW(PLE.firstrow))),0,
           IF(OFFSET(PLE!$G$15,$M452-$A$15,CA$13)="",10^12,OFFSET(PLE!$G$15,$M452-$A$15,CA$13)))</f>
        <v>1000000000000</v>
      </c>
      <c r="CB452" s="172">
        <f ca="1">IF(OR($D452&lt;&gt;"Serviço",AND(AUTOEVENTO="Manual",$M452=$A$15),$M452&gt;(ROW(PLE.lastrow)-ROW(PLE.firstrow))),0,
           IF(OFFSET(PLE!$G$15,$M452-$A$15,CB$13)="",10^12,OFFSET(PLE!$G$15,$M452-$A$15,CB$13)))</f>
        <v>1000000000000</v>
      </c>
      <c r="CC452" s="172">
        <f ca="1">IF(OR($D452&lt;&gt;"Serviço",AND(AUTOEVENTO="Manual",$M452=$A$15),$M452&gt;(ROW(PLE.lastrow)-ROW(PLE.firstrow))),0,
           IF(OFFSET(PLE!$G$15,$M452-$A$15,CC$13)="",10^12,OFFSET(PLE!$G$15,$M452-$A$15,CC$13)))</f>
        <v>1000000000000</v>
      </c>
      <c r="CD452" s="172">
        <f ca="1">IF(OR($D452&lt;&gt;"Serviço",AND(AUTOEVENTO="Manual",$M452=$A$15),$M452&gt;(ROW(PLE.lastrow)-ROW(PLE.firstrow))),0,
           IF(OFFSET(PLE!$G$15,$M452-$A$15,CD$13)="",10^12,OFFSET(PLE!$G$15,$M452-$A$15,CD$13)))</f>
        <v>1000000000000</v>
      </c>
      <c r="CE452" s="172">
        <f ca="1">IF(OR($D452&lt;&gt;"Serviço",AND(AUTOEVENTO="Manual",$M452=$A$15),$M452&gt;(ROW(PLE.lastrow)-ROW(PLE.firstrow))),0,
           IF(OFFSET(PLE!$G$15,$M452-$A$15,CE$13)="",10^12,OFFSET(PLE!$G$15,$M452-$A$15,CE$13)))</f>
        <v>1000000000000</v>
      </c>
      <c r="CF452" s="172">
        <f ca="1">IF(OR($D452&lt;&gt;"Serviço",AND(AUTOEVENTO="Manual",$M452=$A$15),$M452&gt;(ROW(PLE.lastrow)-ROW(PLE.firstrow))),0,
           IF(OFFSET(PLE!$G$15,$M452-$A$15,CF$13)="",10^12,OFFSET(PLE!$G$15,$M452-$A$15,CF$13)))</f>
        <v>1000000000000</v>
      </c>
      <c r="CG452" s="172">
        <f ca="1">IF(OR($D452&lt;&gt;"Serviço",AND(AUTOEVENTO="Manual",$M452=$A$15),$M452&gt;(ROW(PLE.lastrow)-ROW(PLE.firstrow))),0,
           IF(OFFSET(PLE!$G$15,$M452-$A$15,CG$13)="",10^12,OFFSET(PLE!$G$15,$M452-$A$15,CG$13)))</f>
        <v>1000000000000</v>
      </c>
      <c r="CH452" s="172">
        <f ca="1">IF(OR($D452&lt;&gt;"Serviço",AND(AUTOEVENTO="Manual",$M452=$A$15),$M452&gt;(ROW(PLE.lastrow)-ROW(PLE.firstrow))),0,
           IF(OFFSET(PLE!$G$15,$M452-$A$15,CH$13)="",10^12,OFFSET(PLE!$G$15,$M452-$A$15,CH$13)))</f>
        <v>1000000000000</v>
      </c>
      <c r="CI452" s="172">
        <f ca="1">IF(OR($D452&lt;&gt;"Serviço",AND(AUTOEVENTO="Manual",$M452=$A$15),$M452&gt;(ROW(PLE.lastrow)-ROW(PLE.firstrow))),0,
           IF(OFFSET(PLE!$G$15,$M452-$A$15,CI$13)="",10^12,OFFSET(PLE!$G$15,$M452-$A$15,CI$13)))</f>
        <v>1000000000000</v>
      </c>
      <c r="CJ452" s="172">
        <f ca="1">IF(OR($D452&lt;&gt;"Serviço",AND(AUTOEVENTO="Manual",$M452=$A$15),$M452&gt;(ROW(PLE.lastrow)-ROW(PLE.firstrow))),0,
           IF(OFFSET(PLE!$G$15,$M452-$A$15,CJ$13)="",10^12,OFFSET(PLE!$G$15,$M452-$A$15,CJ$13)))</f>
        <v>1000000000000</v>
      </c>
      <c r="CK452" s="172">
        <f ca="1">IF(OR($D452&lt;&gt;"Serviço",AND(AUTOEVENTO="Manual",$M452=$A$15),$M452&gt;(ROW(PLE.lastrow)-ROW(PLE.firstrow))),0,
           IF(OFFSET(PLE!$G$15,$M452-$A$15,CK$13)="",10^12,OFFSET(PLE!$G$15,$M452-$A$15,CK$13)))</f>
        <v>1000000000000</v>
      </c>
      <c r="CL452" s="172">
        <f ca="1">IF(OR($D452&lt;&gt;"Serviço",AND(AUTOEVENTO="Manual",$M452=$A$15),$M452&gt;(ROW(PLE.lastrow)-ROW(PLE.firstrow))),0,
           IF(OFFSET(PLE!$G$15,$M452-$A$15,CL$13)="",10^12,OFFSET(PLE!$G$15,$M452-$A$15,CL$13)))</f>
        <v>1000000000000</v>
      </c>
      <c r="CM452" s="172">
        <f ca="1">IF(OR($D452&lt;&gt;"Serviço",AND(AUTOEVENTO="Manual",$M452=$A$15),$M452&gt;(ROW(PLE.lastrow)-ROW(PLE.firstrow))),0,
           IF(OFFSET(PLE!$G$15,$M452-$A$15,CM$13)="",10^12,OFFSET(PLE!$G$15,$M452-$A$15,CM$13)))</f>
        <v>1000000000000</v>
      </c>
    </row>
    <row r="453" spans="1:91" ht="12.75" x14ac:dyDescent="0.2">
      <c r="A453" s="7">
        <f t="shared" ca="1" si="16"/>
        <v>0</v>
      </c>
      <c r="B453" s="7">
        <f ca="1">OFFSET(ORÇAMENTO!C$15,ROW(B453)-ROW(B$15),0)</f>
        <v>3</v>
      </c>
      <c r="C453" s="7" t="str">
        <f ca="1">OFFSET(ORÇAMENTO!L$15,ROW(C453)-ROW(C$15),0)</f>
        <v>F</v>
      </c>
      <c r="D453" s="116" t="str">
        <f ca="1">OFFSET(ORÇAMENTO!N$15,ROW(D453)-ROW(D$15),0)</f>
        <v>Nível 3</v>
      </c>
      <c r="E453" s="117" t="str">
        <f ca="1">OFFSET(ORÇAMENTO!O$15,ROW(E453)-ROW(E$15),0)</f>
        <v>1.9.2.</v>
      </c>
      <c r="F453" s="163" t="str">
        <f ca="1">OFFSET(ORÇAMENTO!R$15,ROW(F453)-ROW(F$15),0)</f>
        <v>CABEAMENTO</v>
      </c>
      <c r="G453" s="164" t="str">
        <f ca="1">IF($D453&lt;&gt;"Serviço","",OFFSET(ORÇAMENTO!S$15,ROW(G453)-ROW(G$15),0))</f>
        <v/>
      </c>
      <c r="H453" s="122" cm="1">
        <f t="array" aca="1" ref="H453" ca="1">IF($D453&lt;&gt;"Serviço",0,IF(ACOMPANHAMENTO="BM",ROUND(OFFSET(ORÇAMENTO!AJ$15,ROW(H453)-ROW(H$15),0),15-13*ORÇAMENTO!$AF$7),SUMPRODUCT(($Q$1:$AI$1=1)*ROUND($Q453:$AI453,15-13*ORÇAMENTO!$AF$7))))</f>
        <v>0</v>
      </c>
      <c r="I453" s="468"/>
      <c r="J453" s="640" t="str" cm="1">
        <f t="array" aca="1" ref="J453" ca="1">IF(OR(B453&lt;&gt;"S",CÁLCULO.FrentesPreenchidas=0),"",IF(AND(ACOMPANHAMENTO="PLE",AUTOEVENTO="Manual",OR(H453&gt;0,ORÇAMENTO!AC453="QUANT."),OR(K453="",M453=0,N453="")),"►E",IF(AND(ACOMPANHAMENTO="PLE",ORÇAMENTO!AC453="QUANT."),"►Q",IF(AND(ACOMPANHAMENTO="PLE",H453&lt;&gt;SUMPRODUCT(($Q$1:$AI$1=1)*ROUND(Q453:AI453,15))),"►S",IF(AND(COUNTIF($P$11:$AI$11,"▼")=0,H453&gt;0,I453=""),"◄M","")))))</f>
        <v/>
      </c>
      <c r="K453" s="641"/>
      <c r="L453" s="165" t="s">
        <v>764</v>
      </c>
      <c r="M453" s="166" t="str">
        <f ca="1">IF($D453&lt;&gt;"Serviço","",
          IF(AUTOEVENTO="manual",$A453,
                IF(ISERROR(MATCH($A453,$A$15:OFFSET($A453,-1,0),0)),MAX($M$15:OFFSET(M453,-1,0))+1,
                      INDEX($M$15:OFFSET(M453,-1,0),MATCH($A453,$A$15:OFFSET($A453,-1,0),0)))))</f>
        <v/>
      </c>
      <c r="N453" s="167" t="str">
        <f ca="1">IF($D453&lt;&gt;"Serviço","",
         IF(AUTOEVENTO="Manual",
                IF($A453=0,"&lt;-- defina o número do agrupador",
                       OFFSET(EVENTOS!$D$15,$A453-$A$15,0)),
                OFFSET($F$15,$A453,0)))</f>
        <v/>
      </c>
      <c r="O453" s="168"/>
      <c r="Q453" s="168"/>
      <c r="R453" s="169"/>
      <c r="S453" s="169"/>
      <c r="T453" s="169"/>
      <c r="U453" s="169"/>
      <c r="V453" s="169"/>
      <c r="W453" s="169"/>
      <c r="X453" s="169"/>
      <c r="Y453" s="169"/>
      <c r="Z453" s="170"/>
      <c r="AA453" s="169"/>
      <c r="AB453" s="169"/>
      <c r="AC453" s="169"/>
      <c r="AD453" s="169"/>
      <c r="AE453" s="169"/>
      <c r="AF453" s="169"/>
      <c r="AG453" s="169"/>
      <c r="AH453" s="170"/>
      <c r="AJ453" s="453">
        <f ca="1">IF(AND($D453="Serviço",AJ$12&lt;&gt;0,$H453&gt;0,OR(AUTOEVENTO&lt;&gt;"manual",$M453&lt;&gt;$A$15)),
        IF(Import.TipoArredondamento&lt;&gt;"TransfereGOV",
              ROUND(OFFSET($P453,0,AJ$13),15-13*ORÇAMENTO!$AF$7)/$H453*OFFSET(ORÇAMENTO!$X$15,ROW(AJ453)-ROW(AJ$15),0),
              ROUND(ROUND(OFFSET($P453,0,AJ$13),15-13*ORÇAMENTO!$AF$7)*OFFSET(ORÇAMENTO!$W$15,ROW(AJ453)-ROW(AJ$15),0),15-13*ORÇAMENTO!$AF$11)),
         0)</f>
        <v>0</v>
      </c>
      <c r="AK453" s="453">
        <f ca="1">IF(AND($D453="Serviço",AK$12&lt;&gt;0,$H453&gt;0,OR(AUTOEVENTO&lt;&gt;"manual",$M453&lt;&gt;$A$15)),
        IF(Import.TipoArredondamento&lt;&gt;"TransfereGOV",
              ROUND(OFFSET($P453,0,AK$13),15-13*ORÇAMENTO!$AF$7)/$H453*OFFSET(ORÇAMENTO!$X$15,ROW(AK453)-ROW(AK$15),0),
              ROUND(ROUND(OFFSET($P453,0,AK$13),15-13*ORÇAMENTO!$AF$7)*OFFSET(ORÇAMENTO!$W$15,ROW(AK453)-ROW(AK$15),0),15-13*ORÇAMENTO!$AF$11)),
         0)</f>
        <v>0</v>
      </c>
      <c r="AL453" s="453">
        <f ca="1">IF(AND($D453="Serviço",AL$12&lt;&gt;0,$H453&gt;0,OR(AUTOEVENTO&lt;&gt;"manual",$M453&lt;&gt;$A$15)),
        IF(Import.TipoArredondamento&lt;&gt;"TransfereGOV",
              ROUND(OFFSET($P453,0,AL$13),15-13*ORÇAMENTO!$AF$7)/$H453*OFFSET(ORÇAMENTO!$X$15,ROW(AL453)-ROW(AL$15),0),
              ROUND(ROUND(OFFSET($P453,0,AL$13),15-13*ORÇAMENTO!$AF$7)*OFFSET(ORÇAMENTO!$W$15,ROW(AL453)-ROW(AL$15),0),15-13*ORÇAMENTO!$AF$11)),
         0)</f>
        <v>0</v>
      </c>
      <c r="AM453" s="453">
        <f ca="1">IF(AND($D453="Serviço",AM$12&lt;&gt;0,$H453&gt;0,OR(AUTOEVENTO&lt;&gt;"manual",$M453&lt;&gt;$A$15)),
        IF(Import.TipoArredondamento&lt;&gt;"TransfereGOV",
              ROUND(OFFSET($P453,0,AM$13),15-13*ORÇAMENTO!$AF$7)/$H453*OFFSET(ORÇAMENTO!$X$15,ROW(AM453)-ROW(AM$15),0),
              ROUND(ROUND(OFFSET($P453,0,AM$13),15-13*ORÇAMENTO!$AF$7)*OFFSET(ORÇAMENTO!$W$15,ROW(AM453)-ROW(AM$15),0),15-13*ORÇAMENTO!$AF$11)),
         0)</f>
        <v>0</v>
      </c>
      <c r="AN453" s="453">
        <f ca="1">IF(AND($D453="Serviço",AN$12&lt;&gt;0,$H453&gt;0,OR(AUTOEVENTO&lt;&gt;"manual",$M453&lt;&gt;$A$15)),
        IF(Import.TipoArredondamento&lt;&gt;"TransfereGOV",
              ROUND(OFFSET($P453,0,AN$13),15-13*ORÇAMENTO!$AF$7)/$H453*OFFSET(ORÇAMENTO!$X$15,ROW(AN453)-ROW(AN$15),0),
              ROUND(ROUND(OFFSET($P453,0,AN$13),15-13*ORÇAMENTO!$AF$7)*OFFSET(ORÇAMENTO!$W$15,ROW(AN453)-ROW(AN$15),0),15-13*ORÇAMENTO!$AF$11)),
         0)</f>
        <v>0</v>
      </c>
      <c r="AO453" s="453">
        <f ca="1">IF(AND($D453="Serviço",AO$12&lt;&gt;0,$H453&gt;0,OR(AUTOEVENTO&lt;&gt;"manual",$M453&lt;&gt;$A$15)),
        IF(Import.TipoArredondamento&lt;&gt;"TransfereGOV",
              ROUND(OFFSET($P453,0,AO$13),15-13*ORÇAMENTO!$AF$7)/$H453*OFFSET(ORÇAMENTO!$X$15,ROW(AO453)-ROW(AO$15),0),
              ROUND(ROUND(OFFSET($P453,0,AO$13),15-13*ORÇAMENTO!$AF$7)*OFFSET(ORÇAMENTO!$W$15,ROW(AO453)-ROW(AO$15),0),15-13*ORÇAMENTO!$AF$11)),
         0)</f>
        <v>0</v>
      </c>
      <c r="AP453" s="453">
        <f ca="1">IF(AND($D453="Serviço",AP$12&lt;&gt;0,$H453&gt;0,OR(AUTOEVENTO&lt;&gt;"manual",$M453&lt;&gt;$A$15)),
        IF(Import.TipoArredondamento&lt;&gt;"TransfereGOV",
              ROUND(OFFSET($P453,0,AP$13),15-13*ORÇAMENTO!$AF$7)/$H453*OFFSET(ORÇAMENTO!$X$15,ROW(AP453)-ROW(AP$15),0),
              ROUND(ROUND(OFFSET($P453,0,AP$13),15-13*ORÇAMENTO!$AF$7)*OFFSET(ORÇAMENTO!$W$15,ROW(AP453)-ROW(AP$15),0),15-13*ORÇAMENTO!$AF$11)),
         0)</f>
        <v>0</v>
      </c>
      <c r="AQ453" s="453">
        <f ca="1">IF(AND($D453="Serviço",AQ$12&lt;&gt;0,$H453&gt;0,OR(AUTOEVENTO&lt;&gt;"manual",$M453&lt;&gt;$A$15)),
        IF(Import.TipoArredondamento&lt;&gt;"TransfereGOV",
              ROUND(OFFSET($P453,0,AQ$13),15-13*ORÇAMENTO!$AF$7)/$H453*OFFSET(ORÇAMENTO!$X$15,ROW(AQ453)-ROW(AQ$15),0),
              ROUND(ROUND(OFFSET($P453,0,AQ$13),15-13*ORÇAMENTO!$AF$7)*OFFSET(ORÇAMENTO!$W$15,ROW(AQ453)-ROW(AQ$15),0),15-13*ORÇAMENTO!$AF$11)),
         0)</f>
        <v>0</v>
      </c>
      <c r="AR453" s="453">
        <f ca="1">IF(AND($D453="Serviço",AR$12&lt;&gt;0,$H453&gt;0,OR(AUTOEVENTO&lt;&gt;"manual",$M453&lt;&gt;$A$15)),
        IF(Import.TipoArredondamento&lt;&gt;"TransfereGOV",
              ROUND(OFFSET($P453,0,AR$13),15-13*ORÇAMENTO!$AF$7)/$H453*OFFSET(ORÇAMENTO!$X$15,ROW(AR453)-ROW(AR$15),0),
              ROUND(ROUND(OFFSET($P453,0,AR$13),15-13*ORÇAMENTO!$AF$7)*OFFSET(ORÇAMENTO!$W$15,ROW(AR453)-ROW(AR$15),0),15-13*ORÇAMENTO!$AF$11)),
         0)</f>
        <v>0</v>
      </c>
      <c r="AS453" s="453">
        <f ca="1">IF(AND($D453="Serviço",AS$12&lt;&gt;0,$H453&gt;0,OR(AUTOEVENTO&lt;&gt;"manual",$M453&lt;&gt;$A$15)),
        IF(Import.TipoArredondamento&lt;&gt;"TransfereGOV",
              ROUND(OFFSET($P453,0,AS$13),15-13*ORÇAMENTO!$AF$7)/$H453*OFFSET(ORÇAMENTO!$X$15,ROW(AS453)-ROW(AS$15),0),
              ROUND(ROUND(OFFSET($P453,0,AS$13),15-13*ORÇAMENTO!$AF$7)*OFFSET(ORÇAMENTO!$W$15,ROW(AS453)-ROW(AS$15),0),15-13*ORÇAMENTO!$AF$11)),
         0)</f>
        <v>0</v>
      </c>
      <c r="AT453" s="453">
        <f ca="1">IF(AND($D453="Serviço",AT$12&lt;&gt;0,$H453&gt;0,OR(AUTOEVENTO&lt;&gt;"manual",$M453&lt;&gt;$A$15)),
        IF(Import.TipoArredondamento&lt;&gt;"TransfereGOV",
              ROUND(OFFSET($P453,0,AT$13),15-13*ORÇAMENTO!$AF$7)/$H453*OFFSET(ORÇAMENTO!$X$15,ROW(AT453)-ROW(AT$15),0),
              ROUND(ROUND(OFFSET($P453,0,AT$13),15-13*ORÇAMENTO!$AF$7)*OFFSET(ORÇAMENTO!$W$15,ROW(AT453)-ROW(AT$15),0),15-13*ORÇAMENTO!$AF$11)),
         0)</f>
        <v>0</v>
      </c>
      <c r="AU453" s="453">
        <f ca="1">IF(AND($D453="Serviço",AU$12&lt;&gt;0,$H453&gt;0,OR(AUTOEVENTO&lt;&gt;"manual",$M453&lt;&gt;$A$15)),
        IF(Import.TipoArredondamento&lt;&gt;"TransfereGOV",
              ROUND(OFFSET($P453,0,AU$13),15-13*ORÇAMENTO!$AF$7)/$H453*OFFSET(ORÇAMENTO!$X$15,ROW(AU453)-ROW(AU$15),0),
              ROUND(ROUND(OFFSET($P453,0,AU$13),15-13*ORÇAMENTO!$AF$7)*OFFSET(ORÇAMENTO!$W$15,ROW(AU453)-ROW(AU$15),0),15-13*ORÇAMENTO!$AF$11)),
         0)</f>
        <v>0</v>
      </c>
      <c r="AV453" s="453">
        <f ca="1">IF(AND($D453="Serviço",AV$12&lt;&gt;0,$H453&gt;0,OR(AUTOEVENTO&lt;&gt;"manual",$M453&lt;&gt;$A$15)),
        IF(Import.TipoArredondamento&lt;&gt;"TransfereGOV",
              ROUND(OFFSET($P453,0,AV$13),15-13*ORÇAMENTO!$AF$7)/$H453*OFFSET(ORÇAMENTO!$X$15,ROW(AV453)-ROW(AV$15),0),
              ROUND(ROUND(OFFSET($P453,0,AV$13),15-13*ORÇAMENTO!$AF$7)*OFFSET(ORÇAMENTO!$W$15,ROW(AV453)-ROW(AV$15),0),15-13*ORÇAMENTO!$AF$11)),
         0)</f>
        <v>0</v>
      </c>
      <c r="AW453" s="453">
        <f ca="1">IF(AND($D453="Serviço",AW$12&lt;&gt;0,$H453&gt;0,OR(AUTOEVENTO&lt;&gt;"manual",$M453&lt;&gt;$A$15)),
        IF(Import.TipoArredondamento&lt;&gt;"TransfereGOV",
              ROUND(OFFSET($P453,0,AW$13),15-13*ORÇAMENTO!$AF$7)/$H453*OFFSET(ORÇAMENTO!$X$15,ROW(AW453)-ROW(AW$15),0),
              ROUND(ROUND(OFFSET($P453,0,AW$13),15-13*ORÇAMENTO!$AF$7)*OFFSET(ORÇAMENTO!$W$15,ROW(AW453)-ROW(AW$15),0),15-13*ORÇAMENTO!$AF$11)),
         0)</f>
        <v>0</v>
      </c>
      <c r="AX453" s="453">
        <f ca="1">IF(AND($D453="Serviço",AX$12&lt;&gt;0,$H453&gt;0,OR(AUTOEVENTO&lt;&gt;"manual",$M453&lt;&gt;$A$15)),
        IF(Import.TipoArredondamento&lt;&gt;"TransfereGOV",
              ROUND(OFFSET($P453,0,AX$13),15-13*ORÇAMENTO!$AF$7)/$H453*OFFSET(ORÇAMENTO!$X$15,ROW(AX453)-ROW(AX$15),0),
              ROUND(ROUND(OFFSET($P453,0,AX$13),15-13*ORÇAMENTO!$AF$7)*OFFSET(ORÇAMENTO!$W$15,ROW(AX453)-ROW(AX$15),0),15-13*ORÇAMENTO!$AF$11)),
         0)</f>
        <v>0</v>
      </c>
      <c r="AY453" s="453">
        <f ca="1">IF(AND($D453="Serviço",AY$12&lt;&gt;0,$H453&gt;0,OR(AUTOEVENTO&lt;&gt;"manual",$M453&lt;&gt;$A$15)),
        IF(Import.TipoArredondamento&lt;&gt;"TransfereGOV",
              ROUND(OFFSET($P453,0,AY$13),15-13*ORÇAMENTO!$AF$7)/$H453*OFFSET(ORÇAMENTO!$X$15,ROW(AY453)-ROW(AY$15),0),
              ROUND(ROUND(OFFSET($P453,0,AY$13),15-13*ORÇAMENTO!$AF$7)*OFFSET(ORÇAMENTO!$W$15,ROW(AY453)-ROW(AY$15),0),15-13*ORÇAMENTO!$AF$11)),
         0)</f>
        <v>0</v>
      </c>
      <c r="AZ453" s="453">
        <f ca="1">IF(AND($D453="Serviço",AZ$12&lt;&gt;0,$H453&gt;0,OR(AUTOEVENTO&lt;&gt;"manual",$M453&lt;&gt;$A$15)),
        IF(Import.TipoArredondamento&lt;&gt;"TransfereGOV",
              ROUND(OFFSET($P453,0,AZ$13),15-13*ORÇAMENTO!$AF$7)/$H453*OFFSET(ORÇAMENTO!$X$15,ROW(AZ453)-ROW(AZ$15),0),
              ROUND(ROUND(OFFSET($P453,0,AZ$13),15-13*ORÇAMENTO!$AF$7)*OFFSET(ORÇAMENTO!$W$15,ROW(AZ453)-ROW(AZ$15),0),15-13*ORÇAMENTO!$AF$11)),
         0)</f>
        <v>0</v>
      </c>
      <c r="BA453" s="453">
        <f ca="1">IF(AND($D453="Serviço",BA$12&lt;&gt;0,$H453&gt;0,OR(AUTOEVENTO&lt;&gt;"manual",$M453&lt;&gt;$A$15)),
        IF(Import.TipoArredondamento&lt;&gt;"TransfereGOV",
              ROUND(OFFSET($P453,0,BA$13),15-13*ORÇAMENTO!$AF$7)/$H453*OFFSET(ORÇAMENTO!$X$15,ROW(BA453)-ROW(BA$15),0),
              ROUND(ROUND(OFFSET($P453,0,BA$13),15-13*ORÇAMENTO!$AF$7)*OFFSET(ORÇAMENTO!$W$15,ROW(BA453)-ROW(BA$15),0),15-13*ORÇAMENTO!$AF$11)),
         0)</f>
        <v>0</v>
      </c>
      <c r="BC453" s="171">
        <f ca="1">IF(OR($D453&lt;&gt;"Serviço",AND(AUTOEVENTO="Manual",$M453=$A$15)),0,
         IF(OFFSET(CRONOPLE!$F$15,$M453-$A$15,BC$13)=0,10^12,OFFSET(CRONOPLE!$F$15,$M453-$A$15,BC$13)))</f>
        <v>0</v>
      </c>
      <c r="BD453" s="171">
        <f ca="1">IF(OR($D453&lt;&gt;"Serviço",AND(AUTOEVENTO="Manual",$M453=$A$15)),0,
         IF(OFFSET(CRONOPLE!$F$15,$M453-$A$15,BD$13)=0,10^12,OFFSET(CRONOPLE!$F$15,$M453-$A$15,BD$13)))</f>
        <v>0</v>
      </c>
      <c r="BE453" s="171">
        <f ca="1">IF(OR($D453&lt;&gt;"Serviço",AND(AUTOEVENTO="Manual",$M453=$A$15)),0,
         IF(OFFSET(CRONOPLE!$F$15,$M453-$A$15,BE$13)=0,10^12,OFFSET(CRONOPLE!$F$15,$M453-$A$15,BE$13)))</f>
        <v>0</v>
      </c>
      <c r="BF453" s="171">
        <f ca="1">IF(OR($D453&lt;&gt;"Serviço",AND(AUTOEVENTO="Manual",$M453=$A$15)),0,
         IF(OFFSET(CRONOPLE!$F$15,$M453-$A$15,BF$13)=0,10^12,OFFSET(CRONOPLE!$F$15,$M453-$A$15,BF$13)))</f>
        <v>0</v>
      </c>
      <c r="BG453" s="171">
        <f ca="1">IF(OR($D453&lt;&gt;"Serviço",AND(AUTOEVENTO="Manual",$M453=$A$15)),0,
         IF(OFFSET(CRONOPLE!$F$15,$M453-$A$15,BG$13)=0,10^12,OFFSET(CRONOPLE!$F$15,$M453-$A$15,BG$13)))</f>
        <v>0</v>
      </c>
      <c r="BH453" s="171">
        <f ca="1">IF(OR($D453&lt;&gt;"Serviço",AND(AUTOEVENTO="Manual",$M453=$A$15)),0,
         IF(OFFSET(CRONOPLE!$F$15,$M453-$A$15,BH$13)=0,10^12,OFFSET(CRONOPLE!$F$15,$M453-$A$15,BH$13)))</f>
        <v>0</v>
      </c>
      <c r="BI453" s="171">
        <f ca="1">IF(OR($D453&lt;&gt;"Serviço",AND(AUTOEVENTO="Manual",$M453=$A$15)),0,
         IF(OFFSET(CRONOPLE!$F$15,$M453-$A$15,BI$13)=0,10^12,OFFSET(CRONOPLE!$F$15,$M453-$A$15,BI$13)))</f>
        <v>0</v>
      </c>
      <c r="BJ453" s="171">
        <f ca="1">IF(OR($D453&lt;&gt;"Serviço",AND(AUTOEVENTO="Manual",$M453=$A$15)),0,
         IF(OFFSET(CRONOPLE!$F$15,$M453-$A$15,BJ$13)=0,10^12,OFFSET(CRONOPLE!$F$15,$M453-$A$15,BJ$13)))</f>
        <v>0</v>
      </c>
      <c r="BK453" s="171">
        <f ca="1">IF(OR($D453&lt;&gt;"Serviço",AND(AUTOEVENTO="Manual",$M453=$A$15)),0,
         IF(OFFSET(CRONOPLE!$F$15,$M453-$A$15,BK$13)=0,10^12,OFFSET(CRONOPLE!$F$15,$M453-$A$15,BK$13)))</f>
        <v>0</v>
      </c>
      <c r="BL453" s="171">
        <f ca="1">IF(OR($D453&lt;&gt;"Serviço",AND(AUTOEVENTO="Manual",$M453=$A$15)),0,
         IF(OFFSET(CRONOPLE!$F$15,$M453-$A$15,BL$13)=0,10^12,OFFSET(CRONOPLE!$F$15,$M453-$A$15,BL$13)))</f>
        <v>0</v>
      </c>
      <c r="BM453" s="171">
        <f ca="1">IF(OR($D453&lt;&gt;"Serviço",AND(AUTOEVENTO="Manual",$M453=$A$15)),0,
         IF(OFFSET(CRONOPLE!$F$15,$M453-$A$15,BM$13)=0,10^12,OFFSET(CRONOPLE!$F$15,$M453-$A$15,BM$13)))</f>
        <v>0</v>
      </c>
      <c r="BN453" s="171">
        <f ca="1">IF(OR($D453&lt;&gt;"Serviço",AND(AUTOEVENTO="Manual",$M453=$A$15)),0,
         IF(OFFSET(CRONOPLE!$F$15,$M453-$A$15,BN$13)=0,10^12,OFFSET(CRONOPLE!$F$15,$M453-$A$15,BN$13)))</f>
        <v>0</v>
      </c>
      <c r="BO453" s="171">
        <f ca="1">IF(OR($D453&lt;&gt;"Serviço",AND(AUTOEVENTO="Manual",$M453=$A$15)),0,
         IF(OFFSET(CRONOPLE!$F$15,$M453-$A$15,BO$13)=0,10^12,OFFSET(CRONOPLE!$F$15,$M453-$A$15,BO$13)))</f>
        <v>0</v>
      </c>
      <c r="BP453" s="171">
        <f ca="1">IF(OR($D453&lt;&gt;"Serviço",AND(AUTOEVENTO="Manual",$M453=$A$15)),0,
         IF(OFFSET(CRONOPLE!$F$15,$M453-$A$15,BP$13)=0,10^12,OFFSET(CRONOPLE!$F$15,$M453-$A$15,BP$13)))</f>
        <v>0</v>
      </c>
      <c r="BQ453" s="171">
        <f ca="1">IF(OR($D453&lt;&gt;"Serviço",AND(AUTOEVENTO="Manual",$M453=$A$15)),0,
         IF(OFFSET(CRONOPLE!$F$15,$M453-$A$15,BQ$13)=0,10^12,OFFSET(CRONOPLE!$F$15,$M453-$A$15,BQ$13)))</f>
        <v>0</v>
      </c>
      <c r="BR453" s="171">
        <f ca="1">IF(OR($D453&lt;&gt;"Serviço",AND(AUTOEVENTO="Manual",$M453=$A$15)),0,
         IF(OFFSET(CRONOPLE!$F$15,$M453-$A$15,BR$13)=0,10^12,OFFSET(CRONOPLE!$F$15,$M453-$A$15,BR$13)))</f>
        <v>0</v>
      </c>
      <c r="BS453" s="171">
        <f ca="1">IF(OR($D453&lt;&gt;"Serviço",AND(AUTOEVENTO="Manual",$M453=$A$15)),0,
         IF(OFFSET(CRONOPLE!$F$15,$M453-$A$15,BS$13)=0,10^12,OFFSET(CRONOPLE!$F$15,$M453-$A$15,BS$13)))</f>
        <v>0</v>
      </c>
      <c r="BT453" s="171">
        <f ca="1">IF(OR($D453&lt;&gt;"Serviço",AND(AUTOEVENTO="Manual",$M453=$A$15)),0,
         IF(OFFSET(CRONOPLE!$F$15,$M453-$A$15,BT$13)=0,10^12,OFFSET(CRONOPLE!$F$15,$M453-$A$15,BT$13)))</f>
        <v>0</v>
      </c>
      <c r="BV453" s="172">
        <f ca="1">IF(OR($D453&lt;&gt;"Serviço",AND(AUTOEVENTO="Manual",$M453=$A$15),$M453&gt;(ROW(PLE.lastrow)-ROW(PLE.firstrow))),0,
           IF(OFFSET(PLE!$G$15,$M453-$A$15,BV$13)="",10^12,OFFSET(PLE!$G$15,$M453-$A$15,BV$13)))</f>
        <v>0</v>
      </c>
      <c r="BW453" s="172">
        <f ca="1">IF(OR($D453&lt;&gt;"Serviço",AND(AUTOEVENTO="Manual",$M453=$A$15),$M453&gt;(ROW(PLE.lastrow)-ROW(PLE.firstrow))),0,
           IF(OFFSET(PLE!$G$15,$M453-$A$15,BW$13)="",10^12,OFFSET(PLE!$G$15,$M453-$A$15,BW$13)))</f>
        <v>0</v>
      </c>
      <c r="BX453" s="172">
        <f ca="1">IF(OR($D453&lt;&gt;"Serviço",AND(AUTOEVENTO="Manual",$M453=$A$15),$M453&gt;(ROW(PLE.lastrow)-ROW(PLE.firstrow))),0,
           IF(OFFSET(PLE!$G$15,$M453-$A$15,BX$13)="",10^12,OFFSET(PLE!$G$15,$M453-$A$15,BX$13)))</f>
        <v>0</v>
      </c>
      <c r="BY453" s="172">
        <f ca="1">IF(OR($D453&lt;&gt;"Serviço",AND(AUTOEVENTO="Manual",$M453=$A$15),$M453&gt;(ROW(PLE.lastrow)-ROW(PLE.firstrow))),0,
           IF(OFFSET(PLE!$G$15,$M453-$A$15,BY$13)="",10^12,OFFSET(PLE!$G$15,$M453-$A$15,BY$13)))</f>
        <v>0</v>
      </c>
      <c r="BZ453" s="172">
        <f ca="1">IF(OR($D453&lt;&gt;"Serviço",AND(AUTOEVENTO="Manual",$M453=$A$15),$M453&gt;(ROW(PLE.lastrow)-ROW(PLE.firstrow))),0,
           IF(OFFSET(PLE!$G$15,$M453-$A$15,BZ$13)="",10^12,OFFSET(PLE!$G$15,$M453-$A$15,BZ$13)))</f>
        <v>0</v>
      </c>
      <c r="CA453" s="172">
        <f ca="1">IF(OR($D453&lt;&gt;"Serviço",AND(AUTOEVENTO="Manual",$M453=$A$15),$M453&gt;(ROW(PLE.lastrow)-ROW(PLE.firstrow))),0,
           IF(OFFSET(PLE!$G$15,$M453-$A$15,CA$13)="",10^12,OFFSET(PLE!$G$15,$M453-$A$15,CA$13)))</f>
        <v>0</v>
      </c>
      <c r="CB453" s="172">
        <f ca="1">IF(OR($D453&lt;&gt;"Serviço",AND(AUTOEVENTO="Manual",$M453=$A$15),$M453&gt;(ROW(PLE.lastrow)-ROW(PLE.firstrow))),0,
           IF(OFFSET(PLE!$G$15,$M453-$A$15,CB$13)="",10^12,OFFSET(PLE!$G$15,$M453-$A$15,CB$13)))</f>
        <v>0</v>
      </c>
      <c r="CC453" s="172">
        <f ca="1">IF(OR($D453&lt;&gt;"Serviço",AND(AUTOEVENTO="Manual",$M453=$A$15),$M453&gt;(ROW(PLE.lastrow)-ROW(PLE.firstrow))),0,
           IF(OFFSET(PLE!$G$15,$M453-$A$15,CC$13)="",10^12,OFFSET(PLE!$G$15,$M453-$A$15,CC$13)))</f>
        <v>0</v>
      </c>
      <c r="CD453" s="172">
        <f ca="1">IF(OR($D453&lt;&gt;"Serviço",AND(AUTOEVENTO="Manual",$M453=$A$15),$M453&gt;(ROW(PLE.lastrow)-ROW(PLE.firstrow))),0,
           IF(OFFSET(PLE!$G$15,$M453-$A$15,CD$13)="",10^12,OFFSET(PLE!$G$15,$M453-$A$15,CD$13)))</f>
        <v>0</v>
      </c>
      <c r="CE453" s="172">
        <f ca="1">IF(OR($D453&lt;&gt;"Serviço",AND(AUTOEVENTO="Manual",$M453=$A$15),$M453&gt;(ROW(PLE.lastrow)-ROW(PLE.firstrow))),0,
           IF(OFFSET(PLE!$G$15,$M453-$A$15,CE$13)="",10^12,OFFSET(PLE!$G$15,$M453-$A$15,CE$13)))</f>
        <v>0</v>
      </c>
      <c r="CF453" s="172">
        <f ca="1">IF(OR($D453&lt;&gt;"Serviço",AND(AUTOEVENTO="Manual",$M453=$A$15),$M453&gt;(ROW(PLE.lastrow)-ROW(PLE.firstrow))),0,
           IF(OFFSET(PLE!$G$15,$M453-$A$15,CF$13)="",10^12,OFFSET(PLE!$G$15,$M453-$A$15,CF$13)))</f>
        <v>0</v>
      </c>
      <c r="CG453" s="172">
        <f ca="1">IF(OR($D453&lt;&gt;"Serviço",AND(AUTOEVENTO="Manual",$M453=$A$15),$M453&gt;(ROW(PLE.lastrow)-ROW(PLE.firstrow))),0,
           IF(OFFSET(PLE!$G$15,$M453-$A$15,CG$13)="",10^12,OFFSET(PLE!$G$15,$M453-$A$15,CG$13)))</f>
        <v>0</v>
      </c>
      <c r="CH453" s="172">
        <f ca="1">IF(OR($D453&lt;&gt;"Serviço",AND(AUTOEVENTO="Manual",$M453=$A$15),$M453&gt;(ROW(PLE.lastrow)-ROW(PLE.firstrow))),0,
           IF(OFFSET(PLE!$G$15,$M453-$A$15,CH$13)="",10^12,OFFSET(PLE!$G$15,$M453-$A$15,CH$13)))</f>
        <v>0</v>
      </c>
      <c r="CI453" s="172">
        <f ca="1">IF(OR($D453&lt;&gt;"Serviço",AND(AUTOEVENTO="Manual",$M453=$A$15),$M453&gt;(ROW(PLE.lastrow)-ROW(PLE.firstrow))),0,
           IF(OFFSET(PLE!$G$15,$M453-$A$15,CI$13)="",10^12,OFFSET(PLE!$G$15,$M453-$A$15,CI$13)))</f>
        <v>0</v>
      </c>
      <c r="CJ453" s="172">
        <f ca="1">IF(OR($D453&lt;&gt;"Serviço",AND(AUTOEVENTO="Manual",$M453=$A$15),$M453&gt;(ROW(PLE.lastrow)-ROW(PLE.firstrow))),0,
           IF(OFFSET(PLE!$G$15,$M453-$A$15,CJ$13)="",10^12,OFFSET(PLE!$G$15,$M453-$A$15,CJ$13)))</f>
        <v>0</v>
      </c>
      <c r="CK453" s="172">
        <f ca="1">IF(OR($D453&lt;&gt;"Serviço",AND(AUTOEVENTO="Manual",$M453=$A$15),$M453&gt;(ROW(PLE.lastrow)-ROW(PLE.firstrow))),0,
           IF(OFFSET(PLE!$G$15,$M453-$A$15,CK$13)="",10^12,OFFSET(PLE!$G$15,$M453-$A$15,CK$13)))</f>
        <v>0</v>
      </c>
      <c r="CL453" s="172">
        <f ca="1">IF(OR($D453&lt;&gt;"Serviço",AND(AUTOEVENTO="Manual",$M453=$A$15),$M453&gt;(ROW(PLE.lastrow)-ROW(PLE.firstrow))),0,
           IF(OFFSET(PLE!$G$15,$M453-$A$15,CL$13)="",10^12,OFFSET(PLE!$G$15,$M453-$A$15,CL$13)))</f>
        <v>0</v>
      </c>
      <c r="CM453" s="172">
        <f ca="1">IF(OR($D453&lt;&gt;"Serviço",AND(AUTOEVENTO="Manual",$M453=$A$15),$M453&gt;(ROW(PLE.lastrow)-ROW(PLE.firstrow))),0,
           IF(OFFSET(PLE!$G$15,$M453-$A$15,CM$13)="",10^12,OFFSET(PLE!$G$15,$M453-$A$15,CM$13)))</f>
        <v>0</v>
      </c>
    </row>
    <row r="454" spans="1:91" ht="38.25" x14ac:dyDescent="0.2">
      <c r="A454" s="7">
        <f t="shared" ca="1" si="16"/>
        <v>8</v>
      </c>
      <c r="B454" s="7" t="str">
        <f ca="1">OFFSET(ORÇAMENTO!C$15,ROW(B454)-ROW(B$15),0)</f>
        <v>S</v>
      </c>
      <c r="C454" s="7" t="str">
        <f ca="1">OFFSET(ORÇAMENTO!L$15,ROW(C454)-ROW(C$15),0)</f>
        <v>F</v>
      </c>
      <c r="D454" s="116" t="str">
        <f ca="1">OFFSET(ORÇAMENTO!N$15,ROW(D454)-ROW(D$15),0)</f>
        <v>Serviço</v>
      </c>
      <c r="E454" s="117" t="str">
        <f ca="1">OFFSET(ORÇAMENTO!O$15,ROW(E454)-ROW(E$15),0)</f>
        <v>1.9.2.0.1.</v>
      </c>
      <c r="F454" s="163" t="str">
        <f ca="1">OFFSET(ORÇAMENTO!R$15,ROW(F454)-ROW(F$15),0)</f>
        <v>CABO UTP COM QUATRO (4) PARES, CATEGORIA 6, CLASSIFICAÇÃO LSZH, COM ISOLAMENTO NÃO HALOGENADO E ANTICHAMA, EXCLUSIVE CONECTOR/PLUG MACHO RJ45 E CRIMPAGEM</v>
      </c>
      <c r="G454" s="164" t="str">
        <f ca="1">IF($D454&lt;&gt;"Serviço","",OFFSET(ORÇAMENTO!S$15,ROW(G454)-ROW(G$15),0))</f>
        <v>M</v>
      </c>
      <c r="H454" s="122" cm="1">
        <f t="array" aca="1" ref="H454" ca="1">IF($D454&lt;&gt;"Serviço",0,IF(ACOMPANHAMENTO="BM",ROUND(OFFSET(ORÇAMENTO!AJ$15,ROW(H454)-ROW(H$15),0),15-13*ORÇAMENTO!$AF$7),SUMPRODUCT(($Q$1:$AI$1=1)*ROUND($Q454:$AI454,15-13*ORÇAMENTO!$AF$7))))</f>
        <v>926</v>
      </c>
      <c r="I454" s="468" t="s">
        <v>1432</v>
      </c>
      <c r="J454" s="640" t="str" cm="1">
        <f t="array" aca="1" ref="J454" ca="1">IF(OR(B454&lt;&gt;"S",CÁLCULO.FrentesPreenchidas=0),"",IF(AND(ACOMPANHAMENTO="PLE",AUTOEVENTO="Manual",OR(H454&gt;0,ORÇAMENTO!AC454="QUANT."),OR(K454="",M454=0,N454="")),"►E",IF(AND(ACOMPANHAMENTO="PLE",ORÇAMENTO!AC454="QUANT."),"►Q",IF(AND(ACOMPANHAMENTO="PLE",H454&lt;&gt;SUMPRODUCT(($Q$1:$AI$1=1)*ROUND(Q454:AI454,15))),"►S",IF(AND(COUNTIF($P$11:$AI$11,"▼")=0,H454&gt;0,I454=""),"◄M","")))))</f>
        <v/>
      </c>
      <c r="K454" s="641" t="s">
        <v>1392</v>
      </c>
      <c r="L454" s="165" t="s">
        <v>764</v>
      </c>
      <c r="M454" s="166">
        <f ca="1">IF($D454&lt;&gt;"Serviço","",
          IF(AUTOEVENTO="manual",$A454,
                IF(ISERROR(MATCH($A454,$A$15:OFFSET($A454,-1,0),0)),MAX($M$15:OFFSET(M454,-1,0))+1,
                      INDEX($M$15:OFFSET(M454,-1,0),MATCH($A454,$A$15:OFFSET($A454,-1,0),0)))))</f>
        <v>8</v>
      </c>
      <c r="N454" s="167" t="str">
        <f ca="1">IF($D454&lt;&gt;"Serviço","",
         IF(AUTOEVENTO="Manual",
                IF($A454=0,"&lt;-- defina o número do agrupador",
                       OFFSET(EVENTOS!$D$15,$A454-$A$15,0)),
                OFFSET($F$15,$A454,0)))</f>
        <v>CFTV</v>
      </c>
      <c r="O454" s="168"/>
      <c r="Q454" s="168"/>
      <c r="R454" s="169"/>
      <c r="S454" s="169"/>
      <c r="T454" s="169"/>
      <c r="U454" s="169"/>
      <c r="V454" s="169"/>
      <c r="W454" s="169"/>
      <c r="X454" s="169"/>
      <c r="Y454" s="169">
        <v>926</v>
      </c>
      <c r="Z454" s="170"/>
      <c r="AA454" s="169"/>
      <c r="AB454" s="169"/>
      <c r="AC454" s="169"/>
      <c r="AD454" s="169"/>
      <c r="AE454" s="169"/>
      <c r="AF454" s="169"/>
      <c r="AG454" s="169"/>
      <c r="AH454" s="170"/>
      <c r="AJ454" s="453">
        <f ca="1">IF(AND($D454="Serviço",AJ$12&lt;&gt;0,$H454&gt;0,OR(AUTOEVENTO&lt;&gt;"manual",$M454&lt;&gt;$A$15)),
        IF(Import.TipoArredondamento&lt;&gt;"TransfereGOV",
              ROUND(OFFSET($P454,0,AJ$13),15-13*ORÇAMENTO!$AF$7)/$H454*OFFSET(ORÇAMENTO!$X$15,ROW(AJ454)-ROW(AJ$15),0),
              ROUND(ROUND(OFFSET($P454,0,AJ$13),15-13*ORÇAMENTO!$AF$7)*OFFSET(ORÇAMENTO!$W$15,ROW(AJ454)-ROW(AJ$15),0),15-13*ORÇAMENTO!$AF$11)),
         0)</f>
        <v>0</v>
      </c>
      <c r="AK454" s="453">
        <f ca="1">IF(AND($D454="Serviço",AK$12&lt;&gt;0,$H454&gt;0,OR(AUTOEVENTO&lt;&gt;"manual",$M454&lt;&gt;$A$15)),
        IF(Import.TipoArredondamento&lt;&gt;"TransfereGOV",
              ROUND(OFFSET($P454,0,AK$13),15-13*ORÇAMENTO!$AF$7)/$H454*OFFSET(ORÇAMENTO!$X$15,ROW(AK454)-ROW(AK$15),0),
              ROUND(ROUND(OFFSET($P454,0,AK$13),15-13*ORÇAMENTO!$AF$7)*OFFSET(ORÇAMENTO!$W$15,ROW(AK454)-ROW(AK$15),0),15-13*ORÇAMENTO!$AF$11)),
         0)</f>
        <v>0</v>
      </c>
      <c r="AL454" s="453">
        <f ca="1">IF(AND($D454="Serviço",AL$12&lt;&gt;0,$H454&gt;0,OR(AUTOEVENTO&lt;&gt;"manual",$M454&lt;&gt;$A$15)),
        IF(Import.TipoArredondamento&lt;&gt;"TransfereGOV",
              ROUND(OFFSET($P454,0,AL$13),15-13*ORÇAMENTO!$AF$7)/$H454*OFFSET(ORÇAMENTO!$X$15,ROW(AL454)-ROW(AL$15),0),
              ROUND(ROUND(OFFSET($P454,0,AL$13),15-13*ORÇAMENTO!$AF$7)*OFFSET(ORÇAMENTO!$W$15,ROW(AL454)-ROW(AL$15),0),15-13*ORÇAMENTO!$AF$11)),
         0)</f>
        <v>0</v>
      </c>
      <c r="AM454" s="453">
        <f ca="1">IF(AND($D454="Serviço",AM$12&lt;&gt;0,$H454&gt;0,OR(AUTOEVENTO&lt;&gt;"manual",$M454&lt;&gt;$A$15)),
        IF(Import.TipoArredondamento&lt;&gt;"TransfereGOV",
              ROUND(OFFSET($P454,0,AM$13),15-13*ORÇAMENTO!$AF$7)/$H454*OFFSET(ORÇAMENTO!$X$15,ROW(AM454)-ROW(AM$15),0),
              ROUND(ROUND(OFFSET($P454,0,AM$13),15-13*ORÇAMENTO!$AF$7)*OFFSET(ORÇAMENTO!$W$15,ROW(AM454)-ROW(AM$15),0),15-13*ORÇAMENTO!$AF$11)),
         0)</f>
        <v>0</v>
      </c>
      <c r="AN454" s="453">
        <f ca="1">IF(AND($D454="Serviço",AN$12&lt;&gt;0,$H454&gt;0,OR(AUTOEVENTO&lt;&gt;"manual",$M454&lt;&gt;$A$15)),
        IF(Import.TipoArredondamento&lt;&gt;"TransfereGOV",
              ROUND(OFFSET($P454,0,AN$13),15-13*ORÇAMENTO!$AF$7)/$H454*OFFSET(ORÇAMENTO!$X$15,ROW(AN454)-ROW(AN$15),0),
              ROUND(ROUND(OFFSET($P454,0,AN$13),15-13*ORÇAMENTO!$AF$7)*OFFSET(ORÇAMENTO!$W$15,ROW(AN454)-ROW(AN$15),0),15-13*ORÇAMENTO!$AF$11)),
         0)</f>
        <v>0</v>
      </c>
      <c r="AO454" s="453">
        <f ca="1">IF(AND($D454="Serviço",AO$12&lt;&gt;0,$H454&gt;0,OR(AUTOEVENTO&lt;&gt;"manual",$M454&lt;&gt;$A$15)),
        IF(Import.TipoArredondamento&lt;&gt;"TransfereGOV",
              ROUND(OFFSET($P454,0,AO$13),15-13*ORÇAMENTO!$AF$7)/$H454*OFFSET(ORÇAMENTO!$X$15,ROW(AO454)-ROW(AO$15),0),
              ROUND(ROUND(OFFSET($P454,0,AO$13),15-13*ORÇAMENTO!$AF$7)*OFFSET(ORÇAMENTO!$W$15,ROW(AO454)-ROW(AO$15),0),15-13*ORÇAMENTO!$AF$11)),
         0)</f>
        <v>0</v>
      </c>
      <c r="AP454" s="453">
        <f ca="1">IF(AND($D454="Serviço",AP$12&lt;&gt;0,$H454&gt;0,OR(AUTOEVENTO&lt;&gt;"manual",$M454&lt;&gt;$A$15)),
        IF(Import.TipoArredondamento&lt;&gt;"TransfereGOV",
              ROUND(OFFSET($P454,0,AP$13),15-13*ORÇAMENTO!$AF$7)/$H454*OFFSET(ORÇAMENTO!$X$15,ROW(AP454)-ROW(AP$15),0),
              ROUND(ROUND(OFFSET($P454,0,AP$13),15-13*ORÇAMENTO!$AF$7)*OFFSET(ORÇAMENTO!$W$15,ROW(AP454)-ROW(AP$15),0),15-13*ORÇAMENTO!$AF$11)),
         0)</f>
        <v>0</v>
      </c>
      <c r="AQ454" s="453">
        <f ca="1">IF(AND($D454="Serviço",AQ$12&lt;&gt;0,$H454&gt;0,OR(AUTOEVENTO&lt;&gt;"manual",$M454&lt;&gt;$A$15)),
        IF(Import.TipoArredondamento&lt;&gt;"TransfereGOV",
              ROUND(OFFSET($P454,0,AQ$13),15-13*ORÇAMENTO!$AF$7)/$H454*OFFSET(ORÇAMENTO!$X$15,ROW(AQ454)-ROW(AQ$15),0),
              ROUND(ROUND(OFFSET($P454,0,AQ$13),15-13*ORÇAMENTO!$AF$7)*OFFSET(ORÇAMENTO!$W$15,ROW(AQ454)-ROW(AQ$15),0),15-13*ORÇAMENTO!$AF$11)),
         0)</f>
        <v>0</v>
      </c>
      <c r="AR454" s="453">
        <f ca="1">IF(AND($D454="Serviço",AR$12&lt;&gt;0,$H454&gt;0,OR(AUTOEVENTO&lt;&gt;"manual",$M454&lt;&gt;$A$15)),
        IF(Import.TipoArredondamento&lt;&gt;"TransfereGOV",
              ROUND(OFFSET($P454,0,AR$13),15-13*ORÇAMENTO!$AF$7)/$H454*OFFSET(ORÇAMENTO!$X$15,ROW(AR454)-ROW(AR$15),0),
              ROUND(ROUND(OFFSET($P454,0,AR$13),15-13*ORÇAMENTO!$AF$7)*OFFSET(ORÇAMENTO!$W$15,ROW(AR454)-ROW(AR$15),0),15-13*ORÇAMENTO!$AF$11)),
         0)</f>
        <v>0</v>
      </c>
      <c r="AS454" s="453">
        <f ca="1">IF(AND($D454="Serviço",AS$12&lt;&gt;0,$H454&gt;0,OR(AUTOEVENTO&lt;&gt;"manual",$M454&lt;&gt;$A$15)),
        IF(Import.TipoArredondamento&lt;&gt;"TransfereGOV",
              ROUND(OFFSET($P454,0,AS$13),15-13*ORÇAMENTO!$AF$7)/$H454*OFFSET(ORÇAMENTO!$X$15,ROW(AS454)-ROW(AS$15),0),
              ROUND(ROUND(OFFSET($P454,0,AS$13),15-13*ORÇAMENTO!$AF$7)*OFFSET(ORÇAMENTO!$W$15,ROW(AS454)-ROW(AS$15),0),15-13*ORÇAMENTO!$AF$11)),
         0)</f>
        <v>0</v>
      </c>
      <c r="AT454" s="453">
        <f ca="1">IF(AND($D454="Serviço",AT$12&lt;&gt;0,$H454&gt;0,OR(AUTOEVENTO&lt;&gt;"manual",$M454&lt;&gt;$A$15)),
        IF(Import.TipoArredondamento&lt;&gt;"TransfereGOV",
              ROUND(OFFSET($P454,0,AT$13),15-13*ORÇAMENTO!$AF$7)/$H454*OFFSET(ORÇAMENTO!$X$15,ROW(AT454)-ROW(AT$15),0),
              ROUND(ROUND(OFFSET($P454,0,AT$13),15-13*ORÇAMENTO!$AF$7)*OFFSET(ORÇAMENTO!$W$15,ROW(AT454)-ROW(AT$15),0),15-13*ORÇAMENTO!$AF$11)),
         0)</f>
        <v>0</v>
      </c>
      <c r="AU454" s="453">
        <f ca="1">IF(AND($D454="Serviço",AU$12&lt;&gt;0,$H454&gt;0,OR(AUTOEVENTO&lt;&gt;"manual",$M454&lt;&gt;$A$15)),
        IF(Import.TipoArredondamento&lt;&gt;"TransfereGOV",
              ROUND(OFFSET($P454,0,AU$13),15-13*ORÇAMENTO!$AF$7)/$H454*OFFSET(ORÇAMENTO!$X$15,ROW(AU454)-ROW(AU$15),0),
              ROUND(ROUND(OFFSET($P454,0,AU$13),15-13*ORÇAMENTO!$AF$7)*OFFSET(ORÇAMENTO!$W$15,ROW(AU454)-ROW(AU$15),0),15-13*ORÇAMENTO!$AF$11)),
         0)</f>
        <v>0</v>
      </c>
      <c r="AV454" s="453">
        <f ca="1">IF(AND($D454="Serviço",AV$12&lt;&gt;0,$H454&gt;0,OR(AUTOEVENTO&lt;&gt;"manual",$M454&lt;&gt;$A$15)),
        IF(Import.TipoArredondamento&lt;&gt;"TransfereGOV",
              ROUND(OFFSET($P454,0,AV$13),15-13*ORÇAMENTO!$AF$7)/$H454*OFFSET(ORÇAMENTO!$X$15,ROW(AV454)-ROW(AV$15),0),
              ROUND(ROUND(OFFSET($P454,0,AV$13),15-13*ORÇAMENTO!$AF$7)*OFFSET(ORÇAMENTO!$W$15,ROW(AV454)-ROW(AV$15),0),15-13*ORÇAMENTO!$AF$11)),
         0)</f>
        <v>0</v>
      </c>
      <c r="AW454" s="453">
        <f ca="1">IF(AND($D454="Serviço",AW$12&lt;&gt;0,$H454&gt;0,OR(AUTOEVENTO&lt;&gt;"manual",$M454&lt;&gt;$A$15)),
        IF(Import.TipoArredondamento&lt;&gt;"TransfereGOV",
              ROUND(OFFSET($P454,0,AW$13),15-13*ORÇAMENTO!$AF$7)/$H454*OFFSET(ORÇAMENTO!$X$15,ROW(AW454)-ROW(AW$15),0),
              ROUND(ROUND(OFFSET($P454,0,AW$13),15-13*ORÇAMENTO!$AF$7)*OFFSET(ORÇAMENTO!$W$15,ROW(AW454)-ROW(AW$15),0),15-13*ORÇAMENTO!$AF$11)),
         0)</f>
        <v>0</v>
      </c>
      <c r="AX454" s="453">
        <f ca="1">IF(AND($D454="Serviço",AX$12&lt;&gt;0,$H454&gt;0,OR(AUTOEVENTO&lt;&gt;"manual",$M454&lt;&gt;$A$15)),
        IF(Import.TipoArredondamento&lt;&gt;"TransfereGOV",
              ROUND(OFFSET($P454,0,AX$13),15-13*ORÇAMENTO!$AF$7)/$H454*OFFSET(ORÇAMENTO!$X$15,ROW(AX454)-ROW(AX$15),0),
              ROUND(ROUND(OFFSET($P454,0,AX$13),15-13*ORÇAMENTO!$AF$7)*OFFSET(ORÇAMENTO!$W$15,ROW(AX454)-ROW(AX$15),0),15-13*ORÇAMENTO!$AF$11)),
         0)</f>
        <v>0</v>
      </c>
      <c r="AY454" s="453">
        <f ca="1">IF(AND($D454="Serviço",AY$12&lt;&gt;0,$H454&gt;0,OR(AUTOEVENTO&lt;&gt;"manual",$M454&lt;&gt;$A$15)),
        IF(Import.TipoArredondamento&lt;&gt;"TransfereGOV",
              ROUND(OFFSET($P454,0,AY$13),15-13*ORÇAMENTO!$AF$7)/$H454*OFFSET(ORÇAMENTO!$X$15,ROW(AY454)-ROW(AY$15),0),
              ROUND(ROUND(OFFSET($P454,0,AY$13),15-13*ORÇAMENTO!$AF$7)*OFFSET(ORÇAMENTO!$W$15,ROW(AY454)-ROW(AY$15),0),15-13*ORÇAMENTO!$AF$11)),
         0)</f>
        <v>0</v>
      </c>
      <c r="AZ454" s="453">
        <f ca="1">IF(AND($D454="Serviço",AZ$12&lt;&gt;0,$H454&gt;0,OR(AUTOEVENTO&lt;&gt;"manual",$M454&lt;&gt;$A$15)),
        IF(Import.TipoArredondamento&lt;&gt;"TransfereGOV",
              ROUND(OFFSET($P454,0,AZ$13),15-13*ORÇAMENTO!$AF$7)/$H454*OFFSET(ORÇAMENTO!$X$15,ROW(AZ454)-ROW(AZ$15),0),
              ROUND(ROUND(OFFSET($P454,0,AZ$13),15-13*ORÇAMENTO!$AF$7)*OFFSET(ORÇAMENTO!$W$15,ROW(AZ454)-ROW(AZ$15),0),15-13*ORÇAMENTO!$AF$11)),
         0)</f>
        <v>0</v>
      </c>
      <c r="BA454" s="453">
        <f ca="1">IF(AND($D454="Serviço",BA$12&lt;&gt;0,$H454&gt;0,OR(AUTOEVENTO&lt;&gt;"manual",$M454&lt;&gt;$A$15)),
        IF(Import.TipoArredondamento&lt;&gt;"TransfereGOV",
              ROUND(OFFSET($P454,0,BA$13),15-13*ORÇAMENTO!$AF$7)/$H454*OFFSET(ORÇAMENTO!$X$15,ROW(BA454)-ROW(BA$15),0),
              ROUND(ROUND(OFFSET($P454,0,BA$13),15-13*ORÇAMENTO!$AF$7)*OFFSET(ORÇAMENTO!$W$15,ROW(BA454)-ROW(BA$15),0),15-13*ORÇAMENTO!$AF$11)),
         0)</f>
        <v>0</v>
      </c>
      <c r="BC454" s="171">
        <f ca="1">IF(OR($D454&lt;&gt;"Serviço",AND(AUTOEVENTO="Manual",$M454=$A$15)),0,
         IF(OFFSET(CRONOPLE!$F$15,$M454-$A$15,BC$13)=0,10^12,OFFSET(CRONOPLE!$F$15,$M454-$A$15,BC$13)))</f>
        <v>1</v>
      </c>
      <c r="BD454" s="171">
        <f ca="1">IF(OR($D454&lt;&gt;"Serviço",AND(AUTOEVENTO="Manual",$M454=$A$15)),0,
         IF(OFFSET(CRONOPLE!$F$15,$M454-$A$15,BD$13)=0,10^12,OFFSET(CRONOPLE!$F$15,$M454-$A$15,BD$13)))</f>
        <v>2</v>
      </c>
      <c r="BE454" s="171">
        <f ca="1">IF(OR($D454&lt;&gt;"Serviço",AND(AUTOEVENTO="Manual",$M454=$A$15)),0,
         IF(OFFSET(CRONOPLE!$F$15,$M454-$A$15,BE$13)=0,10^12,OFFSET(CRONOPLE!$F$15,$M454-$A$15,BE$13)))</f>
        <v>3</v>
      </c>
      <c r="BF454" s="171">
        <f ca="1">IF(OR($D454&lt;&gt;"Serviço",AND(AUTOEVENTO="Manual",$M454=$A$15)),0,
         IF(OFFSET(CRONOPLE!$F$15,$M454-$A$15,BF$13)=0,10^12,OFFSET(CRONOPLE!$F$15,$M454-$A$15,BF$13)))</f>
        <v>4</v>
      </c>
      <c r="BG454" s="171">
        <f ca="1">IF(OR($D454&lt;&gt;"Serviço",AND(AUTOEVENTO="Manual",$M454=$A$15)),0,
         IF(OFFSET(CRONOPLE!$F$15,$M454-$A$15,BG$13)=0,10^12,OFFSET(CRONOPLE!$F$15,$M454-$A$15,BG$13)))</f>
        <v>5</v>
      </c>
      <c r="BH454" s="171">
        <f ca="1">IF(OR($D454&lt;&gt;"Serviço",AND(AUTOEVENTO="Manual",$M454=$A$15)),0,
         IF(OFFSET(CRONOPLE!$F$15,$M454-$A$15,BH$13)=0,10^12,OFFSET(CRONOPLE!$F$15,$M454-$A$15,BH$13)))</f>
        <v>6</v>
      </c>
      <c r="BI454" s="171">
        <f ca="1">IF(OR($D454&lt;&gt;"Serviço",AND(AUTOEVENTO="Manual",$M454=$A$15)),0,
         IF(OFFSET(CRONOPLE!$F$15,$M454-$A$15,BI$13)=0,10^12,OFFSET(CRONOPLE!$F$15,$M454-$A$15,BI$13)))</f>
        <v>7</v>
      </c>
      <c r="BJ454" s="171">
        <f ca="1">IF(OR($D454&lt;&gt;"Serviço",AND(AUTOEVENTO="Manual",$M454=$A$15)),0,
         IF(OFFSET(CRONOPLE!$F$15,$M454-$A$15,BJ$13)=0,10^12,OFFSET(CRONOPLE!$F$15,$M454-$A$15,BJ$13)))</f>
        <v>8</v>
      </c>
      <c r="BK454" s="171">
        <f ca="1">IF(OR($D454&lt;&gt;"Serviço",AND(AUTOEVENTO="Manual",$M454=$A$15)),0,
         IF(OFFSET(CRONOPLE!$F$15,$M454-$A$15,BK$13)=0,10^12,OFFSET(CRONOPLE!$F$15,$M454-$A$15,BK$13)))</f>
        <v>9</v>
      </c>
      <c r="BL454" s="171">
        <f ca="1">IF(OR($D454&lt;&gt;"Serviço",AND(AUTOEVENTO="Manual",$M454=$A$15)),0,
         IF(OFFSET(CRONOPLE!$F$15,$M454-$A$15,BL$13)=0,10^12,OFFSET(CRONOPLE!$F$15,$M454-$A$15,BL$13)))</f>
        <v>1000000000000</v>
      </c>
      <c r="BM454" s="171">
        <f ca="1">IF(OR($D454&lt;&gt;"Serviço",AND(AUTOEVENTO="Manual",$M454=$A$15)),0,
         IF(OFFSET(CRONOPLE!$F$15,$M454-$A$15,BM$13)=0,10^12,OFFSET(CRONOPLE!$F$15,$M454-$A$15,BM$13)))</f>
        <v>1000000000000</v>
      </c>
      <c r="BN454" s="171">
        <f ca="1">IF(OR($D454&lt;&gt;"Serviço",AND(AUTOEVENTO="Manual",$M454=$A$15)),0,
         IF(OFFSET(CRONOPLE!$F$15,$M454-$A$15,BN$13)=0,10^12,OFFSET(CRONOPLE!$F$15,$M454-$A$15,BN$13)))</f>
        <v>1000000000000</v>
      </c>
      <c r="BO454" s="171">
        <f ca="1">IF(OR($D454&lt;&gt;"Serviço",AND(AUTOEVENTO="Manual",$M454=$A$15)),0,
         IF(OFFSET(CRONOPLE!$F$15,$M454-$A$15,BO$13)=0,10^12,OFFSET(CRONOPLE!$F$15,$M454-$A$15,BO$13)))</f>
        <v>1000000000000</v>
      </c>
      <c r="BP454" s="171">
        <f ca="1">IF(OR($D454&lt;&gt;"Serviço",AND(AUTOEVENTO="Manual",$M454=$A$15)),0,
         IF(OFFSET(CRONOPLE!$F$15,$M454-$A$15,BP$13)=0,10^12,OFFSET(CRONOPLE!$F$15,$M454-$A$15,BP$13)))</f>
        <v>1000000000000</v>
      </c>
      <c r="BQ454" s="171">
        <f ca="1">IF(OR($D454&lt;&gt;"Serviço",AND(AUTOEVENTO="Manual",$M454=$A$15)),0,
         IF(OFFSET(CRONOPLE!$F$15,$M454-$A$15,BQ$13)=0,10^12,OFFSET(CRONOPLE!$F$15,$M454-$A$15,BQ$13)))</f>
        <v>1000000000000</v>
      </c>
      <c r="BR454" s="171">
        <f ca="1">IF(OR($D454&lt;&gt;"Serviço",AND(AUTOEVENTO="Manual",$M454=$A$15)),0,
         IF(OFFSET(CRONOPLE!$F$15,$M454-$A$15,BR$13)=0,10^12,OFFSET(CRONOPLE!$F$15,$M454-$A$15,BR$13)))</f>
        <v>1000000000000</v>
      </c>
      <c r="BS454" s="171">
        <f ca="1">IF(OR($D454&lt;&gt;"Serviço",AND(AUTOEVENTO="Manual",$M454=$A$15)),0,
         IF(OFFSET(CRONOPLE!$F$15,$M454-$A$15,BS$13)=0,10^12,OFFSET(CRONOPLE!$F$15,$M454-$A$15,BS$13)))</f>
        <v>1000000000000</v>
      </c>
      <c r="BT454" s="171">
        <f ca="1">IF(OR($D454&lt;&gt;"Serviço",AND(AUTOEVENTO="Manual",$M454=$A$15)),0,
         IF(OFFSET(CRONOPLE!$F$15,$M454-$A$15,BT$13)=0,10^12,OFFSET(CRONOPLE!$F$15,$M454-$A$15,BT$13)))</f>
        <v>1000000000000</v>
      </c>
      <c r="BV454" s="172">
        <f ca="1">IF(OR($D454&lt;&gt;"Serviço",AND(AUTOEVENTO="Manual",$M454=$A$15),$M454&gt;(ROW(PLE.lastrow)-ROW(PLE.firstrow))),0,
           IF(OFFSET(PLE!$G$15,$M454-$A$15,BV$13)="",10^12,OFFSET(PLE!$G$15,$M454-$A$15,BV$13)))</f>
        <v>1000000000000</v>
      </c>
      <c r="BW454" s="172">
        <f ca="1">IF(OR($D454&lt;&gt;"Serviço",AND(AUTOEVENTO="Manual",$M454=$A$15),$M454&gt;(ROW(PLE.lastrow)-ROW(PLE.firstrow))),0,
           IF(OFFSET(PLE!$G$15,$M454-$A$15,BW$13)="",10^12,OFFSET(PLE!$G$15,$M454-$A$15,BW$13)))</f>
        <v>1000000000000</v>
      </c>
      <c r="BX454" s="172">
        <f ca="1">IF(OR($D454&lt;&gt;"Serviço",AND(AUTOEVENTO="Manual",$M454=$A$15),$M454&gt;(ROW(PLE.lastrow)-ROW(PLE.firstrow))),0,
           IF(OFFSET(PLE!$G$15,$M454-$A$15,BX$13)="",10^12,OFFSET(PLE!$G$15,$M454-$A$15,BX$13)))</f>
        <v>1000000000000</v>
      </c>
      <c r="BY454" s="172">
        <f ca="1">IF(OR($D454&lt;&gt;"Serviço",AND(AUTOEVENTO="Manual",$M454=$A$15),$M454&gt;(ROW(PLE.lastrow)-ROW(PLE.firstrow))),0,
           IF(OFFSET(PLE!$G$15,$M454-$A$15,BY$13)="",10^12,OFFSET(PLE!$G$15,$M454-$A$15,BY$13)))</f>
        <v>1000000000000</v>
      </c>
      <c r="BZ454" s="172">
        <f ca="1">IF(OR($D454&lt;&gt;"Serviço",AND(AUTOEVENTO="Manual",$M454=$A$15),$M454&gt;(ROW(PLE.lastrow)-ROW(PLE.firstrow))),0,
           IF(OFFSET(PLE!$G$15,$M454-$A$15,BZ$13)="",10^12,OFFSET(PLE!$G$15,$M454-$A$15,BZ$13)))</f>
        <v>1000000000000</v>
      </c>
      <c r="CA454" s="172">
        <f ca="1">IF(OR($D454&lt;&gt;"Serviço",AND(AUTOEVENTO="Manual",$M454=$A$15),$M454&gt;(ROW(PLE.lastrow)-ROW(PLE.firstrow))),0,
           IF(OFFSET(PLE!$G$15,$M454-$A$15,CA$13)="",10^12,OFFSET(PLE!$G$15,$M454-$A$15,CA$13)))</f>
        <v>1000000000000</v>
      </c>
      <c r="CB454" s="172">
        <f ca="1">IF(OR($D454&lt;&gt;"Serviço",AND(AUTOEVENTO="Manual",$M454=$A$15),$M454&gt;(ROW(PLE.lastrow)-ROW(PLE.firstrow))),0,
           IF(OFFSET(PLE!$G$15,$M454-$A$15,CB$13)="",10^12,OFFSET(PLE!$G$15,$M454-$A$15,CB$13)))</f>
        <v>1000000000000</v>
      </c>
      <c r="CC454" s="172">
        <f ca="1">IF(OR($D454&lt;&gt;"Serviço",AND(AUTOEVENTO="Manual",$M454=$A$15),$M454&gt;(ROW(PLE.lastrow)-ROW(PLE.firstrow))),0,
           IF(OFFSET(PLE!$G$15,$M454-$A$15,CC$13)="",10^12,OFFSET(PLE!$G$15,$M454-$A$15,CC$13)))</f>
        <v>1000000000000</v>
      </c>
      <c r="CD454" s="172">
        <f ca="1">IF(OR($D454&lt;&gt;"Serviço",AND(AUTOEVENTO="Manual",$M454=$A$15),$M454&gt;(ROW(PLE.lastrow)-ROW(PLE.firstrow))),0,
           IF(OFFSET(PLE!$G$15,$M454-$A$15,CD$13)="",10^12,OFFSET(PLE!$G$15,$M454-$A$15,CD$13)))</f>
        <v>1000000000000</v>
      </c>
      <c r="CE454" s="172">
        <f ca="1">IF(OR($D454&lt;&gt;"Serviço",AND(AUTOEVENTO="Manual",$M454=$A$15),$M454&gt;(ROW(PLE.lastrow)-ROW(PLE.firstrow))),0,
           IF(OFFSET(PLE!$G$15,$M454-$A$15,CE$13)="",10^12,OFFSET(PLE!$G$15,$M454-$A$15,CE$13)))</f>
        <v>1000000000000</v>
      </c>
      <c r="CF454" s="172">
        <f ca="1">IF(OR($D454&lt;&gt;"Serviço",AND(AUTOEVENTO="Manual",$M454=$A$15),$M454&gt;(ROW(PLE.lastrow)-ROW(PLE.firstrow))),0,
           IF(OFFSET(PLE!$G$15,$M454-$A$15,CF$13)="",10^12,OFFSET(PLE!$G$15,$M454-$A$15,CF$13)))</f>
        <v>1000000000000</v>
      </c>
      <c r="CG454" s="172">
        <f ca="1">IF(OR($D454&lt;&gt;"Serviço",AND(AUTOEVENTO="Manual",$M454=$A$15),$M454&gt;(ROW(PLE.lastrow)-ROW(PLE.firstrow))),0,
           IF(OFFSET(PLE!$G$15,$M454-$A$15,CG$13)="",10^12,OFFSET(PLE!$G$15,$M454-$A$15,CG$13)))</f>
        <v>1000000000000</v>
      </c>
      <c r="CH454" s="172">
        <f ca="1">IF(OR($D454&lt;&gt;"Serviço",AND(AUTOEVENTO="Manual",$M454=$A$15),$M454&gt;(ROW(PLE.lastrow)-ROW(PLE.firstrow))),0,
           IF(OFFSET(PLE!$G$15,$M454-$A$15,CH$13)="",10^12,OFFSET(PLE!$G$15,$M454-$A$15,CH$13)))</f>
        <v>1000000000000</v>
      </c>
      <c r="CI454" s="172">
        <f ca="1">IF(OR($D454&lt;&gt;"Serviço",AND(AUTOEVENTO="Manual",$M454=$A$15),$M454&gt;(ROW(PLE.lastrow)-ROW(PLE.firstrow))),0,
           IF(OFFSET(PLE!$G$15,$M454-$A$15,CI$13)="",10^12,OFFSET(PLE!$G$15,$M454-$A$15,CI$13)))</f>
        <v>1000000000000</v>
      </c>
      <c r="CJ454" s="172">
        <f ca="1">IF(OR($D454&lt;&gt;"Serviço",AND(AUTOEVENTO="Manual",$M454=$A$15),$M454&gt;(ROW(PLE.lastrow)-ROW(PLE.firstrow))),0,
           IF(OFFSET(PLE!$G$15,$M454-$A$15,CJ$13)="",10^12,OFFSET(PLE!$G$15,$M454-$A$15,CJ$13)))</f>
        <v>1000000000000</v>
      </c>
      <c r="CK454" s="172">
        <f ca="1">IF(OR($D454&lt;&gt;"Serviço",AND(AUTOEVENTO="Manual",$M454=$A$15),$M454&gt;(ROW(PLE.lastrow)-ROW(PLE.firstrow))),0,
           IF(OFFSET(PLE!$G$15,$M454-$A$15,CK$13)="",10^12,OFFSET(PLE!$G$15,$M454-$A$15,CK$13)))</f>
        <v>1000000000000</v>
      </c>
      <c r="CL454" s="172">
        <f ca="1">IF(OR($D454&lt;&gt;"Serviço",AND(AUTOEVENTO="Manual",$M454=$A$15),$M454&gt;(ROW(PLE.lastrow)-ROW(PLE.firstrow))),0,
           IF(OFFSET(PLE!$G$15,$M454-$A$15,CL$13)="",10^12,OFFSET(PLE!$G$15,$M454-$A$15,CL$13)))</f>
        <v>1000000000000</v>
      </c>
      <c r="CM454" s="172">
        <f ca="1">IF(OR($D454&lt;&gt;"Serviço",AND(AUTOEVENTO="Manual",$M454=$A$15),$M454&gt;(ROW(PLE.lastrow)-ROW(PLE.firstrow))),0,
           IF(OFFSET(PLE!$G$15,$M454-$A$15,CM$13)="",10^12,OFFSET(PLE!$G$15,$M454-$A$15,CM$13)))</f>
        <v>1000000000000</v>
      </c>
    </row>
    <row r="455" spans="1:91" ht="38.25" x14ac:dyDescent="0.2">
      <c r="A455" s="7">
        <f t="shared" ca="1" si="16"/>
        <v>8</v>
      </c>
      <c r="B455" s="7" t="str">
        <f ca="1">OFFSET(ORÇAMENTO!C$15,ROW(B455)-ROW(B$15),0)</f>
        <v>S</v>
      </c>
      <c r="C455" s="7" t="str">
        <f ca="1">OFFSET(ORÇAMENTO!L$15,ROW(C455)-ROW(C$15),0)</f>
        <v>F</v>
      </c>
      <c r="D455" s="116" t="str">
        <f ca="1">OFFSET(ORÇAMENTO!N$15,ROW(D455)-ROW(D$15),0)</f>
        <v>Serviço</v>
      </c>
      <c r="E455" s="117" t="str">
        <f ca="1">OFFSET(ORÇAMENTO!O$15,ROW(E455)-ROW(E$15),0)</f>
        <v>1.9.2.0.2.</v>
      </c>
      <c r="F455" s="163" t="str">
        <f ca="1">OFFSET(ORÇAMENTO!R$15,ROW(F455)-ROW(F$15),0)</f>
        <v>PATCH CORD RJ45/RJ45 UTP-4P METÁLICO CATEGORIA 6, PINAGEM T568A (VOZ), COMPRIMENTO 3 METROS</v>
      </c>
      <c r="G455" s="164" t="str">
        <f ca="1">IF($D455&lt;&gt;"Serviço","",OFFSET(ORÇAMENTO!S$15,ROW(G455)-ROW(G$15),0))</f>
        <v>UN</v>
      </c>
      <c r="H455" s="122" cm="1">
        <f t="array" aca="1" ref="H455" ca="1">IF($D455&lt;&gt;"Serviço",0,IF(ACOMPANHAMENTO="BM",ROUND(OFFSET(ORÇAMENTO!AJ$15,ROW(H455)-ROW(H$15),0),15-13*ORÇAMENTO!$AF$7),SUMPRODUCT(($Q$1:$AI$1=1)*ROUND($Q455:$AI455,15-13*ORÇAMENTO!$AF$7))))</f>
        <v>28</v>
      </c>
      <c r="I455" s="468" t="s">
        <v>1432</v>
      </c>
      <c r="J455" s="640" t="str" cm="1">
        <f t="array" aca="1" ref="J455" ca="1">IF(OR(B455&lt;&gt;"S",CÁLCULO.FrentesPreenchidas=0),"",IF(AND(ACOMPANHAMENTO="PLE",AUTOEVENTO="Manual",OR(H455&gt;0,ORÇAMENTO!AC455="QUANT."),OR(K455="",M455=0,N455="")),"►E",IF(AND(ACOMPANHAMENTO="PLE",ORÇAMENTO!AC455="QUANT."),"►Q",IF(AND(ACOMPANHAMENTO="PLE",H455&lt;&gt;SUMPRODUCT(($Q$1:$AI$1=1)*ROUND(Q455:AI455,15))),"►S",IF(AND(COUNTIF($P$11:$AI$11,"▼")=0,H455&gt;0,I455=""),"◄M","")))))</f>
        <v/>
      </c>
      <c r="K455" s="641" t="s">
        <v>1392</v>
      </c>
      <c r="L455" s="165" t="s">
        <v>764</v>
      </c>
      <c r="M455" s="166">
        <f ca="1">IF($D455&lt;&gt;"Serviço","",
          IF(AUTOEVENTO="manual",$A455,
                IF(ISERROR(MATCH($A455,$A$15:OFFSET($A455,-1,0),0)),MAX($M$15:OFFSET(M455,-1,0))+1,
                      INDEX($M$15:OFFSET(M455,-1,0),MATCH($A455,$A$15:OFFSET($A455,-1,0),0)))))</f>
        <v>8</v>
      </c>
      <c r="N455" s="167" t="str">
        <f ca="1">IF($D455&lt;&gt;"Serviço","",
         IF(AUTOEVENTO="Manual",
                IF($A455=0,"&lt;-- defina o número do agrupador",
                       OFFSET(EVENTOS!$D$15,$A455-$A$15,0)),
                OFFSET($F$15,$A455,0)))</f>
        <v>CFTV</v>
      </c>
      <c r="O455" s="168"/>
      <c r="Q455" s="168"/>
      <c r="R455" s="169"/>
      <c r="S455" s="169"/>
      <c r="T455" s="169"/>
      <c r="U455" s="169"/>
      <c r="V455" s="169"/>
      <c r="W455" s="169"/>
      <c r="X455" s="169"/>
      <c r="Y455" s="169">
        <v>28</v>
      </c>
      <c r="Z455" s="170"/>
      <c r="AA455" s="169"/>
      <c r="AB455" s="169"/>
      <c r="AC455" s="169"/>
      <c r="AD455" s="169"/>
      <c r="AE455" s="169"/>
      <c r="AF455" s="169"/>
      <c r="AG455" s="169"/>
      <c r="AH455" s="170"/>
      <c r="AJ455" s="453">
        <f ca="1">IF(AND($D455="Serviço",AJ$12&lt;&gt;0,$H455&gt;0,OR(AUTOEVENTO&lt;&gt;"manual",$M455&lt;&gt;$A$15)),
        IF(Import.TipoArredondamento&lt;&gt;"TransfereGOV",
              ROUND(OFFSET($P455,0,AJ$13),15-13*ORÇAMENTO!$AF$7)/$H455*OFFSET(ORÇAMENTO!$X$15,ROW(AJ455)-ROW(AJ$15),0),
              ROUND(ROUND(OFFSET($P455,0,AJ$13),15-13*ORÇAMENTO!$AF$7)*OFFSET(ORÇAMENTO!$W$15,ROW(AJ455)-ROW(AJ$15),0),15-13*ORÇAMENTO!$AF$11)),
         0)</f>
        <v>0</v>
      </c>
      <c r="AK455" s="453">
        <f ca="1">IF(AND($D455="Serviço",AK$12&lt;&gt;0,$H455&gt;0,OR(AUTOEVENTO&lt;&gt;"manual",$M455&lt;&gt;$A$15)),
        IF(Import.TipoArredondamento&lt;&gt;"TransfereGOV",
              ROUND(OFFSET($P455,0,AK$13),15-13*ORÇAMENTO!$AF$7)/$H455*OFFSET(ORÇAMENTO!$X$15,ROW(AK455)-ROW(AK$15),0),
              ROUND(ROUND(OFFSET($P455,0,AK$13),15-13*ORÇAMENTO!$AF$7)*OFFSET(ORÇAMENTO!$W$15,ROW(AK455)-ROW(AK$15),0),15-13*ORÇAMENTO!$AF$11)),
         0)</f>
        <v>0</v>
      </c>
      <c r="AL455" s="453">
        <f ca="1">IF(AND($D455="Serviço",AL$12&lt;&gt;0,$H455&gt;0,OR(AUTOEVENTO&lt;&gt;"manual",$M455&lt;&gt;$A$15)),
        IF(Import.TipoArredondamento&lt;&gt;"TransfereGOV",
              ROUND(OFFSET($P455,0,AL$13),15-13*ORÇAMENTO!$AF$7)/$H455*OFFSET(ORÇAMENTO!$X$15,ROW(AL455)-ROW(AL$15),0),
              ROUND(ROUND(OFFSET($P455,0,AL$13),15-13*ORÇAMENTO!$AF$7)*OFFSET(ORÇAMENTO!$W$15,ROW(AL455)-ROW(AL$15),0),15-13*ORÇAMENTO!$AF$11)),
         0)</f>
        <v>0</v>
      </c>
      <c r="AM455" s="453">
        <f ca="1">IF(AND($D455="Serviço",AM$12&lt;&gt;0,$H455&gt;0,OR(AUTOEVENTO&lt;&gt;"manual",$M455&lt;&gt;$A$15)),
        IF(Import.TipoArredondamento&lt;&gt;"TransfereGOV",
              ROUND(OFFSET($P455,0,AM$13),15-13*ORÇAMENTO!$AF$7)/$H455*OFFSET(ORÇAMENTO!$X$15,ROW(AM455)-ROW(AM$15),0),
              ROUND(ROUND(OFFSET($P455,0,AM$13),15-13*ORÇAMENTO!$AF$7)*OFFSET(ORÇAMENTO!$W$15,ROW(AM455)-ROW(AM$15),0),15-13*ORÇAMENTO!$AF$11)),
         0)</f>
        <v>0</v>
      </c>
      <c r="AN455" s="453">
        <f ca="1">IF(AND($D455="Serviço",AN$12&lt;&gt;0,$H455&gt;0,OR(AUTOEVENTO&lt;&gt;"manual",$M455&lt;&gt;$A$15)),
        IF(Import.TipoArredondamento&lt;&gt;"TransfereGOV",
              ROUND(OFFSET($P455,0,AN$13),15-13*ORÇAMENTO!$AF$7)/$H455*OFFSET(ORÇAMENTO!$X$15,ROW(AN455)-ROW(AN$15),0),
              ROUND(ROUND(OFFSET($P455,0,AN$13),15-13*ORÇAMENTO!$AF$7)*OFFSET(ORÇAMENTO!$W$15,ROW(AN455)-ROW(AN$15),0),15-13*ORÇAMENTO!$AF$11)),
         0)</f>
        <v>0</v>
      </c>
      <c r="AO455" s="453">
        <f ca="1">IF(AND($D455="Serviço",AO$12&lt;&gt;0,$H455&gt;0,OR(AUTOEVENTO&lt;&gt;"manual",$M455&lt;&gt;$A$15)),
        IF(Import.TipoArredondamento&lt;&gt;"TransfereGOV",
              ROUND(OFFSET($P455,0,AO$13),15-13*ORÇAMENTO!$AF$7)/$H455*OFFSET(ORÇAMENTO!$X$15,ROW(AO455)-ROW(AO$15),0),
              ROUND(ROUND(OFFSET($P455,0,AO$13),15-13*ORÇAMENTO!$AF$7)*OFFSET(ORÇAMENTO!$W$15,ROW(AO455)-ROW(AO$15),0),15-13*ORÇAMENTO!$AF$11)),
         0)</f>
        <v>0</v>
      </c>
      <c r="AP455" s="453">
        <f ca="1">IF(AND($D455="Serviço",AP$12&lt;&gt;0,$H455&gt;0,OR(AUTOEVENTO&lt;&gt;"manual",$M455&lt;&gt;$A$15)),
        IF(Import.TipoArredondamento&lt;&gt;"TransfereGOV",
              ROUND(OFFSET($P455,0,AP$13),15-13*ORÇAMENTO!$AF$7)/$H455*OFFSET(ORÇAMENTO!$X$15,ROW(AP455)-ROW(AP$15),0),
              ROUND(ROUND(OFFSET($P455,0,AP$13),15-13*ORÇAMENTO!$AF$7)*OFFSET(ORÇAMENTO!$W$15,ROW(AP455)-ROW(AP$15),0),15-13*ORÇAMENTO!$AF$11)),
         0)</f>
        <v>0</v>
      </c>
      <c r="AQ455" s="453">
        <f ca="1">IF(AND($D455="Serviço",AQ$12&lt;&gt;0,$H455&gt;0,OR(AUTOEVENTO&lt;&gt;"manual",$M455&lt;&gt;$A$15)),
        IF(Import.TipoArredondamento&lt;&gt;"TransfereGOV",
              ROUND(OFFSET($P455,0,AQ$13),15-13*ORÇAMENTO!$AF$7)/$H455*OFFSET(ORÇAMENTO!$X$15,ROW(AQ455)-ROW(AQ$15),0),
              ROUND(ROUND(OFFSET($P455,0,AQ$13),15-13*ORÇAMENTO!$AF$7)*OFFSET(ORÇAMENTO!$W$15,ROW(AQ455)-ROW(AQ$15),0),15-13*ORÇAMENTO!$AF$11)),
         0)</f>
        <v>0</v>
      </c>
      <c r="AR455" s="453">
        <f ca="1">IF(AND($D455="Serviço",AR$12&lt;&gt;0,$H455&gt;0,OR(AUTOEVENTO&lt;&gt;"manual",$M455&lt;&gt;$A$15)),
        IF(Import.TipoArredondamento&lt;&gt;"TransfereGOV",
              ROUND(OFFSET($P455,0,AR$13),15-13*ORÇAMENTO!$AF$7)/$H455*OFFSET(ORÇAMENTO!$X$15,ROW(AR455)-ROW(AR$15),0),
              ROUND(ROUND(OFFSET($P455,0,AR$13),15-13*ORÇAMENTO!$AF$7)*OFFSET(ORÇAMENTO!$W$15,ROW(AR455)-ROW(AR$15),0),15-13*ORÇAMENTO!$AF$11)),
         0)</f>
        <v>0</v>
      </c>
      <c r="AS455" s="453">
        <f ca="1">IF(AND($D455="Serviço",AS$12&lt;&gt;0,$H455&gt;0,OR(AUTOEVENTO&lt;&gt;"manual",$M455&lt;&gt;$A$15)),
        IF(Import.TipoArredondamento&lt;&gt;"TransfereGOV",
              ROUND(OFFSET($P455,0,AS$13),15-13*ORÇAMENTO!$AF$7)/$H455*OFFSET(ORÇAMENTO!$X$15,ROW(AS455)-ROW(AS$15),0),
              ROUND(ROUND(OFFSET($P455,0,AS$13),15-13*ORÇAMENTO!$AF$7)*OFFSET(ORÇAMENTO!$W$15,ROW(AS455)-ROW(AS$15),0),15-13*ORÇAMENTO!$AF$11)),
         0)</f>
        <v>0</v>
      </c>
      <c r="AT455" s="453">
        <f ca="1">IF(AND($D455="Serviço",AT$12&lt;&gt;0,$H455&gt;0,OR(AUTOEVENTO&lt;&gt;"manual",$M455&lt;&gt;$A$15)),
        IF(Import.TipoArredondamento&lt;&gt;"TransfereGOV",
              ROUND(OFFSET($P455,0,AT$13),15-13*ORÇAMENTO!$AF$7)/$H455*OFFSET(ORÇAMENTO!$X$15,ROW(AT455)-ROW(AT$15),0),
              ROUND(ROUND(OFFSET($P455,0,AT$13),15-13*ORÇAMENTO!$AF$7)*OFFSET(ORÇAMENTO!$W$15,ROW(AT455)-ROW(AT$15),0),15-13*ORÇAMENTO!$AF$11)),
         0)</f>
        <v>0</v>
      </c>
      <c r="AU455" s="453">
        <f ca="1">IF(AND($D455="Serviço",AU$12&lt;&gt;0,$H455&gt;0,OR(AUTOEVENTO&lt;&gt;"manual",$M455&lt;&gt;$A$15)),
        IF(Import.TipoArredondamento&lt;&gt;"TransfereGOV",
              ROUND(OFFSET($P455,0,AU$13),15-13*ORÇAMENTO!$AF$7)/$H455*OFFSET(ORÇAMENTO!$X$15,ROW(AU455)-ROW(AU$15),0),
              ROUND(ROUND(OFFSET($P455,0,AU$13),15-13*ORÇAMENTO!$AF$7)*OFFSET(ORÇAMENTO!$W$15,ROW(AU455)-ROW(AU$15),0),15-13*ORÇAMENTO!$AF$11)),
         0)</f>
        <v>0</v>
      </c>
      <c r="AV455" s="453">
        <f ca="1">IF(AND($D455="Serviço",AV$12&lt;&gt;0,$H455&gt;0,OR(AUTOEVENTO&lt;&gt;"manual",$M455&lt;&gt;$A$15)),
        IF(Import.TipoArredondamento&lt;&gt;"TransfereGOV",
              ROUND(OFFSET($P455,0,AV$13),15-13*ORÇAMENTO!$AF$7)/$H455*OFFSET(ORÇAMENTO!$X$15,ROW(AV455)-ROW(AV$15),0),
              ROUND(ROUND(OFFSET($P455,0,AV$13),15-13*ORÇAMENTO!$AF$7)*OFFSET(ORÇAMENTO!$W$15,ROW(AV455)-ROW(AV$15),0),15-13*ORÇAMENTO!$AF$11)),
         0)</f>
        <v>0</v>
      </c>
      <c r="AW455" s="453">
        <f ca="1">IF(AND($D455="Serviço",AW$12&lt;&gt;0,$H455&gt;0,OR(AUTOEVENTO&lt;&gt;"manual",$M455&lt;&gt;$A$15)),
        IF(Import.TipoArredondamento&lt;&gt;"TransfereGOV",
              ROUND(OFFSET($P455,0,AW$13),15-13*ORÇAMENTO!$AF$7)/$H455*OFFSET(ORÇAMENTO!$X$15,ROW(AW455)-ROW(AW$15),0),
              ROUND(ROUND(OFFSET($P455,0,AW$13),15-13*ORÇAMENTO!$AF$7)*OFFSET(ORÇAMENTO!$W$15,ROW(AW455)-ROW(AW$15),0),15-13*ORÇAMENTO!$AF$11)),
         0)</f>
        <v>0</v>
      </c>
      <c r="AX455" s="453">
        <f ca="1">IF(AND($D455="Serviço",AX$12&lt;&gt;0,$H455&gt;0,OR(AUTOEVENTO&lt;&gt;"manual",$M455&lt;&gt;$A$15)),
        IF(Import.TipoArredondamento&lt;&gt;"TransfereGOV",
              ROUND(OFFSET($P455,0,AX$13),15-13*ORÇAMENTO!$AF$7)/$H455*OFFSET(ORÇAMENTO!$X$15,ROW(AX455)-ROW(AX$15),0),
              ROUND(ROUND(OFFSET($P455,0,AX$13),15-13*ORÇAMENTO!$AF$7)*OFFSET(ORÇAMENTO!$W$15,ROW(AX455)-ROW(AX$15),0),15-13*ORÇAMENTO!$AF$11)),
         0)</f>
        <v>0</v>
      </c>
      <c r="AY455" s="453">
        <f ca="1">IF(AND($D455="Serviço",AY$12&lt;&gt;0,$H455&gt;0,OR(AUTOEVENTO&lt;&gt;"manual",$M455&lt;&gt;$A$15)),
        IF(Import.TipoArredondamento&lt;&gt;"TransfereGOV",
              ROUND(OFFSET($P455,0,AY$13),15-13*ORÇAMENTO!$AF$7)/$H455*OFFSET(ORÇAMENTO!$X$15,ROW(AY455)-ROW(AY$15),0),
              ROUND(ROUND(OFFSET($P455,0,AY$13),15-13*ORÇAMENTO!$AF$7)*OFFSET(ORÇAMENTO!$W$15,ROW(AY455)-ROW(AY$15),0),15-13*ORÇAMENTO!$AF$11)),
         0)</f>
        <v>0</v>
      </c>
      <c r="AZ455" s="453">
        <f ca="1">IF(AND($D455="Serviço",AZ$12&lt;&gt;0,$H455&gt;0,OR(AUTOEVENTO&lt;&gt;"manual",$M455&lt;&gt;$A$15)),
        IF(Import.TipoArredondamento&lt;&gt;"TransfereGOV",
              ROUND(OFFSET($P455,0,AZ$13),15-13*ORÇAMENTO!$AF$7)/$H455*OFFSET(ORÇAMENTO!$X$15,ROW(AZ455)-ROW(AZ$15),0),
              ROUND(ROUND(OFFSET($P455,0,AZ$13),15-13*ORÇAMENTO!$AF$7)*OFFSET(ORÇAMENTO!$W$15,ROW(AZ455)-ROW(AZ$15),0),15-13*ORÇAMENTO!$AF$11)),
         0)</f>
        <v>0</v>
      </c>
      <c r="BA455" s="453">
        <f ca="1">IF(AND($D455="Serviço",BA$12&lt;&gt;0,$H455&gt;0,OR(AUTOEVENTO&lt;&gt;"manual",$M455&lt;&gt;$A$15)),
        IF(Import.TipoArredondamento&lt;&gt;"TransfereGOV",
              ROUND(OFFSET($P455,0,BA$13),15-13*ORÇAMENTO!$AF$7)/$H455*OFFSET(ORÇAMENTO!$X$15,ROW(BA455)-ROW(BA$15),0),
              ROUND(ROUND(OFFSET($P455,0,BA$13),15-13*ORÇAMENTO!$AF$7)*OFFSET(ORÇAMENTO!$W$15,ROW(BA455)-ROW(BA$15),0),15-13*ORÇAMENTO!$AF$11)),
         0)</f>
        <v>0</v>
      </c>
      <c r="BC455" s="171">
        <f ca="1">IF(OR($D455&lt;&gt;"Serviço",AND(AUTOEVENTO="Manual",$M455=$A$15)),0,
         IF(OFFSET(CRONOPLE!$F$15,$M455-$A$15,BC$13)=0,10^12,OFFSET(CRONOPLE!$F$15,$M455-$A$15,BC$13)))</f>
        <v>1</v>
      </c>
      <c r="BD455" s="171">
        <f ca="1">IF(OR($D455&lt;&gt;"Serviço",AND(AUTOEVENTO="Manual",$M455=$A$15)),0,
         IF(OFFSET(CRONOPLE!$F$15,$M455-$A$15,BD$13)=0,10^12,OFFSET(CRONOPLE!$F$15,$M455-$A$15,BD$13)))</f>
        <v>2</v>
      </c>
      <c r="BE455" s="171">
        <f ca="1">IF(OR($D455&lt;&gt;"Serviço",AND(AUTOEVENTO="Manual",$M455=$A$15)),0,
         IF(OFFSET(CRONOPLE!$F$15,$M455-$A$15,BE$13)=0,10^12,OFFSET(CRONOPLE!$F$15,$M455-$A$15,BE$13)))</f>
        <v>3</v>
      </c>
      <c r="BF455" s="171">
        <f ca="1">IF(OR($D455&lt;&gt;"Serviço",AND(AUTOEVENTO="Manual",$M455=$A$15)),0,
         IF(OFFSET(CRONOPLE!$F$15,$M455-$A$15,BF$13)=0,10^12,OFFSET(CRONOPLE!$F$15,$M455-$A$15,BF$13)))</f>
        <v>4</v>
      </c>
      <c r="BG455" s="171">
        <f ca="1">IF(OR($D455&lt;&gt;"Serviço",AND(AUTOEVENTO="Manual",$M455=$A$15)),0,
         IF(OFFSET(CRONOPLE!$F$15,$M455-$A$15,BG$13)=0,10^12,OFFSET(CRONOPLE!$F$15,$M455-$A$15,BG$13)))</f>
        <v>5</v>
      </c>
      <c r="BH455" s="171">
        <f ca="1">IF(OR($D455&lt;&gt;"Serviço",AND(AUTOEVENTO="Manual",$M455=$A$15)),0,
         IF(OFFSET(CRONOPLE!$F$15,$M455-$A$15,BH$13)=0,10^12,OFFSET(CRONOPLE!$F$15,$M455-$A$15,BH$13)))</f>
        <v>6</v>
      </c>
      <c r="BI455" s="171">
        <f ca="1">IF(OR($D455&lt;&gt;"Serviço",AND(AUTOEVENTO="Manual",$M455=$A$15)),0,
         IF(OFFSET(CRONOPLE!$F$15,$M455-$A$15,BI$13)=0,10^12,OFFSET(CRONOPLE!$F$15,$M455-$A$15,BI$13)))</f>
        <v>7</v>
      </c>
      <c r="BJ455" s="171">
        <f ca="1">IF(OR($D455&lt;&gt;"Serviço",AND(AUTOEVENTO="Manual",$M455=$A$15)),0,
         IF(OFFSET(CRONOPLE!$F$15,$M455-$A$15,BJ$13)=0,10^12,OFFSET(CRONOPLE!$F$15,$M455-$A$15,BJ$13)))</f>
        <v>8</v>
      </c>
      <c r="BK455" s="171">
        <f ca="1">IF(OR($D455&lt;&gt;"Serviço",AND(AUTOEVENTO="Manual",$M455=$A$15)),0,
         IF(OFFSET(CRONOPLE!$F$15,$M455-$A$15,BK$13)=0,10^12,OFFSET(CRONOPLE!$F$15,$M455-$A$15,BK$13)))</f>
        <v>9</v>
      </c>
      <c r="BL455" s="171">
        <f ca="1">IF(OR($D455&lt;&gt;"Serviço",AND(AUTOEVENTO="Manual",$M455=$A$15)),0,
         IF(OFFSET(CRONOPLE!$F$15,$M455-$A$15,BL$13)=0,10^12,OFFSET(CRONOPLE!$F$15,$M455-$A$15,BL$13)))</f>
        <v>1000000000000</v>
      </c>
      <c r="BM455" s="171">
        <f ca="1">IF(OR($D455&lt;&gt;"Serviço",AND(AUTOEVENTO="Manual",$M455=$A$15)),0,
         IF(OFFSET(CRONOPLE!$F$15,$M455-$A$15,BM$13)=0,10^12,OFFSET(CRONOPLE!$F$15,$M455-$A$15,BM$13)))</f>
        <v>1000000000000</v>
      </c>
      <c r="BN455" s="171">
        <f ca="1">IF(OR($D455&lt;&gt;"Serviço",AND(AUTOEVENTO="Manual",$M455=$A$15)),0,
         IF(OFFSET(CRONOPLE!$F$15,$M455-$A$15,BN$13)=0,10^12,OFFSET(CRONOPLE!$F$15,$M455-$A$15,BN$13)))</f>
        <v>1000000000000</v>
      </c>
      <c r="BO455" s="171">
        <f ca="1">IF(OR($D455&lt;&gt;"Serviço",AND(AUTOEVENTO="Manual",$M455=$A$15)),0,
         IF(OFFSET(CRONOPLE!$F$15,$M455-$A$15,BO$13)=0,10^12,OFFSET(CRONOPLE!$F$15,$M455-$A$15,BO$13)))</f>
        <v>1000000000000</v>
      </c>
      <c r="BP455" s="171">
        <f ca="1">IF(OR($D455&lt;&gt;"Serviço",AND(AUTOEVENTO="Manual",$M455=$A$15)),0,
         IF(OFFSET(CRONOPLE!$F$15,$M455-$A$15,BP$13)=0,10^12,OFFSET(CRONOPLE!$F$15,$M455-$A$15,BP$13)))</f>
        <v>1000000000000</v>
      </c>
      <c r="BQ455" s="171">
        <f ca="1">IF(OR($D455&lt;&gt;"Serviço",AND(AUTOEVENTO="Manual",$M455=$A$15)),0,
         IF(OFFSET(CRONOPLE!$F$15,$M455-$A$15,BQ$13)=0,10^12,OFFSET(CRONOPLE!$F$15,$M455-$A$15,BQ$13)))</f>
        <v>1000000000000</v>
      </c>
      <c r="BR455" s="171">
        <f ca="1">IF(OR($D455&lt;&gt;"Serviço",AND(AUTOEVENTO="Manual",$M455=$A$15)),0,
         IF(OFFSET(CRONOPLE!$F$15,$M455-$A$15,BR$13)=0,10^12,OFFSET(CRONOPLE!$F$15,$M455-$A$15,BR$13)))</f>
        <v>1000000000000</v>
      </c>
      <c r="BS455" s="171">
        <f ca="1">IF(OR($D455&lt;&gt;"Serviço",AND(AUTOEVENTO="Manual",$M455=$A$15)),0,
         IF(OFFSET(CRONOPLE!$F$15,$M455-$A$15,BS$13)=0,10^12,OFFSET(CRONOPLE!$F$15,$M455-$A$15,BS$13)))</f>
        <v>1000000000000</v>
      </c>
      <c r="BT455" s="171">
        <f ca="1">IF(OR($D455&lt;&gt;"Serviço",AND(AUTOEVENTO="Manual",$M455=$A$15)),0,
         IF(OFFSET(CRONOPLE!$F$15,$M455-$A$15,BT$13)=0,10^12,OFFSET(CRONOPLE!$F$15,$M455-$A$15,BT$13)))</f>
        <v>1000000000000</v>
      </c>
      <c r="BV455" s="172">
        <f ca="1">IF(OR($D455&lt;&gt;"Serviço",AND(AUTOEVENTO="Manual",$M455=$A$15),$M455&gt;(ROW(PLE.lastrow)-ROW(PLE.firstrow))),0,
           IF(OFFSET(PLE!$G$15,$M455-$A$15,BV$13)="",10^12,OFFSET(PLE!$G$15,$M455-$A$15,BV$13)))</f>
        <v>1000000000000</v>
      </c>
      <c r="BW455" s="172">
        <f ca="1">IF(OR($D455&lt;&gt;"Serviço",AND(AUTOEVENTO="Manual",$M455=$A$15),$M455&gt;(ROW(PLE.lastrow)-ROW(PLE.firstrow))),0,
           IF(OFFSET(PLE!$G$15,$M455-$A$15,BW$13)="",10^12,OFFSET(PLE!$G$15,$M455-$A$15,BW$13)))</f>
        <v>1000000000000</v>
      </c>
      <c r="BX455" s="172">
        <f ca="1">IF(OR($D455&lt;&gt;"Serviço",AND(AUTOEVENTO="Manual",$M455=$A$15),$M455&gt;(ROW(PLE.lastrow)-ROW(PLE.firstrow))),0,
           IF(OFFSET(PLE!$G$15,$M455-$A$15,BX$13)="",10^12,OFFSET(PLE!$G$15,$M455-$A$15,BX$13)))</f>
        <v>1000000000000</v>
      </c>
      <c r="BY455" s="172">
        <f ca="1">IF(OR($D455&lt;&gt;"Serviço",AND(AUTOEVENTO="Manual",$M455=$A$15),$M455&gt;(ROW(PLE.lastrow)-ROW(PLE.firstrow))),0,
           IF(OFFSET(PLE!$G$15,$M455-$A$15,BY$13)="",10^12,OFFSET(PLE!$G$15,$M455-$A$15,BY$13)))</f>
        <v>1000000000000</v>
      </c>
      <c r="BZ455" s="172">
        <f ca="1">IF(OR($D455&lt;&gt;"Serviço",AND(AUTOEVENTO="Manual",$M455=$A$15),$M455&gt;(ROW(PLE.lastrow)-ROW(PLE.firstrow))),0,
           IF(OFFSET(PLE!$G$15,$M455-$A$15,BZ$13)="",10^12,OFFSET(PLE!$G$15,$M455-$A$15,BZ$13)))</f>
        <v>1000000000000</v>
      </c>
      <c r="CA455" s="172">
        <f ca="1">IF(OR($D455&lt;&gt;"Serviço",AND(AUTOEVENTO="Manual",$M455=$A$15),$M455&gt;(ROW(PLE.lastrow)-ROW(PLE.firstrow))),0,
           IF(OFFSET(PLE!$G$15,$M455-$A$15,CA$13)="",10^12,OFFSET(PLE!$G$15,$M455-$A$15,CA$13)))</f>
        <v>1000000000000</v>
      </c>
      <c r="CB455" s="172">
        <f ca="1">IF(OR($D455&lt;&gt;"Serviço",AND(AUTOEVENTO="Manual",$M455=$A$15),$M455&gt;(ROW(PLE.lastrow)-ROW(PLE.firstrow))),0,
           IF(OFFSET(PLE!$G$15,$M455-$A$15,CB$13)="",10^12,OFFSET(PLE!$G$15,$M455-$A$15,CB$13)))</f>
        <v>1000000000000</v>
      </c>
      <c r="CC455" s="172">
        <f ca="1">IF(OR($D455&lt;&gt;"Serviço",AND(AUTOEVENTO="Manual",$M455=$A$15),$M455&gt;(ROW(PLE.lastrow)-ROW(PLE.firstrow))),0,
           IF(OFFSET(PLE!$G$15,$M455-$A$15,CC$13)="",10^12,OFFSET(PLE!$G$15,$M455-$A$15,CC$13)))</f>
        <v>1000000000000</v>
      </c>
      <c r="CD455" s="172">
        <f ca="1">IF(OR($D455&lt;&gt;"Serviço",AND(AUTOEVENTO="Manual",$M455=$A$15),$M455&gt;(ROW(PLE.lastrow)-ROW(PLE.firstrow))),0,
           IF(OFFSET(PLE!$G$15,$M455-$A$15,CD$13)="",10^12,OFFSET(PLE!$G$15,$M455-$A$15,CD$13)))</f>
        <v>1000000000000</v>
      </c>
      <c r="CE455" s="172">
        <f ca="1">IF(OR($D455&lt;&gt;"Serviço",AND(AUTOEVENTO="Manual",$M455=$A$15),$M455&gt;(ROW(PLE.lastrow)-ROW(PLE.firstrow))),0,
           IF(OFFSET(PLE!$G$15,$M455-$A$15,CE$13)="",10^12,OFFSET(PLE!$G$15,$M455-$A$15,CE$13)))</f>
        <v>1000000000000</v>
      </c>
      <c r="CF455" s="172">
        <f ca="1">IF(OR($D455&lt;&gt;"Serviço",AND(AUTOEVENTO="Manual",$M455=$A$15),$M455&gt;(ROW(PLE.lastrow)-ROW(PLE.firstrow))),0,
           IF(OFFSET(PLE!$G$15,$M455-$A$15,CF$13)="",10^12,OFFSET(PLE!$G$15,$M455-$A$15,CF$13)))</f>
        <v>1000000000000</v>
      </c>
      <c r="CG455" s="172">
        <f ca="1">IF(OR($D455&lt;&gt;"Serviço",AND(AUTOEVENTO="Manual",$M455=$A$15),$M455&gt;(ROW(PLE.lastrow)-ROW(PLE.firstrow))),0,
           IF(OFFSET(PLE!$G$15,$M455-$A$15,CG$13)="",10^12,OFFSET(PLE!$G$15,$M455-$A$15,CG$13)))</f>
        <v>1000000000000</v>
      </c>
      <c r="CH455" s="172">
        <f ca="1">IF(OR($D455&lt;&gt;"Serviço",AND(AUTOEVENTO="Manual",$M455=$A$15),$M455&gt;(ROW(PLE.lastrow)-ROW(PLE.firstrow))),0,
           IF(OFFSET(PLE!$G$15,$M455-$A$15,CH$13)="",10^12,OFFSET(PLE!$G$15,$M455-$A$15,CH$13)))</f>
        <v>1000000000000</v>
      </c>
      <c r="CI455" s="172">
        <f ca="1">IF(OR($D455&lt;&gt;"Serviço",AND(AUTOEVENTO="Manual",$M455=$A$15),$M455&gt;(ROW(PLE.lastrow)-ROW(PLE.firstrow))),0,
           IF(OFFSET(PLE!$G$15,$M455-$A$15,CI$13)="",10^12,OFFSET(PLE!$G$15,$M455-$A$15,CI$13)))</f>
        <v>1000000000000</v>
      </c>
      <c r="CJ455" s="172">
        <f ca="1">IF(OR($D455&lt;&gt;"Serviço",AND(AUTOEVENTO="Manual",$M455=$A$15),$M455&gt;(ROW(PLE.lastrow)-ROW(PLE.firstrow))),0,
           IF(OFFSET(PLE!$G$15,$M455-$A$15,CJ$13)="",10^12,OFFSET(PLE!$G$15,$M455-$A$15,CJ$13)))</f>
        <v>1000000000000</v>
      </c>
      <c r="CK455" s="172">
        <f ca="1">IF(OR($D455&lt;&gt;"Serviço",AND(AUTOEVENTO="Manual",$M455=$A$15),$M455&gt;(ROW(PLE.lastrow)-ROW(PLE.firstrow))),0,
           IF(OFFSET(PLE!$G$15,$M455-$A$15,CK$13)="",10^12,OFFSET(PLE!$G$15,$M455-$A$15,CK$13)))</f>
        <v>1000000000000</v>
      </c>
      <c r="CL455" s="172">
        <f ca="1">IF(OR($D455&lt;&gt;"Serviço",AND(AUTOEVENTO="Manual",$M455=$A$15),$M455&gt;(ROW(PLE.lastrow)-ROW(PLE.firstrow))),0,
           IF(OFFSET(PLE!$G$15,$M455-$A$15,CL$13)="",10^12,OFFSET(PLE!$G$15,$M455-$A$15,CL$13)))</f>
        <v>1000000000000</v>
      </c>
      <c r="CM455" s="172">
        <f ca="1">IF(OR($D455&lt;&gt;"Serviço",AND(AUTOEVENTO="Manual",$M455=$A$15),$M455&gt;(ROW(PLE.lastrow)-ROW(PLE.firstrow))),0,
           IF(OFFSET(PLE!$G$15,$M455-$A$15,CM$13)="",10^12,OFFSET(PLE!$G$15,$M455-$A$15,CM$13)))</f>
        <v>1000000000000</v>
      </c>
    </row>
    <row r="456" spans="1:91" ht="38.25" x14ac:dyDescent="0.2">
      <c r="A456" s="7">
        <f t="shared" ca="1" si="16"/>
        <v>8</v>
      </c>
      <c r="B456" s="7" t="str">
        <f ca="1">OFFSET(ORÇAMENTO!C$15,ROW(B456)-ROW(B$15),0)</f>
        <v>S</v>
      </c>
      <c r="C456" s="7" t="str">
        <f ca="1">OFFSET(ORÇAMENTO!L$15,ROW(C456)-ROW(C$15),0)</f>
        <v>F</v>
      </c>
      <c r="D456" s="116" t="str">
        <f ca="1">OFFSET(ORÇAMENTO!N$15,ROW(D456)-ROW(D$15),0)</f>
        <v>Serviço</v>
      </c>
      <c r="E456" s="117" t="str">
        <f ca="1">OFFSET(ORÇAMENTO!O$15,ROW(E456)-ROW(E$15),0)</f>
        <v>1.9.2.0.3.</v>
      </c>
      <c r="F456" s="163" t="str">
        <f ca="1">OFFSET(ORÇAMENTO!R$15,ROW(F456)-ROW(F$15),0)</f>
        <v>ETIQUETA PARA IDENTIFICAÇÃO DE CIRCUTIOS, FORNECIMENTO E INSTALAÇÃO - BASEADO EM ORSE (12930)</v>
      </c>
      <c r="G456" s="164" t="str">
        <f ca="1">IF($D456&lt;&gt;"Serviço","",OFFSET(ORÇAMENTO!S$15,ROW(G456)-ROW(G$15),0))</f>
        <v>UN</v>
      </c>
      <c r="H456" s="122" cm="1">
        <f t="array" aca="1" ref="H456" ca="1">IF($D456&lt;&gt;"Serviço",0,IF(ACOMPANHAMENTO="BM",ROUND(OFFSET(ORÇAMENTO!AJ$15,ROW(H456)-ROW(H$15),0),15-13*ORÇAMENTO!$AF$7),SUMPRODUCT(($Q$1:$AI$1=1)*ROUND($Q456:$AI456,15-13*ORÇAMENTO!$AF$7))))</f>
        <v>56</v>
      </c>
      <c r="I456" s="468" t="s">
        <v>1432</v>
      </c>
      <c r="J456" s="640" t="str" cm="1">
        <f t="array" aca="1" ref="J456" ca="1">IF(OR(B456&lt;&gt;"S",CÁLCULO.FrentesPreenchidas=0),"",IF(AND(ACOMPANHAMENTO="PLE",AUTOEVENTO="Manual",OR(H456&gt;0,ORÇAMENTO!AC456="QUANT."),OR(K456="",M456=0,N456="")),"►E",IF(AND(ACOMPANHAMENTO="PLE",ORÇAMENTO!AC456="QUANT."),"►Q",IF(AND(ACOMPANHAMENTO="PLE",H456&lt;&gt;SUMPRODUCT(($Q$1:$AI$1=1)*ROUND(Q456:AI456,15))),"►S",IF(AND(COUNTIF($P$11:$AI$11,"▼")=0,H456&gt;0,I456=""),"◄M","")))))</f>
        <v/>
      </c>
      <c r="K456" s="641" t="s">
        <v>1392</v>
      </c>
      <c r="L456" s="165" t="s">
        <v>764</v>
      </c>
      <c r="M456" s="166">
        <f ca="1">IF($D456&lt;&gt;"Serviço","",
          IF(AUTOEVENTO="manual",$A456,
                IF(ISERROR(MATCH($A456,$A$15:OFFSET($A456,-1,0),0)),MAX($M$15:OFFSET(M456,-1,0))+1,
                      INDEX($M$15:OFFSET(M456,-1,0),MATCH($A456,$A$15:OFFSET($A456,-1,0),0)))))</f>
        <v>8</v>
      </c>
      <c r="N456" s="167" t="str">
        <f ca="1">IF($D456&lt;&gt;"Serviço","",
         IF(AUTOEVENTO="Manual",
                IF($A456=0,"&lt;-- defina o número do agrupador",
                       OFFSET(EVENTOS!$D$15,$A456-$A$15,0)),
                OFFSET($F$15,$A456,0)))</f>
        <v>CFTV</v>
      </c>
      <c r="O456" s="168"/>
      <c r="Q456" s="168"/>
      <c r="R456" s="169"/>
      <c r="S456" s="169"/>
      <c r="T456" s="169"/>
      <c r="U456" s="169"/>
      <c r="V456" s="169"/>
      <c r="W456" s="169"/>
      <c r="X456" s="169"/>
      <c r="Y456" s="169">
        <v>56</v>
      </c>
      <c r="Z456" s="170"/>
      <c r="AA456" s="169"/>
      <c r="AB456" s="169"/>
      <c r="AC456" s="169"/>
      <c r="AD456" s="169"/>
      <c r="AE456" s="169"/>
      <c r="AF456" s="169"/>
      <c r="AG456" s="169"/>
      <c r="AH456" s="170"/>
      <c r="AJ456" s="453">
        <f ca="1">IF(AND($D456="Serviço",AJ$12&lt;&gt;0,$H456&gt;0,OR(AUTOEVENTO&lt;&gt;"manual",$M456&lt;&gt;$A$15)),
        IF(Import.TipoArredondamento&lt;&gt;"TransfereGOV",
              ROUND(OFFSET($P456,0,AJ$13),15-13*ORÇAMENTO!$AF$7)/$H456*OFFSET(ORÇAMENTO!$X$15,ROW(AJ456)-ROW(AJ$15),0),
              ROUND(ROUND(OFFSET($P456,0,AJ$13),15-13*ORÇAMENTO!$AF$7)*OFFSET(ORÇAMENTO!$W$15,ROW(AJ456)-ROW(AJ$15),0),15-13*ORÇAMENTO!$AF$11)),
         0)</f>
        <v>0</v>
      </c>
      <c r="AK456" s="453">
        <f ca="1">IF(AND($D456="Serviço",AK$12&lt;&gt;0,$H456&gt;0,OR(AUTOEVENTO&lt;&gt;"manual",$M456&lt;&gt;$A$15)),
        IF(Import.TipoArredondamento&lt;&gt;"TransfereGOV",
              ROUND(OFFSET($P456,0,AK$13),15-13*ORÇAMENTO!$AF$7)/$H456*OFFSET(ORÇAMENTO!$X$15,ROW(AK456)-ROW(AK$15),0),
              ROUND(ROUND(OFFSET($P456,0,AK$13),15-13*ORÇAMENTO!$AF$7)*OFFSET(ORÇAMENTO!$W$15,ROW(AK456)-ROW(AK$15),0),15-13*ORÇAMENTO!$AF$11)),
         0)</f>
        <v>0</v>
      </c>
      <c r="AL456" s="453">
        <f ca="1">IF(AND($D456="Serviço",AL$12&lt;&gt;0,$H456&gt;0,OR(AUTOEVENTO&lt;&gt;"manual",$M456&lt;&gt;$A$15)),
        IF(Import.TipoArredondamento&lt;&gt;"TransfereGOV",
              ROUND(OFFSET($P456,0,AL$13),15-13*ORÇAMENTO!$AF$7)/$H456*OFFSET(ORÇAMENTO!$X$15,ROW(AL456)-ROW(AL$15),0),
              ROUND(ROUND(OFFSET($P456,0,AL$13),15-13*ORÇAMENTO!$AF$7)*OFFSET(ORÇAMENTO!$W$15,ROW(AL456)-ROW(AL$15),0),15-13*ORÇAMENTO!$AF$11)),
         0)</f>
        <v>0</v>
      </c>
      <c r="AM456" s="453">
        <f ca="1">IF(AND($D456="Serviço",AM$12&lt;&gt;0,$H456&gt;0,OR(AUTOEVENTO&lt;&gt;"manual",$M456&lt;&gt;$A$15)),
        IF(Import.TipoArredondamento&lt;&gt;"TransfereGOV",
              ROUND(OFFSET($P456,0,AM$13),15-13*ORÇAMENTO!$AF$7)/$H456*OFFSET(ORÇAMENTO!$X$15,ROW(AM456)-ROW(AM$15),0),
              ROUND(ROUND(OFFSET($P456,0,AM$13),15-13*ORÇAMENTO!$AF$7)*OFFSET(ORÇAMENTO!$W$15,ROW(AM456)-ROW(AM$15),0),15-13*ORÇAMENTO!$AF$11)),
         0)</f>
        <v>0</v>
      </c>
      <c r="AN456" s="453">
        <f ca="1">IF(AND($D456="Serviço",AN$12&lt;&gt;0,$H456&gt;0,OR(AUTOEVENTO&lt;&gt;"manual",$M456&lt;&gt;$A$15)),
        IF(Import.TipoArredondamento&lt;&gt;"TransfereGOV",
              ROUND(OFFSET($P456,0,AN$13),15-13*ORÇAMENTO!$AF$7)/$H456*OFFSET(ORÇAMENTO!$X$15,ROW(AN456)-ROW(AN$15),0),
              ROUND(ROUND(OFFSET($P456,0,AN$13),15-13*ORÇAMENTO!$AF$7)*OFFSET(ORÇAMENTO!$W$15,ROW(AN456)-ROW(AN$15),0),15-13*ORÇAMENTO!$AF$11)),
         0)</f>
        <v>0</v>
      </c>
      <c r="AO456" s="453">
        <f ca="1">IF(AND($D456="Serviço",AO$12&lt;&gt;0,$H456&gt;0,OR(AUTOEVENTO&lt;&gt;"manual",$M456&lt;&gt;$A$15)),
        IF(Import.TipoArredondamento&lt;&gt;"TransfereGOV",
              ROUND(OFFSET($P456,0,AO$13),15-13*ORÇAMENTO!$AF$7)/$H456*OFFSET(ORÇAMENTO!$X$15,ROW(AO456)-ROW(AO$15),0),
              ROUND(ROUND(OFFSET($P456,0,AO$13),15-13*ORÇAMENTO!$AF$7)*OFFSET(ORÇAMENTO!$W$15,ROW(AO456)-ROW(AO$15),0),15-13*ORÇAMENTO!$AF$11)),
         0)</f>
        <v>0</v>
      </c>
      <c r="AP456" s="453">
        <f ca="1">IF(AND($D456="Serviço",AP$12&lt;&gt;0,$H456&gt;0,OR(AUTOEVENTO&lt;&gt;"manual",$M456&lt;&gt;$A$15)),
        IF(Import.TipoArredondamento&lt;&gt;"TransfereGOV",
              ROUND(OFFSET($P456,0,AP$13),15-13*ORÇAMENTO!$AF$7)/$H456*OFFSET(ORÇAMENTO!$X$15,ROW(AP456)-ROW(AP$15),0),
              ROUND(ROUND(OFFSET($P456,0,AP$13),15-13*ORÇAMENTO!$AF$7)*OFFSET(ORÇAMENTO!$W$15,ROW(AP456)-ROW(AP$15),0),15-13*ORÇAMENTO!$AF$11)),
         0)</f>
        <v>0</v>
      </c>
      <c r="AQ456" s="453">
        <f ca="1">IF(AND($D456="Serviço",AQ$12&lt;&gt;0,$H456&gt;0,OR(AUTOEVENTO&lt;&gt;"manual",$M456&lt;&gt;$A$15)),
        IF(Import.TipoArredondamento&lt;&gt;"TransfereGOV",
              ROUND(OFFSET($P456,0,AQ$13),15-13*ORÇAMENTO!$AF$7)/$H456*OFFSET(ORÇAMENTO!$X$15,ROW(AQ456)-ROW(AQ$15),0),
              ROUND(ROUND(OFFSET($P456,0,AQ$13),15-13*ORÇAMENTO!$AF$7)*OFFSET(ORÇAMENTO!$W$15,ROW(AQ456)-ROW(AQ$15),0),15-13*ORÇAMENTO!$AF$11)),
         0)</f>
        <v>0</v>
      </c>
      <c r="AR456" s="453">
        <f ca="1">IF(AND($D456="Serviço",AR$12&lt;&gt;0,$H456&gt;0,OR(AUTOEVENTO&lt;&gt;"manual",$M456&lt;&gt;$A$15)),
        IF(Import.TipoArredondamento&lt;&gt;"TransfereGOV",
              ROUND(OFFSET($P456,0,AR$13),15-13*ORÇAMENTO!$AF$7)/$H456*OFFSET(ORÇAMENTO!$X$15,ROW(AR456)-ROW(AR$15),0),
              ROUND(ROUND(OFFSET($P456,0,AR$13),15-13*ORÇAMENTO!$AF$7)*OFFSET(ORÇAMENTO!$W$15,ROW(AR456)-ROW(AR$15),0),15-13*ORÇAMENTO!$AF$11)),
         0)</f>
        <v>0</v>
      </c>
      <c r="AS456" s="453">
        <f ca="1">IF(AND($D456="Serviço",AS$12&lt;&gt;0,$H456&gt;0,OR(AUTOEVENTO&lt;&gt;"manual",$M456&lt;&gt;$A$15)),
        IF(Import.TipoArredondamento&lt;&gt;"TransfereGOV",
              ROUND(OFFSET($P456,0,AS$13),15-13*ORÇAMENTO!$AF$7)/$H456*OFFSET(ORÇAMENTO!$X$15,ROW(AS456)-ROW(AS$15),0),
              ROUND(ROUND(OFFSET($P456,0,AS$13),15-13*ORÇAMENTO!$AF$7)*OFFSET(ORÇAMENTO!$W$15,ROW(AS456)-ROW(AS$15),0),15-13*ORÇAMENTO!$AF$11)),
         0)</f>
        <v>0</v>
      </c>
      <c r="AT456" s="453">
        <f ca="1">IF(AND($D456="Serviço",AT$12&lt;&gt;0,$H456&gt;0,OR(AUTOEVENTO&lt;&gt;"manual",$M456&lt;&gt;$A$15)),
        IF(Import.TipoArredondamento&lt;&gt;"TransfereGOV",
              ROUND(OFFSET($P456,0,AT$13),15-13*ORÇAMENTO!$AF$7)/$H456*OFFSET(ORÇAMENTO!$X$15,ROW(AT456)-ROW(AT$15),0),
              ROUND(ROUND(OFFSET($P456,0,AT$13),15-13*ORÇAMENTO!$AF$7)*OFFSET(ORÇAMENTO!$W$15,ROW(AT456)-ROW(AT$15),0),15-13*ORÇAMENTO!$AF$11)),
         0)</f>
        <v>0</v>
      </c>
      <c r="AU456" s="453">
        <f ca="1">IF(AND($D456="Serviço",AU$12&lt;&gt;0,$H456&gt;0,OR(AUTOEVENTO&lt;&gt;"manual",$M456&lt;&gt;$A$15)),
        IF(Import.TipoArredondamento&lt;&gt;"TransfereGOV",
              ROUND(OFFSET($P456,0,AU$13),15-13*ORÇAMENTO!$AF$7)/$H456*OFFSET(ORÇAMENTO!$X$15,ROW(AU456)-ROW(AU$15),0),
              ROUND(ROUND(OFFSET($P456,0,AU$13),15-13*ORÇAMENTO!$AF$7)*OFFSET(ORÇAMENTO!$W$15,ROW(AU456)-ROW(AU$15),0),15-13*ORÇAMENTO!$AF$11)),
         0)</f>
        <v>0</v>
      </c>
      <c r="AV456" s="453">
        <f ca="1">IF(AND($D456="Serviço",AV$12&lt;&gt;0,$H456&gt;0,OR(AUTOEVENTO&lt;&gt;"manual",$M456&lt;&gt;$A$15)),
        IF(Import.TipoArredondamento&lt;&gt;"TransfereGOV",
              ROUND(OFFSET($P456,0,AV$13),15-13*ORÇAMENTO!$AF$7)/$H456*OFFSET(ORÇAMENTO!$X$15,ROW(AV456)-ROW(AV$15),0),
              ROUND(ROUND(OFFSET($P456,0,AV$13),15-13*ORÇAMENTO!$AF$7)*OFFSET(ORÇAMENTO!$W$15,ROW(AV456)-ROW(AV$15),0),15-13*ORÇAMENTO!$AF$11)),
         0)</f>
        <v>0</v>
      </c>
      <c r="AW456" s="453">
        <f ca="1">IF(AND($D456="Serviço",AW$12&lt;&gt;0,$H456&gt;0,OR(AUTOEVENTO&lt;&gt;"manual",$M456&lt;&gt;$A$15)),
        IF(Import.TipoArredondamento&lt;&gt;"TransfereGOV",
              ROUND(OFFSET($P456,0,AW$13),15-13*ORÇAMENTO!$AF$7)/$H456*OFFSET(ORÇAMENTO!$X$15,ROW(AW456)-ROW(AW$15),0),
              ROUND(ROUND(OFFSET($P456,0,AW$13),15-13*ORÇAMENTO!$AF$7)*OFFSET(ORÇAMENTO!$W$15,ROW(AW456)-ROW(AW$15),0),15-13*ORÇAMENTO!$AF$11)),
         0)</f>
        <v>0</v>
      </c>
      <c r="AX456" s="453">
        <f ca="1">IF(AND($D456="Serviço",AX$12&lt;&gt;0,$H456&gt;0,OR(AUTOEVENTO&lt;&gt;"manual",$M456&lt;&gt;$A$15)),
        IF(Import.TipoArredondamento&lt;&gt;"TransfereGOV",
              ROUND(OFFSET($P456,0,AX$13),15-13*ORÇAMENTO!$AF$7)/$H456*OFFSET(ORÇAMENTO!$X$15,ROW(AX456)-ROW(AX$15),0),
              ROUND(ROUND(OFFSET($P456,0,AX$13),15-13*ORÇAMENTO!$AF$7)*OFFSET(ORÇAMENTO!$W$15,ROW(AX456)-ROW(AX$15),0),15-13*ORÇAMENTO!$AF$11)),
         0)</f>
        <v>0</v>
      </c>
      <c r="AY456" s="453">
        <f ca="1">IF(AND($D456="Serviço",AY$12&lt;&gt;0,$H456&gt;0,OR(AUTOEVENTO&lt;&gt;"manual",$M456&lt;&gt;$A$15)),
        IF(Import.TipoArredondamento&lt;&gt;"TransfereGOV",
              ROUND(OFFSET($P456,0,AY$13),15-13*ORÇAMENTO!$AF$7)/$H456*OFFSET(ORÇAMENTO!$X$15,ROW(AY456)-ROW(AY$15),0),
              ROUND(ROUND(OFFSET($P456,0,AY$13),15-13*ORÇAMENTO!$AF$7)*OFFSET(ORÇAMENTO!$W$15,ROW(AY456)-ROW(AY$15),0),15-13*ORÇAMENTO!$AF$11)),
         0)</f>
        <v>0</v>
      </c>
      <c r="AZ456" s="453">
        <f ca="1">IF(AND($D456="Serviço",AZ$12&lt;&gt;0,$H456&gt;0,OR(AUTOEVENTO&lt;&gt;"manual",$M456&lt;&gt;$A$15)),
        IF(Import.TipoArredondamento&lt;&gt;"TransfereGOV",
              ROUND(OFFSET($P456,0,AZ$13),15-13*ORÇAMENTO!$AF$7)/$H456*OFFSET(ORÇAMENTO!$X$15,ROW(AZ456)-ROW(AZ$15),0),
              ROUND(ROUND(OFFSET($P456,0,AZ$13),15-13*ORÇAMENTO!$AF$7)*OFFSET(ORÇAMENTO!$W$15,ROW(AZ456)-ROW(AZ$15),0),15-13*ORÇAMENTO!$AF$11)),
         0)</f>
        <v>0</v>
      </c>
      <c r="BA456" s="453">
        <f ca="1">IF(AND($D456="Serviço",BA$12&lt;&gt;0,$H456&gt;0,OR(AUTOEVENTO&lt;&gt;"manual",$M456&lt;&gt;$A$15)),
        IF(Import.TipoArredondamento&lt;&gt;"TransfereGOV",
              ROUND(OFFSET($P456,0,BA$13),15-13*ORÇAMENTO!$AF$7)/$H456*OFFSET(ORÇAMENTO!$X$15,ROW(BA456)-ROW(BA$15),0),
              ROUND(ROUND(OFFSET($P456,0,BA$13),15-13*ORÇAMENTO!$AF$7)*OFFSET(ORÇAMENTO!$W$15,ROW(BA456)-ROW(BA$15),0),15-13*ORÇAMENTO!$AF$11)),
         0)</f>
        <v>0</v>
      </c>
      <c r="BC456" s="171">
        <f ca="1">IF(OR($D456&lt;&gt;"Serviço",AND(AUTOEVENTO="Manual",$M456=$A$15)),0,
         IF(OFFSET(CRONOPLE!$F$15,$M456-$A$15,BC$13)=0,10^12,OFFSET(CRONOPLE!$F$15,$M456-$A$15,BC$13)))</f>
        <v>1</v>
      </c>
      <c r="BD456" s="171">
        <f ca="1">IF(OR($D456&lt;&gt;"Serviço",AND(AUTOEVENTO="Manual",$M456=$A$15)),0,
         IF(OFFSET(CRONOPLE!$F$15,$M456-$A$15,BD$13)=0,10^12,OFFSET(CRONOPLE!$F$15,$M456-$A$15,BD$13)))</f>
        <v>2</v>
      </c>
      <c r="BE456" s="171">
        <f ca="1">IF(OR($D456&lt;&gt;"Serviço",AND(AUTOEVENTO="Manual",$M456=$A$15)),0,
         IF(OFFSET(CRONOPLE!$F$15,$M456-$A$15,BE$13)=0,10^12,OFFSET(CRONOPLE!$F$15,$M456-$A$15,BE$13)))</f>
        <v>3</v>
      </c>
      <c r="BF456" s="171">
        <f ca="1">IF(OR($D456&lt;&gt;"Serviço",AND(AUTOEVENTO="Manual",$M456=$A$15)),0,
         IF(OFFSET(CRONOPLE!$F$15,$M456-$A$15,BF$13)=0,10^12,OFFSET(CRONOPLE!$F$15,$M456-$A$15,BF$13)))</f>
        <v>4</v>
      </c>
      <c r="BG456" s="171">
        <f ca="1">IF(OR($D456&lt;&gt;"Serviço",AND(AUTOEVENTO="Manual",$M456=$A$15)),0,
         IF(OFFSET(CRONOPLE!$F$15,$M456-$A$15,BG$13)=0,10^12,OFFSET(CRONOPLE!$F$15,$M456-$A$15,BG$13)))</f>
        <v>5</v>
      </c>
      <c r="BH456" s="171">
        <f ca="1">IF(OR($D456&lt;&gt;"Serviço",AND(AUTOEVENTO="Manual",$M456=$A$15)),0,
         IF(OFFSET(CRONOPLE!$F$15,$M456-$A$15,BH$13)=0,10^12,OFFSET(CRONOPLE!$F$15,$M456-$A$15,BH$13)))</f>
        <v>6</v>
      </c>
      <c r="BI456" s="171">
        <f ca="1">IF(OR($D456&lt;&gt;"Serviço",AND(AUTOEVENTO="Manual",$M456=$A$15)),0,
         IF(OFFSET(CRONOPLE!$F$15,$M456-$A$15,BI$13)=0,10^12,OFFSET(CRONOPLE!$F$15,$M456-$A$15,BI$13)))</f>
        <v>7</v>
      </c>
      <c r="BJ456" s="171">
        <f ca="1">IF(OR($D456&lt;&gt;"Serviço",AND(AUTOEVENTO="Manual",$M456=$A$15)),0,
         IF(OFFSET(CRONOPLE!$F$15,$M456-$A$15,BJ$13)=0,10^12,OFFSET(CRONOPLE!$F$15,$M456-$A$15,BJ$13)))</f>
        <v>8</v>
      </c>
      <c r="BK456" s="171">
        <f ca="1">IF(OR($D456&lt;&gt;"Serviço",AND(AUTOEVENTO="Manual",$M456=$A$15)),0,
         IF(OFFSET(CRONOPLE!$F$15,$M456-$A$15,BK$13)=0,10^12,OFFSET(CRONOPLE!$F$15,$M456-$A$15,BK$13)))</f>
        <v>9</v>
      </c>
      <c r="BL456" s="171">
        <f ca="1">IF(OR($D456&lt;&gt;"Serviço",AND(AUTOEVENTO="Manual",$M456=$A$15)),0,
         IF(OFFSET(CRONOPLE!$F$15,$M456-$A$15,BL$13)=0,10^12,OFFSET(CRONOPLE!$F$15,$M456-$A$15,BL$13)))</f>
        <v>1000000000000</v>
      </c>
      <c r="BM456" s="171">
        <f ca="1">IF(OR($D456&lt;&gt;"Serviço",AND(AUTOEVENTO="Manual",$M456=$A$15)),0,
         IF(OFFSET(CRONOPLE!$F$15,$M456-$A$15,BM$13)=0,10^12,OFFSET(CRONOPLE!$F$15,$M456-$A$15,BM$13)))</f>
        <v>1000000000000</v>
      </c>
      <c r="BN456" s="171">
        <f ca="1">IF(OR($D456&lt;&gt;"Serviço",AND(AUTOEVENTO="Manual",$M456=$A$15)),0,
         IF(OFFSET(CRONOPLE!$F$15,$M456-$A$15,BN$13)=0,10^12,OFFSET(CRONOPLE!$F$15,$M456-$A$15,BN$13)))</f>
        <v>1000000000000</v>
      </c>
      <c r="BO456" s="171">
        <f ca="1">IF(OR($D456&lt;&gt;"Serviço",AND(AUTOEVENTO="Manual",$M456=$A$15)),0,
         IF(OFFSET(CRONOPLE!$F$15,$M456-$A$15,BO$13)=0,10^12,OFFSET(CRONOPLE!$F$15,$M456-$A$15,BO$13)))</f>
        <v>1000000000000</v>
      </c>
      <c r="BP456" s="171">
        <f ca="1">IF(OR($D456&lt;&gt;"Serviço",AND(AUTOEVENTO="Manual",$M456=$A$15)),0,
         IF(OFFSET(CRONOPLE!$F$15,$M456-$A$15,BP$13)=0,10^12,OFFSET(CRONOPLE!$F$15,$M456-$A$15,BP$13)))</f>
        <v>1000000000000</v>
      </c>
      <c r="BQ456" s="171">
        <f ca="1">IF(OR($D456&lt;&gt;"Serviço",AND(AUTOEVENTO="Manual",$M456=$A$15)),0,
         IF(OFFSET(CRONOPLE!$F$15,$M456-$A$15,BQ$13)=0,10^12,OFFSET(CRONOPLE!$F$15,$M456-$A$15,BQ$13)))</f>
        <v>1000000000000</v>
      </c>
      <c r="BR456" s="171">
        <f ca="1">IF(OR($D456&lt;&gt;"Serviço",AND(AUTOEVENTO="Manual",$M456=$A$15)),0,
         IF(OFFSET(CRONOPLE!$F$15,$M456-$A$15,BR$13)=0,10^12,OFFSET(CRONOPLE!$F$15,$M456-$A$15,BR$13)))</f>
        <v>1000000000000</v>
      </c>
      <c r="BS456" s="171">
        <f ca="1">IF(OR($D456&lt;&gt;"Serviço",AND(AUTOEVENTO="Manual",$M456=$A$15)),0,
         IF(OFFSET(CRONOPLE!$F$15,$M456-$A$15,BS$13)=0,10^12,OFFSET(CRONOPLE!$F$15,$M456-$A$15,BS$13)))</f>
        <v>1000000000000</v>
      </c>
      <c r="BT456" s="171">
        <f ca="1">IF(OR($D456&lt;&gt;"Serviço",AND(AUTOEVENTO="Manual",$M456=$A$15)),0,
         IF(OFFSET(CRONOPLE!$F$15,$M456-$A$15,BT$13)=0,10^12,OFFSET(CRONOPLE!$F$15,$M456-$A$15,BT$13)))</f>
        <v>1000000000000</v>
      </c>
      <c r="BV456" s="172">
        <f ca="1">IF(OR($D456&lt;&gt;"Serviço",AND(AUTOEVENTO="Manual",$M456=$A$15),$M456&gt;(ROW(PLE.lastrow)-ROW(PLE.firstrow))),0,
           IF(OFFSET(PLE!$G$15,$M456-$A$15,BV$13)="",10^12,OFFSET(PLE!$G$15,$M456-$A$15,BV$13)))</f>
        <v>1000000000000</v>
      </c>
      <c r="BW456" s="172">
        <f ca="1">IF(OR($D456&lt;&gt;"Serviço",AND(AUTOEVENTO="Manual",$M456=$A$15),$M456&gt;(ROW(PLE.lastrow)-ROW(PLE.firstrow))),0,
           IF(OFFSET(PLE!$G$15,$M456-$A$15,BW$13)="",10^12,OFFSET(PLE!$G$15,$M456-$A$15,BW$13)))</f>
        <v>1000000000000</v>
      </c>
      <c r="BX456" s="172">
        <f ca="1">IF(OR($D456&lt;&gt;"Serviço",AND(AUTOEVENTO="Manual",$M456=$A$15),$M456&gt;(ROW(PLE.lastrow)-ROW(PLE.firstrow))),0,
           IF(OFFSET(PLE!$G$15,$M456-$A$15,BX$13)="",10^12,OFFSET(PLE!$G$15,$M456-$A$15,BX$13)))</f>
        <v>1000000000000</v>
      </c>
      <c r="BY456" s="172">
        <f ca="1">IF(OR($D456&lt;&gt;"Serviço",AND(AUTOEVENTO="Manual",$M456=$A$15),$M456&gt;(ROW(PLE.lastrow)-ROW(PLE.firstrow))),0,
           IF(OFFSET(PLE!$G$15,$M456-$A$15,BY$13)="",10^12,OFFSET(PLE!$G$15,$M456-$A$15,BY$13)))</f>
        <v>1000000000000</v>
      </c>
      <c r="BZ456" s="172">
        <f ca="1">IF(OR($D456&lt;&gt;"Serviço",AND(AUTOEVENTO="Manual",$M456=$A$15),$M456&gt;(ROW(PLE.lastrow)-ROW(PLE.firstrow))),0,
           IF(OFFSET(PLE!$G$15,$M456-$A$15,BZ$13)="",10^12,OFFSET(PLE!$G$15,$M456-$A$15,BZ$13)))</f>
        <v>1000000000000</v>
      </c>
      <c r="CA456" s="172">
        <f ca="1">IF(OR($D456&lt;&gt;"Serviço",AND(AUTOEVENTO="Manual",$M456=$A$15),$M456&gt;(ROW(PLE.lastrow)-ROW(PLE.firstrow))),0,
           IF(OFFSET(PLE!$G$15,$M456-$A$15,CA$13)="",10^12,OFFSET(PLE!$G$15,$M456-$A$15,CA$13)))</f>
        <v>1000000000000</v>
      </c>
      <c r="CB456" s="172">
        <f ca="1">IF(OR($D456&lt;&gt;"Serviço",AND(AUTOEVENTO="Manual",$M456=$A$15),$M456&gt;(ROW(PLE.lastrow)-ROW(PLE.firstrow))),0,
           IF(OFFSET(PLE!$G$15,$M456-$A$15,CB$13)="",10^12,OFFSET(PLE!$G$15,$M456-$A$15,CB$13)))</f>
        <v>1000000000000</v>
      </c>
      <c r="CC456" s="172">
        <f ca="1">IF(OR($D456&lt;&gt;"Serviço",AND(AUTOEVENTO="Manual",$M456=$A$15),$M456&gt;(ROW(PLE.lastrow)-ROW(PLE.firstrow))),0,
           IF(OFFSET(PLE!$G$15,$M456-$A$15,CC$13)="",10^12,OFFSET(PLE!$G$15,$M456-$A$15,CC$13)))</f>
        <v>1000000000000</v>
      </c>
      <c r="CD456" s="172">
        <f ca="1">IF(OR($D456&lt;&gt;"Serviço",AND(AUTOEVENTO="Manual",$M456=$A$15),$M456&gt;(ROW(PLE.lastrow)-ROW(PLE.firstrow))),0,
           IF(OFFSET(PLE!$G$15,$M456-$A$15,CD$13)="",10^12,OFFSET(PLE!$G$15,$M456-$A$15,CD$13)))</f>
        <v>1000000000000</v>
      </c>
      <c r="CE456" s="172">
        <f ca="1">IF(OR($D456&lt;&gt;"Serviço",AND(AUTOEVENTO="Manual",$M456=$A$15),$M456&gt;(ROW(PLE.lastrow)-ROW(PLE.firstrow))),0,
           IF(OFFSET(PLE!$G$15,$M456-$A$15,CE$13)="",10^12,OFFSET(PLE!$G$15,$M456-$A$15,CE$13)))</f>
        <v>1000000000000</v>
      </c>
      <c r="CF456" s="172">
        <f ca="1">IF(OR($D456&lt;&gt;"Serviço",AND(AUTOEVENTO="Manual",$M456=$A$15),$M456&gt;(ROW(PLE.lastrow)-ROW(PLE.firstrow))),0,
           IF(OFFSET(PLE!$G$15,$M456-$A$15,CF$13)="",10^12,OFFSET(PLE!$G$15,$M456-$A$15,CF$13)))</f>
        <v>1000000000000</v>
      </c>
      <c r="CG456" s="172">
        <f ca="1">IF(OR($D456&lt;&gt;"Serviço",AND(AUTOEVENTO="Manual",$M456=$A$15),$M456&gt;(ROW(PLE.lastrow)-ROW(PLE.firstrow))),0,
           IF(OFFSET(PLE!$G$15,$M456-$A$15,CG$13)="",10^12,OFFSET(PLE!$G$15,$M456-$A$15,CG$13)))</f>
        <v>1000000000000</v>
      </c>
      <c r="CH456" s="172">
        <f ca="1">IF(OR($D456&lt;&gt;"Serviço",AND(AUTOEVENTO="Manual",$M456=$A$15),$M456&gt;(ROW(PLE.lastrow)-ROW(PLE.firstrow))),0,
           IF(OFFSET(PLE!$G$15,$M456-$A$15,CH$13)="",10^12,OFFSET(PLE!$G$15,$M456-$A$15,CH$13)))</f>
        <v>1000000000000</v>
      </c>
      <c r="CI456" s="172">
        <f ca="1">IF(OR($D456&lt;&gt;"Serviço",AND(AUTOEVENTO="Manual",$M456=$A$15),$M456&gt;(ROW(PLE.lastrow)-ROW(PLE.firstrow))),0,
           IF(OFFSET(PLE!$G$15,$M456-$A$15,CI$13)="",10^12,OFFSET(PLE!$G$15,$M456-$A$15,CI$13)))</f>
        <v>1000000000000</v>
      </c>
      <c r="CJ456" s="172">
        <f ca="1">IF(OR($D456&lt;&gt;"Serviço",AND(AUTOEVENTO="Manual",$M456=$A$15),$M456&gt;(ROW(PLE.lastrow)-ROW(PLE.firstrow))),0,
           IF(OFFSET(PLE!$G$15,$M456-$A$15,CJ$13)="",10^12,OFFSET(PLE!$G$15,$M456-$A$15,CJ$13)))</f>
        <v>1000000000000</v>
      </c>
      <c r="CK456" s="172">
        <f ca="1">IF(OR($D456&lt;&gt;"Serviço",AND(AUTOEVENTO="Manual",$M456=$A$15),$M456&gt;(ROW(PLE.lastrow)-ROW(PLE.firstrow))),0,
           IF(OFFSET(PLE!$G$15,$M456-$A$15,CK$13)="",10^12,OFFSET(PLE!$G$15,$M456-$A$15,CK$13)))</f>
        <v>1000000000000</v>
      </c>
      <c r="CL456" s="172">
        <f ca="1">IF(OR($D456&lt;&gt;"Serviço",AND(AUTOEVENTO="Manual",$M456=$A$15),$M456&gt;(ROW(PLE.lastrow)-ROW(PLE.firstrow))),0,
           IF(OFFSET(PLE!$G$15,$M456-$A$15,CL$13)="",10^12,OFFSET(PLE!$G$15,$M456-$A$15,CL$13)))</f>
        <v>1000000000000</v>
      </c>
      <c r="CM456" s="172">
        <f ca="1">IF(OR($D456&lt;&gt;"Serviço",AND(AUTOEVENTO="Manual",$M456=$A$15),$M456&gt;(ROW(PLE.lastrow)-ROW(PLE.firstrow))),0,
           IF(OFFSET(PLE!$G$15,$M456-$A$15,CM$13)="",10^12,OFFSET(PLE!$G$15,$M456-$A$15,CM$13)))</f>
        <v>1000000000000</v>
      </c>
    </row>
    <row r="457" spans="1:91" ht="12.75" x14ac:dyDescent="0.2">
      <c r="A457" s="7">
        <f t="shared" ca="1" si="16"/>
        <v>0</v>
      </c>
      <c r="B457" s="7">
        <f ca="1">OFFSET(ORÇAMENTO!C$15,ROW(B457)-ROW(B$15),0)</f>
        <v>3</v>
      </c>
      <c r="C457" s="7" t="str">
        <f ca="1">OFFSET(ORÇAMENTO!L$15,ROW(C457)-ROW(C$15),0)</f>
        <v>F</v>
      </c>
      <c r="D457" s="116" t="str">
        <f ca="1">OFFSET(ORÇAMENTO!N$15,ROW(D457)-ROW(D$15),0)</f>
        <v>Nível 3</v>
      </c>
      <c r="E457" s="117" t="str">
        <f ca="1">OFFSET(ORÇAMENTO!O$15,ROW(E457)-ROW(E$15),0)</f>
        <v>1.9.3.</v>
      </c>
      <c r="F457" s="163" t="str">
        <f ca="1">OFFSET(ORÇAMENTO!R$15,ROW(F457)-ROW(F$15),0)</f>
        <v>TESTES</v>
      </c>
      <c r="G457" s="164" t="str">
        <f ca="1">IF($D457&lt;&gt;"Serviço","",OFFSET(ORÇAMENTO!S$15,ROW(G457)-ROW(G$15),0))</f>
        <v/>
      </c>
      <c r="H457" s="122" cm="1">
        <f t="array" aca="1" ref="H457" ca="1">IF($D457&lt;&gt;"Serviço",0,IF(ACOMPANHAMENTO="BM",ROUND(OFFSET(ORÇAMENTO!AJ$15,ROW(H457)-ROW(H$15),0),15-13*ORÇAMENTO!$AF$7),SUMPRODUCT(($Q$1:$AI$1=1)*ROUND($Q457:$AI457,15-13*ORÇAMENTO!$AF$7))))</f>
        <v>0</v>
      </c>
      <c r="I457" s="468"/>
      <c r="J457" s="640" t="str" cm="1">
        <f t="array" aca="1" ref="J457" ca="1">IF(OR(B457&lt;&gt;"S",CÁLCULO.FrentesPreenchidas=0),"",IF(AND(ACOMPANHAMENTO="PLE",AUTOEVENTO="Manual",OR(H457&gt;0,ORÇAMENTO!AC457="QUANT."),OR(K457="",M457=0,N457="")),"►E",IF(AND(ACOMPANHAMENTO="PLE",ORÇAMENTO!AC457="QUANT."),"►Q",IF(AND(ACOMPANHAMENTO="PLE",H457&lt;&gt;SUMPRODUCT(($Q$1:$AI$1=1)*ROUND(Q457:AI457,15))),"►S",IF(AND(COUNTIF($P$11:$AI$11,"▼")=0,H457&gt;0,I457=""),"◄M","")))))</f>
        <v/>
      </c>
      <c r="K457" s="641"/>
      <c r="L457" s="165" t="s">
        <v>764</v>
      </c>
      <c r="M457" s="166" t="str">
        <f ca="1">IF($D457&lt;&gt;"Serviço","",
          IF(AUTOEVENTO="manual",$A457,
                IF(ISERROR(MATCH($A457,$A$15:OFFSET($A457,-1,0),0)),MAX($M$15:OFFSET(M457,-1,0))+1,
                      INDEX($M$15:OFFSET(M457,-1,0),MATCH($A457,$A$15:OFFSET($A457,-1,0),0)))))</f>
        <v/>
      </c>
      <c r="N457" s="167" t="str">
        <f ca="1">IF($D457&lt;&gt;"Serviço","",
         IF(AUTOEVENTO="Manual",
                IF($A457=0,"&lt;-- defina o número do agrupador",
                       OFFSET(EVENTOS!$D$15,$A457-$A$15,0)),
                OFFSET($F$15,$A457,0)))</f>
        <v/>
      </c>
      <c r="O457" s="168"/>
      <c r="Q457" s="168"/>
      <c r="R457" s="169"/>
      <c r="S457" s="169"/>
      <c r="T457" s="169"/>
      <c r="U457" s="169"/>
      <c r="V457" s="169"/>
      <c r="W457" s="169"/>
      <c r="X457" s="169"/>
      <c r="Y457" s="169"/>
      <c r="Z457" s="170"/>
      <c r="AA457" s="169"/>
      <c r="AB457" s="169"/>
      <c r="AC457" s="169"/>
      <c r="AD457" s="169"/>
      <c r="AE457" s="169"/>
      <c r="AF457" s="169"/>
      <c r="AG457" s="169"/>
      <c r="AH457" s="170"/>
      <c r="AJ457" s="453">
        <f ca="1">IF(AND($D457="Serviço",AJ$12&lt;&gt;0,$H457&gt;0,OR(AUTOEVENTO&lt;&gt;"manual",$M457&lt;&gt;$A$15)),
        IF(Import.TipoArredondamento&lt;&gt;"TransfereGOV",
              ROUND(OFFSET($P457,0,AJ$13),15-13*ORÇAMENTO!$AF$7)/$H457*OFFSET(ORÇAMENTO!$X$15,ROW(AJ457)-ROW(AJ$15),0),
              ROUND(ROUND(OFFSET($P457,0,AJ$13),15-13*ORÇAMENTO!$AF$7)*OFFSET(ORÇAMENTO!$W$15,ROW(AJ457)-ROW(AJ$15),0),15-13*ORÇAMENTO!$AF$11)),
         0)</f>
        <v>0</v>
      </c>
      <c r="AK457" s="453">
        <f ca="1">IF(AND($D457="Serviço",AK$12&lt;&gt;0,$H457&gt;0,OR(AUTOEVENTO&lt;&gt;"manual",$M457&lt;&gt;$A$15)),
        IF(Import.TipoArredondamento&lt;&gt;"TransfereGOV",
              ROUND(OFFSET($P457,0,AK$13),15-13*ORÇAMENTO!$AF$7)/$H457*OFFSET(ORÇAMENTO!$X$15,ROW(AK457)-ROW(AK$15),0),
              ROUND(ROUND(OFFSET($P457,0,AK$13),15-13*ORÇAMENTO!$AF$7)*OFFSET(ORÇAMENTO!$W$15,ROW(AK457)-ROW(AK$15),0),15-13*ORÇAMENTO!$AF$11)),
         0)</f>
        <v>0</v>
      </c>
      <c r="AL457" s="453">
        <f ca="1">IF(AND($D457="Serviço",AL$12&lt;&gt;0,$H457&gt;0,OR(AUTOEVENTO&lt;&gt;"manual",$M457&lt;&gt;$A$15)),
        IF(Import.TipoArredondamento&lt;&gt;"TransfereGOV",
              ROUND(OFFSET($P457,0,AL$13),15-13*ORÇAMENTO!$AF$7)/$H457*OFFSET(ORÇAMENTO!$X$15,ROW(AL457)-ROW(AL$15),0),
              ROUND(ROUND(OFFSET($P457,0,AL$13),15-13*ORÇAMENTO!$AF$7)*OFFSET(ORÇAMENTO!$W$15,ROW(AL457)-ROW(AL$15),0),15-13*ORÇAMENTO!$AF$11)),
         0)</f>
        <v>0</v>
      </c>
      <c r="AM457" s="453">
        <f ca="1">IF(AND($D457="Serviço",AM$12&lt;&gt;0,$H457&gt;0,OR(AUTOEVENTO&lt;&gt;"manual",$M457&lt;&gt;$A$15)),
        IF(Import.TipoArredondamento&lt;&gt;"TransfereGOV",
              ROUND(OFFSET($P457,0,AM$13),15-13*ORÇAMENTO!$AF$7)/$H457*OFFSET(ORÇAMENTO!$X$15,ROW(AM457)-ROW(AM$15),0),
              ROUND(ROUND(OFFSET($P457,0,AM$13),15-13*ORÇAMENTO!$AF$7)*OFFSET(ORÇAMENTO!$W$15,ROW(AM457)-ROW(AM$15),0),15-13*ORÇAMENTO!$AF$11)),
         0)</f>
        <v>0</v>
      </c>
      <c r="AN457" s="453">
        <f ca="1">IF(AND($D457="Serviço",AN$12&lt;&gt;0,$H457&gt;0,OR(AUTOEVENTO&lt;&gt;"manual",$M457&lt;&gt;$A$15)),
        IF(Import.TipoArredondamento&lt;&gt;"TransfereGOV",
              ROUND(OFFSET($P457,0,AN$13),15-13*ORÇAMENTO!$AF$7)/$H457*OFFSET(ORÇAMENTO!$X$15,ROW(AN457)-ROW(AN$15),0),
              ROUND(ROUND(OFFSET($P457,0,AN$13),15-13*ORÇAMENTO!$AF$7)*OFFSET(ORÇAMENTO!$W$15,ROW(AN457)-ROW(AN$15),0),15-13*ORÇAMENTO!$AF$11)),
         0)</f>
        <v>0</v>
      </c>
      <c r="AO457" s="453">
        <f ca="1">IF(AND($D457="Serviço",AO$12&lt;&gt;0,$H457&gt;0,OR(AUTOEVENTO&lt;&gt;"manual",$M457&lt;&gt;$A$15)),
        IF(Import.TipoArredondamento&lt;&gt;"TransfereGOV",
              ROUND(OFFSET($P457,0,AO$13),15-13*ORÇAMENTO!$AF$7)/$H457*OFFSET(ORÇAMENTO!$X$15,ROW(AO457)-ROW(AO$15),0),
              ROUND(ROUND(OFFSET($P457,0,AO$13),15-13*ORÇAMENTO!$AF$7)*OFFSET(ORÇAMENTO!$W$15,ROW(AO457)-ROW(AO$15),0),15-13*ORÇAMENTO!$AF$11)),
         0)</f>
        <v>0</v>
      </c>
      <c r="AP457" s="453">
        <f ca="1">IF(AND($D457="Serviço",AP$12&lt;&gt;0,$H457&gt;0,OR(AUTOEVENTO&lt;&gt;"manual",$M457&lt;&gt;$A$15)),
        IF(Import.TipoArredondamento&lt;&gt;"TransfereGOV",
              ROUND(OFFSET($P457,0,AP$13),15-13*ORÇAMENTO!$AF$7)/$H457*OFFSET(ORÇAMENTO!$X$15,ROW(AP457)-ROW(AP$15),0),
              ROUND(ROUND(OFFSET($P457,0,AP$13),15-13*ORÇAMENTO!$AF$7)*OFFSET(ORÇAMENTO!$W$15,ROW(AP457)-ROW(AP$15),0),15-13*ORÇAMENTO!$AF$11)),
         0)</f>
        <v>0</v>
      </c>
      <c r="AQ457" s="453">
        <f ca="1">IF(AND($D457="Serviço",AQ$12&lt;&gt;0,$H457&gt;0,OR(AUTOEVENTO&lt;&gt;"manual",$M457&lt;&gt;$A$15)),
        IF(Import.TipoArredondamento&lt;&gt;"TransfereGOV",
              ROUND(OFFSET($P457,0,AQ$13),15-13*ORÇAMENTO!$AF$7)/$H457*OFFSET(ORÇAMENTO!$X$15,ROW(AQ457)-ROW(AQ$15),0),
              ROUND(ROUND(OFFSET($P457,0,AQ$13),15-13*ORÇAMENTO!$AF$7)*OFFSET(ORÇAMENTO!$W$15,ROW(AQ457)-ROW(AQ$15),0),15-13*ORÇAMENTO!$AF$11)),
         0)</f>
        <v>0</v>
      </c>
      <c r="AR457" s="453">
        <f ca="1">IF(AND($D457="Serviço",AR$12&lt;&gt;0,$H457&gt;0,OR(AUTOEVENTO&lt;&gt;"manual",$M457&lt;&gt;$A$15)),
        IF(Import.TipoArredondamento&lt;&gt;"TransfereGOV",
              ROUND(OFFSET($P457,0,AR$13),15-13*ORÇAMENTO!$AF$7)/$H457*OFFSET(ORÇAMENTO!$X$15,ROW(AR457)-ROW(AR$15),0),
              ROUND(ROUND(OFFSET($P457,0,AR$13),15-13*ORÇAMENTO!$AF$7)*OFFSET(ORÇAMENTO!$W$15,ROW(AR457)-ROW(AR$15),0),15-13*ORÇAMENTO!$AF$11)),
         0)</f>
        <v>0</v>
      </c>
      <c r="AS457" s="453">
        <f ca="1">IF(AND($D457="Serviço",AS$12&lt;&gt;0,$H457&gt;0,OR(AUTOEVENTO&lt;&gt;"manual",$M457&lt;&gt;$A$15)),
        IF(Import.TipoArredondamento&lt;&gt;"TransfereGOV",
              ROUND(OFFSET($P457,0,AS$13),15-13*ORÇAMENTO!$AF$7)/$H457*OFFSET(ORÇAMENTO!$X$15,ROW(AS457)-ROW(AS$15),0),
              ROUND(ROUND(OFFSET($P457,0,AS$13),15-13*ORÇAMENTO!$AF$7)*OFFSET(ORÇAMENTO!$W$15,ROW(AS457)-ROW(AS$15),0),15-13*ORÇAMENTO!$AF$11)),
         0)</f>
        <v>0</v>
      </c>
      <c r="AT457" s="453">
        <f ca="1">IF(AND($D457="Serviço",AT$12&lt;&gt;0,$H457&gt;0,OR(AUTOEVENTO&lt;&gt;"manual",$M457&lt;&gt;$A$15)),
        IF(Import.TipoArredondamento&lt;&gt;"TransfereGOV",
              ROUND(OFFSET($P457,0,AT$13),15-13*ORÇAMENTO!$AF$7)/$H457*OFFSET(ORÇAMENTO!$X$15,ROW(AT457)-ROW(AT$15),0),
              ROUND(ROUND(OFFSET($P457,0,AT$13),15-13*ORÇAMENTO!$AF$7)*OFFSET(ORÇAMENTO!$W$15,ROW(AT457)-ROW(AT$15),0),15-13*ORÇAMENTO!$AF$11)),
         0)</f>
        <v>0</v>
      </c>
      <c r="AU457" s="453">
        <f ca="1">IF(AND($D457="Serviço",AU$12&lt;&gt;0,$H457&gt;0,OR(AUTOEVENTO&lt;&gt;"manual",$M457&lt;&gt;$A$15)),
        IF(Import.TipoArredondamento&lt;&gt;"TransfereGOV",
              ROUND(OFFSET($P457,0,AU$13),15-13*ORÇAMENTO!$AF$7)/$H457*OFFSET(ORÇAMENTO!$X$15,ROW(AU457)-ROW(AU$15),0),
              ROUND(ROUND(OFFSET($P457,0,AU$13),15-13*ORÇAMENTO!$AF$7)*OFFSET(ORÇAMENTO!$W$15,ROW(AU457)-ROW(AU$15),0),15-13*ORÇAMENTO!$AF$11)),
         0)</f>
        <v>0</v>
      </c>
      <c r="AV457" s="453">
        <f ca="1">IF(AND($D457="Serviço",AV$12&lt;&gt;0,$H457&gt;0,OR(AUTOEVENTO&lt;&gt;"manual",$M457&lt;&gt;$A$15)),
        IF(Import.TipoArredondamento&lt;&gt;"TransfereGOV",
              ROUND(OFFSET($P457,0,AV$13),15-13*ORÇAMENTO!$AF$7)/$H457*OFFSET(ORÇAMENTO!$X$15,ROW(AV457)-ROW(AV$15),0),
              ROUND(ROUND(OFFSET($P457,0,AV$13),15-13*ORÇAMENTO!$AF$7)*OFFSET(ORÇAMENTO!$W$15,ROW(AV457)-ROW(AV$15),0),15-13*ORÇAMENTO!$AF$11)),
         0)</f>
        <v>0</v>
      </c>
      <c r="AW457" s="453">
        <f ca="1">IF(AND($D457="Serviço",AW$12&lt;&gt;0,$H457&gt;0,OR(AUTOEVENTO&lt;&gt;"manual",$M457&lt;&gt;$A$15)),
        IF(Import.TipoArredondamento&lt;&gt;"TransfereGOV",
              ROUND(OFFSET($P457,0,AW$13),15-13*ORÇAMENTO!$AF$7)/$H457*OFFSET(ORÇAMENTO!$X$15,ROW(AW457)-ROW(AW$15),0),
              ROUND(ROUND(OFFSET($P457,0,AW$13),15-13*ORÇAMENTO!$AF$7)*OFFSET(ORÇAMENTO!$W$15,ROW(AW457)-ROW(AW$15),0),15-13*ORÇAMENTO!$AF$11)),
         0)</f>
        <v>0</v>
      </c>
      <c r="AX457" s="453">
        <f ca="1">IF(AND($D457="Serviço",AX$12&lt;&gt;0,$H457&gt;0,OR(AUTOEVENTO&lt;&gt;"manual",$M457&lt;&gt;$A$15)),
        IF(Import.TipoArredondamento&lt;&gt;"TransfereGOV",
              ROUND(OFFSET($P457,0,AX$13),15-13*ORÇAMENTO!$AF$7)/$H457*OFFSET(ORÇAMENTO!$X$15,ROW(AX457)-ROW(AX$15),0),
              ROUND(ROUND(OFFSET($P457,0,AX$13),15-13*ORÇAMENTO!$AF$7)*OFFSET(ORÇAMENTO!$W$15,ROW(AX457)-ROW(AX$15),0),15-13*ORÇAMENTO!$AF$11)),
         0)</f>
        <v>0</v>
      </c>
      <c r="AY457" s="453">
        <f ca="1">IF(AND($D457="Serviço",AY$12&lt;&gt;0,$H457&gt;0,OR(AUTOEVENTO&lt;&gt;"manual",$M457&lt;&gt;$A$15)),
        IF(Import.TipoArredondamento&lt;&gt;"TransfereGOV",
              ROUND(OFFSET($P457,0,AY$13),15-13*ORÇAMENTO!$AF$7)/$H457*OFFSET(ORÇAMENTO!$X$15,ROW(AY457)-ROW(AY$15),0),
              ROUND(ROUND(OFFSET($P457,0,AY$13),15-13*ORÇAMENTO!$AF$7)*OFFSET(ORÇAMENTO!$W$15,ROW(AY457)-ROW(AY$15),0),15-13*ORÇAMENTO!$AF$11)),
         0)</f>
        <v>0</v>
      </c>
      <c r="AZ457" s="453">
        <f ca="1">IF(AND($D457="Serviço",AZ$12&lt;&gt;0,$H457&gt;0,OR(AUTOEVENTO&lt;&gt;"manual",$M457&lt;&gt;$A$15)),
        IF(Import.TipoArredondamento&lt;&gt;"TransfereGOV",
              ROUND(OFFSET($P457,0,AZ$13),15-13*ORÇAMENTO!$AF$7)/$H457*OFFSET(ORÇAMENTO!$X$15,ROW(AZ457)-ROW(AZ$15),0),
              ROUND(ROUND(OFFSET($P457,0,AZ$13),15-13*ORÇAMENTO!$AF$7)*OFFSET(ORÇAMENTO!$W$15,ROW(AZ457)-ROW(AZ$15),0),15-13*ORÇAMENTO!$AF$11)),
         0)</f>
        <v>0</v>
      </c>
      <c r="BA457" s="453">
        <f ca="1">IF(AND($D457="Serviço",BA$12&lt;&gt;0,$H457&gt;0,OR(AUTOEVENTO&lt;&gt;"manual",$M457&lt;&gt;$A$15)),
        IF(Import.TipoArredondamento&lt;&gt;"TransfereGOV",
              ROUND(OFFSET($P457,0,BA$13),15-13*ORÇAMENTO!$AF$7)/$H457*OFFSET(ORÇAMENTO!$X$15,ROW(BA457)-ROW(BA$15),0),
              ROUND(ROUND(OFFSET($P457,0,BA$13),15-13*ORÇAMENTO!$AF$7)*OFFSET(ORÇAMENTO!$W$15,ROW(BA457)-ROW(BA$15),0),15-13*ORÇAMENTO!$AF$11)),
         0)</f>
        <v>0</v>
      </c>
      <c r="BC457" s="171">
        <f ca="1">IF(OR($D457&lt;&gt;"Serviço",AND(AUTOEVENTO="Manual",$M457=$A$15)),0,
         IF(OFFSET(CRONOPLE!$F$15,$M457-$A$15,BC$13)=0,10^12,OFFSET(CRONOPLE!$F$15,$M457-$A$15,BC$13)))</f>
        <v>0</v>
      </c>
      <c r="BD457" s="171">
        <f ca="1">IF(OR($D457&lt;&gt;"Serviço",AND(AUTOEVENTO="Manual",$M457=$A$15)),0,
         IF(OFFSET(CRONOPLE!$F$15,$M457-$A$15,BD$13)=0,10^12,OFFSET(CRONOPLE!$F$15,$M457-$A$15,BD$13)))</f>
        <v>0</v>
      </c>
      <c r="BE457" s="171">
        <f ca="1">IF(OR($D457&lt;&gt;"Serviço",AND(AUTOEVENTO="Manual",$M457=$A$15)),0,
         IF(OFFSET(CRONOPLE!$F$15,$M457-$A$15,BE$13)=0,10^12,OFFSET(CRONOPLE!$F$15,$M457-$A$15,BE$13)))</f>
        <v>0</v>
      </c>
      <c r="BF457" s="171">
        <f ca="1">IF(OR($D457&lt;&gt;"Serviço",AND(AUTOEVENTO="Manual",$M457=$A$15)),0,
         IF(OFFSET(CRONOPLE!$F$15,$M457-$A$15,BF$13)=0,10^12,OFFSET(CRONOPLE!$F$15,$M457-$A$15,BF$13)))</f>
        <v>0</v>
      </c>
      <c r="BG457" s="171">
        <f ca="1">IF(OR($D457&lt;&gt;"Serviço",AND(AUTOEVENTO="Manual",$M457=$A$15)),0,
         IF(OFFSET(CRONOPLE!$F$15,$M457-$A$15,BG$13)=0,10^12,OFFSET(CRONOPLE!$F$15,$M457-$A$15,BG$13)))</f>
        <v>0</v>
      </c>
      <c r="BH457" s="171">
        <f ca="1">IF(OR($D457&lt;&gt;"Serviço",AND(AUTOEVENTO="Manual",$M457=$A$15)),0,
         IF(OFFSET(CRONOPLE!$F$15,$M457-$A$15,BH$13)=0,10^12,OFFSET(CRONOPLE!$F$15,$M457-$A$15,BH$13)))</f>
        <v>0</v>
      </c>
      <c r="BI457" s="171">
        <f ca="1">IF(OR($D457&lt;&gt;"Serviço",AND(AUTOEVENTO="Manual",$M457=$A$15)),0,
         IF(OFFSET(CRONOPLE!$F$15,$M457-$A$15,BI$13)=0,10^12,OFFSET(CRONOPLE!$F$15,$M457-$A$15,BI$13)))</f>
        <v>0</v>
      </c>
      <c r="BJ457" s="171">
        <f ca="1">IF(OR($D457&lt;&gt;"Serviço",AND(AUTOEVENTO="Manual",$M457=$A$15)),0,
         IF(OFFSET(CRONOPLE!$F$15,$M457-$A$15,BJ$13)=0,10^12,OFFSET(CRONOPLE!$F$15,$M457-$A$15,BJ$13)))</f>
        <v>0</v>
      </c>
      <c r="BK457" s="171">
        <f ca="1">IF(OR($D457&lt;&gt;"Serviço",AND(AUTOEVENTO="Manual",$M457=$A$15)),0,
         IF(OFFSET(CRONOPLE!$F$15,$M457-$A$15,BK$13)=0,10^12,OFFSET(CRONOPLE!$F$15,$M457-$A$15,BK$13)))</f>
        <v>0</v>
      </c>
      <c r="BL457" s="171">
        <f ca="1">IF(OR($D457&lt;&gt;"Serviço",AND(AUTOEVENTO="Manual",$M457=$A$15)),0,
         IF(OFFSET(CRONOPLE!$F$15,$M457-$A$15,BL$13)=0,10^12,OFFSET(CRONOPLE!$F$15,$M457-$A$15,BL$13)))</f>
        <v>0</v>
      </c>
      <c r="BM457" s="171">
        <f ca="1">IF(OR($D457&lt;&gt;"Serviço",AND(AUTOEVENTO="Manual",$M457=$A$15)),0,
         IF(OFFSET(CRONOPLE!$F$15,$M457-$A$15,BM$13)=0,10^12,OFFSET(CRONOPLE!$F$15,$M457-$A$15,BM$13)))</f>
        <v>0</v>
      </c>
      <c r="BN457" s="171">
        <f ca="1">IF(OR($D457&lt;&gt;"Serviço",AND(AUTOEVENTO="Manual",$M457=$A$15)),0,
         IF(OFFSET(CRONOPLE!$F$15,$M457-$A$15,BN$13)=0,10^12,OFFSET(CRONOPLE!$F$15,$M457-$A$15,BN$13)))</f>
        <v>0</v>
      </c>
      <c r="BO457" s="171">
        <f ca="1">IF(OR($D457&lt;&gt;"Serviço",AND(AUTOEVENTO="Manual",$M457=$A$15)),0,
         IF(OFFSET(CRONOPLE!$F$15,$M457-$A$15,BO$13)=0,10^12,OFFSET(CRONOPLE!$F$15,$M457-$A$15,BO$13)))</f>
        <v>0</v>
      </c>
      <c r="BP457" s="171">
        <f ca="1">IF(OR($D457&lt;&gt;"Serviço",AND(AUTOEVENTO="Manual",$M457=$A$15)),0,
         IF(OFFSET(CRONOPLE!$F$15,$M457-$A$15,BP$13)=0,10^12,OFFSET(CRONOPLE!$F$15,$M457-$A$15,BP$13)))</f>
        <v>0</v>
      </c>
      <c r="BQ457" s="171">
        <f ca="1">IF(OR($D457&lt;&gt;"Serviço",AND(AUTOEVENTO="Manual",$M457=$A$15)),0,
         IF(OFFSET(CRONOPLE!$F$15,$M457-$A$15,BQ$13)=0,10^12,OFFSET(CRONOPLE!$F$15,$M457-$A$15,BQ$13)))</f>
        <v>0</v>
      </c>
      <c r="BR457" s="171">
        <f ca="1">IF(OR($D457&lt;&gt;"Serviço",AND(AUTOEVENTO="Manual",$M457=$A$15)),0,
         IF(OFFSET(CRONOPLE!$F$15,$M457-$A$15,BR$13)=0,10^12,OFFSET(CRONOPLE!$F$15,$M457-$A$15,BR$13)))</f>
        <v>0</v>
      </c>
      <c r="BS457" s="171">
        <f ca="1">IF(OR($D457&lt;&gt;"Serviço",AND(AUTOEVENTO="Manual",$M457=$A$15)),0,
         IF(OFFSET(CRONOPLE!$F$15,$M457-$A$15,BS$13)=0,10^12,OFFSET(CRONOPLE!$F$15,$M457-$A$15,BS$13)))</f>
        <v>0</v>
      </c>
      <c r="BT457" s="171">
        <f ca="1">IF(OR($D457&lt;&gt;"Serviço",AND(AUTOEVENTO="Manual",$M457=$A$15)),0,
         IF(OFFSET(CRONOPLE!$F$15,$M457-$A$15,BT$13)=0,10^12,OFFSET(CRONOPLE!$F$15,$M457-$A$15,BT$13)))</f>
        <v>0</v>
      </c>
      <c r="BV457" s="172">
        <f ca="1">IF(OR($D457&lt;&gt;"Serviço",AND(AUTOEVENTO="Manual",$M457=$A$15),$M457&gt;(ROW(PLE.lastrow)-ROW(PLE.firstrow))),0,
           IF(OFFSET(PLE!$G$15,$M457-$A$15,BV$13)="",10^12,OFFSET(PLE!$G$15,$M457-$A$15,BV$13)))</f>
        <v>0</v>
      </c>
      <c r="BW457" s="172">
        <f ca="1">IF(OR($D457&lt;&gt;"Serviço",AND(AUTOEVENTO="Manual",$M457=$A$15),$M457&gt;(ROW(PLE.lastrow)-ROW(PLE.firstrow))),0,
           IF(OFFSET(PLE!$G$15,$M457-$A$15,BW$13)="",10^12,OFFSET(PLE!$G$15,$M457-$A$15,BW$13)))</f>
        <v>0</v>
      </c>
      <c r="BX457" s="172">
        <f ca="1">IF(OR($D457&lt;&gt;"Serviço",AND(AUTOEVENTO="Manual",$M457=$A$15),$M457&gt;(ROW(PLE.lastrow)-ROW(PLE.firstrow))),0,
           IF(OFFSET(PLE!$G$15,$M457-$A$15,BX$13)="",10^12,OFFSET(PLE!$G$15,$M457-$A$15,BX$13)))</f>
        <v>0</v>
      </c>
      <c r="BY457" s="172">
        <f ca="1">IF(OR($D457&lt;&gt;"Serviço",AND(AUTOEVENTO="Manual",$M457=$A$15),$M457&gt;(ROW(PLE.lastrow)-ROW(PLE.firstrow))),0,
           IF(OFFSET(PLE!$G$15,$M457-$A$15,BY$13)="",10^12,OFFSET(PLE!$G$15,$M457-$A$15,BY$13)))</f>
        <v>0</v>
      </c>
      <c r="BZ457" s="172">
        <f ca="1">IF(OR($D457&lt;&gt;"Serviço",AND(AUTOEVENTO="Manual",$M457=$A$15),$M457&gt;(ROW(PLE.lastrow)-ROW(PLE.firstrow))),0,
           IF(OFFSET(PLE!$G$15,$M457-$A$15,BZ$13)="",10^12,OFFSET(PLE!$G$15,$M457-$A$15,BZ$13)))</f>
        <v>0</v>
      </c>
      <c r="CA457" s="172">
        <f ca="1">IF(OR($D457&lt;&gt;"Serviço",AND(AUTOEVENTO="Manual",$M457=$A$15),$M457&gt;(ROW(PLE.lastrow)-ROW(PLE.firstrow))),0,
           IF(OFFSET(PLE!$G$15,$M457-$A$15,CA$13)="",10^12,OFFSET(PLE!$G$15,$M457-$A$15,CA$13)))</f>
        <v>0</v>
      </c>
      <c r="CB457" s="172">
        <f ca="1">IF(OR($D457&lt;&gt;"Serviço",AND(AUTOEVENTO="Manual",$M457=$A$15),$M457&gt;(ROW(PLE.lastrow)-ROW(PLE.firstrow))),0,
           IF(OFFSET(PLE!$G$15,$M457-$A$15,CB$13)="",10^12,OFFSET(PLE!$G$15,$M457-$A$15,CB$13)))</f>
        <v>0</v>
      </c>
      <c r="CC457" s="172">
        <f ca="1">IF(OR($D457&lt;&gt;"Serviço",AND(AUTOEVENTO="Manual",$M457=$A$15),$M457&gt;(ROW(PLE.lastrow)-ROW(PLE.firstrow))),0,
           IF(OFFSET(PLE!$G$15,$M457-$A$15,CC$13)="",10^12,OFFSET(PLE!$G$15,$M457-$A$15,CC$13)))</f>
        <v>0</v>
      </c>
      <c r="CD457" s="172">
        <f ca="1">IF(OR($D457&lt;&gt;"Serviço",AND(AUTOEVENTO="Manual",$M457=$A$15),$M457&gt;(ROW(PLE.lastrow)-ROW(PLE.firstrow))),0,
           IF(OFFSET(PLE!$G$15,$M457-$A$15,CD$13)="",10^12,OFFSET(PLE!$G$15,$M457-$A$15,CD$13)))</f>
        <v>0</v>
      </c>
      <c r="CE457" s="172">
        <f ca="1">IF(OR($D457&lt;&gt;"Serviço",AND(AUTOEVENTO="Manual",$M457=$A$15),$M457&gt;(ROW(PLE.lastrow)-ROW(PLE.firstrow))),0,
           IF(OFFSET(PLE!$G$15,$M457-$A$15,CE$13)="",10^12,OFFSET(PLE!$G$15,$M457-$A$15,CE$13)))</f>
        <v>0</v>
      </c>
      <c r="CF457" s="172">
        <f ca="1">IF(OR($D457&lt;&gt;"Serviço",AND(AUTOEVENTO="Manual",$M457=$A$15),$M457&gt;(ROW(PLE.lastrow)-ROW(PLE.firstrow))),0,
           IF(OFFSET(PLE!$G$15,$M457-$A$15,CF$13)="",10^12,OFFSET(PLE!$G$15,$M457-$A$15,CF$13)))</f>
        <v>0</v>
      </c>
      <c r="CG457" s="172">
        <f ca="1">IF(OR($D457&lt;&gt;"Serviço",AND(AUTOEVENTO="Manual",$M457=$A$15),$M457&gt;(ROW(PLE.lastrow)-ROW(PLE.firstrow))),0,
           IF(OFFSET(PLE!$G$15,$M457-$A$15,CG$13)="",10^12,OFFSET(PLE!$G$15,$M457-$A$15,CG$13)))</f>
        <v>0</v>
      </c>
      <c r="CH457" s="172">
        <f ca="1">IF(OR($D457&lt;&gt;"Serviço",AND(AUTOEVENTO="Manual",$M457=$A$15),$M457&gt;(ROW(PLE.lastrow)-ROW(PLE.firstrow))),0,
           IF(OFFSET(PLE!$G$15,$M457-$A$15,CH$13)="",10^12,OFFSET(PLE!$G$15,$M457-$A$15,CH$13)))</f>
        <v>0</v>
      </c>
      <c r="CI457" s="172">
        <f ca="1">IF(OR($D457&lt;&gt;"Serviço",AND(AUTOEVENTO="Manual",$M457=$A$15),$M457&gt;(ROW(PLE.lastrow)-ROW(PLE.firstrow))),0,
           IF(OFFSET(PLE!$G$15,$M457-$A$15,CI$13)="",10^12,OFFSET(PLE!$G$15,$M457-$A$15,CI$13)))</f>
        <v>0</v>
      </c>
      <c r="CJ457" s="172">
        <f ca="1">IF(OR($D457&lt;&gt;"Serviço",AND(AUTOEVENTO="Manual",$M457=$A$15),$M457&gt;(ROW(PLE.lastrow)-ROW(PLE.firstrow))),0,
           IF(OFFSET(PLE!$G$15,$M457-$A$15,CJ$13)="",10^12,OFFSET(PLE!$G$15,$M457-$A$15,CJ$13)))</f>
        <v>0</v>
      </c>
      <c r="CK457" s="172">
        <f ca="1">IF(OR($D457&lt;&gt;"Serviço",AND(AUTOEVENTO="Manual",$M457=$A$15),$M457&gt;(ROW(PLE.lastrow)-ROW(PLE.firstrow))),0,
           IF(OFFSET(PLE!$G$15,$M457-$A$15,CK$13)="",10^12,OFFSET(PLE!$G$15,$M457-$A$15,CK$13)))</f>
        <v>0</v>
      </c>
      <c r="CL457" s="172">
        <f ca="1">IF(OR($D457&lt;&gt;"Serviço",AND(AUTOEVENTO="Manual",$M457=$A$15),$M457&gt;(ROW(PLE.lastrow)-ROW(PLE.firstrow))),0,
           IF(OFFSET(PLE!$G$15,$M457-$A$15,CL$13)="",10^12,OFFSET(PLE!$G$15,$M457-$A$15,CL$13)))</f>
        <v>0</v>
      </c>
      <c r="CM457" s="172">
        <f ca="1">IF(OR($D457&lt;&gt;"Serviço",AND(AUTOEVENTO="Manual",$M457=$A$15),$M457&gt;(ROW(PLE.lastrow)-ROW(PLE.firstrow))),0,
           IF(OFFSET(PLE!$G$15,$M457-$A$15,CM$13)="",10^12,OFFSET(PLE!$G$15,$M457-$A$15,CM$13)))</f>
        <v>0</v>
      </c>
    </row>
    <row r="458" spans="1:91" ht="38.25" x14ac:dyDescent="0.2">
      <c r="A458" s="7">
        <f t="shared" ca="1" si="16"/>
        <v>8</v>
      </c>
      <c r="B458" s="7" t="str">
        <f ca="1">OFFSET(ORÇAMENTO!C$15,ROW(B458)-ROW(B$15),0)</f>
        <v>S</v>
      </c>
      <c r="C458" s="7" t="str">
        <f ca="1">OFFSET(ORÇAMENTO!L$15,ROW(C458)-ROW(C$15),0)</f>
        <v>F</v>
      </c>
      <c r="D458" s="116" t="str">
        <f ca="1">OFFSET(ORÇAMENTO!N$15,ROW(D458)-ROW(D$15),0)</f>
        <v>Serviço</v>
      </c>
      <c r="E458" s="117" t="str">
        <f ca="1">OFFSET(ORÇAMENTO!O$15,ROW(E458)-ROW(E$15),0)</f>
        <v>1.9.3.0.1.</v>
      </c>
      <c r="F458" s="163" t="str">
        <f ca="1">OFFSET(ORÇAMENTO!R$15,ROW(F458)-ROW(F$15),0)</f>
        <v>CERTIFICAÇÃO DE GARANTIA DE TRANSMISSÃO DE CABOS LÓGICOS CAT. 5/6</v>
      </c>
      <c r="G458" s="164" t="str">
        <f ca="1">IF($D458&lt;&gt;"Serviço","",OFFSET(ORÇAMENTO!S$15,ROW(G458)-ROW(G$15),0))</f>
        <v>UN</v>
      </c>
      <c r="H458" s="122" cm="1">
        <f t="array" aca="1" ref="H458" ca="1">IF($D458&lt;&gt;"Serviço",0,IF(ACOMPANHAMENTO="BM",ROUND(OFFSET(ORÇAMENTO!AJ$15,ROW(H458)-ROW(H$15),0),15-13*ORÇAMENTO!$AF$7),SUMPRODUCT(($Q$1:$AI$1=1)*ROUND($Q458:$AI458,15-13*ORÇAMENTO!$AF$7))))</f>
        <v>56</v>
      </c>
      <c r="I458" s="468" t="s">
        <v>1432</v>
      </c>
      <c r="J458" s="640" t="str" cm="1">
        <f t="array" aca="1" ref="J458" ca="1">IF(OR(B458&lt;&gt;"S",CÁLCULO.FrentesPreenchidas=0),"",IF(AND(ACOMPANHAMENTO="PLE",AUTOEVENTO="Manual",OR(H458&gt;0,ORÇAMENTO!AC458="QUANT."),OR(K458="",M458=0,N458="")),"►E",IF(AND(ACOMPANHAMENTO="PLE",ORÇAMENTO!AC458="QUANT."),"►Q",IF(AND(ACOMPANHAMENTO="PLE",H458&lt;&gt;SUMPRODUCT(($Q$1:$AI$1=1)*ROUND(Q458:AI458,15))),"►S",IF(AND(COUNTIF($P$11:$AI$11,"▼")=0,H458&gt;0,I458=""),"◄M","")))))</f>
        <v/>
      </c>
      <c r="K458" s="641" t="s">
        <v>1392</v>
      </c>
      <c r="L458" s="165" t="s">
        <v>764</v>
      </c>
      <c r="M458" s="166">
        <f ca="1">IF($D458&lt;&gt;"Serviço","",
          IF(AUTOEVENTO="manual",$A458,
                IF(ISERROR(MATCH($A458,$A$15:OFFSET($A458,-1,0),0)),MAX($M$15:OFFSET(M458,-1,0))+1,
                      INDEX($M$15:OFFSET(M458,-1,0),MATCH($A458,$A$15:OFFSET($A458,-1,0),0)))))</f>
        <v>8</v>
      </c>
      <c r="N458" s="167" t="str">
        <f ca="1">IF($D458&lt;&gt;"Serviço","",
         IF(AUTOEVENTO="Manual",
                IF($A458=0,"&lt;-- defina o número do agrupador",
                       OFFSET(EVENTOS!$D$15,$A458-$A$15,0)),
                OFFSET($F$15,$A458,0)))</f>
        <v>CFTV</v>
      </c>
      <c r="O458" s="168"/>
      <c r="Q458" s="168"/>
      <c r="R458" s="169"/>
      <c r="S458" s="169"/>
      <c r="T458" s="169"/>
      <c r="U458" s="169"/>
      <c r="V458" s="169"/>
      <c r="W458" s="169"/>
      <c r="X458" s="169"/>
      <c r="Y458" s="169">
        <v>56</v>
      </c>
      <c r="Z458" s="170"/>
      <c r="AA458" s="169"/>
      <c r="AB458" s="169"/>
      <c r="AC458" s="169"/>
      <c r="AD458" s="169"/>
      <c r="AE458" s="169"/>
      <c r="AF458" s="169"/>
      <c r="AG458" s="169"/>
      <c r="AH458" s="170"/>
      <c r="AJ458" s="453">
        <f ca="1">IF(AND($D458="Serviço",AJ$12&lt;&gt;0,$H458&gt;0,OR(AUTOEVENTO&lt;&gt;"manual",$M458&lt;&gt;$A$15)),
        IF(Import.TipoArredondamento&lt;&gt;"TransfereGOV",
              ROUND(OFFSET($P458,0,AJ$13),15-13*ORÇAMENTO!$AF$7)/$H458*OFFSET(ORÇAMENTO!$X$15,ROW(AJ458)-ROW(AJ$15),0),
              ROUND(ROUND(OFFSET($P458,0,AJ$13),15-13*ORÇAMENTO!$AF$7)*OFFSET(ORÇAMENTO!$W$15,ROW(AJ458)-ROW(AJ$15),0),15-13*ORÇAMENTO!$AF$11)),
         0)</f>
        <v>0</v>
      </c>
      <c r="AK458" s="453">
        <f ca="1">IF(AND($D458="Serviço",AK$12&lt;&gt;0,$H458&gt;0,OR(AUTOEVENTO&lt;&gt;"manual",$M458&lt;&gt;$A$15)),
        IF(Import.TipoArredondamento&lt;&gt;"TransfereGOV",
              ROUND(OFFSET($P458,0,AK$13),15-13*ORÇAMENTO!$AF$7)/$H458*OFFSET(ORÇAMENTO!$X$15,ROW(AK458)-ROW(AK$15),0),
              ROUND(ROUND(OFFSET($P458,0,AK$13),15-13*ORÇAMENTO!$AF$7)*OFFSET(ORÇAMENTO!$W$15,ROW(AK458)-ROW(AK$15),0),15-13*ORÇAMENTO!$AF$11)),
         0)</f>
        <v>0</v>
      </c>
      <c r="AL458" s="453">
        <f ca="1">IF(AND($D458="Serviço",AL$12&lt;&gt;0,$H458&gt;0,OR(AUTOEVENTO&lt;&gt;"manual",$M458&lt;&gt;$A$15)),
        IF(Import.TipoArredondamento&lt;&gt;"TransfereGOV",
              ROUND(OFFSET($P458,0,AL$13),15-13*ORÇAMENTO!$AF$7)/$H458*OFFSET(ORÇAMENTO!$X$15,ROW(AL458)-ROW(AL$15),0),
              ROUND(ROUND(OFFSET($P458,0,AL$13),15-13*ORÇAMENTO!$AF$7)*OFFSET(ORÇAMENTO!$W$15,ROW(AL458)-ROW(AL$15),0),15-13*ORÇAMENTO!$AF$11)),
         0)</f>
        <v>0</v>
      </c>
      <c r="AM458" s="453">
        <f ca="1">IF(AND($D458="Serviço",AM$12&lt;&gt;0,$H458&gt;0,OR(AUTOEVENTO&lt;&gt;"manual",$M458&lt;&gt;$A$15)),
        IF(Import.TipoArredondamento&lt;&gt;"TransfereGOV",
              ROUND(OFFSET($P458,0,AM$13),15-13*ORÇAMENTO!$AF$7)/$H458*OFFSET(ORÇAMENTO!$X$15,ROW(AM458)-ROW(AM$15),0),
              ROUND(ROUND(OFFSET($P458,0,AM$13),15-13*ORÇAMENTO!$AF$7)*OFFSET(ORÇAMENTO!$W$15,ROW(AM458)-ROW(AM$15),0),15-13*ORÇAMENTO!$AF$11)),
         0)</f>
        <v>0</v>
      </c>
      <c r="AN458" s="453">
        <f ca="1">IF(AND($D458="Serviço",AN$12&lt;&gt;0,$H458&gt;0,OR(AUTOEVENTO&lt;&gt;"manual",$M458&lt;&gt;$A$15)),
        IF(Import.TipoArredondamento&lt;&gt;"TransfereGOV",
              ROUND(OFFSET($P458,0,AN$13),15-13*ORÇAMENTO!$AF$7)/$H458*OFFSET(ORÇAMENTO!$X$15,ROW(AN458)-ROW(AN$15),0),
              ROUND(ROUND(OFFSET($P458,0,AN$13),15-13*ORÇAMENTO!$AF$7)*OFFSET(ORÇAMENTO!$W$15,ROW(AN458)-ROW(AN$15),0),15-13*ORÇAMENTO!$AF$11)),
         0)</f>
        <v>0</v>
      </c>
      <c r="AO458" s="453">
        <f ca="1">IF(AND($D458="Serviço",AO$12&lt;&gt;0,$H458&gt;0,OR(AUTOEVENTO&lt;&gt;"manual",$M458&lt;&gt;$A$15)),
        IF(Import.TipoArredondamento&lt;&gt;"TransfereGOV",
              ROUND(OFFSET($P458,0,AO$13),15-13*ORÇAMENTO!$AF$7)/$H458*OFFSET(ORÇAMENTO!$X$15,ROW(AO458)-ROW(AO$15),0),
              ROUND(ROUND(OFFSET($P458,0,AO$13),15-13*ORÇAMENTO!$AF$7)*OFFSET(ORÇAMENTO!$W$15,ROW(AO458)-ROW(AO$15),0),15-13*ORÇAMENTO!$AF$11)),
         0)</f>
        <v>0</v>
      </c>
      <c r="AP458" s="453">
        <f ca="1">IF(AND($D458="Serviço",AP$12&lt;&gt;0,$H458&gt;0,OR(AUTOEVENTO&lt;&gt;"manual",$M458&lt;&gt;$A$15)),
        IF(Import.TipoArredondamento&lt;&gt;"TransfereGOV",
              ROUND(OFFSET($P458,0,AP$13),15-13*ORÇAMENTO!$AF$7)/$H458*OFFSET(ORÇAMENTO!$X$15,ROW(AP458)-ROW(AP$15),0),
              ROUND(ROUND(OFFSET($P458,0,AP$13),15-13*ORÇAMENTO!$AF$7)*OFFSET(ORÇAMENTO!$W$15,ROW(AP458)-ROW(AP$15),0),15-13*ORÇAMENTO!$AF$11)),
         0)</f>
        <v>0</v>
      </c>
      <c r="AQ458" s="453">
        <f ca="1">IF(AND($D458="Serviço",AQ$12&lt;&gt;0,$H458&gt;0,OR(AUTOEVENTO&lt;&gt;"manual",$M458&lt;&gt;$A$15)),
        IF(Import.TipoArredondamento&lt;&gt;"TransfereGOV",
              ROUND(OFFSET($P458,0,AQ$13),15-13*ORÇAMENTO!$AF$7)/$H458*OFFSET(ORÇAMENTO!$X$15,ROW(AQ458)-ROW(AQ$15),0),
              ROUND(ROUND(OFFSET($P458,0,AQ$13),15-13*ORÇAMENTO!$AF$7)*OFFSET(ORÇAMENTO!$W$15,ROW(AQ458)-ROW(AQ$15),0),15-13*ORÇAMENTO!$AF$11)),
         0)</f>
        <v>0</v>
      </c>
      <c r="AR458" s="453">
        <f ca="1">IF(AND($D458="Serviço",AR$12&lt;&gt;0,$H458&gt;0,OR(AUTOEVENTO&lt;&gt;"manual",$M458&lt;&gt;$A$15)),
        IF(Import.TipoArredondamento&lt;&gt;"TransfereGOV",
              ROUND(OFFSET($P458,0,AR$13),15-13*ORÇAMENTO!$AF$7)/$H458*OFFSET(ORÇAMENTO!$X$15,ROW(AR458)-ROW(AR$15),0),
              ROUND(ROUND(OFFSET($P458,0,AR$13),15-13*ORÇAMENTO!$AF$7)*OFFSET(ORÇAMENTO!$W$15,ROW(AR458)-ROW(AR$15),0),15-13*ORÇAMENTO!$AF$11)),
         0)</f>
        <v>0</v>
      </c>
      <c r="AS458" s="453">
        <f ca="1">IF(AND($D458="Serviço",AS$12&lt;&gt;0,$H458&gt;0,OR(AUTOEVENTO&lt;&gt;"manual",$M458&lt;&gt;$A$15)),
        IF(Import.TipoArredondamento&lt;&gt;"TransfereGOV",
              ROUND(OFFSET($P458,0,AS$13),15-13*ORÇAMENTO!$AF$7)/$H458*OFFSET(ORÇAMENTO!$X$15,ROW(AS458)-ROW(AS$15),0),
              ROUND(ROUND(OFFSET($P458,0,AS$13),15-13*ORÇAMENTO!$AF$7)*OFFSET(ORÇAMENTO!$W$15,ROW(AS458)-ROW(AS$15),0),15-13*ORÇAMENTO!$AF$11)),
         0)</f>
        <v>0</v>
      </c>
      <c r="AT458" s="453">
        <f ca="1">IF(AND($D458="Serviço",AT$12&lt;&gt;0,$H458&gt;0,OR(AUTOEVENTO&lt;&gt;"manual",$M458&lt;&gt;$A$15)),
        IF(Import.TipoArredondamento&lt;&gt;"TransfereGOV",
              ROUND(OFFSET($P458,0,AT$13),15-13*ORÇAMENTO!$AF$7)/$H458*OFFSET(ORÇAMENTO!$X$15,ROW(AT458)-ROW(AT$15),0),
              ROUND(ROUND(OFFSET($P458,0,AT$13),15-13*ORÇAMENTO!$AF$7)*OFFSET(ORÇAMENTO!$W$15,ROW(AT458)-ROW(AT$15),0),15-13*ORÇAMENTO!$AF$11)),
         0)</f>
        <v>0</v>
      </c>
      <c r="AU458" s="453">
        <f ca="1">IF(AND($D458="Serviço",AU$12&lt;&gt;0,$H458&gt;0,OR(AUTOEVENTO&lt;&gt;"manual",$M458&lt;&gt;$A$15)),
        IF(Import.TipoArredondamento&lt;&gt;"TransfereGOV",
              ROUND(OFFSET($P458,0,AU$13),15-13*ORÇAMENTO!$AF$7)/$H458*OFFSET(ORÇAMENTO!$X$15,ROW(AU458)-ROW(AU$15),0),
              ROUND(ROUND(OFFSET($P458,0,AU$13),15-13*ORÇAMENTO!$AF$7)*OFFSET(ORÇAMENTO!$W$15,ROW(AU458)-ROW(AU$15),0),15-13*ORÇAMENTO!$AF$11)),
         0)</f>
        <v>0</v>
      </c>
      <c r="AV458" s="453">
        <f ca="1">IF(AND($D458="Serviço",AV$12&lt;&gt;0,$H458&gt;0,OR(AUTOEVENTO&lt;&gt;"manual",$M458&lt;&gt;$A$15)),
        IF(Import.TipoArredondamento&lt;&gt;"TransfereGOV",
              ROUND(OFFSET($P458,0,AV$13),15-13*ORÇAMENTO!$AF$7)/$H458*OFFSET(ORÇAMENTO!$X$15,ROW(AV458)-ROW(AV$15),0),
              ROUND(ROUND(OFFSET($P458,0,AV$13),15-13*ORÇAMENTO!$AF$7)*OFFSET(ORÇAMENTO!$W$15,ROW(AV458)-ROW(AV$15),0),15-13*ORÇAMENTO!$AF$11)),
         0)</f>
        <v>0</v>
      </c>
      <c r="AW458" s="453">
        <f ca="1">IF(AND($D458="Serviço",AW$12&lt;&gt;0,$H458&gt;0,OR(AUTOEVENTO&lt;&gt;"manual",$M458&lt;&gt;$A$15)),
        IF(Import.TipoArredondamento&lt;&gt;"TransfereGOV",
              ROUND(OFFSET($P458,0,AW$13),15-13*ORÇAMENTO!$AF$7)/$H458*OFFSET(ORÇAMENTO!$X$15,ROW(AW458)-ROW(AW$15),0),
              ROUND(ROUND(OFFSET($P458,0,AW$13),15-13*ORÇAMENTO!$AF$7)*OFFSET(ORÇAMENTO!$W$15,ROW(AW458)-ROW(AW$15),0),15-13*ORÇAMENTO!$AF$11)),
         0)</f>
        <v>0</v>
      </c>
      <c r="AX458" s="453">
        <f ca="1">IF(AND($D458="Serviço",AX$12&lt;&gt;0,$H458&gt;0,OR(AUTOEVENTO&lt;&gt;"manual",$M458&lt;&gt;$A$15)),
        IF(Import.TipoArredondamento&lt;&gt;"TransfereGOV",
              ROUND(OFFSET($P458,0,AX$13),15-13*ORÇAMENTO!$AF$7)/$H458*OFFSET(ORÇAMENTO!$X$15,ROW(AX458)-ROW(AX$15),0),
              ROUND(ROUND(OFFSET($P458,0,AX$13),15-13*ORÇAMENTO!$AF$7)*OFFSET(ORÇAMENTO!$W$15,ROW(AX458)-ROW(AX$15),0),15-13*ORÇAMENTO!$AF$11)),
         0)</f>
        <v>0</v>
      </c>
      <c r="AY458" s="453">
        <f ca="1">IF(AND($D458="Serviço",AY$12&lt;&gt;0,$H458&gt;0,OR(AUTOEVENTO&lt;&gt;"manual",$M458&lt;&gt;$A$15)),
        IF(Import.TipoArredondamento&lt;&gt;"TransfereGOV",
              ROUND(OFFSET($P458,0,AY$13),15-13*ORÇAMENTO!$AF$7)/$H458*OFFSET(ORÇAMENTO!$X$15,ROW(AY458)-ROW(AY$15),0),
              ROUND(ROUND(OFFSET($P458,0,AY$13),15-13*ORÇAMENTO!$AF$7)*OFFSET(ORÇAMENTO!$W$15,ROW(AY458)-ROW(AY$15),0),15-13*ORÇAMENTO!$AF$11)),
         0)</f>
        <v>0</v>
      </c>
      <c r="AZ458" s="453">
        <f ca="1">IF(AND($D458="Serviço",AZ$12&lt;&gt;0,$H458&gt;0,OR(AUTOEVENTO&lt;&gt;"manual",$M458&lt;&gt;$A$15)),
        IF(Import.TipoArredondamento&lt;&gt;"TransfereGOV",
              ROUND(OFFSET($P458,0,AZ$13),15-13*ORÇAMENTO!$AF$7)/$H458*OFFSET(ORÇAMENTO!$X$15,ROW(AZ458)-ROW(AZ$15),0),
              ROUND(ROUND(OFFSET($P458,0,AZ$13),15-13*ORÇAMENTO!$AF$7)*OFFSET(ORÇAMENTO!$W$15,ROW(AZ458)-ROW(AZ$15),0),15-13*ORÇAMENTO!$AF$11)),
         0)</f>
        <v>0</v>
      </c>
      <c r="BA458" s="453">
        <f ca="1">IF(AND($D458="Serviço",BA$12&lt;&gt;0,$H458&gt;0,OR(AUTOEVENTO&lt;&gt;"manual",$M458&lt;&gt;$A$15)),
        IF(Import.TipoArredondamento&lt;&gt;"TransfereGOV",
              ROUND(OFFSET($P458,0,BA$13),15-13*ORÇAMENTO!$AF$7)/$H458*OFFSET(ORÇAMENTO!$X$15,ROW(BA458)-ROW(BA$15),0),
              ROUND(ROUND(OFFSET($P458,0,BA$13),15-13*ORÇAMENTO!$AF$7)*OFFSET(ORÇAMENTO!$W$15,ROW(BA458)-ROW(BA$15),0),15-13*ORÇAMENTO!$AF$11)),
         0)</f>
        <v>0</v>
      </c>
      <c r="BC458" s="171">
        <f ca="1">IF(OR($D458&lt;&gt;"Serviço",AND(AUTOEVENTO="Manual",$M458=$A$15)),0,
         IF(OFFSET(CRONOPLE!$F$15,$M458-$A$15,BC$13)=0,10^12,OFFSET(CRONOPLE!$F$15,$M458-$A$15,BC$13)))</f>
        <v>1</v>
      </c>
      <c r="BD458" s="171">
        <f ca="1">IF(OR($D458&lt;&gt;"Serviço",AND(AUTOEVENTO="Manual",$M458=$A$15)),0,
         IF(OFFSET(CRONOPLE!$F$15,$M458-$A$15,BD$13)=0,10^12,OFFSET(CRONOPLE!$F$15,$M458-$A$15,BD$13)))</f>
        <v>2</v>
      </c>
      <c r="BE458" s="171">
        <f ca="1">IF(OR($D458&lt;&gt;"Serviço",AND(AUTOEVENTO="Manual",$M458=$A$15)),0,
         IF(OFFSET(CRONOPLE!$F$15,$M458-$A$15,BE$13)=0,10^12,OFFSET(CRONOPLE!$F$15,$M458-$A$15,BE$13)))</f>
        <v>3</v>
      </c>
      <c r="BF458" s="171">
        <f ca="1">IF(OR($D458&lt;&gt;"Serviço",AND(AUTOEVENTO="Manual",$M458=$A$15)),0,
         IF(OFFSET(CRONOPLE!$F$15,$M458-$A$15,BF$13)=0,10^12,OFFSET(CRONOPLE!$F$15,$M458-$A$15,BF$13)))</f>
        <v>4</v>
      </c>
      <c r="BG458" s="171">
        <f ca="1">IF(OR($D458&lt;&gt;"Serviço",AND(AUTOEVENTO="Manual",$M458=$A$15)),0,
         IF(OFFSET(CRONOPLE!$F$15,$M458-$A$15,BG$13)=0,10^12,OFFSET(CRONOPLE!$F$15,$M458-$A$15,BG$13)))</f>
        <v>5</v>
      </c>
      <c r="BH458" s="171">
        <f ca="1">IF(OR($D458&lt;&gt;"Serviço",AND(AUTOEVENTO="Manual",$M458=$A$15)),0,
         IF(OFFSET(CRONOPLE!$F$15,$M458-$A$15,BH$13)=0,10^12,OFFSET(CRONOPLE!$F$15,$M458-$A$15,BH$13)))</f>
        <v>6</v>
      </c>
      <c r="BI458" s="171">
        <f ca="1">IF(OR($D458&lt;&gt;"Serviço",AND(AUTOEVENTO="Manual",$M458=$A$15)),0,
         IF(OFFSET(CRONOPLE!$F$15,$M458-$A$15,BI$13)=0,10^12,OFFSET(CRONOPLE!$F$15,$M458-$A$15,BI$13)))</f>
        <v>7</v>
      </c>
      <c r="BJ458" s="171">
        <f ca="1">IF(OR($D458&lt;&gt;"Serviço",AND(AUTOEVENTO="Manual",$M458=$A$15)),0,
         IF(OFFSET(CRONOPLE!$F$15,$M458-$A$15,BJ$13)=0,10^12,OFFSET(CRONOPLE!$F$15,$M458-$A$15,BJ$13)))</f>
        <v>8</v>
      </c>
      <c r="BK458" s="171">
        <f ca="1">IF(OR($D458&lt;&gt;"Serviço",AND(AUTOEVENTO="Manual",$M458=$A$15)),0,
         IF(OFFSET(CRONOPLE!$F$15,$M458-$A$15,BK$13)=0,10^12,OFFSET(CRONOPLE!$F$15,$M458-$A$15,BK$13)))</f>
        <v>9</v>
      </c>
      <c r="BL458" s="171">
        <f ca="1">IF(OR($D458&lt;&gt;"Serviço",AND(AUTOEVENTO="Manual",$M458=$A$15)),0,
         IF(OFFSET(CRONOPLE!$F$15,$M458-$A$15,BL$13)=0,10^12,OFFSET(CRONOPLE!$F$15,$M458-$A$15,BL$13)))</f>
        <v>1000000000000</v>
      </c>
      <c r="BM458" s="171">
        <f ca="1">IF(OR($D458&lt;&gt;"Serviço",AND(AUTOEVENTO="Manual",$M458=$A$15)),0,
         IF(OFFSET(CRONOPLE!$F$15,$M458-$A$15,BM$13)=0,10^12,OFFSET(CRONOPLE!$F$15,$M458-$A$15,BM$13)))</f>
        <v>1000000000000</v>
      </c>
      <c r="BN458" s="171">
        <f ca="1">IF(OR($D458&lt;&gt;"Serviço",AND(AUTOEVENTO="Manual",$M458=$A$15)),0,
         IF(OFFSET(CRONOPLE!$F$15,$M458-$A$15,BN$13)=0,10^12,OFFSET(CRONOPLE!$F$15,$M458-$A$15,BN$13)))</f>
        <v>1000000000000</v>
      </c>
      <c r="BO458" s="171">
        <f ca="1">IF(OR($D458&lt;&gt;"Serviço",AND(AUTOEVENTO="Manual",$M458=$A$15)),0,
         IF(OFFSET(CRONOPLE!$F$15,$M458-$A$15,BO$13)=0,10^12,OFFSET(CRONOPLE!$F$15,$M458-$A$15,BO$13)))</f>
        <v>1000000000000</v>
      </c>
      <c r="BP458" s="171">
        <f ca="1">IF(OR($D458&lt;&gt;"Serviço",AND(AUTOEVENTO="Manual",$M458=$A$15)),0,
         IF(OFFSET(CRONOPLE!$F$15,$M458-$A$15,BP$13)=0,10^12,OFFSET(CRONOPLE!$F$15,$M458-$A$15,BP$13)))</f>
        <v>1000000000000</v>
      </c>
      <c r="BQ458" s="171">
        <f ca="1">IF(OR($D458&lt;&gt;"Serviço",AND(AUTOEVENTO="Manual",$M458=$A$15)),0,
         IF(OFFSET(CRONOPLE!$F$15,$M458-$A$15,BQ$13)=0,10^12,OFFSET(CRONOPLE!$F$15,$M458-$A$15,BQ$13)))</f>
        <v>1000000000000</v>
      </c>
      <c r="BR458" s="171">
        <f ca="1">IF(OR($D458&lt;&gt;"Serviço",AND(AUTOEVENTO="Manual",$M458=$A$15)),0,
         IF(OFFSET(CRONOPLE!$F$15,$M458-$A$15,BR$13)=0,10^12,OFFSET(CRONOPLE!$F$15,$M458-$A$15,BR$13)))</f>
        <v>1000000000000</v>
      </c>
      <c r="BS458" s="171">
        <f ca="1">IF(OR($D458&lt;&gt;"Serviço",AND(AUTOEVENTO="Manual",$M458=$A$15)),0,
         IF(OFFSET(CRONOPLE!$F$15,$M458-$A$15,BS$13)=0,10^12,OFFSET(CRONOPLE!$F$15,$M458-$A$15,BS$13)))</f>
        <v>1000000000000</v>
      </c>
      <c r="BT458" s="171">
        <f ca="1">IF(OR($D458&lt;&gt;"Serviço",AND(AUTOEVENTO="Manual",$M458=$A$15)),0,
         IF(OFFSET(CRONOPLE!$F$15,$M458-$A$15,BT$13)=0,10^12,OFFSET(CRONOPLE!$F$15,$M458-$A$15,BT$13)))</f>
        <v>1000000000000</v>
      </c>
      <c r="BV458" s="172">
        <f ca="1">IF(OR($D458&lt;&gt;"Serviço",AND(AUTOEVENTO="Manual",$M458=$A$15),$M458&gt;(ROW(PLE.lastrow)-ROW(PLE.firstrow))),0,
           IF(OFFSET(PLE!$G$15,$M458-$A$15,BV$13)="",10^12,OFFSET(PLE!$G$15,$M458-$A$15,BV$13)))</f>
        <v>1000000000000</v>
      </c>
      <c r="BW458" s="172">
        <f ca="1">IF(OR($D458&lt;&gt;"Serviço",AND(AUTOEVENTO="Manual",$M458=$A$15),$M458&gt;(ROW(PLE.lastrow)-ROW(PLE.firstrow))),0,
           IF(OFFSET(PLE!$G$15,$M458-$A$15,BW$13)="",10^12,OFFSET(PLE!$G$15,$M458-$A$15,BW$13)))</f>
        <v>1000000000000</v>
      </c>
      <c r="BX458" s="172">
        <f ca="1">IF(OR($D458&lt;&gt;"Serviço",AND(AUTOEVENTO="Manual",$M458=$A$15),$M458&gt;(ROW(PLE.lastrow)-ROW(PLE.firstrow))),0,
           IF(OFFSET(PLE!$G$15,$M458-$A$15,BX$13)="",10^12,OFFSET(PLE!$G$15,$M458-$A$15,BX$13)))</f>
        <v>1000000000000</v>
      </c>
      <c r="BY458" s="172">
        <f ca="1">IF(OR($D458&lt;&gt;"Serviço",AND(AUTOEVENTO="Manual",$M458=$A$15),$M458&gt;(ROW(PLE.lastrow)-ROW(PLE.firstrow))),0,
           IF(OFFSET(PLE!$G$15,$M458-$A$15,BY$13)="",10^12,OFFSET(PLE!$G$15,$M458-$A$15,BY$13)))</f>
        <v>1000000000000</v>
      </c>
      <c r="BZ458" s="172">
        <f ca="1">IF(OR($D458&lt;&gt;"Serviço",AND(AUTOEVENTO="Manual",$M458=$A$15),$M458&gt;(ROW(PLE.lastrow)-ROW(PLE.firstrow))),0,
           IF(OFFSET(PLE!$G$15,$M458-$A$15,BZ$13)="",10^12,OFFSET(PLE!$G$15,$M458-$A$15,BZ$13)))</f>
        <v>1000000000000</v>
      </c>
      <c r="CA458" s="172">
        <f ca="1">IF(OR($D458&lt;&gt;"Serviço",AND(AUTOEVENTO="Manual",$M458=$A$15),$M458&gt;(ROW(PLE.lastrow)-ROW(PLE.firstrow))),0,
           IF(OFFSET(PLE!$G$15,$M458-$A$15,CA$13)="",10^12,OFFSET(PLE!$G$15,$M458-$A$15,CA$13)))</f>
        <v>1000000000000</v>
      </c>
      <c r="CB458" s="172">
        <f ca="1">IF(OR($D458&lt;&gt;"Serviço",AND(AUTOEVENTO="Manual",$M458=$A$15),$M458&gt;(ROW(PLE.lastrow)-ROW(PLE.firstrow))),0,
           IF(OFFSET(PLE!$G$15,$M458-$A$15,CB$13)="",10^12,OFFSET(PLE!$G$15,$M458-$A$15,CB$13)))</f>
        <v>1000000000000</v>
      </c>
      <c r="CC458" s="172">
        <f ca="1">IF(OR($D458&lt;&gt;"Serviço",AND(AUTOEVENTO="Manual",$M458=$A$15),$M458&gt;(ROW(PLE.lastrow)-ROW(PLE.firstrow))),0,
           IF(OFFSET(PLE!$G$15,$M458-$A$15,CC$13)="",10^12,OFFSET(PLE!$G$15,$M458-$A$15,CC$13)))</f>
        <v>1000000000000</v>
      </c>
      <c r="CD458" s="172">
        <f ca="1">IF(OR($D458&lt;&gt;"Serviço",AND(AUTOEVENTO="Manual",$M458=$A$15),$M458&gt;(ROW(PLE.lastrow)-ROW(PLE.firstrow))),0,
           IF(OFFSET(PLE!$G$15,$M458-$A$15,CD$13)="",10^12,OFFSET(PLE!$G$15,$M458-$A$15,CD$13)))</f>
        <v>1000000000000</v>
      </c>
      <c r="CE458" s="172">
        <f ca="1">IF(OR($D458&lt;&gt;"Serviço",AND(AUTOEVENTO="Manual",$M458=$A$15),$M458&gt;(ROW(PLE.lastrow)-ROW(PLE.firstrow))),0,
           IF(OFFSET(PLE!$G$15,$M458-$A$15,CE$13)="",10^12,OFFSET(PLE!$G$15,$M458-$A$15,CE$13)))</f>
        <v>1000000000000</v>
      </c>
      <c r="CF458" s="172">
        <f ca="1">IF(OR($D458&lt;&gt;"Serviço",AND(AUTOEVENTO="Manual",$M458=$A$15),$M458&gt;(ROW(PLE.lastrow)-ROW(PLE.firstrow))),0,
           IF(OFFSET(PLE!$G$15,$M458-$A$15,CF$13)="",10^12,OFFSET(PLE!$G$15,$M458-$A$15,CF$13)))</f>
        <v>1000000000000</v>
      </c>
      <c r="CG458" s="172">
        <f ca="1">IF(OR($D458&lt;&gt;"Serviço",AND(AUTOEVENTO="Manual",$M458=$A$15),$M458&gt;(ROW(PLE.lastrow)-ROW(PLE.firstrow))),0,
           IF(OFFSET(PLE!$G$15,$M458-$A$15,CG$13)="",10^12,OFFSET(PLE!$G$15,$M458-$A$15,CG$13)))</f>
        <v>1000000000000</v>
      </c>
      <c r="CH458" s="172">
        <f ca="1">IF(OR($D458&lt;&gt;"Serviço",AND(AUTOEVENTO="Manual",$M458=$A$15),$M458&gt;(ROW(PLE.lastrow)-ROW(PLE.firstrow))),0,
           IF(OFFSET(PLE!$G$15,$M458-$A$15,CH$13)="",10^12,OFFSET(PLE!$G$15,$M458-$A$15,CH$13)))</f>
        <v>1000000000000</v>
      </c>
      <c r="CI458" s="172">
        <f ca="1">IF(OR($D458&lt;&gt;"Serviço",AND(AUTOEVENTO="Manual",$M458=$A$15),$M458&gt;(ROW(PLE.lastrow)-ROW(PLE.firstrow))),0,
           IF(OFFSET(PLE!$G$15,$M458-$A$15,CI$13)="",10^12,OFFSET(PLE!$G$15,$M458-$A$15,CI$13)))</f>
        <v>1000000000000</v>
      </c>
      <c r="CJ458" s="172">
        <f ca="1">IF(OR($D458&lt;&gt;"Serviço",AND(AUTOEVENTO="Manual",$M458=$A$15),$M458&gt;(ROW(PLE.lastrow)-ROW(PLE.firstrow))),0,
           IF(OFFSET(PLE!$G$15,$M458-$A$15,CJ$13)="",10^12,OFFSET(PLE!$G$15,$M458-$A$15,CJ$13)))</f>
        <v>1000000000000</v>
      </c>
      <c r="CK458" s="172">
        <f ca="1">IF(OR($D458&lt;&gt;"Serviço",AND(AUTOEVENTO="Manual",$M458=$A$15),$M458&gt;(ROW(PLE.lastrow)-ROW(PLE.firstrow))),0,
           IF(OFFSET(PLE!$G$15,$M458-$A$15,CK$13)="",10^12,OFFSET(PLE!$G$15,$M458-$A$15,CK$13)))</f>
        <v>1000000000000</v>
      </c>
      <c r="CL458" s="172">
        <f ca="1">IF(OR($D458&lt;&gt;"Serviço",AND(AUTOEVENTO="Manual",$M458=$A$15),$M458&gt;(ROW(PLE.lastrow)-ROW(PLE.firstrow))),0,
           IF(OFFSET(PLE!$G$15,$M458-$A$15,CL$13)="",10^12,OFFSET(PLE!$G$15,$M458-$A$15,CL$13)))</f>
        <v>1000000000000</v>
      </c>
      <c r="CM458" s="172">
        <f ca="1">IF(OR($D458&lt;&gt;"Serviço",AND(AUTOEVENTO="Manual",$M458=$A$15),$M458&gt;(ROW(PLE.lastrow)-ROW(PLE.firstrow))),0,
           IF(OFFSET(PLE!$G$15,$M458-$A$15,CM$13)="",10^12,OFFSET(PLE!$G$15,$M458-$A$15,CM$13)))</f>
        <v>1000000000000</v>
      </c>
    </row>
    <row r="459" spans="1:91" ht="12.75" x14ac:dyDescent="0.2">
      <c r="A459" s="7">
        <f t="shared" ca="1" si="16"/>
        <v>0</v>
      </c>
      <c r="B459" s="7">
        <f ca="1">OFFSET(ORÇAMENTO!C$15,ROW(B459)-ROW(B$15),0)</f>
        <v>3</v>
      </c>
      <c r="C459" s="7" t="str">
        <f ca="1">OFFSET(ORÇAMENTO!L$15,ROW(C459)-ROW(C$15),0)</f>
        <v>F</v>
      </c>
      <c r="D459" s="116" t="str">
        <f ca="1">OFFSET(ORÇAMENTO!N$15,ROW(D459)-ROW(D$15),0)</f>
        <v>Nível 3</v>
      </c>
      <c r="E459" s="117" t="str">
        <f ca="1">OFFSET(ORÇAMENTO!O$15,ROW(E459)-ROW(E$15),0)</f>
        <v>1.9.4.</v>
      </c>
      <c r="F459" s="163" t="str">
        <f ca="1">OFFSET(ORÇAMENTO!R$15,ROW(F459)-ROW(F$15),0)</f>
        <v>CÂMERAS</v>
      </c>
      <c r="G459" s="164" t="str">
        <f ca="1">IF($D459&lt;&gt;"Serviço","",OFFSET(ORÇAMENTO!S$15,ROW(G459)-ROW(G$15),0))</f>
        <v/>
      </c>
      <c r="H459" s="122" cm="1">
        <f t="array" aca="1" ref="H459" ca="1">IF($D459&lt;&gt;"Serviço",0,IF(ACOMPANHAMENTO="BM",ROUND(OFFSET(ORÇAMENTO!AJ$15,ROW(H459)-ROW(H$15),0),15-13*ORÇAMENTO!$AF$7),SUMPRODUCT(($Q$1:$AI$1=1)*ROUND($Q459:$AI459,15-13*ORÇAMENTO!$AF$7))))</f>
        <v>0</v>
      </c>
      <c r="I459" s="468"/>
      <c r="J459" s="640" t="str" cm="1">
        <f t="array" aca="1" ref="J459" ca="1">IF(OR(B459&lt;&gt;"S",CÁLCULO.FrentesPreenchidas=0),"",IF(AND(ACOMPANHAMENTO="PLE",AUTOEVENTO="Manual",OR(H459&gt;0,ORÇAMENTO!AC459="QUANT."),OR(K459="",M459=0,N459="")),"►E",IF(AND(ACOMPANHAMENTO="PLE",ORÇAMENTO!AC459="QUANT."),"►Q",IF(AND(ACOMPANHAMENTO="PLE",H459&lt;&gt;SUMPRODUCT(($Q$1:$AI$1=1)*ROUND(Q459:AI459,15))),"►S",IF(AND(COUNTIF($P$11:$AI$11,"▼")=0,H459&gt;0,I459=""),"◄M","")))))</f>
        <v/>
      </c>
      <c r="K459" s="641"/>
      <c r="L459" s="165" t="s">
        <v>764</v>
      </c>
      <c r="M459" s="166" t="str">
        <f ca="1">IF($D459&lt;&gt;"Serviço","",
          IF(AUTOEVENTO="manual",$A459,
                IF(ISERROR(MATCH($A459,$A$15:OFFSET($A459,-1,0),0)),MAX($M$15:OFFSET(M459,-1,0))+1,
                      INDEX($M$15:OFFSET(M459,-1,0),MATCH($A459,$A$15:OFFSET($A459,-1,0),0)))))</f>
        <v/>
      </c>
      <c r="N459" s="167" t="str">
        <f ca="1">IF($D459&lt;&gt;"Serviço","",
         IF(AUTOEVENTO="Manual",
                IF($A459=0,"&lt;-- defina o número do agrupador",
                       OFFSET(EVENTOS!$D$15,$A459-$A$15,0)),
                OFFSET($F$15,$A459,0)))</f>
        <v/>
      </c>
      <c r="O459" s="168"/>
      <c r="Q459" s="168"/>
      <c r="R459" s="169"/>
      <c r="S459" s="169"/>
      <c r="T459" s="169"/>
      <c r="U459" s="169"/>
      <c r="V459" s="169"/>
      <c r="W459" s="169"/>
      <c r="X459" s="169"/>
      <c r="Y459" s="169"/>
      <c r="Z459" s="170"/>
      <c r="AA459" s="169"/>
      <c r="AB459" s="169"/>
      <c r="AC459" s="169"/>
      <c r="AD459" s="169"/>
      <c r="AE459" s="169"/>
      <c r="AF459" s="169"/>
      <c r="AG459" s="169"/>
      <c r="AH459" s="170"/>
      <c r="AJ459" s="453">
        <f ca="1">IF(AND($D459="Serviço",AJ$12&lt;&gt;0,$H459&gt;0,OR(AUTOEVENTO&lt;&gt;"manual",$M459&lt;&gt;$A$15)),
        IF(Import.TipoArredondamento&lt;&gt;"TransfereGOV",
              ROUND(OFFSET($P459,0,AJ$13),15-13*ORÇAMENTO!$AF$7)/$H459*OFFSET(ORÇAMENTO!$X$15,ROW(AJ459)-ROW(AJ$15),0),
              ROUND(ROUND(OFFSET($P459,0,AJ$13),15-13*ORÇAMENTO!$AF$7)*OFFSET(ORÇAMENTO!$W$15,ROW(AJ459)-ROW(AJ$15),0),15-13*ORÇAMENTO!$AF$11)),
         0)</f>
        <v>0</v>
      </c>
      <c r="AK459" s="453">
        <f ca="1">IF(AND($D459="Serviço",AK$12&lt;&gt;0,$H459&gt;0,OR(AUTOEVENTO&lt;&gt;"manual",$M459&lt;&gt;$A$15)),
        IF(Import.TipoArredondamento&lt;&gt;"TransfereGOV",
              ROUND(OFFSET($P459,0,AK$13),15-13*ORÇAMENTO!$AF$7)/$H459*OFFSET(ORÇAMENTO!$X$15,ROW(AK459)-ROW(AK$15),0),
              ROUND(ROUND(OFFSET($P459,0,AK$13),15-13*ORÇAMENTO!$AF$7)*OFFSET(ORÇAMENTO!$W$15,ROW(AK459)-ROW(AK$15),0),15-13*ORÇAMENTO!$AF$11)),
         0)</f>
        <v>0</v>
      </c>
      <c r="AL459" s="453">
        <f ca="1">IF(AND($D459="Serviço",AL$12&lt;&gt;0,$H459&gt;0,OR(AUTOEVENTO&lt;&gt;"manual",$M459&lt;&gt;$A$15)),
        IF(Import.TipoArredondamento&lt;&gt;"TransfereGOV",
              ROUND(OFFSET($P459,0,AL$13),15-13*ORÇAMENTO!$AF$7)/$H459*OFFSET(ORÇAMENTO!$X$15,ROW(AL459)-ROW(AL$15),0),
              ROUND(ROUND(OFFSET($P459,0,AL$13),15-13*ORÇAMENTO!$AF$7)*OFFSET(ORÇAMENTO!$W$15,ROW(AL459)-ROW(AL$15),0),15-13*ORÇAMENTO!$AF$11)),
         0)</f>
        <v>0</v>
      </c>
      <c r="AM459" s="453">
        <f ca="1">IF(AND($D459="Serviço",AM$12&lt;&gt;0,$H459&gt;0,OR(AUTOEVENTO&lt;&gt;"manual",$M459&lt;&gt;$A$15)),
        IF(Import.TipoArredondamento&lt;&gt;"TransfereGOV",
              ROUND(OFFSET($P459,0,AM$13),15-13*ORÇAMENTO!$AF$7)/$H459*OFFSET(ORÇAMENTO!$X$15,ROW(AM459)-ROW(AM$15),0),
              ROUND(ROUND(OFFSET($P459,0,AM$13),15-13*ORÇAMENTO!$AF$7)*OFFSET(ORÇAMENTO!$W$15,ROW(AM459)-ROW(AM$15),0),15-13*ORÇAMENTO!$AF$11)),
         0)</f>
        <v>0</v>
      </c>
      <c r="AN459" s="453">
        <f ca="1">IF(AND($D459="Serviço",AN$12&lt;&gt;0,$H459&gt;0,OR(AUTOEVENTO&lt;&gt;"manual",$M459&lt;&gt;$A$15)),
        IF(Import.TipoArredondamento&lt;&gt;"TransfereGOV",
              ROUND(OFFSET($P459,0,AN$13),15-13*ORÇAMENTO!$AF$7)/$H459*OFFSET(ORÇAMENTO!$X$15,ROW(AN459)-ROW(AN$15),0),
              ROUND(ROUND(OFFSET($P459,0,AN$13),15-13*ORÇAMENTO!$AF$7)*OFFSET(ORÇAMENTO!$W$15,ROW(AN459)-ROW(AN$15),0),15-13*ORÇAMENTO!$AF$11)),
         0)</f>
        <v>0</v>
      </c>
      <c r="AO459" s="453">
        <f ca="1">IF(AND($D459="Serviço",AO$12&lt;&gt;0,$H459&gt;0,OR(AUTOEVENTO&lt;&gt;"manual",$M459&lt;&gt;$A$15)),
        IF(Import.TipoArredondamento&lt;&gt;"TransfereGOV",
              ROUND(OFFSET($P459,0,AO$13),15-13*ORÇAMENTO!$AF$7)/$H459*OFFSET(ORÇAMENTO!$X$15,ROW(AO459)-ROW(AO$15),0),
              ROUND(ROUND(OFFSET($P459,0,AO$13),15-13*ORÇAMENTO!$AF$7)*OFFSET(ORÇAMENTO!$W$15,ROW(AO459)-ROW(AO$15),0),15-13*ORÇAMENTO!$AF$11)),
         0)</f>
        <v>0</v>
      </c>
      <c r="AP459" s="453">
        <f ca="1">IF(AND($D459="Serviço",AP$12&lt;&gt;0,$H459&gt;0,OR(AUTOEVENTO&lt;&gt;"manual",$M459&lt;&gt;$A$15)),
        IF(Import.TipoArredondamento&lt;&gt;"TransfereGOV",
              ROUND(OFFSET($P459,0,AP$13),15-13*ORÇAMENTO!$AF$7)/$H459*OFFSET(ORÇAMENTO!$X$15,ROW(AP459)-ROW(AP$15),0),
              ROUND(ROUND(OFFSET($P459,0,AP$13),15-13*ORÇAMENTO!$AF$7)*OFFSET(ORÇAMENTO!$W$15,ROW(AP459)-ROW(AP$15),0),15-13*ORÇAMENTO!$AF$11)),
         0)</f>
        <v>0</v>
      </c>
      <c r="AQ459" s="453">
        <f ca="1">IF(AND($D459="Serviço",AQ$12&lt;&gt;0,$H459&gt;0,OR(AUTOEVENTO&lt;&gt;"manual",$M459&lt;&gt;$A$15)),
        IF(Import.TipoArredondamento&lt;&gt;"TransfereGOV",
              ROUND(OFFSET($P459,0,AQ$13),15-13*ORÇAMENTO!$AF$7)/$H459*OFFSET(ORÇAMENTO!$X$15,ROW(AQ459)-ROW(AQ$15),0),
              ROUND(ROUND(OFFSET($P459,0,AQ$13),15-13*ORÇAMENTO!$AF$7)*OFFSET(ORÇAMENTO!$W$15,ROW(AQ459)-ROW(AQ$15),0),15-13*ORÇAMENTO!$AF$11)),
         0)</f>
        <v>0</v>
      </c>
      <c r="AR459" s="453">
        <f ca="1">IF(AND($D459="Serviço",AR$12&lt;&gt;0,$H459&gt;0,OR(AUTOEVENTO&lt;&gt;"manual",$M459&lt;&gt;$A$15)),
        IF(Import.TipoArredondamento&lt;&gt;"TransfereGOV",
              ROUND(OFFSET($P459,0,AR$13),15-13*ORÇAMENTO!$AF$7)/$H459*OFFSET(ORÇAMENTO!$X$15,ROW(AR459)-ROW(AR$15),0),
              ROUND(ROUND(OFFSET($P459,0,AR$13),15-13*ORÇAMENTO!$AF$7)*OFFSET(ORÇAMENTO!$W$15,ROW(AR459)-ROW(AR$15),0),15-13*ORÇAMENTO!$AF$11)),
         0)</f>
        <v>0</v>
      </c>
      <c r="AS459" s="453">
        <f ca="1">IF(AND($D459="Serviço",AS$12&lt;&gt;0,$H459&gt;0,OR(AUTOEVENTO&lt;&gt;"manual",$M459&lt;&gt;$A$15)),
        IF(Import.TipoArredondamento&lt;&gt;"TransfereGOV",
              ROUND(OFFSET($P459,0,AS$13),15-13*ORÇAMENTO!$AF$7)/$H459*OFFSET(ORÇAMENTO!$X$15,ROW(AS459)-ROW(AS$15),0),
              ROUND(ROUND(OFFSET($P459,0,AS$13),15-13*ORÇAMENTO!$AF$7)*OFFSET(ORÇAMENTO!$W$15,ROW(AS459)-ROW(AS$15),0),15-13*ORÇAMENTO!$AF$11)),
         0)</f>
        <v>0</v>
      </c>
      <c r="AT459" s="453">
        <f ca="1">IF(AND($D459="Serviço",AT$12&lt;&gt;0,$H459&gt;0,OR(AUTOEVENTO&lt;&gt;"manual",$M459&lt;&gt;$A$15)),
        IF(Import.TipoArredondamento&lt;&gt;"TransfereGOV",
              ROUND(OFFSET($P459,0,AT$13),15-13*ORÇAMENTO!$AF$7)/$H459*OFFSET(ORÇAMENTO!$X$15,ROW(AT459)-ROW(AT$15),0),
              ROUND(ROUND(OFFSET($P459,0,AT$13),15-13*ORÇAMENTO!$AF$7)*OFFSET(ORÇAMENTO!$W$15,ROW(AT459)-ROW(AT$15),0),15-13*ORÇAMENTO!$AF$11)),
         0)</f>
        <v>0</v>
      </c>
      <c r="AU459" s="453">
        <f ca="1">IF(AND($D459="Serviço",AU$12&lt;&gt;0,$H459&gt;0,OR(AUTOEVENTO&lt;&gt;"manual",$M459&lt;&gt;$A$15)),
        IF(Import.TipoArredondamento&lt;&gt;"TransfereGOV",
              ROUND(OFFSET($P459,0,AU$13),15-13*ORÇAMENTO!$AF$7)/$H459*OFFSET(ORÇAMENTO!$X$15,ROW(AU459)-ROW(AU$15),0),
              ROUND(ROUND(OFFSET($P459,0,AU$13),15-13*ORÇAMENTO!$AF$7)*OFFSET(ORÇAMENTO!$W$15,ROW(AU459)-ROW(AU$15),0),15-13*ORÇAMENTO!$AF$11)),
         0)</f>
        <v>0</v>
      </c>
      <c r="AV459" s="453">
        <f ca="1">IF(AND($D459="Serviço",AV$12&lt;&gt;0,$H459&gt;0,OR(AUTOEVENTO&lt;&gt;"manual",$M459&lt;&gt;$A$15)),
        IF(Import.TipoArredondamento&lt;&gt;"TransfereGOV",
              ROUND(OFFSET($P459,0,AV$13),15-13*ORÇAMENTO!$AF$7)/$H459*OFFSET(ORÇAMENTO!$X$15,ROW(AV459)-ROW(AV$15),0),
              ROUND(ROUND(OFFSET($P459,0,AV$13),15-13*ORÇAMENTO!$AF$7)*OFFSET(ORÇAMENTO!$W$15,ROW(AV459)-ROW(AV$15),0),15-13*ORÇAMENTO!$AF$11)),
         0)</f>
        <v>0</v>
      </c>
      <c r="AW459" s="453">
        <f ca="1">IF(AND($D459="Serviço",AW$12&lt;&gt;0,$H459&gt;0,OR(AUTOEVENTO&lt;&gt;"manual",$M459&lt;&gt;$A$15)),
        IF(Import.TipoArredondamento&lt;&gt;"TransfereGOV",
              ROUND(OFFSET($P459,0,AW$13),15-13*ORÇAMENTO!$AF$7)/$H459*OFFSET(ORÇAMENTO!$X$15,ROW(AW459)-ROW(AW$15),0),
              ROUND(ROUND(OFFSET($P459,0,AW$13),15-13*ORÇAMENTO!$AF$7)*OFFSET(ORÇAMENTO!$W$15,ROW(AW459)-ROW(AW$15),0),15-13*ORÇAMENTO!$AF$11)),
         0)</f>
        <v>0</v>
      </c>
      <c r="AX459" s="453">
        <f ca="1">IF(AND($D459="Serviço",AX$12&lt;&gt;0,$H459&gt;0,OR(AUTOEVENTO&lt;&gt;"manual",$M459&lt;&gt;$A$15)),
        IF(Import.TipoArredondamento&lt;&gt;"TransfereGOV",
              ROUND(OFFSET($P459,0,AX$13),15-13*ORÇAMENTO!$AF$7)/$H459*OFFSET(ORÇAMENTO!$X$15,ROW(AX459)-ROW(AX$15),0),
              ROUND(ROUND(OFFSET($P459,0,AX$13),15-13*ORÇAMENTO!$AF$7)*OFFSET(ORÇAMENTO!$W$15,ROW(AX459)-ROW(AX$15),0),15-13*ORÇAMENTO!$AF$11)),
         0)</f>
        <v>0</v>
      </c>
      <c r="AY459" s="453">
        <f ca="1">IF(AND($D459="Serviço",AY$12&lt;&gt;0,$H459&gt;0,OR(AUTOEVENTO&lt;&gt;"manual",$M459&lt;&gt;$A$15)),
        IF(Import.TipoArredondamento&lt;&gt;"TransfereGOV",
              ROUND(OFFSET($P459,0,AY$13),15-13*ORÇAMENTO!$AF$7)/$H459*OFFSET(ORÇAMENTO!$X$15,ROW(AY459)-ROW(AY$15),0),
              ROUND(ROUND(OFFSET($P459,0,AY$13),15-13*ORÇAMENTO!$AF$7)*OFFSET(ORÇAMENTO!$W$15,ROW(AY459)-ROW(AY$15),0),15-13*ORÇAMENTO!$AF$11)),
         0)</f>
        <v>0</v>
      </c>
      <c r="AZ459" s="453">
        <f ca="1">IF(AND($D459="Serviço",AZ$12&lt;&gt;0,$H459&gt;0,OR(AUTOEVENTO&lt;&gt;"manual",$M459&lt;&gt;$A$15)),
        IF(Import.TipoArredondamento&lt;&gt;"TransfereGOV",
              ROUND(OFFSET($P459,0,AZ$13),15-13*ORÇAMENTO!$AF$7)/$H459*OFFSET(ORÇAMENTO!$X$15,ROW(AZ459)-ROW(AZ$15),0),
              ROUND(ROUND(OFFSET($P459,0,AZ$13),15-13*ORÇAMENTO!$AF$7)*OFFSET(ORÇAMENTO!$W$15,ROW(AZ459)-ROW(AZ$15),0),15-13*ORÇAMENTO!$AF$11)),
         0)</f>
        <v>0</v>
      </c>
      <c r="BA459" s="453">
        <f ca="1">IF(AND($D459="Serviço",BA$12&lt;&gt;0,$H459&gt;0,OR(AUTOEVENTO&lt;&gt;"manual",$M459&lt;&gt;$A$15)),
        IF(Import.TipoArredondamento&lt;&gt;"TransfereGOV",
              ROUND(OFFSET($P459,0,BA$13),15-13*ORÇAMENTO!$AF$7)/$H459*OFFSET(ORÇAMENTO!$X$15,ROW(BA459)-ROW(BA$15),0),
              ROUND(ROUND(OFFSET($P459,0,BA$13),15-13*ORÇAMENTO!$AF$7)*OFFSET(ORÇAMENTO!$W$15,ROW(BA459)-ROW(BA$15),0),15-13*ORÇAMENTO!$AF$11)),
         0)</f>
        <v>0</v>
      </c>
      <c r="BC459" s="171">
        <f ca="1">IF(OR($D459&lt;&gt;"Serviço",AND(AUTOEVENTO="Manual",$M459=$A$15)),0,
         IF(OFFSET(CRONOPLE!$F$15,$M459-$A$15,BC$13)=0,10^12,OFFSET(CRONOPLE!$F$15,$M459-$A$15,BC$13)))</f>
        <v>0</v>
      </c>
      <c r="BD459" s="171">
        <f ca="1">IF(OR($D459&lt;&gt;"Serviço",AND(AUTOEVENTO="Manual",$M459=$A$15)),0,
         IF(OFFSET(CRONOPLE!$F$15,$M459-$A$15,BD$13)=0,10^12,OFFSET(CRONOPLE!$F$15,$M459-$A$15,BD$13)))</f>
        <v>0</v>
      </c>
      <c r="BE459" s="171">
        <f ca="1">IF(OR($D459&lt;&gt;"Serviço",AND(AUTOEVENTO="Manual",$M459=$A$15)),0,
         IF(OFFSET(CRONOPLE!$F$15,$M459-$A$15,BE$13)=0,10^12,OFFSET(CRONOPLE!$F$15,$M459-$A$15,BE$13)))</f>
        <v>0</v>
      </c>
      <c r="BF459" s="171">
        <f ca="1">IF(OR($D459&lt;&gt;"Serviço",AND(AUTOEVENTO="Manual",$M459=$A$15)),0,
         IF(OFFSET(CRONOPLE!$F$15,$M459-$A$15,BF$13)=0,10^12,OFFSET(CRONOPLE!$F$15,$M459-$A$15,BF$13)))</f>
        <v>0</v>
      </c>
      <c r="BG459" s="171">
        <f ca="1">IF(OR($D459&lt;&gt;"Serviço",AND(AUTOEVENTO="Manual",$M459=$A$15)),0,
         IF(OFFSET(CRONOPLE!$F$15,$M459-$A$15,BG$13)=0,10^12,OFFSET(CRONOPLE!$F$15,$M459-$A$15,BG$13)))</f>
        <v>0</v>
      </c>
      <c r="BH459" s="171">
        <f ca="1">IF(OR($D459&lt;&gt;"Serviço",AND(AUTOEVENTO="Manual",$M459=$A$15)),0,
         IF(OFFSET(CRONOPLE!$F$15,$M459-$A$15,BH$13)=0,10^12,OFFSET(CRONOPLE!$F$15,$M459-$A$15,BH$13)))</f>
        <v>0</v>
      </c>
      <c r="BI459" s="171">
        <f ca="1">IF(OR($D459&lt;&gt;"Serviço",AND(AUTOEVENTO="Manual",$M459=$A$15)),0,
         IF(OFFSET(CRONOPLE!$F$15,$M459-$A$15,BI$13)=0,10^12,OFFSET(CRONOPLE!$F$15,$M459-$A$15,BI$13)))</f>
        <v>0</v>
      </c>
      <c r="BJ459" s="171">
        <f ca="1">IF(OR($D459&lt;&gt;"Serviço",AND(AUTOEVENTO="Manual",$M459=$A$15)),0,
         IF(OFFSET(CRONOPLE!$F$15,$M459-$A$15,BJ$13)=0,10^12,OFFSET(CRONOPLE!$F$15,$M459-$A$15,BJ$13)))</f>
        <v>0</v>
      </c>
      <c r="BK459" s="171">
        <f ca="1">IF(OR($D459&lt;&gt;"Serviço",AND(AUTOEVENTO="Manual",$M459=$A$15)),0,
         IF(OFFSET(CRONOPLE!$F$15,$M459-$A$15,BK$13)=0,10^12,OFFSET(CRONOPLE!$F$15,$M459-$A$15,BK$13)))</f>
        <v>0</v>
      </c>
      <c r="BL459" s="171">
        <f ca="1">IF(OR($D459&lt;&gt;"Serviço",AND(AUTOEVENTO="Manual",$M459=$A$15)),0,
         IF(OFFSET(CRONOPLE!$F$15,$M459-$A$15,BL$13)=0,10^12,OFFSET(CRONOPLE!$F$15,$M459-$A$15,BL$13)))</f>
        <v>0</v>
      </c>
      <c r="BM459" s="171">
        <f ca="1">IF(OR($D459&lt;&gt;"Serviço",AND(AUTOEVENTO="Manual",$M459=$A$15)),0,
         IF(OFFSET(CRONOPLE!$F$15,$M459-$A$15,BM$13)=0,10^12,OFFSET(CRONOPLE!$F$15,$M459-$A$15,BM$13)))</f>
        <v>0</v>
      </c>
      <c r="BN459" s="171">
        <f ca="1">IF(OR($D459&lt;&gt;"Serviço",AND(AUTOEVENTO="Manual",$M459=$A$15)),0,
         IF(OFFSET(CRONOPLE!$F$15,$M459-$A$15,BN$13)=0,10^12,OFFSET(CRONOPLE!$F$15,$M459-$A$15,BN$13)))</f>
        <v>0</v>
      </c>
      <c r="BO459" s="171">
        <f ca="1">IF(OR($D459&lt;&gt;"Serviço",AND(AUTOEVENTO="Manual",$M459=$A$15)),0,
         IF(OFFSET(CRONOPLE!$F$15,$M459-$A$15,BO$13)=0,10^12,OFFSET(CRONOPLE!$F$15,$M459-$A$15,BO$13)))</f>
        <v>0</v>
      </c>
      <c r="BP459" s="171">
        <f ca="1">IF(OR($D459&lt;&gt;"Serviço",AND(AUTOEVENTO="Manual",$M459=$A$15)),0,
         IF(OFFSET(CRONOPLE!$F$15,$M459-$A$15,BP$13)=0,10^12,OFFSET(CRONOPLE!$F$15,$M459-$A$15,BP$13)))</f>
        <v>0</v>
      </c>
      <c r="BQ459" s="171">
        <f ca="1">IF(OR($D459&lt;&gt;"Serviço",AND(AUTOEVENTO="Manual",$M459=$A$15)),0,
         IF(OFFSET(CRONOPLE!$F$15,$M459-$A$15,BQ$13)=0,10^12,OFFSET(CRONOPLE!$F$15,$M459-$A$15,BQ$13)))</f>
        <v>0</v>
      </c>
      <c r="BR459" s="171">
        <f ca="1">IF(OR($D459&lt;&gt;"Serviço",AND(AUTOEVENTO="Manual",$M459=$A$15)),0,
         IF(OFFSET(CRONOPLE!$F$15,$M459-$A$15,BR$13)=0,10^12,OFFSET(CRONOPLE!$F$15,$M459-$A$15,BR$13)))</f>
        <v>0</v>
      </c>
      <c r="BS459" s="171">
        <f ca="1">IF(OR($D459&lt;&gt;"Serviço",AND(AUTOEVENTO="Manual",$M459=$A$15)),0,
         IF(OFFSET(CRONOPLE!$F$15,$M459-$A$15,BS$13)=0,10^12,OFFSET(CRONOPLE!$F$15,$M459-$A$15,BS$13)))</f>
        <v>0</v>
      </c>
      <c r="BT459" s="171">
        <f ca="1">IF(OR($D459&lt;&gt;"Serviço",AND(AUTOEVENTO="Manual",$M459=$A$15)),0,
         IF(OFFSET(CRONOPLE!$F$15,$M459-$A$15,BT$13)=0,10^12,OFFSET(CRONOPLE!$F$15,$M459-$A$15,BT$13)))</f>
        <v>0</v>
      </c>
      <c r="BV459" s="172">
        <f ca="1">IF(OR($D459&lt;&gt;"Serviço",AND(AUTOEVENTO="Manual",$M459=$A$15),$M459&gt;(ROW(PLE.lastrow)-ROW(PLE.firstrow))),0,
           IF(OFFSET(PLE!$G$15,$M459-$A$15,BV$13)="",10^12,OFFSET(PLE!$G$15,$M459-$A$15,BV$13)))</f>
        <v>0</v>
      </c>
      <c r="BW459" s="172">
        <f ca="1">IF(OR($D459&lt;&gt;"Serviço",AND(AUTOEVENTO="Manual",$M459=$A$15),$M459&gt;(ROW(PLE.lastrow)-ROW(PLE.firstrow))),0,
           IF(OFFSET(PLE!$G$15,$M459-$A$15,BW$13)="",10^12,OFFSET(PLE!$G$15,$M459-$A$15,BW$13)))</f>
        <v>0</v>
      </c>
      <c r="BX459" s="172">
        <f ca="1">IF(OR($D459&lt;&gt;"Serviço",AND(AUTOEVENTO="Manual",$M459=$A$15),$M459&gt;(ROW(PLE.lastrow)-ROW(PLE.firstrow))),0,
           IF(OFFSET(PLE!$G$15,$M459-$A$15,BX$13)="",10^12,OFFSET(PLE!$G$15,$M459-$A$15,BX$13)))</f>
        <v>0</v>
      </c>
      <c r="BY459" s="172">
        <f ca="1">IF(OR($D459&lt;&gt;"Serviço",AND(AUTOEVENTO="Manual",$M459=$A$15),$M459&gt;(ROW(PLE.lastrow)-ROW(PLE.firstrow))),0,
           IF(OFFSET(PLE!$G$15,$M459-$A$15,BY$13)="",10^12,OFFSET(PLE!$G$15,$M459-$A$15,BY$13)))</f>
        <v>0</v>
      </c>
      <c r="BZ459" s="172">
        <f ca="1">IF(OR($D459&lt;&gt;"Serviço",AND(AUTOEVENTO="Manual",$M459=$A$15),$M459&gt;(ROW(PLE.lastrow)-ROW(PLE.firstrow))),0,
           IF(OFFSET(PLE!$G$15,$M459-$A$15,BZ$13)="",10^12,OFFSET(PLE!$G$15,$M459-$A$15,BZ$13)))</f>
        <v>0</v>
      </c>
      <c r="CA459" s="172">
        <f ca="1">IF(OR($D459&lt;&gt;"Serviço",AND(AUTOEVENTO="Manual",$M459=$A$15),$M459&gt;(ROW(PLE.lastrow)-ROW(PLE.firstrow))),0,
           IF(OFFSET(PLE!$G$15,$M459-$A$15,CA$13)="",10^12,OFFSET(PLE!$G$15,$M459-$A$15,CA$13)))</f>
        <v>0</v>
      </c>
      <c r="CB459" s="172">
        <f ca="1">IF(OR($D459&lt;&gt;"Serviço",AND(AUTOEVENTO="Manual",$M459=$A$15),$M459&gt;(ROW(PLE.lastrow)-ROW(PLE.firstrow))),0,
           IF(OFFSET(PLE!$G$15,$M459-$A$15,CB$13)="",10^12,OFFSET(PLE!$G$15,$M459-$A$15,CB$13)))</f>
        <v>0</v>
      </c>
      <c r="CC459" s="172">
        <f ca="1">IF(OR($D459&lt;&gt;"Serviço",AND(AUTOEVENTO="Manual",$M459=$A$15),$M459&gt;(ROW(PLE.lastrow)-ROW(PLE.firstrow))),0,
           IF(OFFSET(PLE!$G$15,$M459-$A$15,CC$13)="",10^12,OFFSET(PLE!$G$15,$M459-$A$15,CC$13)))</f>
        <v>0</v>
      </c>
      <c r="CD459" s="172">
        <f ca="1">IF(OR($D459&lt;&gt;"Serviço",AND(AUTOEVENTO="Manual",$M459=$A$15),$M459&gt;(ROW(PLE.lastrow)-ROW(PLE.firstrow))),0,
           IF(OFFSET(PLE!$G$15,$M459-$A$15,CD$13)="",10^12,OFFSET(PLE!$G$15,$M459-$A$15,CD$13)))</f>
        <v>0</v>
      </c>
      <c r="CE459" s="172">
        <f ca="1">IF(OR($D459&lt;&gt;"Serviço",AND(AUTOEVENTO="Manual",$M459=$A$15),$M459&gt;(ROW(PLE.lastrow)-ROW(PLE.firstrow))),0,
           IF(OFFSET(PLE!$G$15,$M459-$A$15,CE$13)="",10^12,OFFSET(PLE!$G$15,$M459-$A$15,CE$13)))</f>
        <v>0</v>
      </c>
      <c r="CF459" s="172">
        <f ca="1">IF(OR($D459&lt;&gt;"Serviço",AND(AUTOEVENTO="Manual",$M459=$A$15),$M459&gt;(ROW(PLE.lastrow)-ROW(PLE.firstrow))),0,
           IF(OFFSET(PLE!$G$15,$M459-$A$15,CF$13)="",10^12,OFFSET(PLE!$G$15,$M459-$A$15,CF$13)))</f>
        <v>0</v>
      </c>
      <c r="CG459" s="172">
        <f ca="1">IF(OR($D459&lt;&gt;"Serviço",AND(AUTOEVENTO="Manual",$M459=$A$15),$M459&gt;(ROW(PLE.lastrow)-ROW(PLE.firstrow))),0,
           IF(OFFSET(PLE!$G$15,$M459-$A$15,CG$13)="",10^12,OFFSET(PLE!$G$15,$M459-$A$15,CG$13)))</f>
        <v>0</v>
      </c>
      <c r="CH459" s="172">
        <f ca="1">IF(OR($D459&lt;&gt;"Serviço",AND(AUTOEVENTO="Manual",$M459=$A$15),$M459&gt;(ROW(PLE.lastrow)-ROW(PLE.firstrow))),0,
           IF(OFFSET(PLE!$G$15,$M459-$A$15,CH$13)="",10^12,OFFSET(PLE!$G$15,$M459-$A$15,CH$13)))</f>
        <v>0</v>
      </c>
      <c r="CI459" s="172">
        <f ca="1">IF(OR($D459&lt;&gt;"Serviço",AND(AUTOEVENTO="Manual",$M459=$A$15),$M459&gt;(ROW(PLE.lastrow)-ROW(PLE.firstrow))),0,
           IF(OFFSET(PLE!$G$15,$M459-$A$15,CI$13)="",10^12,OFFSET(PLE!$G$15,$M459-$A$15,CI$13)))</f>
        <v>0</v>
      </c>
      <c r="CJ459" s="172">
        <f ca="1">IF(OR($D459&lt;&gt;"Serviço",AND(AUTOEVENTO="Manual",$M459=$A$15),$M459&gt;(ROW(PLE.lastrow)-ROW(PLE.firstrow))),0,
           IF(OFFSET(PLE!$G$15,$M459-$A$15,CJ$13)="",10^12,OFFSET(PLE!$G$15,$M459-$A$15,CJ$13)))</f>
        <v>0</v>
      </c>
      <c r="CK459" s="172">
        <f ca="1">IF(OR($D459&lt;&gt;"Serviço",AND(AUTOEVENTO="Manual",$M459=$A$15),$M459&gt;(ROW(PLE.lastrow)-ROW(PLE.firstrow))),0,
           IF(OFFSET(PLE!$G$15,$M459-$A$15,CK$13)="",10^12,OFFSET(PLE!$G$15,$M459-$A$15,CK$13)))</f>
        <v>0</v>
      </c>
      <c r="CL459" s="172">
        <f ca="1">IF(OR($D459&lt;&gt;"Serviço",AND(AUTOEVENTO="Manual",$M459=$A$15),$M459&gt;(ROW(PLE.lastrow)-ROW(PLE.firstrow))),0,
           IF(OFFSET(PLE!$G$15,$M459-$A$15,CL$13)="",10^12,OFFSET(PLE!$G$15,$M459-$A$15,CL$13)))</f>
        <v>0</v>
      </c>
      <c r="CM459" s="172">
        <f ca="1">IF(OR($D459&lt;&gt;"Serviço",AND(AUTOEVENTO="Manual",$M459=$A$15),$M459&gt;(ROW(PLE.lastrow)-ROW(PLE.firstrow))),0,
           IF(OFFSET(PLE!$G$15,$M459-$A$15,CM$13)="",10^12,OFFSET(PLE!$G$15,$M459-$A$15,CM$13)))</f>
        <v>0</v>
      </c>
    </row>
    <row r="460" spans="1:91" ht="38.25" x14ac:dyDescent="0.2">
      <c r="A460" s="7">
        <f t="shared" ca="1" si="16"/>
        <v>8</v>
      </c>
      <c r="B460" s="7" t="str">
        <f ca="1">OFFSET(ORÇAMENTO!C$15,ROW(B460)-ROW(B$15),0)</f>
        <v>S</v>
      </c>
      <c r="C460" s="7" t="str">
        <f ca="1">OFFSET(ORÇAMENTO!L$15,ROW(C460)-ROW(C$15),0)</f>
        <v>F</v>
      </c>
      <c r="D460" s="116" t="str">
        <f ca="1">OFFSET(ORÇAMENTO!N$15,ROW(D460)-ROW(D$15),0)</f>
        <v>Serviço</v>
      </c>
      <c r="E460" s="117" t="str">
        <f ca="1">OFFSET(ORÇAMENTO!O$15,ROW(E460)-ROW(E$15),0)</f>
        <v>1.9.4.0.1.</v>
      </c>
      <c r="F460" s="163" t="str">
        <f ca="1">OFFSET(ORÇAMENTO!R$15,ROW(F460)-ROW(F$15),0)</f>
        <v>CÂMERA IP MINI BULLET VIP S3330 G2 3MP - BASEADO EM SBC (068399)</v>
      </c>
      <c r="G460" s="164" t="str">
        <f ca="1">IF($D460&lt;&gt;"Serviço","",OFFSET(ORÇAMENTO!S$15,ROW(G460)-ROW(G$15),0))</f>
        <v>UN</v>
      </c>
      <c r="H460" s="122" cm="1">
        <f t="array" aca="1" ref="H460" ca="1">IF($D460&lt;&gt;"Serviço",0,IF(ACOMPANHAMENTO="BM",ROUND(OFFSET(ORÇAMENTO!AJ$15,ROW(H460)-ROW(H$15),0),15-13*ORÇAMENTO!$AF$7),SUMPRODUCT(($Q$1:$AI$1=1)*ROUND($Q460:$AI460,15-13*ORÇAMENTO!$AF$7))))</f>
        <v>21</v>
      </c>
      <c r="I460" s="468" t="s">
        <v>1432</v>
      </c>
      <c r="J460" s="640" t="str" cm="1">
        <f t="array" aca="1" ref="J460" ca="1">IF(OR(B460&lt;&gt;"S",CÁLCULO.FrentesPreenchidas=0),"",IF(AND(ACOMPANHAMENTO="PLE",AUTOEVENTO="Manual",OR(H460&gt;0,ORÇAMENTO!AC460="QUANT."),OR(K460="",M460=0,N460="")),"►E",IF(AND(ACOMPANHAMENTO="PLE",ORÇAMENTO!AC460="QUANT."),"►Q",IF(AND(ACOMPANHAMENTO="PLE",H460&lt;&gt;SUMPRODUCT(($Q$1:$AI$1=1)*ROUND(Q460:AI460,15))),"►S",IF(AND(COUNTIF($P$11:$AI$11,"▼")=0,H460&gt;0,I460=""),"◄M","")))))</f>
        <v/>
      </c>
      <c r="K460" s="641" t="s">
        <v>1392</v>
      </c>
      <c r="L460" s="165" t="s">
        <v>764</v>
      </c>
      <c r="M460" s="166">
        <f ca="1">IF($D460&lt;&gt;"Serviço","",
          IF(AUTOEVENTO="manual",$A460,
                IF(ISERROR(MATCH($A460,$A$15:OFFSET($A460,-1,0),0)),MAX($M$15:OFFSET(M460,-1,0))+1,
                      INDEX($M$15:OFFSET(M460,-1,0),MATCH($A460,$A$15:OFFSET($A460,-1,0),0)))))</f>
        <v>8</v>
      </c>
      <c r="N460" s="167" t="str">
        <f ca="1">IF($D460&lt;&gt;"Serviço","",
         IF(AUTOEVENTO="Manual",
                IF($A460=0,"&lt;-- defina o número do agrupador",
                       OFFSET(EVENTOS!$D$15,$A460-$A$15,0)),
                OFFSET($F$15,$A460,0)))</f>
        <v>CFTV</v>
      </c>
      <c r="O460" s="168"/>
      <c r="Q460" s="168"/>
      <c r="R460" s="169"/>
      <c r="S460" s="169"/>
      <c r="T460" s="169"/>
      <c r="U460" s="169"/>
      <c r="V460" s="169"/>
      <c r="W460" s="169"/>
      <c r="X460" s="169"/>
      <c r="Y460" s="169">
        <v>21</v>
      </c>
      <c r="Z460" s="170"/>
      <c r="AA460" s="169"/>
      <c r="AB460" s="169"/>
      <c r="AC460" s="169"/>
      <c r="AD460" s="169"/>
      <c r="AE460" s="169"/>
      <c r="AF460" s="169"/>
      <c r="AG460" s="169"/>
      <c r="AH460" s="170"/>
      <c r="AJ460" s="453">
        <f ca="1">IF(AND($D460="Serviço",AJ$12&lt;&gt;0,$H460&gt;0,OR(AUTOEVENTO&lt;&gt;"manual",$M460&lt;&gt;$A$15)),
        IF(Import.TipoArredondamento&lt;&gt;"TransfereGOV",
              ROUND(OFFSET($P460,0,AJ$13),15-13*ORÇAMENTO!$AF$7)/$H460*OFFSET(ORÇAMENTO!$X$15,ROW(AJ460)-ROW(AJ$15),0),
              ROUND(ROUND(OFFSET($P460,0,AJ$13),15-13*ORÇAMENTO!$AF$7)*OFFSET(ORÇAMENTO!$W$15,ROW(AJ460)-ROW(AJ$15),0),15-13*ORÇAMENTO!$AF$11)),
         0)</f>
        <v>0</v>
      </c>
      <c r="AK460" s="453">
        <f ca="1">IF(AND($D460="Serviço",AK$12&lt;&gt;0,$H460&gt;0,OR(AUTOEVENTO&lt;&gt;"manual",$M460&lt;&gt;$A$15)),
        IF(Import.TipoArredondamento&lt;&gt;"TransfereGOV",
              ROUND(OFFSET($P460,0,AK$13),15-13*ORÇAMENTO!$AF$7)/$H460*OFFSET(ORÇAMENTO!$X$15,ROW(AK460)-ROW(AK$15),0),
              ROUND(ROUND(OFFSET($P460,0,AK$13),15-13*ORÇAMENTO!$AF$7)*OFFSET(ORÇAMENTO!$W$15,ROW(AK460)-ROW(AK$15),0),15-13*ORÇAMENTO!$AF$11)),
         0)</f>
        <v>0</v>
      </c>
      <c r="AL460" s="453">
        <f ca="1">IF(AND($D460="Serviço",AL$12&lt;&gt;0,$H460&gt;0,OR(AUTOEVENTO&lt;&gt;"manual",$M460&lt;&gt;$A$15)),
        IF(Import.TipoArredondamento&lt;&gt;"TransfereGOV",
              ROUND(OFFSET($P460,0,AL$13),15-13*ORÇAMENTO!$AF$7)/$H460*OFFSET(ORÇAMENTO!$X$15,ROW(AL460)-ROW(AL$15),0),
              ROUND(ROUND(OFFSET($P460,0,AL$13),15-13*ORÇAMENTO!$AF$7)*OFFSET(ORÇAMENTO!$W$15,ROW(AL460)-ROW(AL$15),0),15-13*ORÇAMENTO!$AF$11)),
         0)</f>
        <v>0</v>
      </c>
      <c r="AM460" s="453">
        <f ca="1">IF(AND($D460="Serviço",AM$12&lt;&gt;0,$H460&gt;0,OR(AUTOEVENTO&lt;&gt;"manual",$M460&lt;&gt;$A$15)),
        IF(Import.TipoArredondamento&lt;&gt;"TransfereGOV",
              ROUND(OFFSET($P460,0,AM$13),15-13*ORÇAMENTO!$AF$7)/$H460*OFFSET(ORÇAMENTO!$X$15,ROW(AM460)-ROW(AM$15),0),
              ROUND(ROUND(OFFSET($P460,0,AM$13),15-13*ORÇAMENTO!$AF$7)*OFFSET(ORÇAMENTO!$W$15,ROW(AM460)-ROW(AM$15),0),15-13*ORÇAMENTO!$AF$11)),
         0)</f>
        <v>0</v>
      </c>
      <c r="AN460" s="453">
        <f ca="1">IF(AND($D460="Serviço",AN$12&lt;&gt;0,$H460&gt;0,OR(AUTOEVENTO&lt;&gt;"manual",$M460&lt;&gt;$A$15)),
        IF(Import.TipoArredondamento&lt;&gt;"TransfereGOV",
              ROUND(OFFSET($P460,0,AN$13),15-13*ORÇAMENTO!$AF$7)/$H460*OFFSET(ORÇAMENTO!$X$15,ROW(AN460)-ROW(AN$15),0),
              ROUND(ROUND(OFFSET($P460,0,AN$13),15-13*ORÇAMENTO!$AF$7)*OFFSET(ORÇAMENTO!$W$15,ROW(AN460)-ROW(AN$15),0),15-13*ORÇAMENTO!$AF$11)),
         0)</f>
        <v>0</v>
      </c>
      <c r="AO460" s="453">
        <f ca="1">IF(AND($D460="Serviço",AO$12&lt;&gt;0,$H460&gt;0,OR(AUTOEVENTO&lt;&gt;"manual",$M460&lt;&gt;$A$15)),
        IF(Import.TipoArredondamento&lt;&gt;"TransfereGOV",
              ROUND(OFFSET($P460,0,AO$13),15-13*ORÇAMENTO!$AF$7)/$H460*OFFSET(ORÇAMENTO!$X$15,ROW(AO460)-ROW(AO$15),0),
              ROUND(ROUND(OFFSET($P460,0,AO$13),15-13*ORÇAMENTO!$AF$7)*OFFSET(ORÇAMENTO!$W$15,ROW(AO460)-ROW(AO$15),0),15-13*ORÇAMENTO!$AF$11)),
         0)</f>
        <v>0</v>
      </c>
      <c r="AP460" s="453">
        <f ca="1">IF(AND($D460="Serviço",AP$12&lt;&gt;0,$H460&gt;0,OR(AUTOEVENTO&lt;&gt;"manual",$M460&lt;&gt;$A$15)),
        IF(Import.TipoArredondamento&lt;&gt;"TransfereGOV",
              ROUND(OFFSET($P460,0,AP$13),15-13*ORÇAMENTO!$AF$7)/$H460*OFFSET(ORÇAMENTO!$X$15,ROW(AP460)-ROW(AP$15),0),
              ROUND(ROUND(OFFSET($P460,0,AP$13),15-13*ORÇAMENTO!$AF$7)*OFFSET(ORÇAMENTO!$W$15,ROW(AP460)-ROW(AP$15),0),15-13*ORÇAMENTO!$AF$11)),
         0)</f>
        <v>0</v>
      </c>
      <c r="AQ460" s="453">
        <f ca="1">IF(AND($D460="Serviço",AQ$12&lt;&gt;0,$H460&gt;0,OR(AUTOEVENTO&lt;&gt;"manual",$M460&lt;&gt;$A$15)),
        IF(Import.TipoArredondamento&lt;&gt;"TransfereGOV",
              ROUND(OFFSET($P460,0,AQ$13),15-13*ORÇAMENTO!$AF$7)/$H460*OFFSET(ORÇAMENTO!$X$15,ROW(AQ460)-ROW(AQ$15),0),
              ROUND(ROUND(OFFSET($P460,0,AQ$13),15-13*ORÇAMENTO!$AF$7)*OFFSET(ORÇAMENTO!$W$15,ROW(AQ460)-ROW(AQ$15),0),15-13*ORÇAMENTO!$AF$11)),
         0)</f>
        <v>0</v>
      </c>
      <c r="AR460" s="453">
        <f ca="1">IF(AND($D460="Serviço",AR$12&lt;&gt;0,$H460&gt;0,OR(AUTOEVENTO&lt;&gt;"manual",$M460&lt;&gt;$A$15)),
        IF(Import.TipoArredondamento&lt;&gt;"TransfereGOV",
              ROUND(OFFSET($P460,0,AR$13),15-13*ORÇAMENTO!$AF$7)/$H460*OFFSET(ORÇAMENTO!$X$15,ROW(AR460)-ROW(AR$15),0),
              ROUND(ROUND(OFFSET($P460,0,AR$13),15-13*ORÇAMENTO!$AF$7)*OFFSET(ORÇAMENTO!$W$15,ROW(AR460)-ROW(AR$15),0),15-13*ORÇAMENTO!$AF$11)),
         0)</f>
        <v>0</v>
      </c>
      <c r="AS460" s="453">
        <f ca="1">IF(AND($D460="Serviço",AS$12&lt;&gt;0,$H460&gt;0,OR(AUTOEVENTO&lt;&gt;"manual",$M460&lt;&gt;$A$15)),
        IF(Import.TipoArredondamento&lt;&gt;"TransfereGOV",
              ROUND(OFFSET($P460,0,AS$13),15-13*ORÇAMENTO!$AF$7)/$H460*OFFSET(ORÇAMENTO!$X$15,ROW(AS460)-ROW(AS$15),0),
              ROUND(ROUND(OFFSET($P460,0,AS$13),15-13*ORÇAMENTO!$AF$7)*OFFSET(ORÇAMENTO!$W$15,ROW(AS460)-ROW(AS$15),0),15-13*ORÇAMENTO!$AF$11)),
         0)</f>
        <v>0</v>
      </c>
      <c r="AT460" s="453">
        <f ca="1">IF(AND($D460="Serviço",AT$12&lt;&gt;0,$H460&gt;0,OR(AUTOEVENTO&lt;&gt;"manual",$M460&lt;&gt;$A$15)),
        IF(Import.TipoArredondamento&lt;&gt;"TransfereGOV",
              ROUND(OFFSET($P460,0,AT$13),15-13*ORÇAMENTO!$AF$7)/$H460*OFFSET(ORÇAMENTO!$X$15,ROW(AT460)-ROW(AT$15),0),
              ROUND(ROUND(OFFSET($P460,0,AT$13),15-13*ORÇAMENTO!$AF$7)*OFFSET(ORÇAMENTO!$W$15,ROW(AT460)-ROW(AT$15),0),15-13*ORÇAMENTO!$AF$11)),
         0)</f>
        <v>0</v>
      </c>
      <c r="AU460" s="453">
        <f ca="1">IF(AND($D460="Serviço",AU$12&lt;&gt;0,$H460&gt;0,OR(AUTOEVENTO&lt;&gt;"manual",$M460&lt;&gt;$A$15)),
        IF(Import.TipoArredondamento&lt;&gt;"TransfereGOV",
              ROUND(OFFSET($P460,0,AU$13),15-13*ORÇAMENTO!$AF$7)/$H460*OFFSET(ORÇAMENTO!$X$15,ROW(AU460)-ROW(AU$15),0),
              ROUND(ROUND(OFFSET($P460,0,AU$13),15-13*ORÇAMENTO!$AF$7)*OFFSET(ORÇAMENTO!$W$15,ROW(AU460)-ROW(AU$15),0),15-13*ORÇAMENTO!$AF$11)),
         0)</f>
        <v>0</v>
      </c>
      <c r="AV460" s="453">
        <f ca="1">IF(AND($D460="Serviço",AV$12&lt;&gt;0,$H460&gt;0,OR(AUTOEVENTO&lt;&gt;"manual",$M460&lt;&gt;$A$15)),
        IF(Import.TipoArredondamento&lt;&gt;"TransfereGOV",
              ROUND(OFFSET($P460,0,AV$13),15-13*ORÇAMENTO!$AF$7)/$H460*OFFSET(ORÇAMENTO!$X$15,ROW(AV460)-ROW(AV$15),0),
              ROUND(ROUND(OFFSET($P460,0,AV$13),15-13*ORÇAMENTO!$AF$7)*OFFSET(ORÇAMENTO!$W$15,ROW(AV460)-ROW(AV$15),0),15-13*ORÇAMENTO!$AF$11)),
         0)</f>
        <v>0</v>
      </c>
      <c r="AW460" s="453">
        <f ca="1">IF(AND($D460="Serviço",AW$12&lt;&gt;0,$H460&gt;0,OR(AUTOEVENTO&lt;&gt;"manual",$M460&lt;&gt;$A$15)),
        IF(Import.TipoArredondamento&lt;&gt;"TransfereGOV",
              ROUND(OFFSET($P460,0,AW$13),15-13*ORÇAMENTO!$AF$7)/$H460*OFFSET(ORÇAMENTO!$X$15,ROW(AW460)-ROW(AW$15),0),
              ROUND(ROUND(OFFSET($P460,0,AW$13),15-13*ORÇAMENTO!$AF$7)*OFFSET(ORÇAMENTO!$W$15,ROW(AW460)-ROW(AW$15),0),15-13*ORÇAMENTO!$AF$11)),
         0)</f>
        <v>0</v>
      </c>
      <c r="AX460" s="453">
        <f ca="1">IF(AND($D460="Serviço",AX$12&lt;&gt;0,$H460&gt;0,OR(AUTOEVENTO&lt;&gt;"manual",$M460&lt;&gt;$A$15)),
        IF(Import.TipoArredondamento&lt;&gt;"TransfereGOV",
              ROUND(OFFSET($P460,0,AX$13),15-13*ORÇAMENTO!$AF$7)/$H460*OFFSET(ORÇAMENTO!$X$15,ROW(AX460)-ROW(AX$15),0),
              ROUND(ROUND(OFFSET($P460,0,AX$13),15-13*ORÇAMENTO!$AF$7)*OFFSET(ORÇAMENTO!$W$15,ROW(AX460)-ROW(AX$15),0),15-13*ORÇAMENTO!$AF$11)),
         0)</f>
        <v>0</v>
      </c>
      <c r="AY460" s="453">
        <f ca="1">IF(AND($D460="Serviço",AY$12&lt;&gt;0,$H460&gt;0,OR(AUTOEVENTO&lt;&gt;"manual",$M460&lt;&gt;$A$15)),
        IF(Import.TipoArredondamento&lt;&gt;"TransfereGOV",
              ROUND(OFFSET($P460,0,AY$13),15-13*ORÇAMENTO!$AF$7)/$H460*OFFSET(ORÇAMENTO!$X$15,ROW(AY460)-ROW(AY$15),0),
              ROUND(ROUND(OFFSET($P460,0,AY$13),15-13*ORÇAMENTO!$AF$7)*OFFSET(ORÇAMENTO!$W$15,ROW(AY460)-ROW(AY$15),0),15-13*ORÇAMENTO!$AF$11)),
         0)</f>
        <v>0</v>
      </c>
      <c r="AZ460" s="453">
        <f ca="1">IF(AND($D460="Serviço",AZ$12&lt;&gt;0,$H460&gt;0,OR(AUTOEVENTO&lt;&gt;"manual",$M460&lt;&gt;$A$15)),
        IF(Import.TipoArredondamento&lt;&gt;"TransfereGOV",
              ROUND(OFFSET($P460,0,AZ$13),15-13*ORÇAMENTO!$AF$7)/$H460*OFFSET(ORÇAMENTO!$X$15,ROW(AZ460)-ROW(AZ$15),0),
              ROUND(ROUND(OFFSET($P460,0,AZ$13),15-13*ORÇAMENTO!$AF$7)*OFFSET(ORÇAMENTO!$W$15,ROW(AZ460)-ROW(AZ$15),0),15-13*ORÇAMENTO!$AF$11)),
         0)</f>
        <v>0</v>
      </c>
      <c r="BA460" s="453">
        <f ca="1">IF(AND($D460="Serviço",BA$12&lt;&gt;0,$H460&gt;0,OR(AUTOEVENTO&lt;&gt;"manual",$M460&lt;&gt;$A$15)),
        IF(Import.TipoArredondamento&lt;&gt;"TransfereGOV",
              ROUND(OFFSET($P460,0,BA$13),15-13*ORÇAMENTO!$AF$7)/$H460*OFFSET(ORÇAMENTO!$X$15,ROW(BA460)-ROW(BA$15),0),
              ROUND(ROUND(OFFSET($P460,0,BA$13),15-13*ORÇAMENTO!$AF$7)*OFFSET(ORÇAMENTO!$W$15,ROW(BA460)-ROW(BA$15),0),15-13*ORÇAMENTO!$AF$11)),
         0)</f>
        <v>0</v>
      </c>
      <c r="BC460" s="171">
        <f ca="1">IF(OR($D460&lt;&gt;"Serviço",AND(AUTOEVENTO="Manual",$M460=$A$15)),0,
         IF(OFFSET(CRONOPLE!$F$15,$M460-$A$15,BC$13)=0,10^12,OFFSET(CRONOPLE!$F$15,$M460-$A$15,BC$13)))</f>
        <v>1</v>
      </c>
      <c r="BD460" s="171">
        <f ca="1">IF(OR($D460&lt;&gt;"Serviço",AND(AUTOEVENTO="Manual",$M460=$A$15)),0,
         IF(OFFSET(CRONOPLE!$F$15,$M460-$A$15,BD$13)=0,10^12,OFFSET(CRONOPLE!$F$15,$M460-$A$15,BD$13)))</f>
        <v>2</v>
      </c>
      <c r="BE460" s="171">
        <f ca="1">IF(OR($D460&lt;&gt;"Serviço",AND(AUTOEVENTO="Manual",$M460=$A$15)),0,
         IF(OFFSET(CRONOPLE!$F$15,$M460-$A$15,BE$13)=0,10^12,OFFSET(CRONOPLE!$F$15,$M460-$A$15,BE$13)))</f>
        <v>3</v>
      </c>
      <c r="BF460" s="171">
        <f ca="1">IF(OR($D460&lt;&gt;"Serviço",AND(AUTOEVENTO="Manual",$M460=$A$15)),0,
         IF(OFFSET(CRONOPLE!$F$15,$M460-$A$15,BF$13)=0,10^12,OFFSET(CRONOPLE!$F$15,$M460-$A$15,BF$13)))</f>
        <v>4</v>
      </c>
      <c r="BG460" s="171">
        <f ca="1">IF(OR($D460&lt;&gt;"Serviço",AND(AUTOEVENTO="Manual",$M460=$A$15)),0,
         IF(OFFSET(CRONOPLE!$F$15,$M460-$A$15,BG$13)=0,10^12,OFFSET(CRONOPLE!$F$15,$M460-$A$15,BG$13)))</f>
        <v>5</v>
      </c>
      <c r="BH460" s="171">
        <f ca="1">IF(OR($D460&lt;&gt;"Serviço",AND(AUTOEVENTO="Manual",$M460=$A$15)),0,
         IF(OFFSET(CRONOPLE!$F$15,$M460-$A$15,BH$13)=0,10^12,OFFSET(CRONOPLE!$F$15,$M460-$A$15,BH$13)))</f>
        <v>6</v>
      </c>
      <c r="BI460" s="171">
        <f ca="1">IF(OR($D460&lt;&gt;"Serviço",AND(AUTOEVENTO="Manual",$M460=$A$15)),0,
         IF(OFFSET(CRONOPLE!$F$15,$M460-$A$15,BI$13)=0,10^12,OFFSET(CRONOPLE!$F$15,$M460-$A$15,BI$13)))</f>
        <v>7</v>
      </c>
      <c r="BJ460" s="171">
        <f ca="1">IF(OR($D460&lt;&gt;"Serviço",AND(AUTOEVENTO="Manual",$M460=$A$15)),0,
         IF(OFFSET(CRONOPLE!$F$15,$M460-$A$15,BJ$13)=0,10^12,OFFSET(CRONOPLE!$F$15,$M460-$A$15,BJ$13)))</f>
        <v>8</v>
      </c>
      <c r="BK460" s="171">
        <f ca="1">IF(OR($D460&lt;&gt;"Serviço",AND(AUTOEVENTO="Manual",$M460=$A$15)),0,
         IF(OFFSET(CRONOPLE!$F$15,$M460-$A$15,BK$13)=0,10^12,OFFSET(CRONOPLE!$F$15,$M460-$A$15,BK$13)))</f>
        <v>9</v>
      </c>
      <c r="BL460" s="171">
        <f ca="1">IF(OR($D460&lt;&gt;"Serviço",AND(AUTOEVENTO="Manual",$M460=$A$15)),0,
         IF(OFFSET(CRONOPLE!$F$15,$M460-$A$15,BL$13)=0,10^12,OFFSET(CRONOPLE!$F$15,$M460-$A$15,BL$13)))</f>
        <v>1000000000000</v>
      </c>
      <c r="BM460" s="171">
        <f ca="1">IF(OR($D460&lt;&gt;"Serviço",AND(AUTOEVENTO="Manual",$M460=$A$15)),0,
         IF(OFFSET(CRONOPLE!$F$15,$M460-$A$15,BM$13)=0,10^12,OFFSET(CRONOPLE!$F$15,$M460-$A$15,BM$13)))</f>
        <v>1000000000000</v>
      </c>
      <c r="BN460" s="171">
        <f ca="1">IF(OR($D460&lt;&gt;"Serviço",AND(AUTOEVENTO="Manual",$M460=$A$15)),0,
         IF(OFFSET(CRONOPLE!$F$15,$M460-$A$15,BN$13)=0,10^12,OFFSET(CRONOPLE!$F$15,$M460-$A$15,BN$13)))</f>
        <v>1000000000000</v>
      </c>
      <c r="BO460" s="171">
        <f ca="1">IF(OR($D460&lt;&gt;"Serviço",AND(AUTOEVENTO="Manual",$M460=$A$15)),0,
         IF(OFFSET(CRONOPLE!$F$15,$M460-$A$15,BO$13)=0,10^12,OFFSET(CRONOPLE!$F$15,$M460-$A$15,BO$13)))</f>
        <v>1000000000000</v>
      </c>
      <c r="BP460" s="171">
        <f ca="1">IF(OR($D460&lt;&gt;"Serviço",AND(AUTOEVENTO="Manual",$M460=$A$15)),0,
         IF(OFFSET(CRONOPLE!$F$15,$M460-$A$15,BP$13)=0,10^12,OFFSET(CRONOPLE!$F$15,$M460-$A$15,BP$13)))</f>
        <v>1000000000000</v>
      </c>
      <c r="BQ460" s="171">
        <f ca="1">IF(OR($D460&lt;&gt;"Serviço",AND(AUTOEVENTO="Manual",$M460=$A$15)),0,
         IF(OFFSET(CRONOPLE!$F$15,$M460-$A$15,BQ$13)=0,10^12,OFFSET(CRONOPLE!$F$15,$M460-$A$15,BQ$13)))</f>
        <v>1000000000000</v>
      </c>
      <c r="BR460" s="171">
        <f ca="1">IF(OR($D460&lt;&gt;"Serviço",AND(AUTOEVENTO="Manual",$M460=$A$15)),0,
         IF(OFFSET(CRONOPLE!$F$15,$M460-$A$15,BR$13)=0,10^12,OFFSET(CRONOPLE!$F$15,$M460-$A$15,BR$13)))</f>
        <v>1000000000000</v>
      </c>
      <c r="BS460" s="171">
        <f ca="1">IF(OR($D460&lt;&gt;"Serviço",AND(AUTOEVENTO="Manual",$M460=$A$15)),0,
         IF(OFFSET(CRONOPLE!$F$15,$M460-$A$15,BS$13)=0,10^12,OFFSET(CRONOPLE!$F$15,$M460-$A$15,BS$13)))</f>
        <v>1000000000000</v>
      </c>
      <c r="BT460" s="171">
        <f ca="1">IF(OR($D460&lt;&gt;"Serviço",AND(AUTOEVENTO="Manual",$M460=$A$15)),0,
         IF(OFFSET(CRONOPLE!$F$15,$M460-$A$15,BT$13)=0,10^12,OFFSET(CRONOPLE!$F$15,$M460-$A$15,BT$13)))</f>
        <v>1000000000000</v>
      </c>
      <c r="BV460" s="172">
        <f ca="1">IF(OR($D460&lt;&gt;"Serviço",AND(AUTOEVENTO="Manual",$M460=$A$15),$M460&gt;(ROW(PLE.lastrow)-ROW(PLE.firstrow))),0,
           IF(OFFSET(PLE!$G$15,$M460-$A$15,BV$13)="",10^12,OFFSET(PLE!$G$15,$M460-$A$15,BV$13)))</f>
        <v>1000000000000</v>
      </c>
      <c r="BW460" s="172">
        <f ca="1">IF(OR($D460&lt;&gt;"Serviço",AND(AUTOEVENTO="Manual",$M460=$A$15),$M460&gt;(ROW(PLE.lastrow)-ROW(PLE.firstrow))),0,
           IF(OFFSET(PLE!$G$15,$M460-$A$15,BW$13)="",10^12,OFFSET(PLE!$G$15,$M460-$A$15,BW$13)))</f>
        <v>1000000000000</v>
      </c>
      <c r="BX460" s="172">
        <f ca="1">IF(OR($D460&lt;&gt;"Serviço",AND(AUTOEVENTO="Manual",$M460=$A$15),$M460&gt;(ROW(PLE.lastrow)-ROW(PLE.firstrow))),0,
           IF(OFFSET(PLE!$G$15,$M460-$A$15,BX$13)="",10^12,OFFSET(PLE!$G$15,$M460-$A$15,BX$13)))</f>
        <v>1000000000000</v>
      </c>
      <c r="BY460" s="172">
        <f ca="1">IF(OR($D460&lt;&gt;"Serviço",AND(AUTOEVENTO="Manual",$M460=$A$15),$M460&gt;(ROW(PLE.lastrow)-ROW(PLE.firstrow))),0,
           IF(OFFSET(PLE!$G$15,$M460-$A$15,BY$13)="",10^12,OFFSET(PLE!$G$15,$M460-$A$15,BY$13)))</f>
        <v>1000000000000</v>
      </c>
      <c r="BZ460" s="172">
        <f ca="1">IF(OR($D460&lt;&gt;"Serviço",AND(AUTOEVENTO="Manual",$M460=$A$15),$M460&gt;(ROW(PLE.lastrow)-ROW(PLE.firstrow))),0,
           IF(OFFSET(PLE!$G$15,$M460-$A$15,BZ$13)="",10^12,OFFSET(PLE!$G$15,$M460-$A$15,BZ$13)))</f>
        <v>1000000000000</v>
      </c>
      <c r="CA460" s="172">
        <f ca="1">IF(OR($D460&lt;&gt;"Serviço",AND(AUTOEVENTO="Manual",$M460=$A$15),$M460&gt;(ROW(PLE.lastrow)-ROW(PLE.firstrow))),0,
           IF(OFFSET(PLE!$G$15,$M460-$A$15,CA$13)="",10^12,OFFSET(PLE!$G$15,$M460-$A$15,CA$13)))</f>
        <v>1000000000000</v>
      </c>
      <c r="CB460" s="172">
        <f ca="1">IF(OR($D460&lt;&gt;"Serviço",AND(AUTOEVENTO="Manual",$M460=$A$15),$M460&gt;(ROW(PLE.lastrow)-ROW(PLE.firstrow))),0,
           IF(OFFSET(PLE!$G$15,$M460-$A$15,CB$13)="",10^12,OFFSET(PLE!$G$15,$M460-$A$15,CB$13)))</f>
        <v>1000000000000</v>
      </c>
      <c r="CC460" s="172">
        <f ca="1">IF(OR($D460&lt;&gt;"Serviço",AND(AUTOEVENTO="Manual",$M460=$A$15),$M460&gt;(ROW(PLE.lastrow)-ROW(PLE.firstrow))),0,
           IF(OFFSET(PLE!$G$15,$M460-$A$15,CC$13)="",10^12,OFFSET(PLE!$G$15,$M460-$A$15,CC$13)))</f>
        <v>1000000000000</v>
      </c>
      <c r="CD460" s="172">
        <f ca="1">IF(OR($D460&lt;&gt;"Serviço",AND(AUTOEVENTO="Manual",$M460=$A$15),$M460&gt;(ROW(PLE.lastrow)-ROW(PLE.firstrow))),0,
           IF(OFFSET(PLE!$G$15,$M460-$A$15,CD$13)="",10^12,OFFSET(PLE!$G$15,$M460-$A$15,CD$13)))</f>
        <v>1000000000000</v>
      </c>
      <c r="CE460" s="172">
        <f ca="1">IF(OR($D460&lt;&gt;"Serviço",AND(AUTOEVENTO="Manual",$M460=$A$15),$M460&gt;(ROW(PLE.lastrow)-ROW(PLE.firstrow))),0,
           IF(OFFSET(PLE!$G$15,$M460-$A$15,CE$13)="",10^12,OFFSET(PLE!$G$15,$M460-$A$15,CE$13)))</f>
        <v>1000000000000</v>
      </c>
      <c r="CF460" s="172">
        <f ca="1">IF(OR($D460&lt;&gt;"Serviço",AND(AUTOEVENTO="Manual",$M460=$A$15),$M460&gt;(ROW(PLE.lastrow)-ROW(PLE.firstrow))),0,
           IF(OFFSET(PLE!$G$15,$M460-$A$15,CF$13)="",10^12,OFFSET(PLE!$G$15,$M460-$A$15,CF$13)))</f>
        <v>1000000000000</v>
      </c>
      <c r="CG460" s="172">
        <f ca="1">IF(OR($D460&lt;&gt;"Serviço",AND(AUTOEVENTO="Manual",$M460=$A$15),$M460&gt;(ROW(PLE.lastrow)-ROW(PLE.firstrow))),0,
           IF(OFFSET(PLE!$G$15,$M460-$A$15,CG$13)="",10^12,OFFSET(PLE!$G$15,$M460-$A$15,CG$13)))</f>
        <v>1000000000000</v>
      </c>
      <c r="CH460" s="172">
        <f ca="1">IF(OR($D460&lt;&gt;"Serviço",AND(AUTOEVENTO="Manual",$M460=$A$15),$M460&gt;(ROW(PLE.lastrow)-ROW(PLE.firstrow))),0,
           IF(OFFSET(PLE!$G$15,$M460-$A$15,CH$13)="",10^12,OFFSET(PLE!$G$15,$M460-$A$15,CH$13)))</f>
        <v>1000000000000</v>
      </c>
      <c r="CI460" s="172">
        <f ca="1">IF(OR($D460&lt;&gt;"Serviço",AND(AUTOEVENTO="Manual",$M460=$A$15),$M460&gt;(ROW(PLE.lastrow)-ROW(PLE.firstrow))),0,
           IF(OFFSET(PLE!$G$15,$M460-$A$15,CI$13)="",10^12,OFFSET(PLE!$G$15,$M460-$A$15,CI$13)))</f>
        <v>1000000000000</v>
      </c>
      <c r="CJ460" s="172">
        <f ca="1">IF(OR($D460&lt;&gt;"Serviço",AND(AUTOEVENTO="Manual",$M460=$A$15),$M460&gt;(ROW(PLE.lastrow)-ROW(PLE.firstrow))),0,
           IF(OFFSET(PLE!$G$15,$M460-$A$15,CJ$13)="",10^12,OFFSET(PLE!$G$15,$M460-$A$15,CJ$13)))</f>
        <v>1000000000000</v>
      </c>
      <c r="CK460" s="172">
        <f ca="1">IF(OR($D460&lt;&gt;"Serviço",AND(AUTOEVENTO="Manual",$M460=$A$15),$M460&gt;(ROW(PLE.lastrow)-ROW(PLE.firstrow))),0,
           IF(OFFSET(PLE!$G$15,$M460-$A$15,CK$13)="",10^12,OFFSET(PLE!$G$15,$M460-$A$15,CK$13)))</f>
        <v>1000000000000</v>
      </c>
      <c r="CL460" s="172">
        <f ca="1">IF(OR($D460&lt;&gt;"Serviço",AND(AUTOEVENTO="Manual",$M460=$A$15),$M460&gt;(ROW(PLE.lastrow)-ROW(PLE.firstrow))),0,
           IF(OFFSET(PLE!$G$15,$M460-$A$15,CL$13)="",10^12,OFFSET(PLE!$G$15,$M460-$A$15,CL$13)))</f>
        <v>1000000000000</v>
      </c>
      <c r="CM460" s="172">
        <f ca="1">IF(OR($D460&lt;&gt;"Serviço",AND(AUTOEVENTO="Manual",$M460=$A$15),$M460&gt;(ROW(PLE.lastrow)-ROW(PLE.firstrow))),0,
           IF(OFFSET(PLE!$G$15,$M460-$A$15,CM$13)="",10^12,OFFSET(PLE!$G$15,$M460-$A$15,CM$13)))</f>
        <v>1000000000000</v>
      </c>
    </row>
    <row r="461" spans="1:91" ht="38.25" x14ac:dyDescent="0.2">
      <c r="A461" s="7">
        <f t="shared" ca="1" si="16"/>
        <v>8</v>
      </c>
      <c r="B461" s="7" t="str">
        <f ca="1">OFFSET(ORÇAMENTO!C$15,ROW(B461)-ROW(B$15),0)</f>
        <v>S</v>
      </c>
      <c r="C461" s="7" t="str">
        <f ca="1">OFFSET(ORÇAMENTO!L$15,ROW(C461)-ROW(C$15),0)</f>
        <v>F</v>
      </c>
      <c r="D461" s="116" t="str">
        <f ca="1">OFFSET(ORÇAMENTO!N$15,ROW(D461)-ROW(D$15),0)</f>
        <v>Serviço</v>
      </c>
      <c r="E461" s="117" t="str">
        <f ca="1">OFFSET(ORÇAMENTO!O$15,ROW(E461)-ROW(E$15),0)</f>
        <v>1.9.4.0.2.</v>
      </c>
      <c r="F461" s="163" t="str">
        <f ca="1">OFFSET(ORÇAMENTO!R$15,ROW(F461)-ROW(F$15),0)</f>
        <v>SPEED DOME IP INTELBRAS VIP 3225 SD IR INFRAVERMELHO 150 METROS STARLIGHT ZOOM 25X, FORNECIMENTO E INSTALAÇÃO- BASEADA DA SBC (068399)</v>
      </c>
      <c r="G461" s="164" t="str">
        <f ca="1">IF($D461&lt;&gt;"Serviço","",OFFSET(ORÇAMENTO!S$15,ROW(G461)-ROW(G$15),0))</f>
        <v>UN</v>
      </c>
      <c r="H461" s="122" cm="1">
        <f t="array" aca="1" ref="H461" ca="1">IF($D461&lt;&gt;"Serviço",0,IF(ACOMPANHAMENTO="BM",ROUND(OFFSET(ORÇAMENTO!AJ$15,ROW(H461)-ROW(H$15),0),15-13*ORÇAMENTO!$AF$7),SUMPRODUCT(($Q$1:$AI$1=1)*ROUND($Q461:$AI461,15-13*ORÇAMENTO!$AF$7))))</f>
        <v>7</v>
      </c>
      <c r="I461" s="468" t="s">
        <v>1432</v>
      </c>
      <c r="J461" s="640" t="str" cm="1">
        <f t="array" aca="1" ref="J461" ca="1">IF(OR(B461&lt;&gt;"S",CÁLCULO.FrentesPreenchidas=0),"",IF(AND(ACOMPANHAMENTO="PLE",AUTOEVENTO="Manual",OR(H461&gt;0,ORÇAMENTO!AC461="QUANT."),OR(K461="",M461=0,N461="")),"►E",IF(AND(ACOMPANHAMENTO="PLE",ORÇAMENTO!AC461="QUANT."),"►Q",IF(AND(ACOMPANHAMENTO="PLE",H461&lt;&gt;SUMPRODUCT(($Q$1:$AI$1=1)*ROUND(Q461:AI461,15))),"►S",IF(AND(COUNTIF($P$11:$AI$11,"▼")=0,H461&gt;0,I461=""),"◄M","")))))</f>
        <v/>
      </c>
      <c r="K461" s="641" t="s">
        <v>1392</v>
      </c>
      <c r="L461" s="165" t="s">
        <v>764</v>
      </c>
      <c r="M461" s="166">
        <f ca="1">IF($D461&lt;&gt;"Serviço","",
          IF(AUTOEVENTO="manual",$A461,
                IF(ISERROR(MATCH($A461,$A$15:OFFSET($A461,-1,0),0)),MAX($M$15:OFFSET(M461,-1,0))+1,
                      INDEX($M$15:OFFSET(M461,-1,0),MATCH($A461,$A$15:OFFSET($A461,-1,0),0)))))</f>
        <v>8</v>
      </c>
      <c r="N461" s="167" t="str">
        <f ca="1">IF($D461&lt;&gt;"Serviço","",
         IF(AUTOEVENTO="Manual",
                IF($A461=0,"&lt;-- defina o número do agrupador",
                       OFFSET(EVENTOS!$D$15,$A461-$A$15,0)),
                OFFSET($F$15,$A461,0)))</f>
        <v>CFTV</v>
      </c>
      <c r="O461" s="168"/>
      <c r="Q461" s="168"/>
      <c r="R461" s="169"/>
      <c r="S461" s="169"/>
      <c r="T461" s="169"/>
      <c r="U461" s="169"/>
      <c r="V461" s="169"/>
      <c r="W461" s="169"/>
      <c r="X461" s="169"/>
      <c r="Y461" s="169">
        <v>7</v>
      </c>
      <c r="Z461" s="170"/>
      <c r="AA461" s="169"/>
      <c r="AB461" s="169"/>
      <c r="AC461" s="169"/>
      <c r="AD461" s="169"/>
      <c r="AE461" s="169"/>
      <c r="AF461" s="169"/>
      <c r="AG461" s="169"/>
      <c r="AH461" s="170"/>
      <c r="AJ461" s="453">
        <f ca="1">IF(AND($D461="Serviço",AJ$12&lt;&gt;0,$H461&gt;0,OR(AUTOEVENTO&lt;&gt;"manual",$M461&lt;&gt;$A$15)),
        IF(Import.TipoArredondamento&lt;&gt;"TransfereGOV",
              ROUND(OFFSET($P461,0,AJ$13),15-13*ORÇAMENTO!$AF$7)/$H461*OFFSET(ORÇAMENTO!$X$15,ROW(AJ461)-ROW(AJ$15),0),
              ROUND(ROUND(OFFSET($P461,0,AJ$13),15-13*ORÇAMENTO!$AF$7)*OFFSET(ORÇAMENTO!$W$15,ROW(AJ461)-ROW(AJ$15),0),15-13*ORÇAMENTO!$AF$11)),
         0)</f>
        <v>0</v>
      </c>
      <c r="AK461" s="453">
        <f ca="1">IF(AND($D461="Serviço",AK$12&lt;&gt;0,$H461&gt;0,OR(AUTOEVENTO&lt;&gt;"manual",$M461&lt;&gt;$A$15)),
        IF(Import.TipoArredondamento&lt;&gt;"TransfereGOV",
              ROUND(OFFSET($P461,0,AK$13),15-13*ORÇAMENTO!$AF$7)/$H461*OFFSET(ORÇAMENTO!$X$15,ROW(AK461)-ROW(AK$15),0),
              ROUND(ROUND(OFFSET($P461,0,AK$13),15-13*ORÇAMENTO!$AF$7)*OFFSET(ORÇAMENTO!$W$15,ROW(AK461)-ROW(AK$15),0),15-13*ORÇAMENTO!$AF$11)),
         0)</f>
        <v>0</v>
      </c>
      <c r="AL461" s="453">
        <f ca="1">IF(AND($D461="Serviço",AL$12&lt;&gt;0,$H461&gt;0,OR(AUTOEVENTO&lt;&gt;"manual",$M461&lt;&gt;$A$15)),
        IF(Import.TipoArredondamento&lt;&gt;"TransfereGOV",
              ROUND(OFFSET($P461,0,AL$13),15-13*ORÇAMENTO!$AF$7)/$H461*OFFSET(ORÇAMENTO!$X$15,ROW(AL461)-ROW(AL$15),0),
              ROUND(ROUND(OFFSET($P461,0,AL$13),15-13*ORÇAMENTO!$AF$7)*OFFSET(ORÇAMENTO!$W$15,ROW(AL461)-ROW(AL$15),0),15-13*ORÇAMENTO!$AF$11)),
         0)</f>
        <v>0</v>
      </c>
      <c r="AM461" s="453">
        <f ca="1">IF(AND($D461="Serviço",AM$12&lt;&gt;0,$H461&gt;0,OR(AUTOEVENTO&lt;&gt;"manual",$M461&lt;&gt;$A$15)),
        IF(Import.TipoArredondamento&lt;&gt;"TransfereGOV",
              ROUND(OFFSET($P461,0,AM$13),15-13*ORÇAMENTO!$AF$7)/$H461*OFFSET(ORÇAMENTO!$X$15,ROW(AM461)-ROW(AM$15),0),
              ROUND(ROUND(OFFSET($P461,0,AM$13),15-13*ORÇAMENTO!$AF$7)*OFFSET(ORÇAMENTO!$W$15,ROW(AM461)-ROW(AM$15),0),15-13*ORÇAMENTO!$AF$11)),
         0)</f>
        <v>0</v>
      </c>
      <c r="AN461" s="453">
        <f ca="1">IF(AND($D461="Serviço",AN$12&lt;&gt;0,$H461&gt;0,OR(AUTOEVENTO&lt;&gt;"manual",$M461&lt;&gt;$A$15)),
        IF(Import.TipoArredondamento&lt;&gt;"TransfereGOV",
              ROUND(OFFSET($P461,0,AN$13),15-13*ORÇAMENTO!$AF$7)/$H461*OFFSET(ORÇAMENTO!$X$15,ROW(AN461)-ROW(AN$15),0),
              ROUND(ROUND(OFFSET($P461,0,AN$13),15-13*ORÇAMENTO!$AF$7)*OFFSET(ORÇAMENTO!$W$15,ROW(AN461)-ROW(AN$15),0),15-13*ORÇAMENTO!$AF$11)),
         0)</f>
        <v>0</v>
      </c>
      <c r="AO461" s="453">
        <f ca="1">IF(AND($D461="Serviço",AO$12&lt;&gt;0,$H461&gt;0,OR(AUTOEVENTO&lt;&gt;"manual",$M461&lt;&gt;$A$15)),
        IF(Import.TipoArredondamento&lt;&gt;"TransfereGOV",
              ROUND(OFFSET($P461,0,AO$13),15-13*ORÇAMENTO!$AF$7)/$H461*OFFSET(ORÇAMENTO!$X$15,ROW(AO461)-ROW(AO$15),0),
              ROUND(ROUND(OFFSET($P461,0,AO$13),15-13*ORÇAMENTO!$AF$7)*OFFSET(ORÇAMENTO!$W$15,ROW(AO461)-ROW(AO$15),0),15-13*ORÇAMENTO!$AF$11)),
         0)</f>
        <v>0</v>
      </c>
      <c r="AP461" s="453">
        <f ca="1">IF(AND($D461="Serviço",AP$12&lt;&gt;0,$H461&gt;0,OR(AUTOEVENTO&lt;&gt;"manual",$M461&lt;&gt;$A$15)),
        IF(Import.TipoArredondamento&lt;&gt;"TransfereGOV",
              ROUND(OFFSET($P461,0,AP$13),15-13*ORÇAMENTO!$AF$7)/$H461*OFFSET(ORÇAMENTO!$X$15,ROW(AP461)-ROW(AP$15),0),
              ROUND(ROUND(OFFSET($P461,0,AP$13),15-13*ORÇAMENTO!$AF$7)*OFFSET(ORÇAMENTO!$W$15,ROW(AP461)-ROW(AP$15),0),15-13*ORÇAMENTO!$AF$11)),
         0)</f>
        <v>0</v>
      </c>
      <c r="AQ461" s="453">
        <f ca="1">IF(AND($D461="Serviço",AQ$12&lt;&gt;0,$H461&gt;0,OR(AUTOEVENTO&lt;&gt;"manual",$M461&lt;&gt;$A$15)),
        IF(Import.TipoArredondamento&lt;&gt;"TransfereGOV",
              ROUND(OFFSET($P461,0,AQ$13),15-13*ORÇAMENTO!$AF$7)/$H461*OFFSET(ORÇAMENTO!$X$15,ROW(AQ461)-ROW(AQ$15),0),
              ROUND(ROUND(OFFSET($P461,0,AQ$13),15-13*ORÇAMENTO!$AF$7)*OFFSET(ORÇAMENTO!$W$15,ROW(AQ461)-ROW(AQ$15),0),15-13*ORÇAMENTO!$AF$11)),
         0)</f>
        <v>0</v>
      </c>
      <c r="AR461" s="453">
        <f ca="1">IF(AND($D461="Serviço",AR$12&lt;&gt;0,$H461&gt;0,OR(AUTOEVENTO&lt;&gt;"manual",$M461&lt;&gt;$A$15)),
        IF(Import.TipoArredondamento&lt;&gt;"TransfereGOV",
              ROUND(OFFSET($P461,0,AR$13),15-13*ORÇAMENTO!$AF$7)/$H461*OFFSET(ORÇAMENTO!$X$15,ROW(AR461)-ROW(AR$15),0),
              ROUND(ROUND(OFFSET($P461,0,AR$13),15-13*ORÇAMENTO!$AF$7)*OFFSET(ORÇAMENTO!$W$15,ROW(AR461)-ROW(AR$15),0),15-13*ORÇAMENTO!$AF$11)),
         0)</f>
        <v>0</v>
      </c>
      <c r="AS461" s="453">
        <f ca="1">IF(AND($D461="Serviço",AS$12&lt;&gt;0,$H461&gt;0,OR(AUTOEVENTO&lt;&gt;"manual",$M461&lt;&gt;$A$15)),
        IF(Import.TipoArredondamento&lt;&gt;"TransfereGOV",
              ROUND(OFFSET($P461,0,AS$13),15-13*ORÇAMENTO!$AF$7)/$H461*OFFSET(ORÇAMENTO!$X$15,ROW(AS461)-ROW(AS$15),0),
              ROUND(ROUND(OFFSET($P461,0,AS$13),15-13*ORÇAMENTO!$AF$7)*OFFSET(ORÇAMENTO!$W$15,ROW(AS461)-ROW(AS$15),0),15-13*ORÇAMENTO!$AF$11)),
         0)</f>
        <v>0</v>
      </c>
      <c r="AT461" s="453">
        <f ca="1">IF(AND($D461="Serviço",AT$12&lt;&gt;0,$H461&gt;0,OR(AUTOEVENTO&lt;&gt;"manual",$M461&lt;&gt;$A$15)),
        IF(Import.TipoArredondamento&lt;&gt;"TransfereGOV",
              ROUND(OFFSET($P461,0,AT$13),15-13*ORÇAMENTO!$AF$7)/$H461*OFFSET(ORÇAMENTO!$X$15,ROW(AT461)-ROW(AT$15),0),
              ROUND(ROUND(OFFSET($P461,0,AT$13),15-13*ORÇAMENTO!$AF$7)*OFFSET(ORÇAMENTO!$W$15,ROW(AT461)-ROW(AT$15),0),15-13*ORÇAMENTO!$AF$11)),
         0)</f>
        <v>0</v>
      </c>
      <c r="AU461" s="453">
        <f ca="1">IF(AND($D461="Serviço",AU$12&lt;&gt;0,$H461&gt;0,OR(AUTOEVENTO&lt;&gt;"manual",$M461&lt;&gt;$A$15)),
        IF(Import.TipoArredondamento&lt;&gt;"TransfereGOV",
              ROUND(OFFSET($P461,0,AU$13),15-13*ORÇAMENTO!$AF$7)/$H461*OFFSET(ORÇAMENTO!$X$15,ROW(AU461)-ROW(AU$15),0),
              ROUND(ROUND(OFFSET($P461,0,AU$13),15-13*ORÇAMENTO!$AF$7)*OFFSET(ORÇAMENTO!$W$15,ROW(AU461)-ROW(AU$15),0),15-13*ORÇAMENTO!$AF$11)),
         0)</f>
        <v>0</v>
      </c>
      <c r="AV461" s="453">
        <f ca="1">IF(AND($D461="Serviço",AV$12&lt;&gt;0,$H461&gt;0,OR(AUTOEVENTO&lt;&gt;"manual",$M461&lt;&gt;$A$15)),
        IF(Import.TipoArredondamento&lt;&gt;"TransfereGOV",
              ROUND(OFFSET($P461,0,AV$13),15-13*ORÇAMENTO!$AF$7)/$H461*OFFSET(ORÇAMENTO!$X$15,ROW(AV461)-ROW(AV$15),0),
              ROUND(ROUND(OFFSET($P461,0,AV$13),15-13*ORÇAMENTO!$AF$7)*OFFSET(ORÇAMENTO!$W$15,ROW(AV461)-ROW(AV$15),0),15-13*ORÇAMENTO!$AF$11)),
         0)</f>
        <v>0</v>
      </c>
      <c r="AW461" s="453">
        <f ca="1">IF(AND($D461="Serviço",AW$12&lt;&gt;0,$H461&gt;0,OR(AUTOEVENTO&lt;&gt;"manual",$M461&lt;&gt;$A$15)),
        IF(Import.TipoArredondamento&lt;&gt;"TransfereGOV",
              ROUND(OFFSET($P461,0,AW$13),15-13*ORÇAMENTO!$AF$7)/$H461*OFFSET(ORÇAMENTO!$X$15,ROW(AW461)-ROW(AW$15),0),
              ROUND(ROUND(OFFSET($P461,0,AW$13),15-13*ORÇAMENTO!$AF$7)*OFFSET(ORÇAMENTO!$W$15,ROW(AW461)-ROW(AW$15),0),15-13*ORÇAMENTO!$AF$11)),
         0)</f>
        <v>0</v>
      </c>
      <c r="AX461" s="453">
        <f ca="1">IF(AND($D461="Serviço",AX$12&lt;&gt;0,$H461&gt;0,OR(AUTOEVENTO&lt;&gt;"manual",$M461&lt;&gt;$A$15)),
        IF(Import.TipoArredondamento&lt;&gt;"TransfereGOV",
              ROUND(OFFSET($P461,0,AX$13),15-13*ORÇAMENTO!$AF$7)/$H461*OFFSET(ORÇAMENTO!$X$15,ROW(AX461)-ROW(AX$15),0),
              ROUND(ROUND(OFFSET($P461,0,AX$13),15-13*ORÇAMENTO!$AF$7)*OFFSET(ORÇAMENTO!$W$15,ROW(AX461)-ROW(AX$15),0),15-13*ORÇAMENTO!$AF$11)),
         0)</f>
        <v>0</v>
      </c>
      <c r="AY461" s="453">
        <f ca="1">IF(AND($D461="Serviço",AY$12&lt;&gt;0,$H461&gt;0,OR(AUTOEVENTO&lt;&gt;"manual",$M461&lt;&gt;$A$15)),
        IF(Import.TipoArredondamento&lt;&gt;"TransfereGOV",
              ROUND(OFFSET($P461,0,AY$13),15-13*ORÇAMENTO!$AF$7)/$H461*OFFSET(ORÇAMENTO!$X$15,ROW(AY461)-ROW(AY$15),0),
              ROUND(ROUND(OFFSET($P461,0,AY$13),15-13*ORÇAMENTO!$AF$7)*OFFSET(ORÇAMENTO!$W$15,ROW(AY461)-ROW(AY$15),0),15-13*ORÇAMENTO!$AF$11)),
         0)</f>
        <v>0</v>
      </c>
      <c r="AZ461" s="453">
        <f ca="1">IF(AND($D461="Serviço",AZ$12&lt;&gt;0,$H461&gt;0,OR(AUTOEVENTO&lt;&gt;"manual",$M461&lt;&gt;$A$15)),
        IF(Import.TipoArredondamento&lt;&gt;"TransfereGOV",
              ROUND(OFFSET($P461,0,AZ$13),15-13*ORÇAMENTO!$AF$7)/$H461*OFFSET(ORÇAMENTO!$X$15,ROW(AZ461)-ROW(AZ$15),0),
              ROUND(ROUND(OFFSET($P461,0,AZ$13),15-13*ORÇAMENTO!$AF$7)*OFFSET(ORÇAMENTO!$W$15,ROW(AZ461)-ROW(AZ$15),0),15-13*ORÇAMENTO!$AF$11)),
         0)</f>
        <v>0</v>
      </c>
      <c r="BA461" s="453">
        <f ca="1">IF(AND($D461="Serviço",BA$12&lt;&gt;0,$H461&gt;0,OR(AUTOEVENTO&lt;&gt;"manual",$M461&lt;&gt;$A$15)),
        IF(Import.TipoArredondamento&lt;&gt;"TransfereGOV",
              ROUND(OFFSET($P461,0,BA$13),15-13*ORÇAMENTO!$AF$7)/$H461*OFFSET(ORÇAMENTO!$X$15,ROW(BA461)-ROW(BA$15),0),
              ROUND(ROUND(OFFSET($P461,0,BA$13),15-13*ORÇAMENTO!$AF$7)*OFFSET(ORÇAMENTO!$W$15,ROW(BA461)-ROW(BA$15),0),15-13*ORÇAMENTO!$AF$11)),
         0)</f>
        <v>0</v>
      </c>
      <c r="BC461" s="171">
        <f ca="1">IF(OR($D461&lt;&gt;"Serviço",AND(AUTOEVENTO="Manual",$M461=$A$15)),0,
         IF(OFFSET(CRONOPLE!$F$15,$M461-$A$15,BC$13)=0,10^12,OFFSET(CRONOPLE!$F$15,$M461-$A$15,BC$13)))</f>
        <v>1</v>
      </c>
      <c r="BD461" s="171">
        <f ca="1">IF(OR($D461&lt;&gt;"Serviço",AND(AUTOEVENTO="Manual",$M461=$A$15)),0,
         IF(OFFSET(CRONOPLE!$F$15,$M461-$A$15,BD$13)=0,10^12,OFFSET(CRONOPLE!$F$15,$M461-$A$15,BD$13)))</f>
        <v>2</v>
      </c>
      <c r="BE461" s="171">
        <f ca="1">IF(OR($D461&lt;&gt;"Serviço",AND(AUTOEVENTO="Manual",$M461=$A$15)),0,
         IF(OFFSET(CRONOPLE!$F$15,$M461-$A$15,BE$13)=0,10^12,OFFSET(CRONOPLE!$F$15,$M461-$A$15,BE$13)))</f>
        <v>3</v>
      </c>
      <c r="BF461" s="171">
        <f ca="1">IF(OR($D461&lt;&gt;"Serviço",AND(AUTOEVENTO="Manual",$M461=$A$15)),0,
         IF(OFFSET(CRONOPLE!$F$15,$M461-$A$15,BF$13)=0,10^12,OFFSET(CRONOPLE!$F$15,$M461-$A$15,BF$13)))</f>
        <v>4</v>
      </c>
      <c r="BG461" s="171">
        <f ca="1">IF(OR($D461&lt;&gt;"Serviço",AND(AUTOEVENTO="Manual",$M461=$A$15)),0,
         IF(OFFSET(CRONOPLE!$F$15,$M461-$A$15,BG$13)=0,10^12,OFFSET(CRONOPLE!$F$15,$M461-$A$15,BG$13)))</f>
        <v>5</v>
      </c>
      <c r="BH461" s="171">
        <f ca="1">IF(OR($D461&lt;&gt;"Serviço",AND(AUTOEVENTO="Manual",$M461=$A$15)),0,
         IF(OFFSET(CRONOPLE!$F$15,$M461-$A$15,BH$13)=0,10^12,OFFSET(CRONOPLE!$F$15,$M461-$A$15,BH$13)))</f>
        <v>6</v>
      </c>
      <c r="BI461" s="171">
        <f ca="1">IF(OR($D461&lt;&gt;"Serviço",AND(AUTOEVENTO="Manual",$M461=$A$15)),0,
         IF(OFFSET(CRONOPLE!$F$15,$M461-$A$15,BI$13)=0,10^12,OFFSET(CRONOPLE!$F$15,$M461-$A$15,BI$13)))</f>
        <v>7</v>
      </c>
      <c r="BJ461" s="171">
        <f ca="1">IF(OR($D461&lt;&gt;"Serviço",AND(AUTOEVENTO="Manual",$M461=$A$15)),0,
         IF(OFFSET(CRONOPLE!$F$15,$M461-$A$15,BJ$13)=0,10^12,OFFSET(CRONOPLE!$F$15,$M461-$A$15,BJ$13)))</f>
        <v>8</v>
      </c>
      <c r="BK461" s="171">
        <f ca="1">IF(OR($D461&lt;&gt;"Serviço",AND(AUTOEVENTO="Manual",$M461=$A$15)),0,
         IF(OFFSET(CRONOPLE!$F$15,$M461-$A$15,BK$13)=0,10^12,OFFSET(CRONOPLE!$F$15,$M461-$A$15,BK$13)))</f>
        <v>9</v>
      </c>
      <c r="BL461" s="171">
        <f ca="1">IF(OR($D461&lt;&gt;"Serviço",AND(AUTOEVENTO="Manual",$M461=$A$15)),0,
         IF(OFFSET(CRONOPLE!$F$15,$M461-$A$15,BL$13)=0,10^12,OFFSET(CRONOPLE!$F$15,$M461-$A$15,BL$13)))</f>
        <v>1000000000000</v>
      </c>
      <c r="BM461" s="171">
        <f ca="1">IF(OR($D461&lt;&gt;"Serviço",AND(AUTOEVENTO="Manual",$M461=$A$15)),0,
         IF(OFFSET(CRONOPLE!$F$15,$M461-$A$15,BM$13)=0,10^12,OFFSET(CRONOPLE!$F$15,$M461-$A$15,BM$13)))</f>
        <v>1000000000000</v>
      </c>
      <c r="BN461" s="171">
        <f ca="1">IF(OR($D461&lt;&gt;"Serviço",AND(AUTOEVENTO="Manual",$M461=$A$15)),0,
         IF(OFFSET(CRONOPLE!$F$15,$M461-$A$15,BN$13)=0,10^12,OFFSET(CRONOPLE!$F$15,$M461-$A$15,BN$13)))</f>
        <v>1000000000000</v>
      </c>
      <c r="BO461" s="171">
        <f ca="1">IF(OR($D461&lt;&gt;"Serviço",AND(AUTOEVENTO="Manual",$M461=$A$15)),0,
         IF(OFFSET(CRONOPLE!$F$15,$M461-$A$15,BO$13)=0,10^12,OFFSET(CRONOPLE!$F$15,$M461-$A$15,BO$13)))</f>
        <v>1000000000000</v>
      </c>
      <c r="BP461" s="171">
        <f ca="1">IF(OR($D461&lt;&gt;"Serviço",AND(AUTOEVENTO="Manual",$M461=$A$15)),0,
         IF(OFFSET(CRONOPLE!$F$15,$M461-$A$15,BP$13)=0,10^12,OFFSET(CRONOPLE!$F$15,$M461-$A$15,BP$13)))</f>
        <v>1000000000000</v>
      </c>
      <c r="BQ461" s="171">
        <f ca="1">IF(OR($D461&lt;&gt;"Serviço",AND(AUTOEVENTO="Manual",$M461=$A$15)),0,
         IF(OFFSET(CRONOPLE!$F$15,$M461-$A$15,BQ$13)=0,10^12,OFFSET(CRONOPLE!$F$15,$M461-$A$15,BQ$13)))</f>
        <v>1000000000000</v>
      </c>
      <c r="BR461" s="171">
        <f ca="1">IF(OR($D461&lt;&gt;"Serviço",AND(AUTOEVENTO="Manual",$M461=$A$15)),0,
         IF(OFFSET(CRONOPLE!$F$15,$M461-$A$15,BR$13)=0,10^12,OFFSET(CRONOPLE!$F$15,$M461-$A$15,BR$13)))</f>
        <v>1000000000000</v>
      </c>
      <c r="BS461" s="171">
        <f ca="1">IF(OR($D461&lt;&gt;"Serviço",AND(AUTOEVENTO="Manual",$M461=$A$15)),0,
         IF(OFFSET(CRONOPLE!$F$15,$M461-$A$15,BS$13)=0,10^12,OFFSET(CRONOPLE!$F$15,$M461-$A$15,BS$13)))</f>
        <v>1000000000000</v>
      </c>
      <c r="BT461" s="171">
        <f ca="1">IF(OR($D461&lt;&gt;"Serviço",AND(AUTOEVENTO="Manual",$M461=$A$15)),0,
         IF(OFFSET(CRONOPLE!$F$15,$M461-$A$15,BT$13)=0,10^12,OFFSET(CRONOPLE!$F$15,$M461-$A$15,BT$13)))</f>
        <v>1000000000000</v>
      </c>
      <c r="BV461" s="172">
        <f ca="1">IF(OR($D461&lt;&gt;"Serviço",AND(AUTOEVENTO="Manual",$M461=$A$15),$M461&gt;(ROW(PLE.lastrow)-ROW(PLE.firstrow))),0,
           IF(OFFSET(PLE!$G$15,$M461-$A$15,BV$13)="",10^12,OFFSET(PLE!$G$15,$M461-$A$15,BV$13)))</f>
        <v>1000000000000</v>
      </c>
      <c r="BW461" s="172">
        <f ca="1">IF(OR($D461&lt;&gt;"Serviço",AND(AUTOEVENTO="Manual",$M461=$A$15),$M461&gt;(ROW(PLE.lastrow)-ROW(PLE.firstrow))),0,
           IF(OFFSET(PLE!$G$15,$M461-$A$15,BW$13)="",10^12,OFFSET(PLE!$G$15,$M461-$A$15,BW$13)))</f>
        <v>1000000000000</v>
      </c>
      <c r="BX461" s="172">
        <f ca="1">IF(OR($D461&lt;&gt;"Serviço",AND(AUTOEVENTO="Manual",$M461=$A$15),$M461&gt;(ROW(PLE.lastrow)-ROW(PLE.firstrow))),0,
           IF(OFFSET(PLE!$G$15,$M461-$A$15,BX$13)="",10^12,OFFSET(PLE!$G$15,$M461-$A$15,BX$13)))</f>
        <v>1000000000000</v>
      </c>
      <c r="BY461" s="172">
        <f ca="1">IF(OR($D461&lt;&gt;"Serviço",AND(AUTOEVENTO="Manual",$M461=$A$15),$M461&gt;(ROW(PLE.lastrow)-ROW(PLE.firstrow))),0,
           IF(OFFSET(PLE!$G$15,$M461-$A$15,BY$13)="",10^12,OFFSET(PLE!$G$15,$M461-$A$15,BY$13)))</f>
        <v>1000000000000</v>
      </c>
      <c r="BZ461" s="172">
        <f ca="1">IF(OR($D461&lt;&gt;"Serviço",AND(AUTOEVENTO="Manual",$M461=$A$15),$M461&gt;(ROW(PLE.lastrow)-ROW(PLE.firstrow))),0,
           IF(OFFSET(PLE!$G$15,$M461-$A$15,BZ$13)="",10^12,OFFSET(PLE!$G$15,$M461-$A$15,BZ$13)))</f>
        <v>1000000000000</v>
      </c>
      <c r="CA461" s="172">
        <f ca="1">IF(OR($D461&lt;&gt;"Serviço",AND(AUTOEVENTO="Manual",$M461=$A$15),$M461&gt;(ROW(PLE.lastrow)-ROW(PLE.firstrow))),0,
           IF(OFFSET(PLE!$G$15,$M461-$A$15,CA$13)="",10^12,OFFSET(PLE!$G$15,$M461-$A$15,CA$13)))</f>
        <v>1000000000000</v>
      </c>
      <c r="CB461" s="172">
        <f ca="1">IF(OR($D461&lt;&gt;"Serviço",AND(AUTOEVENTO="Manual",$M461=$A$15),$M461&gt;(ROW(PLE.lastrow)-ROW(PLE.firstrow))),0,
           IF(OFFSET(PLE!$G$15,$M461-$A$15,CB$13)="",10^12,OFFSET(PLE!$G$15,$M461-$A$15,CB$13)))</f>
        <v>1000000000000</v>
      </c>
      <c r="CC461" s="172">
        <f ca="1">IF(OR($D461&lt;&gt;"Serviço",AND(AUTOEVENTO="Manual",$M461=$A$15),$M461&gt;(ROW(PLE.lastrow)-ROW(PLE.firstrow))),0,
           IF(OFFSET(PLE!$G$15,$M461-$A$15,CC$13)="",10^12,OFFSET(PLE!$G$15,$M461-$A$15,CC$13)))</f>
        <v>1000000000000</v>
      </c>
      <c r="CD461" s="172">
        <f ca="1">IF(OR($D461&lt;&gt;"Serviço",AND(AUTOEVENTO="Manual",$M461=$A$15),$M461&gt;(ROW(PLE.lastrow)-ROW(PLE.firstrow))),0,
           IF(OFFSET(PLE!$G$15,$M461-$A$15,CD$13)="",10^12,OFFSET(PLE!$G$15,$M461-$A$15,CD$13)))</f>
        <v>1000000000000</v>
      </c>
      <c r="CE461" s="172">
        <f ca="1">IF(OR($D461&lt;&gt;"Serviço",AND(AUTOEVENTO="Manual",$M461=$A$15),$M461&gt;(ROW(PLE.lastrow)-ROW(PLE.firstrow))),0,
           IF(OFFSET(PLE!$G$15,$M461-$A$15,CE$13)="",10^12,OFFSET(PLE!$G$15,$M461-$A$15,CE$13)))</f>
        <v>1000000000000</v>
      </c>
      <c r="CF461" s="172">
        <f ca="1">IF(OR($D461&lt;&gt;"Serviço",AND(AUTOEVENTO="Manual",$M461=$A$15),$M461&gt;(ROW(PLE.lastrow)-ROW(PLE.firstrow))),0,
           IF(OFFSET(PLE!$G$15,$M461-$A$15,CF$13)="",10^12,OFFSET(PLE!$G$15,$M461-$A$15,CF$13)))</f>
        <v>1000000000000</v>
      </c>
      <c r="CG461" s="172">
        <f ca="1">IF(OR($D461&lt;&gt;"Serviço",AND(AUTOEVENTO="Manual",$M461=$A$15),$M461&gt;(ROW(PLE.lastrow)-ROW(PLE.firstrow))),0,
           IF(OFFSET(PLE!$G$15,$M461-$A$15,CG$13)="",10^12,OFFSET(PLE!$G$15,$M461-$A$15,CG$13)))</f>
        <v>1000000000000</v>
      </c>
      <c r="CH461" s="172">
        <f ca="1">IF(OR($D461&lt;&gt;"Serviço",AND(AUTOEVENTO="Manual",$M461=$A$15),$M461&gt;(ROW(PLE.lastrow)-ROW(PLE.firstrow))),0,
           IF(OFFSET(PLE!$G$15,$M461-$A$15,CH$13)="",10^12,OFFSET(PLE!$G$15,$M461-$A$15,CH$13)))</f>
        <v>1000000000000</v>
      </c>
      <c r="CI461" s="172">
        <f ca="1">IF(OR($D461&lt;&gt;"Serviço",AND(AUTOEVENTO="Manual",$M461=$A$15),$M461&gt;(ROW(PLE.lastrow)-ROW(PLE.firstrow))),0,
           IF(OFFSET(PLE!$G$15,$M461-$A$15,CI$13)="",10^12,OFFSET(PLE!$G$15,$M461-$A$15,CI$13)))</f>
        <v>1000000000000</v>
      </c>
      <c r="CJ461" s="172">
        <f ca="1">IF(OR($D461&lt;&gt;"Serviço",AND(AUTOEVENTO="Manual",$M461=$A$15),$M461&gt;(ROW(PLE.lastrow)-ROW(PLE.firstrow))),0,
           IF(OFFSET(PLE!$G$15,$M461-$A$15,CJ$13)="",10^12,OFFSET(PLE!$G$15,$M461-$A$15,CJ$13)))</f>
        <v>1000000000000</v>
      </c>
      <c r="CK461" s="172">
        <f ca="1">IF(OR($D461&lt;&gt;"Serviço",AND(AUTOEVENTO="Manual",$M461=$A$15),$M461&gt;(ROW(PLE.lastrow)-ROW(PLE.firstrow))),0,
           IF(OFFSET(PLE!$G$15,$M461-$A$15,CK$13)="",10^12,OFFSET(PLE!$G$15,$M461-$A$15,CK$13)))</f>
        <v>1000000000000</v>
      </c>
      <c r="CL461" s="172">
        <f ca="1">IF(OR($D461&lt;&gt;"Serviço",AND(AUTOEVENTO="Manual",$M461=$A$15),$M461&gt;(ROW(PLE.lastrow)-ROW(PLE.firstrow))),0,
           IF(OFFSET(PLE!$G$15,$M461-$A$15,CL$13)="",10^12,OFFSET(PLE!$G$15,$M461-$A$15,CL$13)))</f>
        <v>1000000000000</v>
      </c>
      <c r="CM461" s="172">
        <f ca="1">IF(OR($D461&lt;&gt;"Serviço",AND(AUTOEVENTO="Manual",$M461=$A$15),$M461&gt;(ROW(PLE.lastrow)-ROW(PLE.firstrow))),0,
           IF(OFFSET(PLE!$G$15,$M461-$A$15,CM$13)="",10^12,OFFSET(PLE!$G$15,$M461-$A$15,CM$13)))</f>
        <v>1000000000000</v>
      </c>
    </row>
    <row r="462" spans="1:91" ht="12.75" x14ac:dyDescent="0.2">
      <c r="A462" s="7">
        <f t="shared" ca="1" si="16"/>
        <v>0</v>
      </c>
      <c r="B462" s="7">
        <f ca="1">OFFSET(ORÇAMENTO!C$15,ROW(B462)-ROW(B$15),0)</f>
        <v>3</v>
      </c>
      <c r="C462" s="7" t="str">
        <f ca="1">OFFSET(ORÇAMENTO!L$15,ROW(C462)-ROW(C$15),0)</f>
        <v>F</v>
      </c>
      <c r="D462" s="116" t="str">
        <f ca="1">OFFSET(ORÇAMENTO!N$15,ROW(D462)-ROW(D$15),0)</f>
        <v>Nível 3</v>
      </c>
      <c r="E462" s="117" t="str">
        <f ca="1">OFFSET(ORÇAMENTO!O$15,ROW(E462)-ROW(E$15),0)</f>
        <v>1.9.5.</v>
      </c>
      <c r="F462" s="163" t="str">
        <f ca="1">OFFSET(ORÇAMENTO!R$15,ROW(F462)-ROW(F$15),0)</f>
        <v>SISTEMA DE GRAVAÇÃO</v>
      </c>
      <c r="G462" s="164" t="str">
        <f ca="1">IF($D462&lt;&gt;"Serviço","",OFFSET(ORÇAMENTO!S$15,ROW(G462)-ROW(G$15),0))</f>
        <v/>
      </c>
      <c r="H462" s="122" cm="1">
        <f t="array" aca="1" ref="H462" ca="1">IF($D462&lt;&gt;"Serviço",0,IF(ACOMPANHAMENTO="BM",ROUND(OFFSET(ORÇAMENTO!AJ$15,ROW(H462)-ROW(H$15),0),15-13*ORÇAMENTO!$AF$7),SUMPRODUCT(($Q$1:$AI$1=1)*ROUND($Q462:$AI462,15-13*ORÇAMENTO!$AF$7))))</f>
        <v>0</v>
      </c>
      <c r="I462" s="468"/>
      <c r="J462" s="640" t="str" cm="1">
        <f t="array" aca="1" ref="J462" ca="1">IF(OR(B462&lt;&gt;"S",CÁLCULO.FrentesPreenchidas=0),"",IF(AND(ACOMPANHAMENTO="PLE",AUTOEVENTO="Manual",OR(H462&gt;0,ORÇAMENTO!AC462="QUANT."),OR(K462="",M462=0,N462="")),"►E",IF(AND(ACOMPANHAMENTO="PLE",ORÇAMENTO!AC462="QUANT."),"►Q",IF(AND(ACOMPANHAMENTO="PLE",H462&lt;&gt;SUMPRODUCT(($Q$1:$AI$1=1)*ROUND(Q462:AI462,15))),"►S",IF(AND(COUNTIF($P$11:$AI$11,"▼")=0,H462&gt;0,I462=""),"◄M","")))))</f>
        <v/>
      </c>
      <c r="K462" s="641"/>
      <c r="L462" s="165" t="s">
        <v>764</v>
      </c>
      <c r="M462" s="166" t="str">
        <f ca="1">IF($D462&lt;&gt;"Serviço","",
          IF(AUTOEVENTO="manual",$A462,
                IF(ISERROR(MATCH($A462,$A$15:OFFSET($A462,-1,0),0)),MAX($M$15:OFFSET(M462,-1,0))+1,
                      INDEX($M$15:OFFSET(M462,-1,0),MATCH($A462,$A$15:OFFSET($A462,-1,0),0)))))</f>
        <v/>
      </c>
      <c r="N462" s="167" t="str">
        <f ca="1">IF($D462&lt;&gt;"Serviço","",
         IF(AUTOEVENTO="Manual",
                IF($A462=0,"&lt;-- defina o número do agrupador",
                       OFFSET(EVENTOS!$D$15,$A462-$A$15,0)),
                OFFSET($F$15,$A462,0)))</f>
        <v/>
      </c>
      <c r="O462" s="168"/>
      <c r="Q462" s="168"/>
      <c r="R462" s="169"/>
      <c r="S462" s="169"/>
      <c r="T462" s="169"/>
      <c r="U462" s="169"/>
      <c r="V462" s="169"/>
      <c r="W462" s="169"/>
      <c r="X462" s="169"/>
      <c r="Y462" s="169"/>
      <c r="Z462" s="170"/>
      <c r="AA462" s="169"/>
      <c r="AB462" s="169"/>
      <c r="AC462" s="169"/>
      <c r="AD462" s="169"/>
      <c r="AE462" s="169"/>
      <c r="AF462" s="169"/>
      <c r="AG462" s="169"/>
      <c r="AH462" s="170"/>
      <c r="AJ462" s="453">
        <f ca="1">IF(AND($D462="Serviço",AJ$12&lt;&gt;0,$H462&gt;0,OR(AUTOEVENTO&lt;&gt;"manual",$M462&lt;&gt;$A$15)),
        IF(Import.TipoArredondamento&lt;&gt;"TransfereGOV",
              ROUND(OFFSET($P462,0,AJ$13),15-13*ORÇAMENTO!$AF$7)/$H462*OFFSET(ORÇAMENTO!$X$15,ROW(AJ462)-ROW(AJ$15),0),
              ROUND(ROUND(OFFSET($P462,0,AJ$13),15-13*ORÇAMENTO!$AF$7)*OFFSET(ORÇAMENTO!$W$15,ROW(AJ462)-ROW(AJ$15),0),15-13*ORÇAMENTO!$AF$11)),
         0)</f>
        <v>0</v>
      </c>
      <c r="AK462" s="453">
        <f ca="1">IF(AND($D462="Serviço",AK$12&lt;&gt;0,$H462&gt;0,OR(AUTOEVENTO&lt;&gt;"manual",$M462&lt;&gt;$A$15)),
        IF(Import.TipoArredondamento&lt;&gt;"TransfereGOV",
              ROUND(OFFSET($P462,0,AK$13),15-13*ORÇAMENTO!$AF$7)/$H462*OFFSET(ORÇAMENTO!$X$15,ROW(AK462)-ROW(AK$15),0),
              ROUND(ROUND(OFFSET($P462,0,AK$13),15-13*ORÇAMENTO!$AF$7)*OFFSET(ORÇAMENTO!$W$15,ROW(AK462)-ROW(AK$15),0),15-13*ORÇAMENTO!$AF$11)),
         0)</f>
        <v>0</v>
      </c>
      <c r="AL462" s="453">
        <f ca="1">IF(AND($D462="Serviço",AL$12&lt;&gt;0,$H462&gt;0,OR(AUTOEVENTO&lt;&gt;"manual",$M462&lt;&gt;$A$15)),
        IF(Import.TipoArredondamento&lt;&gt;"TransfereGOV",
              ROUND(OFFSET($P462,0,AL$13),15-13*ORÇAMENTO!$AF$7)/$H462*OFFSET(ORÇAMENTO!$X$15,ROW(AL462)-ROW(AL$15),0),
              ROUND(ROUND(OFFSET($P462,0,AL$13),15-13*ORÇAMENTO!$AF$7)*OFFSET(ORÇAMENTO!$W$15,ROW(AL462)-ROW(AL$15),0),15-13*ORÇAMENTO!$AF$11)),
         0)</f>
        <v>0</v>
      </c>
      <c r="AM462" s="453">
        <f ca="1">IF(AND($D462="Serviço",AM$12&lt;&gt;0,$H462&gt;0,OR(AUTOEVENTO&lt;&gt;"manual",$M462&lt;&gt;$A$15)),
        IF(Import.TipoArredondamento&lt;&gt;"TransfereGOV",
              ROUND(OFFSET($P462,0,AM$13),15-13*ORÇAMENTO!$AF$7)/$H462*OFFSET(ORÇAMENTO!$X$15,ROW(AM462)-ROW(AM$15),0),
              ROUND(ROUND(OFFSET($P462,0,AM$13),15-13*ORÇAMENTO!$AF$7)*OFFSET(ORÇAMENTO!$W$15,ROW(AM462)-ROW(AM$15),0),15-13*ORÇAMENTO!$AF$11)),
         0)</f>
        <v>0</v>
      </c>
      <c r="AN462" s="453">
        <f ca="1">IF(AND($D462="Serviço",AN$12&lt;&gt;0,$H462&gt;0,OR(AUTOEVENTO&lt;&gt;"manual",$M462&lt;&gt;$A$15)),
        IF(Import.TipoArredondamento&lt;&gt;"TransfereGOV",
              ROUND(OFFSET($P462,0,AN$13),15-13*ORÇAMENTO!$AF$7)/$H462*OFFSET(ORÇAMENTO!$X$15,ROW(AN462)-ROW(AN$15),0),
              ROUND(ROUND(OFFSET($P462,0,AN$13),15-13*ORÇAMENTO!$AF$7)*OFFSET(ORÇAMENTO!$W$15,ROW(AN462)-ROW(AN$15),0),15-13*ORÇAMENTO!$AF$11)),
         0)</f>
        <v>0</v>
      </c>
      <c r="AO462" s="453">
        <f ca="1">IF(AND($D462="Serviço",AO$12&lt;&gt;0,$H462&gt;0,OR(AUTOEVENTO&lt;&gt;"manual",$M462&lt;&gt;$A$15)),
        IF(Import.TipoArredondamento&lt;&gt;"TransfereGOV",
              ROUND(OFFSET($P462,0,AO$13),15-13*ORÇAMENTO!$AF$7)/$H462*OFFSET(ORÇAMENTO!$X$15,ROW(AO462)-ROW(AO$15),0),
              ROUND(ROUND(OFFSET($P462,0,AO$13),15-13*ORÇAMENTO!$AF$7)*OFFSET(ORÇAMENTO!$W$15,ROW(AO462)-ROW(AO$15),0),15-13*ORÇAMENTO!$AF$11)),
         0)</f>
        <v>0</v>
      </c>
      <c r="AP462" s="453">
        <f ca="1">IF(AND($D462="Serviço",AP$12&lt;&gt;0,$H462&gt;0,OR(AUTOEVENTO&lt;&gt;"manual",$M462&lt;&gt;$A$15)),
        IF(Import.TipoArredondamento&lt;&gt;"TransfereGOV",
              ROUND(OFFSET($P462,0,AP$13),15-13*ORÇAMENTO!$AF$7)/$H462*OFFSET(ORÇAMENTO!$X$15,ROW(AP462)-ROW(AP$15),0),
              ROUND(ROUND(OFFSET($P462,0,AP$13),15-13*ORÇAMENTO!$AF$7)*OFFSET(ORÇAMENTO!$W$15,ROW(AP462)-ROW(AP$15),0),15-13*ORÇAMENTO!$AF$11)),
         0)</f>
        <v>0</v>
      </c>
      <c r="AQ462" s="453">
        <f ca="1">IF(AND($D462="Serviço",AQ$12&lt;&gt;0,$H462&gt;0,OR(AUTOEVENTO&lt;&gt;"manual",$M462&lt;&gt;$A$15)),
        IF(Import.TipoArredondamento&lt;&gt;"TransfereGOV",
              ROUND(OFFSET($P462,0,AQ$13),15-13*ORÇAMENTO!$AF$7)/$H462*OFFSET(ORÇAMENTO!$X$15,ROW(AQ462)-ROW(AQ$15),0),
              ROUND(ROUND(OFFSET($P462,0,AQ$13),15-13*ORÇAMENTO!$AF$7)*OFFSET(ORÇAMENTO!$W$15,ROW(AQ462)-ROW(AQ$15),0),15-13*ORÇAMENTO!$AF$11)),
         0)</f>
        <v>0</v>
      </c>
      <c r="AR462" s="453">
        <f ca="1">IF(AND($D462="Serviço",AR$12&lt;&gt;0,$H462&gt;0,OR(AUTOEVENTO&lt;&gt;"manual",$M462&lt;&gt;$A$15)),
        IF(Import.TipoArredondamento&lt;&gt;"TransfereGOV",
              ROUND(OFFSET($P462,0,AR$13),15-13*ORÇAMENTO!$AF$7)/$H462*OFFSET(ORÇAMENTO!$X$15,ROW(AR462)-ROW(AR$15),0),
              ROUND(ROUND(OFFSET($P462,0,AR$13),15-13*ORÇAMENTO!$AF$7)*OFFSET(ORÇAMENTO!$W$15,ROW(AR462)-ROW(AR$15),0),15-13*ORÇAMENTO!$AF$11)),
         0)</f>
        <v>0</v>
      </c>
      <c r="AS462" s="453">
        <f ca="1">IF(AND($D462="Serviço",AS$12&lt;&gt;0,$H462&gt;0,OR(AUTOEVENTO&lt;&gt;"manual",$M462&lt;&gt;$A$15)),
        IF(Import.TipoArredondamento&lt;&gt;"TransfereGOV",
              ROUND(OFFSET($P462,0,AS$13),15-13*ORÇAMENTO!$AF$7)/$H462*OFFSET(ORÇAMENTO!$X$15,ROW(AS462)-ROW(AS$15),0),
              ROUND(ROUND(OFFSET($P462,0,AS$13),15-13*ORÇAMENTO!$AF$7)*OFFSET(ORÇAMENTO!$W$15,ROW(AS462)-ROW(AS$15),0),15-13*ORÇAMENTO!$AF$11)),
         0)</f>
        <v>0</v>
      </c>
      <c r="AT462" s="453">
        <f ca="1">IF(AND($D462="Serviço",AT$12&lt;&gt;0,$H462&gt;0,OR(AUTOEVENTO&lt;&gt;"manual",$M462&lt;&gt;$A$15)),
        IF(Import.TipoArredondamento&lt;&gt;"TransfereGOV",
              ROUND(OFFSET($P462,0,AT$13),15-13*ORÇAMENTO!$AF$7)/$H462*OFFSET(ORÇAMENTO!$X$15,ROW(AT462)-ROW(AT$15),0),
              ROUND(ROUND(OFFSET($P462,0,AT$13),15-13*ORÇAMENTO!$AF$7)*OFFSET(ORÇAMENTO!$W$15,ROW(AT462)-ROW(AT$15),0),15-13*ORÇAMENTO!$AF$11)),
         0)</f>
        <v>0</v>
      </c>
      <c r="AU462" s="453">
        <f ca="1">IF(AND($D462="Serviço",AU$12&lt;&gt;0,$H462&gt;0,OR(AUTOEVENTO&lt;&gt;"manual",$M462&lt;&gt;$A$15)),
        IF(Import.TipoArredondamento&lt;&gt;"TransfereGOV",
              ROUND(OFFSET($P462,0,AU$13),15-13*ORÇAMENTO!$AF$7)/$H462*OFFSET(ORÇAMENTO!$X$15,ROW(AU462)-ROW(AU$15),0),
              ROUND(ROUND(OFFSET($P462,0,AU$13),15-13*ORÇAMENTO!$AF$7)*OFFSET(ORÇAMENTO!$W$15,ROW(AU462)-ROW(AU$15),0),15-13*ORÇAMENTO!$AF$11)),
         0)</f>
        <v>0</v>
      </c>
      <c r="AV462" s="453">
        <f ca="1">IF(AND($D462="Serviço",AV$12&lt;&gt;0,$H462&gt;0,OR(AUTOEVENTO&lt;&gt;"manual",$M462&lt;&gt;$A$15)),
        IF(Import.TipoArredondamento&lt;&gt;"TransfereGOV",
              ROUND(OFFSET($P462,0,AV$13),15-13*ORÇAMENTO!$AF$7)/$H462*OFFSET(ORÇAMENTO!$X$15,ROW(AV462)-ROW(AV$15),0),
              ROUND(ROUND(OFFSET($P462,0,AV$13),15-13*ORÇAMENTO!$AF$7)*OFFSET(ORÇAMENTO!$W$15,ROW(AV462)-ROW(AV$15),0),15-13*ORÇAMENTO!$AF$11)),
         0)</f>
        <v>0</v>
      </c>
      <c r="AW462" s="453">
        <f ca="1">IF(AND($D462="Serviço",AW$12&lt;&gt;0,$H462&gt;0,OR(AUTOEVENTO&lt;&gt;"manual",$M462&lt;&gt;$A$15)),
        IF(Import.TipoArredondamento&lt;&gt;"TransfereGOV",
              ROUND(OFFSET($P462,0,AW$13),15-13*ORÇAMENTO!$AF$7)/$H462*OFFSET(ORÇAMENTO!$X$15,ROW(AW462)-ROW(AW$15),0),
              ROUND(ROUND(OFFSET($P462,0,AW$13),15-13*ORÇAMENTO!$AF$7)*OFFSET(ORÇAMENTO!$W$15,ROW(AW462)-ROW(AW$15),0),15-13*ORÇAMENTO!$AF$11)),
         0)</f>
        <v>0</v>
      </c>
      <c r="AX462" s="453">
        <f ca="1">IF(AND($D462="Serviço",AX$12&lt;&gt;0,$H462&gt;0,OR(AUTOEVENTO&lt;&gt;"manual",$M462&lt;&gt;$A$15)),
        IF(Import.TipoArredondamento&lt;&gt;"TransfereGOV",
              ROUND(OFFSET($P462,0,AX$13),15-13*ORÇAMENTO!$AF$7)/$H462*OFFSET(ORÇAMENTO!$X$15,ROW(AX462)-ROW(AX$15),0),
              ROUND(ROUND(OFFSET($P462,0,AX$13),15-13*ORÇAMENTO!$AF$7)*OFFSET(ORÇAMENTO!$W$15,ROW(AX462)-ROW(AX$15),0),15-13*ORÇAMENTO!$AF$11)),
         0)</f>
        <v>0</v>
      </c>
      <c r="AY462" s="453">
        <f ca="1">IF(AND($D462="Serviço",AY$12&lt;&gt;0,$H462&gt;0,OR(AUTOEVENTO&lt;&gt;"manual",$M462&lt;&gt;$A$15)),
        IF(Import.TipoArredondamento&lt;&gt;"TransfereGOV",
              ROUND(OFFSET($P462,0,AY$13),15-13*ORÇAMENTO!$AF$7)/$H462*OFFSET(ORÇAMENTO!$X$15,ROW(AY462)-ROW(AY$15),0),
              ROUND(ROUND(OFFSET($P462,0,AY$13),15-13*ORÇAMENTO!$AF$7)*OFFSET(ORÇAMENTO!$W$15,ROW(AY462)-ROW(AY$15),0),15-13*ORÇAMENTO!$AF$11)),
         0)</f>
        <v>0</v>
      </c>
      <c r="AZ462" s="453">
        <f ca="1">IF(AND($D462="Serviço",AZ$12&lt;&gt;0,$H462&gt;0,OR(AUTOEVENTO&lt;&gt;"manual",$M462&lt;&gt;$A$15)),
        IF(Import.TipoArredondamento&lt;&gt;"TransfereGOV",
              ROUND(OFFSET($P462,0,AZ$13),15-13*ORÇAMENTO!$AF$7)/$H462*OFFSET(ORÇAMENTO!$X$15,ROW(AZ462)-ROW(AZ$15),0),
              ROUND(ROUND(OFFSET($P462,0,AZ$13),15-13*ORÇAMENTO!$AF$7)*OFFSET(ORÇAMENTO!$W$15,ROW(AZ462)-ROW(AZ$15),0),15-13*ORÇAMENTO!$AF$11)),
         0)</f>
        <v>0</v>
      </c>
      <c r="BA462" s="453">
        <f ca="1">IF(AND($D462="Serviço",BA$12&lt;&gt;0,$H462&gt;0,OR(AUTOEVENTO&lt;&gt;"manual",$M462&lt;&gt;$A$15)),
        IF(Import.TipoArredondamento&lt;&gt;"TransfereGOV",
              ROUND(OFFSET($P462,0,BA$13),15-13*ORÇAMENTO!$AF$7)/$H462*OFFSET(ORÇAMENTO!$X$15,ROW(BA462)-ROW(BA$15),0),
              ROUND(ROUND(OFFSET($P462,0,BA$13),15-13*ORÇAMENTO!$AF$7)*OFFSET(ORÇAMENTO!$W$15,ROW(BA462)-ROW(BA$15),0),15-13*ORÇAMENTO!$AF$11)),
         0)</f>
        <v>0</v>
      </c>
      <c r="BC462" s="171">
        <f ca="1">IF(OR($D462&lt;&gt;"Serviço",AND(AUTOEVENTO="Manual",$M462=$A$15)),0,
         IF(OFFSET(CRONOPLE!$F$15,$M462-$A$15,BC$13)=0,10^12,OFFSET(CRONOPLE!$F$15,$M462-$A$15,BC$13)))</f>
        <v>0</v>
      </c>
      <c r="BD462" s="171">
        <f ca="1">IF(OR($D462&lt;&gt;"Serviço",AND(AUTOEVENTO="Manual",$M462=$A$15)),0,
         IF(OFFSET(CRONOPLE!$F$15,$M462-$A$15,BD$13)=0,10^12,OFFSET(CRONOPLE!$F$15,$M462-$A$15,BD$13)))</f>
        <v>0</v>
      </c>
      <c r="BE462" s="171">
        <f ca="1">IF(OR($D462&lt;&gt;"Serviço",AND(AUTOEVENTO="Manual",$M462=$A$15)),0,
         IF(OFFSET(CRONOPLE!$F$15,$M462-$A$15,BE$13)=0,10^12,OFFSET(CRONOPLE!$F$15,$M462-$A$15,BE$13)))</f>
        <v>0</v>
      </c>
      <c r="BF462" s="171">
        <f ca="1">IF(OR($D462&lt;&gt;"Serviço",AND(AUTOEVENTO="Manual",$M462=$A$15)),0,
         IF(OFFSET(CRONOPLE!$F$15,$M462-$A$15,BF$13)=0,10^12,OFFSET(CRONOPLE!$F$15,$M462-$A$15,BF$13)))</f>
        <v>0</v>
      </c>
      <c r="BG462" s="171">
        <f ca="1">IF(OR($D462&lt;&gt;"Serviço",AND(AUTOEVENTO="Manual",$M462=$A$15)),0,
         IF(OFFSET(CRONOPLE!$F$15,$M462-$A$15,BG$13)=0,10^12,OFFSET(CRONOPLE!$F$15,$M462-$A$15,BG$13)))</f>
        <v>0</v>
      </c>
      <c r="BH462" s="171">
        <f ca="1">IF(OR($D462&lt;&gt;"Serviço",AND(AUTOEVENTO="Manual",$M462=$A$15)),0,
         IF(OFFSET(CRONOPLE!$F$15,$M462-$A$15,BH$13)=0,10^12,OFFSET(CRONOPLE!$F$15,$M462-$A$15,BH$13)))</f>
        <v>0</v>
      </c>
      <c r="BI462" s="171">
        <f ca="1">IF(OR($D462&lt;&gt;"Serviço",AND(AUTOEVENTO="Manual",$M462=$A$15)),0,
         IF(OFFSET(CRONOPLE!$F$15,$M462-$A$15,BI$13)=0,10^12,OFFSET(CRONOPLE!$F$15,$M462-$A$15,BI$13)))</f>
        <v>0</v>
      </c>
      <c r="BJ462" s="171">
        <f ca="1">IF(OR($D462&lt;&gt;"Serviço",AND(AUTOEVENTO="Manual",$M462=$A$15)),0,
         IF(OFFSET(CRONOPLE!$F$15,$M462-$A$15,BJ$13)=0,10^12,OFFSET(CRONOPLE!$F$15,$M462-$A$15,BJ$13)))</f>
        <v>0</v>
      </c>
      <c r="BK462" s="171">
        <f ca="1">IF(OR($D462&lt;&gt;"Serviço",AND(AUTOEVENTO="Manual",$M462=$A$15)),0,
         IF(OFFSET(CRONOPLE!$F$15,$M462-$A$15,BK$13)=0,10^12,OFFSET(CRONOPLE!$F$15,$M462-$A$15,BK$13)))</f>
        <v>0</v>
      </c>
      <c r="BL462" s="171">
        <f ca="1">IF(OR($D462&lt;&gt;"Serviço",AND(AUTOEVENTO="Manual",$M462=$A$15)),0,
         IF(OFFSET(CRONOPLE!$F$15,$M462-$A$15,BL$13)=0,10^12,OFFSET(CRONOPLE!$F$15,$M462-$A$15,BL$13)))</f>
        <v>0</v>
      </c>
      <c r="BM462" s="171">
        <f ca="1">IF(OR($D462&lt;&gt;"Serviço",AND(AUTOEVENTO="Manual",$M462=$A$15)),0,
         IF(OFFSET(CRONOPLE!$F$15,$M462-$A$15,BM$13)=0,10^12,OFFSET(CRONOPLE!$F$15,$M462-$A$15,BM$13)))</f>
        <v>0</v>
      </c>
      <c r="BN462" s="171">
        <f ca="1">IF(OR($D462&lt;&gt;"Serviço",AND(AUTOEVENTO="Manual",$M462=$A$15)),0,
         IF(OFFSET(CRONOPLE!$F$15,$M462-$A$15,BN$13)=0,10^12,OFFSET(CRONOPLE!$F$15,$M462-$A$15,BN$13)))</f>
        <v>0</v>
      </c>
      <c r="BO462" s="171">
        <f ca="1">IF(OR($D462&lt;&gt;"Serviço",AND(AUTOEVENTO="Manual",$M462=$A$15)),0,
         IF(OFFSET(CRONOPLE!$F$15,$M462-$A$15,BO$13)=0,10^12,OFFSET(CRONOPLE!$F$15,$M462-$A$15,BO$13)))</f>
        <v>0</v>
      </c>
      <c r="BP462" s="171">
        <f ca="1">IF(OR($D462&lt;&gt;"Serviço",AND(AUTOEVENTO="Manual",$M462=$A$15)),0,
         IF(OFFSET(CRONOPLE!$F$15,$M462-$A$15,BP$13)=0,10^12,OFFSET(CRONOPLE!$F$15,$M462-$A$15,BP$13)))</f>
        <v>0</v>
      </c>
      <c r="BQ462" s="171">
        <f ca="1">IF(OR($D462&lt;&gt;"Serviço",AND(AUTOEVENTO="Manual",$M462=$A$15)),0,
         IF(OFFSET(CRONOPLE!$F$15,$M462-$A$15,BQ$13)=0,10^12,OFFSET(CRONOPLE!$F$15,$M462-$A$15,BQ$13)))</f>
        <v>0</v>
      </c>
      <c r="BR462" s="171">
        <f ca="1">IF(OR($D462&lt;&gt;"Serviço",AND(AUTOEVENTO="Manual",$M462=$A$15)),0,
         IF(OFFSET(CRONOPLE!$F$15,$M462-$A$15,BR$13)=0,10^12,OFFSET(CRONOPLE!$F$15,$M462-$A$15,BR$13)))</f>
        <v>0</v>
      </c>
      <c r="BS462" s="171">
        <f ca="1">IF(OR($D462&lt;&gt;"Serviço",AND(AUTOEVENTO="Manual",$M462=$A$15)),0,
         IF(OFFSET(CRONOPLE!$F$15,$M462-$A$15,BS$13)=0,10^12,OFFSET(CRONOPLE!$F$15,$M462-$A$15,BS$13)))</f>
        <v>0</v>
      </c>
      <c r="BT462" s="171">
        <f ca="1">IF(OR($D462&lt;&gt;"Serviço",AND(AUTOEVENTO="Manual",$M462=$A$15)),0,
         IF(OFFSET(CRONOPLE!$F$15,$M462-$A$15,BT$13)=0,10^12,OFFSET(CRONOPLE!$F$15,$M462-$A$15,BT$13)))</f>
        <v>0</v>
      </c>
      <c r="BV462" s="172">
        <f ca="1">IF(OR($D462&lt;&gt;"Serviço",AND(AUTOEVENTO="Manual",$M462=$A$15),$M462&gt;(ROW(PLE.lastrow)-ROW(PLE.firstrow))),0,
           IF(OFFSET(PLE!$G$15,$M462-$A$15,BV$13)="",10^12,OFFSET(PLE!$G$15,$M462-$A$15,BV$13)))</f>
        <v>0</v>
      </c>
      <c r="BW462" s="172">
        <f ca="1">IF(OR($D462&lt;&gt;"Serviço",AND(AUTOEVENTO="Manual",$M462=$A$15),$M462&gt;(ROW(PLE.lastrow)-ROW(PLE.firstrow))),0,
           IF(OFFSET(PLE!$G$15,$M462-$A$15,BW$13)="",10^12,OFFSET(PLE!$G$15,$M462-$A$15,BW$13)))</f>
        <v>0</v>
      </c>
      <c r="BX462" s="172">
        <f ca="1">IF(OR($D462&lt;&gt;"Serviço",AND(AUTOEVENTO="Manual",$M462=$A$15),$M462&gt;(ROW(PLE.lastrow)-ROW(PLE.firstrow))),0,
           IF(OFFSET(PLE!$G$15,$M462-$A$15,BX$13)="",10^12,OFFSET(PLE!$G$15,$M462-$A$15,BX$13)))</f>
        <v>0</v>
      </c>
      <c r="BY462" s="172">
        <f ca="1">IF(OR($D462&lt;&gt;"Serviço",AND(AUTOEVENTO="Manual",$M462=$A$15),$M462&gt;(ROW(PLE.lastrow)-ROW(PLE.firstrow))),0,
           IF(OFFSET(PLE!$G$15,$M462-$A$15,BY$13)="",10^12,OFFSET(PLE!$G$15,$M462-$A$15,BY$13)))</f>
        <v>0</v>
      </c>
      <c r="BZ462" s="172">
        <f ca="1">IF(OR($D462&lt;&gt;"Serviço",AND(AUTOEVENTO="Manual",$M462=$A$15),$M462&gt;(ROW(PLE.lastrow)-ROW(PLE.firstrow))),0,
           IF(OFFSET(PLE!$G$15,$M462-$A$15,BZ$13)="",10^12,OFFSET(PLE!$G$15,$M462-$A$15,BZ$13)))</f>
        <v>0</v>
      </c>
      <c r="CA462" s="172">
        <f ca="1">IF(OR($D462&lt;&gt;"Serviço",AND(AUTOEVENTO="Manual",$M462=$A$15),$M462&gt;(ROW(PLE.lastrow)-ROW(PLE.firstrow))),0,
           IF(OFFSET(PLE!$G$15,$M462-$A$15,CA$13)="",10^12,OFFSET(PLE!$G$15,$M462-$A$15,CA$13)))</f>
        <v>0</v>
      </c>
      <c r="CB462" s="172">
        <f ca="1">IF(OR($D462&lt;&gt;"Serviço",AND(AUTOEVENTO="Manual",$M462=$A$15),$M462&gt;(ROW(PLE.lastrow)-ROW(PLE.firstrow))),0,
           IF(OFFSET(PLE!$G$15,$M462-$A$15,CB$13)="",10^12,OFFSET(PLE!$G$15,$M462-$A$15,CB$13)))</f>
        <v>0</v>
      </c>
      <c r="CC462" s="172">
        <f ca="1">IF(OR($D462&lt;&gt;"Serviço",AND(AUTOEVENTO="Manual",$M462=$A$15),$M462&gt;(ROW(PLE.lastrow)-ROW(PLE.firstrow))),0,
           IF(OFFSET(PLE!$G$15,$M462-$A$15,CC$13)="",10^12,OFFSET(PLE!$G$15,$M462-$A$15,CC$13)))</f>
        <v>0</v>
      </c>
      <c r="CD462" s="172">
        <f ca="1">IF(OR($D462&lt;&gt;"Serviço",AND(AUTOEVENTO="Manual",$M462=$A$15),$M462&gt;(ROW(PLE.lastrow)-ROW(PLE.firstrow))),0,
           IF(OFFSET(PLE!$G$15,$M462-$A$15,CD$13)="",10^12,OFFSET(PLE!$G$15,$M462-$A$15,CD$13)))</f>
        <v>0</v>
      </c>
      <c r="CE462" s="172">
        <f ca="1">IF(OR($D462&lt;&gt;"Serviço",AND(AUTOEVENTO="Manual",$M462=$A$15),$M462&gt;(ROW(PLE.lastrow)-ROW(PLE.firstrow))),0,
           IF(OFFSET(PLE!$G$15,$M462-$A$15,CE$13)="",10^12,OFFSET(PLE!$G$15,$M462-$A$15,CE$13)))</f>
        <v>0</v>
      </c>
      <c r="CF462" s="172">
        <f ca="1">IF(OR($D462&lt;&gt;"Serviço",AND(AUTOEVENTO="Manual",$M462=$A$15),$M462&gt;(ROW(PLE.lastrow)-ROW(PLE.firstrow))),0,
           IF(OFFSET(PLE!$G$15,$M462-$A$15,CF$13)="",10^12,OFFSET(PLE!$G$15,$M462-$A$15,CF$13)))</f>
        <v>0</v>
      </c>
      <c r="CG462" s="172">
        <f ca="1">IF(OR($D462&lt;&gt;"Serviço",AND(AUTOEVENTO="Manual",$M462=$A$15),$M462&gt;(ROW(PLE.lastrow)-ROW(PLE.firstrow))),0,
           IF(OFFSET(PLE!$G$15,$M462-$A$15,CG$13)="",10^12,OFFSET(PLE!$G$15,$M462-$A$15,CG$13)))</f>
        <v>0</v>
      </c>
      <c r="CH462" s="172">
        <f ca="1">IF(OR($D462&lt;&gt;"Serviço",AND(AUTOEVENTO="Manual",$M462=$A$15),$M462&gt;(ROW(PLE.lastrow)-ROW(PLE.firstrow))),0,
           IF(OFFSET(PLE!$G$15,$M462-$A$15,CH$13)="",10^12,OFFSET(PLE!$G$15,$M462-$A$15,CH$13)))</f>
        <v>0</v>
      </c>
      <c r="CI462" s="172">
        <f ca="1">IF(OR($D462&lt;&gt;"Serviço",AND(AUTOEVENTO="Manual",$M462=$A$15),$M462&gt;(ROW(PLE.lastrow)-ROW(PLE.firstrow))),0,
           IF(OFFSET(PLE!$G$15,$M462-$A$15,CI$13)="",10^12,OFFSET(PLE!$G$15,$M462-$A$15,CI$13)))</f>
        <v>0</v>
      </c>
      <c r="CJ462" s="172">
        <f ca="1">IF(OR($D462&lt;&gt;"Serviço",AND(AUTOEVENTO="Manual",$M462=$A$15),$M462&gt;(ROW(PLE.lastrow)-ROW(PLE.firstrow))),0,
           IF(OFFSET(PLE!$G$15,$M462-$A$15,CJ$13)="",10^12,OFFSET(PLE!$G$15,$M462-$A$15,CJ$13)))</f>
        <v>0</v>
      </c>
      <c r="CK462" s="172">
        <f ca="1">IF(OR($D462&lt;&gt;"Serviço",AND(AUTOEVENTO="Manual",$M462=$A$15),$M462&gt;(ROW(PLE.lastrow)-ROW(PLE.firstrow))),0,
           IF(OFFSET(PLE!$G$15,$M462-$A$15,CK$13)="",10^12,OFFSET(PLE!$G$15,$M462-$A$15,CK$13)))</f>
        <v>0</v>
      </c>
      <c r="CL462" s="172">
        <f ca="1">IF(OR($D462&lt;&gt;"Serviço",AND(AUTOEVENTO="Manual",$M462=$A$15),$M462&gt;(ROW(PLE.lastrow)-ROW(PLE.firstrow))),0,
           IF(OFFSET(PLE!$G$15,$M462-$A$15,CL$13)="",10^12,OFFSET(PLE!$G$15,$M462-$A$15,CL$13)))</f>
        <v>0</v>
      </c>
      <c r="CM462" s="172">
        <f ca="1">IF(OR($D462&lt;&gt;"Serviço",AND(AUTOEVENTO="Manual",$M462=$A$15),$M462&gt;(ROW(PLE.lastrow)-ROW(PLE.firstrow))),0,
           IF(OFFSET(PLE!$G$15,$M462-$A$15,CM$13)="",10^12,OFFSET(PLE!$G$15,$M462-$A$15,CM$13)))</f>
        <v>0</v>
      </c>
    </row>
    <row r="463" spans="1:91" ht="38.25" x14ac:dyDescent="0.2">
      <c r="A463" s="7">
        <f t="shared" ca="1" si="16"/>
        <v>8</v>
      </c>
      <c r="B463" s="7" t="str">
        <f ca="1">OFFSET(ORÇAMENTO!C$15,ROW(B463)-ROW(B$15),0)</f>
        <v>S</v>
      </c>
      <c r="C463" s="7" t="str">
        <f ca="1">OFFSET(ORÇAMENTO!L$15,ROW(C463)-ROW(C$15),0)</f>
        <v>F</v>
      </c>
      <c r="D463" s="116" t="str">
        <f ca="1">OFFSET(ORÇAMENTO!N$15,ROW(D463)-ROW(D$15),0)</f>
        <v>Serviço</v>
      </c>
      <c r="E463" s="117" t="str">
        <f ca="1">OFFSET(ORÇAMENTO!O$15,ROW(E463)-ROW(E$15),0)</f>
        <v>1.9.5.0.1.</v>
      </c>
      <c r="F463" s="163" t="str">
        <f ca="1">OFFSET(ORÇAMENTO!R$15,ROW(F463)-ROW(F$15),0)</f>
        <v>ARMAZENADOR E GERENCIADOR DE IMAGENS DE CÂMERAS, PARA ATÉ 24 CÂMERAS IP, CAPACIDADE PARA ATÉ 4 HDS REF.: NVD 5124 INTELBRÁS OU EQUIVALENTE. - BASEADO CPOS/CDHU (66.08.610)</v>
      </c>
      <c r="G463" s="164" t="str">
        <f ca="1">IF($D463&lt;&gt;"Serviço","",OFFSET(ORÇAMENTO!S$15,ROW(G463)-ROW(G$15),0))</f>
        <v>UN</v>
      </c>
      <c r="H463" s="122" cm="1">
        <f t="array" aca="1" ref="H463" ca="1">IF($D463&lt;&gt;"Serviço",0,IF(ACOMPANHAMENTO="BM",ROUND(OFFSET(ORÇAMENTO!AJ$15,ROW(H463)-ROW(H$15),0),15-13*ORÇAMENTO!$AF$7),SUMPRODUCT(($Q$1:$AI$1=1)*ROUND($Q463:$AI463,15-13*ORÇAMENTO!$AF$7))))</f>
        <v>2</v>
      </c>
      <c r="I463" s="468" t="s">
        <v>1432</v>
      </c>
      <c r="J463" s="640" t="str" cm="1">
        <f t="array" aca="1" ref="J463" ca="1">IF(OR(B463&lt;&gt;"S",CÁLCULO.FrentesPreenchidas=0),"",IF(AND(ACOMPANHAMENTO="PLE",AUTOEVENTO="Manual",OR(H463&gt;0,ORÇAMENTO!AC463="QUANT."),OR(K463="",M463=0,N463="")),"►E",IF(AND(ACOMPANHAMENTO="PLE",ORÇAMENTO!AC463="QUANT."),"►Q",IF(AND(ACOMPANHAMENTO="PLE",H463&lt;&gt;SUMPRODUCT(($Q$1:$AI$1=1)*ROUND(Q463:AI463,15))),"►S",IF(AND(COUNTIF($P$11:$AI$11,"▼")=0,H463&gt;0,I463=""),"◄M","")))))</f>
        <v/>
      </c>
      <c r="K463" s="641" t="s">
        <v>1392</v>
      </c>
      <c r="L463" s="165" t="s">
        <v>764</v>
      </c>
      <c r="M463" s="166">
        <f ca="1">IF($D463&lt;&gt;"Serviço","",
          IF(AUTOEVENTO="manual",$A463,
                IF(ISERROR(MATCH($A463,$A$15:OFFSET($A463,-1,0),0)),MAX($M$15:OFFSET(M463,-1,0))+1,
                      INDEX($M$15:OFFSET(M463,-1,0),MATCH($A463,$A$15:OFFSET($A463,-1,0),0)))))</f>
        <v>8</v>
      </c>
      <c r="N463" s="167" t="str">
        <f ca="1">IF($D463&lt;&gt;"Serviço","",
         IF(AUTOEVENTO="Manual",
                IF($A463=0,"&lt;-- defina o número do agrupador",
                       OFFSET(EVENTOS!$D$15,$A463-$A$15,0)),
                OFFSET($F$15,$A463,0)))</f>
        <v>CFTV</v>
      </c>
      <c r="O463" s="168"/>
      <c r="Q463" s="168"/>
      <c r="R463" s="169"/>
      <c r="S463" s="169"/>
      <c r="T463" s="169"/>
      <c r="U463" s="169"/>
      <c r="V463" s="169"/>
      <c r="W463" s="169"/>
      <c r="X463" s="169"/>
      <c r="Y463" s="169">
        <v>2</v>
      </c>
      <c r="Z463" s="170"/>
      <c r="AA463" s="169"/>
      <c r="AB463" s="169"/>
      <c r="AC463" s="169"/>
      <c r="AD463" s="169"/>
      <c r="AE463" s="169"/>
      <c r="AF463" s="169"/>
      <c r="AG463" s="169"/>
      <c r="AH463" s="170"/>
      <c r="AJ463" s="453">
        <f ca="1">IF(AND($D463="Serviço",AJ$12&lt;&gt;0,$H463&gt;0,OR(AUTOEVENTO&lt;&gt;"manual",$M463&lt;&gt;$A$15)),
        IF(Import.TipoArredondamento&lt;&gt;"TransfereGOV",
              ROUND(OFFSET($P463,0,AJ$13),15-13*ORÇAMENTO!$AF$7)/$H463*OFFSET(ORÇAMENTO!$X$15,ROW(AJ463)-ROW(AJ$15),0),
              ROUND(ROUND(OFFSET($P463,0,AJ$13),15-13*ORÇAMENTO!$AF$7)*OFFSET(ORÇAMENTO!$W$15,ROW(AJ463)-ROW(AJ$15),0),15-13*ORÇAMENTO!$AF$11)),
         0)</f>
        <v>0</v>
      </c>
      <c r="AK463" s="453">
        <f ca="1">IF(AND($D463="Serviço",AK$12&lt;&gt;0,$H463&gt;0,OR(AUTOEVENTO&lt;&gt;"manual",$M463&lt;&gt;$A$15)),
        IF(Import.TipoArredondamento&lt;&gt;"TransfereGOV",
              ROUND(OFFSET($P463,0,AK$13),15-13*ORÇAMENTO!$AF$7)/$H463*OFFSET(ORÇAMENTO!$X$15,ROW(AK463)-ROW(AK$15),0),
              ROUND(ROUND(OFFSET($P463,0,AK$13),15-13*ORÇAMENTO!$AF$7)*OFFSET(ORÇAMENTO!$W$15,ROW(AK463)-ROW(AK$15),0),15-13*ORÇAMENTO!$AF$11)),
         0)</f>
        <v>0</v>
      </c>
      <c r="AL463" s="453">
        <f ca="1">IF(AND($D463="Serviço",AL$12&lt;&gt;0,$H463&gt;0,OR(AUTOEVENTO&lt;&gt;"manual",$M463&lt;&gt;$A$15)),
        IF(Import.TipoArredondamento&lt;&gt;"TransfereGOV",
              ROUND(OFFSET($P463,0,AL$13),15-13*ORÇAMENTO!$AF$7)/$H463*OFFSET(ORÇAMENTO!$X$15,ROW(AL463)-ROW(AL$15),0),
              ROUND(ROUND(OFFSET($P463,0,AL$13),15-13*ORÇAMENTO!$AF$7)*OFFSET(ORÇAMENTO!$W$15,ROW(AL463)-ROW(AL$15),0),15-13*ORÇAMENTO!$AF$11)),
         0)</f>
        <v>0</v>
      </c>
      <c r="AM463" s="453">
        <f ca="1">IF(AND($D463="Serviço",AM$12&lt;&gt;0,$H463&gt;0,OR(AUTOEVENTO&lt;&gt;"manual",$M463&lt;&gt;$A$15)),
        IF(Import.TipoArredondamento&lt;&gt;"TransfereGOV",
              ROUND(OFFSET($P463,0,AM$13),15-13*ORÇAMENTO!$AF$7)/$H463*OFFSET(ORÇAMENTO!$X$15,ROW(AM463)-ROW(AM$15),0),
              ROUND(ROUND(OFFSET($P463,0,AM$13),15-13*ORÇAMENTO!$AF$7)*OFFSET(ORÇAMENTO!$W$15,ROW(AM463)-ROW(AM$15),0),15-13*ORÇAMENTO!$AF$11)),
         0)</f>
        <v>0</v>
      </c>
      <c r="AN463" s="453">
        <f ca="1">IF(AND($D463="Serviço",AN$12&lt;&gt;0,$H463&gt;0,OR(AUTOEVENTO&lt;&gt;"manual",$M463&lt;&gt;$A$15)),
        IF(Import.TipoArredondamento&lt;&gt;"TransfereGOV",
              ROUND(OFFSET($P463,0,AN$13),15-13*ORÇAMENTO!$AF$7)/$H463*OFFSET(ORÇAMENTO!$X$15,ROW(AN463)-ROW(AN$15),0),
              ROUND(ROUND(OFFSET($P463,0,AN$13),15-13*ORÇAMENTO!$AF$7)*OFFSET(ORÇAMENTO!$W$15,ROW(AN463)-ROW(AN$15),0),15-13*ORÇAMENTO!$AF$11)),
         0)</f>
        <v>0</v>
      </c>
      <c r="AO463" s="453">
        <f ca="1">IF(AND($D463="Serviço",AO$12&lt;&gt;0,$H463&gt;0,OR(AUTOEVENTO&lt;&gt;"manual",$M463&lt;&gt;$A$15)),
        IF(Import.TipoArredondamento&lt;&gt;"TransfereGOV",
              ROUND(OFFSET($P463,0,AO$13),15-13*ORÇAMENTO!$AF$7)/$H463*OFFSET(ORÇAMENTO!$X$15,ROW(AO463)-ROW(AO$15),0),
              ROUND(ROUND(OFFSET($P463,0,AO$13),15-13*ORÇAMENTO!$AF$7)*OFFSET(ORÇAMENTO!$W$15,ROW(AO463)-ROW(AO$15),0),15-13*ORÇAMENTO!$AF$11)),
         0)</f>
        <v>0</v>
      </c>
      <c r="AP463" s="453">
        <f ca="1">IF(AND($D463="Serviço",AP$12&lt;&gt;0,$H463&gt;0,OR(AUTOEVENTO&lt;&gt;"manual",$M463&lt;&gt;$A$15)),
        IF(Import.TipoArredondamento&lt;&gt;"TransfereGOV",
              ROUND(OFFSET($P463,0,AP$13),15-13*ORÇAMENTO!$AF$7)/$H463*OFFSET(ORÇAMENTO!$X$15,ROW(AP463)-ROW(AP$15),0),
              ROUND(ROUND(OFFSET($P463,0,AP$13),15-13*ORÇAMENTO!$AF$7)*OFFSET(ORÇAMENTO!$W$15,ROW(AP463)-ROW(AP$15),0),15-13*ORÇAMENTO!$AF$11)),
         0)</f>
        <v>0</v>
      </c>
      <c r="AQ463" s="453">
        <f ca="1">IF(AND($D463="Serviço",AQ$12&lt;&gt;0,$H463&gt;0,OR(AUTOEVENTO&lt;&gt;"manual",$M463&lt;&gt;$A$15)),
        IF(Import.TipoArredondamento&lt;&gt;"TransfereGOV",
              ROUND(OFFSET($P463,0,AQ$13),15-13*ORÇAMENTO!$AF$7)/$H463*OFFSET(ORÇAMENTO!$X$15,ROW(AQ463)-ROW(AQ$15),0),
              ROUND(ROUND(OFFSET($P463,0,AQ$13),15-13*ORÇAMENTO!$AF$7)*OFFSET(ORÇAMENTO!$W$15,ROW(AQ463)-ROW(AQ$15),0),15-13*ORÇAMENTO!$AF$11)),
         0)</f>
        <v>0</v>
      </c>
      <c r="AR463" s="453">
        <f ca="1">IF(AND($D463="Serviço",AR$12&lt;&gt;0,$H463&gt;0,OR(AUTOEVENTO&lt;&gt;"manual",$M463&lt;&gt;$A$15)),
        IF(Import.TipoArredondamento&lt;&gt;"TransfereGOV",
              ROUND(OFFSET($P463,0,AR$13),15-13*ORÇAMENTO!$AF$7)/$H463*OFFSET(ORÇAMENTO!$X$15,ROW(AR463)-ROW(AR$15),0),
              ROUND(ROUND(OFFSET($P463,0,AR$13),15-13*ORÇAMENTO!$AF$7)*OFFSET(ORÇAMENTO!$W$15,ROW(AR463)-ROW(AR$15),0),15-13*ORÇAMENTO!$AF$11)),
         0)</f>
        <v>0</v>
      </c>
      <c r="AS463" s="453">
        <f ca="1">IF(AND($D463="Serviço",AS$12&lt;&gt;0,$H463&gt;0,OR(AUTOEVENTO&lt;&gt;"manual",$M463&lt;&gt;$A$15)),
        IF(Import.TipoArredondamento&lt;&gt;"TransfereGOV",
              ROUND(OFFSET($P463,0,AS$13),15-13*ORÇAMENTO!$AF$7)/$H463*OFFSET(ORÇAMENTO!$X$15,ROW(AS463)-ROW(AS$15),0),
              ROUND(ROUND(OFFSET($P463,0,AS$13),15-13*ORÇAMENTO!$AF$7)*OFFSET(ORÇAMENTO!$W$15,ROW(AS463)-ROW(AS$15),0),15-13*ORÇAMENTO!$AF$11)),
         0)</f>
        <v>0</v>
      </c>
      <c r="AT463" s="453">
        <f ca="1">IF(AND($D463="Serviço",AT$12&lt;&gt;0,$H463&gt;0,OR(AUTOEVENTO&lt;&gt;"manual",$M463&lt;&gt;$A$15)),
        IF(Import.TipoArredondamento&lt;&gt;"TransfereGOV",
              ROUND(OFFSET($P463,0,AT$13),15-13*ORÇAMENTO!$AF$7)/$H463*OFFSET(ORÇAMENTO!$X$15,ROW(AT463)-ROW(AT$15),0),
              ROUND(ROUND(OFFSET($P463,0,AT$13),15-13*ORÇAMENTO!$AF$7)*OFFSET(ORÇAMENTO!$W$15,ROW(AT463)-ROW(AT$15),0),15-13*ORÇAMENTO!$AF$11)),
         0)</f>
        <v>0</v>
      </c>
      <c r="AU463" s="453">
        <f ca="1">IF(AND($D463="Serviço",AU$12&lt;&gt;0,$H463&gt;0,OR(AUTOEVENTO&lt;&gt;"manual",$M463&lt;&gt;$A$15)),
        IF(Import.TipoArredondamento&lt;&gt;"TransfereGOV",
              ROUND(OFFSET($P463,0,AU$13),15-13*ORÇAMENTO!$AF$7)/$H463*OFFSET(ORÇAMENTO!$X$15,ROW(AU463)-ROW(AU$15),0),
              ROUND(ROUND(OFFSET($P463,0,AU$13),15-13*ORÇAMENTO!$AF$7)*OFFSET(ORÇAMENTO!$W$15,ROW(AU463)-ROW(AU$15),0),15-13*ORÇAMENTO!$AF$11)),
         0)</f>
        <v>0</v>
      </c>
      <c r="AV463" s="453">
        <f ca="1">IF(AND($D463="Serviço",AV$12&lt;&gt;0,$H463&gt;0,OR(AUTOEVENTO&lt;&gt;"manual",$M463&lt;&gt;$A$15)),
        IF(Import.TipoArredondamento&lt;&gt;"TransfereGOV",
              ROUND(OFFSET($P463,0,AV$13),15-13*ORÇAMENTO!$AF$7)/$H463*OFFSET(ORÇAMENTO!$X$15,ROW(AV463)-ROW(AV$15),0),
              ROUND(ROUND(OFFSET($P463,0,AV$13),15-13*ORÇAMENTO!$AF$7)*OFFSET(ORÇAMENTO!$W$15,ROW(AV463)-ROW(AV$15),0),15-13*ORÇAMENTO!$AF$11)),
         0)</f>
        <v>0</v>
      </c>
      <c r="AW463" s="453">
        <f ca="1">IF(AND($D463="Serviço",AW$12&lt;&gt;0,$H463&gt;0,OR(AUTOEVENTO&lt;&gt;"manual",$M463&lt;&gt;$A$15)),
        IF(Import.TipoArredondamento&lt;&gt;"TransfereGOV",
              ROUND(OFFSET($P463,0,AW$13),15-13*ORÇAMENTO!$AF$7)/$H463*OFFSET(ORÇAMENTO!$X$15,ROW(AW463)-ROW(AW$15),0),
              ROUND(ROUND(OFFSET($P463,0,AW$13),15-13*ORÇAMENTO!$AF$7)*OFFSET(ORÇAMENTO!$W$15,ROW(AW463)-ROW(AW$15),0),15-13*ORÇAMENTO!$AF$11)),
         0)</f>
        <v>0</v>
      </c>
      <c r="AX463" s="453">
        <f ca="1">IF(AND($D463="Serviço",AX$12&lt;&gt;0,$H463&gt;0,OR(AUTOEVENTO&lt;&gt;"manual",$M463&lt;&gt;$A$15)),
        IF(Import.TipoArredondamento&lt;&gt;"TransfereGOV",
              ROUND(OFFSET($P463,0,AX$13),15-13*ORÇAMENTO!$AF$7)/$H463*OFFSET(ORÇAMENTO!$X$15,ROW(AX463)-ROW(AX$15),0),
              ROUND(ROUND(OFFSET($P463,0,AX$13),15-13*ORÇAMENTO!$AF$7)*OFFSET(ORÇAMENTO!$W$15,ROW(AX463)-ROW(AX$15),0),15-13*ORÇAMENTO!$AF$11)),
         0)</f>
        <v>0</v>
      </c>
      <c r="AY463" s="453">
        <f ca="1">IF(AND($D463="Serviço",AY$12&lt;&gt;0,$H463&gt;0,OR(AUTOEVENTO&lt;&gt;"manual",$M463&lt;&gt;$A$15)),
        IF(Import.TipoArredondamento&lt;&gt;"TransfereGOV",
              ROUND(OFFSET($P463,0,AY$13),15-13*ORÇAMENTO!$AF$7)/$H463*OFFSET(ORÇAMENTO!$X$15,ROW(AY463)-ROW(AY$15),0),
              ROUND(ROUND(OFFSET($P463,0,AY$13),15-13*ORÇAMENTO!$AF$7)*OFFSET(ORÇAMENTO!$W$15,ROW(AY463)-ROW(AY$15),0),15-13*ORÇAMENTO!$AF$11)),
         0)</f>
        <v>0</v>
      </c>
      <c r="AZ463" s="453">
        <f ca="1">IF(AND($D463="Serviço",AZ$12&lt;&gt;0,$H463&gt;0,OR(AUTOEVENTO&lt;&gt;"manual",$M463&lt;&gt;$A$15)),
        IF(Import.TipoArredondamento&lt;&gt;"TransfereGOV",
              ROUND(OFFSET($P463,0,AZ$13),15-13*ORÇAMENTO!$AF$7)/$H463*OFFSET(ORÇAMENTO!$X$15,ROW(AZ463)-ROW(AZ$15),0),
              ROUND(ROUND(OFFSET($P463,0,AZ$13),15-13*ORÇAMENTO!$AF$7)*OFFSET(ORÇAMENTO!$W$15,ROW(AZ463)-ROW(AZ$15),0),15-13*ORÇAMENTO!$AF$11)),
         0)</f>
        <v>0</v>
      </c>
      <c r="BA463" s="453">
        <f ca="1">IF(AND($D463="Serviço",BA$12&lt;&gt;0,$H463&gt;0,OR(AUTOEVENTO&lt;&gt;"manual",$M463&lt;&gt;$A$15)),
        IF(Import.TipoArredondamento&lt;&gt;"TransfereGOV",
              ROUND(OFFSET($P463,0,BA$13),15-13*ORÇAMENTO!$AF$7)/$H463*OFFSET(ORÇAMENTO!$X$15,ROW(BA463)-ROW(BA$15),0),
              ROUND(ROUND(OFFSET($P463,0,BA$13),15-13*ORÇAMENTO!$AF$7)*OFFSET(ORÇAMENTO!$W$15,ROW(BA463)-ROW(BA$15),0),15-13*ORÇAMENTO!$AF$11)),
         0)</f>
        <v>0</v>
      </c>
      <c r="BC463" s="171">
        <f ca="1">IF(OR($D463&lt;&gt;"Serviço",AND(AUTOEVENTO="Manual",$M463=$A$15)),0,
         IF(OFFSET(CRONOPLE!$F$15,$M463-$A$15,BC$13)=0,10^12,OFFSET(CRONOPLE!$F$15,$M463-$A$15,BC$13)))</f>
        <v>1</v>
      </c>
      <c r="BD463" s="171">
        <f ca="1">IF(OR($D463&lt;&gt;"Serviço",AND(AUTOEVENTO="Manual",$M463=$A$15)),0,
         IF(OFFSET(CRONOPLE!$F$15,$M463-$A$15,BD$13)=0,10^12,OFFSET(CRONOPLE!$F$15,$M463-$A$15,BD$13)))</f>
        <v>2</v>
      </c>
      <c r="BE463" s="171">
        <f ca="1">IF(OR($D463&lt;&gt;"Serviço",AND(AUTOEVENTO="Manual",$M463=$A$15)),0,
         IF(OFFSET(CRONOPLE!$F$15,$M463-$A$15,BE$13)=0,10^12,OFFSET(CRONOPLE!$F$15,$M463-$A$15,BE$13)))</f>
        <v>3</v>
      </c>
      <c r="BF463" s="171">
        <f ca="1">IF(OR($D463&lt;&gt;"Serviço",AND(AUTOEVENTO="Manual",$M463=$A$15)),0,
         IF(OFFSET(CRONOPLE!$F$15,$M463-$A$15,BF$13)=0,10^12,OFFSET(CRONOPLE!$F$15,$M463-$A$15,BF$13)))</f>
        <v>4</v>
      </c>
      <c r="BG463" s="171">
        <f ca="1">IF(OR($D463&lt;&gt;"Serviço",AND(AUTOEVENTO="Manual",$M463=$A$15)),0,
         IF(OFFSET(CRONOPLE!$F$15,$M463-$A$15,BG$13)=0,10^12,OFFSET(CRONOPLE!$F$15,$M463-$A$15,BG$13)))</f>
        <v>5</v>
      </c>
      <c r="BH463" s="171">
        <f ca="1">IF(OR($D463&lt;&gt;"Serviço",AND(AUTOEVENTO="Manual",$M463=$A$15)),0,
         IF(OFFSET(CRONOPLE!$F$15,$M463-$A$15,BH$13)=0,10^12,OFFSET(CRONOPLE!$F$15,$M463-$A$15,BH$13)))</f>
        <v>6</v>
      </c>
      <c r="BI463" s="171">
        <f ca="1">IF(OR($D463&lt;&gt;"Serviço",AND(AUTOEVENTO="Manual",$M463=$A$15)),0,
         IF(OFFSET(CRONOPLE!$F$15,$M463-$A$15,BI$13)=0,10^12,OFFSET(CRONOPLE!$F$15,$M463-$A$15,BI$13)))</f>
        <v>7</v>
      </c>
      <c r="BJ463" s="171">
        <f ca="1">IF(OR($D463&lt;&gt;"Serviço",AND(AUTOEVENTO="Manual",$M463=$A$15)),0,
         IF(OFFSET(CRONOPLE!$F$15,$M463-$A$15,BJ$13)=0,10^12,OFFSET(CRONOPLE!$F$15,$M463-$A$15,BJ$13)))</f>
        <v>8</v>
      </c>
      <c r="BK463" s="171">
        <f ca="1">IF(OR($D463&lt;&gt;"Serviço",AND(AUTOEVENTO="Manual",$M463=$A$15)),0,
         IF(OFFSET(CRONOPLE!$F$15,$M463-$A$15,BK$13)=0,10^12,OFFSET(CRONOPLE!$F$15,$M463-$A$15,BK$13)))</f>
        <v>9</v>
      </c>
      <c r="BL463" s="171">
        <f ca="1">IF(OR($D463&lt;&gt;"Serviço",AND(AUTOEVENTO="Manual",$M463=$A$15)),0,
         IF(OFFSET(CRONOPLE!$F$15,$M463-$A$15,BL$13)=0,10^12,OFFSET(CRONOPLE!$F$15,$M463-$A$15,BL$13)))</f>
        <v>1000000000000</v>
      </c>
      <c r="BM463" s="171">
        <f ca="1">IF(OR($D463&lt;&gt;"Serviço",AND(AUTOEVENTO="Manual",$M463=$A$15)),0,
         IF(OFFSET(CRONOPLE!$F$15,$M463-$A$15,BM$13)=0,10^12,OFFSET(CRONOPLE!$F$15,$M463-$A$15,BM$13)))</f>
        <v>1000000000000</v>
      </c>
      <c r="BN463" s="171">
        <f ca="1">IF(OR($D463&lt;&gt;"Serviço",AND(AUTOEVENTO="Manual",$M463=$A$15)),0,
         IF(OFFSET(CRONOPLE!$F$15,$M463-$A$15,BN$13)=0,10^12,OFFSET(CRONOPLE!$F$15,$M463-$A$15,BN$13)))</f>
        <v>1000000000000</v>
      </c>
      <c r="BO463" s="171">
        <f ca="1">IF(OR($D463&lt;&gt;"Serviço",AND(AUTOEVENTO="Manual",$M463=$A$15)),0,
         IF(OFFSET(CRONOPLE!$F$15,$M463-$A$15,BO$13)=0,10^12,OFFSET(CRONOPLE!$F$15,$M463-$A$15,BO$13)))</f>
        <v>1000000000000</v>
      </c>
      <c r="BP463" s="171">
        <f ca="1">IF(OR($D463&lt;&gt;"Serviço",AND(AUTOEVENTO="Manual",$M463=$A$15)),0,
         IF(OFFSET(CRONOPLE!$F$15,$M463-$A$15,BP$13)=0,10^12,OFFSET(CRONOPLE!$F$15,$M463-$A$15,BP$13)))</f>
        <v>1000000000000</v>
      </c>
      <c r="BQ463" s="171">
        <f ca="1">IF(OR($D463&lt;&gt;"Serviço",AND(AUTOEVENTO="Manual",$M463=$A$15)),0,
         IF(OFFSET(CRONOPLE!$F$15,$M463-$A$15,BQ$13)=0,10^12,OFFSET(CRONOPLE!$F$15,$M463-$A$15,BQ$13)))</f>
        <v>1000000000000</v>
      </c>
      <c r="BR463" s="171">
        <f ca="1">IF(OR($D463&lt;&gt;"Serviço",AND(AUTOEVENTO="Manual",$M463=$A$15)),0,
         IF(OFFSET(CRONOPLE!$F$15,$M463-$A$15,BR$13)=0,10^12,OFFSET(CRONOPLE!$F$15,$M463-$A$15,BR$13)))</f>
        <v>1000000000000</v>
      </c>
      <c r="BS463" s="171">
        <f ca="1">IF(OR($D463&lt;&gt;"Serviço",AND(AUTOEVENTO="Manual",$M463=$A$15)),0,
         IF(OFFSET(CRONOPLE!$F$15,$M463-$A$15,BS$13)=0,10^12,OFFSET(CRONOPLE!$F$15,$M463-$A$15,BS$13)))</f>
        <v>1000000000000</v>
      </c>
      <c r="BT463" s="171">
        <f ca="1">IF(OR($D463&lt;&gt;"Serviço",AND(AUTOEVENTO="Manual",$M463=$A$15)),0,
         IF(OFFSET(CRONOPLE!$F$15,$M463-$A$15,BT$13)=0,10^12,OFFSET(CRONOPLE!$F$15,$M463-$A$15,BT$13)))</f>
        <v>1000000000000</v>
      </c>
      <c r="BV463" s="172">
        <f ca="1">IF(OR($D463&lt;&gt;"Serviço",AND(AUTOEVENTO="Manual",$M463=$A$15),$M463&gt;(ROW(PLE.lastrow)-ROW(PLE.firstrow))),0,
           IF(OFFSET(PLE!$G$15,$M463-$A$15,BV$13)="",10^12,OFFSET(PLE!$G$15,$M463-$A$15,BV$13)))</f>
        <v>1000000000000</v>
      </c>
      <c r="BW463" s="172">
        <f ca="1">IF(OR($D463&lt;&gt;"Serviço",AND(AUTOEVENTO="Manual",$M463=$A$15),$M463&gt;(ROW(PLE.lastrow)-ROW(PLE.firstrow))),0,
           IF(OFFSET(PLE!$G$15,$M463-$A$15,BW$13)="",10^12,OFFSET(PLE!$G$15,$M463-$A$15,BW$13)))</f>
        <v>1000000000000</v>
      </c>
      <c r="BX463" s="172">
        <f ca="1">IF(OR($D463&lt;&gt;"Serviço",AND(AUTOEVENTO="Manual",$M463=$A$15),$M463&gt;(ROW(PLE.lastrow)-ROW(PLE.firstrow))),0,
           IF(OFFSET(PLE!$G$15,$M463-$A$15,BX$13)="",10^12,OFFSET(PLE!$G$15,$M463-$A$15,BX$13)))</f>
        <v>1000000000000</v>
      </c>
      <c r="BY463" s="172">
        <f ca="1">IF(OR($D463&lt;&gt;"Serviço",AND(AUTOEVENTO="Manual",$M463=$A$15),$M463&gt;(ROW(PLE.lastrow)-ROW(PLE.firstrow))),0,
           IF(OFFSET(PLE!$G$15,$M463-$A$15,BY$13)="",10^12,OFFSET(PLE!$G$15,$M463-$A$15,BY$13)))</f>
        <v>1000000000000</v>
      </c>
      <c r="BZ463" s="172">
        <f ca="1">IF(OR($D463&lt;&gt;"Serviço",AND(AUTOEVENTO="Manual",$M463=$A$15),$M463&gt;(ROW(PLE.lastrow)-ROW(PLE.firstrow))),0,
           IF(OFFSET(PLE!$G$15,$M463-$A$15,BZ$13)="",10^12,OFFSET(PLE!$G$15,$M463-$A$15,BZ$13)))</f>
        <v>1000000000000</v>
      </c>
      <c r="CA463" s="172">
        <f ca="1">IF(OR($D463&lt;&gt;"Serviço",AND(AUTOEVENTO="Manual",$M463=$A$15),$M463&gt;(ROW(PLE.lastrow)-ROW(PLE.firstrow))),0,
           IF(OFFSET(PLE!$G$15,$M463-$A$15,CA$13)="",10^12,OFFSET(PLE!$G$15,$M463-$A$15,CA$13)))</f>
        <v>1000000000000</v>
      </c>
      <c r="CB463" s="172">
        <f ca="1">IF(OR($D463&lt;&gt;"Serviço",AND(AUTOEVENTO="Manual",$M463=$A$15),$M463&gt;(ROW(PLE.lastrow)-ROW(PLE.firstrow))),0,
           IF(OFFSET(PLE!$G$15,$M463-$A$15,CB$13)="",10^12,OFFSET(PLE!$G$15,$M463-$A$15,CB$13)))</f>
        <v>1000000000000</v>
      </c>
      <c r="CC463" s="172">
        <f ca="1">IF(OR($D463&lt;&gt;"Serviço",AND(AUTOEVENTO="Manual",$M463=$A$15),$M463&gt;(ROW(PLE.lastrow)-ROW(PLE.firstrow))),0,
           IF(OFFSET(PLE!$G$15,$M463-$A$15,CC$13)="",10^12,OFFSET(PLE!$G$15,$M463-$A$15,CC$13)))</f>
        <v>1000000000000</v>
      </c>
      <c r="CD463" s="172">
        <f ca="1">IF(OR($D463&lt;&gt;"Serviço",AND(AUTOEVENTO="Manual",$M463=$A$15),$M463&gt;(ROW(PLE.lastrow)-ROW(PLE.firstrow))),0,
           IF(OFFSET(PLE!$G$15,$M463-$A$15,CD$13)="",10^12,OFFSET(PLE!$G$15,$M463-$A$15,CD$13)))</f>
        <v>1000000000000</v>
      </c>
      <c r="CE463" s="172">
        <f ca="1">IF(OR($D463&lt;&gt;"Serviço",AND(AUTOEVENTO="Manual",$M463=$A$15),$M463&gt;(ROW(PLE.lastrow)-ROW(PLE.firstrow))),0,
           IF(OFFSET(PLE!$G$15,$M463-$A$15,CE$13)="",10^12,OFFSET(PLE!$G$15,$M463-$A$15,CE$13)))</f>
        <v>1000000000000</v>
      </c>
      <c r="CF463" s="172">
        <f ca="1">IF(OR($D463&lt;&gt;"Serviço",AND(AUTOEVENTO="Manual",$M463=$A$15),$M463&gt;(ROW(PLE.lastrow)-ROW(PLE.firstrow))),0,
           IF(OFFSET(PLE!$G$15,$M463-$A$15,CF$13)="",10^12,OFFSET(PLE!$G$15,$M463-$A$15,CF$13)))</f>
        <v>1000000000000</v>
      </c>
      <c r="CG463" s="172">
        <f ca="1">IF(OR($D463&lt;&gt;"Serviço",AND(AUTOEVENTO="Manual",$M463=$A$15),$M463&gt;(ROW(PLE.lastrow)-ROW(PLE.firstrow))),0,
           IF(OFFSET(PLE!$G$15,$M463-$A$15,CG$13)="",10^12,OFFSET(PLE!$G$15,$M463-$A$15,CG$13)))</f>
        <v>1000000000000</v>
      </c>
      <c r="CH463" s="172">
        <f ca="1">IF(OR($D463&lt;&gt;"Serviço",AND(AUTOEVENTO="Manual",$M463=$A$15),$M463&gt;(ROW(PLE.lastrow)-ROW(PLE.firstrow))),0,
           IF(OFFSET(PLE!$G$15,$M463-$A$15,CH$13)="",10^12,OFFSET(PLE!$G$15,$M463-$A$15,CH$13)))</f>
        <v>1000000000000</v>
      </c>
      <c r="CI463" s="172">
        <f ca="1">IF(OR($D463&lt;&gt;"Serviço",AND(AUTOEVENTO="Manual",$M463=$A$15),$M463&gt;(ROW(PLE.lastrow)-ROW(PLE.firstrow))),0,
           IF(OFFSET(PLE!$G$15,$M463-$A$15,CI$13)="",10^12,OFFSET(PLE!$G$15,$M463-$A$15,CI$13)))</f>
        <v>1000000000000</v>
      </c>
      <c r="CJ463" s="172">
        <f ca="1">IF(OR($D463&lt;&gt;"Serviço",AND(AUTOEVENTO="Manual",$M463=$A$15),$M463&gt;(ROW(PLE.lastrow)-ROW(PLE.firstrow))),0,
           IF(OFFSET(PLE!$G$15,$M463-$A$15,CJ$13)="",10^12,OFFSET(PLE!$G$15,$M463-$A$15,CJ$13)))</f>
        <v>1000000000000</v>
      </c>
      <c r="CK463" s="172">
        <f ca="1">IF(OR($D463&lt;&gt;"Serviço",AND(AUTOEVENTO="Manual",$M463=$A$15),$M463&gt;(ROW(PLE.lastrow)-ROW(PLE.firstrow))),0,
           IF(OFFSET(PLE!$G$15,$M463-$A$15,CK$13)="",10^12,OFFSET(PLE!$G$15,$M463-$A$15,CK$13)))</f>
        <v>1000000000000</v>
      </c>
      <c r="CL463" s="172">
        <f ca="1">IF(OR($D463&lt;&gt;"Serviço",AND(AUTOEVENTO="Manual",$M463=$A$15),$M463&gt;(ROW(PLE.lastrow)-ROW(PLE.firstrow))),0,
           IF(OFFSET(PLE!$G$15,$M463-$A$15,CL$13)="",10^12,OFFSET(PLE!$G$15,$M463-$A$15,CL$13)))</f>
        <v>1000000000000</v>
      </c>
      <c r="CM463" s="172">
        <f ca="1">IF(OR($D463&lt;&gt;"Serviço",AND(AUTOEVENTO="Manual",$M463=$A$15),$M463&gt;(ROW(PLE.lastrow)-ROW(PLE.firstrow))),0,
           IF(OFFSET(PLE!$G$15,$M463-$A$15,CM$13)="",10^12,OFFSET(PLE!$G$15,$M463-$A$15,CM$13)))</f>
        <v>1000000000000</v>
      </c>
    </row>
    <row r="464" spans="1:91" ht="38.25" x14ac:dyDescent="0.2">
      <c r="A464" s="7">
        <f t="shared" ca="1" si="16"/>
        <v>8</v>
      </c>
      <c r="B464" s="7" t="str">
        <f ca="1">OFFSET(ORÇAMENTO!C$15,ROW(B464)-ROW(B$15),0)</f>
        <v>S</v>
      </c>
      <c r="C464" s="7" t="str">
        <f ca="1">OFFSET(ORÇAMENTO!L$15,ROW(C464)-ROW(C$15),0)</f>
        <v>F</v>
      </c>
      <c r="D464" s="116" t="str">
        <f ca="1">OFFSET(ORÇAMENTO!N$15,ROW(D464)-ROW(D$15),0)</f>
        <v>Serviço</v>
      </c>
      <c r="E464" s="117" t="str">
        <f ca="1">OFFSET(ORÇAMENTO!O$15,ROW(E464)-ROW(E$15),0)</f>
        <v>1.9.5.0.2.</v>
      </c>
      <c r="F464" s="163" t="str">
        <f ca="1">OFFSET(ORÇAMENTO!R$15,ROW(F464)-ROW(F$15),0)</f>
        <v>UNIDADE DE DISCO RÍGIDO HD 8TB. REF.:HD WD PURPLE 8TB, 3.5', SATA - WD84PURZ- BASEADA EM CPOS (66.08.340)</v>
      </c>
      <c r="G464" s="164" t="str">
        <f ca="1">IF($D464&lt;&gt;"Serviço","",OFFSET(ORÇAMENTO!S$15,ROW(G464)-ROW(G$15),0))</f>
        <v>UN</v>
      </c>
      <c r="H464" s="122" cm="1">
        <f t="array" aca="1" ref="H464" ca="1">IF($D464&lt;&gt;"Serviço",0,IF(ACOMPANHAMENTO="BM",ROUND(OFFSET(ORÇAMENTO!AJ$15,ROW(H464)-ROW(H$15),0),15-13*ORÇAMENTO!$AF$7),SUMPRODUCT(($Q$1:$AI$1=1)*ROUND($Q464:$AI464,15-13*ORÇAMENTO!$AF$7))))</f>
        <v>2</v>
      </c>
      <c r="I464" s="468" t="s">
        <v>1432</v>
      </c>
      <c r="J464" s="640" t="str" cm="1">
        <f t="array" aca="1" ref="J464" ca="1">IF(OR(B464&lt;&gt;"S",CÁLCULO.FrentesPreenchidas=0),"",IF(AND(ACOMPANHAMENTO="PLE",AUTOEVENTO="Manual",OR(H464&gt;0,ORÇAMENTO!AC464="QUANT."),OR(K464="",M464=0,N464="")),"►E",IF(AND(ACOMPANHAMENTO="PLE",ORÇAMENTO!AC464="QUANT."),"►Q",IF(AND(ACOMPANHAMENTO="PLE",H464&lt;&gt;SUMPRODUCT(($Q$1:$AI$1=1)*ROUND(Q464:AI464,15))),"►S",IF(AND(COUNTIF($P$11:$AI$11,"▼")=0,H464&gt;0,I464=""),"◄M","")))))</f>
        <v/>
      </c>
      <c r="K464" s="641" t="s">
        <v>1392</v>
      </c>
      <c r="L464" s="165" t="s">
        <v>764</v>
      </c>
      <c r="M464" s="166">
        <f ca="1">IF($D464&lt;&gt;"Serviço","",
          IF(AUTOEVENTO="manual",$A464,
                IF(ISERROR(MATCH($A464,$A$15:OFFSET($A464,-1,0),0)),MAX($M$15:OFFSET(M464,-1,0))+1,
                      INDEX($M$15:OFFSET(M464,-1,0),MATCH($A464,$A$15:OFFSET($A464,-1,0),0)))))</f>
        <v>8</v>
      </c>
      <c r="N464" s="167" t="str">
        <f ca="1">IF($D464&lt;&gt;"Serviço","",
         IF(AUTOEVENTO="Manual",
                IF($A464=0,"&lt;-- defina o número do agrupador",
                       OFFSET(EVENTOS!$D$15,$A464-$A$15,0)),
                OFFSET($F$15,$A464,0)))</f>
        <v>CFTV</v>
      </c>
      <c r="O464" s="168"/>
      <c r="Q464" s="168"/>
      <c r="R464" s="169"/>
      <c r="S464" s="169"/>
      <c r="T464" s="169"/>
      <c r="U464" s="169"/>
      <c r="V464" s="169"/>
      <c r="W464" s="169"/>
      <c r="X464" s="169"/>
      <c r="Y464" s="169">
        <v>2</v>
      </c>
      <c r="Z464" s="170"/>
      <c r="AA464" s="169"/>
      <c r="AB464" s="169"/>
      <c r="AC464" s="169"/>
      <c r="AD464" s="169"/>
      <c r="AE464" s="169"/>
      <c r="AF464" s="169"/>
      <c r="AG464" s="169"/>
      <c r="AH464" s="170"/>
      <c r="AJ464" s="453">
        <f ca="1">IF(AND($D464="Serviço",AJ$12&lt;&gt;0,$H464&gt;0,OR(AUTOEVENTO&lt;&gt;"manual",$M464&lt;&gt;$A$15)),
        IF(Import.TipoArredondamento&lt;&gt;"TransfereGOV",
              ROUND(OFFSET($P464,0,AJ$13),15-13*ORÇAMENTO!$AF$7)/$H464*OFFSET(ORÇAMENTO!$X$15,ROW(AJ464)-ROW(AJ$15),0),
              ROUND(ROUND(OFFSET($P464,0,AJ$13),15-13*ORÇAMENTO!$AF$7)*OFFSET(ORÇAMENTO!$W$15,ROW(AJ464)-ROW(AJ$15),0),15-13*ORÇAMENTO!$AF$11)),
         0)</f>
        <v>0</v>
      </c>
      <c r="AK464" s="453">
        <f ca="1">IF(AND($D464="Serviço",AK$12&lt;&gt;0,$H464&gt;0,OR(AUTOEVENTO&lt;&gt;"manual",$M464&lt;&gt;$A$15)),
        IF(Import.TipoArredondamento&lt;&gt;"TransfereGOV",
              ROUND(OFFSET($P464,0,AK$13),15-13*ORÇAMENTO!$AF$7)/$H464*OFFSET(ORÇAMENTO!$X$15,ROW(AK464)-ROW(AK$15),0),
              ROUND(ROUND(OFFSET($P464,0,AK$13),15-13*ORÇAMENTO!$AF$7)*OFFSET(ORÇAMENTO!$W$15,ROW(AK464)-ROW(AK$15),0),15-13*ORÇAMENTO!$AF$11)),
         0)</f>
        <v>0</v>
      </c>
      <c r="AL464" s="453">
        <f ca="1">IF(AND($D464="Serviço",AL$12&lt;&gt;0,$H464&gt;0,OR(AUTOEVENTO&lt;&gt;"manual",$M464&lt;&gt;$A$15)),
        IF(Import.TipoArredondamento&lt;&gt;"TransfereGOV",
              ROUND(OFFSET($P464,0,AL$13),15-13*ORÇAMENTO!$AF$7)/$H464*OFFSET(ORÇAMENTO!$X$15,ROW(AL464)-ROW(AL$15),0),
              ROUND(ROUND(OFFSET($P464,0,AL$13),15-13*ORÇAMENTO!$AF$7)*OFFSET(ORÇAMENTO!$W$15,ROW(AL464)-ROW(AL$15),0),15-13*ORÇAMENTO!$AF$11)),
         0)</f>
        <v>0</v>
      </c>
      <c r="AM464" s="453">
        <f ca="1">IF(AND($D464="Serviço",AM$12&lt;&gt;0,$H464&gt;0,OR(AUTOEVENTO&lt;&gt;"manual",$M464&lt;&gt;$A$15)),
        IF(Import.TipoArredondamento&lt;&gt;"TransfereGOV",
              ROUND(OFFSET($P464,0,AM$13),15-13*ORÇAMENTO!$AF$7)/$H464*OFFSET(ORÇAMENTO!$X$15,ROW(AM464)-ROW(AM$15),0),
              ROUND(ROUND(OFFSET($P464,0,AM$13),15-13*ORÇAMENTO!$AF$7)*OFFSET(ORÇAMENTO!$W$15,ROW(AM464)-ROW(AM$15),0),15-13*ORÇAMENTO!$AF$11)),
         0)</f>
        <v>0</v>
      </c>
      <c r="AN464" s="453">
        <f ca="1">IF(AND($D464="Serviço",AN$12&lt;&gt;0,$H464&gt;0,OR(AUTOEVENTO&lt;&gt;"manual",$M464&lt;&gt;$A$15)),
        IF(Import.TipoArredondamento&lt;&gt;"TransfereGOV",
              ROUND(OFFSET($P464,0,AN$13),15-13*ORÇAMENTO!$AF$7)/$H464*OFFSET(ORÇAMENTO!$X$15,ROW(AN464)-ROW(AN$15),0),
              ROUND(ROUND(OFFSET($P464,0,AN$13),15-13*ORÇAMENTO!$AF$7)*OFFSET(ORÇAMENTO!$W$15,ROW(AN464)-ROW(AN$15),0),15-13*ORÇAMENTO!$AF$11)),
         0)</f>
        <v>0</v>
      </c>
      <c r="AO464" s="453">
        <f ca="1">IF(AND($D464="Serviço",AO$12&lt;&gt;0,$H464&gt;0,OR(AUTOEVENTO&lt;&gt;"manual",$M464&lt;&gt;$A$15)),
        IF(Import.TipoArredondamento&lt;&gt;"TransfereGOV",
              ROUND(OFFSET($P464,0,AO$13),15-13*ORÇAMENTO!$AF$7)/$H464*OFFSET(ORÇAMENTO!$X$15,ROW(AO464)-ROW(AO$15),0),
              ROUND(ROUND(OFFSET($P464,0,AO$13),15-13*ORÇAMENTO!$AF$7)*OFFSET(ORÇAMENTO!$W$15,ROW(AO464)-ROW(AO$15),0),15-13*ORÇAMENTO!$AF$11)),
         0)</f>
        <v>0</v>
      </c>
      <c r="AP464" s="453">
        <f ca="1">IF(AND($D464="Serviço",AP$12&lt;&gt;0,$H464&gt;0,OR(AUTOEVENTO&lt;&gt;"manual",$M464&lt;&gt;$A$15)),
        IF(Import.TipoArredondamento&lt;&gt;"TransfereGOV",
              ROUND(OFFSET($P464,0,AP$13),15-13*ORÇAMENTO!$AF$7)/$H464*OFFSET(ORÇAMENTO!$X$15,ROW(AP464)-ROW(AP$15),0),
              ROUND(ROUND(OFFSET($P464,0,AP$13),15-13*ORÇAMENTO!$AF$7)*OFFSET(ORÇAMENTO!$W$15,ROW(AP464)-ROW(AP$15),0),15-13*ORÇAMENTO!$AF$11)),
         0)</f>
        <v>0</v>
      </c>
      <c r="AQ464" s="453">
        <f ca="1">IF(AND($D464="Serviço",AQ$12&lt;&gt;0,$H464&gt;0,OR(AUTOEVENTO&lt;&gt;"manual",$M464&lt;&gt;$A$15)),
        IF(Import.TipoArredondamento&lt;&gt;"TransfereGOV",
              ROUND(OFFSET($P464,0,AQ$13),15-13*ORÇAMENTO!$AF$7)/$H464*OFFSET(ORÇAMENTO!$X$15,ROW(AQ464)-ROW(AQ$15),0),
              ROUND(ROUND(OFFSET($P464,0,AQ$13),15-13*ORÇAMENTO!$AF$7)*OFFSET(ORÇAMENTO!$W$15,ROW(AQ464)-ROW(AQ$15),0),15-13*ORÇAMENTO!$AF$11)),
         0)</f>
        <v>0</v>
      </c>
      <c r="AR464" s="453">
        <f ca="1">IF(AND($D464="Serviço",AR$12&lt;&gt;0,$H464&gt;0,OR(AUTOEVENTO&lt;&gt;"manual",$M464&lt;&gt;$A$15)),
        IF(Import.TipoArredondamento&lt;&gt;"TransfereGOV",
              ROUND(OFFSET($P464,0,AR$13),15-13*ORÇAMENTO!$AF$7)/$H464*OFFSET(ORÇAMENTO!$X$15,ROW(AR464)-ROW(AR$15),0),
              ROUND(ROUND(OFFSET($P464,0,AR$13),15-13*ORÇAMENTO!$AF$7)*OFFSET(ORÇAMENTO!$W$15,ROW(AR464)-ROW(AR$15),0),15-13*ORÇAMENTO!$AF$11)),
         0)</f>
        <v>0</v>
      </c>
      <c r="AS464" s="453">
        <f ca="1">IF(AND($D464="Serviço",AS$12&lt;&gt;0,$H464&gt;0,OR(AUTOEVENTO&lt;&gt;"manual",$M464&lt;&gt;$A$15)),
        IF(Import.TipoArredondamento&lt;&gt;"TransfereGOV",
              ROUND(OFFSET($P464,0,AS$13),15-13*ORÇAMENTO!$AF$7)/$H464*OFFSET(ORÇAMENTO!$X$15,ROW(AS464)-ROW(AS$15),0),
              ROUND(ROUND(OFFSET($P464,0,AS$13),15-13*ORÇAMENTO!$AF$7)*OFFSET(ORÇAMENTO!$W$15,ROW(AS464)-ROW(AS$15),0),15-13*ORÇAMENTO!$AF$11)),
         0)</f>
        <v>0</v>
      </c>
      <c r="AT464" s="453">
        <f ca="1">IF(AND($D464="Serviço",AT$12&lt;&gt;0,$H464&gt;0,OR(AUTOEVENTO&lt;&gt;"manual",$M464&lt;&gt;$A$15)),
        IF(Import.TipoArredondamento&lt;&gt;"TransfereGOV",
              ROUND(OFFSET($P464,0,AT$13),15-13*ORÇAMENTO!$AF$7)/$H464*OFFSET(ORÇAMENTO!$X$15,ROW(AT464)-ROW(AT$15),0),
              ROUND(ROUND(OFFSET($P464,0,AT$13),15-13*ORÇAMENTO!$AF$7)*OFFSET(ORÇAMENTO!$W$15,ROW(AT464)-ROW(AT$15),0),15-13*ORÇAMENTO!$AF$11)),
         0)</f>
        <v>0</v>
      </c>
      <c r="AU464" s="453">
        <f ca="1">IF(AND($D464="Serviço",AU$12&lt;&gt;0,$H464&gt;0,OR(AUTOEVENTO&lt;&gt;"manual",$M464&lt;&gt;$A$15)),
        IF(Import.TipoArredondamento&lt;&gt;"TransfereGOV",
              ROUND(OFFSET($P464,0,AU$13),15-13*ORÇAMENTO!$AF$7)/$H464*OFFSET(ORÇAMENTO!$X$15,ROW(AU464)-ROW(AU$15),0),
              ROUND(ROUND(OFFSET($P464,0,AU$13),15-13*ORÇAMENTO!$AF$7)*OFFSET(ORÇAMENTO!$W$15,ROW(AU464)-ROW(AU$15),0),15-13*ORÇAMENTO!$AF$11)),
         0)</f>
        <v>0</v>
      </c>
      <c r="AV464" s="453">
        <f ca="1">IF(AND($D464="Serviço",AV$12&lt;&gt;0,$H464&gt;0,OR(AUTOEVENTO&lt;&gt;"manual",$M464&lt;&gt;$A$15)),
        IF(Import.TipoArredondamento&lt;&gt;"TransfereGOV",
              ROUND(OFFSET($P464,0,AV$13),15-13*ORÇAMENTO!$AF$7)/$H464*OFFSET(ORÇAMENTO!$X$15,ROW(AV464)-ROW(AV$15),0),
              ROUND(ROUND(OFFSET($P464,0,AV$13),15-13*ORÇAMENTO!$AF$7)*OFFSET(ORÇAMENTO!$W$15,ROW(AV464)-ROW(AV$15),0),15-13*ORÇAMENTO!$AF$11)),
         0)</f>
        <v>0</v>
      </c>
      <c r="AW464" s="453">
        <f ca="1">IF(AND($D464="Serviço",AW$12&lt;&gt;0,$H464&gt;0,OR(AUTOEVENTO&lt;&gt;"manual",$M464&lt;&gt;$A$15)),
        IF(Import.TipoArredondamento&lt;&gt;"TransfereGOV",
              ROUND(OFFSET($P464,0,AW$13),15-13*ORÇAMENTO!$AF$7)/$H464*OFFSET(ORÇAMENTO!$X$15,ROW(AW464)-ROW(AW$15),0),
              ROUND(ROUND(OFFSET($P464,0,AW$13),15-13*ORÇAMENTO!$AF$7)*OFFSET(ORÇAMENTO!$W$15,ROW(AW464)-ROW(AW$15),0),15-13*ORÇAMENTO!$AF$11)),
         0)</f>
        <v>0</v>
      </c>
      <c r="AX464" s="453">
        <f ca="1">IF(AND($D464="Serviço",AX$12&lt;&gt;0,$H464&gt;0,OR(AUTOEVENTO&lt;&gt;"manual",$M464&lt;&gt;$A$15)),
        IF(Import.TipoArredondamento&lt;&gt;"TransfereGOV",
              ROUND(OFFSET($P464,0,AX$13),15-13*ORÇAMENTO!$AF$7)/$H464*OFFSET(ORÇAMENTO!$X$15,ROW(AX464)-ROW(AX$15),0),
              ROUND(ROUND(OFFSET($P464,0,AX$13),15-13*ORÇAMENTO!$AF$7)*OFFSET(ORÇAMENTO!$W$15,ROW(AX464)-ROW(AX$15),0),15-13*ORÇAMENTO!$AF$11)),
         0)</f>
        <v>0</v>
      </c>
      <c r="AY464" s="453">
        <f ca="1">IF(AND($D464="Serviço",AY$12&lt;&gt;0,$H464&gt;0,OR(AUTOEVENTO&lt;&gt;"manual",$M464&lt;&gt;$A$15)),
        IF(Import.TipoArredondamento&lt;&gt;"TransfereGOV",
              ROUND(OFFSET($P464,0,AY$13),15-13*ORÇAMENTO!$AF$7)/$H464*OFFSET(ORÇAMENTO!$X$15,ROW(AY464)-ROW(AY$15),0),
              ROUND(ROUND(OFFSET($P464,0,AY$13),15-13*ORÇAMENTO!$AF$7)*OFFSET(ORÇAMENTO!$W$15,ROW(AY464)-ROW(AY$15),0),15-13*ORÇAMENTO!$AF$11)),
         0)</f>
        <v>0</v>
      </c>
      <c r="AZ464" s="453">
        <f ca="1">IF(AND($D464="Serviço",AZ$12&lt;&gt;0,$H464&gt;0,OR(AUTOEVENTO&lt;&gt;"manual",$M464&lt;&gt;$A$15)),
        IF(Import.TipoArredondamento&lt;&gt;"TransfereGOV",
              ROUND(OFFSET($P464,0,AZ$13),15-13*ORÇAMENTO!$AF$7)/$H464*OFFSET(ORÇAMENTO!$X$15,ROW(AZ464)-ROW(AZ$15),0),
              ROUND(ROUND(OFFSET($P464,0,AZ$13),15-13*ORÇAMENTO!$AF$7)*OFFSET(ORÇAMENTO!$W$15,ROW(AZ464)-ROW(AZ$15),0),15-13*ORÇAMENTO!$AF$11)),
         0)</f>
        <v>0</v>
      </c>
      <c r="BA464" s="453">
        <f ca="1">IF(AND($D464="Serviço",BA$12&lt;&gt;0,$H464&gt;0,OR(AUTOEVENTO&lt;&gt;"manual",$M464&lt;&gt;$A$15)),
        IF(Import.TipoArredondamento&lt;&gt;"TransfereGOV",
              ROUND(OFFSET($P464,0,BA$13),15-13*ORÇAMENTO!$AF$7)/$H464*OFFSET(ORÇAMENTO!$X$15,ROW(BA464)-ROW(BA$15),0),
              ROUND(ROUND(OFFSET($P464,0,BA$13),15-13*ORÇAMENTO!$AF$7)*OFFSET(ORÇAMENTO!$W$15,ROW(BA464)-ROW(BA$15),0),15-13*ORÇAMENTO!$AF$11)),
         0)</f>
        <v>0</v>
      </c>
      <c r="BC464" s="171">
        <f ca="1">IF(OR($D464&lt;&gt;"Serviço",AND(AUTOEVENTO="Manual",$M464=$A$15)),0,
         IF(OFFSET(CRONOPLE!$F$15,$M464-$A$15,BC$13)=0,10^12,OFFSET(CRONOPLE!$F$15,$M464-$A$15,BC$13)))</f>
        <v>1</v>
      </c>
      <c r="BD464" s="171">
        <f ca="1">IF(OR($D464&lt;&gt;"Serviço",AND(AUTOEVENTO="Manual",$M464=$A$15)),0,
         IF(OFFSET(CRONOPLE!$F$15,$M464-$A$15,BD$13)=0,10^12,OFFSET(CRONOPLE!$F$15,$M464-$A$15,BD$13)))</f>
        <v>2</v>
      </c>
      <c r="BE464" s="171">
        <f ca="1">IF(OR($D464&lt;&gt;"Serviço",AND(AUTOEVENTO="Manual",$M464=$A$15)),0,
         IF(OFFSET(CRONOPLE!$F$15,$M464-$A$15,BE$13)=0,10^12,OFFSET(CRONOPLE!$F$15,$M464-$A$15,BE$13)))</f>
        <v>3</v>
      </c>
      <c r="BF464" s="171">
        <f ca="1">IF(OR($D464&lt;&gt;"Serviço",AND(AUTOEVENTO="Manual",$M464=$A$15)),0,
         IF(OFFSET(CRONOPLE!$F$15,$M464-$A$15,BF$13)=0,10^12,OFFSET(CRONOPLE!$F$15,$M464-$A$15,BF$13)))</f>
        <v>4</v>
      </c>
      <c r="BG464" s="171">
        <f ca="1">IF(OR($D464&lt;&gt;"Serviço",AND(AUTOEVENTO="Manual",$M464=$A$15)),0,
         IF(OFFSET(CRONOPLE!$F$15,$M464-$A$15,BG$13)=0,10^12,OFFSET(CRONOPLE!$F$15,$M464-$A$15,BG$13)))</f>
        <v>5</v>
      </c>
      <c r="BH464" s="171">
        <f ca="1">IF(OR($D464&lt;&gt;"Serviço",AND(AUTOEVENTO="Manual",$M464=$A$15)),0,
         IF(OFFSET(CRONOPLE!$F$15,$M464-$A$15,BH$13)=0,10^12,OFFSET(CRONOPLE!$F$15,$M464-$A$15,BH$13)))</f>
        <v>6</v>
      </c>
      <c r="BI464" s="171">
        <f ca="1">IF(OR($D464&lt;&gt;"Serviço",AND(AUTOEVENTO="Manual",$M464=$A$15)),0,
         IF(OFFSET(CRONOPLE!$F$15,$M464-$A$15,BI$13)=0,10^12,OFFSET(CRONOPLE!$F$15,$M464-$A$15,BI$13)))</f>
        <v>7</v>
      </c>
      <c r="BJ464" s="171">
        <f ca="1">IF(OR($D464&lt;&gt;"Serviço",AND(AUTOEVENTO="Manual",$M464=$A$15)),0,
         IF(OFFSET(CRONOPLE!$F$15,$M464-$A$15,BJ$13)=0,10^12,OFFSET(CRONOPLE!$F$15,$M464-$A$15,BJ$13)))</f>
        <v>8</v>
      </c>
      <c r="BK464" s="171">
        <f ca="1">IF(OR($D464&lt;&gt;"Serviço",AND(AUTOEVENTO="Manual",$M464=$A$15)),0,
         IF(OFFSET(CRONOPLE!$F$15,$M464-$A$15,BK$13)=0,10^12,OFFSET(CRONOPLE!$F$15,$M464-$A$15,BK$13)))</f>
        <v>9</v>
      </c>
      <c r="BL464" s="171">
        <f ca="1">IF(OR($D464&lt;&gt;"Serviço",AND(AUTOEVENTO="Manual",$M464=$A$15)),0,
         IF(OFFSET(CRONOPLE!$F$15,$M464-$A$15,BL$13)=0,10^12,OFFSET(CRONOPLE!$F$15,$M464-$A$15,BL$13)))</f>
        <v>1000000000000</v>
      </c>
      <c r="BM464" s="171">
        <f ca="1">IF(OR($D464&lt;&gt;"Serviço",AND(AUTOEVENTO="Manual",$M464=$A$15)),0,
         IF(OFFSET(CRONOPLE!$F$15,$M464-$A$15,BM$13)=0,10^12,OFFSET(CRONOPLE!$F$15,$M464-$A$15,BM$13)))</f>
        <v>1000000000000</v>
      </c>
      <c r="BN464" s="171">
        <f ca="1">IF(OR($D464&lt;&gt;"Serviço",AND(AUTOEVENTO="Manual",$M464=$A$15)),0,
         IF(OFFSET(CRONOPLE!$F$15,$M464-$A$15,BN$13)=0,10^12,OFFSET(CRONOPLE!$F$15,$M464-$A$15,BN$13)))</f>
        <v>1000000000000</v>
      </c>
      <c r="BO464" s="171">
        <f ca="1">IF(OR($D464&lt;&gt;"Serviço",AND(AUTOEVENTO="Manual",$M464=$A$15)),0,
         IF(OFFSET(CRONOPLE!$F$15,$M464-$A$15,BO$13)=0,10^12,OFFSET(CRONOPLE!$F$15,$M464-$A$15,BO$13)))</f>
        <v>1000000000000</v>
      </c>
      <c r="BP464" s="171">
        <f ca="1">IF(OR($D464&lt;&gt;"Serviço",AND(AUTOEVENTO="Manual",$M464=$A$15)),0,
         IF(OFFSET(CRONOPLE!$F$15,$M464-$A$15,BP$13)=0,10^12,OFFSET(CRONOPLE!$F$15,$M464-$A$15,BP$13)))</f>
        <v>1000000000000</v>
      </c>
      <c r="BQ464" s="171">
        <f ca="1">IF(OR($D464&lt;&gt;"Serviço",AND(AUTOEVENTO="Manual",$M464=$A$15)),0,
         IF(OFFSET(CRONOPLE!$F$15,$M464-$A$15,BQ$13)=0,10^12,OFFSET(CRONOPLE!$F$15,$M464-$A$15,BQ$13)))</f>
        <v>1000000000000</v>
      </c>
      <c r="BR464" s="171">
        <f ca="1">IF(OR($D464&lt;&gt;"Serviço",AND(AUTOEVENTO="Manual",$M464=$A$15)),0,
         IF(OFFSET(CRONOPLE!$F$15,$M464-$A$15,BR$13)=0,10^12,OFFSET(CRONOPLE!$F$15,$M464-$A$15,BR$13)))</f>
        <v>1000000000000</v>
      </c>
      <c r="BS464" s="171">
        <f ca="1">IF(OR($D464&lt;&gt;"Serviço",AND(AUTOEVENTO="Manual",$M464=$A$15)),0,
         IF(OFFSET(CRONOPLE!$F$15,$M464-$A$15,BS$13)=0,10^12,OFFSET(CRONOPLE!$F$15,$M464-$A$15,BS$13)))</f>
        <v>1000000000000</v>
      </c>
      <c r="BT464" s="171">
        <f ca="1">IF(OR($D464&lt;&gt;"Serviço",AND(AUTOEVENTO="Manual",$M464=$A$15)),0,
         IF(OFFSET(CRONOPLE!$F$15,$M464-$A$15,BT$13)=0,10^12,OFFSET(CRONOPLE!$F$15,$M464-$A$15,BT$13)))</f>
        <v>1000000000000</v>
      </c>
      <c r="BV464" s="172">
        <f ca="1">IF(OR($D464&lt;&gt;"Serviço",AND(AUTOEVENTO="Manual",$M464=$A$15),$M464&gt;(ROW(PLE.lastrow)-ROW(PLE.firstrow))),0,
           IF(OFFSET(PLE!$G$15,$M464-$A$15,BV$13)="",10^12,OFFSET(PLE!$G$15,$M464-$A$15,BV$13)))</f>
        <v>1000000000000</v>
      </c>
      <c r="BW464" s="172">
        <f ca="1">IF(OR($D464&lt;&gt;"Serviço",AND(AUTOEVENTO="Manual",$M464=$A$15),$M464&gt;(ROW(PLE.lastrow)-ROW(PLE.firstrow))),0,
           IF(OFFSET(PLE!$G$15,$M464-$A$15,BW$13)="",10^12,OFFSET(PLE!$G$15,$M464-$A$15,BW$13)))</f>
        <v>1000000000000</v>
      </c>
      <c r="BX464" s="172">
        <f ca="1">IF(OR($D464&lt;&gt;"Serviço",AND(AUTOEVENTO="Manual",$M464=$A$15),$M464&gt;(ROW(PLE.lastrow)-ROW(PLE.firstrow))),0,
           IF(OFFSET(PLE!$G$15,$M464-$A$15,BX$13)="",10^12,OFFSET(PLE!$G$15,$M464-$A$15,BX$13)))</f>
        <v>1000000000000</v>
      </c>
      <c r="BY464" s="172">
        <f ca="1">IF(OR($D464&lt;&gt;"Serviço",AND(AUTOEVENTO="Manual",$M464=$A$15),$M464&gt;(ROW(PLE.lastrow)-ROW(PLE.firstrow))),0,
           IF(OFFSET(PLE!$G$15,$M464-$A$15,BY$13)="",10^12,OFFSET(PLE!$G$15,$M464-$A$15,BY$13)))</f>
        <v>1000000000000</v>
      </c>
      <c r="BZ464" s="172">
        <f ca="1">IF(OR($D464&lt;&gt;"Serviço",AND(AUTOEVENTO="Manual",$M464=$A$15),$M464&gt;(ROW(PLE.lastrow)-ROW(PLE.firstrow))),0,
           IF(OFFSET(PLE!$G$15,$M464-$A$15,BZ$13)="",10^12,OFFSET(PLE!$G$15,$M464-$A$15,BZ$13)))</f>
        <v>1000000000000</v>
      </c>
      <c r="CA464" s="172">
        <f ca="1">IF(OR($D464&lt;&gt;"Serviço",AND(AUTOEVENTO="Manual",$M464=$A$15),$M464&gt;(ROW(PLE.lastrow)-ROW(PLE.firstrow))),0,
           IF(OFFSET(PLE!$G$15,$M464-$A$15,CA$13)="",10^12,OFFSET(PLE!$G$15,$M464-$A$15,CA$13)))</f>
        <v>1000000000000</v>
      </c>
      <c r="CB464" s="172">
        <f ca="1">IF(OR($D464&lt;&gt;"Serviço",AND(AUTOEVENTO="Manual",$M464=$A$15),$M464&gt;(ROW(PLE.lastrow)-ROW(PLE.firstrow))),0,
           IF(OFFSET(PLE!$G$15,$M464-$A$15,CB$13)="",10^12,OFFSET(PLE!$G$15,$M464-$A$15,CB$13)))</f>
        <v>1000000000000</v>
      </c>
      <c r="CC464" s="172">
        <f ca="1">IF(OR($D464&lt;&gt;"Serviço",AND(AUTOEVENTO="Manual",$M464=$A$15),$M464&gt;(ROW(PLE.lastrow)-ROW(PLE.firstrow))),0,
           IF(OFFSET(PLE!$G$15,$M464-$A$15,CC$13)="",10^12,OFFSET(PLE!$G$15,$M464-$A$15,CC$13)))</f>
        <v>1000000000000</v>
      </c>
      <c r="CD464" s="172">
        <f ca="1">IF(OR($D464&lt;&gt;"Serviço",AND(AUTOEVENTO="Manual",$M464=$A$15),$M464&gt;(ROW(PLE.lastrow)-ROW(PLE.firstrow))),0,
           IF(OFFSET(PLE!$G$15,$M464-$A$15,CD$13)="",10^12,OFFSET(PLE!$G$15,$M464-$A$15,CD$13)))</f>
        <v>1000000000000</v>
      </c>
      <c r="CE464" s="172">
        <f ca="1">IF(OR($D464&lt;&gt;"Serviço",AND(AUTOEVENTO="Manual",$M464=$A$15),$M464&gt;(ROW(PLE.lastrow)-ROW(PLE.firstrow))),0,
           IF(OFFSET(PLE!$G$15,$M464-$A$15,CE$13)="",10^12,OFFSET(PLE!$G$15,$M464-$A$15,CE$13)))</f>
        <v>1000000000000</v>
      </c>
      <c r="CF464" s="172">
        <f ca="1">IF(OR($D464&lt;&gt;"Serviço",AND(AUTOEVENTO="Manual",$M464=$A$15),$M464&gt;(ROW(PLE.lastrow)-ROW(PLE.firstrow))),0,
           IF(OFFSET(PLE!$G$15,$M464-$A$15,CF$13)="",10^12,OFFSET(PLE!$G$15,$M464-$A$15,CF$13)))</f>
        <v>1000000000000</v>
      </c>
      <c r="CG464" s="172">
        <f ca="1">IF(OR($D464&lt;&gt;"Serviço",AND(AUTOEVENTO="Manual",$M464=$A$15),$M464&gt;(ROW(PLE.lastrow)-ROW(PLE.firstrow))),0,
           IF(OFFSET(PLE!$G$15,$M464-$A$15,CG$13)="",10^12,OFFSET(PLE!$G$15,$M464-$A$15,CG$13)))</f>
        <v>1000000000000</v>
      </c>
      <c r="CH464" s="172">
        <f ca="1">IF(OR($D464&lt;&gt;"Serviço",AND(AUTOEVENTO="Manual",$M464=$A$15),$M464&gt;(ROW(PLE.lastrow)-ROW(PLE.firstrow))),0,
           IF(OFFSET(PLE!$G$15,$M464-$A$15,CH$13)="",10^12,OFFSET(PLE!$G$15,$M464-$A$15,CH$13)))</f>
        <v>1000000000000</v>
      </c>
      <c r="CI464" s="172">
        <f ca="1">IF(OR($D464&lt;&gt;"Serviço",AND(AUTOEVENTO="Manual",$M464=$A$15),$M464&gt;(ROW(PLE.lastrow)-ROW(PLE.firstrow))),0,
           IF(OFFSET(PLE!$G$15,$M464-$A$15,CI$13)="",10^12,OFFSET(PLE!$G$15,$M464-$A$15,CI$13)))</f>
        <v>1000000000000</v>
      </c>
      <c r="CJ464" s="172">
        <f ca="1">IF(OR($D464&lt;&gt;"Serviço",AND(AUTOEVENTO="Manual",$M464=$A$15),$M464&gt;(ROW(PLE.lastrow)-ROW(PLE.firstrow))),0,
           IF(OFFSET(PLE!$G$15,$M464-$A$15,CJ$13)="",10^12,OFFSET(PLE!$G$15,$M464-$A$15,CJ$13)))</f>
        <v>1000000000000</v>
      </c>
      <c r="CK464" s="172">
        <f ca="1">IF(OR($D464&lt;&gt;"Serviço",AND(AUTOEVENTO="Manual",$M464=$A$15),$M464&gt;(ROW(PLE.lastrow)-ROW(PLE.firstrow))),0,
           IF(OFFSET(PLE!$G$15,$M464-$A$15,CK$13)="",10^12,OFFSET(PLE!$G$15,$M464-$A$15,CK$13)))</f>
        <v>1000000000000</v>
      </c>
      <c r="CL464" s="172">
        <f ca="1">IF(OR($D464&lt;&gt;"Serviço",AND(AUTOEVENTO="Manual",$M464=$A$15),$M464&gt;(ROW(PLE.lastrow)-ROW(PLE.firstrow))),0,
           IF(OFFSET(PLE!$G$15,$M464-$A$15,CL$13)="",10^12,OFFSET(PLE!$G$15,$M464-$A$15,CL$13)))</f>
        <v>1000000000000</v>
      </c>
      <c r="CM464" s="172">
        <f ca="1">IF(OR($D464&lt;&gt;"Serviço",AND(AUTOEVENTO="Manual",$M464=$A$15),$M464&gt;(ROW(PLE.lastrow)-ROW(PLE.firstrow))),0,
           IF(OFFSET(PLE!$G$15,$M464-$A$15,CM$13)="",10^12,OFFSET(PLE!$G$15,$M464-$A$15,CM$13)))</f>
        <v>1000000000000</v>
      </c>
    </row>
    <row r="465" spans="1:91" ht="38.25" x14ac:dyDescent="0.2">
      <c r="A465" s="7">
        <f t="shared" ca="1" si="16"/>
        <v>8</v>
      </c>
      <c r="B465" s="7" t="str">
        <f ca="1">OFFSET(ORÇAMENTO!C$15,ROW(B465)-ROW(B$15),0)</f>
        <v>S</v>
      </c>
      <c r="C465" s="7" t="str">
        <f ca="1">OFFSET(ORÇAMENTO!L$15,ROW(C465)-ROW(C$15),0)</f>
        <v>F</v>
      </c>
      <c r="D465" s="116" t="str">
        <f ca="1">OFFSET(ORÇAMENTO!N$15,ROW(D465)-ROW(D$15),0)</f>
        <v>Serviço</v>
      </c>
      <c r="E465" s="117" t="str">
        <f ca="1">OFFSET(ORÇAMENTO!O$15,ROW(E465)-ROW(E$15),0)</f>
        <v>1.9.5.0.3.</v>
      </c>
      <c r="F465" s="163" t="str">
        <f ca="1">OFFSET(ORÇAMENTO!R$15,ROW(F465)-ROW(F$15),0)</f>
        <v>CONVERSOR DE MIDIA 10/100BASE TX (RJ45) PARA FIBRA OTICA 100 - BASEADO EM SBC (079156)</v>
      </c>
      <c r="G465" s="164" t="str">
        <f ca="1">IF($D465&lt;&gt;"Serviço","",OFFSET(ORÇAMENTO!S$15,ROW(G465)-ROW(G$15),0))</f>
        <v>UN</v>
      </c>
      <c r="H465" s="122" cm="1">
        <f t="array" aca="1" ref="H465" ca="1">IF($D465&lt;&gt;"Serviço",0,IF(ACOMPANHAMENTO="BM",ROUND(OFFSET(ORÇAMENTO!AJ$15,ROW(H465)-ROW(H$15),0),15-13*ORÇAMENTO!$AF$7),SUMPRODUCT(($Q$1:$AI$1=1)*ROUND($Q465:$AI465,15-13*ORÇAMENTO!$AF$7))))</f>
        <v>6</v>
      </c>
      <c r="I465" s="468" t="s">
        <v>1432</v>
      </c>
      <c r="J465" s="640" t="str" cm="1">
        <f t="array" aca="1" ref="J465" ca="1">IF(OR(B465&lt;&gt;"S",CÁLCULO.FrentesPreenchidas=0),"",IF(AND(ACOMPANHAMENTO="PLE",AUTOEVENTO="Manual",OR(H465&gt;0,ORÇAMENTO!AC465="QUANT."),OR(K465="",M465=0,N465="")),"►E",IF(AND(ACOMPANHAMENTO="PLE",ORÇAMENTO!AC465="QUANT."),"►Q",IF(AND(ACOMPANHAMENTO="PLE",H465&lt;&gt;SUMPRODUCT(($Q$1:$AI$1=1)*ROUND(Q465:AI465,15))),"►S",IF(AND(COUNTIF($P$11:$AI$11,"▼")=0,H465&gt;0,I465=""),"◄M","")))))</f>
        <v/>
      </c>
      <c r="K465" s="641" t="s">
        <v>1392</v>
      </c>
      <c r="L465" s="165" t="s">
        <v>764</v>
      </c>
      <c r="M465" s="166">
        <f ca="1">IF($D465&lt;&gt;"Serviço","",
          IF(AUTOEVENTO="manual",$A465,
                IF(ISERROR(MATCH($A465,$A$15:OFFSET($A465,-1,0),0)),MAX($M$15:OFFSET(M465,-1,0))+1,
                      INDEX($M$15:OFFSET(M465,-1,0),MATCH($A465,$A$15:OFFSET($A465,-1,0),0)))))</f>
        <v>8</v>
      </c>
      <c r="N465" s="167" t="str">
        <f ca="1">IF($D465&lt;&gt;"Serviço","",
         IF(AUTOEVENTO="Manual",
                IF($A465=0,"&lt;-- defina o número do agrupador",
                       OFFSET(EVENTOS!$D$15,$A465-$A$15,0)),
                OFFSET($F$15,$A465,0)))</f>
        <v>CFTV</v>
      </c>
      <c r="O465" s="168"/>
      <c r="Q465" s="168"/>
      <c r="R465" s="169"/>
      <c r="S465" s="169"/>
      <c r="T465" s="169"/>
      <c r="U465" s="169"/>
      <c r="V465" s="169"/>
      <c r="W465" s="169"/>
      <c r="X465" s="169"/>
      <c r="Y465" s="169">
        <v>6</v>
      </c>
      <c r="Z465" s="170"/>
      <c r="AA465" s="169"/>
      <c r="AB465" s="169"/>
      <c r="AC465" s="169"/>
      <c r="AD465" s="169"/>
      <c r="AE465" s="169"/>
      <c r="AF465" s="169"/>
      <c r="AG465" s="169"/>
      <c r="AH465" s="170"/>
      <c r="AJ465" s="453">
        <f ca="1">IF(AND($D465="Serviço",AJ$12&lt;&gt;0,$H465&gt;0,OR(AUTOEVENTO&lt;&gt;"manual",$M465&lt;&gt;$A$15)),
        IF(Import.TipoArredondamento&lt;&gt;"TransfereGOV",
              ROUND(OFFSET($P465,0,AJ$13),15-13*ORÇAMENTO!$AF$7)/$H465*OFFSET(ORÇAMENTO!$X$15,ROW(AJ465)-ROW(AJ$15),0),
              ROUND(ROUND(OFFSET($P465,0,AJ$13),15-13*ORÇAMENTO!$AF$7)*OFFSET(ORÇAMENTO!$W$15,ROW(AJ465)-ROW(AJ$15),0),15-13*ORÇAMENTO!$AF$11)),
         0)</f>
        <v>0</v>
      </c>
      <c r="AK465" s="453">
        <f ca="1">IF(AND($D465="Serviço",AK$12&lt;&gt;0,$H465&gt;0,OR(AUTOEVENTO&lt;&gt;"manual",$M465&lt;&gt;$A$15)),
        IF(Import.TipoArredondamento&lt;&gt;"TransfereGOV",
              ROUND(OFFSET($P465,0,AK$13),15-13*ORÇAMENTO!$AF$7)/$H465*OFFSET(ORÇAMENTO!$X$15,ROW(AK465)-ROW(AK$15),0),
              ROUND(ROUND(OFFSET($P465,0,AK$13),15-13*ORÇAMENTO!$AF$7)*OFFSET(ORÇAMENTO!$W$15,ROW(AK465)-ROW(AK$15),0),15-13*ORÇAMENTO!$AF$11)),
         0)</f>
        <v>0</v>
      </c>
      <c r="AL465" s="453">
        <f ca="1">IF(AND($D465="Serviço",AL$12&lt;&gt;0,$H465&gt;0,OR(AUTOEVENTO&lt;&gt;"manual",$M465&lt;&gt;$A$15)),
        IF(Import.TipoArredondamento&lt;&gt;"TransfereGOV",
              ROUND(OFFSET($P465,0,AL$13),15-13*ORÇAMENTO!$AF$7)/$H465*OFFSET(ORÇAMENTO!$X$15,ROW(AL465)-ROW(AL$15),0),
              ROUND(ROUND(OFFSET($P465,0,AL$13),15-13*ORÇAMENTO!$AF$7)*OFFSET(ORÇAMENTO!$W$15,ROW(AL465)-ROW(AL$15),0),15-13*ORÇAMENTO!$AF$11)),
         0)</f>
        <v>0</v>
      </c>
      <c r="AM465" s="453">
        <f ca="1">IF(AND($D465="Serviço",AM$12&lt;&gt;0,$H465&gt;0,OR(AUTOEVENTO&lt;&gt;"manual",$M465&lt;&gt;$A$15)),
        IF(Import.TipoArredondamento&lt;&gt;"TransfereGOV",
              ROUND(OFFSET($P465,0,AM$13),15-13*ORÇAMENTO!$AF$7)/$H465*OFFSET(ORÇAMENTO!$X$15,ROW(AM465)-ROW(AM$15),0),
              ROUND(ROUND(OFFSET($P465,0,AM$13),15-13*ORÇAMENTO!$AF$7)*OFFSET(ORÇAMENTO!$W$15,ROW(AM465)-ROW(AM$15),0),15-13*ORÇAMENTO!$AF$11)),
         0)</f>
        <v>0</v>
      </c>
      <c r="AN465" s="453">
        <f ca="1">IF(AND($D465="Serviço",AN$12&lt;&gt;0,$H465&gt;0,OR(AUTOEVENTO&lt;&gt;"manual",$M465&lt;&gt;$A$15)),
        IF(Import.TipoArredondamento&lt;&gt;"TransfereGOV",
              ROUND(OFFSET($P465,0,AN$13),15-13*ORÇAMENTO!$AF$7)/$H465*OFFSET(ORÇAMENTO!$X$15,ROW(AN465)-ROW(AN$15),0),
              ROUND(ROUND(OFFSET($P465,0,AN$13),15-13*ORÇAMENTO!$AF$7)*OFFSET(ORÇAMENTO!$W$15,ROW(AN465)-ROW(AN$15),0),15-13*ORÇAMENTO!$AF$11)),
         0)</f>
        <v>0</v>
      </c>
      <c r="AO465" s="453">
        <f ca="1">IF(AND($D465="Serviço",AO$12&lt;&gt;0,$H465&gt;0,OR(AUTOEVENTO&lt;&gt;"manual",$M465&lt;&gt;$A$15)),
        IF(Import.TipoArredondamento&lt;&gt;"TransfereGOV",
              ROUND(OFFSET($P465,0,AO$13),15-13*ORÇAMENTO!$AF$7)/$H465*OFFSET(ORÇAMENTO!$X$15,ROW(AO465)-ROW(AO$15),0),
              ROUND(ROUND(OFFSET($P465,0,AO$13),15-13*ORÇAMENTO!$AF$7)*OFFSET(ORÇAMENTO!$W$15,ROW(AO465)-ROW(AO$15),0),15-13*ORÇAMENTO!$AF$11)),
         0)</f>
        <v>0</v>
      </c>
      <c r="AP465" s="453">
        <f ca="1">IF(AND($D465="Serviço",AP$12&lt;&gt;0,$H465&gt;0,OR(AUTOEVENTO&lt;&gt;"manual",$M465&lt;&gt;$A$15)),
        IF(Import.TipoArredondamento&lt;&gt;"TransfereGOV",
              ROUND(OFFSET($P465,0,AP$13),15-13*ORÇAMENTO!$AF$7)/$H465*OFFSET(ORÇAMENTO!$X$15,ROW(AP465)-ROW(AP$15),0),
              ROUND(ROUND(OFFSET($P465,0,AP$13),15-13*ORÇAMENTO!$AF$7)*OFFSET(ORÇAMENTO!$W$15,ROW(AP465)-ROW(AP$15),0),15-13*ORÇAMENTO!$AF$11)),
         0)</f>
        <v>0</v>
      </c>
      <c r="AQ465" s="453">
        <f ca="1">IF(AND($D465="Serviço",AQ$12&lt;&gt;0,$H465&gt;0,OR(AUTOEVENTO&lt;&gt;"manual",$M465&lt;&gt;$A$15)),
        IF(Import.TipoArredondamento&lt;&gt;"TransfereGOV",
              ROUND(OFFSET($P465,0,AQ$13),15-13*ORÇAMENTO!$AF$7)/$H465*OFFSET(ORÇAMENTO!$X$15,ROW(AQ465)-ROW(AQ$15),0),
              ROUND(ROUND(OFFSET($P465,0,AQ$13),15-13*ORÇAMENTO!$AF$7)*OFFSET(ORÇAMENTO!$W$15,ROW(AQ465)-ROW(AQ$15),0),15-13*ORÇAMENTO!$AF$11)),
         0)</f>
        <v>0</v>
      </c>
      <c r="AR465" s="453">
        <f ca="1">IF(AND($D465="Serviço",AR$12&lt;&gt;0,$H465&gt;0,OR(AUTOEVENTO&lt;&gt;"manual",$M465&lt;&gt;$A$15)),
        IF(Import.TipoArredondamento&lt;&gt;"TransfereGOV",
              ROUND(OFFSET($P465,0,AR$13),15-13*ORÇAMENTO!$AF$7)/$H465*OFFSET(ORÇAMENTO!$X$15,ROW(AR465)-ROW(AR$15),0),
              ROUND(ROUND(OFFSET($P465,0,AR$13),15-13*ORÇAMENTO!$AF$7)*OFFSET(ORÇAMENTO!$W$15,ROW(AR465)-ROW(AR$15),0),15-13*ORÇAMENTO!$AF$11)),
         0)</f>
        <v>0</v>
      </c>
      <c r="AS465" s="453">
        <f ca="1">IF(AND($D465="Serviço",AS$12&lt;&gt;0,$H465&gt;0,OR(AUTOEVENTO&lt;&gt;"manual",$M465&lt;&gt;$A$15)),
        IF(Import.TipoArredondamento&lt;&gt;"TransfereGOV",
              ROUND(OFFSET($P465,0,AS$13),15-13*ORÇAMENTO!$AF$7)/$H465*OFFSET(ORÇAMENTO!$X$15,ROW(AS465)-ROW(AS$15),0),
              ROUND(ROUND(OFFSET($P465,0,AS$13),15-13*ORÇAMENTO!$AF$7)*OFFSET(ORÇAMENTO!$W$15,ROW(AS465)-ROW(AS$15),0),15-13*ORÇAMENTO!$AF$11)),
         0)</f>
        <v>0</v>
      </c>
      <c r="AT465" s="453">
        <f ca="1">IF(AND($D465="Serviço",AT$12&lt;&gt;0,$H465&gt;0,OR(AUTOEVENTO&lt;&gt;"manual",$M465&lt;&gt;$A$15)),
        IF(Import.TipoArredondamento&lt;&gt;"TransfereGOV",
              ROUND(OFFSET($P465,0,AT$13),15-13*ORÇAMENTO!$AF$7)/$H465*OFFSET(ORÇAMENTO!$X$15,ROW(AT465)-ROW(AT$15),0),
              ROUND(ROUND(OFFSET($P465,0,AT$13),15-13*ORÇAMENTO!$AF$7)*OFFSET(ORÇAMENTO!$W$15,ROW(AT465)-ROW(AT$15),0),15-13*ORÇAMENTO!$AF$11)),
         0)</f>
        <v>0</v>
      </c>
      <c r="AU465" s="453">
        <f ca="1">IF(AND($D465="Serviço",AU$12&lt;&gt;0,$H465&gt;0,OR(AUTOEVENTO&lt;&gt;"manual",$M465&lt;&gt;$A$15)),
        IF(Import.TipoArredondamento&lt;&gt;"TransfereGOV",
              ROUND(OFFSET($P465,0,AU$13),15-13*ORÇAMENTO!$AF$7)/$H465*OFFSET(ORÇAMENTO!$X$15,ROW(AU465)-ROW(AU$15),0),
              ROUND(ROUND(OFFSET($P465,0,AU$13),15-13*ORÇAMENTO!$AF$7)*OFFSET(ORÇAMENTO!$W$15,ROW(AU465)-ROW(AU$15),0),15-13*ORÇAMENTO!$AF$11)),
         0)</f>
        <v>0</v>
      </c>
      <c r="AV465" s="453">
        <f ca="1">IF(AND($D465="Serviço",AV$12&lt;&gt;0,$H465&gt;0,OR(AUTOEVENTO&lt;&gt;"manual",$M465&lt;&gt;$A$15)),
        IF(Import.TipoArredondamento&lt;&gt;"TransfereGOV",
              ROUND(OFFSET($P465,0,AV$13),15-13*ORÇAMENTO!$AF$7)/$H465*OFFSET(ORÇAMENTO!$X$15,ROW(AV465)-ROW(AV$15),0),
              ROUND(ROUND(OFFSET($P465,0,AV$13),15-13*ORÇAMENTO!$AF$7)*OFFSET(ORÇAMENTO!$W$15,ROW(AV465)-ROW(AV$15),0),15-13*ORÇAMENTO!$AF$11)),
         0)</f>
        <v>0</v>
      </c>
      <c r="AW465" s="453">
        <f ca="1">IF(AND($D465="Serviço",AW$12&lt;&gt;0,$H465&gt;0,OR(AUTOEVENTO&lt;&gt;"manual",$M465&lt;&gt;$A$15)),
        IF(Import.TipoArredondamento&lt;&gt;"TransfereGOV",
              ROUND(OFFSET($P465,0,AW$13),15-13*ORÇAMENTO!$AF$7)/$H465*OFFSET(ORÇAMENTO!$X$15,ROW(AW465)-ROW(AW$15),0),
              ROUND(ROUND(OFFSET($P465,0,AW$13),15-13*ORÇAMENTO!$AF$7)*OFFSET(ORÇAMENTO!$W$15,ROW(AW465)-ROW(AW$15),0),15-13*ORÇAMENTO!$AF$11)),
         0)</f>
        <v>0</v>
      </c>
      <c r="AX465" s="453">
        <f ca="1">IF(AND($D465="Serviço",AX$12&lt;&gt;0,$H465&gt;0,OR(AUTOEVENTO&lt;&gt;"manual",$M465&lt;&gt;$A$15)),
        IF(Import.TipoArredondamento&lt;&gt;"TransfereGOV",
              ROUND(OFFSET($P465,0,AX$13),15-13*ORÇAMENTO!$AF$7)/$H465*OFFSET(ORÇAMENTO!$X$15,ROW(AX465)-ROW(AX$15),0),
              ROUND(ROUND(OFFSET($P465,0,AX$13),15-13*ORÇAMENTO!$AF$7)*OFFSET(ORÇAMENTO!$W$15,ROW(AX465)-ROW(AX$15),0),15-13*ORÇAMENTO!$AF$11)),
         0)</f>
        <v>0</v>
      </c>
      <c r="AY465" s="453">
        <f ca="1">IF(AND($D465="Serviço",AY$12&lt;&gt;0,$H465&gt;0,OR(AUTOEVENTO&lt;&gt;"manual",$M465&lt;&gt;$A$15)),
        IF(Import.TipoArredondamento&lt;&gt;"TransfereGOV",
              ROUND(OFFSET($P465,0,AY$13),15-13*ORÇAMENTO!$AF$7)/$H465*OFFSET(ORÇAMENTO!$X$15,ROW(AY465)-ROW(AY$15),0),
              ROUND(ROUND(OFFSET($P465,0,AY$13),15-13*ORÇAMENTO!$AF$7)*OFFSET(ORÇAMENTO!$W$15,ROW(AY465)-ROW(AY$15),0),15-13*ORÇAMENTO!$AF$11)),
         0)</f>
        <v>0</v>
      </c>
      <c r="AZ465" s="453">
        <f ca="1">IF(AND($D465="Serviço",AZ$12&lt;&gt;0,$H465&gt;0,OR(AUTOEVENTO&lt;&gt;"manual",$M465&lt;&gt;$A$15)),
        IF(Import.TipoArredondamento&lt;&gt;"TransfereGOV",
              ROUND(OFFSET($P465,0,AZ$13),15-13*ORÇAMENTO!$AF$7)/$H465*OFFSET(ORÇAMENTO!$X$15,ROW(AZ465)-ROW(AZ$15),0),
              ROUND(ROUND(OFFSET($P465,0,AZ$13),15-13*ORÇAMENTO!$AF$7)*OFFSET(ORÇAMENTO!$W$15,ROW(AZ465)-ROW(AZ$15),0),15-13*ORÇAMENTO!$AF$11)),
         0)</f>
        <v>0</v>
      </c>
      <c r="BA465" s="453">
        <f ca="1">IF(AND($D465="Serviço",BA$12&lt;&gt;0,$H465&gt;0,OR(AUTOEVENTO&lt;&gt;"manual",$M465&lt;&gt;$A$15)),
        IF(Import.TipoArredondamento&lt;&gt;"TransfereGOV",
              ROUND(OFFSET($P465,0,BA$13),15-13*ORÇAMENTO!$AF$7)/$H465*OFFSET(ORÇAMENTO!$X$15,ROW(BA465)-ROW(BA$15),0),
              ROUND(ROUND(OFFSET($P465,0,BA$13),15-13*ORÇAMENTO!$AF$7)*OFFSET(ORÇAMENTO!$W$15,ROW(BA465)-ROW(BA$15),0),15-13*ORÇAMENTO!$AF$11)),
         0)</f>
        <v>0</v>
      </c>
      <c r="BC465" s="171">
        <f ca="1">IF(OR($D465&lt;&gt;"Serviço",AND(AUTOEVENTO="Manual",$M465=$A$15)),0,
         IF(OFFSET(CRONOPLE!$F$15,$M465-$A$15,BC$13)=0,10^12,OFFSET(CRONOPLE!$F$15,$M465-$A$15,BC$13)))</f>
        <v>1</v>
      </c>
      <c r="BD465" s="171">
        <f ca="1">IF(OR($D465&lt;&gt;"Serviço",AND(AUTOEVENTO="Manual",$M465=$A$15)),0,
         IF(OFFSET(CRONOPLE!$F$15,$M465-$A$15,BD$13)=0,10^12,OFFSET(CRONOPLE!$F$15,$M465-$A$15,BD$13)))</f>
        <v>2</v>
      </c>
      <c r="BE465" s="171">
        <f ca="1">IF(OR($D465&lt;&gt;"Serviço",AND(AUTOEVENTO="Manual",$M465=$A$15)),0,
         IF(OFFSET(CRONOPLE!$F$15,$M465-$A$15,BE$13)=0,10^12,OFFSET(CRONOPLE!$F$15,$M465-$A$15,BE$13)))</f>
        <v>3</v>
      </c>
      <c r="BF465" s="171">
        <f ca="1">IF(OR($D465&lt;&gt;"Serviço",AND(AUTOEVENTO="Manual",$M465=$A$15)),0,
         IF(OFFSET(CRONOPLE!$F$15,$M465-$A$15,BF$13)=0,10^12,OFFSET(CRONOPLE!$F$15,$M465-$A$15,BF$13)))</f>
        <v>4</v>
      </c>
      <c r="BG465" s="171">
        <f ca="1">IF(OR($D465&lt;&gt;"Serviço",AND(AUTOEVENTO="Manual",$M465=$A$15)),0,
         IF(OFFSET(CRONOPLE!$F$15,$M465-$A$15,BG$13)=0,10^12,OFFSET(CRONOPLE!$F$15,$M465-$A$15,BG$13)))</f>
        <v>5</v>
      </c>
      <c r="BH465" s="171">
        <f ca="1">IF(OR($D465&lt;&gt;"Serviço",AND(AUTOEVENTO="Manual",$M465=$A$15)),0,
         IF(OFFSET(CRONOPLE!$F$15,$M465-$A$15,BH$13)=0,10^12,OFFSET(CRONOPLE!$F$15,$M465-$A$15,BH$13)))</f>
        <v>6</v>
      </c>
      <c r="BI465" s="171">
        <f ca="1">IF(OR($D465&lt;&gt;"Serviço",AND(AUTOEVENTO="Manual",$M465=$A$15)),0,
         IF(OFFSET(CRONOPLE!$F$15,$M465-$A$15,BI$13)=0,10^12,OFFSET(CRONOPLE!$F$15,$M465-$A$15,BI$13)))</f>
        <v>7</v>
      </c>
      <c r="BJ465" s="171">
        <f ca="1">IF(OR($D465&lt;&gt;"Serviço",AND(AUTOEVENTO="Manual",$M465=$A$15)),0,
         IF(OFFSET(CRONOPLE!$F$15,$M465-$A$15,BJ$13)=0,10^12,OFFSET(CRONOPLE!$F$15,$M465-$A$15,BJ$13)))</f>
        <v>8</v>
      </c>
      <c r="BK465" s="171">
        <f ca="1">IF(OR($D465&lt;&gt;"Serviço",AND(AUTOEVENTO="Manual",$M465=$A$15)),0,
         IF(OFFSET(CRONOPLE!$F$15,$M465-$A$15,BK$13)=0,10^12,OFFSET(CRONOPLE!$F$15,$M465-$A$15,BK$13)))</f>
        <v>9</v>
      </c>
      <c r="BL465" s="171">
        <f ca="1">IF(OR($D465&lt;&gt;"Serviço",AND(AUTOEVENTO="Manual",$M465=$A$15)),0,
         IF(OFFSET(CRONOPLE!$F$15,$M465-$A$15,BL$13)=0,10^12,OFFSET(CRONOPLE!$F$15,$M465-$A$15,BL$13)))</f>
        <v>1000000000000</v>
      </c>
      <c r="BM465" s="171">
        <f ca="1">IF(OR($D465&lt;&gt;"Serviço",AND(AUTOEVENTO="Manual",$M465=$A$15)),0,
         IF(OFFSET(CRONOPLE!$F$15,$M465-$A$15,BM$13)=0,10^12,OFFSET(CRONOPLE!$F$15,$M465-$A$15,BM$13)))</f>
        <v>1000000000000</v>
      </c>
      <c r="BN465" s="171">
        <f ca="1">IF(OR($D465&lt;&gt;"Serviço",AND(AUTOEVENTO="Manual",$M465=$A$15)),0,
         IF(OFFSET(CRONOPLE!$F$15,$M465-$A$15,BN$13)=0,10^12,OFFSET(CRONOPLE!$F$15,$M465-$A$15,BN$13)))</f>
        <v>1000000000000</v>
      </c>
      <c r="BO465" s="171">
        <f ca="1">IF(OR($D465&lt;&gt;"Serviço",AND(AUTOEVENTO="Manual",$M465=$A$15)),0,
         IF(OFFSET(CRONOPLE!$F$15,$M465-$A$15,BO$13)=0,10^12,OFFSET(CRONOPLE!$F$15,$M465-$A$15,BO$13)))</f>
        <v>1000000000000</v>
      </c>
      <c r="BP465" s="171">
        <f ca="1">IF(OR($D465&lt;&gt;"Serviço",AND(AUTOEVENTO="Manual",$M465=$A$15)),0,
         IF(OFFSET(CRONOPLE!$F$15,$M465-$A$15,BP$13)=0,10^12,OFFSET(CRONOPLE!$F$15,$M465-$A$15,BP$13)))</f>
        <v>1000000000000</v>
      </c>
      <c r="BQ465" s="171">
        <f ca="1">IF(OR($D465&lt;&gt;"Serviço",AND(AUTOEVENTO="Manual",$M465=$A$15)),0,
         IF(OFFSET(CRONOPLE!$F$15,$M465-$A$15,BQ$13)=0,10^12,OFFSET(CRONOPLE!$F$15,$M465-$A$15,BQ$13)))</f>
        <v>1000000000000</v>
      </c>
      <c r="BR465" s="171">
        <f ca="1">IF(OR($D465&lt;&gt;"Serviço",AND(AUTOEVENTO="Manual",$M465=$A$15)),0,
         IF(OFFSET(CRONOPLE!$F$15,$M465-$A$15,BR$13)=0,10^12,OFFSET(CRONOPLE!$F$15,$M465-$A$15,BR$13)))</f>
        <v>1000000000000</v>
      </c>
      <c r="BS465" s="171">
        <f ca="1">IF(OR($D465&lt;&gt;"Serviço",AND(AUTOEVENTO="Manual",$M465=$A$15)),0,
         IF(OFFSET(CRONOPLE!$F$15,$M465-$A$15,BS$13)=0,10^12,OFFSET(CRONOPLE!$F$15,$M465-$A$15,BS$13)))</f>
        <v>1000000000000</v>
      </c>
      <c r="BT465" s="171">
        <f ca="1">IF(OR($D465&lt;&gt;"Serviço",AND(AUTOEVENTO="Manual",$M465=$A$15)),0,
         IF(OFFSET(CRONOPLE!$F$15,$M465-$A$15,BT$13)=0,10^12,OFFSET(CRONOPLE!$F$15,$M465-$A$15,BT$13)))</f>
        <v>1000000000000</v>
      </c>
      <c r="BV465" s="172">
        <f ca="1">IF(OR($D465&lt;&gt;"Serviço",AND(AUTOEVENTO="Manual",$M465=$A$15),$M465&gt;(ROW(PLE.lastrow)-ROW(PLE.firstrow))),0,
           IF(OFFSET(PLE!$G$15,$M465-$A$15,BV$13)="",10^12,OFFSET(PLE!$G$15,$M465-$A$15,BV$13)))</f>
        <v>1000000000000</v>
      </c>
      <c r="BW465" s="172">
        <f ca="1">IF(OR($D465&lt;&gt;"Serviço",AND(AUTOEVENTO="Manual",$M465=$A$15),$M465&gt;(ROW(PLE.lastrow)-ROW(PLE.firstrow))),0,
           IF(OFFSET(PLE!$G$15,$M465-$A$15,BW$13)="",10^12,OFFSET(PLE!$G$15,$M465-$A$15,BW$13)))</f>
        <v>1000000000000</v>
      </c>
      <c r="BX465" s="172">
        <f ca="1">IF(OR($D465&lt;&gt;"Serviço",AND(AUTOEVENTO="Manual",$M465=$A$15),$M465&gt;(ROW(PLE.lastrow)-ROW(PLE.firstrow))),0,
           IF(OFFSET(PLE!$G$15,$M465-$A$15,BX$13)="",10^12,OFFSET(PLE!$G$15,$M465-$A$15,BX$13)))</f>
        <v>1000000000000</v>
      </c>
      <c r="BY465" s="172">
        <f ca="1">IF(OR($D465&lt;&gt;"Serviço",AND(AUTOEVENTO="Manual",$M465=$A$15),$M465&gt;(ROW(PLE.lastrow)-ROW(PLE.firstrow))),0,
           IF(OFFSET(PLE!$G$15,$M465-$A$15,BY$13)="",10^12,OFFSET(PLE!$G$15,$M465-$A$15,BY$13)))</f>
        <v>1000000000000</v>
      </c>
      <c r="BZ465" s="172">
        <f ca="1">IF(OR($D465&lt;&gt;"Serviço",AND(AUTOEVENTO="Manual",$M465=$A$15),$M465&gt;(ROW(PLE.lastrow)-ROW(PLE.firstrow))),0,
           IF(OFFSET(PLE!$G$15,$M465-$A$15,BZ$13)="",10^12,OFFSET(PLE!$G$15,$M465-$A$15,BZ$13)))</f>
        <v>1000000000000</v>
      </c>
      <c r="CA465" s="172">
        <f ca="1">IF(OR($D465&lt;&gt;"Serviço",AND(AUTOEVENTO="Manual",$M465=$A$15),$M465&gt;(ROW(PLE.lastrow)-ROW(PLE.firstrow))),0,
           IF(OFFSET(PLE!$G$15,$M465-$A$15,CA$13)="",10^12,OFFSET(PLE!$G$15,$M465-$A$15,CA$13)))</f>
        <v>1000000000000</v>
      </c>
      <c r="CB465" s="172">
        <f ca="1">IF(OR($D465&lt;&gt;"Serviço",AND(AUTOEVENTO="Manual",$M465=$A$15),$M465&gt;(ROW(PLE.lastrow)-ROW(PLE.firstrow))),0,
           IF(OFFSET(PLE!$G$15,$M465-$A$15,CB$13)="",10^12,OFFSET(PLE!$G$15,$M465-$A$15,CB$13)))</f>
        <v>1000000000000</v>
      </c>
      <c r="CC465" s="172">
        <f ca="1">IF(OR($D465&lt;&gt;"Serviço",AND(AUTOEVENTO="Manual",$M465=$A$15),$M465&gt;(ROW(PLE.lastrow)-ROW(PLE.firstrow))),0,
           IF(OFFSET(PLE!$G$15,$M465-$A$15,CC$13)="",10^12,OFFSET(PLE!$G$15,$M465-$A$15,CC$13)))</f>
        <v>1000000000000</v>
      </c>
      <c r="CD465" s="172">
        <f ca="1">IF(OR($D465&lt;&gt;"Serviço",AND(AUTOEVENTO="Manual",$M465=$A$15),$M465&gt;(ROW(PLE.lastrow)-ROW(PLE.firstrow))),0,
           IF(OFFSET(PLE!$G$15,$M465-$A$15,CD$13)="",10^12,OFFSET(PLE!$G$15,$M465-$A$15,CD$13)))</f>
        <v>1000000000000</v>
      </c>
      <c r="CE465" s="172">
        <f ca="1">IF(OR($D465&lt;&gt;"Serviço",AND(AUTOEVENTO="Manual",$M465=$A$15),$M465&gt;(ROW(PLE.lastrow)-ROW(PLE.firstrow))),0,
           IF(OFFSET(PLE!$G$15,$M465-$A$15,CE$13)="",10^12,OFFSET(PLE!$G$15,$M465-$A$15,CE$13)))</f>
        <v>1000000000000</v>
      </c>
      <c r="CF465" s="172">
        <f ca="1">IF(OR($D465&lt;&gt;"Serviço",AND(AUTOEVENTO="Manual",$M465=$A$15),$M465&gt;(ROW(PLE.lastrow)-ROW(PLE.firstrow))),0,
           IF(OFFSET(PLE!$G$15,$M465-$A$15,CF$13)="",10^12,OFFSET(PLE!$G$15,$M465-$A$15,CF$13)))</f>
        <v>1000000000000</v>
      </c>
      <c r="CG465" s="172">
        <f ca="1">IF(OR($D465&lt;&gt;"Serviço",AND(AUTOEVENTO="Manual",$M465=$A$15),$M465&gt;(ROW(PLE.lastrow)-ROW(PLE.firstrow))),0,
           IF(OFFSET(PLE!$G$15,$M465-$A$15,CG$13)="",10^12,OFFSET(PLE!$G$15,$M465-$A$15,CG$13)))</f>
        <v>1000000000000</v>
      </c>
      <c r="CH465" s="172">
        <f ca="1">IF(OR($D465&lt;&gt;"Serviço",AND(AUTOEVENTO="Manual",$M465=$A$15),$M465&gt;(ROW(PLE.lastrow)-ROW(PLE.firstrow))),0,
           IF(OFFSET(PLE!$G$15,$M465-$A$15,CH$13)="",10^12,OFFSET(PLE!$G$15,$M465-$A$15,CH$13)))</f>
        <v>1000000000000</v>
      </c>
      <c r="CI465" s="172">
        <f ca="1">IF(OR($D465&lt;&gt;"Serviço",AND(AUTOEVENTO="Manual",$M465=$A$15),$M465&gt;(ROW(PLE.lastrow)-ROW(PLE.firstrow))),0,
           IF(OFFSET(PLE!$G$15,$M465-$A$15,CI$13)="",10^12,OFFSET(PLE!$G$15,$M465-$A$15,CI$13)))</f>
        <v>1000000000000</v>
      </c>
      <c r="CJ465" s="172">
        <f ca="1">IF(OR($D465&lt;&gt;"Serviço",AND(AUTOEVENTO="Manual",$M465=$A$15),$M465&gt;(ROW(PLE.lastrow)-ROW(PLE.firstrow))),0,
           IF(OFFSET(PLE!$G$15,$M465-$A$15,CJ$13)="",10^12,OFFSET(PLE!$G$15,$M465-$A$15,CJ$13)))</f>
        <v>1000000000000</v>
      </c>
      <c r="CK465" s="172">
        <f ca="1">IF(OR($D465&lt;&gt;"Serviço",AND(AUTOEVENTO="Manual",$M465=$A$15),$M465&gt;(ROW(PLE.lastrow)-ROW(PLE.firstrow))),0,
           IF(OFFSET(PLE!$G$15,$M465-$A$15,CK$13)="",10^12,OFFSET(PLE!$G$15,$M465-$A$15,CK$13)))</f>
        <v>1000000000000</v>
      </c>
      <c r="CL465" s="172">
        <f ca="1">IF(OR($D465&lt;&gt;"Serviço",AND(AUTOEVENTO="Manual",$M465=$A$15),$M465&gt;(ROW(PLE.lastrow)-ROW(PLE.firstrow))),0,
           IF(OFFSET(PLE!$G$15,$M465-$A$15,CL$13)="",10^12,OFFSET(PLE!$G$15,$M465-$A$15,CL$13)))</f>
        <v>1000000000000</v>
      </c>
      <c r="CM465" s="172">
        <f ca="1">IF(OR($D465&lt;&gt;"Serviço",AND(AUTOEVENTO="Manual",$M465=$A$15),$M465&gt;(ROW(PLE.lastrow)-ROW(PLE.firstrow))),0,
           IF(OFFSET(PLE!$G$15,$M465-$A$15,CM$13)="",10^12,OFFSET(PLE!$G$15,$M465-$A$15,CM$13)))</f>
        <v>1000000000000</v>
      </c>
    </row>
    <row r="466" spans="1:91" ht="38.25" x14ac:dyDescent="0.2">
      <c r="A466" s="7">
        <f t="shared" ca="1" si="16"/>
        <v>8</v>
      </c>
      <c r="B466" s="7" t="str">
        <f ca="1">OFFSET(ORÇAMENTO!C$15,ROW(B466)-ROW(B$15),0)</f>
        <v>S</v>
      </c>
      <c r="C466" s="7" t="str">
        <f ca="1">OFFSET(ORÇAMENTO!L$15,ROW(C466)-ROW(C$15),0)</f>
        <v>F</v>
      </c>
      <c r="D466" s="116" t="str">
        <f ca="1">OFFSET(ORÇAMENTO!N$15,ROW(D466)-ROW(D$15),0)</f>
        <v>Serviço</v>
      </c>
      <c r="E466" s="117" t="str">
        <f ca="1">OFFSET(ORÇAMENTO!O$15,ROW(E466)-ROW(E$15),0)</f>
        <v>1.9.5.0.4.</v>
      </c>
      <c r="F466" s="163" t="str">
        <f ca="1">OFFSET(ORÇAMENTO!R$15,ROW(F466)-ROW(F$15),0)</f>
        <v>FORNECIMENTO E INSTALAÇÃO DE NOBREAK 1200VA 6 TOMADAS BIVOLT- BASEADO EM IOPES (160866)</v>
      </c>
      <c r="G466" s="164" t="str">
        <f ca="1">IF($D466&lt;&gt;"Serviço","",OFFSET(ORÇAMENTO!S$15,ROW(G466)-ROW(G$15),0))</f>
        <v>UN</v>
      </c>
      <c r="H466" s="122" cm="1">
        <f t="array" aca="1" ref="H466" ca="1">IF($D466&lt;&gt;"Serviço",0,IF(ACOMPANHAMENTO="BM",ROUND(OFFSET(ORÇAMENTO!AJ$15,ROW(H466)-ROW(H$15),0),15-13*ORÇAMENTO!$AF$7),SUMPRODUCT(($Q$1:$AI$1=1)*ROUND($Q466:$AI466,15-13*ORÇAMENTO!$AF$7))))</f>
        <v>3</v>
      </c>
      <c r="I466" s="468" t="s">
        <v>1432</v>
      </c>
      <c r="J466" s="640" t="str" cm="1">
        <f t="array" aca="1" ref="J466" ca="1">IF(OR(B466&lt;&gt;"S",CÁLCULO.FrentesPreenchidas=0),"",IF(AND(ACOMPANHAMENTO="PLE",AUTOEVENTO="Manual",OR(H466&gt;0,ORÇAMENTO!AC466="QUANT."),OR(K466="",M466=0,N466="")),"►E",IF(AND(ACOMPANHAMENTO="PLE",ORÇAMENTO!AC466="QUANT."),"►Q",IF(AND(ACOMPANHAMENTO="PLE",H466&lt;&gt;SUMPRODUCT(($Q$1:$AI$1=1)*ROUND(Q466:AI466,15))),"►S",IF(AND(COUNTIF($P$11:$AI$11,"▼")=0,H466&gt;0,I466=""),"◄M","")))))</f>
        <v/>
      </c>
      <c r="K466" s="641" t="s">
        <v>1392</v>
      </c>
      <c r="L466" s="165" t="s">
        <v>764</v>
      </c>
      <c r="M466" s="166">
        <f ca="1">IF($D466&lt;&gt;"Serviço","",
          IF(AUTOEVENTO="manual",$A466,
                IF(ISERROR(MATCH($A466,$A$15:OFFSET($A466,-1,0),0)),MAX($M$15:OFFSET(M466,-1,0))+1,
                      INDEX($M$15:OFFSET(M466,-1,0),MATCH($A466,$A$15:OFFSET($A466,-1,0),0)))))</f>
        <v>8</v>
      </c>
      <c r="N466" s="167" t="str">
        <f ca="1">IF($D466&lt;&gt;"Serviço","",
         IF(AUTOEVENTO="Manual",
                IF($A466=0,"&lt;-- defina o número do agrupador",
                       OFFSET(EVENTOS!$D$15,$A466-$A$15,0)),
                OFFSET($F$15,$A466,0)))</f>
        <v>CFTV</v>
      </c>
      <c r="O466" s="168"/>
      <c r="Q466" s="168"/>
      <c r="R466" s="169"/>
      <c r="S466" s="169"/>
      <c r="T466" s="169"/>
      <c r="U466" s="169"/>
      <c r="V466" s="169"/>
      <c r="W466" s="169"/>
      <c r="X466" s="169"/>
      <c r="Y466" s="169">
        <v>3</v>
      </c>
      <c r="Z466" s="170"/>
      <c r="AA466" s="169"/>
      <c r="AB466" s="169"/>
      <c r="AC466" s="169"/>
      <c r="AD466" s="169"/>
      <c r="AE466" s="169"/>
      <c r="AF466" s="169"/>
      <c r="AG466" s="169"/>
      <c r="AH466" s="170"/>
      <c r="AJ466" s="453">
        <f ca="1">IF(AND($D466="Serviço",AJ$12&lt;&gt;0,$H466&gt;0,OR(AUTOEVENTO&lt;&gt;"manual",$M466&lt;&gt;$A$15)),
        IF(Import.TipoArredondamento&lt;&gt;"TransfereGOV",
              ROUND(OFFSET($P466,0,AJ$13),15-13*ORÇAMENTO!$AF$7)/$H466*OFFSET(ORÇAMENTO!$X$15,ROW(AJ466)-ROW(AJ$15),0),
              ROUND(ROUND(OFFSET($P466,0,AJ$13),15-13*ORÇAMENTO!$AF$7)*OFFSET(ORÇAMENTO!$W$15,ROW(AJ466)-ROW(AJ$15),0),15-13*ORÇAMENTO!$AF$11)),
         0)</f>
        <v>0</v>
      </c>
      <c r="AK466" s="453">
        <f ca="1">IF(AND($D466="Serviço",AK$12&lt;&gt;0,$H466&gt;0,OR(AUTOEVENTO&lt;&gt;"manual",$M466&lt;&gt;$A$15)),
        IF(Import.TipoArredondamento&lt;&gt;"TransfereGOV",
              ROUND(OFFSET($P466,0,AK$13),15-13*ORÇAMENTO!$AF$7)/$H466*OFFSET(ORÇAMENTO!$X$15,ROW(AK466)-ROW(AK$15),0),
              ROUND(ROUND(OFFSET($P466,0,AK$13),15-13*ORÇAMENTO!$AF$7)*OFFSET(ORÇAMENTO!$W$15,ROW(AK466)-ROW(AK$15),0),15-13*ORÇAMENTO!$AF$11)),
         0)</f>
        <v>0</v>
      </c>
      <c r="AL466" s="453">
        <f ca="1">IF(AND($D466="Serviço",AL$12&lt;&gt;0,$H466&gt;0,OR(AUTOEVENTO&lt;&gt;"manual",$M466&lt;&gt;$A$15)),
        IF(Import.TipoArredondamento&lt;&gt;"TransfereGOV",
              ROUND(OFFSET($P466,0,AL$13),15-13*ORÇAMENTO!$AF$7)/$H466*OFFSET(ORÇAMENTO!$X$15,ROW(AL466)-ROW(AL$15),0),
              ROUND(ROUND(OFFSET($P466,0,AL$13),15-13*ORÇAMENTO!$AF$7)*OFFSET(ORÇAMENTO!$W$15,ROW(AL466)-ROW(AL$15),0),15-13*ORÇAMENTO!$AF$11)),
         0)</f>
        <v>0</v>
      </c>
      <c r="AM466" s="453">
        <f ca="1">IF(AND($D466="Serviço",AM$12&lt;&gt;0,$H466&gt;0,OR(AUTOEVENTO&lt;&gt;"manual",$M466&lt;&gt;$A$15)),
        IF(Import.TipoArredondamento&lt;&gt;"TransfereGOV",
              ROUND(OFFSET($P466,0,AM$13),15-13*ORÇAMENTO!$AF$7)/$H466*OFFSET(ORÇAMENTO!$X$15,ROW(AM466)-ROW(AM$15),0),
              ROUND(ROUND(OFFSET($P466,0,AM$13),15-13*ORÇAMENTO!$AF$7)*OFFSET(ORÇAMENTO!$W$15,ROW(AM466)-ROW(AM$15),0),15-13*ORÇAMENTO!$AF$11)),
         0)</f>
        <v>0</v>
      </c>
      <c r="AN466" s="453">
        <f ca="1">IF(AND($D466="Serviço",AN$12&lt;&gt;0,$H466&gt;0,OR(AUTOEVENTO&lt;&gt;"manual",$M466&lt;&gt;$A$15)),
        IF(Import.TipoArredondamento&lt;&gt;"TransfereGOV",
              ROUND(OFFSET($P466,0,AN$13),15-13*ORÇAMENTO!$AF$7)/$H466*OFFSET(ORÇAMENTO!$X$15,ROW(AN466)-ROW(AN$15),0),
              ROUND(ROUND(OFFSET($P466,0,AN$13),15-13*ORÇAMENTO!$AF$7)*OFFSET(ORÇAMENTO!$W$15,ROW(AN466)-ROW(AN$15),0),15-13*ORÇAMENTO!$AF$11)),
         0)</f>
        <v>0</v>
      </c>
      <c r="AO466" s="453">
        <f ca="1">IF(AND($D466="Serviço",AO$12&lt;&gt;0,$H466&gt;0,OR(AUTOEVENTO&lt;&gt;"manual",$M466&lt;&gt;$A$15)),
        IF(Import.TipoArredondamento&lt;&gt;"TransfereGOV",
              ROUND(OFFSET($P466,0,AO$13),15-13*ORÇAMENTO!$AF$7)/$H466*OFFSET(ORÇAMENTO!$X$15,ROW(AO466)-ROW(AO$15),0),
              ROUND(ROUND(OFFSET($P466,0,AO$13),15-13*ORÇAMENTO!$AF$7)*OFFSET(ORÇAMENTO!$W$15,ROW(AO466)-ROW(AO$15),0),15-13*ORÇAMENTO!$AF$11)),
         0)</f>
        <v>0</v>
      </c>
      <c r="AP466" s="453">
        <f ca="1">IF(AND($D466="Serviço",AP$12&lt;&gt;0,$H466&gt;0,OR(AUTOEVENTO&lt;&gt;"manual",$M466&lt;&gt;$A$15)),
        IF(Import.TipoArredondamento&lt;&gt;"TransfereGOV",
              ROUND(OFFSET($P466,0,AP$13),15-13*ORÇAMENTO!$AF$7)/$H466*OFFSET(ORÇAMENTO!$X$15,ROW(AP466)-ROW(AP$15),0),
              ROUND(ROUND(OFFSET($P466,0,AP$13),15-13*ORÇAMENTO!$AF$7)*OFFSET(ORÇAMENTO!$W$15,ROW(AP466)-ROW(AP$15),0),15-13*ORÇAMENTO!$AF$11)),
         0)</f>
        <v>0</v>
      </c>
      <c r="AQ466" s="453">
        <f ca="1">IF(AND($D466="Serviço",AQ$12&lt;&gt;0,$H466&gt;0,OR(AUTOEVENTO&lt;&gt;"manual",$M466&lt;&gt;$A$15)),
        IF(Import.TipoArredondamento&lt;&gt;"TransfereGOV",
              ROUND(OFFSET($P466,0,AQ$13),15-13*ORÇAMENTO!$AF$7)/$H466*OFFSET(ORÇAMENTO!$X$15,ROW(AQ466)-ROW(AQ$15),0),
              ROUND(ROUND(OFFSET($P466,0,AQ$13),15-13*ORÇAMENTO!$AF$7)*OFFSET(ORÇAMENTO!$W$15,ROW(AQ466)-ROW(AQ$15),0),15-13*ORÇAMENTO!$AF$11)),
         0)</f>
        <v>0</v>
      </c>
      <c r="AR466" s="453">
        <f ca="1">IF(AND($D466="Serviço",AR$12&lt;&gt;0,$H466&gt;0,OR(AUTOEVENTO&lt;&gt;"manual",$M466&lt;&gt;$A$15)),
        IF(Import.TipoArredondamento&lt;&gt;"TransfereGOV",
              ROUND(OFFSET($P466,0,AR$13),15-13*ORÇAMENTO!$AF$7)/$H466*OFFSET(ORÇAMENTO!$X$15,ROW(AR466)-ROW(AR$15),0),
              ROUND(ROUND(OFFSET($P466,0,AR$13),15-13*ORÇAMENTO!$AF$7)*OFFSET(ORÇAMENTO!$W$15,ROW(AR466)-ROW(AR$15),0),15-13*ORÇAMENTO!$AF$11)),
         0)</f>
        <v>0</v>
      </c>
      <c r="AS466" s="453">
        <f ca="1">IF(AND($D466="Serviço",AS$12&lt;&gt;0,$H466&gt;0,OR(AUTOEVENTO&lt;&gt;"manual",$M466&lt;&gt;$A$15)),
        IF(Import.TipoArredondamento&lt;&gt;"TransfereGOV",
              ROUND(OFFSET($P466,0,AS$13),15-13*ORÇAMENTO!$AF$7)/$H466*OFFSET(ORÇAMENTO!$X$15,ROW(AS466)-ROW(AS$15),0),
              ROUND(ROUND(OFFSET($P466,0,AS$13),15-13*ORÇAMENTO!$AF$7)*OFFSET(ORÇAMENTO!$W$15,ROW(AS466)-ROW(AS$15),0),15-13*ORÇAMENTO!$AF$11)),
         0)</f>
        <v>0</v>
      </c>
      <c r="AT466" s="453">
        <f ca="1">IF(AND($D466="Serviço",AT$12&lt;&gt;0,$H466&gt;0,OR(AUTOEVENTO&lt;&gt;"manual",$M466&lt;&gt;$A$15)),
        IF(Import.TipoArredondamento&lt;&gt;"TransfereGOV",
              ROUND(OFFSET($P466,0,AT$13),15-13*ORÇAMENTO!$AF$7)/$H466*OFFSET(ORÇAMENTO!$X$15,ROW(AT466)-ROW(AT$15),0),
              ROUND(ROUND(OFFSET($P466,0,AT$13),15-13*ORÇAMENTO!$AF$7)*OFFSET(ORÇAMENTO!$W$15,ROW(AT466)-ROW(AT$15),0),15-13*ORÇAMENTO!$AF$11)),
         0)</f>
        <v>0</v>
      </c>
      <c r="AU466" s="453">
        <f ca="1">IF(AND($D466="Serviço",AU$12&lt;&gt;0,$H466&gt;0,OR(AUTOEVENTO&lt;&gt;"manual",$M466&lt;&gt;$A$15)),
        IF(Import.TipoArredondamento&lt;&gt;"TransfereGOV",
              ROUND(OFFSET($P466,0,AU$13),15-13*ORÇAMENTO!$AF$7)/$H466*OFFSET(ORÇAMENTO!$X$15,ROW(AU466)-ROW(AU$15),0),
              ROUND(ROUND(OFFSET($P466,0,AU$13),15-13*ORÇAMENTO!$AF$7)*OFFSET(ORÇAMENTO!$W$15,ROW(AU466)-ROW(AU$15),0),15-13*ORÇAMENTO!$AF$11)),
         0)</f>
        <v>0</v>
      </c>
      <c r="AV466" s="453">
        <f ca="1">IF(AND($D466="Serviço",AV$12&lt;&gt;0,$H466&gt;0,OR(AUTOEVENTO&lt;&gt;"manual",$M466&lt;&gt;$A$15)),
        IF(Import.TipoArredondamento&lt;&gt;"TransfereGOV",
              ROUND(OFFSET($P466,0,AV$13),15-13*ORÇAMENTO!$AF$7)/$H466*OFFSET(ORÇAMENTO!$X$15,ROW(AV466)-ROW(AV$15),0),
              ROUND(ROUND(OFFSET($P466,0,AV$13),15-13*ORÇAMENTO!$AF$7)*OFFSET(ORÇAMENTO!$W$15,ROW(AV466)-ROW(AV$15),0),15-13*ORÇAMENTO!$AF$11)),
         0)</f>
        <v>0</v>
      </c>
      <c r="AW466" s="453">
        <f ca="1">IF(AND($D466="Serviço",AW$12&lt;&gt;0,$H466&gt;0,OR(AUTOEVENTO&lt;&gt;"manual",$M466&lt;&gt;$A$15)),
        IF(Import.TipoArredondamento&lt;&gt;"TransfereGOV",
              ROUND(OFFSET($P466,0,AW$13),15-13*ORÇAMENTO!$AF$7)/$H466*OFFSET(ORÇAMENTO!$X$15,ROW(AW466)-ROW(AW$15),0),
              ROUND(ROUND(OFFSET($P466,0,AW$13),15-13*ORÇAMENTO!$AF$7)*OFFSET(ORÇAMENTO!$W$15,ROW(AW466)-ROW(AW$15),0),15-13*ORÇAMENTO!$AF$11)),
         0)</f>
        <v>0</v>
      </c>
      <c r="AX466" s="453">
        <f ca="1">IF(AND($D466="Serviço",AX$12&lt;&gt;0,$H466&gt;0,OR(AUTOEVENTO&lt;&gt;"manual",$M466&lt;&gt;$A$15)),
        IF(Import.TipoArredondamento&lt;&gt;"TransfereGOV",
              ROUND(OFFSET($P466,0,AX$13),15-13*ORÇAMENTO!$AF$7)/$H466*OFFSET(ORÇAMENTO!$X$15,ROW(AX466)-ROW(AX$15),0),
              ROUND(ROUND(OFFSET($P466,0,AX$13),15-13*ORÇAMENTO!$AF$7)*OFFSET(ORÇAMENTO!$W$15,ROW(AX466)-ROW(AX$15),0),15-13*ORÇAMENTO!$AF$11)),
         0)</f>
        <v>0</v>
      </c>
      <c r="AY466" s="453">
        <f ca="1">IF(AND($D466="Serviço",AY$12&lt;&gt;0,$H466&gt;0,OR(AUTOEVENTO&lt;&gt;"manual",$M466&lt;&gt;$A$15)),
        IF(Import.TipoArredondamento&lt;&gt;"TransfereGOV",
              ROUND(OFFSET($P466,0,AY$13),15-13*ORÇAMENTO!$AF$7)/$H466*OFFSET(ORÇAMENTO!$X$15,ROW(AY466)-ROW(AY$15),0),
              ROUND(ROUND(OFFSET($P466,0,AY$13),15-13*ORÇAMENTO!$AF$7)*OFFSET(ORÇAMENTO!$W$15,ROW(AY466)-ROW(AY$15),0),15-13*ORÇAMENTO!$AF$11)),
         0)</f>
        <v>0</v>
      </c>
      <c r="AZ466" s="453">
        <f ca="1">IF(AND($D466="Serviço",AZ$12&lt;&gt;0,$H466&gt;0,OR(AUTOEVENTO&lt;&gt;"manual",$M466&lt;&gt;$A$15)),
        IF(Import.TipoArredondamento&lt;&gt;"TransfereGOV",
              ROUND(OFFSET($P466,0,AZ$13),15-13*ORÇAMENTO!$AF$7)/$H466*OFFSET(ORÇAMENTO!$X$15,ROW(AZ466)-ROW(AZ$15),0),
              ROUND(ROUND(OFFSET($P466,0,AZ$13),15-13*ORÇAMENTO!$AF$7)*OFFSET(ORÇAMENTO!$W$15,ROW(AZ466)-ROW(AZ$15),0),15-13*ORÇAMENTO!$AF$11)),
         0)</f>
        <v>0</v>
      </c>
      <c r="BA466" s="453">
        <f ca="1">IF(AND($D466="Serviço",BA$12&lt;&gt;0,$H466&gt;0,OR(AUTOEVENTO&lt;&gt;"manual",$M466&lt;&gt;$A$15)),
        IF(Import.TipoArredondamento&lt;&gt;"TransfereGOV",
              ROUND(OFFSET($P466,0,BA$13),15-13*ORÇAMENTO!$AF$7)/$H466*OFFSET(ORÇAMENTO!$X$15,ROW(BA466)-ROW(BA$15),0),
              ROUND(ROUND(OFFSET($P466,0,BA$13),15-13*ORÇAMENTO!$AF$7)*OFFSET(ORÇAMENTO!$W$15,ROW(BA466)-ROW(BA$15),0),15-13*ORÇAMENTO!$AF$11)),
         0)</f>
        <v>0</v>
      </c>
      <c r="BC466" s="171">
        <f ca="1">IF(OR($D466&lt;&gt;"Serviço",AND(AUTOEVENTO="Manual",$M466=$A$15)),0,
         IF(OFFSET(CRONOPLE!$F$15,$M466-$A$15,BC$13)=0,10^12,OFFSET(CRONOPLE!$F$15,$M466-$A$15,BC$13)))</f>
        <v>1</v>
      </c>
      <c r="BD466" s="171">
        <f ca="1">IF(OR($D466&lt;&gt;"Serviço",AND(AUTOEVENTO="Manual",$M466=$A$15)),0,
         IF(OFFSET(CRONOPLE!$F$15,$M466-$A$15,BD$13)=0,10^12,OFFSET(CRONOPLE!$F$15,$M466-$A$15,BD$13)))</f>
        <v>2</v>
      </c>
      <c r="BE466" s="171">
        <f ca="1">IF(OR($D466&lt;&gt;"Serviço",AND(AUTOEVENTO="Manual",$M466=$A$15)),0,
         IF(OFFSET(CRONOPLE!$F$15,$M466-$A$15,BE$13)=0,10^12,OFFSET(CRONOPLE!$F$15,$M466-$A$15,BE$13)))</f>
        <v>3</v>
      </c>
      <c r="BF466" s="171">
        <f ca="1">IF(OR($D466&lt;&gt;"Serviço",AND(AUTOEVENTO="Manual",$M466=$A$15)),0,
         IF(OFFSET(CRONOPLE!$F$15,$M466-$A$15,BF$13)=0,10^12,OFFSET(CRONOPLE!$F$15,$M466-$A$15,BF$13)))</f>
        <v>4</v>
      </c>
      <c r="BG466" s="171">
        <f ca="1">IF(OR($D466&lt;&gt;"Serviço",AND(AUTOEVENTO="Manual",$M466=$A$15)),0,
         IF(OFFSET(CRONOPLE!$F$15,$M466-$A$15,BG$13)=0,10^12,OFFSET(CRONOPLE!$F$15,$M466-$A$15,BG$13)))</f>
        <v>5</v>
      </c>
      <c r="BH466" s="171">
        <f ca="1">IF(OR($D466&lt;&gt;"Serviço",AND(AUTOEVENTO="Manual",$M466=$A$15)),0,
         IF(OFFSET(CRONOPLE!$F$15,$M466-$A$15,BH$13)=0,10^12,OFFSET(CRONOPLE!$F$15,$M466-$A$15,BH$13)))</f>
        <v>6</v>
      </c>
      <c r="BI466" s="171">
        <f ca="1">IF(OR($D466&lt;&gt;"Serviço",AND(AUTOEVENTO="Manual",$M466=$A$15)),0,
         IF(OFFSET(CRONOPLE!$F$15,$M466-$A$15,BI$13)=0,10^12,OFFSET(CRONOPLE!$F$15,$M466-$A$15,BI$13)))</f>
        <v>7</v>
      </c>
      <c r="BJ466" s="171">
        <f ca="1">IF(OR($D466&lt;&gt;"Serviço",AND(AUTOEVENTO="Manual",$M466=$A$15)),0,
         IF(OFFSET(CRONOPLE!$F$15,$M466-$A$15,BJ$13)=0,10^12,OFFSET(CRONOPLE!$F$15,$M466-$A$15,BJ$13)))</f>
        <v>8</v>
      </c>
      <c r="BK466" s="171">
        <f ca="1">IF(OR($D466&lt;&gt;"Serviço",AND(AUTOEVENTO="Manual",$M466=$A$15)),0,
         IF(OFFSET(CRONOPLE!$F$15,$M466-$A$15,BK$13)=0,10^12,OFFSET(CRONOPLE!$F$15,$M466-$A$15,BK$13)))</f>
        <v>9</v>
      </c>
      <c r="BL466" s="171">
        <f ca="1">IF(OR($D466&lt;&gt;"Serviço",AND(AUTOEVENTO="Manual",$M466=$A$15)),0,
         IF(OFFSET(CRONOPLE!$F$15,$M466-$A$15,BL$13)=0,10^12,OFFSET(CRONOPLE!$F$15,$M466-$A$15,BL$13)))</f>
        <v>1000000000000</v>
      </c>
      <c r="BM466" s="171">
        <f ca="1">IF(OR($D466&lt;&gt;"Serviço",AND(AUTOEVENTO="Manual",$M466=$A$15)),0,
         IF(OFFSET(CRONOPLE!$F$15,$M466-$A$15,BM$13)=0,10^12,OFFSET(CRONOPLE!$F$15,$M466-$A$15,BM$13)))</f>
        <v>1000000000000</v>
      </c>
      <c r="BN466" s="171">
        <f ca="1">IF(OR($D466&lt;&gt;"Serviço",AND(AUTOEVENTO="Manual",$M466=$A$15)),0,
         IF(OFFSET(CRONOPLE!$F$15,$M466-$A$15,BN$13)=0,10^12,OFFSET(CRONOPLE!$F$15,$M466-$A$15,BN$13)))</f>
        <v>1000000000000</v>
      </c>
      <c r="BO466" s="171">
        <f ca="1">IF(OR($D466&lt;&gt;"Serviço",AND(AUTOEVENTO="Manual",$M466=$A$15)),0,
         IF(OFFSET(CRONOPLE!$F$15,$M466-$A$15,BO$13)=0,10^12,OFFSET(CRONOPLE!$F$15,$M466-$A$15,BO$13)))</f>
        <v>1000000000000</v>
      </c>
      <c r="BP466" s="171">
        <f ca="1">IF(OR($D466&lt;&gt;"Serviço",AND(AUTOEVENTO="Manual",$M466=$A$15)),0,
         IF(OFFSET(CRONOPLE!$F$15,$M466-$A$15,BP$13)=0,10^12,OFFSET(CRONOPLE!$F$15,$M466-$A$15,BP$13)))</f>
        <v>1000000000000</v>
      </c>
      <c r="BQ466" s="171">
        <f ca="1">IF(OR($D466&lt;&gt;"Serviço",AND(AUTOEVENTO="Manual",$M466=$A$15)),0,
         IF(OFFSET(CRONOPLE!$F$15,$M466-$A$15,BQ$13)=0,10^12,OFFSET(CRONOPLE!$F$15,$M466-$A$15,BQ$13)))</f>
        <v>1000000000000</v>
      </c>
      <c r="BR466" s="171">
        <f ca="1">IF(OR($D466&lt;&gt;"Serviço",AND(AUTOEVENTO="Manual",$M466=$A$15)),0,
         IF(OFFSET(CRONOPLE!$F$15,$M466-$A$15,BR$13)=0,10^12,OFFSET(CRONOPLE!$F$15,$M466-$A$15,BR$13)))</f>
        <v>1000000000000</v>
      </c>
      <c r="BS466" s="171">
        <f ca="1">IF(OR($D466&lt;&gt;"Serviço",AND(AUTOEVENTO="Manual",$M466=$A$15)),0,
         IF(OFFSET(CRONOPLE!$F$15,$M466-$A$15,BS$13)=0,10^12,OFFSET(CRONOPLE!$F$15,$M466-$A$15,BS$13)))</f>
        <v>1000000000000</v>
      </c>
      <c r="BT466" s="171">
        <f ca="1">IF(OR($D466&lt;&gt;"Serviço",AND(AUTOEVENTO="Manual",$M466=$A$15)),0,
         IF(OFFSET(CRONOPLE!$F$15,$M466-$A$15,BT$13)=0,10^12,OFFSET(CRONOPLE!$F$15,$M466-$A$15,BT$13)))</f>
        <v>1000000000000</v>
      </c>
      <c r="BV466" s="172">
        <f ca="1">IF(OR($D466&lt;&gt;"Serviço",AND(AUTOEVENTO="Manual",$M466=$A$15),$M466&gt;(ROW(PLE.lastrow)-ROW(PLE.firstrow))),0,
           IF(OFFSET(PLE!$G$15,$M466-$A$15,BV$13)="",10^12,OFFSET(PLE!$G$15,$M466-$A$15,BV$13)))</f>
        <v>1000000000000</v>
      </c>
      <c r="BW466" s="172">
        <f ca="1">IF(OR($D466&lt;&gt;"Serviço",AND(AUTOEVENTO="Manual",$M466=$A$15),$M466&gt;(ROW(PLE.lastrow)-ROW(PLE.firstrow))),0,
           IF(OFFSET(PLE!$G$15,$M466-$A$15,BW$13)="",10^12,OFFSET(PLE!$G$15,$M466-$A$15,BW$13)))</f>
        <v>1000000000000</v>
      </c>
      <c r="BX466" s="172">
        <f ca="1">IF(OR($D466&lt;&gt;"Serviço",AND(AUTOEVENTO="Manual",$M466=$A$15),$M466&gt;(ROW(PLE.lastrow)-ROW(PLE.firstrow))),0,
           IF(OFFSET(PLE!$G$15,$M466-$A$15,BX$13)="",10^12,OFFSET(PLE!$G$15,$M466-$A$15,BX$13)))</f>
        <v>1000000000000</v>
      </c>
      <c r="BY466" s="172">
        <f ca="1">IF(OR($D466&lt;&gt;"Serviço",AND(AUTOEVENTO="Manual",$M466=$A$15),$M466&gt;(ROW(PLE.lastrow)-ROW(PLE.firstrow))),0,
           IF(OFFSET(PLE!$G$15,$M466-$A$15,BY$13)="",10^12,OFFSET(PLE!$G$15,$M466-$A$15,BY$13)))</f>
        <v>1000000000000</v>
      </c>
      <c r="BZ466" s="172">
        <f ca="1">IF(OR($D466&lt;&gt;"Serviço",AND(AUTOEVENTO="Manual",$M466=$A$15),$M466&gt;(ROW(PLE.lastrow)-ROW(PLE.firstrow))),0,
           IF(OFFSET(PLE!$G$15,$M466-$A$15,BZ$13)="",10^12,OFFSET(PLE!$G$15,$M466-$A$15,BZ$13)))</f>
        <v>1000000000000</v>
      </c>
      <c r="CA466" s="172">
        <f ca="1">IF(OR($D466&lt;&gt;"Serviço",AND(AUTOEVENTO="Manual",$M466=$A$15),$M466&gt;(ROW(PLE.lastrow)-ROW(PLE.firstrow))),0,
           IF(OFFSET(PLE!$G$15,$M466-$A$15,CA$13)="",10^12,OFFSET(PLE!$G$15,$M466-$A$15,CA$13)))</f>
        <v>1000000000000</v>
      </c>
      <c r="CB466" s="172">
        <f ca="1">IF(OR($D466&lt;&gt;"Serviço",AND(AUTOEVENTO="Manual",$M466=$A$15),$M466&gt;(ROW(PLE.lastrow)-ROW(PLE.firstrow))),0,
           IF(OFFSET(PLE!$G$15,$M466-$A$15,CB$13)="",10^12,OFFSET(PLE!$G$15,$M466-$A$15,CB$13)))</f>
        <v>1000000000000</v>
      </c>
      <c r="CC466" s="172">
        <f ca="1">IF(OR($D466&lt;&gt;"Serviço",AND(AUTOEVENTO="Manual",$M466=$A$15),$M466&gt;(ROW(PLE.lastrow)-ROW(PLE.firstrow))),0,
           IF(OFFSET(PLE!$G$15,$M466-$A$15,CC$13)="",10^12,OFFSET(PLE!$G$15,$M466-$A$15,CC$13)))</f>
        <v>1000000000000</v>
      </c>
      <c r="CD466" s="172">
        <f ca="1">IF(OR($D466&lt;&gt;"Serviço",AND(AUTOEVENTO="Manual",$M466=$A$15),$M466&gt;(ROW(PLE.lastrow)-ROW(PLE.firstrow))),0,
           IF(OFFSET(PLE!$G$15,$M466-$A$15,CD$13)="",10^12,OFFSET(PLE!$G$15,$M466-$A$15,CD$13)))</f>
        <v>1000000000000</v>
      </c>
      <c r="CE466" s="172">
        <f ca="1">IF(OR($D466&lt;&gt;"Serviço",AND(AUTOEVENTO="Manual",$M466=$A$15),$M466&gt;(ROW(PLE.lastrow)-ROW(PLE.firstrow))),0,
           IF(OFFSET(PLE!$G$15,$M466-$A$15,CE$13)="",10^12,OFFSET(PLE!$G$15,$M466-$A$15,CE$13)))</f>
        <v>1000000000000</v>
      </c>
      <c r="CF466" s="172">
        <f ca="1">IF(OR($D466&lt;&gt;"Serviço",AND(AUTOEVENTO="Manual",$M466=$A$15),$M466&gt;(ROW(PLE.lastrow)-ROW(PLE.firstrow))),0,
           IF(OFFSET(PLE!$G$15,$M466-$A$15,CF$13)="",10^12,OFFSET(PLE!$G$15,$M466-$A$15,CF$13)))</f>
        <v>1000000000000</v>
      </c>
      <c r="CG466" s="172">
        <f ca="1">IF(OR($D466&lt;&gt;"Serviço",AND(AUTOEVENTO="Manual",$M466=$A$15),$M466&gt;(ROW(PLE.lastrow)-ROW(PLE.firstrow))),0,
           IF(OFFSET(PLE!$G$15,$M466-$A$15,CG$13)="",10^12,OFFSET(PLE!$G$15,$M466-$A$15,CG$13)))</f>
        <v>1000000000000</v>
      </c>
      <c r="CH466" s="172">
        <f ca="1">IF(OR($D466&lt;&gt;"Serviço",AND(AUTOEVENTO="Manual",$M466=$A$15),$M466&gt;(ROW(PLE.lastrow)-ROW(PLE.firstrow))),0,
           IF(OFFSET(PLE!$G$15,$M466-$A$15,CH$13)="",10^12,OFFSET(PLE!$G$15,$M466-$A$15,CH$13)))</f>
        <v>1000000000000</v>
      </c>
      <c r="CI466" s="172">
        <f ca="1">IF(OR($D466&lt;&gt;"Serviço",AND(AUTOEVENTO="Manual",$M466=$A$15),$M466&gt;(ROW(PLE.lastrow)-ROW(PLE.firstrow))),0,
           IF(OFFSET(PLE!$G$15,$M466-$A$15,CI$13)="",10^12,OFFSET(PLE!$G$15,$M466-$A$15,CI$13)))</f>
        <v>1000000000000</v>
      </c>
      <c r="CJ466" s="172">
        <f ca="1">IF(OR($D466&lt;&gt;"Serviço",AND(AUTOEVENTO="Manual",$M466=$A$15),$M466&gt;(ROW(PLE.lastrow)-ROW(PLE.firstrow))),0,
           IF(OFFSET(PLE!$G$15,$M466-$A$15,CJ$13)="",10^12,OFFSET(PLE!$G$15,$M466-$A$15,CJ$13)))</f>
        <v>1000000000000</v>
      </c>
      <c r="CK466" s="172">
        <f ca="1">IF(OR($D466&lt;&gt;"Serviço",AND(AUTOEVENTO="Manual",$M466=$A$15),$M466&gt;(ROW(PLE.lastrow)-ROW(PLE.firstrow))),0,
           IF(OFFSET(PLE!$G$15,$M466-$A$15,CK$13)="",10^12,OFFSET(PLE!$G$15,$M466-$A$15,CK$13)))</f>
        <v>1000000000000</v>
      </c>
      <c r="CL466" s="172">
        <f ca="1">IF(OR($D466&lt;&gt;"Serviço",AND(AUTOEVENTO="Manual",$M466=$A$15),$M466&gt;(ROW(PLE.lastrow)-ROW(PLE.firstrow))),0,
           IF(OFFSET(PLE!$G$15,$M466-$A$15,CL$13)="",10^12,OFFSET(PLE!$G$15,$M466-$A$15,CL$13)))</f>
        <v>1000000000000</v>
      </c>
      <c r="CM466" s="172">
        <f ca="1">IF(OR($D466&lt;&gt;"Serviço",AND(AUTOEVENTO="Manual",$M466=$A$15),$M466&gt;(ROW(PLE.lastrow)-ROW(PLE.firstrow))),0,
           IF(OFFSET(PLE!$G$15,$M466-$A$15,CM$13)="",10^12,OFFSET(PLE!$G$15,$M466-$A$15,CM$13)))</f>
        <v>1000000000000</v>
      </c>
    </row>
    <row r="467" spans="1:91" ht="38.25" x14ac:dyDescent="0.2">
      <c r="A467" s="7">
        <f t="shared" ca="1" si="16"/>
        <v>8</v>
      </c>
      <c r="B467" s="7" t="str">
        <f ca="1">OFFSET(ORÇAMENTO!C$15,ROW(B467)-ROW(B$15),0)</f>
        <v>S</v>
      </c>
      <c r="C467" s="7" t="str">
        <f ca="1">OFFSET(ORÇAMENTO!L$15,ROW(C467)-ROW(C$15),0)</f>
        <v>F</v>
      </c>
      <c r="D467" s="116" t="str">
        <f ca="1">OFFSET(ORÇAMENTO!N$15,ROW(D467)-ROW(D$15),0)</f>
        <v>Serviço</v>
      </c>
      <c r="E467" s="117" t="str">
        <f ca="1">OFFSET(ORÇAMENTO!O$15,ROW(E467)-ROW(E$15),0)</f>
        <v>1.9.5.0.5.</v>
      </c>
      <c r="F467" s="163" t="str">
        <f ca="1">OFFSET(ORÇAMENTO!R$15,ROW(F467)-ROW(F$15),0)</f>
        <v>SWITCH GERENCIAVEL 24 PORTAS GIGA + 4 PORTAS SFP 1000 BASE-X POE S2328G - INTELBRAS OU SIMILAR - BASEADO EM CPOS/CDHU (66.20.225)</v>
      </c>
      <c r="G467" s="164" t="str">
        <f ca="1">IF($D467&lt;&gt;"Serviço","",OFFSET(ORÇAMENTO!S$15,ROW(G467)-ROW(G$15),0))</f>
        <v>UN</v>
      </c>
      <c r="H467" s="122" cm="1">
        <f t="array" aca="1" ref="H467" ca="1">IF($D467&lt;&gt;"Serviço",0,IF(ACOMPANHAMENTO="BM",ROUND(OFFSET(ORÇAMENTO!AJ$15,ROW(H467)-ROW(H$15),0),15-13*ORÇAMENTO!$AF$7),SUMPRODUCT(($Q$1:$AI$1=1)*ROUND($Q467:$AI467,15-13*ORÇAMENTO!$AF$7))))</f>
        <v>2</v>
      </c>
      <c r="I467" s="468" t="s">
        <v>1432</v>
      </c>
      <c r="J467" s="640" t="str" cm="1">
        <f t="array" aca="1" ref="J467" ca="1">IF(OR(B467&lt;&gt;"S",CÁLCULO.FrentesPreenchidas=0),"",IF(AND(ACOMPANHAMENTO="PLE",AUTOEVENTO="Manual",OR(H467&gt;0,ORÇAMENTO!AC467="QUANT."),OR(K467="",M467=0,N467="")),"►E",IF(AND(ACOMPANHAMENTO="PLE",ORÇAMENTO!AC467="QUANT."),"►Q",IF(AND(ACOMPANHAMENTO="PLE",H467&lt;&gt;SUMPRODUCT(($Q$1:$AI$1=1)*ROUND(Q467:AI467,15))),"►S",IF(AND(COUNTIF($P$11:$AI$11,"▼")=0,H467&gt;0,I467=""),"◄M","")))))</f>
        <v/>
      </c>
      <c r="K467" s="641" t="s">
        <v>1392</v>
      </c>
      <c r="L467" s="165" t="s">
        <v>764</v>
      </c>
      <c r="M467" s="166">
        <f ca="1">IF($D467&lt;&gt;"Serviço","",
          IF(AUTOEVENTO="manual",$A467,
                IF(ISERROR(MATCH($A467,$A$15:OFFSET($A467,-1,0),0)),MAX($M$15:OFFSET(M467,-1,0))+1,
                      INDEX($M$15:OFFSET(M467,-1,0),MATCH($A467,$A$15:OFFSET($A467,-1,0),0)))))</f>
        <v>8</v>
      </c>
      <c r="N467" s="167" t="str">
        <f ca="1">IF($D467&lt;&gt;"Serviço","",
         IF(AUTOEVENTO="Manual",
                IF($A467=0,"&lt;-- defina o número do agrupador",
                       OFFSET(EVENTOS!$D$15,$A467-$A$15,0)),
                OFFSET($F$15,$A467,0)))</f>
        <v>CFTV</v>
      </c>
      <c r="O467" s="168"/>
      <c r="Q467" s="168"/>
      <c r="R467" s="169"/>
      <c r="S467" s="169"/>
      <c r="T467" s="169"/>
      <c r="U467" s="169"/>
      <c r="V467" s="169"/>
      <c r="W467" s="169"/>
      <c r="X467" s="169"/>
      <c r="Y467" s="169">
        <v>2</v>
      </c>
      <c r="Z467" s="170"/>
      <c r="AA467" s="169"/>
      <c r="AB467" s="169"/>
      <c r="AC467" s="169"/>
      <c r="AD467" s="169"/>
      <c r="AE467" s="169"/>
      <c r="AF467" s="169"/>
      <c r="AG467" s="169"/>
      <c r="AH467" s="170"/>
      <c r="AJ467" s="453">
        <f ca="1">IF(AND($D467="Serviço",AJ$12&lt;&gt;0,$H467&gt;0,OR(AUTOEVENTO&lt;&gt;"manual",$M467&lt;&gt;$A$15)),
        IF(Import.TipoArredondamento&lt;&gt;"TransfereGOV",
              ROUND(OFFSET($P467,0,AJ$13),15-13*ORÇAMENTO!$AF$7)/$H467*OFFSET(ORÇAMENTO!$X$15,ROW(AJ467)-ROW(AJ$15),0),
              ROUND(ROUND(OFFSET($P467,0,AJ$13),15-13*ORÇAMENTO!$AF$7)*OFFSET(ORÇAMENTO!$W$15,ROW(AJ467)-ROW(AJ$15),0),15-13*ORÇAMENTO!$AF$11)),
         0)</f>
        <v>0</v>
      </c>
      <c r="AK467" s="453">
        <f ca="1">IF(AND($D467="Serviço",AK$12&lt;&gt;0,$H467&gt;0,OR(AUTOEVENTO&lt;&gt;"manual",$M467&lt;&gt;$A$15)),
        IF(Import.TipoArredondamento&lt;&gt;"TransfereGOV",
              ROUND(OFFSET($P467,0,AK$13),15-13*ORÇAMENTO!$AF$7)/$H467*OFFSET(ORÇAMENTO!$X$15,ROW(AK467)-ROW(AK$15),0),
              ROUND(ROUND(OFFSET($P467,0,AK$13),15-13*ORÇAMENTO!$AF$7)*OFFSET(ORÇAMENTO!$W$15,ROW(AK467)-ROW(AK$15),0),15-13*ORÇAMENTO!$AF$11)),
         0)</f>
        <v>0</v>
      </c>
      <c r="AL467" s="453">
        <f ca="1">IF(AND($D467="Serviço",AL$12&lt;&gt;0,$H467&gt;0,OR(AUTOEVENTO&lt;&gt;"manual",$M467&lt;&gt;$A$15)),
        IF(Import.TipoArredondamento&lt;&gt;"TransfereGOV",
              ROUND(OFFSET($P467,0,AL$13),15-13*ORÇAMENTO!$AF$7)/$H467*OFFSET(ORÇAMENTO!$X$15,ROW(AL467)-ROW(AL$15),0),
              ROUND(ROUND(OFFSET($P467,0,AL$13),15-13*ORÇAMENTO!$AF$7)*OFFSET(ORÇAMENTO!$W$15,ROW(AL467)-ROW(AL$15),0),15-13*ORÇAMENTO!$AF$11)),
         0)</f>
        <v>0</v>
      </c>
      <c r="AM467" s="453">
        <f ca="1">IF(AND($D467="Serviço",AM$12&lt;&gt;0,$H467&gt;0,OR(AUTOEVENTO&lt;&gt;"manual",$M467&lt;&gt;$A$15)),
        IF(Import.TipoArredondamento&lt;&gt;"TransfereGOV",
              ROUND(OFFSET($P467,0,AM$13),15-13*ORÇAMENTO!$AF$7)/$H467*OFFSET(ORÇAMENTO!$X$15,ROW(AM467)-ROW(AM$15),0),
              ROUND(ROUND(OFFSET($P467,0,AM$13),15-13*ORÇAMENTO!$AF$7)*OFFSET(ORÇAMENTO!$W$15,ROW(AM467)-ROW(AM$15),0),15-13*ORÇAMENTO!$AF$11)),
         0)</f>
        <v>0</v>
      </c>
      <c r="AN467" s="453">
        <f ca="1">IF(AND($D467="Serviço",AN$12&lt;&gt;0,$H467&gt;0,OR(AUTOEVENTO&lt;&gt;"manual",$M467&lt;&gt;$A$15)),
        IF(Import.TipoArredondamento&lt;&gt;"TransfereGOV",
              ROUND(OFFSET($P467,0,AN$13),15-13*ORÇAMENTO!$AF$7)/$H467*OFFSET(ORÇAMENTO!$X$15,ROW(AN467)-ROW(AN$15),0),
              ROUND(ROUND(OFFSET($P467,0,AN$13),15-13*ORÇAMENTO!$AF$7)*OFFSET(ORÇAMENTO!$W$15,ROW(AN467)-ROW(AN$15),0),15-13*ORÇAMENTO!$AF$11)),
         0)</f>
        <v>0</v>
      </c>
      <c r="AO467" s="453">
        <f ca="1">IF(AND($D467="Serviço",AO$12&lt;&gt;0,$H467&gt;0,OR(AUTOEVENTO&lt;&gt;"manual",$M467&lt;&gt;$A$15)),
        IF(Import.TipoArredondamento&lt;&gt;"TransfereGOV",
              ROUND(OFFSET($P467,0,AO$13),15-13*ORÇAMENTO!$AF$7)/$H467*OFFSET(ORÇAMENTO!$X$15,ROW(AO467)-ROW(AO$15),0),
              ROUND(ROUND(OFFSET($P467,0,AO$13),15-13*ORÇAMENTO!$AF$7)*OFFSET(ORÇAMENTO!$W$15,ROW(AO467)-ROW(AO$15),0),15-13*ORÇAMENTO!$AF$11)),
         0)</f>
        <v>0</v>
      </c>
      <c r="AP467" s="453">
        <f ca="1">IF(AND($D467="Serviço",AP$12&lt;&gt;0,$H467&gt;0,OR(AUTOEVENTO&lt;&gt;"manual",$M467&lt;&gt;$A$15)),
        IF(Import.TipoArredondamento&lt;&gt;"TransfereGOV",
              ROUND(OFFSET($P467,0,AP$13),15-13*ORÇAMENTO!$AF$7)/$H467*OFFSET(ORÇAMENTO!$X$15,ROW(AP467)-ROW(AP$15),0),
              ROUND(ROUND(OFFSET($P467,0,AP$13),15-13*ORÇAMENTO!$AF$7)*OFFSET(ORÇAMENTO!$W$15,ROW(AP467)-ROW(AP$15),0),15-13*ORÇAMENTO!$AF$11)),
         0)</f>
        <v>0</v>
      </c>
      <c r="AQ467" s="453">
        <f ca="1">IF(AND($D467="Serviço",AQ$12&lt;&gt;0,$H467&gt;0,OR(AUTOEVENTO&lt;&gt;"manual",$M467&lt;&gt;$A$15)),
        IF(Import.TipoArredondamento&lt;&gt;"TransfereGOV",
              ROUND(OFFSET($P467,0,AQ$13),15-13*ORÇAMENTO!$AF$7)/$H467*OFFSET(ORÇAMENTO!$X$15,ROW(AQ467)-ROW(AQ$15),0),
              ROUND(ROUND(OFFSET($P467,0,AQ$13),15-13*ORÇAMENTO!$AF$7)*OFFSET(ORÇAMENTO!$W$15,ROW(AQ467)-ROW(AQ$15),0),15-13*ORÇAMENTO!$AF$11)),
         0)</f>
        <v>0</v>
      </c>
      <c r="AR467" s="453">
        <f ca="1">IF(AND($D467="Serviço",AR$12&lt;&gt;0,$H467&gt;0,OR(AUTOEVENTO&lt;&gt;"manual",$M467&lt;&gt;$A$15)),
        IF(Import.TipoArredondamento&lt;&gt;"TransfereGOV",
              ROUND(OFFSET($P467,0,AR$13),15-13*ORÇAMENTO!$AF$7)/$H467*OFFSET(ORÇAMENTO!$X$15,ROW(AR467)-ROW(AR$15),0),
              ROUND(ROUND(OFFSET($P467,0,AR$13),15-13*ORÇAMENTO!$AF$7)*OFFSET(ORÇAMENTO!$W$15,ROW(AR467)-ROW(AR$15),0),15-13*ORÇAMENTO!$AF$11)),
         0)</f>
        <v>0</v>
      </c>
      <c r="AS467" s="453">
        <f ca="1">IF(AND($D467="Serviço",AS$12&lt;&gt;0,$H467&gt;0,OR(AUTOEVENTO&lt;&gt;"manual",$M467&lt;&gt;$A$15)),
        IF(Import.TipoArredondamento&lt;&gt;"TransfereGOV",
              ROUND(OFFSET($P467,0,AS$13),15-13*ORÇAMENTO!$AF$7)/$H467*OFFSET(ORÇAMENTO!$X$15,ROW(AS467)-ROW(AS$15),0),
              ROUND(ROUND(OFFSET($P467,0,AS$13),15-13*ORÇAMENTO!$AF$7)*OFFSET(ORÇAMENTO!$W$15,ROW(AS467)-ROW(AS$15),0),15-13*ORÇAMENTO!$AF$11)),
         0)</f>
        <v>0</v>
      </c>
      <c r="AT467" s="453">
        <f ca="1">IF(AND($D467="Serviço",AT$12&lt;&gt;0,$H467&gt;0,OR(AUTOEVENTO&lt;&gt;"manual",$M467&lt;&gt;$A$15)),
        IF(Import.TipoArredondamento&lt;&gt;"TransfereGOV",
              ROUND(OFFSET($P467,0,AT$13),15-13*ORÇAMENTO!$AF$7)/$H467*OFFSET(ORÇAMENTO!$X$15,ROW(AT467)-ROW(AT$15),0),
              ROUND(ROUND(OFFSET($P467,0,AT$13),15-13*ORÇAMENTO!$AF$7)*OFFSET(ORÇAMENTO!$W$15,ROW(AT467)-ROW(AT$15),0),15-13*ORÇAMENTO!$AF$11)),
         0)</f>
        <v>0</v>
      </c>
      <c r="AU467" s="453">
        <f ca="1">IF(AND($D467="Serviço",AU$12&lt;&gt;0,$H467&gt;0,OR(AUTOEVENTO&lt;&gt;"manual",$M467&lt;&gt;$A$15)),
        IF(Import.TipoArredondamento&lt;&gt;"TransfereGOV",
              ROUND(OFFSET($P467,0,AU$13),15-13*ORÇAMENTO!$AF$7)/$H467*OFFSET(ORÇAMENTO!$X$15,ROW(AU467)-ROW(AU$15),0),
              ROUND(ROUND(OFFSET($P467,0,AU$13),15-13*ORÇAMENTO!$AF$7)*OFFSET(ORÇAMENTO!$W$15,ROW(AU467)-ROW(AU$15),0),15-13*ORÇAMENTO!$AF$11)),
         0)</f>
        <v>0</v>
      </c>
      <c r="AV467" s="453">
        <f ca="1">IF(AND($D467="Serviço",AV$12&lt;&gt;0,$H467&gt;0,OR(AUTOEVENTO&lt;&gt;"manual",$M467&lt;&gt;$A$15)),
        IF(Import.TipoArredondamento&lt;&gt;"TransfereGOV",
              ROUND(OFFSET($P467,0,AV$13),15-13*ORÇAMENTO!$AF$7)/$H467*OFFSET(ORÇAMENTO!$X$15,ROW(AV467)-ROW(AV$15),0),
              ROUND(ROUND(OFFSET($P467,0,AV$13),15-13*ORÇAMENTO!$AF$7)*OFFSET(ORÇAMENTO!$W$15,ROW(AV467)-ROW(AV$15),0),15-13*ORÇAMENTO!$AF$11)),
         0)</f>
        <v>0</v>
      </c>
      <c r="AW467" s="453">
        <f ca="1">IF(AND($D467="Serviço",AW$12&lt;&gt;0,$H467&gt;0,OR(AUTOEVENTO&lt;&gt;"manual",$M467&lt;&gt;$A$15)),
        IF(Import.TipoArredondamento&lt;&gt;"TransfereGOV",
              ROUND(OFFSET($P467,0,AW$13),15-13*ORÇAMENTO!$AF$7)/$H467*OFFSET(ORÇAMENTO!$X$15,ROW(AW467)-ROW(AW$15),0),
              ROUND(ROUND(OFFSET($P467,0,AW$13),15-13*ORÇAMENTO!$AF$7)*OFFSET(ORÇAMENTO!$W$15,ROW(AW467)-ROW(AW$15),0),15-13*ORÇAMENTO!$AF$11)),
         0)</f>
        <v>0</v>
      </c>
      <c r="AX467" s="453">
        <f ca="1">IF(AND($D467="Serviço",AX$12&lt;&gt;0,$H467&gt;0,OR(AUTOEVENTO&lt;&gt;"manual",$M467&lt;&gt;$A$15)),
        IF(Import.TipoArredondamento&lt;&gt;"TransfereGOV",
              ROUND(OFFSET($P467,0,AX$13),15-13*ORÇAMENTO!$AF$7)/$H467*OFFSET(ORÇAMENTO!$X$15,ROW(AX467)-ROW(AX$15),0),
              ROUND(ROUND(OFFSET($P467,0,AX$13),15-13*ORÇAMENTO!$AF$7)*OFFSET(ORÇAMENTO!$W$15,ROW(AX467)-ROW(AX$15),0),15-13*ORÇAMENTO!$AF$11)),
         0)</f>
        <v>0</v>
      </c>
      <c r="AY467" s="453">
        <f ca="1">IF(AND($D467="Serviço",AY$12&lt;&gt;0,$H467&gt;0,OR(AUTOEVENTO&lt;&gt;"manual",$M467&lt;&gt;$A$15)),
        IF(Import.TipoArredondamento&lt;&gt;"TransfereGOV",
              ROUND(OFFSET($P467,0,AY$13),15-13*ORÇAMENTO!$AF$7)/$H467*OFFSET(ORÇAMENTO!$X$15,ROW(AY467)-ROW(AY$15),0),
              ROUND(ROUND(OFFSET($P467,0,AY$13),15-13*ORÇAMENTO!$AF$7)*OFFSET(ORÇAMENTO!$W$15,ROW(AY467)-ROW(AY$15),0),15-13*ORÇAMENTO!$AF$11)),
         0)</f>
        <v>0</v>
      </c>
      <c r="AZ467" s="453">
        <f ca="1">IF(AND($D467="Serviço",AZ$12&lt;&gt;0,$H467&gt;0,OR(AUTOEVENTO&lt;&gt;"manual",$M467&lt;&gt;$A$15)),
        IF(Import.TipoArredondamento&lt;&gt;"TransfereGOV",
              ROUND(OFFSET($P467,0,AZ$13),15-13*ORÇAMENTO!$AF$7)/$H467*OFFSET(ORÇAMENTO!$X$15,ROW(AZ467)-ROW(AZ$15),0),
              ROUND(ROUND(OFFSET($P467,0,AZ$13),15-13*ORÇAMENTO!$AF$7)*OFFSET(ORÇAMENTO!$W$15,ROW(AZ467)-ROW(AZ$15),0),15-13*ORÇAMENTO!$AF$11)),
         0)</f>
        <v>0</v>
      </c>
      <c r="BA467" s="453">
        <f ca="1">IF(AND($D467="Serviço",BA$12&lt;&gt;0,$H467&gt;0,OR(AUTOEVENTO&lt;&gt;"manual",$M467&lt;&gt;$A$15)),
        IF(Import.TipoArredondamento&lt;&gt;"TransfereGOV",
              ROUND(OFFSET($P467,0,BA$13),15-13*ORÇAMENTO!$AF$7)/$H467*OFFSET(ORÇAMENTO!$X$15,ROW(BA467)-ROW(BA$15),0),
              ROUND(ROUND(OFFSET($P467,0,BA$13),15-13*ORÇAMENTO!$AF$7)*OFFSET(ORÇAMENTO!$W$15,ROW(BA467)-ROW(BA$15),0),15-13*ORÇAMENTO!$AF$11)),
         0)</f>
        <v>0</v>
      </c>
      <c r="BC467" s="171">
        <f ca="1">IF(OR($D467&lt;&gt;"Serviço",AND(AUTOEVENTO="Manual",$M467=$A$15)),0,
         IF(OFFSET(CRONOPLE!$F$15,$M467-$A$15,BC$13)=0,10^12,OFFSET(CRONOPLE!$F$15,$M467-$A$15,BC$13)))</f>
        <v>1</v>
      </c>
      <c r="BD467" s="171">
        <f ca="1">IF(OR($D467&lt;&gt;"Serviço",AND(AUTOEVENTO="Manual",$M467=$A$15)),0,
         IF(OFFSET(CRONOPLE!$F$15,$M467-$A$15,BD$13)=0,10^12,OFFSET(CRONOPLE!$F$15,$M467-$A$15,BD$13)))</f>
        <v>2</v>
      </c>
      <c r="BE467" s="171">
        <f ca="1">IF(OR($D467&lt;&gt;"Serviço",AND(AUTOEVENTO="Manual",$M467=$A$15)),0,
         IF(OFFSET(CRONOPLE!$F$15,$M467-$A$15,BE$13)=0,10^12,OFFSET(CRONOPLE!$F$15,$M467-$A$15,BE$13)))</f>
        <v>3</v>
      </c>
      <c r="BF467" s="171">
        <f ca="1">IF(OR($D467&lt;&gt;"Serviço",AND(AUTOEVENTO="Manual",$M467=$A$15)),0,
         IF(OFFSET(CRONOPLE!$F$15,$M467-$A$15,BF$13)=0,10^12,OFFSET(CRONOPLE!$F$15,$M467-$A$15,BF$13)))</f>
        <v>4</v>
      </c>
      <c r="BG467" s="171">
        <f ca="1">IF(OR($D467&lt;&gt;"Serviço",AND(AUTOEVENTO="Manual",$M467=$A$15)),0,
         IF(OFFSET(CRONOPLE!$F$15,$M467-$A$15,BG$13)=0,10^12,OFFSET(CRONOPLE!$F$15,$M467-$A$15,BG$13)))</f>
        <v>5</v>
      </c>
      <c r="BH467" s="171">
        <f ca="1">IF(OR($D467&lt;&gt;"Serviço",AND(AUTOEVENTO="Manual",$M467=$A$15)),0,
         IF(OFFSET(CRONOPLE!$F$15,$M467-$A$15,BH$13)=0,10^12,OFFSET(CRONOPLE!$F$15,$M467-$A$15,BH$13)))</f>
        <v>6</v>
      </c>
      <c r="BI467" s="171">
        <f ca="1">IF(OR($D467&lt;&gt;"Serviço",AND(AUTOEVENTO="Manual",$M467=$A$15)),0,
         IF(OFFSET(CRONOPLE!$F$15,$M467-$A$15,BI$13)=0,10^12,OFFSET(CRONOPLE!$F$15,$M467-$A$15,BI$13)))</f>
        <v>7</v>
      </c>
      <c r="BJ467" s="171">
        <f ca="1">IF(OR($D467&lt;&gt;"Serviço",AND(AUTOEVENTO="Manual",$M467=$A$15)),0,
         IF(OFFSET(CRONOPLE!$F$15,$M467-$A$15,BJ$13)=0,10^12,OFFSET(CRONOPLE!$F$15,$M467-$A$15,BJ$13)))</f>
        <v>8</v>
      </c>
      <c r="BK467" s="171">
        <f ca="1">IF(OR($D467&lt;&gt;"Serviço",AND(AUTOEVENTO="Manual",$M467=$A$15)),0,
         IF(OFFSET(CRONOPLE!$F$15,$M467-$A$15,BK$13)=0,10^12,OFFSET(CRONOPLE!$F$15,$M467-$A$15,BK$13)))</f>
        <v>9</v>
      </c>
      <c r="BL467" s="171">
        <f ca="1">IF(OR($D467&lt;&gt;"Serviço",AND(AUTOEVENTO="Manual",$M467=$A$15)),0,
         IF(OFFSET(CRONOPLE!$F$15,$M467-$A$15,BL$13)=0,10^12,OFFSET(CRONOPLE!$F$15,$M467-$A$15,BL$13)))</f>
        <v>1000000000000</v>
      </c>
      <c r="BM467" s="171">
        <f ca="1">IF(OR($D467&lt;&gt;"Serviço",AND(AUTOEVENTO="Manual",$M467=$A$15)),0,
         IF(OFFSET(CRONOPLE!$F$15,$M467-$A$15,BM$13)=0,10^12,OFFSET(CRONOPLE!$F$15,$M467-$A$15,BM$13)))</f>
        <v>1000000000000</v>
      </c>
      <c r="BN467" s="171">
        <f ca="1">IF(OR($D467&lt;&gt;"Serviço",AND(AUTOEVENTO="Manual",$M467=$A$15)),0,
         IF(OFFSET(CRONOPLE!$F$15,$M467-$A$15,BN$13)=0,10^12,OFFSET(CRONOPLE!$F$15,$M467-$A$15,BN$13)))</f>
        <v>1000000000000</v>
      </c>
      <c r="BO467" s="171">
        <f ca="1">IF(OR($D467&lt;&gt;"Serviço",AND(AUTOEVENTO="Manual",$M467=$A$15)),0,
         IF(OFFSET(CRONOPLE!$F$15,$M467-$A$15,BO$13)=0,10^12,OFFSET(CRONOPLE!$F$15,$M467-$A$15,BO$13)))</f>
        <v>1000000000000</v>
      </c>
      <c r="BP467" s="171">
        <f ca="1">IF(OR($D467&lt;&gt;"Serviço",AND(AUTOEVENTO="Manual",$M467=$A$15)),0,
         IF(OFFSET(CRONOPLE!$F$15,$M467-$A$15,BP$13)=0,10^12,OFFSET(CRONOPLE!$F$15,$M467-$A$15,BP$13)))</f>
        <v>1000000000000</v>
      </c>
      <c r="BQ467" s="171">
        <f ca="1">IF(OR($D467&lt;&gt;"Serviço",AND(AUTOEVENTO="Manual",$M467=$A$15)),0,
         IF(OFFSET(CRONOPLE!$F$15,$M467-$A$15,BQ$13)=0,10^12,OFFSET(CRONOPLE!$F$15,$M467-$A$15,BQ$13)))</f>
        <v>1000000000000</v>
      </c>
      <c r="BR467" s="171">
        <f ca="1">IF(OR($D467&lt;&gt;"Serviço",AND(AUTOEVENTO="Manual",$M467=$A$15)),0,
         IF(OFFSET(CRONOPLE!$F$15,$M467-$A$15,BR$13)=0,10^12,OFFSET(CRONOPLE!$F$15,$M467-$A$15,BR$13)))</f>
        <v>1000000000000</v>
      </c>
      <c r="BS467" s="171">
        <f ca="1">IF(OR($D467&lt;&gt;"Serviço",AND(AUTOEVENTO="Manual",$M467=$A$15)),0,
         IF(OFFSET(CRONOPLE!$F$15,$M467-$A$15,BS$13)=0,10^12,OFFSET(CRONOPLE!$F$15,$M467-$A$15,BS$13)))</f>
        <v>1000000000000</v>
      </c>
      <c r="BT467" s="171">
        <f ca="1">IF(OR($D467&lt;&gt;"Serviço",AND(AUTOEVENTO="Manual",$M467=$A$15)),0,
         IF(OFFSET(CRONOPLE!$F$15,$M467-$A$15,BT$13)=0,10^12,OFFSET(CRONOPLE!$F$15,$M467-$A$15,BT$13)))</f>
        <v>1000000000000</v>
      </c>
      <c r="BV467" s="172">
        <f ca="1">IF(OR($D467&lt;&gt;"Serviço",AND(AUTOEVENTO="Manual",$M467=$A$15),$M467&gt;(ROW(PLE.lastrow)-ROW(PLE.firstrow))),0,
           IF(OFFSET(PLE!$G$15,$M467-$A$15,BV$13)="",10^12,OFFSET(PLE!$G$15,$M467-$A$15,BV$13)))</f>
        <v>1000000000000</v>
      </c>
      <c r="BW467" s="172">
        <f ca="1">IF(OR($D467&lt;&gt;"Serviço",AND(AUTOEVENTO="Manual",$M467=$A$15),$M467&gt;(ROW(PLE.lastrow)-ROW(PLE.firstrow))),0,
           IF(OFFSET(PLE!$G$15,$M467-$A$15,BW$13)="",10^12,OFFSET(PLE!$G$15,$M467-$A$15,BW$13)))</f>
        <v>1000000000000</v>
      </c>
      <c r="BX467" s="172">
        <f ca="1">IF(OR($D467&lt;&gt;"Serviço",AND(AUTOEVENTO="Manual",$M467=$A$15),$M467&gt;(ROW(PLE.lastrow)-ROW(PLE.firstrow))),0,
           IF(OFFSET(PLE!$G$15,$M467-$A$15,BX$13)="",10^12,OFFSET(PLE!$G$15,$M467-$A$15,BX$13)))</f>
        <v>1000000000000</v>
      </c>
      <c r="BY467" s="172">
        <f ca="1">IF(OR($D467&lt;&gt;"Serviço",AND(AUTOEVENTO="Manual",$M467=$A$15),$M467&gt;(ROW(PLE.lastrow)-ROW(PLE.firstrow))),0,
           IF(OFFSET(PLE!$G$15,$M467-$A$15,BY$13)="",10^12,OFFSET(PLE!$G$15,$M467-$A$15,BY$13)))</f>
        <v>1000000000000</v>
      </c>
      <c r="BZ467" s="172">
        <f ca="1">IF(OR($D467&lt;&gt;"Serviço",AND(AUTOEVENTO="Manual",$M467=$A$15),$M467&gt;(ROW(PLE.lastrow)-ROW(PLE.firstrow))),0,
           IF(OFFSET(PLE!$G$15,$M467-$A$15,BZ$13)="",10^12,OFFSET(PLE!$G$15,$M467-$A$15,BZ$13)))</f>
        <v>1000000000000</v>
      </c>
      <c r="CA467" s="172">
        <f ca="1">IF(OR($D467&lt;&gt;"Serviço",AND(AUTOEVENTO="Manual",$M467=$A$15),$M467&gt;(ROW(PLE.lastrow)-ROW(PLE.firstrow))),0,
           IF(OFFSET(PLE!$G$15,$M467-$A$15,CA$13)="",10^12,OFFSET(PLE!$G$15,$M467-$A$15,CA$13)))</f>
        <v>1000000000000</v>
      </c>
      <c r="CB467" s="172">
        <f ca="1">IF(OR($D467&lt;&gt;"Serviço",AND(AUTOEVENTO="Manual",$M467=$A$15),$M467&gt;(ROW(PLE.lastrow)-ROW(PLE.firstrow))),0,
           IF(OFFSET(PLE!$G$15,$M467-$A$15,CB$13)="",10^12,OFFSET(PLE!$G$15,$M467-$A$15,CB$13)))</f>
        <v>1000000000000</v>
      </c>
      <c r="CC467" s="172">
        <f ca="1">IF(OR($D467&lt;&gt;"Serviço",AND(AUTOEVENTO="Manual",$M467=$A$15),$M467&gt;(ROW(PLE.lastrow)-ROW(PLE.firstrow))),0,
           IF(OFFSET(PLE!$G$15,$M467-$A$15,CC$13)="",10^12,OFFSET(PLE!$G$15,$M467-$A$15,CC$13)))</f>
        <v>1000000000000</v>
      </c>
      <c r="CD467" s="172">
        <f ca="1">IF(OR($D467&lt;&gt;"Serviço",AND(AUTOEVENTO="Manual",$M467=$A$15),$M467&gt;(ROW(PLE.lastrow)-ROW(PLE.firstrow))),0,
           IF(OFFSET(PLE!$G$15,$M467-$A$15,CD$13)="",10^12,OFFSET(PLE!$G$15,$M467-$A$15,CD$13)))</f>
        <v>1000000000000</v>
      </c>
      <c r="CE467" s="172">
        <f ca="1">IF(OR($D467&lt;&gt;"Serviço",AND(AUTOEVENTO="Manual",$M467=$A$15),$M467&gt;(ROW(PLE.lastrow)-ROW(PLE.firstrow))),0,
           IF(OFFSET(PLE!$G$15,$M467-$A$15,CE$13)="",10^12,OFFSET(PLE!$G$15,$M467-$A$15,CE$13)))</f>
        <v>1000000000000</v>
      </c>
      <c r="CF467" s="172">
        <f ca="1">IF(OR($D467&lt;&gt;"Serviço",AND(AUTOEVENTO="Manual",$M467=$A$15),$M467&gt;(ROW(PLE.lastrow)-ROW(PLE.firstrow))),0,
           IF(OFFSET(PLE!$G$15,$M467-$A$15,CF$13)="",10^12,OFFSET(PLE!$G$15,$M467-$A$15,CF$13)))</f>
        <v>1000000000000</v>
      </c>
      <c r="CG467" s="172">
        <f ca="1">IF(OR($D467&lt;&gt;"Serviço",AND(AUTOEVENTO="Manual",$M467=$A$15),$M467&gt;(ROW(PLE.lastrow)-ROW(PLE.firstrow))),0,
           IF(OFFSET(PLE!$G$15,$M467-$A$15,CG$13)="",10^12,OFFSET(PLE!$G$15,$M467-$A$15,CG$13)))</f>
        <v>1000000000000</v>
      </c>
      <c r="CH467" s="172">
        <f ca="1">IF(OR($D467&lt;&gt;"Serviço",AND(AUTOEVENTO="Manual",$M467=$A$15),$M467&gt;(ROW(PLE.lastrow)-ROW(PLE.firstrow))),0,
           IF(OFFSET(PLE!$G$15,$M467-$A$15,CH$13)="",10^12,OFFSET(PLE!$G$15,$M467-$A$15,CH$13)))</f>
        <v>1000000000000</v>
      </c>
      <c r="CI467" s="172">
        <f ca="1">IF(OR($D467&lt;&gt;"Serviço",AND(AUTOEVENTO="Manual",$M467=$A$15),$M467&gt;(ROW(PLE.lastrow)-ROW(PLE.firstrow))),0,
           IF(OFFSET(PLE!$G$15,$M467-$A$15,CI$13)="",10^12,OFFSET(PLE!$G$15,$M467-$A$15,CI$13)))</f>
        <v>1000000000000</v>
      </c>
      <c r="CJ467" s="172">
        <f ca="1">IF(OR($D467&lt;&gt;"Serviço",AND(AUTOEVENTO="Manual",$M467=$A$15),$M467&gt;(ROW(PLE.lastrow)-ROW(PLE.firstrow))),0,
           IF(OFFSET(PLE!$G$15,$M467-$A$15,CJ$13)="",10^12,OFFSET(PLE!$G$15,$M467-$A$15,CJ$13)))</f>
        <v>1000000000000</v>
      </c>
      <c r="CK467" s="172">
        <f ca="1">IF(OR($D467&lt;&gt;"Serviço",AND(AUTOEVENTO="Manual",$M467=$A$15),$M467&gt;(ROW(PLE.lastrow)-ROW(PLE.firstrow))),0,
           IF(OFFSET(PLE!$G$15,$M467-$A$15,CK$13)="",10^12,OFFSET(PLE!$G$15,$M467-$A$15,CK$13)))</f>
        <v>1000000000000</v>
      </c>
      <c r="CL467" s="172">
        <f ca="1">IF(OR($D467&lt;&gt;"Serviço",AND(AUTOEVENTO="Manual",$M467=$A$15),$M467&gt;(ROW(PLE.lastrow)-ROW(PLE.firstrow))),0,
           IF(OFFSET(PLE!$G$15,$M467-$A$15,CL$13)="",10^12,OFFSET(PLE!$G$15,$M467-$A$15,CL$13)))</f>
        <v>1000000000000</v>
      </c>
      <c r="CM467" s="172">
        <f ca="1">IF(OR($D467&lt;&gt;"Serviço",AND(AUTOEVENTO="Manual",$M467=$A$15),$M467&gt;(ROW(PLE.lastrow)-ROW(PLE.firstrow))),0,
           IF(OFFSET(PLE!$G$15,$M467-$A$15,CM$13)="",10^12,OFFSET(PLE!$G$15,$M467-$A$15,CM$13)))</f>
        <v>1000000000000</v>
      </c>
    </row>
    <row r="468" spans="1:91" ht="38.25" x14ac:dyDescent="0.2">
      <c r="A468" s="7">
        <f t="shared" ca="1" si="16"/>
        <v>8</v>
      </c>
      <c r="B468" s="7" t="str">
        <f ca="1">OFFSET(ORÇAMENTO!C$15,ROW(B468)-ROW(B$15),0)</f>
        <v>S</v>
      </c>
      <c r="C468" s="7" t="str">
        <f ca="1">OFFSET(ORÇAMENTO!L$15,ROW(C468)-ROW(C$15),0)</f>
        <v>F</v>
      </c>
      <c r="D468" s="116" t="str">
        <f ca="1">OFFSET(ORÇAMENTO!N$15,ROW(D468)-ROW(D$15),0)</f>
        <v>Serviço</v>
      </c>
      <c r="E468" s="117" t="str">
        <f ca="1">OFFSET(ORÇAMENTO!O$15,ROW(E468)-ROW(E$15),0)</f>
        <v>1.9.5.0.6.</v>
      </c>
      <c r="F468" s="163" t="str">
        <f ca="1">OFFSET(ORÇAMENTO!R$15,ROW(F468)-ROW(F$15),0)</f>
        <v>Switch POE 9 portas Fast10/100 (8 PORTAS POE+) TL-SF1009P - BASEADO EM SBC (059332)</v>
      </c>
      <c r="G468" s="164" t="str">
        <f ca="1">IF($D468&lt;&gt;"Serviço","",OFFSET(ORÇAMENTO!S$15,ROW(G468)-ROW(G$15),0))</f>
        <v>UN</v>
      </c>
      <c r="H468" s="122" cm="1">
        <f t="array" aca="1" ref="H468" ca="1">IF($D468&lt;&gt;"Serviço",0,IF(ACOMPANHAMENTO="BM",ROUND(OFFSET(ORÇAMENTO!AJ$15,ROW(H468)-ROW(H$15),0),15-13*ORÇAMENTO!$AF$7),SUMPRODUCT(($Q$1:$AI$1=1)*ROUND($Q468:$AI468,15-13*ORÇAMENTO!$AF$7))))</f>
        <v>3</v>
      </c>
      <c r="I468" s="468" t="s">
        <v>1432</v>
      </c>
      <c r="J468" s="640" t="str" cm="1">
        <f t="array" aca="1" ref="J468" ca="1">IF(OR(B468&lt;&gt;"S",CÁLCULO.FrentesPreenchidas=0),"",IF(AND(ACOMPANHAMENTO="PLE",AUTOEVENTO="Manual",OR(H468&gt;0,ORÇAMENTO!AC468="QUANT."),OR(K468="",M468=0,N468="")),"►E",IF(AND(ACOMPANHAMENTO="PLE",ORÇAMENTO!AC468="QUANT."),"►Q",IF(AND(ACOMPANHAMENTO="PLE",H468&lt;&gt;SUMPRODUCT(($Q$1:$AI$1=1)*ROUND(Q468:AI468,15))),"►S",IF(AND(COUNTIF($P$11:$AI$11,"▼")=0,H468&gt;0,I468=""),"◄M","")))))</f>
        <v/>
      </c>
      <c r="K468" s="641" t="s">
        <v>1392</v>
      </c>
      <c r="L468" s="165" t="s">
        <v>764</v>
      </c>
      <c r="M468" s="166">
        <f ca="1">IF($D468&lt;&gt;"Serviço","",
          IF(AUTOEVENTO="manual",$A468,
                IF(ISERROR(MATCH($A468,$A$15:OFFSET($A468,-1,0),0)),MAX($M$15:OFFSET(M468,-1,0))+1,
                      INDEX($M$15:OFFSET(M468,-1,0),MATCH($A468,$A$15:OFFSET($A468,-1,0),0)))))</f>
        <v>8</v>
      </c>
      <c r="N468" s="167" t="str">
        <f ca="1">IF($D468&lt;&gt;"Serviço","",
         IF(AUTOEVENTO="Manual",
                IF($A468=0,"&lt;-- defina o número do agrupador",
                       OFFSET(EVENTOS!$D$15,$A468-$A$15,0)),
                OFFSET($F$15,$A468,0)))</f>
        <v>CFTV</v>
      </c>
      <c r="O468" s="168"/>
      <c r="Q468" s="168"/>
      <c r="R468" s="169"/>
      <c r="S468" s="169"/>
      <c r="T468" s="169"/>
      <c r="U468" s="169"/>
      <c r="V468" s="169"/>
      <c r="W468" s="169"/>
      <c r="X468" s="169"/>
      <c r="Y468" s="169">
        <v>3</v>
      </c>
      <c r="Z468" s="170"/>
      <c r="AA468" s="169"/>
      <c r="AB468" s="169"/>
      <c r="AC468" s="169"/>
      <c r="AD468" s="169"/>
      <c r="AE468" s="169"/>
      <c r="AF468" s="169"/>
      <c r="AG468" s="169"/>
      <c r="AH468" s="170"/>
      <c r="AJ468" s="453">
        <f ca="1">IF(AND($D468="Serviço",AJ$12&lt;&gt;0,$H468&gt;0,OR(AUTOEVENTO&lt;&gt;"manual",$M468&lt;&gt;$A$15)),
        IF(Import.TipoArredondamento&lt;&gt;"TransfereGOV",
              ROUND(OFFSET($P468,0,AJ$13),15-13*ORÇAMENTO!$AF$7)/$H468*OFFSET(ORÇAMENTO!$X$15,ROW(AJ468)-ROW(AJ$15),0),
              ROUND(ROUND(OFFSET($P468,0,AJ$13),15-13*ORÇAMENTO!$AF$7)*OFFSET(ORÇAMENTO!$W$15,ROW(AJ468)-ROW(AJ$15),0),15-13*ORÇAMENTO!$AF$11)),
         0)</f>
        <v>0</v>
      </c>
      <c r="AK468" s="453">
        <f ca="1">IF(AND($D468="Serviço",AK$12&lt;&gt;0,$H468&gt;0,OR(AUTOEVENTO&lt;&gt;"manual",$M468&lt;&gt;$A$15)),
        IF(Import.TipoArredondamento&lt;&gt;"TransfereGOV",
              ROUND(OFFSET($P468,0,AK$13),15-13*ORÇAMENTO!$AF$7)/$H468*OFFSET(ORÇAMENTO!$X$15,ROW(AK468)-ROW(AK$15),0),
              ROUND(ROUND(OFFSET($P468,0,AK$13),15-13*ORÇAMENTO!$AF$7)*OFFSET(ORÇAMENTO!$W$15,ROW(AK468)-ROW(AK$15),0),15-13*ORÇAMENTO!$AF$11)),
         0)</f>
        <v>0</v>
      </c>
      <c r="AL468" s="453">
        <f ca="1">IF(AND($D468="Serviço",AL$12&lt;&gt;0,$H468&gt;0,OR(AUTOEVENTO&lt;&gt;"manual",$M468&lt;&gt;$A$15)),
        IF(Import.TipoArredondamento&lt;&gt;"TransfereGOV",
              ROUND(OFFSET($P468,0,AL$13),15-13*ORÇAMENTO!$AF$7)/$H468*OFFSET(ORÇAMENTO!$X$15,ROW(AL468)-ROW(AL$15),0),
              ROUND(ROUND(OFFSET($P468,0,AL$13),15-13*ORÇAMENTO!$AF$7)*OFFSET(ORÇAMENTO!$W$15,ROW(AL468)-ROW(AL$15),0),15-13*ORÇAMENTO!$AF$11)),
         0)</f>
        <v>0</v>
      </c>
      <c r="AM468" s="453">
        <f ca="1">IF(AND($D468="Serviço",AM$12&lt;&gt;0,$H468&gt;0,OR(AUTOEVENTO&lt;&gt;"manual",$M468&lt;&gt;$A$15)),
        IF(Import.TipoArredondamento&lt;&gt;"TransfereGOV",
              ROUND(OFFSET($P468,0,AM$13),15-13*ORÇAMENTO!$AF$7)/$H468*OFFSET(ORÇAMENTO!$X$15,ROW(AM468)-ROW(AM$15),0),
              ROUND(ROUND(OFFSET($P468,0,AM$13),15-13*ORÇAMENTO!$AF$7)*OFFSET(ORÇAMENTO!$W$15,ROW(AM468)-ROW(AM$15),0),15-13*ORÇAMENTO!$AF$11)),
         0)</f>
        <v>0</v>
      </c>
      <c r="AN468" s="453">
        <f ca="1">IF(AND($D468="Serviço",AN$12&lt;&gt;0,$H468&gt;0,OR(AUTOEVENTO&lt;&gt;"manual",$M468&lt;&gt;$A$15)),
        IF(Import.TipoArredondamento&lt;&gt;"TransfereGOV",
              ROUND(OFFSET($P468,0,AN$13),15-13*ORÇAMENTO!$AF$7)/$H468*OFFSET(ORÇAMENTO!$X$15,ROW(AN468)-ROW(AN$15),0),
              ROUND(ROUND(OFFSET($P468,0,AN$13),15-13*ORÇAMENTO!$AF$7)*OFFSET(ORÇAMENTO!$W$15,ROW(AN468)-ROW(AN$15),0),15-13*ORÇAMENTO!$AF$11)),
         0)</f>
        <v>0</v>
      </c>
      <c r="AO468" s="453">
        <f ca="1">IF(AND($D468="Serviço",AO$12&lt;&gt;0,$H468&gt;0,OR(AUTOEVENTO&lt;&gt;"manual",$M468&lt;&gt;$A$15)),
        IF(Import.TipoArredondamento&lt;&gt;"TransfereGOV",
              ROUND(OFFSET($P468,0,AO$13),15-13*ORÇAMENTO!$AF$7)/$H468*OFFSET(ORÇAMENTO!$X$15,ROW(AO468)-ROW(AO$15),0),
              ROUND(ROUND(OFFSET($P468,0,AO$13),15-13*ORÇAMENTO!$AF$7)*OFFSET(ORÇAMENTO!$W$15,ROW(AO468)-ROW(AO$15),0),15-13*ORÇAMENTO!$AF$11)),
         0)</f>
        <v>0</v>
      </c>
      <c r="AP468" s="453">
        <f ca="1">IF(AND($D468="Serviço",AP$12&lt;&gt;0,$H468&gt;0,OR(AUTOEVENTO&lt;&gt;"manual",$M468&lt;&gt;$A$15)),
        IF(Import.TipoArredondamento&lt;&gt;"TransfereGOV",
              ROUND(OFFSET($P468,0,AP$13),15-13*ORÇAMENTO!$AF$7)/$H468*OFFSET(ORÇAMENTO!$X$15,ROW(AP468)-ROW(AP$15),0),
              ROUND(ROUND(OFFSET($P468,0,AP$13),15-13*ORÇAMENTO!$AF$7)*OFFSET(ORÇAMENTO!$W$15,ROW(AP468)-ROW(AP$15),0),15-13*ORÇAMENTO!$AF$11)),
         0)</f>
        <v>0</v>
      </c>
      <c r="AQ468" s="453">
        <f ca="1">IF(AND($D468="Serviço",AQ$12&lt;&gt;0,$H468&gt;0,OR(AUTOEVENTO&lt;&gt;"manual",$M468&lt;&gt;$A$15)),
        IF(Import.TipoArredondamento&lt;&gt;"TransfereGOV",
              ROUND(OFFSET($P468,0,AQ$13),15-13*ORÇAMENTO!$AF$7)/$H468*OFFSET(ORÇAMENTO!$X$15,ROW(AQ468)-ROW(AQ$15),0),
              ROUND(ROUND(OFFSET($P468,0,AQ$13),15-13*ORÇAMENTO!$AF$7)*OFFSET(ORÇAMENTO!$W$15,ROW(AQ468)-ROW(AQ$15),0),15-13*ORÇAMENTO!$AF$11)),
         0)</f>
        <v>0</v>
      </c>
      <c r="AR468" s="453">
        <f ca="1">IF(AND($D468="Serviço",AR$12&lt;&gt;0,$H468&gt;0,OR(AUTOEVENTO&lt;&gt;"manual",$M468&lt;&gt;$A$15)),
        IF(Import.TipoArredondamento&lt;&gt;"TransfereGOV",
              ROUND(OFFSET($P468,0,AR$13),15-13*ORÇAMENTO!$AF$7)/$H468*OFFSET(ORÇAMENTO!$X$15,ROW(AR468)-ROW(AR$15),0),
              ROUND(ROUND(OFFSET($P468,0,AR$13),15-13*ORÇAMENTO!$AF$7)*OFFSET(ORÇAMENTO!$W$15,ROW(AR468)-ROW(AR$15),0),15-13*ORÇAMENTO!$AF$11)),
         0)</f>
        <v>0</v>
      </c>
      <c r="AS468" s="453">
        <f ca="1">IF(AND($D468="Serviço",AS$12&lt;&gt;0,$H468&gt;0,OR(AUTOEVENTO&lt;&gt;"manual",$M468&lt;&gt;$A$15)),
        IF(Import.TipoArredondamento&lt;&gt;"TransfereGOV",
              ROUND(OFFSET($P468,0,AS$13),15-13*ORÇAMENTO!$AF$7)/$H468*OFFSET(ORÇAMENTO!$X$15,ROW(AS468)-ROW(AS$15),0),
              ROUND(ROUND(OFFSET($P468,0,AS$13),15-13*ORÇAMENTO!$AF$7)*OFFSET(ORÇAMENTO!$W$15,ROW(AS468)-ROW(AS$15),0),15-13*ORÇAMENTO!$AF$11)),
         0)</f>
        <v>0</v>
      </c>
      <c r="AT468" s="453">
        <f ca="1">IF(AND($D468="Serviço",AT$12&lt;&gt;0,$H468&gt;0,OR(AUTOEVENTO&lt;&gt;"manual",$M468&lt;&gt;$A$15)),
        IF(Import.TipoArredondamento&lt;&gt;"TransfereGOV",
              ROUND(OFFSET($P468,0,AT$13),15-13*ORÇAMENTO!$AF$7)/$H468*OFFSET(ORÇAMENTO!$X$15,ROW(AT468)-ROW(AT$15),0),
              ROUND(ROUND(OFFSET($P468,0,AT$13),15-13*ORÇAMENTO!$AF$7)*OFFSET(ORÇAMENTO!$W$15,ROW(AT468)-ROW(AT$15),0),15-13*ORÇAMENTO!$AF$11)),
         0)</f>
        <v>0</v>
      </c>
      <c r="AU468" s="453">
        <f ca="1">IF(AND($D468="Serviço",AU$12&lt;&gt;0,$H468&gt;0,OR(AUTOEVENTO&lt;&gt;"manual",$M468&lt;&gt;$A$15)),
        IF(Import.TipoArredondamento&lt;&gt;"TransfereGOV",
              ROUND(OFFSET($P468,0,AU$13),15-13*ORÇAMENTO!$AF$7)/$H468*OFFSET(ORÇAMENTO!$X$15,ROW(AU468)-ROW(AU$15),0),
              ROUND(ROUND(OFFSET($P468,0,AU$13),15-13*ORÇAMENTO!$AF$7)*OFFSET(ORÇAMENTO!$W$15,ROW(AU468)-ROW(AU$15),0),15-13*ORÇAMENTO!$AF$11)),
         0)</f>
        <v>0</v>
      </c>
      <c r="AV468" s="453">
        <f ca="1">IF(AND($D468="Serviço",AV$12&lt;&gt;0,$H468&gt;0,OR(AUTOEVENTO&lt;&gt;"manual",$M468&lt;&gt;$A$15)),
        IF(Import.TipoArredondamento&lt;&gt;"TransfereGOV",
              ROUND(OFFSET($P468,0,AV$13),15-13*ORÇAMENTO!$AF$7)/$H468*OFFSET(ORÇAMENTO!$X$15,ROW(AV468)-ROW(AV$15),0),
              ROUND(ROUND(OFFSET($P468,0,AV$13),15-13*ORÇAMENTO!$AF$7)*OFFSET(ORÇAMENTO!$W$15,ROW(AV468)-ROW(AV$15),0),15-13*ORÇAMENTO!$AF$11)),
         0)</f>
        <v>0</v>
      </c>
      <c r="AW468" s="453">
        <f ca="1">IF(AND($D468="Serviço",AW$12&lt;&gt;0,$H468&gt;0,OR(AUTOEVENTO&lt;&gt;"manual",$M468&lt;&gt;$A$15)),
        IF(Import.TipoArredondamento&lt;&gt;"TransfereGOV",
              ROUND(OFFSET($P468,0,AW$13),15-13*ORÇAMENTO!$AF$7)/$H468*OFFSET(ORÇAMENTO!$X$15,ROW(AW468)-ROW(AW$15),0),
              ROUND(ROUND(OFFSET($P468,0,AW$13),15-13*ORÇAMENTO!$AF$7)*OFFSET(ORÇAMENTO!$W$15,ROW(AW468)-ROW(AW$15),0),15-13*ORÇAMENTO!$AF$11)),
         0)</f>
        <v>0</v>
      </c>
      <c r="AX468" s="453">
        <f ca="1">IF(AND($D468="Serviço",AX$12&lt;&gt;0,$H468&gt;0,OR(AUTOEVENTO&lt;&gt;"manual",$M468&lt;&gt;$A$15)),
        IF(Import.TipoArredondamento&lt;&gt;"TransfereGOV",
              ROUND(OFFSET($P468,0,AX$13),15-13*ORÇAMENTO!$AF$7)/$H468*OFFSET(ORÇAMENTO!$X$15,ROW(AX468)-ROW(AX$15),0),
              ROUND(ROUND(OFFSET($P468,0,AX$13),15-13*ORÇAMENTO!$AF$7)*OFFSET(ORÇAMENTO!$W$15,ROW(AX468)-ROW(AX$15),0),15-13*ORÇAMENTO!$AF$11)),
         0)</f>
        <v>0</v>
      </c>
      <c r="AY468" s="453">
        <f ca="1">IF(AND($D468="Serviço",AY$12&lt;&gt;0,$H468&gt;0,OR(AUTOEVENTO&lt;&gt;"manual",$M468&lt;&gt;$A$15)),
        IF(Import.TipoArredondamento&lt;&gt;"TransfereGOV",
              ROUND(OFFSET($P468,0,AY$13),15-13*ORÇAMENTO!$AF$7)/$H468*OFFSET(ORÇAMENTO!$X$15,ROW(AY468)-ROW(AY$15),0),
              ROUND(ROUND(OFFSET($P468,0,AY$13),15-13*ORÇAMENTO!$AF$7)*OFFSET(ORÇAMENTO!$W$15,ROW(AY468)-ROW(AY$15),0),15-13*ORÇAMENTO!$AF$11)),
         0)</f>
        <v>0</v>
      </c>
      <c r="AZ468" s="453">
        <f ca="1">IF(AND($D468="Serviço",AZ$12&lt;&gt;0,$H468&gt;0,OR(AUTOEVENTO&lt;&gt;"manual",$M468&lt;&gt;$A$15)),
        IF(Import.TipoArredondamento&lt;&gt;"TransfereGOV",
              ROUND(OFFSET($P468,0,AZ$13),15-13*ORÇAMENTO!$AF$7)/$H468*OFFSET(ORÇAMENTO!$X$15,ROW(AZ468)-ROW(AZ$15),0),
              ROUND(ROUND(OFFSET($P468,0,AZ$13),15-13*ORÇAMENTO!$AF$7)*OFFSET(ORÇAMENTO!$W$15,ROW(AZ468)-ROW(AZ$15),0),15-13*ORÇAMENTO!$AF$11)),
         0)</f>
        <v>0</v>
      </c>
      <c r="BA468" s="453">
        <f ca="1">IF(AND($D468="Serviço",BA$12&lt;&gt;0,$H468&gt;0,OR(AUTOEVENTO&lt;&gt;"manual",$M468&lt;&gt;$A$15)),
        IF(Import.TipoArredondamento&lt;&gt;"TransfereGOV",
              ROUND(OFFSET($P468,0,BA$13),15-13*ORÇAMENTO!$AF$7)/$H468*OFFSET(ORÇAMENTO!$X$15,ROW(BA468)-ROW(BA$15),0),
              ROUND(ROUND(OFFSET($P468,0,BA$13),15-13*ORÇAMENTO!$AF$7)*OFFSET(ORÇAMENTO!$W$15,ROW(BA468)-ROW(BA$15),0),15-13*ORÇAMENTO!$AF$11)),
         0)</f>
        <v>0</v>
      </c>
      <c r="BC468" s="171">
        <f ca="1">IF(OR($D468&lt;&gt;"Serviço",AND(AUTOEVENTO="Manual",$M468=$A$15)),0,
         IF(OFFSET(CRONOPLE!$F$15,$M468-$A$15,BC$13)=0,10^12,OFFSET(CRONOPLE!$F$15,$M468-$A$15,BC$13)))</f>
        <v>1</v>
      </c>
      <c r="BD468" s="171">
        <f ca="1">IF(OR($D468&lt;&gt;"Serviço",AND(AUTOEVENTO="Manual",$M468=$A$15)),0,
         IF(OFFSET(CRONOPLE!$F$15,$M468-$A$15,BD$13)=0,10^12,OFFSET(CRONOPLE!$F$15,$M468-$A$15,BD$13)))</f>
        <v>2</v>
      </c>
      <c r="BE468" s="171">
        <f ca="1">IF(OR($D468&lt;&gt;"Serviço",AND(AUTOEVENTO="Manual",$M468=$A$15)),0,
         IF(OFFSET(CRONOPLE!$F$15,$M468-$A$15,BE$13)=0,10^12,OFFSET(CRONOPLE!$F$15,$M468-$A$15,BE$13)))</f>
        <v>3</v>
      </c>
      <c r="BF468" s="171">
        <f ca="1">IF(OR($D468&lt;&gt;"Serviço",AND(AUTOEVENTO="Manual",$M468=$A$15)),0,
         IF(OFFSET(CRONOPLE!$F$15,$M468-$A$15,BF$13)=0,10^12,OFFSET(CRONOPLE!$F$15,$M468-$A$15,BF$13)))</f>
        <v>4</v>
      </c>
      <c r="BG468" s="171">
        <f ca="1">IF(OR($D468&lt;&gt;"Serviço",AND(AUTOEVENTO="Manual",$M468=$A$15)),0,
         IF(OFFSET(CRONOPLE!$F$15,$M468-$A$15,BG$13)=0,10^12,OFFSET(CRONOPLE!$F$15,$M468-$A$15,BG$13)))</f>
        <v>5</v>
      </c>
      <c r="BH468" s="171">
        <f ca="1">IF(OR($D468&lt;&gt;"Serviço",AND(AUTOEVENTO="Manual",$M468=$A$15)),0,
         IF(OFFSET(CRONOPLE!$F$15,$M468-$A$15,BH$13)=0,10^12,OFFSET(CRONOPLE!$F$15,$M468-$A$15,BH$13)))</f>
        <v>6</v>
      </c>
      <c r="BI468" s="171">
        <f ca="1">IF(OR($D468&lt;&gt;"Serviço",AND(AUTOEVENTO="Manual",$M468=$A$15)),0,
         IF(OFFSET(CRONOPLE!$F$15,$M468-$A$15,BI$13)=0,10^12,OFFSET(CRONOPLE!$F$15,$M468-$A$15,BI$13)))</f>
        <v>7</v>
      </c>
      <c r="BJ468" s="171">
        <f ca="1">IF(OR($D468&lt;&gt;"Serviço",AND(AUTOEVENTO="Manual",$M468=$A$15)),0,
         IF(OFFSET(CRONOPLE!$F$15,$M468-$A$15,BJ$13)=0,10^12,OFFSET(CRONOPLE!$F$15,$M468-$A$15,BJ$13)))</f>
        <v>8</v>
      </c>
      <c r="BK468" s="171">
        <f ca="1">IF(OR($D468&lt;&gt;"Serviço",AND(AUTOEVENTO="Manual",$M468=$A$15)),0,
         IF(OFFSET(CRONOPLE!$F$15,$M468-$A$15,BK$13)=0,10^12,OFFSET(CRONOPLE!$F$15,$M468-$A$15,BK$13)))</f>
        <v>9</v>
      </c>
      <c r="BL468" s="171">
        <f ca="1">IF(OR($D468&lt;&gt;"Serviço",AND(AUTOEVENTO="Manual",$M468=$A$15)),0,
         IF(OFFSET(CRONOPLE!$F$15,$M468-$A$15,BL$13)=0,10^12,OFFSET(CRONOPLE!$F$15,$M468-$A$15,BL$13)))</f>
        <v>1000000000000</v>
      </c>
      <c r="BM468" s="171">
        <f ca="1">IF(OR($D468&lt;&gt;"Serviço",AND(AUTOEVENTO="Manual",$M468=$A$15)),0,
         IF(OFFSET(CRONOPLE!$F$15,$M468-$A$15,BM$13)=0,10^12,OFFSET(CRONOPLE!$F$15,$M468-$A$15,BM$13)))</f>
        <v>1000000000000</v>
      </c>
      <c r="BN468" s="171">
        <f ca="1">IF(OR($D468&lt;&gt;"Serviço",AND(AUTOEVENTO="Manual",$M468=$A$15)),0,
         IF(OFFSET(CRONOPLE!$F$15,$M468-$A$15,BN$13)=0,10^12,OFFSET(CRONOPLE!$F$15,$M468-$A$15,BN$13)))</f>
        <v>1000000000000</v>
      </c>
      <c r="BO468" s="171">
        <f ca="1">IF(OR($D468&lt;&gt;"Serviço",AND(AUTOEVENTO="Manual",$M468=$A$15)),0,
         IF(OFFSET(CRONOPLE!$F$15,$M468-$A$15,BO$13)=0,10^12,OFFSET(CRONOPLE!$F$15,$M468-$A$15,BO$13)))</f>
        <v>1000000000000</v>
      </c>
      <c r="BP468" s="171">
        <f ca="1">IF(OR($D468&lt;&gt;"Serviço",AND(AUTOEVENTO="Manual",$M468=$A$15)),0,
         IF(OFFSET(CRONOPLE!$F$15,$M468-$A$15,BP$13)=0,10^12,OFFSET(CRONOPLE!$F$15,$M468-$A$15,BP$13)))</f>
        <v>1000000000000</v>
      </c>
      <c r="BQ468" s="171">
        <f ca="1">IF(OR($D468&lt;&gt;"Serviço",AND(AUTOEVENTO="Manual",$M468=$A$15)),0,
         IF(OFFSET(CRONOPLE!$F$15,$M468-$A$15,BQ$13)=0,10^12,OFFSET(CRONOPLE!$F$15,$M468-$A$15,BQ$13)))</f>
        <v>1000000000000</v>
      </c>
      <c r="BR468" s="171">
        <f ca="1">IF(OR($D468&lt;&gt;"Serviço",AND(AUTOEVENTO="Manual",$M468=$A$15)),0,
         IF(OFFSET(CRONOPLE!$F$15,$M468-$A$15,BR$13)=0,10^12,OFFSET(CRONOPLE!$F$15,$M468-$A$15,BR$13)))</f>
        <v>1000000000000</v>
      </c>
      <c r="BS468" s="171">
        <f ca="1">IF(OR($D468&lt;&gt;"Serviço",AND(AUTOEVENTO="Manual",$M468=$A$15)),0,
         IF(OFFSET(CRONOPLE!$F$15,$M468-$A$15,BS$13)=0,10^12,OFFSET(CRONOPLE!$F$15,$M468-$A$15,BS$13)))</f>
        <v>1000000000000</v>
      </c>
      <c r="BT468" s="171">
        <f ca="1">IF(OR($D468&lt;&gt;"Serviço",AND(AUTOEVENTO="Manual",$M468=$A$15)),0,
         IF(OFFSET(CRONOPLE!$F$15,$M468-$A$15,BT$13)=0,10^12,OFFSET(CRONOPLE!$F$15,$M468-$A$15,BT$13)))</f>
        <v>1000000000000</v>
      </c>
      <c r="BV468" s="172">
        <f ca="1">IF(OR($D468&lt;&gt;"Serviço",AND(AUTOEVENTO="Manual",$M468=$A$15),$M468&gt;(ROW(PLE.lastrow)-ROW(PLE.firstrow))),0,
           IF(OFFSET(PLE!$G$15,$M468-$A$15,BV$13)="",10^12,OFFSET(PLE!$G$15,$M468-$A$15,BV$13)))</f>
        <v>1000000000000</v>
      </c>
      <c r="BW468" s="172">
        <f ca="1">IF(OR($D468&lt;&gt;"Serviço",AND(AUTOEVENTO="Manual",$M468=$A$15),$M468&gt;(ROW(PLE.lastrow)-ROW(PLE.firstrow))),0,
           IF(OFFSET(PLE!$G$15,$M468-$A$15,BW$13)="",10^12,OFFSET(PLE!$G$15,$M468-$A$15,BW$13)))</f>
        <v>1000000000000</v>
      </c>
      <c r="BX468" s="172">
        <f ca="1">IF(OR($D468&lt;&gt;"Serviço",AND(AUTOEVENTO="Manual",$M468=$A$15),$M468&gt;(ROW(PLE.lastrow)-ROW(PLE.firstrow))),0,
           IF(OFFSET(PLE!$G$15,$M468-$A$15,BX$13)="",10^12,OFFSET(PLE!$G$15,$M468-$A$15,BX$13)))</f>
        <v>1000000000000</v>
      </c>
      <c r="BY468" s="172">
        <f ca="1">IF(OR($D468&lt;&gt;"Serviço",AND(AUTOEVENTO="Manual",$M468=$A$15),$M468&gt;(ROW(PLE.lastrow)-ROW(PLE.firstrow))),0,
           IF(OFFSET(PLE!$G$15,$M468-$A$15,BY$13)="",10^12,OFFSET(PLE!$G$15,$M468-$A$15,BY$13)))</f>
        <v>1000000000000</v>
      </c>
      <c r="BZ468" s="172">
        <f ca="1">IF(OR($D468&lt;&gt;"Serviço",AND(AUTOEVENTO="Manual",$M468=$A$15),$M468&gt;(ROW(PLE.lastrow)-ROW(PLE.firstrow))),0,
           IF(OFFSET(PLE!$G$15,$M468-$A$15,BZ$13)="",10^12,OFFSET(PLE!$G$15,$M468-$A$15,BZ$13)))</f>
        <v>1000000000000</v>
      </c>
      <c r="CA468" s="172">
        <f ca="1">IF(OR($D468&lt;&gt;"Serviço",AND(AUTOEVENTO="Manual",$M468=$A$15),$M468&gt;(ROW(PLE.lastrow)-ROW(PLE.firstrow))),0,
           IF(OFFSET(PLE!$G$15,$M468-$A$15,CA$13)="",10^12,OFFSET(PLE!$G$15,$M468-$A$15,CA$13)))</f>
        <v>1000000000000</v>
      </c>
      <c r="CB468" s="172">
        <f ca="1">IF(OR($D468&lt;&gt;"Serviço",AND(AUTOEVENTO="Manual",$M468=$A$15),$M468&gt;(ROW(PLE.lastrow)-ROW(PLE.firstrow))),0,
           IF(OFFSET(PLE!$G$15,$M468-$A$15,CB$13)="",10^12,OFFSET(PLE!$G$15,$M468-$A$15,CB$13)))</f>
        <v>1000000000000</v>
      </c>
      <c r="CC468" s="172">
        <f ca="1">IF(OR($D468&lt;&gt;"Serviço",AND(AUTOEVENTO="Manual",$M468=$A$15),$M468&gt;(ROW(PLE.lastrow)-ROW(PLE.firstrow))),0,
           IF(OFFSET(PLE!$G$15,$M468-$A$15,CC$13)="",10^12,OFFSET(PLE!$G$15,$M468-$A$15,CC$13)))</f>
        <v>1000000000000</v>
      </c>
      <c r="CD468" s="172">
        <f ca="1">IF(OR($D468&lt;&gt;"Serviço",AND(AUTOEVENTO="Manual",$M468=$A$15),$M468&gt;(ROW(PLE.lastrow)-ROW(PLE.firstrow))),0,
           IF(OFFSET(PLE!$G$15,$M468-$A$15,CD$13)="",10^12,OFFSET(PLE!$G$15,$M468-$A$15,CD$13)))</f>
        <v>1000000000000</v>
      </c>
      <c r="CE468" s="172">
        <f ca="1">IF(OR($D468&lt;&gt;"Serviço",AND(AUTOEVENTO="Manual",$M468=$A$15),$M468&gt;(ROW(PLE.lastrow)-ROW(PLE.firstrow))),0,
           IF(OFFSET(PLE!$G$15,$M468-$A$15,CE$13)="",10^12,OFFSET(PLE!$G$15,$M468-$A$15,CE$13)))</f>
        <v>1000000000000</v>
      </c>
      <c r="CF468" s="172">
        <f ca="1">IF(OR($D468&lt;&gt;"Serviço",AND(AUTOEVENTO="Manual",$M468=$A$15),$M468&gt;(ROW(PLE.lastrow)-ROW(PLE.firstrow))),0,
           IF(OFFSET(PLE!$G$15,$M468-$A$15,CF$13)="",10^12,OFFSET(PLE!$G$15,$M468-$A$15,CF$13)))</f>
        <v>1000000000000</v>
      </c>
      <c r="CG468" s="172">
        <f ca="1">IF(OR($D468&lt;&gt;"Serviço",AND(AUTOEVENTO="Manual",$M468=$A$15),$M468&gt;(ROW(PLE.lastrow)-ROW(PLE.firstrow))),0,
           IF(OFFSET(PLE!$G$15,$M468-$A$15,CG$13)="",10^12,OFFSET(PLE!$G$15,$M468-$A$15,CG$13)))</f>
        <v>1000000000000</v>
      </c>
      <c r="CH468" s="172">
        <f ca="1">IF(OR($D468&lt;&gt;"Serviço",AND(AUTOEVENTO="Manual",$M468=$A$15),$M468&gt;(ROW(PLE.lastrow)-ROW(PLE.firstrow))),0,
           IF(OFFSET(PLE!$G$15,$M468-$A$15,CH$13)="",10^12,OFFSET(PLE!$G$15,$M468-$A$15,CH$13)))</f>
        <v>1000000000000</v>
      </c>
      <c r="CI468" s="172">
        <f ca="1">IF(OR($D468&lt;&gt;"Serviço",AND(AUTOEVENTO="Manual",$M468=$A$15),$M468&gt;(ROW(PLE.lastrow)-ROW(PLE.firstrow))),0,
           IF(OFFSET(PLE!$G$15,$M468-$A$15,CI$13)="",10^12,OFFSET(PLE!$G$15,$M468-$A$15,CI$13)))</f>
        <v>1000000000000</v>
      </c>
      <c r="CJ468" s="172">
        <f ca="1">IF(OR($D468&lt;&gt;"Serviço",AND(AUTOEVENTO="Manual",$M468=$A$15),$M468&gt;(ROW(PLE.lastrow)-ROW(PLE.firstrow))),0,
           IF(OFFSET(PLE!$G$15,$M468-$A$15,CJ$13)="",10^12,OFFSET(PLE!$G$15,$M468-$A$15,CJ$13)))</f>
        <v>1000000000000</v>
      </c>
      <c r="CK468" s="172">
        <f ca="1">IF(OR($D468&lt;&gt;"Serviço",AND(AUTOEVENTO="Manual",$M468=$A$15),$M468&gt;(ROW(PLE.lastrow)-ROW(PLE.firstrow))),0,
           IF(OFFSET(PLE!$G$15,$M468-$A$15,CK$13)="",10^12,OFFSET(PLE!$G$15,$M468-$A$15,CK$13)))</f>
        <v>1000000000000</v>
      </c>
      <c r="CL468" s="172">
        <f ca="1">IF(OR($D468&lt;&gt;"Serviço",AND(AUTOEVENTO="Manual",$M468=$A$15),$M468&gt;(ROW(PLE.lastrow)-ROW(PLE.firstrow))),0,
           IF(OFFSET(PLE!$G$15,$M468-$A$15,CL$13)="",10^12,OFFSET(PLE!$G$15,$M468-$A$15,CL$13)))</f>
        <v>1000000000000</v>
      </c>
      <c r="CM468" s="172">
        <f ca="1">IF(OR($D468&lt;&gt;"Serviço",AND(AUTOEVENTO="Manual",$M468=$A$15),$M468&gt;(ROW(PLE.lastrow)-ROW(PLE.firstrow))),0,
           IF(OFFSET(PLE!$G$15,$M468-$A$15,CM$13)="",10^12,OFFSET(PLE!$G$15,$M468-$A$15,CM$13)))</f>
        <v>1000000000000</v>
      </c>
    </row>
    <row r="469" spans="1:91" ht="38.25" x14ac:dyDescent="0.2">
      <c r="A469" s="7">
        <f t="shared" ref="A469:A507" ca="1" si="17">IFERROR(IF(AUTOEVENTO="Manual",IF(K469&lt;&gt;"",MIN(VALUE(LEFT(K469,FIND(".",K469)-1)),COUNTA(EVENTOS.Lista)),0),IF(OR($B469&gt;AUTOEVENTO,$B469="S",$B469=0),SUBSTITUTE(OFFSET($A469,-1,0),IF($D469="Serviço",".",""),""),ROW(A469)-ROW($A$15)&amp;".")),0)</f>
        <v>8</v>
      </c>
      <c r="B469" s="7" t="str">
        <f ca="1">OFFSET(ORÇAMENTO!C$15,ROW(B469)-ROW(B$15),0)</f>
        <v>S</v>
      </c>
      <c r="C469" s="7" t="str">
        <f ca="1">OFFSET(ORÇAMENTO!L$15,ROW(C469)-ROW(C$15),0)</f>
        <v>F</v>
      </c>
      <c r="D469" s="116" t="str">
        <f ca="1">OFFSET(ORÇAMENTO!N$15,ROW(D469)-ROW(D$15),0)</f>
        <v>Serviço</v>
      </c>
      <c r="E469" s="117" t="str">
        <f ca="1">OFFSET(ORÇAMENTO!O$15,ROW(E469)-ROW(E$15),0)</f>
        <v>1.9.5.0.7.</v>
      </c>
      <c r="F469" s="163" t="str">
        <f ca="1">OFFSET(ORÇAMENTO!R$15,ROW(F469)-ROW(F$15),0)</f>
        <v>CABO DE FIBRA ÓPTICA, MULTIMODO, LSZH, 2 PARES - BASEADO EM SBC (059560)</v>
      </c>
      <c r="G469" s="164" t="str">
        <f ca="1">IF($D469&lt;&gt;"Serviço","",OFFSET(ORÇAMENTO!S$15,ROW(G469)-ROW(G$15),0))</f>
        <v>M</v>
      </c>
      <c r="H469" s="122" cm="1">
        <f t="array" aca="1" ref="H469" ca="1">IF($D469&lt;&gt;"Serviço",0,IF(ACOMPANHAMENTO="BM",ROUND(OFFSET(ORÇAMENTO!AJ$15,ROW(H469)-ROW(H$15),0),15-13*ORÇAMENTO!$AF$7),SUMPRODUCT(($Q$1:$AI$1=1)*ROUND($Q469:$AI469,15-13*ORÇAMENTO!$AF$7))))</f>
        <v>653</v>
      </c>
      <c r="I469" s="468" t="s">
        <v>1432</v>
      </c>
      <c r="J469" s="640" t="str" cm="1">
        <f t="array" aca="1" ref="J469" ca="1">IF(OR(B469&lt;&gt;"S",CÁLCULO.FrentesPreenchidas=0),"",IF(AND(ACOMPANHAMENTO="PLE",AUTOEVENTO="Manual",OR(H469&gt;0,ORÇAMENTO!AC469="QUANT."),OR(K469="",M469=0,N469="")),"►E",IF(AND(ACOMPANHAMENTO="PLE",ORÇAMENTO!AC469="QUANT."),"►Q",IF(AND(ACOMPANHAMENTO="PLE",H469&lt;&gt;SUMPRODUCT(($Q$1:$AI$1=1)*ROUND(Q469:AI469,15))),"►S",IF(AND(COUNTIF($P$11:$AI$11,"▼")=0,H469&gt;0,I469=""),"◄M","")))))</f>
        <v/>
      </c>
      <c r="K469" s="641" t="s">
        <v>1392</v>
      </c>
      <c r="L469" s="165" t="s">
        <v>764</v>
      </c>
      <c r="M469" s="166">
        <f ca="1">IF($D469&lt;&gt;"Serviço","",
          IF(AUTOEVENTO="manual",$A469,
                IF(ISERROR(MATCH($A469,$A$15:OFFSET($A469,-1,0),0)),MAX($M$15:OFFSET(M469,-1,0))+1,
                      INDEX($M$15:OFFSET(M469,-1,0),MATCH($A469,$A$15:OFFSET($A469,-1,0),0)))))</f>
        <v>8</v>
      </c>
      <c r="N469" s="167" t="str">
        <f ca="1">IF($D469&lt;&gt;"Serviço","",
         IF(AUTOEVENTO="Manual",
                IF($A469=0,"&lt;-- defina o número do agrupador",
                       OFFSET(EVENTOS!$D$15,$A469-$A$15,0)),
                OFFSET($F$15,$A469,0)))</f>
        <v>CFTV</v>
      </c>
      <c r="O469" s="168"/>
      <c r="Q469" s="168"/>
      <c r="R469" s="169"/>
      <c r="S469" s="169"/>
      <c r="T469" s="169"/>
      <c r="U469" s="169"/>
      <c r="V469" s="169"/>
      <c r="W469" s="169"/>
      <c r="X469" s="169"/>
      <c r="Y469" s="169">
        <v>653</v>
      </c>
      <c r="Z469" s="170"/>
      <c r="AA469" s="169"/>
      <c r="AB469" s="169"/>
      <c r="AC469" s="169"/>
      <c r="AD469" s="169"/>
      <c r="AE469" s="169"/>
      <c r="AF469" s="169"/>
      <c r="AG469" s="169"/>
      <c r="AH469" s="170"/>
      <c r="AJ469" s="453">
        <f ca="1">IF(AND($D469="Serviço",AJ$12&lt;&gt;0,$H469&gt;0,OR(AUTOEVENTO&lt;&gt;"manual",$M469&lt;&gt;$A$15)),
        IF(Import.TipoArredondamento&lt;&gt;"TransfereGOV",
              ROUND(OFFSET($P469,0,AJ$13),15-13*ORÇAMENTO!$AF$7)/$H469*OFFSET(ORÇAMENTO!$X$15,ROW(AJ469)-ROW(AJ$15),0),
              ROUND(ROUND(OFFSET($P469,0,AJ$13),15-13*ORÇAMENTO!$AF$7)*OFFSET(ORÇAMENTO!$W$15,ROW(AJ469)-ROW(AJ$15),0),15-13*ORÇAMENTO!$AF$11)),
         0)</f>
        <v>0</v>
      </c>
      <c r="AK469" s="453">
        <f ca="1">IF(AND($D469="Serviço",AK$12&lt;&gt;0,$H469&gt;0,OR(AUTOEVENTO&lt;&gt;"manual",$M469&lt;&gt;$A$15)),
        IF(Import.TipoArredondamento&lt;&gt;"TransfereGOV",
              ROUND(OFFSET($P469,0,AK$13),15-13*ORÇAMENTO!$AF$7)/$H469*OFFSET(ORÇAMENTO!$X$15,ROW(AK469)-ROW(AK$15),0),
              ROUND(ROUND(OFFSET($P469,0,AK$13),15-13*ORÇAMENTO!$AF$7)*OFFSET(ORÇAMENTO!$W$15,ROW(AK469)-ROW(AK$15),0),15-13*ORÇAMENTO!$AF$11)),
         0)</f>
        <v>0</v>
      </c>
      <c r="AL469" s="453">
        <f ca="1">IF(AND($D469="Serviço",AL$12&lt;&gt;0,$H469&gt;0,OR(AUTOEVENTO&lt;&gt;"manual",$M469&lt;&gt;$A$15)),
        IF(Import.TipoArredondamento&lt;&gt;"TransfereGOV",
              ROUND(OFFSET($P469,0,AL$13),15-13*ORÇAMENTO!$AF$7)/$H469*OFFSET(ORÇAMENTO!$X$15,ROW(AL469)-ROW(AL$15),0),
              ROUND(ROUND(OFFSET($P469,0,AL$13),15-13*ORÇAMENTO!$AF$7)*OFFSET(ORÇAMENTO!$W$15,ROW(AL469)-ROW(AL$15),0),15-13*ORÇAMENTO!$AF$11)),
         0)</f>
        <v>0</v>
      </c>
      <c r="AM469" s="453">
        <f ca="1">IF(AND($D469="Serviço",AM$12&lt;&gt;0,$H469&gt;0,OR(AUTOEVENTO&lt;&gt;"manual",$M469&lt;&gt;$A$15)),
        IF(Import.TipoArredondamento&lt;&gt;"TransfereGOV",
              ROUND(OFFSET($P469,0,AM$13),15-13*ORÇAMENTO!$AF$7)/$H469*OFFSET(ORÇAMENTO!$X$15,ROW(AM469)-ROW(AM$15),0),
              ROUND(ROUND(OFFSET($P469,0,AM$13),15-13*ORÇAMENTO!$AF$7)*OFFSET(ORÇAMENTO!$W$15,ROW(AM469)-ROW(AM$15),0),15-13*ORÇAMENTO!$AF$11)),
         0)</f>
        <v>0</v>
      </c>
      <c r="AN469" s="453">
        <f ca="1">IF(AND($D469="Serviço",AN$12&lt;&gt;0,$H469&gt;0,OR(AUTOEVENTO&lt;&gt;"manual",$M469&lt;&gt;$A$15)),
        IF(Import.TipoArredondamento&lt;&gt;"TransfereGOV",
              ROUND(OFFSET($P469,0,AN$13),15-13*ORÇAMENTO!$AF$7)/$H469*OFFSET(ORÇAMENTO!$X$15,ROW(AN469)-ROW(AN$15),0),
              ROUND(ROUND(OFFSET($P469,0,AN$13),15-13*ORÇAMENTO!$AF$7)*OFFSET(ORÇAMENTO!$W$15,ROW(AN469)-ROW(AN$15),0),15-13*ORÇAMENTO!$AF$11)),
         0)</f>
        <v>0</v>
      </c>
      <c r="AO469" s="453">
        <f ca="1">IF(AND($D469="Serviço",AO$12&lt;&gt;0,$H469&gt;0,OR(AUTOEVENTO&lt;&gt;"manual",$M469&lt;&gt;$A$15)),
        IF(Import.TipoArredondamento&lt;&gt;"TransfereGOV",
              ROUND(OFFSET($P469,0,AO$13),15-13*ORÇAMENTO!$AF$7)/$H469*OFFSET(ORÇAMENTO!$X$15,ROW(AO469)-ROW(AO$15),0),
              ROUND(ROUND(OFFSET($P469,0,AO$13),15-13*ORÇAMENTO!$AF$7)*OFFSET(ORÇAMENTO!$W$15,ROW(AO469)-ROW(AO$15),0),15-13*ORÇAMENTO!$AF$11)),
         0)</f>
        <v>0</v>
      </c>
      <c r="AP469" s="453">
        <f ca="1">IF(AND($D469="Serviço",AP$12&lt;&gt;0,$H469&gt;0,OR(AUTOEVENTO&lt;&gt;"manual",$M469&lt;&gt;$A$15)),
        IF(Import.TipoArredondamento&lt;&gt;"TransfereGOV",
              ROUND(OFFSET($P469,0,AP$13),15-13*ORÇAMENTO!$AF$7)/$H469*OFFSET(ORÇAMENTO!$X$15,ROW(AP469)-ROW(AP$15),0),
              ROUND(ROUND(OFFSET($P469,0,AP$13),15-13*ORÇAMENTO!$AF$7)*OFFSET(ORÇAMENTO!$W$15,ROW(AP469)-ROW(AP$15),0),15-13*ORÇAMENTO!$AF$11)),
         0)</f>
        <v>0</v>
      </c>
      <c r="AQ469" s="453">
        <f ca="1">IF(AND($D469="Serviço",AQ$12&lt;&gt;0,$H469&gt;0,OR(AUTOEVENTO&lt;&gt;"manual",$M469&lt;&gt;$A$15)),
        IF(Import.TipoArredondamento&lt;&gt;"TransfereGOV",
              ROUND(OFFSET($P469,0,AQ$13),15-13*ORÇAMENTO!$AF$7)/$H469*OFFSET(ORÇAMENTO!$X$15,ROW(AQ469)-ROW(AQ$15),0),
              ROUND(ROUND(OFFSET($P469,0,AQ$13),15-13*ORÇAMENTO!$AF$7)*OFFSET(ORÇAMENTO!$W$15,ROW(AQ469)-ROW(AQ$15),0),15-13*ORÇAMENTO!$AF$11)),
         0)</f>
        <v>0</v>
      </c>
      <c r="AR469" s="453">
        <f ca="1">IF(AND($D469="Serviço",AR$12&lt;&gt;0,$H469&gt;0,OR(AUTOEVENTO&lt;&gt;"manual",$M469&lt;&gt;$A$15)),
        IF(Import.TipoArredondamento&lt;&gt;"TransfereGOV",
              ROUND(OFFSET($P469,0,AR$13),15-13*ORÇAMENTO!$AF$7)/$H469*OFFSET(ORÇAMENTO!$X$15,ROW(AR469)-ROW(AR$15),0),
              ROUND(ROUND(OFFSET($P469,0,AR$13),15-13*ORÇAMENTO!$AF$7)*OFFSET(ORÇAMENTO!$W$15,ROW(AR469)-ROW(AR$15),0),15-13*ORÇAMENTO!$AF$11)),
         0)</f>
        <v>0</v>
      </c>
      <c r="AS469" s="453">
        <f ca="1">IF(AND($D469="Serviço",AS$12&lt;&gt;0,$H469&gt;0,OR(AUTOEVENTO&lt;&gt;"manual",$M469&lt;&gt;$A$15)),
        IF(Import.TipoArredondamento&lt;&gt;"TransfereGOV",
              ROUND(OFFSET($P469,0,AS$13),15-13*ORÇAMENTO!$AF$7)/$H469*OFFSET(ORÇAMENTO!$X$15,ROW(AS469)-ROW(AS$15),0),
              ROUND(ROUND(OFFSET($P469,0,AS$13),15-13*ORÇAMENTO!$AF$7)*OFFSET(ORÇAMENTO!$W$15,ROW(AS469)-ROW(AS$15),0),15-13*ORÇAMENTO!$AF$11)),
         0)</f>
        <v>0</v>
      </c>
      <c r="AT469" s="453">
        <f ca="1">IF(AND($D469="Serviço",AT$12&lt;&gt;0,$H469&gt;0,OR(AUTOEVENTO&lt;&gt;"manual",$M469&lt;&gt;$A$15)),
        IF(Import.TipoArredondamento&lt;&gt;"TransfereGOV",
              ROUND(OFFSET($P469,0,AT$13),15-13*ORÇAMENTO!$AF$7)/$H469*OFFSET(ORÇAMENTO!$X$15,ROW(AT469)-ROW(AT$15),0),
              ROUND(ROUND(OFFSET($P469,0,AT$13),15-13*ORÇAMENTO!$AF$7)*OFFSET(ORÇAMENTO!$W$15,ROW(AT469)-ROW(AT$15),0),15-13*ORÇAMENTO!$AF$11)),
         0)</f>
        <v>0</v>
      </c>
      <c r="AU469" s="453">
        <f ca="1">IF(AND($D469="Serviço",AU$12&lt;&gt;0,$H469&gt;0,OR(AUTOEVENTO&lt;&gt;"manual",$M469&lt;&gt;$A$15)),
        IF(Import.TipoArredondamento&lt;&gt;"TransfereGOV",
              ROUND(OFFSET($P469,0,AU$13),15-13*ORÇAMENTO!$AF$7)/$H469*OFFSET(ORÇAMENTO!$X$15,ROW(AU469)-ROW(AU$15),0),
              ROUND(ROUND(OFFSET($P469,0,AU$13),15-13*ORÇAMENTO!$AF$7)*OFFSET(ORÇAMENTO!$W$15,ROW(AU469)-ROW(AU$15),0),15-13*ORÇAMENTO!$AF$11)),
         0)</f>
        <v>0</v>
      </c>
      <c r="AV469" s="453">
        <f ca="1">IF(AND($D469="Serviço",AV$12&lt;&gt;0,$H469&gt;0,OR(AUTOEVENTO&lt;&gt;"manual",$M469&lt;&gt;$A$15)),
        IF(Import.TipoArredondamento&lt;&gt;"TransfereGOV",
              ROUND(OFFSET($P469,0,AV$13),15-13*ORÇAMENTO!$AF$7)/$H469*OFFSET(ORÇAMENTO!$X$15,ROW(AV469)-ROW(AV$15),0),
              ROUND(ROUND(OFFSET($P469,0,AV$13),15-13*ORÇAMENTO!$AF$7)*OFFSET(ORÇAMENTO!$W$15,ROW(AV469)-ROW(AV$15),0),15-13*ORÇAMENTO!$AF$11)),
         0)</f>
        <v>0</v>
      </c>
      <c r="AW469" s="453">
        <f ca="1">IF(AND($D469="Serviço",AW$12&lt;&gt;0,$H469&gt;0,OR(AUTOEVENTO&lt;&gt;"manual",$M469&lt;&gt;$A$15)),
        IF(Import.TipoArredondamento&lt;&gt;"TransfereGOV",
              ROUND(OFFSET($P469,0,AW$13),15-13*ORÇAMENTO!$AF$7)/$H469*OFFSET(ORÇAMENTO!$X$15,ROW(AW469)-ROW(AW$15),0),
              ROUND(ROUND(OFFSET($P469,0,AW$13),15-13*ORÇAMENTO!$AF$7)*OFFSET(ORÇAMENTO!$W$15,ROW(AW469)-ROW(AW$15),0),15-13*ORÇAMENTO!$AF$11)),
         0)</f>
        <v>0</v>
      </c>
      <c r="AX469" s="453">
        <f ca="1">IF(AND($D469="Serviço",AX$12&lt;&gt;0,$H469&gt;0,OR(AUTOEVENTO&lt;&gt;"manual",$M469&lt;&gt;$A$15)),
        IF(Import.TipoArredondamento&lt;&gt;"TransfereGOV",
              ROUND(OFFSET($P469,0,AX$13),15-13*ORÇAMENTO!$AF$7)/$H469*OFFSET(ORÇAMENTO!$X$15,ROW(AX469)-ROW(AX$15),0),
              ROUND(ROUND(OFFSET($P469,0,AX$13),15-13*ORÇAMENTO!$AF$7)*OFFSET(ORÇAMENTO!$W$15,ROW(AX469)-ROW(AX$15),0),15-13*ORÇAMENTO!$AF$11)),
         0)</f>
        <v>0</v>
      </c>
      <c r="AY469" s="453">
        <f ca="1">IF(AND($D469="Serviço",AY$12&lt;&gt;0,$H469&gt;0,OR(AUTOEVENTO&lt;&gt;"manual",$M469&lt;&gt;$A$15)),
        IF(Import.TipoArredondamento&lt;&gt;"TransfereGOV",
              ROUND(OFFSET($P469,0,AY$13),15-13*ORÇAMENTO!$AF$7)/$H469*OFFSET(ORÇAMENTO!$X$15,ROW(AY469)-ROW(AY$15),0),
              ROUND(ROUND(OFFSET($P469,0,AY$13),15-13*ORÇAMENTO!$AF$7)*OFFSET(ORÇAMENTO!$W$15,ROW(AY469)-ROW(AY$15),0),15-13*ORÇAMENTO!$AF$11)),
         0)</f>
        <v>0</v>
      </c>
      <c r="AZ469" s="453">
        <f ca="1">IF(AND($D469="Serviço",AZ$12&lt;&gt;0,$H469&gt;0,OR(AUTOEVENTO&lt;&gt;"manual",$M469&lt;&gt;$A$15)),
        IF(Import.TipoArredondamento&lt;&gt;"TransfereGOV",
              ROUND(OFFSET($P469,0,AZ$13),15-13*ORÇAMENTO!$AF$7)/$H469*OFFSET(ORÇAMENTO!$X$15,ROW(AZ469)-ROW(AZ$15),0),
              ROUND(ROUND(OFFSET($P469,0,AZ$13),15-13*ORÇAMENTO!$AF$7)*OFFSET(ORÇAMENTO!$W$15,ROW(AZ469)-ROW(AZ$15),0),15-13*ORÇAMENTO!$AF$11)),
         0)</f>
        <v>0</v>
      </c>
      <c r="BA469" s="453">
        <f ca="1">IF(AND($D469="Serviço",BA$12&lt;&gt;0,$H469&gt;0,OR(AUTOEVENTO&lt;&gt;"manual",$M469&lt;&gt;$A$15)),
        IF(Import.TipoArredondamento&lt;&gt;"TransfereGOV",
              ROUND(OFFSET($P469,0,BA$13),15-13*ORÇAMENTO!$AF$7)/$H469*OFFSET(ORÇAMENTO!$X$15,ROW(BA469)-ROW(BA$15),0),
              ROUND(ROUND(OFFSET($P469,0,BA$13),15-13*ORÇAMENTO!$AF$7)*OFFSET(ORÇAMENTO!$W$15,ROW(BA469)-ROW(BA$15),0),15-13*ORÇAMENTO!$AF$11)),
         0)</f>
        <v>0</v>
      </c>
      <c r="BC469" s="171">
        <f ca="1">IF(OR($D469&lt;&gt;"Serviço",AND(AUTOEVENTO="Manual",$M469=$A$15)),0,
         IF(OFFSET(CRONOPLE!$F$15,$M469-$A$15,BC$13)=0,10^12,OFFSET(CRONOPLE!$F$15,$M469-$A$15,BC$13)))</f>
        <v>1</v>
      </c>
      <c r="BD469" s="171">
        <f ca="1">IF(OR($D469&lt;&gt;"Serviço",AND(AUTOEVENTO="Manual",$M469=$A$15)),0,
         IF(OFFSET(CRONOPLE!$F$15,$M469-$A$15,BD$13)=0,10^12,OFFSET(CRONOPLE!$F$15,$M469-$A$15,BD$13)))</f>
        <v>2</v>
      </c>
      <c r="BE469" s="171">
        <f ca="1">IF(OR($D469&lt;&gt;"Serviço",AND(AUTOEVENTO="Manual",$M469=$A$15)),0,
         IF(OFFSET(CRONOPLE!$F$15,$M469-$A$15,BE$13)=0,10^12,OFFSET(CRONOPLE!$F$15,$M469-$A$15,BE$13)))</f>
        <v>3</v>
      </c>
      <c r="BF469" s="171">
        <f ca="1">IF(OR($D469&lt;&gt;"Serviço",AND(AUTOEVENTO="Manual",$M469=$A$15)),0,
         IF(OFFSET(CRONOPLE!$F$15,$M469-$A$15,BF$13)=0,10^12,OFFSET(CRONOPLE!$F$15,$M469-$A$15,BF$13)))</f>
        <v>4</v>
      </c>
      <c r="BG469" s="171">
        <f ca="1">IF(OR($D469&lt;&gt;"Serviço",AND(AUTOEVENTO="Manual",$M469=$A$15)),0,
         IF(OFFSET(CRONOPLE!$F$15,$M469-$A$15,BG$13)=0,10^12,OFFSET(CRONOPLE!$F$15,$M469-$A$15,BG$13)))</f>
        <v>5</v>
      </c>
      <c r="BH469" s="171">
        <f ca="1">IF(OR($D469&lt;&gt;"Serviço",AND(AUTOEVENTO="Manual",$M469=$A$15)),0,
         IF(OFFSET(CRONOPLE!$F$15,$M469-$A$15,BH$13)=0,10^12,OFFSET(CRONOPLE!$F$15,$M469-$A$15,BH$13)))</f>
        <v>6</v>
      </c>
      <c r="BI469" s="171">
        <f ca="1">IF(OR($D469&lt;&gt;"Serviço",AND(AUTOEVENTO="Manual",$M469=$A$15)),0,
         IF(OFFSET(CRONOPLE!$F$15,$M469-$A$15,BI$13)=0,10^12,OFFSET(CRONOPLE!$F$15,$M469-$A$15,BI$13)))</f>
        <v>7</v>
      </c>
      <c r="BJ469" s="171">
        <f ca="1">IF(OR($D469&lt;&gt;"Serviço",AND(AUTOEVENTO="Manual",$M469=$A$15)),0,
         IF(OFFSET(CRONOPLE!$F$15,$M469-$A$15,BJ$13)=0,10^12,OFFSET(CRONOPLE!$F$15,$M469-$A$15,BJ$13)))</f>
        <v>8</v>
      </c>
      <c r="BK469" s="171">
        <f ca="1">IF(OR($D469&lt;&gt;"Serviço",AND(AUTOEVENTO="Manual",$M469=$A$15)),0,
         IF(OFFSET(CRONOPLE!$F$15,$M469-$A$15,BK$13)=0,10^12,OFFSET(CRONOPLE!$F$15,$M469-$A$15,BK$13)))</f>
        <v>9</v>
      </c>
      <c r="BL469" s="171">
        <f ca="1">IF(OR($D469&lt;&gt;"Serviço",AND(AUTOEVENTO="Manual",$M469=$A$15)),0,
         IF(OFFSET(CRONOPLE!$F$15,$M469-$A$15,BL$13)=0,10^12,OFFSET(CRONOPLE!$F$15,$M469-$A$15,BL$13)))</f>
        <v>1000000000000</v>
      </c>
      <c r="BM469" s="171">
        <f ca="1">IF(OR($D469&lt;&gt;"Serviço",AND(AUTOEVENTO="Manual",$M469=$A$15)),0,
         IF(OFFSET(CRONOPLE!$F$15,$M469-$A$15,BM$13)=0,10^12,OFFSET(CRONOPLE!$F$15,$M469-$A$15,BM$13)))</f>
        <v>1000000000000</v>
      </c>
      <c r="BN469" s="171">
        <f ca="1">IF(OR($D469&lt;&gt;"Serviço",AND(AUTOEVENTO="Manual",$M469=$A$15)),0,
         IF(OFFSET(CRONOPLE!$F$15,$M469-$A$15,BN$13)=0,10^12,OFFSET(CRONOPLE!$F$15,$M469-$A$15,BN$13)))</f>
        <v>1000000000000</v>
      </c>
      <c r="BO469" s="171">
        <f ca="1">IF(OR($D469&lt;&gt;"Serviço",AND(AUTOEVENTO="Manual",$M469=$A$15)),0,
         IF(OFFSET(CRONOPLE!$F$15,$M469-$A$15,BO$13)=0,10^12,OFFSET(CRONOPLE!$F$15,$M469-$A$15,BO$13)))</f>
        <v>1000000000000</v>
      </c>
      <c r="BP469" s="171">
        <f ca="1">IF(OR($D469&lt;&gt;"Serviço",AND(AUTOEVENTO="Manual",$M469=$A$15)),0,
         IF(OFFSET(CRONOPLE!$F$15,$M469-$A$15,BP$13)=0,10^12,OFFSET(CRONOPLE!$F$15,$M469-$A$15,BP$13)))</f>
        <v>1000000000000</v>
      </c>
      <c r="BQ469" s="171">
        <f ca="1">IF(OR($D469&lt;&gt;"Serviço",AND(AUTOEVENTO="Manual",$M469=$A$15)),0,
         IF(OFFSET(CRONOPLE!$F$15,$M469-$A$15,BQ$13)=0,10^12,OFFSET(CRONOPLE!$F$15,$M469-$A$15,BQ$13)))</f>
        <v>1000000000000</v>
      </c>
      <c r="BR469" s="171">
        <f ca="1">IF(OR($D469&lt;&gt;"Serviço",AND(AUTOEVENTO="Manual",$M469=$A$15)),0,
         IF(OFFSET(CRONOPLE!$F$15,$M469-$A$15,BR$13)=0,10^12,OFFSET(CRONOPLE!$F$15,$M469-$A$15,BR$13)))</f>
        <v>1000000000000</v>
      </c>
      <c r="BS469" s="171">
        <f ca="1">IF(OR($D469&lt;&gt;"Serviço",AND(AUTOEVENTO="Manual",$M469=$A$15)),0,
         IF(OFFSET(CRONOPLE!$F$15,$M469-$A$15,BS$13)=0,10^12,OFFSET(CRONOPLE!$F$15,$M469-$A$15,BS$13)))</f>
        <v>1000000000000</v>
      </c>
      <c r="BT469" s="171">
        <f ca="1">IF(OR($D469&lt;&gt;"Serviço",AND(AUTOEVENTO="Manual",$M469=$A$15)),0,
         IF(OFFSET(CRONOPLE!$F$15,$M469-$A$15,BT$13)=0,10^12,OFFSET(CRONOPLE!$F$15,$M469-$A$15,BT$13)))</f>
        <v>1000000000000</v>
      </c>
      <c r="BV469" s="172">
        <f ca="1">IF(OR($D469&lt;&gt;"Serviço",AND(AUTOEVENTO="Manual",$M469=$A$15),$M469&gt;(ROW(PLE.lastrow)-ROW(PLE.firstrow))),0,
           IF(OFFSET(PLE!$G$15,$M469-$A$15,BV$13)="",10^12,OFFSET(PLE!$G$15,$M469-$A$15,BV$13)))</f>
        <v>1000000000000</v>
      </c>
      <c r="BW469" s="172">
        <f ca="1">IF(OR($D469&lt;&gt;"Serviço",AND(AUTOEVENTO="Manual",$M469=$A$15),$M469&gt;(ROW(PLE.lastrow)-ROW(PLE.firstrow))),0,
           IF(OFFSET(PLE!$G$15,$M469-$A$15,BW$13)="",10^12,OFFSET(PLE!$G$15,$M469-$A$15,BW$13)))</f>
        <v>1000000000000</v>
      </c>
      <c r="BX469" s="172">
        <f ca="1">IF(OR($D469&lt;&gt;"Serviço",AND(AUTOEVENTO="Manual",$M469=$A$15),$M469&gt;(ROW(PLE.lastrow)-ROW(PLE.firstrow))),0,
           IF(OFFSET(PLE!$G$15,$M469-$A$15,BX$13)="",10^12,OFFSET(PLE!$G$15,$M469-$A$15,BX$13)))</f>
        <v>1000000000000</v>
      </c>
      <c r="BY469" s="172">
        <f ca="1">IF(OR($D469&lt;&gt;"Serviço",AND(AUTOEVENTO="Manual",$M469=$A$15),$M469&gt;(ROW(PLE.lastrow)-ROW(PLE.firstrow))),0,
           IF(OFFSET(PLE!$G$15,$M469-$A$15,BY$13)="",10^12,OFFSET(PLE!$G$15,$M469-$A$15,BY$13)))</f>
        <v>1000000000000</v>
      </c>
      <c r="BZ469" s="172">
        <f ca="1">IF(OR($D469&lt;&gt;"Serviço",AND(AUTOEVENTO="Manual",$M469=$A$15),$M469&gt;(ROW(PLE.lastrow)-ROW(PLE.firstrow))),0,
           IF(OFFSET(PLE!$G$15,$M469-$A$15,BZ$13)="",10^12,OFFSET(PLE!$G$15,$M469-$A$15,BZ$13)))</f>
        <v>1000000000000</v>
      </c>
      <c r="CA469" s="172">
        <f ca="1">IF(OR($D469&lt;&gt;"Serviço",AND(AUTOEVENTO="Manual",$M469=$A$15),$M469&gt;(ROW(PLE.lastrow)-ROW(PLE.firstrow))),0,
           IF(OFFSET(PLE!$G$15,$M469-$A$15,CA$13)="",10^12,OFFSET(PLE!$G$15,$M469-$A$15,CA$13)))</f>
        <v>1000000000000</v>
      </c>
      <c r="CB469" s="172">
        <f ca="1">IF(OR($D469&lt;&gt;"Serviço",AND(AUTOEVENTO="Manual",$M469=$A$15),$M469&gt;(ROW(PLE.lastrow)-ROW(PLE.firstrow))),0,
           IF(OFFSET(PLE!$G$15,$M469-$A$15,CB$13)="",10^12,OFFSET(PLE!$G$15,$M469-$A$15,CB$13)))</f>
        <v>1000000000000</v>
      </c>
      <c r="CC469" s="172">
        <f ca="1">IF(OR($D469&lt;&gt;"Serviço",AND(AUTOEVENTO="Manual",$M469=$A$15),$M469&gt;(ROW(PLE.lastrow)-ROW(PLE.firstrow))),0,
           IF(OFFSET(PLE!$G$15,$M469-$A$15,CC$13)="",10^12,OFFSET(PLE!$G$15,$M469-$A$15,CC$13)))</f>
        <v>1000000000000</v>
      </c>
      <c r="CD469" s="172">
        <f ca="1">IF(OR($D469&lt;&gt;"Serviço",AND(AUTOEVENTO="Manual",$M469=$A$15),$M469&gt;(ROW(PLE.lastrow)-ROW(PLE.firstrow))),0,
           IF(OFFSET(PLE!$G$15,$M469-$A$15,CD$13)="",10^12,OFFSET(PLE!$G$15,$M469-$A$15,CD$13)))</f>
        <v>1000000000000</v>
      </c>
      <c r="CE469" s="172">
        <f ca="1">IF(OR($D469&lt;&gt;"Serviço",AND(AUTOEVENTO="Manual",$M469=$A$15),$M469&gt;(ROW(PLE.lastrow)-ROW(PLE.firstrow))),0,
           IF(OFFSET(PLE!$G$15,$M469-$A$15,CE$13)="",10^12,OFFSET(PLE!$G$15,$M469-$A$15,CE$13)))</f>
        <v>1000000000000</v>
      </c>
      <c r="CF469" s="172">
        <f ca="1">IF(OR($D469&lt;&gt;"Serviço",AND(AUTOEVENTO="Manual",$M469=$A$15),$M469&gt;(ROW(PLE.lastrow)-ROW(PLE.firstrow))),0,
           IF(OFFSET(PLE!$G$15,$M469-$A$15,CF$13)="",10^12,OFFSET(PLE!$G$15,$M469-$A$15,CF$13)))</f>
        <v>1000000000000</v>
      </c>
      <c r="CG469" s="172">
        <f ca="1">IF(OR($D469&lt;&gt;"Serviço",AND(AUTOEVENTO="Manual",$M469=$A$15),$M469&gt;(ROW(PLE.lastrow)-ROW(PLE.firstrow))),0,
           IF(OFFSET(PLE!$G$15,$M469-$A$15,CG$13)="",10^12,OFFSET(PLE!$G$15,$M469-$A$15,CG$13)))</f>
        <v>1000000000000</v>
      </c>
      <c r="CH469" s="172">
        <f ca="1">IF(OR($D469&lt;&gt;"Serviço",AND(AUTOEVENTO="Manual",$M469=$A$15),$M469&gt;(ROW(PLE.lastrow)-ROW(PLE.firstrow))),0,
           IF(OFFSET(PLE!$G$15,$M469-$A$15,CH$13)="",10^12,OFFSET(PLE!$G$15,$M469-$A$15,CH$13)))</f>
        <v>1000000000000</v>
      </c>
      <c r="CI469" s="172">
        <f ca="1">IF(OR($D469&lt;&gt;"Serviço",AND(AUTOEVENTO="Manual",$M469=$A$15),$M469&gt;(ROW(PLE.lastrow)-ROW(PLE.firstrow))),0,
           IF(OFFSET(PLE!$G$15,$M469-$A$15,CI$13)="",10^12,OFFSET(PLE!$G$15,$M469-$A$15,CI$13)))</f>
        <v>1000000000000</v>
      </c>
      <c r="CJ469" s="172">
        <f ca="1">IF(OR($D469&lt;&gt;"Serviço",AND(AUTOEVENTO="Manual",$M469=$A$15),$M469&gt;(ROW(PLE.lastrow)-ROW(PLE.firstrow))),0,
           IF(OFFSET(PLE!$G$15,$M469-$A$15,CJ$13)="",10^12,OFFSET(PLE!$G$15,$M469-$A$15,CJ$13)))</f>
        <v>1000000000000</v>
      </c>
      <c r="CK469" s="172">
        <f ca="1">IF(OR($D469&lt;&gt;"Serviço",AND(AUTOEVENTO="Manual",$M469=$A$15),$M469&gt;(ROW(PLE.lastrow)-ROW(PLE.firstrow))),0,
           IF(OFFSET(PLE!$G$15,$M469-$A$15,CK$13)="",10^12,OFFSET(PLE!$G$15,$M469-$A$15,CK$13)))</f>
        <v>1000000000000</v>
      </c>
      <c r="CL469" s="172">
        <f ca="1">IF(OR($D469&lt;&gt;"Serviço",AND(AUTOEVENTO="Manual",$M469=$A$15),$M469&gt;(ROW(PLE.lastrow)-ROW(PLE.firstrow))),0,
           IF(OFFSET(PLE!$G$15,$M469-$A$15,CL$13)="",10^12,OFFSET(PLE!$G$15,$M469-$A$15,CL$13)))</f>
        <v>1000000000000</v>
      </c>
      <c r="CM469" s="172">
        <f ca="1">IF(OR($D469&lt;&gt;"Serviço",AND(AUTOEVENTO="Manual",$M469=$A$15),$M469&gt;(ROW(PLE.lastrow)-ROW(PLE.firstrow))),0,
           IF(OFFSET(PLE!$G$15,$M469-$A$15,CM$13)="",10^12,OFFSET(PLE!$G$15,$M469-$A$15,CM$13)))</f>
        <v>1000000000000</v>
      </c>
    </row>
    <row r="470" spans="1:91" ht="38.25" x14ac:dyDescent="0.2">
      <c r="A470" s="7">
        <f t="shared" ca="1" si="17"/>
        <v>8</v>
      </c>
      <c r="B470" s="7" t="str">
        <f ca="1">OFFSET(ORÇAMENTO!C$15,ROW(B470)-ROW(B$15),0)</f>
        <v>S</v>
      </c>
      <c r="C470" s="7" t="str">
        <f ca="1">OFFSET(ORÇAMENTO!L$15,ROW(C470)-ROW(C$15),0)</f>
        <v>F</v>
      </c>
      <c r="D470" s="116" t="str">
        <f ca="1">OFFSET(ORÇAMENTO!N$15,ROW(D470)-ROW(D$15),0)</f>
        <v>Serviço</v>
      </c>
      <c r="E470" s="117" t="str">
        <f ca="1">OFFSET(ORÇAMENTO!O$15,ROW(E470)-ROW(E$15),0)</f>
        <v>1.9.5.0.8.</v>
      </c>
      <c r="F470" s="163" t="str">
        <f ca="1">OFFSET(ORÇAMENTO!R$15,ROW(F470)-ROW(F$15),0)</f>
        <v>CORDAO OPTICO DUPLEX MULTIMODO, CONECTORES DIVERSOS - 1,5M OU 2,5 M - BASEADO EM SBC (059566)</v>
      </c>
      <c r="G470" s="164" t="str">
        <f ca="1">IF($D470&lt;&gt;"Serviço","",OFFSET(ORÇAMENTO!S$15,ROW(G470)-ROW(G$15),0))</f>
        <v>UN</v>
      </c>
      <c r="H470" s="122" cm="1">
        <f t="array" aca="1" ref="H470" ca="1">IF($D470&lt;&gt;"Serviço",0,IF(ACOMPANHAMENTO="BM",ROUND(OFFSET(ORÇAMENTO!AJ$15,ROW(H470)-ROW(H$15),0),15-13*ORÇAMENTO!$AF$7),SUMPRODUCT(($Q$1:$AI$1=1)*ROUND($Q470:$AI470,15-13*ORÇAMENTO!$AF$7))))</f>
        <v>3</v>
      </c>
      <c r="I470" s="468" t="s">
        <v>1432</v>
      </c>
      <c r="J470" s="640" t="str" cm="1">
        <f t="array" aca="1" ref="J470" ca="1">IF(OR(B470&lt;&gt;"S",CÁLCULO.FrentesPreenchidas=0),"",IF(AND(ACOMPANHAMENTO="PLE",AUTOEVENTO="Manual",OR(H470&gt;0,ORÇAMENTO!AC470="QUANT."),OR(K470="",M470=0,N470="")),"►E",IF(AND(ACOMPANHAMENTO="PLE",ORÇAMENTO!AC470="QUANT."),"►Q",IF(AND(ACOMPANHAMENTO="PLE",H470&lt;&gt;SUMPRODUCT(($Q$1:$AI$1=1)*ROUND(Q470:AI470,15))),"►S",IF(AND(COUNTIF($P$11:$AI$11,"▼")=0,H470&gt;0,I470=""),"◄M","")))))</f>
        <v/>
      </c>
      <c r="K470" s="641" t="s">
        <v>1392</v>
      </c>
      <c r="L470" s="165" t="s">
        <v>764</v>
      </c>
      <c r="M470" s="166">
        <f ca="1">IF($D470&lt;&gt;"Serviço","",
          IF(AUTOEVENTO="manual",$A470,
                IF(ISERROR(MATCH($A470,$A$15:OFFSET($A470,-1,0),0)),MAX($M$15:OFFSET(M470,-1,0))+1,
                      INDEX($M$15:OFFSET(M470,-1,0),MATCH($A470,$A$15:OFFSET($A470,-1,0),0)))))</f>
        <v>8</v>
      </c>
      <c r="N470" s="167" t="str">
        <f ca="1">IF($D470&lt;&gt;"Serviço","",
         IF(AUTOEVENTO="Manual",
                IF($A470=0,"&lt;-- defina o número do agrupador",
                       OFFSET(EVENTOS!$D$15,$A470-$A$15,0)),
                OFFSET($F$15,$A470,0)))</f>
        <v>CFTV</v>
      </c>
      <c r="O470" s="168"/>
      <c r="Q470" s="168"/>
      <c r="R470" s="169"/>
      <c r="S470" s="169"/>
      <c r="T470" s="169"/>
      <c r="U470" s="169"/>
      <c r="V470" s="169"/>
      <c r="W470" s="169"/>
      <c r="X470" s="169"/>
      <c r="Y470" s="169">
        <v>3</v>
      </c>
      <c r="Z470" s="170"/>
      <c r="AA470" s="169"/>
      <c r="AB470" s="169"/>
      <c r="AC470" s="169"/>
      <c r="AD470" s="169"/>
      <c r="AE470" s="169"/>
      <c r="AF470" s="169"/>
      <c r="AG470" s="169"/>
      <c r="AH470" s="170"/>
      <c r="AJ470" s="453">
        <f ca="1">IF(AND($D470="Serviço",AJ$12&lt;&gt;0,$H470&gt;0,OR(AUTOEVENTO&lt;&gt;"manual",$M470&lt;&gt;$A$15)),
        IF(Import.TipoArredondamento&lt;&gt;"TransfereGOV",
              ROUND(OFFSET($P470,0,AJ$13),15-13*ORÇAMENTO!$AF$7)/$H470*OFFSET(ORÇAMENTO!$X$15,ROW(AJ470)-ROW(AJ$15),0),
              ROUND(ROUND(OFFSET($P470,0,AJ$13),15-13*ORÇAMENTO!$AF$7)*OFFSET(ORÇAMENTO!$W$15,ROW(AJ470)-ROW(AJ$15),0),15-13*ORÇAMENTO!$AF$11)),
         0)</f>
        <v>0</v>
      </c>
      <c r="AK470" s="453">
        <f ca="1">IF(AND($D470="Serviço",AK$12&lt;&gt;0,$H470&gt;0,OR(AUTOEVENTO&lt;&gt;"manual",$M470&lt;&gt;$A$15)),
        IF(Import.TipoArredondamento&lt;&gt;"TransfereGOV",
              ROUND(OFFSET($P470,0,AK$13),15-13*ORÇAMENTO!$AF$7)/$H470*OFFSET(ORÇAMENTO!$X$15,ROW(AK470)-ROW(AK$15),0),
              ROUND(ROUND(OFFSET($P470,0,AK$13),15-13*ORÇAMENTO!$AF$7)*OFFSET(ORÇAMENTO!$W$15,ROW(AK470)-ROW(AK$15),0),15-13*ORÇAMENTO!$AF$11)),
         0)</f>
        <v>0</v>
      </c>
      <c r="AL470" s="453">
        <f ca="1">IF(AND($D470="Serviço",AL$12&lt;&gt;0,$H470&gt;0,OR(AUTOEVENTO&lt;&gt;"manual",$M470&lt;&gt;$A$15)),
        IF(Import.TipoArredondamento&lt;&gt;"TransfereGOV",
              ROUND(OFFSET($P470,0,AL$13),15-13*ORÇAMENTO!$AF$7)/$H470*OFFSET(ORÇAMENTO!$X$15,ROW(AL470)-ROW(AL$15),0),
              ROUND(ROUND(OFFSET($P470,0,AL$13),15-13*ORÇAMENTO!$AF$7)*OFFSET(ORÇAMENTO!$W$15,ROW(AL470)-ROW(AL$15),0),15-13*ORÇAMENTO!$AF$11)),
         0)</f>
        <v>0</v>
      </c>
      <c r="AM470" s="453">
        <f ca="1">IF(AND($D470="Serviço",AM$12&lt;&gt;0,$H470&gt;0,OR(AUTOEVENTO&lt;&gt;"manual",$M470&lt;&gt;$A$15)),
        IF(Import.TipoArredondamento&lt;&gt;"TransfereGOV",
              ROUND(OFFSET($P470,0,AM$13),15-13*ORÇAMENTO!$AF$7)/$H470*OFFSET(ORÇAMENTO!$X$15,ROW(AM470)-ROW(AM$15),0),
              ROUND(ROUND(OFFSET($P470,0,AM$13),15-13*ORÇAMENTO!$AF$7)*OFFSET(ORÇAMENTO!$W$15,ROW(AM470)-ROW(AM$15),0),15-13*ORÇAMENTO!$AF$11)),
         0)</f>
        <v>0</v>
      </c>
      <c r="AN470" s="453">
        <f ca="1">IF(AND($D470="Serviço",AN$12&lt;&gt;0,$H470&gt;0,OR(AUTOEVENTO&lt;&gt;"manual",$M470&lt;&gt;$A$15)),
        IF(Import.TipoArredondamento&lt;&gt;"TransfereGOV",
              ROUND(OFFSET($P470,0,AN$13),15-13*ORÇAMENTO!$AF$7)/$H470*OFFSET(ORÇAMENTO!$X$15,ROW(AN470)-ROW(AN$15),0),
              ROUND(ROUND(OFFSET($P470,0,AN$13),15-13*ORÇAMENTO!$AF$7)*OFFSET(ORÇAMENTO!$W$15,ROW(AN470)-ROW(AN$15),0),15-13*ORÇAMENTO!$AF$11)),
         0)</f>
        <v>0</v>
      </c>
      <c r="AO470" s="453">
        <f ca="1">IF(AND($D470="Serviço",AO$12&lt;&gt;0,$H470&gt;0,OR(AUTOEVENTO&lt;&gt;"manual",$M470&lt;&gt;$A$15)),
        IF(Import.TipoArredondamento&lt;&gt;"TransfereGOV",
              ROUND(OFFSET($P470,0,AO$13),15-13*ORÇAMENTO!$AF$7)/$H470*OFFSET(ORÇAMENTO!$X$15,ROW(AO470)-ROW(AO$15),0),
              ROUND(ROUND(OFFSET($P470,0,AO$13),15-13*ORÇAMENTO!$AF$7)*OFFSET(ORÇAMENTO!$W$15,ROW(AO470)-ROW(AO$15),0),15-13*ORÇAMENTO!$AF$11)),
         0)</f>
        <v>0</v>
      </c>
      <c r="AP470" s="453">
        <f ca="1">IF(AND($D470="Serviço",AP$12&lt;&gt;0,$H470&gt;0,OR(AUTOEVENTO&lt;&gt;"manual",$M470&lt;&gt;$A$15)),
        IF(Import.TipoArredondamento&lt;&gt;"TransfereGOV",
              ROUND(OFFSET($P470,0,AP$13),15-13*ORÇAMENTO!$AF$7)/$H470*OFFSET(ORÇAMENTO!$X$15,ROW(AP470)-ROW(AP$15),0),
              ROUND(ROUND(OFFSET($P470,0,AP$13),15-13*ORÇAMENTO!$AF$7)*OFFSET(ORÇAMENTO!$W$15,ROW(AP470)-ROW(AP$15),0),15-13*ORÇAMENTO!$AF$11)),
         0)</f>
        <v>0</v>
      </c>
      <c r="AQ470" s="453">
        <f ca="1">IF(AND($D470="Serviço",AQ$12&lt;&gt;0,$H470&gt;0,OR(AUTOEVENTO&lt;&gt;"manual",$M470&lt;&gt;$A$15)),
        IF(Import.TipoArredondamento&lt;&gt;"TransfereGOV",
              ROUND(OFFSET($P470,0,AQ$13),15-13*ORÇAMENTO!$AF$7)/$H470*OFFSET(ORÇAMENTO!$X$15,ROW(AQ470)-ROW(AQ$15),0),
              ROUND(ROUND(OFFSET($P470,0,AQ$13),15-13*ORÇAMENTO!$AF$7)*OFFSET(ORÇAMENTO!$W$15,ROW(AQ470)-ROW(AQ$15),0),15-13*ORÇAMENTO!$AF$11)),
         0)</f>
        <v>0</v>
      </c>
      <c r="AR470" s="453">
        <f ca="1">IF(AND($D470="Serviço",AR$12&lt;&gt;0,$H470&gt;0,OR(AUTOEVENTO&lt;&gt;"manual",$M470&lt;&gt;$A$15)),
        IF(Import.TipoArredondamento&lt;&gt;"TransfereGOV",
              ROUND(OFFSET($P470,0,AR$13),15-13*ORÇAMENTO!$AF$7)/$H470*OFFSET(ORÇAMENTO!$X$15,ROW(AR470)-ROW(AR$15),0),
              ROUND(ROUND(OFFSET($P470,0,AR$13),15-13*ORÇAMENTO!$AF$7)*OFFSET(ORÇAMENTO!$W$15,ROW(AR470)-ROW(AR$15),0),15-13*ORÇAMENTO!$AF$11)),
         0)</f>
        <v>0</v>
      </c>
      <c r="AS470" s="453">
        <f ca="1">IF(AND($D470="Serviço",AS$12&lt;&gt;0,$H470&gt;0,OR(AUTOEVENTO&lt;&gt;"manual",$M470&lt;&gt;$A$15)),
        IF(Import.TipoArredondamento&lt;&gt;"TransfereGOV",
              ROUND(OFFSET($P470,0,AS$13),15-13*ORÇAMENTO!$AF$7)/$H470*OFFSET(ORÇAMENTO!$X$15,ROW(AS470)-ROW(AS$15),0),
              ROUND(ROUND(OFFSET($P470,0,AS$13),15-13*ORÇAMENTO!$AF$7)*OFFSET(ORÇAMENTO!$W$15,ROW(AS470)-ROW(AS$15),0),15-13*ORÇAMENTO!$AF$11)),
         0)</f>
        <v>0</v>
      </c>
      <c r="AT470" s="453">
        <f ca="1">IF(AND($D470="Serviço",AT$12&lt;&gt;0,$H470&gt;0,OR(AUTOEVENTO&lt;&gt;"manual",$M470&lt;&gt;$A$15)),
        IF(Import.TipoArredondamento&lt;&gt;"TransfereGOV",
              ROUND(OFFSET($P470,0,AT$13),15-13*ORÇAMENTO!$AF$7)/$H470*OFFSET(ORÇAMENTO!$X$15,ROW(AT470)-ROW(AT$15),0),
              ROUND(ROUND(OFFSET($P470,0,AT$13),15-13*ORÇAMENTO!$AF$7)*OFFSET(ORÇAMENTO!$W$15,ROW(AT470)-ROW(AT$15),0),15-13*ORÇAMENTO!$AF$11)),
         0)</f>
        <v>0</v>
      </c>
      <c r="AU470" s="453">
        <f ca="1">IF(AND($D470="Serviço",AU$12&lt;&gt;0,$H470&gt;0,OR(AUTOEVENTO&lt;&gt;"manual",$M470&lt;&gt;$A$15)),
        IF(Import.TipoArredondamento&lt;&gt;"TransfereGOV",
              ROUND(OFFSET($P470,0,AU$13),15-13*ORÇAMENTO!$AF$7)/$H470*OFFSET(ORÇAMENTO!$X$15,ROW(AU470)-ROW(AU$15),0),
              ROUND(ROUND(OFFSET($P470,0,AU$13),15-13*ORÇAMENTO!$AF$7)*OFFSET(ORÇAMENTO!$W$15,ROW(AU470)-ROW(AU$15),0),15-13*ORÇAMENTO!$AF$11)),
         0)</f>
        <v>0</v>
      </c>
      <c r="AV470" s="453">
        <f ca="1">IF(AND($D470="Serviço",AV$12&lt;&gt;0,$H470&gt;0,OR(AUTOEVENTO&lt;&gt;"manual",$M470&lt;&gt;$A$15)),
        IF(Import.TipoArredondamento&lt;&gt;"TransfereGOV",
              ROUND(OFFSET($P470,0,AV$13),15-13*ORÇAMENTO!$AF$7)/$H470*OFFSET(ORÇAMENTO!$X$15,ROW(AV470)-ROW(AV$15),0),
              ROUND(ROUND(OFFSET($P470,0,AV$13),15-13*ORÇAMENTO!$AF$7)*OFFSET(ORÇAMENTO!$W$15,ROW(AV470)-ROW(AV$15),0),15-13*ORÇAMENTO!$AF$11)),
         0)</f>
        <v>0</v>
      </c>
      <c r="AW470" s="453">
        <f ca="1">IF(AND($D470="Serviço",AW$12&lt;&gt;0,$H470&gt;0,OR(AUTOEVENTO&lt;&gt;"manual",$M470&lt;&gt;$A$15)),
        IF(Import.TipoArredondamento&lt;&gt;"TransfereGOV",
              ROUND(OFFSET($P470,0,AW$13),15-13*ORÇAMENTO!$AF$7)/$H470*OFFSET(ORÇAMENTO!$X$15,ROW(AW470)-ROW(AW$15),0),
              ROUND(ROUND(OFFSET($P470,0,AW$13),15-13*ORÇAMENTO!$AF$7)*OFFSET(ORÇAMENTO!$W$15,ROW(AW470)-ROW(AW$15),0),15-13*ORÇAMENTO!$AF$11)),
         0)</f>
        <v>0</v>
      </c>
      <c r="AX470" s="453">
        <f ca="1">IF(AND($D470="Serviço",AX$12&lt;&gt;0,$H470&gt;0,OR(AUTOEVENTO&lt;&gt;"manual",$M470&lt;&gt;$A$15)),
        IF(Import.TipoArredondamento&lt;&gt;"TransfereGOV",
              ROUND(OFFSET($P470,0,AX$13),15-13*ORÇAMENTO!$AF$7)/$H470*OFFSET(ORÇAMENTO!$X$15,ROW(AX470)-ROW(AX$15),0),
              ROUND(ROUND(OFFSET($P470,0,AX$13),15-13*ORÇAMENTO!$AF$7)*OFFSET(ORÇAMENTO!$W$15,ROW(AX470)-ROW(AX$15),0),15-13*ORÇAMENTO!$AF$11)),
         0)</f>
        <v>0</v>
      </c>
      <c r="AY470" s="453">
        <f ca="1">IF(AND($D470="Serviço",AY$12&lt;&gt;0,$H470&gt;0,OR(AUTOEVENTO&lt;&gt;"manual",$M470&lt;&gt;$A$15)),
        IF(Import.TipoArredondamento&lt;&gt;"TransfereGOV",
              ROUND(OFFSET($P470,0,AY$13),15-13*ORÇAMENTO!$AF$7)/$H470*OFFSET(ORÇAMENTO!$X$15,ROW(AY470)-ROW(AY$15),0),
              ROUND(ROUND(OFFSET($P470,0,AY$13),15-13*ORÇAMENTO!$AF$7)*OFFSET(ORÇAMENTO!$W$15,ROW(AY470)-ROW(AY$15),0),15-13*ORÇAMENTO!$AF$11)),
         0)</f>
        <v>0</v>
      </c>
      <c r="AZ470" s="453">
        <f ca="1">IF(AND($D470="Serviço",AZ$12&lt;&gt;0,$H470&gt;0,OR(AUTOEVENTO&lt;&gt;"manual",$M470&lt;&gt;$A$15)),
        IF(Import.TipoArredondamento&lt;&gt;"TransfereGOV",
              ROUND(OFFSET($P470,0,AZ$13),15-13*ORÇAMENTO!$AF$7)/$H470*OFFSET(ORÇAMENTO!$X$15,ROW(AZ470)-ROW(AZ$15),0),
              ROUND(ROUND(OFFSET($P470,0,AZ$13),15-13*ORÇAMENTO!$AF$7)*OFFSET(ORÇAMENTO!$W$15,ROW(AZ470)-ROW(AZ$15),0),15-13*ORÇAMENTO!$AF$11)),
         0)</f>
        <v>0</v>
      </c>
      <c r="BA470" s="453">
        <f ca="1">IF(AND($D470="Serviço",BA$12&lt;&gt;0,$H470&gt;0,OR(AUTOEVENTO&lt;&gt;"manual",$M470&lt;&gt;$A$15)),
        IF(Import.TipoArredondamento&lt;&gt;"TransfereGOV",
              ROUND(OFFSET($P470,0,BA$13),15-13*ORÇAMENTO!$AF$7)/$H470*OFFSET(ORÇAMENTO!$X$15,ROW(BA470)-ROW(BA$15),0),
              ROUND(ROUND(OFFSET($P470,0,BA$13),15-13*ORÇAMENTO!$AF$7)*OFFSET(ORÇAMENTO!$W$15,ROW(BA470)-ROW(BA$15),0),15-13*ORÇAMENTO!$AF$11)),
         0)</f>
        <v>0</v>
      </c>
      <c r="BC470" s="171">
        <f ca="1">IF(OR($D470&lt;&gt;"Serviço",AND(AUTOEVENTO="Manual",$M470=$A$15)),0,
         IF(OFFSET(CRONOPLE!$F$15,$M470-$A$15,BC$13)=0,10^12,OFFSET(CRONOPLE!$F$15,$M470-$A$15,BC$13)))</f>
        <v>1</v>
      </c>
      <c r="BD470" s="171">
        <f ca="1">IF(OR($D470&lt;&gt;"Serviço",AND(AUTOEVENTO="Manual",$M470=$A$15)),0,
         IF(OFFSET(CRONOPLE!$F$15,$M470-$A$15,BD$13)=0,10^12,OFFSET(CRONOPLE!$F$15,$M470-$A$15,BD$13)))</f>
        <v>2</v>
      </c>
      <c r="BE470" s="171">
        <f ca="1">IF(OR($D470&lt;&gt;"Serviço",AND(AUTOEVENTO="Manual",$M470=$A$15)),0,
         IF(OFFSET(CRONOPLE!$F$15,$M470-$A$15,BE$13)=0,10^12,OFFSET(CRONOPLE!$F$15,$M470-$A$15,BE$13)))</f>
        <v>3</v>
      </c>
      <c r="BF470" s="171">
        <f ca="1">IF(OR($D470&lt;&gt;"Serviço",AND(AUTOEVENTO="Manual",$M470=$A$15)),0,
         IF(OFFSET(CRONOPLE!$F$15,$M470-$A$15,BF$13)=0,10^12,OFFSET(CRONOPLE!$F$15,$M470-$A$15,BF$13)))</f>
        <v>4</v>
      </c>
      <c r="BG470" s="171">
        <f ca="1">IF(OR($D470&lt;&gt;"Serviço",AND(AUTOEVENTO="Manual",$M470=$A$15)),0,
         IF(OFFSET(CRONOPLE!$F$15,$M470-$A$15,BG$13)=0,10^12,OFFSET(CRONOPLE!$F$15,$M470-$A$15,BG$13)))</f>
        <v>5</v>
      </c>
      <c r="BH470" s="171">
        <f ca="1">IF(OR($D470&lt;&gt;"Serviço",AND(AUTOEVENTO="Manual",$M470=$A$15)),0,
         IF(OFFSET(CRONOPLE!$F$15,$M470-$A$15,BH$13)=0,10^12,OFFSET(CRONOPLE!$F$15,$M470-$A$15,BH$13)))</f>
        <v>6</v>
      </c>
      <c r="BI470" s="171">
        <f ca="1">IF(OR($D470&lt;&gt;"Serviço",AND(AUTOEVENTO="Manual",$M470=$A$15)),0,
         IF(OFFSET(CRONOPLE!$F$15,$M470-$A$15,BI$13)=0,10^12,OFFSET(CRONOPLE!$F$15,$M470-$A$15,BI$13)))</f>
        <v>7</v>
      </c>
      <c r="BJ470" s="171">
        <f ca="1">IF(OR($D470&lt;&gt;"Serviço",AND(AUTOEVENTO="Manual",$M470=$A$15)),0,
         IF(OFFSET(CRONOPLE!$F$15,$M470-$A$15,BJ$13)=0,10^12,OFFSET(CRONOPLE!$F$15,$M470-$A$15,BJ$13)))</f>
        <v>8</v>
      </c>
      <c r="BK470" s="171">
        <f ca="1">IF(OR($D470&lt;&gt;"Serviço",AND(AUTOEVENTO="Manual",$M470=$A$15)),0,
         IF(OFFSET(CRONOPLE!$F$15,$M470-$A$15,BK$13)=0,10^12,OFFSET(CRONOPLE!$F$15,$M470-$A$15,BK$13)))</f>
        <v>9</v>
      </c>
      <c r="BL470" s="171">
        <f ca="1">IF(OR($D470&lt;&gt;"Serviço",AND(AUTOEVENTO="Manual",$M470=$A$15)),0,
         IF(OFFSET(CRONOPLE!$F$15,$M470-$A$15,BL$13)=0,10^12,OFFSET(CRONOPLE!$F$15,$M470-$A$15,BL$13)))</f>
        <v>1000000000000</v>
      </c>
      <c r="BM470" s="171">
        <f ca="1">IF(OR($D470&lt;&gt;"Serviço",AND(AUTOEVENTO="Manual",$M470=$A$15)),0,
         IF(OFFSET(CRONOPLE!$F$15,$M470-$A$15,BM$13)=0,10^12,OFFSET(CRONOPLE!$F$15,$M470-$A$15,BM$13)))</f>
        <v>1000000000000</v>
      </c>
      <c r="BN470" s="171">
        <f ca="1">IF(OR($D470&lt;&gt;"Serviço",AND(AUTOEVENTO="Manual",$M470=$A$15)),0,
         IF(OFFSET(CRONOPLE!$F$15,$M470-$A$15,BN$13)=0,10^12,OFFSET(CRONOPLE!$F$15,$M470-$A$15,BN$13)))</f>
        <v>1000000000000</v>
      </c>
      <c r="BO470" s="171">
        <f ca="1">IF(OR($D470&lt;&gt;"Serviço",AND(AUTOEVENTO="Manual",$M470=$A$15)),0,
         IF(OFFSET(CRONOPLE!$F$15,$M470-$A$15,BO$13)=0,10^12,OFFSET(CRONOPLE!$F$15,$M470-$A$15,BO$13)))</f>
        <v>1000000000000</v>
      </c>
      <c r="BP470" s="171">
        <f ca="1">IF(OR($D470&lt;&gt;"Serviço",AND(AUTOEVENTO="Manual",$M470=$A$15)),0,
         IF(OFFSET(CRONOPLE!$F$15,$M470-$A$15,BP$13)=0,10^12,OFFSET(CRONOPLE!$F$15,$M470-$A$15,BP$13)))</f>
        <v>1000000000000</v>
      </c>
      <c r="BQ470" s="171">
        <f ca="1">IF(OR($D470&lt;&gt;"Serviço",AND(AUTOEVENTO="Manual",$M470=$A$15)),0,
         IF(OFFSET(CRONOPLE!$F$15,$M470-$A$15,BQ$13)=0,10^12,OFFSET(CRONOPLE!$F$15,$M470-$A$15,BQ$13)))</f>
        <v>1000000000000</v>
      </c>
      <c r="BR470" s="171">
        <f ca="1">IF(OR($D470&lt;&gt;"Serviço",AND(AUTOEVENTO="Manual",$M470=$A$15)),0,
         IF(OFFSET(CRONOPLE!$F$15,$M470-$A$15,BR$13)=0,10^12,OFFSET(CRONOPLE!$F$15,$M470-$A$15,BR$13)))</f>
        <v>1000000000000</v>
      </c>
      <c r="BS470" s="171">
        <f ca="1">IF(OR($D470&lt;&gt;"Serviço",AND(AUTOEVENTO="Manual",$M470=$A$15)),0,
         IF(OFFSET(CRONOPLE!$F$15,$M470-$A$15,BS$13)=0,10^12,OFFSET(CRONOPLE!$F$15,$M470-$A$15,BS$13)))</f>
        <v>1000000000000</v>
      </c>
      <c r="BT470" s="171">
        <f ca="1">IF(OR($D470&lt;&gt;"Serviço",AND(AUTOEVENTO="Manual",$M470=$A$15)),0,
         IF(OFFSET(CRONOPLE!$F$15,$M470-$A$15,BT$13)=0,10^12,OFFSET(CRONOPLE!$F$15,$M470-$A$15,BT$13)))</f>
        <v>1000000000000</v>
      </c>
      <c r="BV470" s="172">
        <f ca="1">IF(OR($D470&lt;&gt;"Serviço",AND(AUTOEVENTO="Manual",$M470=$A$15),$M470&gt;(ROW(PLE.lastrow)-ROW(PLE.firstrow))),0,
           IF(OFFSET(PLE!$G$15,$M470-$A$15,BV$13)="",10^12,OFFSET(PLE!$G$15,$M470-$A$15,BV$13)))</f>
        <v>1000000000000</v>
      </c>
      <c r="BW470" s="172">
        <f ca="1">IF(OR($D470&lt;&gt;"Serviço",AND(AUTOEVENTO="Manual",$M470=$A$15),$M470&gt;(ROW(PLE.lastrow)-ROW(PLE.firstrow))),0,
           IF(OFFSET(PLE!$G$15,$M470-$A$15,BW$13)="",10^12,OFFSET(PLE!$G$15,$M470-$A$15,BW$13)))</f>
        <v>1000000000000</v>
      </c>
      <c r="BX470" s="172">
        <f ca="1">IF(OR($D470&lt;&gt;"Serviço",AND(AUTOEVENTO="Manual",$M470=$A$15),$M470&gt;(ROW(PLE.lastrow)-ROW(PLE.firstrow))),0,
           IF(OFFSET(PLE!$G$15,$M470-$A$15,BX$13)="",10^12,OFFSET(PLE!$G$15,$M470-$A$15,BX$13)))</f>
        <v>1000000000000</v>
      </c>
      <c r="BY470" s="172">
        <f ca="1">IF(OR($D470&lt;&gt;"Serviço",AND(AUTOEVENTO="Manual",$M470=$A$15),$M470&gt;(ROW(PLE.lastrow)-ROW(PLE.firstrow))),0,
           IF(OFFSET(PLE!$G$15,$M470-$A$15,BY$13)="",10^12,OFFSET(PLE!$G$15,$M470-$A$15,BY$13)))</f>
        <v>1000000000000</v>
      </c>
      <c r="BZ470" s="172">
        <f ca="1">IF(OR($D470&lt;&gt;"Serviço",AND(AUTOEVENTO="Manual",$M470=$A$15),$M470&gt;(ROW(PLE.lastrow)-ROW(PLE.firstrow))),0,
           IF(OFFSET(PLE!$G$15,$M470-$A$15,BZ$13)="",10^12,OFFSET(PLE!$G$15,$M470-$A$15,BZ$13)))</f>
        <v>1000000000000</v>
      </c>
      <c r="CA470" s="172">
        <f ca="1">IF(OR($D470&lt;&gt;"Serviço",AND(AUTOEVENTO="Manual",$M470=$A$15),$M470&gt;(ROW(PLE.lastrow)-ROW(PLE.firstrow))),0,
           IF(OFFSET(PLE!$G$15,$M470-$A$15,CA$13)="",10^12,OFFSET(PLE!$G$15,$M470-$A$15,CA$13)))</f>
        <v>1000000000000</v>
      </c>
      <c r="CB470" s="172">
        <f ca="1">IF(OR($D470&lt;&gt;"Serviço",AND(AUTOEVENTO="Manual",$M470=$A$15),$M470&gt;(ROW(PLE.lastrow)-ROW(PLE.firstrow))),0,
           IF(OFFSET(PLE!$G$15,$M470-$A$15,CB$13)="",10^12,OFFSET(PLE!$G$15,$M470-$A$15,CB$13)))</f>
        <v>1000000000000</v>
      </c>
      <c r="CC470" s="172">
        <f ca="1">IF(OR($D470&lt;&gt;"Serviço",AND(AUTOEVENTO="Manual",$M470=$A$15),$M470&gt;(ROW(PLE.lastrow)-ROW(PLE.firstrow))),0,
           IF(OFFSET(PLE!$G$15,$M470-$A$15,CC$13)="",10^12,OFFSET(PLE!$G$15,$M470-$A$15,CC$13)))</f>
        <v>1000000000000</v>
      </c>
      <c r="CD470" s="172">
        <f ca="1">IF(OR($D470&lt;&gt;"Serviço",AND(AUTOEVENTO="Manual",$M470=$A$15),$M470&gt;(ROW(PLE.lastrow)-ROW(PLE.firstrow))),0,
           IF(OFFSET(PLE!$G$15,$M470-$A$15,CD$13)="",10^12,OFFSET(PLE!$G$15,$M470-$A$15,CD$13)))</f>
        <v>1000000000000</v>
      </c>
      <c r="CE470" s="172">
        <f ca="1">IF(OR($D470&lt;&gt;"Serviço",AND(AUTOEVENTO="Manual",$M470=$A$15),$M470&gt;(ROW(PLE.lastrow)-ROW(PLE.firstrow))),0,
           IF(OFFSET(PLE!$G$15,$M470-$A$15,CE$13)="",10^12,OFFSET(PLE!$G$15,$M470-$A$15,CE$13)))</f>
        <v>1000000000000</v>
      </c>
      <c r="CF470" s="172">
        <f ca="1">IF(OR($D470&lt;&gt;"Serviço",AND(AUTOEVENTO="Manual",$M470=$A$15),$M470&gt;(ROW(PLE.lastrow)-ROW(PLE.firstrow))),0,
           IF(OFFSET(PLE!$G$15,$M470-$A$15,CF$13)="",10^12,OFFSET(PLE!$G$15,$M470-$A$15,CF$13)))</f>
        <v>1000000000000</v>
      </c>
      <c r="CG470" s="172">
        <f ca="1">IF(OR($D470&lt;&gt;"Serviço",AND(AUTOEVENTO="Manual",$M470=$A$15),$M470&gt;(ROW(PLE.lastrow)-ROW(PLE.firstrow))),0,
           IF(OFFSET(PLE!$G$15,$M470-$A$15,CG$13)="",10^12,OFFSET(PLE!$G$15,$M470-$A$15,CG$13)))</f>
        <v>1000000000000</v>
      </c>
      <c r="CH470" s="172">
        <f ca="1">IF(OR($D470&lt;&gt;"Serviço",AND(AUTOEVENTO="Manual",$M470=$A$15),$M470&gt;(ROW(PLE.lastrow)-ROW(PLE.firstrow))),0,
           IF(OFFSET(PLE!$G$15,$M470-$A$15,CH$13)="",10^12,OFFSET(PLE!$G$15,$M470-$A$15,CH$13)))</f>
        <v>1000000000000</v>
      </c>
      <c r="CI470" s="172">
        <f ca="1">IF(OR($D470&lt;&gt;"Serviço",AND(AUTOEVENTO="Manual",$M470=$A$15),$M470&gt;(ROW(PLE.lastrow)-ROW(PLE.firstrow))),0,
           IF(OFFSET(PLE!$G$15,$M470-$A$15,CI$13)="",10^12,OFFSET(PLE!$G$15,$M470-$A$15,CI$13)))</f>
        <v>1000000000000</v>
      </c>
      <c r="CJ470" s="172">
        <f ca="1">IF(OR($D470&lt;&gt;"Serviço",AND(AUTOEVENTO="Manual",$M470=$A$15),$M470&gt;(ROW(PLE.lastrow)-ROW(PLE.firstrow))),0,
           IF(OFFSET(PLE!$G$15,$M470-$A$15,CJ$13)="",10^12,OFFSET(PLE!$G$15,$M470-$A$15,CJ$13)))</f>
        <v>1000000000000</v>
      </c>
      <c r="CK470" s="172">
        <f ca="1">IF(OR($D470&lt;&gt;"Serviço",AND(AUTOEVENTO="Manual",$M470=$A$15),$M470&gt;(ROW(PLE.lastrow)-ROW(PLE.firstrow))),0,
           IF(OFFSET(PLE!$G$15,$M470-$A$15,CK$13)="",10^12,OFFSET(PLE!$G$15,$M470-$A$15,CK$13)))</f>
        <v>1000000000000</v>
      </c>
      <c r="CL470" s="172">
        <f ca="1">IF(OR($D470&lt;&gt;"Serviço",AND(AUTOEVENTO="Manual",$M470=$A$15),$M470&gt;(ROW(PLE.lastrow)-ROW(PLE.firstrow))),0,
           IF(OFFSET(PLE!$G$15,$M470-$A$15,CL$13)="",10^12,OFFSET(PLE!$G$15,$M470-$A$15,CL$13)))</f>
        <v>1000000000000</v>
      </c>
      <c r="CM470" s="172">
        <f ca="1">IF(OR($D470&lt;&gt;"Serviço",AND(AUTOEVENTO="Manual",$M470=$A$15),$M470&gt;(ROW(PLE.lastrow)-ROW(PLE.firstrow))),0,
           IF(OFFSET(PLE!$G$15,$M470-$A$15,CM$13)="",10^12,OFFSET(PLE!$G$15,$M470-$A$15,CM$13)))</f>
        <v>1000000000000</v>
      </c>
    </row>
    <row r="471" spans="1:91" ht="38.25" x14ac:dyDescent="0.2">
      <c r="A471" s="7">
        <f t="shared" ca="1" si="17"/>
        <v>8</v>
      </c>
      <c r="B471" s="7" t="str">
        <f ca="1">OFFSET(ORÇAMENTO!C$15,ROW(B471)-ROW(B$15),0)</f>
        <v>S</v>
      </c>
      <c r="C471" s="7" t="str">
        <f ca="1">OFFSET(ORÇAMENTO!L$15,ROW(C471)-ROW(C$15),0)</f>
        <v>F</v>
      </c>
      <c r="D471" s="116" t="str">
        <f ca="1">OFFSET(ORÇAMENTO!N$15,ROW(D471)-ROW(D$15),0)</f>
        <v>Serviço</v>
      </c>
      <c r="E471" s="117" t="str">
        <f ca="1">OFFSET(ORÇAMENTO!O$15,ROW(E471)-ROW(E$15),0)</f>
        <v>1.9.5.0.9.</v>
      </c>
      <c r="F471" s="163" t="str">
        <f ca="1">OFFSET(ORÇAMENTO!R$15,ROW(F471)-ROW(F$15),0)</f>
        <v>DISTRIBUIDOR INTERNO OPTICO DIO 24 FIBRAS  - BASEADO EM SBC (059251)</v>
      </c>
      <c r="G471" s="164" t="str">
        <f ca="1">IF($D471&lt;&gt;"Serviço","",OFFSET(ORÇAMENTO!S$15,ROW(G471)-ROW(G$15),0))</f>
        <v>UN</v>
      </c>
      <c r="H471" s="122" cm="1">
        <f t="array" aca="1" ref="H471" ca="1">IF($D471&lt;&gt;"Serviço",0,IF(ACOMPANHAMENTO="BM",ROUND(OFFSET(ORÇAMENTO!AJ$15,ROW(H471)-ROW(H$15),0),15-13*ORÇAMENTO!$AF$7),SUMPRODUCT(($Q$1:$AI$1=1)*ROUND($Q471:$AI471,15-13*ORÇAMENTO!$AF$7))))</f>
        <v>2</v>
      </c>
      <c r="I471" s="468" t="s">
        <v>1432</v>
      </c>
      <c r="J471" s="640" t="str" cm="1">
        <f t="array" aca="1" ref="J471" ca="1">IF(OR(B471&lt;&gt;"S",CÁLCULO.FrentesPreenchidas=0),"",IF(AND(ACOMPANHAMENTO="PLE",AUTOEVENTO="Manual",OR(H471&gt;0,ORÇAMENTO!AC471="QUANT."),OR(K471="",M471=0,N471="")),"►E",IF(AND(ACOMPANHAMENTO="PLE",ORÇAMENTO!AC471="QUANT."),"►Q",IF(AND(ACOMPANHAMENTO="PLE",H471&lt;&gt;SUMPRODUCT(($Q$1:$AI$1=1)*ROUND(Q471:AI471,15))),"►S",IF(AND(COUNTIF($P$11:$AI$11,"▼")=0,H471&gt;0,I471=""),"◄M","")))))</f>
        <v/>
      </c>
      <c r="K471" s="641" t="s">
        <v>1392</v>
      </c>
      <c r="L471" s="165" t="s">
        <v>764</v>
      </c>
      <c r="M471" s="166">
        <f ca="1">IF($D471&lt;&gt;"Serviço","",
          IF(AUTOEVENTO="manual",$A471,
                IF(ISERROR(MATCH($A471,$A$15:OFFSET($A471,-1,0),0)),MAX($M$15:OFFSET(M471,-1,0))+1,
                      INDEX($M$15:OFFSET(M471,-1,0),MATCH($A471,$A$15:OFFSET($A471,-1,0),0)))))</f>
        <v>8</v>
      </c>
      <c r="N471" s="167" t="str">
        <f ca="1">IF($D471&lt;&gt;"Serviço","",
         IF(AUTOEVENTO="Manual",
                IF($A471=0,"&lt;-- defina o número do agrupador",
                       OFFSET(EVENTOS!$D$15,$A471-$A$15,0)),
                OFFSET($F$15,$A471,0)))</f>
        <v>CFTV</v>
      </c>
      <c r="O471" s="168"/>
      <c r="Q471" s="168"/>
      <c r="R471" s="169"/>
      <c r="S471" s="169"/>
      <c r="T471" s="169"/>
      <c r="U471" s="169"/>
      <c r="V471" s="169"/>
      <c r="W471" s="169"/>
      <c r="X471" s="169"/>
      <c r="Y471" s="169">
        <v>2</v>
      </c>
      <c r="Z471" s="170"/>
      <c r="AA471" s="169"/>
      <c r="AB471" s="169"/>
      <c r="AC471" s="169"/>
      <c r="AD471" s="169"/>
      <c r="AE471" s="169"/>
      <c r="AF471" s="169"/>
      <c r="AG471" s="169"/>
      <c r="AH471" s="170"/>
      <c r="AJ471" s="453">
        <f ca="1">IF(AND($D471="Serviço",AJ$12&lt;&gt;0,$H471&gt;0,OR(AUTOEVENTO&lt;&gt;"manual",$M471&lt;&gt;$A$15)),
        IF(Import.TipoArredondamento&lt;&gt;"TransfereGOV",
              ROUND(OFFSET($P471,0,AJ$13),15-13*ORÇAMENTO!$AF$7)/$H471*OFFSET(ORÇAMENTO!$X$15,ROW(AJ471)-ROW(AJ$15),0),
              ROUND(ROUND(OFFSET($P471,0,AJ$13),15-13*ORÇAMENTO!$AF$7)*OFFSET(ORÇAMENTO!$W$15,ROW(AJ471)-ROW(AJ$15),0),15-13*ORÇAMENTO!$AF$11)),
         0)</f>
        <v>0</v>
      </c>
      <c r="AK471" s="453">
        <f ca="1">IF(AND($D471="Serviço",AK$12&lt;&gt;0,$H471&gt;0,OR(AUTOEVENTO&lt;&gt;"manual",$M471&lt;&gt;$A$15)),
        IF(Import.TipoArredondamento&lt;&gt;"TransfereGOV",
              ROUND(OFFSET($P471,0,AK$13),15-13*ORÇAMENTO!$AF$7)/$H471*OFFSET(ORÇAMENTO!$X$15,ROW(AK471)-ROW(AK$15),0),
              ROUND(ROUND(OFFSET($P471,0,AK$13),15-13*ORÇAMENTO!$AF$7)*OFFSET(ORÇAMENTO!$W$15,ROW(AK471)-ROW(AK$15),0),15-13*ORÇAMENTO!$AF$11)),
         0)</f>
        <v>0</v>
      </c>
      <c r="AL471" s="453">
        <f ca="1">IF(AND($D471="Serviço",AL$12&lt;&gt;0,$H471&gt;0,OR(AUTOEVENTO&lt;&gt;"manual",$M471&lt;&gt;$A$15)),
        IF(Import.TipoArredondamento&lt;&gt;"TransfereGOV",
              ROUND(OFFSET($P471,0,AL$13),15-13*ORÇAMENTO!$AF$7)/$H471*OFFSET(ORÇAMENTO!$X$15,ROW(AL471)-ROW(AL$15),0),
              ROUND(ROUND(OFFSET($P471,0,AL$13),15-13*ORÇAMENTO!$AF$7)*OFFSET(ORÇAMENTO!$W$15,ROW(AL471)-ROW(AL$15),0),15-13*ORÇAMENTO!$AF$11)),
         0)</f>
        <v>0</v>
      </c>
      <c r="AM471" s="453">
        <f ca="1">IF(AND($D471="Serviço",AM$12&lt;&gt;0,$H471&gt;0,OR(AUTOEVENTO&lt;&gt;"manual",$M471&lt;&gt;$A$15)),
        IF(Import.TipoArredondamento&lt;&gt;"TransfereGOV",
              ROUND(OFFSET($P471,0,AM$13),15-13*ORÇAMENTO!$AF$7)/$H471*OFFSET(ORÇAMENTO!$X$15,ROW(AM471)-ROW(AM$15),0),
              ROUND(ROUND(OFFSET($P471,0,AM$13),15-13*ORÇAMENTO!$AF$7)*OFFSET(ORÇAMENTO!$W$15,ROW(AM471)-ROW(AM$15),0),15-13*ORÇAMENTO!$AF$11)),
         0)</f>
        <v>0</v>
      </c>
      <c r="AN471" s="453">
        <f ca="1">IF(AND($D471="Serviço",AN$12&lt;&gt;0,$H471&gt;0,OR(AUTOEVENTO&lt;&gt;"manual",$M471&lt;&gt;$A$15)),
        IF(Import.TipoArredondamento&lt;&gt;"TransfereGOV",
              ROUND(OFFSET($P471,0,AN$13),15-13*ORÇAMENTO!$AF$7)/$H471*OFFSET(ORÇAMENTO!$X$15,ROW(AN471)-ROW(AN$15),0),
              ROUND(ROUND(OFFSET($P471,0,AN$13),15-13*ORÇAMENTO!$AF$7)*OFFSET(ORÇAMENTO!$W$15,ROW(AN471)-ROW(AN$15),0),15-13*ORÇAMENTO!$AF$11)),
         0)</f>
        <v>0</v>
      </c>
      <c r="AO471" s="453">
        <f ca="1">IF(AND($D471="Serviço",AO$12&lt;&gt;0,$H471&gt;0,OR(AUTOEVENTO&lt;&gt;"manual",$M471&lt;&gt;$A$15)),
        IF(Import.TipoArredondamento&lt;&gt;"TransfereGOV",
              ROUND(OFFSET($P471,0,AO$13),15-13*ORÇAMENTO!$AF$7)/$H471*OFFSET(ORÇAMENTO!$X$15,ROW(AO471)-ROW(AO$15),0),
              ROUND(ROUND(OFFSET($P471,0,AO$13),15-13*ORÇAMENTO!$AF$7)*OFFSET(ORÇAMENTO!$W$15,ROW(AO471)-ROW(AO$15),0),15-13*ORÇAMENTO!$AF$11)),
         0)</f>
        <v>0</v>
      </c>
      <c r="AP471" s="453">
        <f ca="1">IF(AND($D471="Serviço",AP$12&lt;&gt;0,$H471&gt;0,OR(AUTOEVENTO&lt;&gt;"manual",$M471&lt;&gt;$A$15)),
        IF(Import.TipoArredondamento&lt;&gt;"TransfereGOV",
              ROUND(OFFSET($P471,0,AP$13),15-13*ORÇAMENTO!$AF$7)/$H471*OFFSET(ORÇAMENTO!$X$15,ROW(AP471)-ROW(AP$15),0),
              ROUND(ROUND(OFFSET($P471,0,AP$13),15-13*ORÇAMENTO!$AF$7)*OFFSET(ORÇAMENTO!$W$15,ROW(AP471)-ROW(AP$15),0),15-13*ORÇAMENTO!$AF$11)),
         0)</f>
        <v>0</v>
      </c>
      <c r="AQ471" s="453">
        <f ca="1">IF(AND($D471="Serviço",AQ$12&lt;&gt;0,$H471&gt;0,OR(AUTOEVENTO&lt;&gt;"manual",$M471&lt;&gt;$A$15)),
        IF(Import.TipoArredondamento&lt;&gt;"TransfereGOV",
              ROUND(OFFSET($P471,0,AQ$13),15-13*ORÇAMENTO!$AF$7)/$H471*OFFSET(ORÇAMENTO!$X$15,ROW(AQ471)-ROW(AQ$15),0),
              ROUND(ROUND(OFFSET($P471,0,AQ$13),15-13*ORÇAMENTO!$AF$7)*OFFSET(ORÇAMENTO!$W$15,ROW(AQ471)-ROW(AQ$15),0),15-13*ORÇAMENTO!$AF$11)),
         0)</f>
        <v>0</v>
      </c>
      <c r="AR471" s="453">
        <f ca="1">IF(AND($D471="Serviço",AR$12&lt;&gt;0,$H471&gt;0,OR(AUTOEVENTO&lt;&gt;"manual",$M471&lt;&gt;$A$15)),
        IF(Import.TipoArredondamento&lt;&gt;"TransfereGOV",
              ROUND(OFFSET($P471,0,AR$13),15-13*ORÇAMENTO!$AF$7)/$H471*OFFSET(ORÇAMENTO!$X$15,ROW(AR471)-ROW(AR$15),0),
              ROUND(ROUND(OFFSET($P471,0,AR$13),15-13*ORÇAMENTO!$AF$7)*OFFSET(ORÇAMENTO!$W$15,ROW(AR471)-ROW(AR$15),0),15-13*ORÇAMENTO!$AF$11)),
         0)</f>
        <v>0</v>
      </c>
      <c r="AS471" s="453">
        <f ca="1">IF(AND($D471="Serviço",AS$12&lt;&gt;0,$H471&gt;0,OR(AUTOEVENTO&lt;&gt;"manual",$M471&lt;&gt;$A$15)),
        IF(Import.TipoArredondamento&lt;&gt;"TransfereGOV",
              ROUND(OFFSET($P471,0,AS$13),15-13*ORÇAMENTO!$AF$7)/$H471*OFFSET(ORÇAMENTO!$X$15,ROW(AS471)-ROW(AS$15),0),
              ROUND(ROUND(OFFSET($P471,0,AS$13),15-13*ORÇAMENTO!$AF$7)*OFFSET(ORÇAMENTO!$W$15,ROW(AS471)-ROW(AS$15),0),15-13*ORÇAMENTO!$AF$11)),
         0)</f>
        <v>0</v>
      </c>
      <c r="AT471" s="453">
        <f ca="1">IF(AND($D471="Serviço",AT$12&lt;&gt;0,$H471&gt;0,OR(AUTOEVENTO&lt;&gt;"manual",$M471&lt;&gt;$A$15)),
        IF(Import.TipoArredondamento&lt;&gt;"TransfereGOV",
              ROUND(OFFSET($P471,0,AT$13),15-13*ORÇAMENTO!$AF$7)/$H471*OFFSET(ORÇAMENTO!$X$15,ROW(AT471)-ROW(AT$15),0),
              ROUND(ROUND(OFFSET($P471,0,AT$13),15-13*ORÇAMENTO!$AF$7)*OFFSET(ORÇAMENTO!$W$15,ROW(AT471)-ROW(AT$15),0),15-13*ORÇAMENTO!$AF$11)),
         0)</f>
        <v>0</v>
      </c>
      <c r="AU471" s="453">
        <f ca="1">IF(AND($D471="Serviço",AU$12&lt;&gt;0,$H471&gt;0,OR(AUTOEVENTO&lt;&gt;"manual",$M471&lt;&gt;$A$15)),
        IF(Import.TipoArredondamento&lt;&gt;"TransfereGOV",
              ROUND(OFFSET($P471,0,AU$13),15-13*ORÇAMENTO!$AF$7)/$H471*OFFSET(ORÇAMENTO!$X$15,ROW(AU471)-ROW(AU$15),0),
              ROUND(ROUND(OFFSET($P471,0,AU$13),15-13*ORÇAMENTO!$AF$7)*OFFSET(ORÇAMENTO!$W$15,ROW(AU471)-ROW(AU$15),0),15-13*ORÇAMENTO!$AF$11)),
         0)</f>
        <v>0</v>
      </c>
      <c r="AV471" s="453">
        <f ca="1">IF(AND($D471="Serviço",AV$12&lt;&gt;0,$H471&gt;0,OR(AUTOEVENTO&lt;&gt;"manual",$M471&lt;&gt;$A$15)),
        IF(Import.TipoArredondamento&lt;&gt;"TransfereGOV",
              ROUND(OFFSET($P471,0,AV$13),15-13*ORÇAMENTO!$AF$7)/$H471*OFFSET(ORÇAMENTO!$X$15,ROW(AV471)-ROW(AV$15),0),
              ROUND(ROUND(OFFSET($P471,0,AV$13),15-13*ORÇAMENTO!$AF$7)*OFFSET(ORÇAMENTO!$W$15,ROW(AV471)-ROW(AV$15),0),15-13*ORÇAMENTO!$AF$11)),
         0)</f>
        <v>0</v>
      </c>
      <c r="AW471" s="453">
        <f ca="1">IF(AND($D471="Serviço",AW$12&lt;&gt;0,$H471&gt;0,OR(AUTOEVENTO&lt;&gt;"manual",$M471&lt;&gt;$A$15)),
        IF(Import.TipoArredondamento&lt;&gt;"TransfereGOV",
              ROUND(OFFSET($P471,0,AW$13),15-13*ORÇAMENTO!$AF$7)/$H471*OFFSET(ORÇAMENTO!$X$15,ROW(AW471)-ROW(AW$15),0),
              ROUND(ROUND(OFFSET($P471,0,AW$13),15-13*ORÇAMENTO!$AF$7)*OFFSET(ORÇAMENTO!$W$15,ROW(AW471)-ROW(AW$15),0),15-13*ORÇAMENTO!$AF$11)),
         0)</f>
        <v>0</v>
      </c>
      <c r="AX471" s="453">
        <f ca="1">IF(AND($D471="Serviço",AX$12&lt;&gt;0,$H471&gt;0,OR(AUTOEVENTO&lt;&gt;"manual",$M471&lt;&gt;$A$15)),
        IF(Import.TipoArredondamento&lt;&gt;"TransfereGOV",
              ROUND(OFFSET($P471,0,AX$13),15-13*ORÇAMENTO!$AF$7)/$H471*OFFSET(ORÇAMENTO!$X$15,ROW(AX471)-ROW(AX$15),0),
              ROUND(ROUND(OFFSET($P471,0,AX$13),15-13*ORÇAMENTO!$AF$7)*OFFSET(ORÇAMENTO!$W$15,ROW(AX471)-ROW(AX$15),0),15-13*ORÇAMENTO!$AF$11)),
         0)</f>
        <v>0</v>
      </c>
      <c r="AY471" s="453">
        <f ca="1">IF(AND($D471="Serviço",AY$12&lt;&gt;0,$H471&gt;0,OR(AUTOEVENTO&lt;&gt;"manual",$M471&lt;&gt;$A$15)),
        IF(Import.TipoArredondamento&lt;&gt;"TransfereGOV",
              ROUND(OFFSET($P471,0,AY$13),15-13*ORÇAMENTO!$AF$7)/$H471*OFFSET(ORÇAMENTO!$X$15,ROW(AY471)-ROW(AY$15),0),
              ROUND(ROUND(OFFSET($P471,0,AY$13),15-13*ORÇAMENTO!$AF$7)*OFFSET(ORÇAMENTO!$W$15,ROW(AY471)-ROW(AY$15),0),15-13*ORÇAMENTO!$AF$11)),
         0)</f>
        <v>0</v>
      </c>
      <c r="AZ471" s="453">
        <f ca="1">IF(AND($D471="Serviço",AZ$12&lt;&gt;0,$H471&gt;0,OR(AUTOEVENTO&lt;&gt;"manual",$M471&lt;&gt;$A$15)),
        IF(Import.TipoArredondamento&lt;&gt;"TransfereGOV",
              ROUND(OFFSET($P471,0,AZ$13),15-13*ORÇAMENTO!$AF$7)/$H471*OFFSET(ORÇAMENTO!$X$15,ROW(AZ471)-ROW(AZ$15),0),
              ROUND(ROUND(OFFSET($P471,0,AZ$13),15-13*ORÇAMENTO!$AF$7)*OFFSET(ORÇAMENTO!$W$15,ROW(AZ471)-ROW(AZ$15),0),15-13*ORÇAMENTO!$AF$11)),
         0)</f>
        <v>0</v>
      </c>
      <c r="BA471" s="453">
        <f ca="1">IF(AND($D471="Serviço",BA$12&lt;&gt;0,$H471&gt;0,OR(AUTOEVENTO&lt;&gt;"manual",$M471&lt;&gt;$A$15)),
        IF(Import.TipoArredondamento&lt;&gt;"TransfereGOV",
              ROUND(OFFSET($P471,0,BA$13),15-13*ORÇAMENTO!$AF$7)/$H471*OFFSET(ORÇAMENTO!$X$15,ROW(BA471)-ROW(BA$15),0),
              ROUND(ROUND(OFFSET($P471,0,BA$13),15-13*ORÇAMENTO!$AF$7)*OFFSET(ORÇAMENTO!$W$15,ROW(BA471)-ROW(BA$15),0),15-13*ORÇAMENTO!$AF$11)),
         0)</f>
        <v>0</v>
      </c>
      <c r="BC471" s="171">
        <f ca="1">IF(OR($D471&lt;&gt;"Serviço",AND(AUTOEVENTO="Manual",$M471=$A$15)),0,
         IF(OFFSET(CRONOPLE!$F$15,$M471-$A$15,BC$13)=0,10^12,OFFSET(CRONOPLE!$F$15,$M471-$A$15,BC$13)))</f>
        <v>1</v>
      </c>
      <c r="BD471" s="171">
        <f ca="1">IF(OR($D471&lt;&gt;"Serviço",AND(AUTOEVENTO="Manual",$M471=$A$15)),0,
         IF(OFFSET(CRONOPLE!$F$15,$M471-$A$15,BD$13)=0,10^12,OFFSET(CRONOPLE!$F$15,$M471-$A$15,BD$13)))</f>
        <v>2</v>
      </c>
      <c r="BE471" s="171">
        <f ca="1">IF(OR($D471&lt;&gt;"Serviço",AND(AUTOEVENTO="Manual",$M471=$A$15)),0,
         IF(OFFSET(CRONOPLE!$F$15,$M471-$A$15,BE$13)=0,10^12,OFFSET(CRONOPLE!$F$15,$M471-$A$15,BE$13)))</f>
        <v>3</v>
      </c>
      <c r="BF471" s="171">
        <f ca="1">IF(OR($D471&lt;&gt;"Serviço",AND(AUTOEVENTO="Manual",$M471=$A$15)),0,
         IF(OFFSET(CRONOPLE!$F$15,$M471-$A$15,BF$13)=0,10^12,OFFSET(CRONOPLE!$F$15,$M471-$A$15,BF$13)))</f>
        <v>4</v>
      </c>
      <c r="BG471" s="171">
        <f ca="1">IF(OR($D471&lt;&gt;"Serviço",AND(AUTOEVENTO="Manual",$M471=$A$15)),0,
         IF(OFFSET(CRONOPLE!$F$15,$M471-$A$15,BG$13)=0,10^12,OFFSET(CRONOPLE!$F$15,$M471-$A$15,BG$13)))</f>
        <v>5</v>
      </c>
      <c r="BH471" s="171">
        <f ca="1">IF(OR($D471&lt;&gt;"Serviço",AND(AUTOEVENTO="Manual",$M471=$A$15)),0,
         IF(OFFSET(CRONOPLE!$F$15,$M471-$A$15,BH$13)=0,10^12,OFFSET(CRONOPLE!$F$15,$M471-$A$15,BH$13)))</f>
        <v>6</v>
      </c>
      <c r="BI471" s="171">
        <f ca="1">IF(OR($D471&lt;&gt;"Serviço",AND(AUTOEVENTO="Manual",$M471=$A$15)),0,
         IF(OFFSET(CRONOPLE!$F$15,$M471-$A$15,BI$13)=0,10^12,OFFSET(CRONOPLE!$F$15,$M471-$A$15,BI$13)))</f>
        <v>7</v>
      </c>
      <c r="BJ471" s="171">
        <f ca="1">IF(OR($D471&lt;&gt;"Serviço",AND(AUTOEVENTO="Manual",$M471=$A$15)),0,
         IF(OFFSET(CRONOPLE!$F$15,$M471-$A$15,BJ$13)=0,10^12,OFFSET(CRONOPLE!$F$15,$M471-$A$15,BJ$13)))</f>
        <v>8</v>
      </c>
      <c r="BK471" s="171">
        <f ca="1">IF(OR($D471&lt;&gt;"Serviço",AND(AUTOEVENTO="Manual",$M471=$A$15)),0,
         IF(OFFSET(CRONOPLE!$F$15,$M471-$A$15,BK$13)=0,10^12,OFFSET(CRONOPLE!$F$15,$M471-$A$15,BK$13)))</f>
        <v>9</v>
      </c>
      <c r="BL471" s="171">
        <f ca="1">IF(OR($D471&lt;&gt;"Serviço",AND(AUTOEVENTO="Manual",$M471=$A$15)),0,
         IF(OFFSET(CRONOPLE!$F$15,$M471-$A$15,BL$13)=0,10^12,OFFSET(CRONOPLE!$F$15,$M471-$A$15,BL$13)))</f>
        <v>1000000000000</v>
      </c>
      <c r="BM471" s="171">
        <f ca="1">IF(OR($D471&lt;&gt;"Serviço",AND(AUTOEVENTO="Manual",$M471=$A$15)),0,
         IF(OFFSET(CRONOPLE!$F$15,$M471-$A$15,BM$13)=0,10^12,OFFSET(CRONOPLE!$F$15,$M471-$A$15,BM$13)))</f>
        <v>1000000000000</v>
      </c>
      <c r="BN471" s="171">
        <f ca="1">IF(OR($D471&lt;&gt;"Serviço",AND(AUTOEVENTO="Manual",$M471=$A$15)),0,
         IF(OFFSET(CRONOPLE!$F$15,$M471-$A$15,BN$13)=0,10^12,OFFSET(CRONOPLE!$F$15,$M471-$A$15,BN$13)))</f>
        <v>1000000000000</v>
      </c>
      <c r="BO471" s="171">
        <f ca="1">IF(OR($D471&lt;&gt;"Serviço",AND(AUTOEVENTO="Manual",$M471=$A$15)),0,
         IF(OFFSET(CRONOPLE!$F$15,$M471-$A$15,BO$13)=0,10^12,OFFSET(CRONOPLE!$F$15,$M471-$A$15,BO$13)))</f>
        <v>1000000000000</v>
      </c>
      <c r="BP471" s="171">
        <f ca="1">IF(OR($D471&lt;&gt;"Serviço",AND(AUTOEVENTO="Manual",$M471=$A$15)),0,
         IF(OFFSET(CRONOPLE!$F$15,$M471-$A$15,BP$13)=0,10^12,OFFSET(CRONOPLE!$F$15,$M471-$A$15,BP$13)))</f>
        <v>1000000000000</v>
      </c>
      <c r="BQ471" s="171">
        <f ca="1">IF(OR($D471&lt;&gt;"Serviço",AND(AUTOEVENTO="Manual",$M471=$A$15)),0,
         IF(OFFSET(CRONOPLE!$F$15,$M471-$A$15,BQ$13)=0,10^12,OFFSET(CRONOPLE!$F$15,$M471-$A$15,BQ$13)))</f>
        <v>1000000000000</v>
      </c>
      <c r="BR471" s="171">
        <f ca="1">IF(OR($D471&lt;&gt;"Serviço",AND(AUTOEVENTO="Manual",$M471=$A$15)),0,
         IF(OFFSET(CRONOPLE!$F$15,$M471-$A$15,BR$13)=0,10^12,OFFSET(CRONOPLE!$F$15,$M471-$A$15,BR$13)))</f>
        <v>1000000000000</v>
      </c>
      <c r="BS471" s="171">
        <f ca="1">IF(OR($D471&lt;&gt;"Serviço",AND(AUTOEVENTO="Manual",$M471=$A$15)),0,
         IF(OFFSET(CRONOPLE!$F$15,$M471-$A$15,BS$13)=0,10^12,OFFSET(CRONOPLE!$F$15,$M471-$A$15,BS$13)))</f>
        <v>1000000000000</v>
      </c>
      <c r="BT471" s="171">
        <f ca="1">IF(OR($D471&lt;&gt;"Serviço",AND(AUTOEVENTO="Manual",$M471=$A$15)),0,
         IF(OFFSET(CRONOPLE!$F$15,$M471-$A$15,BT$13)=0,10^12,OFFSET(CRONOPLE!$F$15,$M471-$A$15,BT$13)))</f>
        <v>1000000000000</v>
      </c>
      <c r="BV471" s="172">
        <f ca="1">IF(OR($D471&lt;&gt;"Serviço",AND(AUTOEVENTO="Manual",$M471=$A$15),$M471&gt;(ROW(PLE.lastrow)-ROW(PLE.firstrow))),0,
           IF(OFFSET(PLE!$G$15,$M471-$A$15,BV$13)="",10^12,OFFSET(PLE!$G$15,$M471-$A$15,BV$13)))</f>
        <v>1000000000000</v>
      </c>
      <c r="BW471" s="172">
        <f ca="1">IF(OR($D471&lt;&gt;"Serviço",AND(AUTOEVENTO="Manual",$M471=$A$15),$M471&gt;(ROW(PLE.lastrow)-ROW(PLE.firstrow))),0,
           IF(OFFSET(PLE!$G$15,$M471-$A$15,BW$13)="",10^12,OFFSET(PLE!$G$15,$M471-$A$15,BW$13)))</f>
        <v>1000000000000</v>
      </c>
      <c r="BX471" s="172">
        <f ca="1">IF(OR($D471&lt;&gt;"Serviço",AND(AUTOEVENTO="Manual",$M471=$A$15),$M471&gt;(ROW(PLE.lastrow)-ROW(PLE.firstrow))),0,
           IF(OFFSET(PLE!$G$15,$M471-$A$15,BX$13)="",10^12,OFFSET(PLE!$G$15,$M471-$A$15,BX$13)))</f>
        <v>1000000000000</v>
      </c>
      <c r="BY471" s="172">
        <f ca="1">IF(OR($D471&lt;&gt;"Serviço",AND(AUTOEVENTO="Manual",$M471=$A$15),$M471&gt;(ROW(PLE.lastrow)-ROW(PLE.firstrow))),0,
           IF(OFFSET(PLE!$G$15,$M471-$A$15,BY$13)="",10^12,OFFSET(PLE!$G$15,$M471-$A$15,BY$13)))</f>
        <v>1000000000000</v>
      </c>
      <c r="BZ471" s="172">
        <f ca="1">IF(OR($D471&lt;&gt;"Serviço",AND(AUTOEVENTO="Manual",$M471=$A$15),$M471&gt;(ROW(PLE.lastrow)-ROW(PLE.firstrow))),0,
           IF(OFFSET(PLE!$G$15,$M471-$A$15,BZ$13)="",10^12,OFFSET(PLE!$G$15,$M471-$A$15,BZ$13)))</f>
        <v>1000000000000</v>
      </c>
      <c r="CA471" s="172">
        <f ca="1">IF(OR($D471&lt;&gt;"Serviço",AND(AUTOEVENTO="Manual",$M471=$A$15),$M471&gt;(ROW(PLE.lastrow)-ROW(PLE.firstrow))),0,
           IF(OFFSET(PLE!$G$15,$M471-$A$15,CA$13)="",10^12,OFFSET(PLE!$G$15,$M471-$A$15,CA$13)))</f>
        <v>1000000000000</v>
      </c>
      <c r="CB471" s="172">
        <f ca="1">IF(OR($D471&lt;&gt;"Serviço",AND(AUTOEVENTO="Manual",$M471=$A$15),$M471&gt;(ROW(PLE.lastrow)-ROW(PLE.firstrow))),0,
           IF(OFFSET(PLE!$G$15,$M471-$A$15,CB$13)="",10^12,OFFSET(PLE!$G$15,$M471-$A$15,CB$13)))</f>
        <v>1000000000000</v>
      </c>
      <c r="CC471" s="172">
        <f ca="1">IF(OR($D471&lt;&gt;"Serviço",AND(AUTOEVENTO="Manual",$M471=$A$15),$M471&gt;(ROW(PLE.lastrow)-ROW(PLE.firstrow))),0,
           IF(OFFSET(PLE!$G$15,$M471-$A$15,CC$13)="",10^12,OFFSET(PLE!$G$15,$M471-$A$15,CC$13)))</f>
        <v>1000000000000</v>
      </c>
      <c r="CD471" s="172">
        <f ca="1">IF(OR($D471&lt;&gt;"Serviço",AND(AUTOEVENTO="Manual",$M471=$A$15),$M471&gt;(ROW(PLE.lastrow)-ROW(PLE.firstrow))),0,
           IF(OFFSET(PLE!$G$15,$M471-$A$15,CD$13)="",10^12,OFFSET(PLE!$G$15,$M471-$A$15,CD$13)))</f>
        <v>1000000000000</v>
      </c>
      <c r="CE471" s="172">
        <f ca="1">IF(OR($D471&lt;&gt;"Serviço",AND(AUTOEVENTO="Manual",$M471=$A$15),$M471&gt;(ROW(PLE.lastrow)-ROW(PLE.firstrow))),0,
           IF(OFFSET(PLE!$G$15,$M471-$A$15,CE$13)="",10^12,OFFSET(PLE!$G$15,$M471-$A$15,CE$13)))</f>
        <v>1000000000000</v>
      </c>
      <c r="CF471" s="172">
        <f ca="1">IF(OR($D471&lt;&gt;"Serviço",AND(AUTOEVENTO="Manual",$M471=$A$15),$M471&gt;(ROW(PLE.lastrow)-ROW(PLE.firstrow))),0,
           IF(OFFSET(PLE!$G$15,$M471-$A$15,CF$13)="",10^12,OFFSET(PLE!$G$15,$M471-$A$15,CF$13)))</f>
        <v>1000000000000</v>
      </c>
      <c r="CG471" s="172">
        <f ca="1">IF(OR($D471&lt;&gt;"Serviço",AND(AUTOEVENTO="Manual",$M471=$A$15),$M471&gt;(ROW(PLE.lastrow)-ROW(PLE.firstrow))),0,
           IF(OFFSET(PLE!$G$15,$M471-$A$15,CG$13)="",10^12,OFFSET(PLE!$G$15,$M471-$A$15,CG$13)))</f>
        <v>1000000000000</v>
      </c>
      <c r="CH471" s="172">
        <f ca="1">IF(OR($D471&lt;&gt;"Serviço",AND(AUTOEVENTO="Manual",$M471=$A$15),$M471&gt;(ROW(PLE.lastrow)-ROW(PLE.firstrow))),0,
           IF(OFFSET(PLE!$G$15,$M471-$A$15,CH$13)="",10^12,OFFSET(PLE!$G$15,$M471-$A$15,CH$13)))</f>
        <v>1000000000000</v>
      </c>
      <c r="CI471" s="172">
        <f ca="1">IF(OR($D471&lt;&gt;"Serviço",AND(AUTOEVENTO="Manual",$M471=$A$15),$M471&gt;(ROW(PLE.lastrow)-ROW(PLE.firstrow))),0,
           IF(OFFSET(PLE!$G$15,$M471-$A$15,CI$13)="",10^12,OFFSET(PLE!$G$15,$M471-$A$15,CI$13)))</f>
        <v>1000000000000</v>
      </c>
      <c r="CJ471" s="172">
        <f ca="1">IF(OR($D471&lt;&gt;"Serviço",AND(AUTOEVENTO="Manual",$M471=$A$15),$M471&gt;(ROW(PLE.lastrow)-ROW(PLE.firstrow))),0,
           IF(OFFSET(PLE!$G$15,$M471-$A$15,CJ$13)="",10^12,OFFSET(PLE!$G$15,$M471-$A$15,CJ$13)))</f>
        <v>1000000000000</v>
      </c>
      <c r="CK471" s="172">
        <f ca="1">IF(OR($D471&lt;&gt;"Serviço",AND(AUTOEVENTO="Manual",$M471=$A$15),$M471&gt;(ROW(PLE.lastrow)-ROW(PLE.firstrow))),0,
           IF(OFFSET(PLE!$G$15,$M471-$A$15,CK$13)="",10^12,OFFSET(PLE!$G$15,$M471-$A$15,CK$13)))</f>
        <v>1000000000000</v>
      </c>
      <c r="CL471" s="172">
        <f ca="1">IF(OR($D471&lt;&gt;"Serviço",AND(AUTOEVENTO="Manual",$M471=$A$15),$M471&gt;(ROW(PLE.lastrow)-ROW(PLE.firstrow))),0,
           IF(OFFSET(PLE!$G$15,$M471-$A$15,CL$13)="",10^12,OFFSET(PLE!$G$15,$M471-$A$15,CL$13)))</f>
        <v>1000000000000</v>
      </c>
      <c r="CM471" s="172">
        <f ca="1">IF(OR($D471&lt;&gt;"Serviço",AND(AUTOEVENTO="Manual",$M471=$A$15),$M471&gt;(ROW(PLE.lastrow)-ROW(PLE.firstrow))),0,
           IF(OFFSET(PLE!$G$15,$M471-$A$15,CM$13)="",10^12,OFFSET(PLE!$G$15,$M471-$A$15,CM$13)))</f>
        <v>1000000000000</v>
      </c>
    </row>
    <row r="472" spans="1:91" ht="38.25" x14ac:dyDescent="0.2">
      <c r="A472" s="7">
        <f t="shared" ca="1" si="17"/>
        <v>8</v>
      </c>
      <c r="B472" s="7" t="str">
        <f ca="1">OFFSET(ORÇAMENTO!C$15,ROW(B472)-ROW(B$15),0)</f>
        <v>S</v>
      </c>
      <c r="C472" s="7" t="str">
        <f ca="1">OFFSET(ORÇAMENTO!L$15,ROW(C472)-ROW(C$15),0)</f>
        <v>F</v>
      </c>
      <c r="D472" s="116" t="str">
        <f ca="1">OFFSET(ORÇAMENTO!N$15,ROW(D472)-ROW(D$15),0)</f>
        <v>Serviço</v>
      </c>
      <c r="E472" s="117" t="str">
        <f ca="1">OFFSET(ORÇAMENTO!O$15,ROW(E472)-ROW(E$15),0)</f>
        <v>1.9.5.0.10.</v>
      </c>
      <c r="F472" s="163" t="str">
        <f ca="1">OFFSET(ORÇAMENTO!R$15,ROW(F472)-ROW(F$15),0)</f>
        <v>QUADRO OUTDOOR (RACK ) 19" X 12U X 450MM - BASEADO EM ORSE (8682)</v>
      </c>
      <c r="G472" s="164" t="str">
        <f ca="1">IF($D472&lt;&gt;"Serviço","",OFFSET(ORÇAMENTO!S$15,ROW(G472)-ROW(G$15),0))</f>
        <v>UN</v>
      </c>
      <c r="H472" s="122" cm="1">
        <f t="array" aca="1" ref="H472" ca="1">IF($D472&lt;&gt;"Serviço",0,IF(ACOMPANHAMENTO="BM",ROUND(OFFSET(ORÇAMENTO!AJ$15,ROW(H472)-ROW(H$15),0),15-13*ORÇAMENTO!$AF$7),SUMPRODUCT(($Q$1:$AI$1=1)*ROUND($Q472:$AI472,15-13*ORÇAMENTO!$AF$7))))</f>
        <v>3</v>
      </c>
      <c r="I472" s="468" t="s">
        <v>1432</v>
      </c>
      <c r="J472" s="640" t="str" cm="1">
        <f t="array" aca="1" ref="J472" ca="1">IF(OR(B472&lt;&gt;"S",CÁLCULO.FrentesPreenchidas=0),"",IF(AND(ACOMPANHAMENTO="PLE",AUTOEVENTO="Manual",OR(H472&gt;0,ORÇAMENTO!AC472="QUANT."),OR(K472="",M472=0,N472="")),"►E",IF(AND(ACOMPANHAMENTO="PLE",ORÇAMENTO!AC472="QUANT."),"►Q",IF(AND(ACOMPANHAMENTO="PLE",H472&lt;&gt;SUMPRODUCT(($Q$1:$AI$1=1)*ROUND(Q472:AI472,15))),"►S",IF(AND(COUNTIF($P$11:$AI$11,"▼")=0,H472&gt;0,I472=""),"◄M","")))))</f>
        <v/>
      </c>
      <c r="K472" s="641" t="s">
        <v>1392</v>
      </c>
      <c r="L472" s="165" t="s">
        <v>764</v>
      </c>
      <c r="M472" s="166">
        <f ca="1">IF($D472&lt;&gt;"Serviço","",
          IF(AUTOEVENTO="manual",$A472,
                IF(ISERROR(MATCH($A472,$A$15:OFFSET($A472,-1,0),0)),MAX($M$15:OFFSET(M472,-1,0))+1,
                      INDEX($M$15:OFFSET(M472,-1,0),MATCH($A472,$A$15:OFFSET($A472,-1,0),0)))))</f>
        <v>8</v>
      </c>
      <c r="N472" s="167" t="str">
        <f ca="1">IF($D472&lt;&gt;"Serviço","",
         IF(AUTOEVENTO="Manual",
                IF($A472=0,"&lt;-- defina o número do agrupador",
                       OFFSET(EVENTOS!$D$15,$A472-$A$15,0)),
                OFFSET($F$15,$A472,0)))</f>
        <v>CFTV</v>
      </c>
      <c r="O472" s="168"/>
      <c r="Q472" s="168"/>
      <c r="R472" s="169"/>
      <c r="S472" s="169"/>
      <c r="T472" s="169"/>
      <c r="U472" s="169"/>
      <c r="V472" s="169"/>
      <c r="W472" s="169"/>
      <c r="X472" s="169"/>
      <c r="Y472" s="169">
        <v>3</v>
      </c>
      <c r="Z472" s="170"/>
      <c r="AA472" s="169"/>
      <c r="AB472" s="169"/>
      <c r="AC472" s="169"/>
      <c r="AD472" s="169"/>
      <c r="AE472" s="169"/>
      <c r="AF472" s="169"/>
      <c r="AG472" s="169"/>
      <c r="AH472" s="170"/>
      <c r="AJ472" s="453">
        <f ca="1">IF(AND($D472="Serviço",AJ$12&lt;&gt;0,$H472&gt;0,OR(AUTOEVENTO&lt;&gt;"manual",$M472&lt;&gt;$A$15)),
        IF(Import.TipoArredondamento&lt;&gt;"TransfereGOV",
              ROUND(OFFSET($P472,0,AJ$13),15-13*ORÇAMENTO!$AF$7)/$H472*OFFSET(ORÇAMENTO!$X$15,ROW(AJ472)-ROW(AJ$15),0),
              ROUND(ROUND(OFFSET($P472,0,AJ$13),15-13*ORÇAMENTO!$AF$7)*OFFSET(ORÇAMENTO!$W$15,ROW(AJ472)-ROW(AJ$15),0),15-13*ORÇAMENTO!$AF$11)),
         0)</f>
        <v>0</v>
      </c>
      <c r="AK472" s="453">
        <f ca="1">IF(AND($D472="Serviço",AK$12&lt;&gt;0,$H472&gt;0,OR(AUTOEVENTO&lt;&gt;"manual",$M472&lt;&gt;$A$15)),
        IF(Import.TipoArredondamento&lt;&gt;"TransfereGOV",
              ROUND(OFFSET($P472,0,AK$13),15-13*ORÇAMENTO!$AF$7)/$H472*OFFSET(ORÇAMENTO!$X$15,ROW(AK472)-ROW(AK$15),0),
              ROUND(ROUND(OFFSET($P472,0,AK$13),15-13*ORÇAMENTO!$AF$7)*OFFSET(ORÇAMENTO!$W$15,ROW(AK472)-ROW(AK$15),0),15-13*ORÇAMENTO!$AF$11)),
         0)</f>
        <v>0</v>
      </c>
      <c r="AL472" s="453">
        <f ca="1">IF(AND($D472="Serviço",AL$12&lt;&gt;0,$H472&gt;0,OR(AUTOEVENTO&lt;&gt;"manual",$M472&lt;&gt;$A$15)),
        IF(Import.TipoArredondamento&lt;&gt;"TransfereGOV",
              ROUND(OFFSET($P472,0,AL$13),15-13*ORÇAMENTO!$AF$7)/$H472*OFFSET(ORÇAMENTO!$X$15,ROW(AL472)-ROW(AL$15),0),
              ROUND(ROUND(OFFSET($P472,0,AL$13),15-13*ORÇAMENTO!$AF$7)*OFFSET(ORÇAMENTO!$W$15,ROW(AL472)-ROW(AL$15),0),15-13*ORÇAMENTO!$AF$11)),
         0)</f>
        <v>0</v>
      </c>
      <c r="AM472" s="453">
        <f ca="1">IF(AND($D472="Serviço",AM$12&lt;&gt;0,$H472&gt;0,OR(AUTOEVENTO&lt;&gt;"manual",$M472&lt;&gt;$A$15)),
        IF(Import.TipoArredondamento&lt;&gt;"TransfereGOV",
              ROUND(OFFSET($P472,0,AM$13),15-13*ORÇAMENTO!$AF$7)/$H472*OFFSET(ORÇAMENTO!$X$15,ROW(AM472)-ROW(AM$15),0),
              ROUND(ROUND(OFFSET($P472,0,AM$13),15-13*ORÇAMENTO!$AF$7)*OFFSET(ORÇAMENTO!$W$15,ROW(AM472)-ROW(AM$15),0),15-13*ORÇAMENTO!$AF$11)),
         0)</f>
        <v>0</v>
      </c>
      <c r="AN472" s="453">
        <f ca="1">IF(AND($D472="Serviço",AN$12&lt;&gt;0,$H472&gt;0,OR(AUTOEVENTO&lt;&gt;"manual",$M472&lt;&gt;$A$15)),
        IF(Import.TipoArredondamento&lt;&gt;"TransfereGOV",
              ROUND(OFFSET($P472,0,AN$13),15-13*ORÇAMENTO!$AF$7)/$H472*OFFSET(ORÇAMENTO!$X$15,ROW(AN472)-ROW(AN$15),0),
              ROUND(ROUND(OFFSET($P472,0,AN$13),15-13*ORÇAMENTO!$AF$7)*OFFSET(ORÇAMENTO!$W$15,ROW(AN472)-ROW(AN$15),0),15-13*ORÇAMENTO!$AF$11)),
         0)</f>
        <v>0</v>
      </c>
      <c r="AO472" s="453">
        <f ca="1">IF(AND($D472="Serviço",AO$12&lt;&gt;0,$H472&gt;0,OR(AUTOEVENTO&lt;&gt;"manual",$M472&lt;&gt;$A$15)),
        IF(Import.TipoArredondamento&lt;&gt;"TransfereGOV",
              ROUND(OFFSET($P472,0,AO$13),15-13*ORÇAMENTO!$AF$7)/$H472*OFFSET(ORÇAMENTO!$X$15,ROW(AO472)-ROW(AO$15),0),
              ROUND(ROUND(OFFSET($P472,0,AO$13),15-13*ORÇAMENTO!$AF$7)*OFFSET(ORÇAMENTO!$W$15,ROW(AO472)-ROW(AO$15),0),15-13*ORÇAMENTO!$AF$11)),
         0)</f>
        <v>0</v>
      </c>
      <c r="AP472" s="453">
        <f ca="1">IF(AND($D472="Serviço",AP$12&lt;&gt;0,$H472&gt;0,OR(AUTOEVENTO&lt;&gt;"manual",$M472&lt;&gt;$A$15)),
        IF(Import.TipoArredondamento&lt;&gt;"TransfereGOV",
              ROUND(OFFSET($P472,0,AP$13),15-13*ORÇAMENTO!$AF$7)/$H472*OFFSET(ORÇAMENTO!$X$15,ROW(AP472)-ROW(AP$15),0),
              ROUND(ROUND(OFFSET($P472,0,AP$13),15-13*ORÇAMENTO!$AF$7)*OFFSET(ORÇAMENTO!$W$15,ROW(AP472)-ROW(AP$15),0),15-13*ORÇAMENTO!$AF$11)),
         0)</f>
        <v>0</v>
      </c>
      <c r="AQ472" s="453">
        <f ca="1">IF(AND($D472="Serviço",AQ$12&lt;&gt;0,$H472&gt;0,OR(AUTOEVENTO&lt;&gt;"manual",$M472&lt;&gt;$A$15)),
        IF(Import.TipoArredondamento&lt;&gt;"TransfereGOV",
              ROUND(OFFSET($P472,0,AQ$13),15-13*ORÇAMENTO!$AF$7)/$H472*OFFSET(ORÇAMENTO!$X$15,ROW(AQ472)-ROW(AQ$15),0),
              ROUND(ROUND(OFFSET($P472,0,AQ$13),15-13*ORÇAMENTO!$AF$7)*OFFSET(ORÇAMENTO!$W$15,ROW(AQ472)-ROW(AQ$15),0),15-13*ORÇAMENTO!$AF$11)),
         0)</f>
        <v>0</v>
      </c>
      <c r="AR472" s="453">
        <f ca="1">IF(AND($D472="Serviço",AR$12&lt;&gt;0,$H472&gt;0,OR(AUTOEVENTO&lt;&gt;"manual",$M472&lt;&gt;$A$15)),
        IF(Import.TipoArredondamento&lt;&gt;"TransfereGOV",
              ROUND(OFFSET($P472,0,AR$13),15-13*ORÇAMENTO!$AF$7)/$H472*OFFSET(ORÇAMENTO!$X$15,ROW(AR472)-ROW(AR$15),0),
              ROUND(ROUND(OFFSET($P472,0,AR$13),15-13*ORÇAMENTO!$AF$7)*OFFSET(ORÇAMENTO!$W$15,ROW(AR472)-ROW(AR$15),0),15-13*ORÇAMENTO!$AF$11)),
         0)</f>
        <v>0</v>
      </c>
      <c r="AS472" s="453">
        <f ca="1">IF(AND($D472="Serviço",AS$12&lt;&gt;0,$H472&gt;0,OR(AUTOEVENTO&lt;&gt;"manual",$M472&lt;&gt;$A$15)),
        IF(Import.TipoArredondamento&lt;&gt;"TransfereGOV",
              ROUND(OFFSET($P472,0,AS$13),15-13*ORÇAMENTO!$AF$7)/$H472*OFFSET(ORÇAMENTO!$X$15,ROW(AS472)-ROW(AS$15),0),
              ROUND(ROUND(OFFSET($P472,0,AS$13),15-13*ORÇAMENTO!$AF$7)*OFFSET(ORÇAMENTO!$W$15,ROW(AS472)-ROW(AS$15),0),15-13*ORÇAMENTO!$AF$11)),
         0)</f>
        <v>0</v>
      </c>
      <c r="AT472" s="453">
        <f ca="1">IF(AND($D472="Serviço",AT$12&lt;&gt;0,$H472&gt;0,OR(AUTOEVENTO&lt;&gt;"manual",$M472&lt;&gt;$A$15)),
        IF(Import.TipoArredondamento&lt;&gt;"TransfereGOV",
              ROUND(OFFSET($P472,0,AT$13),15-13*ORÇAMENTO!$AF$7)/$H472*OFFSET(ORÇAMENTO!$X$15,ROW(AT472)-ROW(AT$15),0),
              ROUND(ROUND(OFFSET($P472,0,AT$13),15-13*ORÇAMENTO!$AF$7)*OFFSET(ORÇAMENTO!$W$15,ROW(AT472)-ROW(AT$15),0),15-13*ORÇAMENTO!$AF$11)),
         0)</f>
        <v>0</v>
      </c>
      <c r="AU472" s="453">
        <f ca="1">IF(AND($D472="Serviço",AU$12&lt;&gt;0,$H472&gt;0,OR(AUTOEVENTO&lt;&gt;"manual",$M472&lt;&gt;$A$15)),
        IF(Import.TipoArredondamento&lt;&gt;"TransfereGOV",
              ROUND(OFFSET($P472,0,AU$13),15-13*ORÇAMENTO!$AF$7)/$H472*OFFSET(ORÇAMENTO!$X$15,ROW(AU472)-ROW(AU$15),0),
              ROUND(ROUND(OFFSET($P472,0,AU$13),15-13*ORÇAMENTO!$AF$7)*OFFSET(ORÇAMENTO!$W$15,ROW(AU472)-ROW(AU$15),0),15-13*ORÇAMENTO!$AF$11)),
         0)</f>
        <v>0</v>
      </c>
      <c r="AV472" s="453">
        <f ca="1">IF(AND($D472="Serviço",AV$12&lt;&gt;0,$H472&gt;0,OR(AUTOEVENTO&lt;&gt;"manual",$M472&lt;&gt;$A$15)),
        IF(Import.TipoArredondamento&lt;&gt;"TransfereGOV",
              ROUND(OFFSET($P472,0,AV$13),15-13*ORÇAMENTO!$AF$7)/$H472*OFFSET(ORÇAMENTO!$X$15,ROW(AV472)-ROW(AV$15),0),
              ROUND(ROUND(OFFSET($P472,0,AV$13),15-13*ORÇAMENTO!$AF$7)*OFFSET(ORÇAMENTO!$W$15,ROW(AV472)-ROW(AV$15),0),15-13*ORÇAMENTO!$AF$11)),
         0)</f>
        <v>0</v>
      </c>
      <c r="AW472" s="453">
        <f ca="1">IF(AND($D472="Serviço",AW$12&lt;&gt;0,$H472&gt;0,OR(AUTOEVENTO&lt;&gt;"manual",$M472&lt;&gt;$A$15)),
        IF(Import.TipoArredondamento&lt;&gt;"TransfereGOV",
              ROUND(OFFSET($P472,0,AW$13),15-13*ORÇAMENTO!$AF$7)/$H472*OFFSET(ORÇAMENTO!$X$15,ROW(AW472)-ROW(AW$15),0),
              ROUND(ROUND(OFFSET($P472,0,AW$13),15-13*ORÇAMENTO!$AF$7)*OFFSET(ORÇAMENTO!$W$15,ROW(AW472)-ROW(AW$15),0),15-13*ORÇAMENTO!$AF$11)),
         0)</f>
        <v>0</v>
      </c>
      <c r="AX472" s="453">
        <f ca="1">IF(AND($D472="Serviço",AX$12&lt;&gt;0,$H472&gt;0,OR(AUTOEVENTO&lt;&gt;"manual",$M472&lt;&gt;$A$15)),
        IF(Import.TipoArredondamento&lt;&gt;"TransfereGOV",
              ROUND(OFFSET($P472,0,AX$13),15-13*ORÇAMENTO!$AF$7)/$H472*OFFSET(ORÇAMENTO!$X$15,ROW(AX472)-ROW(AX$15),0),
              ROUND(ROUND(OFFSET($P472,0,AX$13),15-13*ORÇAMENTO!$AF$7)*OFFSET(ORÇAMENTO!$W$15,ROW(AX472)-ROW(AX$15),0),15-13*ORÇAMENTO!$AF$11)),
         0)</f>
        <v>0</v>
      </c>
      <c r="AY472" s="453">
        <f ca="1">IF(AND($D472="Serviço",AY$12&lt;&gt;0,$H472&gt;0,OR(AUTOEVENTO&lt;&gt;"manual",$M472&lt;&gt;$A$15)),
        IF(Import.TipoArredondamento&lt;&gt;"TransfereGOV",
              ROUND(OFFSET($P472,0,AY$13),15-13*ORÇAMENTO!$AF$7)/$H472*OFFSET(ORÇAMENTO!$X$15,ROW(AY472)-ROW(AY$15),0),
              ROUND(ROUND(OFFSET($P472,0,AY$13),15-13*ORÇAMENTO!$AF$7)*OFFSET(ORÇAMENTO!$W$15,ROW(AY472)-ROW(AY$15),0),15-13*ORÇAMENTO!$AF$11)),
         0)</f>
        <v>0</v>
      </c>
      <c r="AZ472" s="453">
        <f ca="1">IF(AND($D472="Serviço",AZ$12&lt;&gt;0,$H472&gt;0,OR(AUTOEVENTO&lt;&gt;"manual",$M472&lt;&gt;$A$15)),
        IF(Import.TipoArredondamento&lt;&gt;"TransfereGOV",
              ROUND(OFFSET($P472,0,AZ$13),15-13*ORÇAMENTO!$AF$7)/$H472*OFFSET(ORÇAMENTO!$X$15,ROW(AZ472)-ROW(AZ$15),0),
              ROUND(ROUND(OFFSET($P472,0,AZ$13),15-13*ORÇAMENTO!$AF$7)*OFFSET(ORÇAMENTO!$W$15,ROW(AZ472)-ROW(AZ$15),0),15-13*ORÇAMENTO!$AF$11)),
         0)</f>
        <v>0</v>
      </c>
      <c r="BA472" s="453">
        <f ca="1">IF(AND($D472="Serviço",BA$12&lt;&gt;0,$H472&gt;0,OR(AUTOEVENTO&lt;&gt;"manual",$M472&lt;&gt;$A$15)),
        IF(Import.TipoArredondamento&lt;&gt;"TransfereGOV",
              ROUND(OFFSET($P472,0,BA$13),15-13*ORÇAMENTO!$AF$7)/$H472*OFFSET(ORÇAMENTO!$X$15,ROW(BA472)-ROW(BA$15),0),
              ROUND(ROUND(OFFSET($P472,0,BA$13),15-13*ORÇAMENTO!$AF$7)*OFFSET(ORÇAMENTO!$W$15,ROW(BA472)-ROW(BA$15),0),15-13*ORÇAMENTO!$AF$11)),
         0)</f>
        <v>0</v>
      </c>
      <c r="BC472" s="171">
        <f ca="1">IF(OR($D472&lt;&gt;"Serviço",AND(AUTOEVENTO="Manual",$M472=$A$15)),0,
         IF(OFFSET(CRONOPLE!$F$15,$M472-$A$15,BC$13)=0,10^12,OFFSET(CRONOPLE!$F$15,$M472-$A$15,BC$13)))</f>
        <v>1</v>
      </c>
      <c r="BD472" s="171">
        <f ca="1">IF(OR($D472&lt;&gt;"Serviço",AND(AUTOEVENTO="Manual",$M472=$A$15)),0,
         IF(OFFSET(CRONOPLE!$F$15,$M472-$A$15,BD$13)=0,10^12,OFFSET(CRONOPLE!$F$15,$M472-$A$15,BD$13)))</f>
        <v>2</v>
      </c>
      <c r="BE472" s="171">
        <f ca="1">IF(OR($D472&lt;&gt;"Serviço",AND(AUTOEVENTO="Manual",$M472=$A$15)),0,
         IF(OFFSET(CRONOPLE!$F$15,$M472-$A$15,BE$13)=0,10^12,OFFSET(CRONOPLE!$F$15,$M472-$A$15,BE$13)))</f>
        <v>3</v>
      </c>
      <c r="BF472" s="171">
        <f ca="1">IF(OR($D472&lt;&gt;"Serviço",AND(AUTOEVENTO="Manual",$M472=$A$15)),0,
         IF(OFFSET(CRONOPLE!$F$15,$M472-$A$15,BF$13)=0,10^12,OFFSET(CRONOPLE!$F$15,$M472-$A$15,BF$13)))</f>
        <v>4</v>
      </c>
      <c r="BG472" s="171">
        <f ca="1">IF(OR($D472&lt;&gt;"Serviço",AND(AUTOEVENTO="Manual",$M472=$A$15)),0,
         IF(OFFSET(CRONOPLE!$F$15,$M472-$A$15,BG$13)=0,10^12,OFFSET(CRONOPLE!$F$15,$M472-$A$15,BG$13)))</f>
        <v>5</v>
      </c>
      <c r="BH472" s="171">
        <f ca="1">IF(OR($D472&lt;&gt;"Serviço",AND(AUTOEVENTO="Manual",$M472=$A$15)),0,
         IF(OFFSET(CRONOPLE!$F$15,$M472-$A$15,BH$13)=0,10^12,OFFSET(CRONOPLE!$F$15,$M472-$A$15,BH$13)))</f>
        <v>6</v>
      </c>
      <c r="BI472" s="171">
        <f ca="1">IF(OR($D472&lt;&gt;"Serviço",AND(AUTOEVENTO="Manual",$M472=$A$15)),0,
         IF(OFFSET(CRONOPLE!$F$15,$M472-$A$15,BI$13)=0,10^12,OFFSET(CRONOPLE!$F$15,$M472-$A$15,BI$13)))</f>
        <v>7</v>
      </c>
      <c r="BJ472" s="171">
        <f ca="1">IF(OR($D472&lt;&gt;"Serviço",AND(AUTOEVENTO="Manual",$M472=$A$15)),0,
         IF(OFFSET(CRONOPLE!$F$15,$M472-$A$15,BJ$13)=0,10^12,OFFSET(CRONOPLE!$F$15,$M472-$A$15,BJ$13)))</f>
        <v>8</v>
      </c>
      <c r="BK472" s="171">
        <f ca="1">IF(OR($D472&lt;&gt;"Serviço",AND(AUTOEVENTO="Manual",$M472=$A$15)),0,
         IF(OFFSET(CRONOPLE!$F$15,$M472-$A$15,BK$13)=0,10^12,OFFSET(CRONOPLE!$F$15,$M472-$A$15,BK$13)))</f>
        <v>9</v>
      </c>
      <c r="BL472" s="171">
        <f ca="1">IF(OR($D472&lt;&gt;"Serviço",AND(AUTOEVENTO="Manual",$M472=$A$15)),0,
         IF(OFFSET(CRONOPLE!$F$15,$M472-$A$15,BL$13)=0,10^12,OFFSET(CRONOPLE!$F$15,$M472-$A$15,BL$13)))</f>
        <v>1000000000000</v>
      </c>
      <c r="BM472" s="171">
        <f ca="1">IF(OR($D472&lt;&gt;"Serviço",AND(AUTOEVENTO="Manual",$M472=$A$15)),0,
         IF(OFFSET(CRONOPLE!$F$15,$M472-$A$15,BM$13)=0,10^12,OFFSET(CRONOPLE!$F$15,$M472-$A$15,BM$13)))</f>
        <v>1000000000000</v>
      </c>
      <c r="BN472" s="171">
        <f ca="1">IF(OR($D472&lt;&gt;"Serviço",AND(AUTOEVENTO="Manual",$M472=$A$15)),0,
         IF(OFFSET(CRONOPLE!$F$15,$M472-$A$15,BN$13)=0,10^12,OFFSET(CRONOPLE!$F$15,$M472-$A$15,BN$13)))</f>
        <v>1000000000000</v>
      </c>
      <c r="BO472" s="171">
        <f ca="1">IF(OR($D472&lt;&gt;"Serviço",AND(AUTOEVENTO="Manual",$M472=$A$15)),0,
         IF(OFFSET(CRONOPLE!$F$15,$M472-$A$15,BO$13)=0,10^12,OFFSET(CRONOPLE!$F$15,$M472-$A$15,BO$13)))</f>
        <v>1000000000000</v>
      </c>
      <c r="BP472" s="171">
        <f ca="1">IF(OR($D472&lt;&gt;"Serviço",AND(AUTOEVENTO="Manual",$M472=$A$15)),0,
         IF(OFFSET(CRONOPLE!$F$15,$M472-$A$15,BP$13)=0,10^12,OFFSET(CRONOPLE!$F$15,$M472-$A$15,BP$13)))</f>
        <v>1000000000000</v>
      </c>
      <c r="BQ472" s="171">
        <f ca="1">IF(OR($D472&lt;&gt;"Serviço",AND(AUTOEVENTO="Manual",$M472=$A$15)),0,
         IF(OFFSET(CRONOPLE!$F$15,$M472-$A$15,BQ$13)=0,10^12,OFFSET(CRONOPLE!$F$15,$M472-$A$15,BQ$13)))</f>
        <v>1000000000000</v>
      </c>
      <c r="BR472" s="171">
        <f ca="1">IF(OR($D472&lt;&gt;"Serviço",AND(AUTOEVENTO="Manual",$M472=$A$15)),0,
         IF(OFFSET(CRONOPLE!$F$15,$M472-$A$15,BR$13)=0,10^12,OFFSET(CRONOPLE!$F$15,$M472-$A$15,BR$13)))</f>
        <v>1000000000000</v>
      </c>
      <c r="BS472" s="171">
        <f ca="1">IF(OR($D472&lt;&gt;"Serviço",AND(AUTOEVENTO="Manual",$M472=$A$15)),0,
         IF(OFFSET(CRONOPLE!$F$15,$M472-$A$15,BS$13)=0,10^12,OFFSET(CRONOPLE!$F$15,$M472-$A$15,BS$13)))</f>
        <v>1000000000000</v>
      </c>
      <c r="BT472" s="171">
        <f ca="1">IF(OR($D472&lt;&gt;"Serviço",AND(AUTOEVENTO="Manual",$M472=$A$15)),0,
         IF(OFFSET(CRONOPLE!$F$15,$M472-$A$15,BT$13)=0,10^12,OFFSET(CRONOPLE!$F$15,$M472-$A$15,BT$13)))</f>
        <v>1000000000000</v>
      </c>
      <c r="BV472" s="172">
        <f ca="1">IF(OR($D472&lt;&gt;"Serviço",AND(AUTOEVENTO="Manual",$M472=$A$15),$M472&gt;(ROW(PLE.lastrow)-ROW(PLE.firstrow))),0,
           IF(OFFSET(PLE!$G$15,$M472-$A$15,BV$13)="",10^12,OFFSET(PLE!$G$15,$M472-$A$15,BV$13)))</f>
        <v>1000000000000</v>
      </c>
      <c r="BW472" s="172">
        <f ca="1">IF(OR($D472&lt;&gt;"Serviço",AND(AUTOEVENTO="Manual",$M472=$A$15),$M472&gt;(ROW(PLE.lastrow)-ROW(PLE.firstrow))),0,
           IF(OFFSET(PLE!$G$15,$M472-$A$15,BW$13)="",10^12,OFFSET(PLE!$G$15,$M472-$A$15,BW$13)))</f>
        <v>1000000000000</v>
      </c>
      <c r="BX472" s="172">
        <f ca="1">IF(OR($D472&lt;&gt;"Serviço",AND(AUTOEVENTO="Manual",$M472=$A$15),$M472&gt;(ROW(PLE.lastrow)-ROW(PLE.firstrow))),0,
           IF(OFFSET(PLE!$G$15,$M472-$A$15,BX$13)="",10^12,OFFSET(PLE!$G$15,$M472-$A$15,BX$13)))</f>
        <v>1000000000000</v>
      </c>
      <c r="BY472" s="172">
        <f ca="1">IF(OR($D472&lt;&gt;"Serviço",AND(AUTOEVENTO="Manual",$M472=$A$15),$M472&gt;(ROW(PLE.lastrow)-ROW(PLE.firstrow))),0,
           IF(OFFSET(PLE!$G$15,$M472-$A$15,BY$13)="",10^12,OFFSET(PLE!$G$15,$M472-$A$15,BY$13)))</f>
        <v>1000000000000</v>
      </c>
      <c r="BZ472" s="172">
        <f ca="1">IF(OR($D472&lt;&gt;"Serviço",AND(AUTOEVENTO="Manual",$M472=$A$15),$M472&gt;(ROW(PLE.lastrow)-ROW(PLE.firstrow))),0,
           IF(OFFSET(PLE!$G$15,$M472-$A$15,BZ$13)="",10^12,OFFSET(PLE!$G$15,$M472-$A$15,BZ$13)))</f>
        <v>1000000000000</v>
      </c>
      <c r="CA472" s="172">
        <f ca="1">IF(OR($D472&lt;&gt;"Serviço",AND(AUTOEVENTO="Manual",$M472=$A$15),$M472&gt;(ROW(PLE.lastrow)-ROW(PLE.firstrow))),0,
           IF(OFFSET(PLE!$G$15,$M472-$A$15,CA$13)="",10^12,OFFSET(PLE!$G$15,$M472-$A$15,CA$13)))</f>
        <v>1000000000000</v>
      </c>
      <c r="CB472" s="172">
        <f ca="1">IF(OR($D472&lt;&gt;"Serviço",AND(AUTOEVENTO="Manual",$M472=$A$15),$M472&gt;(ROW(PLE.lastrow)-ROW(PLE.firstrow))),0,
           IF(OFFSET(PLE!$G$15,$M472-$A$15,CB$13)="",10^12,OFFSET(PLE!$G$15,$M472-$A$15,CB$13)))</f>
        <v>1000000000000</v>
      </c>
      <c r="CC472" s="172">
        <f ca="1">IF(OR($D472&lt;&gt;"Serviço",AND(AUTOEVENTO="Manual",$M472=$A$15),$M472&gt;(ROW(PLE.lastrow)-ROW(PLE.firstrow))),0,
           IF(OFFSET(PLE!$G$15,$M472-$A$15,CC$13)="",10^12,OFFSET(PLE!$G$15,$M472-$A$15,CC$13)))</f>
        <v>1000000000000</v>
      </c>
      <c r="CD472" s="172">
        <f ca="1">IF(OR($D472&lt;&gt;"Serviço",AND(AUTOEVENTO="Manual",$M472=$A$15),$M472&gt;(ROW(PLE.lastrow)-ROW(PLE.firstrow))),0,
           IF(OFFSET(PLE!$G$15,$M472-$A$15,CD$13)="",10^12,OFFSET(PLE!$G$15,$M472-$A$15,CD$13)))</f>
        <v>1000000000000</v>
      </c>
      <c r="CE472" s="172">
        <f ca="1">IF(OR($D472&lt;&gt;"Serviço",AND(AUTOEVENTO="Manual",$M472=$A$15),$M472&gt;(ROW(PLE.lastrow)-ROW(PLE.firstrow))),0,
           IF(OFFSET(PLE!$G$15,$M472-$A$15,CE$13)="",10^12,OFFSET(PLE!$G$15,$M472-$A$15,CE$13)))</f>
        <v>1000000000000</v>
      </c>
      <c r="CF472" s="172">
        <f ca="1">IF(OR($D472&lt;&gt;"Serviço",AND(AUTOEVENTO="Manual",$M472=$A$15),$M472&gt;(ROW(PLE.lastrow)-ROW(PLE.firstrow))),0,
           IF(OFFSET(PLE!$G$15,$M472-$A$15,CF$13)="",10^12,OFFSET(PLE!$G$15,$M472-$A$15,CF$13)))</f>
        <v>1000000000000</v>
      </c>
      <c r="CG472" s="172">
        <f ca="1">IF(OR($D472&lt;&gt;"Serviço",AND(AUTOEVENTO="Manual",$M472=$A$15),$M472&gt;(ROW(PLE.lastrow)-ROW(PLE.firstrow))),0,
           IF(OFFSET(PLE!$G$15,$M472-$A$15,CG$13)="",10^12,OFFSET(PLE!$G$15,$M472-$A$15,CG$13)))</f>
        <v>1000000000000</v>
      </c>
      <c r="CH472" s="172">
        <f ca="1">IF(OR($D472&lt;&gt;"Serviço",AND(AUTOEVENTO="Manual",$M472=$A$15),$M472&gt;(ROW(PLE.lastrow)-ROW(PLE.firstrow))),0,
           IF(OFFSET(PLE!$G$15,$M472-$A$15,CH$13)="",10^12,OFFSET(PLE!$G$15,$M472-$A$15,CH$13)))</f>
        <v>1000000000000</v>
      </c>
      <c r="CI472" s="172">
        <f ca="1">IF(OR($D472&lt;&gt;"Serviço",AND(AUTOEVENTO="Manual",$M472=$A$15),$M472&gt;(ROW(PLE.lastrow)-ROW(PLE.firstrow))),0,
           IF(OFFSET(PLE!$G$15,$M472-$A$15,CI$13)="",10^12,OFFSET(PLE!$G$15,$M472-$A$15,CI$13)))</f>
        <v>1000000000000</v>
      </c>
      <c r="CJ472" s="172">
        <f ca="1">IF(OR($D472&lt;&gt;"Serviço",AND(AUTOEVENTO="Manual",$M472=$A$15),$M472&gt;(ROW(PLE.lastrow)-ROW(PLE.firstrow))),0,
           IF(OFFSET(PLE!$G$15,$M472-$A$15,CJ$13)="",10^12,OFFSET(PLE!$G$15,$M472-$A$15,CJ$13)))</f>
        <v>1000000000000</v>
      </c>
      <c r="CK472" s="172">
        <f ca="1">IF(OR($D472&lt;&gt;"Serviço",AND(AUTOEVENTO="Manual",$M472=$A$15),$M472&gt;(ROW(PLE.lastrow)-ROW(PLE.firstrow))),0,
           IF(OFFSET(PLE!$G$15,$M472-$A$15,CK$13)="",10^12,OFFSET(PLE!$G$15,$M472-$A$15,CK$13)))</f>
        <v>1000000000000</v>
      </c>
      <c r="CL472" s="172">
        <f ca="1">IF(OR($D472&lt;&gt;"Serviço",AND(AUTOEVENTO="Manual",$M472=$A$15),$M472&gt;(ROW(PLE.lastrow)-ROW(PLE.firstrow))),0,
           IF(OFFSET(PLE!$G$15,$M472-$A$15,CL$13)="",10^12,OFFSET(PLE!$G$15,$M472-$A$15,CL$13)))</f>
        <v>1000000000000</v>
      </c>
      <c r="CM472" s="172">
        <f ca="1">IF(OR($D472&lt;&gt;"Serviço",AND(AUTOEVENTO="Manual",$M472=$A$15),$M472&gt;(ROW(PLE.lastrow)-ROW(PLE.firstrow))),0,
           IF(OFFSET(PLE!$G$15,$M472-$A$15,CM$13)="",10^12,OFFSET(PLE!$G$15,$M472-$A$15,CM$13)))</f>
        <v>1000000000000</v>
      </c>
    </row>
    <row r="473" spans="1:91" ht="38.25" x14ac:dyDescent="0.2">
      <c r="A473" s="7">
        <f t="shared" ca="1" si="17"/>
        <v>8</v>
      </c>
      <c r="B473" s="7" t="str">
        <f ca="1">OFFSET(ORÇAMENTO!C$15,ROW(B473)-ROW(B$15),0)</f>
        <v>S</v>
      </c>
      <c r="C473" s="7" t="str">
        <f ca="1">OFFSET(ORÇAMENTO!L$15,ROW(C473)-ROW(C$15),0)</f>
        <v>F</v>
      </c>
      <c r="D473" s="116" t="str">
        <f ca="1">OFFSET(ORÇAMENTO!N$15,ROW(D473)-ROW(D$15),0)</f>
        <v>Serviço</v>
      </c>
      <c r="E473" s="117" t="str">
        <f ca="1">OFFSET(ORÇAMENTO!O$15,ROW(E473)-ROW(E$15),0)</f>
        <v>1.9.5.0.11.</v>
      </c>
      <c r="F473" s="163" t="str">
        <f ca="1">OFFSET(ORÇAMENTO!R$15,ROW(F473)-ROW(F$15),0)</f>
        <v>INJETOR POE PASSIVO FAST ETHERNET INTELBRAS 4805 PF, FORNECIMENTO E INSTALAÇÃO - BASEADO EM SBC (059434)</v>
      </c>
      <c r="G473" s="164" t="str">
        <f ca="1">IF($D473&lt;&gt;"Serviço","",OFFSET(ORÇAMENTO!S$15,ROW(G473)-ROW(G$15),0))</f>
        <v>UN</v>
      </c>
      <c r="H473" s="122" cm="1">
        <f t="array" aca="1" ref="H473" ca="1">IF($D473&lt;&gt;"Serviço",0,IF(ACOMPANHAMENTO="BM",ROUND(OFFSET(ORÇAMENTO!AJ$15,ROW(H473)-ROW(H$15),0),15-13*ORÇAMENTO!$AF$7),SUMPRODUCT(($Q$1:$AI$1=1)*ROUND($Q473:$AI473,15-13*ORÇAMENTO!$AF$7))))</f>
        <v>6</v>
      </c>
      <c r="I473" s="468" t="s">
        <v>1432</v>
      </c>
      <c r="J473" s="640" t="str" cm="1">
        <f t="array" aca="1" ref="J473" ca="1">IF(OR(B473&lt;&gt;"S",CÁLCULO.FrentesPreenchidas=0),"",IF(AND(ACOMPANHAMENTO="PLE",AUTOEVENTO="Manual",OR(H473&gt;0,ORÇAMENTO!AC473="QUANT."),OR(K473="",M473=0,N473="")),"►E",IF(AND(ACOMPANHAMENTO="PLE",ORÇAMENTO!AC473="QUANT."),"►Q",IF(AND(ACOMPANHAMENTO="PLE",H473&lt;&gt;SUMPRODUCT(($Q$1:$AI$1=1)*ROUND(Q473:AI473,15))),"►S",IF(AND(COUNTIF($P$11:$AI$11,"▼")=0,H473&gt;0,I473=""),"◄M","")))))</f>
        <v/>
      </c>
      <c r="K473" s="641" t="s">
        <v>1392</v>
      </c>
      <c r="L473" s="165" t="s">
        <v>764</v>
      </c>
      <c r="M473" s="166">
        <f ca="1">IF($D473&lt;&gt;"Serviço","",
          IF(AUTOEVENTO="manual",$A473,
                IF(ISERROR(MATCH($A473,$A$15:OFFSET($A473,-1,0),0)),MAX($M$15:OFFSET(M473,-1,0))+1,
                      INDEX($M$15:OFFSET(M473,-1,0),MATCH($A473,$A$15:OFFSET($A473,-1,0),0)))))</f>
        <v>8</v>
      </c>
      <c r="N473" s="167" t="str">
        <f ca="1">IF($D473&lt;&gt;"Serviço","",
         IF(AUTOEVENTO="Manual",
                IF($A473=0,"&lt;-- defina o número do agrupador",
                       OFFSET(EVENTOS!$D$15,$A473-$A$15,0)),
                OFFSET($F$15,$A473,0)))</f>
        <v>CFTV</v>
      </c>
      <c r="O473" s="168"/>
      <c r="Q473" s="168"/>
      <c r="R473" s="169"/>
      <c r="S473" s="169"/>
      <c r="T473" s="169"/>
      <c r="U473" s="169"/>
      <c r="V473" s="169"/>
      <c r="W473" s="169"/>
      <c r="X473" s="169"/>
      <c r="Y473" s="169">
        <v>6</v>
      </c>
      <c r="Z473" s="170"/>
      <c r="AA473" s="169"/>
      <c r="AB473" s="169"/>
      <c r="AC473" s="169"/>
      <c r="AD473" s="169"/>
      <c r="AE473" s="169"/>
      <c r="AF473" s="169"/>
      <c r="AG473" s="169"/>
      <c r="AH473" s="170"/>
      <c r="AJ473" s="453">
        <f ca="1">IF(AND($D473="Serviço",AJ$12&lt;&gt;0,$H473&gt;0,OR(AUTOEVENTO&lt;&gt;"manual",$M473&lt;&gt;$A$15)),
        IF(Import.TipoArredondamento&lt;&gt;"TransfereGOV",
              ROUND(OFFSET($P473,0,AJ$13),15-13*ORÇAMENTO!$AF$7)/$H473*OFFSET(ORÇAMENTO!$X$15,ROW(AJ473)-ROW(AJ$15),0),
              ROUND(ROUND(OFFSET($P473,0,AJ$13),15-13*ORÇAMENTO!$AF$7)*OFFSET(ORÇAMENTO!$W$15,ROW(AJ473)-ROW(AJ$15),0),15-13*ORÇAMENTO!$AF$11)),
         0)</f>
        <v>0</v>
      </c>
      <c r="AK473" s="453">
        <f ca="1">IF(AND($D473="Serviço",AK$12&lt;&gt;0,$H473&gt;0,OR(AUTOEVENTO&lt;&gt;"manual",$M473&lt;&gt;$A$15)),
        IF(Import.TipoArredondamento&lt;&gt;"TransfereGOV",
              ROUND(OFFSET($P473,0,AK$13),15-13*ORÇAMENTO!$AF$7)/$H473*OFFSET(ORÇAMENTO!$X$15,ROW(AK473)-ROW(AK$15),0),
              ROUND(ROUND(OFFSET($P473,0,AK$13),15-13*ORÇAMENTO!$AF$7)*OFFSET(ORÇAMENTO!$W$15,ROW(AK473)-ROW(AK$15),0),15-13*ORÇAMENTO!$AF$11)),
         0)</f>
        <v>0</v>
      </c>
      <c r="AL473" s="453">
        <f ca="1">IF(AND($D473="Serviço",AL$12&lt;&gt;0,$H473&gt;0,OR(AUTOEVENTO&lt;&gt;"manual",$M473&lt;&gt;$A$15)),
        IF(Import.TipoArredondamento&lt;&gt;"TransfereGOV",
              ROUND(OFFSET($P473,0,AL$13),15-13*ORÇAMENTO!$AF$7)/$H473*OFFSET(ORÇAMENTO!$X$15,ROW(AL473)-ROW(AL$15),0),
              ROUND(ROUND(OFFSET($P473,0,AL$13),15-13*ORÇAMENTO!$AF$7)*OFFSET(ORÇAMENTO!$W$15,ROW(AL473)-ROW(AL$15),0),15-13*ORÇAMENTO!$AF$11)),
         0)</f>
        <v>0</v>
      </c>
      <c r="AM473" s="453">
        <f ca="1">IF(AND($D473="Serviço",AM$12&lt;&gt;0,$H473&gt;0,OR(AUTOEVENTO&lt;&gt;"manual",$M473&lt;&gt;$A$15)),
        IF(Import.TipoArredondamento&lt;&gt;"TransfereGOV",
              ROUND(OFFSET($P473,0,AM$13),15-13*ORÇAMENTO!$AF$7)/$H473*OFFSET(ORÇAMENTO!$X$15,ROW(AM473)-ROW(AM$15),0),
              ROUND(ROUND(OFFSET($P473,0,AM$13),15-13*ORÇAMENTO!$AF$7)*OFFSET(ORÇAMENTO!$W$15,ROW(AM473)-ROW(AM$15),0),15-13*ORÇAMENTO!$AF$11)),
         0)</f>
        <v>0</v>
      </c>
      <c r="AN473" s="453">
        <f ca="1">IF(AND($D473="Serviço",AN$12&lt;&gt;0,$H473&gt;0,OR(AUTOEVENTO&lt;&gt;"manual",$M473&lt;&gt;$A$15)),
        IF(Import.TipoArredondamento&lt;&gt;"TransfereGOV",
              ROUND(OFFSET($P473,0,AN$13),15-13*ORÇAMENTO!$AF$7)/$H473*OFFSET(ORÇAMENTO!$X$15,ROW(AN473)-ROW(AN$15),0),
              ROUND(ROUND(OFFSET($P473,0,AN$13),15-13*ORÇAMENTO!$AF$7)*OFFSET(ORÇAMENTO!$W$15,ROW(AN473)-ROW(AN$15),0),15-13*ORÇAMENTO!$AF$11)),
         0)</f>
        <v>0</v>
      </c>
      <c r="AO473" s="453">
        <f ca="1">IF(AND($D473="Serviço",AO$12&lt;&gt;0,$H473&gt;0,OR(AUTOEVENTO&lt;&gt;"manual",$M473&lt;&gt;$A$15)),
        IF(Import.TipoArredondamento&lt;&gt;"TransfereGOV",
              ROUND(OFFSET($P473,0,AO$13),15-13*ORÇAMENTO!$AF$7)/$H473*OFFSET(ORÇAMENTO!$X$15,ROW(AO473)-ROW(AO$15),0),
              ROUND(ROUND(OFFSET($P473,0,AO$13),15-13*ORÇAMENTO!$AF$7)*OFFSET(ORÇAMENTO!$W$15,ROW(AO473)-ROW(AO$15),0),15-13*ORÇAMENTO!$AF$11)),
         0)</f>
        <v>0</v>
      </c>
      <c r="AP473" s="453">
        <f ca="1">IF(AND($D473="Serviço",AP$12&lt;&gt;0,$H473&gt;0,OR(AUTOEVENTO&lt;&gt;"manual",$M473&lt;&gt;$A$15)),
        IF(Import.TipoArredondamento&lt;&gt;"TransfereGOV",
              ROUND(OFFSET($P473,0,AP$13),15-13*ORÇAMENTO!$AF$7)/$H473*OFFSET(ORÇAMENTO!$X$15,ROW(AP473)-ROW(AP$15),0),
              ROUND(ROUND(OFFSET($P473,0,AP$13),15-13*ORÇAMENTO!$AF$7)*OFFSET(ORÇAMENTO!$W$15,ROW(AP473)-ROW(AP$15),0),15-13*ORÇAMENTO!$AF$11)),
         0)</f>
        <v>0</v>
      </c>
      <c r="AQ473" s="453">
        <f ca="1">IF(AND($D473="Serviço",AQ$12&lt;&gt;0,$H473&gt;0,OR(AUTOEVENTO&lt;&gt;"manual",$M473&lt;&gt;$A$15)),
        IF(Import.TipoArredondamento&lt;&gt;"TransfereGOV",
              ROUND(OFFSET($P473,0,AQ$13),15-13*ORÇAMENTO!$AF$7)/$H473*OFFSET(ORÇAMENTO!$X$15,ROW(AQ473)-ROW(AQ$15),0),
              ROUND(ROUND(OFFSET($P473,0,AQ$13),15-13*ORÇAMENTO!$AF$7)*OFFSET(ORÇAMENTO!$W$15,ROW(AQ473)-ROW(AQ$15),0),15-13*ORÇAMENTO!$AF$11)),
         0)</f>
        <v>0</v>
      </c>
      <c r="AR473" s="453">
        <f ca="1">IF(AND($D473="Serviço",AR$12&lt;&gt;0,$H473&gt;0,OR(AUTOEVENTO&lt;&gt;"manual",$M473&lt;&gt;$A$15)),
        IF(Import.TipoArredondamento&lt;&gt;"TransfereGOV",
              ROUND(OFFSET($P473,0,AR$13),15-13*ORÇAMENTO!$AF$7)/$H473*OFFSET(ORÇAMENTO!$X$15,ROW(AR473)-ROW(AR$15),0),
              ROUND(ROUND(OFFSET($P473,0,AR$13),15-13*ORÇAMENTO!$AF$7)*OFFSET(ORÇAMENTO!$W$15,ROW(AR473)-ROW(AR$15),0),15-13*ORÇAMENTO!$AF$11)),
         0)</f>
        <v>0</v>
      </c>
      <c r="AS473" s="453">
        <f ca="1">IF(AND($D473="Serviço",AS$12&lt;&gt;0,$H473&gt;0,OR(AUTOEVENTO&lt;&gt;"manual",$M473&lt;&gt;$A$15)),
        IF(Import.TipoArredondamento&lt;&gt;"TransfereGOV",
              ROUND(OFFSET($P473,0,AS$13),15-13*ORÇAMENTO!$AF$7)/$H473*OFFSET(ORÇAMENTO!$X$15,ROW(AS473)-ROW(AS$15),0),
              ROUND(ROUND(OFFSET($P473,0,AS$13),15-13*ORÇAMENTO!$AF$7)*OFFSET(ORÇAMENTO!$W$15,ROW(AS473)-ROW(AS$15),0),15-13*ORÇAMENTO!$AF$11)),
         0)</f>
        <v>0</v>
      </c>
      <c r="AT473" s="453">
        <f ca="1">IF(AND($D473="Serviço",AT$12&lt;&gt;0,$H473&gt;0,OR(AUTOEVENTO&lt;&gt;"manual",$M473&lt;&gt;$A$15)),
        IF(Import.TipoArredondamento&lt;&gt;"TransfereGOV",
              ROUND(OFFSET($P473,0,AT$13),15-13*ORÇAMENTO!$AF$7)/$H473*OFFSET(ORÇAMENTO!$X$15,ROW(AT473)-ROW(AT$15),0),
              ROUND(ROUND(OFFSET($P473,0,AT$13),15-13*ORÇAMENTO!$AF$7)*OFFSET(ORÇAMENTO!$W$15,ROW(AT473)-ROW(AT$15),0),15-13*ORÇAMENTO!$AF$11)),
         0)</f>
        <v>0</v>
      </c>
      <c r="AU473" s="453">
        <f ca="1">IF(AND($D473="Serviço",AU$12&lt;&gt;0,$H473&gt;0,OR(AUTOEVENTO&lt;&gt;"manual",$M473&lt;&gt;$A$15)),
        IF(Import.TipoArredondamento&lt;&gt;"TransfereGOV",
              ROUND(OFFSET($P473,0,AU$13),15-13*ORÇAMENTO!$AF$7)/$H473*OFFSET(ORÇAMENTO!$X$15,ROW(AU473)-ROW(AU$15),0),
              ROUND(ROUND(OFFSET($P473,0,AU$13),15-13*ORÇAMENTO!$AF$7)*OFFSET(ORÇAMENTO!$W$15,ROW(AU473)-ROW(AU$15),0),15-13*ORÇAMENTO!$AF$11)),
         0)</f>
        <v>0</v>
      </c>
      <c r="AV473" s="453">
        <f ca="1">IF(AND($D473="Serviço",AV$12&lt;&gt;0,$H473&gt;0,OR(AUTOEVENTO&lt;&gt;"manual",$M473&lt;&gt;$A$15)),
        IF(Import.TipoArredondamento&lt;&gt;"TransfereGOV",
              ROUND(OFFSET($P473,0,AV$13),15-13*ORÇAMENTO!$AF$7)/$H473*OFFSET(ORÇAMENTO!$X$15,ROW(AV473)-ROW(AV$15),0),
              ROUND(ROUND(OFFSET($P473,0,AV$13),15-13*ORÇAMENTO!$AF$7)*OFFSET(ORÇAMENTO!$W$15,ROW(AV473)-ROW(AV$15),0),15-13*ORÇAMENTO!$AF$11)),
         0)</f>
        <v>0</v>
      </c>
      <c r="AW473" s="453">
        <f ca="1">IF(AND($D473="Serviço",AW$12&lt;&gt;0,$H473&gt;0,OR(AUTOEVENTO&lt;&gt;"manual",$M473&lt;&gt;$A$15)),
        IF(Import.TipoArredondamento&lt;&gt;"TransfereGOV",
              ROUND(OFFSET($P473,0,AW$13),15-13*ORÇAMENTO!$AF$7)/$H473*OFFSET(ORÇAMENTO!$X$15,ROW(AW473)-ROW(AW$15),0),
              ROUND(ROUND(OFFSET($P473,0,AW$13),15-13*ORÇAMENTO!$AF$7)*OFFSET(ORÇAMENTO!$W$15,ROW(AW473)-ROW(AW$15),0),15-13*ORÇAMENTO!$AF$11)),
         0)</f>
        <v>0</v>
      </c>
      <c r="AX473" s="453">
        <f ca="1">IF(AND($D473="Serviço",AX$12&lt;&gt;0,$H473&gt;0,OR(AUTOEVENTO&lt;&gt;"manual",$M473&lt;&gt;$A$15)),
        IF(Import.TipoArredondamento&lt;&gt;"TransfereGOV",
              ROUND(OFFSET($P473,0,AX$13),15-13*ORÇAMENTO!$AF$7)/$H473*OFFSET(ORÇAMENTO!$X$15,ROW(AX473)-ROW(AX$15),0),
              ROUND(ROUND(OFFSET($P473,0,AX$13),15-13*ORÇAMENTO!$AF$7)*OFFSET(ORÇAMENTO!$W$15,ROW(AX473)-ROW(AX$15),0),15-13*ORÇAMENTO!$AF$11)),
         0)</f>
        <v>0</v>
      </c>
      <c r="AY473" s="453">
        <f ca="1">IF(AND($D473="Serviço",AY$12&lt;&gt;0,$H473&gt;0,OR(AUTOEVENTO&lt;&gt;"manual",$M473&lt;&gt;$A$15)),
        IF(Import.TipoArredondamento&lt;&gt;"TransfereGOV",
              ROUND(OFFSET($P473,0,AY$13),15-13*ORÇAMENTO!$AF$7)/$H473*OFFSET(ORÇAMENTO!$X$15,ROW(AY473)-ROW(AY$15),0),
              ROUND(ROUND(OFFSET($P473,0,AY$13),15-13*ORÇAMENTO!$AF$7)*OFFSET(ORÇAMENTO!$W$15,ROW(AY473)-ROW(AY$15),0),15-13*ORÇAMENTO!$AF$11)),
         0)</f>
        <v>0</v>
      </c>
      <c r="AZ473" s="453">
        <f ca="1">IF(AND($D473="Serviço",AZ$12&lt;&gt;0,$H473&gt;0,OR(AUTOEVENTO&lt;&gt;"manual",$M473&lt;&gt;$A$15)),
        IF(Import.TipoArredondamento&lt;&gt;"TransfereGOV",
              ROUND(OFFSET($P473,0,AZ$13),15-13*ORÇAMENTO!$AF$7)/$H473*OFFSET(ORÇAMENTO!$X$15,ROW(AZ473)-ROW(AZ$15),0),
              ROUND(ROUND(OFFSET($P473,0,AZ$13),15-13*ORÇAMENTO!$AF$7)*OFFSET(ORÇAMENTO!$W$15,ROW(AZ473)-ROW(AZ$15),0),15-13*ORÇAMENTO!$AF$11)),
         0)</f>
        <v>0</v>
      </c>
      <c r="BA473" s="453">
        <f ca="1">IF(AND($D473="Serviço",BA$12&lt;&gt;0,$H473&gt;0,OR(AUTOEVENTO&lt;&gt;"manual",$M473&lt;&gt;$A$15)),
        IF(Import.TipoArredondamento&lt;&gt;"TransfereGOV",
              ROUND(OFFSET($P473,0,BA$13),15-13*ORÇAMENTO!$AF$7)/$H473*OFFSET(ORÇAMENTO!$X$15,ROW(BA473)-ROW(BA$15),0),
              ROUND(ROUND(OFFSET($P473,0,BA$13),15-13*ORÇAMENTO!$AF$7)*OFFSET(ORÇAMENTO!$W$15,ROW(BA473)-ROW(BA$15),0),15-13*ORÇAMENTO!$AF$11)),
         0)</f>
        <v>0</v>
      </c>
      <c r="BC473" s="171">
        <f ca="1">IF(OR($D473&lt;&gt;"Serviço",AND(AUTOEVENTO="Manual",$M473=$A$15)),0,
         IF(OFFSET(CRONOPLE!$F$15,$M473-$A$15,BC$13)=0,10^12,OFFSET(CRONOPLE!$F$15,$M473-$A$15,BC$13)))</f>
        <v>1</v>
      </c>
      <c r="BD473" s="171">
        <f ca="1">IF(OR($D473&lt;&gt;"Serviço",AND(AUTOEVENTO="Manual",$M473=$A$15)),0,
         IF(OFFSET(CRONOPLE!$F$15,$M473-$A$15,BD$13)=0,10^12,OFFSET(CRONOPLE!$F$15,$M473-$A$15,BD$13)))</f>
        <v>2</v>
      </c>
      <c r="BE473" s="171">
        <f ca="1">IF(OR($D473&lt;&gt;"Serviço",AND(AUTOEVENTO="Manual",$M473=$A$15)),0,
         IF(OFFSET(CRONOPLE!$F$15,$M473-$A$15,BE$13)=0,10^12,OFFSET(CRONOPLE!$F$15,$M473-$A$15,BE$13)))</f>
        <v>3</v>
      </c>
      <c r="BF473" s="171">
        <f ca="1">IF(OR($D473&lt;&gt;"Serviço",AND(AUTOEVENTO="Manual",$M473=$A$15)),0,
         IF(OFFSET(CRONOPLE!$F$15,$M473-$A$15,BF$13)=0,10^12,OFFSET(CRONOPLE!$F$15,$M473-$A$15,BF$13)))</f>
        <v>4</v>
      </c>
      <c r="BG473" s="171">
        <f ca="1">IF(OR($D473&lt;&gt;"Serviço",AND(AUTOEVENTO="Manual",$M473=$A$15)),0,
         IF(OFFSET(CRONOPLE!$F$15,$M473-$A$15,BG$13)=0,10^12,OFFSET(CRONOPLE!$F$15,$M473-$A$15,BG$13)))</f>
        <v>5</v>
      </c>
      <c r="BH473" s="171">
        <f ca="1">IF(OR($D473&lt;&gt;"Serviço",AND(AUTOEVENTO="Manual",$M473=$A$15)),0,
         IF(OFFSET(CRONOPLE!$F$15,$M473-$A$15,BH$13)=0,10^12,OFFSET(CRONOPLE!$F$15,$M473-$A$15,BH$13)))</f>
        <v>6</v>
      </c>
      <c r="BI473" s="171">
        <f ca="1">IF(OR($D473&lt;&gt;"Serviço",AND(AUTOEVENTO="Manual",$M473=$A$15)),0,
         IF(OFFSET(CRONOPLE!$F$15,$M473-$A$15,BI$13)=0,10^12,OFFSET(CRONOPLE!$F$15,$M473-$A$15,BI$13)))</f>
        <v>7</v>
      </c>
      <c r="BJ473" s="171">
        <f ca="1">IF(OR($D473&lt;&gt;"Serviço",AND(AUTOEVENTO="Manual",$M473=$A$15)),0,
         IF(OFFSET(CRONOPLE!$F$15,$M473-$A$15,BJ$13)=0,10^12,OFFSET(CRONOPLE!$F$15,$M473-$A$15,BJ$13)))</f>
        <v>8</v>
      </c>
      <c r="BK473" s="171">
        <f ca="1">IF(OR($D473&lt;&gt;"Serviço",AND(AUTOEVENTO="Manual",$M473=$A$15)),0,
         IF(OFFSET(CRONOPLE!$F$15,$M473-$A$15,BK$13)=0,10^12,OFFSET(CRONOPLE!$F$15,$M473-$A$15,BK$13)))</f>
        <v>9</v>
      </c>
      <c r="BL473" s="171">
        <f ca="1">IF(OR($D473&lt;&gt;"Serviço",AND(AUTOEVENTO="Manual",$M473=$A$15)),0,
         IF(OFFSET(CRONOPLE!$F$15,$M473-$A$15,BL$13)=0,10^12,OFFSET(CRONOPLE!$F$15,$M473-$A$15,BL$13)))</f>
        <v>1000000000000</v>
      </c>
      <c r="BM473" s="171">
        <f ca="1">IF(OR($D473&lt;&gt;"Serviço",AND(AUTOEVENTO="Manual",$M473=$A$15)),0,
         IF(OFFSET(CRONOPLE!$F$15,$M473-$A$15,BM$13)=0,10^12,OFFSET(CRONOPLE!$F$15,$M473-$A$15,BM$13)))</f>
        <v>1000000000000</v>
      </c>
      <c r="BN473" s="171">
        <f ca="1">IF(OR($D473&lt;&gt;"Serviço",AND(AUTOEVENTO="Manual",$M473=$A$15)),0,
         IF(OFFSET(CRONOPLE!$F$15,$M473-$A$15,BN$13)=0,10^12,OFFSET(CRONOPLE!$F$15,$M473-$A$15,BN$13)))</f>
        <v>1000000000000</v>
      </c>
      <c r="BO473" s="171">
        <f ca="1">IF(OR($D473&lt;&gt;"Serviço",AND(AUTOEVENTO="Manual",$M473=$A$15)),0,
         IF(OFFSET(CRONOPLE!$F$15,$M473-$A$15,BO$13)=0,10^12,OFFSET(CRONOPLE!$F$15,$M473-$A$15,BO$13)))</f>
        <v>1000000000000</v>
      </c>
      <c r="BP473" s="171">
        <f ca="1">IF(OR($D473&lt;&gt;"Serviço",AND(AUTOEVENTO="Manual",$M473=$A$15)),0,
         IF(OFFSET(CRONOPLE!$F$15,$M473-$A$15,BP$13)=0,10^12,OFFSET(CRONOPLE!$F$15,$M473-$A$15,BP$13)))</f>
        <v>1000000000000</v>
      </c>
      <c r="BQ473" s="171">
        <f ca="1">IF(OR($D473&lt;&gt;"Serviço",AND(AUTOEVENTO="Manual",$M473=$A$15)),0,
         IF(OFFSET(CRONOPLE!$F$15,$M473-$A$15,BQ$13)=0,10^12,OFFSET(CRONOPLE!$F$15,$M473-$A$15,BQ$13)))</f>
        <v>1000000000000</v>
      </c>
      <c r="BR473" s="171">
        <f ca="1">IF(OR($D473&lt;&gt;"Serviço",AND(AUTOEVENTO="Manual",$M473=$A$15)),0,
         IF(OFFSET(CRONOPLE!$F$15,$M473-$A$15,BR$13)=0,10^12,OFFSET(CRONOPLE!$F$15,$M473-$A$15,BR$13)))</f>
        <v>1000000000000</v>
      </c>
      <c r="BS473" s="171">
        <f ca="1">IF(OR($D473&lt;&gt;"Serviço",AND(AUTOEVENTO="Manual",$M473=$A$15)),0,
         IF(OFFSET(CRONOPLE!$F$15,$M473-$A$15,BS$13)=0,10^12,OFFSET(CRONOPLE!$F$15,$M473-$A$15,BS$13)))</f>
        <v>1000000000000</v>
      </c>
      <c r="BT473" s="171">
        <f ca="1">IF(OR($D473&lt;&gt;"Serviço",AND(AUTOEVENTO="Manual",$M473=$A$15)),0,
         IF(OFFSET(CRONOPLE!$F$15,$M473-$A$15,BT$13)=0,10^12,OFFSET(CRONOPLE!$F$15,$M473-$A$15,BT$13)))</f>
        <v>1000000000000</v>
      </c>
      <c r="BV473" s="172">
        <f ca="1">IF(OR($D473&lt;&gt;"Serviço",AND(AUTOEVENTO="Manual",$M473=$A$15),$M473&gt;(ROW(PLE.lastrow)-ROW(PLE.firstrow))),0,
           IF(OFFSET(PLE!$G$15,$M473-$A$15,BV$13)="",10^12,OFFSET(PLE!$G$15,$M473-$A$15,BV$13)))</f>
        <v>1000000000000</v>
      </c>
      <c r="BW473" s="172">
        <f ca="1">IF(OR($D473&lt;&gt;"Serviço",AND(AUTOEVENTO="Manual",$M473=$A$15),$M473&gt;(ROW(PLE.lastrow)-ROW(PLE.firstrow))),0,
           IF(OFFSET(PLE!$G$15,$M473-$A$15,BW$13)="",10^12,OFFSET(PLE!$G$15,$M473-$A$15,BW$13)))</f>
        <v>1000000000000</v>
      </c>
      <c r="BX473" s="172">
        <f ca="1">IF(OR($D473&lt;&gt;"Serviço",AND(AUTOEVENTO="Manual",$M473=$A$15),$M473&gt;(ROW(PLE.lastrow)-ROW(PLE.firstrow))),0,
           IF(OFFSET(PLE!$G$15,$M473-$A$15,BX$13)="",10^12,OFFSET(PLE!$G$15,$M473-$A$15,BX$13)))</f>
        <v>1000000000000</v>
      </c>
      <c r="BY473" s="172">
        <f ca="1">IF(OR($D473&lt;&gt;"Serviço",AND(AUTOEVENTO="Manual",$M473=$A$15),$M473&gt;(ROW(PLE.lastrow)-ROW(PLE.firstrow))),0,
           IF(OFFSET(PLE!$G$15,$M473-$A$15,BY$13)="",10^12,OFFSET(PLE!$G$15,$M473-$A$15,BY$13)))</f>
        <v>1000000000000</v>
      </c>
      <c r="BZ473" s="172">
        <f ca="1">IF(OR($D473&lt;&gt;"Serviço",AND(AUTOEVENTO="Manual",$M473=$A$15),$M473&gt;(ROW(PLE.lastrow)-ROW(PLE.firstrow))),0,
           IF(OFFSET(PLE!$G$15,$M473-$A$15,BZ$13)="",10^12,OFFSET(PLE!$G$15,$M473-$A$15,BZ$13)))</f>
        <v>1000000000000</v>
      </c>
      <c r="CA473" s="172">
        <f ca="1">IF(OR($D473&lt;&gt;"Serviço",AND(AUTOEVENTO="Manual",$M473=$A$15),$M473&gt;(ROW(PLE.lastrow)-ROW(PLE.firstrow))),0,
           IF(OFFSET(PLE!$G$15,$M473-$A$15,CA$13)="",10^12,OFFSET(PLE!$G$15,$M473-$A$15,CA$13)))</f>
        <v>1000000000000</v>
      </c>
      <c r="CB473" s="172">
        <f ca="1">IF(OR($D473&lt;&gt;"Serviço",AND(AUTOEVENTO="Manual",$M473=$A$15),$M473&gt;(ROW(PLE.lastrow)-ROW(PLE.firstrow))),0,
           IF(OFFSET(PLE!$G$15,$M473-$A$15,CB$13)="",10^12,OFFSET(PLE!$G$15,$M473-$A$15,CB$13)))</f>
        <v>1000000000000</v>
      </c>
      <c r="CC473" s="172">
        <f ca="1">IF(OR($D473&lt;&gt;"Serviço",AND(AUTOEVENTO="Manual",$M473=$A$15),$M473&gt;(ROW(PLE.lastrow)-ROW(PLE.firstrow))),0,
           IF(OFFSET(PLE!$G$15,$M473-$A$15,CC$13)="",10^12,OFFSET(PLE!$G$15,$M473-$A$15,CC$13)))</f>
        <v>1000000000000</v>
      </c>
      <c r="CD473" s="172">
        <f ca="1">IF(OR($D473&lt;&gt;"Serviço",AND(AUTOEVENTO="Manual",$M473=$A$15),$M473&gt;(ROW(PLE.lastrow)-ROW(PLE.firstrow))),0,
           IF(OFFSET(PLE!$G$15,$M473-$A$15,CD$13)="",10^12,OFFSET(PLE!$G$15,$M473-$A$15,CD$13)))</f>
        <v>1000000000000</v>
      </c>
      <c r="CE473" s="172">
        <f ca="1">IF(OR($D473&lt;&gt;"Serviço",AND(AUTOEVENTO="Manual",$M473=$A$15),$M473&gt;(ROW(PLE.lastrow)-ROW(PLE.firstrow))),0,
           IF(OFFSET(PLE!$G$15,$M473-$A$15,CE$13)="",10^12,OFFSET(PLE!$G$15,$M473-$A$15,CE$13)))</f>
        <v>1000000000000</v>
      </c>
      <c r="CF473" s="172">
        <f ca="1">IF(OR($D473&lt;&gt;"Serviço",AND(AUTOEVENTO="Manual",$M473=$A$15),$M473&gt;(ROW(PLE.lastrow)-ROW(PLE.firstrow))),0,
           IF(OFFSET(PLE!$G$15,$M473-$A$15,CF$13)="",10^12,OFFSET(PLE!$G$15,$M473-$A$15,CF$13)))</f>
        <v>1000000000000</v>
      </c>
      <c r="CG473" s="172">
        <f ca="1">IF(OR($D473&lt;&gt;"Serviço",AND(AUTOEVENTO="Manual",$M473=$A$15),$M473&gt;(ROW(PLE.lastrow)-ROW(PLE.firstrow))),0,
           IF(OFFSET(PLE!$G$15,$M473-$A$15,CG$13)="",10^12,OFFSET(PLE!$G$15,$M473-$A$15,CG$13)))</f>
        <v>1000000000000</v>
      </c>
      <c r="CH473" s="172">
        <f ca="1">IF(OR($D473&lt;&gt;"Serviço",AND(AUTOEVENTO="Manual",$M473=$A$15),$M473&gt;(ROW(PLE.lastrow)-ROW(PLE.firstrow))),0,
           IF(OFFSET(PLE!$G$15,$M473-$A$15,CH$13)="",10^12,OFFSET(PLE!$G$15,$M473-$A$15,CH$13)))</f>
        <v>1000000000000</v>
      </c>
      <c r="CI473" s="172">
        <f ca="1">IF(OR($D473&lt;&gt;"Serviço",AND(AUTOEVENTO="Manual",$M473=$A$15),$M473&gt;(ROW(PLE.lastrow)-ROW(PLE.firstrow))),0,
           IF(OFFSET(PLE!$G$15,$M473-$A$15,CI$13)="",10^12,OFFSET(PLE!$G$15,$M473-$A$15,CI$13)))</f>
        <v>1000000000000</v>
      </c>
      <c r="CJ473" s="172">
        <f ca="1">IF(OR($D473&lt;&gt;"Serviço",AND(AUTOEVENTO="Manual",$M473=$A$15),$M473&gt;(ROW(PLE.lastrow)-ROW(PLE.firstrow))),0,
           IF(OFFSET(PLE!$G$15,$M473-$A$15,CJ$13)="",10^12,OFFSET(PLE!$G$15,$M473-$A$15,CJ$13)))</f>
        <v>1000000000000</v>
      </c>
      <c r="CK473" s="172">
        <f ca="1">IF(OR($D473&lt;&gt;"Serviço",AND(AUTOEVENTO="Manual",$M473=$A$15),$M473&gt;(ROW(PLE.lastrow)-ROW(PLE.firstrow))),0,
           IF(OFFSET(PLE!$G$15,$M473-$A$15,CK$13)="",10^12,OFFSET(PLE!$G$15,$M473-$A$15,CK$13)))</f>
        <v>1000000000000</v>
      </c>
      <c r="CL473" s="172">
        <f ca="1">IF(OR($D473&lt;&gt;"Serviço",AND(AUTOEVENTO="Manual",$M473=$A$15),$M473&gt;(ROW(PLE.lastrow)-ROW(PLE.firstrow))),0,
           IF(OFFSET(PLE!$G$15,$M473-$A$15,CL$13)="",10^12,OFFSET(PLE!$G$15,$M473-$A$15,CL$13)))</f>
        <v>1000000000000</v>
      </c>
      <c r="CM473" s="172">
        <f ca="1">IF(OR($D473&lt;&gt;"Serviço",AND(AUTOEVENTO="Manual",$M473=$A$15),$M473&gt;(ROW(PLE.lastrow)-ROW(PLE.firstrow))),0,
           IF(OFFSET(PLE!$G$15,$M473-$A$15,CM$13)="",10^12,OFFSET(PLE!$G$15,$M473-$A$15,CM$13)))</f>
        <v>1000000000000</v>
      </c>
    </row>
    <row r="474" spans="1:91" ht="12.75" x14ac:dyDescent="0.2">
      <c r="A474" s="7">
        <f t="shared" ca="1" si="17"/>
        <v>9</v>
      </c>
      <c r="B474" s="7">
        <f ca="1">OFFSET(ORÇAMENTO!C$15,ROW(B474)-ROW(B$15),0)</f>
        <v>3</v>
      </c>
      <c r="C474" s="7" t="str">
        <f ca="1">OFFSET(ORÇAMENTO!L$15,ROW(C474)-ROW(C$15),0)</f>
        <v>F</v>
      </c>
      <c r="D474" s="116" t="str">
        <f ca="1">OFFSET(ORÇAMENTO!N$15,ROW(D474)-ROW(D$15),0)</f>
        <v>Nível 3</v>
      </c>
      <c r="E474" s="117" t="str">
        <f ca="1">OFFSET(ORÇAMENTO!O$15,ROW(E474)-ROW(E$15),0)</f>
        <v>1.9.6.</v>
      </c>
      <c r="F474" s="163" t="str">
        <f ca="1">OFFSET(ORÇAMENTO!R$15,ROW(F474)-ROW(F$15),0)</f>
        <v>RACKS DE TELECOMUNICAÇÕES</v>
      </c>
      <c r="G474" s="164" t="str">
        <f ca="1">IF($D474&lt;&gt;"Serviço","",OFFSET(ORÇAMENTO!S$15,ROW(G474)-ROW(G$15),0))</f>
        <v/>
      </c>
      <c r="H474" s="122" cm="1">
        <f t="array" aca="1" ref="H474" ca="1">IF($D474&lt;&gt;"Serviço",0,IF(ACOMPANHAMENTO="BM",ROUND(OFFSET(ORÇAMENTO!AJ$15,ROW(H474)-ROW(H$15),0),15-13*ORÇAMENTO!$AF$7),SUMPRODUCT(($Q$1:$AI$1=1)*ROUND($Q474:$AI474,15-13*ORÇAMENTO!$AF$7))))</f>
        <v>0</v>
      </c>
      <c r="I474" s="468"/>
      <c r="J474" s="640" t="str" cm="1">
        <f t="array" aca="1" ref="J474" ca="1">IF(OR(B474&lt;&gt;"S",CÁLCULO.FrentesPreenchidas=0),"",IF(AND(ACOMPANHAMENTO="PLE",AUTOEVENTO="Manual",OR(H474&gt;0,ORÇAMENTO!AC474="QUANT."),OR(K474="",M474=0,N474="")),"►E",IF(AND(ACOMPANHAMENTO="PLE",ORÇAMENTO!AC474="QUANT."),"►Q",IF(AND(ACOMPANHAMENTO="PLE",H474&lt;&gt;SUMPRODUCT(($Q$1:$AI$1=1)*ROUND(Q474:AI474,15))),"►S",IF(AND(COUNTIF($P$11:$AI$11,"▼")=0,H474&gt;0,I474=""),"◄M","")))))</f>
        <v/>
      </c>
      <c r="K474" s="641" t="s">
        <v>1367</v>
      </c>
      <c r="L474" s="165" t="s">
        <v>764</v>
      </c>
      <c r="M474" s="166" t="str">
        <f ca="1">IF($D474&lt;&gt;"Serviço","",
          IF(AUTOEVENTO="manual",$A474,
                IF(ISERROR(MATCH($A474,$A$15:OFFSET($A474,-1,0),0)),MAX($M$15:OFFSET(M474,-1,0))+1,
                      INDEX($M$15:OFFSET(M474,-1,0),MATCH($A474,$A$15:OFFSET($A474,-1,0),0)))))</f>
        <v/>
      </c>
      <c r="N474" s="167" t="str">
        <f ca="1">IF($D474&lt;&gt;"Serviço","",
         IF(AUTOEVENTO="Manual",
                IF($A474=0,"&lt;-- defina o número do agrupador",
                       OFFSET(EVENTOS!$D$15,$A474-$A$15,0)),
                OFFSET($F$15,$A474,0)))</f>
        <v/>
      </c>
      <c r="O474" s="168"/>
      <c r="Q474" s="168"/>
      <c r="R474" s="169"/>
      <c r="S474" s="169"/>
      <c r="T474" s="169"/>
      <c r="U474" s="169"/>
      <c r="V474" s="169"/>
      <c r="W474" s="169"/>
      <c r="X474" s="169"/>
      <c r="Y474" s="169"/>
      <c r="Z474" s="170"/>
      <c r="AA474" s="169"/>
      <c r="AB474" s="169"/>
      <c r="AC474" s="169"/>
      <c r="AD474" s="169"/>
      <c r="AE474" s="169"/>
      <c r="AF474" s="169"/>
      <c r="AG474" s="169"/>
      <c r="AH474" s="170"/>
      <c r="AJ474" s="453">
        <f ca="1">IF(AND($D474="Serviço",AJ$12&lt;&gt;0,$H474&gt;0,OR(AUTOEVENTO&lt;&gt;"manual",$M474&lt;&gt;$A$15)),
        IF(Import.TipoArredondamento&lt;&gt;"TransfereGOV",
              ROUND(OFFSET($P474,0,AJ$13),15-13*ORÇAMENTO!$AF$7)/$H474*OFFSET(ORÇAMENTO!$X$15,ROW(AJ474)-ROW(AJ$15),0),
              ROUND(ROUND(OFFSET($P474,0,AJ$13),15-13*ORÇAMENTO!$AF$7)*OFFSET(ORÇAMENTO!$W$15,ROW(AJ474)-ROW(AJ$15),0),15-13*ORÇAMENTO!$AF$11)),
         0)</f>
        <v>0</v>
      </c>
      <c r="AK474" s="453">
        <f ca="1">IF(AND($D474="Serviço",AK$12&lt;&gt;0,$H474&gt;0,OR(AUTOEVENTO&lt;&gt;"manual",$M474&lt;&gt;$A$15)),
        IF(Import.TipoArredondamento&lt;&gt;"TransfereGOV",
              ROUND(OFFSET($P474,0,AK$13),15-13*ORÇAMENTO!$AF$7)/$H474*OFFSET(ORÇAMENTO!$X$15,ROW(AK474)-ROW(AK$15),0),
              ROUND(ROUND(OFFSET($P474,0,AK$13),15-13*ORÇAMENTO!$AF$7)*OFFSET(ORÇAMENTO!$W$15,ROW(AK474)-ROW(AK$15),0),15-13*ORÇAMENTO!$AF$11)),
         0)</f>
        <v>0</v>
      </c>
      <c r="AL474" s="453">
        <f ca="1">IF(AND($D474="Serviço",AL$12&lt;&gt;0,$H474&gt;0,OR(AUTOEVENTO&lt;&gt;"manual",$M474&lt;&gt;$A$15)),
        IF(Import.TipoArredondamento&lt;&gt;"TransfereGOV",
              ROUND(OFFSET($P474,0,AL$13),15-13*ORÇAMENTO!$AF$7)/$H474*OFFSET(ORÇAMENTO!$X$15,ROW(AL474)-ROW(AL$15),0),
              ROUND(ROUND(OFFSET($P474,0,AL$13),15-13*ORÇAMENTO!$AF$7)*OFFSET(ORÇAMENTO!$W$15,ROW(AL474)-ROW(AL$15),0),15-13*ORÇAMENTO!$AF$11)),
         0)</f>
        <v>0</v>
      </c>
      <c r="AM474" s="453">
        <f ca="1">IF(AND($D474="Serviço",AM$12&lt;&gt;0,$H474&gt;0,OR(AUTOEVENTO&lt;&gt;"manual",$M474&lt;&gt;$A$15)),
        IF(Import.TipoArredondamento&lt;&gt;"TransfereGOV",
              ROUND(OFFSET($P474,0,AM$13),15-13*ORÇAMENTO!$AF$7)/$H474*OFFSET(ORÇAMENTO!$X$15,ROW(AM474)-ROW(AM$15),0),
              ROUND(ROUND(OFFSET($P474,0,AM$13),15-13*ORÇAMENTO!$AF$7)*OFFSET(ORÇAMENTO!$W$15,ROW(AM474)-ROW(AM$15),0),15-13*ORÇAMENTO!$AF$11)),
         0)</f>
        <v>0</v>
      </c>
      <c r="AN474" s="453">
        <f ca="1">IF(AND($D474="Serviço",AN$12&lt;&gt;0,$H474&gt;0,OR(AUTOEVENTO&lt;&gt;"manual",$M474&lt;&gt;$A$15)),
        IF(Import.TipoArredondamento&lt;&gt;"TransfereGOV",
              ROUND(OFFSET($P474,0,AN$13),15-13*ORÇAMENTO!$AF$7)/$H474*OFFSET(ORÇAMENTO!$X$15,ROW(AN474)-ROW(AN$15),0),
              ROUND(ROUND(OFFSET($P474,0,AN$13),15-13*ORÇAMENTO!$AF$7)*OFFSET(ORÇAMENTO!$W$15,ROW(AN474)-ROW(AN$15),0),15-13*ORÇAMENTO!$AF$11)),
         0)</f>
        <v>0</v>
      </c>
      <c r="AO474" s="453">
        <f ca="1">IF(AND($D474="Serviço",AO$12&lt;&gt;0,$H474&gt;0,OR(AUTOEVENTO&lt;&gt;"manual",$M474&lt;&gt;$A$15)),
        IF(Import.TipoArredondamento&lt;&gt;"TransfereGOV",
              ROUND(OFFSET($P474,0,AO$13),15-13*ORÇAMENTO!$AF$7)/$H474*OFFSET(ORÇAMENTO!$X$15,ROW(AO474)-ROW(AO$15),0),
              ROUND(ROUND(OFFSET($P474,0,AO$13),15-13*ORÇAMENTO!$AF$7)*OFFSET(ORÇAMENTO!$W$15,ROW(AO474)-ROW(AO$15),0),15-13*ORÇAMENTO!$AF$11)),
         0)</f>
        <v>0</v>
      </c>
      <c r="AP474" s="453">
        <f ca="1">IF(AND($D474="Serviço",AP$12&lt;&gt;0,$H474&gt;0,OR(AUTOEVENTO&lt;&gt;"manual",$M474&lt;&gt;$A$15)),
        IF(Import.TipoArredondamento&lt;&gt;"TransfereGOV",
              ROUND(OFFSET($P474,0,AP$13),15-13*ORÇAMENTO!$AF$7)/$H474*OFFSET(ORÇAMENTO!$X$15,ROW(AP474)-ROW(AP$15),0),
              ROUND(ROUND(OFFSET($P474,0,AP$13),15-13*ORÇAMENTO!$AF$7)*OFFSET(ORÇAMENTO!$W$15,ROW(AP474)-ROW(AP$15),0),15-13*ORÇAMENTO!$AF$11)),
         0)</f>
        <v>0</v>
      </c>
      <c r="AQ474" s="453">
        <f ca="1">IF(AND($D474="Serviço",AQ$12&lt;&gt;0,$H474&gt;0,OR(AUTOEVENTO&lt;&gt;"manual",$M474&lt;&gt;$A$15)),
        IF(Import.TipoArredondamento&lt;&gt;"TransfereGOV",
              ROUND(OFFSET($P474,0,AQ$13),15-13*ORÇAMENTO!$AF$7)/$H474*OFFSET(ORÇAMENTO!$X$15,ROW(AQ474)-ROW(AQ$15),0),
              ROUND(ROUND(OFFSET($P474,0,AQ$13),15-13*ORÇAMENTO!$AF$7)*OFFSET(ORÇAMENTO!$W$15,ROW(AQ474)-ROW(AQ$15),0),15-13*ORÇAMENTO!$AF$11)),
         0)</f>
        <v>0</v>
      </c>
      <c r="AR474" s="453">
        <f ca="1">IF(AND($D474="Serviço",AR$12&lt;&gt;0,$H474&gt;0,OR(AUTOEVENTO&lt;&gt;"manual",$M474&lt;&gt;$A$15)),
        IF(Import.TipoArredondamento&lt;&gt;"TransfereGOV",
              ROUND(OFFSET($P474,0,AR$13),15-13*ORÇAMENTO!$AF$7)/$H474*OFFSET(ORÇAMENTO!$X$15,ROW(AR474)-ROW(AR$15),0),
              ROUND(ROUND(OFFSET($P474,0,AR$13),15-13*ORÇAMENTO!$AF$7)*OFFSET(ORÇAMENTO!$W$15,ROW(AR474)-ROW(AR$15),0),15-13*ORÇAMENTO!$AF$11)),
         0)</f>
        <v>0</v>
      </c>
      <c r="AS474" s="453">
        <f ca="1">IF(AND($D474="Serviço",AS$12&lt;&gt;0,$H474&gt;0,OR(AUTOEVENTO&lt;&gt;"manual",$M474&lt;&gt;$A$15)),
        IF(Import.TipoArredondamento&lt;&gt;"TransfereGOV",
              ROUND(OFFSET($P474,0,AS$13),15-13*ORÇAMENTO!$AF$7)/$H474*OFFSET(ORÇAMENTO!$X$15,ROW(AS474)-ROW(AS$15),0),
              ROUND(ROUND(OFFSET($P474,0,AS$13),15-13*ORÇAMENTO!$AF$7)*OFFSET(ORÇAMENTO!$W$15,ROW(AS474)-ROW(AS$15),0),15-13*ORÇAMENTO!$AF$11)),
         0)</f>
        <v>0</v>
      </c>
      <c r="AT474" s="453">
        <f ca="1">IF(AND($D474="Serviço",AT$12&lt;&gt;0,$H474&gt;0,OR(AUTOEVENTO&lt;&gt;"manual",$M474&lt;&gt;$A$15)),
        IF(Import.TipoArredondamento&lt;&gt;"TransfereGOV",
              ROUND(OFFSET($P474,0,AT$13),15-13*ORÇAMENTO!$AF$7)/$H474*OFFSET(ORÇAMENTO!$X$15,ROW(AT474)-ROW(AT$15),0),
              ROUND(ROUND(OFFSET($P474,0,AT$13),15-13*ORÇAMENTO!$AF$7)*OFFSET(ORÇAMENTO!$W$15,ROW(AT474)-ROW(AT$15),0),15-13*ORÇAMENTO!$AF$11)),
         0)</f>
        <v>0</v>
      </c>
      <c r="AU474" s="453">
        <f ca="1">IF(AND($D474="Serviço",AU$12&lt;&gt;0,$H474&gt;0,OR(AUTOEVENTO&lt;&gt;"manual",$M474&lt;&gt;$A$15)),
        IF(Import.TipoArredondamento&lt;&gt;"TransfereGOV",
              ROUND(OFFSET($P474,0,AU$13),15-13*ORÇAMENTO!$AF$7)/$H474*OFFSET(ORÇAMENTO!$X$15,ROW(AU474)-ROW(AU$15),0),
              ROUND(ROUND(OFFSET($P474,0,AU$13),15-13*ORÇAMENTO!$AF$7)*OFFSET(ORÇAMENTO!$W$15,ROW(AU474)-ROW(AU$15),0),15-13*ORÇAMENTO!$AF$11)),
         0)</f>
        <v>0</v>
      </c>
      <c r="AV474" s="453">
        <f ca="1">IF(AND($D474="Serviço",AV$12&lt;&gt;0,$H474&gt;0,OR(AUTOEVENTO&lt;&gt;"manual",$M474&lt;&gt;$A$15)),
        IF(Import.TipoArredondamento&lt;&gt;"TransfereGOV",
              ROUND(OFFSET($P474,0,AV$13),15-13*ORÇAMENTO!$AF$7)/$H474*OFFSET(ORÇAMENTO!$X$15,ROW(AV474)-ROW(AV$15),0),
              ROUND(ROUND(OFFSET($P474,0,AV$13),15-13*ORÇAMENTO!$AF$7)*OFFSET(ORÇAMENTO!$W$15,ROW(AV474)-ROW(AV$15),0),15-13*ORÇAMENTO!$AF$11)),
         0)</f>
        <v>0</v>
      </c>
      <c r="AW474" s="453">
        <f ca="1">IF(AND($D474="Serviço",AW$12&lt;&gt;0,$H474&gt;0,OR(AUTOEVENTO&lt;&gt;"manual",$M474&lt;&gt;$A$15)),
        IF(Import.TipoArredondamento&lt;&gt;"TransfereGOV",
              ROUND(OFFSET($P474,0,AW$13),15-13*ORÇAMENTO!$AF$7)/$H474*OFFSET(ORÇAMENTO!$X$15,ROW(AW474)-ROW(AW$15),0),
              ROUND(ROUND(OFFSET($P474,0,AW$13),15-13*ORÇAMENTO!$AF$7)*OFFSET(ORÇAMENTO!$W$15,ROW(AW474)-ROW(AW$15),0),15-13*ORÇAMENTO!$AF$11)),
         0)</f>
        <v>0</v>
      </c>
      <c r="AX474" s="453">
        <f ca="1">IF(AND($D474="Serviço",AX$12&lt;&gt;0,$H474&gt;0,OR(AUTOEVENTO&lt;&gt;"manual",$M474&lt;&gt;$A$15)),
        IF(Import.TipoArredondamento&lt;&gt;"TransfereGOV",
              ROUND(OFFSET($P474,0,AX$13),15-13*ORÇAMENTO!$AF$7)/$H474*OFFSET(ORÇAMENTO!$X$15,ROW(AX474)-ROW(AX$15),0),
              ROUND(ROUND(OFFSET($P474,0,AX$13),15-13*ORÇAMENTO!$AF$7)*OFFSET(ORÇAMENTO!$W$15,ROW(AX474)-ROW(AX$15),0),15-13*ORÇAMENTO!$AF$11)),
         0)</f>
        <v>0</v>
      </c>
      <c r="AY474" s="453">
        <f ca="1">IF(AND($D474="Serviço",AY$12&lt;&gt;0,$H474&gt;0,OR(AUTOEVENTO&lt;&gt;"manual",$M474&lt;&gt;$A$15)),
        IF(Import.TipoArredondamento&lt;&gt;"TransfereGOV",
              ROUND(OFFSET($P474,0,AY$13),15-13*ORÇAMENTO!$AF$7)/$H474*OFFSET(ORÇAMENTO!$X$15,ROW(AY474)-ROW(AY$15),0),
              ROUND(ROUND(OFFSET($P474,0,AY$13),15-13*ORÇAMENTO!$AF$7)*OFFSET(ORÇAMENTO!$W$15,ROW(AY474)-ROW(AY$15),0),15-13*ORÇAMENTO!$AF$11)),
         0)</f>
        <v>0</v>
      </c>
      <c r="AZ474" s="453">
        <f ca="1">IF(AND($D474="Serviço",AZ$12&lt;&gt;0,$H474&gt;0,OR(AUTOEVENTO&lt;&gt;"manual",$M474&lt;&gt;$A$15)),
        IF(Import.TipoArredondamento&lt;&gt;"TransfereGOV",
              ROUND(OFFSET($P474,0,AZ$13),15-13*ORÇAMENTO!$AF$7)/$H474*OFFSET(ORÇAMENTO!$X$15,ROW(AZ474)-ROW(AZ$15),0),
              ROUND(ROUND(OFFSET($P474,0,AZ$13),15-13*ORÇAMENTO!$AF$7)*OFFSET(ORÇAMENTO!$W$15,ROW(AZ474)-ROW(AZ$15),0),15-13*ORÇAMENTO!$AF$11)),
         0)</f>
        <v>0</v>
      </c>
      <c r="BA474" s="453">
        <f ca="1">IF(AND($D474="Serviço",BA$12&lt;&gt;0,$H474&gt;0,OR(AUTOEVENTO&lt;&gt;"manual",$M474&lt;&gt;$A$15)),
        IF(Import.TipoArredondamento&lt;&gt;"TransfereGOV",
              ROUND(OFFSET($P474,0,BA$13),15-13*ORÇAMENTO!$AF$7)/$H474*OFFSET(ORÇAMENTO!$X$15,ROW(BA474)-ROW(BA$15),0),
              ROUND(ROUND(OFFSET($P474,0,BA$13),15-13*ORÇAMENTO!$AF$7)*OFFSET(ORÇAMENTO!$W$15,ROW(BA474)-ROW(BA$15),0),15-13*ORÇAMENTO!$AF$11)),
         0)</f>
        <v>0</v>
      </c>
      <c r="BC474" s="171">
        <f ca="1">IF(OR($D474&lt;&gt;"Serviço",AND(AUTOEVENTO="Manual",$M474=$A$15)),0,
         IF(OFFSET(CRONOPLE!$F$15,$M474-$A$15,BC$13)=0,10^12,OFFSET(CRONOPLE!$F$15,$M474-$A$15,BC$13)))</f>
        <v>0</v>
      </c>
      <c r="BD474" s="171">
        <f ca="1">IF(OR($D474&lt;&gt;"Serviço",AND(AUTOEVENTO="Manual",$M474=$A$15)),0,
         IF(OFFSET(CRONOPLE!$F$15,$M474-$A$15,BD$13)=0,10^12,OFFSET(CRONOPLE!$F$15,$M474-$A$15,BD$13)))</f>
        <v>0</v>
      </c>
      <c r="BE474" s="171">
        <f ca="1">IF(OR($D474&lt;&gt;"Serviço",AND(AUTOEVENTO="Manual",$M474=$A$15)),0,
         IF(OFFSET(CRONOPLE!$F$15,$M474-$A$15,BE$13)=0,10^12,OFFSET(CRONOPLE!$F$15,$M474-$A$15,BE$13)))</f>
        <v>0</v>
      </c>
      <c r="BF474" s="171">
        <f ca="1">IF(OR($D474&lt;&gt;"Serviço",AND(AUTOEVENTO="Manual",$M474=$A$15)),0,
         IF(OFFSET(CRONOPLE!$F$15,$M474-$A$15,BF$13)=0,10^12,OFFSET(CRONOPLE!$F$15,$M474-$A$15,BF$13)))</f>
        <v>0</v>
      </c>
      <c r="BG474" s="171">
        <f ca="1">IF(OR($D474&lt;&gt;"Serviço",AND(AUTOEVENTO="Manual",$M474=$A$15)),0,
         IF(OFFSET(CRONOPLE!$F$15,$M474-$A$15,BG$13)=0,10^12,OFFSET(CRONOPLE!$F$15,$M474-$A$15,BG$13)))</f>
        <v>0</v>
      </c>
      <c r="BH474" s="171">
        <f ca="1">IF(OR($D474&lt;&gt;"Serviço",AND(AUTOEVENTO="Manual",$M474=$A$15)),0,
         IF(OFFSET(CRONOPLE!$F$15,$M474-$A$15,BH$13)=0,10^12,OFFSET(CRONOPLE!$F$15,$M474-$A$15,BH$13)))</f>
        <v>0</v>
      </c>
      <c r="BI474" s="171">
        <f ca="1">IF(OR($D474&lt;&gt;"Serviço",AND(AUTOEVENTO="Manual",$M474=$A$15)),0,
         IF(OFFSET(CRONOPLE!$F$15,$M474-$A$15,BI$13)=0,10^12,OFFSET(CRONOPLE!$F$15,$M474-$A$15,BI$13)))</f>
        <v>0</v>
      </c>
      <c r="BJ474" s="171">
        <f ca="1">IF(OR($D474&lt;&gt;"Serviço",AND(AUTOEVENTO="Manual",$M474=$A$15)),0,
         IF(OFFSET(CRONOPLE!$F$15,$M474-$A$15,BJ$13)=0,10^12,OFFSET(CRONOPLE!$F$15,$M474-$A$15,BJ$13)))</f>
        <v>0</v>
      </c>
      <c r="BK474" s="171">
        <f ca="1">IF(OR($D474&lt;&gt;"Serviço",AND(AUTOEVENTO="Manual",$M474=$A$15)),0,
         IF(OFFSET(CRONOPLE!$F$15,$M474-$A$15,BK$13)=0,10^12,OFFSET(CRONOPLE!$F$15,$M474-$A$15,BK$13)))</f>
        <v>0</v>
      </c>
      <c r="BL474" s="171">
        <f ca="1">IF(OR($D474&lt;&gt;"Serviço",AND(AUTOEVENTO="Manual",$M474=$A$15)),0,
         IF(OFFSET(CRONOPLE!$F$15,$M474-$A$15,BL$13)=0,10^12,OFFSET(CRONOPLE!$F$15,$M474-$A$15,BL$13)))</f>
        <v>0</v>
      </c>
      <c r="BM474" s="171">
        <f ca="1">IF(OR($D474&lt;&gt;"Serviço",AND(AUTOEVENTO="Manual",$M474=$A$15)),0,
         IF(OFFSET(CRONOPLE!$F$15,$M474-$A$15,BM$13)=0,10^12,OFFSET(CRONOPLE!$F$15,$M474-$A$15,BM$13)))</f>
        <v>0</v>
      </c>
      <c r="BN474" s="171">
        <f ca="1">IF(OR($D474&lt;&gt;"Serviço",AND(AUTOEVENTO="Manual",$M474=$A$15)),0,
         IF(OFFSET(CRONOPLE!$F$15,$M474-$A$15,BN$13)=0,10^12,OFFSET(CRONOPLE!$F$15,$M474-$A$15,BN$13)))</f>
        <v>0</v>
      </c>
      <c r="BO474" s="171">
        <f ca="1">IF(OR($D474&lt;&gt;"Serviço",AND(AUTOEVENTO="Manual",$M474=$A$15)),0,
         IF(OFFSET(CRONOPLE!$F$15,$M474-$A$15,BO$13)=0,10^12,OFFSET(CRONOPLE!$F$15,$M474-$A$15,BO$13)))</f>
        <v>0</v>
      </c>
      <c r="BP474" s="171">
        <f ca="1">IF(OR($D474&lt;&gt;"Serviço",AND(AUTOEVENTO="Manual",$M474=$A$15)),0,
         IF(OFFSET(CRONOPLE!$F$15,$M474-$A$15,BP$13)=0,10^12,OFFSET(CRONOPLE!$F$15,$M474-$A$15,BP$13)))</f>
        <v>0</v>
      </c>
      <c r="BQ474" s="171">
        <f ca="1">IF(OR($D474&lt;&gt;"Serviço",AND(AUTOEVENTO="Manual",$M474=$A$15)),0,
         IF(OFFSET(CRONOPLE!$F$15,$M474-$A$15,BQ$13)=0,10^12,OFFSET(CRONOPLE!$F$15,$M474-$A$15,BQ$13)))</f>
        <v>0</v>
      </c>
      <c r="BR474" s="171">
        <f ca="1">IF(OR($D474&lt;&gt;"Serviço",AND(AUTOEVENTO="Manual",$M474=$A$15)),0,
         IF(OFFSET(CRONOPLE!$F$15,$M474-$A$15,BR$13)=0,10^12,OFFSET(CRONOPLE!$F$15,$M474-$A$15,BR$13)))</f>
        <v>0</v>
      </c>
      <c r="BS474" s="171">
        <f ca="1">IF(OR($D474&lt;&gt;"Serviço",AND(AUTOEVENTO="Manual",$M474=$A$15)),0,
         IF(OFFSET(CRONOPLE!$F$15,$M474-$A$15,BS$13)=0,10^12,OFFSET(CRONOPLE!$F$15,$M474-$A$15,BS$13)))</f>
        <v>0</v>
      </c>
      <c r="BT474" s="171">
        <f ca="1">IF(OR($D474&lt;&gt;"Serviço",AND(AUTOEVENTO="Manual",$M474=$A$15)),0,
         IF(OFFSET(CRONOPLE!$F$15,$M474-$A$15,BT$13)=0,10^12,OFFSET(CRONOPLE!$F$15,$M474-$A$15,BT$13)))</f>
        <v>0</v>
      </c>
      <c r="BV474" s="172">
        <f ca="1">IF(OR($D474&lt;&gt;"Serviço",AND(AUTOEVENTO="Manual",$M474=$A$15),$M474&gt;(ROW(PLE.lastrow)-ROW(PLE.firstrow))),0,
           IF(OFFSET(PLE!$G$15,$M474-$A$15,BV$13)="",10^12,OFFSET(PLE!$G$15,$M474-$A$15,BV$13)))</f>
        <v>0</v>
      </c>
      <c r="BW474" s="172">
        <f ca="1">IF(OR($D474&lt;&gt;"Serviço",AND(AUTOEVENTO="Manual",$M474=$A$15),$M474&gt;(ROW(PLE.lastrow)-ROW(PLE.firstrow))),0,
           IF(OFFSET(PLE!$G$15,$M474-$A$15,BW$13)="",10^12,OFFSET(PLE!$G$15,$M474-$A$15,BW$13)))</f>
        <v>0</v>
      </c>
      <c r="BX474" s="172">
        <f ca="1">IF(OR($D474&lt;&gt;"Serviço",AND(AUTOEVENTO="Manual",$M474=$A$15),$M474&gt;(ROW(PLE.lastrow)-ROW(PLE.firstrow))),0,
           IF(OFFSET(PLE!$G$15,$M474-$A$15,BX$13)="",10^12,OFFSET(PLE!$G$15,$M474-$A$15,BX$13)))</f>
        <v>0</v>
      </c>
      <c r="BY474" s="172">
        <f ca="1">IF(OR($D474&lt;&gt;"Serviço",AND(AUTOEVENTO="Manual",$M474=$A$15),$M474&gt;(ROW(PLE.lastrow)-ROW(PLE.firstrow))),0,
           IF(OFFSET(PLE!$G$15,$M474-$A$15,BY$13)="",10^12,OFFSET(PLE!$G$15,$M474-$A$15,BY$13)))</f>
        <v>0</v>
      </c>
      <c r="BZ474" s="172">
        <f ca="1">IF(OR($D474&lt;&gt;"Serviço",AND(AUTOEVENTO="Manual",$M474=$A$15),$M474&gt;(ROW(PLE.lastrow)-ROW(PLE.firstrow))),0,
           IF(OFFSET(PLE!$G$15,$M474-$A$15,BZ$13)="",10^12,OFFSET(PLE!$G$15,$M474-$A$15,BZ$13)))</f>
        <v>0</v>
      </c>
      <c r="CA474" s="172">
        <f ca="1">IF(OR($D474&lt;&gt;"Serviço",AND(AUTOEVENTO="Manual",$M474=$A$15),$M474&gt;(ROW(PLE.lastrow)-ROW(PLE.firstrow))),0,
           IF(OFFSET(PLE!$G$15,$M474-$A$15,CA$13)="",10^12,OFFSET(PLE!$G$15,$M474-$A$15,CA$13)))</f>
        <v>0</v>
      </c>
      <c r="CB474" s="172">
        <f ca="1">IF(OR($D474&lt;&gt;"Serviço",AND(AUTOEVENTO="Manual",$M474=$A$15),$M474&gt;(ROW(PLE.lastrow)-ROW(PLE.firstrow))),0,
           IF(OFFSET(PLE!$G$15,$M474-$A$15,CB$13)="",10^12,OFFSET(PLE!$G$15,$M474-$A$15,CB$13)))</f>
        <v>0</v>
      </c>
      <c r="CC474" s="172">
        <f ca="1">IF(OR($D474&lt;&gt;"Serviço",AND(AUTOEVENTO="Manual",$M474=$A$15),$M474&gt;(ROW(PLE.lastrow)-ROW(PLE.firstrow))),0,
           IF(OFFSET(PLE!$G$15,$M474-$A$15,CC$13)="",10^12,OFFSET(PLE!$G$15,$M474-$A$15,CC$13)))</f>
        <v>0</v>
      </c>
      <c r="CD474" s="172">
        <f ca="1">IF(OR($D474&lt;&gt;"Serviço",AND(AUTOEVENTO="Manual",$M474=$A$15),$M474&gt;(ROW(PLE.lastrow)-ROW(PLE.firstrow))),0,
           IF(OFFSET(PLE!$G$15,$M474-$A$15,CD$13)="",10^12,OFFSET(PLE!$G$15,$M474-$A$15,CD$13)))</f>
        <v>0</v>
      </c>
      <c r="CE474" s="172">
        <f ca="1">IF(OR($D474&lt;&gt;"Serviço",AND(AUTOEVENTO="Manual",$M474=$A$15),$M474&gt;(ROW(PLE.lastrow)-ROW(PLE.firstrow))),0,
           IF(OFFSET(PLE!$G$15,$M474-$A$15,CE$13)="",10^12,OFFSET(PLE!$G$15,$M474-$A$15,CE$13)))</f>
        <v>0</v>
      </c>
      <c r="CF474" s="172">
        <f ca="1">IF(OR($D474&lt;&gt;"Serviço",AND(AUTOEVENTO="Manual",$M474=$A$15),$M474&gt;(ROW(PLE.lastrow)-ROW(PLE.firstrow))),0,
           IF(OFFSET(PLE!$G$15,$M474-$A$15,CF$13)="",10^12,OFFSET(PLE!$G$15,$M474-$A$15,CF$13)))</f>
        <v>0</v>
      </c>
      <c r="CG474" s="172">
        <f ca="1">IF(OR($D474&lt;&gt;"Serviço",AND(AUTOEVENTO="Manual",$M474=$A$15),$M474&gt;(ROW(PLE.lastrow)-ROW(PLE.firstrow))),0,
           IF(OFFSET(PLE!$G$15,$M474-$A$15,CG$13)="",10^12,OFFSET(PLE!$G$15,$M474-$A$15,CG$13)))</f>
        <v>0</v>
      </c>
      <c r="CH474" s="172">
        <f ca="1">IF(OR($D474&lt;&gt;"Serviço",AND(AUTOEVENTO="Manual",$M474=$A$15),$M474&gt;(ROW(PLE.lastrow)-ROW(PLE.firstrow))),0,
           IF(OFFSET(PLE!$G$15,$M474-$A$15,CH$13)="",10^12,OFFSET(PLE!$G$15,$M474-$A$15,CH$13)))</f>
        <v>0</v>
      </c>
      <c r="CI474" s="172">
        <f ca="1">IF(OR($D474&lt;&gt;"Serviço",AND(AUTOEVENTO="Manual",$M474=$A$15),$M474&gt;(ROW(PLE.lastrow)-ROW(PLE.firstrow))),0,
           IF(OFFSET(PLE!$G$15,$M474-$A$15,CI$13)="",10^12,OFFSET(PLE!$G$15,$M474-$A$15,CI$13)))</f>
        <v>0</v>
      </c>
      <c r="CJ474" s="172">
        <f ca="1">IF(OR($D474&lt;&gt;"Serviço",AND(AUTOEVENTO="Manual",$M474=$A$15),$M474&gt;(ROW(PLE.lastrow)-ROW(PLE.firstrow))),0,
           IF(OFFSET(PLE!$G$15,$M474-$A$15,CJ$13)="",10^12,OFFSET(PLE!$G$15,$M474-$A$15,CJ$13)))</f>
        <v>0</v>
      </c>
      <c r="CK474" s="172">
        <f ca="1">IF(OR($D474&lt;&gt;"Serviço",AND(AUTOEVENTO="Manual",$M474=$A$15),$M474&gt;(ROW(PLE.lastrow)-ROW(PLE.firstrow))),0,
           IF(OFFSET(PLE!$G$15,$M474-$A$15,CK$13)="",10^12,OFFSET(PLE!$G$15,$M474-$A$15,CK$13)))</f>
        <v>0</v>
      </c>
      <c r="CL474" s="172">
        <f ca="1">IF(OR($D474&lt;&gt;"Serviço",AND(AUTOEVENTO="Manual",$M474=$A$15),$M474&gt;(ROW(PLE.lastrow)-ROW(PLE.firstrow))),0,
           IF(OFFSET(PLE!$G$15,$M474-$A$15,CL$13)="",10^12,OFFSET(PLE!$G$15,$M474-$A$15,CL$13)))</f>
        <v>0</v>
      </c>
      <c r="CM474" s="172">
        <f ca="1">IF(OR($D474&lt;&gt;"Serviço",AND(AUTOEVENTO="Manual",$M474=$A$15),$M474&gt;(ROW(PLE.lastrow)-ROW(PLE.firstrow))),0,
           IF(OFFSET(PLE!$G$15,$M474-$A$15,CM$13)="",10^12,OFFSET(PLE!$G$15,$M474-$A$15,CM$13)))</f>
        <v>0</v>
      </c>
    </row>
    <row r="475" spans="1:91" ht="38.25" x14ac:dyDescent="0.2">
      <c r="A475" s="7">
        <f t="shared" ca="1" si="17"/>
        <v>8</v>
      </c>
      <c r="B475" s="7" t="str">
        <f ca="1">OFFSET(ORÇAMENTO!C$15,ROW(B475)-ROW(B$15),0)</f>
        <v>S</v>
      </c>
      <c r="C475" s="7" t="str">
        <f ca="1">OFFSET(ORÇAMENTO!L$15,ROW(C475)-ROW(C$15),0)</f>
        <v>F</v>
      </c>
      <c r="D475" s="116" t="str">
        <f ca="1">OFFSET(ORÇAMENTO!N$15,ROW(D475)-ROW(D$15),0)</f>
        <v>Serviço</v>
      </c>
      <c r="E475" s="117" t="str">
        <f ca="1">OFFSET(ORÇAMENTO!O$15,ROW(E475)-ROW(E$15),0)</f>
        <v>1.9.6.0.1.</v>
      </c>
      <c r="F475" s="163" t="str">
        <f ca="1">OFFSET(ORÇAMENTO!R$15,ROW(F475)-ROW(F$15),0)</f>
        <v>FORNECIMENTO E INSTALAÇÃO DE RACK DE PAREDE 19" x 8U - BASEADO EM IOPES (160810)</v>
      </c>
      <c r="G475" s="164" t="str">
        <f ca="1">IF($D475&lt;&gt;"Serviço","",OFFSET(ORÇAMENTO!S$15,ROW(G475)-ROW(G$15),0))</f>
        <v>UN</v>
      </c>
      <c r="H475" s="122" cm="1">
        <f t="array" aca="1" ref="H475" ca="1">IF($D475&lt;&gt;"Serviço",0,IF(ACOMPANHAMENTO="BM",ROUND(OFFSET(ORÇAMENTO!AJ$15,ROW(H475)-ROW(H$15),0),15-13*ORÇAMENTO!$AF$7),SUMPRODUCT(($Q$1:$AI$1=1)*ROUND($Q475:$AI475,15-13*ORÇAMENTO!$AF$7))))</f>
        <v>1</v>
      </c>
      <c r="I475" s="468" t="s">
        <v>1432</v>
      </c>
      <c r="J475" s="640" t="str" cm="1">
        <f t="array" aca="1" ref="J475" ca="1">IF(OR(B475&lt;&gt;"S",CÁLCULO.FrentesPreenchidas=0),"",IF(AND(ACOMPANHAMENTO="PLE",AUTOEVENTO="Manual",OR(H475&gt;0,ORÇAMENTO!AC475="QUANT."),OR(K475="",M475=0,N475="")),"►E",IF(AND(ACOMPANHAMENTO="PLE",ORÇAMENTO!AC475="QUANT."),"►Q",IF(AND(ACOMPANHAMENTO="PLE",H475&lt;&gt;SUMPRODUCT(($Q$1:$AI$1=1)*ROUND(Q475:AI475,15))),"►S",IF(AND(COUNTIF($P$11:$AI$11,"▼")=0,H475&gt;0,I475=""),"◄M","")))))</f>
        <v/>
      </c>
      <c r="K475" s="641" t="s">
        <v>1392</v>
      </c>
      <c r="L475" s="165" t="s">
        <v>764</v>
      </c>
      <c r="M475" s="166">
        <f ca="1">IF($D475&lt;&gt;"Serviço","",
          IF(AUTOEVENTO="manual",$A475,
                IF(ISERROR(MATCH($A475,$A$15:OFFSET($A475,-1,0),0)),MAX($M$15:OFFSET(M475,-1,0))+1,
                      INDEX($M$15:OFFSET(M475,-1,0),MATCH($A475,$A$15:OFFSET($A475,-1,0),0)))))</f>
        <v>8</v>
      </c>
      <c r="N475" s="167" t="str">
        <f ca="1">IF($D475&lt;&gt;"Serviço","",
         IF(AUTOEVENTO="Manual",
                IF($A475=0,"&lt;-- defina o número do agrupador",
                       OFFSET(EVENTOS!$D$15,$A475-$A$15,0)),
                OFFSET($F$15,$A475,0)))</f>
        <v>CFTV</v>
      </c>
      <c r="O475" s="168"/>
      <c r="Q475" s="168"/>
      <c r="R475" s="169"/>
      <c r="S475" s="169"/>
      <c r="T475" s="169"/>
      <c r="U475" s="169"/>
      <c r="V475" s="169"/>
      <c r="W475" s="169"/>
      <c r="X475" s="169"/>
      <c r="Y475" s="169">
        <v>1</v>
      </c>
      <c r="Z475" s="170"/>
      <c r="AA475" s="169"/>
      <c r="AB475" s="169"/>
      <c r="AC475" s="169"/>
      <c r="AD475" s="169"/>
      <c r="AE475" s="169"/>
      <c r="AF475" s="169"/>
      <c r="AG475" s="169"/>
      <c r="AH475" s="170"/>
      <c r="AJ475" s="453">
        <f ca="1">IF(AND($D475="Serviço",AJ$12&lt;&gt;0,$H475&gt;0,OR(AUTOEVENTO&lt;&gt;"manual",$M475&lt;&gt;$A$15)),
        IF(Import.TipoArredondamento&lt;&gt;"TransfereGOV",
              ROUND(OFFSET($P475,0,AJ$13),15-13*ORÇAMENTO!$AF$7)/$H475*OFFSET(ORÇAMENTO!$X$15,ROW(AJ475)-ROW(AJ$15),0),
              ROUND(ROUND(OFFSET($P475,0,AJ$13),15-13*ORÇAMENTO!$AF$7)*OFFSET(ORÇAMENTO!$W$15,ROW(AJ475)-ROW(AJ$15),0),15-13*ORÇAMENTO!$AF$11)),
         0)</f>
        <v>0</v>
      </c>
      <c r="AK475" s="453">
        <f ca="1">IF(AND($D475="Serviço",AK$12&lt;&gt;0,$H475&gt;0,OR(AUTOEVENTO&lt;&gt;"manual",$M475&lt;&gt;$A$15)),
        IF(Import.TipoArredondamento&lt;&gt;"TransfereGOV",
              ROUND(OFFSET($P475,0,AK$13),15-13*ORÇAMENTO!$AF$7)/$H475*OFFSET(ORÇAMENTO!$X$15,ROW(AK475)-ROW(AK$15),0),
              ROUND(ROUND(OFFSET($P475,0,AK$13),15-13*ORÇAMENTO!$AF$7)*OFFSET(ORÇAMENTO!$W$15,ROW(AK475)-ROW(AK$15),0),15-13*ORÇAMENTO!$AF$11)),
         0)</f>
        <v>0</v>
      </c>
      <c r="AL475" s="453">
        <f ca="1">IF(AND($D475="Serviço",AL$12&lt;&gt;0,$H475&gt;0,OR(AUTOEVENTO&lt;&gt;"manual",$M475&lt;&gt;$A$15)),
        IF(Import.TipoArredondamento&lt;&gt;"TransfereGOV",
              ROUND(OFFSET($P475,0,AL$13),15-13*ORÇAMENTO!$AF$7)/$H475*OFFSET(ORÇAMENTO!$X$15,ROW(AL475)-ROW(AL$15),0),
              ROUND(ROUND(OFFSET($P475,0,AL$13),15-13*ORÇAMENTO!$AF$7)*OFFSET(ORÇAMENTO!$W$15,ROW(AL475)-ROW(AL$15),0),15-13*ORÇAMENTO!$AF$11)),
         0)</f>
        <v>0</v>
      </c>
      <c r="AM475" s="453">
        <f ca="1">IF(AND($D475="Serviço",AM$12&lt;&gt;0,$H475&gt;0,OR(AUTOEVENTO&lt;&gt;"manual",$M475&lt;&gt;$A$15)),
        IF(Import.TipoArredondamento&lt;&gt;"TransfereGOV",
              ROUND(OFFSET($P475,0,AM$13),15-13*ORÇAMENTO!$AF$7)/$H475*OFFSET(ORÇAMENTO!$X$15,ROW(AM475)-ROW(AM$15),0),
              ROUND(ROUND(OFFSET($P475,0,AM$13),15-13*ORÇAMENTO!$AF$7)*OFFSET(ORÇAMENTO!$W$15,ROW(AM475)-ROW(AM$15),0),15-13*ORÇAMENTO!$AF$11)),
         0)</f>
        <v>0</v>
      </c>
      <c r="AN475" s="453">
        <f ca="1">IF(AND($D475="Serviço",AN$12&lt;&gt;0,$H475&gt;0,OR(AUTOEVENTO&lt;&gt;"manual",$M475&lt;&gt;$A$15)),
        IF(Import.TipoArredondamento&lt;&gt;"TransfereGOV",
              ROUND(OFFSET($P475,0,AN$13),15-13*ORÇAMENTO!$AF$7)/$H475*OFFSET(ORÇAMENTO!$X$15,ROW(AN475)-ROW(AN$15),0),
              ROUND(ROUND(OFFSET($P475,0,AN$13),15-13*ORÇAMENTO!$AF$7)*OFFSET(ORÇAMENTO!$W$15,ROW(AN475)-ROW(AN$15),0),15-13*ORÇAMENTO!$AF$11)),
         0)</f>
        <v>0</v>
      </c>
      <c r="AO475" s="453">
        <f ca="1">IF(AND($D475="Serviço",AO$12&lt;&gt;0,$H475&gt;0,OR(AUTOEVENTO&lt;&gt;"manual",$M475&lt;&gt;$A$15)),
        IF(Import.TipoArredondamento&lt;&gt;"TransfereGOV",
              ROUND(OFFSET($P475,0,AO$13),15-13*ORÇAMENTO!$AF$7)/$H475*OFFSET(ORÇAMENTO!$X$15,ROW(AO475)-ROW(AO$15),0),
              ROUND(ROUND(OFFSET($P475,0,AO$13),15-13*ORÇAMENTO!$AF$7)*OFFSET(ORÇAMENTO!$W$15,ROW(AO475)-ROW(AO$15),0),15-13*ORÇAMENTO!$AF$11)),
         0)</f>
        <v>0</v>
      </c>
      <c r="AP475" s="453">
        <f ca="1">IF(AND($D475="Serviço",AP$12&lt;&gt;0,$H475&gt;0,OR(AUTOEVENTO&lt;&gt;"manual",$M475&lt;&gt;$A$15)),
        IF(Import.TipoArredondamento&lt;&gt;"TransfereGOV",
              ROUND(OFFSET($P475,0,AP$13),15-13*ORÇAMENTO!$AF$7)/$H475*OFFSET(ORÇAMENTO!$X$15,ROW(AP475)-ROW(AP$15),0),
              ROUND(ROUND(OFFSET($P475,0,AP$13),15-13*ORÇAMENTO!$AF$7)*OFFSET(ORÇAMENTO!$W$15,ROW(AP475)-ROW(AP$15),0),15-13*ORÇAMENTO!$AF$11)),
         0)</f>
        <v>0</v>
      </c>
      <c r="AQ475" s="453">
        <f ca="1">IF(AND($D475="Serviço",AQ$12&lt;&gt;0,$H475&gt;0,OR(AUTOEVENTO&lt;&gt;"manual",$M475&lt;&gt;$A$15)),
        IF(Import.TipoArredondamento&lt;&gt;"TransfereGOV",
              ROUND(OFFSET($P475,0,AQ$13),15-13*ORÇAMENTO!$AF$7)/$H475*OFFSET(ORÇAMENTO!$X$15,ROW(AQ475)-ROW(AQ$15),0),
              ROUND(ROUND(OFFSET($P475,0,AQ$13),15-13*ORÇAMENTO!$AF$7)*OFFSET(ORÇAMENTO!$W$15,ROW(AQ475)-ROW(AQ$15),0),15-13*ORÇAMENTO!$AF$11)),
         0)</f>
        <v>0</v>
      </c>
      <c r="AR475" s="453">
        <f ca="1">IF(AND($D475="Serviço",AR$12&lt;&gt;0,$H475&gt;0,OR(AUTOEVENTO&lt;&gt;"manual",$M475&lt;&gt;$A$15)),
        IF(Import.TipoArredondamento&lt;&gt;"TransfereGOV",
              ROUND(OFFSET($P475,0,AR$13),15-13*ORÇAMENTO!$AF$7)/$H475*OFFSET(ORÇAMENTO!$X$15,ROW(AR475)-ROW(AR$15),0),
              ROUND(ROUND(OFFSET($P475,0,AR$13),15-13*ORÇAMENTO!$AF$7)*OFFSET(ORÇAMENTO!$W$15,ROW(AR475)-ROW(AR$15),0),15-13*ORÇAMENTO!$AF$11)),
         0)</f>
        <v>0</v>
      </c>
      <c r="AS475" s="453">
        <f ca="1">IF(AND($D475="Serviço",AS$12&lt;&gt;0,$H475&gt;0,OR(AUTOEVENTO&lt;&gt;"manual",$M475&lt;&gt;$A$15)),
        IF(Import.TipoArredondamento&lt;&gt;"TransfereGOV",
              ROUND(OFFSET($P475,0,AS$13),15-13*ORÇAMENTO!$AF$7)/$H475*OFFSET(ORÇAMENTO!$X$15,ROW(AS475)-ROW(AS$15),0),
              ROUND(ROUND(OFFSET($P475,0,AS$13),15-13*ORÇAMENTO!$AF$7)*OFFSET(ORÇAMENTO!$W$15,ROW(AS475)-ROW(AS$15),0),15-13*ORÇAMENTO!$AF$11)),
         0)</f>
        <v>0</v>
      </c>
      <c r="AT475" s="453">
        <f ca="1">IF(AND($D475="Serviço",AT$12&lt;&gt;0,$H475&gt;0,OR(AUTOEVENTO&lt;&gt;"manual",$M475&lt;&gt;$A$15)),
        IF(Import.TipoArredondamento&lt;&gt;"TransfereGOV",
              ROUND(OFFSET($P475,0,AT$13),15-13*ORÇAMENTO!$AF$7)/$H475*OFFSET(ORÇAMENTO!$X$15,ROW(AT475)-ROW(AT$15),0),
              ROUND(ROUND(OFFSET($P475,0,AT$13),15-13*ORÇAMENTO!$AF$7)*OFFSET(ORÇAMENTO!$W$15,ROW(AT475)-ROW(AT$15),0),15-13*ORÇAMENTO!$AF$11)),
         0)</f>
        <v>0</v>
      </c>
      <c r="AU475" s="453">
        <f ca="1">IF(AND($D475="Serviço",AU$12&lt;&gt;0,$H475&gt;0,OR(AUTOEVENTO&lt;&gt;"manual",$M475&lt;&gt;$A$15)),
        IF(Import.TipoArredondamento&lt;&gt;"TransfereGOV",
              ROUND(OFFSET($P475,0,AU$13),15-13*ORÇAMENTO!$AF$7)/$H475*OFFSET(ORÇAMENTO!$X$15,ROW(AU475)-ROW(AU$15),0),
              ROUND(ROUND(OFFSET($P475,0,AU$13),15-13*ORÇAMENTO!$AF$7)*OFFSET(ORÇAMENTO!$W$15,ROW(AU475)-ROW(AU$15),0),15-13*ORÇAMENTO!$AF$11)),
         0)</f>
        <v>0</v>
      </c>
      <c r="AV475" s="453">
        <f ca="1">IF(AND($D475="Serviço",AV$12&lt;&gt;0,$H475&gt;0,OR(AUTOEVENTO&lt;&gt;"manual",$M475&lt;&gt;$A$15)),
        IF(Import.TipoArredondamento&lt;&gt;"TransfereGOV",
              ROUND(OFFSET($P475,0,AV$13),15-13*ORÇAMENTO!$AF$7)/$H475*OFFSET(ORÇAMENTO!$X$15,ROW(AV475)-ROW(AV$15),0),
              ROUND(ROUND(OFFSET($P475,0,AV$13),15-13*ORÇAMENTO!$AF$7)*OFFSET(ORÇAMENTO!$W$15,ROW(AV475)-ROW(AV$15),0),15-13*ORÇAMENTO!$AF$11)),
         0)</f>
        <v>0</v>
      </c>
      <c r="AW475" s="453">
        <f ca="1">IF(AND($D475="Serviço",AW$12&lt;&gt;0,$H475&gt;0,OR(AUTOEVENTO&lt;&gt;"manual",$M475&lt;&gt;$A$15)),
        IF(Import.TipoArredondamento&lt;&gt;"TransfereGOV",
              ROUND(OFFSET($P475,0,AW$13),15-13*ORÇAMENTO!$AF$7)/$H475*OFFSET(ORÇAMENTO!$X$15,ROW(AW475)-ROW(AW$15),0),
              ROUND(ROUND(OFFSET($P475,0,AW$13),15-13*ORÇAMENTO!$AF$7)*OFFSET(ORÇAMENTO!$W$15,ROW(AW475)-ROW(AW$15),0),15-13*ORÇAMENTO!$AF$11)),
         0)</f>
        <v>0</v>
      </c>
      <c r="AX475" s="453">
        <f ca="1">IF(AND($D475="Serviço",AX$12&lt;&gt;0,$H475&gt;0,OR(AUTOEVENTO&lt;&gt;"manual",$M475&lt;&gt;$A$15)),
        IF(Import.TipoArredondamento&lt;&gt;"TransfereGOV",
              ROUND(OFFSET($P475,0,AX$13),15-13*ORÇAMENTO!$AF$7)/$H475*OFFSET(ORÇAMENTO!$X$15,ROW(AX475)-ROW(AX$15),0),
              ROUND(ROUND(OFFSET($P475,0,AX$13),15-13*ORÇAMENTO!$AF$7)*OFFSET(ORÇAMENTO!$W$15,ROW(AX475)-ROW(AX$15),0),15-13*ORÇAMENTO!$AF$11)),
         0)</f>
        <v>0</v>
      </c>
      <c r="AY475" s="453">
        <f ca="1">IF(AND($D475="Serviço",AY$12&lt;&gt;0,$H475&gt;0,OR(AUTOEVENTO&lt;&gt;"manual",$M475&lt;&gt;$A$15)),
        IF(Import.TipoArredondamento&lt;&gt;"TransfereGOV",
              ROUND(OFFSET($P475,0,AY$13),15-13*ORÇAMENTO!$AF$7)/$H475*OFFSET(ORÇAMENTO!$X$15,ROW(AY475)-ROW(AY$15),0),
              ROUND(ROUND(OFFSET($P475,0,AY$13),15-13*ORÇAMENTO!$AF$7)*OFFSET(ORÇAMENTO!$W$15,ROW(AY475)-ROW(AY$15),0),15-13*ORÇAMENTO!$AF$11)),
         0)</f>
        <v>0</v>
      </c>
      <c r="AZ475" s="453">
        <f ca="1">IF(AND($D475="Serviço",AZ$12&lt;&gt;0,$H475&gt;0,OR(AUTOEVENTO&lt;&gt;"manual",$M475&lt;&gt;$A$15)),
        IF(Import.TipoArredondamento&lt;&gt;"TransfereGOV",
              ROUND(OFFSET($P475,0,AZ$13),15-13*ORÇAMENTO!$AF$7)/$H475*OFFSET(ORÇAMENTO!$X$15,ROW(AZ475)-ROW(AZ$15),0),
              ROUND(ROUND(OFFSET($P475,0,AZ$13),15-13*ORÇAMENTO!$AF$7)*OFFSET(ORÇAMENTO!$W$15,ROW(AZ475)-ROW(AZ$15),0),15-13*ORÇAMENTO!$AF$11)),
         0)</f>
        <v>0</v>
      </c>
      <c r="BA475" s="453">
        <f ca="1">IF(AND($D475="Serviço",BA$12&lt;&gt;0,$H475&gt;0,OR(AUTOEVENTO&lt;&gt;"manual",$M475&lt;&gt;$A$15)),
        IF(Import.TipoArredondamento&lt;&gt;"TransfereGOV",
              ROUND(OFFSET($P475,0,BA$13),15-13*ORÇAMENTO!$AF$7)/$H475*OFFSET(ORÇAMENTO!$X$15,ROW(BA475)-ROW(BA$15),0),
              ROUND(ROUND(OFFSET($P475,0,BA$13),15-13*ORÇAMENTO!$AF$7)*OFFSET(ORÇAMENTO!$W$15,ROW(BA475)-ROW(BA$15),0),15-13*ORÇAMENTO!$AF$11)),
         0)</f>
        <v>0</v>
      </c>
      <c r="BC475" s="171">
        <f ca="1">IF(OR($D475&lt;&gt;"Serviço",AND(AUTOEVENTO="Manual",$M475=$A$15)),0,
         IF(OFFSET(CRONOPLE!$F$15,$M475-$A$15,BC$13)=0,10^12,OFFSET(CRONOPLE!$F$15,$M475-$A$15,BC$13)))</f>
        <v>1</v>
      </c>
      <c r="BD475" s="171">
        <f ca="1">IF(OR($D475&lt;&gt;"Serviço",AND(AUTOEVENTO="Manual",$M475=$A$15)),0,
         IF(OFFSET(CRONOPLE!$F$15,$M475-$A$15,BD$13)=0,10^12,OFFSET(CRONOPLE!$F$15,$M475-$A$15,BD$13)))</f>
        <v>2</v>
      </c>
      <c r="BE475" s="171">
        <f ca="1">IF(OR($D475&lt;&gt;"Serviço",AND(AUTOEVENTO="Manual",$M475=$A$15)),0,
         IF(OFFSET(CRONOPLE!$F$15,$M475-$A$15,BE$13)=0,10^12,OFFSET(CRONOPLE!$F$15,$M475-$A$15,BE$13)))</f>
        <v>3</v>
      </c>
      <c r="BF475" s="171">
        <f ca="1">IF(OR($D475&lt;&gt;"Serviço",AND(AUTOEVENTO="Manual",$M475=$A$15)),0,
         IF(OFFSET(CRONOPLE!$F$15,$M475-$A$15,BF$13)=0,10^12,OFFSET(CRONOPLE!$F$15,$M475-$A$15,BF$13)))</f>
        <v>4</v>
      </c>
      <c r="BG475" s="171">
        <f ca="1">IF(OR($D475&lt;&gt;"Serviço",AND(AUTOEVENTO="Manual",$M475=$A$15)),0,
         IF(OFFSET(CRONOPLE!$F$15,$M475-$A$15,BG$13)=0,10^12,OFFSET(CRONOPLE!$F$15,$M475-$A$15,BG$13)))</f>
        <v>5</v>
      </c>
      <c r="BH475" s="171">
        <f ca="1">IF(OR($D475&lt;&gt;"Serviço",AND(AUTOEVENTO="Manual",$M475=$A$15)),0,
         IF(OFFSET(CRONOPLE!$F$15,$M475-$A$15,BH$13)=0,10^12,OFFSET(CRONOPLE!$F$15,$M475-$A$15,BH$13)))</f>
        <v>6</v>
      </c>
      <c r="BI475" s="171">
        <f ca="1">IF(OR($D475&lt;&gt;"Serviço",AND(AUTOEVENTO="Manual",$M475=$A$15)),0,
         IF(OFFSET(CRONOPLE!$F$15,$M475-$A$15,BI$13)=0,10^12,OFFSET(CRONOPLE!$F$15,$M475-$A$15,BI$13)))</f>
        <v>7</v>
      </c>
      <c r="BJ475" s="171">
        <f ca="1">IF(OR($D475&lt;&gt;"Serviço",AND(AUTOEVENTO="Manual",$M475=$A$15)),0,
         IF(OFFSET(CRONOPLE!$F$15,$M475-$A$15,BJ$13)=0,10^12,OFFSET(CRONOPLE!$F$15,$M475-$A$15,BJ$13)))</f>
        <v>8</v>
      </c>
      <c r="BK475" s="171">
        <f ca="1">IF(OR($D475&lt;&gt;"Serviço",AND(AUTOEVENTO="Manual",$M475=$A$15)),0,
         IF(OFFSET(CRONOPLE!$F$15,$M475-$A$15,BK$13)=0,10^12,OFFSET(CRONOPLE!$F$15,$M475-$A$15,BK$13)))</f>
        <v>9</v>
      </c>
      <c r="BL475" s="171">
        <f ca="1">IF(OR($D475&lt;&gt;"Serviço",AND(AUTOEVENTO="Manual",$M475=$A$15)),0,
         IF(OFFSET(CRONOPLE!$F$15,$M475-$A$15,BL$13)=0,10^12,OFFSET(CRONOPLE!$F$15,$M475-$A$15,BL$13)))</f>
        <v>1000000000000</v>
      </c>
      <c r="BM475" s="171">
        <f ca="1">IF(OR($D475&lt;&gt;"Serviço",AND(AUTOEVENTO="Manual",$M475=$A$15)),0,
         IF(OFFSET(CRONOPLE!$F$15,$M475-$A$15,BM$13)=0,10^12,OFFSET(CRONOPLE!$F$15,$M475-$A$15,BM$13)))</f>
        <v>1000000000000</v>
      </c>
      <c r="BN475" s="171">
        <f ca="1">IF(OR($D475&lt;&gt;"Serviço",AND(AUTOEVENTO="Manual",$M475=$A$15)),0,
         IF(OFFSET(CRONOPLE!$F$15,$M475-$A$15,BN$13)=0,10^12,OFFSET(CRONOPLE!$F$15,$M475-$A$15,BN$13)))</f>
        <v>1000000000000</v>
      </c>
      <c r="BO475" s="171">
        <f ca="1">IF(OR($D475&lt;&gt;"Serviço",AND(AUTOEVENTO="Manual",$M475=$A$15)),0,
         IF(OFFSET(CRONOPLE!$F$15,$M475-$A$15,BO$13)=0,10^12,OFFSET(CRONOPLE!$F$15,$M475-$A$15,BO$13)))</f>
        <v>1000000000000</v>
      </c>
      <c r="BP475" s="171">
        <f ca="1">IF(OR($D475&lt;&gt;"Serviço",AND(AUTOEVENTO="Manual",$M475=$A$15)),0,
         IF(OFFSET(CRONOPLE!$F$15,$M475-$A$15,BP$13)=0,10^12,OFFSET(CRONOPLE!$F$15,$M475-$A$15,BP$13)))</f>
        <v>1000000000000</v>
      </c>
      <c r="BQ475" s="171">
        <f ca="1">IF(OR($D475&lt;&gt;"Serviço",AND(AUTOEVENTO="Manual",$M475=$A$15)),0,
         IF(OFFSET(CRONOPLE!$F$15,$M475-$A$15,BQ$13)=0,10^12,OFFSET(CRONOPLE!$F$15,$M475-$A$15,BQ$13)))</f>
        <v>1000000000000</v>
      </c>
      <c r="BR475" s="171">
        <f ca="1">IF(OR($D475&lt;&gt;"Serviço",AND(AUTOEVENTO="Manual",$M475=$A$15)),0,
         IF(OFFSET(CRONOPLE!$F$15,$M475-$A$15,BR$13)=0,10^12,OFFSET(CRONOPLE!$F$15,$M475-$A$15,BR$13)))</f>
        <v>1000000000000</v>
      </c>
      <c r="BS475" s="171">
        <f ca="1">IF(OR($D475&lt;&gt;"Serviço",AND(AUTOEVENTO="Manual",$M475=$A$15)),0,
         IF(OFFSET(CRONOPLE!$F$15,$M475-$A$15,BS$13)=0,10^12,OFFSET(CRONOPLE!$F$15,$M475-$A$15,BS$13)))</f>
        <v>1000000000000</v>
      </c>
      <c r="BT475" s="171">
        <f ca="1">IF(OR($D475&lt;&gt;"Serviço",AND(AUTOEVENTO="Manual",$M475=$A$15)),0,
         IF(OFFSET(CRONOPLE!$F$15,$M475-$A$15,BT$13)=0,10^12,OFFSET(CRONOPLE!$F$15,$M475-$A$15,BT$13)))</f>
        <v>1000000000000</v>
      </c>
      <c r="BV475" s="172">
        <f ca="1">IF(OR($D475&lt;&gt;"Serviço",AND(AUTOEVENTO="Manual",$M475=$A$15),$M475&gt;(ROW(PLE.lastrow)-ROW(PLE.firstrow))),0,
           IF(OFFSET(PLE!$G$15,$M475-$A$15,BV$13)="",10^12,OFFSET(PLE!$G$15,$M475-$A$15,BV$13)))</f>
        <v>1000000000000</v>
      </c>
      <c r="BW475" s="172">
        <f ca="1">IF(OR($D475&lt;&gt;"Serviço",AND(AUTOEVENTO="Manual",$M475=$A$15),$M475&gt;(ROW(PLE.lastrow)-ROW(PLE.firstrow))),0,
           IF(OFFSET(PLE!$G$15,$M475-$A$15,BW$13)="",10^12,OFFSET(PLE!$G$15,$M475-$A$15,BW$13)))</f>
        <v>1000000000000</v>
      </c>
      <c r="BX475" s="172">
        <f ca="1">IF(OR($D475&lt;&gt;"Serviço",AND(AUTOEVENTO="Manual",$M475=$A$15),$M475&gt;(ROW(PLE.lastrow)-ROW(PLE.firstrow))),0,
           IF(OFFSET(PLE!$G$15,$M475-$A$15,BX$13)="",10^12,OFFSET(PLE!$G$15,$M475-$A$15,BX$13)))</f>
        <v>1000000000000</v>
      </c>
      <c r="BY475" s="172">
        <f ca="1">IF(OR($D475&lt;&gt;"Serviço",AND(AUTOEVENTO="Manual",$M475=$A$15),$M475&gt;(ROW(PLE.lastrow)-ROW(PLE.firstrow))),0,
           IF(OFFSET(PLE!$G$15,$M475-$A$15,BY$13)="",10^12,OFFSET(PLE!$G$15,$M475-$A$15,BY$13)))</f>
        <v>1000000000000</v>
      </c>
      <c r="BZ475" s="172">
        <f ca="1">IF(OR($D475&lt;&gt;"Serviço",AND(AUTOEVENTO="Manual",$M475=$A$15),$M475&gt;(ROW(PLE.lastrow)-ROW(PLE.firstrow))),0,
           IF(OFFSET(PLE!$G$15,$M475-$A$15,BZ$13)="",10^12,OFFSET(PLE!$G$15,$M475-$A$15,BZ$13)))</f>
        <v>1000000000000</v>
      </c>
      <c r="CA475" s="172">
        <f ca="1">IF(OR($D475&lt;&gt;"Serviço",AND(AUTOEVENTO="Manual",$M475=$A$15),$M475&gt;(ROW(PLE.lastrow)-ROW(PLE.firstrow))),0,
           IF(OFFSET(PLE!$G$15,$M475-$A$15,CA$13)="",10^12,OFFSET(PLE!$G$15,$M475-$A$15,CA$13)))</f>
        <v>1000000000000</v>
      </c>
      <c r="CB475" s="172">
        <f ca="1">IF(OR($D475&lt;&gt;"Serviço",AND(AUTOEVENTO="Manual",$M475=$A$15),$M475&gt;(ROW(PLE.lastrow)-ROW(PLE.firstrow))),0,
           IF(OFFSET(PLE!$G$15,$M475-$A$15,CB$13)="",10^12,OFFSET(PLE!$G$15,$M475-$A$15,CB$13)))</f>
        <v>1000000000000</v>
      </c>
      <c r="CC475" s="172">
        <f ca="1">IF(OR($D475&lt;&gt;"Serviço",AND(AUTOEVENTO="Manual",$M475=$A$15),$M475&gt;(ROW(PLE.lastrow)-ROW(PLE.firstrow))),0,
           IF(OFFSET(PLE!$G$15,$M475-$A$15,CC$13)="",10^12,OFFSET(PLE!$G$15,$M475-$A$15,CC$13)))</f>
        <v>1000000000000</v>
      </c>
      <c r="CD475" s="172">
        <f ca="1">IF(OR($D475&lt;&gt;"Serviço",AND(AUTOEVENTO="Manual",$M475=$A$15),$M475&gt;(ROW(PLE.lastrow)-ROW(PLE.firstrow))),0,
           IF(OFFSET(PLE!$G$15,$M475-$A$15,CD$13)="",10^12,OFFSET(PLE!$G$15,$M475-$A$15,CD$13)))</f>
        <v>1000000000000</v>
      </c>
      <c r="CE475" s="172">
        <f ca="1">IF(OR($D475&lt;&gt;"Serviço",AND(AUTOEVENTO="Manual",$M475=$A$15),$M475&gt;(ROW(PLE.lastrow)-ROW(PLE.firstrow))),0,
           IF(OFFSET(PLE!$G$15,$M475-$A$15,CE$13)="",10^12,OFFSET(PLE!$G$15,$M475-$A$15,CE$13)))</f>
        <v>1000000000000</v>
      </c>
      <c r="CF475" s="172">
        <f ca="1">IF(OR($D475&lt;&gt;"Serviço",AND(AUTOEVENTO="Manual",$M475=$A$15),$M475&gt;(ROW(PLE.lastrow)-ROW(PLE.firstrow))),0,
           IF(OFFSET(PLE!$G$15,$M475-$A$15,CF$13)="",10^12,OFFSET(PLE!$G$15,$M475-$A$15,CF$13)))</f>
        <v>1000000000000</v>
      </c>
      <c r="CG475" s="172">
        <f ca="1">IF(OR($D475&lt;&gt;"Serviço",AND(AUTOEVENTO="Manual",$M475=$A$15),$M475&gt;(ROW(PLE.lastrow)-ROW(PLE.firstrow))),0,
           IF(OFFSET(PLE!$G$15,$M475-$A$15,CG$13)="",10^12,OFFSET(PLE!$G$15,$M475-$A$15,CG$13)))</f>
        <v>1000000000000</v>
      </c>
      <c r="CH475" s="172">
        <f ca="1">IF(OR($D475&lt;&gt;"Serviço",AND(AUTOEVENTO="Manual",$M475=$A$15),$M475&gt;(ROW(PLE.lastrow)-ROW(PLE.firstrow))),0,
           IF(OFFSET(PLE!$G$15,$M475-$A$15,CH$13)="",10^12,OFFSET(PLE!$G$15,$M475-$A$15,CH$13)))</f>
        <v>1000000000000</v>
      </c>
      <c r="CI475" s="172">
        <f ca="1">IF(OR($D475&lt;&gt;"Serviço",AND(AUTOEVENTO="Manual",$M475=$A$15),$M475&gt;(ROW(PLE.lastrow)-ROW(PLE.firstrow))),0,
           IF(OFFSET(PLE!$G$15,$M475-$A$15,CI$13)="",10^12,OFFSET(PLE!$G$15,$M475-$A$15,CI$13)))</f>
        <v>1000000000000</v>
      </c>
      <c r="CJ475" s="172">
        <f ca="1">IF(OR($D475&lt;&gt;"Serviço",AND(AUTOEVENTO="Manual",$M475=$A$15),$M475&gt;(ROW(PLE.lastrow)-ROW(PLE.firstrow))),0,
           IF(OFFSET(PLE!$G$15,$M475-$A$15,CJ$13)="",10^12,OFFSET(PLE!$G$15,$M475-$A$15,CJ$13)))</f>
        <v>1000000000000</v>
      </c>
      <c r="CK475" s="172">
        <f ca="1">IF(OR($D475&lt;&gt;"Serviço",AND(AUTOEVENTO="Manual",$M475=$A$15),$M475&gt;(ROW(PLE.lastrow)-ROW(PLE.firstrow))),0,
           IF(OFFSET(PLE!$G$15,$M475-$A$15,CK$13)="",10^12,OFFSET(PLE!$G$15,$M475-$A$15,CK$13)))</f>
        <v>1000000000000</v>
      </c>
      <c r="CL475" s="172">
        <f ca="1">IF(OR($D475&lt;&gt;"Serviço",AND(AUTOEVENTO="Manual",$M475=$A$15),$M475&gt;(ROW(PLE.lastrow)-ROW(PLE.firstrow))),0,
           IF(OFFSET(PLE!$G$15,$M475-$A$15,CL$13)="",10^12,OFFSET(PLE!$G$15,$M475-$A$15,CL$13)))</f>
        <v>1000000000000</v>
      </c>
      <c r="CM475" s="172">
        <f ca="1">IF(OR($D475&lt;&gt;"Serviço",AND(AUTOEVENTO="Manual",$M475=$A$15),$M475&gt;(ROW(PLE.lastrow)-ROW(PLE.firstrow))),0,
           IF(OFFSET(PLE!$G$15,$M475-$A$15,CM$13)="",10^12,OFFSET(PLE!$G$15,$M475-$A$15,CM$13)))</f>
        <v>1000000000000</v>
      </c>
    </row>
    <row r="476" spans="1:91" ht="38.25" x14ac:dyDescent="0.2">
      <c r="A476" s="7">
        <f t="shared" ca="1" si="17"/>
        <v>8</v>
      </c>
      <c r="B476" s="7" t="str">
        <f ca="1">OFFSET(ORÇAMENTO!C$15,ROW(B476)-ROW(B$15),0)</f>
        <v>S</v>
      </c>
      <c r="C476" s="7" t="str">
        <f ca="1">OFFSET(ORÇAMENTO!L$15,ROW(C476)-ROW(C$15),0)</f>
        <v>F</v>
      </c>
      <c r="D476" s="116" t="str">
        <f ca="1">OFFSET(ORÇAMENTO!N$15,ROW(D476)-ROW(D$15),0)</f>
        <v>Serviço</v>
      </c>
      <c r="E476" s="117" t="str">
        <f ca="1">OFFSET(ORÇAMENTO!O$15,ROW(E476)-ROW(E$15),0)</f>
        <v>1.9.6.0.2.</v>
      </c>
      <c r="F476" s="163" t="str">
        <f ca="1">OFFSET(ORÇAMENTO!R$15,ROW(F476)-ROW(F$15),0)</f>
        <v>PATCH PANEL 24 PORTAS, CATEGORIA 6 - FORNECIMENTO E INSTALAÇÃO. AF_11/2019</v>
      </c>
      <c r="G476" s="164" t="str">
        <f ca="1">IF($D476&lt;&gt;"Serviço","",OFFSET(ORÇAMENTO!S$15,ROW(G476)-ROW(G$15),0))</f>
        <v>UN</v>
      </c>
      <c r="H476" s="122" cm="1">
        <f t="array" aca="1" ref="H476" ca="1">IF($D476&lt;&gt;"Serviço",0,IF(ACOMPANHAMENTO="BM",ROUND(OFFSET(ORÇAMENTO!AJ$15,ROW(H476)-ROW(H$15),0),15-13*ORÇAMENTO!$AF$7),SUMPRODUCT(($Q$1:$AI$1=1)*ROUND($Q476:$AI476,15-13*ORÇAMENTO!$AF$7))))</f>
        <v>5</v>
      </c>
      <c r="I476" s="468" t="s">
        <v>1432</v>
      </c>
      <c r="J476" s="640" t="str" cm="1">
        <f t="array" aca="1" ref="J476" ca="1">IF(OR(B476&lt;&gt;"S",CÁLCULO.FrentesPreenchidas=0),"",IF(AND(ACOMPANHAMENTO="PLE",AUTOEVENTO="Manual",OR(H476&gt;0,ORÇAMENTO!AC476="QUANT."),OR(K476="",M476=0,N476="")),"►E",IF(AND(ACOMPANHAMENTO="PLE",ORÇAMENTO!AC476="QUANT."),"►Q",IF(AND(ACOMPANHAMENTO="PLE",H476&lt;&gt;SUMPRODUCT(($Q$1:$AI$1=1)*ROUND(Q476:AI476,15))),"►S",IF(AND(COUNTIF($P$11:$AI$11,"▼")=0,H476&gt;0,I476=""),"◄M","")))))</f>
        <v/>
      </c>
      <c r="K476" s="641" t="s">
        <v>1392</v>
      </c>
      <c r="L476" s="165" t="s">
        <v>764</v>
      </c>
      <c r="M476" s="166">
        <f ca="1">IF($D476&lt;&gt;"Serviço","",
          IF(AUTOEVENTO="manual",$A476,
                IF(ISERROR(MATCH($A476,$A$15:OFFSET($A476,-1,0),0)),MAX($M$15:OFFSET(M476,-1,0))+1,
                      INDEX($M$15:OFFSET(M476,-1,0),MATCH($A476,$A$15:OFFSET($A476,-1,0),0)))))</f>
        <v>8</v>
      </c>
      <c r="N476" s="167" t="str">
        <f ca="1">IF($D476&lt;&gt;"Serviço","",
         IF(AUTOEVENTO="Manual",
                IF($A476=0,"&lt;-- defina o número do agrupador",
                       OFFSET(EVENTOS!$D$15,$A476-$A$15,0)),
                OFFSET($F$15,$A476,0)))</f>
        <v>CFTV</v>
      </c>
      <c r="O476" s="168"/>
      <c r="Q476" s="168"/>
      <c r="R476" s="169"/>
      <c r="S476" s="169"/>
      <c r="T476" s="169"/>
      <c r="U476" s="169"/>
      <c r="V476" s="169"/>
      <c r="W476" s="169"/>
      <c r="X476" s="169"/>
      <c r="Y476" s="169">
        <v>5</v>
      </c>
      <c r="Z476" s="170"/>
      <c r="AA476" s="169"/>
      <c r="AB476" s="169"/>
      <c r="AC476" s="169"/>
      <c r="AD476" s="169"/>
      <c r="AE476" s="169"/>
      <c r="AF476" s="169"/>
      <c r="AG476" s="169"/>
      <c r="AH476" s="170"/>
      <c r="AJ476" s="453">
        <f ca="1">IF(AND($D476="Serviço",AJ$12&lt;&gt;0,$H476&gt;0,OR(AUTOEVENTO&lt;&gt;"manual",$M476&lt;&gt;$A$15)),
        IF(Import.TipoArredondamento&lt;&gt;"TransfereGOV",
              ROUND(OFFSET($P476,0,AJ$13),15-13*ORÇAMENTO!$AF$7)/$H476*OFFSET(ORÇAMENTO!$X$15,ROW(AJ476)-ROW(AJ$15),0),
              ROUND(ROUND(OFFSET($P476,0,AJ$13),15-13*ORÇAMENTO!$AF$7)*OFFSET(ORÇAMENTO!$W$15,ROW(AJ476)-ROW(AJ$15),0),15-13*ORÇAMENTO!$AF$11)),
         0)</f>
        <v>0</v>
      </c>
      <c r="AK476" s="453">
        <f ca="1">IF(AND($D476="Serviço",AK$12&lt;&gt;0,$H476&gt;0,OR(AUTOEVENTO&lt;&gt;"manual",$M476&lt;&gt;$A$15)),
        IF(Import.TipoArredondamento&lt;&gt;"TransfereGOV",
              ROUND(OFFSET($P476,0,AK$13),15-13*ORÇAMENTO!$AF$7)/$H476*OFFSET(ORÇAMENTO!$X$15,ROW(AK476)-ROW(AK$15),0),
              ROUND(ROUND(OFFSET($P476,0,AK$13),15-13*ORÇAMENTO!$AF$7)*OFFSET(ORÇAMENTO!$W$15,ROW(AK476)-ROW(AK$15),0),15-13*ORÇAMENTO!$AF$11)),
         0)</f>
        <v>0</v>
      </c>
      <c r="AL476" s="453">
        <f ca="1">IF(AND($D476="Serviço",AL$12&lt;&gt;0,$H476&gt;0,OR(AUTOEVENTO&lt;&gt;"manual",$M476&lt;&gt;$A$15)),
        IF(Import.TipoArredondamento&lt;&gt;"TransfereGOV",
              ROUND(OFFSET($P476,0,AL$13),15-13*ORÇAMENTO!$AF$7)/$H476*OFFSET(ORÇAMENTO!$X$15,ROW(AL476)-ROW(AL$15),0),
              ROUND(ROUND(OFFSET($P476,0,AL$13),15-13*ORÇAMENTO!$AF$7)*OFFSET(ORÇAMENTO!$W$15,ROW(AL476)-ROW(AL$15),0),15-13*ORÇAMENTO!$AF$11)),
         0)</f>
        <v>0</v>
      </c>
      <c r="AM476" s="453">
        <f ca="1">IF(AND($D476="Serviço",AM$12&lt;&gt;0,$H476&gt;0,OR(AUTOEVENTO&lt;&gt;"manual",$M476&lt;&gt;$A$15)),
        IF(Import.TipoArredondamento&lt;&gt;"TransfereGOV",
              ROUND(OFFSET($P476,0,AM$13),15-13*ORÇAMENTO!$AF$7)/$H476*OFFSET(ORÇAMENTO!$X$15,ROW(AM476)-ROW(AM$15),0),
              ROUND(ROUND(OFFSET($P476,0,AM$13),15-13*ORÇAMENTO!$AF$7)*OFFSET(ORÇAMENTO!$W$15,ROW(AM476)-ROW(AM$15),0),15-13*ORÇAMENTO!$AF$11)),
         0)</f>
        <v>0</v>
      </c>
      <c r="AN476" s="453">
        <f ca="1">IF(AND($D476="Serviço",AN$12&lt;&gt;0,$H476&gt;0,OR(AUTOEVENTO&lt;&gt;"manual",$M476&lt;&gt;$A$15)),
        IF(Import.TipoArredondamento&lt;&gt;"TransfereGOV",
              ROUND(OFFSET($P476,0,AN$13),15-13*ORÇAMENTO!$AF$7)/$H476*OFFSET(ORÇAMENTO!$X$15,ROW(AN476)-ROW(AN$15),0),
              ROUND(ROUND(OFFSET($P476,0,AN$13),15-13*ORÇAMENTO!$AF$7)*OFFSET(ORÇAMENTO!$W$15,ROW(AN476)-ROW(AN$15),0),15-13*ORÇAMENTO!$AF$11)),
         0)</f>
        <v>0</v>
      </c>
      <c r="AO476" s="453">
        <f ca="1">IF(AND($D476="Serviço",AO$12&lt;&gt;0,$H476&gt;0,OR(AUTOEVENTO&lt;&gt;"manual",$M476&lt;&gt;$A$15)),
        IF(Import.TipoArredondamento&lt;&gt;"TransfereGOV",
              ROUND(OFFSET($P476,0,AO$13),15-13*ORÇAMENTO!$AF$7)/$H476*OFFSET(ORÇAMENTO!$X$15,ROW(AO476)-ROW(AO$15),0),
              ROUND(ROUND(OFFSET($P476,0,AO$13),15-13*ORÇAMENTO!$AF$7)*OFFSET(ORÇAMENTO!$W$15,ROW(AO476)-ROW(AO$15),0),15-13*ORÇAMENTO!$AF$11)),
         0)</f>
        <v>0</v>
      </c>
      <c r="AP476" s="453">
        <f ca="1">IF(AND($D476="Serviço",AP$12&lt;&gt;0,$H476&gt;0,OR(AUTOEVENTO&lt;&gt;"manual",$M476&lt;&gt;$A$15)),
        IF(Import.TipoArredondamento&lt;&gt;"TransfereGOV",
              ROUND(OFFSET($P476,0,AP$13),15-13*ORÇAMENTO!$AF$7)/$H476*OFFSET(ORÇAMENTO!$X$15,ROW(AP476)-ROW(AP$15),0),
              ROUND(ROUND(OFFSET($P476,0,AP$13),15-13*ORÇAMENTO!$AF$7)*OFFSET(ORÇAMENTO!$W$15,ROW(AP476)-ROW(AP$15),0),15-13*ORÇAMENTO!$AF$11)),
         0)</f>
        <v>0</v>
      </c>
      <c r="AQ476" s="453">
        <f ca="1">IF(AND($D476="Serviço",AQ$12&lt;&gt;0,$H476&gt;0,OR(AUTOEVENTO&lt;&gt;"manual",$M476&lt;&gt;$A$15)),
        IF(Import.TipoArredondamento&lt;&gt;"TransfereGOV",
              ROUND(OFFSET($P476,0,AQ$13),15-13*ORÇAMENTO!$AF$7)/$H476*OFFSET(ORÇAMENTO!$X$15,ROW(AQ476)-ROW(AQ$15),0),
              ROUND(ROUND(OFFSET($P476,0,AQ$13),15-13*ORÇAMENTO!$AF$7)*OFFSET(ORÇAMENTO!$W$15,ROW(AQ476)-ROW(AQ$15),0),15-13*ORÇAMENTO!$AF$11)),
         0)</f>
        <v>0</v>
      </c>
      <c r="AR476" s="453">
        <f ca="1">IF(AND($D476="Serviço",AR$12&lt;&gt;0,$H476&gt;0,OR(AUTOEVENTO&lt;&gt;"manual",$M476&lt;&gt;$A$15)),
        IF(Import.TipoArredondamento&lt;&gt;"TransfereGOV",
              ROUND(OFFSET($P476,0,AR$13),15-13*ORÇAMENTO!$AF$7)/$H476*OFFSET(ORÇAMENTO!$X$15,ROW(AR476)-ROW(AR$15),0),
              ROUND(ROUND(OFFSET($P476,0,AR$13),15-13*ORÇAMENTO!$AF$7)*OFFSET(ORÇAMENTO!$W$15,ROW(AR476)-ROW(AR$15),0),15-13*ORÇAMENTO!$AF$11)),
         0)</f>
        <v>0</v>
      </c>
      <c r="AS476" s="453">
        <f ca="1">IF(AND($D476="Serviço",AS$12&lt;&gt;0,$H476&gt;0,OR(AUTOEVENTO&lt;&gt;"manual",$M476&lt;&gt;$A$15)),
        IF(Import.TipoArredondamento&lt;&gt;"TransfereGOV",
              ROUND(OFFSET($P476,0,AS$13),15-13*ORÇAMENTO!$AF$7)/$H476*OFFSET(ORÇAMENTO!$X$15,ROW(AS476)-ROW(AS$15),0),
              ROUND(ROUND(OFFSET($P476,0,AS$13),15-13*ORÇAMENTO!$AF$7)*OFFSET(ORÇAMENTO!$W$15,ROW(AS476)-ROW(AS$15),0),15-13*ORÇAMENTO!$AF$11)),
         0)</f>
        <v>0</v>
      </c>
      <c r="AT476" s="453">
        <f ca="1">IF(AND($D476="Serviço",AT$12&lt;&gt;0,$H476&gt;0,OR(AUTOEVENTO&lt;&gt;"manual",$M476&lt;&gt;$A$15)),
        IF(Import.TipoArredondamento&lt;&gt;"TransfereGOV",
              ROUND(OFFSET($P476,0,AT$13),15-13*ORÇAMENTO!$AF$7)/$H476*OFFSET(ORÇAMENTO!$X$15,ROW(AT476)-ROW(AT$15),0),
              ROUND(ROUND(OFFSET($P476,0,AT$13),15-13*ORÇAMENTO!$AF$7)*OFFSET(ORÇAMENTO!$W$15,ROW(AT476)-ROW(AT$15),0),15-13*ORÇAMENTO!$AF$11)),
         0)</f>
        <v>0</v>
      </c>
      <c r="AU476" s="453">
        <f ca="1">IF(AND($D476="Serviço",AU$12&lt;&gt;0,$H476&gt;0,OR(AUTOEVENTO&lt;&gt;"manual",$M476&lt;&gt;$A$15)),
        IF(Import.TipoArredondamento&lt;&gt;"TransfereGOV",
              ROUND(OFFSET($P476,0,AU$13),15-13*ORÇAMENTO!$AF$7)/$H476*OFFSET(ORÇAMENTO!$X$15,ROW(AU476)-ROW(AU$15),0),
              ROUND(ROUND(OFFSET($P476,0,AU$13),15-13*ORÇAMENTO!$AF$7)*OFFSET(ORÇAMENTO!$W$15,ROW(AU476)-ROW(AU$15),0),15-13*ORÇAMENTO!$AF$11)),
         0)</f>
        <v>0</v>
      </c>
      <c r="AV476" s="453">
        <f ca="1">IF(AND($D476="Serviço",AV$12&lt;&gt;0,$H476&gt;0,OR(AUTOEVENTO&lt;&gt;"manual",$M476&lt;&gt;$A$15)),
        IF(Import.TipoArredondamento&lt;&gt;"TransfereGOV",
              ROUND(OFFSET($P476,0,AV$13),15-13*ORÇAMENTO!$AF$7)/$H476*OFFSET(ORÇAMENTO!$X$15,ROW(AV476)-ROW(AV$15),0),
              ROUND(ROUND(OFFSET($P476,0,AV$13),15-13*ORÇAMENTO!$AF$7)*OFFSET(ORÇAMENTO!$W$15,ROW(AV476)-ROW(AV$15),0),15-13*ORÇAMENTO!$AF$11)),
         0)</f>
        <v>0</v>
      </c>
      <c r="AW476" s="453">
        <f ca="1">IF(AND($D476="Serviço",AW$12&lt;&gt;0,$H476&gt;0,OR(AUTOEVENTO&lt;&gt;"manual",$M476&lt;&gt;$A$15)),
        IF(Import.TipoArredondamento&lt;&gt;"TransfereGOV",
              ROUND(OFFSET($P476,0,AW$13),15-13*ORÇAMENTO!$AF$7)/$H476*OFFSET(ORÇAMENTO!$X$15,ROW(AW476)-ROW(AW$15),0),
              ROUND(ROUND(OFFSET($P476,0,AW$13),15-13*ORÇAMENTO!$AF$7)*OFFSET(ORÇAMENTO!$W$15,ROW(AW476)-ROW(AW$15),0),15-13*ORÇAMENTO!$AF$11)),
         0)</f>
        <v>0</v>
      </c>
      <c r="AX476" s="453">
        <f ca="1">IF(AND($D476="Serviço",AX$12&lt;&gt;0,$H476&gt;0,OR(AUTOEVENTO&lt;&gt;"manual",$M476&lt;&gt;$A$15)),
        IF(Import.TipoArredondamento&lt;&gt;"TransfereGOV",
              ROUND(OFFSET($P476,0,AX$13),15-13*ORÇAMENTO!$AF$7)/$H476*OFFSET(ORÇAMENTO!$X$15,ROW(AX476)-ROW(AX$15),0),
              ROUND(ROUND(OFFSET($P476,0,AX$13),15-13*ORÇAMENTO!$AF$7)*OFFSET(ORÇAMENTO!$W$15,ROW(AX476)-ROW(AX$15),0),15-13*ORÇAMENTO!$AF$11)),
         0)</f>
        <v>0</v>
      </c>
      <c r="AY476" s="453">
        <f ca="1">IF(AND($D476="Serviço",AY$12&lt;&gt;0,$H476&gt;0,OR(AUTOEVENTO&lt;&gt;"manual",$M476&lt;&gt;$A$15)),
        IF(Import.TipoArredondamento&lt;&gt;"TransfereGOV",
              ROUND(OFFSET($P476,0,AY$13),15-13*ORÇAMENTO!$AF$7)/$H476*OFFSET(ORÇAMENTO!$X$15,ROW(AY476)-ROW(AY$15),0),
              ROUND(ROUND(OFFSET($P476,0,AY$13),15-13*ORÇAMENTO!$AF$7)*OFFSET(ORÇAMENTO!$W$15,ROW(AY476)-ROW(AY$15),0),15-13*ORÇAMENTO!$AF$11)),
         0)</f>
        <v>0</v>
      </c>
      <c r="AZ476" s="453">
        <f ca="1">IF(AND($D476="Serviço",AZ$12&lt;&gt;0,$H476&gt;0,OR(AUTOEVENTO&lt;&gt;"manual",$M476&lt;&gt;$A$15)),
        IF(Import.TipoArredondamento&lt;&gt;"TransfereGOV",
              ROUND(OFFSET($P476,0,AZ$13),15-13*ORÇAMENTO!$AF$7)/$H476*OFFSET(ORÇAMENTO!$X$15,ROW(AZ476)-ROW(AZ$15),0),
              ROUND(ROUND(OFFSET($P476,0,AZ$13),15-13*ORÇAMENTO!$AF$7)*OFFSET(ORÇAMENTO!$W$15,ROW(AZ476)-ROW(AZ$15),0),15-13*ORÇAMENTO!$AF$11)),
         0)</f>
        <v>0</v>
      </c>
      <c r="BA476" s="453">
        <f ca="1">IF(AND($D476="Serviço",BA$12&lt;&gt;0,$H476&gt;0,OR(AUTOEVENTO&lt;&gt;"manual",$M476&lt;&gt;$A$15)),
        IF(Import.TipoArredondamento&lt;&gt;"TransfereGOV",
              ROUND(OFFSET($P476,0,BA$13),15-13*ORÇAMENTO!$AF$7)/$H476*OFFSET(ORÇAMENTO!$X$15,ROW(BA476)-ROW(BA$15),0),
              ROUND(ROUND(OFFSET($P476,0,BA$13),15-13*ORÇAMENTO!$AF$7)*OFFSET(ORÇAMENTO!$W$15,ROW(BA476)-ROW(BA$15),0),15-13*ORÇAMENTO!$AF$11)),
         0)</f>
        <v>0</v>
      </c>
      <c r="BC476" s="171">
        <f ca="1">IF(OR($D476&lt;&gt;"Serviço",AND(AUTOEVENTO="Manual",$M476=$A$15)),0,
         IF(OFFSET(CRONOPLE!$F$15,$M476-$A$15,BC$13)=0,10^12,OFFSET(CRONOPLE!$F$15,$M476-$A$15,BC$13)))</f>
        <v>1</v>
      </c>
      <c r="BD476" s="171">
        <f ca="1">IF(OR($D476&lt;&gt;"Serviço",AND(AUTOEVENTO="Manual",$M476=$A$15)),0,
         IF(OFFSET(CRONOPLE!$F$15,$M476-$A$15,BD$13)=0,10^12,OFFSET(CRONOPLE!$F$15,$M476-$A$15,BD$13)))</f>
        <v>2</v>
      </c>
      <c r="BE476" s="171">
        <f ca="1">IF(OR($D476&lt;&gt;"Serviço",AND(AUTOEVENTO="Manual",$M476=$A$15)),0,
         IF(OFFSET(CRONOPLE!$F$15,$M476-$A$15,BE$13)=0,10^12,OFFSET(CRONOPLE!$F$15,$M476-$A$15,BE$13)))</f>
        <v>3</v>
      </c>
      <c r="BF476" s="171">
        <f ca="1">IF(OR($D476&lt;&gt;"Serviço",AND(AUTOEVENTO="Manual",$M476=$A$15)),0,
         IF(OFFSET(CRONOPLE!$F$15,$M476-$A$15,BF$13)=0,10^12,OFFSET(CRONOPLE!$F$15,$M476-$A$15,BF$13)))</f>
        <v>4</v>
      </c>
      <c r="BG476" s="171">
        <f ca="1">IF(OR($D476&lt;&gt;"Serviço",AND(AUTOEVENTO="Manual",$M476=$A$15)),0,
         IF(OFFSET(CRONOPLE!$F$15,$M476-$A$15,BG$13)=0,10^12,OFFSET(CRONOPLE!$F$15,$M476-$A$15,BG$13)))</f>
        <v>5</v>
      </c>
      <c r="BH476" s="171">
        <f ca="1">IF(OR($D476&lt;&gt;"Serviço",AND(AUTOEVENTO="Manual",$M476=$A$15)),0,
         IF(OFFSET(CRONOPLE!$F$15,$M476-$A$15,BH$13)=0,10^12,OFFSET(CRONOPLE!$F$15,$M476-$A$15,BH$13)))</f>
        <v>6</v>
      </c>
      <c r="BI476" s="171">
        <f ca="1">IF(OR($D476&lt;&gt;"Serviço",AND(AUTOEVENTO="Manual",$M476=$A$15)),0,
         IF(OFFSET(CRONOPLE!$F$15,$M476-$A$15,BI$13)=0,10^12,OFFSET(CRONOPLE!$F$15,$M476-$A$15,BI$13)))</f>
        <v>7</v>
      </c>
      <c r="BJ476" s="171">
        <f ca="1">IF(OR($D476&lt;&gt;"Serviço",AND(AUTOEVENTO="Manual",$M476=$A$15)),0,
         IF(OFFSET(CRONOPLE!$F$15,$M476-$A$15,BJ$13)=0,10^12,OFFSET(CRONOPLE!$F$15,$M476-$A$15,BJ$13)))</f>
        <v>8</v>
      </c>
      <c r="BK476" s="171">
        <f ca="1">IF(OR($D476&lt;&gt;"Serviço",AND(AUTOEVENTO="Manual",$M476=$A$15)),0,
         IF(OFFSET(CRONOPLE!$F$15,$M476-$A$15,BK$13)=0,10^12,OFFSET(CRONOPLE!$F$15,$M476-$A$15,BK$13)))</f>
        <v>9</v>
      </c>
      <c r="BL476" s="171">
        <f ca="1">IF(OR($D476&lt;&gt;"Serviço",AND(AUTOEVENTO="Manual",$M476=$A$15)),0,
         IF(OFFSET(CRONOPLE!$F$15,$M476-$A$15,BL$13)=0,10^12,OFFSET(CRONOPLE!$F$15,$M476-$A$15,BL$13)))</f>
        <v>1000000000000</v>
      </c>
      <c r="BM476" s="171">
        <f ca="1">IF(OR($D476&lt;&gt;"Serviço",AND(AUTOEVENTO="Manual",$M476=$A$15)),0,
         IF(OFFSET(CRONOPLE!$F$15,$M476-$A$15,BM$13)=0,10^12,OFFSET(CRONOPLE!$F$15,$M476-$A$15,BM$13)))</f>
        <v>1000000000000</v>
      </c>
      <c r="BN476" s="171">
        <f ca="1">IF(OR($D476&lt;&gt;"Serviço",AND(AUTOEVENTO="Manual",$M476=$A$15)),0,
         IF(OFFSET(CRONOPLE!$F$15,$M476-$A$15,BN$13)=0,10^12,OFFSET(CRONOPLE!$F$15,$M476-$A$15,BN$13)))</f>
        <v>1000000000000</v>
      </c>
      <c r="BO476" s="171">
        <f ca="1">IF(OR($D476&lt;&gt;"Serviço",AND(AUTOEVENTO="Manual",$M476=$A$15)),0,
         IF(OFFSET(CRONOPLE!$F$15,$M476-$A$15,BO$13)=0,10^12,OFFSET(CRONOPLE!$F$15,$M476-$A$15,BO$13)))</f>
        <v>1000000000000</v>
      </c>
      <c r="BP476" s="171">
        <f ca="1">IF(OR($D476&lt;&gt;"Serviço",AND(AUTOEVENTO="Manual",$M476=$A$15)),0,
         IF(OFFSET(CRONOPLE!$F$15,$M476-$A$15,BP$13)=0,10^12,OFFSET(CRONOPLE!$F$15,$M476-$A$15,BP$13)))</f>
        <v>1000000000000</v>
      </c>
      <c r="BQ476" s="171">
        <f ca="1">IF(OR($D476&lt;&gt;"Serviço",AND(AUTOEVENTO="Manual",$M476=$A$15)),0,
         IF(OFFSET(CRONOPLE!$F$15,$M476-$A$15,BQ$13)=0,10^12,OFFSET(CRONOPLE!$F$15,$M476-$A$15,BQ$13)))</f>
        <v>1000000000000</v>
      </c>
      <c r="BR476" s="171">
        <f ca="1">IF(OR($D476&lt;&gt;"Serviço",AND(AUTOEVENTO="Manual",$M476=$A$15)),0,
         IF(OFFSET(CRONOPLE!$F$15,$M476-$A$15,BR$13)=0,10^12,OFFSET(CRONOPLE!$F$15,$M476-$A$15,BR$13)))</f>
        <v>1000000000000</v>
      </c>
      <c r="BS476" s="171">
        <f ca="1">IF(OR($D476&lt;&gt;"Serviço",AND(AUTOEVENTO="Manual",$M476=$A$15)),0,
         IF(OFFSET(CRONOPLE!$F$15,$M476-$A$15,BS$13)=0,10^12,OFFSET(CRONOPLE!$F$15,$M476-$A$15,BS$13)))</f>
        <v>1000000000000</v>
      </c>
      <c r="BT476" s="171">
        <f ca="1">IF(OR($D476&lt;&gt;"Serviço",AND(AUTOEVENTO="Manual",$M476=$A$15)),0,
         IF(OFFSET(CRONOPLE!$F$15,$M476-$A$15,BT$13)=0,10^12,OFFSET(CRONOPLE!$F$15,$M476-$A$15,BT$13)))</f>
        <v>1000000000000</v>
      </c>
      <c r="BV476" s="172">
        <f ca="1">IF(OR($D476&lt;&gt;"Serviço",AND(AUTOEVENTO="Manual",$M476=$A$15),$M476&gt;(ROW(PLE.lastrow)-ROW(PLE.firstrow))),0,
           IF(OFFSET(PLE!$G$15,$M476-$A$15,BV$13)="",10^12,OFFSET(PLE!$G$15,$M476-$A$15,BV$13)))</f>
        <v>1000000000000</v>
      </c>
      <c r="BW476" s="172">
        <f ca="1">IF(OR($D476&lt;&gt;"Serviço",AND(AUTOEVENTO="Manual",$M476=$A$15),$M476&gt;(ROW(PLE.lastrow)-ROW(PLE.firstrow))),0,
           IF(OFFSET(PLE!$G$15,$M476-$A$15,BW$13)="",10^12,OFFSET(PLE!$G$15,$M476-$A$15,BW$13)))</f>
        <v>1000000000000</v>
      </c>
      <c r="BX476" s="172">
        <f ca="1">IF(OR($D476&lt;&gt;"Serviço",AND(AUTOEVENTO="Manual",$M476=$A$15),$M476&gt;(ROW(PLE.lastrow)-ROW(PLE.firstrow))),0,
           IF(OFFSET(PLE!$G$15,$M476-$A$15,BX$13)="",10^12,OFFSET(PLE!$G$15,$M476-$A$15,BX$13)))</f>
        <v>1000000000000</v>
      </c>
      <c r="BY476" s="172">
        <f ca="1">IF(OR($D476&lt;&gt;"Serviço",AND(AUTOEVENTO="Manual",$M476=$A$15),$M476&gt;(ROW(PLE.lastrow)-ROW(PLE.firstrow))),0,
           IF(OFFSET(PLE!$G$15,$M476-$A$15,BY$13)="",10^12,OFFSET(PLE!$G$15,$M476-$A$15,BY$13)))</f>
        <v>1000000000000</v>
      </c>
      <c r="BZ476" s="172">
        <f ca="1">IF(OR($D476&lt;&gt;"Serviço",AND(AUTOEVENTO="Manual",$M476=$A$15),$M476&gt;(ROW(PLE.lastrow)-ROW(PLE.firstrow))),0,
           IF(OFFSET(PLE!$G$15,$M476-$A$15,BZ$13)="",10^12,OFFSET(PLE!$G$15,$M476-$A$15,BZ$13)))</f>
        <v>1000000000000</v>
      </c>
      <c r="CA476" s="172">
        <f ca="1">IF(OR($D476&lt;&gt;"Serviço",AND(AUTOEVENTO="Manual",$M476=$A$15),$M476&gt;(ROW(PLE.lastrow)-ROW(PLE.firstrow))),0,
           IF(OFFSET(PLE!$G$15,$M476-$A$15,CA$13)="",10^12,OFFSET(PLE!$G$15,$M476-$A$15,CA$13)))</f>
        <v>1000000000000</v>
      </c>
      <c r="CB476" s="172">
        <f ca="1">IF(OR($D476&lt;&gt;"Serviço",AND(AUTOEVENTO="Manual",$M476=$A$15),$M476&gt;(ROW(PLE.lastrow)-ROW(PLE.firstrow))),0,
           IF(OFFSET(PLE!$G$15,$M476-$A$15,CB$13)="",10^12,OFFSET(PLE!$G$15,$M476-$A$15,CB$13)))</f>
        <v>1000000000000</v>
      </c>
      <c r="CC476" s="172">
        <f ca="1">IF(OR($D476&lt;&gt;"Serviço",AND(AUTOEVENTO="Manual",$M476=$A$15),$M476&gt;(ROW(PLE.lastrow)-ROW(PLE.firstrow))),0,
           IF(OFFSET(PLE!$G$15,$M476-$A$15,CC$13)="",10^12,OFFSET(PLE!$G$15,$M476-$A$15,CC$13)))</f>
        <v>1000000000000</v>
      </c>
      <c r="CD476" s="172">
        <f ca="1">IF(OR($D476&lt;&gt;"Serviço",AND(AUTOEVENTO="Manual",$M476=$A$15),$M476&gt;(ROW(PLE.lastrow)-ROW(PLE.firstrow))),0,
           IF(OFFSET(PLE!$G$15,$M476-$A$15,CD$13)="",10^12,OFFSET(PLE!$G$15,$M476-$A$15,CD$13)))</f>
        <v>1000000000000</v>
      </c>
      <c r="CE476" s="172">
        <f ca="1">IF(OR($D476&lt;&gt;"Serviço",AND(AUTOEVENTO="Manual",$M476=$A$15),$M476&gt;(ROW(PLE.lastrow)-ROW(PLE.firstrow))),0,
           IF(OFFSET(PLE!$G$15,$M476-$A$15,CE$13)="",10^12,OFFSET(PLE!$G$15,$M476-$A$15,CE$13)))</f>
        <v>1000000000000</v>
      </c>
      <c r="CF476" s="172">
        <f ca="1">IF(OR($D476&lt;&gt;"Serviço",AND(AUTOEVENTO="Manual",$M476=$A$15),$M476&gt;(ROW(PLE.lastrow)-ROW(PLE.firstrow))),0,
           IF(OFFSET(PLE!$G$15,$M476-$A$15,CF$13)="",10^12,OFFSET(PLE!$G$15,$M476-$A$15,CF$13)))</f>
        <v>1000000000000</v>
      </c>
      <c r="CG476" s="172">
        <f ca="1">IF(OR($D476&lt;&gt;"Serviço",AND(AUTOEVENTO="Manual",$M476=$A$15),$M476&gt;(ROW(PLE.lastrow)-ROW(PLE.firstrow))),0,
           IF(OFFSET(PLE!$G$15,$M476-$A$15,CG$13)="",10^12,OFFSET(PLE!$G$15,$M476-$A$15,CG$13)))</f>
        <v>1000000000000</v>
      </c>
      <c r="CH476" s="172">
        <f ca="1">IF(OR($D476&lt;&gt;"Serviço",AND(AUTOEVENTO="Manual",$M476=$A$15),$M476&gt;(ROW(PLE.lastrow)-ROW(PLE.firstrow))),0,
           IF(OFFSET(PLE!$G$15,$M476-$A$15,CH$13)="",10^12,OFFSET(PLE!$G$15,$M476-$A$15,CH$13)))</f>
        <v>1000000000000</v>
      </c>
      <c r="CI476" s="172">
        <f ca="1">IF(OR($D476&lt;&gt;"Serviço",AND(AUTOEVENTO="Manual",$M476=$A$15),$M476&gt;(ROW(PLE.lastrow)-ROW(PLE.firstrow))),0,
           IF(OFFSET(PLE!$G$15,$M476-$A$15,CI$13)="",10^12,OFFSET(PLE!$G$15,$M476-$A$15,CI$13)))</f>
        <v>1000000000000</v>
      </c>
      <c r="CJ476" s="172">
        <f ca="1">IF(OR($D476&lt;&gt;"Serviço",AND(AUTOEVENTO="Manual",$M476=$A$15),$M476&gt;(ROW(PLE.lastrow)-ROW(PLE.firstrow))),0,
           IF(OFFSET(PLE!$G$15,$M476-$A$15,CJ$13)="",10^12,OFFSET(PLE!$G$15,$M476-$A$15,CJ$13)))</f>
        <v>1000000000000</v>
      </c>
      <c r="CK476" s="172">
        <f ca="1">IF(OR($D476&lt;&gt;"Serviço",AND(AUTOEVENTO="Manual",$M476=$A$15),$M476&gt;(ROW(PLE.lastrow)-ROW(PLE.firstrow))),0,
           IF(OFFSET(PLE!$G$15,$M476-$A$15,CK$13)="",10^12,OFFSET(PLE!$G$15,$M476-$A$15,CK$13)))</f>
        <v>1000000000000</v>
      </c>
      <c r="CL476" s="172">
        <f ca="1">IF(OR($D476&lt;&gt;"Serviço",AND(AUTOEVENTO="Manual",$M476=$A$15),$M476&gt;(ROW(PLE.lastrow)-ROW(PLE.firstrow))),0,
           IF(OFFSET(PLE!$G$15,$M476-$A$15,CL$13)="",10^12,OFFSET(PLE!$G$15,$M476-$A$15,CL$13)))</f>
        <v>1000000000000</v>
      </c>
      <c r="CM476" s="172">
        <f ca="1">IF(OR($D476&lt;&gt;"Serviço",AND(AUTOEVENTO="Manual",$M476=$A$15),$M476&gt;(ROW(PLE.lastrow)-ROW(PLE.firstrow))),0,
           IF(OFFSET(PLE!$G$15,$M476-$A$15,CM$13)="",10^12,OFFSET(PLE!$G$15,$M476-$A$15,CM$13)))</f>
        <v>1000000000000</v>
      </c>
    </row>
    <row r="477" spans="1:91" ht="38.25" x14ac:dyDescent="0.2">
      <c r="A477" s="7">
        <f t="shared" ca="1" si="17"/>
        <v>8</v>
      </c>
      <c r="B477" s="7" t="str">
        <f ca="1">OFFSET(ORÇAMENTO!C$15,ROW(B477)-ROW(B$15),0)</f>
        <v>S</v>
      </c>
      <c r="C477" s="7" t="str">
        <f ca="1">OFFSET(ORÇAMENTO!L$15,ROW(C477)-ROW(C$15),0)</f>
        <v>F</v>
      </c>
      <c r="D477" s="116" t="str">
        <f ca="1">OFFSET(ORÇAMENTO!N$15,ROW(D477)-ROW(D$15),0)</f>
        <v>Serviço</v>
      </c>
      <c r="E477" s="117" t="str">
        <f ca="1">OFFSET(ORÇAMENTO!O$15,ROW(E477)-ROW(E$15),0)</f>
        <v>1.9.6.0.3.</v>
      </c>
      <c r="F477" s="163" t="str">
        <f ca="1">OFFSET(ORÇAMENTO!R$15,ROW(F477)-ROW(F$15),0)</f>
        <v>GUIA DE CABOS PARA RACK 1U</v>
      </c>
      <c r="G477" s="164" t="str">
        <f ca="1">IF($D477&lt;&gt;"Serviço","",OFFSET(ORÇAMENTO!S$15,ROW(G477)-ROW(G$15),0))</f>
        <v>UN</v>
      </c>
      <c r="H477" s="122" cm="1">
        <f t="array" aca="1" ref="H477" ca="1">IF($D477&lt;&gt;"Serviço",0,IF(ACOMPANHAMENTO="BM",ROUND(OFFSET(ORÇAMENTO!AJ$15,ROW(H477)-ROW(H$15),0),15-13*ORÇAMENTO!$AF$7),SUMPRODUCT(($Q$1:$AI$1=1)*ROUND($Q477:$AI477,15-13*ORÇAMENTO!$AF$7))))</f>
        <v>5</v>
      </c>
      <c r="I477" s="468" t="s">
        <v>1432</v>
      </c>
      <c r="J477" s="640" t="str" cm="1">
        <f t="array" aca="1" ref="J477" ca="1">IF(OR(B477&lt;&gt;"S",CÁLCULO.FrentesPreenchidas=0),"",IF(AND(ACOMPANHAMENTO="PLE",AUTOEVENTO="Manual",OR(H477&gt;0,ORÇAMENTO!AC477="QUANT."),OR(K477="",M477=0,N477="")),"►E",IF(AND(ACOMPANHAMENTO="PLE",ORÇAMENTO!AC477="QUANT."),"►Q",IF(AND(ACOMPANHAMENTO="PLE",H477&lt;&gt;SUMPRODUCT(($Q$1:$AI$1=1)*ROUND(Q477:AI477,15))),"►S",IF(AND(COUNTIF($P$11:$AI$11,"▼")=0,H477&gt;0,I477=""),"◄M","")))))</f>
        <v/>
      </c>
      <c r="K477" s="641" t="s">
        <v>1392</v>
      </c>
      <c r="L477" s="165" t="s">
        <v>764</v>
      </c>
      <c r="M477" s="166">
        <f ca="1">IF($D477&lt;&gt;"Serviço","",
          IF(AUTOEVENTO="manual",$A477,
                IF(ISERROR(MATCH($A477,$A$15:OFFSET($A477,-1,0),0)),MAX($M$15:OFFSET(M477,-1,0))+1,
                      INDEX($M$15:OFFSET(M477,-1,0),MATCH($A477,$A$15:OFFSET($A477,-1,0),0)))))</f>
        <v>8</v>
      </c>
      <c r="N477" s="167" t="str">
        <f ca="1">IF($D477&lt;&gt;"Serviço","",
         IF(AUTOEVENTO="Manual",
                IF($A477=0,"&lt;-- defina o número do agrupador",
                       OFFSET(EVENTOS!$D$15,$A477-$A$15,0)),
                OFFSET($F$15,$A477,0)))</f>
        <v>CFTV</v>
      </c>
      <c r="O477" s="168"/>
      <c r="Q477" s="168"/>
      <c r="R477" s="169"/>
      <c r="S477" s="169"/>
      <c r="T477" s="169"/>
      <c r="U477" s="169"/>
      <c r="V477" s="169"/>
      <c r="W477" s="169"/>
      <c r="X477" s="169"/>
      <c r="Y477" s="169">
        <v>5</v>
      </c>
      <c r="Z477" s="170"/>
      <c r="AA477" s="169"/>
      <c r="AB477" s="169"/>
      <c r="AC477" s="169"/>
      <c r="AD477" s="169"/>
      <c r="AE477" s="169"/>
      <c r="AF477" s="169"/>
      <c r="AG477" s="169"/>
      <c r="AH477" s="170"/>
      <c r="AJ477" s="453">
        <f ca="1">IF(AND($D477="Serviço",AJ$12&lt;&gt;0,$H477&gt;0,OR(AUTOEVENTO&lt;&gt;"manual",$M477&lt;&gt;$A$15)),
        IF(Import.TipoArredondamento&lt;&gt;"TransfereGOV",
              ROUND(OFFSET($P477,0,AJ$13),15-13*ORÇAMENTO!$AF$7)/$H477*OFFSET(ORÇAMENTO!$X$15,ROW(AJ477)-ROW(AJ$15),0),
              ROUND(ROUND(OFFSET($P477,0,AJ$13),15-13*ORÇAMENTO!$AF$7)*OFFSET(ORÇAMENTO!$W$15,ROW(AJ477)-ROW(AJ$15),0),15-13*ORÇAMENTO!$AF$11)),
         0)</f>
        <v>0</v>
      </c>
      <c r="AK477" s="453">
        <f ca="1">IF(AND($D477="Serviço",AK$12&lt;&gt;0,$H477&gt;0,OR(AUTOEVENTO&lt;&gt;"manual",$M477&lt;&gt;$A$15)),
        IF(Import.TipoArredondamento&lt;&gt;"TransfereGOV",
              ROUND(OFFSET($P477,0,AK$13),15-13*ORÇAMENTO!$AF$7)/$H477*OFFSET(ORÇAMENTO!$X$15,ROW(AK477)-ROW(AK$15),0),
              ROUND(ROUND(OFFSET($P477,0,AK$13),15-13*ORÇAMENTO!$AF$7)*OFFSET(ORÇAMENTO!$W$15,ROW(AK477)-ROW(AK$15),0),15-13*ORÇAMENTO!$AF$11)),
         0)</f>
        <v>0</v>
      </c>
      <c r="AL477" s="453">
        <f ca="1">IF(AND($D477="Serviço",AL$12&lt;&gt;0,$H477&gt;0,OR(AUTOEVENTO&lt;&gt;"manual",$M477&lt;&gt;$A$15)),
        IF(Import.TipoArredondamento&lt;&gt;"TransfereGOV",
              ROUND(OFFSET($P477,0,AL$13),15-13*ORÇAMENTO!$AF$7)/$H477*OFFSET(ORÇAMENTO!$X$15,ROW(AL477)-ROW(AL$15),0),
              ROUND(ROUND(OFFSET($P477,0,AL$13),15-13*ORÇAMENTO!$AF$7)*OFFSET(ORÇAMENTO!$W$15,ROW(AL477)-ROW(AL$15),0),15-13*ORÇAMENTO!$AF$11)),
         0)</f>
        <v>0</v>
      </c>
      <c r="AM477" s="453">
        <f ca="1">IF(AND($D477="Serviço",AM$12&lt;&gt;0,$H477&gt;0,OR(AUTOEVENTO&lt;&gt;"manual",$M477&lt;&gt;$A$15)),
        IF(Import.TipoArredondamento&lt;&gt;"TransfereGOV",
              ROUND(OFFSET($P477,0,AM$13),15-13*ORÇAMENTO!$AF$7)/$H477*OFFSET(ORÇAMENTO!$X$15,ROW(AM477)-ROW(AM$15),0),
              ROUND(ROUND(OFFSET($P477,0,AM$13),15-13*ORÇAMENTO!$AF$7)*OFFSET(ORÇAMENTO!$W$15,ROW(AM477)-ROW(AM$15),0),15-13*ORÇAMENTO!$AF$11)),
         0)</f>
        <v>0</v>
      </c>
      <c r="AN477" s="453">
        <f ca="1">IF(AND($D477="Serviço",AN$12&lt;&gt;0,$H477&gt;0,OR(AUTOEVENTO&lt;&gt;"manual",$M477&lt;&gt;$A$15)),
        IF(Import.TipoArredondamento&lt;&gt;"TransfereGOV",
              ROUND(OFFSET($P477,0,AN$13),15-13*ORÇAMENTO!$AF$7)/$H477*OFFSET(ORÇAMENTO!$X$15,ROW(AN477)-ROW(AN$15),0),
              ROUND(ROUND(OFFSET($P477,0,AN$13),15-13*ORÇAMENTO!$AF$7)*OFFSET(ORÇAMENTO!$W$15,ROW(AN477)-ROW(AN$15),0),15-13*ORÇAMENTO!$AF$11)),
         0)</f>
        <v>0</v>
      </c>
      <c r="AO477" s="453">
        <f ca="1">IF(AND($D477="Serviço",AO$12&lt;&gt;0,$H477&gt;0,OR(AUTOEVENTO&lt;&gt;"manual",$M477&lt;&gt;$A$15)),
        IF(Import.TipoArredondamento&lt;&gt;"TransfereGOV",
              ROUND(OFFSET($P477,0,AO$13),15-13*ORÇAMENTO!$AF$7)/$H477*OFFSET(ORÇAMENTO!$X$15,ROW(AO477)-ROW(AO$15),0),
              ROUND(ROUND(OFFSET($P477,0,AO$13),15-13*ORÇAMENTO!$AF$7)*OFFSET(ORÇAMENTO!$W$15,ROW(AO477)-ROW(AO$15),0),15-13*ORÇAMENTO!$AF$11)),
         0)</f>
        <v>0</v>
      </c>
      <c r="AP477" s="453">
        <f ca="1">IF(AND($D477="Serviço",AP$12&lt;&gt;0,$H477&gt;0,OR(AUTOEVENTO&lt;&gt;"manual",$M477&lt;&gt;$A$15)),
        IF(Import.TipoArredondamento&lt;&gt;"TransfereGOV",
              ROUND(OFFSET($P477,0,AP$13),15-13*ORÇAMENTO!$AF$7)/$H477*OFFSET(ORÇAMENTO!$X$15,ROW(AP477)-ROW(AP$15),0),
              ROUND(ROUND(OFFSET($P477,0,AP$13),15-13*ORÇAMENTO!$AF$7)*OFFSET(ORÇAMENTO!$W$15,ROW(AP477)-ROW(AP$15),0),15-13*ORÇAMENTO!$AF$11)),
         0)</f>
        <v>0</v>
      </c>
      <c r="AQ477" s="453">
        <f ca="1">IF(AND($D477="Serviço",AQ$12&lt;&gt;0,$H477&gt;0,OR(AUTOEVENTO&lt;&gt;"manual",$M477&lt;&gt;$A$15)),
        IF(Import.TipoArredondamento&lt;&gt;"TransfereGOV",
              ROUND(OFFSET($P477,0,AQ$13),15-13*ORÇAMENTO!$AF$7)/$H477*OFFSET(ORÇAMENTO!$X$15,ROW(AQ477)-ROW(AQ$15),0),
              ROUND(ROUND(OFFSET($P477,0,AQ$13),15-13*ORÇAMENTO!$AF$7)*OFFSET(ORÇAMENTO!$W$15,ROW(AQ477)-ROW(AQ$15),0),15-13*ORÇAMENTO!$AF$11)),
         0)</f>
        <v>0</v>
      </c>
      <c r="AR477" s="453">
        <f ca="1">IF(AND($D477="Serviço",AR$12&lt;&gt;0,$H477&gt;0,OR(AUTOEVENTO&lt;&gt;"manual",$M477&lt;&gt;$A$15)),
        IF(Import.TipoArredondamento&lt;&gt;"TransfereGOV",
              ROUND(OFFSET($P477,0,AR$13),15-13*ORÇAMENTO!$AF$7)/$H477*OFFSET(ORÇAMENTO!$X$15,ROW(AR477)-ROW(AR$15),0),
              ROUND(ROUND(OFFSET($P477,0,AR$13),15-13*ORÇAMENTO!$AF$7)*OFFSET(ORÇAMENTO!$W$15,ROW(AR477)-ROW(AR$15),0),15-13*ORÇAMENTO!$AF$11)),
         0)</f>
        <v>0</v>
      </c>
      <c r="AS477" s="453">
        <f ca="1">IF(AND($D477="Serviço",AS$12&lt;&gt;0,$H477&gt;0,OR(AUTOEVENTO&lt;&gt;"manual",$M477&lt;&gt;$A$15)),
        IF(Import.TipoArredondamento&lt;&gt;"TransfereGOV",
              ROUND(OFFSET($P477,0,AS$13),15-13*ORÇAMENTO!$AF$7)/$H477*OFFSET(ORÇAMENTO!$X$15,ROW(AS477)-ROW(AS$15),0),
              ROUND(ROUND(OFFSET($P477,0,AS$13),15-13*ORÇAMENTO!$AF$7)*OFFSET(ORÇAMENTO!$W$15,ROW(AS477)-ROW(AS$15),0),15-13*ORÇAMENTO!$AF$11)),
         0)</f>
        <v>0</v>
      </c>
      <c r="AT477" s="453">
        <f ca="1">IF(AND($D477="Serviço",AT$12&lt;&gt;0,$H477&gt;0,OR(AUTOEVENTO&lt;&gt;"manual",$M477&lt;&gt;$A$15)),
        IF(Import.TipoArredondamento&lt;&gt;"TransfereGOV",
              ROUND(OFFSET($P477,0,AT$13),15-13*ORÇAMENTO!$AF$7)/$H477*OFFSET(ORÇAMENTO!$X$15,ROW(AT477)-ROW(AT$15),0),
              ROUND(ROUND(OFFSET($P477,0,AT$13),15-13*ORÇAMENTO!$AF$7)*OFFSET(ORÇAMENTO!$W$15,ROW(AT477)-ROW(AT$15),0),15-13*ORÇAMENTO!$AF$11)),
         0)</f>
        <v>0</v>
      </c>
      <c r="AU477" s="453">
        <f ca="1">IF(AND($D477="Serviço",AU$12&lt;&gt;0,$H477&gt;0,OR(AUTOEVENTO&lt;&gt;"manual",$M477&lt;&gt;$A$15)),
        IF(Import.TipoArredondamento&lt;&gt;"TransfereGOV",
              ROUND(OFFSET($P477,0,AU$13),15-13*ORÇAMENTO!$AF$7)/$H477*OFFSET(ORÇAMENTO!$X$15,ROW(AU477)-ROW(AU$15),0),
              ROUND(ROUND(OFFSET($P477,0,AU$13),15-13*ORÇAMENTO!$AF$7)*OFFSET(ORÇAMENTO!$W$15,ROW(AU477)-ROW(AU$15),0),15-13*ORÇAMENTO!$AF$11)),
         0)</f>
        <v>0</v>
      </c>
      <c r="AV477" s="453">
        <f ca="1">IF(AND($D477="Serviço",AV$12&lt;&gt;0,$H477&gt;0,OR(AUTOEVENTO&lt;&gt;"manual",$M477&lt;&gt;$A$15)),
        IF(Import.TipoArredondamento&lt;&gt;"TransfereGOV",
              ROUND(OFFSET($P477,0,AV$13),15-13*ORÇAMENTO!$AF$7)/$H477*OFFSET(ORÇAMENTO!$X$15,ROW(AV477)-ROW(AV$15),0),
              ROUND(ROUND(OFFSET($P477,0,AV$13),15-13*ORÇAMENTO!$AF$7)*OFFSET(ORÇAMENTO!$W$15,ROW(AV477)-ROW(AV$15),0),15-13*ORÇAMENTO!$AF$11)),
         0)</f>
        <v>0</v>
      </c>
      <c r="AW477" s="453">
        <f ca="1">IF(AND($D477="Serviço",AW$12&lt;&gt;0,$H477&gt;0,OR(AUTOEVENTO&lt;&gt;"manual",$M477&lt;&gt;$A$15)),
        IF(Import.TipoArredondamento&lt;&gt;"TransfereGOV",
              ROUND(OFFSET($P477,0,AW$13),15-13*ORÇAMENTO!$AF$7)/$H477*OFFSET(ORÇAMENTO!$X$15,ROW(AW477)-ROW(AW$15),0),
              ROUND(ROUND(OFFSET($P477,0,AW$13),15-13*ORÇAMENTO!$AF$7)*OFFSET(ORÇAMENTO!$W$15,ROW(AW477)-ROW(AW$15),0),15-13*ORÇAMENTO!$AF$11)),
         0)</f>
        <v>0</v>
      </c>
      <c r="AX477" s="453">
        <f ca="1">IF(AND($D477="Serviço",AX$12&lt;&gt;0,$H477&gt;0,OR(AUTOEVENTO&lt;&gt;"manual",$M477&lt;&gt;$A$15)),
        IF(Import.TipoArredondamento&lt;&gt;"TransfereGOV",
              ROUND(OFFSET($P477,0,AX$13),15-13*ORÇAMENTO!$AF$7)/$H477*OFFSET(ORÇAMENTO!$X$15,ROW(AX477)-ROW(AX$15),0),
              ROUND(ROUND(OFFSET($P477,0,AX$13),15-13*ORÇAMENTO!$AF$7)*OFFSET(ORÇAMENTO!$W$15,ROW(AX477)-ROW(AX$15),0),15-13*ORÇAMENTO!$AF$11)),
         0)</f>
        <v>0</v>
      </c>
      <c r="AY477" s="453">
        <f ca="1">IF(AND($D477="Serviço",AY$12&lt;&gt;0,$H477&gt;0,OR(AUTOEVENTO&lt;&gt;"manual",$M477&lt;&gt;$A$15)),
        IF(Import.TipoArredondamento&lt;&gt;"TransfereGOV",
              ROUND(OFFSET($P477,0,AY$13),15-13*ORÇAMENTO!$AF$7)/$H477*OFFSET(ORÇAMENTO!$X$15,ROW(AY477)-ROW(AY$15),0),
              ROUND(ROUND(OFFSET($P477,0,AY$13),15-13*ORÇAMENTO!$AF$7)*OFFSET(ORÇAMENTO!$W$15,ROW(AY477)-ROW(AY$15),0),15-13*ORÇAMENTO!$AF$11)),
         0)</f>
        <v>0</v>
      </c>
      <c r="AZ477" s="453">
        <f ca="1">IF(AND($D477="Serviço",AZ$12&lt;&gt;0,$H477&gt;0,OR(AUTOEVENTO&lt;&gt;"manual",$M477&lt;&gt;$A$15)),
        IF(Import.TipoArredondamento&lt;&gt;"TransfereGOV",
              ROUND(OFFSET($P477,0,AZ$13),15-13*ORÇAMENTO!$AF$7)/$H477*OFFSET(ORÇAMENTO!$X$15,ROW(AZ477)-ROW(AZ$15),0),
              ROUND(ROUND(OFFSET($P477,0,AZ$13),15-13*ORÇAMENTO!$AF$7)*OFFSET(ORÇAMENTO!$W$15,ROW(AZ477)-ROW(AZ$15),0),15-13*ORÇAMENTO!$AF$11)),
         0)</f>
        <v>0</v>
      </c>
      <c r="BA477" s="453">
        <f ca="1">IF(AND($D477="Serviço",BA$12&lt;&gt;0,$H477&gt;0,OR(AUTOEVENTO&lt;&gt;"manual",$M477&lt;&gt;$A$15)),
        IF(Import.TipoArredondamento&lt;&gt;"TransfereGOV",
              ROUND(OFFSET($P477,0,BA$13),15-13*ORÇAMENTO!$AF$7)/$H477*OFFSET(ORÇAMENTO!$X$15,ROW(BA477)-ROW(BA$15),0),
              ROUND(ROUND(OFFSET($P477,0,BA$13),15-13*ORÇAMENTO!$AF$7)*OFFSET(ORÇAMENTO!$W$15,ROW(BA477)-ROW(BA$15),0),15-13*ORÇAMENTO!$AF$11)),
         0)</f>
        <v>0</v>
      </c>
      <c r="BC477" s="171">
        <f ca="1">IF(OR($D477&lt;&gt;"Serviço",AND(AUTOEVENTO="Manual",$M477=$A$15)),0,
         IF(OFFSET(CRONOPLE!$F$15,$M477-$A$15,BC$13)=0,10^12,OFFSET(CRONOPLE!$F$15,$M477-$A$15,BC$13)))</f>
        <v>1</v>
      </c>
      <c r="BD477" s="171">
        <f ca="1">IF(OR($D477&lt;&gt;"Serviço",AND(AUTOEVENTO="Manual",$M477=$A$15)),0,
         IF(OFFSET(CRONOPLE!$F$15,$M477-$A$15,BD$13)=0,10^12,OFFSET(CRONOPLE!$F$15,$M477-$A$15,BD$13)))</f>
        <v>2</v>
      </c>
      <c r="BE477" s="171">
        <f ca="1">IF(OR($D477&lt;&gt;"Serviço",AND(AUTOEVENTO="Manual",$M477=$A$15)),0,
         IF(OFFSET(CRONOPLE!$F$15,$M477-$A$15,BE$13)=0,10^12,OFFSET(CRONOPLE!$F$15,$M477-$A$15,BE$13)))</f>
        <v>3</v>
      </c>
      <c r="BF477" s="171">
        <f ca="1">IF(OR($D477&lt;&gt;"Serviço",AND(AUTOEVENTO="Manual",$M477=$A$15)),0,
         IF(OFFSET(CRONOPLE!$F$15,$M477-$A$15,BF$13)=0,10^12,OFFSET(CRONOPLE!$F$15,$M477-$A$15,BF$13)))</f>
        <v>4</v>
      </c>
      <c r="BG477" s="171">
        <f ca="1">IF(OR($D477&lt;&gt;"Serviço",AND(AUTOEVENTO="Manual",$M477=$A$15)),0,
         IF(OFFSET(CRONOPLE!$F$15,$M477-$A$15,BG$13)=0,10^12,OFFSET(CRONOPLE!$F$15,$M477-$A$15,BG$13)))</f>
        <v>5</v>
      </c>
      <c r="BH477" s="171">
        <f ca="1">IF(OR($D477&lt;&gt;"Serviço",AND(AUTOEVENTO="Manual",$M477=$A$15)),0,
         IF(OFFSET(CRONOPLE!$F$15,$M477-$A$15,BH$13)=0,10^12,OFFSET(CRONOPLE!$F$15,$M477-$A$15,BH$13)))</f>
        <v>6</v>
      </c>
      <c r="BI477" s="171">
        <f ca="1">IF(OR($D477&lt;&gt;"Serviço",AND(AUTOEVENTO="Manual",$M477=$A$15)),0,
         IF(OFFSET(CRONOPLE!$F$15,$M477-$A$15,BI$13)=0,10^12,OFFSET(CRONOPLE!$F$15,$M477-$A$15,BI$13)))</f>
        <v>7</v>
      </c>
      <c r="BJ477" s="171">
        <f ca="1">IF(OR($D477&lt;&gt;"Serviço",AND(AUTOEVENTO="Manual",$M477=$A$15)),0,
         IF(OFFSET(CRONOPLE!$F$15,$M477-$A$15,BJ$13)=0,10^12,OFFSET(CRONOPLE!$F$15,$M477-$A$15,BJ$13)))</f>
        <v>8</v>
      </c>
      <c r="BK477" s="171">
        <f ca="1">IF(OR($D477&lt;&gt;"Serviço",AND(AUTOEVENTO="Manual",$M477=$A$15)),0,
         IF(OFFSET(CRONOPLE!$F$15,$M477-$A$15,BK$13)=0,10^12,OFFSET(CRONOPLE!$F$15,$M477-$A$15,BK$13)))</f>
        <v>9</v>
      </c>
      <c r="BL477" s="171">
        <f ca="1">IF(OR($D477&lt;&gt;"Serviço",AND(AUTOEVENTO="Manual",$M477=$A$15)),0,
         IF(OFFSET(CRONOPLE!$F$15,$M477-$A$15,BL$13)=0,10^12,OFFSET(CRONOPLE!$F$15,$M477-$A$15,BL$13)))</f>
        <v>1000000000000</v>
      </c>
      <c r="BM477" s="171">
        <f ca="1">IF(OR($D477&lt;&gt;"Serviço",AND(AUTOEVENTO="Manual",$M477=$A$15)),0,
         IF(OFFSET(CRONOPLE!$F$15,$M477-$A$15,BM$13)=0,10^12,OFFSET(CRONOPLE!$F$15,$M477-$A$15,BM$13)))</f>
        <v>1000000000000</v>
      </c>
      <c r="BN477" s="171">
        <f ca="1">IF(OR($D477&lt;&gt;"Serviço",AND(AUTOEVENTO="Manual",$M477=$A$15)),0,
         IF(OFFSET(CRONOPLE!$F$15,$M477-$A$15,BN$13)=0,10^12,OFFSET(CRONOPLE!$F$15,$M477-$A$15,BN$13)))</f>
        <v>1000000000000</v>
      </c>
      <c r="BO477" s="171">
        <f ca="1">IF(OR($D477&lt;&gt;"Serviço",AND(AUTOEVENTO="Manual",$M477=$A$15)),0,
         IF(OFFSET(CRONOPLE!$F$15,$M477-$A$15,BO$13)=0,10^12,OFFSET(CRONOPLE!$F$15,$M477-$A$15,BO$13)))</f>
        <v>1000000000000</v>
      </c>
      <c r="BP477" s="171">
        <f ca="1">IF(OR($D477&lt;&gt;"Serviço",AND(AUTOEVENTO="Manual",$M477=$A$15)),0,
         IF(OFFSET(CRONOPLE!$F$15,$M477-$A$15,BP$13)=0,10^12,OFFSET(CRONOPLE!$F$15,$M477-$A$15,BP$13)))</f>
        <v>1000000000000</v>
      </c>
      <c r="BQ477" s="171">
        <f ca="1">IF(OR($D477&lt;&gt;"Serviço",AND(AUTOEVENTO="Manual",$M477=$A$15)),0,
         IF(OFFSET(CRONOPLE!$F$15,$M477-$A$15,BQ$13)=0,10^12,OFFSET(CRONOPLE!$F$15,$M477-$A$15,BQ$13)))</f>
        <v>1000000000000</v>
      </c>
      <c r="BR477" s="171">
        <f ca="1">IF(OR($D477&lt;&gt;"Serviço",AND(AUTOEVENTO="Manual",$M477=$A$15)),0,
         IF(OFFSET(CRONOPLE!$F$15,$M477-$A$15,BR$13)=0,10^12,OFFSET(CRONOPLE!$F$15,$M477-$A$15,BR$13)))</f>
        <v>1000000000000</v>
      </c>
      <c r="BS477" s="171">
        <f ca="1">IF(OR($D477&lt;&gt;"Serviço",AND(AUTOEVENTO="Manual",$M477=$A$15)),0,
         IF(OFFSET(CRONOPLE!$F$15,$M477-$A$15,BS$13)=0,10^12,OFFSET(CRONOPLE!$F$15,$M477-$A$15,BS$13)))</f>
        <v>1000000000000</v>
      </c>
      <c r="BT477" s="171">
        <f ca="1">IF(OR($D477&lt;&gt;"Serviço",AND(AUTOEVENTO="Manual",$M477=$A$15)),0,
         IF(OFFSET(CRONOPLE!$F$15,$M477-$A$15,BT$13)=0,10^12,OFFSET(CRONOPLE!$F$15,$M477-$A$15,BT$13)))</f>
        <v>1000000000000</v>
      </c>
      <c r="BV477" s="172">
        <f ca="1">IF(OR($D477&lt;&gt;"Serviço",AND(AUTOEVENTO="Manual",$M477=$A$15),$M477&gt;(ROW(PLE.lastrow)-ROW(PLE.firstrow))),0,
           IF(OFFSET(PLE!$G$15,$M477-$A$15,BV$13)="",10^12,OFFSET(PLE!$G$15,$M477-$A$15,BV$13)))</f>
        <v>1000000000000</v>
      </c>
      <c r="BW477" s="172">
        <f ca="1">IF(OR($D477&lt;&gt;"Serviço",AND(AUTOEVENTO="Manual",$M477=$A$15),$M477&gt;(ROW(PLE.lastrow)-ROW(PLE.firstrow))),0,
           IF(OFFSET(PLE!$G$15,$M477-$A$15,BW$13)="",10^12,OFFSET(PLE!$G$15,$M477-$A$15,BW$13)))</f>
        <v>1000000000000</v>
      </c>
      <c r="BX477" s="172">
        <f ca="1">IF(OR($D477&lt;&gt;"Serviço",AND(AUTOEVENTO="Manual",$M477=$A$15),$M477&gt;(ROW(PLE.lastrow)-ROW(PLE.firstrow))),0,
           IF(OFFSET(PLE!$G$15,$M477-$A$15,BX$13)="",10^12,OFFSET(PLE!$G$15,$M477-$A$15,BX$13)))</f>
        <v>1000000000000</v>
      </c>
      <c r="BY477" s="172">
        <f ca="1">IF(OR($D477&lt;&gt;"Serviço",AND(AUTOEVENTO="Manual",$M477=$A$15),$M477&gt;(ROW(PLE.lastrow)-ROW(PLE.firstrow))),0,
           IF(OFFSET(PLE!$G$15,$M477-$A$15,BY$13)="",10^12,OFFSET(PLE!$G$15,$M477-$A$15,BY$13)))</f>
        <v>1000000000000</v>
      </c>
      <c r="BZ477" s="172">
        <f ca="1">IF(OR($D477&lt;&gt;"Serviço",AND(AUTOEVENTO="Manual",$M477=$A$15),$M477&gt;(ROW(PLE.lastrow)-ROW(PLE.firstrow))),0,
           IF(OFFSET(PLE!$G$15,$M477-$A$15,BZ$13)="",10^12,OFFSET(PLE!$G$15,$M477-$A$15,BZ$13)))</f>
        <v>1000000000000</v>
      </c>
      <c r="CA477" s="172">
        <f ca="1">IF(OR($D477&lt;&gt;"Serviço",AND(AUTOEVENTO="Manual",$M477=$A$15),$M477&gt;(ROW(PLE.lastrow)-ROW(PLE.firstrow))),0,
           IF(OFFSET(PLE!$G$15,$M477-$A$15,CA$13)="",10^12,OFFSET(PLE!$G$15,$M477-$A$15,CA$13)))</f>
        <v>1000000000000</v>
      </c>
      <c r="CB477" s="172">
        <f ca="1">IF(OR($D477&lt;&gt;"Serviço",AND(AUTOEVENTO="Manual",$M477=$A$15),$M477&gt;(ROW(PLE.lastrow)-ROW(PLE.firstrow))),0,
           IF(OFFSET(PLE!$G$15,$M477-$A$15,CB$13)="",10^12,OFFSET(PLE!$G$15,$M477-$A$15,CB$13)))</f>
        <v>1000000000000</v>
      </c>
      <c r="CC477" s="172">
        <f ca="1">IF(OR($D477&lt;&gt;"Serviço",AND(AUTOEVENTO="Manual",$M477=$A$15),$M477&gt;(ROW(PLE.lastrow)-ROW(PLE.firstrow))),0,
           IF(OFFSET(PLE!$G$15,$M477-$A$15,CC$13)="",10^12,OFFSET(PLE!$G$15,$M477-$A$15,CC$13)))</f>
        <v>1000000000000</v>
      </c>
      <c r="CD477" s="172">
        <f ca="1">IF(OR($D477&lt;&gt;"Serviço",AND(AUTOEVENTO="Manual",$M477=$A$15),$M477&gt;(ROW(PLE.lastrow)-ROW(PLE.firstrow))),0,
           IF(OFFSET(PLE!$G$15,$M477-$A$15,CD$13)="",10^12,OFFSET(PLE!$G$15,$M477-$A$15,CD$13)))</f>
        <v>1000000000000</v>
      </c>
      <c r="CE477" s="172">
        <f ca="1">IF(OR($D477&lt;&gt;"Serviço",AND(AUTOEVENTO="Manual",$M477=$A$15),$M477&gt;(ROW(PLE.lastrow)-ROW(PLE.firstrow))),0,
           IF(OFFSET(PLE!$G$15,$M477-$A$15,CE$13)="",10^12,OFFSET(PLE!$G$15,$M477-$A$15,CE$13)))</f>
        <v>1000000000000</v>
      </c>
      <c r="CF477" s="172">
        <f ca="1">IF(OR($D477&lt;&gt;"Serviço",AND(AUTOEVENTO="Manual",$M477=$A$15),$M477&gt;(ROW(PLE.lastrow)-ROW(PLE.firstrow))),0,
           IF(OFFSET(PLE!$G$15,$M477-$A$15,CF$13)="",10^12,OFFSET(PLE!$G$15,$M477-$A$15,CF$13)))</f>
        <v>1000000000000</v>
      </c>
      <c r="CG477" s="172">
        <f ca="1">IF(OR($D477&lt;&gt;"Serviço",AND(AUTOEVENTO="Manual",$M477=$A$15),$M477&gt;(ROW(PLE.lastrow)-ROW(PLE.firstrow))),0,
           IF(OFFSET(PLE!$G$15,$M477-$A$15,CG$13)="",10^12,OFFSET(PLE!$G$15,$M477-$A$15,CG$13)))</f>
        <v>1000000000000</v>
      </c>
      <c r="CH477" s="172">
        <f ca="1">IF(OR($D477&lt;&gt;"Serviço",AND(AUTOEVENTO="Manual",$M477=$A$15),$M477&gt;(ROW(PLE.lastrow)-ROW(PLE.firstrow))),0,
           IF(OFFSET(PLE!$G$15,$M477-$A$15,CH$13)="",10^12,OFFSET(PLE!$G$15,$M477-$A$15,CH$13)))</f>
        <v>1000000000000</v>
      </c>
      <c r="CI477" s="172">
        <f ca="1">IF(OR($D477&lt;&gt;"Serviço",AND(AUTOEVENTO="Manual",$M477=$A$15),$M477&gt;(ROW(PLE.lastrow)-ROW(PLE.firstrow))),0,
           IF(OFFSET(PLE!$G$15,$M477-$A$15,CI$13)="",10^12,OFFSET(PLE!$G$15,$M477-$A$15,CI$13)))</f>
        <v>1000000000000</v>
      </c>
      <c r="CJ477" s="172">
        <f ca="1">IF(OR($D477&lt;&gt;"Serviço",AND(AUTOEVENTO="Manual",$M477=$A$15),$M477&gt;(ROW(PLE.lastrow)-ROW(PLE.firstrow))),0,
           IF(OFFSET(PLE!$G$15,$M477-$A$15,CJ$13)="",10^12,OFFSET(PLE!$G$15,$M477-$A$15,CJ$13)))</f>
        <v>1000000000000</v>
      </c>
      <c r="CK477" s="172">
        <f ca="1">IF(OR($D477&lt;&gt;"Serviço",AND(AUTOEVENTO="Manual",$M477=$A$15),$M477&gt;(ROW(PLE.lastrow)-ROW(PLE.firstrow))),0,
           IF(OFFSET(PLE!$G$15,$M477-$A$15,CK$13)="",10^12,OFFSET(PLE!$G$15,$M477-$A$15,CK$13)))</f>
        <v>1000000000000</v>
      </c>
      <c r="CL477" s="172">
        <f ca="1">IF(OR($D477&lt;&gt;"Serviço",AND(AUTOEVENTO="Manual",$M477=$A$15),$M477&gt;(ROW(PLE.lastrow)-ROW(PLE.firstrow))),0,
           IF(OFFSET(PLE!$G$15,$M477-$A$15,CL$13)="",10^12,OFFSET(PLE!$G$15,$M477-$A$15,CL$13)))</f>
        <v>1000000000000</v>
      </c>
      <c r="CM477" s="172">
        <f ca="1">IF(OR($D477&lt;&gt;"Serviço",AND(AUTOEVENTO="Manual",$M477=$A$15),$M477&gt;(ROW(PLE.lastrow)-ROW(PLE.firstrow))),0,
           IF(OFFSET(PLE!$G$15,$M477-$A$15,CM$13)="",10^12,OFFSET(PLE!$G$15,$M477-$A$15,CM$13)))</f>
        <v>1000000000000</v>
      </c>
    </row>
    <row r="478" spans="1:91" ht="38.25" x14ac:dyDescent="0.2">
      <c r="A478" s="7">
        <f t="shared" ca="1" si="17"/>
        <v>8</v>
      </c>
      <c r="B478" s="7" t="str">
        <f ca="1">OFFSET(ORÇAMENTO!C$15,ROW(B478)-ROW(B$15),0)</f>
        <v>S</v>
      </c>
      <c r="C478" s="7" t="str">
        <f ca="1">OFFSET(ORÇAMENTO!L$15,ROW(C478)-ROW(C$15),0)</f>
        <v>F</v>
      </c>
      <c r="D478" s="116" t="str">
        <f ca="1">OFFSET(ORÇAMENTO!N$15,ROW(D478)-ROW(D$15),0)</f>
        <v>Serviço</v>
      </c>
      <c r="E478" s="117" t="str">
        <f ca="1">OFFSET(ORÇAMENTO!O$15,ROW(E478)-ROW(E$15),0)</f>
        <v>1.9.6.0.4.</v>
      </c>
      <c r="F478" s="163" t="str">
        <f ca="1">OFFSET(ORÇAMENTO!R$15,ROW(F478)-ROW(F$15),0)</f>
        <v>RÉGUA COM 8 TOMADAS (2P+T), PARA FIXAÇÃO NO RACK DE 19" (1U)</v>
      </c>
      <c r="G478" s="164" t="str">
        <f ca="1">IF($D478&lt;&gt;"Serviço","",OFFSET(ORÇAMENTO!S$15,ROW(G478)-ROW(G$15),0))</f>
        <v>UN</v>
      </c>
      <c r="H478" s="122" cm="1">
        <f t="array" aca="1" ref="H478" ca="1">IF($D478&lt;&gt;"Serviço",0,IF(ACOMPANHAMENTO="BM",ROUND(OFFSET(ORÇAMENTO!AJ$15,ROW(H478)-ROW(H$15),0),15-13*ORÇAMENTO!$AF$7),SUMPRODUCT(($Q$1:$AI$1=1)*ROUND($Q478:$AI478,15-13*ORÇAMENTO!$AF$7))))</f>
        <v>5</v>
      </c>
      <c r="I478" s="468" t="s">
        <v>1432</v>
      </c>
      <c r="J478" s="640" t="str" cm="1">
        <f t="array" aca="1" ref="J478" ca="1">IF(OR(B478&lt;&gt;"S",CÁLCULO.FrentesPreenchidas=0),"",IF(AND(ACOMPANHAMENTO="PLE",AUTOEVENTO="Manual",OR(H478&gt;0,ORÇAMENTO!AC478="QUANT."),OR(K478="",M478=0,N478="")),"►E",IF(AND(ACOMPANHAMENTO="PLE",ORÇAMENTO!AC478="QUANT."),"►Q",IF(AND(ACOMPANHAMENTO="PLE",H478&lt;&gt;SUMPRODUCT(($Q$1:$AI$1=1)*ROUND(Q478:AI478,15))),"►S",IF(AND(COUNTIF($P$11:$AI$11,"▼")=0,H478&gt;0,I478=""),"◄M","")))))</f>
        <v/>
      </c>
      <c r="K478" s="641" t="s">
        <v>1392</v>
      </c>
      <c r="L478" s="165" t="s">
        <v>764</v>
      </c>
      <c r="M478" s="166">
        <f ca="1">IF($D478&lt;&gt;"Serviço","",
          IF(AUTOEVENTO="manual",$A478,
                IF(ISERROR(MATCH($A478,$A$15:OFFSET($A478,-1,0),0)),MAX($M$15:OFFSET(M478,-1,0))+1,
                      INDEX($M$15:OFFSET(M478,-1,0),MATCH($A478,$A$15:OFFSET($A478,-1,0),0)))))</f>
        <v>8</v>
      </c>
      <c r="N478" s="167" t="str">
        <f ca="1">IF($D478&lt;&gt;"Serviço","",
         IF(AUTOEVENTO="Manual",
                IF($A478=0,"&lt;-- defina o número do agrupador",
                       OFFSET(EVENTOS!$D$15,$A478-$A$15,0)),
                OFFSET($F$15,$A478,0)))</f>
        <v>CFTV</v>
      </c>
      <c r="O478" s="168"/>
      <c r="Q478" s="168"/>
      <c r="R478" s="169"/>
      <c r="S478" s="169"/>
      <c r="T478" s="169"/>
      <c r="U478" s="169"/>
      <c r="V478" s="169"/>
      <c r="W478" s="169"/>
      <c r="X478" s="169"/>
      <c r="Y478" s="169">
        <v>5</v>
      </c>
      <c r="Z478" s="170"/>
      <c r="AA478" s="169"/>
      <c r="AB478" s="169"/>
      <c r="AC478" s="169"/>
      <c r="AD478" s="169"/>
      <c r="AE478" s="169"/>
      <c r="AF478" s="169"/>
      <c r="AG478" s="169"/>
      <c r="AH478" s="170"/>
      <c r="AJ478" s="453">
        <f ca="1">IF(AND($D478="Serviço",AJ$12&lt;&gt;0,$H478&gt;0,OR(AUTOEVENTO&lt;&gt;"manual",$M478&lt;&gt;$A$15)),
        IF(Import.TipoArredondamento&lt;&gt;"TransfereGOV",
              ROUND(OFFSET($P478,0,AJ$13),15-13*ORÇAMENTO!$AF$7)/$H478*OFFSET(ORÇAMENTO!$X$15,ROW(AJ478)-ROW(AJ$15),0),
              ROUND(ROUND(OFFSET($P478,0,AJ$13),15-13*ORÇAMENTO!$AF$7)*OFFSET(ORÇAMENTO!$W$15,ROW(AJ478)-ROW(AJ$15),0),15-13*ORÇAMENTO!$AF$11)),
         0)</f>
        <v>0</v>
      </c>
      <c r="AK478" s="453">
        <f ca="1">IF(AND($D478="Serviço",AK$12&lt;&gt;0,$H478&gt;0,OR(AUTOEVENTO&lt;&gt;"manual",$M478&lt;&gt;$A$15)),
        IF(Import.TipoArredondamento&lt;&gt;"TransfereGOV",
              ROUND(OFFSET($P478,0,AK$13),15-13*ORÇAMENTO!$AF$7)/$H478*OFFSET(ORÇAMENTO!$X$15,ROW(AK478)-ROW(AK$15),0),
              ROUND(ROUND(OFFSET($P478,0,AK$13),15-13*ORÇAMENTO!$AF$7)*OFFSET(ORÇAMENTO!$W$15,ROW(AK478)-ROW(AK$15),0),15-13*ORÇAMENTO!$AF$11)),
         0)</f>
        <v>0</v>
      </c>
      <c r="AL478" s="453">
        <f ca="1">IF(AND($D478="Serviço",AL$12&lt;&gt;0,$H478&gt;0,OR(AUTOEVENTO&lt;&gt;"manual",$M478&lt;&gt;$A$15)),
        IF(Import.TipoArredondamento&lt;&gt;"TransfereGOV",
              ROUND(OFFSET($P478,0,AL$13),15-13*ORÇAMENTO!$AF$7)/$H478*OFFSET(ORÇAMENTO!$X$15,ROW(AL478)-ROW(AL$15),0),
              ROUND(ROUND(OFFSET($P478,0,AL$13),15-13*ORÇAMENTO!$AF$7)*OFFSET(ORÇAMENTO!$W$15,ROW(AL478)-ROW(AL$15),0),15-13*ORÇAMENTO!$AF$11)),
         0)</f>
        <v>0</v>
      </c>
      <c r="AM478" s="453">
        <f ca="1">IF(AND($D478="Serviço",AM$12&lt;&gt;0,$H478&gt;0,OR(AUTOEVENTO&lt;&gt;"manual",$M478&lt;&gt;$A$15)),
        IF(Import.TipoArredondamento&lt;&gt;"TransfereGOV",
              ROUND(OFFSET($P478,0,AM$13),15-13*ORÇAMENTO!$AF$7)/$H478*OFFSET(ORÇAMENTO!$X$15,ROW(AM478)-ROW(AM$15),0),
              ROUND(ROUND(OFFSET($P478,0,AM$13),15-13*ORÇAMENTO!$AF$7)*OFFSET(ORÇAMENTO!$W$15,ROW(AM478)-ROW(AM$15),0),15-13*ORÇAMENTO!$AF$11)),
         0)</f>
        <v>0</v>
      </c>
      <c r="AN478" s="453">
        <f ca="1">IF(AND($D478="Serviço",AN$12&lt;&gt;0,$H478&gt;0,OR(AUTOEVENTO&lt;&gt;"manual",$M478&lt;&gt;$A$15)),
        IF(Import.TipoArredondamento&lt;&gt;"TransfereGOV",
              ROUND(OFFSET($P478,0,AN$13),15-13*ORÇAMENTO!$AF$7)/$H478*OFFSET(ORÇAMENTO!$X$15,ROW(AN478)-ROW(AN$15),0),
              ROUND(ROUND(OFFSET($P478,0,AN$13),15-13*ORÇAMENTO!$AF$7)*OFFSET(ORÇAMENTO!$W$15,ROW(AN478)-ROW(AN$15),0),15-13*ORÇAMENTO!$AF$11)),
         0)</f>
        <v>0</v>
      </c>
      <c r="AO478" s="453">
        <f ca="1">IF(AND($D478="Serviço",AO$12&lt;&gt;0,$H478&gt;0,OR(AUTOEVENTO&lt;&gt;"manual",$M478&lt;&gt;$A$15)),
        IF(Import.TipoArredondamento&lt;&gt;"TransfereGOV",
              ROUND(OFFSET($P478,0,AO$13),15-13*ORÇAMENTO!$AF$7)/$H478*OFFSET(ORÇAMENTO!$X$15,ROW(AO478)-ROW(AO$15),0),
              ROUND(ROUND(OFFSET($P478,0,AO$13),15-13*ORÇAMENTO!$AF$7)*OFFSET(ORÇAMENTO!$W$15,ROW(AO478)-ROW(AO$15),0),15-13*ORÇAMENTO!$AF$11)),
         0)</f>
        <v>0</v>
      </c>
      <c r="AP478" s="453">
        <f ca="1">IF(AND($D478="Serviço",AP$12&lt;&gt;0,$H478&gt;0,OR(AUTOEVENTO&lt;&gt;"manual",$M478&lt;&gt;$A$15)),
        IF(Import.TipoArredondamento&lt;&gt;"TransfereGOV",
              ROUND(OFFSET($P478,0,AP$13),15-13*ORÇAMENTO!$AF$7)/$H478*OFFSET(ORÇAMENTO!$X$15,ROW(AP478)-ROW(AP$15),0),
              ROUND(ROUND(OFFSET($P478,0,AP$13),15-13*ORÇAMENTO!$AF$7)*OFFSET(ORÇAMENTO!$W$15,ROW(AP478)-ROW(AP$15),0),15-13*ORÇAMENTO!$AF$11)),
         0)</f>
        <v>0</v>
      </c>
      <c r="AQ478" s="453">
        <f ca="1">IF(AND($D478="Serviço",AQ$12&lt;&gt;0,$H478&gt;0,OR(AUTOEVENTO&lt;&gt;"manual",$M478&lt;&gt;$A$15)),
        IF(Import.TipoArredondamento&lt;&gt;"TransfereGOV",
              ROUND(OFFSET($P478,0,AQ$13),15-13*ORÇAMENTO!$AF$7)/$H478*OFFSET(ORÇAMENTO!$X$15,ROW(AQ478)-ROW(AQ$15),0),
              ROUND(ROUND(OFFSET($P478,0,AQ$13),15-13*ORÇAMENTO!$AF$7)*OFFSET(ORÇAMENTO!$W$15,ROW(AQ478)-ROW(AQ$15),0),15-13*ORÇAMENTO!$AF$11)),
         0)</f>
        <v>0</v>
      </c>
      <c r="AR478" s="453">
        <f ca="1">IF(AND($D478="Serviço",AR$12&lt;&gt;0,$H478&gt;0,OR(AUTOEVENTO&lt;&gt;"manual",$M478&lt;&gt;$A$15)),
        IF(Import.TipoArredondamento&lt;&gt;"TransfereGOV",
              ROUND(OFFSET($P478,0,AR$13),15-13*ORÇAMENTO!$AF$7)/$H478*OFFSET(ORÇAMENTO!$X$15,ROW(AR478)-ROW(AR$15),0),
              ROUND(ROUND(OFFSET($P478,0,AR$13),15-13*ORÇAMENTO!$AF$7)*OFFSET(ORÇAMENTO!$W$15,ROW(AR478)-ROW(AR$15),0),15-13*ORÇAMENTO!$AF$11)),
         0)</f>
        <v>0</v>
      </c>
      <c r="AS478" s="453">
        <f ca="1">IF(AND($D478="Serviço",AS$12&lt;&gt;0,$H478&gt;0,OR(AUTOEVENTO&lt;&gt;"manual",$M478&lt;&gt;$A$15)),
        IF(Import.TipoArredondamento&lt;&gt;"TransfereGOV",
              ROUND(OFFSET($P478,0,AS$13),15-13*ORÇAMENTO!$AF$7)/$H478*OFFSET(ORÇAMENTO!$X$15,ROW(AS478)-ROW(AS$15),0),
              ROUND(ROUND(OFFSET($P478,0,AS$13),15-13*ORÇAMENTO!$AF$7)*OFFSET(ORÇAMENTO!$W$15,ROW(AS478)-ROW(AS$15),0),15-13*ORÇAMENTO!$AF$11)),
         0)</f>
        <v>0</v>
      </c>
      <c r="AT478" s="453">
        <f ca="1">IF(AND($D478="Serviço",AT$12&lt;&gt;0,$H478&gt;0,OR(AUTOEVENTO&lt;&gt;"manual",$M478&lt;&gt;$A$15)),
        IF(Import.TipoArredondamento&lt;&gt;"TransfereGOV",
              ROUND(OFFSET($P478,0,AT$13),15-13*ORÇAMENTO!$AF$7)/$H478*OFFSET(ORÇAMENTO!$X$15,ROW(AT478)-ROW(AT$15),0),
              ROUND(ROUND(OFFSET($P478,0,AT$13),15-13*ORÇAMENTO!$AF$7)*OFFSET(ORÇAMENTO!$W$15,ROW(AT478)-ROW(AT$15),0),15-13*ORÇAMENTO!$AF$11)),
         0)</f>
        <v>0</v>
      </c>
      <c r="AU478" s="453">
        <f ca="1">IF(AND($D478="Serviço",AU$12&lt;&gt;0,$H478&gt;0,OR(AUTOEVENTO&lt;&gt;"manual",$M478&lt;&gt;$A$15)),
        IF(Import.TipoArredondamento&lt;&gt;"TransfereGOV",
              ROUND(OFFSET($P478,0,AU$13),15-13*ORÇAMENTO!$AF$7)/$H478*OFFSET(ORÇAMENTO!$X$15,ROW(AU478)-ROW(AU$15),0),
              ROUND(ROUND(OFFSET($P478,0,AU$13),15-13*ORÇAMENTO!$AF$7)*OFFSET(ORÇAMENTO!$W$15,ROW(AU478)-ROW(AU$15),0),15-13*ORÇAMENTO!$AF$11)),
         0)</f>
        <v>0</v>
      </c>
      <c r="AV478" s="453">
        <f ca="1">IF(AND($D478="Serviço",AV$12&lt;&gt;0,$H478&gt;0,OR(AUTOEVENTO&lt;&gt;"manual",$M478&lt;&gt;$A$15)),
        IF(Import.TipoArredondamento&lt;&gt;"TransfereGOV",
              ROUND(OFFSET($P478,0,AV$13),15-13*ORÇAMENTO!$AF$7)/$H478*OFFSET(ORÇAMENTO!$X$15,ROW(AV478)-ROW(AV$15),0),
              ROUND(ROUND(OFFSET($P478,0,AV$13),15-13*ORÇAMENTO!$AF$7)*OFFSET(ORÇAMENTO!$W$15,ROW(AV478)-ROW(AV$15),0),15-13*ORÇAMENTO!$AF$11)),
         0)</f>
        <v>0</v>
      </c>
      <c r="AW478" s="453">
        <f ca="1">IF(AND($D478="Serviço",AW$12&lt;&gt;0,$H478&gt;0,OR(AUTOEVENTO&lt;&gt;"manual",$M478&lt;&gt;$A$15)),
        IF(Import.TipoArredondamento&lt;&gt;"TransfereGOV",
              ROUND(OFFSET($P478,0,AW$13),15-13*ORÇAMENTO!$AF$7)/$H478*OFFSET(ORÇAMENTO!$X$15,ROW(AW478)-ROW(AW$15),0),
              ROUND(ROUND(OFFSET($P478,0,AW$13),15-13*ORÇAMENTO!$AF$7)*OFFSET(ORÇAMENTO!$W$15,ROW(AW478)-ROW(AW$15),0),15-13*ORÇAMENTO!$AF$11)),
         0)</f>
        <v>0</v>
      </c>
      <c r="AX478" s="453">
        <f ca="1">IF(AND($D478="Serviço",AX$12&lt;&gt;0,$H478&gt;0,OR(AUTOEVENTO&lt;&gt;"manual",$M478&lt;&gt;$A$15)),
        IF(Import.TipoArredondamento&lt;&gt;"TransfereGOV",
              ROUND(OFFSET($P478,0,AX$13),15-13*ORÇAMENTO!$AF$7)/$H478*OFFSET(ORÇAMENTO!$X$15,ROW(AX478)-ROW(AX$15),0),
              ROUND(ROUND(OFFSET($P478,0,AX$13),15-13*ORÇAMENTO!$AF$7)*OFFSET(ORÇAMENTO!$W$15,ROW(AX478)-ROW(AX$15),0),15-13*ORÇAMENTO!$AF$11)),
         0)</f>
        <v>0</v>
      </c>
      <c r="AY478" s="453">
        <f ca="1">IF(AND($D478="Serviço",AY$12&lt;&gt;0,$H478&gt;0,OR(AUTOEVENTO&lt;&gt;"manual",$M478&lt;&gt;$A$15)),
        IF(Import.TipoArredondamento&lt;&gt;"TransfereGOV",
              ROUND(OFFSET($P478,0,AY$13),15-13*ORÇAMENTO!$AF$7)/$H478*OFFSET(ORÇAMENTO!$X$15,ROW(AY478)-ROW(AY$15),0),
              ROUND(ROUND(OFFSET($P478,0,AY$13),15-13*ORÇAMENTO!$AF$7)*OFFSET(ORÇAMENTO!$W$15,ROW(AY478)-ROW(AY$15),0),15-13*ORÇAMENTO!$AF$11)),
         0)</f>
        <v>0</v>
      </c>
      <c r="AZ478" s="453">
        <f ca="1">IF(AND($D478="Serviço",AZ$12&lt;&gt;0,$H478&gt;0,OR(AUTOEVENTO&lt;&gt;"manual",$M478&lt;&gt;$A$15)),
        IF(Import.TipoArredondamento&lt;&gt;"TransfereGOV",
              ROUND(OFFSET($P478,0,AZ$13),15-13*ORÇAMENTO!$AF$7)/$H478*OFFSET(ORÇAMENTO!$X$15,ROW(AZ478)-ROW(AZ$15),0),
              ROUND(ROUND(OFFSET($P478,0,AZ$13),15-13*ORÇAMENTO!$AF$7)*OFFSET(ORÇAMENTO!$W$15,ROW(AZ478)-ROW(AZ$15),0),15-13*ORÇAMENTO!$AF$11)),
         0)</f>
        <v>0</v>
      </c>
      <c r="BA478" s="453">
        <f ca="1">IF(AND($D478="Serviço",BA$12&lt;&gt;0,$H478&gt;0,OR(AUTOEVENTO&lt;&gt;"manual",$M478&lt;&gt;$A$15)),
        IF(Import.TipoArredondamento&lt;&gt;"TransfereGOV",
              ROUND(OFFSET($P478,0,BA$13),15-13*ORÇAMENTO!$AF$7)/$H478*OFFSET(ORÇAMENTO!$X$15,ROW(BA478)-ROW(BA$15),0),
              ROUND(ROUND(OFFSET($P478,0,BA$13),15-13*ORÇAMENTO!$AF$7)*OFFSET(ORÇAMENTO!$W$15,ROW(BA478)-ROW(BA$15),0),15-13*ORÇAMENTO!$AF$11)),
         0)</f>
        <v>0</v>
      </c>
      <c r="BC478" s="171">
        <f ca="1">IF(OR($D478&lt;&gt;"Serviço",AND(AUTOEVENTO="Manual",$M478=$A$15)),0,
         IF(OFFSET(CRONOPLE!$F$15,$M478-$A$15,BC$13)=0,10^12,OFFSET(CRONOPLE!$F$15,$M478-$A$15,BC$13)))</f>
        <v>1</v>
      </c>
      <c r="BD478" s="171">
        <f ca="1">IF(OR($D478&lt;&gt;"Serviço",AND(AUTOEVENTO="Manual",$M478=$A$15)),0,
         IF(OFFSET(CRONOPLE!$F$15,$M478-$A$15,BD$13)=0,10^12,OFFSET(CRONOPLE!$F$15,$M478-$A$15,BD$13)))</f>
        <v>2</v>
      </c>
      <c r="BE478" s="171">
        <f ca="1">IF(OR($D478&lt;&gt;"Serviço",AND(AUTOEVENTO="Manual",$M478=$A$15)),0,
         IF(OFFSET(CRONOPLE!$F$15,$M478-$A$15,BE$13)=0,10^12,OFFSET(CRONOPLE!$F$15,$M478-$A$15,BE$13)))</f>
        <v>3</v>
      </c>
      <c r="BF478" s="171">
        <f ca="1">IF(OR($D478&lt;&gt;"Serviço",AND(AUTOEVENTO="Manual",$M478=$A$15)),0,
         IF(OFFSET(CRONOPLE!$F$15,$M478-$A$15,BF$13)=0,10^12,OFFSET(CRONOPLE!$F$15,$M478-$A$15,BF$13)))</f>
        <v>4</v>
      </c>
      <c r="BG478" s="171">
        <f ca="1">IF(OR($D478&lt;&gt;"Serviço",AND(AUTOEVENTO="Manual",$M478=$A$15)),0,
         IF(OFFSET(CRONOPLE!$F$15,$M478-$A$15,BG$13)=0,10^12,OFFSET(CRONOPLE!$F$15,$M478-$A$15,BG$13)))</f>
        <v>5</v>
      </c>
      <c r="BH478" s="171">
        <f ca="1">IF(OR($D478&lt;&gt;"Serviço",AND(AUTOEVENTO="Manual",$M478=$A$15)),0,
         IF(OFFSET(CRONOPLE!$F$15,$M478-$A$15,BH$13)=0,10^12,OFFSET(CRONOPLE!$F$15,$M478-$A$15,BH$13)))</f>
        <v>6</v>
      </c>
      <c r="BI478" s="171">
        <f ca="1">IF(OR($D478&lt;&gt;"Serviço",AND(AUTOEVENTO="Manual",$M478=$A$15)),0,
         IF(OFFSET(CRONOPLE!$F$15,$M478-$A$15,BI$13)=0,10^12,OFFSET(CRONOPLE!$F$15,$M478-$A$15,BI$13)))</f>
        <v>7</v>
      </c>
      <c r="BJ478" s="171">
        <f ca="1">IF(OR($D478&lt;&gt;"Serviço",AND(AUTOEVENTO="Manual",$M478=$A$15)),0,
         IF(OFFSET(CRONOPLE!$F$15,$M478-$A$15,BJ$13)=0,10^12,OFFSET(CRONOPLE!$F$15,$M478-$A$15,BJ$13)))</f>
        <v>8</v>
      </c>
      <c r="BK478" s="171">
        <f ca="1">IF(OR($D478&lt;&gt;"Serviço",AND(AUTOEVENTO="Manual",$M478=$A$15)),0,
         IF(OFFSET(CRONOPLE!$F$15,$M478-$A$15,BK$13)=0,10^12,OFFSET(CRONOPLE!$F$15,$M478-$A$15,BK$13)))</f>
        <v>9</v>
      </c>
      <c r="BL478" s="171">
        <f ca="1">IF(OR($D478&lt;&gt;"Serviço",AND(AUTOEVENTO="Manual",$M478=$A$15)),0,
         IF(OFFSET(CRONOPLE!$F$15,$M478-$A$15,BL$13)=0,10^12,OFFSET(CRONOPLE!$F$15,$M478-$A$15,BL$13)))</f>
        <v>1000000000000</v>
      </c>
      <c r="BM478" s="171">
        <f ca="1">IF(OR($D478&lt;&gt;"Serviço",AND(AUTOEVENTO="Manual",$M478=$A$15)),0,
         IF(OFFSET(CRONOPLE!$F$15,$M478-$A$15,BM$13)=0,10^12,OFFSET(CRONOPLE!$F$15,$M478-$A$15,BM$13)))</f>
        <v>1000000000000</v>
      </c>
      <c r="BN478" s="171">
        <f ca="1">IF(OR($D478&lt;&gt;"Serviço",AND(AUTOEVENTO="Manual",$M478=$A$15)),0,
         IF(OFFSET(CRONOPLE!$F$15,$M478-$A$15,BN$13)=0,10^12,OFFSET(CRONOPLE!$F$15,$M478-$A$15,BN$13)))</f>
        <v>1000000000000</v>
      </c>
      <c r="BO478" s="171">
        <f ca="1">IF(OR($D478&lt;&gt;"Serviço",AND(AUTOEVENTO="Manual",$M478=$A$15)),0,
         IF(OFFSET(CRONOPLE!$F$15,$M478-$A$15,BO$13)=0,10^12,OFFSET(CRONOPLE!$F$15,$M478-$A$15,BO$13)))</f>
        <v>1000000000000</v>
      </c>
      <c r="BP478" s="171">
        <f ca="1">IF(OR($D478&lt;&gt;"Serviço",AND(AUTOEVENTO="Manual",$M478=$A$15)),0,
         IF(OFFSET(CRONOPLE!$F$15,$M478-$A$15,BP$13)=0,10^12,OFFSET(CRONOPLE!$F$15,$M478-$A$15,BP$13)))</f>
        <v>1000000000000</v>
      </c>
      <c r="BQ478" s="171">
        <f ca="1">IF(OR($D478&lt;&gt;"Serviço",AND(AUTOEVENTO="Manual",$M478=$A$15)),0,
         IF(OFFSET(CRONOPLE!$F$15,$M478-$A$15,BQ$13)=0,10^12,OFFSET(CRONOPLE!$F$15,$M478-$A$15,BQ$13)))</f>
        <v>1000000000000</v>
      </c>
      <c r="BR478" s="171">
        <f ca="1">IF(OR($D478&lt;&gt;"Serviço",AND(AUTOEVENTO="Manual",$M478=$A$15)),0,
         IF(OFFSET(CRONOPLE!$F$15,$M478-$A$15,BR$13)=0,10^12,OFFSET(CRONOPLE!$F$15,$M478-$A$15,BR$13)))</f>
        <v>1000000000000</v>
      </c>
      <c r="BS478" s="171">
        <f ca="1">IF(OR($D478&lt;&gt;"Serviço",AND(AUTOEVENTO="Manual",$M478=$A$15)),0,
         IF(OFFSET(CRONOPLE!$F$15,$M478-$A$15,BS$13)=0,10^12,OFFSET(CRONOPLE!$F$15,$M478-$A$15,BS$13)))</f>
        <v>1000000000000</v>
      </c>
      <c r="BT478" s="171">
        <f ca="1">IF(OR($D478&lt;&gt;"Serviço",AND(AUTOEVENTO="Manual",$M478=$A$15)),0,
         IF(OFFSET(CRONOPLE!$F$15,$M478-$A$15,BT$13)=0,10^12,OFFSET(CRONOPLE!$F$15,$M478-$A$15,BT$13)))</f>
        <v>1000000000000</v>
      </c>
      <c r="BV478" s="172">
        <f ca="1">IF(OR($D478&lt;&gt;"Serviço",AND(AUTOEVENTO="Manual",$M478=$A$15),$M478&gt;(ROW(PLE.lastrow)-ROW(PLE.firstrow))),0,
           IF(OFFSET(PLE!$G$15,$M478-$A$15,BV$13)="",10^12,OFFSET(PLE!$G$15,$M478-$A$15,BV$13)))</f>
        <v>1000000000000</v>
      </c>
      <c r="BW478" s="172">
        <f ca="1">IF(OR($D478&lt;&gt;"Serviço",AND(AUTOEVENTO="Manual",$M478=$A$15),$M478&gt;(ROW(PLE.lastrow)-ROW(PLE.firstrow))),0,
           IF(OFFSET(PLE!$G$15,$M478-$A$15,BW$13)="",10^12,OFFSET(PLE!$G$15,$M478-$A$15,BW$13)))</f>
        <v>1000000000000</v>
      </c>
      <c r="BX478" s="172">
        <f ca="1">IF(OR($D478&lt;&gt;"Serviço",AND(AUTOEVENTO="Manual",$M478=$A$15),$M478&gt;(ROW(PLE.lastrow)-ROW(PLE.firstrow))),0,
           IF(OFFSET(PLE!$G$15,$M478-$A$15,BX$13)="",10^12,OFFSET(PLE!$G$15,$M478-$A$15,BX$13)))</f>
        <v>1000000000000</v>
      </c>
      <c r="BY478" s="172">
        <f ca="1">IF(OR($D478&lt;&gt;"Serviço",AND(AUTOEVENTO="Manual",$M478=$A$15),$M478&gt;(ROW(PLE.lastrow)-ROW(PLE.firstrow))),0,
           IF(OFFSET(PLE!$G$15,$M478-$A$15,BY$13)="",10^12,OFFSET(PLE!$G$15,$M478-$A$15,BY$13)))</f>
        <v>1000000000000</v>
      </c>
      <c r="BZ478" s="172">
        <f ca="1">IF(OR($D478&lt;&gt;"Serviço",AND(AUTOEVENTO="Manual",$M478=$A$15),$M478&gt;(ROW(PLE.lastrow)-ROW(PLE.firstrow))),0,
           IF(OFFSET(PLE!$G$15,$M478-$A$15,BZ$13)="",10^12,OFFSET(PLE!$G$15,$M478-$A$15,BZ$13)))</f>
        <v>1000000000000</v>
      </c>
      <c r="CA478" s="172">
        <f ca="1">IF(OR($D478&lt;&gt;"Serviço",AND(AUTOEVENTO="Manual",$M478=$A$15),$M478&gt;(ROW(PLE.lastrow)-ROW(PLE.firstrow))),0,
           IF(OFFSET(PLE!$G$15,$M478-$A$15,CA$13)="",10^12,OFFSET(PLE!$G$15,$M478-$A$15,CA$13)))</f>
        <v>1000000000000</v>
      </c>
      <c r="CB478" s="172">
        <f ca="1">IF(OR($D478&lt;&gt;"Serviço",AND(AUTOEVENTO="Manual",$M478=$A$15),$M478&gt;(ROW(PLE.lastrow)-ROW(PLE.firstrow))),0,
           IF(OFFSET(PLE!$G$15,$M478-$A$15,CB$13)="",10^12,OFFSET(PLE!$G$15,$M478-$A$15,CB$13)))</f>
        <v>1000000000000</v>
      </c>
      <c r="CC478" s="172">
        <f ca="1">IF(OR($D478&lt;&gt;"Serviço",AND(AUTOEVENTO="Manual",$M478=$A$15),$M478&gt;(ROW(PLE.lastrow)-ROW(PLE.firstrow))),0,
           IF(OFFSET(PLE!$G$15,$M478-$A$15,CC$13)="",10^12,OFFSET(PLE!$G$15,$M478-$A$15,CC$13)))</f>
        <v>1000000000000</v>
      </c>
      <c r="CD478" s="172">
        <f ca="1">IF(OR($D478&lt;&gt;"Serviço",AND(AUTOEVENTO="Manual",$M478=$A$15),$M478&gt;(ROW(PLE.lastrow)-ROW(PLE.firstrow))),0,
           IF(OFFSET(PLE!$G$15,$M478-$A$15,CD$13)="",10^12,OFFSET(PLE!$G$15,$M478-$A$15,CD$13)))</f>
        <v>1000000000000</v>
      </c>
      <c r="CE478" s="172">
        <f ca="1">IF(OR($D478&lt;&gt;"Serviço",AND(AUTOEVENTO="Manual",$M478=$A$15),$M478&gt;(ROW(PLE.lastrow)-ROW(PLE.firstrow))),0,
           IF(OFFSET(PLE!$G$15,$M478-$A$15,CE$13)="",10^12,OFFSET(PLE!$G$15,$M478-$A$15,CE$13)))</f>
        <v>1000000000000</v>
      </c>
      <c r="CF478" s="172">
        <f ca="1">IF(OR($D478&lt;&gt;"Serviço",AND(AUTOEVENTO="Manual",$M478=$A$15),$M478&gt;(ROW(PLE.lastrow)-ROW(PLE.firstrow))),0,
           IF(OFFSET(PLE!$G$15,$M478-$A$15,CF$13)="",10^12,OFFSET(PLE!$G$15,$M478-$A$15,CF$13)))</f>
        <v>1000000000000</v>
      </c>
      <c r="CG478" s="172">
        <f ca="1">IF(OR($D478&lt;&gt;"Serviço",AND(AUTOEVENTO="Manual",$M478=$A$15),$M478&gt;(ROW(PLE.lastrow)-ROW(PLE.firstrow))),0,
           IF(OFFSET(PLE!$G$15,$M478-$A$15,CG$13)="",10^12,OFFSET(PLE!$G$15,$M478-$A$15,CG$13)))</f>
        <v>1000000000000</v>
      </c>
      <c r="CH478" s="172">
        <f ca="1">IF(OR($D478&lt;&gt;"Serviço",AND(AUTOEVENTO="Manual",$M478=$A$15),$M478&gt;(ROW(PLE.lastrow)-ROW(PLE.firstrow))),0,
           IF(OFFSET(PLE!$G$15,$M478-$A$15,CH$13)="",10^12,OFFSET(PLE!$G$15,$M478-$A$15,CH$13)))</f>
        <v>1000000000000</v>
      </c>
      <c r="CI478" s="172">
        <f ca="1">IF(OR($D478&lt;&gt;"Serviço",AND(AUTOEVENTO="Manual",$M478=$A$15),$M478&gt;(ROW(PLE.lastrow)-ROW(PLE.firstrow))),0,
           IF(OFFSET(PLE!$G$15,$M478-$A$15,CI$13)="",10^12,OFFSET(PLE!$G$15,$M478-$A$15,CI$13)))</f>
        <v>1000000000000</v>
      </c>
      <c r="CJ478" s="172">
        <f ca="1">IF(OR($D478&lt;&gt;"Serviço",AND(AUTOEVENTO="Manual",$M478=$A$15),$M478&gt;(ROW(PLE.lastrow)-ROW(PLE.firstrow))),0,
           IF(OFFSET(PLE!$G$15,$M478-$A$15,CJ$13)="",10^12,OFFSET(PLE!$G$15,$M478-$A$15,CJ$13)))</f>
        <v>1000000000000</v>
      </c>
      <c r="CK478" s="172">
        <f ca="1">IF(OR($D478&lt;&gt;"Serviço",AND(AUTOEVENTO="Manual",$M478=$A$15),$M478&gt;(ROW(PLE.lastrow)-ROW(PLE.firstrow))),0,
           IF(OFFSET(PLE!$G$15,$M478-$A$15,CK$13)="",10^12,OFFSET(PLE!$G$15,$M478-$A$15,CK$13)))</f>
        <v>1000000000000</v>
      </c>
      <c r="CL478" s="172">
        <f ca="1">IF(OR($D478&lt;&gt;"Serviço",AND(AUTOEVENTO="Manual",$M478=$A$15),$M478&gt;(ROW(PLE.lastrow)-ROW(PLE.firstrow))),0,
           IF(OFFSET(PLE!$G$15,$M478-$A$15,CL$13)="",10^12,OFFSET(PLE!$G$15,$M478-$A$15,CL$13)))</f>
        <v>1000000000000</v>
      </c>
      <c r="CM478" s="172">
        <f ca="1">IF(OR($D478&lt;&gt;"Serviço",AND(AUTOEVENTO="Manual",$M478=$A$15),$M478&gt;(ROW(PLE.lastrow)-ROW(PLE.firstrow))),0,
           IF(OFFSET(PLE!$G$15,$M478-$A$15,CM$13)="",10^12,OFFSET(PLE!$G$15,$M478-$A$15,CM$13)))</f>
        <v>1000000000000</v>
      </c>
    </row>
    <row r="479" spans="1:91" ht="12.75" x14ac:dyDescent="0.2">
      <c r="A479" s="7">
        <f t="shared" ca="1" si="17"/>
        <v>0</v>
      </c>
      <c r="B479" s="7">
        <f ca="1">OFFSET(ORÇAMENTO!C$15,ROW(B479)-ROW(B$15),0)</f>
        <v>2</v>
      </c>
      <c r="C479" s="7" t="str">
        <f ca="1">OFFSET(ORÇAMENTO!L$15,ROW(C479)-ROW(C$15),0)</f>
        <v>F</v>
      </c>
      <c r="D479" s="116" t="str">
        <f ca="1">OFFSET(ORÇAMENTO!N$15,ROW(D479)-ROW(D$15),0)</f>
        <v>Nível 2</v>
      </c>
      <c r="E479" s="117" t="str">
        <f ca="1">OFFSET(ORÇAMENTO!O$15,ROW(E479)-ROW(E$15),0)</f>
        <v>1.10.</v>
      </c>
      <c r="F479" s="163" t="str">
        <f ca="1">OFFSET(ORÇAMENTO!R$15,ROW(F479)-ROW(F$15),0)</f>
        <v>ARQUITETURA</v>
      </c>
      <c r="G479" s="164" t="str">
        <f ca="1">IF($D479&lt;&gt;"Serviço","",OFFSET(ORÇAMENTO!S$15,ROW(G479)-ROW(G$15),0))</f>
        <v/>
      </c>
      <c r="H479" s="122" cm="1">
        <f t="array" aca="1" ref="H479" ca="1">IF($D479&lt;&gt;"Serviço",0,IF(ACOMPANHAMENTO="BM",ROUND(OFFSET(ORÇAMENTO!AJ$15,ROW(H479)-ROW(H$15),0),15-13*ORÇAMENTO!$AF$7),SUMPRODUCT(($Q$1:$AI$1=1)*ROUND($Q479:$AI479,15-13*ORÇAMENTO!$AF$7))))</f>
        <v>0</v>
      </c>
      <c r="I479" s="468"/>
      <c r="J479" s="640" t="str" cm="1">
        <f t="array" aca="1" ref="J479" ca="1">IF(OR(B479&lt;&gt;"S",CÁLCULO.FrentesPreenchidas=0),"",IF(AND(ACOMPANHAMENTO="PLE",AUTOEVENTO="Manual",OR(H479&gt;0,ORÇAMENTO!AC479="QUANT."),OR(K479="",M479=0,N479="")),"►E",IF(AND(ACOMPANHAMENTO="PLE",ORÇAMENTO!AC479="QUANT."),"►Q",IF(AND(ACOMPANHAMENTO="PLE",H479&lt;&gt;SUMPRODUCT(($Q$1:$AI$1=1)*ROUND(Q479:AI479,15))),"►S",IF(AND(COUNTIF($P$11:$AI$11,"▼")=0,H479&gt;0,I479=""),"◄M","")))))</f>
        <v/>
      </c>
      <c r="K479" s="641"/>
      <c r="L479" s="165" t="s">
        <v>764</v>
      </c>
      <c r="M479" s="166" t="str">
        <f ca="1">IF($D479&lt;&gt;"Serviço","",
          IF(AUTOEVENTO="manual",$A479,
                IF(ISERROR(MATCH($A479,$A$15:OFFSET($A479,-1,0),0)),MAX($M$15:OFFSET(M479,-1,0))+1,
                      INDEX($M$15:OFFSET(M479,-1,0),MATCH($A479,$A$15:OFFSET($A479,-1,0),0)))))</f>
        <v/>
      </c>
      <c r="N479" s="167" t="str">
        <f ca="1">IF($D479&lt;&gt;"Serviço","",
         IF(AUTOEVENTO="Manual",
                IF($A479=0,"&lt;-- defina o número do agrupador",
                       OFFSET(EVENTOS!$D$15,$A479-$A$15,0)),
                OFFSET($F$15,$A479,0)))</f>
        <v/>
      </c>
      <c r="O479" s="168"/>
      <c r="Q479" s="168"/>
      <c r="R479" s="169"/>
      <c r="S479" s="169"/>
      <c r="T479" s="169"/>
      <c r="U479" s="169"/>
      <c r="V479" s="169"/>
      <c r="W479" s="169"/>
      <c r="X479" s="169"/>
      <c r="Y479" s="169"/>
      <c r="Z479" s="170"/>
      <c r="AA479" s="169"/>
      <c r="AB479" s="169"/>
      <c r="AC479" s="169"/>
      <c r="AD479" s="169"/>
      <c r="AE479" s="169"/>
      <c r="AF479" s="169"/>
      <c r="AG479" s="169"/>
      <c r="AH479" s="170"/>
      <c r="AJ479" s="453">
        <f ca="1">IF(AND($D479="Serviço",AJ$12&lt;&gt;0,$H479&gt;0,OR(AUTOEVENTO&lt;&gt;"manual",$M479&lt;&gt;$A$15)),
        IF(Import.TipoArredondamento&lt;&gt;"TransfereGOV",
              ROUND(OFFSET($P479,0,AJ$13),15-13*ORÇAMENTO!$AF$7)/$H479*OFFSET(ORÇAMENTO!$X$15,ROW(AJ479)-ROW(AJ$15),0),
              ROUND(ROUND(OFFSET($P479,0,AJ$13),15-13*ORÇAMENTO!$AF$7)*OFFSET(ORÇAMENTO!$W$15,ROW(AJ479)-ROW(AJ$15),0),15-13*ORÇAMENTO!$AF$11)),
         0)</f>
        <v>0</v>
      </c>
      <c r="AK479" s="453">
        <f ca="1">IF(AND($D479="Serviço",AK$12&lt;&gt;0,$H479&gt;0,OR(AUTOEVENTO&lt;&gt;"manual",$M479&lt;&gt;$A$15)),
        IF(Import.TipoArredondamento&lt;&gt;"TransfereGOV",
              ROUND(OFFSET($P479,0,AK$13),15-13*ORÇAMENTO!$AF$7)/$H479*OFFSET(ORÇAMENTO!$X$15,ROW(AK479)-ROW(AK$15),0),
              ROUND(ROUND(OFFSET($P479,0,AK$13),15-13*ORÇAMENTO!$AF$7)*OFFSET(ORÇAMENTO!$W$15,ROW(AK479)-ROW(AK$15),0),15-13*ORÇAMENTO!$AF$11)),
         0)</f>
        <v>0</v>
      </c>
      <c r="AL479" s="453">
        <f ca="1">IF(AND($D479="Serviço",AL$12&lt;&gt;0,$H479&gt;0,OR(AUTOEVENTO&lt;&gt;"manual",$M479&lt;&gt;$A$15)),
        IF(Import.TipoArredondamento&lt;&gt;"TransfereGOV",
              ROUND(OFFSET($P479,0,AL$13),15-13*ORÇAMENTO!$AF$7)/$H479*OFFSET(ORÇAMENTO!$X$15,ROW(AL479)-ROW(AL$15),0),
              ROUND(ROUND(OFFSET($P479,0,AL$13),15-13*ORÇAMENTO!$AF$7)*OFFSET(ORÇAMENTO!$W$15,ROW(AL479)-ROW(AL$15),0),15-13*ORÇAMENTO!$AF$11)),
         0)</f>
        <v>0</v>
      </c>
      <c r="AM479" s="453">
        <f ca="1">IF(AND($D479="Serviço",AM$12&lt;&gt;0,$H479&gt;0,OR(AUTOEVENTO&lt;&gt;"manual",$M479&lt;&gt;$A$15)),
        IF(Import.TipoArredondamento&lt;&gt;"TransfereGOV",
              ROUND(OFFSET($P479,0,AM$13),15-13*ORÇAMENTO!$AF$7)/$H479*OFFSET(ORÇAMENTO!$X$15,ROW(AM479)-ROW(AM$15),0),
              ROUND(ROUND(OFFSET($P479,0,AM$13),15-13*ORÇAMENTO!$AF$7)*OFFSET(ORÇAMENTO!$W$15,ROW(AM479)-ROW(AM$15),0),15-13*ORÇAMENTO!$AF$11)),
         0)</f>
        <v>0</v>
      </c>
      <c r="AN479" s="453">
        <f ca="1">IF(AND($D479="Serviço",AN$12&lt;&gt;0,$H479&gt;0,OR(AUTOEVENTO&lt;&gt;"manual",$M479&lt;&gt;$A$15)),
        IF(Import.TipoArredondamento&lt;&gt;"TransfereGOV",
              ROUND(OFFSET($P479,0,AN$13),15-13*ORÇAMENTO!$AF$7)/$H479*OFFSET(ORÇAMENTO!$X$15,ROW(AN479)-ROW(AN$15),0),
              ROUND(ROUND(OFFSET($P479,0,AN$13),15-13*ORÇAMENTO!$AF$7)*OFFSET(ORÇAMENTO!$W$15,ROW(AN479)-ROW(AN$15),0),15-13*ORÇAMENTO!$AF$11)),
         0)</f>
        <v>0</v>
      </c>
      <c r="AO479" s="453">
        <f ca="1">IF(AND($D479="Serviço",AO$12&lt;&gt;0,$H479&gt;0,OR(AUTOEVENTO&lt;&gt;"manual",$M479&lt;&gt;$A$15)),
        IF(Import.TipoArredondamento&lt;&gt;"TransfereGOV",
              ROUND(OFFSET($P479,0,AO$13),15-13*ORÇAMENTO!$AF$7)/$H479*OFFSET(ORÇAMENTO!$X$15,ROW(AO479)-ROW(AO$15),0),
              ROUND(ROUND(OFFSET($P479,0,AO$13),15-13*ORÇAMENTO!$AF$7)*OFFSET(ORÇAMENTO!$W$15,ROW(AO479)-ROW(AO$15),0),15-13*ORÇAMENTO!$AF$11)),
         0)</f>
        <v>0</v>
      </c>
      <c r="AP479" s="453">
        <f ca="1">IF(AND($D479="Serviço",AP$12&lt;&gt;0,$H479&gt;0,OR(AUTOEVENTO&lt;&gt;"manual",$M479&lt;&gt;$A$15)),
        IF(Import.TipoArredondamento&lt;&gt;"TransfereGOV",
              ROUND(OFFSET($P479,0,AP$13),15-13*ORÇAMENTO!$AF$7)/$H479*OFFSET(ORÇAMENTO!$X$15,ROW(AP479)-ROW(AP$15),0),
              ROUND(ROUND(OFFSET($P479,0,AP$13),15-13*ORÇAMENTO!$AF$7)*OFFSET(ORÇAMENTO!$W$15,ROW(AP479)-ROW(AP$15),0),15-13*ORÇAMENTO!$AF$11)),
         0)</f>
        <v>0</v>
      </c>
      <c r="AQ479" s="453">
        <f ca="1">IF(AND($D479="Serviço",AQ$12&lt;&gt;0,$H479&gt;0,OR(AUTOEVENTO&lt;&gt;"manual",$M479&lt;&gt;$A$15)),
        IF(Import.TipoArredondamento&lt;&gt;"TransfereGOV",
              ROUND(OFFSET($P479,0,AQ$13),15-13*ORÇAMENTO!$AF$7)/$H479*OFFSET(ORÇAMENTO!$X$15,ROW(AQ479)-ROW(AQ$15),0),
              ROUND(ROUND(OFFSET($P479,0,AQ$13),15-13*ORÇAMENTO!$AF$7)*OFFSET(ORÇAMENTO!$W$15,ROW(AQ479)-ROW(AQ$15),0),15-13*ORÇAMENTO!$AF$11)),
         0)</f>
        <v>0</v>
      </c>
      <c r="AR479" s="453">
        <f ca="1">IF(AND($D479="Serviço",AR$12&lt;&gt;0,$H479&gt;0,OR(AUTOEVENTO&lt;&gt;"manual",$M479&lt;&gt;$A$15)),
        IF(Import.TipoArredondamento&lt;&gt;"TransfereGOV",
              ROUND(OFFSET($P479,0,AR$13),15-13*ORÇAMENTO!$AF$7)/$H479*OFFSET(ORÇAMENTO!$X$15,ROW(AR479)-ROW(AR$15),0),
              ROUND(ROUND(OFFSET($P479,0,AR$13),15-13*ORÇAMENTO!$AF$7)*OFFSET(ORÇAMENTO!$W$15,ROW(AR479)-ROW(AR$15),0),15-13*ORÇAMENTO!$AF$11)),
         0)</f>
        <v>0</v>
      </c>
      <c r="AS479" s="453">
        <f ca="1">IF(AND($D479="Serviço",AS$12&lt;&gt;0,$H479&gt;0,OR(AUTOEVENTO&lt;&gt;"manual",$M479&lt;&gt;$A$15)),
        IF(Import.TipoArredondamento&lt;&gt;"TransfereGOV",
              ROUND(OFFSET($P479,0,AS$13),15-13*ORÇAMENTO!$AF$7)/$H479*OFFSET(ORÇAMENTO!$X$15,ROW(AS479)-ROW(AS$15),0),
              ROUND(ROUND(OFFSET($P479,0,AS$13),15-13*ORÇAMENTO!$AF$7)*OFFSET(ORÇAMENTO!$W$15,ROW(AS479)-ROW(AS$15),0),15-13*ORÇAMENTO!$AF$11)),
         0)</f>
        <v>0</v>
      </c>
      <c r="AT479" s="453">
        <f ca="1">IF(AND($D479="Serviço",AT$12&lt;&gt;0,$H479&gt;0,OR(AUTOEVENTO&lt;&gt;"manual",$M479&lt;&gt;$A$15)),
        IF(Import.TipoArredondamento&lt;&gt;"TransfereGOV",
              ROUND(OFFSET($P479,0,AT$13),15-13*ORÇAMENTO!$AF$7)/$H479*OFFSET(ORÇAMENTO!$X$15,ROW(AT479)-ROW(AT$15),0),
              ROUND(ROUND(OFFSET($P479,0,AT$13),15-13*ORÇAMENTO!$AF$7)*OFFSET(ORÇAMENTO!$W$15,ROW(AT479)-ROW(AT$15),0),15-13*ORÇAMENTO!$AF$11)),
         0)</f>
        <v>0</v>
      </c>
      <c r="AU479" s="453">
        <f ca="1">IF(AND($D479="Serviço",AU$12&lt;&gt;0,$H479&gt;0,OR(AUTOEVENTO&lt;&gt;"manual",$M479&lt;&gt;$A$15)),
        IF(Import.TipoArredondamento&lt;&gt;"TransfereGOV",
              ROUND(OFFSET($P479,0,AU$13),15-13*ORÇAMENTO!$AF$7)/$H479*OFFSET(ORÇAMENTO!$X$15,ROW(AU479)-ROW(AU$15),0),
              ROUND(ROUND(OFFSET($P479,0,AU$13),15-13*ORÇAMENTO!$AF$7)*OFFSET(ORÇAMENTO!$W$15,ROW(AU479)-ROW(AU$15),0),15-13*ORÇAMENTO!$AF$11)),
         0)</f>
        <v>0</v>
      </c>
      <c r="AV479" s="453">
        <f ca="1">IF(AND($D479="Serviço",AV$12&lt;&gt;0,$H479&gt;0,OR(AUTOEVENTO&lt;&gt;"manual",$M479&lt;&gt;$A$15)),
        IF(Import.TipoArredondamento&lt;&gt;"TransfereGOV",
              ROUND(OFFSET($P479,0,AV$13),15-13*ORÇAMENTO!$AF$7)/$H479*OFFSET(ORÇAMENTO!$X$15,ROW(AV479)-ROW(AV$15),0),
              ROUND(ROUND(OFFSET($P479,0,AV$13),15-13*ORÇAMENTO!$AF$7)*OFFSET(ORÇAMENTO!$W$15,ROW(AV479)-ROW(AV$15),0),15-13*ORÇAMENTO!$AF$11)),
         0)</f>
        <v>0</v>
      </c>
      <c r="AW479" s="453">
        <f ca="1">IF(AND($D479="Serviço",AW$12&lt;&gt;0,$H479&gt;0,OR(AUTOEVENTO&lt;&gt;"manual",$M479&lt;&gt;$A$15)),
        IF(Import.TipoArredondamento&lt;&gt;"TransfereGOV",
              ROUND(OFFSET($P479,0,AW$13),15-13*ORÇAMENTO!$AF$7)/$H479*OFFSET(ORÇAMENTO!$X$15,ROW(AW479)-ROW(AW$15),0),
              ROUND(ROUND(OFFSET($P479,0,AW$13),15-13*ORÇAMENTO!$AF$7)*OFFSET(ORÇAMENTO!$W$15,ROW(AW479)-ROW(AW$15),0),15-13*ORÇAMENTO!$AF$11)),
         0)</f>
        <v>0</v>
      </c>
      <c r="AX479" s="453">
        <f ca="1">IF(AND($D479="Serviço",AX$12&lt;&gt;0,$H479&gt;0,OR(AUTOEVENTO&lt;&gt;"manual",$M479&lt;&gt;$A$15)),
        IF(Import.TipoArredondamento&lt;&gt;"TransfereGOV",
              ROUND(OFFSET($P479,0,AX$13),15-13*ORÇAMENTO!$AF$7)/$H479*OFFSET(ORÇAMENTO!$X$15,ROW(AX479)-ROW(AX$15),0),
              ROUND(ROUND(OFFSET($P479,0,AX$13),15-13*ORÇAMENTO!$AF$7)*OFFSET(ORÇAMENTO!$W$15,ROW(AX479)-ROW(AX$15),0),15-13*ORÇAMENTO!$AF$11)),
         0)</f>
        <v>0</v>
      </c>
      <c r="AY479" s="453">
        <f ca="1">IF(AND($D479="Serviço",AY$12&lt;&gt;0,$H479&gt;0,OR(AUTOEVENTO&lt;&gt;"manual",$M479&lt;&gt;$A$15)),
        IF(Import.TipoArredondamento&lt;&gt;"TransfereGOV",
              ROUND(OFFSET($P479,0,AY$13),15-13*ORÇAMENTO!$AF$7)/$H479*OFFSET(ORÇAMENTO!$X$15,ROW(AY479)-ROW(AY$15),0),
              ROUND(ROUND(OFFSET($P479,0,AY$13),15-13*ORÇAMENTO!$AF$7)*OFFSET(ORÇAMENTO!$W$15,ROW(AY479)-ROW(AY$15),0),15-13*ORÇAMENTO!$AF$11)),
         0)</f>
        <v>0</v>
      </c>
      <c r="AZ479" s="453">
        <f ca="1">IF(AND($D479="Serviço",AZ$12&lt;&gt;0,$H479&gt;0,OR(AUTOEVENTO&lt;&gt;"manual",$M479&lt;&gt;$A$15)),
        IF(Import.TipoArredondamento&lt;&gt;"TransfereGOV",
              ROUND(OFFSET($P479,0,AZ$13),15-13*ORÇAMENTO!$AF$7)/$H479*OFFSET(ORÇAMENTO!$X$15,ROW(AZ479)-ROW(AZ$15),0),
              ROUND(ROUND(OFFSET($P479,0,AZ$13),15-13*ORÇAMENTO!$AF$7)*OFFSET(ORÇAMENTO!$W$15,ROW(AZ479)-ROW(AZ$15),0),15-13*ORÇAMENTO!$AF$11)),
         0)</f>
        <v>0</v>
      </c>
      <c r="BA479" s="453">
        <f ca="1">IF(AND($D479="Serviço",BA$12&lt;&gt;0,$H479&gt;0,OR(AUTOEVENTO&lt;&gt;"manual",$M479&lt;&gt;$A$15)),
        IF(Import.TipoArredondamento&lt;&gt;"TransfereGOV",
              ROUND(OFFSET($P479,0,BA$13),15-13*ORÇAMENTO!$AF$7)/$H479*OFFSET(ORÇAMENTO!$X$15,ROW(BA479)-ROW(BA$15),0),
              ROUND(ROUND(OFFSET($P479,0,BA$13),15-13*ORÇAMENTO!$AF$7)*OFFSET(ORÇAMENTO!$W$15,ROW(BA479)-ROW(BA$15),0),15-13*ORÇAMENTO!$AF$11)),
         0)</f>
        <v>0</v>
      </c>
      <c r="BC479" s="171">
        <f ca="1">IF(OR($D479&lt;&gt;"Serviço",AND(AUTOEVENTO="Manual",$M479=$A$15)),0,
         IF(OFFSET(CRONOPLE!$F$15,$M479-$A$15,BC$13)=0,10^12,OFFSET(CRONOPLE!$F$15,$M479-$A$15,BC$13)))</f>
        <v>0</v>
      </c>
      <c r="BD479" s="171">
        <f ca="1">IF(OR($D479&lt;&gt;"Serviço",AND(AUTOEVENTO="Manual",$M479=$A$15)),0,
         IF(OFFSET(CRONOPLE!$F$15,$M479-$A$15,BD$13)=0,10^12,OFFSET(CRONOPLE!$F$15,$M479-$A$15,BD$13)))</f>
        <v>0</v>
      </c>
      <c r="BE479" s="171">
        <f ca="1">IF(OR($D479&lt;&gt;"Serviço",AND(AUTOEVENTO="Manual",$M479=$A$15)),0,
         IF(OFFSET(CRONOPLE!$F$15,$M479-$A$15,BE$13)=0,10^12,OFFSET(CRONOPLE!$F$15,$M479-$A$15,BE$13)))</f>
        <v>0</v>
      </c>
      <c r="BF479" s="171">
        <f ca="1">IF(OR($D479&lt;&gt;"Serviço",AND(AUTOEVENTO="Manual",$M479=$A$15)),0,
         IF(OFFSET(CRONOPLE!$F$15,$M479-$A$15,BF$13)=0,10^12,OFFSET(CRONOPLE!$F$15,$M479-$A$15,BF$13)))</f>
        <v>0</v>
      </c>
      <c r="BG479" s="171">
        <f ca="1">IF(OR($D479&lt;&gt;"Serviço",AND(AUTOEVENTO="Manual",$M479=$A$15)),0,
         IF(OFFSET(CRONOPLE!$F$15,$M479-$A$15,BG$13)=0,10^12,OFFSET(CRONOPLE!$F$15,$M479-$A$15,BG$13)))</f>
        <v>0</v>
      </c>
      <c r="BH479" s="171">
        <f ca="1">IF(OR($D479&lt;&gt;"Serviço",AND(AUTOEVENTO="Manual",$M479=$A$15)),0,
         IF(OFFSET(CRONOPLE!$F$15,$M479-$A$15,BH$13)=0,10^12,OFFSET(CRONOPLE!$F$15,$M479-$A$15,BH$13)))</f>
        <v>0</v>
      </c>
      <c r="BI479" s="171">
        <f ca="1">IF(OR($D479&lt;&gt;"Serviço",AND(AUTOEVENTO="Manual",$M479=$A$15)),0,
         IF(OFFSET(CRONOPLE!$F$15,$M479-$A$15,BI$13)=0,10^12,OFFSET(CRONOPLE!$F$15,$M479-$A$15,BI$13)))</f>
        <v>0</v>
      </c>
      <c r="BJ479" s="171">
        <f ca="1">IF(OR($D479&lt;&gt;"Serviço",AND(AUTOEVENTO="Manual",$M479=$A$15)),0,
         IF(OFFSET(CRONOPLE!$F$15,$M479-$A$15,BJ$13)=0,10^12,OFFSET(CRONOPLE!$F$15,$M479-$A$15,BJ$13)))</f>
        <v>0</v>
      </c>
      <c r="BK479" s="171">
        <f ca="1">IF(OR($D479&lt;&gt;"Serviço",AND(AUTOEVENTO="Manual",$M479=$A$15)),0,
         IF(OFFSET(CRONOPLE!$F$15,$M479-$A$15,BK$13)=0,10^12,OFFSET(CRONOPLE!$F$15,$M479-$A$15,BK$13)))</f>
        <v>0</v>
      </c>
      <c r="BL479" s="171">
        <f ca="1">IF(OR($D479&lt;&gt;"Serviço",AND(AUTOEVENTO="Manual",$M479=$A$15)),0,
         IF(OFFSET(CRONOPLE!$F$15,$M479-$A$15,BL$13)=0,10^12,OFFSET(CRONOPLE!$F$15,$M479-$A$15,BL$13)))</f>
        <v>0</v>
      </c>
      <c r="BM479" s="171">
        <f ca="1">IF(OR($D479&lt;&gt;"Serviço",AND(AUTOEVENTO="Manual",$M479=$A$15)),0,
         IF(OFFSET(CRONOPLE!$F$15,$M479-$A$15,BM$13)=0,10^12,OFFSET(CRONOPLE!$F$15,$M479-$A$15,BM$13)))</f>
        <v>0</v>
      </c>
      <c r="BN479" s="171">
        <f ca="1">IF(OR($D479&lt;&gt;"Serviço",AND(AUTOEVENTO="Manual",$M479=$A$15)),0,
         IF(OFFSET(CRONOPLE!$F$15,$M479-$A$15,BN$13)=0,10^12,OFFSET(CRONOPLE!$F$15,$M479-$A$15,BN$13)))</f>
        <v>0</v>
      </c>
      <c r="BO479" s="171">
        <f ca="1">IF(OR($D479&lt;&gt;"Serviço",AND(AUTOEVENTO="Manual",$M479=$A$15)),0,
         IF(OFFSET(CRONOPLE!$F$15,$M479-$A$15,BO$13)=0,10^12,OFFSET(CRONOPLE!$F$15,$M479-$A$15,BO$13)))</f>
        <v>0</v>
      </c>
      <c r="BP479" s="171">
        <f ca="1">IF(OR($D479&lt;&gt;"Serviço",AND(AUTOEVENTO="Manual",$M479=$A$15)),0,
         IF(OFFSET(CRONOPLE!$F$15,$M479-$A$15,BP$13)=0,10^12,OFFSET(CRONOPLE!$F$15,$M479-$A$15,BP$13)))</f>
        <v>0</v>
      </c>
      <c r="BQ479" s="171">
        <f ca="1">IF(OR($D479&lt;&gt;"Serviço",AND(AUTOEVENTO="Manual",$M479=$A$15)),0,
         IF(OFFSET(CRONOPLE!$F$15,$M479-$A$15,BQ$13)=0,10^12,OFFSET(CRONOPLE!$F$15,$M479-$A$15,BQ$13)))</f>
        <v>0</v>
      </c>
      <c r="BR479" s="171">
        <f ca="1">IF(OR($D479&lt;&gt;"Serviço",AND(AUTOEVENTO="Manual",$M479=$A$15)),0,
         IF(OFFSET(CRONOPLE!$F$15,$M479-$A$15,BR$13)=0,10^12,OFFSET(CRONOPLE!$F$15,$M479-$A$15,BR$13)))</f>
        <v>0</v>
      </c>
      <c r="BS479" s="171">
        <f ca="1">IF(OR($D479&lt;&gt;"Serviço",AND(AUTOEVENTO="Manual",$M479=$A$15)),0,
         IF(OFFSET(CRONOPLE!$F$15,$M479-$A$15,BS$13)=0,10^12,OFFSET(CRONOPLE!$F$15,$M479-$A$15,BS$13)))</f>
        <v>0</v>
      </c>
      <c r="BT479" s="171">
        <f ca="1">IF(OR($D479&lt;&gt;"Serviço",AND(AUTOEVENTO="Manual",$M479=$A$15)),0,
         IF(OFFSET(CRONOPLE!$F$15,$M479-$A$15,BT$13)=0,10^12,OFFSET(CRONOPLE!$F$15,$M479-$A$15,BT$13)))</f>
        <v>0</v>
      </c>
      <c r="BV479" s="172">
        <f ca="1">IF(OR($D479&lt;&gt;"Serviço",AND(AUTOEVENTO="Manual",$M479=$A$15),$M479&gt;(ROW(PLE.lastrow)-ROW(PLE.firstrow))),0,
           IF(OFFSET(PLE!$G$15,$M479-$A$15,BV$13)="",10^12,OFFSET(PLE!$G$15,$M479-$A$15,BV$13)))</f>
        <v>0</v>
      </c>
      <c r="BW479" s="172">
        <f ca="1">IF(OR($D479&lt;&gt;"Serviço",AND(AUTOEVENTO="Manual",$M479=$A$15),$M479&gt;(ROW(PLE.lastrow)-ROW(PLE.firstrow))),0,
           IF(OFFSET(PLE!$G$15,$M479-$A$15,BW$13)="",10^12,OFFSET(PLE!$G$15,$M479-$A$15,BW$13)))</f>
        <v>0</v>
      </c>
      <c r="BX479" s="172">
        <f ca="1">IF(OR($D479&lt;&gt;"Serviço",AND(AUTOEVENTO="Manual",$M479=$A$15),$M479&gt;(ROW(PLE.lastrow)-ROW(PLE.firstrow))),0,
           IF(OFFSET(PLE!$G$15,$M479-$A$15,BX$13)="",10^12,OFFSET(PLE!$G$15,$M479-$A$15,BX$13)))</f>
        <v>0</v>
      </c>
      <c r="BY479" s="172">
        <f ca="1">IF(OR($D479&lt;&gt;"Serviço",AND(AUTOEVENTO="Manual",$M479=$A$15),$M479&gt;(ROW(PLE.lastrow)-ROW(PLE.firstrow))),0,
           IF(OFFSET(PLE!$G$15,$M479-$A$15,BY$13)="",10^12,OFFSET(PLE!$G$15,$M479-$A$15,BY$13)))</f>
        <v>0</v>
      </c>
      <c r="BZ479" s="172">
        <f ca="1">IF(OR($D479&lt;&gt;"Serviço",AND(AUTOEVENTO="Manual",$M479=$A$15),$M479&gt;(ROW(PLE.lastrow)-ROW(PLE.firstrow))),0,
           IF(OFFSET(PLE!$G$15,$M479-$A$15,BZ$13)="",10^12,OFFSET(PLE!$G$15,$M479-$A$15,BZ$13)))</f>
        <v>0</v>
      </c>
      <c r="CA479" s="172">
        <f ca="1">IF(OR($D479&lt;&gt;"Serviço",AND(AUTOEVENTO="Manual",$M479=$A$15),$M479&gt;(ROW(PLE.lastrow)-ROW(PLE.firstrow))),0,
           IF(OFFSET(PLE!$G$15,$M479-$A$15,CA$13)="",10^12,OFFSET(PLE!$G$15,$M479-$A$15,CA$13)))</f>
        <v>0</v>
      </c>
      <c r="CB479" s="172">
        <f ca="1">IF(OR($D479&lt;&gt;"Serviço",AND(AUTOEVENTO="Manual",$M479=$A$15),$M479&gt;(ROW(PLE.lastrow)-ROW(PLE.firstrow))),0,
           IF(OFFSET(PLE!$G$15,$M479-$A$15,CB$13)="",10^12,OFFSET(PLE!$G$15,$M479-$A$15,CB$13)))</f>
        <v>0</v>
      </c>
      <c r="CC479" s="172">
        <f ca="1">IF(OR($D479&lt;&gt;"Serviço",AND(AUTOEVENTO="Manual",$M479=$A$15),$M479&gt;(ROW(PLE.lastrow)-ROW(PLE.firstrow))),0,
           IF(OFFSET(PLE!$G$15,$M479-$A$15,CC$13)="",10^12,OFFSET(PLE!$G$15,$M479-$A$15,CC$13)))</f>
        <v>0</v>
      </c>
      <c r="CD479" s="172">
        <f ca="1">IF(OR($D479&lt;&gt;"Serviço",AND(AUTOEVENTO="Manual",$M479=$A$15),$M479&gt;(ROW(PLE.lastrow)-ROW(PLE.firstrow))),0,
           IF(OFFSET(PLE!$G$15,$M479-$A$15,CD$13)="",10^12,OFFSET(PLE!$G$15,$M479-$A$15,CD$13)))</f>
        <v>0</v>
      </c>
      <c r="CE479" s="172">
        <f ca="1">IF(OR($D479&lt;&gt;"Serviço",AND(AUTOEVENTO="Manual",$M479=$A$15),$M479&gt;(ROW(PLE.lastrow)-ROW(PLE.firstrow))),0,
           IF(OFFSET(PLE!$G$15,$M479-$A$15,CE$13)="",10^12,OFFSET(PLE!$G$15,$M479-$A$15,CE$13)))</f>
        <v>0</v>
      </c>
      <c r="CF479" s="172">
        <f ca="1">IF(OR($D479&lt;&gt;"Serviço",AND(AUTOEVENTO="Manual",$M479=$A$15),$M479&gt;(ROW(PLE.lastrow)-ROW(PLE.firstrow))),0,
           IF(OFFSET(PLE!$G$15,$M479-$A$15,CF$13)="",10^12,OFFSET(PLE!$G$15,$M479-$A$15,CF$13)))</f>
        <v>0</v>
      </c>
      <c r="CG479" s="172">
        <f ca="1">IF(OR($D479&lt;&gt;"Serviço",AND(AUTOEVENTO="Manual",$M479=$A$15),$M479&gt;(ROW(PLE.lastrow)-ROW(PLE.firstrow))),0,
           IF(OFFSET(PLE!$G$15,$M479-$A$15,CG$13)="",10^12,OFFSET(PLE!$G$15,$M479-$A$15,CG$13)))</f>
        <v>0</v>
      </c>
      <c r="CH479" s="172">
        <f ca="1">IF(OR($D479&lt;&gt;"Serviço",AND(AUTOEVENTO="Manual",$M479=$A$15),$M479&gt;(ROW(PLE.lastrow)-ROW(PLE.firstrow))),0,
           IF(OFFSET(PLE!$G$15,$M479-$A$15,CH$13)="",10^12,OFFSET(PLE!$G$15,$M479-$A$15,CH$13)))</f>
        <v>0</v>
      </c>
      <c r="CI479" s="172">
        <f ca="1">IF(OR($D479&lt;&gt;"Serviço",AND(AUTOEVENTO="Manual",$M479=$A$15),$M479&gt;(ROW(PLE.lastrow)-ROW(PLE.firstrow))),0,
           IF(OFFSET(PLE!$G$15,$M479-$A$15,CI$13)="",10^12,OFFSET(PLE!$G$15,$M479-$A$15,CI$13)))</f>
        <v>0</v>
      </c>
      <c r="CJ479" s="172">
        <f ca="1">IF(OR($D479&lt;&gt;"Serviço",AND(AUTOEVENTO="Manual",$M479=$A$15),$M479&gt;(ROW(PLE.lastrow)-ROW(PLE.firstrow))),0,
           IF(OFFSET(PLE!$G$15,$M479-$A$15,CJ$13)="",10^12,OFFSET(PLE!$G$15,$M479-$A$15,CJ$13)))</f>
        <v>0</v>
      </c>
      <c r="CK479" s="172">
        <f ca="1">IF(OR($D479&lt;&gt;"Serviço",AND(AUTOEVENTO="Manual",$M479=$A$15),$M479&gt;(ROW(PLE.lastrow)-ROW(PLE.firstrow))),0,
           IF(OFFSET(PLE!$G$15,$M479-$A$15,CK$13)="",10^12,OFFSET(PLE!$G$15,$M479-$A$15,CK$13)))</f>
        <v>0</v>
      </c>
      <c r="CL479" s="172">
        <f ca="1">IF(OR($D479&lt;&gt;"Serviço",AND(AUTOEVENTO="Manual",$M479=$A$15),$M479&gt;(ROW(PLE.lastrow)-ROW(PLE.firstrow))),0,
           IF(OFFSET(PLE!$G$15,$M479-$A$15,CL$13)="",10^12,OFFSET(PLE!$G$15,$M479-$A$15,CL$13)))</f>
        <v>0</v>
      </c>
      <c r="CM479" s="172">
        <f ca="1">IF(OR($D479&lt;&gt;"Serviço",AND(AUTOEVENTO="Manual",$M479=$A$15),$M479&gt;(ROW(PLE.lastrow)-ROW(PLE.firstrow))),0,
           IF(OFFSET(PLE!$G$15,$M479-$A$15,CM$13)="",10^12,OFFSET(PLE!$G$15,$M479-$A$15,CM$13)))</f>
        <v>0</v>
      </c>
    </row>
    <row r="480" spans="1:91" ht="12.75" x14ac:dyDescent="0.2">
      <c r="A480" s="7">
        <f t="shared" ca="1" si="17"/>
        <v>0</v>
      </c>
      <c r="B480" s="7">
        <f ca="1">OFFSET(ORÇAMENTO!C$15,ROW(B480)-ROW(B$15),0)</f>
        <v>3</v>
      </c>
      <c r="C480" s="7" t="str">
        <f ca="1">OFFSET(ORÇAMENTO!L$15,ROW(C480)-ROW(C$15),0)</f>
        <v>F</v>
      </c>
      <c r="D480" s="116" t="str">
        <f ca="1">OFFSET(ORÇAMENTO!N$15,ROW(D480)-ROW(D$15),0)</f>
        <v>Nível 3</v>
      </c>
      <c r="E480" s="117" t="str">
        <f ca="1">OFFSET(ORÇAMENTO!O$15,ROW(E480)-ROW(E$15),0)</f>
        <v>1.10.1.</v>
      </c>
      <c r="F480" s="163" t="str">
        <f ca="1">OFFSET(ORÇAMENTO!R$15,ROW(F480)-ROW(F$15),0)</f>
        <v>ANDAIME FACHADEIRO</v>
      </c>
      <c r="G480" s="164" t="str">
        <f ca="1">IF($D480&lt;&gt;"Serviço","",OFFSET(ORÇAMENTO!S$15,ROW(G480)-ROW(G$15),0))</f>
        <v/>
      </c>
      <c r="H480" s="122" cm="1">
        <f t="array" aca="1" ref="H480" ca="1">IF($D480&lt;&gt;"Serviço",0,IF(ACOMPANHAMENTO="BM",ROUND(OFFSET(ORÇAMENTO!AJ$15,ROW(H480)-ROW(H$15),0),15-13*ORÇAMENTO!$AF$7),SUMPRODUCT(($Q$1:$AI$1=1)*ROUND($Q480:$AI480,15-13*ORÇAMENTO!$AF$7))))</f>
        <v>0</v>
      </c>
      <c r="I480" s="468"/>
      <c r="J480" s="640" t="str" cm="1">
        <f t="array" aca="1" ref="J480" ca="1">IF(OR(B480&lt;&gt;"S",CÁLCULO.FrentesPreenchidas=0),"",IF(AND(ACOMPANHAMENTO="PLE",AUTOEVENTO="Manual",OR(H480&gt;0,ORÇAMENTO!AC480="QUANT."),OR(K480="",M480=0,N480="")),"►E",IF(AND(ACOMPANHAMENTO="PLE",ORÇAMENTO!AC480="QUANT."),"►Q",IF(AND(ACOMPANHAMENTO="PLE",H480&lt;&gt;SUMPRODUCT(($Q$1:$AI$1=1)*ROUND(Q480:AI480,15))),"►S",IF(AND(COUNTIF($P$11:$AI$11,"▼")=0,H480&gt;0,I480=""),"◄M","")))))</f>
        <v/>
      </c>
      <c r="K480" s="641"/>
      <c r="L480" s="165" t="s">
        <v>764</v>
      </c>
      <c r="M480" s="166" t="str">
        <f ca="1">IF($D480&lt;&gt;"Serviço","",
          IF(AUTOEVENTO="manual",$A480,
                IF(ISERROR(MATCH($A480,$A$15:OFFSET($A480,-1,0),0)),MAX($M$15:OFFSET(M480,-1,0))+1,
                      INDEX($M$15:OFFSET(M480,-1,0),MATCH($A480,$A$15:OFFSET($A480,-1,0),0)))))</f>
        <v/>
      </c>
      <c r="N480" s="167" t="str">
        <f ca="1">IF($D480&lt;&gt;"Serviço","",
         IF(AUTOEVENTO="Manual",
                IF($A480=0,"&lt;-- defina o número do agrupador",
                       OFFSET(EVENTOS!$D$15,$A480-$A$15,0)),
                OFFSET($F$15,$A480,0)))</f>
        <v/>
      </c>
      <c r="O480" s="168"/>
      <c r="Q480" s="168"/>
      <c r="R480" s="169"/>
      <c r="S480" s="169"/>
      <c r="T480" s="169"/>
      <c r="U480" s="169"/>
      <c r="V480" s="169"/>
      <c r="W480" s="169"/>
      <c r="X480" s="169"/>
      <c r="Y480" s="169"/>
      <c r="Z480" s="170"/>
      <c r="AA480" s="169"/>
      <c r="AB480" s="169"/>
      <c r="AC480" s="169"/>
      <c r="AD480" s="169"/>
      <c r="AE480" s="169"/>
      <c r="AF480" s="169"/>
      <c r="AG480" s="169"/>
      <c r="AH480" s="170"/>
      <c r="AJ480" s="453">
        <f ca="1">IF(AND($D480="Serviço",AJ$12&lt;&gt;0,$H480&gt;0,OR(AUTOEVENTO&lt;&gt;"manual",$M480&lt;&gt;$A$15)),
        IF(Import.TipoArredondamento&lt;&gt;"TransfereGOV",
              ROUND(OFFSET($P480,0,AJ$13),15-13*ORÇAMENTO!$AF$7)/$H480*OFFSET(ORÇAMENTO!$X$15,ROW(AJ480)-ROW(AJ$15),0),
              ROUND(ROUND(OFFSET($P480,0,AJ$13),15-13*ORÇAMENTO!$AF$7)*OFFSET(ORÇAMENTO!$W$15,ROW(AJ480)-ROW(AJ$15),0),15-13*ORÇAMENTO!$AF$11)),
         0)</f>
        <v>0</v>
      </c>
      <c r="AK480" s="453">
        <f ca="1">IF(AND($D480="Serviço",AK$12&lt;&gt;0,$H480&gt;0,OR(AUTOEVENTO&lt;&gt;"manual",$M480&lt;&gt;$A$15)),
        IF(Import.TipoArredondamento&lt;&gt;"TransfereGOV",
              ROUND(OFFSET($P480,0,AK$13),15-13*ORÇAMENTO!$AF$7)/$H480*OFFSET(ORÇAMENTO!$X$15,ROW(AK480)-ROW(AK$15),0),
              ROUND(ROUND(OFFSET($P480,0,AK$13),15-13*ORÇAMENTO!$AF$7)*OFFSET(ORÇAMENTO!$W$15,ROW(AK480)-ROW(AK$15),0),15-13*ORÇAMENTO!$AF$11)),
         0)</f>
        <v>0</v>
      </c>
      <c r="AL480" s="453">
        <f ca="1">IF(AND($D480="Serviço",AL$12&lt;&gt;0,$H480&gt;0,OR(AUTOEVENTO&lt;&gt;"manual",$M480&lt;&gt;$A$15)),
        IF(Import.TipoArredondamento&lt;&gt;"TransfereGOV",
              ROUND(OFFSET($P480,0,AL$13),15-13*ORÇAMENTO!$AF$7)/$H480*OFFSET(ORÇAMENTO!$X$15,ROW(AL480)-ROW(AL$15),0),
              ROUND(ROUND(OFFSET($P480,0,AL$13),15-13*ORÇAMENTO!$AF$7)*OFFSET(ORÇAMENTO!$W$15,ROW(AL480)-ROW(AL$15),0),15-13*ORÇAMENTO!$AF$11)),
         0)</f>
        <v>0</v>
      </c>
      <c r="AM480" s="453">
        <f ca="1">IF(AND($D480="Serviço",AM$12&lt;&gt;0,$H480&gt;0,OR(AUTOEVENTO&lt;&gt;"manual",$M480&lt;&gt;$A$15)),
        IF(Import.TipoArredondamento&lt;&gt;"TransfereGOV",
              ROUND(OFFSET($P480,0,AM$13),15-13*ORÇAMENTO!$AF$7)/$H480*OFFSET(ORÇAMENTO!$X$15,ROW(AM480)-ROW(AM$15),0),
              ROUND(ROUND(OFFSET($P480,0,AM$13),15-13*ORÇAMENTO!$AF$7)*OFFSET(ORÇAMENTO!$W$15,ROW(AM480)-ROW(AM$15),0),15-13*ORÇAMENTO!$AF$11)),
         0)</f>
        <v>0</v>
      </c>
      <c r="AN480" s="453">
        <f ca="1">IF(AND($D480="Serviço",AN$12&lt;&gt;0,$H480&gt;0,OR(AUTOEVENTO&lt;&gt;"manual",$M480&lt;&gt;$A$15)),
        IF(Import.TipoArredondamento&lt;&gt;"TransfereGOV",
              ROUND(OFFSET($P480,0,AN$13),15-13*ORÇAMENTO!$AF$7)/$H480*OFFSET(ORÇAMENTO!$X$15,ROW(AN480)-ROW(AN$15),0),
              ROUND(ROUND(OFFSET($P480,0,AN$13),15-13*ORÇAMENTO!$AF$7)*OFFSET(ORÇAMENTO!$W$15,ROW(AN480)-ROW(AN$15),0),15-13*ORÇAMENTO!$AF$11)),
         0)</f>
        <v>0</v>
      </c>
      <c r="AO480" s="453">
        <f ca="1">IF(AND($D480="Serviço",AO$12&lt;&gt;0,$H480&gt;0,OR(AUTOEVENTO&lt;&gt;"manual",$M480&lt;&gt;$A$15)),
        IF(Import.TipoArredondamento&lt;&gt;"TransfereGOV",
              ROUND(OFFSET($P480,0,AO$13),15-13*ORÇAMENTO!$AF$7)/$H480*OFFSET(ORÇAMENTO!$X$15,ROW(AO480)-ROW(AO$15),0),
              ROUND(ROUND(OFFSET($P480,0,AO$13),15-13*ORÇAMENTO!$AF$7)*OFFSET(ORÇAMENTO!$W$15,ROW(AO480)-ROW(AO$15),0),15-13*ORÇAMENTO!$AF$11)),
         0)</f>
        <v>0</v>
      </c>
      <c r="AP480" s="453">
        <f ca="1">IF(AND($D480="Serviço",AP$12&lt;&gt;0,$H480&gt;0,OR(AUTOEVENTO&lt;&gt;"manual",$M480&lt;&gt;$A$15)),
        IF(Import.TipoArredondamento&lt;&gt;"TransfereGOV",
              ROUND(OFFSET($P480,0,AP$13),15-13*ORÇAMENTO!$AF$7)/$H480*OFFSET(ORÇAMENTO!$X$15,ROW(AP480)-ROW(AP$15),0),
              ROUND(ROUND(OFFSET($P480,0,AP$13),15-13*ORÇAMENTO!$AF$7)*OFFSET(ORÇAMENTO!$W$15,ROW(AP480)-ROW(AP$15),0),15-13*ORÇAMENTO!$AF$11)),
         0)</f>
        <v>0</v>
      </c>
      <c r="AQ480" s="453">
        <f ca="1">IF(AND($D480="Serviço",AQ$12&lt;&gt;0,$H480&gt;0,OR(AUTOEVENTO&lt;&gt;"manual",$M480&lt;&gt;$A$15)),
        IF(Import.TipoArredondamento&lt;&gt;"TransfereGOV",
              ROUND(OFFSET($P480,0,AQ$13),15-13*ORÇAMENTO!$AF$7)/$H480*OFFSET(ORÇAMENTO!$X$15,ROW(AQ480)-ROW(AQ$15),0),
              ROUND(ROUND(OFFSET($P480,0,AQ$13),15-13*ORÇAMENTO!$AF$7)*OFFSET(ORÇAMENTO!$W$15,ROW(AQ480)-ROW(AQ$15),0),15-13*ORÇAMENTO!$AF$11)),
         0)</f>
        <v>0</v>
      </c>
      <c r="AR480" s="453">
        <f ca="1">IF(AND($D480="Serviço",AR$12&lt;&gt;0,$H480&gt;0,OR(AUTOEVENTO&lt;&gt;"manual",$M480&lt;&gt;$A$15)),
        IF(Import.TipoArredondamento&lt;&gt;"TransfereGOV",
              ROUND(OFFSET($P480,0,AR$13),15-13*ORÇAMENTO!$AF$7)/$H480*OFFSET(ORÇAMENTO!$X$15,ROW(AR480)-ROW(AR$15),0),
              ROUND(ROUND(OFFSET($P480,0,AR$13),15-13*ORÇAMENTO!$AF$7)*OFFSET(ORÇAMENTO!$W$15,ROW(AR480)-ROW(AR$15),0),15-13*ORÇAMENTO!$AF$11)),
         0)</f>
        <v>0</v>
      </c>
      <c r="AS480" s="453">
        <f ca="1">IF(AND($D480="Serviço",AS$12&lt;&gt;0,$H480&gt;0,OR(AUTOEVENTO&lt;&gt;"manual",$M480&lt;&gt;$A$15)),
        IF(Import.TipoArredondamento&lt;&gt;"TransfereGOV",
              ROUND(OFFSET($P480,0,AS$13),15-13*ORÇAMENTO!$AF$7)/$H480*OFFSET(ORÇAMENTO!$X$15,ROW(AS480)-ROW(AS$15),0),
              ROUND(ROUND(OFFSET($P480,0,AS$13),15-13*ORÇAMENTO!$AF$7)*OFFSET(ORÇAMENTO!$W$15,ROW(AS480)-ROW(AS$15),0),15-13*ORÇAMENTO!$AF$11)),
         0)</f>
        <v>0</v>
      </c>
      <c r="AT480" s="453">
        <f ca="1">IF(AND($D480="Serviço",AT$12&lt;&gt;0,$H480&gt;0,OR(AUTOEVENTO&lt;&gt;"manual",$M480&lt;&gt;$A$15)),
        IF(Import.TipoArredondamento&lt;&gt;"TransfereGOV",
              ROUND(OFFSET($P480,0,AT$13),15-13*ORÇAMENTO!$AF$7)/$H480*OFFSET(ORÇAMENTO!$X$15,ROW(AT480)-ROW(AT$15),0),
              ROUND(ROUND(OFFSET($P480,0,AT$13),15-13*ORÇAMENTO!$AF$7)*OFFSET(ORÇAMENTO!$W$15,ROW(AT480)-ROW(AT$15),0),15-13*ORÇAMENTO!$AF$11)),
         0)</f>
        <v>0</v>
      </c>
      <c r="AU480" s="453">
        <f ca="1">IF(AND($D480="Serviço",AU$12&lt;&gt;0,$H480&gt;0,OR(AUTOEVENTO&lt;&gt;"manual",$M480&lt;&gt;$A$15)),
        IF(Import.TipoArredondamento&lt;&gt;"TransfereGOV",
              ROUND(OFFSET($P480,0,AU$13),15-13*ORÇAMENTO!$AF$7)/$H480*OFFSET(ORÇAMENTO!$X$15,ROW(AU480)-ROW(AU$15),0),
              ROUND(ROUND(OFFSET($P480,0,AU$13),15-13*ORÇAMENTO!$AF$7)*OFFSET(ORÇAMENTO!$W$15,ROW(AU480)-ROW(AU$15),0),15-13*ORÇAMENTO!$AF$11)),
         0)</f>
        <v>0</v>
      </c>
      <c r="AV480" s="453">
        <f ca="1">IF(AND($D480="Serviço",AV$12&lt;&gt;0,$H480&gt;0,OR(AUTOEVENTO&lt;&gt;"manual",$M480&lt;&gt;$A$15)),
        IF(Import.TipoArredondamento&lt;&gt;"TransfereGOV",
              ROUND(OFFSET($P480,0,AV$13),15-13*ORÇAMENTO!$AF$7)/$H480*OFFSET(ORÇAMENTO!$X$15,ROW(AV480)-ROW(AV$15),0),
              ROUND(ROUND(OFFSET($P480,0,AV$13),15-13*ORÇAMENTO!$AF$7)*OFFSET(ORÇAMENTO!$W$15,ROW(AV480)-ROW(AV$15),0),15-13*ORÇAMENTO!$AF$11)),
         0)</f>
        <v>0</v>
      </c>
      <c r="AW480" s="453">
        <f ca="1">IF(AND($D480="Serviço",AW$12&lt;&gt;0,$H480&gt;0,OR(AUTOEVENTO&lt;&gt;"manual",$M480&lt;&gt;$A$15)),
        IF(Import.TipoArredondamento&lt;&gt;"TransfereGOV",
              ROUND(OFFSET($P480,0,AW$13),15-13*ORÇAMENTO!$AF$7)/$H480*OFFSET(ORÇAMENTO!$X$15,ROW(AW480)-ROW(AW$15),0),
              ROUND(ROUND(OFFSET($P480,0,AW$13),15-13*ORÇAMENTO!$AF$7)*OFFSET(ORÇAMENTO!$W$15,ROW(AW480)-ROW(AW$15),0),15-13*ORÇAMENTO!$AF$11)),
         0)</f>
        <v>0</v>
      </c>
      <c r="AX480" s="453">
        <f ca="1">IF(AND($D480="Serviço",AX$12&lt;&gt;0,$H480&gt;0,OR(AUTOEVENTO&lt;&gt;"manual",$M480&lt;&gt;$A$15)),
        IF(Import.TipoArredondamento&lt;&gt;"TransfereGOV",
              ROUND(OFFSET($P480,0,AX$13),15-13*ORÇAMENTO!$AF$7)/$H480*OFFSET(ORÇAMENTO!$X$15,ROW(AX480)-ROW(AX$15),0),
              ROUND(ROUND(OFFSET($P480,0,AX$13),15-13*ORÇAMENTO!$AF$7)*OFFSET(ORÇAMENTO!$W$15,ROW(AX480)-ROW(AX$15),0),15-13*ORÇAMENTO!$AF$11)),
         0)</f>
        <v>0</v>
      </c>
      <c r="AY480" s="453">
        <f ca="1">IF(AND($D480="Serviço",AY$12&lt;&gt;0,$H480&gt;0,OR(AUTOEVENTO&lt;&gt;"manual",$M480&lt;&gt;$A$15)),
        IF(Import.TipoArredondamento&lt;&gt;"TransfereGOV",
              ROUND(OFFSET($P480,0,AY$13),15-13*ORÇAMENTO!$AF$7)/$H480*OFFSET(ORÇAMENTO!$X$15,ROW(AY480)-ROW(AY$15),0),
              ROUND(ROUND(OFFSET($P480,0,AY$13),15-13*ORÇAMENTO!$AF$7)*OFFSET(ORÇAMENTO!$W$15,ROW(AY480)-ROW(AY$15),0),15-13*ORÇAMENTO!$AF$11)),
         0)</f>
        <v>0</v>
      </c>
      <c r="AZ480" s="453">
        <f ca="1">IF(AND($D480="Serviço",AZ$12&lt;&gt;0,$H480&gt;0,OR(AUTOEVENTO&lt;&gt;"manual",$M480&lt;&gt;$A$15)),
        IF(Import.TipoArredondamento&lt;&gt;"TransfereGOV",
              ROUND(OFFSET($P480,0,AZ$13),15-13*ORÇAMENTO!$AF$7)/$H480*OFFSET(ORÇAMENTO!$X$15,ROW(AZ480)-ROW(AZ$15),0),
              ROUND(ROUND(OFFSET($P480,0,AZ$13),15-13*ORÇAMENTO!$AF$7)*OFFSET(ORÇAMENTO!$W$15,ROW(AZ480)-ROW(AZ$15),0),15-13*ORÇAMENTO!$AF$11)),
         0)</f>
        <v>0</v>
      </c>
      <c r="BA480" s="453">
        <f ca="1">IF(AND($D480="Serviço",BA$12&lt;&gt;0,$H480&gt;0,OR(AUTOEVENTO&lt;&gt;"manual",$M480&lt;&gt;$A$15)),
        IF(Import.TipoArredondamento&lt;&gt;"TransfereGOV",
              ROUND(OFFSET($P480,0,BA$13),15-13*ORÇAMENTO!$AF$7)/$H480*OFFSET(ORÇAMENTO!$X$15,ROW(BA480)-ROW(BA$15),0),
              ROUND(ROUND(OFFSET($P480,0,BA$13),15-13*ORÇAMENTO!$AF$7)*OFFSET(ORÇAMENTO!$W$15,ROW(BA480)-ROW(BA$15),0),15-13*ORÇAMENTO!$AF$11)),
         0)</f>
        <v>0</v>
      </c>
      <c r="BC480" s="171">
        <f ca="1">IF(OR($D480&lt;&gt;"Serviço",AND(AUTOEVENTO="Manual",$M480=$A$15)),0,
         IF(OFFSET(CRONOPLE!$F$15,$M480-$A$15,BC$13)=0,10^12,OFFSET(CRONOPLE!$F$15,$M480-$A$15,BC$13)))</f>
        <v>0</v>
      </c>
      <c r="BD480" s="171">
        <f ca="1">IF(OR($D480&lt;&gt;"Serviço",AND(AUTOEVENTO="Manual",$M480=$A$15)),0,
         IF(OFFSET(CRONOPLE!$F$15,$M480-$A$15,BD$13)=0,10^12,OFFSET(CRONOPLE!$F$15,$M480-$A$15,BD$13)))</f>
        <v>0</v>
      </c>
      <c r="BE480" s="171">
        <f ca="1">IF(OR($D480&lt;&gt;"Serviço",AND(AUTOEVENTO="Manual",$M480=$A$15)),0,
         IF(OFFSET(CRONOPLE!$F$15,$M480-$A$15,BE$13)=0,10^12,OFFSET(CRONOPLE!$F$15,$M480-$A$15,BE$13)))</f>
        <v>0</v>
      </c>
      <c r="BF480" s="171">
        <f ca="1">IF(OR($D480&lt;&gt;"Serviço",AND(AUTOEVENTO="Manual",$M480=$A$15)),0,
         IF(OFFSET(CRONOPLE!$F$15,$M480-$A$15,BF$13)=0,10^12,OFFSET(CRONOPLE!$F$15,$M480-$A$15,BF$13)))</f>
        <v>0</v>
      </c>
      <c r="BG480" s="171">
        <f ca="1">IF(OR($D480&lt;&gt;"Serviço",AND(AUTOEVENTO="Manual",$M480=$A$15)),0,
         IF(OFFSET(CRONOPLE!$F$15,$M480-$A$15,BG$13)=0,10^12,OFFSET(CRONOPLE!$F$15,$M480-$A$15,BG$13)))</f>
        <v>0</v>
      </c>
      <c r="BH480" s="171">
        <f ca="1">IF(OR($D480&lt;&gt;"Serviço",AND(AUTOEVENTO="Manual",$M480=$A$15)),0,
         IF(OFFSET(CRONOPLE!$F$15,$M480-$A$15,BH$13)=0,10^12,OFFSET(CRONOPLE!$F$15,$M480-$A$15,BH$13)))</f>
        <v>0</v>
      </c>
      <c r="BI480" s="171">
        <f ca="1">IF(OR($D480&lt;&gt;"Serviço",AND(AUTOEVENTO="Manual",$M480=$A$15)),0,
         IF(OFFSET(CRONOPLE!$F$15,$M480-$A$15,BI$13)=0,10^12,OFFSET(CRONOPLE!$F$15,$M480-$A$15,BI$13)))</f>
        <v>0</v>
      </c>
      <c r="BJ480" s="171">
        <f ca="1">IF(OR($D480&lt;&gt;"Serviço",AND(AUTOEVENTO="Manual",$M480=$A$15)),0,
         IF(OFFSET(CRONOPLE!$F$15,$M480-$A$15,BJ$13)=0,10^12,OFFSET(CRONOPLE!$F$15,$M480-$A$15,BJ$13)))</f>
        <v>0</v>
      </c>
      <c r="BK480" s="171">
        <f ca="1">IF(OR($D480&lt;&gt;"Serviço",AND(AUTOEVENTO="Manual",$M480=$A$15)),0,
         IF(OFFSET(CRONOPLE!$F$15,$M480-$A$15,BK$13)=0,10^12,OFFSET(CRONOPLE!$F$15,$M480-$A$15,BK$13)))</f>
        <v>0</v>
      </c>
      <c r="BL480" s="171">
        <f ca="1">IF(OR($D480&lt;&gt;"Serviço",AND(AUTOEVENTO="Manual",$M480=$A$15)),0,
         IF(OFFSET(CRONOPLE!$F$15,$M480-$A$15,BL$13)=0,10^12,OFFSET(CRONOPLE!$F$15,$M480-$A$15,BL$13)))</f>
        <v>0</v>
      </c>
      <c r="BM480" s="171">
        <f ca="1">IF(OR($D480&lt;&gt;"Serviço",AND(AUTOEVENTO="Manual",$M480=$A$15)),0,
         IF(OFFSET(CRONOPLE!$F$15,$M480-$A$15,BM$13)=0,10^12,OFFSET(CRONOPLE!$F$15,$M480-$A$15,BM$13)))</f>
        <v>0</v>
      </c>
      <c r="BN480" s="171">
        <f ca="1">IF(OR($D480&lt;&gt;"Serviço",AND(AUTOEVENTO="Manual",$M480=$A$15)),0,
         IF(OFFSET(CRONOPLE!$F$15,$M480-$A$15,BN$13)=0,10^12,OFFSET(CRONOPLE!$F$15,$M480-$A$15,BN$13)))</f>
        <v>0</v>
      </c>
      <c r="BO480" s="171">
        <f ca="1">IF(OR($D480&lt;&gt;"Serviço",AND(AUTOEVENTO="Manual",$M480=$A$15)),0,
         IF(OFFSET(CRONOPLE!$F$15,$M480-$A$15,BO$13)=0,10^12,OFFSET(CRONOPLE!$F$15,$M480-$A$15,BO$13)))</f>
        <v>0</v>
      </c>
      <c r="BP480" s="171">
        <f ca="1">IF(OR($D480&lt;&gt;"Serviço",AND(AUTOEVENTO="Manual",$M480=$A$15)),0,
         IF(OFFSET(CRONOPLE!$F$15,$M480-$A$15,BP$13)=0,10^12,OFFSET(CRONOPLE!$F$15,$M480-$A$15,BP$13)))</f>
        <v>0</v>
      </c>
      <c r="BQ480" s="171">
        <f ca="1">IF(OR($D480&lt;&gt;"Serviço",AND(AUTOEVENTO="Manual",$M480=$A$15)),0,
         IF(OFFSET(CRONOPLE!$F$15,$M480-$A$15,BQ$13)=0,10^12,OFFSET(CRONOPLE!$F$15,$M480-$A$15,BQ$13)))</f>
        <v>0</v>
      </c>
      <c r="BR480" s="171">
        <f ca="1">IF(OR($D480&lt;&gt;"Serviço",AND(AUTOEVENTO="Manual",$M480=$A$15)),0,
         IF(OFFSET(CRONOPLE!$F$15,$M480-$A$15,BR$13)=0,10^12,OFFSET(CRONOPLE!$F$15,$M480-$A$15,BR$13)))</f>
        <v>0</v>
      </c>
      <c r="BS480" s="171">
        <f ca="1">IF(OR($D480&lt;&gt;"Serviço",AND(AUTOEVENTO="Manual",$M480=$A$15)),0,
         IF(OFFSET(CRONOPLE!$F$15,$M480-$A$15,BS$13)=0,10^12,OFFSET(CRONOPLE!$F$15,$M480-$A$15,BS$13)))</f>
        <v>0</v>
      </c>
      <c r="BT480" s="171">
        <f ca="1">IF(OR($D480&lt;&gt;"Serviço",AND(AUTOEVENTO="Manual",$M480=$A$15)),0,
         IF(OFFSET(CRONOPLE!$F$15,$M480-$A$15,BT$13)=0,10^12,OFFSET(CRONOPLE!$F$15,$M480-$A$15,BT$13)))</f>
        <v>0</v>
      </c>
      <c r="BV480" s="172">
        <f ca="1">IF(OR($D480&lt;&gt;"Serviço",AND(AUTOEVENTO="Manual",$M480=$A$15),$M480&gt;(ROW(PLE.lastrow)-ROW(PLE.firstrow))),0,
           IF(OFFSET(PLE!$G$15,$M480-$A$15,BV$13)="",10^12,OFFSET(PLE!$G$15,$M480-$A$15,BV$13)))</f>
        <v>0</v>
      </c>
      <c r="BW480" s="172">
        <f ca="1">IF(OR($D480&lt;&gt;"Serviço",AND(AUTOEVENTO="Manual",$M480=$A$15),$M480&gt;(ROW(PLE.lastrow)-ROW(PLE.firstrow))),0,
           IF(OFFSET(PLE!$G$15,$M480-$A$15,BW$13)="",10^12,OFFSET(PLE!$G$15,$M480-$A$15,BW$13)))</f>
        <v>0</v>
      </c>
      <c r="BX480" s="172">
        <f ca="1">IF(OR($D480&lt;&gt;"Serviço",AND(AUTOEVENTO="Manual",$M480=$A$15),$M480&gt;(ROW(PLE.lastrow)-ROW(PLE.firstrow))),0,
           IF(OFFSET(PLE!$G$15,$M480-$A$15,BX$13)="",10^12,OFFSET(PLE!$G$15,$M480-$A$15,BX$13)))</f>
        <v>0</v>
      </c>
      <c r="BY480" s="172">
        <f ca="1">IF(OR($D480&lt;&gt;"Serviço",AND(AUTOEVENTO="Manual",$M480=$A$15),$M480&gt;(ROW(PLE.lastrow)-ROW(PLE.firstrow))),0,
           IF(OFFSET(PLE!$G$15,$M480-$A$15,BY$13)="",10^12,OFFSET(PLE!$G$15,$M480-$A$15,BY$13)))</f>
        <v>0</v>
      </c>
      <c r="BZ480" s="172">
        <f ca="1">IF(OR($D480&lt;&gt;"Serviço",AND(AUTOEVENTO="Manual",$M480=$A$15),$M480&gt;(ROW(PLE.lastrow)-ROW(PLE.firstrow))),0,
           IF(OFFSET(PLE!$G$15,$M480-$A$15,BZ$13)="",10^12,OFFSET(PLE!$G$15,$M480-$A$15,BZ$13)))</f>
        <v>0</v>
      </c>
      <c r="CA480" s="172">
        <f ca="1">IF(OR($D480&lt;&gt;"Serviço",AND(AUTOEVENTO="Manual",$M480=$A$15),$M480&gt;(ROW(PLE.lastrow)-ROW(PLE.firstrow))),0,
           IF(OFFSET(PLE!$G$15,$M480-$A$15,CA$13)="",10^12,OFFSET(PLE!$G$15,$M480-$A$15,CA$13)))</f>
        <v>0</v>
      </c>
      <c r="CB480" s="172">
        <f ca="1">IF(OR($D480&lt;&gt;"Serviço",AND(AUTOEVENTO="Manual",$M480=$A$15),$M480&gt;(ROW(PLE.lastrow)-ROW(PLE.firstrow))),0,
           IF(OFFSET(PLE!$G$15,$M480-$A$15,CB$13)="",10^12,OFFSET(PLE!$G$15,$M480-$A$15,CB$13)))</f>
        <v>0</v>
      </c>
      <c r="CC480" s="172">
        <f ca="1">IF(OR($D480&lt;&gt;"Serviço",AND(AUTOEVENTO="Manual",$M480=$A$15),$M480&gt;(ROW(PLE.lastrow)-ROW(PLE.firstrow))),0,
           IF(OFFSET(PLE!$G$15,$M480-$A$15,CC$13)="",10^12,OFFSET(PLE!$G$15,$M480-$A$15,CC$13)))</f>
        <v>0</v>
      </c>
      <c r="CD480" s="172">
        <f ca="1">IF(OR($D480&lt;&gt;"Serviço",AND(AUTOEVENTO="Manual",$M480=$A$15),$M480&gt;(ROW(PLE.lastrow)-ROW(PLE.firstrow))),0,
           IF(OFFSET(PLE!$G$15,$M480-$A$15,CD$13)="",10^12,OFFSET(PLE!$G$15,$M480-$A$15,CD$13)))</f>
        <v>0</v>
      </c>
      <c r="CE480" s="172">
        <f ca="1">IF(OR($D480&lt;&gt;"Serviço",AND(AUTOEVENTO="Manual",$M480=$A$15),$M480&gt;(ROW(PLE.lastrow)-ROW(PLE.firstrow))),0,
           IF(OFFSET(PLE!$G$15,$M480-$A$15,CE$13)="",10^12,OFFSET(PLE!$G$15,$M480-$A$15,CE$13)))</f>
        <v>0</v>
      </c>
      <c r="CF480" s="172">
        <f ca="1">IF(OR($D480&lt;&gt;"Serviço",AND(AUTOEVENTO="Manual",$M480=$A$15),$M480&gt;(ROW(PLE.lastrow)-ROW(PLE.firstrow))),0,
           IF(OFFSET(PLE!$G$15,$M480-$A$15,CF$13)="",10^12,OFFSET(PLE!$G$15,$M480-$A$15,CF$13)))</f>
        <v>0</v>
      </c>
      <c r="CG480" s="172">
        <f ca="1">IF(OR($D480&lt;&gt;"Serviço",AND(AUTOEVENTO="Manual",$M480=$A$15),$M480&gt;(ROW(PLE.lastrow)-ROW(PLE.firstrow))),0,
           IF(OFFSET(PLE!$G$15,$M480-$A$15,CG$13)="",10^12,OFFSET(PLE!$G$15,$M480-$A$15,CG$13)))</f>
        <v>0</v>
      </c>
      <c r="CH480" s="172">
        <f ca="1">IF(OR($D480&lt;&gt;"Serviço",AND(AUTOEVENTO="Manual",$M480=$A$15),$M480&gt;(ROW(PLE.lastrow)-ROW(PLE.firstrow))),0,
           IF(OFFSET(PLE!$G$15,$M480-$A$15,CH$13)="",10^12,OFFSET(PLE!$G$15,$M480-$A$15,CH$13)))</f>
        <v>0</v>
      </c>
      <c r="CI480" s="172">
        <f ca="1">IF(OR($D480&lt;&gt;"Serviço",AND(AUTOEVENTO="Manual",$M480=$A$15),$M480&gt;(ROW(PLE.lastrow)-ROW(PLE.firstrow))),0,
           IF(OFFSET(PLE!$G$15,$M480-$A$15,CI$13)="",10^12,OFFSET(PLE!$G$15,$M480-$A$15,CI$13)))</f>
        <v>0</v>
      </c>
      <c r="CJ480" s="172">
        <f ca="1">IF(OR($D480&lt;&gt;"Serviço",AND(AUTOEVENTO="Manual",$M480=$A$15),$M480&gt;(ROW(PLE.lastrow)-ROW(PLE.firstrow))),0,
           IF(OFFSET(PLE!$G$15,$M480-$A$15,CJ$13)="",10^12,OFFSET(PLE!$G$15,$M480-$A$15,CJ$13)))</f>
        <v>0</v>
      </c>
      <c r="CK480" s="172">
        <f ca="1">IF(OR($D480&lt;&gt;"Serviço",AND(AUTOEVENTO="Manual",$M480=$A$15),$M480&gt;(ROW(PLE.lastrow)-ROW(PLE.firstrow))),0,
           IF(OFFSET(PLE!$G$15,$M480-$A$15,CK$13)="",10^12,OFFSET(PLE!$G$15,$M480-$A$15,CK$13)))</f>
        <v>0</v>
      </c>
      <c r="CL480" s="172">
        <f ca="1">IF(OR($D480&lt;&gt;"Serviço",AND(AUTOEVENTO="Manual",$M480=$A$15),$M480&gt;(ROW(PLE.lastrow)-ROW(PLE.firstrow))),0,
           IF(OFFSET(PLE!$G$15,$M480-$A$15,CL$13)="",10^12,OFFSET(PLE!$G$15,$M480-$A$15,CL$13)))</f>
        <v>0</v>
      </c>
      <c r="CM480" s="172">
        <f ca="1">IF(OR($D480&lt;&gt;"Serviço",AND(AUTOEVENTO="Manual",$M480=$A$15),$M480&gt;(ROW(PLE.lastrow)-ROW(PLE.firstrow))),0,
           IF(OFFSET(PLE!$G$15,$M480-$A$15,CM$13)="",10^12,OFFSET(PLE!$G$15,$M480-$A$15,CM$13)))</f>
        <v>0</v>
      </c>
    </row>
    <row r="481" spans="1:91" ht="38.25" x14ac:dyDescent="0.2">
      <c r="A481" s="7">
        <f t="shared" ca="1" si="17"/>
        <v>9</v>
      </c>
      <c r="B481" s="7" t="str">
        <f ca="1">OFFSET(ORÇAMENTO!C$15,ROW(B481)-ROW(B$15),0)</f>
        <v>S</v>
      </c>
      <c r="C481" s="7" t="str">
        <f ca="1">OFFSET(ORÇAMENTO!L$15,ROW(C481)-ROW(C$15),0)</f>
        <v>F</v>
      </c>
      <c r="D481" s="116" t="str">
        <f ca="1">OFFSET(ORÇAMENTO!N$15,ROW(D481)-ROW(D$15),0)</f>
        <v>Serviço</v>
      </c>
      <c r="E481" s="117" t="str">
        <f ca="1">OFFSET(ORÇAMENTO!O$15,ROW(E481)-ROW(E$15),0)</f>
        <v>1.10.1.0.1.</v>
      </c>
      <c r="F481" s="163" t="str">
        <f ca="1">OFFSET(ORÇAMENTO!R$15,ROW(F481)-ROW(F$15),0)</f>
        <v>FORNECIMENTO DE ANDAIME METÁLICO PARA FACHADA (LOCAÇÃO), INCLUSIVE PISO METÁLICO E SAPATAS, EXCLUSIVE MONTAGEM E DESMONTAGEM</v>
      </c>
      <c r="G481" s="164" t="str">
        <f ca="1">IF($D481&lt;&gt;"Serviço","",OFFSET(ORÇAMENTO!S$15,ROW(G481)-ROW(G$15),0))</f>
        <v>M2</v>
      </c>
      <c r="H481" s="122" cm="1">
        <f t="array" aca="1" ref="H481" ca="1">IF($D481&lt;&gt;"Serviço",0,IF(ACOMPANHAMENTO="BM",ROUND(OFFSET(ORÇAMENTO!AJ$15,ROW(H481)-ROW(H$15),0),15-13*ORÇAMENTO!$AF$7),SUMPRODUCT(($Q$1:$AI$1=1)*ROUND($Q481:$AI481,15-13*ORÇAMENTO!$AF$7))))</f>
        <v>26.4</v>
      </c>
      <c r="I481" s="468" t="s">
        <v>1362</v>
      </c>
      <c r="J481" s="640" t="str" cm="1">
        <f t="array" aca="1" ref="J481" ca="1">IF(OR(B481&lt;&gt;"S",CÁLCULO.FrentesPreenchidas=0),"",IF(AND(ACOMPANHAMENTO="PLE",AUTOEVENTO="Manual",OR(H481&gt;0,ORÇAMENTO!AC481="QUANT."),OR(K481="",M481=0,N481="")),"►E",IF(AND(ACOMPANHAMENTO="PLE",ORÇAMENTO!AC481="QUANT."),"►Q",IF(AND(ACOMPANHAMENTO="PLE",H481&lt;&gt;SUMPRODUCT(($Q$1:$AI$1=1)*ROUND(Q481:AI481,15))),"►S",IF(AND(COUNTIF($P$11:$AI$11,"▼")=0,H481&gt;0,I481=""),"◄M","")))))</f>
        <v/>
      </c>
      <c r="K481" s="641" t="s">
        <v>1393</v>
      </c>
      <c r="L481" s="165" t="s">
        <v>764</v>
      </c>
      <c r="M481" s="166">
        <f ca="1">IF($D481&lt;&gt;"Serviço","",
          IF(AUTOEVENTO="manual",$A481,
                IF(ISERROR(MATCH($A481,$A$15:OFFSET($A481,-1,0),0)),MAX($M$15:OFFSET(M481,-1,0))+1,
                      INDEX($M$15:OFFSET(M481,-1,0),MATCH($A481,$A$15:OFFSET($A481,-1,0),0)))))</f>
        <v>9</v>
      </c>
      <c r="N481" s="167" t="str">
        <f ca="1">IF($D481&lt;&gt;"Serviço","",
         IF(AUTOEVENTO="Manual",
                IF($A481=0,"&lt;-- defina o número do agrupador",
                       OFFSET(EVENTOS!$D$15,$A481-$A$15,0)),
                OFFSET($F$15,$A481,0)))</f>
        <v>Arquitetura</v>
      </c>
      <c r="O481" s="168"/>
      <c r="Q481" s="168"/>
      <c r="R481" s="169"/>
      <c r="S481" s="169"/>
      <c r="T481" s="169"/>
      <c r="U481" s="169"/>
      <c r="V481" s="169"/>
      <c r="W481" s="169"/>
      <c r="X481" s="169"/>
      <c r="Y481" s="169"/>
      <c r="Z481" s="170">
        <f>Z482*1</f>
        <v>26.400000000000002</v>
      </c>
      <c r="AA481" s="169"/>
      <c r="AB481" s="169"/>
      <c r="AC481" s="169"/>
      <c r="AD481" s="169"/>
      <c r="AE481" s="169"/>
      <c r="AF481" s="169"/>
      <c r="AG481" s="169"/>
      <c r="AH481" s="170"/>
      <c r="AJ481" s="453">
        <f ca="1">IF(AND($D481="Serviço",AJ$12&lt;&gt;0,$H481&gt;0,OR(AUTOEVENTO&lt;&gt;"manual",$M481&lt;&gt;$A$15)),
        IF(Import.TipoArredondamento&lt;&gt;"TransfereGOV",
              ROUND(OFFSET($P481,0,AJ$13),15-13*ORÇAMENTO!$AF$7)/$H481*OFFSET(ORÇAMENTO!$X$15,ROW(AJ481)-ROW(AJ$15),0),
              ROUND(ROUND(OFFSET($P481,0,AJ$13),15-13*ORÇAMENTO!$AF$7)*OFFSET(ORÇAMENTO!$W$15,ROW(AJ481)-ROW(AJ$15),0),15-13*ORÇAMENTO!$AF$11)),
         0)</f>
        <v>0</v>
      </c>
      <c r="AK481" s="453">
        <f ca="1">IF(AND($D481="Serviço",AK$12&lt;&gt;0,$H481&gt;0,OR(AUTOEVENTO&lt;&gt;"manual",$M481&lt;&gt;$A$15)),
        IF(Import.TipoArredondamento&lt;&gt;"TransfereGOV",
              ROUND(OFFSET($P481,0,AK$13),15-13*ORÇAMENTO!$AF$7)/$H481*OFFSET(ORÇAMENTO!$X$15,ROW(AK481)-ROW(AK$15),0),
              ROUND(ROUND(OFFSET($P481,0,AK$13),15-13*ORÇAMENTO!$AF$7)*OFFSET(ORÇAMENTO!$W$15,ROW(AK481)-ROW(AK$15),0),15-13*ORÇAMENTO!$AF$11)),
         0)</f>
        <v>0</v>
      </c>
      <c r="AL481" s="453">
        <f ca="1">IF(AND($D481="Serviço",AL$12&lt;&gt;0,$H481&gt;0,OR(AUTOEVENTO&lt;&gt;"manual",$M481&lt;&gt;$A$15)),
        IF(Import.TipoArredondamento&lt;&gt;"TransfereGOV",
              ROUND(OFFSET($P481,0,AL$13),15-13*ORÇAMENTO!$AF$7)/$H481*OFFSET(ORÇAMENTO!$X$15,ROW(AL481)-ROW(AL$15),0),
              ROUND(ROUND(OFFSET($P481,0,AL$13),15-13*ORÇAMENTO!$AF$7)*OFFSET(ORÇAMENTO!$W$15,ROW(AL481)-ROW(AL$15),0),15-13*ORÇAMENTO!$AF$11)),
         0)</f>
        <v>0</v>
      </c>
      <c r="AM481" s="453">
        <f ca="1">IF(AND($D481="Serviço",AM$12&lt;&gt;0,$H481&gt;0,OR(AUTOEVENTO&lt;&gt;"manual",$M481&lt;&gt;$A$15)),
        IF(Import.TipoArredondamento&lt;&gt;"TransfereGOV",
              ROUND(OFFSET($P481,0,AM$13),15-13*ORÇAMENTO!$AF$7)/$H481*OFFSET(ORÇAMENTO!$X$15,ROW(AM481)-ROW(AM$15),0),
              ROUND(ROUND(OFFSET($P481,0,AM$13),15-13*ORÇAMENTO!$AF$7)*OFFSET(ORÇAMENTO!$W$15,ROW(AM481)-ROW(AM$15),0),15-13*ORÇAMENTO!$AF$11)),
         0)</f>
        <v>0</v>
      </c>
      <c r="AN481" s="453">
        <f ca="1">IF(AND($D481="Serviço",AN$12&lt;&gt;0,$H481&gt;0,OR(AUTOEVENTO&lt;&gt;"manual",$M481&lt;&gt;$A$15)),
        IF(Import.TipoArredondamento&lt;&gt;"TransfereGOV",
              ROUND(OFFSET($P481,0,AN$13),15-13*ORÇAMENTO!$AF$7)/$H481*OFFSET(ORÇAMENTO!$X$15,ROW(AN481)-ROW(AN$15),0),
              ROUND(ROUND(OFFSET($P481,0,AN$13),15-13*ORÇAMENTO!$AF$7)*OFFSET(ORÇAMENTO!$W$15,ROW(AN481)-ROW(AN$15),0),15-13*ORÇAMENTO!$AF$11)),
         0)</f>
        <v>0</v>
      </c>
      <c r="AO481" s="453">
        <f ca="1">IF(AND($D481="Serviço",AO$12&lt;&gt;0,$H481&gt;0,OR(AUTOEVENTO&lt;&gt;"manual",$M481&lt;&gt;$A$15)),
        IF(Import.TipoArredondamento&lt;&gt;"TransfereGOV",
              ROUND(OFFSET($P481,0,AO$13),15-13*ORÇAMENTO!$AF$7)/$H481*OFFSET(ORÇAMENTO!$X$15,ROW(AO481)-ROW(AO$15),0),
              ROUND(ROUND(OFFSET($P481,0,AO$13),15-13*ORÇAMENTO!$AF$7)*OFFSET(ORÇAMENTO!$W$15,ROW(AO481)-ROW(AO$15),0),15-13*ORÇAMENTO!$AF$11)),
         0)</f>
        <v>0</v>
      </c>
      <c r="AP481" s="453">
        <f ca="1">IF(AND($D481="Serviço",AP$12&lt;&gt;0,$H481&gt;0,OR(AUTOEVENTO&lt;&gt;"manual",$M481&lt;&gt;$A$15)),
        IF(Import.TipoArredondamento&lt;&gt;"TransfereGOV",
              ROUND(OFFSET($P481,0,AP$13),15-13*ORÇAMENTO!$AF$7)/$H481*OFFSET(ORÇAMENTO!$X$15,ROW(AP481)-ROW(AP$15),0),
              ROUND(ROUND(OFFSET($P481,0,AP$13),15-13*ORÇAMENTO!$AF$7)*OFFSET(ORÇAMENTO!$W$15,ROW(AP481)-ROW(AP$15),0),15-13*ORÇAMENTO!$AF$11)),
         0)</f>
        <v>0</v>
      </c>
      <c r="AQ481" s="453">
        <f ca="1">IF(AND($D481="Serviço",AQ$12&lt;&gt;0,$H481&gt;0,OR(AUTOEVENTO&lt;&gt;"manual",$M481&lt;&gt;$A$15)),
        IF(Import.TipoArredondamento&lt;&gt;"TransfereGOV",
              ROUND(OFFSET($P481,0,AQ$13),15-13*ORÇAMENTO!$AF$7)/$H481*OFFSET(ORÇAMENTO!$X$15,ROW(AQ481)-ROW(AQ$15),0),
              ROUND(ROUND(OFFSET($P481,0,AQ$13),15-13*ORÇAMENTO!$AF$7)*OFFSET(ORÇAMENTO!$W$15,ROW(AQ481)-ROW(AQ$15),0),15-13*ORÇAMENTO!$AF$11)),
         0)</f>
        <v>0</v>
      </c>
      <c r="AR481" s="453">
        <f ca="1">IF(AND($D481="Serviço",AR$12&lt;&gt;0,$H481&gt;0,OR(AUTOEVENTO&lt;&gt;"manual",$M481&lt;&gt;$A$15)),
        IF(Import.TipoArredondamento&lt;&gt;"TransfereGOV",
              ROUND(OFFSET($P481,0,AR$13),15-13*ORÇAMENTO!$AF$7)/$H481*OFFSET(ORÇAMENTO!$X$15,ROW(AR481)-ROW(AR$15),0),
              ROUND(ROUND(OFFSET($P481,0,AR$13),15-13*ORÇAMENTO!$AF$7)*OFFSET(ORÇAMENTO!$W$15,ROW(AR481)-ROW(AR$15),0),15-13*ORÇAMENTO!$AF$11)),
         0)</f>
        <v>0</v>
      </c>
      <c r="AS481" s="453">
        <f ca="1">IF(AND($D481="Serviço",AS$12&lt;&gt;0,$H481&gt;0,OR(AUTOEVENTO&lt;&gt;"manual",$M481&lt;&gt;$A$15)),
        IF(Import.TipoArredondamento&lt;&gt;"TransfereGOV",
              ROUND(OFFSET($P481,0,AS$13),15-13*ORÇAMENTO!$AF$7)/$H481*OFFSET(ORÇAMENTO!$X$15,ROW(AS481)-ROW(AS$15),0),
              ROUND(ROUND(OFFSET($P481,0,AS$13),15-13*ORÇAMENTO!$AF$7)*OFFSET(ORÇAMENTO!$W$15,ROW(AS481)-ROW(AS$15),0),15-13*ORÇAMENTO!$AF$11)),
         0)</f>
        <v>0</v>
      </c>
      <c r="AT481" s="453">
        <f ca="1">IF(AND($D481="Serviço",AT$12&lt;&gt;0,$H481&gt;0,OR(AUTOEVENTO&lt;&gt;"manual",$M481&lt;&gt;$A$15)),
        IF(Import.TipoArredondamento&lt;&gt;"TransfereGOV",
              ROUND(OFFSET($P481,0,AT$13),15-13*ORÇAMENTO!$AF$7)/$H481*OFFSET(ORÇAMENTO!$X$15,ROW(AT481)-ROW(AT$15),0),
              ROUND(ROUND(OFFSET($P481,0,AT$13),15-13*ORÇAMENTO!$AF$7)*OFFSET(ORÇAMENTO!$W$15,ROW(AT481)-ROW(AT$15),0),15-13*ORÇAMENTO!$AF$11)),
         0)</f>
        <v>0</v>
      </c>
      <c r="AU481" s="453">
        <f ca="1">IF(AND($D481="Serviço",AU$12&lt;&gt;0,$H481&gt;0,OR(AUTOEVENTO&lt;&gt;"manual",$M481&lt;&gt;$A$15)),
        IF(Import.TipoArredondamento&lt;&gt;"TransfereGOV",
              ROUND(OFFSET($P481,0,AU$13),15-13*ORÇAMENTO!$AF$7)/$H481*OFFSET(ORÇAMENTO!$X$15,ROW(AU481)-ROW(AU$15),0),
              ROUND(ROUND(OFFSET($P481,0,AU$13),15-13*ORÇAMENTO!$AF$7)*OFFSET(ORÇAMENTO!$W$15,ROW(AU481)-ROW(AU$15),0),15-13*ORÇAMENTO!$AF$11)),
         0)</f>
        <v>0</v>
      </c>
      <c r="AV481" s="453">
        <f ca="1">IF(AND($D481="Serviço",AV$12&lt;&gt;0,$H481&gt;0,OR(AUTOEVENTO&lt;&gt;"manual",$M481&lt;&gt;$A$15)),
        IF(Import.TipoArredondamento&lt;&gt;"TransfereGOV",
              ROUND(OFFSET($P481,0,AV$13),15-13*ORÇAMENTO!$AF$7)/$H481*OFFSET(ORÇAMENTO!$X$15,ROW(AV481)-ROW(AV$15),0),
              ROUND(ROUND(OFFSET($P481,0,AV$13),15-13*ORÇAMENTO!$AF$7)*OFFSET(ORÇAMENTO!$W$15,ROW(AV481)-ROW(AV$15),0),15-13*ORÇAMENTO!$AF$11)),
         0)</f>
        <v>0</v>
      </c>
      <c r="AW481" s="453">
        <f ca="1">IF(AND($D481="Serviço",AW$12&lt;&gt;0,$H481&gt;0,OR(AUTOEVENTO&lt;&gt;"manual",$M481&lt;&gt;$A$15)),
        IF(Import.TipoArredondamento&lt;&gt;"TransfereGOV",
              ROUND(OFFSET($P481,0,AW$13),15-13*ORÇAMENTO!$AF$7)/$H481*OFFSET(ORÇAMENTO!$X$15,ROW(AW481)-ROW(AW$15),0),
              ROUND(ROUND(OFFSET($P481,0,AW$13),15-13*ORÇAMENTO!$AF$7)*OFFSET(ORÇAMENTO!$W$15,ROW(AW481)-ROW(AW$15),0),15-13*ORÇAMENTO!$AF$11)),
         0)</f>
        <v>0</v>
      </c>
      <c r="AX481" s="453">
        <f ca="1">IF(AND($D481="Serviço",AX$12&lt;&gt;0,$H481&gt;0,OR(AUTOEVENTO&lt;&gt;"manual",$M481&lt;&gt;$A$15)),
        IF(Import.TipoArredondamento&lt;&gt;"TransfereGOV",
              ROUND(OFFSET($P481,0,AX$13),15-13*ORÇAMENTO!$AF$7)/$H481*OFFSET(ORÇAMENTO!$X$15,ROW(AX481)-ROW(AX$15),0),
              ROUND(ROUND(OFFSET($P481,0,AX$13),15-13*ORÇAMENTO!$AF$7)*OFFSET(ORÇAMENTO!$W$15,ROW(AX481)-ROW(AX$15),0),15-13*ORÇAMENTO!$AF$11)),
         0)</f>
        <v>0</v>
      </c>
      <c r="AY481" s="453">
        <f ca="1">IF(AND($D481="Serviço",AY$12&lt;&gt;0,$H481&gt;0,OR(AUTOEVENTO&lt;&gt;"manual",$M481&lt;&gt;$A$15)),
        IF(Import.TipoArredondamento&lt;&gt;"TransfereGOV",
              ROUND(OFFSET($P481,0,AY$13),15-13*ORÇAMENTO!$AF$7)/$H481*OFFSET(ORÇAMENTO!$X$15,ROW(AY481)-ROW(AY$15),0),
              ROUND(ROUND(OFFSET($P481,0,AY$13),15-13*ORÇAMENTO!$AF$7)*OFFSET(ORÇAMENTO!$W$15,ROW(AY481)-ROW(AY$15),0),15-13*ORÇAMENTO!$AF$11)),
         0)</f>
        <v>0</v>
      </c>
      <c r="AZ481" s="453">
        <f ca="1">IF(AND($D481="Serviço",AZ$12&lt;&gt;0,$H481&gt;0,OR(AUTOEVENTO&lt;&gt;"manual",$M481&lt;&gt;$A$15)),
        IF(Import.TipoArredondamento&lt;&gt;"TransfereGOV",
              ROUND(OFFSET($P481,0,AZ$13),15-13*ORÇAMENTO!$AF$7)/$H481*OFFSET(ORÇAMENTO!$X$15,ROW(AZ481)-ROW(AZ$15),0),
              ROUND(ROUND(OFFSET($P481,0,AZ$13),15-13*ORÇAMENTO!$AF$7)*OFFSET(ORÇAMENTO!$W$15,ROW(AZ481)-ROW(AZ$15),0),15-13*ORÇAMENTO!$AF$11)),
         0)</f>
        <v>0</v>
      </c>
      <c r="BA481" s="453">
        <f ca="1">IF(AND($D481="Serviço",BA$12&lt;&gt;0,$H481&gt;0,OR(AUTOEVENTO&lt;&gt;"manual",$M481&lt;&gt;$A$15)),
        IF(Import.TipoArredondamento&lt;&gt;"TransfereGOV",
              ROUND(OFFSET($P481,0,BA$13),15-13*ORÇAMENTO!$AF$7)/$H481*OFFSET(ORÇAMENTO!$X$15,ROW(BA481)-ROW(BA$15),0),
              ROUND(ROUND(OFFSET($P481,0,BA$13),15-13*ORÇAMENTO!$AF$7)*OFFSET(ORÇAMENTO!$W$15,ROW(BA481)-ROW(BA$15),0),15-13*ORÇAMENTO!$AF$11)),
         0)</f>
        <v>0</v>
      </c>
      <c r="BC481" s="171">
        <f ca="1">IF(OR($D481&lt;&gt;"Serviço",AND(AUTOEVENTO="Manual",$M481=$A$15)),0,
         IF(OFFSET(CRONOPLE!$F$15,$M481-$A$15,BC$13)=0,10^12,OFFSET(CRONOPLE!$F$15,$M481-$A$15,BC$13)))</f>
        <v>1000000000000</v>
      </c>
      <c r="BD481" s="171">
        <f ca="1">IF(OR($D481&lt;&gt;"Serviço",AND(AUTOEVENTO="Manual",$M481=$A$15)),0,
         IF(OFFSET(CRONOPLE!$F$15,$M481-$A$15,BD$13)=0,10^12,OFFSET(CRONOPLE!$F$15,$M481-$A$15,BD$13)))</f>
        <v>1000000000000</v>
      </c>
      <c r="BE481" s="171">
        <f ca="1">IF(OR($D481&lt;&gt;"Serviço",AND(AUTOEVENTO="Manual",$M481=$A$15)),0,
         IF(OFFSET(CRONOPLE!$F$15,$M481-$A$15,BE$13)=0,10^12,OFFSET(CRONOPLE!$F$15,$M481-$A$15,BE$13)))</f>
        <v>1000000000000</v>
      </c>
      <c r="BF481" s="171">
        <f ca="1">IF(OR($D481&lt;&gt;"Serviço",AND(AUTOEVENTO="Manual",$M481=$A$15)),0,
         IF(OFFSET(CRONOPLE!$F$15,$M481-$A$15,BF$13)=0,10^12,OFFSET(CRONOPLE!$F$15,$M481-$A$15,BF$13)))</f>
        <v>1000000000000</v>
      </c>
      <c r="BG481" s="171">
        <f ca="1">IF(OR($D481&lt;&gt;"Serviço",AND(AUTOEVENTO="Manual",$M481=$A$15)),0,
         IF(OFFSET(CRONOPLE!$F$15,$M481-$A$15,BG$13)=0,10^12,OFFSET(CRONOPLE!$F$15,$M481-$A$15,BG$13)))</f>
        <v>1000000000000</v>
      </c>
      <c r="BH481" s="171">
        <f ca="1">IF(OR($D481&lt;&gt;"Serviço",AND(AUTOEVENTO="Manual",$M481=$A$15)),0,
         IF(OFFSET(CRONOPLE!$F$15,$M481-$A$15,BH$13)=0,10^12,OFFSET(CRONOPLE!$F$15,$M481-$A$15,BH$13)))</f>
        <v>1000000000000</v>
      </c>
      <c r="BI481" s="171">
        <f ca="1">IF(OR($D481&lt;&gt;"Serviço",AND(AUTOEVENTO="Manual",$M481=$A$15)),0,
         IF(OFFSET(CRONOPLE!$F$15,$M481-$A$15,BI$13)=0,10^12,OFFSET(CRONOPLE!$F$15,$M481-$A$15,BI$13)))</f>
        <v>1000000000000</v>
      </c>
      <c r="BJ481" s="171">
        <f ca="1">IF(OR($D481&lt;&gt;"Serviço",AND(AUTOEVENTO="Manual",$M481=$A$15)),0,
         IF(OFFSET(CRONOPLE!$F$15,$M481-$A$15,BJ$13)=0,10^12,OFFSET(CRONOPLE!$F$15,$M481-$A$15,BJ$13)))</f>
        <v>1000000000000</v>
      </c>
      <c r="BK481" s="171">
        <f ca="1">IF(OR($D481&lt;&gt;"Serviço",AND(AUTOEVENTO="Manual",$M481=$A$15)),0,
         IF(OFFSET(CRONOPLE!$F$15,$M481-$A$15,BK$13)=0,10^12,OFFSET(CRONOPLE!$F$15,$M481-$A$15,BK$13)))</f>
        <v>9</v>
      </c>
      <c r="BL481" s="171">
        <f ca="1">IF(OR($D481&lt;&gt;"Serviço",AND(AUTOEVENTO="Manual",$M481=$A$15)),0,
         IF(OFFSET(CRONOPLE!$F$15,$M481-$A$15,BL$13)=0,10^12,OFFSET(CRONOPLE!$F$15,$M481-$A$15,BL$13)))</f>
        <v>10</v>
      </c>
      <c r="BM481" s="171">
        <f ca="1">IF(OR($D481&lt;&gt;"Serviço",AND(AUTOEVENTO="Manual",$M481=$A$15)),0,
         IF(OFFSET(CRONOPLE!$F$15,$M481-$A$15,BM$13)=0,10^12,OFFSET(CRONOPLE!$F$15,$M481-$A$15,BM$13)))</f>
        <v>1000000000000</v>
      </c>
      <c r="BN481" s="171">
        <f ca="1">IF(OR($D481&lt;&gt;"Serviço",AND(AUTOEVENTO="Manual",$M481=$A$15)),0,
         IF(OFFSET(CRONOPLE!$F$15,$M481-$A$15,BN$13)=0,10^12,OFFSET(CRONOPLE!$F$15,$M481-$A$15,BN$13)))</f>
        <v>1000000000000</v>
      </c>
      <c r="BO481" s="171">
        <f ca="1">IF(OR($D481&lt;&gt;"Serviço",AND(AUTOEVENTO="Manual",$M481=$A$15)),0,
         IF(OFFSET(CRONOPLE!$F$15,$M481-$A$15,BO$13)=0,10^12,OFFSET(CRONOPLE!$F$15,$M481-$A$15,BO$13)))</f>
        <v>1000000000000</v>
      </c>
      <c r="BP481" s="171">
        <f ca="1">IF(OR($D481&lt;&gt;"Serviço",AND(AUTOEVENTO="Manual",$M481=$A$15)),0,
         IF(OFFSET(CRONOPLE!$F$15,$M481-$A$15,BP$13)=0,10^12,OFFSET(CRONOPLE!$F$15,$M481-$A$15,BP$13)))</f>
        <v>1000000000000</v>
      </c>
      <c r="BQ481" s="171">
        <f ca="1">IF(OR($D481&lt;&gt;"Serviço",AND(AUTOEVENTO="Manual",$M481=$A$15)),0,
         IF(OFFSET(CRONOPLE!$F$15,$M481-$A$15,BQ$13)=0,10^12,OFFSET(CRONOPLE!$F$15,$M481-$A$15,BQ$13)))</f>
        <v>1000000000000</v>
      </c>
      <c r="BR481" s="171">
        <f ca="1">IF(OR($D481&lt;&gt;"Serviço",AND(AUTOEVENTO="Manual",$M481=$A$15)),0,
         IF(OFFSET(CRONOPLE!$F$15,$M481-$A$15,BR$13)=0,10^12,OFFSET(CRONOPLE!$F$15,$M481-$A$15,BR$13)))</f>
        <v>1000000000000</v>
      </c>
      <c r="BS481" s="171">
        <f ca="1">IF(OR($D481&lt;&gt;"Serviço",AND(AUTOEVENTO="Manual",$M481=$A$15)),0,
         IF(OFFSET(CRONOPLE!$F$15,$M481-$A$15,BS$13)=0,10^12,OFFSET(CRONOPLE!$F$15,$M481-$A$15,BS$13)))</f>
        <v>1000000000000</v>
      </c>
      <c r="BT481" s="171">
        <f ca="1">IF(OR($D481&lt;&gt;"Serviço",AND(AUTOEVENTO="Manual",$M481=$A$15)),0,
         IF(OFFSET(CRONOPLE!$F$15,$M481-$A$15,BT$13)=0,10^12,OFFSET(CRONOPLE!$F$15,$M481-$A$15,BT$13)))</f>
        <v>1000000000000</v>
      </c>
      <c r="BV481" s="172">
        <f ca="1">IF(OR($D481&lt;&gt;"Serviço",AND(AUTOEVENTO="Manual",$M481=$A$15),$M481&gt;(ROW(PLE.lastrow)-ROW(PLE.firstrow))),0,
           IF(OFFSET(PLE!$G$15,$M481-$A$15,BV$13)="",10^12,OFFSET(PLE!$G$15,$M481-$A$15,BV$13)))</f>
        <v>1000000000000</v>
      </c>
      <c r="BW481" s="172">
        <f ca="1">IF(OR($D481&lt;&gt;"Serviço",AND(AUTOEVENTO="Manual",$M481=$A$15),$M481&gt;(ROW(PLE.lastrow)-ROW(PLE.firstrow))),0,
           IF(OFFSET(PLE!$G$15,$M481-$A$15,BW$13)="",10^12,OFFSET(PLE!$G$15,$M481-$A$15,BW$13)))</f>
        <v>1000000000000</v>
      </c>
      <c r="BX481" s="172">
        <f ca="1">IF(OR($D481&lt;&gt;"Serviço",AND(AUTOEVENTO="Manual",$M481=$A$15),$M481&gt;(ROW(PLE.lastrow)-ROW(PLE.firstrow))),0,
           IF(OFFSET(PLE!$G$15,$M481-$A$15,BX$13)="",10^12,OFFSET(PLE!$G$15,$M481-$A$15,BX$13)))</f>
        <v>1000000000000</v>
      </c>
      <c r="BY481" s="172">
        <f ca="1">IF(OR($D481&lt;&gt;"Serviço",AND(AUTOEVENTO="Manual",$M481=$A$15),$M481&gt;(ROW(PLE.lastrow)-ROW(PLE.firstrow))),0,
           IF(OFFSET(PLE!$G$15,$M481-$A$15,BY$13)="",10^12,OFFSET(PLE!$G$15,$M481-$A$15,BY$13)))</f>
        <v>1000000000000</v>
      </c>
      <c r="BZ481" s="172">
        <f ca="1">IF(OR($D481&lt;&gt;"Serviço",AND(AUTOEVENTO="Manual",$M481=$A$15),$M481&gt;(ROW(PLE.lastrow)-ROW(PLE.firstrow))),0,
           IF(OFFSET(PLE!$G$15,$M481-$A$15,BZ$13)="",10^12,OFFSET(PLE!$G$15,$M481-$A$15,BZ$13)))</f>
        <v>1000000000000</v>
      </c>
      <c r="CA481" s="172">
        <f ca="1">IF(OR($D481&lt;&gt;"Serviço",AND(AUTOEVENTO="Manual",$M481=$A$15),$M481&gt;(ROW(PLE.lastrow)-ROW(PLE.firstrow))),0,
           IF(OFFSET(PLE!$G$15,$M481-$A$15,CA$13)="",10^12,OFFSET(PLE!$G$15,$M481-$A$15,CA$13)))</f>
        <v>1000000000000</v>
      </c>
      <c r="CB481" s="172">
        <f ca="1">IF(OR($D481&lt;&gt;"Serviço",AND(AUTOEVENTO="Manual",$M481=$A$15),$M481&gt;(ROW(PLE.lastrow)-ROW(PLE.firstrow))),0,
           IF(OFFSET(PLE!$G$15,$M481-$A$15,CB$13)="",10^12,OFFSET(PLE!$G$15,$M481-$A$15,CB$13)))</f>
        <v>1000000000000</v>
      </c>
      <c r="CC481" s="172">
        <f ca="1">IF(OR($D481&lt;&gt;"Serviço",AND(AUTOEVENTO="Manual",$M481=$A$15),$M481&gt;(ROW(PLE.lastrow)-ROW(PLE.firstrow))),0,
           IF(OFFSET(PLE!$G$15,$M481-$A$15,CC$13)="",10^12,OFFSET(PLE!$G$15,$M481-$A$15,CC$13)))</f>
        <v>1000000000000</v>
      </c>
      <c r="CD481" s="172">
        <f ca="1">IF(OR($D481&lt;&gt;"Serviço",AND(AUTOEVENTO="Manual",$M481=$A$15),$M481&gt;(ROW(PLE.lastrow)-ROW(PLE.firstrow))),0,
           IF(OFFSET(PLE!$G$15,$M481-$A$15,CD$13)="",10^12,OFFSET(PLE!$G$15,$M481-$A$15,CD$13)))</f>
        <v>1000000000000</v>
      </c>
      <c r="CE481" s="172">
        <f ca="1">IF(OR($D481&lt;&gt;"Serviço",AND(AUTOEVENTO="Manual",$M481=$A$15),$M481&gt;(ROW(PLE.lastrow)-ROW(PLE.firstrow))),0,
           IF(OFFSET(PLE!$G$15,$M481-$A$15,CE$13)="",10^12,OFFSET(PLE!$G$15,$M481-$A$15,CE$13)))</f>
        <v>1000000000000</v>
      </c>
      <c r="CF481" s="172">
        <f ca="1">IF(OR($D481&lt;&gt;"Serviço",AND(AUTOEVENTO="Manual",$M481=$A$15),$M481&gt;(ROW(PLE.lastrow)-ROW(PLE.firstrow))),0,
           IF(OFFSET(PLE!$G$15,$M481-$A$15,CF$13)="",10^12,OFFSET(PLE!$G$15,$M481-$A$15,CF$13)))</f>
        <v>1000000000000</v>
      </c>
      <c r="CG481" s="172">
        <f ca="1">IF(OR($D481&lt;&gt;"Serviço",AND(AUTOEVENTO="Manual",$M481=$A$15),$M481&gt;(ROW(PLE.lastrow)-ROW(PLE.firstrow))),0,
           IF(OFFSET(PLE!$G$15,$M481-$A$15,CG$13)="",10^12,OFFSET(PLE!$G$15,$M481-$A$15,CG$13)))</f>
        <v>1000000000000</v>
      </c>
      <c r="CH481" s="172">
        <f ca="1">IF(OR($D481&lt;&gt;"Serviço",AND(AUTOEVENTO="Manual",$M481=$A$15),$M481&gt;(ROW(PLE.lastrow)-ROW(PLE.firstrow))),0,
           IF(OFFSET(PLE!$G$15,$M481-$A$15,CH$13)="",10^12,OFFSET(PLE!$G$15,$M481-$A$15,CH$13)))</f>
        <v>1000000000000</v>
      </c>
      <c r="CI481" s="172">
        <f ca="1">IF(OR($D481&lt;&gt;"Serviço",AND(AUTOEVENTO="Manual",$M481=$A$15),$M481&gt;(ROW(PLE.lastrow)-ROW(PLE.firstrow))),0,
           IF(OFFSET(PLE!$G$15,$M481-$A$15,CI$13)="",10^12,OFFSET(PLE!$G$15,$M481-$A$15,CI$13)))</f>
        <v>1000000000000</v>
      </c>
      <c r="CJ481" s="172">
        <f ca="1">IF(OR($D481&lt;&gt;"Serviço",AND(AUTOEVENTO="Manual",$M481=$A$15),$M481&gt;(ROW(PLE.lastrow)-ROW(PLE.firstrow))),0,
           IF(OFFSET(PLE!$G$15,$M481-$A$15,CJ$13)="",10^12,OFFSET(PLE!$G$15,$M481-$A$15,CJ$13)))</f>
        <v>1000000000000</v>
      </c>
      <c r="CK481" s="172">
        <f ca="1">IF(OR($D481&lt;&gt;"Serviço",AND(AUTOEVENTO="Manual",$M481=$A$15),$M481&gt;(ROW(PLE.lastrow)-ROW(PLE.firstrow))),0,
           IF(OFFSET(PLE!$G$15,$M481-$A$15,CK$13)="",10^12,OFFSET(PLE!$G$15,$M481-$A$15,CK$13)))</f>
        <v>1000000000000</v>
      </c>
      <c r="CL481" s="172">
        <f ca="1">IF(OR($D481&lt;&gt;"Serviço",AND(AUTOEVENTO="Manual",$M481=$A$15),$M481&gt;(ROW(PLE.lastrow)-ROW(PLE.firstrow))),0,
           IF(OFFSET(PLE!$G$15,$M481-$A$15,CL$13)="",10^12,OFFSET(PLE!$G$15,$M481-$A$15,CL$13)))</f>
        <v>1000000000000</v>
      </c>
      <c r="CM481" s="172">
        <f ca="1">IF(OR($D481&lt;&gt;"Serviço",AND(AUTOEVENTO="Manual",$M481=$A$15),$M481&gt;(ROW(PLE.lastrow)-ROW(PLE.firstrow))),0,
           IF(OFFSET(PLE!$G$15,$M481-$A$15,CM$13)="",10^12,OFFSET(PLE!$G$15,$M481-$A$15,CM$13)))</f>
        <v>1000000000000</v>
      </c>
    </row>
    <row r="482" spans="1:91" ht="51" x14ac:dyDescent="0.2">
      <c r="A482" s="7">
        <f t="shared" ca="1" si="17"/>
        <v>9</v>
      </c>
      <c r="B482" s="7" t="str">
        <f ca="1">OFFSET(ORÇAMENTO!C$15,ROW(B482)-ROW(B$15),0)</f>
        <v>S</v>
      </c>
      <c r="C482" s="7" t="str">
        <f ca="1">OFFSET(ORÇAMENTO!L$15,ROW(C482)-ROW(C$15),0)</f>
        <v>F</v>
      </c>
      <c r="D482" s="116" t="str">
        <f ca="1">OFFSET(ORÇAMENTO!N$15,ROW(D482)-ROW(D$15),0)</f>
        <v>Serviço</v>
      </c>
      <c r="E482" s="117" t="str">
        <f ca="1">OFFSET(ORÇAMENTO!O$15,ROW(E482)-ROW(E$15),0)</f>
        <v>1.10.1.0.2.</v>
      </c>
      <c r="F482" s="163" t="str">
        <f ca="1">OFFSET(ORÇAMENTO!R$15,ROW(F482)-ROW(F$15),0)</f>
        <v>MONTAGEM E DESMONTAGEM DE ANDAIME METÁLICO PARA FACHADA COM PISO METÁLICO, INCLUSIVE RODAPÉ/GUARDA-CORPO EM MADEIRA, EXCLUSIVE FORNECIMENTO DO ANDAIME</v>
      </c>
      <c r="G482" s="164" t="str">
        <f ca="1">IF($D482&lt;&gt;"Serviço","",OFFSET(ORÇAMENTO!S$15,ROW(G482)-ROW(G$15),0))</f>
        <v>M2</v>
      </c>
      <c r="H482" s="122" cm="1">
        <f t="array" aca="1" ref="H482" ca="1">IF($D482&lt;&gt;"Serviço",0,IF(ACOMPANHAMENTO="BM",ROUND(OFFSET(ORÇAMENTO!AJ$15,ROW(H482)-ROW(H$15),0),15-13*ORÇAMENTO!$AF$7),SUMPRODUCT(($Q$1:$AI$1=1)*ROUND($Q482:$AI482,15-13*ORÇAMENTO!$AF$7))))</f>
        <v>26.4</v>
      </c>
      <c r="I482" s="468" t="s">
        <v>1363</v>
      </c>
      <c r="J482" s="640" t="str" cm="1">
        <f t="array" aca="1" ref="J482" ca="1">IF(OR(B482&lt;&gt;"S",CÁLCULO.FrentesPreenchidas=0),"",IF(AND(ACOMPANHAMENTO="PLE",AUTOEVENTO="Manual",OR(H482&gt;0,ORÇAMENTO!AC482="QUANT."),OR(K482="",M482=0,N482="")),"►E",IF(AND(ACOMPANHAMENTO="PLE",ORÇAMENTO!AC482="QUANT."),"►Q",IF(AND(ACOMPANHAMENTO="PLE",H482&lt;&gt;SUMPRODUCT(($Q$1:$AI$1=1)*ROUND(Q482:AI482,15))),"►S",IF(AND(COUNTIF($P$11:$AI$11,"▼")=0,H482&gt;0,I482=""),"◄M","")))))</f>
        <v/>
      </c>
      <c r="K482" s="641" t="s">
        <v>1393</v>
      </c>
      <c r="L482" s="165" t="s">
        <v>764</v>
      </c>
      <c r="M482" s="166">
        <f ca="1">IF($D482&lt;&gt;"Serviço","",
          IF(AUTOEVENTO="manual",$A482,
                IF(ISERROR(MATCH($A482,$A$15:OFFSET($A482,-1,0),0)),MAX($M$15:OFFSET(M482,-1,0))+1,
                      INDEX($M$15:OFFSET(M482,-1,0),MATCH($A482,$A$15:OFFSET($A482,-1,0),0)))))</f>
        <v>9</v>
      </c>
      <c r="N482" s="167" t="str">
        <f ca="1">IF($D482&lt;&gt;"Serviço","",
         IF(AUTOEVENTO="Manual",
                IF($A482=0,"&lt;-- defina o número do agrupador",
                       OFFSET(EVENTOS!$D$15,$A482-$A$15,0)),
                OFFSET($F$15,$A482,0)))</f>
        <v>Arquitetura</v>
      </c>
      <c r="O482" s="168"/>
      <c r="Q482" s="168"/>
      <c r="R482" s="169"/>
      <c r="S482" s="169"/>
      <c r="T482" s="169"/>
      <c r="U482" s="169"/>
      <c r="V482" s="169"/>
      <c r="W482" s="169"/>
      <c r="X482" s="169"/>
      <c r="Y482" s="169"/>
      <c r="Z482" s="170">
        <f>2*4.4*3</f>
        <v>26.400000000000002</v>
      </c>
      <c r="AA482" s="169"/>
      <c r="AB482" s="169"/>
      <c r="AC482" s="169"/>
      <c r="AD482" s="169"/>
      <c r="AE482" s="169"/>
      <c r="AF482" s="169"/>
      <c r="AG482" s="169"/>
      <c r="AH482" s="170"/>
      <c r="AJ482" s="453">
        <f ca="1">IF(AND($D482="Serviço",AJ$12&lt;&gt;0,$H482&gt;0,OR(AUTOEVENTO&lt;&gt;"manual",$M482&lt;&gt;$A$15)),
        IF(Import.TipoArredondamento&lt;&gt;"TransfereGOV",
              ROUND(OFFSET($P482,0,AJ$13),15-13*ORÇAMENTO!$AF$7)/$H482*OFFSET(ORÇAMENTO!$X$15,ROW(AJ482)-ROW(AJ$15),0),
              ROUND(ROUND(OFFSET($P482,0,AJ$13),15-13*ORÇAMENTO!$AF$7)*OFFSET(ORÇAMENTO!$W$15,ROW(AJ482)-ROW(AJ$15),0),15-13*ORÇAMENTO!$AF$11)),
         0)</f>
        <v>0</v>
      </c>
      <c r="AK482" s="453">
        <f ca="1">IF(AND($D482="Serviço",AK$12&lt;&gt;0,$H482&gt;0,OR(AUTOEVENTO&lt;&gt;"manual",$M482&lt;&gt;$A$15)),
        IF(Import.TipoArredondamento&lt;&gt;"TransfereGOV",
              ROUND(OFFSET($P482,0,AK$13),15-13*ORÇAMENTO!$AF$7)/$H482*OFFSET(ORÇAMENTO!$X$15,ROW(AK482)-ROW(AK$15),0),
              ROUND(ROUND(OFFSET($P482,0,AK$13),15-13*ORÇAMENTO!$AF$7)*OFFSET(ORÇAMENTO!$W$15,ROW(AK482)-ROW(AK$15),0),15-13*ORÇAMENTO!$AF$11)),
         0)</f>
        <v>0</v>
      </c>
      <c r="AL482" s="453">
        <f ca="1">IF(AND($D482="Serviço",AL$12&lt;&gt;0,$H482&gt;0,OR(AUTOEVENTO&lt;&gt;"manual",$M482&lt;&gt;$A$15)),
        IF(Import.TipoArredondamento&lt;&gt;"TransfereGOV",
              ROUND(OFFSET($P482,0,AL$13),15-13*ORÇAMENTO!$AF$7)/$H482*OFFSET(ORÇAMENTO!$X$15,ROW(AL482)-ROW(AL$15),0),
              ROUND(ROUND(OFFSET($P482,0,AL$13),15-13*ORÇAMENTO!$AF$7)*OFFSET(ORÇAMENTO!$W$15,ROW(AL482)-ROW(AL$15),0),15-13*ORÇAMENTO!$AF$11)),
         0)</f>
        <v>0</v>
      </c>
      <c r="AM482" s="453">
        <f ca="1">IF(AND($D482="Serviço",AM$12&lt;&gt;0,$H482&gt;0,OR(AUTOEVENTO&lt;&gt;"manual",$M482&lt;&gt;$A$15)),
        IF(Import.TipoArredondamento&lt;&gt;"TransfereGOV",
              ROUND(OFFSET($P482,0,AM$13),15-13*ORÇAMENTO!$AF$7)/$H482*OFFSET(ORÇAMENTO!$X$15,ROW(AM482)-ROW(AM$15),0),
              ROUND(ROUND(OFFSET($P482,0,AM$13),15-13*ORÇAMENTO!$AF$7)*OFFSET(ORÇAMENTO!$W$15,ROW(AM482)-ROW(AM$15),0),15-13*ORÇAMENTO!$AF$11)),
         0)</f>
        <v>0</v>
      </c>
      <c r="AN482" s="453">
        <f ca="1">IF(AND($D482="Serviço",AN$12&lt;&gt;0,$H482&gt;0,OR(AUTOEVENTO&lt;&gt;"manual",$M482&lt;&gt;$A$15)),
        IF(Import.TipoArredondamento&lt;&gt;"TransfereGOV",
              ROUND(OFFSET($P482,0,AN$13),15-13*ORÇAMENTO!$AF$7)/$H482*OFFSET(ORÇAMENTO!$X$15,ROW(AN482)-ROW(AN$15),0),
              ROUND(ROUND(OFFSET($P482,0,AN$13),15-13*ORÇAMENTO!$AF$7)*OFFSET(ORÇAMENTO!$W$15,ROW(AN482)-ROW(AN$15),0),15-13*ORÇAMENTO!$AF$11)),
         0)</f>
        <v>0</v>
      </c>
      <c r="AO482" s="453">
        <f ca="1">IF(AND($D482="Serviço",AO$12&lt;&gt;0,$H482&gt;0,OR(AUTOEVENTO&lt;&gt;"manual",$M482&lt;&gt;$A$15)),
        IF(Import.TipoArredondamento&lt;&gt;"TransfereGOV",
              ROUND(OFFSET($P482,0,AO$13),15-13*ORÇAMENTO!$AF$7)/$H482*OFFSET(ORÇAMENTO!$X$15,ROW(AO482)-ROW(AO$15),0),
              ROUND(ROUND(OFFSET($P482,0,AO$13),15-13*ORÇAMENTO!$AF$7)*OFFSET(ORÇAMENTO!$W$15,ROW(AO482)-ROW(AO$15),0),15-13*ORÇAMENTO!$AF$11)),
         0)</f>
        <v>0</v>
      </c>
      <c r="AP482" s="453">
        <f ca="1">IF(AND($D482="Serviço",AP$12&lt;&gt;0,$H482&gt;0,OR(AUTOEVENTO&lt;&gt;"manual",$M482&lt;&gt;$A$15)),
        IF(Import.TipoArredondamento&lt;&gt;"TransfereGOV",
              ROUND(OFFSET($P482,0,AP$13),15-13*ORÇAMENTO!$AF$7)/$H482*OFFSET(ORÇAMENTO!$X$15,ROW(AP482)-ROW(AP$15),0),
              ROUND(ROUND(OFFSET($P482,0,AP$13),15-13*ORÇAMENTO!$AF$7)*OFFSET(ORÇAMENTO!$W$15,ROW(AP482)-ROW(AP$15),0),15-13*ORÇAMENTO!$AF$11)),
         0)</f>
        <v>0</v>
      </c>
      <c r="AQ482" s="453">
        <f ca="1">IF(AND($D482="Serviço",AQ$12&lt;&gt;0,$H482&gt;0,OR(AUTOEVENTO&lt;&gt;"manual",$M482&lt;&gt;$A$15)),
        IF(Import.TipoArredondamento&lt;&gt;"TransfereGOV",
              ROUND(OFFSET($P482,0,AQ$13),15-13*ORÇAMENTO!$AF$7)/$H482*OFFSET(ORÇAMENTO!$X$15,ROW(AQ482)-ROW(AQ$15),0),
              ROUND(ROUND(OFFSET($P482,0,AQ$13),15-13*ORÇAMENTO!$AF$7)*OFFSET(ORÇAMENTO!$W$15,ROW(AQ482)-ROW(AQ$15),0),15-13*ORÇAMENTO!$AF$11)),
         0)</f>
        <v>0</v>
      </c>
      <c r="AR482" s="453">
        <f ca="1">IF(AND($D482="Serviço",AR$12&lt;&gt;0,$H482&gt;0,OR(AUTOEVENTO&lt;&gt;"manual",$M482&lt;&gt;$A$15)),
        IF(Import.TipoArredondamento&lt;&gt;"TransfereGOV",
              ROUND(OFFSET($P482,0,AR$13),15-13*ORÇAMENTO!$AF$7)/$H482*OFFSET(ORÇAMENTO!$X$15,ROW(AR482)-ROW(AR$15),0),
              ROUND(ROUND(OFFSET($P482,0,AR$13),15-13*ORÇAMENTO!$AF$7)*OFFSET(ORÇAMENTO!$W$15,ROW(AR482)-ROW(AR$15),0),15-13*ORÇAMENTO!$AF$11)),
         0)</f>
        <v>0</v>
      </c>
      <c r="AS482" s="453">
        <f ca="1">IF(AND($D482="Serviço",AS$12&lt;&gt;0,$H482&gt;0,OR(AUTOEVENTO&lt;&gt;"manual",$M482&lt;&gt;$A$15)),
        IF(Import.TipoArredondamento&lt;&gt;"TransfereGOV",
              ROUND(OFFSET($P482,0,AS$13),15-13*ORÇAMENTO!$AF$7)/$H482*OFFSET(ORÇAMENTO!$X$15,ROW(AS482)-ROW(AS$15),0),
              ROUND(ROUND(OFFSET($P482,0,AS$13),15-13*ORÇAMENTO!$AF$7)*OFFSET(ORÇAMENTO!$W$15,ROW(AS482)-ROW(AS$15),0),15-13*ORÇAMENTO!$AF$11)),
         0)</f>
        <v>0</v>
      </c>
      <c r="AT482" s="453">
        <f ca="1">IF(AND($D482="Serviço",AT$12&lt;&gt;0,$H482&gt;0,OR(AUTOEVENTO&lt;&gt;"manual",$M482&lt;&gt;$A$15)),
        IF(Import.TipoArredondamento&lt;&gt;"TransfereGOV",
              ROUND(OFFSET($P482,0,AT$13),15-13*ORÇAMENTO!$AF$7)/$H482*OFFSET(ORÇAMENTO!$X$15,ROW(AT482)-ROW(AT$15),0),
              ROUND(ROUND(OFFSET($P482,0,AT$13),15-13*ORÇAMENTO!$AF$7)*OFFSET(ORÇAMENTO!$W$15,ROW(AT482)-ROW(AT$15),0),15-13*ORÇAMENTO!$AF$11)),
         0)</f>
        <v>0</v>
      </c>
      <c r="AU482" s="453">
        <f ca="1">IF(AND($D482="Serviço",AU$12&lt;&gt;0,$H482&gt;0,OR(AUTOEVENTO&lt;&gt;"manual",$M482&lt;&gt;$A$15)),
        IF(Import.TipoArredondamento&lt;&gt;"TransfereGOV",
              ROUND(OFFSET($P482,0,AU$13),15-13*ORÇAMENTO!$AF$7)/$H482*OFFSET(ORÇAMENTO!$X$15,ROW(AU482)-ROW(AU$15),0),
              ROUND(ROUND(OFFSET($P482,0,AU$13),15-13*ORÇAMENTO!$AF$7)*OFFSET(ORÇAMENTO!$W$15,ROW(AU482)-ROW(AU$15),0),15-13*ORÇAMENTO!$AF$11)),
         0)</f>
        <v>0</v>
      </c>
      <c r="AV482" s="453">
        <f ca="1">IF(AND($D482="Serviço",AV$12&lt;&gt;0,$H482&gt;0,OR(AUTOEVENTO&lt;&gt;"manual",$M482&lt;&gt;$A$15)),
        IF(Import.TipoArredondamento&lt;&gt;"TransfereGOV",
              ROUND(OFFSET($P482,0,AV$13),15-13*ORÇAMENTO!$AF$7)/$H482*OFFSET(ORÇAMENTO!$X$15,ROW(AV482)-ROW(AV$15),0),
              ROUND(ROUND(OFFSET($P482,0,AV$13),15-13*ORÇAMENTO!$AF$7)*OFFSET(ORÇAMENTO!$W$15,ROW(AV482)-ROW(AV$15),0),15-13*ORÇAMENTO!$AF$11)),
         0)</f>
        <v>0</v>
      </c>
      <c r="AW482" s="453">
        <f ca="1">IF(AND($D482="Serviço",AW$12&lt;&gt;0,$H482&gt;0,OR(AUTOEVENTO&lt;&gt;"manual",$M482&lt;&gt;$A$15)),
        IF(Import.TipoArredondamento&lt;&gt;"TransfereGOV",
              ROUND(OFFSET($P482,0,AW$13),15-13*ORÇAMENTO!$AF$7)/$H482*OFFSET(ORÇAMENTO!$X$15,ROW(AW482)-ROW(AW$15),0),
              ROUND(ROUND(OFFSET($P482,0,AW$13),15-13*ORÇAMENTO!$AF$7)*OFFSET(ORÇAMENTO!$W$15,ROW(AW482)-ROW(AW$15),0),15-13*ORÇAMENTO!$AF$11)),
         0)</f>
        <v>0</v>
      </c>
      <c r="AX482" s="453">
        <f ca="1">IF(AND($D482="Serviço",AX$12&lt;&gt;0,$H482&gt;0,OR(AUTOEVENTO&lt;&gt;"manual",$M482&lt;&gt;$A$15)),
        IF(Import.TipoArredondamento&lt;&gt;"TransfereGOV",
              ROUND(OFFSET($P482,0,AX$13),15-13*ORÇAMENTO!$AF$7)/$H482*OFFSET(ORÇAMENTO!$X$15,ROW(AX482)-ROW(AX$15),0),
              ROUND(ROUND(OFFSET($P482,0,AX$13),15-13*ORÇAMENTO!$AF$7)*OFFSET(ORÇAMENTO!$W$15,ROW(AX482)-ROW(AX$15),0),15-13*ORÇAMENTO!$AF$11)),
         0)</f>
        <v>0</v>
      </c>
      <c r="AY482" s="453">
        <f ca="1">IF(AND($D482="Serviço",AY$12&lt;&gt;0,$H482&gt;0,OR(AUTOEVENTO&lt;&gt;"manual",$M482&lt;&gt;$A$15)),
        IF(Import.TipoArredondamento&lt;&gt;"TransfereGOV",
              ROUND(OFFSET($P482,0,AY$13),15-13*ORÇAMENTO!$AF$7)/$H482*OFFSET(ORÇAMENTO!$X$15,ROW(AY482)-ROW(AY$15),0),
              ROUND(ROUND(OFFSET($P482,0,AY$13),15-13*ORÇAMENTO!$AF$7)*OFFSET(ORÇAMENTO!$W$15,ROW(AY482)-ROW(AY$15),0),15-13*ORÇAMENTO!$AF$11)),
         0)</f>
        <v>0</v>
      </c>
      <c r="AZ482" s="453">
        <f ca="1">IF(AND($D482="Serviço",AZ$12&lt;&gt;0,$H482&gt;0,OR(AUTOEVENTO&lt;&gt;"manual",$M482&lt;&gt;$A$15)),
        IF(Import.TipoArredondamento&lt;&gt;"TransfereGOV",
              ROUND(OFFSET($P482,0,AZ$13),15-13*ORÇAMENTO!$AF$7)/$H482*OFFSET(ORÇAMENTO!$X$15,ROW(AZ482)-ROW(AZ$15),0),
              ROUND(ROUND(OFFSET($P482,0,AZ$13),15-13*ORÇAMENTO!$AF$7)*OFFSET(ORÇAMENTO!$W$15,ROW(AZ482)-ROW(AZ$15),0),15-13*ORÇAMENTO!$AF$11)),
         0)</f>
        <v>0</v>
      </c>
      <c r="BA482" s="453">
        <f ca="1">IF(AND($D482="Serviço",BA$12&lt;&gt;0,$H482&gt;0,OR(AUTOEVENTO&lt;&gt;"manual",$M482&lt;&gt;$A$15)),
        IF(Import.TipoArredondamento&lt;&gt;"TransfereGOV",
              ROUND(OFFSET($P482,0,BA$13),15-13*ORÇAMENTO!$AF$7)/$H482*OFFSET(ORÇAMENTO!$X$15,ROW(BA482)-ROW(BA$15),0),
              ROUND(ROUND(OFFSET($P482,0,BA$13),15-13*ORÇAMENTO!$AF$7)*OFFSET(ORÇAMENTO!$W$15,ROW(BA482)-ROW(BA$15),0),15-13*ORÇAMENTO!$AF$11)),
         0)</f>
        <v>0</v>
      </c>
      <c r="BC482" s="171">
        <f ca="1">IF(OR($D482&lt;&gt;"Serviço",AND(AUTOEVENTO="Manual",$M482=$A$15)),0,
         IF(OFFSET(CRONOPLE!$F$15,$M482-$A$15,BC$13)=0,10^12,OFFSET(CRONOPLE!$F$15,$M482-$A$15,BC$13)))</f>
        <v>1000000000000</v>
      </c>
      <c r="BD482" s="171">
        <f ca="1">IF(OR($D482&lt;&gt;"Serviço",AND(AUTOEVENTO="Manual",$M482=$A$15)),0,
         IF(OFFSET(CRONOPLE!$F$15,$M482-$A$15,BD$13)=0,10^12,OFFSET(CRONOPLE!$F$15,$M482-$A$15,BD$13)))</f>
        <v>1000000000000</v>
      </c>
      <c r="BE482" s="171">
        <f ca="1">IF(OR($D482&lt;&gt;"Serviço",AND(AUTOEVENTO="Manual",$M482=$A$15)),0,
         IF(OFFSET(CRONOPLE!$F$15,$M482-$A$15,BE$13)=0,10^12,OFFSET(CRONOPLE!$F$15,$M482-$A$15,BE$13)))</f>
        <v>1000000000000</v>
      </c>
      <c r="BF482" s="171">
        <f ca="1">IF(OR($D482&lt;&gt;"Serviço",AND(AUTOEVENTO="Manual",$M482=$A$15)),0,
         IF(OFFSET(CRONOPLE!$F$15,$M482-$A$15,BF$13)=0,10^12,OFFSET(CRONOPLE!$F$15,$M482-$A$15,BF$13)))</f>
        <v>1000000000000</v>
      </c>
      <c r="BG482" s="171">
        <f ca="1">IF(OR($D482&lt;&gt;"Serviço",AND(AUTOEVENTO="Manual",$M482=$A$15)),0,
         IF(OFFSET(CRONOPLE!$F$15,$M482-$A$15,BG$13)=0,10^12,OFFSET(CRONOPLE!$F$15,$M482-$A$15,BG$13)))</f>
        <v>1000000000000</v>
      </c>
      <c r="BH482" s="171">
        <f ca="1">IF(OR($D482&lt;&gt;"Serviço",AND(AUTOEVENTO="Manual",$M482=$A$15)),0,
         IF(OFFSET(CRONOPLE!$F$15,$M482-$A$15,BH$13)=0,10^12,OFFSET(CRONOPLE!$F$15,$M482-$A$15,BH$13)))</f>
        <v>1000000000000</v>
      </c>
      <c r="BI482" s="171">
        <f ca="1">IF(OR($D482&lt;&gt;"Serviço",AND(AUTOEVENTO="Manual",$M482=$A$15)),0,
         IF(OFFSET(CRONOPLE!$F$15,$M482-$A$15,BI$13)=0,10^12,OFFSET(CRONOPLE!$F$15,$M482-$A$15,BI$13)))</f>
        <v>1000000000000</v>
      </c>
      <c r="BJ482" s="171">
        <f ca="1">IF(OR($D482&lt;&gt;"Serviço",AND(AUTOEVENTO="Manual",$M482=$A$15)),0,
         IF(OFFSET(CRONOPLE!$F$15,$M482-$A$15,BJ$13)=0,10^12,OFFSET(CRONOPLE!$F$15,$M482-$A$15,BJ$13)))</f>
        <v>1000000000000</v>
      </c>
      <c r="BK482" s="171">
        <f ca="1">IF(OR($D482&lt;&gt;"Serviço",AND(AUTOEVENTO="Manual",$M482=$A$15)),0,
         IF(OFFSET(CRONOPLE!$F$15,$M482-$A$15,BK$13)=0,10^12,OFFSET(CRONOPLE!$F$15,$M482-$A$15,BK$13)))</f>
        <v>9</v>
      </c>
      <c r="BL482" s="171">
        <f ca="1">IF(OR($D482&lt;&gt;"Serviço",AND(AUTOEVENTO="Manual",$M482=$A$15)),0,
         IF(OFFSET(CRONOPLE!$F$15,$M482-$A$15,BL$13)=0,10^12,OFFSET(CRONOPLE!$F$15,$M482-$A$15,BL$13)))</f>
        <v>10</v>
      </c>
      <c r="BM482" s="171">
        <f ca="1">IF(OR($D482&lt;&gt;"Serviço",AND(AUTOEVENTO="Manual",$M482=$A$15)),0,
         IF(OFFSET(CRONOPLE!$F$15,$M482-$A$15,BM$13)=0,10^12,OFFSET(CRONOPLE!$F$15,$M482-$A$15,BM$13)))</f>
        <v>1000000000000</v>
      </c>
      <c r="BN482" s="171">
        <f ca="1">IF(OR($D482&lt;&gt;"Serviço",AND(AUTOEVENTO="Manual",$M482=$A$15)),0,
         IF(OFFSET(CRONOPLE!$F$15,$M482-$A$15,BN$13)=0,10^12,OFFSET(CRONOPLE!$F$15,$M482-$A$15,BN$13)))</f>
        <v>1000000000000</v>
      </c>
      <c r="BO482" s="171">
        <f ca="1">IF(OR($D482&lt;&gt;"Serviço",AND(AUTOEVENTO="Manual",$M482=$A$15)),0,
         IF(OFFSET(CRONOPLE!$F$15,$M482-$A$15,BO$13)=0,10^12,OFFSET(CRONOPLE!$F$15,$M482-$A$15,BO$13)))</f>
        <v>1000000000000</v>
      </c>
      <c r="BP482" s="171">
        <f ca="1">IF(OR($D482&lt;&gt;"Serviço",AND(AUTOEVENTO="Manual",$M482=$A$15)),0,
         IF(OFFSET(CRONOPLE!$F$15,$M482-$A$15,BP$13)=0,10^12,OFFSET(CRONOPLE!$F$15,$M482-$A$15,BP$13)))</f>
        <v>1000000000000</v>
      </c>
      <c r="BQ482" s="171">
        <f ca="1">IF(OR($D482&lt;&gt;"Serviço",AND(AUTOEVENTO="Manual",$M482=$A$15)),0,
         IF(OFFSET(CRONOPLE!$F$15,$M482-$A$15,BQ$13)=0,10^12,OFFSET(CRONOPLE!$F$15,$M482-$A$15,BQ$13)))</f>
        <v>1000000000000</v>
      </c>
      <c r="BR482" s="171">
        <f ca="1">IF(OR($D482&lt;&gt;"Serviço",AND(AUTOEVENTO="Manual",$M482=$A$15)),0,
         IF(OFFSET(CRONOPLE!$F$15,$M482-$A$15,BR$13)=0,10^12,OFFSET(CRONOPLE!$F$15,$M482-$A$15,BR$13)))</f>
        <v>1000000000000</v>
      </c>
      <c r="BS482" s="171">
        <f ca="1">IF(OR($D482&lt;&gt;"Serviço",AND(AUTOEVENTO="Manual",$M482=$A$15)),0,
         IF(OFFSET(CRONOPLE!$F$15,$M482-$A$15,BS$13)=0,10^12,OFFSET(CRONOPLE!$F$15,$M482-$A$15,BS$13)))</f>
        <v>1000000000000</v>
      </c>
      <c r="BT482" s="171">
        <f ca="1">IF(OR($D482&lt;&gt;"Serviço",AND(AUTOEVENTO="Manual",$M482=$A$15)),0,
         IF(OFFSET(CRONOPLE!$F$15,$M482-$A$15,BT$13)=0,10^12,OFFSET(CRONOPLE!$F$15,$M482-$A$15,BT$13)))</f>
        <v>1000000000000</v>
      </c>
      <c r="BV482" s="172">
        <f ca="1">IF(OR($D482&lt;&gt;"Serviço",AND(AUTOEVENTO="Manual",$M482=$A$15),$M482&gt;(ROW(PLE.lastrow)-ROW(PLE.firstrow))),0,
           IF(OFFSET(PLE!$G$15,$M482-$A$15,BV$13)="",10^12,OFFSET(PLE!$G$15,$M482-$A$15,BV$13)))</f>
        <v>1000000000000</v>
      </c>
      <c r="BW482" s="172">
        <f ca="1">IF(OR($D482&lt;&gt;"Serviço",AND(AUTOEVENTO="Manual",$M482=$A$15),$M482&gt;(ROW(PLE.lastrow)-ROW(PLE.firstrow))),0,
           IF(OFFSET(PLE!$G$15,$M482-$A$15,BW$13)="",10^12,OFFSET(PLE!$G$15,$M482-$A$15,BW$13)))</f>
        <v>1000000000000</v>
      </c>
      <c r="BX482" s="172">
        <f ca="1">IF(OR($D482&lt;&gt;"Serviço",AND(AUTOEVENTO="Manual",$M482=$A$15),$M482&gt;(ROW(PLE.lastrow)-ROW(PLE.firstrow))),0,
           IF(OFFSET(PLE!$G$15,$M482-$A$15,BX$13)="",10^12,OFFSET(PLE!$G$15,$M482-$A$15,BX$13)))</f>
        <v>1000000000000</v>
      </c>
      <c r="BY482" s="172">
        <f ca="1">IF(OR($D482&lt;&gt;"Serviço",AND(AUTOEVENTO="Manual",$M482=$A$15),$M482&gt;(ROW(PLE.lastrow)-ROW(PLE.firstrow))),0,
           IF(OFFSET(PLE!$G$15,$M482-$A$15,BY$13)="",10^12,OFFSET(PLE!$G$15,$M482-$A$15,BY$13)))</f>
        <v>1000000000000</v>
      </c>
      <c r="BZ482" s="172">
        <f ca="1">IF(OR($D482&lt;&gt;"Serviço",AND(AUTOEVENTO="Manual",$M482=$A$15),$M482&gt;(ROW(PLE.lastrow)-ROW(PLE.firstrow))),0,
           IF(OFFSET(PLE!$G$15,$M482-$A$15,BZ$13)="",10^12,OFFSET(PLE!$G$15,$M482-$A$15,BZ$13)))</f>
        <v>1000000000000</v>
      </c>
      <c r="CA482" s="172">
        <f ca="1">IF(OR($D482&lt;&gt;"Serviço",AND(AUTOEVENTO="Manual",$M482=$A$15),$M482&gt;(ROW(PLE.lastrow)-ROW(PLE.firstrow))),0,
           IF(OFFSET(PLE!$G$15,$M482-$A$15,CA$13)="",10^12,OFFSET(PLE!$G$15,$M482-$A$15,CA$13)))</f>
        <v>1000000000000</v>
      </c>
      <c r="CB482" s="172">
        <f ca="1">IF(OR($D482&lt;&gt;"Serviço",AND(AUTOEVENTO="Manual",$M482=$A$15),$M482&gt;(ROW(PLE.lastrow)-ROW(PLE.firstrow))),0,
           IF(OFFSET(PLE!$G$15,$M482-$A$15,CB$13)="",10^12,OFFSET(PLE!$G$15,$M482-$A$15,CB$13)))</f>
        <v>1000000000000</v>
      </c>
      <c r="CC482" s="172">
        <f ca="1">IF(OR($D482&lt;&gt;"Serviço",AND(AUTOEVENTO="Manual",$M482=$A$15),$M482&gt;(ROW(PLE.lastrow)-ROW(PLE.firstrow))),0,
           IF(OFFSET(PLE!$G$15,$M482-$A$15,CC$13)="",10^12,OFFSET(PLE!$G$15,$M482-$A$15,CC$13)))</f>
        <v>1000000000000</v>
      </c>
      <c r="CD482" s="172">
        <f ca="1">IF(OR($D482&lt;&gt;"Serviço",AND(AUTOEVENTO="Manual",$M482=$A$15),$M482&gt;(ROW(PLE.lastrow)-ROW(PLE.firstrow))),0,
           IF(OFFSET(PLE!$G$15,$M482-$A$15,CD$13)="",10^12,OFFSET(PLE!$G$15,$M482-$A$15,CD$13)))</f>
        <v>1000000000000</v>
      </c>
      <c r="CE482" s="172">
        <f ca="1">IF(OR($D482&lt;&gt;"Serviço",AND(AUTOEVENTO="Manual",$M482=$A$15),$M482&gt;(ROW(PLE.lastrow)-ROW(PLE.firstrow))),0,
           IF(OFFSET(PLE!$G$15,$M482-$A$15,CE$13)="",10^12,OFFSET(PLE!$G$15,$M482-$A$15,CE$13)))</f>
        <v>1000000000000</v>
      </c>
      <c r="CF482" s="172">
        <f ca="1">IF(OR($D482&lt;&gt;"Serviço",AND(AUTOEVENTO="Manual",$M482=$A$15),$M482&gt;(ROW(PLE.lastrow)-ROW(PLE.firstrow))),0,
           IF(OFFSET(PLE!$G$15,$M482-$A$15,CF$13)="",10^12,OFFSET(PLE!$G$15,$M482-$A$15,CF$13)))</f>
        <v>1000000000000</v>
      </c>
      <c r="CG482" s="172">
        <f ca="1">IF(OR($D482&lt;&gt;"Serviço",AND(AUTOEVENTO="Manual",$M482=$A$15),$M482&gt;(ROW(PLE.lastrow)-ROW(PLE.firstrow))),0,
           IF(OFFSET(PLE!$G$15,$M482-$A$15,CG$13)="",10^12,OFFSET(PLE!$G$15,$M482-$A$15,CG$13)))</f>
        <v>1000000000000</v>
      </c>
      <c r="CH482" s="172">
        <f ca="1">IF(OR($D482&lt;&gt;"Serviço",AND(AUTOEVENTO="Manual",$M482=$A$15),$M482&gt;(ROW(PLE.lastrow)-ROW(PLE.firstrow))),0,
           IF(OFFSET(PLE!$G$15,$M482-$A$15,CH$13)="",10^12,OFFSET(PLE!$G$15,$M482-$A$15,CH$13)))</f>
        <v>1000000000000</v>
      </c>
      <c r="CI482" s="172">
        <f ca="1">IF(OR($D482&lt;&gt;"Serviço",AND(AUTOEVENTO="Manual",$M482=$A$15),$M482&gt;(ROW(PLE.lastrow)-ROW(PLE.firstrow))),0,
           IF(OFFSET(PLE!$G$15,$M482-$A$15,CI$13)="",10^12,OFFSET(PLE!$G$15,$M482-$A$15,CI$13)))</f>
        <v>1000000000000</v>
      </c>
      <c r="CJ482" s="172">
        <f ca="1">IF(OR($D482&lt;&gt;"Serviço",AND(AUTOEVENTO="Manual",$M482=$A$15),$M482&gt;(ROW(PLE.lastrow)-ROW(PLE.firstrow))),0,
           IF(OFFSET(PLE!$G$15,$M482-$A$15,CJ$13)="",10^12,OFFSET(PLE!$G$15,$M482-$A$15,CJ$13)))</f>
        <v>1000000000000</v>
      </c>
      <c r="CK482" s="172">
        <f ca="1">IF(OR($D482&lt;&gt;"Serviço",AND(AUTOEVENTO="Manual",$M482=$A$15),$M482&gt;(ROW(PLE.lastrow)-ROW(PLE.firstrow))),0,
           IF(OFFSET(PLE!$G$15,$M482-$A$15,CK$13)="",10^12,OFFSET(PLE!$G$15,$M482-$A$15,CK$13)))</f>
        <v>1000000000000</v>
      </c>
      <c r="CL482" s="172">
        <f ca="1">IF(OR($D482&lt;&gt;"Serviço",AND(AUTOEVENTO="Manual",$M482=$A$15),$M482&gt;(ROW(PLE.lastrow)-ROW(PLE.firstrow))),0,
           IF(OFFSET(PLE!$G$15,$M482-$A$15,CL$13)="",10^12,OFFSET(PLE!$G$15,$M482-$A$15,CL$13)))</f>
        <v>1000000000000</v>
      </c>
      <c r="CM482" s="172">
        <f ca="1">IF(OR($D482&lt;&gt;"Serviço",AND(AUTOEVENTO="Manual",$M482=$A$15),$M482&gt;(ROW(PLE.lastrow)-ROW(PLE.firstrow))),0,
           IF(OFFSET(PLE!$G$15,$M482-$A$15,CM$13)="",10^12,OFFSET(PLE!$G$15,$M482-$A$15,CM$13)))</f>
        <v>1000000000000</v>
      </c>
    </row>
    <row r="483" spans="1:91" ht="12.75" x14ac:dyDescent="0.2">
      <c r="A483" s="7">
        <f t="shared" ca="1" si="17"/>
        <v>8</v>
      </c>
      <c r="B483" s="7">
        <f ca="1">OFFSET(ORÇAMENTO!C$15,ROW(B483)-ROW(B$15),0)</f>
        <v>3</v>
      </c>
      <c r="C483" s="7" t="str">
        <f ca="1">OFFSET(ORÇAMENTO!L$15,ROW(C483)-ROW(C$15),0)</f>
        <v>F</v>
      </c>
      <c r="D483" s="116" t="str">
        <f ca="1">OFFSET(ORÇAMENTO!N$15,ROW(D483)-ROW(D$15),0)</f>
        <v>Nível 3</v>
      </c>
      <c r="E483" s="117" t="str">
        <f ca="1">OFFSET(ORÇAMENTO!O$15,ROW(E483)-ROW(E$15),0)</f>
        <v>1.10.2.</v>
      </c>
      <c r="F483" s="163" t="str">
        <f ca="1">OFFSET(ORÇAMENTO!R$15,ROW(F483)-ROW(F$15),0)</f>
        <v>ALVENARIA</v>
      </c>
      <c r="G483" s="164" t="str">
        <f ca="1">IF($D483&lt;&gt;"Serviço","",OFFSET(ORÇAMENTO!S$15,ROW(G483)-ROW(G$15),0))</f>
        <v/>
      </c>
      <c r="H483" s="122" cm="1">
        <f t="array" aca="1" ref="H483" ca="1">IF($D483&lt;&gt;"Serviço",0,IF(ACOMPANHAMENTO="BM",ROUND(OFFSET(ORÇAMENTO!AJ$15,ROW(H483)-ROW(H$15),0),15-13*ORÇAMENTO!$AF$7),SUMPRODUCT(($Q$1:$AI$1=1)*ROUND($Q483:$AI483,15-13*ORÇAMENTO!$AF$7))))</f>
        <v>0</v>
      </c>
      <c r="I483" s="468"/>
      <c r="J483" s="640" t="str" cm="1">
        <f t="array" aca="1" ref="J483" ca="1">IF(OR(B483&lt;&gt;"S",CÁLCULO.FrentesPreenchidas=0),"",IF(AND(ACOMPANHAMENTO="PLE",AUTOEVENTO="Manual",OR(H483&gt;0,ORÇAMENTO!AC483="QUANT."),OR(K483="",M483=0,N483="")),"►E",IF(AND(ACOMPANHAMENTO="PLE",ORÇAMENTO!AC483="QUANT."),"►Q",IF(AND(ACOMPANHAMENTO="PLE",H483&lt;&gt;SUMPRODUCT(($Q$1:$AI$1=1)*ROUND(Q483:AI483,15))),"►S",IF(AND(COUNTIF($P$11:$AI$11,"▼")=0,H483&gt;0,I483=""),"◄M","")))))</f>
        <v/>
      </c>
      <c r="K483" s="641" t="s">
        <v>1368</v>
      </c>
      <c r="L483" s="165" t="s">
        <v>764</v>
      </c>
      <c r="M483" s="166" t="str">
        <f ca="1">IF($D483&lt;&gt;"Serviço","",
          IF(AUTOEVENTO="manual",$A483,
                IF(ISERROR(MATCH($A483,$A$15:OFFSET($A483,-1,0),0)),MAX($M$15:OFFSET(M483,-1,0))+1,
                      INDEX($M$15:OFFSET(M483,-1,0),MATCH($A483,$A$15:OFFSET($A483,-1,0),0)))))</f>
        <v/>
      </c>
      <c r="N483" s="167" t="str">
        <f ca="1">IF($D483&lt;&gt;"Serviço","",
         IF(AUTOEVENTO="Manual",
                IF($A483=0,"&lt;-- defina o número do agrupador",
                       OFFSET(EVENTOS!$D$15,$A483-$A$15,0)),
                OFFSET($F$15,$A483,0)))</f>
        <v/>
      </c>
      <c r="O483" s="168"/>
      <c r="Q483" s="168"/>
      <c r="R483" s="169"/>
      <c r="S483" s="169"/>
      <c r="T483" s="169"/>
      <c r="U483" s="169"/>
      <c r="V483" s="169"/>
      <c r="W483" s="169"/>
      <c r="X483" s="169"/>
      <c r="Y483" s="169"/>
      <c r="Z483" s="170"/>
      <c r="AA483" s="169"/>
      <c r="AB483" s="169"/>
      <c r="AC483" s="169"/>
      <c r="AD483" s="169"/>
      <c r="AE483" s="169"/>
      <c r="AF483" s="169"/>
      <c r="AG483" s="169"/>
      <c r="AH483" s="170"/>
      <c r="AJ483" s="453">
        <f ca="1">IF(AND($D483="Serviço",AJ$12&lt;&gt;0,$H483&gt;0,OR(AUTOEVENTO&lt;&gt;"manual",$M483&lt;&gt;$A$15)),
        IF(Import.TipoArredondamento&lt;&gt;"TransfereGOV",
              ROUND(OFFSET($P483,0,AJ$13),15-13*ORÇAMENTO!$AF$7)/$H483*OFFSET(ORÇAMENTO!$X$15,ROW(AJ483)-ROW(AJ$15),0),
              ROUND(ROUND(OFFSET($P483,0,AJ$13),15-13*ORÇAMENTO!$AF$7)*OFFSET(ORÇAMENTO!$W$15,ROW(AJ483)-ROW(AJ$15),0),15-13*ORÇAMENTO!$AF$11)),
         0)</f>
        <v>0</v>
      </c>
      <c r="AK483" s="453">
        <f ca="1">IF(AND($D483="Serviço",AK$12&lt;&gt;0,$H483&gt;0,OR(AUTOEVENTO&lt;&gt;"manual",$M483&lt;&gt;$A$15)),
        IF(Import.TipoArredondamento&lt;&gt;"TransfereGOV",
              ROUND(OFFSET($P483,0,AK$13),15-13*ORÇAMENTO!$AF$7)/$H483*OFFSET(ORÇAMENTO!$X$15,ROW(AK483)-ROW(AK$15),0),
              ROUND(ROUND(OFFSET($P483,0,AK$13),15-13*ORÇAMENTO!$AF$7)*OFFSET(ORÇAMENTO!$W$15,ROW(AK483)-ROW(AK$15),0),15-13*ORÇAMENTO!$AF$11)),
         0)</f>
        <v>0</v>
      </c>
      <c r="AL483" s="453">
        <f ca="1">IF(AND($D483="Serviço",AL$12&lt;&gt;0,$H483&gt;0,OR(AUTOEVENTO&lt;&gt;"manual",$M483&lt;&gt;$A$15)),
        IF(Import.TipoArredondamento&lt;&gt;"TransfereGOV",
              ROUND(OFFSET($P483,0,AL$13),15-13*ORÇAMENTO!$AF$7)/$H483*OFFSET(ORÇAMENTO!$X$15,ROW(AL483)-ROW(AL$15),0),
              ROUND(ROUND(OFFSET($P483,0,AL$13),15-13*ORÇAMENTO!$AF$7)*OFFSET(ORÇAMENTO!$W$15,ROW(AL483)-ROW(AL$15),0),15-13*ORÇAMENTO!$AF$11)),
         0)</f>
        <v>0</v>
      </c>
      <c r="AM483" s="453">
        <f ca="1">IF(AND($D483="Serviço",AM$12&lt;&gt;0,$H483&gt;0,OR(AUTOEVENTO&lt;&gt;"manual",$M483&lt;&gt;$A$15)),
        IF(Import.TipoArredondamento&lt;&gt;"TransfereGOV",
              ROUND(OFFSET($P483,0,AM$13),15-13*ORÇAMENTO!$AF$7)/$H483*OFFSET(ORÇAMENTO!$X$15,ROW(AM483)-ROW(AM$15),0),
              ROUND(ROUND(OFFSET($P483,0,AM$13),15-13*ORÇAMENTO!$AF$7)*OFFSET(ORÇAMENTO!$W$15,ROW(AM483)-ROW(AM$15),0),15-13*ORÇAMENTO!$AF$11)),
         0)</f>
        <v>0</v>
      </c>
      <c r="AN483" s="453">
        <f ca="1">IF(AND($D483="Serviço",AN$12&lt;&gt;0,$H483&gt;0,OR(AUTOEVENTO&lt;&gt;"manual",$M483&lt;&gt;$A$15)),
        IF(Import.TipoArredondamento&lt;&gt;"TransfereGOV",
              ROUND(OFFSET($P483,0,AN$13),15-13*ORÇAMENTO!$AF$7)/$H483*OFFSET(ORÇAMENTO!$X$15,ROW(AN483)-ROW(AN$15),0),
              ROUND(ROUND(OFFSET($P483,0,AN$13),15-13*ORÇAMENTO!$AF$7)*OFFSET(ORÇAMENTO!$W$15,ROW(AN483)-ROW(AN$15),0),15-13*ORÇAMENTO!$AF$11)),
         0)</f>
        <v>0</v>
      </c>
      <c r="AO483" s="453">
        <f ca="1">IF(AND($D483="Serviço",AO$12&lt;&gt;0,$H483&gt;0,OR(AUTOEVENTO&lt;&gt;"manual",$M483&lt;&gt;$A$15)),
        IF(Import.TipoArredondamento&lt;&gt;"TransfereGOV",
              ROUND(OFFSET($P483,0,AO$13),15-13*ORÇAMENTO!$AF$7)/$H483*OFFSET(ORÇAMENTO!$X$15,ROW(AO483)-ROW(AO$15),0),
              ROUND(ROUND(OFFSET($P483,0,AO$13),15-13*ORÇAMENTO!$AF$7)*OFFSET(ORÇAMENTO!$W$15,ROW(AO483)-ROW(AO$15),0),15-13*ORÇAMENTO!$AF$11)),
         0)</f>
        <v>0</v>
      </c>
      <c r="AP483" s="453">
        <f ca="1">IF(AND($D483="Serviço",AP$12&lt;&gt;0,$H483&gt;0,OR(AUTOEVENTO&lt;&gt;"manual",$M483&lt;&gt;$A$15)),
        IF(Import.TipoArredondamento&lt;&gt;"TransfereGOV",
              ROUND(OFFSET($P483,0,AP$13),15-13*ORÇAMENTO!$AF$7)/$H483*OFFSET(ORÇAMENTO!$X$15,ROW(AP483)-ROW(AP$15),0),
              ROUND(ROUND(OFFSET($P483,0,AP$13),15-13*ORÇAMENTO!$AF$7)*OFFSET(ORÇAMENTO!$W$15,ROW(AP483)-ROW(AP$15),0),15-13*ORÇAMENTO!$AF$11)),
         0)</f>
        <v>0</v>
      </c>
      <c r="AQ483" s="453">
        <f ca="1">IF(AND($D483="Serviço",AQ$12&lt;&gt;0,$H483&gt;0,OR(AUTOEVENTO&lt;&gt;"manual",$M483&lt;&gt;$A$15)),
        IF(Import.TipoArredondamento&lt;&gt;"TransfereGOV",
              ROUND(OFFSET($P483,0,AQ$13),15-13*ORÇAMENTO!$AF$7)/$H483*OFFSET(ORÇAMENTO!$X$15,ROW(AQ483)-ROW(AQ$15),0),
              ROUND(ROUND(OFFSET($P483,0,AQ$13),15-13*ORÇAMENTO!$AF$7)*OFFSET(ORÇAMENTO!$W$15,ROW(AQ483)-ROW(AQ$15),0),15-13*ORÇAMENTO!$AF$11)),
         0)</f>
        <v>0</v>
      </c>
      <c r="AR483" s="453">
        <f ca="1">IF(AND($D483="Serviço",AR$12&lt;&gt;0,$H483&gt;0,OR(AUTOEVENTO&lt;&gt;"manual",$M483&lt;&gt;$A$15)),
        IF(Import.TipoArredondamento&lt;&gt;"TransfereGOV",
              ROUND(OFFSET($P483,0,AR$13),15-13*ORÇAMENTO!$AF$7)/$H483*OFFSET(ORÇAMENTO!$X$15,ROW(AR483)-ROW(AR$15),0),
              ROUND(ROUND(OFFSET($P483,0,AR$13),15-13*ORÇAMENTO!$AF$7)*OFFSET(ORÇAMENTO!$W$15,ROW(AR483)-ROW(AR$15),0),15-13*ORÇAMENTO!$AF$11)),
         0)</f>
        <v>0</v>
      </c>
      <c r="AS483" s="453">
        <f ca="1">IF(AND($D483="Serviço",AS$12&lt;&gt;0,$H483&gt;0,OR(AUTOEVENTO&lt;&gt;"manual",$M483&lt;&gt;$A$15)),
        IF(Import.TipoArredondamento&lt;&gt;"TransfereGOV",
              ROUND(OFFSET($P483,0,AS$13),15-13*ORÇAMENTO!$AF$7)/$H483*OFFSET(ORÇAMENTO!$X$15,ROW(AS483)-ROW(AS$15),0),
              ROUND(ROUND(OFFSET($P483,0,AS$13),15-13*ORÇAMENTO!$AF$7)*OFFSET(ORÇAMENTO!$W$15,ROW(AS483)-ROW(AS$15),0),15-13*ORÇAMENTO!$AF$11)),
         0)</f>
        <v>0</v>
      </c>
      <c r="AT483" s="453">
        <f ca="1">IF(AND($D483="Serviço",AT$12&lt;&gt;0,$H483&gt;0,OR(AUTOEVENTO&lt;&gt;"manual",$M483&lt;&gt;$A$15)),
        IF(Import.TipoArredondamento&lt;&gt;"TransfereGOV",
              ROUND(OFFSET($P483,0,AT$13),15-13*ORÇAMENTO!$AF$7)/$H483*OFFSET(ORÇAMENTO!$X$15,ROW(AT483)-ROW(AT$15),0),
              ROUND(ROUND(OFFSET($P483,0,AT$13),15-13*ORÇAMENTO!$AF$7)*OFFSET(ORÇAMENTO!$W$15,ROW(AT483)-ROW(AT$15),0),15-13*ORÇAMENTO!$AF$11)),
         0)</f>
        <v>0</v>
      </c>
      <c r="AU483" s="453">
        <f ca="1">IF(AND($D483="Serviço",AU$12&lt;&gt;0,$H483&gt;0,OR(AUTOEVENTO&lt;&gt;"manual",$M483&lt;&gt;$A$15)),
        IF(Import.TipoArredondamento&lt;&gt;"TransfereGOV",
              ROUND(OFFSET($P483,0,AU$13),15-13*ORÇAMENTO!$AF$7)/$H483*OFFSET(ORÇAMENTO!$X$15,ROW(AU483)-ROW(AU$15),0),
              ROUND(ROUND(OFFSET($P483,0,AU$13),15-13*ORÇAMENTO!$AF$7)*OFFSET(ORÇAMENTO!$W$15,ROW(AU483)-ROW(AU$15),0),15-13*ORÇAMENTO!$AF$11)),
         0)</f>
        <v>0</v>
      </c>
      <c r="AV483" s="453">
        <f ca="1">IF(AND($D483="Serviço",AV$12&lt;&gt;0,$H483&gt;0,OR(AUTOEVENTO&lt;&gt;"manual",$M483&lt;&gt;$A$15)),
        IF(Import.TipoArredondamento&lt;&gt;"TransfereGOV",
              ROUND(OFFSET($P483,0,AV$13),15-13*ORÇAMENTO!$AF$7)/$H483*OFFSET(ORÇAMENTO!$X$15,ROW(AV483)-ROW(AV$15),0),
              ROUND(ROUND(OFFSET($P483,0,AV$13),15-13*ORÇAMENTO!$AF$7)*OFFSET(ORÇAMENTO!$W$15,ROW(AV483)-ROW(AV$15),0),15-13*ORÇAMENTO!$AF$11)),
         0)</f>
        <v>0</v>
      </c>
      <c r="AW483" s="453">
        <f ca="1">IF(AND($D483="Serviço",AW$12&lt;&gt;0,$H483&gt;0,OR(AUTOEVENTO&lt;&gt;"manual",$M483&lt;&gt;$A$15)),
        IF(Import.TipoArredondamento&lt;&gt;"TransfereGOV",
              ROUND(OFFSET($P483,0,AW$13),15-13*ORÇAMENTO!$AF$7)/$H483*OFFSET(ORÇAMENTO!$X$15,ROW(AW483)-ROW(AW$15),0),
              ROUND(ROUND(OFFSET($P483,0,AW$13),15-13*ORÇAMENTO!$AF$7)*OFFSET(ORÇAMENTO!$W$15,ROW(AW483)-ROW(AW$15),0),15-13*ORÇAMENTO!$AF$11)),
         0)</f>
        <v>0</v>
      </c>
      <c r="AX483" s="453">
        <f ca="1">IF(AND($D483="Serviço",AX$12&lt;&gt;0,$H483&gt;0,OR(AUTOEVENTO&lt;&gt;"manual",$M483&lt;&gt;$A$15)),
        IF(Import.TipoArredondamento&lt;&gt;"TransfereGOV",
              ROUND(OFFSET($P483,0,AX$13),15-13*ORÇAMENTO!$AF$7)/$H483*OFFSET(ORÇAMENTO!$X$15,ROW(AX483)-ROW(AX$15),0),
              ROUND(ROUND(OFFSET($P483,0,AX$13),15-13*ORÇAMENTO!$AF$7)*OFFSET(ORÇAMENTO!$W$15,ROW(AX483)-ROW(AX$15),0),15-13*ORÇAMENTO!$AF$11)),
         0)</f>
        <v>0</v>
      </c>
      <c r="AY483" s="453">
        <f ca="1">IF(AND($D483="Serviço",AY$12&lt;&gt;0,$H483&gt;0,OR(AUTOEVENTO&lt;&gt;"manual",$M483&lt;&gt;$A$15)),
        IF(Import.TipoArredondamento&lt;&gt;"TransfereGOV",
              ROUND(OFFSET($P483,0,AY$13),15-13*ORÇAMENTO!$AF$7)/$H483*OFFSET(ORÇAMENTO!$X$15,ROW(AY483)-ROW(AY$15),0),
              ROUND(ROUND(OFFSET($P483,0,AY$13),15-13*ORÇAMENTO!$AF$7)*OFFSET(ORÇAMENTO!$W$15,ROW(AY483)-ROW(AY$15),0),15-13*ORÇAMENTO!$AF$11)),
         0)</f>
        <v>0</v>
      </c>
      <c r="AZ483" s="453">
        <f ca="1">IF(AND($D483="Serviço",AZ$12&lt;&gt;0,$H483&gt;0,OR(AUTOEVENTO&lt;&gt;"manual",$M483&lt;&gt;$A$15)),
        IF(Import.TipoArredondamento&lt;&gt;"TransfereGOV",
              ROUND(OFFSET($P483,0,AZ$13),15-13*ORÇAMENTO!$AF$7)/$H483*OFFSET(ORÇAMENTO!$X$15,ROW(AZ483)-ROW(AZ$15),0),
              ROUND(ROUND(OFFSET($P483,0,AZ$13),15-13*ORÇAMENTO!$AF$7)*OFFSET(ORÇAMENTO!$W$15,ROW(AZ483)-ROW(AZ$15),0),15-13*ORÇAMENTO!$AF$11)),
         0)</f>
        <v>0</v>
      </c>
      <c r="BA483" s="453">
        <f ca="1">IF(AND($D483="Serviço",BA$12&lt;&gt;0,$H483&gt;0,OR(AUTOEVENTO&lt;&gt;"manual",$M483&lt;&gt;$A$15)),
        IF(Import.TipoArredondamento&lt;&gt;"TransfereGOV",
              ROUND(OFFSET($P483,0,BA$13),15-13*ORÇAMENTO!$AF$7)/$H483*OFFSET(ORÇAMENTO!$X$15,ROW(BA483)-ROW(BA$15),0),
              ROUND(ROUND(OFFSET($P483,0,BA$13),15-13*ORÇAMENTO!$AF$7)*OFFSET(ORÇAMENTO!$W$15,ROW(BA483)-ROW(BA$15),0),15-13*ORÇAMENTO!$AF$11)),
         0)</f>
        <v>0</v>
      </c>
      <c r="BC483" s="171">
        <f ca="1">IF(OR($D483&lt;&gt;"Serviço",AND(AUTOEVENTO="Manual",$M483=$A$15)),0,
         IF(OFFSET(CRONOPLE!$F$15,$M483-$A$15,BC$13)=0,10^12,OFFSET(CRONOPLE!$F$15,$M483-$A$15,BC$13)))</f>
        <v>0</v>
      </c>
      <c r="BD483" s="171">
        <f ca="1">IF(OR($D483&lt;&gt;"Serviço",AND(AUTOEVENTO="Manual",$M483=$A$15)),0,
         IF(OFFSET(CRONOPLE!$F$15,$M483-$A$15,BD$13)=0,10^12,OFFSET(CRONOPLE!$F$15,$M483-$A$15,BD$13)))</f>
        <v>0</v>
      </c>
      <c r="BE483" s="171">
        <f ca="1">IF(OR($D483&lt;&gt;"Serviço",AND(AUTOEVENTO="Manual",$M483=$A$15)),0,
         IF(OFFSET(CRONOPLE!$F$15,$M483-$A$15,BE$13)=0,10^12,OFFSET(CRONOPLE!$F$15,$M483-$A$15,BE$13)))</f>
        <v>0</v>
      </c>
      <c r="BF483" s="171">
        <f ca="1">IF(OR($D483&lt;&gt;"Serviço",AND(AUTOEVENTO="Manual",$M483=$A$15)),0,
         IF(OFFSET(CRONOPLE!$F$15,$M483-$A$15,BF$13)=0,10^12,OFFSET(CRONOPLE!$F$15,$M483-$A$15,BF$13)))</f>
        <v>0</v>
      </c>
      <c r="BG483" s="171">
        <f ca="1">IF(OR($D483&lt;&gt;"Serviço",AND(AUTOEVENTO="Manual",$M483=$A$15)),0,
         IF(OFFSET(CRONOPLE!$F$15,$M483-$A$15,BG$13)=0,10^12,OFFSET(CRONOPLE!$F$15,$M483-$A$15,BG$13)))</f>
        <v>0</v>
      </c>
      <c r="BH483" s="171">
        <f ca="1">IF(OR($D483&lt;&gt;"Serviço",AND(AUTOEVENTO="Manual",$M483=$A$15)),0,
         IF(OFFSET(CRONOPLE!$F$15,$M483-$A$15,BH$13)=0,10^12,OFFSET(CRONOPLE!$F$15,$M483-$A$15,BH$13)))</f>
        <v>0</v>
      </c>
      <c r="BI483" s="171">
        <f ca="1">IF(OR($D483&lt;&gt;"Serviço",AND(AUTOEVENTO="Manual",$M483=$A$15)),0,
         IF(OFFSET(CRONOPLE!$F$15,$M483-$A$15,BI$13)=0,10^12,OFFSET(CRONOPLE!$F$15,$M483-$A$15,BI$13)))</f>
        <v>0</v>
      </c>
      <c r="BJ483" s="171">
        <f ca="1">IF(OR($D483&lt;&gt;"Serviço",AND(AUTOEVENTO="Manual",$M483=$A$15)),0,
         IF(OFFSET(CRONOPLE!$F$15,$M483-$A$15,BJ$13)=0,10^12,OFFSET(CRONOPLE!$F$15,$M483-$A$15,BJ$13)))</f>
        <v>0</v>
      </c>
      <c r="BK483" s="171">
        <f ca="1">IF(OR($D483&lt;&gt;"Serviço",AND(AUTOEVENTO="Manual",$M483=$A$15)),0,
         IF(OFFSET(CRONOPLE!$F$15,$M483-$A$15,BK$13)=0,10^12,OFFSET(CRONOPLE!$F$15,$M483-$A$15,BK$13)))</f>
        <v>0</v>
      </c>
      <c r="BL483" s="171">
        <f ca="1">IF(OR($D483&lt;&gt;"Serviço",AND(AUTOEVENTO="Manual",$M483=$A$15)),0,
         IF(OFFSET(CRONOPLE!$F$15,$M483-$A$15,BL$13)=0,10^12,OFFSET(CRONOPLE!$F$15,$M483-$A$15,BL$13)))</f>
        <v>0</v>
      </c>
      <c r="BM483" s="171">
        <f ca="1">IF(OR($D483&lt;&gt;"Serviço",AND(AUTOEVENTO="Manual",$M483=$A$15)),0,
         IF(OFFSET(CRONOPLE!$F$15,$M483-$A$15,BM$13)=0,10^12,OFFSET(CRONOPLE!$F$15,$M483-$A$15,BM$13)))</f>
        <v>0</v>
      </c>
      <c r="BN483" s="171">
        <f ca="1">IF(OR($D483&lt;&gt;"Serviço",AND(AUTOEVENTO="Manual",$M483=$A$15)),0,
         IF(OFFSET(CRONOPLE!$F$15,$M483-$A$15,BN$13)=0,10^12,OFFSET(CRONOPLE!$F$15,$M483-$A$15,BN$13)))</f>
        <v>0</v>
      </c>
      <c r="BO483" s="171">
        <f ca="1">IF(OR($D483&lt;&gt;"Serviço",AND(AUTOEVENTO="Manual",$M483=$A$15)),0,
         IF(OFFSET(CRONOPLE!$F$15,$M483-$A$15,BO$13)=0,10^12,OFFSET(CRONOPLE!$F$15,$M483-$A$15,BO$13)))</f>
        <v>0</v>
      </c>
      <c r="BP483" s="171">
        <f ca="1">IF(OR($D483&lt;&gt;"Serviço",AND(AUTOEVENTO="Manual",$M483=$A$15)),0,
         IF(OFFSET(CRONOPLE!$F$15,$M483-$A$15,BP$13)=0,10^12,OFFSET(CRONOPLE!$F$15,$M483-$A$15,BP$13)))</f>
        <v>0</v>
      </c>
      <c r="BQ483" s="171">
        <f ca="1">IF(OR($D483&lt;&gt;"Serviço",AND(AUTOEVENTO="Manual",$M483=$A$15)),0,
         IF(OFFSET(CRONOPLE!$F$15,$M483-$A$15,BQ$13)=0,10^12,OFFSET(CRONOPLE!$F$15,$M483-$A$15,BQ$13)))</f>
        <v>0</v>
      </c>
      <c r="BR483" s="171">
        <f ca="1">IF(OR($D483&lt;&gt;"Serviço",AND(AUTOEVENTO="Manual",$M483=$A$15)),0,
         IF(OFFSET(CRONOPLE!$F$15,$M483-$A$15,BR$13)=0,10^12,OFFSET(CRONOPLE!$F$15,$M483-$A$15,BR$13)))</f>
        <v>0</v>
      </c>
      <c r="BS483" s="171">
        <f ca="1">IF(OR($D483&lt;&gt;"Serviço",AND(AUTOEVENTO="Manual",$M483=$A$15)),0,
         IF(OFFSET(CRONOPLE!$F$15,$M483-$A$15,BS$13)=0,10^12,OFFSET(CRONOPLE!$F$15,$M483-$A$15,BS$13)))</f>
        <v>0</v>
      </c>
      <c r="BT483" s="171">
        <f ca="1">IF(OR($D483&lt;&gt;"Serviço",AND(AUTOEVENTO="Manual",$M483=$A$15)),0,
         IF(OFFSET(CRONOPLE!$F$15,$M483-$A$15,BT$13)=0,10^12,OFFSET(CRONOPLE!$F$15,$M483-$A$15,BT$13)))</f>
        <v>0</v>
      </c>
      <c r="BV483" s="172">
        <f ca="1">IF(OR($D483&lt;&gt;"Serviço",AND(AUTOEVENTO="Manual",$M483=$A$15),$M483&gt;(ROW(PLE.lastrow)-ROW(PLE.firstrow))),0,
           IF(OFFSET(PLE!$G$15,$M483-$A$15,BV$13)="",10^12,OFFSET(PLE!$G$15,$M483-$A$15,BV$13)))</f>
        <v>0</v>
      </c>
      <c r="BW483" s="172">
        <f ca="1">IF(OR($D483&lt;&gt;"Serviço",AND(AUTOEVENTO="Manual",$M483=$A$15),$M483&gt;(ROW(PLE.lastrow)-ROW(PLE.firstrow))),0,
           IF(OFFSET(PLE!$G$15,$M483-$A$15,BW$13)="",10^12,OFFSET(PLE!$G$15,$M483-$A$15,BW$13)))</f>
        <v>0</v>
      </c>
      <c r="BX483" s="172">
        <f ca="1">IF(OR($D483&lt;&gt;"Serviço",AND(AUTOEVENTO="Manual",$M483=$A$15),$M483&gt;(ROW(PLE.lastrow)-ROW(PLE.firstrow))),0,
           IF(OFFSET(PLE!$G$15,$M483-$A$15,BX$13)="",10^12,OFFSET(PLE!$G$15,$M483-$A$15,BX$13)))</f>
        <v>0</v>
      </c>
      <c r="BY483" s="172">
        <f ca="1">IF(OR($D483&lt;&gt;"Serviço",AND(AUTOEVENTO="Manual",$M483=$A$15),$M483&gt;(ROW(PLE.lastrow)-ROW(PLE.firstrow))),0,
           IF(OFFSET(PLE!$G$15,$M483-$A$15,BY$13)="",10^12,OFFSET(PLE!$G$15,$M483-$A$15,BY$13)))</f>
        <v>0</v>
      </c>
      <c r="BZ483" s="172">
        <f ca="1">IF(OR($D483&lt;&gt;"Serviço",AND(AUTOEVENTO="Manual",$M483=$A$15),$M483&gt;(ROW(PLE.lastrow)-ROW(PLE.firstrow))),0,
           IF(OFFSET(PLE!$G$15,$M483-$A$15,BZ$13)="",10^12,OFFSET(PLE!$G$15,$M483-$A$15,BZ$13)))</f>
        <v>0</v>
      </c>
      <c r="CA483" s="172">
        <f ca="1">IF(OR($D483&lt;&gt;"Serviço",AND(AUTOEVENTO="Manual",$M483=$A$15),$M483&gt;(ROW(PLE.lastrow)-ROW(PLE.firstrow))),0,
           IF(OFFSET(PLE!$G$15,$M483-$A$15,CA$13)="",10^12,OFFSET(PLE!$G$15,$M483-$A$15,CA$13)))</f>
        <v>0</v>
      </c>
      <c r="CB483" s="172">
        <f ca="1">IF(OR($D483&lt;&gt;"Serviço",AND(AUTOEVENTO="Manual",$M483=$A$15),$M483&gt;(ROW(PLE.lastrow)-ROW(PLE.firstrow))),0,
           IF(OFFSET(PLE!$G$15,$M483-$A$15,CB$13)="",10^12,OFFSET(PLE!$G$15,$M483-$A$15,CB$13)))</f>
        <v>0</v>
      </c>
      <c r="CC483" s="172">
        <f ca="1">IF(OR($D483&lt;&gt;"Serviço",AND(AUTOEVENTO="Manual",$M483=$A$15),$M483&gt;(ROW(PLE.lastrow)-ROW(PLE.firstrow))),0,
           IF(OFFSET(PLE!$G$15,$M483-$A$15,CC$13)="",10^12,OFFSET(PLE!$G$15,$M483-$A$15,CC$13)))</f>
        <v>0</v>
      </c>
      <c r="CD483" s="172">
        <f ca="1">IF(OR($D483&lt;&gt;"Serviço",AND(AUTOEVENTO="Manual",$M483=$A$15),$M483&gt;(ROW(PLE.lastrow)-ROW(PLE.firstrow))),0,
           IF(OFFSET(PLE!$G$15,$M483-$A$15,CD$13)="",10^12,OFFSET(PLE!$G$15,$M483-$A$15,CD$13)))</f>
        <v>0</v>
      </c>
      <c r="CE483" s="172">
        <f ca="1">IF(OR($D483&lt;&gt;"Serviço",AND(AUTOEVENTO="Manual",$M483=$A$15),$M483&gt;(ROW(PLE.lastrow)-ROW(PLE.firstrow))),0,
           IF(OFFSET(PLE!$G$15,$M483-$A$15,CE$13)="",10^12,OFFSET(PLE!$G$15,$M483-$A$15,CE$13)))</f>
        <v>0</v>
      </c>
      <c r="CF483" s="172">
        <f ca="1">IF(OR($D483&lt;&gt;"Serviço",AND(AUTOEVENTO="Manual",$M483=$A$15),$M483&gt;(ROW(PLE.lastrow)-ROW(PLE.firstrow))),0,
           IF(OFFSET(PLE!$G$15,$M483-$A$15,CF$13)="",10^12,OFFSET(PLE!$G$15,$M483-$A$15,CF$13)))</f>
        <v>0</v>
      </c>
      <c r="CG483" s="172">
        <f ca="1">IF(OR($D483&lt;&gt;"Serviço",AND(AUTOEVENTO="Manual",$M483=$A$15),$M483&gt;(ROW(PLE.lastrow)-ROW(PLE.firstrow))),0,
           IF(OFFSET(PLE!$G$15,$M483-$A$15,CG$13)="",10^12,OFFSET(PLE!$G$15,$M483-$A$15,CG$13)))</f>
        <v>0</v>
      </c>
      <c r="CH483" s="172">
        <f ca="1">IF(OR($D483&lt;&gt;"Serviço",AND(AUTOEVENTO="Manual",$M483=$A$15),$M483&gt;(ROW(PLE.lastrow)-ROW(PLE.firstrow))),0,
           IF(OFFSET(PLE!$G$15,$M483-$A$15,CH$13)="",10^12,OFFSET(PLE!$G$15,$M483-$A$15,CH$13)))</f>
        <v>0</v>
      </c>
      <c r="CI483" s="172">
        <f ca="1">IF(OR($D483&lt;&gt;"Serviço",AND(AUTOEVENTO="Manual",$M483=$A$15),$M483&gt;(ROW(PLE.lastrow)-ROW(PLE.firstrow))),0,
           IF(OFFSET(PLE!$G$15,$M483-$A$15,CI$13)="",10^12,OFFSET(PLE!$G$15,$M483-$A$15,CI$13)))</f>
        <v>0</v>
      </c>
      <c r="CJ483" s="172">
        <f ca="1">IF(OR($D483&lt;&gt;"Serviço",AND(AUTOEVENTO="Manual",$M483=$A$15),$M483&gt;(ROW(PLE.lastrow)-ROW(PLE.firstrow))),0,
           IF(OFFSET(PLE!$G$15,$M483-$A$15,CJ$13)="",10^12,OFFSET(PLE!$G$15,$M483-$A$15,CJ$13)))</f>
        <v>0</v>
      </c>
      <c r="CK483" s="172">
        <f ca="1">IF(OR($D483&lt;&gt;"Serviço",AND(AUTOEVENTO="Manual",$M483=$A$15),$M483&gt;(ROW(PLE.lastrow)-ROW(PLE.firstrow))),0,
           IF(OFFSET(PLE!$G$15,$M483-$A$15,CK$13)="",10^12,OFFSET(PLE!$G$15,$M483-$A$15,CK$13)))</f>
        <v>0</v>
      </c>
      <c r="CL483" s="172">
        <f ca="1">IF(OR($D483&lt;&gt;"Serviço",AND(AUTOEVENTO="Manual",$M483=$A$15),$M483&gt;(ROW(PLE.lastrow)-ROW(PLE.firstrow))),0,
           IF(OFFSET(PLE!$G$15,$M483-$A$15,CL$13)="",10^12,OFFSET(PLE!$G$15,$M483-$A$15,CL$13)))</f>
        <v>0</v>
      </c>
      <c r="CM483" s="172">
        <f ca="1">IF(OR($D483&lt;&gt;"Serviço",AND(AUTOEVENTO="Manual",$M483=$A$15),$M483&gt;(ROW(PLE.lastrow)-ROW(PLE.firstrow))),0,
           IF(OFFSET(PLE!$G$15,$M483-$A$15,CM$13)="",10^12,OFFSET(PLE!$G$15,$M483-$A$15,CM$13)))</f>
        <v>0</v>
      </c>
    </row>
    <row r="484" spans="1:91" ht="114.75" x14ac:dyDescent="0.2">
      <c r="A484" s="7">
        <f t="shared" ca="1" si="17"/>
        <v>9</v>
      </c>
      <c r="B484" s="7" t="str">
        <f ca="1">OFFSET(ORÇAMENTO!C$15,ROW(B484)-ROW(B$15),0)</f>
        <v>S</v>
      </c>
      <c r="C484" s="7" t="str">
        <f ca="1">OFFSET(ORÇAMENTO!L$15,ROW(C484)-ROW(C$15),0)</f>
        <v>F</v>
      </c>
      <c r="D484" s="116" t="str">
        <f ca="1">OFFSET(ORÇAMENTO!N$15,ROW(D484)-ROW(D$15),0)</f>
        <v>Serviço</v>
      </c>
      <c r="E484" s="117" t="str">
        <f ca="1">OFFSET(ORÇAMENTO!O$15,ROW(E484)-ROW(E$15),0)</f>
        <v>1.10.2.0.1.</v>
      </c>
      <c r="F484" s="163" t="str">
        <f ca="1">OFFSET(ORÇAMENTO!R$15,ROW(F484)-ROW(F$15),0)</f>
        <v>ALVENARIA DE VEDAÇÃO DE BLOCOS CERÂMICOS FURADOS NA HORIZONTAL DE 14X9X19 CM (ESPESSURA 14 CM, BLOCO DEITADO) E ARGAMASSA DE ASSENTAMENTO COM PREPARO EM BETONEIRA. AF_12/2021</v>
      </c>
      <c r="G484" s="164" t="str">
        <f ca="1">IF($D484&lt;&gt;"Serviço","",OFFSET(ORÇAMENTO!S$15,ROW(G484)-ROW(G$15),0))</f>
        <v>M2</v>
      </c>
      <c r="H484" s="122" cm="1">
        <f t="array" aca="1" ref="H484" ca="1">IF($D484&lt;&gt;"Serviço",0,IF(ACOMPANHAMENTO="BM",ROUND(OFFSET(ORÇAMENTO!AJ$15,ROW(H484)-ROW(H$15),0),15-13*ORÇAMENTO!$AF$7),SUMPRODUCT(($Q$1:$AI$1=1)*ROUND($Q484:$AI484,15-13*ORÇAMENTO!$AF$7))))</f>
        <v>52.53</v>
      </c>
      <c r="I484" s="468" t="s">
        <v>1401</v>
      </c>
      <c r="J484" s="640" t="str" cm="1">
        <f t="array" aca="1" ref="J484" ca="1">IF(OR(B484&lt;&gt;"S",CÁLCULO.FrentesPreenchidas=0),"",IF(AND(ACOMPANHAMENTO="PLE",AUTOEVENTO="Manual",OR(H484&gt;0,ORÇAMENTO!AC484="QUANT."),OR(K484="",M484=0,N484="")),"►E",IF(AND(ACOMPANHAMENTO="PLE",ORÇAMENTO!AC484="QUANT."),"►Q",IF(AND(ACOMPANHAMENTO="PLE",H484&lt;&gt;SUMPRODUCT(($Q$1:$AI$1=1)*ROUND(Q484:AI484,15))),"►S",IF(AND(COUNTIF($P$11:$AI$11,"▼")=0,H484&gt;0,I484=""),"◄M","")))))</f>
        <v/>
      </c>
      <c r="K484" s="641" t="s">
        <v>1393</v>
      </c>
      <c r="L484" s="165" t="s">
        <v>764</v>
      </c>
      <c r="M484" s="166">
        <f ca="1">IF($D484&lt;&gt;"Serviço","",
          IF(AUTOEVENTO="manual",$A484,
                IF(ISERROR(MATCH($A484,$A$15:OFFSET($A484,-1,0),0)),MAX($M$15:OFFSET(M484,-1,0))+1,
                      INDEX($M$15:OFFSET(M484,-1,0),MATCH($A484,$A$15:OFFSET($A484,-1,0),0)))))</f>
        <v>9</v>
      </c>
      <c r="N484" s="167" t="str">
        <f ca="1">IF($D484&lt;&gt;"Serviço","",
         IF(AUTOEVENTO="Manual",
                IF($A484=0,"&lt;-- defina o número do agrupador",
                       OFFSET(EVENTOS!$D$15,$A484-$A$15,0)),
                OFFSET($F$15,$A484,0)))</f>
        <v>Arquitetura</v>
      </c>
      <c r="O484" s="168"/>
      <c r="Q484" s="168"/>
      <c r="R484" s="169"/>
      <c r="S484" s="169"/>
      <c r="T484" s="169"/>
      <c r="U484" s="169"/>
      <c r="V484" s="169"/>
      <c r="W484" s="169"/>
      <c r="X484" s="169"/>
      <c r="Y484" s="169"/>
      <c r="Z484" s="170">
        <v>52.53</v>
      </c>
      <c r="AA484" s="169"/>
      <c r="AB484" s="169"/>
      <c r="AC484" s="169"/>
      <c r="AD484" s="169"/>
      <c r="AE484" s="169"/>
      <c r="AF484" s="169"/>
      <c r="AG484" s="169"/>
      <c r="AH484" s="170"/>
      <c r="AJ484" s="453">
        <f ca="1">IF(AND($D484="Serviço",AJ$12&lt;&gt;0,$H484&gt;0,OR(AUTOEVENTO&lt;&gt;"manual",$M484&lt;&gt;$A$15)),
        IF(Import.TipoArredondamento&lt;&gt;"TransfereGOV",
              ROUND(OFFSET($P484,0,AJ$13),15-13*ORÇAMENTO!$AF$7)/$H484*OFFSET(ORÇAMENTO!$X$15,ROW(AJ484)-ROW(AJ$15),0),
              ROUND(ROUND(OFFSET($P484,0,AJ$13),15-13*ORÇAMENTO!$AF$7)*OFFSET(ORÇAMENTO!$W$15,ROW(AJ484)-ROW(AJ$15),0),15-13*ORÇAMENTO!$AF$11)),
         0)</f>
        <v>0</v>
      </c>
      <c r="AK484" s="453">
        <f ca="1">IF(AND($D484="Serviço",AK$12&lt;&gt;0,$H484&gt;0,OR(AUTOEVENTO&lt;&gt;"manual",$M484&lt;&gt;$A$15)),
        IF(Import.TipoArredondamento&lt;&gt;"TransfereGOV",
              ROUND(OFFSET($P484,0,AK$13),15-13*ORÇAMENTO!$AF$7)/$H484*OFFSET(ORÇAMENTO!$X$15,ROW(AK484)-ROW(AK$15),0),
              ROUND(ROUND(OFFSET($P484,0,AK$13),15-13*ORÇAMENTO!$AF$7)*OFFSET(ORÇAMENTO!$W$15,ROW(AK484)-ROW(AK$15),0),15-13*ORÇAMENTO!$AF$11)),
         0)</f>
        <v>0</v>
      </c>
      <c r="AL484" s="453">
        <f ca="1">IF(AND($D484="Serviço",AL$12&lt;&gt;0,$H484&gt;0,OR(AUTOEVENTO&lt;&gt;"manual",$M484&lt;&gt;$A$15)),
        IF(Import.TipoArredondamento&lt;&gt;"TransfereGOV",
              ROUND(OFFSET($P484,0,AL$13),15-13*ORÇAMENTO!$AF$7)/$H484*OFFSET(ORÇAMENTO!$X$15,ROW(AL484)-ROW(AL$15),0),
              ROUND(ROUND(OFFSET($P484,0,AL$13),15-13*ORÇAMENTO!$AF$7)*OFFSET(ORÇAMENTO!$W$15,ROW(AL484)-ROW(AL$15),0),15-13*ORÇAMENTO!$AF$11)),
         0)</f>
        <v>0</v>
      </c>
      <c r="AM484" s="453">
        <f ca="1">IF(AND($D484="Serviço",AM$12&lt;&gt;0,$H484&gt;0,OR(AUTOEVENTO&lt;&gt;"manual",$M484&lt;&gt;$A$15)),
        IF(Import.TipoArredondamento&lt;&gt;"TransfereGOV",
              ROUND(OFFSET($P484,0,AM$13),15-13*ORÇAMENTO!$AF$7)/$H484*OFFSET(ORÇAMENTO!$X$15,ROW(AM484)-ROW(AM$15),0),
              ROUND(ROUND(OFFSET($P484,0,AM$13),15-13*ORÇAMENTO!$AF$7)*OFFSET(ORÇAMENTO!$W$15,ROW(AM484)-ROW(AM$15),0),15-13*ORÇAMENTO!$AF$11)),
         0)</f>
        <v>0</v>
      </c>
      <c r="AN484" s="453">
        <f ca="1">IF(AND($D484="Serviço",AN$12&lt;&gt;0,$H484&gt;0,OR(AUTOEVENTO&lt;&gt;"manual",$M484&lt;&gt;$A$15)),
        IF(Import.TipoArredondamento&lt;&gt;"TransfereGOV",
              ROUND(OFFSET($P484,0,AN$13),15-13*ORÇAMENTO!$AF$7)/$H484*OFFSET(ORÇAMENTO!$X$15,ROW(AN484)-ROW(AN$15),0),
              ROUND(ROUND(OFFSET($P484,0,AN$13),15-13*ORÇAMENTO!$AF$7)*OFFSET(ORÇAMENTO!$W$15,ROW(AN484)-ROW(AN$15),0),15-13*ORÇAMENTO!$AF$11)),
         0)</f>
        <v>0</v>
      </c>
      <c r="AO484" s="453">
        <f ca="1">IF(AND($D484="Serviço",AO$12&lt;&gt;0,$H484&gt;0,OR(AUTOEVENTO&lt;&gt;"manual",$M484&lt;&gt;$A$15)),
        IF(Import.TipoArredondamento&lt;&gt;"TransfereGOV",
              ROUND(OFFSET($P484,0,AO$13),15-13*ORÇAMENTO!$AF$7)/$H484*OFFSET(ORÇAMENTO!$X$15,ROW(AO484)-ROW(AO$15),0),
              ROUND(ROUND(OFFSET($P484,0,AO$13),15-13*ORÇAMENTO!$AF$7)*OFFSET(ORÇAMENTO!$W$15,ROW(AO484)-ROW(AO$15),0),15-13*ORÇAMENTO!$AF$11)),
         0)</f>
        <v>0</v>
      </c>
      <c r="AP484" s="453">
        <f ca="1">IF(AND($D484="Serviço",AP$12&lt;&gt;0,$H484&gt;0,OR(AUTOEVENTO&lt;&gt;"manual",$M484&lt;&gt;$A$15)),
        IF(Import.TipoArredondamento&lt;&gt;"TransfereGOV",
              ROUND(OFFSET($P484,0,AP$13),15-13*ORÇAMENTO!$AF$7)/$H484*OFFSET(ORÇAMENTO!$X$15,ROW(AP484)-ROW(AP$15),0),
              ROUND(ROUND(OFFSET($P484,0,AP$13),15-13*ORÇAMENTO!$AF$7)*OFFSET(ORÇAMENTO!$W$15,ROW(AP484)-ROW(AP$15),0),15-13*ORÇAMENTO!$AF$11)),
         0)</f>
        <v>0</v>
      </c>
      <c r="AQ484" s="453">
        <f ca="1">IF(AND($D484="Serviço",AQ$12&lt;&gt;0,$H484&gt;0,OR(AUTOEVENTO&lt;&gt;"manual",$M484&lt;&gt;$A$15)),
        IF(Import.TipoArredondamento&lt;&gt;"TransfereGOV",
              ROUND(OFFSET($P484,0,AQ$13),15-13*ORÇAMENTO!$AF$7)/$H484*OFFSET(ORÇAMENTO!$X$15,ROW(AQ484)-ROW(AQ$15),0),
              ROUND(ROUND(OFFSET($P484,0,AQ$13),15-13*ORÇAMENTO!$AF$7)*OFFSET(ORÇAMENTO!$W$15,ROW(AQ484)-ROW(AQ$15),0),15-13*ORÇAMENTO!$AF$11)),
         0)</f>
        <v>0</v>
      </c>
      <c r="AR484" s="453">
        <f ca="1">IF(AND($D484="Serviço",AR$12&lt;&gt;0,$H484&gt;0,OR(AUTOEVENTO&lt;&gt;"manual",$M484&lt;&gt;$A$15)),
        IF(Import.TipoArredondamento&lt;&gt;"TransfereGOV",
              ROUND(OFFSET($P484,0,AR$13),15-13*ORÇAMENTO!$AF$7)/$H484*OFFSET(ORÇAMENTO!$X$15,ROW(AR484)-ROW(AR$15),0),
              ROUND(ROUND(OFFSET($P484,0,AR$13),15-13*ORÇAMENTO!$AF$7)*OFFSET(ORÇAMENTO!$W$15,ROW(AR484)-ROW(AR$15),0),15-13*ORÇAMENTO!$AF$11)),
         0)</f>
        <v>0</v>
      </c>
      <c r="AS484" s="453">
        <f ca="1">IF(AND($D484="Serviço",AS$12&lt;&gt;0,$H484&gt;0,OR(AUTOEVENTO&lt;&gt;"manual",$M484&lt;&gt;$A$15)),
        IF(Import.TipoArredondamento&lt;&gt;"TransfereGOV",
              ROUND(OFFSET($P484,0,AS$13),15-13*ORÇAMENTO!$AF$7)/$H484*OFFSET(ORÇAMENTO!$X$15,ROW(AS484)-ROW(AS$15),0),
              ROUND(ROUND(OFFSET($P484,0,AS$13),15-13*ORÇAMENTO!$AF$7)*OFFSET(ORÇAMENTO!$W$15,ROW(AS484)-ROW(AS$15),0),15-13*ORÇAMENTO!$AF$11)),
         0)</f>
        <v>0</v>
      </c>
      <c r="AT484" s="453">
        <f ca="1">IF(AND($D484="Serviço",AT$12&lt;&gt;0,$H484&gt;0,OR(AUTOEVENTO&lt;&gt;"manual",$M484&lt;&gt;$A$15)),
        IF(Import.TipoArredondamento&lt;&gt;"TransfereGOV",
              ROUND(OFFSET($P484,0,AT$13),15-13*ORÇAMENTO!$AF$7)/$H484*OFFSET(ORÇAMENTO!$X$15,ROW(AT484)-ROW(AT$15),0),
              ROUND(ROUND(OFFSET($P484,0,AT$13),15-13*ORÇAMENTO!$AF$7)*OFFSET(ORÇAMENTO!$W$15,ROW(AT484)-ROW(AT$15),0),15-13*ORÇAMENTO!$AF$11)),
         0)</f>
        <v>0</v>
      </c>
      <c r="AU484" s="453">
        <f ca="1">IF(AND($D484="Serviço",AU$12&lt;&gt;0,$H484&gt;0,OR(AUTOEVENTO&lt;&gt;"manual",$M484&lt;&gt;$A$15)),
        IF(Import.TipoArredondamento&lt;&gt;"TransfereGOV",
              ROUND(OFFSET($P484,0,AU$13),15-13*ORÇAMENTO!$AF$7)/$H484*OFFSET(ORÇAMENTO!$X$15,ROW(AU484)-ROW(AU$15),0),
              ROUND(ROUND(OFFSET($P484,0,AU$13),15-13*ORÇAMENTO!$AF$7)*OFFSET(ORÇAMENTO!$W$15,ROW(AU484)-ROW(AU$15),0),15-13*ORÇAMENTO!$AF$11)),
         0)</f>
        <v>0</v>
      </c>
      <c r="AV484" s="453">
        <f ca="1">IF(AND($D484="Serviço",AV$12&lt;&gt;0,$H484&gt;0,OR(AUTOEVENTO&lt;&gt;"manual",$M484&lt;&gt;$A$15)),
        IF(Import.TipoArredondamento&lt;&gt;"TransfereGOV",
              ROUND(OFFSET($P484,0,AV$13),15-13*ORÇAMENTO!$AF$7)/$H484*OFFSET(ORÇAMENTO!$X$15,ROW(AV484)-ROW(AV$15),0),
              ROUND(ROUND(OFFSET($P484,0,AV$13),15-13*ORÇAMENTO!$AF$7)*OFFSET(ORÇAMENTO!$W$15,ROW(AV484)-ROW(AV$15),0),15-13*ORÇAMENTO!$AF$11)),
         0)</f>
        <v>0</v>
      </c>
      <c r="AW484" s="453">
        <f ca="1">IF(AND($D484="Serviço",AW$12&lt;&gt;0,$H484&gt;0,OR(AUTOEVENTO&lt;&gt;"manual",$M484&lt;&gt;$A$15)),
        IF(Import.TipoArredondamento&lt;&gt;"TransfereGOV",
              ROUND(OFFSET($P484,0,AW$13),15-13*ORÇAMENTO!$AF$7)/$H484*OFFSET(ORÇAMENTO!$X$15,ROW(AW484)-ROW(AW$15),0),
              ROUND(ROUND(OFFSET($P484,0,AW$13),15-13*ORÇAMENTO!$AF$7)*OFFSET(ORÇAMENTO!$W$15,ROW(AW484)-ROW(AW$15),0),15-13*ORÇAMENTO!$AF$11)),
         0)</f>
        <v>0</v>
      </c>
      <c r="AX484" s="453">
        <f ca="1">IF(AND($D484="Serviço",AX$12&lt;&gt;0,$H484&gt;0,OR(AUTOEVENTO&lt;&gt;"manual",$M484&lt;&gt;$A$15)),
        IF(Import.TipoArredondamento&lt;&gt;"TransfereGOV",
              ROUND(OFFSET($P484,0,AX$13),15-13*ORÇAMENTO!$AF$7)/$H484*OFFSET(ORÇAMENTO!$X$15,ROW(AX484)-ROW(AX$15),0),
              ROUND(ROUND(OFFSET($P484,0,AX$13),15-13*ORÇAMENTO!$AF$7)*OFFSET(ORÇAMENTO!$W$15,ROW(AX484)-ROW(AX$15),0),15-13*ORÇAMENTO!$AF$11)),
         0)</f>
        <v>0</v>
      </c>
      <c r="AY484" s="453">
        <f ca="1">IF(AND($D484="Serviço",AY$12&lt;&gt;0,$H484&gt;0,OR(AUTOEVENTO&lt;&gt;"manual",$M484&lt;&gt;$A$15)),
        IF(Import.TipoArredondamento&lt;&gt;"TransfereGOV",
              ROUND(OFFSET($P484,0,AY$13),15-13*ORÇAMENTO!$AF$7)/$H484*OFFSET(ORÇAMENTO!$X$15,ROW(AY484)-ROW(AY$15),0),
              ROUND(ROUND(OFFSET($P484,0,AY$13),15-13*ORÇAMENTO!$AF$7)*OFFSET(ORÇAMENTO!$W$15,ROW(AY484)-ROW(AY$15),0),15-13*ORÇAMENTO!$AF$11)),
         0)</f>
        <v>0</v>
      </c>
      <c r="AZ484" s="453">
        <f ca="1">IF(AND($D484="Serviço",AZ$12&lt;&gt;0,$H484&gt;0,OR(AUTOEVENTO&lt;&gt;"manual",$M484&lt;&gt;$A$15)),
        IF(Import.TipoArredondamento&lt;&gt;"TransfereGOV",
              ROUND(OFFSET($P484,0,AZ$13),15-13*ORÇAMENTO!$AF$7)/$H484*OFFSET(ORÇAMENTO!$X$15,ROW(AZ484)-ROW(AZ$15),0),
              ROUND(ROUND(OFFSET($P484,0,AZ$13),15-13*ORÇAMENTO!$AF$7)*OFFSET(ORÇAMENTO!$W$15,ROW(AZ484)-ROW(AZ$15),0),15-13*ORÇAMENTO!$AF$11)),
         0)</f>
        <v>0</v>
      </c>
      <c r="BA484" s="453">
        <f ca="1">IF(AND($D484="Serviço",BA$12&lt;&gt;0,$H484&gt;0,OR(AUTOEVENTO&lt;&gt;"manual",$M484&lt;&gt;$A$15)),
        IF(Import.TipoArredondamento&lt;&gt;"TransfereGOV",
              ROUND(OFFSET($P484,0,BA$13),15-13*ORÇAMENTO!$AF$7)/$H484*OFFSET(ORÇAMENTO!$X$15,ROW(BA484)-ROW(BA$15),0),
              ROUND(ROUND(OFFSET($P484,0,BA$13),15-13*ORÇAMENTO!$AF$7)*OFFSET(ORÇAMENTO!$W$15,ROW(BA484)-ROW(BA$15),0),15-13*ORÇAMENTO!$AF$11)),
         0)</f>
        <v>0</v>
      </c>
      <c r="BC484" s="171">
        <f ca="1">IF(OR($D484&lt;&gt;"Serviço",AND(AUTOEVENTO="Manual",$M484=$A$15)),0,
         IF(OFFSET(CRONOPLE!$F$15,$M484-$A$15,BC$13)=0,10^12,OFFSET(CRONOPLE!$F$15,$M484-$A$15,BC$13)))</f>
        <v>1000000000000</v>
      </c>
      <c r="BD484" s="171">
        <f ca="1">IF(OR($D484&lt;&gt;"Serviço",AND(AUTOEVENTO="Manual",$M484=$A$15)),0,
         IF(OFFSET(CRONOPLE!$F$15,$M484-$A$15,BD$13)=0,10^12,OFFSET(CRONOPLE!$F$15,$M484-$A$15,BD$13)))</f>
        <v>1000000000000</v>
      </c>
      <c r="BE484" s="171">
        <f ca="1">IF(OR($D484&lt;&gt;"Serviço",AND(AUTOEVENTO="Manual",$M484=$A$15)),0,
         IF(OFFSET(CRONOPLE!$F$15,$M484-$A$15,BE$13)=0,10^12,OFFSET(CRONOPLE!$F$15,$M484-$A$15,BE$13)))</f>
        <v>1000000000000</v>
      </c>
      <c r="BF484" s="171">
        <f ca="1">IF(OR($D484&lt;&gt;"Serviço",AND(AUTOEVENTO="Manual",$M484=$A$15)),0,
         IF(OFFSET(CRONOPLE!$F$15,$M484-$A$15,BF$13)=0,10^12,OFFSET(CRONOPLE!$F$15,$M484-$A$15,BF$13)))</f>
        <v>1000000000000</v>
      </c>
      <c r="BG484" s="171">
        <f ca="1">IF(OR($D484&lt;&gt;"Serviço",AND(AUTOEVENTO="Manual",$M484=$A$15)),0,
         IF(OFFSET(CRONOPLE!$F$15,$M484-$A$15,BG$13)=0,10^12,OFFSET(CRONOPLE!$F$15,$M484-$A$15,BG$13)))</f>
        <v>1000000000000</v>
      </c>
      <c r="BH484" s="171">
        <f ca="1">IF(OR($D484&lt;&gt;"Serviço",AND(AUTOEVENTO="Manual",$M484=$A$15)),0,
         IF(OFFSET(CRONOPLE!$F$15,$M484-$A$15,BH$13)=0,10^12,OFFSET(CRONOPLE!$F$15,$M484-$A$15,BH$13)))</f>
        <v>1000000000000</v>
      </c>
      <c r="BI484" s="171">
        <f ca="1">IF(OR($D484&lt;&gt;"Serviço",AND(AUTOEVENTO="Manual",$M484=$A$15)),0,
         IF(OFFSET(CRONOPLE!$F$15,$M484-$A$15,BI$13)=0,10^12,OFFSET(CRONOPLE!$F$15,$M484-$A$15,BI$13)))</f>
        <v>1000000000000</v>
      </c>
      <c r="BJ484" s="171">
        <f ca="1">IF(OR($D484&lt;&gt;"Serviço",AND(AUTOEVENTO="Manual",$M484=$A$15)),0,
         IF(OFFSET(CRONOPLE!$F$15,$M484-$A$15,BJ$13)=0,10^12,OFFSET(CRONOPLE!$F$15,$M484-$A$15,BJ$13)))</f>
        <v>1000000000000</v>
      </c>
      <c r="BK484" s="171">
        <f ca="1">IF(OR($D484&lt;&gt;"Serviço",AND(AUTOEVENTO="Manual",$M484=$A$15)),0,
         IF(OFFSET(CRONOPLE!$F$15,$M484-$A$15,BK$13)=0,10^12,OFFSET(CRONOPLE!$F$15,$M484-$A$15,BK$13)))</f>
        <v>9</v>
      </c>
      <c r="BL484" s="171">
        <f ca="1">IF(OR($D484&lt;&gt;"Serviço",AND(AUTOEVENTO="Manual",$M484=$A$15)),0,
         IF(OFFSET(CRONOPLE!$F$15,$M484-$A$15,BL$13)=0,10^12,OFFSET(CRONOPLE!$F$15,$M484-$A$15,BL$13)))</f>
        <v>10</v>
      </c>
      <c r="BM484" s="171">
        <f ca="1">IF(OR($D484&lt;&gt;"Serviço",AND(AUTOEVENTO="Manual",$M484=$A$15)),0,
         IF(OFFSET(CRONOPLE!$F$15,$M484-$A$15,BM$13)=0,10^12,OFFSET(CRONOPLE!$F$15,$M484-$A$15,BM$13)))</f>
        <v>1000000000000</v>
      </c>
      <c r="BN484" s="171">
        <f ca="1">IF(OR($D484&lt;&gt;"Serviço",AND(AUTOEVENTO="Manual",$M484=$A$15)),0,
         IF(OFFSET(CRONOPLE!$F$15,$M484-$A$15,BN$13)=0,10^12,OFFSET(CRONOPLE!$F$15,$M484-$A$15,BN$13)))</f>
        <v>1000000000000</v>
      </c>
      <c r="BO484" s="171">
        <f ca="1">IF(OR($D484&lt;&gt;"Serviço",AND(AUTOEVENTO="Manual",$M484=$A$15)),0,
         IF(OFFSET(CRONOPLE!$F$15,$M484-$A$15,BO$13)=0,10^12,OFFSET(CRONOPLE!$F$15,$M484-$A$15,BO$13)))</f>
        <v>1000000000000</v>
      </c>
      <c r="BP484" s="171">
        <f ca="1">IF(OR($D484&lt;&gt;"Serviço",AND(AUTOEVENTO="Manual",$M484=$A$15)),0,
         IF(OFFSET(CRONOPLE!$F$15,$M484-$A$15,BP$13)=0,10^12,OFFSET(CRONOPLE!$F$15,$M484-$A$15,BP$13)))</f>
        <v>1000000000000</v>
      </c>
      <c r="BQ484" s="171">
        <f ca="1">IF(OR($D484&lt;&gt;"Serviço",AND(AUTOEVENTO="Manual",$M484=$A$15)),0,
         IF(OFFSET(CRONOPLE!$F$15,$M484-$A$15,BQ$13)=0,10^12,OFFSET(CRONOPLE!$F$15,$M484-$A$15,BQ$13)))</f>
        <v>1000000000000</v>
      </c>
      <c r="BR484" s="171">
        <f ca="1">IF(OR($D484&lt;&gt;"Serviço",AND(AUTOEVENTO="Manual",$M484=$A$15)),0,
         IF(OFFSET(CRONOPLE!$F$15,$M484-$A$15,BR$13)=0,10^12,OFFSET(CRONOPLE!$F$15,$M484-$A$15,BR$13)))</f>
        <v>1000000000000</v>
      </c>
      <c r="BS484" s="171">
        <f ca="1">IF(OR($D484&lt;&gt;"Serviço",AND(AUTOEVENTO="Manual",$M484=$A$15)),0,
         IF(OFFSET(CRONOPLE!$F$15,$M484-$A$15,BS$13)=0,10^12,OFFSET(CRONOPLE!$F$15,$M484-$A$15,BS$13)))</f>
        <v>1000000000000</v>
      </c>
      <c r="BT484" s="171">
        <f ca="1">IF(OR($D484&lt;&gt;"Serviço",AND(AUTOEVENTO="Manual",$M484=$A$15)),0,
         IF(OFFSET(CRONOPLE!$F$15,$M484-$A$15,BT$13)=0,10^12,OFFSET(CRONOPLE!$F$15,$M484-$A$15,BT$13)))</f>
        <v>1000000000000</v>
      </c>
      <c r="BV484" s="172">
        <f ca="1">IF(OR($D484&lt;&gt;"Serviço",AND(AUTOEVENTO="Manual",$M484=$A$15),$M484&gt;(ROW(PLE.lastrow)-ROW(PLE.firstrow))),0,
           IF(OFFSET(PLE!$G$15,$M484-$A$15,BV$13)="",10^12,OFFSET(PLE!$G$15,$M484-$A$15,BV$13)))</f>
        <v>1000000000000</v>
      </c>
      <c r="BW484" s="172">
        <f ca="1">IF(OR($D484&lt;&gt;"Serviço",AND(AUTOEVENTO="Manual",$M484=$A$15),$M484&gt;(ROW(PLE.lastrow)-ROW(PLE.firstrow))),0,
           IF(OFFSET(PLE!$G$15,$M484-$A$15,BW$13)="",10^12,OFFSET(PLE!$G$15,$M484-$A$15,BW$13)))</f>
        <v>1000000000000</v>
      </c>
      <c r="BX484" s="172">
        <f ca="1">IF(OR($D484&lt;&gt;"Serviço",AND(AUTOEVENTO="Manual",$M484=$A$15),$M484&gt;(ROW(PLE.lastrow)-ROW(PLE.firstrow))),0,
           IF(OFFSET(PLE!$G$15,$M484-$A$15,BX$13)="",10^12,OFFSET(PLE!$G$15,$M484-$A$15,BX$13)))</f>
        <v>1000000000000</v>
      </c>
      <c r="BY484" s="172">
        <f ca="1">IF(OR($D484&lt;&gt;"Serviço",AND(AUTOEVENTO="Manual",$M484=$A$15),$M484&gt;(ROW(PLE.lastrow)-ROW(PLE.firstrow))),0,
           IF(OFFSET(PLE!$G$15,$M484-$A$15,BY$13)="",10^12,OFFSET(PLE!$G$15,$M484-$A$15,BY$13)))</f>
        <v>1000000000000</v>
      </c>
      <c r="BZ484" s="172">
        <f ca="1">IF(OR($D484&lt;&gt;"Serviço",AND(AUTOEVENTO="Manual",$M484=$A$15),$M484&gt;(ROW(PLE.lastrow)-ROW(PLE.firstrow))),0,
           IF(OFFSET(PLE!$G$15,$M484-$A$15,BZ$13)="",10^12,OFFSET(PLE!$G$15,$M484-$A$15,BZ$13)))</f>
        <v>1000000000000</v>
      </c>
      <c r="CA484" s="172">
        <f ca="1">IF(OR($D484&lt;&gt;"Serviço",AND(AUTOEVENTO="Manual",$M484=$A$15),$M484&gt;(ROW(PLE.lastrow)-ROW(PLE.firstrow))),0,
           IF(OFFSET(PLE!$G$15,$M484-$A$15,CA$13)="",10^12,OFFSET(PLE!$G$15,$M484-$A$15,CA$13)))</f>
        <v>1000000000000</v>
      </c>
      <c r="CB484" s="172">
        <f ca="1">IF(OR($D484&lt;&gt;"Serviço",AND(AUTOEVENTO="Manual",$M484=$A$15),$M484&gt;(ROW(PLE.lastrow)-ROW(PLE.firstrow))),0,
           IF(OFFSET(PLE!$G$15,$M484-$A$15,CB$13)="",10^12,OFFSET(PLE!$G$15,$M484-$A$15,CB$13)))</f>
        <v>1000000000000</v>
      </c>
      <c r="CC484" s="172">
        <f ca="1">IF(OR($D484&lt;&gt;"Serviço",AND(AUTOEVENTO="Manual",$M484=$A$15),$M484&gt;(ROW(PLE.lastrow)-ROW(PLE.firstrow))),0,
           IF(OFFSET(PLE!$G$15,$M484-$A$15,CC$13)="",10^12,OFFSET(PLE!$G$15,$M484-$A$15,CC$13)))</f>
        <v>1000000000000</v>
      </c>
      <c r="CD484" s="172">
        <f ca="1">IF(OR($D484&lt;&gt;"Serviço",AND(AUTOEVENTO="Manual",$M484=$A$15),$M484&gt;(ROW(PLE.lastrow)-ROW(PLE.firstrow))),0,
           IF(OFFSET(PLE!$G$15,$M484-$A$15,CD$13)="",10^12,OFFSET(PLE!$G$15,$M484-$A$15,CD$13)))</f>
        <v>1000000000000</v>
      </c>
      <c r="CE484" s="172">
        <f ca="1">IF(OR($D484&lt;&gt;"Serviço",AND(AUTOEVENTO="Manual",$M484=$A$15),$M484&gt;(ROW(PLE.lastrow)-ROW(PLE.firstrow))),0,
           IF(OFFSET(PLE!$G$15,$M484-$A$15,CE$13)="",10^12,OFFSET(PLE!$G$15,$M484-$A$15,CE$13)))</f>
        <v>1000000000000</v>
      </c>
      <c r="CF484" s="172">
        <f ca="1">IF(OR($D484&lt;&gt;"Serviço",AND(AUTOEVENTO="Manual",$M484=$A$15),$M484&gt;(ROW(PLE.lastrow)-ROW(PLE.firstrow))),0,
           IF(OFFSET(PLE!$G$15,$M484-$A$15,CF$13)="",10^12,OFFSET(PLE!$G$15,$M484-$A$15,CF$13)))</f>
        <v>1000000000000</v>
      </c>
      <c r="CG484" s="172">
        <f ca="1">IF(OR($D484&lt;&gt;"Serviço",AND(AUTOEVENTO="Manual",$M484=$A$15),$M484&gt;(ROW(PLE.lastrow)-ROW(PLE.firstrow))),0,
           IF(OFFSET(PLE!$G$15,$M484-$A$15,CG$13)="",10^12,OFFSET(PLE!$G$15,$M484-$A$15,CG$13)))</f>
        <v>1000000000000</v>
      </c>
      <c r="CH484" s="172">
        <f ca="1">IF(OR($D484&lt;&gt;"Serviço",AND(AUTOEVENTO="Manual",$M484=$A$15),$M484&gt;(ROW(PLE.lastrow)-ROW(PLE.firstrow))),0,
           IF(OFFSET(PLE!$G$15,$M484-$A$15,CH$13)="",10^12,OFFSET(PLE!$G$15,$M484-$A$15,CH$13)))</f>
        <v>1000000000000</v>
      </c>
      <c r="CI484" s="172">
        <f ca="1">IF(OR($D484&lt;&gt;"Serviço",AND(AUTOEVENTO="Manual",$M484=$A$15),$M484&gt;(ROW(PLE.lastrow)-ROW(PLE.firstrow))),0,
           IF(OFFSET(PLE!$G$15,$M484-$A$15,CI$13)="",10^12,OFFSET(PLE!$G$15,$M484-$A$15,CI$13)))</f>
        <v>1000000000000</v>
      </c>
      <c r="CJ484" s="172">
        <f ca="1">IF(OR($D484&lt;&gt;"Serviço",AND(AUTOEVENTO="Manual",$M484=$A$15),$M484&gt;(ROW(PLE.lastrow)-ROW(PLE.firstrow))),0,
           IF(OFFSET(PLE!$G$15,$M484-$A$15,CJ$13)="",10^12,OFFSET(PLE!$G$15,$M484-$A$15,CJ$13)))</f>
        <v>1000000000000</v>
      </c>
      <c r="CK484" s="172">
        <f ca="1">IF(OR($D484&lt;&gt;"Serviço",AND(AUTOEVENTO="Manual",$M484=$A$15),$M484&gt;(ROW(PLE.lastrow)-ROW(PLE.firstrow))),0,
           IF(OFFSET(PLE!$G$15,$M484-$A$15,CK$13)="",10^12,OFFSET(PLE!$G$15,$M484-$A$15,CK$13)))</f>
        <v>1000000000000</v>
      </c>
      <c r="CL484" s="172">
        <f ca="1">IF(OR($D484&lt;&gt;"Serviço",AND(AUTOEVENTO="Manual",$M484=$A$15),$M484&gt;(ROW(PLE.lastrow)-ROW(PLE.firstrow))),0,
           IF(OFFSET(PLE!$G$15,$M484-$A$15,CL$13)="",10^12,OFFSET(PLE!$G$15,$M484-$A$15,CL$13)))</f>
        <v>1000000000000</v>
      </c>
      <c r="CM484" s="172">
        <f ca="1">IF(OR($D484&lt;&gt;"Serviço",AND(AUTOEVENTO="Manual",$M484=$A$15),$M484&gt;(ROW(PLE.lastrow)-ROW(PLE.firstrow))),0,
           IF(OFFSET(PLE!$G$15,$M484-$A$15,CM$13)="",10^12,OFFSET(PLE!$G$15,$M484-$A$15,CM$13)))</f>
        <v>1000000000000</v>
      </c>
    </row>
    <row r="485" spans="1:91" ht="114.75" x14ac:dyDescent="0.2">
      <c r="A485" s="7">
        <f t="shared" ca="1" si="17"/>
        <v>9</v>
      </c>
      <c r="B485" s="7" t="str">
        <f ca="1">OFFSET(ORÇAMENTO!C$15,ROW(B485)-ROW(B$15),0)</f>
        <v>S</v>
      </c>
      <c r="C485" s="7" t="str">
        <f ca="1">OFFSET(ORÇAMENTO!L$15,ROW(C485)-ROW(C$15),0)</f>
        <v>F</v>
      </c>
      <c r="D485" s="116" t="str">
        <f ca="1">OFFSET(ORÇAMENTO!N$15,ROW(D485)-ROW(D$15),0)</f>
        <v>Serviço</v>
      </c>
      <c r="E485" s="117" t="str">
        <f ca="1">OFFSET(ORÇAMENTO!O$15,ROW(E485)-ROW(E$15),0)</f>
        <v>1.10.2.0.2.</v>
      </c>
      <c r="F485" s="163" t="str">
        <f ca="1">OFFSET(ORÇAMENTO!R$15,ROW(F485)-ROW(F$15),0)</f>
        <v>ENCUNHAMENTO DE ALVENARIA DE VEDAÇÃO COM ARGAMASSA, INCLUSIVE ADITIVO EXPANSOR PARA ENCUNHAMENTO</v>
      </c>
      <c r="G485" s="164" t="str">
        <f ca="1">IF($D485&lt;&gt;"Serviço","",OFFSET(ORÇAMENTO!S$15,ROW(G485)-ROW(G$15),0))</f>
        <v>M</v>
      </c>
      <c r="H485" s="122" cm="1">
        <f t="array" aca="1" ref="H485" ca="1">IF($D485&lt;&gt;"Serviço",0,IF(ACOMPANHAMENTO="BM",ROUND(OFFSET(ORÇAMENTO!AJ$15,ROW(H485)-ROW(H$15),0),15-13*ORÇAMENTO!$AF$7),SUMPRODUCT(($Q$1:$AI$1=1)*ROUND($Q485:$AI485,15-13*ORÇAMENTO!$AF$7))))</f>
        <v>14.12</v>
      </c>
      <c r="I485" s="468" t="s">
        <v>1397</v>
      </c>
      <c r="J485" s="640" t="str" cm="1">
        <f t="array" aca="1" ref="J485" ca="1">IF(OR(B485&lt;&gt;"S",CÁLCULO.FrentesPreenchidas=0),"",IF(AND(ACOMPANHAMENTO="PLE",AUTOEVENTO="Manual",OR(H485&gt;0,ORÇAMENTO!AC485="QUANT."),OR(K485="",M485=0,N485="")),"►E",IF(AND(ACOMPANHAMENTO="PLE",ORÇAMENTO!AC485="QUANT."),"►Q",IF(AND(ACOMPANHAMENTO="PLE",H485&lt;&gt;SUMPRODUCT(($Q$1:$AI$1=1)*ROUND(Q485:AI485,15))),"►S",IF(AND(COUNTIF($P$11:$AI$11,"▼")=0,H485&gt;0,I485=""),"◄M","")))))</f>
        <v/>
      </c>
      <c r="K485" s="641" t="s">
        <v>1393</v>
      </c>
      <c r="L485" s="165" t="s">
        <v>764</v>
      </c>
      <c r="M485" s="166">
        <f ca="1">IF($D485&lt;&gt;"Serviço","",
          IF(AUTOEVENTO="manual",$A485,
                IF(ISERROR(MATCH($A485,$A$15:OFFSET($A485,-1,0),0)),MAX($M$15:OFFSET(M485,-1,0))+1,
                      INDEX($M$15:OFFSET(M485,-1,0),MATCH($A485,$A$15:OFFSET($A485,-1,0),0)))))</f>
        <v>9</v>
      </c>
      <c r="N485" s="167" t="str">
        <f ca="1">IF($D485&lt;&gt;"Serviço","",
         IF(AUTOEVENTO="Manual",
                IF($A485=0,"&lt;-- defina o número do agrupador",
                       OFFSET(EVENTOS!$D$15,$A485-$A$15,0)),
                OFFSET($F$15,$A485,0)))</f>
        <v>Arquitetura</v>
      </c>
      <c r="O485" s="168"/>
      <c r="Q485" s="168"/>
      <c r="R485" s="169"/>
      <c r="S485" s="169"/>
      <c r="T485" s="169"/>
      <c r="U485" s="169"/>
      <c r="V485" s="169"/>
      <c r="W485" s="169"/>
      <c r="X485" s="169"/>
      <c r="Y485" s="169"/>
      <c r="Z485" s="170">
        <f>4.38*2+2.68*2</f>
        <v>14.120000000000001</v>
      </c>
      <c r="AA485" s="169"/>
      <c r="AB485" s="169"/>
      <c r="AC485" s="169"/>
      <c r="AD485" s="169"/>
      <c r="AE485" s="169"/>
      <c r="AF485" s="169"/>
      <c r="AG485" s="169"/>
      <c r="AH485" s="170"/>
      <c r="AJ485" s="453">
        <f ca="1">IF(AND($D485="Serviço",AJ$12&lt;&gt;0,$H485&gt;0,OR(AUTOEVENTO&lt;&gt;"manual",$M485&lt;&gt;$A$15)),
        IF(Import.TipoArredondamento&lt;&gt;"TransfereGOV",
              ROUND(OFFSET($P485,0,AJ$13),15-13*ORÇAMENTO!$AF$7)/$H485*OFFSET(ORÇAMENTO!$X$15,ROW(AJ485)-ROW(AJ$15),0),
              ROUND(ROUND(OFFSET($P485,0,AJ$13),15-13*ORÇAMENTO!$AF$7)*OFFSET(ORÇAMENTO!$W$15,ROW(AJ485)-ROW(AJ$15),0),15-13*ORÇAMENTO!$AF$11)),
         0)</f>
        <v>0</v>
      </c>
      <c r="AK485" s="453">
        <f ca="1">IF(AND($D485="Serviço",AK$12&lt;&gt;0,$H485&gt;0,OR(AUTOEVENTO&lt;&gt;"manual",$M485&lt;&gt;$A$15)),
        IF(Import.TipoArredondamento&lt;&gt;"TransfereGOV",
              ROUND(OFFSET($P485,0,AK$13),15-13*ORÇAMENTO!$AF$7)/$H485*OFFSET(ORÇAMENTO!$X$15,ROW(AK485)-ROW(AK$15),0),
              ROUND(ROUND(OFFSET($P485,0,AK$13),15-13*ORÇAMENTO!$AF$7)*OFFSET(ORÇAMENTO!$W$15,ROW(AK485)-ROW(AK$15),0),15-13*ORÇAMENTO!$AF$11)),
         0)</f>
        <v>0</v>
      </c>
      <c r="AL485" s="453">
        <f ca="1">IF(AND($D485="Serviço",AL$12&lt;&gt;0,$H485&gt;0,OR(AUTOEVENTO&lt;&gt;"manual",$M485&lt;&gt;$A$15)),
        IF(Import.TipoArredondamento&lt;&gt;"TransfereGOV",
              ROUND(OFFSET($P485,0,AL$13),15-13*ORÇAMENTO!$AF$7)/$H485*OFFSET(ORÇAMENTO!$X$15,ROW(AL485)-ROW(AL$15),0),
              ROUND(ROUND(OFFSET($P485,0,AL$13),15-13*ORÇAMENTO!$AF$7)*OFFSET(ORÇAMENTO!$W$15,ROW(AL485)-ROW(AL$15),0),15-13*ORÇAMENTO!$AF$11)),
         0)</f>
        <v>0</v>
      </c>
      <c r="AM485" s="453">
        <f ca="1">IF(AND($D485="Serviço",AM$12&lt;&gt;0,$H485&gt;0,OR(AUTOEVENTO&lt;&gt;"manual",$M485&lt;&gt;$A$15)),
        IF(Import.TipoArredondamento&lt;&gt;"TransfereGOV",
              ROUND(OFFSET($P485,0,AM$13),15-13*ORÇAMENTO!$AF$7)/$H485*OFFSET(ORÇAMENTO!$X$15,ROW(AM485)-ROW(AM$15),0),
              ROUND(ROUND(OFFSET($P485,0,AM$13),15-13*ORÇAMENTO!$AF$7)*OFFSET(ORÇAMENTO!$W$15,ROW(AM485)-ROW(AM$15),0),15-13*ORÇAMENTO!$AF$11)),
         0)</f>
        <v>0</v>
      </c>
      <c r="AN485" s="453">
        <f ca="1">IF(AND($D485="Serviço",AN$12&lt;&gt;0,$H485&gt;0,OR(AUTOEVENTO&lt;&gt;"manual",$M485&lt;&gt;$A$15)),
        IF(Import.TipoArredondamento&lt;&gt;"TransfereGOV",
              ROUND(OFFSET($P485,0,AN$13),15-13*ORÇAMENTO!$AF$7)/$H485*OFFSET(ORÇAMENTO!$X$15,ROW(AN485)-ROW(AN$15),0),
              ROUND(ROUND(OFFSET($P485,0,AN$13),15-13*ORÇAMENTO!$AF$7)*OFFSET(ORÇAMENTO!$W$15,ROW(AN485)-ROW(AN$15),0),15-13*ORÇAMENTO!$AF$11)),
         0)</f>
        <v>0</v>
      </c>
      <c r="AO485" s="453">
        <f ca="1">IF(AND($D485="Serviço",AO$12&lt;&gt;0,$H485&gt;0,OR(AUTOEVENTO&lt;&gt;"manual",$M485&lt;&gt;$A$15)),
        IF(Import.TipoArredondamento&lt;&gt;"TransfereGOV",
              ROUND(OFFSET($P485,0,AO$13),15-13*ORÇAMENTO!$AF$7)/$H485*OFFSET(ORÇAMENTO!$X$15,ROW(AO485)-ROW(AO$15),0),
              ROUND(ROUND(OFFSET($P485,0,AO$13),15-13*ORÇAMENTO!$AF$7)*OFFSET(ORÇAMENTO!$W$15,ROW(AO485)-ROW(AO$15),0),15-13*ORÇAMENTO!$AF$11)),
         0)</f>
        <v>0</v>
      </c>
      <c r="AP485" s="453">
        <f ca="1">IF(AND($D485="Serviço",AP$12&lt;&gt;0,$H485&gt;0,OR(AUTOEVENTO&lt;&gt;"manual",$M485&lt;&gt;$A$15)),
        IF(Import.TipoArredondamento&lt;&gt;"TransfereGOV",
              ROUND(OFFSET($P485,0,AP$13),15-13*ORÇAMENTO!$AF$7)/$H485*OFFSET(ORÇAMENTO!$X$15,ROW(AP485)-ROW(AP$15),0),
              ROUND(ROUND(OFFSET($P485,0,AP$13),15-13*ORÇAMENTO!$AF$7)*OFFSET(ORÇAMENTO!$W$15,ROW(AP485)-ROW(AP$15),0),15-13*ORÇAMENTO!$AF$11)),
         0)</f>
        <v>0</v>
      </c>
      <c r="AQ485" s="453">
        <f ca="1">IF(AND($D485="Serviço",AQ$12&lt;&gt;0,$H485&gt;0,OR(AUTOEVENTO&lt;&gt;"manual",$M485&lt;&gt;$A$15)),
        IF(Import.TipoArredondamento&lt;&gt;"TransfereGOV",
              ROUND(OFFSET($P485,0,AQ$13),15-13*ORÇAMENTO!$AF$7)/$H485*OFFSET(ORÇAMENTO!$X$15,ROW(AQ485)-ROW(AQ$15),0),
              ROUND(ROUND(OFFSET($P485,0,AQ$13),15-13*ORÇAMENTO!$AF$7)*OFFSET(ORÇAMENTO!$W$15,ROW(AQ485)-ROW(AQ$15),0),15-13*ORÇAMENTO!$AF$11)),
         0)</f>
        <v>0</v>
      </c>
      <c r="AR485" s="453">
        <f ca="1">IF(AND($D485="Serviço",AR$12&lt;&gt;0,$H485&gt;0,OR(AUTOEVENTO&lt;&gt;"manual",$M485&lt;&gt;$A$15)),
        IF(Import.TipoArredondamento&lt;&gt;"TransfereGOV",
              ROUND(OFFSET($P485,0,AR$13),15-13*ORÇAMENTO!$AF$7)/$H485*OFFSET(ORÇAMENTO!$X$15,ROW(AR485)-ROW(AR$15),0),
              ROUND(ROUND(OFFSET($P485,0,AR$13),15-13*ORÇAMENTO!$AF$7)*OFFSET(ORÇAMENTO!$W$15,ROW(AR485)-ROW(AR$15),0),15-13*ORÇAMENTO!$AF$11)),
         0)</f>
        <v>0</v>
      </c>
      <c r="AS485" s="453">
        <f ca="1">IF(AND($D485="Serviço",AS$12&lt;&gt;0,$H485&gt;0,OR(AUTOEVENTO&lt;&gt;"manual",$M485&lt;&gt;$A$15)),
        IF(Import.TipoArredondamento&lt;&gt;"TransfereGOV",
              ROUND(OFFSET($P485,0,AS$13),15-13*ORÇAMENTO!$AF$7)/$H485*OFFSET(ORÇAMENTO!$X$15,ROW(AS485)-ROW(AS$15),0),
              ROUND(ROUND(OFFSET($P485,0,AS$13),15-13*ORÇAMENTO!$AF$7)*OFFSET(ORÇAMENTO!$W$15,ROW(AS485)-ROW(AS$15),0),15-13*ORÇAMENTO!$AF$11)),
         0)</f>
        <v>0</v>
      </c>
      <c r="AT485" s="453">
        <f ca="1">IF(AND($D485="Serviço",AT$12&lt;&gt;0,$H485&gt;0,OR(AUTOEVENTO&lt;&gt;"manual",$M485&lt;&gt;$A$15)),
        IF(Import.TipoArredondamento&lt;&gt;"TransfereGOV",
              ROUND(OFFSET($P485,0,AT$13),15-13*ORÇAMENTO!$AF$7)/$H485*OFFSET(ORÇAMENTO!$X$15,ROW(AT485)-ROW(AT$15),0),
              ROUND(ROUND(OFFSET($P485,0,AT$13),15-13*ORÇAMENTO!$AF$7)*OFFSET(ORÇAMENTO!$W$15,ROW(AT485)-ROW(AT$15),0),15-13*ORÇAMENTO!$AF$11)),
         0)</f>
        <v>0</v>
      </c>
      <c r="AU485" s="453">
        <f ca="1">IF(AND($D485="Serviço",AU$12&lt;&gt;0,$H485&gt;0,OR(AUTOEVENTO&lt;&gt;"manual",$M485&lt;&gt;$A$15)),
        IF(Import.TipoArredondamento&lt;&gt;"TransfereGOV",
              ROUND(OFFSET($P485,0,AU$13),15-13*ORÇAMENTO!$AF$7)/$H485*OFFSET(ORÇAMENTO!$X$15,ROW(AU485)-ROW(AU$15),0),
              ROUND(ROUND(OFFSET($P485,0,AU$13),15-13*ORÇAMENTO!$AF$7)*OFFSET(ORÇAMENTO!$W$15,ROW(AU485)-ROW(AU$15),0),15-13*ORÇAMENTO!$AF$11)),
         0)</f>
        <v>0</v>
      </c>
      <c r="AV485" s="453">
        <f ca="1">IF(AND($D485="Serviço",AV$12&lt;&gt;0,$H485&gt;0,OR(AUTOEVENTO&lt;&gt;"manual",$M485&lt;&gt;$A$15)),
        IF(Import.TipoArredondamento&lt;&gt;"TransfereGOV",
              ROUND(OFFSET($P485,0,AV$13),15-13*ORÇAMENTO!$AF$7)/$H485*OFFSET(ORÇAMENTO!$X$15,ROW(AV485)-ROW(AV$15),0),
              ROUND(ROUND(OFFSET($P485,0,AV$13),15-13*ORÇAMENTO!$AF$7)*OFFSET(ORÇAMENTO!$W$15,ROW(AV485)-ROW(AV$15),0),15-13*ORÇAMENTO!$AF$11)),
         0)</f>
        <v>0</v>
      </c>
      <c r="AW485" s="453">
        <f ca="1">IF(AND($D485="Serviço",AW$12&lt;&gt;0,$H485&gt;0,OR(AUTOEVENTO&lt;&gt;"manual",$M485&lt;&gt;$A$15)),
        IF(Import.TipoArredondamento&lt;&gt;"TransfereGOV",
              ROUND(OFFSET($P485,0,AW$13),15-13*ORÇAMENTO!$AF$7)/$H485*OFFSET(ORÇAMENTO!$X$15,ROW(AW485)-ROW(AW$15),0),
              ROUND(ROUND(OFFSET($P485,0,AW$13),15-13*ORÇAMENTO!$AF$7)*OFFSET(ORÇAMENTO!$W$15,ROW(AW485)-ROW(AW$15),0),15-13*ORÇAMENTO!$AF$11)),
         0)</f>
        <v>0</v>
      </c>
      <c r="AX485" s="453">
        <f ca="1">IF(AND($D485="Serviço",AX$12&lt;&gt;0,$H485&gt;0,OR(AUTOEVENTO&lt;&gt;"manual",$M485&lt;&gt;$A$15)),
        IF(Import.TipoArredondamento&lt;&gt;"TransfereGOV",
              ROUND(OFFSET($P485,0,AX$13),15-13*ORÇAMENTO!$AF$7)/$H485*OFFSET(ORÇAMENTO!$X$15,ROW(AX485)-ROW(AX$15),0),
              ROUND(ROUND(OFFSET($P485,0,AX$13),15-13*ORÇAMENTO!$AF$7)*OFFSET(ORÇAMENTO!$W$15,ROW(AX485)-ROW(AX$15),0),15-13*ORÇAMENTO!$AF$11)),
         0)</f>
        <v>0</v>
      </c>
      <c r="AY485" s="453">
        <f ca="1">IF(AND($D485="Serviço",AY$12&lt;&gt;0,$H485&gt;0,OR(AUTOEVENTO&lt;&gt;"manual",$M485&lt;&gt;$A$15)),
        IF(Import.TipoArredondamento&lt;&gt;"TransfereGOV",
              ROUND(OFFSET($P485,0,AY$13),15-13*ORÇAMENTO!$AF$7)/$H485*OFFSET(ORÇAMENTO!$X$15,ROW(AY485)-ROW(AY$15),0),
              ROUND(ROUND(OFFSET($P485,0,AY$13),15-13*ORÇAMENTO!$AF$7)*OFFSET(ORÇAMENTO!$W$15,ROW(AY485)-ROW(AY$15),0),15-13*ORÇAMENTO!$AF$11)),
         0)</f>
        <v>0</v>
      </c>
      <c r="AZ485" s="453">
        <f ca="1">IF(AND($D485="Serviço",AZ$12&lt;&gt;0,$H485&gt;0,OR(AUTOEVENTO&lt;&gt;"manual",$M485&lt;&gt;$A$15)),
        IF(Import.TipoArredondamento&lt;&gt;"TransfereGOV",
              ROUND(OFFSET($P485,0,AZ$13),15-13*ORÇAMENTO!$AF$7)/$H485*OFFSET(ORÇAMENTO!$X$15,ROW(AZ485)-ROW(AZ$15),0),
              ROUND(ROUND(OFFSET($P485,0,AZ$13),15-13*ORÇAMENTO!$AF$7)*OFFSET(ORÇAMENTO!$W$15,ROW(AZ485)-ROW(AZ$15),0),15-13*ORÇAMENTO!$AF$11)),
         0)</f>
        <v>0</v>
      </c>
      <c r="BA485" s="453">
        <f ca="1">IF(AND($D485="Serviço",BA$12&lt;&gt;0,$H485&gt;0,OR(AUTOEVENTO&lt;&gt;"manual",$M485&lt;&gt;$A$15)),
        IF(Import.TipoArredondamento&lt;&gt;"TransfereGOV",
              ROUND(OFFSET($P485,0,BA$13),15-13*ORÇAMENTO!$AF$7)/$H485*OFFSET(ORÇAMENTO!$X$15,ROW(BA485)-ROW(BA$15),0),
              ROUND(ROUND(OFFSET($P485,0,BA$13),15-13*ORÇAMENTO!$AF$7)*OFFSET(ORÇAMENTO!$W$15,ROW(BA485)-ROW(BA$15),0),15-13*ORÇAMENTO!$AF$11)),
         0)</f>
        <v>0</v>
      </c>
      <c r="BC485" s="171">
        <f ca="1">IF(OR($D485&lt;&gt;"Serviço",AND(AUTOEVENTO="Manual",$M485=$A$15)),0,
         IF(OFFSET(CRONOPLE!$F$15,$M485-$A$15,BC$13)=0,10^12,OFFSET(CRONOPLE!$F$15,$M485-$A$15,BC$13)))</f>
        <v>1000000000000</v>
      </c>
      <c r="BD485" s="171">
        <f ca="1">IF(OR($D485&lt;&gt;"Serviço",AND(AUTOEVENTO="Manual",$M485=$A$15)),0,
         IF(OFFSET(CRONOPLE!$F$15,$M485-$A$15,BD$13)=0,10^12,OFFSET(CRONOPLE!$F$15,$M485-$A$15,BD$13)))</f>
        <v>1000000000000</v>
      </c>
      <c r="BE485" s="171">
        <f ca="1">IF(OR($D485&lt;&gt;"Serviço",AND(AUTOEVENTO="Manual",$M485=$A$15)),0,
         IF(OFFSET(CRONOPLE!$F$15,$M485-$A$15,BE$13)=0,10^12,OFFSET(CRONOPLE!$F$15,$M485-$A$15,BE$13)))</f>
        <v>1000000000000</v>
      </c>
      <c r="BF485" s="171">
        <f ca="1">IF(OR($D485&lt;&gt;"Serviço",AND(AUTOEVENTO="Manual",$M485=$A$15)),0,
         IF(OFFSET(CRONOPLE!$F$15,$M485-$A$15,BF$13)=0,10^12,OFFSET(CRONOPLE!$F$15,$M485-$A$15,BF$13)))</f>
        <v>1000000000000</v>
      </c>
      <c r="BG485" s="171">
        <f ca="1">IF(OR($D485&lt;&gt;"Serviço",AND(AUTOEVENTO="Manual",$M485=$A$15)),0,
         IF(OFFSET(CRONOPLE!$F$15,$M485-$A$15,BG$13)=0,10^12,OFFSET(CRONOPLE!$F$15,$M485-$A$15,BG$13)))</f>
        <v>1000000000000</v>
      </c>
      <c r="BH485" s="171">
        <f ca="1">IF(OR($D485&lt;&gt;"Serviço",AND(AUTOEVENTO="Manual",$M485=$A$15)),0,
         IF(OFFSET(CRONOPLE!$F$15,$M485-$A$15,BH$13)=0,10^12,OFFSET(CRONOPLE!$F$15,$M485-$A$15,BH$13)))</f>
        <v>1000000000000</v>
      </c>
      <c r="BI485" s="171">
        <f ca="1">IF(OR($D485&lt;&gt;"Serviço",AND(AUTOEVENTO="Manual",$M485=$A$15)),0,
         IF(OFFSET(CRONOPLE!$F$15,$M485-$A$15,BI$13)=0,10^12,OFFSET(CRONOPLE!$F$15,$M485-$A$15,BI$13)))</f>
        <v>1000000000000</v>
      </c>
      <c r="BJ485" s="171">
        <f ca="1">IF(OR($D485&lt;&gt;"Serviço",AND(AUTOEVENTO="Manual",$M485=$A$15)),0,
         IF(OFFSET(CRONOPLE!$F$15,$M485-$A$15,BJ$13)=0,10^12,OFFSET(CRONOPLE!$F$15,$M485-$A$15,BJ$13)))</f>
        <v>1000000000000</v>
      </c>
      <c r="BK485" s="171">
        <f ca="1">IF(OR($D485&lt;&gt;"Serviço",AND(AUTOEVENTO="Manual",$M485=$A$15)),0,
         IF(OFFSET(CRONOPLE!$F$15,$M485-$A$15,BK$13)=0,10^12,OFFSET(CRONOPLE!$F$15,$M485-$A$15,BK$13)))</f>
        <v>9</v>
      </c>
      <c r="BL485" s="171">
        <f ca="1">IF(OR($D485&lt;&gt;"Serviço",AND(AUTOEVENTO="Manual",$M485=$A$15)),0,
         IF(OFFSET(CRONOPLE!$F$15,$M485-$A$15,BL$13)=0,10^12,OFFSET(CRONOPLE!$F$15,$M485-$A$15,BL$13)))</f>
        <v>10</v>
      </c>
      <c r="BM485" s="171">
        <f ca="1">IF(OR($D485&lt;&gt;"Serviço",AND(AUTOEVENTO="Manual",$M485=$A$15)),0,
         IF(OFFSET(CRONOPLE!$F$15,$M485-$A$15,BM$13)=0,10^12,OFFSET(CRONOPLE!$F$15,$M485-$A$15,BM$13)))</f>
        <v>1000000000000</v>
      </c>
      <c r="BN485" s="171">
        <f ca="1">IF(OR($D485&lt;&gt;"Serviço",AND(AUTOEVENTO="Manual",$M485=$A$15)),0,
         IF(OFFSET(CRONOPLE!$F$15,$M485-$A$15,BN$13)=0,10^12,OFFSET(CRONOPLE!$F$15,$M485-$A$15,BN$13)))</f>
        <v>1000000000000</v>
      </c>
      <c r="BO485" s="171">
        <f ca="1">IF(OR($D485&lt;&gt;"Serviço",AND(AUTOEVENTO="Manual",$M485=$A$15)),0,
         IF(OFFSET(CRONOPLE!$F$15,$M485-$A$15,BO$13)=0,10^12,OFFSET(CRONOPLE!$F$15,$M485-$A$15,BO$13)))</f>
        <v>1000000000000</v>
      </c>
      <c r="BP485" s="171">
        <f ca="1">IF(OR($D485&lt;&gt;"Serviço",AND(AUTOEVENTO="Manual",$M485=$A$15)),0,
         IF(OFFSET(CRONOPLE!$F$15,$M485-$A$15,BP$13)=0,10^12,OFFSET(CRONOPLE!$F$15,$M485-$A$15,BP$13)))</f>
        <v>1000000000000</v>
      </c>
      <c r="BQ485" s="171">
        <f ca="1">IF(OR($D485&lt;&gt;"Serviço",AND(AUTOEVENTO="Manual",$M485=$A$15)),0,
         IF(OFFSET(CRONOPLE!$F$15,$M485-$A$15,BQ$13)=0,10^12,OFFSET(CRONOPLE!$F$15,$M485-$A$15,BQ$13)))</f>
        <v>1000000000000</v>
      </c>
      <c r="BR485" s="171">
        <f ca="1">IF(OR($D485&lt;&gt;"Serviço",AND(AUTOEVENTO="Manual",$M485=$A$15)),0,
         IF(OFFSET(CRONOPLE!$F$15,$M485-$A$15,BR$13)=0,10^12,OFFSET(CRONOPLE!$F$15,$M485-$A$15,BR$13)))</f>
        <v>1000000000000</v>
      </c>
      <c r="BS485" s="171">
        <f ca="1">IF(OR($D485&lt;&gt;"Serviço",AND(AUTOEVENTO="Manual",$M485=$A$15)),0,
         IF(OFFSET(CRONOPLE!$F$15,$M485-$A$15,BS$13)=0,10^12,OFFSET(CRONOPLE!$F$15,$M485-$A$15,BS$13)))</f>
        <v>1000000000000</v>
      </c>
      <c r="BT485" s="171">
        <f ca="1">IF(OR($D485&lt;&gt;"Serviço",AND(AUTOEVENTO="Manual",$M485=$A$15)),0,
         IF(OFFSET(CRONOPLE!$F$15,$M485-$A$15,BT$13)=0,10^12,OFFSET(CRONOPLE!$F$15,$M485-$A$15,BT$13)))</f>
        <v>1000000000000</v>
      </c>
      <c r="BV485" s="172">
        <f ca="1">IF(OR($D485&lt;&gt;"Serviço",AND(AUTOEVENTO="Manual",$M485=$A$15),$M485&gt;(ROW(PLE.lastrow)-ROW(PLE.firstrow))),0,
           IF(OFFSET(PLE!$G$15,$M485-$A$15,BV$13)="",10^12,OFFSET(PLE!$G$15,$M485-$A$15,BV$13)))</f>
        <v>1000000000000</v>
      </c>
      <c r="BW485" s="172">
        <f ca="1">IF(OR($D485&lt;&gt;"Serviço",AND(AUTOEVENTO="Manual",$M485=$A$15),$M485&gt;(ROW(PLE.lastrow)-ROW(PLE.firstrow))),0,
           IF(OFFSET(PLE!$G$15,$M485-$A$15,BW$13)="",10^12,OFFSET(PLE!$G$15,$M485-$A$15,BW$13)))</f>
        <v>1000000000000</v>
      </c>
      <c r="BX485" s="172">
        <f ca="1">IF(OR($D485&lt;&gt;"Serviço",AND(AUTOEVENTO="Manual",$M485=$A$15),$M485&gt;(ROW(PLE.lastrow)-ROW(PLE.firstrow))),0,
           IF(OFFSET(PLE!$G$15,$M485-$A$15,BX$13)="",10^12,OFFSET(PLE!$G$15,$M485-$A$15,BX$13)))</f>
        <v>1000000000000</v>
      </c>
      <c r="BY485" s="172">
        <f ca="1">IF(OR($D485&lt;&gt;"Serviço",AND(AUTOEVENTO="Manual",$M485=$A$15),$M485&gt;(ROW(PLE.lastrow)-ROW(PLE.firstrow))),0,
           IF(OFFSET(PLE!$G$15,$M485-$A$15,BY$13)="",10^12,OFFSET(PLE!$G$15,$M485-$A$15,BY$13)))</f>
        <v>1000000000000</v>
      </c>
      <c r="BZ485" s="172">
        <f ca="1">IF(OR($D485&lt;&gt;"Serviço",AND(AUTOEVENTO="Manual",$M485=$A$15),$M485&gt;(ROW(PLE.lastrow)-ROW(PLE.firstrow))),0,
           IF(OFFSET(PLE!$G$15,$M485-$A$15,BZ$13)="",10^12,OFFSET(PLE!$G$15,$M485-$A$15,BZ$13)))</f>
        <v>1000000000000</v>
      </c>
      <c r="CA485" s="172">
        <f ca="1">IF(OR($D485&lt;&gt;"Serviço",AND(AUTOEVENTO="Manual",$M485=$A$15),$M485&gt;(ROW(PLE.lastrow)-ROW(PLE.firstrow))),0,
           IF(OFFSET(PLE!$G$15,$M485-$A$15,CA$13)="",10^12,OFFSET(PLE!$G$15,$M485-$A$15,CA$13)))</f>
        <v>1000000000000</v>
      </c>
      <c r="CB485" s="172">
        <f ca="1">IF(OR($D485&lt;&gt;"Serviço",AND(AUTOEVENTO="Manual",$M485=$A$15),$M485&gt;(ROW(PLE.lastrow)-ROW(PLE.firstrow))),0,
           IF(OFFSET(PLE!$G$15,$M485-$A$15,CB$13)="",10^12,OFFSET(PLE!$G$15,$M485-$A$15,CB$13)))</f>
        <v>1000000000000</v>
      </c>
      <c r="CC485" s="172">
        <f ca="1">IF(OR($D485&lt;&gt;"Serviço",AND(AUTOEVENTO="Manual",$M485=$A$15),$M485&gt;(ROW(PLE.lastrow)-ROW(PLE.firstrow))),0,
           IF(OFFSET(PLE!$G$15,$M485-$A$15,CC$13)="",10^12,OFFSET(PLE!$G$15,$M485-$A$15,CC$13)))</f>
        <v>1000000000000</v>
      </c>
      <c r="CD485" s="172">
        <f ca="1">IF(OR($D485&lt;&gt;"Serviço",AND(AUTOEVENTO="Manual",$M485=$A$15),$M485&gt;(ROW(PLE.lastrow)-ROW(PLE.firstrow))),0,
           IF(OFFSET(PLE!$G$15,$M485-$A$15,CD$13)="",10^12,OFFSET(PLE!$G$15,$M485-$A$15,CD$13)))</f>
        <v>1000000000000</v>
      </c>
      <c r="CE485" s="172">
        <f ca="1">IF(OR($D485&lt;&gt;"Serviço",AND(AUTOEVENTO="Manual",$M485=$A$15),$M485&gt;(ROW(PLE.lastrow)-ROW(PLE.firstrow))),0,
           IF(OFFSET(PLE!$G$15,$M485-$A$15,CE$13)="",10^12,OFFSET(PLE!$G$15,$M485-$A$15,CE$13)))</f>
        <v>1000000000000</v>
      </c>
      <c r="CF485" s="172">
        <f ca="1">IF(OR($D485&lt;&gt;"Serviço",AND(AUTOEVENTO="Manual",$M485=$A$15),$M485&gt;(ROW(PLE.lastrow)-ROW(PLE.firstrow))),0,
           IF(OFFSET(PLE!$G$15,$M485-$A$15,CF$13)="",10^12,OFFSET(PLE!$G$15,$M485-$A$15,CF$13)))</f>
        <v>1000000000000</v>
      </c>
      <c r="CG485" s="172">
        <f ca="1">IF(OR($D485&lt;&gt;"Serviço",AND(AUTOEVENTO="Manual",$M485=$A$15),$M485&gt;(ROW(PLE.lastrow)-ROW(PLE.firstrow))),0,
           IF(OFFSET(PLE!$G$15,$M485-$A$15,CG$13)="",10^12,OFFSET(PLE!$G$15,$M485-$A$15,CG$13)))</f>
        <v>1000000000000</v>
      </c>
      <c r="CH485" s="172">
        <f ca="1">IF(OR($D485&lt;&gt;"Serviço",AND(AUTOEVENTO="Manual",$M485=$A$15),$M485&gt;(ROW(PLE.lastrow)-ROW(PLE.firstrow))),0,
           IF(OFFSET(PLE!$G$15,$M485-$A$15,CH$13)="",10^12,OFFSET(PLE!$G$15,$M485-$A$15,CH$13)))</f>
        <v>1000000000000</v>
      </c>
      <c r="CI485" s="172">
        <f ca="1">IF(OR($D485&lt;&gt;"Serviço",AND(AUTOEVENTO="Manual",$M485=$A$15),$M485&gt;(ROW(PLE.lastrow)-ROW(PLE.firstrow))),0,
           IF(OFFSET(PLE!$G$15,$M485-$A$15,CI$13)="",10^12,OFFSET(PLE!$G$15,$M485-$A$15,CI$13)))</f>
        <v>1000000000000</v>
      </c>
      <c r="CJ485" s="172">
        <f ca="1">IF(OR($D485&lt;&gt;"Serviço",AND(AUTOEVENTO="Manual",$M485=$A$15),$M485&gt;(ROW(PLE.lastrow)-ROW(PLE.firstrow))),0,
           IF(OFFSET(PLE!$G$15,$M485-$A$15,CJ$13)="",10^12,OFFSET(PLE!$G$15,$M485-$A$15,CJ$13)))</f>
        <v>1000000000000</v>
      </c>
      <c r="CK485" s="172">
        <f ca="1">IF(OR($D485&lt;&gt;"Serviço",AND(AUTOEVENTO="Manual",$M485=$A$15),$M485&gt;(ROW(PLE.lastrow)-ROW(PLE.firstrow))),0,
           IF(OFFSET(PLE!$G$15,$M485-$A$15,CK$13)="",10^12,OFFSET(PLE!$G$15,$M485-$A$15,CK$13)))</f>
        <v>1000000000000</v>
      </c>
      <c r="CL485" s="172">
        <f ca="1">IF(OR($D485&lt;&gt;"Serviço",AND(AUTOEVENTO="Manual",$M485=$A$15),$M485&gt;(ROW(PLE.lastrow)-ROW(PLE.firstrow))),0,
           IF(OFFSET(PLE!$G$15,$M485-$A$15,CL$13)="",10^12,OFFSET(PLE!$G$15,$M485-$A$15,CL$13)))</f>
        <v>1000000000000</v>
      </c>
      <c r="CM485" s="172">
        <f ca="1">IF(OR($D485&lt;&gt;"Serviço",AND(AUTOEVENTO="Manual",$M485=$A$15),$M485&gt;(ROW(PLE.lastrow)-ROW(PLE.firstrow))),0,
           IF(OFFSET(PLE!$G$15,$M485-$A$15,CM$13)="",10^12,OFFSET(PLE!$G$15,$M485-$A$15,CM$13)))</f>
        <v>1000000000000</v>
      </c>
    </row>
    <row r="486" spans="1:91" ht="12.75" x14ac:dyDescent="0.2">
      <c r="A486" s="7">
        <f t="shared" ca="1" si="17"/>
        <v>8</v>
      </c>
      <c r="B486" s="7">
        <f ca="1">OFFSET(ORÇAMENTO!C$15,ROW(B486)-ROW(B$15),0)</f>
        <v>3</v>
      </c>
      <c r="C486" s="7" t="str">
        <f ca="1">OFFSET(ORÇAMENTO!L$15,ROW(C486)-ROW(C$15),0)</f>
        <v>F</v>
      </c>
      <c r="D486" s="116" t="str">
        <f ca="1">OFFSET(ORÇAMENTO!N$15,ROW(D486)-ROW(D$15),0)</f>
        <v>Nível 3</v>
      </c>
      <c r="E486" s="117" t="str">
        <f ca="1">OFFSET(ORÇAMENTO!O$15,ROW(E486)-ROW(E$15),0)</f>
        <v>1.10.3.</v>
      </c>
      <c r="F486" s="163" t="str">
        <f ca="1">OFFSET(ORÇAMENTO!R$15,ROW(F486)-ROW(F$15),0)</f>
        <v>ACABAMENTOS PAREDE</v>
      </c>
      <c r="G486" s="164" t="str">
        <f ca="1">IF($D486&lt;&gt;"Serviço","",OFFSET(ORÇAMENTO!S$15,ROW(G486)-ROW(G$15),0))</f>
        <v/>
      </c>
      <c r="H486" s="122" cm="1">
        <f t="array" aca="1" ref="H486" ca="1">IF($D486&lt;&gt;"Serviço",0,IF(ACOMPANHAMENTO="BM",ROUND(OFFSET(ORÇAMENTO!AJ$15,ROW(H486)-ROW(H$15),0),15-13*ORÇAMENTO!$AF$7),SUMPRODUCT(($Q$1:$AI$1=1)*ROUND($Q486:$AI486,15-13*ORÇAMENTO!$AF$7))))</f>
        <v>0</v>
      </c>
      <c r="I486" s="468"/>
      <c r="J486" s="640" t="str" cm="1">
        <f t="array" aca="1" ref="J486" ca="1">IF(OR(B486&lt;&gt;"S",CÁLCULO.FrentesPreenchidas=0),"",IF(AND(ACOMPANHAMENTO="PLE",AUTOEVENTO="Manual",OR(H486&gt;0,ORÇAMENTO!AC486="QUANT."),OR(K486="",M486=0,N486="")),"►E",IF(AND(ACOMPANHAMENTO="PLE",ORÇAMENTO!AC486="QUANT."),"►Q",IF(AND(ACOMPANHAMENTO="PLE",H486&lt;&gt;SUMPRODUCT(($Q$1:$AI$1=1)*ROUND(Q486:AI486,15))),"►S",IF(AND(COUNTIF($P$11:$AI$11,"▼")=0,H486&gt;0,I486=""),"◄M","")))))</f>
        <v/>
      </c>
      <c r="K486" s="641" t="s">
        <v>1368</v>
      </c>
      <c r="L486" s="165" t="s">
        <v>764</v>
      </c>
      <c r="M486" s="166" t="str">
        <f ca="1">IF($D486&lt;&gt;"Serviço","",
          IF(AUTOEVENTO="manual",$A486,
                IF(ISERROR(MATCH($A486,$A$15:OFFSET($A486,-1,0),0)),MAX($M$15:OFFSET(M486,-1,0))+1,
                      INDEX($M$15:OFFSET(M486,-1,0),MATCH($A486,$A$15:OFFSET($A486,-1,0),0)))))</f>
        <v/>
      </c>
      <c r="N486" s="167" t="str">
        <f ca="1">IF($D486&lt;&gt;"Serviço","",
         IF(AUTOEVENTO="Manual",
                IF($A486=0,"&lt;-- defina o número do agrupador",
                       OFFSET(EVENTOS!$D$15,$A486-$A$15,0)),
                OFFSET($F$15,$A486,0)))</f>
        <v/>
      </c>
      <c r="O486" s="168"/>
      <c r="Q486" s="168"/>
      <c r="R486" s="169"/>
      <c r="S486" s="169"/>
      <c r="T486" s="169"/>
      <c r="U486" s="169"/>
      <c r="V486" s="169"/>
      <c r="W486" s="169"/>
      <c r="X486" s="169"/>
      <c r="Y486" s="169"/>
      <c r="Z486" s="170"/>
      <c r="AA486" s="169"/>
      <c r="AB486" s="169"/>
      <c r="AC486" s="169"/>
      <c r="AD486" s="169"/>
      <c r="AE486" s="169"/>
      <c r="AF486" s="169"/>
      <c r="AG486" s="169"/>
      <c r="AH486" s="170"/>
      <c r="AJ486" s="453">
        <f ca="1">IF(AND($D486="Serviço",AJ$12&lt;&gt;0,$H486&gt;0,OR(AUTOEVENTO&lt;&gt;"manual",$M486&lt;&gt;$A$15)),
        IF(Import.TipoArredondamento&lt;&gt;"TransfereGOV",
              ROUND(OFFSET($P486,0,AJ$13),15-13*ORÇAMENTO!$AF$7)/$H486*OFFSET(ORÇAMENTO!$X$15,ROW(AJ486)-ROW(AJ$15),0),
              ROUND(ROUND(OFFSET($P486,0,AJ$13),15-13*ORÇAMENTO!$AF$7)*OFFSET(ORÇAMENTO!$W$15,ROW(AJ486)-ROW(AJ$15),0),15-13*ORÇAMENTO!$AF$11)),
         0)</f>
        <v>0</v>
      </c>
      <c r="AK486" s="453">
        <f ca="1">IF(AND($D486="Serviço",AK$12&lt;&gt;0,$H486&gt;0,OR(AUTOEVENTO&lt;&gt;"manual",$M486&lt;&gt;$A$15)),
        IF(Import.TipoArredondamento&lt;&gt;"TransfereGOV",
              ROUND(OFFSET($P486,0,AK$13),15-13*ORÇAMENTO!$AF$7)/$H486*OFFSET(ORÇAMENTO!$X$15,ROW(AK486)-ROW(AK$15),0),
              ROUND(ROUND(OFFSET($P486,0,AK$13),15-13*ORÇAMENTO!$AF$7)*OFFSET(ORÇAMENTO!$W$15,ROW(AK486)-ROW(AK$15),0),15-13*ORÇAMENTO!$AF$11)),
         0)</f>
        <v>0</v>
      </c>
      <c r="AL486" s="453">
        <f ca="1">IF(AND($D486="Serviço",AL$12&lt;&gt;0,$H486&gt;0,OR(AUTOEVENTO&lt;&gt;"manual",$M486&lt;&gt;$A$15)),
        IF(Import.TipoArredondamento&lt;&gt;"TransfereGOV",
              ROUND(OFFSET($P486,0,AL$13),15-13*ORÇAMENTO!$AF$7)/$H486*OFFSET(ORÇAMENTO!$X$15,ROW(AL486)-ROW(AL$15),0),
              ROUND(ROUND(OFFSET($P486,0,AL$13),15-13*ORÇAMENTO!$AF$7)*OFFSET(ORÇAMENTO!$W$15,ROW(AL486)-ROW(AL$15),0),15-13*ORÇAMENTO!$AF$11)),
         0)</f>
        <v>0</v>
      </c>
      <c r="AM486" s="453">
        <f ca="1">IF(AND($D486="Serviço",AM$12&lt;&gt;0,$H486&gt;0,OR(AUTOEVENTO&lt;&gt;"manual",$M486&lt;&gt;$A$15)),
        IF(Import.TipoArredondamento&lt;&gt;"TransfereGOV",
              ROUND(OFFSET($P486,0,AM$13),15-13*ORÇAMENTO!$AF$7)/$H486*OFFSET(ORÇAMENTO!$X$15,ROW(AM486)-ROW(AM$15),0),
              ROUND(ROUND(OFFSET($P486,0,AM$13),15-13*ORÇAMENTO!$AF$7)*OFFSET(ORÇAMENTO!$W$15,ROW(AM486)-ROW(AM$15),0),15-13*ORÇAMENTO!$AF$11)),
         0)</f>
        <v>0</v>
      </c>
      <c r="AN486" s="453">
        <f ca="1">IF(AND($D486="Serviço",AN$12&lt;&gt;0,$H486&gt;0,OR(AUTOEVENTO&lt;&gt;"manual",$M486&lt;&gt;$A$15)),
        IF(Import.TipoArredondamento&lt;&gt;"TransfereGOV",
              ROUND(OFFSET($P486,0,AN$13),15-13*ORÇAMENTO!$AF$7)/$H486*OFFSET(ORÇAMENTO!$X$15,ROW(AN486)-ROW(AN$15),0),
              ROUND(ROUND(OFFSET($P486,0,AN$13),15-13*ORÇAMENTO!$AF$7)*OFFSET(ORÇAMENTO!$W$15,ROW(AN486)-ROW(AN$15),0),15-13*ORÇAMENTO!$AF$11)),
         0)</f>
        <v>0</v>
      </c>
      <c r="AO486" s="453">
        <f ca="1">IF(AND($D486="Serviço",AO$12&lt;&gt;0,$H486&gt;0,OR(AUTOEVENTO&lt;&gt;"manual",$M486&lt;&gt;$A$15)),
        IF(Import.TipoArredondamento&lt;&gt;"TransfereGOV",
              ROUND(OFFSET($P486,0,AO$13),15-13*ORÇAMENTO!$AF$7)/$H486*OFFSET(ORÇAMENTO!$X$15,ROW(AO486)-ROW(AO$15),0),
              ROUND(ROUND(OFFSET($P486,0,AO$13),15-13*ORÇAMENTO!$AF$7)*OFFSET(ORÇAMENTO!$W$15,ROW(AO486)-ROW(AO$15),0),15-13*ORÇAMENTO!$AF$11)),
         0)</f>
        <v>0</v>
      </c>
      <c r="AP486" s="453">
        <f ca="1">IF(AND($D486="Serviço",AP$12&lt;&gt;0,$H486&gt;0,OR(AUTOEVENTO&lt;&gt;"manual",$M486&lt;&gt;$A$15)),
        IF(Import.TipoArredondamento&lt;&gt;"TransfereGOV",
              ROUND(OFFSET($P486,0,AP$13),15-13*ORÇAMENTO!$AF$7)/$H486*OFFSET(ORÇAMENTO!$X$15,ROW(AP486)-ROW(AP$15),0),
              ROUND(ROUND(OFFSET($P486,0,AP$13),15-13*ORÇAMENTO!$AF$7)*OFFSET(ORÇAMENTO!$W$15,ROW(AP486)-ROW(AP$15),0),15-13*ORÇAMENTO!$AF$11)),
         0)</f>
        <v>0</v>
      </c>
      <c r="AQ486" s="453">
        <f ca="1">IF(AND($D486="Serviço",AQ$12&lt;&gt;0,$H486&gt;0,OR(AUTOEVENTO&lt;&gt;"manual",$M486&lt;&gt;$A$15)),
        IF(Import.TipoArredondamento&lt;&gt;"TransfereGOV",
              ROUND(OFFSET($P486,0,AQ$13),15-13*ORÇAMENTO!$AF$7)/$H486*OFFSET(ORÇAMENTO!$X$15,ROW(AQ486)-ROW(AQ$15),0),
              ROUND(ROUND(OFFSET($P486,0,AQ$13),15-13*ORÇAMENTO!$AF$7)*OFFSET(ORÇAMENTO!$W$15,ROW(AQ486)-ROW(AQ$15),0),15-13*ORÇAMENTO!$AF$11)),
         0)</f>
        <v>0</v>
      </c>
      <c r="AR486" s="453">
        <f ca="1">IF(AND($D486="Serviço",AR$12&lt;&gt;0,$H486&gt;0,OR(AUTOEVENTO&lt;&gt;"manual",$M486&lt;&gt;$A$15)),
        IF(Import.TipoArredondamento&lt;&gt;"TransfereGOV",
              ROUND(OFFSET($P486,0,AR$13),15-13*ORÇAMENTO!$AF$7)/$H486*OFFSET(ORÇAMENTO!$X$15,ROW(AR486)-ROW(AR$15),0),
              ROUND(ROUND(OFFSET($P486,0,AR$13),15-13*ORÇAMENTO!$AF$7)*OFFSET(ORÇAMENTO!$W$15,ROW(AR486)-ROW(AR$15),0),15-13*ORÇAMENTO!$AF$11)),
         0)</f>
        <v>0</v>
      </c>
      <c r="AS486" s="453">
        <f ca="1">IF(AND($D486="Serviço",AS$12&lt;&gt;0,$H486&gt;0,OR(AUTOEVENTO&lt;&gt;"manual",$M486&lt;&gt;$A$15)),
        IF(Import.TipoArredondamento&lt;&gt;"TransfereGOV",
              ROUND(OFFSET($P486,0,AS$13),15-13*ORÇAMENTO!$AF$7)/$H486*OFFSET(ORÇAMENTO!$X$15,ROW(AS486)-ROW(AS$15),0),
              ROUND(ROUND(OFFSET($P486,0,AS$13),15-13*ORÇAMENTO!$AF$7)*OFFSET(ORÇAMENTO!$W$15,ROW(AS486)-ROW(AS$15),0),15-13*ORÇAMENTO!$AF$11)),
         0)</f>
        <v>0</v>
      </c>
      <c r="AT486" s="453">
        <f ca="1">IF(AND($D486="Serviço",AT$12&lt;&gt;0,$H486&gt;0,OR(AUTOEVENTO&lt;&gt;"manual",$M486&lt;&gt;$A$15)),
        IF(Import.TipoArredondamento&lt;&gt;"TransfereGOV",
              ROUND(OFFSET($P486,0,AT$13),15-13*ORÇAMENTO!$AF$7)/$H486*OFFSET(ORÇAMENTO!$X$15,ROW(AT486)-ROW(AT$15),0),
              ROUND(ROUND(OFFSET($P486,0,AT$13),15-13*ORÇAMENTO!$AF$7)*OFFSET(ORÇAMENTO!$W$15,ROW(AT486)-ROW(AT$15),0),15-13*ORÇAMENTO!$AF$11)),
         0)</f>
        <v>0</v>
      </c>
      <c r="AU486" s="453">
        <f ca="1">IF(AND($D486="Serviço",AU$12&lt;&gt;0,$H486&gt;0,OR(AUTOEVENTO&lt;&gt;"manual",$M486&lt;&gt;$A$15)),
        IF(Import.TipoArredondamento&lt;&gt;"TransfereGOV",
              ROUND(OFFSET($P486,0,AU$13),15-13*ORÇAMENTO!$AF$7)/$H486*OFFSET(ORÇAMENTO!$X$15,ROW(AU486)-ROW(AU$15),0),
              ROUND(ROUND(OFFSET($P486,0,AU$13),15-13*ORÇAMENTO!$AF$7)*OFFSET(ORÇAMENTO!$W$15,ROW(AU486)-ROW(AU$15),0),15-13*ORÇAMENTO!$AF$11)),
         0)</f>
        <v>0</v>
      </c>
      <c r="AV486" s="453">
        <f ca="1">IF(AND($D486="Serviço",AV$12&lt;&gt;0,$H486&gt;0,OR(AUTOEVENTO&lt;&gt;"manual",$M486&lt;&gt;$A$15)),
        IF(Import.TipoArredondamento&lt;&gt;"TransfereGOV",
              ROUND(OFFSET($P486,0,AV$13),15-13*ORÇAMENTO!$AF$7)/$H486*OFFSET(ORÇAMENTO!$X$15,ROW(AV486)-ROW(AV$15),0),
              ROUND(ROUND(OFFSET($P486,0,AV$13),15-13*ORÇAMENTO!$AF$7)*OFFSET(ORÇAMENTO!$W$15,ROW(AV486)-ROW(AV$15),0),15-13*ORÇAMENTO!$AF$11)),
         0)</f>
        <v>0</v>
      </c>
      <c r="AW486" s="453">
        <f ca="1">IF(AND($D486="Serviço",AW$12&lt;&gt;0,$H486&gt;0,OR(AUTOEVENTO&lt;&gt;"manual",$M486&lt;&gt;$A$15)),
        IF(Import.TipoArredondamento&lt;&gt;"TransfereGOV",
              ROUND(OFFSET($P486,0,AW$13),15-13*ORÇAMENTO!$AF$7)/$H486*OFFSET(ORÇAMENTO!$X$15,ROW(AW486)-ROW(AW$15),0),
              ROUND(ROUND(OFFSET($P486,0,AW$13),15-13*ORÇAMENTO!$AF$7)*OFFSET(ORÇAMENTO!$W$15,ROW(AW486)-ROW(AW$15),0),15-13*ORÇAMENTO!$AF$11)),
         0)</f>
        <v>0</v>
      </c>
      <c r="AX486" s="453">
        <f ca="1">IF(AND($D486="Serviço",AX$12&lt;&gt;0,$H486&gt;0,OR(AUTOEVENTO&lt;&gt;"manual",$M486&lt;&gt;$A$15)),
        IF(Import.TipoArredondamento&lt;&gt;"TransfereGOV",
              ROUND(OFFSET($P486,0,AX$13),15-13*ORÇAMENTO!$AF$7)/$H486*OFFSET(ORÇAMENTO!$X$15,ROW(AX486)-ROW(AX$15),0),
              ROUND(ROUND(OFFSET($P486,0,AX$13),15-13*ORÇAMENTO!$AF$7)*OFFSET(ORÇAMENTO!$W$15,ROW(AX486)-ROW(AX$15),0),15-13*ORÇAMENTO!$AF$11)),
         0)</f>
        <v>0</v>
      </c>
      <c r="AY486" s="453">
        <f ca="1">IF(AND($D486="Serviço",AY$12&lt;&gt;0,$H486&gt;0,OR(AUTOEVENTO&lt;&gt;"manual",$M486&lt;&gt;$A$15)),
        IF(Import.TipoArredondamento&lt;&gt;"TransfereGOV",
              ROUND(OFFSET($P486,0,AY$13),15-13*ORÇAMENTO!$AF$7)/$H486*OFFSET(ORÇAMENTO!$X$15,ROW(AY486)-ROW(AY$15),0),
              ROUND(ROUND(OFFSET($P486,0,AY$13),15-13*ORÇAMENTO!$AF$7)*OFFSET(ORÇAMENTO!$W$15,ROW(AY486)-ROW(AY$15),0),15-13*ORÇAMENTO!$AF$11)),
         0)</f>
        <v>0</v>
      </c>
      <c r="AZ486" s="453">
        <f ca="1">IF(AND($D486="Serviço",AZ$12&lt;&gt;0,$H486&gt;0,OR(AUTOEVENTO&lt;&gt;"manual",$M486&lt;&gt;$A$15)),
        IF(Import.TipoArredondamento&lt;&gt;"TransfereGOV",
              ROUND(OFFSET($P486,0,AZ$13),15-13*ORÇAMENTO!$AF$7)/$H486*OFFSET(ORÇAMENTO!$X$15,ROW(AZ486)-ROW(AZ$15),0),
              ROUND(ROUND(OFFSET($P486,0,AZ$13),15-13*ORÇAMENTO!$AF$7)*OFFSET(ORÇAMENTO!$W$15,ROW(AZ486)-ROW(AZ$15),0),15-13*ORÇAMENTO!$AF$11)),
         0)</f>
        <v>0</v>
      </c>
      <c r="BA486" s="453">
        <f ca="1">IF(AND($D486="Serviço",BA$12&lt;&gt;0,$H486&gt;0,OR(AUTOEVENTO&lt;&gt;"manual",$M486&lt;&gt;$A$15)),
        IF(Import.TipoArredondamento&lt;&gt;"TransfereGOV",
              ROUND(OFFSET($P486,0,BA$13),15-13*ORÇAMENTO!$AF$7)/$H486*OFFSET(ORÇAMENTO!$X$15,ROW(BA486)-ROW(BA$15),0),
              ROUND(ROUND(OFFSET($P486,0,BA$13),15-13*ORÇAMENTO!$AF$7)*OFFSET(ORÇAMENTO!$W$15,ROW(BA486)-ROW(BA$15),0),15-13*ORÇAMENTO!$AF$11)),
         0)</f>
        <v>0</v>
      </c>
      <c r="BC486" s="171">
        <f ca="1">IF(OR($D486&lt;&gt;"Serviço",AND(AUTOEVENTO="Manual",$M486=$A$15)),0,
         IF(OFFSET(CRONOPLE!$F$15,$M486-$A$15,BC$13)=0,10^12,OFFSET(CRONOPLE!$F$15,$M486-$A$15,BC$13)))</f>
        <v>0</v>
      </c>
      <c r="BD486" s="171">
        <f ca="1">IF(OR($D486&lt;&gt;"Serviço",AND(AUTOEVENTO="Manual",$M486=$A$15)),0,
         IF(OFFSET(CRONOPLE!$F$15,$M486-$A$15,BD$13)=0,10^12,OFFSET(CRONOPLE!$F$15,$M486-$A$15,BD$13)))</f>
        <v>0</v>
      </c>
      <c r="BE486" s="171">
        <f ca="1">IF(OR($D486&lt;&gt;"Serviço",AND(AUTOEVENTO="Manual",$M486=$A$15)),0,
         IF(OFFSET(CRONOPLE!$F$15,$M486-$A$15,BE$13)=0,10^12,OFFSET(CRONOPLE!$F$15,$M486-$A$15,BE$13)))</f>
        <v>0</v>
      </c>
      <c r="BF486" s="171">
        <f ca="1">IF(OR($D486&lt;&gt;"Serviço",AND(AUTOEVENTO="Manual",$M486=$A$15)),0,
         IF(OFFSET(CRONOPLE!$F$15,$M486-$A$15,BF$13)=0,10^12,OFFSET(CRONOPLE!$F$15,$M486-$A$15,BF$13)))</f>
        <v>0</v>
      </c>
      <c r="BG486" s="171">
        <f ca="1">IF(OR($D486&lt;&gt;"Serviço",AND(AUTOEVENTO="Manual",$M486=$A$15)),0,
         IF(OFFSET(CRONOPLE!$F$15,$M486-$A$15,BG$13)=0,10^12,OFFSET(CRONOPLE!$F$15,$M486-$A$15,BG$13)))</f>
        <v>0</v>
      </c>
      <c r="BH486" s="171">
        <f ca="1">IF(OR($D486&lt;&gt;"Serviço",AND(AUTOEVENTO="Manual",$M486=$A$15)),0,
         IF(OFFSET(CRONOPLE!$F$15,$M486-$A$15,BH$13)=0,10^12,OFFSET(CRONOPLE!$F$15,$M486-$A$15,BH$13)))</f>
        <v>0</v>
      </c>
      <c r="BI486" s="171">
        <f ca="1">IF(OR($D486&lt;&gt;"Serviço",AND(AUTOEVENTO="Manual",$M486=$A$15)),0,
         IF(OFFSET(CRONOPLE!$F$15,$M486-$A$15,BI$13)=0,10^12,OFFSET(CRONOPLE!$F$15,$M486-$A$15,BI$13)))</f>
        <v>0</v>
      </c>
      <c r="BJ486" s="171">
        <f ca="1">IF(OR($D486&lt;&gt;"Serviço",AND(AUTOEVENTO="Manual",$M486=$A$15)),0,
         IF(OFFSET(CRONOPLE!$F$15,$M486-$A$15,BJ$13)=0,10^12,OFFSET(CRONOPLE!$F$15,$M486-$A$15,BJ$13)))</f>
        <v>0</v>
      </c>
      <c r="BK486" s="171">
        <f ca="1">IF(OR($D486&lt;&gt;"Serviço",AND(AUTOEVENTO="Manual",$M486=$A$15)),0,
         IF(OFFSET(CRONOPLE!$F$15,$M486-$A$15,BK$13)=0,10^12,OFFSET(CRONOPLE!$F$15,$M486-$A$15,BK$13)))</f>
        <v>0</v>
      </c>
      <c r="BL486" s="171">
        <f ca="1">IF(OR($D486&lt;&gt;"Serviço",AND(AUTOEVENTO="Manual",$M486=$A$15)),0,
         IF(OFFSET(CRONOPLE!$F$15,$M486-$A$15,BL$13)=0,10^12,OFFSET(CRONOPLE!$F$15,$M486-$A$15,BL$13)))</f>
        <v>0</v>
      </c>
      <c r="BM486" s="171">
        <f ca="1">IF(OR($D486&lt;&gt;"Serviço",AND(AUTOEVENTO="Manual",$M486=$A$15)),0,
         IF(OFFSET(CRONOPLE!$F$15,$M486-$A$15,BM$13)=0,10^12,OFFSET(CRONOPLE!$F$15,$M486-$A$15,BM$13)))</f>
        <v>0</v>
      </c>
      <c r="BN486" s="171">
        <f ca="1">IF(OR($D486&lt;&gt;"Serviço",AND(AUTOEVENTO="Manual",$M486=$A$15)),0,
         IF(OFFSET(CRONOPLE!$F$15,$M486-$A$15,BN$13)=0,10^12,OFFSET(CRONOPLE!$F$15,$M486-$A$15,BN$13)))</f>
        <v>0</v>
      </c>
      <c r="BO486" s="171">
        <f ca="1">IF(OR($D486&lt;&gt;"Serviço",AND(AUTOEVENTO="Manual",$M486=$A$15)),0,
         IF(OFFSET(CRONOPLE!$F$15,$M486-$A$15,BO$13)=0,10^12,OFFSET(CRONOPLE!$F$15,$M486-$A$15,BO$13)))</f>
        <v>0</v>
      </c>
      <c r="BP486" s="171">
        <f ca="1">IF(OR($D486&lt;&gt;"Serviço",AND(AUTOEVENTO="Manual",$M486=$A$15)),0,
         IF(OFFSET(CRONOPLE!$F$15,$M486-$A$15,BP$13)=0,10^12,OFFSET(CRONOPLE!$F$15,$M486-$A$15,BP$13)))</f>
        <v>0</v>
      </c>
      <c r="BQ486" s="171">
        <f ca="1">IF(OR($D486&lt;&gt;"Serviço",AND(AUTOEVENTO="Manual",$M486=$A$15)),0,
         IF(OFFSET(CRONOPLE!$F$15,$M486-$A$15,BQ$13)=0,10^12,OFFSET(CRONOPLE!$F$15,$M486-$A$15,BQ$13)))</f>
        <v>0</v>
      </c>
      <c r="BR486" s="171">
        <f ca="1">IF(OR($D486&lt;&gt;"Serviço",AND(AUTOEVENTO="Manual",$M486=$A$15)),0,
         IF(OFFSET(CRONOPLE!$F$15,$M486-$A$15,BR$13)=0,10^12,OFFSET(CRONOPLE!$F$15,$M486-$A$15,BR$13)))</f>
        <v>0</v>
      </c>
      <c r="BS486" s="171">
        <f ca="1">IF(OR($D486&lt;&gt;"Serviço",AND(AUTOEVENTO="Manual",$M486=$A$15)),0,
         IF(OFFSET(CRONOPLE!$F$15,$M486-$A$15,BS$13)=0,10^12,OFFSET(CRONOPLE!$F$15,$M486-$A$15,BS$13)))</f>
        <v>0</v>
      </c>
      <c r="BT486" s="171">
        <f ca="1">IF(OR($D486&lt;&gt;"Serviço",AND(AUTOEVENTO="Manual",$M486=$A$15)),0,
         IF(OFFSET(CRONOPLE!$F$15,$M486-$A$15,BT$13)=0,10^12,OFFSET(CRONOPLE!$F$15,$M486-$A$15,BT$13)))</f>
        <v>0</v>
      </c>
      <c r="BV486" s="172">
        <f ca="1">IF(OR($D486&lt;&gt;"Serviço",AND(AUTOEVENTO="Manual",$M486=$A$15),$M486&gt;(ROW(PLE.lastrow)-ROW(PLE.firstrow))),0,
           IF(OFFSET(PLE!$G$15,$M486-$A$15,BV$13)="",10^12,OFFSET(PLE!$G$15,$M486-$A$15,BV$13)))</f>
        <v>0</v>
      </c>
      <c r="BW486" s="172">
        <f ca="1">IF(OR($D486&lt;&gt;"Serviço",AND(AUTOEVENTO="Manual",$M486=$A$15),$M486&gt;(ROW(PLE.lastrow)-ROW(PLE.firstrow))),0,
           IF(OFFSET(PLE!$G$15,$M486-$A$15,BW$13)="",10^12,OFFSET(PLE!$G$15,$M486-$A$15,BW$13)))</f>
        <v>0</v>
      </c>
      <c r="BX486" s="172">
        <f ca="1">IF(OR($D486&lt;&gt;"Serviço",AND(AUTOEVENTO="Manual",$M486=$A$15),$M486&gt;(ROW(PLE.lastrow)-ROW(PLE.firstrow))),0,
           IF(OFFSET(PLE!$G$15,$M486-$A$15,BX$13)="",10^12,OFFSET(PLE!$G$15,$M486-$A$15,BX$13)))</f>
        <v>0</v>
      </c>
      <c r="BY486" s="172">
        <f ca="1">IF(OR($D486&lt;&gt;"Serviço",AND(AUTOEVENTO="Manual",$M486=$A$15),$M486&gt;(ROW(PLE.lastrow)-ROW(PLE.firstrow))),0,
           IF(OFFSET(PLE!$G$15,$M486-$A$15,BY$13)="",10^12,OFFSET(PLE!$G$15,$M486-$A$15,BY$13)))</f>
        <v>0</v>
      </c>
      <c r="BZ486" s="172">
        <f ca="1">IF(OR($D486&lt;&gt;"Serviço",AND(AUTOEVENTO="Manual",$M486=$A$15),$M486&gt;(ROW(PLE.lastrow)-ROW(PLE.firstrow))),0,
           IF(OFFSET(PLE!$G$15,$M486-$A$15,BZ$13)="",10^12,OFFSET(PLE!$G$15,$M486-$A$15,BZ$13)))</f>
        <v>0</v>
      </c>
      <c r="CA486" s="172">
        <f ca="1">IF(OR($D486&lt;&gt;"Serviço",AND(AUTOEVENTO="Manual",$M486=$A$15),$M486&gt;(ROW(PLE.lastrow)-ROW(PLE.firstrow))),0,
           IF(OFFSET(PLE!$G$15,$M486-$A$15,CA$13)="",10^12,OFFSET(PLE!$G$15,$M486-$A$15,CA$13)))</f>
        <v>0</v>
      </c>
      <c r="CB486" s="172">
        <f ca="1">IF(OR($D486&lt;&gt;"Serviço",AND(AUTOEVENTO="Manual",$M486=$A$15),$M486&gt;(ROW(PLE.lastrow)-ROW(PLE.firstrow))),0,
           IF(OFFSET(PLE!$G$15,$M486-$A$15,CB$13)="",10^12,OFFSET(PLE!$G$15,$M486-$A$15,CB$13)))</f>
        <v>0</v>
      </c>
      <c r="CC486" s="172">
        <f ca="1">IF(OR($D486&lt;&gt;"Serviço",AND(AUTOEVENTO="Manual",$M486=$A$15),$M486&gt;(ROW(PLE.lastrow)-ROW(PLE.firstrow))),0,
           IF(OFFSET(PLE!$G$15,$M486-$A$15,CC$13)="",10^12,OFFSET(PLE!$G$15,$M486-$A$15,CC$13)))</f>
        <v>0</v>
      </c>
      <c r="CD486" s="172">
        <f ca="1">IF(OR($D486&lt;&gt;"Serviço",AND(AUTOEVENTO="Manual",$M486=$A$15),$M486&gt;(ROW(PLE.lastrow)-ROW(PLE.firstrow))),0,
           IF(OFFSET(PLE!$G$15,$M486-$A$15,CD$13)="",10^12,OFFSET(PLE!$G$15,$M486-$A$15,CD$13)))</f>
        <v>0</v>
      </c>
      <c r="CE486" s="172">
        <f ca="1">IF(OR($D486&lt;&gt;"Serviço",AND(AUTOEVENTO="Manual",$M486=$A$15),$M486&gt;(ROW(PLE.lastrow)-ROW(PLE.firstrow))),0,
           IF(OFFSET(PLE!$G$15,$M486-$A$15,CE$13)="",10^12,OFFSET(PLE!$G$15,$M486-$A$15,CE$13)))</f>
        <v>0</v>
      </c>
      <c r="CF486" s="172">
        <f ca="1">IF(OR($D486&lt;&gt;"Serviço",AND(AUTOEVENTO="Manual",$M486=$A$15),$M486&gt;(ROW(PLE.lastrow)-ROW(PLE.firstrow))),0,
           IF(OFFSET(PLE!$G$15,$M486-$A$15,CF$13)="",10^12,OFFSET(PLE!$G$15,$M486-$A$15,CF$13)))</f>
        <v>0</v>
      </c>
      <c r="CG486" s="172">
        <f ca="1">IF(OR($D486&lt;&gt;"Serviço",AND(AUTOEVENTO="Manual",$M486=$A$15),$M486&gt;(ROW(PLE.lastrow)-ROW(PLE.firstrow))),0,
           IF(OFFSET(PLE!$G$15,$M486-$A$15,CG$13)="",10^12,OFFSET(PLE!$G$15,$M486-$A$15,CG$13)))</f>
        <v>0</v>
      </c>
      <c r="CH486" s="172">
        <f ca="1">IF(OR($D486&lt;&gt;"Serviço",AND(AUTOEVENTO="Manual",$M486=$A$15),$M486&gt;(ROW(PLE.lastrow)-ROW(PLE.firstrow))),0,
           IF(OFFSET(PLE!$G$15,$M486-$A$15,CH$13)="",10^12,OFFSET(PLE!$G$15,$M486-$A$15,CH$13)))</f>
        <v>0</v>
      </c>
      <c r="CI486" s="172">
        <f ca="1">IF(OR($D486&lt;&gt;"Serviço",AND(AUTOEVENTO="Manual",$M486=$A$15),$M486&gt;(ROW(PLE.lastrow)-ROW(PLE.firstrow))),0,
           IF(OFFSET(PLE!$G$15,$M486-$A$15,CI$13)="",10^12,OFFSET(PLE!$G$15,$M486-$A$15,CI$13)))</f>
        <v>0</v>
      </c>
      <c r="CJ486" s="172">
        <f ca="1">IF(OR($D486&lt;&gt;"Serviço",AND(AUTOEVENTO="Manual",$M486=$A$15),$M486&gt;(ROW(PLE.lastrow)-ROW(PLE.firstrow))),0,
           IF(OFFSET(PLE!$G$15,$M486-$A$15,CJ$13)="",10^12,OFFSET(PLE!$G$15,$M486-$A$15,CJ$13)))</f>
        <v>0</v>
      </c>
      <c r="CK486" s="172">
        <f ca="1">IF(OR($D486&lt;&gt;"Serviço",AND(AUTOEVENTO="Manual",$M486=$A$15),$M486&gt;(ROW(PLE.lastrow)-ROW(PLE.firstrow))),0,
           IF(OFFSET(PLE!$G$15,$M486-$A$15,CK$13)="",10^12,OFFSET(PLE!$G$15,$M486-$A$15,CK$13)))</f>
        <v>0</v>
      </c>
      <c r="CL486" s="172">
        <f ca="1">IF(OR($D486&lt;&gt;"Serviço",AND(AUTOEVENTO="Manual",$M486=$A$15),$M486&gt;(ROW(PLE.lastrow)-ROW(PLE.firstrow))),0,
           IF(OFFSET(PLE!$G$15,$M486-$A$15,CL$13)="",10^12,OFFSET(PLE!$G$15,$M486-$A$15,CL$13)))</f>
        <v>0</v>
      </c>
      <c r="CM486" s="172">
        <f ca="1">IF(OR($D486&lt;&gt;"Serviço",AND(AUTOEVENTO="Manual",$M486=$A$15),$M486&gt;(ROW(PLE.lastrow)-ROW(PLE.firstrow))),0,
           IF(OFFSET(PLE!$G$15,$M486-$A$15,CM$13)="",10^12,OFFSET(PLE!$G$15,$M486-$A$15,CM$13)))</f>
        <v>0</v>
      </c>
    </row>
    <row r="487" spans="1:91" ht="140.25" x14ac:dyDescent="0.2">
      <c r="A487" s="7">
        <f t="shared" ca="1" si="17"/>
        <v>9</v>
      </c>
      <c r="B487" s="7" t="str">
        <f ca="1">OFFSET(ORÇAMENTO!C$15,ROW(B487)-ROW(B$15),0)</f>
        <v>S</v>
      </c>
      <c r="C487" s="7" t="str">
        <f ca="1">OFFSET(ORÇAMENTO!L$15,ROW(C487)-ROW(C$15),0)</f>
        <v>F</v>
      </c>
      <c r="D487" s="116" t="str">
        <f ca="1">OFFSET(ORÇAMENTO!N$15,ROW(D487)-ROW(D$15),0)</f>
        <v>Serviço</v>
      </c>
      <c r="E487" s="117" t="str">
        <f ca="1">OFFSET(ORÇAMENTO!O$15,ROW(E487)-ROW(E$15),0)</f>
        <v>1.10.3.0.1.</v>
      </c>
      <c r="F487" s="163" t="str">
        <f ca="1">OFFSET(ORÇAMENTO!R$15,ROW(F487)-ROW(F$15),0)</f>
        <v>CHAPISCO COM ARGAMASSA, TRAÇO 1:2:3 (CIMENTO, AREIA E PEDRISCO), APLICADO COM COLHER, ESP. 5MM, INCLUSIVE ARGAMASSA COM PREPARO MECANIZADO</v>
      </c>
      <c r="G487" s="164" t="str">
        <f ca="1">IF($D487&lt;&gt;"Serviço","",OFFSET(ORÇAMENTO!S$15,ROW(G487)-ROW(G$15),0))</f>
        <v>M2</v>
      </c>
      <c r="H487" s="122" cm="1">
        <f t="array" aca="1" ref="H487" ca="1">IF($D487&lt;&gt;"Serviço",0,IF(ACOMPANHAMENTO="BM",ROUND(OFFSET(ORÇAMENTO!AJ$15,ROW(H487)-ROW(H$15),0),15-13*ORÇAMENTO!$AF$7),SUMPRODUCT(($Q$1:$AI$1=1)*ROUND($Q487:$AI487,15-13*ORÇAMENTO!$AF$7))))</f>
        <v>86.97</v>
      </c>
      <c r="I487" s="468" t="s">
        <v>1434</v>
      </c>
      <c r="J487" s="640" t="str" cm="1">
        <f t="array" aca="1" ref="J487" ca="1">IF(OR(B487&lt;&gt;"S",CÁLCULO.FrentesPreenchidas=0),"",IF(AND(ACOMPANHAMENTO="PLE",AUTOEVENTO="Manual",OR(H487&gt;0,ORÇAMENTO!AC487="QUANT."),OR(K487="",M487=0,N487="")),"►E",IF(AND(ACOMPANHAMENTO="PLE",ORÇAMENTO!AC487="QUANT."),"►Q",IF(AND(ACOMPANHAMENTO="PLE",H487&lt;&gt;SUMPRODUCT(($Q$1:$AI$1=1)*ROUND(Q487:AI487,15))),"►S",IF(AND(COUNTIF($P$11:$AI$11,"▼")=0,H487&gt;0,I487=""),"◄M","")))))</f>
        <v/>
      </c>
      <c r="K487" s="641" t="s">
        <v>1393</v>
      </c>
      <c r="L487" s="165" t="s">
        <v>764</v>
      </c>
      <c r="M487" s="166">
        <f ca="1">IF($D487&lt;&gt;"Serviço","",
          IF(AUTOEVENTO="manual",$A487,
                IF(ISERROR(MATCH($A487,$A$15:OFFSET($A487,-1,0),0)),MAX($M$15:OFFSET(M487,-1,0))+1,
                      INDEX($M$15:OFFSET(M487,-1,0),MATCH($A487,$A$15:OFFSET($A487,-1,0),0)))))</f>
        <v>9</v>
      </c>
      <c r="N487" s="167" t="str">
        <f ca="1">IF($D487&lt;&gt;"Serviço","",
         IF(AUTOEVENTO="Manual",
                IF($A487=0,"&lt;-- defina o número do agrupador",
                       OFFSET(EVENTOS!$D$15,$A487-$A$15,0)),
                OFFSET($F$15,$A487,0)))</f>
        <v>Arquitetura</v>
      </c>
      <c r="O487" s="168"/>
      <c r="Q487" s="168"/>
      <c r="R487" s="169"/>
      <c r="S487" s="169"/>
      <c r="T487" s="169"/>
      <c r="U487" s="169"/>
      <c r="V487" s="169"/>
      <c r="W487" s="169"/>
      <c r="X487" s="169"/>
      <c r="Y487" s="169"/>
      <c r="Z487" s="170">
        <f>34.44+52.53</f>
        <v>86.97</v>
      </c>
      <c r="AA487" s="169"/>
      <c r="AB487" s="169"/>
      <c r="AC487" s="169"/>
      <c r="AD487" s="169"/>
      <c r="AE487" s="169"/>
      <c r="AF487" s="169"/>
      <c r="AG487" s="169"/>
      <c r="AH487" s="170"/>
      <c r="AJ487" s="453">
        <f ca="1">IF(AND($D487="Serviço",AJ$12&lt;&gt;0,$H487&gt;0,OR(AUTOEVENTO&lt;&gt;"manual",$M487&lt;&gt;$A$15)),
        IF(Import.TipoArredondamento&lt;&gt;"TransfereGOV",
              ROUND(OFFSET($P487,0,AJ$13),15-13*ORÇAMENTO!$AF$7)/$H487*OFFSET(ORÇAMENTO!$X$15,ROW(AJ487)-ROW(AJ$15),0),
              ROUND(ROUND(OFFSET($P487,0,AJ$13),15-13*ORÇAMENTO!$AF$7)*OFFSET(ORÇAMENTO!$W$15,ROW(AJ487)-ROW(AJ$15),0),15-13*ORÇAMENTO!$AF$11)),
         0)</f>
        <v>0</v>
      </c>
      <c r="AK487" s="453">
        <f ca="1">IF(AND($D487="Serviço",AK$12&lt;&gt;0,$H487&gt;0,OR(AUTOEVENTO&lt;&gt;"manual",$M487&lt;&gt;$A$15)),
        IF(Import.TipoArredondamento&lt;&gt;"TransfereGOV",
              ROUND(OFFSET($P487,0,AK$13),15-13*ORÇAMENTO!$AF$7)/$H487*OFFSET(ORÇAMENTO!$X$15,ROW(AK487)-ROW(AK$15),0),
              ROUND(ROUND(OFFSET($P487,0,AK$13),15-13*ORÇAMENTO!$AF$7)*OFFSET(ORÇAMENTO!$W$15,ROW(AK487)-ROW(AK$15),0),15-13*ORÇAMENTO!$AF$11)),
         0)</f>
        <v>0</v>
      </c>
      <c r="AL487" s="453">
        <f ca="1">IF(AND($D487="Serviço",AL$12&lt;&gt;0,$H487&gt;0,OR(AUTOEVENTO&lt;&gt;"manual",$M487&lt;&gt;$A$15)),
        IF(Import.TipoArredondamento&lt;&gt;"TransfereGOV",
              ROUND(OFFSET($P487,0,AL$13),15-13*ORÇAMENTO!$AF$7)/$H487*OFFSET(ORÇAMENTO!$X$15,ROW(AL487)-ROW(AL$15),0),
              ROUND(ROUND(OFFSET($P487,0,AL$13),15-13*ORÇAMENTO!$AF$7)*OFFSET(ORÇAMENTO!$W$15,ROW(AL487)-ROW(AL$15),0),15-13*ORÇAMENTO!$AF$11)),
         0)</f>
        <v>0</v>
      </c>
      <c r="AM487" s="453">
        <f ca="1">IF(AND($D487="Serviço",AM$12&lt;&gt;0,$H487&gt;0,OR(AUTOEVENTO&lt;&gt;"manual",$M487&lt;&gt;$A$15)),
        IF(Import.TipoArredondamento&lt;&gt;"TransfereGOV",
              ROUND(OFFSET($P487,0,AM$13),15-13*ORÇAMENTO!$AF$7)/$H487*OFFSET(ORÇAMENTO!$X$15,ROW(AM487)-ROW(AM$15),0),
              ROUND(ROUND(OFFSET($P487,0,AM$13),15-13*ORÇAMENTO!$AF$7)*OFFSET(ORÇAMENTO!$W$15,ROW(AM487)-ROW(AM$15),0),15-13*ORÇAMENTO!$AF$11)),
         0)</f>
        <v>0</v>
      </c>
      <c r="AN487" s="453">
        <f ca="1">IF(AND($D487="Serviço",AN$12&lt;&gt;0,$H487&gt;0,OR(AUTOEVENTO&lt;&gt;"manual",$M487&lt;&gt;$A$15)),
        IF(Import.TipoArredondamento&lt;&gt;"TransfereGOV",
              ROUND(OFFSET($P487,0,AN$13),15-13*ORÇAMENTO!$AF$7)/$H487*OFFSET(ORÇAMENTO!$X$15,ROW(AN487)-ROW(AN$15),0),
              ROUND(ROUND(OFFSET($P487,0,AN$13),15-13*ORÇAMENTO!$AF$7)*OFFSET(ORÇAMENTO!$W$15,ROW(AN487)-ROW(AN$15),0),15-13*ORÇAMENTO!$AF$11)),
         0)</f>
        <v>0</v>
      </c>
      <c r="AO487" s="453">
        <f ca="1">IF(AND($D487="Serviço",AO$12&lt;&gt;0,$H487&gt;0,OR(AUTOEVENTO&lt;&gt;"manual",$M487&lt;&gt;$A$15)),
        IF(Import.TipoArredondamento&lt;&gt;"TransfereGOV",
              ROUND(OFFSET($P487,0,AO$13),15-13*ORÇAMENTO!$AF$7)/$H487*OFFSET(ORÇAMENTO!$X$15,ROW(AO487)-ROW(AO$15),0),
              ROUND(ROUND(OFFSET($P487,0,AO$13),15-13*ORÇAMENTO!$AF$7)*OFFSET(ORÇAMENTO!$W$15,ROW(AO487)-ROW(AO$15),0),15-13*ORÇAMENTO!$AF$11)),
         0)</f>
        <v>0</v>
      </c>
      <c r="AP487" s="453">
        <f ca="1">IF(AND($D487="Serviço",AP$12&lt;&gt;0,$H487&gt;0,OR(AUTOEVENTO&lt;&gt;"manual",$M487&lt;&gt;$A$15)),
        IF(Import.TipoArredondamento&lt;&gt;"TransfereGOV",
              ROUND(OFFSET($P487,0,AP$13),15-13*ORÇAMENTO!$AF$7)/$H487*OFFSET(ORÇAMENTO!$X$15,ROW(AP487)-ROW(AP$15),0),
              ROUND(ROUND(OFFSET($P487,0,AP$13),15-13*ORÇAMENTO!$AF$7)*OFFSET(ORÇAMENTO!$W$15,ROW(AP487)-ROW(AP$15),0),15-13*ORÇAMENTO!$AF$11)),
         0)</f>
        <v>0</v>
      </c>
      <c r="AQ487" s="453">
        <f ca="1">IF(AND($D487="Serviço",AQ$12&lt;&gt;0,$H487&gt;0,OR(AUTOEVENTO&lt;&gt;"manual",$M487&lt;&gt;$A$15)),
        IF(Import.TipoArredondamento&lt;&gt;"TransfereGOV",
              ROUND(OFFSET($P487,0,AQ$13),15-13*ORÇAMENTO!$AF$7)/$H487*OFFSET(ORÇAMENTO!$X$15,ROW(AQ487)-ROW(AQ$15),0),
              ROUND(ROUND(OFFSET($P487,0,AQ$13),15-13*ORÇAMENTO!$AF$7)*OFFSET(ORÇAMENTO!$W$15,ROW(AQ487)-ROW(AQ$15),0),15-13*ORÇAMENTO!$AF$11)),
         0)</f>
        <v>0</v>
      </c>
      <c r="AR487" s="453">
        <f ca="1">IF(AND($D487="Serviço",AR$12&lt;&gt;0,$H487&gt;0,OR(AUTOEVENTO&lt;&gt;"manual",$M487&lt;&gt;$A$15)),
        IF(Import.TipoArredondamento&lt;&gt;"TransfereGOV",
              ROUND(OFFSET($P487,0,AR$13),15-13*ORÇAMENTO!$AF$7)/$H487*OFFSET(ORÇAMENTO!$X$15,ROW(AR487)-ROW(AR$15),0),
              ROUND(ROUND(OFFSET($P487,0,AR$13),15-13*ORÇAMENTO!$AF$7)*OFFSET(ORÇAMENTO!$W$15,ROW(AR487)-ROW(AR$15),0),15-13*ORÇAMENTO!$AF$11)),
         0)</f>
        <v>0</v>
      </c>
      <c r="AS487" s="453">
        <f ca="1">IF(AND($D487="Serviço",AS$12&lt;&gt;0,$H487&gt;0,OR(AUTOEVENTO&lt;&gt;"manual",$M487&lt;&gt;$A$15)),
        IF(Import.TipoArredondamento&lt;&gt;"TransfereGOV",
              ROUND(OFFSET($P487,0,AS$13),15-13*ORÇAMENTO!$AF$7)/$H487*OFFSET(ORÇAMENTO!$X$15,ROW(AS487)-ROW(AS$15),0),
              ROUND(ROUND(OFFSET($P487,0,AS$13),15-13*ORÇAMENTO!$AF$7)*OFFSET(ORÇAMENTO!$W$15,ROW(AS487)-ROW(AS$15),0),15-13*ORÇAMENTO!$AF$11)),
         0)</f>
        <v>0</v>
      </c>
      <c r="AT487" s="453">
        <f ca="1">IF(AND($D487="Serviço",AT$12&lt;&gt;0,$H487&gt;0,OR(AUTOEVENTO&lt;&gt;"manual",$M487&lt;&gt;$A$15)),
        IF(Import.TipoArredondamento&lt;&gt;"TransfereGOV",
              ROUND(OFFSET($P487,0,AT$13),15-13*ORÇAMENTO!$AF$7)/$H487*OFFSET(ORÇAMENTO!$X$15,ROW(AT487)-ROW(AT$15),0),
              ROUND(ROUND(OFFSET($P487,0,AT$13),15-13*ORÇAMENTO!$AF$7)*OFFSET(ORÇAMENTO!$W$15,ROW(AT487)-ROW(AT$15),0),15-13*ORÇAMENTO!$AF$11)),
         0)</f>
        <v>0</v>
      </c>
      <c r="AU487" s="453">
        <f ca="1">IF(AND($D487="Serviço",AU$12&lt;&gt;0,$H487&gt;0,OR(AUTOEVENTO&lt;&gt;"manual",$M487&lt;&gt;$A$15)),
        IF(Import.TipoArredondamento&lt;&gt;"TransfereGOV",
              ROUND(OFFSET($P487,0,AU$13),15-13*ORÇAMENTO!$AF$7)/$H487*OFFSET(ORÇAMENTO!$X$15,ROW(AU487)-ROW(AU$15),0),
              ROUND(ROUND(OFFSET($P487,0,AU$13),15-13*ORÇAMENTO!$AF$7)*OFFSET(ORÇAMENTO!$W$15,ROW(AU487)-ROW(AU$15),0),15-13*ORÇAMENTO!$AF$11)),
         0)</f>
        <v>0</v>
      </c>
      <c r="AV487" s="453">
        <f ca="1">IF(AND($D487="Serviço",AV$12&lt;&gt;0,$H487&gt;0,OR(AUTOEVENTO&lt;&gt;"manual",$M487&lt;&gt;$A$15)),
        IF(Import.TipoArredondamento&lt;&gt;"TransfereGOV",
              ROUND(OFFSET($P487,0,AV$13),15-13*ORÇAMENTO!$AF$7)/$H487*OFFSET(ORÇAMENTO!$X$15,ROW(AV487)-ROW(AV$15),0),
              ROUND(ROUND(OFFSET($P487,0,AV$13),15-13*ORÇAMENTO!$AF$7)*OFFSET(ORÇAMENTO!$W$15,ROW(AV487)-ROW(AV$15),0),15-13*ORÇAMENTO!$AF$11)),
         0)</f>
        <v>0</v>
      </c>
      <c r="AW487" s="453">
        <f ca="1">IF(AND($D487="Serviço",AW$12&lt;&gt;0,$H487&gt;0,OR(AUTOEVENTO&lt;&gt;"manual",$M487&lt;&gt;$A$15)),
        IF(Import.TipoArredondamento&lt;&gt;"TransfereGOV",
              ROUND(OFFSET($P487,0,AW$13),15-13*ORÇAMENTO!$AF$7)/$H487*OFFSET(ORÇAMENTO!$X$15,ROW(AW487)-ROW(AW$15),0),
              ROUND(ROUND(OFFSET($P487,0,AW$13),15-13*ORÇAMENTO!$AF$7)*OFFSET(ORÇAMENTO!$W$15,ROW(AW487)-ROW(AW$15),0),15-13*ORÇAMENTO!$AF$11)),
         0)</f>
        <v>0</v>
      </c>
      <c r="AX487" s="453">
        <f ca="1">IF(AND($D487="Serviço",AX$12&lt;&gt;0,$H487&gt;0,OR(AUTOEVENTO&lt;&gt;"manual",$M487&lt;&gt;$A$15)),
        IF(Import.TipoArredondamento&lt;&gt;"TransfereGOV",
              ROUND(OFFSET($P487,0,AX$13),15-13*ORÇAMENTO!$AF$7)/$H487*OFFSET(ORÇAMENTO!$X$15,ROW(AX487)-ROW(AX$15),0),
              ROUND(ROUND(OFFSET($P487,0,AX$13),15-13*ORÇAMENTO!$AF$7)*OFFSET(ORÇAMENTO!$W$15,ROW(AX487)-ROW(AX$15),0),15-13*ORÇAMENTO!$AF$11)),
         0)</f>
        <v>0</v>
      </c>
      <c r="AY487" s="453">
        <f ca="1">IF(AND($D487="Serviço",AY$12&lt;&gt;0,$H487&gt;0,OR(AUTOEVENTO&lt;&gt;"manual",$M487&lt;&gt;$A$15)),
        IF(Import.TipoArredondamento&lt;&gt;"TransfereGOV",
              ROUND(OFFSET($P487,0,AY$13),15-13*ORÇAMENTO!$AF$7)/$H487*OFFSET(ORÇAMENTO!$X$15,ROW(AY487)-ROW(AY$15),0),
              ROUND(ROUND(OFFSET($P487,0,AY$13),15-13*ORÇAMENTO!$AF$7)*OFFSET(ORÇAMENTO!$W$15,ROW(AY487)-ROW(AY$15),0),15-13*ORÇAMENTO!$AF$11)),
         0)</f>
        <v>0</v>
      </c>
      <c r="AZ487" s="453">
        <f ca="1">IF(AND($D487="Serviço",AZ$12&lt;&gt;0,$H487&gt;0,OR(AUTOEVENTO&lt;&gt;"manual",$M487&lt;&gt;$A$15)),
        IF(Import.TipoArredondamento&lt;&gt;"TransfereGOV",
              ROUND(OFFSET($P487,0,AZ$13),15-13*ORÇAMENTO!$AF$7)/$H487*OFFSET(ORÇAMENTO!$X$15,ROW(AZ487)-ROW(AZ$15),0),
              ROUND(ROUND(OFFSET($P487,0,AZ$13),15-13*ORÇAMENTO!$AF$7)*OFFSET(ORÇAMENTO!$W$15,ROW(AZ487)-ROW(AZ$15),0),15-13*ORÇAMENTO!$AF$11)),
         0)</f>
        <v>0</v>
      </c>
      <c r="BA487" s="453">
        <f ca="1">IF(AND($D487="Serviço",BA$12&lt;&gt;0,$H487&gt;0,OR(AUTOEVENTO&lt;&gt;"manual",$M487&lt;&gt;$A$15)),
        IF(Import.TipoArredondamento&lt;&gt;"TransfereGOV",
              ROUND(OFFSET($P487,0,BA$13),15-13*ORÇAMENTO!$AF$7)/$H487*OFFSET(ORÇAMENTO!$X$15,ROW(BA487)-ROW(BA$15),0),
              ROUND(ROUND(OFFSET($P487,0,BA$13),15-13*ORÇAMENTO!$AF$7)*OFFSET(ORÇAMENTO!$W$15,ROW(BA487)-ROW(BA$15),0),15-13*ORÇAMENTO!$AF$11)),
         0)</f>
        <v>0</v>
      </c>
      <c r="BC487" s="171">
        <f ca="1">IF(OR($D487&lt;&gt;"Serviço",AND(AUTOEVENTO="Manual",$M487=$A$15)),0,
         IF(OFFSET(CRONOPLE!$F$15,$M487-$A$15,BC$13)=0,10^12,OFFSET(CRONOPLE!$F$15,$M487-$A$15,BC$13)))</f>
        <v>1000000000000</v>
      </c>
      <c r="BD487" s="171">
        <f ca="1">IF(OR($D487&lt;&gt;"Serviço",AND(AUTOEVENTO="Manual",$M487=$A$15)),0,
         IF(OFFSET(CRONOPLE!$F$15,$M487-$A$15,BD$13)=0,10^12,OFFSET(CRONOPLE!$F$15,$M487-$A$15,BD$13)))</f>
        <v>1000000000000</v>
      </c>
      <c r="BE487" s="171">
        <f ca="1">IF(OR($D487&lt;&gt;"Serviço",AND(AUTOEVENTO="Manual",$M487=$A$15)),0,
         IF(OFFSET(CRONOPLE!$F$15,$M487-$A$15,BE$13)=0,10^12,OFFSET(CRONOPLE!$F$15,$M487-$A$15,BE$13)))</f>
        <v>1000000000000</v>
      </c>
      <c r="BF487" s="171">
        <f ca="1">IF(OR($D487&lt;&gt;"Serviço",AND(AUTOEVENTO="Manual",$M487=$A$15)),0,
         IF(OFFSET(CRONOPLE!$F$15,$M487-$A$15,BF$13)=0,10^12,OFFSET(CRONOPLE!$F$15,$M487-$A$15,BF$13)))</f>
        <v>1000000000000</v>
      </c>
      <c r="BG487" s="171">
        <f ca="1">IF(OR($D487&lt;&gt;"Serviço",AND(AUTOEVENTO="Manual",$M487=$A$15)),0,
         IF(OFFSET(CRONOPLE!$F$15,$M487-$A$15,BG$13)=0,10^12,OFFSET(CRONOPLE!$F$15,$M487-$A$15,BG$13)))</f>
        <v>1000000000000</v>
      </c>
      <c r="BH487" s="171">
        <f ca="1">IF(OR($D487&lt;&gt;"Serviço",AND(AUTOEVENTO="Manual",$M487=$A$15)),0,
         IF(OFFSET(CRONOPLE!$F$15,$M487-$A$15,BH$13)=0,10^12,OFFSET(CRONOPLE!$F$15,$M487-$A$15,BH$13)))</f>
        <v>1000000000000</v>
      </c>
      <c r="BI487" s="171">
        <f ca="1">IF(OR($D487&lt;&gt;"Serviço",AND(AUTOEVENTO="Manual",$M487=$A$15)),0,
         IF(OFFSET(CRONOPLE!$F$15,$M487-$A$15,BI$13)=0,10^12,OFFSET(CRONOPLE!$F$15,$M487-$A$15,BI$13)))</f>
        <v>1000000000000</v>
      </c>
      <c r="BJ487" s="171">
        <f ca="1">IF(OR($D487&lt;&gt;"Serviço",AND(AUTOEVENTO="Manual",$M487=$A$15)),0,
         IF(OFFSET(CRONOPLE!$F$15,$M487-$A$15,BJ$13)=0,10^12,OFFSET(CRONOPLE!$F$15,$M487-$A$15,BJ$13)))</f>
        <v>1000000000000</v>
      </c>
      <c r="BK487" s="171">
        <f ca="1">IF(OR($D487&lt;&gt;"Serviço",AND(AUTOEVENTO="Manual",$M487=$A$15)),0,
         IF(OFFSET(CRONOPLE!$F$15,$M487-$A$15,BK$13)=0,10^12,OFFSET(CRONOPLE!$F$15,$M487-$A$15,BK$13)))</f>
        <v>9</v>
      </c>
      <c r="BL487" s="171">
        <f ca="1">IF(OR($D487&lt;&gt;"Serviço",AND(AUTOEVENTO="Manual",$M487=$A$15)),0,
         IF(OFFSET(CRONOPLE!$F$15,$M487-$A$15,BL$13)=0,10^12,OFFSET(CRONOPLE!$F$15,$M487-$A$15,BL$13)))</f>
        <v>10</v>
      </c>
      <c r="BM487" s="171">
        <f ca="1">IF(OR($D487&lt;&gt;"Serviço",AND(AUTOEVENTO="Manual",$M487=$A$15)),0,
         IF(OFFSET(CRONOPLE!$F$15,$M487-$A$15,BM$13)=0,10^12,OFFSET(CRONOPLE!$F$15,$M487-$A$15,BM$13)))</f>
        <v>1000000000000</v>
      </c>
      <c r="BN487" s="171">
        <f ca="1">IF(OR($D487&lt;&gt;"Serviço",AND(AUTOEVENTO="Manual",$M487=$A$15)),0,
         IF(OFFSET(CRONOPLE!$F$15,$M487-$A$15,BN$13)=0,10^12,OFFSET(CRONOPLE!$F$15,$M487-$A$15,BN$13)))</f>
        <v>1000000000000</v>
      </c>
      <c r="BO487" s="171">
        <f ca="1">IF(OR($D487&lt;&gt;"Serviço",AND(AUTOEVENTO="Manual",$M487=$A$15)),0,
         IF(OFFSET(CRONOPLE!$F$15,$M487-$A$15,BO$13)=0,10^12,OFFSET(CRONOPLE!$F$15,$M487-$A$15,BO$13)))</f>
        <v>1000000000000</v>
      </c>
      <c r="BP487" s="171">
        <f ca="1">IF(OR($D487&lt;&gt;"Serviço",AND(AUTOEVENTO="Manual",$M487=$A$15)),0,
         IF(OFFSET(CRONOPLE!$F$15,$M487-$A$15,BP$13)=0,10^12,OFFSET(CRONOPLE!$F$15,$M487-$A$15,BP$13)))</f>
        <v>1000000000000</v>
      </c>
      <c r="BQ487" s="171">
        <f ca="1">IF(OR($D487&lt;&gt;"Serviço",AND(AUTOEVENTO="Manual",$M487=$A$15)),0,
         IF(OFFSET(CRONOPLE!$F$15,$M487-$A$15,BQ$13)=0,10^12,OFFSET(CRONOPLE!$F$15,$M487-$A$15,BQ$13)))</f>
        <v>1000000000000</v>
      </c>
      <c r="BR487" s="171">
        <f ca="1">IF(OR($D487&lt;&gt;"Serviço",AND(AUTOEVENTO="Manual",$M487=$A$15)),0,
         IF(OFFSET(CRONOPLE!$F$15,$M487-$A$15,BR$13)=0,10^12,OFFSET(CRONOPLE!$F$15,$M487-$A$15,BR$13)))</f>
        <v>1000000000000</v>
      </c>
      <c r="BS487" s="171">
        <f ca="1">IF(OR($D487&lt;&gt;"Serviço",AND(AUTOEVENTO="Manual",$M487=$A$15)),0,
         IF(OFFSET(CRONOPLE!$F$15,$M487-$A$15,BS$13)=0,10^12,OFFSET(CRONOPLE!$F$15,$M487-$A$15,BS$13)))</f>
        <v>1000000000000</v>
      </c>
      <c r="BT487" s="171">
        <f ca="1">IF(OR($D487&lt;&gt;"Serviço",AND(AUTOEVENTO="Manual",$M487=$A$15)),0,
         IF(OFFSET(CRONOPLE!$F$15,$M487-$A$15,BT$13)=0,10^12,OFFSET(CRONOPLE!$F$15,$M487-$A$15,BT$13)))</f>
        <v>1000000000000</v>
      </c>
      <c r="BV487" s="172">
        <f ca="1">IF(OR($D487&lt;&gt;"Serviço",AND(AUTOEVENTO="Manual",$M487=$A$15),$M487&gt;(ROW(PLE.lastrow)-ROW(PLE.firstrow))),0,
           IF(OFFSET(PLE!$G$15,$M487-$A$15,BV$13)="",10^12,OFFSET(PLE!$G$15,$M487-$A$15,BV$13)))</f>
        <v>1000000000000</v>
      </c>
      <c r="BW487" s="172">
        <f ca="1">IF(OR($D487&lt;&gt;"Serviço",AND(AUTOEVENTO="Manual",$M487=$A$15),$M487&gt;(ROW(PLE.lastrow)-ROW(PLE.firstrow))),0,
           IF(OFFSET(PLE!$G$15,$M487-$A$15,BW$13)="",10^12,OFFSET(PLE!$G$15,$M487-$A$15,BW$13)))</f>
        <v>1000000000000</v>
      </c>
      <c r="BX487" s="172">
        <f ca="1">IF(OR($D487&lt;&gt;"Serviço",AND(AUTOEVENTO="Manual",$M487=$A$15),$M487&gt;(ROW(PLE.lastrow)-ROW(PLE.firstrow))),0,
           IF(OFFSET(PLE!$G$15,$M487-$A$15,BX$13)="",10^12,OFFSET(PLE!$G$15,$M487-$A$15,BX$13)))</f>
        <v>1000000000000</v>
      </c>
      <c r="BY487" s="172">
        <f ca="1">IF(OR($D487&lt;&gt;"Serviço",AND(AUTOEVENTO="Manual",$M487=$A$15),$M487&gt;(ROW(PLE.lastrow)-ROW(PLE.firstrow))),0,
           IF(OFFSET(PLE!$G$15,$M487-$A$15,BY$13)="",10^12,OFFSET(PLE!$G$15,$M487-$A$15,BY$13)))</f>
        <v>1000000000000</v>
      </c>
      <c r="BZ487" s="172">
        <f ca="1">IF(OR($D487&lt;&gt;"Serviço",AND(AUTOEVENTO="Manual",$M487=$A$15),$M487&gt;(ROW(PLE.lastrow)-ROW(PLE.firstrow))),0,
           IF(OFFSET(PLE!$G$15,$M487-$A$15,BZ$13)="",10^12,OFFSET(PLE!$G$15,$M487-$A$15,BZ$13)))</f>
        <v>1000000000000</v>
      </c>
      <c r="CA487" s="172">
        <f ca="1">IF(OR($D487&lt;&gt;"Serviço",AND(AUTOEVENTO="Manual",$M487=$A$15),$M487&gt;(ROW(PLE.lastrow)-ROW(PLE.firstrow))),0,
           IF(OFFSET(PLE!$G$15,$M487-$A$15,CA$13)="",10^12,OFFSET(PLE!$G$15,$M487-$A$15,CA$13)))</f>
        <v>1000000000000</v>
      </c>
      <c r="CB487" s="172">
        <f ca="1">IF(OR($D487&lt;&gt;"Serviço",AND(AUTOEVENTO="Manual",$M487=$A$15),$M487&gt;(ROW(PLE.lastrow)-ROW(PLE.firstrow))),0,
           IF(OFFSET(PLE!$G$15,$M487-$A$15,CB$13)="",10^12,OFFSET(PLE!$G$15,$M487-$A$15,CB$13)))</f>
        <v>1000000000000</v>
      </c>
      <c r="CC487" s="172">
        <f ca="1">IF(OR($D487&lt;&gt;"Serviço",AND(AUTOEVENTO="Manual",$M487=$A$15),$M487&gt;(ROW(PLE.lastrow)-ROW(PLE.firstrow))),0,
           IF(OFFSET(PLE!$G$15,$M487-$A$15,CC$13)="",10^12,OFFSET(PLE!$G$15,$M487-$A$15,CC$13)))</f>
        <v>1000000000000</v>
      </c>
      <c r="CD487" s="172">
        <f ca="1">IF(OR($D487&lt;&gt;"Serviço",AND(AUTOEVENTO="Manual",$M487=$A$15),$M487&gt;(ROW(PLE.lastrow)-ROW(PLE.firstrow))),0,
           IF(OFFSET(PLE!$G$15,$M487-$A$15,CD$13)="",10^12,OFFSET(PLE!$G$15,$M487-$A$15,CD$13)))</f>
        <v>1000000000000</v>
      </c>
      <c r="CE487" s="172">
        <f ca="1">IF(OR($D487&lt;&gt;"Serviço",AND(AUTOEVENTO="Manual",$M487=$A$15),$M487&gt;(ROW(PLE.lastrow)-ROW(PLE.firstrow))),0,
           IF(OFFSET(PLE!$G$15,$M487-$A$15,CE$13)="",10^12,OFFSET(PLE!$G$15,$M487-$A$15,CE$13)))</f>
        <v>1000000000000</v>
      </c>
      <c r="CF487" s="172">
        <f ca="1">IF(OR($D487&lt;&gt;"Serviço",AND(AUTOEVENTO="Manual",$M487=$A$15),$M487&gt;(ROW(PLE.lastrow)-ROW(PLE.firstrow))),0,
           IF(OFFSET(PLE!$G$15,$M487-$A$15,CF$13)="",10^12,OFFSET(PLE!$G$15,$M487-$A$15,CF$13)))</f>
        <v>1000000000000</v>
      </c>
      <c r="CG487" s="172">
        <f ca="1">IF(OR($D487&lt;&gt;"Serviço",AND(AUTOEVENTO="Manual",$M487=$A$15),$M487&gt;(ROW(PLE.lastrow)-ROW(PLE.firstrow))),0,
           IF(OFFSET(PLE!$G$15,$M487-$A$15,CG$13)="",10^12,OFFSET(PLE!$G$15,$M487-$A$15,CG$13)))</f>
        <v>1000000000000</v>
      </c>
      <c r="CH487" s="172">
        <f ca="1">IF(OR($D487&lt;&gt;"Serviço",AND(AUTOEVENTO="Manual",$M487=$A$15),$M487&gt;(ROW(PLE.lastrow)-ROW(PLE.firstrow))),0,
           IF(OFFSET(PLE!$G$15,$M487-$A$15,CH$13)="",10^12,OFFSET(PLE!$G$15,$M487-$A$15,CH$13)))</f>
        <v>1000000000000</v>
      </c>
      <c r="CI487" s="172">
        <f ca="1">IF(OR($D487&lt;&gt;"Serviço",AND(AUTOEVENTO="Manual",$M487=$A$15),$M487&gt;(ROW(PLE.lastrow)-ROW(PLE.firstrow))),0,
           IF(OFFSET(PLE!$G$15,$M487-$A$15,CI$13)="",10^12,OFFSET(PLE!$G$15,$M487-$A$15,CI$13)))</f>
        <v>1000000000000</v>
      </c>
      <c r="CJ487" s="172">
        <f ca="1">IF(OR($D487&lt;&gt;"Serviço",AND(AUTOEVENTO="Manual",$M487=$A$15),$M487&gt;(ROW(PLE.lastrow)-ROW(PLE.firstrow))),0,
           IF(OFFSET(PLE!$G$15,$M487-$A$15,CJ$13)="",10^12,OFFSET(PLE!$G$15,$M487-$A$15,CJ$13)))</f>
        <v>1000000000000</v>
      </c>
      <c r="CK487" s="172">
        <f ca="1">IF(OR($D487&lt;&gt;"Serviço",AND(AUTOEVENTO="Manual",$M487=$A$15),$M487&gt;(ROW(PLE.lastrow)-ROW(PLE.firstrow))),0,
           IF(OFFSET(PLE!$G$15,$M487-$A$15,CK$13)="",10^12,OFFSET(PLE!$G$15,$M487-$A$15,CK$13)))</f>
        <v>1000000000000</v>
      </c>
      <c r="CL487" s="172">
        <f ca="1">IF(OR($D487&lt;&gt;"Serviço",AND(AUTOEVENTO="Manual",$M487=$A$15),$M487&gt;(ROW(PLE.lastrow)-ROW(PLE.firstrow))),0,
           IF(OFFSET(PLE!$G$15,$M487-$A$15,CL$13)="",10^12,OFFSET(PLE!$G$15,$M487-$A$15,CL$13)))</f>
        <v>1000000000000</v>
      </c>
      <c r="CM487" s="172">
        <f ca="1">IF(OR($D487&lt;&gt;"Serviço",AND(AUTOEVENTO="Manual",$M487=$A$15),$M487&gt;(ROW(PLE.lastrow)-ROW(PLE.firstrow))),0,
           IF(OFFSET(PLE!$G$15,$M487-$A$15,CM$13)="",10^12,OFFSET(PLE!$G$15,$M487-$A$15,CM$13)))</f>
        <v>1000000000000</v>
      </c>
    </row>
    <row r="488" spans="1:91" ht="140.25" x14ac:dyDescent="0.2">
      <c r="A488" s="7">
        <f t="shared" ca="1" si="17"/>
        <v>9</v>
      </c>
      <c r="B488" s="7" t="str">
        <f ca="1">OFFSET(ORÇAMENTO!C$15,ROW(B488)-ROW(B$15),0)</f>
        <v>S</v>
      </c>
      <c r="C488" s="7" t="str">
        <f ca="1">OFFSET(ORÇAMENTO!L$15,ROW(C488)-ROW(C$15),0)</f>
        <v>F</v>
      </c>
      <c r="D488" s="116" t="str">
        <f ca="1">OFFSET(ORÇAMENTO!N$15,ROW(D488)-ROW(D$15),0)</f>
        <v>Serviço</v>
      </c>
      <c r="E488" s="117" t="str">
        <f ca="1">OFFSET(ORÇAMENTO!O$15,ROW(E488)-ROW(E$15),0)</f>
        <v>1.10.3.0.2.</v>
      </c>
      <c r="F488" s="163" t="str">
        <f ca="1">OFFSET(ORÇAMENTO!R$15,ROW(F488)-ROW(F$15),0)</f>
        <v>REBOCO COM ARGAMASSA, TRAÇO 1:2:8 (CIMENTO, CAL E AREIA), ESP. 20MM, APLICAÇÃO MANUAL, INCLUSIVE ARGAMASSA COM PREPARO MECANIZADO, EXCLUSIVE CHAPISCO</v>
      </c>
      <c r="G488" s="164" t="str">
        <f ca="1">IF($D488&lt;&gt;"Serviço","",OFFSET(ORÇAMENTO!S$15,ROW(G488)-ROW(G$15),0))</f>
        <v>M2</v>
      </c>
      <c r="H488" s="122" cm="1">
        <f t="array" aca="1" ref="H488" ca="1">IF($D488&lt;&gt;"Serviço",0,IF(ACOMPANHAMENTO="BM",ROUND(OFFSET(ORÇAMENTO!AJ$15,ROW(H488)-ROW(H$15),0),15-13*ORÇAMENTO!$AF$7),SUMPRODUCT(($Q$1:$AI$1=1)*ROUND($Q488:$AI488,15-13*ORÇAMENTO!$AF$7))))</f>
        <v>86.97</v>
      </c>
      <c r="I488" s="468" t="s">
        <v>1433</v>
      </c>
      <c r="J488" s="640" t="str" cm="1">
        <f t="array" aca="1" ref="J488" ca="1">IF(OR(B488&lt;&gt;"S",CÁLCULO.FrentesPreenchidas=0),"",IF(AND(ACOMPANHAMENTO="PLE",AUTOEVENTO="Manual",OR(H488&gt;0,ORÇAMENTO!AC488="QUANT."),OR(K488="",M488=0,N488="")),"►E",IF(AND(ACOMPANHAMENTO="PLE",ORÇAMENTO!AC488="QUANT."),"►Q",IF(AND(ACOMPANHAMENTO="PLE",H488&lt;&gt;SUMPRODUCT(($Q$1:$AI$1=1)*ROUND(Q488:AI488,15))),"►S",IF(AND(COUNTIF($P$11:$AI$11,"▼")=0,H488&gt;0,I488=""),"◄M","")))))</f>
        <v/>
      </c>
      <c r="K488" s="641" t="s">
        <v>1393</v>
      </c>
      <c r="L488" s="165" t="s">
        <v>764</v>
      </c>
      <c r="M488" s="166">
        <f ca="1">IF($D488&lt;&gt;"Serviço","",
          IF(AUTOEVENTO="manual",$A488,
                IF(ISERROR(MATCH($A488,$A$15:OFFSET($A488,-1,0),0)),MAX($M$15:OFFSET(M488,-1,0))+1,
                      INDEX($M$15:OFFSET(M488,-1,0),MATCH($A488,$A$15:OFFSET($A488,-1,0),0)))))</f>
        <v>9</v>
      </c>
      <c r="N488" s="167" t="str">
        <f ca="1">IF($D488&lt;&gt;"Serviço","",
         IF(AUTOEVENTO="Manual",
                IF($A488=0,"&lt;-- defina o número do agrupador",
                       OFFSET(EVENTOS!$D$15,$A488-$A$15,0)),
                OFFSET($F$15,$A488,0)))</f>
        <v>Arquitetura</v>
      </c>
      <c r="O488" s="168"/>
      <c r="Q488" s="168"/>
      <c r="R488" s="169"/>
      <c r="S488" s="169"/>
      <c r="T488" s="169"/>
      <c r="U488" s="169"/>
      <c r="V488" s="169"/>
      <c r="W488" s="169"/>
      <c r="X488" s="169"/>
      <c r="Y488" s="169"/>
      <c r="Z488" s="170">
        <f>Z487</f>
        <v>86.97</v>
      </c>
      <c r="AA488" s="169"/>
      <c r="AB488" s="169"/>
      <c r="AC488" s="169"/>
      <c r="AD488" s="169"/>
      <c r="AE488" s="169"/>
      <c r="AF488" s="169"/>
      <c r="AG488" s="169"/>
      <c r="AH488" s="170"/>
      <c r="AJ488" s="453">
        <f ca="1">IF(AND($D488="Serviço",AJ$12&lt;&gt;0,$H488&gt;0,OR(AUTOEVENTO&lt;&gt;"manual",$M488&lt;&gt;$A$15)),
        IF(Import.TipoArredondamento&lt;&gt;"TransfereGOV",
              ROUND(OFFSET($P488,0,AJ$13),15-13*ORÇAMENTO!$AF$7)/$H488*OFFSET(ORÇAMENTO!$X$15,ROW(AJ488)-ROW(AJ$15),0),
              ROUND(ROUND(OFFSET($P488,0,AJ$13),15-13*ORÇAMENTO!$AF$7)*OFFSET(ORÇAMENTO!$W$15,ROW(AJ488)-ROW(AJ$15),0),15-13*ORÇAMENTO!$AF$11)),
         0)</f>
        <v>0</v>
      </c>
      <c r="AK488" s="453">
        <f ca="1">IF(AND($D488="Serviço",AK$12&lt;&gt;0,$H488&gt;0,OR(AUTOEVENTO&lt;&gt;"manual",$M488&lt;&gt;$A$15)),
        IF(Import.TipoArredondamento&lt;&gt;"TransfereGOV",
              ROUND(OFFSET($P488,0,AK$13),15-13*ORÇAMENTO!$AF$7)/$H488*OFFSET(ORÇAMENTO!$X$15,ROW(AK488)-ROW(AK$15),0),
              ROUND(ROUND(OFFSET($P488,0,AK$13),15-13*ORÇAMENTO!$AF$7)*OFFSET(ORÇAMENTO!$W$15,ROW(AK488)-ROW(AK$15),0),15-13*ORÇAMENTO!$AF$11)),
         0)</f>
        <v>0</v>
      </c>
      <c r="AL488" s="453">
        <f ca="1">IF(AND($D488="Serviço",AL$12&lt;&gt;0,$H488&gt;0,OR(AUTOEVENTO&lt;&gt;"manual",$M488&lt;&gt;$A$15)),
        IF(Import.TipoArredondamento&lt;&gt;"TransfereGOV",
              ROUND(OFFSET($P488,0,AL$13),15-13*ORÇAMENTO!$AF$7)/$H488*OFFSET(ORÇAMENTO!$X$15,ROW(AL488)-ROW(AL$15),0),
              ROUND(ROUND(OFFSET($P488,0,AL$13),15-13*ORÇAMENTO!$AF$7)*OFFSET(ORÇAMENTO!$W$15,ROW(AL488)-ROW(AL$15),0),15-13*ORÇAMENTO!$AF$11)),
         0)</f>
        <v>0</v>
      </c>
      <c r="AM488" s="453">
        <f ca="1">IF(AND($D488="Serviço",AM$12&lt;&gt;0,$H488&gt;0,OR(AUTOEVENTO&lt;&gt;"manual",$M488&lt;&gt;$A$15)),
        IF(Import.TipoArredondamento&lt;&gt;"TransfereGOV",
              ROUND(OFFSET($P488,0,AM$13),15-13*ORÇAMENTO!$AF$7)/$H488*OFFSET(ORÇAMENTO!$X$15,ROW(AM488)-ROW(AM$15),0),
              ROUND(ROUND(OFFSET($P488,0,AM$13),15-13*ORÇAMENTO!$AF$7)*OFFSET(ORÇAMENTO!$W$15,ROW(AM488)-ROW(AM$15),0),15-13*ORÇAMENTO!$AF$11)),
         0)</f>
        <v>0</v>
      </c>
      <c r="AN488" s="453">
        <f ca="1">IF(AND($D488="Serviço",AN$12&lt;&gt;0,$H488&gt;0,OR(AUTOEVENTO&lt;&gt;"manual",$M488&lt;&gt;$A$15)),
        IF(Import.TipoArredondamento&lt;&gt;"TransfereGOV",
              ROUND(OFFSET($P488,0,AN$13),15-13*ORÇAMENTO!$AF$7)/$H488*OFFSET(ORÇAMENTO!$X$15,ROW(AN488)-ROW(AN$15),0),
              ROUND(ROUND(OFFSET($P488,0,AN$13),15-13*ORÇAMENTO!$AF$7)*OFFSET(ORÇAMENTO!$W$15,ROW(AN488)-ROW(AN$15),0),15-13*ORÇAMENTO!$AF$11)),
         0)</f>
        <v>0</v>
      </c>
      <c r="AO488" s="453">
        <f ca="1">IF(AND($D488="Serviço",AO$12&lt;&gt;0,$H488&gt;0,OR(AUTOEVENTO&lt;&gt;"manual",$M488&lt;&gt;$A$15)),
        IF(Import.TipoArredondamento&lt;&gt;"TransfereGOV",
              ROUND(OFFSET($P488,0,AO$13),15-13*ORÇAMENTO!$AF$7)/$H488*OFFSET(ORÇAMENTO!$X$15,ROW(AO488)-ROW(AO$15),0),
              ROUND(ROUND(OFFSET($P488,0,AO$13),15-13*ORÇAMENTO!$AF$7)*OFFSET(ORÇAMENTO!$W$15,ROW(AO488)-ROW(AO$15),0),15-13*ORÇAMENTO!$AF$11)),
         0)</f>
        <v>0</v>
      </c>
      <c r="AP488" s="453">
        <f ca="1">IF(AND($D488="Serviço",AP$12&lt;&gt;0,$H488&gt;0,OR(AUTOEVENTO&lt;&gt;"manual",$M488&lt;&gt;$A$15)),
        IF(Import.TipoArredondamento&lt;&gt;"TransfereGOV",
              ROUND(OFFSET($P488,0,AP$13),15-13*ORÇAMENTO!$AF$7)/$H488*OFFSET(ORÇAMENTO!$X$15,ROW(AP488)-ROW(AP$15),0),
              ROUND(ROUND(OFFSET($P488,0,AP$13),15-13*ORÇAMENTO!$AF$7)*OFFSET(ORÇAMENTO!$W$15,ROW(AP488)-ROW(AP$15),0),15-13*ORÇAMENTO!$AF$11)),
         0)</f>
        <v>0</v>
      </c>
      <c r="AQ488" s="453">
        <f ca="1">IF(AND($D488="Serviço",AQ$12&lt;&gt;0,$H488&gt;0,OR(AUTOEVENTO&lt;&gt;"manual",$M488&lt;&gt;$A$15)),
        IF(Import.TipoArredondamento&lt;&gt;"TransfereGOV",
              ROUND(OFFSET($P488,0,AQ$13),15-13*ORÇAMENTO!$AF$7)/$H488*OFFSET(ORÇAMENTO!$X$15,ROW(AQ488)-ROW(AQ$15),0),
              ROUND(ROUND(OFFSET($P488,0,AQ$13),15-13*ORÇAMENTO!$AF$7)*OFFSET(ORÇAMENTO!$W$15,ROW(AQ488)-ROW(AQ$15),0),15-13*ORÇAMENTO!$AF$11)),
         0)</f>
        <v>0</v>
      </c>
      <c r="AR488" s="453">
        <f ca="1">IF(AND($D488="Serviço",AR$12&lt;&gt;0,$H488&gt;0,OR(AUTOEVENTO&lt;&gt;"manual",$M488&lt;&gt;$A$15)),
        IF(Import.TipoArredondamento&lt;&gt;"TransfereGOV",
              ROUND(OFFSET($P488,0,AR$13),15-13*ORÇAMENTO!$AF$7)/$H488*OFFSET(ORÇAMENTO!$X$15,ROW(AR488)-ROW(AR$15),0),
              ROUND(ROUND(OFFSET($P488,0,AR$13),15-13*ORÇAMENTO!$AF$7)*OFFSET(ORÇAMENTO!$W$15,ROW(AR488)-ROW(AR$15),0),15-13*ORÇAMENTO!$AF$11)),
         0)</f>
        <v>0</v>
      </c>
      <c r="AS488" s="453">
        <f ca="1">IF(AND($D488="Serviço",AS$12&lt;&gt;0,$H488&gt;0,OR(AUTOEVENTO&lt;&gt;"manual",$M488&lt;&gt;$A$15)),
        IF(Import.TipoArredondamento&lt;&gt;"TransfereGOV",
              ROUND(OFFSET($P488,0,AS$13),15-13*ORÇAMENTO!$AF$7)/$H488*OFFSET(ORÇAMENTO!$X$15,ROW(AS488)-ROW(AS$15),0),
              ROUND(ROUND(OFFSET($P488,0,AS$13),15-13*ORÇAMENTO!$AF$7)*OFFSET(ORÇAMENTO!$W$15,ROW(AS488)-ROW(AS$15),0),15-13*ORÇAMENTO!$AF$11)),
         0)</f>
        <v>0</v>
      </c>
      <c r="AT488" s="453">
        <f ca="1">IF(AND($D488="Serviço",AT$12&lt;&gt;0,$H488&gt;0,OR(AUTOEVENTO&lt;&gt;"manual",$M488&lt;&gt;$A$15)),
        IF(Import.TipoArredondamento&lt;&gt;"TransfereGOV",
              ROUND(OFFSET($P488,0,AT$13),15-13*ORÇAMENTO!$AF$7)/$H488*OFFSET(ORÇAMENTO!$X$15,ROW(AT488)-ROW(AT$15),0),
              ROUND(ROUND(OFFSET($P488,0,AT$13),15-13*ORÇAMENTO!$AF$7)*OFFSET(ORÇAMENTO!$W$15,ROW(AT488)-ROW(AT$15),0),15-13*ORÇAMENTO!$AF$11)),
         0)</f>
        <v>0</v>
      </c>
      <c r="AU488" s="453">
        <f ca="1">IF(AND($D488="Serviço",AU$12&lt;&gt;0,$H488&gt;0,OR(AUTOEVENTO&lt;&gt;"manual",$M488&lt;&gt;$A$15)),
        IF(Import.TipoArredondamento&lt;&gt;"TransfereGOV",
              ROUND(OFFSET($P488,0,AU$13),15-13*ORÇAMENTO!$AF$7)/$H488*OFFSET(ORÇAMENTO!$X$15,ROW(AU488)-ROW(AU$15),0),
              ROUND(ROUND(OFFSET($P488,0,AU$13),15-13*ORÇAMENTO!$AF$7)*OFFSET(ORÇAMENTO!$W$15,ROW(AU488)-ROW(AU$15),0),15-13*ORÇAMENTO!$AF$11)),
         0)</f>
        <v>0</v>
      </c>
      <c r="AV488" s="453">
        <f ca="1">IF(AND($D488="Serviço",AV$12&lt;&gt;0,$H488&gt;0,OR(AUTOEVENTO&lt;&gt;"manual",$M488&lt;&gt;$A$15)),
        IF(Import.TipoArredondamento&lt;&gt;"TransfereGOV",
              ROUND(OFFSET($P488,0,AV$13),15-13*ORÇAMENTO!$AF$7)/$H488*OFFSET(ORÇAMENTO!$X$15,ROW(AV488)-ROW(AV$15),0),
              ROUND(ROUND(OFFSET($P488,0,AV$13),15-13*ORÇAMENTO!$AF$7)*OFFSET(ORÇAMENTO!$W$15,ROW(AV488)-ROW(AV$15),0),15-13*ORÇAMENTO!$AF$11)),
         0)</f>
        <v>0</v>
      </c>
      <c r="AW488" s="453">
        <f ca="1">IF(AND($D488="Serviço",AW$12&lt;&gt;0,$H488&gt;0,OR(AUTOEVENTO&lt;&gt;"manual",$M488&lt;&gt;$A$15)),
        IF(Import.TipoArredondamento&lt;&gt;"TransfereGOV",
              ROUND(OFFSET($P488,0,AW$13),15-13*ORÇAMENTO!$AF$7)/$H488*OFFSET(ORÇAMENTO!$X$15,ROW(AW488)-ROW(AW$15),0),
              ROUND(ROUND(OFFSET($P488,0,AW$13),15-13*ORÇAMENTO!$AF$7)*OFFSET(ORÇAMENTO!$W$15,ROW(AW488)-ROW(AW$15),0),15-13*ORÇAMENTO!$AF$11)),
         0)</f>
        <v>0</v>
      </c>
      <c r="AX488" s="453">
        <f ca="1">IF(AND($D488="Serviço",AX$12&lt;&gt;0,$H488&gt;0,OR(AUTOEVENTO&lt;&gt;"manual",$M488&lt;&gt;$A$15)),
        IF(Import.TipoArredondamento&lt;&gt;"TransfereGOV",
              ROUND(OFFSET($P488,0,AX$13),15-13*ORÇAMENTO!$AF$7)/$H488*OFFSET(ORÇAMENTO!$X$15,ROW(AX488)-ROW(AX$15),0),
              ROUND(ROUND(OFFSET($P488,0,AX$13),15-13*ORÇAMENTO!$AF$7)*OFFSET(ORÇAMENTO!$W$15,ROW(AX488)-ROW(AX$15),0),15-13*ORÇAMENTO!$AF$11)),
         0)</f>
        <v>0</v>
      </c>
      <c r="AY488" s="453">
        <f ca="1">IF(AND($D488="Serviço",AY$12&lt;&gt;0,$H488&gt;0,OR(AUTOEVENTO&lt;&gt;"manual",$M488&lt;&gt;$A$15)),
        IF(Import.TipoArredondamento&lt;&gt;"TransfereGOV",
              ROUND(OFFSET($P488,0,AY$13),15-13*ORÇAMENTO!$AF$7)/$H488*OFFSET(ORÇAMENTO!$X$15,ROW(AY488)-ROW(AY$15),0),
              ROUND(ROUND(OFFSET($P488,0,AY$13),15-13*ORÇAMENTO!$AF$7)*OFFSET(ORÇAMENTO!$W$15,ROW(AY488)-ROW(AY$15),0),15-13*ORÇAMENTO!$AF$11)),
         0)</f>
        <v>0</v>
      </c>
      <c r="AZ488" s="453">
        <f ca="1">IF(AND($D488="Serviço",AZ$12&lt;&gt;0,$H488&gt;0,OR(AUTOEVENTO&lt;&gt;"manual",$M488&lt;&gt;$A$15)),
        IF(Import.TipoArredondamento&lt;&gt;"TransfereGOV",
              ROUND(OFFSET($P488,0,AZ$13),15-13*ORÇAMENTO!$AF$7)/$H488*OFFSET(ORÇAMENTO!$X$15,ROW(AZ488)-ROW(AZ$15),0),
              ROUND(ROUND(OFFSET($P488,0,AZ$13),15-13*ORÇAMENTO!$AF$7)*OFFSET(ORÇAMENTO!$W$15,ROW(AZ488)-ROW(AZ$15),0),15-13*ORÇAMENTO!$AF$11)),
         0)</f>
        <v>0</v>
      </c>
      <c r="BA488" s="453">
        <f ca="1">IF(AND($D488="Serviço",BA$12&lt;&gt;0,$H488&gt;0,OR(AUTOEVENTO&lt;&gt;"manual",$M488&lt;&gt;$A$15)),
        IF(Import.TipoArredondamento&lt;&gt;"TransfereGOV",
              ROUND(OFFSET($P488,0,BA$13),15-13*ORÇAMENTO!$AF$7)/$H488*OFFSET(ORÇAMENTO!$X$15,ROW(BA488)-ROW(BA$15),0),
              ROUND(ROUND(OFFSET($P488,0,BA$13),15-13*ORÇAMENTO!$AF$7)*OFFSET(ORÇAMENTO!$W$15,ROW(BA488)-ROW(BA$15),0),15-13*ORÇAMENTO!$AF$11)),
         0)</f>
        <v>0</v>
      </c>
      <c r="BC488" s="171">
        <f ca="1">IF(OR($D488&lt;&gt;"Serviço",AND(AUTOEVENTO="Manual",$M488=$A$15)),0,
         IF(OFFSET(CRONOPLE!$F$15,$M488-$A$15,BC$13)=0,10^12,OFFSET(CRONOPLE!$F$15,$M488-$A$15,BC$13)))</f>
        <v>1000000000000</v>
      </c>
      <c r="BD488" s="171">
        <f ca="1">IF(OR($D488&lt;&gt;"Serviço",AND(AUTOEVENTO="Manual",$M488=$A$15)),0,
         IF(OFFSET(CRONOPLE!$F$15,$M488-$A$15,BD$13)=0,10^12,OFFSET(CRONOPLE!$F$15,$M488-$A$15,BD$13)))</f>
        <v>1000000000000</v>
      </c>
      <c r="BE488" s="171">
        <f ca="1">IF(OR($D488&lt;&gt;"Serviço",AND(AUTOEVENTO="Manual",$M488=$A$15)),0,
         IF(OFFSET(CRONOPLE!$F$15,$M488-$A$15,BE$13)=0,10^12,OFFSET(CRONOPLE!$F$15,$M488-$A$15,BE$13)))</f>
        <v>1000000000000</v>
      </c>
      <c r="BF488" s="171">
        <f ca="1">IF(OR($D488&lt;&gt;"Serviço",AND(AUTOEVENTO="Manual",$M488=$A$15)),0,
         IF(OFFSET(CRONOPLE!$F$15,$M488-$A$15,BF$13)=0,10^12,OFFSET(CRONOPLE!$F$15,$M488-$A$15,BF$13)))</f>
        <v>1000000000000</v>
      </c>
      <c r="BG488" s="171">
        <f ca="1">IF(OR($D488&lt;&gt;"Serviço",AND(AUTOEVENTO="Manual",$M488=$A$15)),0,
         IF(OFFSET(CRONOPLE!$F$15,$M488-$A$15,BG$13)=0,10^12,OFFSET(CRONOPLE!$F$15,$M488-$A$15,BG$13)))</f>
        <v>1000000000000</v>
      </c>
      <c r="BH488" s="171">
        <f ca="1">IF(OR($D488&lt;&gt;"Serviço",AND(AUTOEVENTO="Manual",$M488=$A$15)),0,
         IF(OFFSET(CRONOPLE!$F$15,$M488-$A$15,BH$13)=0,10^12,OFFSET(CRONOPLE!$F$15,$M488-$A$15,BH$13)))</f>
        <v>1000000000000</v>
      </c>
      <c r="BI488" s="171">
        <f ca="1">IF(OR($D488&lt;&gt;"Serviço",AND(AUTOEVENTO="Manual",$M488=$A$15)),0,
         IF(OFFSET(CRONOPLE!$F$15,$M488-$A$15,BI$13)=0,10^12,OFFSET(CRONOPLE!$F$15,$M488-$A$15,BI$13)))</f>
        <v>1000000000000</v>
      </c>
      <c r="BJ488" s="171">
        <f ca="1">IF(OR($D488&lt;&gt;"Serviço",AND(AUTOEVENTO="Manual",$M488=$A$15)),0,
         IF(OFFSET(CRONOPLE!$F$15,$M488-$A$15,BJ$13)=0,10^12,OFFSET(CRONOPLE!$F$15,$M488-$A$15,BJ$13)))</f>
        <v>1000000000000</v>
      </c>
      <c r="BK488" s="171">
        <f ca="1">IF(OR($D488&lt;&gt;"Serviço",AND(AUTOEVENTO="Manual",$M488=$A$15)),0,
         IF(OFFSET(CRONOPLE!$F$15,$M488-$A$15,BK$13)=0,10^12,OFFSET(CRONOPLE!$F$15,$M488-$A$15,BK$13)))</f>
        <v>9</v>
      </c>
      <c r="BL488" s="171">
        <f ca="1">IF(OR($D488&lt;&gt;"Serviço",AND(AUTOEVENTO="Manual",$M488=$A$15)),0,
         IF(OFFSET(CRONOPLE!$F$15,$M488-$A$15,BL$13)=0,10^12,OFFSET(CRONOPLE!$F$15,$M488-$A$15,BL$13)))</f>
        <v>10</v>
      </c>
      <c r="BM488" s="171">
        <f ca="1">IF(OR($D488&lt;&gt;"Serviço",AND(AUTOEVENTO="Manual",$M488=$A$15)),0,
         IF(OFFSET(CRONOPLE!$F$15,$M488-$A$15,BM$13)=0,10^12,OFFSET(CRONOPLE!$F$15,$M488-$A$15,BM$13)))</f>
        <v>1000000000000</v>
      </c>
      <c r="BN488" s="171">
        <f ca="1">IF(OR($D488&lt;&gt;"Serviço",AND(AUTOEVENTO="Manual",$M488=$A$15)),0,
         IF(OFFSET(CRONOPLE!$F$15,$M488-$A$15,BN$13)=0,10^12,OFFSET(CRONOPLE!$F$15,$M488-$A$15,BN$13)))</f>
        <v>1000000000000</v>
      </c>
      <c r="BO488" s="171">
        <f ca="1">IF(OR($D488&lt;&gt;"Serviço",AND(AUTOEVENTO="Manual",$M488=$A$15)),0,
         IF(OFFSET(CRONOPLE!$F$15,$M488-$A$15,BO$13)=0,10^12,OFFSET(CRONOPLE!$F$15,$M488-$A$15,BO$13)))</f>
        <v>1000000000000</v>
      </c>
      <c r="BP488" s="171">
        <f ca="1">IF(OR($D488&lt;&gt;"Serviço",AND(AUTOEVENTO="Manual",$M488=$A$15)),0,
         IF(OFFSET(CRONOPLE!$F$15,$M488-$A$15,BP$13)=0,10^12,OFFSET(CRONOPLE!$F$15,$M488-$A$15,BP$13)))</f>
        <v>1000000000000</v>
      </c>
      <c r="BQ488" s="171">
        <f ca="1">IF(OR($D488&lt;&gt;"Serviço",AND(AUTOEVENTO="Manual",$M488=$A$15)),0,
         IF(OFFSET(CRONOPLE!$F$15,$M488-$A$15,BQ$13)=0,10^12,OFFSET(CRONOPLE!$F$15,$M488-$A$15,BQ$13)))</f>
        <v>1000000000000</v>
      </c>
      <c r="BR488" s="171">
        <f ca="1">IF(OR($D488&lt;&gt;"Serviço",AND(AUTOEVENTO="Manual",$M488=$A$15)),0,
         IF(OFFSET(CRONOPLE!$F$15,$M488-$A$15,BR$13)=0,10^12,OFFSET(CRONOPLE!$F$15,$M488-$A$15,BR$13)))</f>
        <v>1000000000000</v>
      </c>
      <c r="BS488" s="171">
        <f ca="1">IF(OR($D488&lt;&gt;"Serviço",AND(AUTOEVENTO="Manual",$M488=$A$15)),0,
         IF(OFFSET(CRONOPLE!$F$15,$M488-$A$15,BS$13)=0,10^12,OFFSET(CRONOPLE!$F$15,$M488-$A$15,BS$13)))</f>
        <v>1000000000000</v>
      </c>
      <c r="BT488" s="171">
        <f ca="1">IF(OR($D488&lt;&gt;"Serviço",AND(AUTOEVENTO="Manual",$M488=$A$15)),0,
         IF(OFFSET(CRONOPLE!$F$15,$M488-$A$15,BT$13)=0,10^12,OFFSET(CRONOPLE!$F$15,$M488-$A$15,BT$13)))</f>
        <v>1000000000000</v>
      </c>
      <c r="BV488" s="172">
        <f ca="1">IF(OR($D488&lt;&gt;"Serviço",AND(AUTOEVENTO="Manual",$M488=$A$15),$M488&gt;(ROW(PLE.lastrow)-ROW(PLE.firstrow))),0,
           IF(OFFSET(PLE!$G$15,$M488-$A$15,BV$13)="",10^12,OFFSET(PLE!$G$15,$M488-$A$15,BV$13)))</f>
        <v>1000000000000</v>
      </c>
      <c r="BW488" s="172">
        <f ca="1">IF(OR($D488&lt;&gt;"Serviço",AND(AUTOEVENTO="Manual",$M488=$A$15),$M488&gt;(ROW(PLE.lastrow)-ROW(PLE.firstrow))),0,
           IF(OFFSET(PLE!$G$15,$M488-$A$15,BW$13)="",10^12,OFFSET(PLE!$G$15,$M488-$A$15,BW$13)))</f>
        <v>1000000000000</v>
      </c>
      <c r="BX488" s="172">
        <f ca="1">IF(OR($D488&lt;&gt;"Serviço",AND(AUTOEVENTO="Manual",$M488=$A$15),$M488&gt;(ROW(PLE.lastrow)-ROW(PLE.firstrow))),0,
           IF(OFFSET(PLE!$G$15,$M488-$A$15,BX$13)="",10^12,OFFSET(PLE!$G$15,$M488-$A$15,BX$13)))</f>
        <v>1000000000000</v>
      </c>
      <c r="BY488" s="172">
        <f ca="1">IF(OR($D488&lt;&gt;"Serviço",AND(AUTOEVENTO="Manual",$M488=$A$15),$M488&gt;(ROW(PLE.lastrow)-ROW(PLE.firstrow))),0,
           IF(OFFSET(PLE!$G$15,$M488-$A$15,BY$13)="",10^12,OFFSET(PLE!$G$15,$M488-$A$15,BY$13)))</f>
        <v>1000000000000</v>
      </c>
      <c r="BZ488" s="172">
        <f ca="1">IF(OR($D488&lt;&gt;"Serviço",AND(AUTOEVENTO="Manual",$M488=$A$15),$M488&gt;(ROW(PLE.lastrow)-ROW(PLE.firstrow))),0,
           IF(OFFSET(PLE!$G$15,$M488-$A$15,BZ$13)="",10^12,OFFSET(PLE!$G$15,$M488-$A$15,BZ$13)))</f>
        <v>1000000000000</v>
      </c>
      <c r="CA488" s="172">
        <f ca="1">IF(OR($D488&lt;&gt;"Serviço",AND(AUTOEVENTO="Manual",$M488=$A$15),$M488&gt;(ROW(PLE.lastrow)-ROW(PLE.firstrow))),0,
           IF(OFFSET(PLE!$G$15,$M488-$A$15,CA$13)="",10^12,OFFSET(PLE!$G$15,$M488-$A$15,CA$13)))</f>
        <v>1000000000000</v>
      </c>
      <c r="CB488" s="172">
        <f ca="1">IF(OR($D488&lt;&gt;"Serviço",AND(AUTOEVENTO="Manual",$M488=$A$15),$M488&gt;(ROW(PLE.lastrow)-ROW(PLE.firstrow))),0,
           IF(OFFSET(PLE!$G$15,$M488-$A$15,CB$13)="",10^12,OFFSET(PLE!$G$15,$M488-$A$15,CB$13)))</f>
        <v>1000000000000</v>
      </c>
      <c r="CC488" s="172">
        <f ca="1">IF(OR($D488&lt;&gt;"Serviço",AND(AUTOEVENTO="Manual",$M488=$A$15),$M488&gt;(ROW(PLE.lastrow)-ROW(PLE.firstrow))),0,
           IF(OFFSET(PLE!$G$15,$M488-$A$15,CC$13)="",10^12,OFFSET(PLE!$G$15,$M488-$A$15,CC$13)))</f>
        <v>1000000000000</v>
      </c>
      <c r="CD488" s="172">
        <f ca="1">IF(OR($D488&lt;&gt;"Serviço",AND(AUTOEVENTO="Manual",$M488=$A$15),$M488&gt;(ROW(PLE.lastrow)-ROW(PLE.firstrow))),0,
           IF(OFFSET(PLE!$G$15,$M488-$A$15,CD$13)="",10^12,OFFSET(PLE!$G$15,$M488-$A$15,CD$13)))</f>
        <v>1000000000000</v>
      </c>
      <c r="CE488" s="172">
        <f ca="1">IF(OR($D488&lt;&gt;"Serviço",AND(AUTOEVENTO="Manual",$M488=$A$15),$M488&gt;(ROW(PLE.lastrow)-ROW(PLE.firstrow))),0,
           IF(OFFSET(PLE!$G$15,$M488-$A$15,CE$13)="",10^12,OFFSET(PLE!$G$15,$M488-$A$15,CE$13)))</f>
        <v>1000000000000</v>
      </c>
      <c r="CF488" s="172">
        <f ca="1">IF(OR($D488&lt;&gt;"Serviço",AND(AUTOEVENTO="Manual",$M488=$A$15),$M488&gt;(ROW(PLE.lastrow)-ROW(PLE.firstrow))),0,
           IF(OFFSET(PLE!$G$15,$M488-$A$15,CF$13)="",10^12,OFFSET(PLE!$G$15,$M488-$A$15,CF$13)))</f>
        <v>1000000000000</v>
      </c>
      <c r="CG488" s="172">
        <f ca="1">IF(OR($D488&lt;&gt;"Serviço",AND(AUTOEVENTO="Manual",$M488=$A$15),$M488&gt;(ROW(PLE.lastrow)-ROW(PLE.firstrow))),0,
           IF(OFFSET(PLE!$G$15,$M488-$A$15,CG$13)="",10^12,OFFSET(PLE!$G$15,$M488-$A$15,CG$13)))</f>
        <v>1000000000000</v>
      </c>
      <c r="CH488" s="172">
        <f ca="1">IF(OR($D488&lt;&gt;"Serviço",AND(AUTOEVENTO="Manual",$M488=$A$15),$M488&gt;(ROW(PLE.lastrow)-ROW(PLE.firstrow))),0,
           IF(OFFSET(PLE!$G$15,$M488-$A$15,CH$13)="",10^12,OFFSET(PLE!$G$15,$M488-$A$15,CH$13)))</f>
        <v>1000000000000</v>
      </c>
      <c r="CI488" s="172">
        <f ca="1">IF(OR($D488&lt;&gt;"Serviço",AND(AUTOEVENTO="Manual",$M488=$A$15),$M488&gt;(ROW(PLE.lastrow)-ROW(PLE.firstrow))),0,
           IF(OFFSET(PLE!$G$15,$M488-$A$15,CI$13)="",10^12,OFFSET(PLE!$G$15,$M488-$A$15,CI$13)))</f>
        <v>1000000000000</v>
      </c>
      <c r="CJ488" s="172">
        <f ca="1">IF(OR($D488&lt;&gt;"Serviço",AND(AUTOEVENTO="Manual",$M488=$A$15),$M488&gt;(ROW(PLE.lastrow)-ROW(PLE.firstrow))),0,
           IF(OFFSET(PLE!$G$15,$M488-$A$15,CJ$13)="",10^12,OFFSET(PLE!$G$15,$M488-$A$15,CJ$13)))</f>
        <v>1000000000000</v>
      </c>
      <c r="CK488" s="172">
        <f ca="1">IF(OR($D488&lt;&gt;"Serviço",AND(AUTOEVENTO="Manual",$M488=$A$15),$M488&gt;(ROW(PLE.lastrow)-ROW(PLE.firstrow))),0,
           IF(OFFSET(PLE!$G$15,$M488-$A$15,CK$13)="",10^12,OFFSET(PLE!$G$15,$M488-$A$15,CK$13)))</f>
        <v>1000000000000</v>
      </c>
      <c r="CL488" s="172">
        <f ca="1">IF(OR($D488&lt;&gt;"Serviço",AND(AUTOEVENTO="Manual",$M488=$A$15),$M488&gt;(ROW(PLE.lastrow)-ROW(PLE.firstrow))),0,
           IF(OFFSET(PLE!$G$15,$M488-$A$15,CL$13)="",10^12,OFFSET(PLE!$G$15,$M488-$A$15,CL$13)))</f>
        <v>1000000000000</v>
      </c>
      <c r="CM488" s="172">
        <f ca="1">IF(OR($D488&lt;&gt;"Serviço",AND(AUTOEVENTO="Manual",$M488=$A$15),$M488&gt;(ROW(PLE.lastrow)-ROW(PLE.firstrow))),0,
           IF(OFFSET(PLE!$G$15,$M488-$A$15,CM$13)="",10^12,OFFSET(PLE!$G$15,$M488-$A$15,CM$13)))</f>
        <v>1000000000000</v>
      </c>
    </row>
    <row r="489" spans="1:91" ht="12.75" x14ac:dyDescent="0.2">
      <c r="A489" s="7">
        <f t="shared" ca="1" si="17"/>
        <v>8</v>
      </c>
      <c r="B489" s="7">
        <f ca="1">OFFSET(ORÇAMENTO!C$15,ROW(B489)-ROW(B$15),0)</f>
        <v>3</v>
      </c>
      <c r="C489" s="7" t="str">
        <f ca="1">OFFSET(ORÇAMENTO!L$15,ROW(C489)-ROW(C$15),0)</f>
        <v>F</v>
      </c>
      <c r="D489" s="116" t="str">
        <f ca="1">OFFSET(ORÇAMENTO!N$15,ROW(D489)-ROW(D$15),0)</f>
        <v>Nível 3</v>
      </c>
      <c r="E489" s="117" t="str">
        <f ca="1">OFFSET(ORÇAMENTO!O$15,ROW(E489)-ROW(E$15),0)</f>
        <v>1.10.4.</v>
      </c>
      <c r="F489" s="163" t="str">
        <f ca="1">OFFSET(ORÇAMENTO!R$15,ROW(F489)-ROW(F$15),0)</f>
        <v>PINTURA</v>
      </c>
      <c r="G489" s="164" t="str">
        <f ca="1">IF($D489&lt;&gt;"Serviço","",OFFSET(ORÇAMENTO!S$15,ROW(G489)-ROW(G$15),0))</f>
        <v/>
      </c>
      <c r="H489" s="122" cm="1">
        <f t="array" aca="1" ref="H489" ca="1">IF($D489&lt;&gt;"Serviço",0,IF(ACOMPANHAMENTO="BM",ROUND(OFFSET(ORÇAMENTO!AJ$15,ROW(H489)-ROW(H$15),0),15-13*ORÇAMENTO!$AF$7),SUMPRODUCT(($Q$1:$AI$1=1)*ROUND($Q489:$AI489,15-13*ORÇAMENTO!$AF$7))))</f>
        <v>0</v>
      </c>
      <c r="I489" s="468"/>
      <c r="J489" s="640" t="str" cm="1">
        <f t="array" aca="1" ref="J489" ca="1">IF(OR(B489&lt;&gt;"S",CÁLCULO.FrentesPreenchidas=0),"",IF(AND(ACOMPANHAMENTO="PLE",AUTOEVENTO="Manual",OR(H489&gt;0,ORÇAMENTO!AC489="QUANT."),OR(K489="",M489=0,N489="")),"►E",IF(AND(ACOMPANHAMENTO="PLE",ORÇAMENTO!AC489="QUANT."),"►Q",IF(AND(ACOMPANHAMENTO="PLE",H489&lt;&gt;SUMPRODUCT(($Q$1:$AI$1=1)*ROUND(Q489:AI489,15))),"►S",IF(AND(COUNTIF($P$11:$AI$11,"▼")=0,H489&gt;0,I489=""),"◄M","")))))</f>
        <v/>
      </c>
      <c r="K489" s="641" t="s">
        <v>1368</v>
      </c>
      <c r="L489" s="165" t="s">
        <v>764</v>
      </c>
      <c r="M489" s="166" t="str">
        <f ca="1">IF($D489&lt;&gt;"Serviço","",
          IF(AUTOEVENTO="manual",$A489,
                IF(ISERROR(MATCH($A489,$A$15:OFFSET($A489,-1,0),0)),MAX($M$15:OFFSET(M489,-1,0))+1,
                      INDEX($M$15:OFFSET(M489,-1,0),MATCH($A489,$A$15:OFFSET($A489,-1,0),0)))))</f>
        <v/>
      </c>
      <c r="N489" s="167" t="str">
        <f ca="1">IF($D489&lt;&gt;"Serviço","",
         IF(AUTOEVENTO="Manual",
                IF($A489=0,"&lt;-- defina o número do agrupador",
                       OFFSET(EVENTOS!$D$15,$A489-$A$15,0)),
                OFFSET($F$15,$A489,0)))</f>
        <v/>
      </c>
      <c r="O489" s="168"/>
      <c r="Q489" s="168"/>
      <c r="R489" s="169"/>
      <c r="S489" s="169"/>
      <c r="T489" s="169"/>
      <c r="U489" s="169"/>
      <c r="V489" s="169"/>
      <c r="W489" s="169"/>
      <c r="X489" s="169"/>
      <c r="Y489" s="169"/>
      <c r="Z489" s="170"/>
      <c r="AA489" s="169"/>
      <c r="AB489" s="169"/>
      <c r="AC489" s="169"/>
      <c r="AD489" s="169"/>
      <c r="AE489" s="169"/>
      <c r="AF489" s="169"/>
      <c r="AG489" s="169"/>
      <c r="AH489" s="170"/>
      <c r="AJ489" s="453">
        <f ca="1">IF(AND($D489="Serviço",AJ$12&lt;&gt;0,$H489&gt;0,OR(AUTOEVENTO&lt;&gt;"manual",$M489&lt;&gt;$A$15)),
        IF(Import.TipoArredondamento&lt;&gt;"TransfereGOV",
              ROUND(OFFSET($P489,0,AJ$13),15-13*ORÇAMENTO!$AF$7)/$H489*OFFSET(ORÇAMENTO!$X$15,ROW(AJ489)-ROW(AJ$15),0),
              ROUND(ROUND(OFFSET($P489,0,AJ$13),15-13*ORÇAMENTO!$AF$7)*OFFSET(ORÇAMENTO!$W$15,ROW(AJ489)-ROW(AJ$15),0),15-13*ORÇAMENTO!$AF$11)),
         0)</f>
        <v>0</v>
      </c>
      <c r="AK489" s="453">
        <f ca="1">IF(AND($D489="Serviço",AK$12&lt;&gt;0,$H489&gt;0,OR(AUTOEVENTO&lt;&gt;"manual",$M489&lt;&gt;$A$15)),
        IF(Import.TipoArredondamento&lt;&gt;"TransfereGOV",
              ROUND(OFFSET($P489,0,AK$13),15-13*ORÇAMENTO!$AF$7)/$H489*OFFSET(ORÇAMENTO!$X$15,ROW(AK489)-ROW(AK$15),0),
              ROUND(ROUND(OFFSET($P489,0,AK$13),15-13*ORÇAMENTO!$AF$7)*OFFSET(ORÇAMENTO!$W$15,ROW(AK489)-ROW(AK$15),0),15-13*ORÇAMENTO!$AF$11)),
         0)</f>
        <v>0</v>
      </c>
      <c r="AL489" s="453">
        <f ca="1">IF(AND($D489="Serviço",AL$12&lt;&gt;0,$H489&gt;0,OR(AUTOEVENTO&lt;&gt;"manual",$M489&lt;&gt;$A$15)),
        IF(Import.TipoArredondamento&lt;&gt;"TransfereGOV",
              ROUND(OFFSET($P489,0,AL$13),15-13*ORÇAMENTO!$AF$7)/$H489*OFFSET(ORÇAMENTO!$X$15,ROW(AL489)-ROW(AL$15),0),
              ROUND(ROUND(OFFSET($P489,0,AL$13),15-13*ORÇAMENTO!$AF$7)*OFFSET(ORÇAMENTO!$W$15,ROW(AL489)-ROW(AL$15),0),15-13*ORÇAMENTO!$AF$11)),
         0)</f>
        <v>0</v>
      </c>
      <c r="AM489" s="453">
        <f ca="1">IF(AND($D489="Serviço",AM$12&lt;&gt;0,$H489&gt;0,OR(AUTOEVENTO&lt;&gt;"manual",$M489&lt;&gt;$A$15)),
        IF(Import.TipoArredondamento&lt;&gt;"TransfereGOV",
              ROUND(OFFSET($P489,0,AM$13),15-13*ORÇAMENTO!$AF$7)/$H489*OFFSET(ORÇAMENTO!$X$15,ROW(AM489)-ROW(AM$15),0),
              ROUND(ROUND(OFFSET($P489,0,AM$13),15-13*ORÇAMENTO!$AF$7)*OFFSET(ORÇAMENTO!$W$15,ROW(AM489)-ROW(AM$15),0),15-13*ORÇAMENTO!$AF$11)),
         0)</f>
        <v>0</v>
      </c>
      <c r="AN489" s="453">
        <f ca="1">IF(AND($D489="Serviço",AN$12&lt;&gt;0,$H489&gt;0,OR(AUTOEVENTO&lt;&gt;"manual",$M489&lt;&gt;$A$15)),
        IF(Import.TipoArredondamento&lt;&gt;"TransfereGOV",
              ROUND(OFFSET($P489,0,AN$13),15-13*ORÇAMENTO!$AF$7)/$H489*OFFSET(ORÇAMENTO!$X$15,ROW(AN489)-ROW(AN$15),0),
              ROUND(ROUND(OFFSET($P489,0,AN$13),15-13*ORÇAMENTO!$AF$7)*OFFSET(ORÇAMENTO!$W$15,ROW(AN489)-ROW(AN$15),0),15-13*ORÇAMENTO!$AF$11)),
         0)</f>
        <v>0</v>
      </c>
      <c r="AO489" s="453">
        <f ca="1">IF(AND($D489="Serviço",AO$12&lt;&gt;0,$H489&gt;0,OR(AUTOEVENTO&lt;&gt;"manual",$M489&lt;&gt;$A$15)),
        IF(Import.TipoArredondamento&lt;&gt;"TransfereGOV",
              ROUND(OFFSET($P489,0,AO$13),15-13*ORÇAMENTO!$AF$7)/$H489*OFFSET(ORÇAMENTO!$X$15,ROW(AO489)-ROW(AO$15),0),
              ROUND(ROUND(OFFSET($P489,0,AO$13),15-13*ORÇAMENTO!$AF$7)*OFFSET(ORÇAMENTO!$W$15,ROW(AO489)-ROW(AO$15),0),15-13*ORÇAMENTO!$AF$11)),
         0)</f>
        <v>0</v>
      </c>
      <c r="AP489" s="453">
        <f ca="1">IF(AND($D489="Serviço",AP$12&lt;&gt;0,$H489&gt;0,OR(AUTOEVENTO&lt;&gt;"manual",$M489&lt;&gt;$A$15)),
        IF(Import.TipoArredondamento&lt;&gt;"TransfereGOV",
              ROUND(OFFSET($P489,0,AP$13),15-13*ORÇAMENTO!$AF$7)/$H489*OFFSET(ORÇAMENTO!$X$15,ROW(AP489)-ROW(AP$15),0),
              ROUND(ROUND(OFFSET($P489,0,AP$13),15-13*ORÇAMENTO!$AF$7)*OFFSET(ORÇAMENTO!$W$15,ROW(AP489)-ROW(AP$15),0),15-13*ORÇAMENTO!$AF$11)),
         0)</f>
        <v>0</v>
      </c>
      <c r="AQ489" s="453">
        <f ca="1">IF(AND($D489="Serviço",AQ$12&lt;&gt;0,$H489&gt;0,OR(AUTOEVENTO&lt;&gt;"manual",$M489&lt;&gt;$A$15)),
        IF(Import.TipoArredondamento&lt;&gt;"TransfereGOV",
              ROUND(OFFSET($P489,0,AQ$13),15-13*ORÇAMENTO!$AF$7)/$H489*OFFSET(ORÇAMENTO!$X$15,ROW(AQ489)-ROW(AQ$15),0),
              ROUND(ROUND(OFFSET($P489,0,AQ$13),15-13*ORÇAMENTO!$AF$7)*OFFSET(ORÇAMENTO!$W$15,ROW(AQ489)-ROW(AQ$15),0),15-13*ORÇAMENTO!$AF$11)),
         0)</f>
        <v>0</v>
      </c>
      <c r="AR489" s="453">
        <f ca="1">IF(AND($D489="Serviço",AR$12&lt;&gt;0,$H489&gt;0,OR(AUTOEVENTO&lt;&gt;"manual",$M489&lt;&gt;$A$15)),
        IF(Import.TipoArredondamento&lt;&gt;"TransfereGOV",
              ROUND(OFFSET($P489,0,AR$13),15-13*ORÇAMENTO!$AF$7)/$H489*OFFSET(ORÇAMENTO!$X$15,ROW(AR489)-ROW(AR$15),0),
              ROUND(ROUND(OFFSET($P489,0,AR$13),15-13*ORÇAMENTO!$AF$7)*OFFSET(ORÇAMENTO!$W$15,ROW(AR489)-ROW(AR$15),0),15-13*ORÇAMENTO!$AF$11)),
         0)</f>
        <v>0</v>
      </c>
      <c r="AS489" s="453">
        <f ca="1">IF(AND($D489="Serviço",AS$12&lt;&gt;0,$H489&gt;0,OR(AUTOEVENTO&lt;&gt;"manual",$M489&lt;&gt;$A$15)),
        IF(Import.TipoArredondamento&lt;&gt;"TransfereGOV",
              ROUND(OFFSET($P489,0,AS$13),15-13*ORÇAMENTO!$AF$7)/$H489*OFFSET(ORÇAMENTO!$X$15,ROW(AS489)-ROW(AS$15),0),
              ROUND(ROUND(OFFSET($P489,0,AS$13),15-13*ORÇAMENTO!$AF$7)*OFFSET(ORÇAMENTO!$W$15,ROW(AS489)-ROW(AS$15),0),15-13*ORÇAMENTO!$AF$11)),
         0)</f>
        <v>0</v>
      </c>
      <c r="AT489" s="453">
        <f ca="1">IF(AND($D489="Serviço",AT$12&lt;&gt;0,$H489&gt;0,OR(AUTOEVENTO&lt;&gt;"manual",$M489&lt;&gt;$A$15)),
        IF(Import.TipoArredondamento&lt;&gt;"TransfereGOV",
              ROUND(OFFSET($P489,0,AT$13),15-13*ORÇAMENTO!$AF$7)/$H489*OFFSET(ORÇAMENTO!$X$15,ROW(AT489)-ROW(AT$15),0),
              ROUND(ROUND(OFFSET($P489,0,AT$13),15-13*ORÇAMENTO!$AF$7)*OFFSET(ORÇAMENTO!$W$15,ROW(AT489)-ROW(AT$15),0),15-13*ORÇAMENTO!$AF$11)),
         0)</f>
        <v>0</v>
      </c>
      <c r="AU489" s="453">
        <f ca="1">IF(AND($D489="Serviço",AU$12&lt;&gt;0,$H489&gt;0,OR(AUTOEVENTO&lt;&gt;"manual",$M489&lt;&gt;$A$15)),
        IF(Import.TipoArredondamento&lt;&gt;"TransfereGOV",
              ROUND(OFFSET($P489,0,AU$13),15-13*ORÇAMENTO!$AF$7)/$H489*OFFSET(ORÇAMENTO!$X$15,ROW(AU489)-ROW(AU$15),0),
              ROUND(ROUND(OFFSET($P489,0,AU$13),15-13*ORÇAMENTO!$AF$7)*OFFSET(ORÇAMENTO!$W$15,ROW(AU489)-ROW(AU$15),0),15-13*ORÇAMENTO!$AF$11)),
         0)</f>
        <v>0</v>
      </c>
      <c r="AV489" s="453">
        <f ca="1">IF(AND($D489="Serviço",AV$12&lt;&gt;0,$H489&gt;0,OR(AUTOEVENTO&lt;&gt;"manual",$M489&lt;&gt;$A$15)),
        IF(Import.TipoArredondamento&lt;&gt;"TransfereGOV",
              ROUND(OFFSET($P489,0,AV$13),15-13*ORÇAMENTO!$AF$7)/$H489*OFFSET(ORÇAMENTO!$X$15,ROW(AV489)-ROW(AV$15),0),
              ROUND(ROUND(OFFSET($P489,0,AV$13),15-13*ORÇAMENTO!$AF$7)*OFFSET(ORÇAMENTO!$W$15,ROW(AV489)-ROW(AV$15),0),15-13*ORÇAMENTO!$AF$11)),
         0)</f>
        <v>0</v>
      </c>
      <c r="AW489" s="453">
        <f ca="1">IF(AND($D489="Serviço",AW$12&lt;&gt;0,$H489&gt;0,OR(AUTOEVENTO&lt;&gt;"manual",$M489&lt;&gt;$A$15)),
        IF(Import.TipoArredondamento&lt;&gt;"TransfereGOV",
              ROUND(OFFSET($P489,0,AW$13),15-13*ORÇAMENTO!$AF$7)/$H489*OFFSET(ORÇAMENTO!$X$15,ROW(AW489)-ROW(AW$15),0),
              ROUND(ROUND(OFFSET($P489,0,AW$13),15-13*ORÇAMENTO!$AF$7)*OFFSET(ORÇAMENTO!$W$15,ROW(AW489)-ROW(AW$15),0),15-13*ORÇAMENTO!$AF$11)),
         0)</f>
        <v>0</v>
      </c>
      <c r="AX489" s="453">
        <f ca="1">IF(AND($D489="Serviço",AX$12&lt;&gt;0,$H489&gt;0,OR(AUTOEVENTO&lt;&gt;"manual",$M489&lt;&gt;$A$15)),
        IF(Import.TipoArredondamento&lt;&gt;"TransfereGOV",
              ROUND(OFFSET($P489,0,AX$13),15-13*ORÇAMENTO!$AF$7)/$H489*OFFSET(ORÇAMENTO!$X$15,ROW(AX489)-ROW(AX$15),0),
              ROUND(ROUND(OFFSET($P489,0,AX$13),15-13*ORÇAMENTO!$AF$7)*OFFSET(ORÇAMENTO!$W$15,ROW(AX489)-ROW(AX$15),0),15-13*ORÇAMENTO!$AF$11)),
         0)</f>
        <v>0</v>
      </c>
      <c r="AY489" s="453">
        <f ca="1">IF(AND($D489="Serviço",AY$12&lt;&gt;0,$H489&gt;0,OR(AUTOEVENTO&lt;&gt;"manual",$M489&lt;&gt;$A$15)),
        IF(Import.TipoArredondamento&lt;&gt;"TransfereGOV",
              ROUND(OFFSET($P489,0,AY$13),15-13*ORÇAMENTO!$AF$7)/$H489*OFFSET(ORÇAMENTO!$X$15,ROW(AY489)-ROW(AY$15),0),
              ROUND(ROUND(OFFSET($P489,0,AY$13),15-13*ORÇAMENTO!$AF$7)*OFFSET(ORÇAMENTO!$W$15,ROW(AY489)-ROW(AY$15),0),15-13*ORÇAMENTO!$AF$11)),
         0)</f>
        <v>0</v>
      </c>
      <c r="AZ489" s="453">
        <f ca="1">IF(AND($D489="Serviço",AZ$12&lt;&gt;0,$H489&gt;0,OR(AUTOEVENTO&lt;&gt;"manual",$M489&lt;&gt;$A$15)),
        IF(Import.TipoArredondamento&lt;&gt;"TransfereGOV",
              ROUND(OFFSET($P489,0,AZ$13),15-13*ORÇAMENTO!$AF$7)/$H489*OFFSET(ORÇAMENTO!$X$15,ROW(AZ489)-ROW(AZ$15),0),
              ROUND(ROUND(OFFSET($P489,0,AZ$13),15-13*ORÇAMENTO!$AF$7)*OFFSET(ORÇAMENTO!$W$15,ROW(AZ489)-ROW(AZ$15),0),15-13*ORÇAMENTO!$AF$11)),
         0)</f>
        <v>0</v>
      </c>
      <c r="BA489" s="453">
        <f ca="1">IF(AND($D489="Serviço",BA$12&lt;&gt;0,$H489&gt;0,OR(AUTOEVENTO&lt;&gt;"manual",$M489&lt;&gt;$A$15)),
        IF(Import.TipoArredondamento&lt;&gt;"TransfereGOV",
              ROUND(OFFSET($P489,0,BA$13),15-13*ORÇAMENTO!$AF$7)/$H489*OFFSET(ORÇAMENTO!$X$15,ROW(BA489)-ROW(BA$15),0),
              ROUND(ROUND(OFFSET($P489,0,BA$13),15-13*ORÇAMENTO!$AF$7)*OFFSET(ORÇAMENTO!$W$15,ROW(BA489)-ROW(BA$15),0),15-13*ORÇAMENTO!$AF$11)),
         0)</f>
        <v>0</v>
      </c>
      <c r="BC489" s="171">
        <f ca="1">IF(OR($D489&lt;&gt;"Serviço",AND(AUTOEVENTO="Manual",$M489=$A$15)),0,
         IF(OFFSET(CRONOPLE!$F$15,$M489-$A$15,BC$13)=0,10^12,OFFSET(CRONOPLE!$F$15,$M489-$A$15,BC$13)))</f>
        <v>0</v>
      </c>
      <c r="BD489" s="171">
        <f ca="1">IF(OR($D489&lt;&gt;"Serviço",AND(AUTOEVENTO="Manual",$M489=$A$15)),0,
         IF(OFFSET(CRONOPLE!$F$15,$M489-$A$15,BD$13)=0,10^12,OFFSET(CRONOPLE!$F$15,$M489-$A$15,BD$13)))</f>
        <v>0</v>
      </c>
      <c r="BE489" s="171">
        <f ca="1">IF(OR($D489&lt;&gt;"Serviço",AND(AUTOEVENTO="Manual",$M489=$A$15)),0,
         IF(OFFSET(CRONOPLE!$F$15,$M489-$A$15,BE$13)=0,10^12,OFFSET(CRONOPLE!$F$15,$M489-$A$15,BE$13)))</f>
        <v>0</v>
      </c>
      <c r="BF489" s="171">
        <f ca="1">IF(OR($D489&lt;&gt;"Serviço",AND(AUTOEVENTO="Manual",$M489=$A$15)),0,
         IF(OFFSET(CRONOPLE!$F$15,$M489-$A$15,BF$13)=0,10^12,OFFSET(CRONOPLE!$F$15,$M489-$A$15,BF$13)))</f>
        <v>0</v>
      </c>
      <c r="BG489" s="171">
        <f ca="1">IF(OR($D489&lt;&gt;"Serviço",AND(AUTOEVENTO="Manual",$M489=$A$15)),0,
         IF(OFFSET(CRONOPLE!$F$15,$M489-$A$15,BG$13)=0,10^12,OFFSET(CRONOPLE!$F$15,$M489-$A$15,BG$13)))</f>
        <v>0</v>
      </c>
      <c r="BH489" s="171">
        <f ca="1">IF(OR($D489&lt;&gt;"Serviço",AND(AUTOEVENTO="Manual",$M489=$A$15)),0,
         IF(OFFSET(CRONOPLE!$F$15,$M489-$A$15,BH$13)=0,10^12,OFFSET(CRONOPLE!$F$15,$M489-$A$15,BH$13)))</f>
        <v>0</v>
      </c>
      <c r="BI489" s="171">
        <f ca="1">IF(OR($D489&lt;&gt;"Serviço",AND(AUTOEVENTO="Manual",$M489=$A$15)),0,
         IF(OFFSET(CRONOPLE!$F$15,$M489-$A$15,BI$13)=0,10^12,OFFSET(CRONOPLE!$F$15,$M489-$A$15,BI$13)))</f>
        <v>0</v>
      </c>
      <c r="BJ489" s="171">
        <f ca="1">IF(OR($D489&lt;&gt;"Serviço",AND(AUTOEVENTO="Manual",$M489=$A$15)),0,
         IF(OFFSET(CRONOPLE!$F$15,$M489-$A$15,BJ$13)=0,10^12,OFFSET(CRONOPLE!$F$15,$M489-$A$15,BJ$13)))</f>
        <v>0</v>
      </c>
      <c r="BK489" s="171">
        <f ca="1">IF(OR($D489&lt;&gt;"Serviço",AND(AUTOEVENTO="Manual",$M489=$A$15)),0,
         IF(OFFSET(CRONOPLE!$F$15,$M489-$A$15,BK$13)=0,10^12,OFFSET(CRONOPLE!$F$15,$M489-$A$15,BK$13)))</f>
        <v>0</v>
      </c>
      <c r="BL489" s="171">
        <f ca="1">IF(OR($D489&lt;&gt;"Serviço",AND(AUTOEVENTO="Manual",$M489=$A$15)),0,
         IF(OFFSET(CRONOPLE!$F$15,$M489-$A$15,BL$13)=0,10^12,OFFSET(CRONOPLE!$F$15,$M489-$A$15,BL$13)))</f>
        <v>0</v>
      </c>
      <c r="BM489" s="171">
        <f ca="1">IF(OR($D489&lt;&gt;"Serviço",AND(AUTOEVENTO="Manual",$M489=$A$15)),0,
         IF(OFFSET(CRONOPLE!$F$15,$M489-$A$15,BM$13)=0,10^12,OFFSET(CRONOPLE!$F$15,$M489-$A$15,BM$13)))</f>
        <v>0</v>
      </c>
      <c r="BN489" s="171">
        <f ca="1">IF(OR($D489&lt;&gt;"Serviço",AND(AUTOEVENTO="Manual",$M489=$A$15)),0,
         IF(OFFSET(CRONOPLE!$F$15,$M489-$A$15,BN$13)=0,10^12,OFFSET(CRONOPLE!$F$15,$M489-$A$15,BN$13)))</f>
        <v>0</v>
      </c>
      <c r="BO489" s="171">
        <f ca="1">IF(OR($D489&lt;&gt;"Serviço",AND(AUTOEVENTO="Manual",$M489=$A$15)),0,
         IF(OFFSET(CRONOPLE!$F$15,$M489-$A$15,BO$13)=0,10^12,OFFSET(CRONOPLE!$F$15,$M489-$A$15,BO$13)))</f>
        <v>0</v>
      </c>
      <c r="BP489" s="171">
        <f ca="1">IF(OR($D489&lt;&gt;"Serviço",AND(AUTOEVENTO="Manual",$M489=$A$15)),0,
         IF(OFFSET(CRONOPLE!$F$15,$M489-$A$15,BP$13)=0,10^12,OFFSET(CRONOPLE!$F$15,$M489-$A$15,BP$13)))</f>
        <v>0</v>
      </c>
      <c r="BQ489" s="171">
        <f ca="1">IF(OR($D489&lt;&gt;"Serviço",AND(AUTOEVENTO="Manual",$M489=$A$15)),0,
         IF(OFFSET(CRONOPLE!$F$15,$M489-$A$15,BQ$13)=0,10^12,OFFSET(CRONOPLE!$F$15,$M489-$A$15,BQ$13)))</f>
        <v>0</v>
      </c>
      <c r="BR489" s="171">
        <f ca="1">IF(OR($D489&lt;&gt;"Serviço",AND(AUTOEVENTO="Manual",$M489=$A$15)),0,
         IF(OFFSET(CRONOPLE!$F$15,$M489-$A$15,BR$13)=0,10^12,OFFSET(CRONOPLE!$F$15,$M489-$A$15,BR$13)))</f>
        <v>0</v>
      </c>
      <c r="BS489" s="171">
        <f ca="1">IF(OR($D489&lt;&gt;"Serviço",AND(AUTOEVENTO="Manual",$M489=$A$15)),0,
         IF(OFFSET(CRONOPLE!$F$15,$M489-$A$15,BS$13)=0,10^12,OFFSET(CRONOPLE!$F$15,$M489-$A$15,BS$13)))</f>
        <v>0</v>
      </c>
      <c r="BT489" s="171">
        <f ca="1">IF(OR($D489&lt;&gt;"Serviço",AND(AUTOEVENTO="Manual",$M489=$A$15)),0,
         IF(OFFSET(CRONOPLE!$F$15,$M489-$A$15,BT$13)=0,10^12,OFFSET(CRONOPLE!$F$15,$M489-$A$15,BT$13)))</f>
        <v>0</v>
      </c>
      <c r="BV489" s="172">
        <f ca="1">IF(OR($D489&lt;&gt;"Serviço",AND(AUTOEVENTO="Manual",$M489=$A$15),$M489&gt;(ROW(PLE.lastrow)-ROW(PLE.firstrow))),0,
           IF(OFFSET(PLE!$G$15,$M489-$A$15,BV$13)="",10^12,OFFSET(PLE!$G$15,$M489-$A$15,BV$13)))</f>
        <v>0</v>
      </c>
      <c r="BW489" s="172">
        <f ca="1">IF(OR($D489&lt;&gt;"Serviço",AND(AUTOEVENTO="Manual",$M489=$A$15),$M489&gt;(ROW(PLE.lastrow)-ROW(PLE.firstrow))),0,
           IF(OFFSET(PLE!$G$15,$M489-$A$15,BW$13)="",10^12,OFFSET(PLE!$G$15,$M489-$A$15,BW$13)))</f>
        <v>0</v>
      </c>
      <c r="BX489" s="172">
        <f ca="1">IF(OR($D489&lt;&gt;"Serviço",AND(AUTOEVENTO="Manual",$M489=$A$15),$M489&gt;(ROW(PLE.lastrow)-ROW(PLE.firstrow))),0,
           IF(OFFSET(PLE!$G$15,$M489-$A$15,BX$13)="",10^12,OFFSET(PLE!$G$15,$M489-$A$15,BX$13)))</f>
        <v>0</v>
      </c>
      <c r="BY489" s="172">
        <f ca="1">IF(OR($D489&lt;&gt;"Serviço",AND(AUTOEVENTO="Manual",$M489=$A$15),$M489&gt;(ROW(PLE.lastrow)-ROW(PLE.firstrow))),0,
           IF(OFFSET(PLE!$G$15,$M489-$A$15,BY$13)="",10^12,OFFSET(PLE!$G$15,$M489-$A$15,BY$13)))</f>
        <v>0</v>
      </c>
      <c r="BZ489" s="172">
        <f ca="1">IF(OR($D489&lt;&gt;"Serviço",AND(AUTOEVENTO="Manual",$M489=$A$15),$M489&gt;(ROW(PLE.lastrow)-ROW(PLE.firstrow))),0,
           IF(OFFSET(PLE!$G$15,$M489-$A$15,BZ$13)="",10^12,OFFSET(PLE!$G$15,$M489-$A$15,BZ$13)))</f>
        <v>0</v>
      </c>
      <c r="CA489" s="172">
        <f ca="1">IF(OR($D489&lt;&gt;"Serviço",AND(AUTOEVENTO="Manual",$M489=$A$15),$M489&gt;(ROW(PLE.lastrow)-ROW(PLE.firstrow))),0,
           IF(OFFSET(PLE!$G$15,$M489-$A$15,CA$13)="",10^12,OFFSET(PLE!$G$15,$M489-$A$15,CA$13)))</f>
        <v>0</v>
      </c>
      <c r="CB489" s="172">
        <f ca="1">IF(OR($D489&lt;&gt;"Serviço",AND(AUTOEVENTO="Manual",$M489=$A$15),$M489&gt;(ROW(PLE.lastrow)-ROW(PLE.firstrow))),0,
           IF(OFFSET(PLE!$G$15,$M489-$A$15,CB$13)="",10^12,OFFSET(PLE!$G$15,$M489-$A$15,CB$13)))</f>
        <v>0</v>
      </c>
      <c r="CC489" s="172">
        <f ca="1">IF(OR($D489&lt;&gt;"Serviço",AND(AUTOEVENTO="Manual",$M489=$A$15),$M489&gt;(ROW(PLE.lastrow)-ROW(PLE.firstrow))),0,
           IF(OFFSET(PLE!$G$15,$M489-$A$15,CC$13)="",10^12,OFFSET(PLE!$G$15,$M489-$A$15,CC$13)))</f>
        <v>0</v>
      </c>
      <c r="CD489" s="172">
        <f ca="1">IF(OR($D489&lt;&gt;"Serviço",AND(AUTOEVENTO="Manual",$M489=$A$15),$M489&gt;(ROW(PLE.lastrow)-ROW(PLE.firstrow))),0,
           IF(OFFSET(PLE!$G$15,$M489-$A$15,CD$13)="",10^12,OFFSET(PLE!$G$15,$M489-$A$15,CD$13)))</f>
        <v>0</v>
      </c>
      <c r="CE489" s="172">
        <f ca="1">IF(OR($D489&lt;&gt;"Serviço",AND(AUTOEVENTO="Manual",$M489=$A$15),$M489&gt;(ROW(PLE.lastrow)-ROW(PLE.firstrow))),0,
           IF(OFFSET(PLE!$G$15,$M489-$A$15,CE$13)="",10^12,OFFSET(PLE!$G$15,$M489-$A$15,CE$13)))</f>
        <v>0</v>
      </c>
      <c r="CF489" s="172">
        <f ca="1">IF(OR($D489&lt;&gt;"Serviço",AND(AUTOEVENTO="Manual",$M489=$A$15),$M489&gt;(ROW(PLE.lastrow)-ROW(PLE.firstrow))),0,
           IF(OFFSET(PLE!$G$15,$M489-$A$15,CF$13)="",10^12,OFFSET(PLE!$G$15,$M489-$A$15,CF$13)))</f>
        <v>0</v>
      </c>
      <c r="CG489" s="172">
        <f ca="1">IF(OR($D489&lt;&gt;"Serviço",AND(AUTOEVENTO="Manual",$M489=$A$15),$M489&gt;(ROW(PLE.lastrow)-ROW(PLE.firstrow))),0,
           IF(OFFSET(PLE!$G$15,$M489-$A$15,CG$13)="",10^12,OFFSET(PLE!$G$15,$M489-$A$15,CG$13)))</f>
        <v>0</v>
      </c>
      <c r="CH489" s="172">
        <f ca="1">IF(OR($D489&lt;&gt;"Serviço",AND(AUTOEVENTO="Manual",$M489=$A$15),$M489&gt;(ROW(PLE.lastrow)-ROW(PLE.firstrow))),0,
           IF(OFFSET(PLE!$G$15,$M489-$A$15,CH$13)="",10^12,OFFSET(PLE!$G$15,$M489-$A$15,CH$13)))</f>
        <v>0</v>
      </c>
      <c r="CI489" s="172">
        <f ca="1">IF(OR($D489&lt;&gt;"Serviço",AND(AUTOEVENTO="Manual",$M489=$A$15),$M489&gt;(ROW(PLE.lastrow)-ROW(PLE.firstrow))),0,
           IF(OFFSET(PLE!$G$15,$M489-$A$15,CI$13)="",10^12,OFFSET(PLE!$G$15,$M489-$A$15,CI$13)))</f>
        <v>0</v>
      </c>
      <c r="CJ489" s="172">
        <f ca="1">IF(OR($D489&lt;&gt;"Serviço",AND(AUTOEVENTO="Manual",$M489=$A$15),$M489&gt;(ROW(PLE.lastrow)-ROW(PLE.firstrow))),0,
           IF(OFFSET(PLE!$G$15,$M489-$A$15,CJ$13)="",10^12,OFFSET(PLE!$G$15,$M489-$A$15,CJ$13)))</f>
        <v>0</v>
      </c>
      <c r="CK489" s="172">
        <f ca="1">IF(OR($D489&lt;&gt;"Serviço",AND(AUTOEVENTO="Manual",$M489=$A$15),$M489&gt;(ROW(PLE.lastrow)-ROW(PLE.firstrow))),0,
           IF(OFFSET(PLE!$G$15,$M489-$A$15,CK$13)="",10^12,OFFSET(PLE!$G$15,$M489-$A$15,CK$13)))</f>
        <v>0</v>
      </c>
      <c r="CL489" s="172">
        <f ca="1">IF(OR($D489&lt;&gt;"Serviço",AND(AUTOEVENTO="Manual",$M489=$A$15),$M489&gt;(ROW(PLE.lastrow)-ROW(PLE.firstrow))),0,
           IF(OFFSET(PLE!$G$15,$M489-$A$15,CL$13)="",10^12,OFFSET(PLE!$G$15,$M489-$A$15,CL$13)))</f>
        <v>0</v>
      </c>
      <c r="CM489" s="172">
        <f ca="1">IF(OR($D489&lt;&gt;"Serviço",AND(AUTOEVENTO="Manual",$M489=$A$15),$M489&gt;(ROW(PLE.lastrow)-ROW(PLE.firstrow))),0,
           IF(OFFSET(PLE!$G$15,$M489-$A$15,CM$13)="",10^12,OFFSET(PLE!$G$15,$M489-$A$15,CM$13)))</f>
        <v>0</v>
      </c>
    </row>
    <row r="490" spans="1:91" ht="114.75" x14ac:dyDescent="0.2">
      <c r="A490" s="7">
        <f t="shared" ca="1" si="17"/>
        <v>9</v>
      </c>
      <c r="B490" s="7" t="str">
        <f ca="1">OFFSET(ORÇAMENTO!C$15,ROW(B490)-ROW(B$15),0)</f>
        <v>S</v>
      </c>
      <c r="C490" s="7" t="str">
        <f ca="1">OFFSET(ORÇAMENTO!L$15,ROW(C490)-ROW(C$15),0)</f>
        <v>F</v>
      </c>
      <c r="D490" s="116" t="str">
        <f ca="1">OFFSET(ORÇAMENTO!N$15,ROW(D490)-ROW(D$15),0)</f>
        <v>Serviço</v>
      </c>
      <c r="E490" s="117" t="str">
        <f ca="1">OFFSET(ORÇAMENTO!O$15,ROW(E490)-ROW(E$15),0)</f>
        <v>1.10.4.0.1.</v>
      </c>
      <c r="F490" s="163" t="str">
        <f ca="1">OFFSET(ORÇAMENTO!R$15,ROW(F490)-ROW(F$15),0)</f>
        <v>FUNDO SELADOR ACRÍLICO, APLICAÇÃO MANUAL EM PAREDE, UMA DEMÃO. AF_04/2023</v>
      </c>
      <c r="G490" s="164" t="str">
        <f ca="1">IF($D490&lt;&gt;"Serviço","",OFFSET(ORÇAMENTO!S$15,ROW(G490)-ROW(G$15),0))</f>
        <v>M2</v>
      </c>
      <c r="H490" s="122" cm="1">
        <f t="array" aca="1" ref="H490" ca="1">IF($D490&lt;&gt;"Serviço",0,IF(ACOMPANHAMENTO="BM",ROUND(OFFSET(ORÇAMENTO!AJ$15,ROW(H490)-ROW(H$15),0),15-13*ORÇAMENTO!$AF$7),SUMPRODUCT(($Q$1:$AI$1=1)*ROUND($Q490:$AI490,15-13*ORÇAMENTO!$AF$7))))</f>
        <v>86.97</v>
      </c>
      <c r="I490" s="468" t="s">
        <v>1402</v>
      </c>
      <c r="J490" s="640" t="str" cm="1">
        <f t="array" aca="1" ref="J490" ca="1">IF(OR(B490&lt;&gt;"S",CÁLCULO.FrentesPreenchidas=0),"",IF(AND(ACOMPANHAMENTO="PLE",AUTOEVENTO="Manual",OR(H490&gt;0,ORÇAMENTO!AC490="QUANT."),OR(K490="",M490=0,N490="")),"►E",IF(AND(ACOMPANHAMENTO="PLE",ORÇAMENTO!AC490="QUANT."),"►Q",IF(AND(ACOMPANHAMENTO="PLE",H490&lt;&gt;SUMPRODUCT(($Q$1:$AI$1=1)*ROUND(Q490:AI490,15))),"►S",IF(AND(COUNTIF($P$11:$AI$11,"▼")=0,H490&gt;0,I490=""),"◄M","")))))</f>
        <v/>
      </c>
      <c r="K490" s="641" t="s">
        <v>1393</v>
      </c>
      <c r="L490" s="165" t="s">
        <v>764</v>
      </c>
      <c r="M490" s="166">
        <f ca="1">IF($D490&lt;&gt;"Serviço","",
          IF(AUTOEVENTO="manual",$A490,
                IF(ISERROR(MATCH($A490,$A$15:OFFSET($A490,-1,0),0)),MAX($M$15:OFFSET(M490,-1,0))+1,
                      INDEX($M$15:OFFSET(M490,-1,0),MATCH($A490,$A$15:OFFSET($A490,-1,0),0)))))</f>
        <v>9</v>
      </c>
      <c r="N490" s="167" t="str">
        <f ca="1">IF($D490&lt;&gt;"Serviço","",
         IF(AUTOEVENTO="Manual",
                IF($A490=0,"&lt;-- defina o número do agrupador",
                       OFFSET(EVENTOS!$D$15,$A490-$A$15,0)),
                OFFSET($F$15,$A490,0)))</f>
        <v>Arquitetura</v>
      </c>
      <c r="O490" s="168"/>
      <c r="Q490" s="168"/>
      <c r="R490" s="169"/>
      <c r="S490" s="169"/>
      <c r="T490" s="169"/>
      <c r="U490" s="169"/>
      <c r="V490" s="169"/>
      <c r="W490" s="169"/>
      <c r="X490" s="169"/>
      <c r="Y490" s="169"/>
      <c r="Z490" s="170">
        <f>Z488</f>
        <v>86.97</v>
      </c>
      <c r="AA490" s="169"/>
      <c r="AB490" s="169"/>
      <c r="AC490" s="169"/>
      <c r="AD490" s="169"/>
      <c r="AE490" s="169"/>
      <c r="AF490" s="169"/>
      <c r="AG490" s="169"/>
      <c r="AH490" s="170"/>
      <c r="AJ490" s="453">
        <f ca="1">IF(AND($D490="Serviço",AJ$12&lt;&gt;0,$H490&gt;0,OR(AUTOEVENTO&lt;&gt;"manual",$M490&lt;&gt;$A$15)),
        IF(Import.TipoArredondamento&lt;&gt;"TransfereGOV",
              ROUND(OFFSET($P490,0,AJ$13),15-13*ORÇAMENTO!$AF$7)/$H490*OFFSET(ORÇAMENTO!$X$15,ROW(AJ490)-ROW(AJ$15),0),
              ROUND(ROUND(OFFSET($P490,0,AJ$13),15-13*ORÇAMENTO!$AF$7)*OFFSET(ORÇAMENTO!$W$15,ROW(AJ490)-ROW(AJ$15),0),15-13*ORÇAMENTO!$AF$11)),
         0)</f>
        <v>0</v>
      </c>
      <c r="AK490" s="453">
        <f ca="1">IF(AND($D490="Serviço",AK$12&lt;&gt;0,$H490&gt;0,OR(AUTOEVENTO&lt;&gt;"manual",$M490&lt;&gt;$A$15)),
        IF(Import.TipoArredondamento&lt;&gt;"TransfereGOV",
              ROUND(OFFSET($P490,0,AK$13),15-13*ORÇAMENTO!$AF$7)/$H490*OFFSET(ORÇAMENTO!$X$15,ROW(AK490)-ROW(AK$15),0),
              ROUND(ROUND(OFFSET($P490,0,AK$13),15-13*ORÇAMENTO!$AF$7)*OFFSET(ORÇAMENTO!$W$15,ROW(AK490)-ROW(AK$15),0),15-13*ORÇAMENTO!$AF$11)),
         0)</f>
        <v>0</v>
      </c>
      <c r="AL490" s="453">
        <f ca="1">IF(AND($D490="Serviço",AL$12&lt;&gt;0,$H490&gt;0,OR(AUTOEVENTO&lt;&gt;"manual",$M490&lt;&gt;$A$15)),
        IF(Import.TipoArredondamento&lt;&gt;"TransfereGOV",
              ROUND(OFFSET($P490,0,AL$13),15-13*ORÇAMENTO!$AF$7)/$H490*OFFSET(ORÇAMENTO!$X$15,ROW(AL490)-ROW(AL$15),0),
              ROUND(ROUND(OFFSET($P490,0,AL$13),15-13*ORÇAMENTO!$AF$7)*OFFSET(ORÇAMENTO!$W$15,ROW(AL490)-ROW(AL$15),0),15-13*ORÇAMENTO!$AF$11)),
         0)</f>
        <v>0</v>
      </c>
      <c r="AM490" s="453">
        <f ca="1">IF(AND($D490="Serviço",AM$12&lt;&gt;0,$H490&gt;0,OR(AUTOEVENTO&lt;&gt;"manual",$M490&lt;&gt;$A$15)),
        IF(Import.TipoArredondamento&lt;&gt;"TransfereGOV",
              ROUND(OFFSET($P490,0,AM$13),15-13*ORÇAMENTO!$AF$7)/$H490*OFFSET(ORÇAMENTO!$X$15,ROW(AM490)-ROW(AM$15),0),
              ROUND(ROUND(OFFSET($P490,0,AM$13),15-13*ORÇAMENTO!$AF$7)*OFFSET(ORÇAMENTO!$W$15,ROW(AM490)-ROW(AM$15),0),15-13*ORÇAMENTO!$AF$11)),
         0)</f>
        <v>0</v>
      </c>
      <c r="AN490" s="453">
        <f ca="1">IF(AND($D490="Serviço",AN$12&lt;&gt;0,$H490&gt;0,OR(AUTOEVENTO&lt;&gt;"manual",$M490&lt;&gt;$A$15)),
        IF(Import.TipoArredondamento&lt;&gt;"TransfereGOV",
              ROUND(OFFSET($P490,0,AN$13),15-13*ORÇAMENTO!$AF$7)/$H490*OFFSET(ORÇAMENTO!$X$15,ROW(AN490)-ROW(AN$15),0),
              ROUND(ROUND(OFFSET($P490,0,AN$13),15-13*ORÇAMENTO!$AF$7)*OFFSET(ORÇAMENTO!$W$15,ROW(AN490)-ROW(AN$15),0),15-13*ORÇAMENTO!$AF$11)),
         0)</f>
        <v>0</v>
      </c>
      <c r="AO490" s="453">
        <f ca="1">IF(AND($D490="Serviço",AO$12&lt;&gt;0,$H490&gt;0,OR(AUTOEVENTO&lt;&gt;"manual",$M490&lt;&gt;$A$15)),
        IF(Import.TipoArredondamento&lt;&gt;"TransfereGOV",
              ROUND(OFFSET($P490,0,AO$13),15-13*ORÇAMENTO!$AF$7)/$H490*OFFSET(ORÇAMENTO!$X$15,ROW(AO490)-ROW(AO$15),0),
              ROUND(ROUND(OFFSET($P490,0,AO$13),15-13*ORÇAMENTO!$AF$7)*OFFSET(ORÇAMENTO!$W$15,ROW(AO490)-ROW(AO$15),0),15-13*ORÇAMENTO!$AF$11)),
         0)</f>
        <v>0</v>
      </c>
      <c r="AP490" s="453">
        <f ca="1">IF(AND($D490="Serviço",AP$12&lt;&gt;0,$H490&gt;0,OR(AUTOEVENTO&lt;&gt;"manual",$M490&lt;&gt;$A$15)),
        IF(Import.TipoArredondamento&lt;&gt;"TransfereGOV",
              ROUND(OFFSET($P490,0,AP$13),15-13*ORÇAMENTO!$AF$7)/$H490*OFFSET(ORÇAMENTO!$X$15,ROW(AP490)-ROW(AP$15),0),
              ROUND(ROUND(OFFSET($P490,0,AP$13),15-13*ORÇAMENTO!$AF$7)*OFFSET(ORÇAMENTO!$W$15,ROW(AP490)-ROW(AP$15),0),15-13*ORÇAMENTO!$AF$11)),
         0)</f>
        <v>0</v>
      </c>
      <c r="AQ490" s="453">
        <f ca="1">IF(AND($D490="Serviço",AQ$12&lt;&gt;0,$H490&gt;0,OR(AUTOEVENTO&lt;&gt;"manual",$M490&lt;&gt;$A$15)),
        IF(Import.TipoArredondamento&lt;&gt;"TransfereGOV",
              ROUND(OFFSET($P490,0,AQ$13),15-13*ORÇAMENTO!$AF$7)/$H490*OFFSET(ORÇAMENTO!$X$15,ROW(AQ490)-ROW(AQ$15),0),
              ROUND(ROUND(OFFSET($P490,0,AQ$13),15-13*ORÇAMENTO!$AF$7)*OFFSET(ORÇAMENTO!$W$15,ROW(AQ490)-ROW(AQ$15),0),15-13*ORÇAMENTO!$AF$11)),
         0)</f>
        <v>0</v>
      </c>
      <c r="AR490" s="453">
        <f ca="1">IF(AND($D490="Serviço",AR$12&lt;&gt;0,$H490&gt;0,OR(AUTOEVENTO&lt;&gt;"manual",$M490&lt;&gt;$A$15)),
        IF(Import.TipoArredondamento&lt;&gt;"TransfereGOV",
              ROUND(OFFSET($P490,0,AR$13),15-13*ORÇAMENTO!$AF$7)/$H490*OFFSET(ORÇAMENTO!$X$15,ROW(AR490)-ROW(AR$15),0),
              ROUND(ROUND(OFFSET($P490,0,AR$13),15-13*ORÇAMENTO!$AF$7)*OFFSET(ORÇAMENTO!$W$15,ROW(AR490)-ROW(AR$15),0),15-13*ORÇAMENTO!$AF$11)),
         0)</f>
        <v>0</v>
      </c>
      <c r="AS490" s="453">
        <f ca="1">IF(AND($D490="Serviço",AS$12&lt;&gt;0,$H490&gt;0,OR(AUTOEVENTO&lt;&gt;"manual",$M490&lt;&gt;$A$15)),
        IF(Import.TipoArredondamento&lt;&gt;"TransfereGOV",
              ROUND(OFFSET($P490,0,AS$13),15-13*ORÇAMENTO!$AF$7)/$H490*OFFSET(ORÇAMENTO!$X$15,ROW(AS490)-ROW(AS$15),0),
              ROUND(ROUND(OFFSET($P490,0,AS$13),15-13*ORÇAMENTO!$AF$7)*OFFSET(ORÇAMENTO!$W$15,ROW(AS490)-ROW(AS$15),0),15-13*ORÇAMENTO!$AF$11)),
         0)</f>
        <v>0</v>
      </c>
      <c r="AT490" s="453">
        <f ca="1">IF(AND($D490="Serviço",AT$12&lt;&gt;0,$H490&gt;0,OR(AUTOEVENTO&lt;&gt;"manual",$M490&lt;&gt;$A$15)),
        IF(Import.TipoArredondamento&lt;&gt;"TransfereGOV",
              ROUND(OFFSET($P490,0,AT$13),15-13*ORÇAMENTO!$AF$7)/$H490*OFFSET(ORÇAMENTO!$X$15,ROW(AT490)-ROW(AT$15),0),
              ROUND(ROUND(OFFSET($P490,0,AT$13),15-13*ORÇAMENTO!$AF$7)*OFFSET(ORÇAMENTO!$W$15,ROW(AT490)-ROW(AT$15),0),15-13*ORÇAMENTO!$AF$11)),
         0)</f>
        <v>0</v>
      </c>
      <c r="AU490" s="453">
        <f ca="1">IF(AND($D490="Serviço",AU$12&lt;&gt;0,$H490&gt;0,OR(AUTOEVENTO&lt;&gt;"manual",$M490&lt;&gt;$A$15)),
        IF(Import.TipoArredondamento&lt;&gt;"TransfereGOV",
              ROUND(OFFSET($P490,0,AU$13),15-13*ORÇAMENTO!$AF$7)/$H490*OFFSET(ORÇAMENTO!$X$15,ROW(AU490)-ROW(AU$15),0),
              ROUND(ROUND(OFFSET($P490,0,AU$13),15-13*ORÇAMENTO!$AF$7)*OFFSET(ORÇAMENTO!$W$15,ROW(AU490)-ROW(AU$15),0),15-13*ORÇAMENTO!$AF$11)),
         0)</f>
        <v>0</v>
      </c>
      <c r="AV490" s="453">
        <f ca="1">IF(AND($D490="Serviço",AV$12&lt;&gt;0,$H490&gt;0,OR(AUTOEVENTO&lt;&gt;"manual",$M490&lt;&gt;$A$15)),
        IF(Import.TipoArredondamento&lt;&gt;"TransfereGOV",
              ROUND(OFFSET($P490,0,AV$13),15-13*ORÇAMENTO!$AF$7)/$H490*OFFSET(ORÇAMENTO!$X$15,ROW(AV490)-ROW(AV$15),0),
              ROUND(ROUND(OFFSET($P490,0,AV$13),15-13*ORÇAMENTO!$AF$7)*OFFSET(ORÇAMENTO!$W$15,ROW(AV490)-ROW(AV$15),0),15-13*ORÇAMENTO!$AF$11)),
         0)</f>
        <v>0</v>
      </c>
      <c r="AW490" s="453">
        <f ca="1">IF(AND($D490="Serviço",AW$12&lt;&gt;0,$H490&gt;0,OR(AUTOEVENTO&lt;&gt;"manual",$M490&lt;&gt;$A$15)),
        IF(Import.TipoArredondamento&lt;&gt;"TransfereGOV",
              ROUND(OFFSET($P490,0,AW$13),15-13*ORÇAMENTO!$AF$7)/$H490*OFFSET(ORÇAMENTO!$X$15,ROW(AW490)-ROW(AW$15),0),
              ROUND(ROUND(OFFSET($P490,0,AW$13),15-13*ORÇAMENTO!$AF$7)*OFFSET(ORÇAMENTO!$W$15,ROW(AW490)-ROW(AW$15),0),15-13*ORÇAMENTO!$AF$11)),
         0)</f>
        <v>0</v>
      </c>
      <c r="AX490" s="453">
        <f ca="1">IF(AND($D490="Serviço",AX$12&lt;&gt;0,$H490&gt;0,OR(AUTOEVENTO&lt;&gt;"manual",$M490&lt;&gt;$A$15)),
        IF(Import.TipoArredondamento&lt;&gt;"TransfereGOV",
              ROUND(OFFSET($P490,0,AX$13),15-13*ORÇAMENTO!$AF$7)/$H490*OFFSET(ORÇAMENTO!$X$15,ROW(AX490)-ROW(AX$15),0),
              ROUND(ROUND(OFFSET($P490,0,AX$13),15-13*ORÇAMENTO!$AF$7)*OFFSET(ORÇAMENTO!$W$15,ROW(AX490)-ROW(AX$15),0),15-13*ORÇAMENTO!$AF$11)),
         0)</f>
        <v>0</v>
      </c>
      <c r="AY490" s="453">
        <f ca="1">IF(AND($D490="Serviço",AY$12&lt;&gt;0,$H490&gt;0,OR(AUTOEVENTO&lt;&gt;"manual",$M490&lt;&gt;$A$15)),
        IF(Import.TipoArredondamento&lt;&gt;"TransfereGOV",
              ROUND(OFFSET($P490,0,AY$13),15-13*ORÇAMENTO!$AF$7)/$H490*OFFSET(ORÇAMENTO!$X$15,ROW(AY490)-ROW(AY$15),0),
              ROUND(ROUND(OFFSET($P490,0,AY$13),15-13*ORÇAMENTO!$AF$7)*OFFSET(ORÇAMENTO!$W$15,ROW(AY490)-ROW(AY$15),0),15-13*ORÇAMENTO!$AF$11)),
         0)</f>
        <v>0</v>
      </c>
      <c r="AZ490" s="453">
        <f ca="1">IF(AND($D490="Serviço",AZ$12&lt;&gt;0,$H490&gt;0,OR(AUTOEVENTO&lt;&gt;"manual",$M490&lt;&gt;$A$15)),
        IF(Import.TipoArredondamento&lt;&gt;"TransfereGOV",
              ROUND(OFFSET($P490,0,AZ$13),15-13*ORÇAMENTO!$AF$7)/$H490*OFFSET(ORÇAMENTO!$X$15,ROW(AZ490)-ROW(AZ$15),0),
              ROUND(ROUND(OFFSET($P490,0,AZ$13),15-13*ORÇAMENTO!$AF$7)*OFFSET(ORÇAMENTO!$W$15,ROW(AZ490)-ROW(AZ$15),0),15-13*ORÇAMENTO!$AF$11)),
         0)</f>
        <v>0</v>
      </c>
      <c r="BA490" s="453">
        <f ca="1">IF(AND($D490="Serviço",BA$12&lt;&gt;0,$H490&gt;0,OR(AUTOEVENTO&lt;&gt;"manual",$M490&lt;&gt;$A$15)),
        IF(Import.TipoArredondamento&lt;&gt;"TransfereGOV",
              ROUND(OFFSET($P490,0,BA$13),15-13*ORÇAMENTO!$AF$7)/$H490*OFFSET(ORÇAMENTO!$X$15,ROW(BA490)-ROW(BA$15),0),
              ROUND(ROUND(OFFSET($P490,0,BA$13),15-13*ORÇAMENTO!$AF$7)*OFFSET(ORÇAMENTO!$W$15,ROW(BA490)-ROW(BA$15),0),15-13*ORÇAMENTO!$AF$11)),
         0)</f>
        <v>0</v>
      </c>
      <c r="BC490" s="171">
        <f ca="1">IF(OR($D490&lt;&gt;"Serviço",AND(AUTOEVENTO="Manual",$M490=$A$15)),0,
         IF(OFFSET(CRONOPLE!$F$15,$M490-$A$15,BC$13)=0,10^12,OFFSET(CRONOPLE!$F$15,$M490-$A$15,BC$13)))</f>
        <v>1000000000000</v>
      </c>
      <c r="BD490" s="171">
        <f ca="1">IF(OR($D490&lt;&gt;"Serviço",AND(AUTOEVENTO="Manual",$M490=$A$15)),0,
         IF(OFFSET(CRONOPLE!$F$15,$M490-$A$15,BD$13)=0,10^12,OFFSET(CRONOPLE!$F$15,$M490-$A$15,BD$13)))</f>
        <v>1000000000000</v>
      </c>
      <c r="BE490" s="171">
        <f ca="1">IF(OR($D490&lt;&gt;"Serviço",AND(AUTOEVENTO="Manual",$M490=$A$15)),0,
         IF(OFFSET(CRONOPLE!$F$15,$M490-$A$15,BE$13)=0,10^12,OFFSET(CRONOPLE!$F$15,$M490-$A$15,BE$13)))</f>
        <v>1000000000000</v>
      </c>
      <c r="BF490" s="171">
        <f ca="1">IF(OR($D490&lt;&gt;"Serviço",AND(AUTOEVENTO="Manual",$M490=$A$15)),0,
         IF(OFFSET(CRONOPLE!$F$15,$M490-$A$15,BF$13)=0,10^12,OFFSET(CRONOPLE!$F$15,$M490-$A$15,BF$13)))</f>
        <v>1000000000000</v>
      </c>
      <c r="BG490" s="171">
        <f ca="1">IF(OR($D490&lt;&gt;"Serviço",AND(AUTOEVENTO="Manual",$M490=$A$15)),0,
         IF(OFFSET(CRONOPLE!$F$15,$M490-$A$15,BG$13)=0,10^12,OFFSET(CRONOPLE!$F$15,$M490-$A$15,BG$13)))</f>
        <v>1000000000000</v>
      </c>
      <c r="BH490" s="171">
        <f ca="1">IF(OR($D490&lt;&gt;"Serviço",AND(AUTOEVENTO="Manual",$M490=$A$15)),0,
         IF(OFFSET(CRONOPLE!$F$15,$M490-$A$15,BH$13)=0,10^12,OFFSET(CRONOPLE!$F$15,$M490-$A$15,BH$13)))</f>
        <v>1000000000000</v>
      </c>
      <c r="BI490" s="171">
        <f ca="1">IF(OR($D490&lt;&gt;"Serviço",AND(AUTOEVENTO="Manual",$M490=$A$15)),0,
         IF(OFFSET(CRONOPLE!$F$15,$M490-$A$15,BI$13)=0,10^12,OFFSET(CRONOPLE!$F$15,$M490-$A$15,BI$13)))</f>
        <v>1000000000000</v>
      </c>
      <c r="BJ490" s="171">
        <f ca="1">IF(OR($D490&lt;&gt;"Serviço",AND(AUTOEVENTO="Manual",$M490=$A$15)),0,
         IF(OFFSET(CRONOPLE!$F$15,$M490-$A$15,BJ$13)=0,10^12,OFFSET(CRONOPLE!$F$15,$M490-$A$15,BJ$13)))</f>
        <v>1000000000000</v>
      </c>
      <c r="BK490" s="171">
        <f ca="1">IF(OR($D490&lt;&gt;"Serviço",AND(AUTOEVENTO="Manual",$M490=$A$15)),0,
         IF(OFFSET(CRONOPLE!$F$15,$M490-$A$15,BK$13)=0,10^12,OFFSET(CRONOPLE!$F$15,$M490-$A$15,BK$13)))</f>
        <v>9</v>
      </c>
      <c r="BL490" s="171">
        <f ca="1">IF(OR($D490&lt;&gt;"Serviço",AND(AUTOEVENTO="Manual",$M490=$A$15)),0,
         IF(OFFSET(CRONOPLE!$F$15,$M490-$A$15,BL$13)=0,10^12,OFFSET(CRONOPLE!$F$15,$M490-$A$15,BL$13)))</f>
        <v>10</v>
      </c>
      <c r="BM490" s="171">
        <f ca="1">IF(OR($D490&lt;&gt;"Serviço",AND(AUTOEVENTO="Manual",$M490=$A$15)),0,
         IF(OFFSET(CRONOPLE!$F$15,$M490-$A$15,BM$13)=0,10^12,OFFSET(CRONOPLE!$F$15,$M490-$A$15,BM$13)))</f>
        <v>1000000000000</v>
      </c>
      <c r="BN490" s="171">
        <f ca="1">IF(OR($D490&lt;&gt;"Serviço",AND(AUTOEVENTO="Manual",$M490=$A$15)),0,
         IF(OFFSET(CRONOPLE!$F$15,$M490-$A$15,BN$13)=0,10^12,OFFSET(CRONOPLE!$F$15,$M490-$A$15,BN$13)))</f>
        <v>1000000000000</v>
      </c>
      <c r="BO490" s="171">
        <f ca="1">IF(OR($D490&lt;&gt;"Serviço",AND(AUTOEVENTO="Manual",$M490=$A$15)),0,
         IF(OFFSET(CRONOPLE!$F$15,$M490-$A$15,BO$13)=0,10^12,OFFSET(CRONOPLE!$F$15,$M490-$A$15,BO$13)))</f>
        <v>1000000000000</v>
      </c>
      <c r="BP490" s="171">
        <f ca="1">IF(OR($D490&lt;&gt;"Serviço",AND(AUTOEVENTO="Manual",$M490=$A$15)),0,
         IF(OFFSET(CRONOPLE!$F$15,$M490-$A$15,BP$13)=0,10^12,OFFSET(CRONOPLE!$F$15,$M490-$A$15,BP$13)))</f>
        <v>1000000000000</v>
      </c>
      <c r="BQ490" s="171">
        <f ca="1">IF(OR($D490&lt;&gt;"Serviço",AND(AUTOEVENTO="Manual",$M490=$A$15)),0,
         IF(OFFSET(CRONOPLE!$F$15,$M490-$A$15,BQ$13)=0,10^12,OFFSET(CRONOPLE!$F$15,$M490-$A$15,BQ$13)))</f>
        <v>1000000000000</v>
      </c>
      <c r="BR490" s="171">
        <f ca="1">IF(OR($D490&lt;&gt;"Serviço",AND(AUTOEVENTO="Manual",$M490=$A$15)),0,
         IF(OFFSET(CRONOPLE!$F$15,$M490-$A$15,BR$13)=0,10^12,OFFSET(CRONOPLE!$F$15,$M490-$A$15,BR$13)))</f>
        <v>1000000000000</v>
      </c>
      <c r="BS490" s="171">
        <f ca="1">IF(OR($D490&lt;&gt;"Serviço",AND(AUTOEVENTO="Manual",$M490=$A$15)),0,
         IF(OFFSET(CRONOPLE!$F$15,$M490-$A$15,BS$13)=0,10^12,OFFSET(CRONOPLE!$F$15,$M490-$A$15,BS$13)))</f>
        <v>1000000000000</v>
      </c>
      <c r="BT490" s="171">
        <f ca="1">IF(OR($D490&lt;&gt;"Serviço",AND(AUTOEVENTO="Manual",$M490=$A$15)),0,
         IF(OFFSET(CRONOPLE!$F$15,$M490-$A$15,BT$13)=0,10^12,OFFSET(CRONOPLE!$F$15,$M490-$A$15,BT$13)))</f>
        <v>1000000000000</v>
      </c>
      <c r="BV490" s="172">
        <f ca="1">IF(OR($D490&lt;&gt;"Serviço",AND(AUTOEVENTO="Manual",$M490=$A$15),$M490&gt;(ROW(PLE.lastrow)-ROW(PLE.firstrow))),0,
           IF(OFFSET(PLE!$G$15,$M490-$A$15,BV$13)="",10^12,OFFSET(PLE!$G$15,$M490-$A$15,BV$13)))</f>
        <v>1000000000000</v>
      </c>
      <c r="BW490" s="172">
        <f ca="1">IF(OR($D490&lt;&gt;"Serviço",AND(AUTOEVENTO="Manual",$M490=$A$15),$M490&gt;(ROW(PLE.lastrow)-ROW(PLE.firstrow))),0,
           IF(OFFSET(PLE!$G$15,$M490-$A$15,BW$13)="",10^12,OFFSET(PLE!$G$15,$M490-$A$15,BW$13)))</f>
        <v>1000000000000</v>
      </c>
      <c r="BX490" s="172">
        <f ca="1">IF(OR($D490&lt;&gt;"Serviço",AND(AUTOEVENTO="Manual",$M490=$A$15),$M490&gt;(ROW(PLE.lastrow)-ROW(PLE.firstrow))),0,
           IF(OFFSET(PLE!$G$15,$M490-$A$15,BX$13)="",10^12,OFFSET(PLE!$G$15,$M490-$A$15,BX$13)))</f>
        <v>1000000000000</v>
      </c>
      <c r="BY490" s="172">
        <f ca="1">IF(OR($D490&lt;&gt;"Serviço",AND(AUTOEVENTO="Manual",$M490=$A$15),$M490&gt;(ROW(PLE.lastrow)-ROW(PLE.firstrow))),0,
           IF(OFFSET(PLE!$G$15,$M490-$A$15,BY$13)="",10^12,OFFSET(PLE!$G$15,$M490-$A$15,BY$13)))</f>
        <v>1000000000000</v>
      </c>
      <c r="BZ490" s="172">
        <f ca="1">IF(OR($D490&lt;&gt;"Serviço",AND(AUTOEVENTO="Manual",$M490=$A$15),$M490&gt;(ROW(PLE.lastrow)-ROW(PLE.firstrow))),0,
           IF(OFFSET(PLE!$G$15,$M490-$A$15,BZ$13)="",10^12,OFFSET(PLE!$G$15,$M490-$A$15,BZ$13)))</f>
        <v>1000000000000</v>
      </c>
      <c r="CA490" s="172">
        <f ca="1">IF(OR($D490&lt;&gt;"Serviço",AND(AUTOEVENTO="Manual",$M490=$A$15),$M490&gt;(ROW(PLE.lastrow)-ROW(PLE.firstrow))),0,
           IF(OFFSET(PLE!$G$15,$M490-$A$15,CA$13)="",10^12,OFFSET(PLE!$G$15,$M490-$A$15,CA$13)))</f>
        <v>1000000000000</v>
      </c>
      <c r="CB490" s="172">
        <f ca="1">IF(OR($D490&lt;&gt;"Serviço",AND(AUTOEVENTO="Manual",$M490=$A$15),$M490&gt;(ROW(PLE.lastrow)-ROW(PLE.firstrow))),0,
           IF(OFFSET(PLE!$G$15,$M490-$A$15,CB$13)="",10^12,OFFSET(PLE!$G$15,$M490-$A$15,CB$13)))</f>
        <v>1000000000000</v>
      </c>
      <c r="CC490" s="172">
        <f ca="1">IF(OR($D490&lt;&gt;"Serviço",AND(AUTOEVENTO="Manual",$M490=$A$15),$M490&gt;(ROW(PLE.lastrow)-ROW(PLE.firstrow))),0,
           IF(OFFSET(PLE!$G$15,$M490-$A$15,CC$13)="",10^12,OFFSET(PLE!$G$15,$M490-$A$15,CC$13)))</f>
        <v>1000000000000</v>
      </c>
      <c r="CD490" s="172">
        <f ca="1">IF(OR($D490&lt;&gt;"Serviço",AND(AUTOEVENTO="Manual",$M490=$A$15),$M490&gt;(ROW(PLE.lastrow)-ROW(PLE.firstrow))),0,
           IF(OFFSET(PLE!$G$15,$M490-$A$15,CD$13)="",10^12,OFFSET(PLE!$G$15,$M490-$A$15,CD$13)))</f>
        <v>1000000000000</v>
      </c>
      <c r="CE490" s="172">
        <f ca="1">IF(OR($D490&lt;&gt;"Serviço",AND(AUTOEVENTO="Manual",$M490=$A$15),$M490&gt;(ROW(PLE.lastrow)-ROW(PLE.firstrow))),0,
           IF(OFFSET(PLE!$G$15,$M490-$A$15,CE$13)="",10^12,OFFSET(PLE!$G$15,$M490-$A$15,CE$13)))</f>
        <v>1000000000000</v>
      </c>
      <c r="CF490" s="172">
        <f ca="1">IF(OR($D490&lt;&gt;"Serviço",AND(AUTOEVENTO="Manual",$M490=$A$15),$M490&gt;(ROW(PLE.lastrow)-ROW(PLE.firstrow))),0,
           IF(OFFSET(PLE!$G$15,$M490-$A$15,CF$13)="",10^12,OFFSET(PLE!$G$15,$M490-$A$15,CF$13)))</f>
        <v>1000000000000</v>
      </c>
      <c r="CG490" s="172">
        <f ca="1">IF(OR($D490&lt;&gt;"Serviço",AND(AUTOEVENTO="Manual",$M490=$A$15),$M490&gt;(ROW(PLE.lastrow)-ROW(PLE.firstrow))),0,
           IF(OFFSET(PLE!$G$15,$M490-$A$15,CG$13)="",10^12,OFFSET(PLE!$G$15,$M490-$A$15,CG$13)))</f>
        <v>1000000000000</v>
      </c>
      <c r="CH490" s="172">
        <f ca="1">IF(OR($D490&lt;&gt;"Serviço",AND(AUTOEVENTO="Manual",$M490=$A$15),$M490&gt;(ROW(PLE.lastrow)-ROW(PLE.firstrow))),0,
           IF(OFFSET(PLE!$G$15,$M490-$A$15,CH$13)="",10^12,OFFSET(PLE!$G$15,$M490-$A$15,CH$13)))</f>
        <v>1000000000000</v>
      </c>
      <c r="CI490" s="172">
        <f ca="1">IF(OR($D490&lt;&gt;"Serviço",AND(AUTOEVENTO="Manual",$M490=$A$15),$M490&gt;(ROW(PLE.lastrow)-ROW(PLE.firstrow))),0,
           IF(OFFSET(PLE!$G$15,$M490-$A$15,CI$13)="",10^12,OFFSET(PLE!$G$15,$M490-$A$15,CI$13)))</f>
        <v>1000000000000</v>
      </c>
      <c r="CJ490" s="172">
        <f ca="1">IF(OR($D490&lt;&gt;"Serviço",AND(AUTOEVENTO="Manual",$M490=$A$15),$M490&gt;(ROW(PLE.lastrow)-ROW(PLE.firstrow))),0,
           IF(OFFSET(PLE!$G$15,$M490-$A$15,CJ$13)="",10^12,OFFSET(PLE!$G$15,$M490-$A$15,CJ$13)))</f>
        <v>1000000000000</v>
      </c>
      <c r="CK490" s="172">
        <f ca="1">IF(OR($D490&lt;&gt;"Serviço",AND(AUTOEVENTO="Manual",$M490=$A$15),$M490&gt;(ROW(PLE.lastrow)-ROW(PLE.firstrow))),0,
           IF(OFFSET(PLE!$G$15,$M490-$A$15,CK$13)="",10^12,OFFSET(PLE!$G$15,$M490-$A$15,CK$13)))</f>
        <v>1000000000000</v>
      </c>
      <c r="CL490" s="172">
        <f ca="1">IF(OR($D490&lt;&gt;"Serviço",AND(AUTOEVENTO="Manual",$M490=$A$15),$M490&gt;(ROW(PLE.lastrow)-ROW(PLE.firstrow))),0,
           IF(OFFSET(PLE!$G$15,$M490-$A$15,CL$13)="",10^12,OFFSET(PLE!$G$15,$M490-$A$15,CL$13)))</f>
        <v>1000000000000</v>
      </c>
      <c r="CM490" s="172">
        <f ca="1">IF(OR($D490&lt;&gt;"Serviço",AND(AUTOEVENTO="Manual",$M490=$A$15),$M490&gt;(ROW(PLE.lastrow)-ROW(PLE.firstrow))),0,
           IF(OFFSET(PLE!$G$15,$M490-$A$15,CM$13)="",10^12,OFFSET(PLE!$G$15,$M490-$A$15,CM$13)))</f>
        <v>1000000000000</v>
      </c>
    </row>
    <row r="491" spans="1:91" ht="114.75" x14ac:dyDescent="0.2">
      <c r="A491" s="7">
        <f t="shared" ca="1" si="17"/>
        <v>9</v>
      </c>
      <c r="B491" s="7" t="str">
        <f ca="1">OFFSET(ORÇAMENTO!C$15,ROW(B491)-ROW(B$15),0)</f>
        <v>S</v>
      </c>
      <c r="C491" s="7" t="str">
        <f ca="1">OFFSET(ORÇAMENTO!L$15,ROW(C491)-ROW(C$15),0)</f>
        <v>F</v>
      </c>
      <c r="D491" s="116" t="str">
        <f ca="1">OFFSET(ORÇAMENTO!N$15,ROW(D491)-ROW(D$15),0)</f>
        <v>Serviço</v>
      </c>
      <c r="E491" s="117" t="str">
        <f ca="1">OFFSET(ORÇAMENTO!O$15,ROW(E491)-ROW(E$15),0)</f>
        <v>1.10.4.0.2.</v>
      </c>
      <c r="F491" s="163" t="str">
        <f ca="1">OFFSET(ORÇAMENTO!R$15,ROW(F491)-ROW(F$15),0)</f>
        <v>PINTURA LÁTEX ACRÍLICA ECONÔMICA, APLICAÇÃO MANUAL EM PAREDES, DUAS DEMÃOS. AF_04/2023</v>
      </c>
      <c r="G491" s="164" t="str">
        <f ca="1">IF($D491&lt;&gt;"Serviço","",OFFSET(ORÇAMENTO!S$15,ROW(G491)-ROW(G$15),0))</f>
        <v>M2</v>
      </c>
      <c r="H491" s="122" cm="1">
        <f t="array" aca="1" ref="H491" ca="1">IF($D491&lt;&gt;"Serviço",0,IF(ACOMPANHAMENTO="BM",ROUND(OFFSET(ORÇAMENTO!AJ$15,ROW(H491)-ROW(H$15),0),15-13*ORÇAMENTO!$AF$7),SUMPRODUCT(($Q$1:$AI$1=1)*ROUND($Q491:$AI491,15-13*ORÇAMENTO!$AF$7))))</f>
        <v>86.97</v>
      </c>
      <c r="I491" s="468" t="s">
        <v>1402</v>
      </c>
      <c r="J491" s="640" t="str" cm="1">
        <f t="array" aca="1" ref="J491" ca="1">IF(OR(B491&lt;&gt;"S",CÁLCULO.FrentesPreenchidas=0),"",IF(AND(ACOMPANHAMENTO="PLE",AUTOEVENTO="Manual",OR(H491&gt;0,ORÇAMENTO!AC491="QUANT."),OR(K491="",M491=0,N491="")),"►E",IF(AND(ACOMPANHAMENTO="PLE",ORÇAMENTO!AC491="QUANT."),"►Q",IF(AND(ACOMPANHAMENTO="PLE",H491&lt;&gt;SUMPRODUCT(($Q$1:$AI$1=1)*ROUND(Q491:AI491,15))),"►S",IF(AND(COUNTIF($P$11:$AI$11,"▼")=0,H491&gt;0,I491=""),"◄M","")))))</f>
        <v/>
      </c>
      <c r="K491" s="641" t="s">
        <v>1393</v>
      </c>
      <c r="L491" s="165" t="s">
        <v>764</v>
      </c>
      <c r="M491" s="166">
        <f ca="1">IF($D491&lt;&gt;"Serviço","",
          IF(AUTOEVENTO="manual",$A491,
                IF(ISERROR(MATCH($A491,$A$15:OFFSET($A491,-1,0),0)),MAX($M$15:OFFSET(M491,-1,0))+1,
                      INDEX($M$15:OFFSET(M491,-1,0),MATCH($A491,$A$15:OFFSET($A491,-1,0),0)))))</f>
        <v>9</v>
      </c>
      <c r="N491" s="167" t="str">
        <f ca="1">IF($D491&lt;&gt;"Serviço","",
         IF(AUTOEVENTO="Manual",
                IF($A491=0,"&lt;-- defina o número do agrupador",
                       OFFSET(EVENTOS!$D$15,$A491-$A$15,0)),
                OFFSET($F$15,$A491,0)))</f>
        <v>Arquitetura</v>
      </c>
      <c r="O491" s="168"/>
      <c r="Q491" s="168"/>
      <c r="R491" s="169"/>
      <c r="S491" s="169"/>
      <c r="T491" s="169"/>
      <c r="U491" s="169"/>
      <c r="V491" s="169"/>
      <c r="W491" s="169"/>
      <c r="X491" s="169"/>
      <c r="Y491" s="169"/>
      <c r="Z491" s="170">
        <f>Z490</f>
        <v>86.97</v>
      </c>
      <c r="AA491" s="169"/>
      <c r="AB491" s="169"/>
      <c r="AC491" s="169"/>
      <c r="AD491" s="169"/>
      <c r="AE491" s="169"/>
      <c r="AF491" s="169"/>
      <c r="AG491" s="169"/>
      <c r="AH491" s="170"/>
      <c r="AJ491" s="453">
        <f ca="1">IF(AND($D491="Serviço",AJ$12&lt;&gt;0,$H491&gt;0,OR(AUTOEVENTO&lt;&gt;"manual",$M491&lt;&gt;$A$15)),
        IF(Import.TipoArredondamento&lt;&gt;"TransfereGOV",
              ROUND(OFFSET($P491,0,AJ$13),15-13*ORÇAMENTO!$AF$7)/$H491*OFFSET(ORÇAMENTO!$X$15,ROW(AJ491)-ROW(AJ$15),0),
              ROUND(ROUND(OFFSET($P491,0,AJ$13),15-13*ORÇAMENTO!$AF$7)*OFFSET(ORÇAMENTO!$W$15,ROW(AJ491)-ROW(AJ$15),0),15-13*ORÇAMENTO!$AF$11)),
         0)</f>
        <v>0</v>
      </c>
      <c r="AK491" s="453">
        <f ca="1">IF(AND($D491="Serviço",AK$12&lt;&gt;0,$H491&gt;0,OR(AUTOEVENTO&lt;&gt;"manual",$M491&lt;&gt;$A$15)),
        IF(Import.TipoArredondamento&lt;&gt;"TransfereGOV",
              ROUND(OFFSET($P491,0,AK$13),15-13*ORÇAMENTO!$AF$7)/$H491*OFFSET(ORÇAMENTO!$X$15,ROW(AK491)-ROW(AK$15),0),
              ROUND(ROUND(OFFSET($P491,0,AK$13),15-13*ORÇAMENTO!$AF$7)*OFFSET(ORÇAMENTO!$W$15,ROW(AK491)-ROW(AK$15),0),15-13*ORÇAMENTO!$AF$11)),
         0)</f>
        <v>0</v>
      </c>
      <c r="AL491" s="453">
        <f ca="1">IF(AND($D491="Serviço",AL$12&lt;&gt;0,$H491&gt;0,OR(AUTOEVENTO&lt;&gt;"manual",$M491&lt;&gt;$A$15)),
        IF(Import.TipoArredondamento&lt;&gt;"TransfereGOV",
              ROUND(OFFSET($P491,0,AL$13),15-13*ORÇAMENTO!$AF$7)/$H491*OFFSET(ORÇAMENTO!$X$15,ROW(AL491)-ROW(AL$15),0),
              ROUND(ROUND(OFFSET($P491,0,AL$13),15-13*ORÇAMENTO!$AF$7)*OFFSET(ORÇAMENTO!$W$15,ROW(AL491)-ROW(AL$15),0),15-13*ORÇAMENTO!$AF$11)),
         0)</f>
        <v>0</v>
      </c>
      <c r="AM491" s="453">
        <f ca="1">IF(AND($D491="Serviço",AM$12&lt;&gt;0,$H491&gt;0,OR(AUTOEVENTO&lt;&gt;"manual",$M491&lt;&gt;$A$15)),
        IF(Import.TipoArredondamento&lt;&gt;"TransfereGOV",
              ROUND(OFFSET($P491,0,AM$13),15-13*ORÇAMENTO!$AF$7)/$H491*OFFSET(ORÇAMENTO!$X$15,ROW(AM491)-ROW(AM$15),0),
              ROUND(ROUND(OFFSET($P491,0,AM$13),15-13*ORÇAMENTO!$AF$7)*OFFSET(ORÇAMENTO!$W$15,ROW(AM491)-ROW(AM$15),0),15-13*ORÇAMENTO!$AF$11)),
         0)</f>
        <v>0</v>
      </c>
      <c r="AN491" s="453">
        <f ca="1">IF(AND($D491="Serviço",AN$12&lt;&gt;0,$H491&gt;0,OR(AUTOEVENTO&lt;&gt;"manual",$M491&lt;&gt;$A$15)),
        IF(Import.TipoArredondamento&lt;&gt;"TransfereGOV",
              ROUND(OFFSET($P491,0,AN$13),15-13*ORÇAMENTO!$AF$7)/$H491*OFFSET(ORÇAMENTO!$X$15,ROW(AN491)-ROW(AN$15),0),
              ROUND(ROUND(OFFSET($P491,0,AN$13),15-13*ORÇAMENTO!$AF$7)*OFFSET(ORÇAMENTO!$W$15,ROW(AN491)-ROW(AN$15),0),15-13*ORÇAMENTO!$AF$11)),
         0)</f>
        <v>0</v>
      </c>
      <c r="AO491" s="453">
        <f ca="1">IF(AND($D491="Serviço",AO$12&lt;&gt;0,$H491&gt;0,OR(AUTOEVENTO&lt;&gt;"manual",$M491&lt;&gt;$A$15)),
        IF(Import.TipoArredondamento&lt;&gt;"TransfereGOV",
              ROUND(OFFSET($P491,0,AO$13),15-13*ORÇAMENTO!$AF$7)/$H491*OFFSET(ORÇAMENTO!$X$15,ROW(AO491)-ROW(AO$15),0),
              ROUND(ROUND(OFFSET($P491,0,AO$13),15-13*ORÇAMENTO!$AF$7)*OFFSET(ORÇAMENTO!$W$15,ROW(AO491)-ROW(AO$15),0),15-13*ORÇAMENTO!$AF$11)),
         0)</f>
        <v>0</v>
      </c>
      <c r="AP491" s="453">
        <f ca="1">IF(AND($D491="Serviço",AP$12&lt;&gt;0,$H491&gt;0,OR(AUTOEVENTO&lt;&gt;"manual",$M491&lt;&gt;$A$15)),
        IF(Import.TipoArredondamento&lt;&gt;"TransfereGOV",
              ROUND(OFFSET($P491,0,AP$13),15-13*ORÇAMENTO!$AF$7)/$H491*OFFSET(ORÇAMENTO!$X$15,ROW(AP491)-ROW(AP$15),0),
              ROUND(ROUND(OFFSET($P491,0,AP$13),15-13*ORÇAMENTO!$AF$7)*OFFSET(ORÇAMENTO!$W$15,ROW(AP491)-ROW(AP$15),0),15-13*ORÇAMENTO!$AF$11)),
         0)</f>
        <v>0</v>
      </c>
      <c r="AQ491" s="453">
        <f ca="1">IF(AND($D491="Serviço",AQ$12&lt;&gt;0,$H491&gt;0,OR(AUTOEVENTO&lt;&gt;"manual",$M491&lt;&gt;$A$15)),
        IF(Import.TipoArredondamento&lt;&gt;"TransfereGOV",
              ROUND(OFFSET($P491,0,AQ$13),15-13*ORÇAMENTO!$AF$7)/$H491*OFFSET(ORÇAMENTO!$X$15,ROW(AQ491)-ROW(AQ$15),0),
              ROUND(ROUND(OFFSET($P491,0,AQ$13),15-13*ORÇAMENTO!$AF$7)*OFFSET(ORÇAMENTO!$W$15,ROW(AQ491)-ROW(AQ$15),0),15-13*ORÇAMENTO!$AF$11)),
         0)</f>
        <v>0</v>
      </c>
      <c r="AR491" s="453">
        <f ca="1">IF(AND($D491="Serviço",AR$12&lt;&gt;0,$H491&gt;0,OR(AUTOEVENTO&lt;&gt;"manual",$M491&lt;&gt;$A$15)),
        IF(Import.TipoArredondamento&lt;&gt;"TransfereGOV",
              ROUND(OFFSET($P491,0,AR$13),15-13*ORÇAMENTO!$AF$7)/$H491*OFFSET(ORÇAMENTO!$X$15,ROW(AR491)-ROW(AR$15),0),
              ROUND(ROUND(OFFSET($P491,0,AR$13),15-13*ORÇAMENTO!$AF$7)*OFFSET(ORÇAMENTO!$W$15,ROW(AR491)-ROW(AR$15),0),15-13*ORÇAMENTO!$AF$11)),
         0)</f>
        <v>0</v>
      </c>
      <c r="AS491" s="453">
        <f ca="1">IF(AND($D491="Serviço",AS$12&lt;&gt;0,$H491&gt;0,OR(AUTOEVENTO&lt;&gt;"manual",$M491&lt;&gt;$A$15)),
        IF(Import.TipoArredondamento&lt;&gt;"TransfereGOV",
              ROUND(OFFSET($P491,0,AS$13),15-13*ORÇAMENTO!$AF$7)/$H491*OFFSET(ORÇAMENTO!$X$15,ROW(AS491)-ROW(AS$15),0),
              ROUND(ROUND(OFFSET($P491,0,AS$13),15-13*ORÇAMENTO!$AF$7)*OFFSET(ORÇAMENTO!$W$15,ROW(AS491)-ROW(AS$15),0),15-13*ORÇAMENTO!$AF$11)),
         0)</f>
        <v>0</v>
      </c>
      <c r="AT491" s="453">
        <f ca="1">IF(AND($D491="Serviço",AT$12&lt;&gt;0,$H491&gt;0,OR(AUTOEVENTO&lt;&gt;"manual",$M491&lt;&gt;$A$15)),
        IF(Import.TipoArredondamento&lt;&gt;"TransfereGOV",
              ROUND(OFFSET($P491,0,AT$13),15-13*ORÇAMENTO!$AF$7)/$H491*OFFSET(ORÇAMENTO!$X$15,ROW(AT491)-ROW(AT$15),0),
              ROUND(ROUND(OFFSET($P491,0,AT$13),15-13*ORÇAMENTO!$AF$7)*OFFSET(ORÇAMENTO!$W$15,ROW(AT491)-ROW(AT$15),0),15-13*ORÇAMENTO!$AF$11)),
         0)</f>
        <v>0</v>
      </c>
      <c r="AU491" s="453">
        <f ca="1">IF(AND($D491="Serviço",AU$12&lt;&gt;0,$H491&gt;0,OR(AUTOEVENTO&lt;&gt;"manual",$M491&lt;&gt;$A$15)),
        IF(Import.TipoArredondamento&lt;&gt;"TransfereGOV",
              ROUND(OFFSET($P491,0,AU$13),15-13*ORÇAMENTO!$AF$7)/$H491*OFFSET(ORÇAMENTO!$X$15,ROW(AU491)-ROW(AU$15),0),
              ROUND(ROUND(OFFSET($P491,0,AU$13),15-13*ORÇAMENTO!$AF$7)*OFFSET(ORÇAMENTO!$W$15,ROW(AU491)-ROW(AU$15),0),15-13*ORÇAMENTO!$AF$11)),
         0)</f>
        <v>0</v>
      </c>
      <c r="AV491" s="453">
        <f ca="1">IF(AND($D491="Serviço",AV$12&lt;&gt;0,$H491&gt;0,OR(AUTOEVENTO&lt;&gt;"manual",$M491&lt;&gt;$A$15)),
        IF(Import.TipoArredondamento&lt;&gt;"TransfereGOV",
              ROUND(OFFSET($P491,0,AV$13),15-13*ORÇAMENTO!$AF$7)/$H491*OFFSET(ORÇAMENTO!$X$15,ROW(AV491)-ROW(AV$15),0),
              ROUND(ROUND(OFFSET($P491,0,AV$13),15-13*ORÇAMENTO!$AF$7)*OFFSET(ORÇAMENTO!$W$15,ROW(AV491)-ROW(AV$15),0),15-13*ORÇAMENTO!$AF$11)),
         0)</f>
        <v>0</v>
      </c>
      <c r="AW491" s="453">
        <f ca="1">IF(AND($D491="Serviço",AW$12&lt;&gt;0,$H491&gt;0,OR(AUTOEVENTO&lt;&gt;"manual",$M491&lt;&gt;$A$15)),
        IF(Import.TipoArredondamento&lt;&gt;"TransfereGOV",
              ROUND(OFFSET($P491,0,AW$13),15-13*ORÇAMENTO!$AF$7)/$H491*OFFSET(ORÇAMENTO!$X$15,ROW(AW491)-ROW(AW$15),0),
              ROUND(ROUND(OFFSET($P491,0,AW$13),15-13*ORÇAMENTO!$AF$7)*OFFSET(ORÇAMENTO!$W$15,ROW(AW491)-ROW(AW$15),0),15-13*ORÇAMENTO!$AF$11)),
         0)</f>
        <v>0</v>
      </c>
      <c r="AX491" s="453">
        <f ca="1">IF(AND($D491="Serviço",AX$12&lt;&gt;0,$H491&gt;0,OR(AUTOEVENTO&lt;&gt;"manual",$M491&lt;&gt;$A$15)),
        IF(Import.TipoArredondamento&lt;&gt;"TransfereGOV",
              ROUND(OFFSET($P491,0,AX$13),15-13*ORÇAMENTO!$AF$7)/$H491*OFFSET(ORÇAMENTO!$X$15,ROW(AX491)-ROW(AX$15),0),
              ROUND(ROUND(OFFSET($P491,0,AX$13),15-13*ORÇAMENTO!$AF$7)*OFFSET(ORÇAMENTO!$W$15,ROW(AX491)-ROW(AX$15),0),15-13*ORÇAMENTO!$AF$11)),
         0)</f>
        <v>0</v>
      </c>
      <c r="AY491" s="453">
        <f ca="1">IF(AND($D491="Serviço",AY$12&lt;&gt;0,$H491&gt;0,OR(AUTOEVENTO&lt;&gt;"manual",$M491&lt;&gt;$A$15)),
        IF(Import.TipoArredondamento&lt;&gt;"TransfereGOV",
              ROUND(OFFSET($P491,0,AY$13),15-13*ORÇAMENTO!$AF$7)/$H491*OFFSET(ORÇAMENTO!$X$15,ROW(AY491)-ROW(AY$15),0),
              ROUND(ROUND(OFFSET($P491,0,AY$13),15-13*ORÇAMENTO!$AF$7)*OFFSET(ORÇAMENTO!$W$15,ROW(AY491)-ROW(AY$15),0),15-13*ORÇAMENTO!$AF$11)),
         0)</f>
        <v>0</v>
      </c>
      <c r="AZ491" s="453">
        <f ca="1">IF(AND($D491="Serviço",AZ$12&lt;&gt;0,$H491&gt;0,OR(AUTOEVENTO&lt;&gt;"manual",$M491&lt;&gt;$A$15)),
        IF(Import.TipoArredondamento&lt;&gt;"TransfereGOV",
              ROUND(OFFSET($P491,0,AZ$13),15-13*ORÇAMENTO!$AF$7)/$H491*OFFSET(ORÇAMENTO!$X$15,ROW(AZ491)-ROW(AZ$15),0),
              ROUND(ROUND(OFFSET($P491,0,AZ$13),15-13*ORÇAMENTO!$AF$7)*OFFSET(ORÇAMENTO!$W$15,ROW(AZ491)-ROW(AZ$15),0),15-13*ORÇAMENTO!$AF$11)),
         0)</f>
        <v>0</v>
      </c>
      <c r="BA491" s="453">
        <f ca="1">IF(AND($D491="Serviço",BA$12&lt;&gt;0,$H491&gt;0,OR(AUTOEVENTO&lt;&gt;"manual",$M491&lt;&gt;$A$15)),
        IF(Import.TipoArredondamento&lt;&gt;"TransfereGOV",
              ROUND(OFFSET($P491,0,BA$13),15-13*ORÇAMENTO!$AF$7)/$H491*OFFSET(ORÇAMENTO!$X$15,ROW(BA491)-ROW(BA$15),0),
              ROUND(ROUND(OFFSET($P491,0,BA$13),15-13*ORÇAMENTO!$AF$7)*OFFSET(ORÇAMENTO!$W$15,ROW(BA491)-ROW(BA$15),0),15-13*ORÇAMENTO!$AF$11)),
         0)</f>
        <v>0</v>
      </c>
      <c r="BC491" s="171">
        <f ca="1">IF(OR($D491&lt;&gt;"Serviço",AND(AUTOEVENTO="Manual",$M491=$A$15)),0,
         IF(OFFSET(CRONOPLE!$F$15,$M491-$A$15,BC$13)=0,10^12,OFFSET(CRONOPLE!$F$15,$M491-$A$15,BC$13)))</f>
        <v>1000000000000</v>
      </c>
      <c r="BD491" s="171">
        <f ca="1">IF(OR($D491&lt;&gt;"Serviço",AND(AUTOEVENTO="Manual",$M491=$A$15)),0,
         IF(OFFSET(CRONOPLE!$F$15,$M491-$A$15,BD$13)=0,10^12,OFFSET(CRONOPLE!$F$15,$M491-$A$15,BD$13)))</f>
        <v>1000000000000</v>
      </c>
      <c r="BE491" s="171">
        <f ca="1">IF(OR($D491&lt;&gt;"Serviço",AND(AUTOEVENTO="Manual",$M491=$A$15)),0,
         IF(OFFSET(CRONOPLE!$F$15,$M491-$A$15,BE$13)=0,10^12,OFFSET(CRONOPLE!$F$15,$M491-$A$15,BE$13)))</f>
        <v>1000000000000</v>
      </c>
      <c r="BF491" s="171">
        <f ca="1">IF(OR($D491&lt;&gt;"Serviço",AND(AUTOEVENTO="Manual",$M491=$A$15)),0,
         IF(OFFSET(CRONOPLE!$F$15,$M491-$A$15,BF$13)=0,10^12,OFFSET(CRONOPLE!$F$15,$M491-$A$15,BF$13)))</f>
        <v>1000000000000</v>
      </c>
      <c r="BG491" s="171">
        <f ca="1">IF(OR($D491&lt;&gt;"Serviço",AND(AUTOEVENTO="Manual",$M491=$A$15)),0,
         IF(OFFSET(CRONOPLE!$F$15,$M491-$A$15,BG$13)=0,10^12,OFFSET(CRONOPLE!$F$15,$M491-$A$15,BG$13)))</f>
        <v>1000000000000</v>
      </c>
      <c r="BH491" s="171">
        <f ca="1">IF(OR($D491&lt;&gt;"Serviço",AND(AUTOEVENTO="Manual",$M491=$A$15)),0,
         IF(OFFSET(CRONOPLE!$F$15,$M491-$A$15,BH$13)=0,10^12,OFFSET(CRONOPLE!$F$15,$M491-$A$15,BH$13)))</f>
        <v>1000000000000</v>
      </c>
      <c r="BI491" s="171">
        <f ca="1">IF(OR($D491&lt;&gt;"Serviço",AND(AUTOEVENTO="Manual",$M491=$A$15)),0,
         IF(OFFSET(CRONOPLE!$F$15,$M491-$A$15,BI$13)=0,10^12,OFFSET(CRONOPLE!$F$15,$M491-$A$15,BI$13)))</f>
        <v>1000000000000</v>
      </c>
      <c r="BJ491" s="171">
        <f ca="1">IF(OR($D491&lt;&gt;"Serviço",AND(AUTOEVENTO="Manual",$M491=$A$15)),0,
         IF(OFFSET(CRONOPLE!$F$15,$M491-$A$15,BJ$13)=0,10^12,OFFSET(CRONOPLE!$F$15,$M491-$A$15,BJ$13)))</f>
        <v>1000000000000</v>
      </c>
      <c r="BK491" s="171">
        <f ca="1">IF(OR($D491&lt;&gt;"Serviço",AND(AUTOEVENTO="Manual",$M491=$A$15)),0,
         IF(OFFSET(CRONOPLE!$F$15,$M491-$A$15,BK$13)=0,10^12,OFFSET(CRONOPLE!$F$15,$M491-$A$15,BK$13)))</f>
        <v>9</v>
      </c>
      <c r="BL491" s="171">
        <f ca="1">IF(OR($D491&lt;&gt;"Serviço",AND(AUTOEVENTO="Manual",$M491=$A$15)),0,
         IF(OFFSET(CRONOPLE!$F$15,$M491-$A$15,BL$13)=0,10^12,OFFSET(CRONOPLE!$F$15,$M491-$A$15,BL$13)))</f>
        <v>10</v>
      </c>
      <c r="BM491" s="171">
        <f ca="1">IF(OR($D491&lt;&gt;"Serviço",AND(AUTOEVENTO="Manual",$M491=$A$15)),0,
         IF(OFFSET(CRONOPLE!$F$15,$M491-$A$15,BM$13)=0,10^12,OFFSET(CRONOPLE!$F$15,$M491-$A$15,BM$13)))</f>
        <v>1000000000000</v>
      </c>
      <c r="BN491" s="171">
        <f ca="1">IF(OR($D491&lt;&gt;"Serviço",AND(AUTOEVENTO="Manual",$M491=$A$15)),0,
         IF(OFFSET(CRONOPLE!$F$15,$M491-$A$15,BN$13)=0,10^12,OFFSET(CRONOPLE!$F$15,$M491-$A$15,BN$13)))</f>
        <v>1000000000000</v>
      </c>
      <c r="BO491" s="171">
        <f ca="1">IF(OR($D491&lt;&gt;"Serviço",AND(AUTOEVENTO="Manual",$M491=$A$15)),0,
         IF(OFFSET(CRONOPLE!$F$15,$M491-$A$15,BO$13)=0,10^12,OFFSET(CRONOPLE!$F$15,$M491-$A$15,BO$13)))</f>
        <v>1000000000000</v>
      </c>
      <c r="BP491" s="171">
        <f ca="1">IF(OR($D491&lt;&gt;"Serviço",AND(AUTOEVENTO="Manual",$M491=$A$15)),0,
         IF(OFFSET(CRONOPLE!$F$15,$M491-$A$15,BP$13)=0,10^12,OFFSET(CRONOPLE!$F$15,$M491-$A$15,BP$13)))</f>
        <v>1000000000000</v>
      </c>
      <c r="BQ491" s="171">
        <f ca="1">IF(OR($D491&lt;&gt;"Serviço",AND(AUTOEVENTO="Manual",$M491=$A$15)),0,
         IF(OFFSET(CRONOPLE!$F$15,$M491-$A$15,BQ$13)=0,10^12,OFFSET(CRONOPLE!$F$15,$M491-$A$15,BQ$13)))</f>
        <v>1000000000000</v>
      </c>
      <c r="BR491" s="171">
        <f ca="1">IF(OR($D491&lt;&gt;"Serviço",AND(AUTOEVENTO="Manual",$M491=$A$15)),0,
         IF(OFFSET(CRONOPLE!$F$15,$M491-$A$15,BR$13)=0,10^12,OFFSET(CRONOPLE!$F$15,$M491-$A$15,BR$13)))</f>
        <v>1000000000000</v>
      </c>
      <c r="BS491" s="171">
        <f ca="1">IF(OR($D491&lt;&gt;"Serviço",AND(AUTOEVENTO="Manual",$M491=$A$15)),0,
         IF(OFFSET(CRONOPLE!$F$15,$M491-$A$15,BS$13)=0,10^12,OFFSET(CRONOPLE!$F$15,$M491-$A$15,BS$13)))</f>
        <v>1000000000000</v>
      </c>
      <c r="BT491" s="171">
        <f ca="1">IF(OR($D491&lt;&gt;"Serviço",AND(AUTOEVENTO="Manual",$M491=$A$15)),0,
         IF(OFFSET(CRONOPLE!$F$15,$M491-$A$15,BT$13)=0,10^12,OFFSET(CRONOPLE!$F$15,$M491-$A$15,BT$13)))</f>
        <v>1000000000000</v>
      </c>
      <c r="BV491" s="172">
        <f ca="1">IF(OR($D491&lt;&gt;"Serviço",AND(AUTOEVENTO="Manual",$M491=$A$15),$M491&gt;(ROW(PLE.lastrow)-ROW(PLE.firstrow))),0,
           IF(OFFSET(PLE!$G$15,$M491-$A$15,BV$13)="",10^12,OFFSET(PLE!$G$15,$M491-$A$15,BV$13)))</f>
        <v>1000000000000</v>
      </c>
      <c r="BW491" s="172">
        <f ca="1">IF(OR($D491&lt;&gt;"Serviço",AND(AUTOEVENTO="Manual",$M491=$A$15),$M491&gt;(ROW(PLE.lastrow)-ROW(PLE.firstrow))),0,
           IF(OFFSET(PLE!$G$15,$M491-$A$15,BW$13)="",10^12,OFFSET(PLE!$G$15,$M491-$A$15,BW$13)))</f>
        <v>1000000000000</v>
      </c>
      <c r="BX491" s="172">
        <f ca="1">IF(OR($D491&lt;&gt;"Serviço",AND(AUTOEVENTO="Manual",$M491=$A$15),$M491&gt;(ROW(PLE.lastrow)-ROW(PLE.firstrow))),0,
           IF(OFFSET(PLE!$G$15,$M491-$A$15,BX$13)="",10^12,OFFSET(PLE!$G$15,$M491-$A$15,BX$13)))</f>
        <v>1000000000000</v>
      </c>
      <c r="BY491" s="172">
        <f ca="1">IF(OR($D491&lt;&gt;"Serviço",AND(AUTOEVENTO="Manual",$M491=$A$15),$M491&gt;(ROW(PLE.lastrow)-ROW(PLE.firstrow))),0,
           IF(OFFSET(PLE!$G$15,$M491-$A$15,BY$13)="",10^12,OFFSET(PLE!$G$15,$M491-$A$15,BY$13)))</f>
        <v>1000000000000</v>
      </c>
      <c r="BZ491" s="172">
        <f ca="1">IF(OR($D491&lt;&gt;"Serviço",AND(AUTOEVENTO="Manual",$M491=$A$15),$M491&gt;(ROW(PLE.lastrow)-ROW(PLE.firstrow))),0,
           IF(OFFSET(PLE!$G$15,$M491-$A$15,BZ$13)="",10^12,OFFSET(PLE!$G$15,$M491-$A$15,BZ$13)))</f>
        <v>1000000000000</v>
      </c>
      <c r="CA491" s="172">
        <f ca="1">IF(OR($D491&lt;&gt;"Serviço",AND(AUTOEVENTO="Manual",$M491=$A$15),$M491&gt;(ROW(PLE.lastrow)-ROW(PLE.firstrow))),0,
           IF(OFFSET(PLE!$G$15,$M491-$A$15,CA$13)="",10^12,OFFSET(PLE!$G$15,$M491-$A$15,CA$13)))</f>
        <v>1000000000000</v>
      </c>
      <c r="CB491" s="172">
        <f ca="1">IF(OR($D491&lt;&gt;"Serviço",AND(AUTOEVENTO="Manual",$M491=$A$15),$M491&gt;(ROW(PLE.lastrow)-ROW(PLE.firstrow))),0,
           IF(OFFSET(PLE!$G$15,$M491-$A$15,CB$13)="",10^12,OFFSET(PLE!$G$15,$M491-$A$15,CB$13)))</f>
        <v>1000000000000</v>
      </c>
      <c r="CC491" s="172">
        <f ca="1">IF(OR($D491&lt;&gt;"Serviço",AND(AUTOEVENTO="Manual",$M491=$A$15),$M491&gt;(ROW(PLE.lastrow)-ROW(PLE.firstrow))),0,
           IF(OFFSET(PLE!$G$15,$M491-$A$15,CC$13)="",10^12,OFFSET(PLE!$G$15,$M491-$A$15,CC$13)))</f>
        <v>1000000000000</v>
      </c>
      <c r="CD491" s="172">
        <f ca="1">IF(OR($D491&lt;&gt;"Serviço",AND(AUTOEVENTO="Manual",$M491=$A$15),$M491&gt;(ROW(PLE.lastrow)-ROW(PLE.firstrow))),0,
           IF(OFFSET(PLE!$G$15,$M491-$A$15,CD$13)="",10^12,OFFSET(PLE!$G$15,$M491-$A$15,CD$13)))</f>
        <v>1000000000000</v>
      </c>
      <c r="CE491" s="172">
        <f ca="1">IF(OR($D491&lt;&gt;"Serviço",AND(AUTOEVENTO="Manual",$M491=$A$15),$M491&gt;(ROW(PLE.lastrow)-ROW(PLE.firstrow))),0,
           IF(OFFSET(PLE!$G$15,$M491-$A$15,CE$13)="",10^12,OFFSET(PLE!$G$15,$M491-$A$15,CE$13)))</f>
        <v>1000000000000</v>
      </c>
      <c r="CF491" s="172">
        <f ca="1">IF(OR($D491&lt;&gt;"Serviço",AND(AUTOEVENTO="Manual",$M491=$A$15),$M491&gt;(ROW(PLE.lastrow)-ROW(PLE.firstrow))),0,
           IF(OFFSET(PLE!$G$15,$M491-$A$15,CF$13)="",10^12,OFFSET(PLE!$G$15,$M491-$A$15,CF$13)))</f>
        <v>1000000000000</v>
      </c>
      <c r="CG491" s="172">
        <f ca="1">IF(OR($D491&lt;&gt;"Serviço",AND(AUTOEVENTO="Manual",$M491=$A$15),$M491&gt;(ROW(PLE.lastrow)-ROW(PLE.firstrow))),0,
           IF(OFFSET(PLE!$G$15,$M491-$A$15,CG$13)="",10^12,OFFSET(PLE!$G$15,$M491-$A$15,CG$13)))</f>
        <v>1000000000000</v>
      </c>
      <c r="CH491" s="172">
        <f ca="1">IF(OR($D491&lt;&gt;"Serviço",AND(AUTOEVENTO="Manual",$M491=$A$15),$M491&gt;(ROW(PLE.lastrow)-ROW(PLE.firstrow))),0,
           IF(OFFSET(PLE!$G$15,$M491-$A$15,CH$13)="",10^12,OFFSET(PLE!$G$15,$M491-$A$15,CH$13)))</f>
        <v>1000000000000</v>
      </c>
      <c r="CI491" s="172">
        <f ca="1">IF(OR($D491&lt;&gt;"Serviço",AND(AUTOEVENTO="Manual",$M491=$A$15),$M491&gt;(ROW(PLE.lastrow)-ROW(PLE.firstrow))),0,
           IF(OFFSET(PLE!$G$15,$M491-$A$15,CI$13)="",10^12,OFFSET(PLE!$G$15,$M491-$A$15,CI$13)))</f>
        <v>1000000000000</v>
      </c>
      <c r="CJ491" s="172">
        <f ca="1">IF(OR($D491&lt;&gt;"Serviço",AND(AUTOEVENTO="Manual",$M491=$A$15),$M491&gt;(ROW(PLE.lastrow)-ROW(PLE.firstrow))),0,
           IF(OFFSET(PLE!$G$15,$M491-$A$15,CJ$13)="",10^12,OFFSET(PLE!$G$15,$M491-$A$15,CJ$13)))</f>
        <v>1000000000000</v>
      </c>
      <c r="CK491" s="172">
        <f ca="1">IF(OR($D491&lt;&gt;"Serviço",AND(AUTOEVENTO="Manual",$M491=$A$15),$M491&gt;(ROW(PLE.lastrow)-ROW(PLE.firstrow))),0,
           IF(OFFSET(PLE!$G$15,$M491-$A$15,CK$13)="",10^12,OFFSET(PLE!$G$15,$M491-$A$15,CK$13)))</f>
        <v>1000000000000</v>
      </c>
      <c r="CL491" s="172">
        <f ca="1">IF(OR($D491&lt;&gt;"Serviço",AND(AUTOEVENTO="Manual",$M491=$A$15),$M491&gt;(ROW(PLE.lastrow)-ROW(PLE.firstrow))),0,
           IF(OFFSET(PLE!$G$15,$M491-$A$15,CL$13)="",10^12,OFFSET(PLE!$G$15,$M491-$A$15,CL$13)))</f>
        <v>1000000000000</v>
      </c>
      <c r="CM491" s="172">
        <f ca="1">IF(OR($D491&lt;&gt;"Serviço",AND(AUTOEVENTO="Manual",$M491=$A$15),$M491&gt;(ROW(PLE.lastrow)-ROW(PLE.firstrow))),0,
           IF(OFFSET(PLE!$G$15,$M491-$A$15,CM$13)="",10^12,OFFSET(PLE!$G$15,$M491-$A$15,CM$13)))</f>
        <v>1000000000000</v>
      </c>
    </row>
    <row r="492" spans="1:91" ht="12.75" x14ac:dyDescent="0.2">
      <c r="A492" s="7">
        <f t="shared" ca="1" si="17"/>
        <v>8</v>
      </c>
      <c r="B492" s="7">
        <f ca="1">OFFSET(ORÇAMENTO!C$15,ROW(B492)-ROW(B$15),0)</f>
        <v>3</v>
      </c>
      <c r="C492" s="7" t="str">
        <f ca="1">OFFSET(ORÇAMENTO!L$15,ROW(C492)-ROW(C$15),0)</f>
        <v>F</v>
      </c>
      <c r="D492" s="116" t="str">
        <f ca="1">OFFSET(ORÇAMENTO!N$15,ROW(D492)-ROW(D$15),0)</f>
        <v>Nível 3</v>
      </c>
      <c r="E492" s="117" t="str">
        <f ca="1">OFFSET(ORÇAMENTO!O$15,ROW(E492)-ROW(E$15),0)</f>
        <v>1.10.5.</v>
      </c>
      <c r="F492" s="163" t="str">
        <f ca="1">OFFSET(ORÇAMENTO!R$15,ROW(F492)-ROW(F$15),0)</f>
        <v>PISOS</v>
      </c>
      <c r="G492" s="164" t="str">
        <f ca="1">IF($D492&lt;&gt;"Serviço","",OFFSET(ORÇAMENTO!S$15,ROW(G492)-ROW(G$15),0))</f>
        <v/>
      </c>
      <c r="H492" s="122" cm="1">
        <f t="array" aca="1" ref="H492" ca="1">IF($D492&lt;&gt;"Serviço",0,IF(ACOMPANHAMENTO="BM",ROUND(OFFSET(ORÇAMENTO!AJ$15,ROW(H492)-ROW(H$15),0),15-13*ORÇAMENTO!$AF$7),SUMPRODUCT(($Q$1:$AI$1=1)*ROUND($Q492:$AI492,15-13*ORÇAMENTO!$AF$7))))</f>
        <v>0</v>
      </c>
      <c r="I492" s="468"/>
      <c r="J492" s="640" t="str" cm="1">
        <f t="array" aca="1" ref="J492" ca="1">IF(OR(B492&lt;&gt;"S",CÁLCULO.FrentesPreenchidas=0),"",IF(AND(ACOMPANHAMENTO="PLE",AUTOEVENTO="Manual",OR(H492&gt;0,ORÇAMENTO!AC492="QUANT."),OR(K492="",M492=0,N492="")),"►E",IF(AND(ACOMPANHAMENTO="PLE",ORÇAMENTO!AC492="QUANT."),"►Q",IF(AND(ACOMPANHAMENTO="PLE",H492&lt;&gt;SUMPRODUCT(($Q$1:$AI$1=1)*ROUND(Q492:AI492,15))),"►S",IF(AND(COUNTIF($P$11:$AI$11,"▼")=0,H492&gt;0,I492=""),"◄M","")))))</f>
        <v/>
      </c>
      <c r="K492" s="641" t="s">
        <v>1368</v>
      </c>
      <c r="L492" s="165" t="s">
        <v>764</v>
      </c>
      <c r="M492" s="166" t="str">
        <f ca="1">IF($D492&lt;&gt;"Serviço","",
          IF(AUTOEVENTO="manual",$A492,
                IF(ISERROR(MATCH($A492,$A$15:OFFSET($A492,-1,0),0)),MAX($M$15:OFFSET(M492,-1,0))+1,
                      INDEX($M$15:OFFSET(M492,-1,0),MATCH($A492,$A$15:OFFSET($A492,-1,0),0)))))</f>
        <v/>
      </c>
      <c r="N492" s="167" t="str">
        <f ca="1">IF($D492&lt;&gt;"Serviço","",
         IF(AUTOEVENTO="Manual",
                IF($A492=0,"&lt;-- defina o número do agrupador",
                       OFFSET(EVENTOS!$D$15,$A492-$A$15,0)),
                OFFSET($F$15,$A492,0)))</f>
        <v/>
      </c>
      <c r="O492" s="168"/>
      <c r="Q492" s="168"/>
      <c r="R492" s="169"/>
      <c r="S492" s="169"/>
      <c r="T492" s="169"/>
      <c r="U492" s="169"/>
      <c r="V492" s="169"/>
      <c r="W492" s="169"/>
      <c r="X492" s="169"/>
      <c r="Y492" s="169"/>
      <c r="Z492" s="170"/>
      <c r="AA492" s="169"/>
      <c r="AB492" s="169"/>
      <c r="AC492" s="169"/>
      <c r="AD492" s="169"/>
      <c r="AE492" s="169"/>
      <c r="AF492" s="169"/>
      <c r="AG492" s="169"/>
      <c r="AH492" s="170"/>
      <c r="AJ492" s="453">
        <f ca="1">IF(AND($D492="Serviço",AJ$12&lt;&gt;0,$H492&gt;0,OR(AUTOEVENTO&lt;&gt;"manual",$M492&lt;&gt;$A$15)),
        IF(Import.TipoArredondamento&lt;&gt;"TransfereGOV",
              ROUND(OFFSET($P492,0,AJ$13),15-13*ORÇAMENTO!$AF$7)/$H492*OFFSET(ORÇAMENTO!$X$15,ROW(AJ492)-ROW(AJ$15),0),
              ROUND(ROUND(OFFSET($P492,0,AJ$13),15-13*ORÇAMENTO!$AF$7)*OFFSET(ORÇAMENTO!$W$15,ROW(AJ492)-ROW(AJ$15),0),15-13*ORÇAMENTO!$AF$11)),
         0)</f>
        <v>0</v>
      </c>
      <c r="AK492" s="453">
        <f ca="1">IF(AND($D492="Serviço",AK$12&lt;&gt;0,$H492&gt;0,OR(AUTOEVENTO&lt;&gt;"manual",$M492&lt;&gt;$A$15)),
        IF(Import.TipoArredondamento&lt;&gt;"TransfereGOV",
              ROUND(OFFSET($P492,0,AK$13),15-13*ORÇAMENTO!$AF$7)/$H492*OFFSET(ORÇAMENTO!$X$15,ROW(AK492)-ROW(AK$15),0),
              ROUND(ROUND(OFFSET($P492,0,AK$13),15-13*ORÇAMENTO!$AF$7)*OFFSET(ORÇAMENTO!$W$15,ROW(AK492)-ROW(AK$15),0),15-13*ORÇAMENTO!$AF$11)),
         0)</f>
        <v>0</v>
      </c>
      <c r="AL492" s="453">
        <f ca="1">IF(AND($D492="Serviço",AL$12&lt;&gt;0,$H492&gt;0,OR(AUTOEVENTO&lt;&gt;"manual",$M492&lt;&gt;$A$15)),
        IF(Import.TipoArredondamento&lt;&gt;"TransfereGOV",
              ROUND(OFFSET($P492,0,AL$13),15-13*ORÇAMENTO!$AF$7)/$H492*OFFSET(ORÇAMENTO!$X$15,ROW(AL492)-ROW(AL$15),0),
              ROUND(ROUND(OFFSET($P492,0,AL$13),15-13*ORÇAMENTO!$AF$7)*OFFSET(ORÇAMENTO!$W$15,ROW(AL492)-ROW(AL$15),0),15-13*ORÇAMENTO!$AF$11)),
         0)</f>
        <v>0</v>
      </c>
      <c r="AM492" s="453">
        <f ca="1">IF(AND($D492="Serviço",AM$12&lt;&gt;0,$H492&gt;0,OR(AUTOEVENTO&lt;&gt;"manual",$M492&lt;&gt;$A$15)),
        IF(Import.TipoArredondamento&lt;&gt;"TransfereGOV",
              ROUND(OFFSET($P492,0,AM$13),15-13*ORÇAMENTO!$AF$7)/$H492*OFFSET(ORÇAMENTO!$X$15,ROW(AM492)-ROW(AM$15),0),
              ROUND(ROUND(OFFSET($P492,0,AM$13),15-13*ORÇAMENTO!$AF$7)*OFFSET(ORÇAMENTO!$W$15,ROW(AM492)-ROW(AM$15),0),15-13*ORÇAMENTO!$AF$11)),
         0)</f>
        <v>0</v>
      </c>
      <c r="AN492" s="453">
        <f ca="1">IF(AND($D492="Serviço",AN$12&lt;&gt;0,$H492&gt;0,OR(AUTOEVENTO&lt;&gt;"manual",$M492&lt;&gt;$A$15)),
        IF(Import.TipoArredondamento&lt;&gt;"TransfereGOV",
              ROUND(OFFSET($P492,0,AN$13),15-13*ORÇAMENTO!$AF$7)/$H492*OFFSET(ORÇAMENTO!$X$15,ROW(AN492)-ROW(AN$15),0),
              ROUND(ROUND(OFFSET($P492,0,AN$13),15-13*ORÇAMENTO!$AF$7)*OFFSET(ORÇAMENTO!$W$15,ROW(AN492)-ROW(AN$15),0),15-13*ORÇAMENTO!$AF$11)),
         0)</f>
        <v>0</v>
      </c>
      <c r="AO492" s="453">
        <f ca="1">IF(AND($D492="Serviço",AO$12&lt;&gt;0,$H492&gt;0,OR(AUTOEVENTO&lt;&gt;"manual",$M492&lt;&gt;$A$15)),
        IF(Import.TipoArredondamento&lt;&gt;"TransfereGOV",
              ROUND(OFFSET($P492,0,AO$13),15-13*ORÇAMENTO!$AF$7)/$H492*OFFSET(ORÇAMENTO!$X$15,ROW(AO492)-ROW(AO$15),0),
              ROUND(ROUND(OFFSET($P492,0,AO$13),15-13*ORÇAMENTO!$AF$7)*OFFSET(ORÇAMENTO!$W$15,ROW(AO492)-ROW(AO$15),0),15-13*ORÇAMENTO!$AF$11)),
         0)</f>
        <v>0</v>
      </c>
      <c r="AP492" s="453">
        <f ca="1">IF(AND($D492="Serviço",AP$12&lt;&gt;0,$H492&gt;0,OR(AUTOEVENTO&lt;&gt;"manual",$M492&lt;&gt;$A$15)),
        IF(Import.TipoArredondamento&lt;&gt;"TransfereGOV",
              ROUND(OFFSET($P492,0,AP$13),15-13*ORÇAMENTO!$AF$7)/$H492*OFFSET(ORÇAMENTO!$X$15,ROW(AP492)-ROW(AP$15),0),
              ROUND(ROUND(OFFSET($P492,0,AP$13),15-13*ORÇAMENTO!$AF$7)*OFFSET(ORÇAMENTO!$W$15,ROW(AP492)-ROW(AP$15),0),15-13*ORÇAMENTO!$AF$11)),
         0)</f>
        <v>0</v>
      </c>
      <c r="AQ492" s="453">
        <f ca="1">IF(AND($D492="Serviço",AQ$12&lt;&gt;0,$H492&gt;0,OR(AUTOEVENTO&lt;&gt;"manual",$M492&lt;&gt;$A$15)),
        IF(Import.TipoArredondamento&lt;&gt;"TransfereGOV",
              ROUND(OFFSET($P492,0,AQ$13),15-13*ORÇAMENTO!$AF$7)/$H492*OFFSET(ORÇAMENTO!$X$15,ROW(AQ492)-ROW(AQ$15),0),
              ROUND(ROUND(OFFSET($P492,0,AQ$13),15-13*ORÇAMENTO!$AF$7)*OFFSET(ORÇAMENTO!$W$15,ROW(AQ492)-ROW(AQ$15),0),15-13*ORÇAMENTO!$AF$11)),
         0)</f>
        <v>0</v>
      </c>
      <c r="AR492" s="453">
        <f ca="1">IF(AND($D492="Serviço",AR$12&lt;&gt;0,$H492&gt;0,OR(AUTOEVENTO&lt;&gt;"manual",$M492&lt;&gt;$A$15)),
        IF(Import.TipoArredondamento&lt;&gt;"TransfereGOV",
              ROUND(OFFSET($P492,0,AR$13),15-13*ORÇAMENTO!$AF$7)/$H492*OFFSET(ORÇAMENTO!$X$15,ROW(AR492)-ROW(AR$15),0),
              ROUND(ROUND(OFFSET($P492,0,AR$13),15-13*ORÇAMENTO!$AF$7)*OFFSET(ORÇAMENTO!$W$15,ROW(AR492)-ROW(AR$15),0),15-13*ORÇAMENTO!$AF$11)),
         0)</f>
        <v>0</v>
      </c>
      <c r="AS492" s="453">
        <f ca="1">IF(AND($D492="Serviço",AS$12&lt;&gt;0,$H492&gt;0,OR(AUTOEVENTO&lt;&gt;"manual",$M492&lt;&gt;$A$15)),
        IF(Import.TipoArredondamento&lt;&gt;"TransfereGOV",
              ROUND(OFFSET($P492,0,AS$13),15-13*ORÇAMENTO!$AF$7)/$H492*OFFSET(ORÇAMENTO!$X$15,ROW(AS492)-ROW(AS$15),0),
              ROUND(ROUND(OFFSET($P492,0,AS$13),15-13*ORÇAMENTO!$AF$7)*OFFSET(ORÇAMENTO!$W$15,ROW(AS492)-ROW(AS$15),0),15-13*ORÇAMENTO!$AF$11)),
         0)</f>
        <v>0</v>
      </c>
      <c r="AT492" s="453">
        <f ca="1">IF(AND($D492="Serviço",AT$12&lt;&gt;0,$H492&gt;0,OR(AUTOEVENTO&lt;&gt;"manual",$M492&lt;&gt;$A$15)),
        IF(Import.TipoArredondamento&lt;&gt;"TransfereGOV",
              ROUND(OFFSET($P492,0,AT$13),15-13*ORÇAMENTO!$AF$7)/$H492*OFFSET(ORÇAMENTO!$X$15,ROW(AT492)-ROW(AT$15),0),
              ROUND(ROUND(OFFSET($P492,0,AT$13),15-13*ORÇAMENTO!$AF$7)*OFFSET(ORÇAMENTO!$W$15,ROW(AT492)-ROW(AT$15),0),15-13*ORÇAMENTO!$AF$11)),
         0)</f>
        <v>0</v>
      </c>
      <c r="AU492" s="453">
        <f ca="1">IF(AND($D492="Serviço",AU$12&lt;&gt;0,$H492&gt;0,OR(AUTOEVENTO&lt;&gt;"manual",$M492&lt;&gt;$A$15)),
        IF(Import.TipoArredondamento&lt;&gt;"TransfereGOV",
              ROUND(OFFSET($P492,0,AU$13),15-13*ORÇAMENTO!$AF$7)/$H492*OFFSET(ORÇAMENTO!$X$15,ROW(AU492)-ROW(AU$15),0),
              ROUND(ROUND(OFFSET($P492,0,AU$13),15-13*ORÇAMENTO!$AF$7)*OFFSET(ORÇAMENTO!$W$15,ROW(AU492)-ROW(AU$15),0),15-13*ORÇAMENTO!$AF$11)),
         0)</f>
        <v>0</v>
      </c>
      <c r="AV492" s="453">
        <f ca="1">IF(AND($D492="Serviço",AV$12&lt;&gt;0,$H492&gt;0,OR(AUTOEVENTO&lt;&gt;"manual",$M492&lt;&gt;$A$15)),
        IF(Import.TipoArredondamento&lt;&gt;"TransfereGOV",
              ROUND(OFFSET($P492,0,AV$13),15-13*ORÇAMENTO!$AF$7)/$H492*OFFSET(ORÇAMENTO!$X$15,ROW(AV492)-ROW(AV$15),0),
              ROUND(ROUND(OFFSET($P492,0,AV$13),15-13*ORÇAMENTO!$AF$7)*OFFSET(ORÇAMENTO!$W$15,ROW(AV492)-ROW(AV$15),0),15-13*ORÇAMENTO!$AF$11)),
         0)</f>
        <v>0</v>
      </c>
      <c r="AW492" s="453">
        <f ca="1">IF(AND($D492="Serviço",AW$12&lt;&gt;0,$H492&gt;0,OR(AUTOEVENTO&lt;&gt;"manual",$M492&lt;&gt;$A$15)),
        IF(Import.TipoArredondamento&lt;&gt;"TransfereGOV",
              ROUND(OFFSET($P492,0,AW$13),15-13*ORÇAMENTO!$AF$7)/$H492*OFFSET(ORÇAMENTO!$X$15,ROW(AW492)-ROW(AW$15),0),
              ROUND(ROUND(OFFSET($P492,0,AW$13),15-13*ORÇAMENTO!$AF$7)*OFFSET(ORÇAMENTO!$W$15,ROW(AW492)-ROW(AW$15),0),15-13*ORÇAMENTO!$AF$11)),
         0)</f>
        <v>0</v>
      </c>
      <c r="AX492" s="453">
        <f ca="1">IF(AND($D492="Serviço",AX$12&lt;&gt;0,$H492&gt;0,OR(AUTOEVENTO&lt;&gt;"manual",$M492&lt;&gt;$A$15)),
        IF(Import.TipoArredondamento&lt;&gt;"TransfereGOV",
              ROUND(OFFSET($P492,0,AX$13),15-13*ORÇAMENTO!$AF$7)/$H492*OFFSET(ORÇAMENTO!$X$15,ROW(AX492)-ROW(AX$15),0),
              ROUND(ROUND(OFFSET($P492,0,AX$13),15-13*ORÇAMENTO!$AF$7)*OFFSET(ORÇAMENTO!$W$15,ROW(AX492)-ROW(AX$15),0),15-13*ORÇAMENTO!$AF$11)),
         0)</f>
        <v>0</v>
      </c>
      <c r="AY492" s="453">
        <f ca="1">IF(AND($D492="Serviço",AY$12&lt;&gt;0,$H492&gt;0,OR(AUTOEVENTO&lt;&gt;"manual",$M492&lt;&gt;$A$15)),
        IF(Import.TipoArredondamento&lt;&gt;"TransfereGOV",
              ROUND(OFFSET($P492,0,AY$13),15-13*ORÇAMENTO!$AF$7)/$H492*OFFSET(ORÇAMENTO!$X$15,ROW(AY492)-ROW(AY$15),0),
              ROUND(ROUND(OFFSET($P492,0,AY$13),15-13*ORÇAMENTO!$AF$7)*OFFSET(ORÇAMENTO!$W$15,ROW(AY492)-ROW(AY$15),0),15-13*ORÇAMENTO!$AF$11)),
         0)</f>
        <v>0</v>
      </c>
      <c r="AZ492" s="453">
        <f ca="1">IF(AND($D492="Serviço",AZ$12&lt;&gt;0,$H492&gt;0,OR(AUTOEVENTO&lt;&gt;"manual",$M492&lt;&gt;$A$15)),
        IF(Import.TipoArredondamento&lt;&gt;"TransfereGOV",
              ROUND(OFFSET($P492,0,AZ$13),15-13*ORÇAMENTO!$AF$7)/$H492*OFFSET(ORÇAMENTO!$X$15,ROW(AZ492)-ROW(AZ$15),0),
              ROUND(ROUND(OFFSET($P492,0,AZ$13),15-13*ORÇAMENTO!$AF$7)*OFFSET(ORÇAMENTO!$W$15,ROW(AZ492)-ROW(AZ$15),0),15-13*ORÇAMENTO!$AF$11)),
         0)</f>
        <v>0</v>
      </c>
      <c r="BA492" s="453">
        <f ca="1">IF(AND($D492="Serviço",BA$12&lt;&gt;0,$H492&gt;0,OR(AUTOEVENTO&lt;&gt;"manual",$M492&lt;&gt;$A$15)),
        IF(Import.TipoArredondamento&lt;&gt;"TransfereGOV",
              ROUND(OFFSET($P492,0,BA$13),15-13*ORÇAMENTO!$AF$7)/$H492*OFFSET(ORÇAMENTO!$X$15,ROW(BA492)-ROW(BA$15),0),
              ROUND(ROUND(OFFSET($P492,0,BA$13),15-13*ORÇAMENTO!$AF$7)*OFFSET(ORÇAMENTO!$W$15,ROW(BA492)-ROW(BA$15),0),15-13*ORÇAMENTO!$AF$11)),
         0)</f>
        <v>0</v>
      </c>
      <c r="BC492" s="171">
        <f ca="1">IF(OR($D492&lt;&gt;"Serviço",AND(AUTOEVENTO="Manual",$M492=$A$15)),0,
         IF(OFFSET(CRONOPLE!$F$15,$M492-$A$15,BC$13)=0,10^12,OFFSET(CRONOPLE!$F$15,$M492-$A$15,BC$13)))</f>
        <v>0</v>
      </c>
      <c r="BD492" s="171">
        <f ca="1">IF(OR($D492&lt;&gt;"Serviço",AND(AUTOEVENTO="Manual",$M492=$A$15)),0,
         IF(OFFSET(CRONOPLE!$F$15,$M492-$A$15,BD$13)=0,10^12,OFFSET(CRONOPLE!$F$15,$M492-$A$15,BD$13)))</f>
        <v>0</v>
      </c>
      <c r="BE492" s="171">
        <f ca="1">IF(OR($D492&lt;&gt;"Serviço",AND(AUTOEVENTO="Manual",$M492=$A$15)),0,
         IF(OFFSET(CRONOPLE!$F$15,$M492-$A$15,BE$13)=0,10^12,OFFSET(CRONOPLE!$F$15,$M492-$A$15,BE$13)))</f>
        <v>0</v>
      </c>
      <c r="BF492" s="171">
        <f ca="1">IF(OR($D492&lt;&gt;"Serviço",AND(AUTOEVENTO="Manual",$M492=$A$15)),0,
         IF(OFFSET(CRONOPLE!$F$15,$M492-$A$15,BF$13)=0,10^12,OFFSET(CRONOPLE!$F$15,$M492-$A$15,BF$13)))</f>
        <v>0</v>
      </c>
      <c r="BG492" s="171">
        <f ca="1">IF(OR($D492&lt;&gt;"Serviço",AND(AUTOEVENTO="Manual",$M492=$A$15)),0,
         IF(OFFSET(CRONOPLE!$F$15,$M492-$A$15,BG$13)=0,10^12,OFFSET(CRONOPLE!$F$15,$M492-$A$15,BG$13)))</f>
        <v>0</v>
      </c>
      <c r="BH492" s="171">
        <f ca="1">IF(OR($D492&lt;&gt;"Serviço",AND(AUTOEVENTO="Manual",$M492=$A$15)),0,
         IF(OFFSET(CRONOPLE!$F$15,$M492-$A$15,BH$13)=0,10^12,OFFSET(CRONOPLE!$F$15,$M492-$A$15,BH$13)))</f>
        <v>0</v>
      </c>
      <c r="BI492" s="171">
        <f ca="1">IF(OR($D492&lt;&gt;"Serviço",AND(AUTOEVENTO="Manual",$M492=$A$15)),0,
         IF(OFFSET(CRONOPLE!$F$15,$M492-$A$15,BI$13)=0,10^12,OFFSET(CRONOPLE!$F$15,$M492-$A$15,BI$13)))</f>
        <v>0</v>
      </c>
      <c r="BJ492" s="171">
        <f ca="1">IF(OR($D492&lt;&gt;"Serviço",AND(AUTOEVENTO="Manual",$M492=$A$15)),0,
         IF(OFFSET(CRONOPLE!$F$15,$M492-$A$15,BJ$13)=0,10^12,OFFSET(CRONOPLE!$F$15,$M492-$A$15,BJ$13)))</f>
        <v>0</v>
      </c>
      <c r="BK492" s="171">
        <f ca="1">IF(OR($D492&lt;&gt;"Serviço",AND(AUTOEVENTO="Manual",$M492=$A$15)),0,
         IF(OFFSET(CRONOPLE!$F$15,$M492-$A$15,BK$13)=0,10^12,OFFSET(CRONOPLE!$F$15,$M492-$A$15,BK$13)))</f>
        <v>0</v>
      </c>
      <c r="BL492" s="171">
        <f ca="1">IF(OR($D492&lt;&gt;"Serviço",AND(AUTOEVENTO="Manual",$M492=$A$15)),0,
         IF(OFFSET(CRONOPLE!$F$15,$M492-$A$15,BL$13)=0,10^12,OFFSET(CRONOPLE!$F$15,$M492-$A$15,BL$13)))</f>
        <v>0</v>
      </c>
      <c r="BM492" s="171">
        <f ca="1">IF(OR($D492&lt;&gt;"Serviço",AND(AUTOEVENTO="Manual",$M492=$A$15)),0,
         IF(OFFSET(CRONOPLE!$F$15,$M492-$A$15,BM$13)=0,10^12,OFFSET(CRONOPLE!$F$15,$M492-$A$15,BM$13)))</f>
        <v>0</v>
      </c>
      <c r="BN492" s="171">
        <f ca="1">IF(OR($D492&lt;&gt;"Serviço",AND(AUTOEVENTO="Manual",$M492=$A$15)),0,
         IF(OFFSET(CRONOPLE!$F$15,$M492-$A$15,BN$13)=0,10^12,OFFSET(CRONOPLE!$F$15,$M492-$A$15,BN$13)))</f>
        <v>0</v>
      </c>
      <c r="BO492" s="171">
        <f ca="1">IF(OR($D492&lt;&gt;"Serviço",AND(AUTOEVENTO="Manual",$M492=$A$15)),0,
         IF(OFFSET(CRONOPLE!$F$15,$M492-$A$15,BO$13)=0,10^12,OFFSET(CRONOPLE!$F$15,$M492-$A$15,BO$13)))</f>
        <v>0</v>
      </c>
      <c r="BP492" s="171">
        <f ca="1">IF(OR($D492&lt;&gt;"Serviço",AND(AUTOEVENTO="Manual",$M492=$A$15)),0,
         IF(OFFSET(CRONOPLE!$F$15,$M492-$A$15,BP$13)=0,10^12,OFFSET(CRONOPLE!$F$15,$M492-$A$15,BP$13)))</f>
        <v>0</v>
      </c>
      <c r="BQ492" s="171">
        <f ca="1">IF(OR($D492&lt;&gt;"Serviço",AND(AUTOEVENTO="Manual",$M492=$A$15)),0,
         IF(OFFSET(CRONOPLE!$F$15,$M492-$A$15,BQ$13)=0,10^12,OFFSET(CRONOPLE!$F$15,$M492-$A$15,BQ$13)))</f>
        <v>0</v>
      </c>
      <c r="BR492" s="171">
        <f ca="1">IF(OR($D492&lt;&gt;"Serviço",AND(AUTOEVENTO="Manual",$M492=$A$15)),0,
         IF(OFFSET(CRONOPLE!$F$15,$M492-$A$15,BR$13)=0,10^12,OFFSET(CRONOPLE!$F$15,$M492-$A$15,BR$13)))</f>
        <v>0</v>
      </c>
      <c r="BS492" s="171">
        <f ca="1">IF(OR($D492&lt;&gt;"Serviço",AND(AUTOEVENTO="Manual",$M492=$A$15)),0,
         IF(OFFSET(CRONOPLE!$F$15,$M492-$A$15,BS$13)=0,10^12,OFFSET(CRONOPLE!$F$15,$M492-$A$15,BS$13)))</f>
        <v>0</v>
      </c>
      <c r="BT492" s="171">
        <f ca="1">IF(OR($D492&lt;&gt;"Serviço",AND(AUTOEVENTO="Manual",$M492=$A$15)),0,
         IF(OFFSET(CRONOPLE!$F$15,$M492-$A$15,BT$13)=0,10^12,OFFSET(CRONOPLE!$F$15,$M492-$A$15,BT$13)))</f>
        <v>0</v>
      </c>
      <c r="BV492" s="172">
        <f ca="1">IF(OR($D492&lt;&gt;"Serviço",AND(AUTOEVENTO="Manual",$M492=$A$15),$M492&gt;(ROW(PLE.lastrow)-ROW(PLE.firstrow))),0,
           IF(OFFSET(PLE!$G$15,$M492-$A$15,BV$13)="",10^12,OFFSET(PLE!$G$15,$M492-$A$15,BV$13)))</f>
        <v>0</v>
      </c>
      <c r="BW492" s="172">
        <f ca="1">IF(OR($D492&lt;&gt;"Serviço",AND(AUTOEVENTO="Manual",$M492=$A$15),$M492&gt;(ROW(PLE.lastrow)-ROW(PLE.firstrow))),0,
           IF(OFFSET(PLE!$G$15,$M492-$A$15,BW$13)="",10^12,OFFSET(PLE!$G$15,$M492-$A$15,BW$13)))</f>
        <v>0</v>
      </c>
      <c r="BX492" s="172">
        <f ca="1">IF(OR($D492&lt;&gt;"Serviço",AND(AUTOEVENTO="Manual",$M492=$A$15),$M492&gt;(ROW(PLE.lastrow)-ROW(PLE.firstrow))),0,
           IF(OFFSET(PLE!$G$15,$M492-$A$15,BX$13)="",10^12,OFFSET(PLE!$G$15,$M492-$A$15,BX$13)))</f>
        <v>0</v>
      </c>
      <c r="BY492" s="172">
        <f ca="1">IF(OR($D492&lt;&gt;"Serviço",AND(AUTOEVENTO="Manual",$M492=$A$15),$M492&gt;(ROW(PLE.lastrow)-ROW(PLE.firstrow))),0,
           IF(OFFSET(PLE!$G$15,$M492-$A$15,BY$13)="",10^12,OFFSET(PLE!$G$15,$M492-$A$15,BY$13)))</f>
        <v>0</v>
      </c>
      <c r="BZ492" s="172">
        <f ca="1">IF(OR($D492&lt;&gt;"Serviço",AND(AUTOEVENTO="Manual",$M492=$A$15),$M492&gt;(ROW(PLE.lastrow)-ROW(PLE.firstrow))),0,
           IF(OFFSET(PLE!$G$15,$M492-$A$15,BZ$13)="",10^12,OFFSET(PLE!$G$15,$M492-$A$15,BZ$13)))</f>
        <v>0</v>
      </c>
      <c r="CA492" s="172">
        <f ca="1">IF(OR($D492&lt;&gt;"Serviço",AND(AUTOEVENTO="Manual",$M492=$A$15),$M492&gt;(ROW(PLE.lastrow)-ROW(PLE.firstrow))),0,
           IF(OFFSET(PLE!$G$15,$M492-$A$15,CA$13)="",10^12,OFFSET(PLE!$G$15,$M492-$A$15,CA$13)))</f>
        <v>0</v>
      </c>
      <c r="CB492" s="172">
        <f ca="1">IF(OR($D492&lt;&gt;"Serviço",AND(AUTOEVENTO="Manual",$M492=$A$15),$M492&gt;(ROW(PLE.lastrow)-ROW(PLE.firstrow))),0,
           IF(OFFSET(PLE!$G$15,$M492-$A$15,CB$13)="",10^12,OFFSET(PLE!$G$15,$M492-$A$15,CB$13)))</f>
        <v>0</v>
      </c>
      <c r="CC492" s="172">
        <f ca="1">IF(OR($D492&lt;&gt;"Serviço",AND(AUTOEVENTO="Manual",$M492=$A$15),$M492&gt;(ROW(PLE.lastrow)-ROW(PLE.firstrow))),0,
           IF(OFFSET(PLE!$G$15,$M492-$A$15,CC$13)="",10^12,OFFSET(PLE!$G$15,$M492-$A$15,CC$13)))</f>
        <v>0</v>
      </c>
      <c r="CD492" s="172">
        <f ca="1">IF(OR($D492&lt;&gt;"Serviço",AND(AUTOEVENTO="Manual",$M492=$A$15),$M492&gt;(ROW(PLE.lastrow)-ROW(PLE.firstrow))),0,
           IF(OFFSET(PLE!$G$15,$M492-$A$15,CD$13)="",10^12,OFFSET(PLE!$G$15,$M492-$A$15,CD$13)))</f>
        <v>0</v>
      </c>
      <c r="CE492" s="172">
        <f ca="1">IF(OR($D492&lt;&gt;"Serviço",AND(AUTOEVENTO="Manual",$M492=$A$15),$M492&gt;(ROW(PLE.lastrow)-ROW(PLE.firstrow))),0,
           IF(OFFSET(PLE!$G$15,$M492-$A$15,CE$13)="",10^12,OFFSET(PLE!$G$15,$M492-$A$15,CE$13)))</f>
        <v>0</v>
      </c>
      <c r="CF492" s="172">
        <f ca="1">IF(OR($D492&lt;&gt;"Serviço",AND(AUTOEVENTO="Manual",$M492=$A$15),$M492&gt;(ROW(PLE.lastrow)-ROW(PLE.firstrow))),0,
           IF(OFFSET(PLE!$G$15,$M492-$A$15,CF$13)="",10^12,OFFSET(PLE!$G$15,$M492-$A$15,CF$13)))</f>
        <v>0</v>
      </c>
      <c r="CG492" s="172">
        <f ca="1">IF(OR($D492&lt;&gt;"Serviço",AND(AUTOEVENTO="Manual",$M492=$A$15),$M492&gt;(ROW(PLE.lastrow)-ROW(PLE.firstrow))),0,
           IF(OFFSET(PLE!$G$15,$M492-$A$15,CG$13)="",10^12,OFFSET(PLE!$G$15,$M492-$A$15,CG$13)))</f>
        <v>0</v>
      </c>
      <c r="CH492" s="172">
        <f ca="1">IF(OR($D492&lt;&gt;"Serviço",AND(AUTOEVENTO="Manual",$M492=$A$15),$M492&gt;(ROW(PLE.lastrow)-ROW(PLE.firstrow))),0,
           IF(OFFSET(PLE!$G$15,$M492-$A$15,CH$13)="",10^12,OFFSET(PLE!$G$15,$M492-$A$15,CH$13)))</f>
        <v>0</v>
      </c>
      <c r="CI492" s="172">
        <f ca="1">IF(OR($D492&lt;&gt;"Serviço",AND(AUTOEVENTO="Manual",$M492=$A$15),$M492&gt;(ROW(PLE.lastrow)-ROW(PLE.firstrow))),0,
           IF(OFFSET(PLE!$G$15,$M492-$A$15,CI$13)="",10^12,OFFSET(PLE!$G$15,$M492-$A$15,CI$13)))</f>
        <v>0</v>
      </c>
      <c r="CJ492" s="172">
        <f ca="1">IF(OR($D492&lt;&gt;"Serviço",AND(AUTOEVENTO="Manual",$M492=$A$15),$M492&gt;(ROW(PLE.lastrow)-ROW(PLE.firstrow))),0,
           IF(OFFSET(PLE!$G$15,$M492-$A$15,CJ$13)="",10^12,OFFSET(PLE!$G$15,$M492-$A$15,CJ$13)))</f>
        <v>0</v>
      </c>
      <c r="CK492" s="172">
        <f ca="1">IF(OR($D492&lt;&gt;"Serviço",AND(AUTOEVENTO="Manual",$M492=$A$15),$M492&gt;(ROW(PLE.lastrow)-ROW(PLE.firstrow))),0,
           IF(OFFSET(PLE!$G$15,$M492-$A$15,CK$13)="",10^12,OFFSET(PLE!$G$15,$M492-$A$15,CK$13)))</f>
        <v>0</v>
      </c>
      <c r="CL492" s="172">
        <f ca="1">IF(OR($D492&lt;&gt;"Serviço",AND(AUTOEVENTO="Manual",$M492=$A$15),$M492&gt;(ROW(PLE.lastrow)-ROW(PLE.firstrow))),0,
           IF(OFFSET(PLE!$G$15,$M492-$A$15,CL$13)="",10^12,OFFSET(PLE!$G$15,$M492-$A$15,CL$13)))</f>
        <v>0</v>
      </c>
      <c r="CM492" s="172">
        <f ca="1">IF(OR($D492&lt;&gt;"Serviço",AND(AUTOEVENTO="Manual",$M492=$A$15),$M492&gt;(ROW(PLE.lastrow)-ROW(PLE.firstrow))),0,
           IF(OFFSET(PLE!$G$15,$M492-$A$15,CM$13)="",10^12,OFFSET(PLE!$G$15,$M492-$A$15,CM$13)))</f>
        <v>0</v>
      </c>
    </row>
    <row r="493" spans="1:91" ht="191.25" x14ac:dyDescent="0.2">
      <c r="A493" s="7">
        <f t="shared" ca="1" si="17"/>
        <v>9</v>
      </c>
      <c r="B493" s="7" t="str">
        <f ca="1">OFFSET(ORÇAMENTO!C$15,ROW(B493)-ROW(B$15),0)</f>
        <v>S</v>
      </c>
      <c r="C493" s="7" t="str">
        <f ca="1">OFFSET(ORÇAMENTO!L$15,ROW(C493)-ROW(C$15),0)</f>
        <v>F</v>
      </c>
      <c r="D493" s="116" t="str">
        <f ca="1">OFFSET(ORÇAMENTO!N$15,ROW(D493)-ROW(D$15),0)</f>
        <v>Serviço</v>
      </c>
      <c r="E493" s="117" t="str">
        <f ca="1">OFFSET(ORÇAMENTO!O$15,ROW(E493)-ROW(E$15),0)</f>
        <v>1.10.5.0.1.</v>
      </c>
      <c r="F493" s="163" t="str">
        <f ca="1">OFFSET(ORÇAMENTO!R$15,ROW(F493)-ROW(F$15),0)</f>
        <v>COMPACTAÇÃO MECÂNICA DE SOLO PARA EXECUÇÃO DE RADIER, PISO DE CONCRETO OU LAJE SOBRE SOLO, COM COMPACTADOR DE SOLOS TIPO PLACA VIBRATÓRIA. AF_09/2021</v>
      </c>
      <c r="G493" s="164" t="str">
        <f ca="1">IF($D493&lt;&gt;"Serviço","",OFFSET(ORÇAMENTO!S$15,ROW(G493)-ROW(G$15),0))</f>
        <v>M2</v>
      </c>
      <c r="H493" s="122" cm="1">
        <f t="array" aca="1" ref="H493" ca="1">IF($D493&lt;&gt;"Serviço",0,IF(ACOMPANHAMENTO="BM",ROUND(OFFSET(ORÇAMENTO!AJ$15,ROW(H493)-ROW(H$15),0),15-13*ORÇAMENTO!$AF$7),SUMPRODUCT(($Q$1:$AI$1=1)*ROUND($Q493:$AI493,15-13*ORÇAMENTO!$AF$7))))</f>
        <v>192.42</v>
      </c>
      <c r="I493" s="468" t="s">
        <v>1404</v>
      </c>
      <c r="J493" s="640" t="str" cm="1">
        <f t="array" aca="1" ref="J493" ca="1">IF(OR(B493&lt;&gt;"S",CÁLCULO.FrentesPreenchidas=0),"",IF(AND(ACOMPANHAMENTO="PLE",AUTOEVENTO="Manual",OR(H493&gt;0,ORÇAMENTO!AC493="QUANT."),OR(K493="",M493=0,N493="")),"►E",IF(AND(ACOMPANHAMENTO="PLE",ORÇAMENTO!AC493="QUANT."),"►Q",IF(AND(ACOMPANHAMENTO="PLE",H493&lt;&gt;SUMPRODUCT(($Q$1:$AI$1=1)*ROUND(Q493:AI493,15))),"►S",IF(AND(COUNTIF($P$11:$AI$11,"▼")=0,H493&gt;0,I493=""),"◄M","")))))</f>
        <v/>
      </c>
      <c r="K493" s="641" t="s">
        <v>1393</v>
      </c>
      <c r="L493" s="165" t="s">
        <v>764</v>
      </c>
      <c r="M493" s="166">
        <f ca="1">IF($D493&lt;&gt;"Serviço","",
          IF(AUTOEVENTO="manual",$A493,
                IF(ISERROR(MATCH($A493,$A$15:OFFSET($A493,-1,0),0)),MAX($M$15:OFFSET(M493,-1,0))+1,
                      INDEX($M$15:OFFSET(M493,-1,0),MATCH($A493,$A$15:OFFSET($A493,-1,0),0)))))</f>
        <v>9</v>
      </c>
      <c r="N493" s="167" t="str">
        <f ca="1">IF($D493&lt;&gt;"Serviço","",
         IF(AUTOEVENTO="Manual",
                IF($A493=0,"&lt;-- defina o número do agrupador",
                       OFFSET(EVENTOS!$D$15,$A493-$A$15,0)),
                OFFSET($F$15,$A493,0)))</f>
        <v>Arquitetura</v>
      </c>
      <c r="O493" s="168"/>
      <c r="Q493" s="168"/>
      <c r="R493" s="169"/>
      <c r="S493" s="169"/>
      <c r="T493" s="169"/>
      <c r="U493" s="169"/>
      <c r="V493" s="169"/>
      <c r="W493" s="169"/>
      <c r="X493" s="169"/>
      <c r="Y493" s="169"/>
      <c r="Z493" s="170">
        <v>192.42</v>
      </c>
      <c r="AA493" s="169"/>
      <c r="AB493" s="169"/>
      <c r="AC493" s="169"/>
      <c r="AD493" s="169"/>
      <c r="AE493" s="169"/>
      <c r="AF493" s="169"/>
      <c r="AG493" s="169"/>
      <c r="AH493" s="170"/>
      <c r="AJ493" s="453">
        <f ca="1">IF(AND($D493="Serviço",AJ$12&lt;&gt;0,$H493&gt;0,OR(AUTOEVENTO&lt;&gt;"manual",$M493&lt;&gt;$A$15)),
        IF(Import.TipoArredondamento&lt;&gt;"TransfereGOV",
              ROUND(OFFSET($P493,0,AJ$13),15-13*ORÇAMENTO!$AF$7)/$H493*OFFSET(ORÇAMENTO!$X$15,ROW(AJ493)-ROW(AJ$15),0),
              ROUND(ROUND(OFFSET($P493,0,AJ$13),15-13*ORÇAMENTO!$AF$7)*OFFSET(ORÇAMENTO!$W$15,ROW(AJ493)-ROW(AJ$15),0),15-13*ORÇAMENTO!$AF$11)),
         0)</f>
        <v>0</v>
      </c>
      <c r="AK493" s="453">
        <f ca="1">IF(AND($D493="Serviço",AK$12&lt;&gt;0,$H493&gt;0,OR(AUTOEVENTO&lt;&gt;"manual",$M493&lt;&gt;$A$15)),
        IF(Import.TipoArredondamento&lt;&gt;"TransfereGOV",
              ROUND(OFFSET($P493,0,AK$13),15-13*ORÇAMENTO!$AF$7)/$H493*OFFSET(ORÇAMENTO!$X$15,ROW(AK493)-ROW(AK$15),0),
              ROUND(ROUND(OFFSET($P493,0,AK$13),15-13*ORÇAMENTO!$AF$7)*OFFSET(ORÇAMENTO!$W$15,ROW(AK493)-ROW(AK$15),0),15-13*ORÇAMENTO!$AF$11)),
         0)</f>
        <v>0</v>
      </c>
      <c r="AL493" s="453">
        <f ca="1">IF(AND($D493="Serviço",AL$12&lt;&gt;0,$H493&gt;0,OR(AUTOEVENTO&lt;&gt;"manual",$M493&lt;&gt;$A$15)),
        IF(Import.TipoArredondamento&lt;&gt;"TransfereGOV",
              ROUND(OFFSET($P493,0,AL$13),15-13*ORÇAMENTO!$AF$7)/$H493*OFFSET(ORÇAMENTO!$X$15,ROW(AL493)-ROW(AL$15),0),
              ROUND(ROUND(OFFSET($P493,0,AL$13),15-13*ORÇAMENTO!$AF$7)*OFFSET(ORÇAMENTO!$W$15,ROW(AL493)-ROW(AL$15),0),15-13*ORÇAMENTO!$AF$11)),
         0)</f>
        <v>0</v>
      </c>
      <c r="AM493" s="453">
        <f ca="1">IF(AND($D493="Serviço",AM$12&lt;&gt;0,$H493&gt;0,OR(AUTOEVENTO&lt;&gt;"manual",$M493&lt;&gt;$A$15)),
        IF(Import.TipoArredondamento&lt;&gt;"TransfereGOV",
              ROUND(OFFSET($P493,0,AM$13),15-13*ORÇAMENTO!$AF$7)/$H493*OFFSET(ORÇAMENTO!$X$15,ROW(AM493)-ROW(AM$15),0),
              ROUND(ROUND(OFFSET($P493,0,AM$13),15-13*ORÇAMENTO!$AF$7)*OFFSET(ORÇAMENTO!$W$15,ROW(AM493)-ROW(AM$15),0),15-13*ORÇAMENTO!$AF$11)),
         0)</f>
        <v>0</v>
      </c>
      <c r="AN493" s="453">
        <f ca="1">IF(AND($D493="Serviço",AN$12&lt;&gt;0,$H493&gt;0,OR(AUTOEVENTO&lt;&gt;"manual",$M493&lt;&gt;$A$15)),
        IF(Import.TipoArredondamento&lt;&gt;"TransfereGOV",
              ROUND(OFFSET($P493,0,AN$13),15-13*ORÇAMENTO!$AF$7)/$H493*OFFSET(ORÇAMENTO!$X$15,ROW(AN493)-ROW(AN$15),0),
              ROUND(ROUND(OFFSET($P493,0,AN$13),15-13*ORÇAMENTO!$AF$7)*OFFSET(ORÇAMENTO!$W$15,ROW(AN493)-ROW(AN$15),0),15-13*ORÇAMENTO!$AF$11)),
         0)</f>
        <v>0</v>
      </c>
      <c r="AO493" s="453">
        <f ca="1">IF(AND($D493="Serviço",AO$12&lt;&gt;0,$H493&gt;0,OR(AUTOEVENTO&lt;&gt;"manual",$M493&lt;&gt;$A$15)),
        IF(Import.TipoArredondamento&lt;&gt;"TransfereGOV",
              ROUND(OFFSET($P493,0,AO$13),15-13*ORÇAMENTO!$AF$7)/$H493*OFFSET(ORÇAMENTO!$X$15,ROW(AO493)-ROW(AO$15),0),
              ROUND(ROUND(OFFSET($P493,0,AO$13),15-13*ORÇAMENTO!$AF$7)*OFFSET(ORÇAMENTO!$W$15,ROW(AO493)-ROW(AO$15),0),15-13*ORÇAMENTO!$AF$11)),
         0)</f>
        <v>0</v>
      </c>
      <c r="AP493" s="453">
        <f ca="1">IF(AND($D493="Serviço",AP$12&lt;&gt;0,$H493&gt;0,OR(AUTOEVENTO&lt;&gt;"manual",$M493&lt;&gt;$A$15)),
        IF(Import.TipoArredondamento&lt;&gt;"TransfereGOV",
              ROUND(OFFSET($P493,0,AP$13),15-13*ORÇAMENTO!$AF$7)/$H493*OFFSET(ORÇAMENTO!$X$15,ROW(AP493)-ROW(AP$15),0),
              ROUND(ROUND(OFFSET($P493,0,AP$13),15-13*ORÇAMENTO!$AF$7)*OFFSET(ORÇAMENTO!$W$15,ROW(AP493)-ROW(AP$15),0),15-13*ORÇAMENTO!$AF$11)),
         0)</f>
        <v>0</v>
      </c>
      <c r="AQ493" s="453">
        <f ca="1">IF(AND($D493="Serviço",AQ$12&lt;&gt;0,$H493&gt;0,OR(AUTOEVENTO&lt;&gt;"manual",$M493&lt;&gt;$A$15)),
        IF(Import.TipoArredondamento&lt;&gt;"TransfereGOV",
              ROUND(OFFSET($P493,0,AQ$13),15-13*ORÇAMENTO!$AF$7)/$H493*OFFSET(ORÇAMENTO!$X$15,ROW(AQ493)-ROW(AQ$15),0),
              ROUND(ROUND(OFFSET($P493,0,AQ$13),15-13*ORÇAMENTO!$AF$7)*OFFSET(ORÇAMENTO!$W$15,ROW(AQ493)-ROW(AQ$15),0),15-13*ORÇAMENTO!$AF$11)),
         0)</f>
        <v>0</v>
      </c>
      <c r="AR493" s="453">
        <f ca="1">IF(AND($D493="Serviço",AR$12&lt;&gt;0,$H493&gt;0,OR(AUTOEVENTO&lt;&gt;"manual",$M493&lt;&gt;$A$15)),
        IF(Import.TipoArredondamento&lt;&gt;"TransfereGOV",
              ROUND(OFFSET($P493,0,AR$13),15-13*ORÇAMENTO!$AF$7)/$H493*OFFSET(ORÇAMENTO!$X$15,ROW(AR493)-ROW(AR$15),0),
              ROUND(ROUND(OFFSET($P493,0,AR$13),15-13*ORÇAMENTO!$AF$7)*OFFSET(ORÇAMENTO!$W$15,ROW(AR493)-ROW(AR$15),0),15-13*ORÇAMENTO!$AF$11)),
         0)</f>
        <v>0</v>
      </c>
      <c r="AS493" s="453">
        <f ca="1">IF(AND($D493="Serviço",AS$12&lt;&gt;0,$H493&gt;0,OR(AUTOEVENTO&lt;&gt;"manual",$M493&lt;&gt;$A$15)),
        IF(Import.TipoArredondamento&lt;&gt;"TransfereGOV",
              ROUND(OFFSET($P493,0,AS$13),15-13*ORÇAMENTO!$AF$7)/$H493*OFFSET(ORÇAMENTO!$X$15,ROW(AS493)-ROW(AS$15),0),
              ROUND(ROUND(OFFSET($P493,0,AS$13),15-13*ORÇAMENTO!$AF$7)*OFFSET(ORÇAMENTO!$W$15,ROW(AS493)-ROW(AS$15),0),15-13*ORÇAMENTO!$AF$11)),
         0)</f>
        <v>0</v>
      </c>
      <c r="AT493" s="453">
        <f ca="1">IF(AND($D493="Serviço",AT$12&lt;&gt;0,$H493&gt;0,OR(AUTOEVENTO&lt;&gt;"manual",$M493&lt;&gt;$A$15)),
        IF(Import.TipoArredondamento&lt;&gt;"TransfereGOV",
              ROUND(OFFSET($P493,0,AT$13),15-13*ORÇAMENTO!$AF$7)/$H493*OFFSET(ORÇAMENTO!$X$15,ROW(AT493)-ROW(AT$15),0),
              ROUND(ROUND(OFFSET($P493,0,AT$13),15-13*ORÇAMENTO!$AF$7)*OFFSET(ORÇAMENTO!$W$15,ROW(AT493)-ROW(AT$15),0),15-13*ORÇAMENTO!$AF$11)),
         0)</f>
        <v>0</v>
      </c>
      <c r="AU493" s="453">
        <f ca="1">IF(AND($D493="Serviço",AU$12&lt;&gt;0,$H493&gt;0,OR(AUTOEVENTO&lt;&gt;"manual",$M493&lt;&gt;$A$15)),
        IF(Import.TipoArredondamento&lt;&gt;"TransfereGOV",
              ROUND(OFFSET($P493,0,AU$13),15-13*ORÇAMENTO!$AF$7)/$H493*OFFSET(ORÇAMENTO!$X$15,ROW(AU493)-ROW(AU$15),0),
              ROUND(ROUND(OFFSET($P493,0,AU$13),15-13*ORÇAMENTO!$AF$7)*OFFSET(ORÇAMENTO!$W$15,ROW(AU493)-ROW(AU$15),0),15-13*ORÇAMENTO!$AF$11)),
         0)</f>
        <v>0</v>
      </c>
      <c r="AV493" s="453">
        <f ca="1">IF(AND($D493="Serviço",AV$12&lt;&gt;0,$H493&gt;0,OR(AUTOEVENTO&lt;&gt;"manual",$M493&lt;&gt;$A$15)),
        IF(Import.TipoArredondamento&lt;&gt;"TransfereGOV",
              ROUND(OFFSET($P493,0,AV$13),15-13*ORÇAMENTO!$AF$7)/$H493*OFFSET(ORÇAMENTO!$X$15,ROW(AV493)-ROW(AV$15),0),
              ROUND(ROUND(OFFSET($P493,0,AV$13),15-13*ORÇAMENTO!$AF$7)*OFFSET(ORÇAMENTO!$W$15,ROW(AV493)-ROW(AV$15),0),15-13*ORÇAMENTO!$AF$11)),
         0)</f>
        <v>0</v>
      </c>
      <c r="AW493" s="453">
        <f ca="1">IF(AND($D493="Serviço",AW$12&lt;&gt;0,$H493&gt;0,OR(AUTOEVENTO&lt;&gt;"manual",$M493&lt;&gt;$A$15)),
        IF(Import.TipoArredondamento&lt;&gt;"TransfereGOV",
              ROUND(OFFSET($P493,0,AW$13),15-13*ORÇAMENTO!$AF$7)/$H493*OFFSET(ORÇAMENTO!$X$15,ROW(AW493)-ROW(AW$15),0),
              ROUND(ROUND(OFFSET($P493,0,AW$13),15-13*ORÇAMENTO!$AF$7)*OFFSET(ORÇAMENTO!$W$15,ROW(AW493)-ROW(AW$15),0),15-13*ORÇAMENTO!$AF$11)),
         0)</f>
        <v>0</v>
      </c>
      <c r="AX493" s="453">
        <f ca="1">IF(AND($D493="Serviço",AX$12&lt;&gt;0,$H493&gt;0,OR(AUTOEVENTO&lt;&gt;"manual",$M493&lt;&gt;$A$15)),
        IF(Import.TipoArredondamento&lt;&gt;"TransfereGOV",
              ROUND(OFFSET($P493,0,AX$13),15-13*ORÇAMENTO!$AF$7)/$H493*OFFSET(ORÇAMENTO!$X$15,ROW(AX493)-ROW(AX$15),0),
              ROUND(ROUND(OFFSET($P493,0,AX$13),15-13*ORÇAMENTO!$AF$7)*OFFSET(ORÇAMENTO!$W$15,ROW(AX493)-ROW(AX$15),0),15-13*ORÇAMENTO!$AF$11)),
         0)</f>
        <v>0</v>
      </c>
      <c r="AY493" s="453">
        <f ca="1">IF(AND($D493="Serviço",AY$12&lt;&gt;0,$H493&gt;0,OR(AUTOEVENTO&lt;&gt;"manual",$M493&lt;&gt;$A$15)),
        IF(Import.TipoArredondamento&lt;&gt;"TransfereGOV",
              ROUND(OFFSET($P493,0,AY$13),15-13*ORÇAMENTO!$AF$7)/$H493*OFFSET(ORÇAMENTO!$X$15,ROW(AY493)-ROW(AY$15),0),
              ROUND(ROUND(OFFSET($P493,0,AY$13),15-13*ORÇAMENTO!$AF$7)*OFFSET(ORÇAMENTO!$W$15,ROW(AY493)-ROW(AY$15),0),15-13*ORÇAMENTO!$AF$11)),
         0)</f>
        <v>0</v>
      </c>
      <c r="AZ493" s="453">
        <f ca="1">IF(AND($D493="Serviço",AZ$12&lt;&gt;0,$H493&gt;0,OR(AUTOEVENTO&lt;&gt;"manual",$M493&lt;&gt;$A$15)),
        IF(Import.TipoArredondamento&lt;&gt;"TransfereGOV",
              ROUND(OFFSET($P493,0,AZ$13),15-13*ORÇAMENTO!$AF$7)/$H493*OFFSET(ORÇAMENTO!$X$15,ROW(AZ493)-ROW(AZ$15),0),
              ROUND(ROUND(OFFSET($P493,0,AZ$13),15-13*ORÇAMENTO!$AF$7)*OFFSET(ORÇAMENTO!$W$15,ROW(AZ493)-ROW(AZ$15),0),15-13*ORÇAMENTO!$AF$11)),
         0)</f>
        <v>0</v>
      </c>
      <c r="BA493" s="453">
        <f ca="1">IF(AND($D493="Serviço",BA$12&lt;&gt;0,$H493&gt;0,OR(AUTOEVENTO&lt;&gt;"manual",$M493&lt;&gt;$A$15)),
        IF(Import.TipoArredondamento&lt;&gt;"TransfereGOV",
              ROUND(OFFSET($P493,0,BA$13),15-13*ORÇAMENTO!$AF$7)/$H493*OFFSET(ORÇAMENTO!$X$15,ROW(BA493)-ROW(BA$15),0),
              ROUND(ROUND(OFFSET($P493,0,BA$13),15-13*ORÇAMENTO!$AF$7)*OFFSET(ORÇAMENTO!$W$15,ROW(BA493)-ROW(BA$15),0),15-13*ORÇAMENTO!$AF$11)),
         0)</f>
        <v>0</v>
      </c>
      <c r="BC493" s="171">
        <f ca="1">IF(OR($D493&lt;&gt;"Serviço",AND(AUTOEVENTO="Manual",$M493=$A$15)),0,
         IF(OFFSET(CRONOPLE!$F$15,$M493-$A$15,BC$13)=0,10^12,OFFSET(CRONOPLE!$F$15,$M493-$A$15,BC$13)))</f>
        <v>1000000000000</v>
      </c>
      <c r="BD493" s="171">
        <f ca="1">IF(OR($D493&lt;&gt;"Serviço",AND(AUTOEVENTO="Manual",$M493=$A$15)),0,
         IF(OFFSET(CRONOPLE!$F$15,$M493-$A$15,BD$13)=0,10^12,OFFSET(CRONOPLE!$F$15,$M493-$A$15,BD$13)))</f>
        <v>1000000000000</v>
      </c>
      <c r="BE493" s="171">
        <f ca="1">IF(OR($D493&lt;&gt;"Serviço",AND(AUTOEVENTO="Manual",$M493=$A$15)),0,
         IF(OFFSET(CRONOPLE!$F$15,$M493-$A$15,BE$13)=0,10^12,OFFSET(CRONOPLE!$F$15,$M493-$A$15,BE$13)))</f>
        <v>1000000000000</v>
      </c>
      <c r="BF493" s="171">
        <f ca="1">IF(OR($D493&lt;&gt;"Serviço",AND(AUTOEVENTO="Manual",$M493=$A$15)),0,
         IF(OFFSET(CRONOPLE!$F$15,$M493-$A$15,BF$13)=0,10^12,OFFSET(CRONOPLE!$F$15,$M493-$A$15,BF$13)))</f>
        <v>1000000000000</v>
      </c>
      <c r="BG493" s="171">
        <f ca="1">IF(OR($D493&lt;&gt;"Serviço",AND(AUTOEVENTO="Manual",$M493=$A$15)),0,
         IF(OFFSET(CRONOPLE!$F$15,$M493-$A$15,BG$13)=0,10^12,OFFSET(CRONOPLE!$F$15,$M493-$A$15,BG$13)))</f>
        <v>1000000000000</v>
      </c>
      <c r="BH493" s="171">
        <f ca="1">IF(OR($D493&lt;&gt;"Serviço",AND(AUTOEVENTO="Manual",$M493=$A$15)),0,
         IF(OFFSET(CRONOPLE!$F$15,$M493-$A$15,BH$13)=0,10^12,OFFSET(CRONOPLE!$F$15,$M493-$A$15,BH$13)))</f>
        <v>1000000000000</v>
      </c>
      <c r="BI493" s="171">
        <f ca="1">IF(OR($D493&lt;&gt;"Serviço",AND(AUTOEVENTO="Manual",$M493=$A$15)),0,
         IF(OFFSET(CRONOPLE!$F$15,$M493-$A$15,BI$13)=0,10^12,OFFSET(CRONOPLE!$F$15,$M493-$A$15,BI$13)))</f>
        <v>1000000000000</v>
      </c>
      <c r="BJ493" s="171">
        <f ca="1">IF(OR($D493&lt;&gt;"Serviço",AND(AUTOEVENTO="Manual",$M493=$A$15)),0,
         IF(OFFSET(CRONOPLE!$F$15,$M493-$A$15,BJ$13)=0,10^12,OFFSET(CRONOPLE!$F$15,$M493-$A$15,BJ$13)))</f>
        <v>1000000000000</v>
      </c>
      <c r="BK493" s="171">
        <f ca="1">IF(OR($D493&lt;&gt;"Serviço",AND(AUTOEVENTO="Manual",$M493=$A$15)),0,
         IF(OFFSET(CRONOPLE!$F$15,$M493-$A$15,BK$13)=0,10^12,OFFSET(CRONOPLE!$F$15,$M493-$A$15,BK$13)))</f>
        <v>9</v>
      </c>
      <c r="BL493" s="171">
        <f ca="1">IF(OR($D493&lt;&gt;"Serviço",AND(AUTOEVENTO="Manual",$M493=$A$15)),0,
         IF(OFFSET(CRONOPLE!$F$15,$M493-$A$15,BL$13)=0,10^12,OFFSET(CRONOPLE!$F$15,$M493-$A$15,BL$13)))</f>
        <v>10</v>
      </c>
      <c r="BM493" s="171">
        <f ca="1">IF(OR($D493&lt;&gt;"Serviço",AND(AUTOEVENTO="Manual",$M493=$A$15)),0,
         IF(OFFSET(CRONOPLE!$F$15,$M493-$A$15,BM$13)=0,10^12,OFFSET(CRONOPLE!$F$15,$M493-$A$15,BM$13)))</f>
        <v>1000000000000</v>
      </c>
      <c r="BN493" s="171">
        <f ca="1">IF(OR($D493&lt;&gt;"Serviço",AND(AUTOEVENTO="Manual",$M493=$A$15)),0,
         IF(OFFSET(CRONOPLE!$F$15,$M493-$A$15,BN$13)=0,10^12,OFFSET(CRONOPLE!$F$15,$M493-$A$15,BN$13)))</f>
        <v>1000000000000</v>
      </c>
      <c r="BO493" s="171">
        <f ca="1">IF(OR($D493&lt;&gt;"Serviço",AND(AUTOEVENTO="Manual",$M493=$A$15)),0,
         IF(OFFSET(CRONOPLE!$F$15,$M493-$A$15,BO$13)=0,10^12,OFFSET(CRONOPLE!$F$15,$M493-$A$15,BO$13)))</f>
        <v>1000000000000</v>
      </c>
      <c r="BP493" s="171">
        <f ca="1">IF(OR($D493&lt;&gt;"Serviço",AND(AUTOEVENTO="Manual",$M493=$A$15)),0,
         IF(OFFSET(CRONOPLE!$F$15,$M493-$A$15,BP$13)=0,10^12,OFFSET(CRONOPLE!$F$15,$M493-$A$15,BP$13)))</f>
        <v>1000000000000</v>
      </c>
      <c r="BQ493" s="171">
        <f ca="1">IF(OR($D493&lt;&gt;"Serviço",AND(AUTOEVENTO="Manual",$M493=$A$15)),0,
         IF(OFFSET(CRONOPLE!$F$15,$M493-$A$15,BQ$13)=0,10^12,OFFSET(CRONOPLE!$F$15,$M493-$A$15,BQ$13)))</f>
        <v>1000000000000</v>
      </c>
      <c r="BR493" s="171">
        <f ca="1">IF(OR($D493&lt;&gt;"Serviço",AND(AUTOEVENTO="Manual",$M493=$A$15)),0,
         IF(OFFSET(CRONOPLE!$F$15,$M493-$A$15,BR$13)=0,10^12,OFFSET(CRONOPLE!$F$15,$M493-$A$15,BR$13)))</f>
        <v>1000000000000</v>
      </c>
      <c r="BS493" s="171">
        <f ca="1">IF(OR($D493&lt;&gt;"Serviço",AND(AUTOEVENTO="Manual",$M493=$A$15)),0,
         IF(OFFSET(CRONOPLE!$F$15,$M493-$A$15,BS$13)=0,10^12,OFFSET(CRONOPLE!$F$15,$M493-$A$15,BS$13)))</f>
        <v>1000000000000</v>
      </c>
      <c r="BT493" s="171">
        <f ca="1">IF(OR($D493&lt;&gt;"Serviço",AND(AUTOEVENTO="Manual",$M493=$A$15)),0,
         IF(OFFSET(CRONOPLE!$F$15,$M493-$A$15,BT$13)=0,10^12,OFFSET(CRONOPLE!$F$15,$M493-$A$15,BT$13)))</f>
        <v>1000000000000</v>
      </c>
      <c r="BV493" s="172">
        <f ca="1">IF(OR($D493&lt;&gt;"Serviço",AND(AUTOEVENTO="Manual",$M493=$A$15),$M493&gt;(ROW(PLE.lastrow)-ROW(PLE.firstrow))),0,
           IF(OFFSET(PLE!$G$15,$M493-$A$15,BV$13)="",10^12,OFFSET(PLE!$G$15,$M493-$A$15,BV$13)))</f>
        <v>1000000000000</v>
      </c>
      <c r="BW493" s="172">
        <f ca="1">IF(OR($D493&lt;&gt;"Serviço",AND(AUTOEVENTO="Manual",$M493=$A$15),$M493&gt;(ROW(PLE.lastrow)-ROW(PLE.firstrow))),0,
           IF(OFFSET(PLE!$G$15,$M493-$A$15,BW$13)="",10^12,OFFSET(PLE!$G$15,$M493-$A$15,BW$13)))</f>
        <v>1000000000000</v>
      </c>
      <c r="BX493" s="172">
        <f ca="1">IF(OR($D493&lt;&gt;"Serviço",AND(AUTOEVENTO="Manual",$M493=$A$15),$M493&gt;(ROW(PLE.lastrow)-ROW(PLE.firstrow))),0,
           IF(OFFSET(PLE!$G$15,$M493-$A$15,BX$13)="",10^12,OFFSET(PLE!$G$15,$M493-$A$15,BX$13)))</f>
        <v>1000000000000</v>
      </c>
      <c r="BY493" s="172">
        <f ca="1">IF(OR($D493&lt;&gt;"Serviço",AND(AUTOEVENTO="Manual",$M493=$A$15),$M493&gt;(ROW(PLE.lastrow)-ROW(PLE.firstrow))),0,
           IF(OFFSET(PLE!$G$15,$M493-$A$15,BY$13)="",10^12,OFFSET(PLE!$G$15,$M493-$A$15,BY$13)))</f>
        <v>1000000000000</v>
      </c>
      <c r="BZ493" s="172">
        <f ca="1">IF(OR($D493&lt;&gt;"Serviço",AND(AUTOEVENTO="Manual",$M493=$A$15),$M493&gt;(ROW(PLE.lastrow)-ROW(PLE.firstrow))),0,
           IF(OFFSET(PLE!$G$15,$M493-$A$15,BZ$13)="",10^12,OFFSET(PLE!$G$15,$M493-$A$15,BZ$13)))</f>
        <v>1000000000000</v>
      </c>
      <c r="CA493" s="172">
        <f ca="1">IF(OR($D493&lt;&gt;"Serviço",AND(AUTOEVENTO="Manual",$M493=$A$15),$M493&gt;(ROW(PLE.lastrow)-ROW(PLE.firstrow))),0,
           IF(OFFSET(PLE!$G$15,$M493-$A$15,CA$13)="",10^12,OFFSET(PLE!$G$15,$M493-$A$15,CA$13)))</f>
        <v>1000000000000</v>
      </c>
      <c r="CB493" s="172">
        <f ca="1">IF(OR($D493&lt;&gt;"Serviço",AND(AUTOEVENTO="Manual",$M493=$A$15),$M493&gt;(ROW(PLE.lastrow)-ROW(PLE.firstrow))),0,
           IF(OFFSET(PLE!$G$15,$M493-$A$15,CB$13)="",10^12,OFFSET(PLE!$G$15,$M493-$A$15,CB$13)))</f>
        <v>1000000000000</v>
      </c>
      <c r="CC493" s="172">
        <f ca="1">IF(OR($D493&lt;&gt;"Serviço",AND(AUTOEVENTO="Manual",$M493=$A$15),$M493&gt;(ROW(PLE.lastrow)-ROW(PLE.firstrow))),0,
           IF(OFFSET(PLE!$G$15,$M493-$A$15,CC$13)="",10^12,OFFSET(PLE!$G$15,$M493-$A$15,CC$13)))</f>
        <v>1000000000000</v>
      </c>
      <c r="CD493" s="172">
        <f ca="1">IF(OR($D493&lt;&gt;"Serviço",AND(AUTOEVENTO="Manual",$M493=$A$15),$M493&gt;(ROW(PLE.lastrow)-ROW(PLE.firstrow))),0,
           IF(OFFSET(PLE!$G$15,$M493-$A$15,CD$13)="",10^12,OFFSET(PLE!$G$15,$M493-$A$15,CD$13)))</f>
        <v>1000000000000</v>
      </c>
      <c r="CE493" s="172">
        <f ca="1">IF(OR($D493&lt;&gt;"Serviço",AND(AUTOEVENTO="Manual",$M493=$A$15),$M493&gt;(ROW(PLE.lastrow)-ROW(PLE.firstrow))),0,
           IF(OFFSET(PLE!$G$15,$M493-$A$15,CE$13)="",10^12,OFFSET(PLE!$G$15,$M493-$A$15,CE$13)))</f>
        <v>1000000000000</v>
      </c>
      <c r="CF493" s="172">
        <f ca="1">IF(OR($D493&lt;&gt;"Serviço",AND(AUTOEVENTO="Manual",$M493=$A$15),$M493&gt;(ROW(PLE.lastrow)-ROW(PLE.firstrow))),0,
           IF(OFFSET(PLE!$G$15,$M493-$A$15,CF$13)="",10^12,OFFSET(PLE!$G$15,$M493-$A$15,CF$13)))</f>
        <v>1000000000000</v>
      </c>
      <c r="CG493" s="172">
        <f ca="1">IF(OR($D493&lt;&gt;"Serviço",AND(AUTOEVENTO="Manual",$M493=$A$15),$M493&gt;(ROW(PLE.lastrow)-ROW(PLE.firstrow))),0,
           IF(OFFSET(PLE!$G$15,$M493-$A$15,CG$13)="",10^12,OFFSET(PLE!$G$15,$M493-$A$15,CG$13)))</f>
        <v>1000000000000</v>
      </c>
      <c r="CH493" s="172">
        <f ca="1">IF(OR($D493&lt;&gt;"Serviço",AND(AUTOEVENTO="Manual",$M493=$A$15),$M493&gt;(ROW(PLE.lastrow)-ROW(PLE.firstrow))),0,
           IF(OFFSET(PLE!$G$15,$M493-$A$15,CH$13)="",10^12,OFFSET(PLE!$G$15,$M493-$A$15,CH$13)))</f>
        <v>1000000000000</v>
      </c>
      <c r="CI493" s="172">
        <f ca="1">IF(OR($D493&lt;&gt;"Serviço",AND(AUTOEVENTO="Manual",$M493=$A$15),$M493&gt;(ROW(PLE.lastrow)-ROW(PLE.firstrow))),0,
           IF(OFFSET(PLE!$G$15,$M493-$A$15,CI$13)="",10^12,OFFSET(PLE!$G$15,$M493-$A$15,CI$13)))</f>
        <v>1000000000000</v>
      </c>
      <c r="CJ493" s="172">
        <f ca="1">IF(OR($D493&lt;&gt;"Serviço",AND(AUTOEVENTO="Manual",$M493=$A$15),$M493&gt;(ROW(PLE.lastrow)-ROW(PLE.firstrow))),0,
           IF(OFFSET(PLE!$G$15,$M493-$A$15,CJ$13)="",10^12,OFFSET(PLE!$G$15,$M493-$A$15,CJ$13)))</f>
        <v>1000000000000</v>
      </c>
      <c r="CK493" s="172">
        <f ca="1">IF(OR($D493&lt;&gt;"Serviço",AND(AUTOEVENTO="Manual",$M493=$A$15),$M493&gt;(ROW(PLE.lastrow)-ROW(PLE.firstrow))),0,
           IF(OFFSET(PLE!$G$15,$M493-$A$15,CK$13)="",10^12,OFFSET(PLE!$G$15,$M493-$A$15,CK$13)))</f>
        <v>1000000000000</v>
      </c>
      <c r="CL493" s="172">
        <f ca="1">IF(OR($D493&lt;&gt;"Serviço",AND(AUTOEVENTO="Manual",$M493=$A$15),$M493&gt;(ROW(PLE.lastrow)-ROW(PLE.firstrow))),0,
           IF(OFFSET(PLE!$G$15,$M493-$A$15,CL$13)="",10^12,OFFSET(PLE!$G$15,$M493-$A$15,CL$13)))</f>
        <v>1000000000000</v>
      </c>
      <c r="CM493" s="172">
        <f ca="1">IF(OR($D493&lt;&gt;"Serviço",AND(AUTOEVENTO="Manual",$M493=$A$15),$M493&gt;(ROW(PLE.lastrow)-ROW(PLE.firstrow))),0,
           IF(OFFSET(PLE!$G$15,$M493-$A$15,CM$13)="",10^12,OFFSET(PLE!$G$15,$M493-$A$15,CM$13)))</f>
        <v>1000000000000</v>
      </c>
    </row>
    <row r="494" spans="1:91" ht="191.25" x14ac:dyDescent="0.2">
      <c r="A494" s="7">
        <f t="shared" ca="1" si="17"/>
        <v>9</v>
      </c>
      <c r="B494" s="7" t="str">
        <f ca="1">OFFSET(ORÇAMENTO!C$15,ROW(B494)-ROW(B$15),0)</f>
        <v>S</v>
      </c>
      <c r="C494" s="7" t="str">
        <f ca="1">OFFSET(ORÇAMENTO!L$15,ROW(C494)-ROW(C$15),0)</f>
        <v>F</v>
      </c>
      <c r="D494" s="116" t="str">
        <f ca="1">OFFSET(ORÇAMENTO!N$15,ROW(D494)-ROW(D$15),0)</f>
        <v>Serviço</v>
      </c>
      <c r="E494" s="117" t="str">
        <f ca="1">OFFSET(ORÇAMENTO!O$15,ROW(E494)-ROW(E$15),0)</f>
        <v>1.10.5.0.2.</v>
      </c>
      <c r="F494" s="163" t="str">
        <f ca="1">OFFSET(ORÇAMENTO!R$15,ROW(F494)-ROW(F$15),0)</f>
        <v>EXECUÇÃO DE PASSEIO (CALÇADA) OU PISO DE CONCRETO COM CONCRETO MOLDADO IN LOCO, FEITO EM OBRA, ACABAMENTO CONVENCIONAL, NÃO ARMADO. AF_08/2022</v>
      </c>
      <c r="G494" s="164" t="str">
        <f ca="1">IF($D494&lt;&gt;"Serviço","",OFFSET(ORÇAMENTO!S$15,ROW(G494)-ROW(G$15),0))</f>
        <v>M3</v>
      </c>
      <c r="H494" s="122" cm="1">
        <f t="array" aca="1" ref="H494" ca="1">IF($D494&lt;&gt;"Serviço",0,IF(ACOMPANHAMENTO="BM",ROUND(OFFSET(ORÇAMENTO!AJ$15,ROW(H494)-ROW(H$15),0),15-13*ORÇAMENTO!$AF$7),SUMPRODUCT(($Q$1:$AI$1=1)*ROUND($Q494:$AI494,15-13*ORÇAMENTO!$AF$7))))</f>
        <v>29.62</v>
      </c>
      <c r="I494" s="468" t="s">
        <v>1403</v>
      </c>
      <c r="J494" s="640" t="str" cm="1">
        <f t="array" aca="1" ref="J494" ca="1">IF(OR(B494&lt;&gt;"S",CÁLCULO.FrentesPreenchidas=0),"",IF(AND(ACOMPANHAMENTO="PLE",AUTOEVENTO="Manual",OR(H494&gt;0,ORÇAMENTO!AC494="QUANT."),OR(K494="",M494=0,N494="")),"►E",IF(AND(ACOMPANHAMENTO="PLE",ORÇAMENTO!AC494="QUANT."),"►Q",IF(AND(ACOMPANHAMENTO="PLE",H494&lt;&gt;SUMPRODUCT(($Q$1:$AI$1=1)*ROUND(Q494:AI494,15))),"►S",IF(AND(COUNTIF($P$11:$AI$11,"▼")=0,H494&gt;0,I494=""),"◄M","")))))</f>
        <v/>
      </c>
      <c r="K494" s="641" t="s">
        <v>1393</v>
      </c>
      <c r="L494" s="165" t="s">
        <v>764</v>
      </c>
      <c r="M494" s="166">
        <f ca="1">IF($D494&lt;&gt;"Serviço","",
          IF(AUTOEVENTO="manual",$A494,
                IF(ISERROR(MATCH($A494,$A$15:OFFSET($A494,-1,0),0)),MAX($M$15:OFFSET(M494,-1,0))+1,
                      INDEX($M$15:OFFSET(M494,-1,0),MATCH($A494,$A$15:OFFSET($A494,-1,0),0)))))</f>
        <v>9</v>
      </c>
      <c r="N494" s="167" t="str">
        <f ca="1">IF($D494&lt;&gt;"Serviço","",
         IF(AUTOEVENTO="Manual",
                IF($A494=0,"&lt;-- defina o número do agrupador",
                       OFFSET(EVENTOS!$D$15,$A494-$A$15,0)),
                OFFSET($F$15,$A494,0)))</f>
        <v>Arquitetura</v>
      </c>
      <c r="O494" s="168"/>
      <c r="Q494" s="168"/>
      <c r="R494" s="169"/>
      <c r="S494" s="169"/>
      <c r="T494" s="169"/>
      <c r="U494" s="169"/>
      <c r="V494" s="169"/>
      <c r="W494" s="169"/>
      <c r="X494" s="169"/>
      <c r="Y494" s="169"/>
      <c r="Z494" s="170">
        <v>29.62</v>
      </c>
      <c r="AA494" s="169"/>
      <c r="AB494" s="169"/>
      <c r="AC494" s="169"/>
      <c r="AD494" s="169"/>
      <c r="AE494" s="169"/>
      <c r="AF494" s="169"/>
      <c r="AG494" s="169"/>
      <c r="AH494" s="170"/>
      <c r="AJ494" s="453">
        <f ca="1">IF(AND($D494="Serviço",AJ$12&lt;&gt;0,$H494&gt;0,OR(AUTOEVENTO&lt;&gt;"manual",$M494&lt;&gt;$A$15)),
        IF(Import.TipoArredondamento&lt;&gt;"TransfereGOV",
              ROUND(OFFSET($P494,0,AJ$13),15-13*ORÇAMENTO!$AF$7)/$H494*OFFSET(ORÇAMENTO!$X$15,ROW(AJ494)-ROW(AJ$15),0),
              ROUND(ROUND(OFFSET($P494,0,AJ$13),15-13*ORÇAMENTO!$AF$7)*OFFSET(ORÇAMENTO!$W$15,ROW(AJ494)-ROW(AJ$15),0),15-13*ORÇAMENTO!$AF$11)),
         0)</f>
        <v>0</v>
      </c>
      <c r="AK494" s="453">
        <f ca="1">IF(AND($D494="Serviço",AK$12&lt;&gt;0,$H494&gt;0,OR(AUTOEVENTO&lt;&gt;"manual",$M494&lt;&gt;$A$15)),
        IF(Import.TipoArredondamento&lt;&gt;"TransfereGOV",
              ROUND(OFFSET($P494,0,AK$13),15-13*ORÇAMENTO!$AF$7)/$H494*OFFSET(ORÇAMENTO!$X$15,ROW(AK494)-ROW(AK$15),0),
              ROUND(ROUND(OFFSET($P494,0,AK$13),15-13*ORÇAMENTO!$AF$7)*OFFSET(ORÇAMENTO!$W$15,ROW(AK494)-ROW(AK$15),0),15-13*ORÇAMENTO!$AF$11)),
         0)</f>
        <v>0</v>
      </c>
      <c r="AL494" s="453">
        <f ca="1">IF(AND($D494="Serviço",AL$12&lt;&gt;0,$H494&gt;0,OR(AUTOEVENTO&lt;&gt;"manual",$M494&lt;&gt;$A$15)),
        IF(Import.TipoArredondamento&lt;&gt;"TransfereGOV",
              ROUND(OFFSET($P494,0,AL$13),15-13*ORÇAMENTO!$AF$7)/$H494*OFFSET(ORÇAMENTO!$X$15,ROW(AL494)-ROW(AL$15),0),
              ROUND(ROUND(OFFSET($P494,0,AL$13),15-13*ORÇAMENTO!$AF$7)*OFFSET(ORÇAMENTO!$W$15,ROW(AL494)-ROW(AL$15),0),15-13*ORÇAMENTO!$AF$11)),
         0)</f>
        <v>0</v>
      </c>
      <c r="AM494" s="453">
        <f ca="1">IF(AND($D494="Serviço",AM$12&lt;&gt;0,$H494&gt;0,OR(AUTOEVENTO&lt;&gt;"manual",$M494&lt;&gt;$A$15)),
        IF(Import.TipoArredondamento&lt;&gt;"TransfereGOV",
              ROUND(OFFSET($P494,0,AM$13),15-13*ORÇAMENTO!$AF$7)/$H494*OFFSET(ORÇAMENTO!$X$15,ROW(AM494)-ROW(AM$15),0),
              ROUND(ROUND(OFFSET($P494,0,AM$13),15-13*ORÇAMENTO!$AF$7)*OFFSET(ORÇAMENTO!$W$15,ROW(AM494)-ROW(AM$15),0),15-13*ORÇAMENTO!$AF$11)),
         0)</f>
        <v>0</v>
      </c>
      <c r="AN494" s="453">
        <f ca="1">IF(AND($D494="Serviço",AN$12&lt;&gt;0,$H494&gt;0,OR(AUTOEVENTO&lt;&gt;"manual",$M494&lt;&gt;$A$15)),
        IF(Import.TipoArredondamento&lt;&gt;"TransfereGOV",
              ROUND(OFFSET($P494,0,AN$13),15-13*ORÇAMENTO!$AF$7)/$H494*OFFSET(ORÇAMENTO!$X$15,ROW(AN494)-ROW(AN$15),0),
              ROUND(ROUND(OFFSET($P494,0,AN$13),15-13*ORÇAMENTO!$AF$7)*OFFSET(ORÇAMENTO!$W$15,ROW(AN494)-ROW(AN$15),0),15-13*ORÇAMENTO!$AF$11)),
         0)</f>
        <v>0</v>
      </c>
      <c r="AO494" s="453">
        <f ca="1">IF(AND($D494="Serviço",AO$12&lt;&gt;0,$H494&gt;0,OR(AUTOEVENTO&lt;&gt;"manual",$M494&lt;&gt;$A$15)),
        IF(Import.TipoArredondamento&lt;&gt;"TransfereGOV",
              ROUND(OFFSET($P494,0,AO$13),15-13*ORÇAMENTO!$AF$7)/$H494*OFFSET(ORÇAMENTO!$X$15,ROW(AO494)-ROW(AO$15),0),
              ROUND(ROUND(OFFSET($P494,0,AO$13),15-13*ORÇAMENTO!$AF$7)*OFFSET(ORÇAMENTO!$W$15,ROW(AO494)-ROW(AO$15),0),15-13*ORÇAMENTO!$AF$11)),
         0)</f>
        <v>0</v>
      </c>
      <c r="AP494" s="453">
        <f ca="1">IF(AND($D494="Serviço",AP$12&lt;&gt;0,$H494&gt;0,OR(AUTOEVENTO&lt;&gt;"manual",$M494&lt;&gt;$A$15)),
        IF(Import.TipoArredondamento&lt;&gt;"TransfereGOV",
              ROUND(OFFSET($P494,0,AP$13),15-13*ORÇAMENTO!$AF$7)/$H494*OFFSET(ORÇAMENTO!$X$15,ROW(AP494)-ROW(AP$15),0),
              ROUND(ROUND(OFFSET($P494,0,AP$13),15-13*ORÇAMENTO!$AF$7)*OFFSET(ORÇAMENTO!$W$15,ROW(AP494)-ROW(AP$15),0),15-13*ORÇAMENTO!$AF$11)),
         0)</f>
        <v>0</v>
      </c>
      <c r="AQ494" s="453">
        <f ca="1">IF(AND($D494="Serviço",AQ$12&lt;&gt;0,$H494&gt;0,OR(AUTOEVENTO&lt;&gt;"manual",$M494&lt;&gt;$A$15)),
        IF(Import.TipoArredondamento&lt;&gt;"TransfereGOV",
              ROUND(OFFSET($P494,0,AQ$13),15-13*ORÇAMENTO!$AF$7)/$H494*OFFSET(ORÇAMENTO!$X$15,ROW(AQ494)-ROW(AQ$15),0),
              ROUND(ROUND(OFFSET($P494,0,AQ$13),15-13*ORÇAMENTO!$AF$7)*OFFSET(ORÇAMENTO!$W$15,ROW(AQ494)-ROW(AQ$15),0),15-13*ORÇAMENTO!$AF$11)),
         0)</f>
        <v>0</v>
      </c>
      <c r="AR494" s="453">
        <f ca="1">IF(AND($D494="Serviço",AR$12&lt;&gt;0,$H494&gt;0,OR(AUTOEVENTO&lt;&gt;"manual",$M494&lt;&gt;$A$15)),
        IF(Import.TipoArredondamento&lt;&gt;"TransfereGOV",
              ROUND(OFFSET($P494,0,AR$13),15-13*ORÇAMENTO!$AF$7)/$H494*OFFSET(ORÇAMENTO!$X$15,ROW(AR494)-ROW(AR$15),0),
              ROUND(ROUND(OFFSET($P494,0,AR$13),15-13*ORÇAMENTO!$AF$7)*OFFSET(ORÇAMENTO!$W$15,ROW(AR494)-ROW(AR$15),0),15-13*ORÇAMENTO!$AF$11)),
         0)</f>
        <v>0</v>
      </c>
      <c r="AS494" s="453">
        <f ca="1">IF(AND($D494="Serviço",AS$12&lt;&gt;0,$H494&gt;0,OR(AUTOEVENTO&lt;&gt;"manual",$M494&lt;&gt;$A$15)),
        IF(Import.TipoArredondamento&lt;&gt;"TransfereGOV",
              ROUND(OFFSET($P494,0,AS$13),15-13*ORÇAMENTO!$AF$7)/$H494*OFFSET(ORÇAMENTO!$X$15,ROW(AS494)-ROW(AS$15),0),
              ROUND(ROUND(OFFSET($P494,0,AS$13),15-13*ORÇAMENTO!$AF$7)*OFFSET(ORÇAMENTO!$W$15,ROW(AS494)-ROW(AS$15),0),15-13*ORÇAMENTO!$AF$11)),
         0)</f>
        <v>0</v>
      </c>
      <c r="AT494" s="453">
        <f ca="1">IF(AND($D494="Serviço",AT$12&lt;&gt;0,$H494&gt;0,OR(AUTOEVENTO&lt;&gt;"manual",$M494&lt;&gt;$A$15)),
        IF(Import.TipoArredondamento&lt;&gt;"TransfereGOV",
              ROUND(OFFSET($P494,0,AT$13),15-13*ORÇAMENTO!$AF$7)/$H494*OFFSET(ORÇAMENTO!$X$15,ROW(AT494)-ROW(AT$15),0),
              ROUND(ROUND(OFFSET($P494,0,AT$13),15-13*ORÇAMENTO!$AF$7)*OFFSET(ORÇAMENTO!$W$15,ROW(AT494)-ROW(AT$15),0),15-13*ORÇAMENTO!$AF$11)),
         0)</f>
        <v>0</v>
      </c>
      <c r="AU494" s="453">
        <f ca="1">IF(AND($D494="Serviço",AU$12&lt;&gt;0,$H494&gt;0,OR(AUTOEVENTO&lt;&gt;"manual",$M494&lt;&gt;$A$15)),
        IF(Import.TipoArredondamento&lt;&gt;"TransfereGOV",
              ROUND(OFFSET($P494,0,AU$13),15-13*ORÇAMENTO!$AF$7)/$H494*OFFSET(ORÇAMENTO!$X$15,ROW(AU494)-ROW(AU$15),0),
              ROUND(ROUND(OFFSET($P494,0,AU$13),15-13*ORÇAMENTO!$AF$7)*OFFSET(ORÇAMENTO!$W$15,ROW(AU494)-ROW(AU$15),0),15-13*ORÇAMENTO!$AF$11)),
         0)</f>
        <v>0</v>
      </c>
      <c r="AV494" s="453">
        <f ca="1">IF(AND($D494="Serviço",AV$12&lt;&gt;0,$H494&gt;0,OR(AUTOEVENTO&lt;&gt;"manual",$M494&lt;&gt;$A$15)),
        IF(Import.TipoArredondamento&lt;&gt;"TransfereGOV",
              ROUND(OFFSET($P494,0,AV$13),15-13*ORÇAMENTO!$AF$7)/$H494*OFFSET(ORÇAMENTO!$X$15,ROW(AV494)-ROW(AV$15),0),
              ROUND(ROUND(OFFSET($P494,0,AV$13),15-13*ORÇAMENTO!$AF$7)*OFFSET(ORÇAMENTO!$W$15,ROW(AV494)-ROW(AV$15),0),15-13*ORÇAMENTO!$AF$11)),
         0)</f>
        <v>0</v>
      </c>
      <c r="AW494" s="453">
        <f ca="1">IF(AND($D494="Serviço",AW$12&lt;&gt;0,$H494&gt;0,OR(AUTOEVENTO&lt;&gt;"manual",$M494&lt;&gt;$A$15)),
        IF(Import.TipoArredondamento&lt;&gt;"TransfereGOV",
              ROUND(OFFSET($P494,0,AW$13),15-13*ORÇAMENTO!$AF$7)/$H494*OFFSET(ORÇAMENTO!$X$15,ROW(AW494)-ROW(AW$15),0),
              ROUND(ROUND(OFFSET($P494,0,AW$13),15-13*ORÇAMENTO!$AF$7)*OFFSET(ORÇAMENTO!$W$15,ROW(AW494)-ROW(AW$15),0),15-13*ORÇAMENTO!$AF$11)),
         0)</f>
        <v>0</v>
      </c>
      <c r="AX494" s="453">
        <f ca="1">IF(AND($D494="Serviço",AX$12&lt;&gt;0,$H494&gt;0,OR(AUTOEVENTO&lt;&gt;"manual",$M494&lt;&gt;$A$15)),
        IF(Import.TipoArredondamento&lt;&gt;"TransfereGOV",
              ROUND(OFFSET($P494,0,AX$13),15-13*ORÇAMENTO!$AF$7)/$H494*OFFSET(ORÇAMENTO!$X$15,ROW(AX494)-ROW(AX$15),0),
              ROUND(ROUND(OFFSET($P494,0,AX$13),15-13*ORÇAMENTO!$AF$7)*OFFSET(ORÇAMENTO!$W$15,ROW(AX494)-ROW(AX$15),0),15-13*ORÇAMENTO!$AF$11)),
         0)</f>
        <v>0</v>
      </c>
      <c r="AY494" s="453">
        <f ca="1">IF(AND($D494="Serviço",AY$12&lt;&gt;0,$H494&gt;0,OR(AUTOEVENTO&lt;&gt;"manual",$M494&lt;&gt;$A$15)),
        IF(Import.TipoArredondamento&lt;&gt;"TransfereGOV",
              ROUND(OFFSET($P494,0,AY$13),15-13*ORÇAMENTO!$AF$7)/$H494*OFFSET(ORÇAMENTO!$X$15,ROW(AY494)-ROW(AY$15),0),
              ROUND(ROUND(OFFSET($P494,0,AY$13),15-13*ORÇAMENTO!$AF$7)*OFFSET(ORÇAMENTO!$W$15,ROW(AY494)-ROW(AY$15),0),15-13*ORÇAMENTO!$AF$11)),
         0)</f>
        <v>0</v>
      </c>
      <c r="AZ494" s="453">
        <f ca="1">IF(AND($D494="Serviço",AZ$12&lt;&gt;0,$H494&gt;0,OR(AUTOEVENTO&lt;&gt;"manual",$M494&lt;&gt;$A$15)),
        IF(Import.TipoArredondamento&lt;&gt;"TransfereGOV",
              ROUND(OFFSET($P494,0,AZ$13),15-13*ORÇAMENTO!$AF$7)/$H494*OFFSET(ORÇAMENTO!$X$15,ROW(AZ494)-ROW(AZ$15),0),
              ROUND(ROUND(OFFSET($P494,0,AZ$13),15-13*ORÇAMENTO!$AF$7)*OFFSET(ORÇAMENTO!$W$15,ROW(AZ494)-ROW(AZ$15),0),15-13*ORÇAMENTO!$AF$11)),
         0)</f>
        <v>0</v>
      </c>
      <c r="BA494" s="453">
        <f ca="1">IF(AND($D494="Serviço",BA$12&lt;&gt;0,$H494&gt;0,OR(AUTOEVENTO&lt;&gt;"manual",$M494&lt;&gt;$A$15)),
        IF(Import.TipoArredondamento&lt;&gt;"TransfereGOV",
              ROUND(OFFSET($P494,0,BA$13),15-13*ORÇAMENTO!$AF$7)/$H494*OFFSET(ORÇAMENTO!$X$15,ROW(BA494)-ROW(BA$15),0),
              ROUND(ROUND(OFFSET($P494,0,BA$13),15-13*ORÇAMENTO!$AF$7)*OFFSET(ORÇAMENTO!$W$15,ROW(BA494)-ROW(BA$15),0),15-13*ORÇAMENTO!$AF$11)),
         0)</f>
        <v>0</v>
      </c>
      <c r="BC494" s="171">
        <f ca="1">IF(OR($D494&lt;&gt;"Serviço",AND(AUTOEVENTO="Manual",$M494=$A$15)),0,
         IF(OFFSET(CRONOPLE!$F$15,$M494-$A$15,BC$13)=0,10^12,OFFSET(CRONOPLE!$F$15,$M494-$A$15,BC$13)))</f>
        <v>1000000000000</v>
      </c>
      <c r="BD494" s="171">
        <f ca="1">IF(OR($D494&lt;&gt;"Serviço",AND(AUTOEVENTO="Manual",$M494=$A$15)),0,
         IF(OFFSET(CRONOPLE!$F$15,$M494-$A$15,BD$13)=0,10^12,OFFSET(CRONOPLE!$F$15,$M494-$A$15,BD$13)))</f>
        <v>1000000000000</v>
      </c>
      <c r="BE494" s="171">
        <f ca="1">IF(OR($D494&lt;&gt;"Serviço",AND(AUTOEVENTO="Manual",$M494=$A$15)),0,
         IF(OFFSET(CRONOPLE!$F$15,$M494-$A$15,BE$13)=0,10^12,OFFSET(CRONOPLE!$F$15,$M494-$A$15,BE$13)))</f>
        <v>1000000000000</v>
      </c>
      <c r="BF494" s="171">
        <f ca="1">IF(OR($D494&lt;&gt;"Serviço",AND(AUTOEVENTO="Manual",$M494=$A$15)),0,
         IF(OFFSET(CRONOPLE!$F$15,$M494-$A$15,BF$13)=0,10^12,OFFSET(CRONOPLE!$F$15,$M494-$A$15,BF$13)))</f>
        <v>1000000000000</v>
      </c>
      <c r="BG494" s="171">
        <f ca="1">IF(OR($D494&lt;&gt;"Serviço",AND(AUTOEVENTO="Manual",$M494=$A$15)),0,
         IF(OFFSET(CRONOPLE!$F$15,$M494-$A$15,BG$13)=0,10^12,OFFSET(CRONOPLE!$F$15,$M494-$A$15,BG$13)))</f>
        <v>1000000000000</v>
      </c>
      <c r="BH494" s="171">
        <f ca="1">IF(OR($D494&lt;&gt;"Serviço",AND(AUTOEVENTO="Manual",$M494=$A$15)),0,
         IF(OFFSET(CRONOPLE!$F$15,$M494-$A$15,BH$13)=0,10^12,OFFSET(CRONOPLE!$F$15,$M494-$A$15,BH$13)))</f>
        <v>1000000000000</v>
      </c>
      <c r="BI494" s="171">
        <f ca="1">IF(OR($D494&lt;&gt;"Serviço",AND(AUTOEVENTO="Manual",$M494=$A$15)),0,
         IF(OFFSET(CRONOPLE!$F$15,$M494-$A$15,BI$13)=0,10^12,OFFSET(CRONOPLE!$F$15,$M494-$A$15,BI$13)))</f>
        <v>1000000000000</v>
      </c>
      <c r="BJ494" s="171">
        <f ca="1">IF(OR($D494&lt;&gt;"Serviço",AND(AUTOEVENTO="Manual",$M494=$A$15)),0,
         IF(OFFSET(CRONOPLE!$F$15,$M494-$A$15,BJ$13)=0,10^12,OFFSET(CRONOPLE!$F$15,$M494-$A$15,BJ$13)))</f>
        <v>1000000000000</v>
      </c>
      <c r="BK494" s="171">
        <f ca="1">IF(OR($D494&lt;&gt;"Serviço",AND(AUTOEVENTO="Manual",$M494=$A$15)),0,
         IF(OFFSET(CRONOPLE!$F$15,$M494-$A$15,BK$13)=0,10^12,OFFSET(CRONOPLE!$F$15,$M494-$A$15,BK$13)))</f>
        <v>9</v>
      </c>
      <c r="BL494" s="171">
        <f ca="1">IF(OR($D494&lt;&gt;"Serviço",AND(AUTOEVENTO="Manual",$M494=$A$15)),0,
         IF(OFFSET(CRONOPLE!$F$15,$M494-$A$15,BL$13)=0,10^12,OFFSET(CRONOPLE!$F$15,$M494-$A$15,BL$13)))</f>
        <v>10</v>
      </c>
      <c r="BM494" s="171">
        <f ca="1">IF(OR($D494&lt;&gt;"Serviço",AND(AUTOEVENTO="Manual",$M494=$A$15)),0,
         IF(OFFSET(CRONOPLE!$F$15,$M494-$A$15,BM$13)=0,10^12,OFFSET(CRONOPLE!$F$15,$M494-$A$15,BM$13)))</f>
        <v>1000000000000</v>
      </c>
      <c r="BN494" s="171">
        <f ca="1">IF(OR($D494&lt;&gt;"Serviço",AND(AUTOEVENTO="Manual",$M494=$A$15)),0,
         IF(OFFSET(CRONOPLE!$F$15,$M494-$A$15,BN$13)=0,10^12,OFFSET(CRONOPLE!$F$15,$M494-$A$15,BN$13)))</f>
        <v>1000000000000</v>
      </c>
      <c r="BO494" s="171">
        <f ca="1">IF(OR($D494&lt;&gt;"Serviço",AND(AUTOEVENTO="Manual",$M494=$A$15)),0,
         IF(OFFSET(CRONOPLE!$F$15,$M494-$A$15,BO$13)=0,10^12,OFFSET(CRONOPLE!$F$15,$M494-$A$15,BO$13)))</f>
        <v>1000000000000</v>
      </c>
      <c r="BP494" s="171">
        <f ca="1">IF(OR($D494&lt;&gt;"Serviço",AND(AUTOEVENTO="Manual",$M494=$A$15)),0,
         IF(OFFSET(CRONOPLE!$F$15,$M494-$A$15,BP$13)=0,10^12,OFFSET(CRONOPLE!$F$15,$M494-$A$15,BP$13)))</f>
        <v>1000000000000</v>
      </c>
      <c r="BQ494" s="171">
        <f ca="1">IF(OR($D494&lt;&gt;"Serviço",AND(AUTOEVENTO="Manual",$M494=$A$15)),0,
         IF(OFFSET(CRONOPLE!$F$15,$M494-$A$15,BQ$13)=0,10^12,OFFSET(CRONOPLE!$F$15,$M494-$A$15,BQ$13)))</f>
        <v>1000000000000</v>
      </c>
      <c r="BR494" s="171">
        <f ca="1">IF(OR($D494&lt;&gt;"Serviço",AND(AUTOEVENTO="Manual",$M494=$A$15)),0,
         IF(OFFSET(CRONOPLE!$F$15,$M494-$A$15,BR$13)=0,10^12,OFFSET(CRONOPLE!$F$15,$M494-$A$15,BR$13)))</f>
        <v>1000000000000</v>
      </c>
      <c r="BS494" s="171">
        <f ca="1">IF(OR($D494&lt;&gt;"Serviço",AND(AUTOEVENTO="Manual",$M494=$A$15)),0,
         IF(OFFSET(CRONOPLE!$F$15,$M494-$A$15,BS$13)=0,10^12,OFFSET(CRONOPLE!$F$15,$M494-$A$15,BS$13)))</f>
        <v>1000000000000</v>
      </c>
      <c r="BT494" s="171">
        <f ca="1">IF(OR($D494&lt;&gt;"Serviço",AND(AUTOEVENTO="Manual",$M494=$A$15)),0,
         IF(OFFSET(CRONOPLE!$F$15,$M494-$A$15,BT$13)=0,10^12,OFFSET(CRONOPLE!$F$15,$M494-$A$15,BT$13)))</f>
        <v>1000000000000</v>
      </c>
      <c r="BV494" s="172">
        <f ca="1">IF(OR($D494&lt;&gt;"Serviço",AND(AUTOEVENTO="Manual",$M494=$A$15),$M494&gt;(ROW(PLE.lastrow)-ROW(PLE.firstrow))),0,
           IF(OFFSET(PLE!$G$15,$M494-$A$15,BV$13)="",10^12,OFFSET(PLE!$G$15,$M494-$A$15,BV$13)))</f>
        <v>1000000000000</v>
      </c>
      <c r="BW494" s="172">
        <f ca="1">IF(OR($D494&lt;&gt;"Serviço",AND(AUTOEVENTO="Manual",$M494=$A$15),$M494&gt;(ROW(PLE.lastrow)-ROW(PLE.firstrow))),0,
           IF(OFFSET(PLE!$G$15,$M494-$A$15,BW$13)="",10^12,OFFSET(PLE!$G$15,$M494-$A$15,BW$13)))</f>
        <v>1000000000000</v>
      </c>
      <c r="BX494" s="172">
        <f ca="1">IF(OR($D494&lt;&gt;"Serviço",AND(AUTOEVENTO="Manual",$M494=$A$15),$M494&gt;(ROW(PLE.lastrow)-ROW(PLE.firstrow))),0,
           IF(OFFSET(PLE!$G$15,$M494-$A$15,BX$13)="",10^12,OFFSET(PLE!$G$15,$M494-$A$15,BX$13)))</f>
        <v>1000000000000</v>
      </c>
      <c r="BY494" s="172">
        <f ca="1">IF(OR($D494&lt;&gt;"Serviço",AND(AUTOEVENTO="Manual",$M494=$A$15),$M494&gt;(ROW(PLE.lastrow)-ROW(PLE.firstrow))),0,
           IF(OFFSET(PLE!$G$15,$M494-$A$15,BY$13)="",10^12,OFFSET(PLE!$G$15,$M494-$A$15,BY$13)))</f>
        <v>1000000000000</v>
      </c>
      <c r="BZ494" s="172">
        <f ca="1">IF(OR($D494&lt;&gt;"Serviço",AND(AUTOEVENTO="Manual",$M494=$A$15),$M494&gt;(ROW(PLE.lastrow)-ROW(PLE.firstrow))),0,
           IF(OFFSET(PLE!$G$15,$M494-$A$15,BZ$13)="",10^12,OFFSET(PLE!$G$15,$M494-$A$15,BZ$13)))</f>
        <v>1000000000000</v>
      </c>
      <c r="CA494" s="172">
        <f ca="1">IF(OR($D494&lt;&gt;"Serviço",AND(AUTOEVENTO="Manual",$M494=$A$15),$M494&gt;(ROW(PLE.lastrow)-ROW(PLE.firstrow))),0,
           IF(OFFSET(PLE!$G$15,$M494-$A$15,CA$13)="",10^12,OFFSET(PLE!$G$15,$M494-$A$15,CA$13)))</f>
        <v>1000000000000</v>
      </c>
      <c r="CB494" s="172">
        <f ca="1">IF(OR($D494&lt;&gt;"Serviço",AND(AUTOEVENTO="Manual",$M494=$A$15),$M494&gt;(ROW(PLE.lastrow)-ROW(PLE.firstrow))),0,
           IF(OFFSET(PLE!$G$15,$M494-$A$15,CB$13)="",10^12,OFFSET(PLE!$G$15,$M494-$A$15,CB$13)))</f>
        <v>1000000000000</v>
      </c>
      <c r="CC494" s="172">
        <f ca="1">IF(OR($D494&lt;&gt;"Serviço",AND(AUTOEVENTO="Manual",$M494=$A$15),$M494&gt;(ROW(PLE.lastrow)-ROW(PLE.firstrow))),0,
           IF(OFFSET(PLE!$G$15,$M494-$A$15,CC$13)="",10^12,OFFSET(PLE!$G$15,$M494-$A$15,CC$13)))</f>
        <v>1000000000000</v>
      </c>
      <c r="CD494" s="172">
        <f ca="1">IF(OR($D494&lt;&gt;"Serviço",AND(AUTOEVENTO="Manual",$M494=$A$15),$M494&gt;(ROW(PLE.lastrow)-ROW(PLE.firstrow))),0,
           IF(OFFSET(PLE!$G$15,$M494-$A$15,CD$13)="",10^12,OFFSET(PLE!$G$15,$M494-$A$15,CD$13)))</f>
        <v>1000000000000</v>
      </c>
      <c r="CE494" s="172">
        <f ca="1">IF(OR($D494&lt;&gt;"Serviço",AND(AUTOEVENTO="Manual",$M494=$A$15),$M494&gt;(ROW(PLE.lastrow)-ROW(PLE.firstrow))),0,
           IF(OFFSET(PLE!$G$15,$M494-$A$15,CE$13)="",10^12,OFFSET(PLE!$G$15,$M494-$A$15,CE$13)))</f>
        <v>1000000000000</v>
      </c>
      <c r="CF494" s="172">
        <f ca="1">IF(OR($D494&lt;&gt;"Serviço",AND(AUTOEVENTO="Manual",$M494=$A$15),$M494&gt;(ROW(PLE.lastrow)-ROW(PLE.firstrow))),0,
           IF(OFFSET(PLE!$G$15,$M494-$A$15,CF$13)="",10^12,OFFSET(PLE!$G$15,$M494-$A$15,CF$13)))</f>
        <v>1000000000000</v>
      </c>
      <c r="CG494" s="172">
        <f ca="1">IF(OR($D494&lt;&gt;"Serviço",AND(AUTOEVENTO="Manual",$M494=$A$15),$M494&gt;(ROW(PLE.lastrow)-ROW(PLE.firstrow))),0,
           IF(OFFSET(PLE!$G$15,$M494-$A$15,CG$13)="",10^12,OFFSET(PLE!$G$15,$M494-$A$15,CG$13)))</f>
        <v>1000000000000</v>
      </c>
      <c r="CH494" s="172">
        <f ca="1">IF(OR($D494&lt;&gt;"Serviço",AND(AUTOEVENTO="Manual",$M494=$A$15),$M494&gt;(ROW(PLE.lastrow)-ROW(PLE.firstrow))),0,
           IF(OFFSET(PLE!$G$15,$M494-$A$15,CH$13)="",10^12,OFFSET(PLE!$G$15,$M494-$A$15,CH$13)))</f>
        <v>1000000000000</v>
      </c>
      <c r="CI494" s="172">
        <f ca="1">IF(OR($D494&lt;&gt;"Serviço",AND(AUTOEVENTO="Manual",$M494=$A$15),$M494&gt;(ROW(PLE.lastrow)-ROW(PLE.firstrow))),0,
           IF(OFFSET(PLE!$G$15,$M494-$A$15,CI$13)="",10^12,OFFSET(PLE!$G$15,$M494-$A$15,CI$13)))</f>
        <v>1000000000000</v>
      </c>
      <c r="CJ494" s="172">
        <f ca="1">IF(OR($D494&lt;&gt;"Serviço",AND(AUTOEVENTO="Manual",$M494=$A$15),$M494&gt;(ROW(PLE.lastrow)-ROW(PLE.firstrow))),0,
           IF(OFFSET(PLE!$G$15,$M494-$A$15,CJ$13)="",10^12,OFFSET(PLE!$G$15,$M494-$A$15,CJ$13)))</f>
        <v>1000000000000</v>
      </c>
      <c r="CK494" s="172">
        <f ca="1">IF(OR($D494&lt;&gt;"Serviço",AND(AUTOEVENTO="Manual",$M494=$A$15),$M494&gt;(ROW(PLE.lastrow)-ROW(PLE.firstrow))),0,
           IF(OFFSET(PLE!$G$15,$M494-$A$15,CK$13)="",10^12,OFFSET(PLE!$G$15,$M494-$A$15,CK$13)))</f>
        <v>1000000000000</v>
      </c>
      <c r="CL494" s="172">
        <f ca="1">IF(OR($D494&lt;&gt;"Serviço",AND(AUTOEVENTO="Manual",$M494=$A$15),$M494&gt;(ROW(PLE.lastrow)-ROW(PLE.firstrow))),0,
           IF(OFFSET(PLE!$G$15,$M494-$A$15,CL$13)="",10^12,OFFSET(PLE!$G$15,$M494-$A$15,CL$13)))</f>
        <v>1000000000000</v>
      </c>
      <c r="CM494" s="172">
        <f ca="1">IF(OR($D494&lt;&gt;"Serviço",AND(AUTOEVENTO="Manual",$M494=$A$15),$M494&gt;(ROW(PLE.lastrow)-ROW(PLE.firstrow))),0,
           IF(OFFSET(PLE!$G$15,$M494-$A$15,CM$13)="",10^12,OFFSET(PLE!$G$15,$M494-$A$15,CM$13)))</f>
        <v>1000000000000</v>
      </c>
    </row>
    <row r="495" spans="1:91" ht="178.5" x14ac:dyDescent="0.2">
      <c r="A495" s="7">
        <f t="shared" ca="1" si="17"/>
        <v>9</v>
      </c>
      <c r="B495" s="7" t="str">
        <f ca="1">OFFSET(ORÇAMENTO!C$15,ROW(B495)-ROW(B$15),0)</f>
        <v>S</v>
      </c>
      <c r="C495" s="7" t="str">
        <f ca="1">OFFSET(ORÇAMENTO!L$15,ROW(C495)-ROW(C$15),0)</f>
        <v>F</v>
      </c>
      <c r="D495" s="116" t="str">
        <f ca="1">OFFSET(ORÇAMENTO!N$15,ROW(D495)-ROW(D$15),0)</f>
        <v>Serviço</v>
      </c>
      <c r="E495" s="117" t="str">
        <f ca="1">OFFSET(ORÇAMENTO!O$15,ROW(E495)-ROW(E$15),0)</f>
        <v>1.10.5.0.3.</v>
      </c>
      <c r="F495" s="163" t="str">
        <f ca="1">OFFSET(ORÇAMENTO!R$15,ROW(F495)-ROW(F$15),0)</f>
        <v>CAMADA SEPARADORA PARA EXECUÇÃO DE RADIER, PISO DE CONCRETO OU LAJE SOBRE SOLO, EM LONA PLÁSTICA. AF_09/2021</v>
      </c>
      <c r="G495" s="164" t="str">
        <f ca="1">IF($D495&lt;&gt;"Serviço","",OFFSET(ORÇAMENTO!S$15,ROW(G495)-ROW(G$15),0))</f>
        <v>M2</v>
      </c>
      <c r="H495" s="122" cm="1">
        <f t="array" aca="1" ref="H495" ca="1">IF($D495&lt;&gt;"Serviço",0,IF(ACOMPANHAMENTO="BM",ROUND(OFFSET(ORÇAMENTO!AJ$15,ROW(H495)-ROW(H$15),0),15-13*ORÇAMENTO!$AF$7),SUMPRODUCT(($Q$1:$AI$1=1)*ROUND($Q495:$AI495,15-13*ORÇAMENTO!$AF$7))))</f>
        <v>192.42</v>
      </c>
      <c r="I495" s="468" t="s">
        <v>1405</v>
      </c>
      <c r="J495" s="640" t="str" cm="1">
        <f t="array" aca="1" ref="J495" ca="1">IF(OR(B495&lt;&gt;"S",CÁLCULO.FrentesPreenchidas=0),"",IF(AND(ACOMPANHAMENTO="PLE",AUTOEVENTO="Manual",OR(H495&gt;0,ORÇAMENTO!AC495="QUANT."),OR(K495="",M495=0,N495="")),"►E",IF(AND(ACOMPANHAMENTO="PLE",ORÇAMENTO!AC495="QUANT."),"►Q",IF(AND(ACOMPANHAMENTO="PLE",H495&lt;&gt;SUMPRODUCT(($Q$1:$AI$1=1)*ROUND(Q495:AI495,15))),"►S",IF(AND(COUNTIF($P$11:$AI$11,"▼")=0,H495&gt;0,I495=""),"◄M","")))))</f>
        <v/>
      </c>
      <c r="K495" s="641" t="s">
        <v>1393</v>
      </c>
      <c r="L495" s="165" t="s">
        <v>764</v>
      </c>
      <c r="M495" s="166">
        <f ca="1">IF($D495&lt;&gt;"Serviço","",
          IF(AUTOEVENTO="manual",$A495,
                IF(ISERROR(MATCH($A495,$A$15:OFFSET($A495,-1,0),0)),MAX($M$15:OFFSET(M495,-1,0))+1,
                      INDEX($M$15:OFFSET(M495,-1,0),MATCH($A495,$A$15:OFFSET($A495,-1,0),0)))))</f>
        <v>9</v>
      </c>
      <c r="N495" s="167" t="str">
        <f ca="1">IF($D495&lt;&gt;"Serviço","",
         IF(AUTOEVENTO="Manual",
                IF($A495=0,"&lt;-- defina o número do agrupador",
                       OFFSET(EVENTOS!$D$15,$A495-$A$15,0)),
                OFFSET($F$15,$A495,0)))</f>
        <v>Arquitetura</v>
      </c>
      <c r="O495" s="168"/>
      <c r="Q495" s="168"/>
      <c r="R495" s="169"/>
      <c r="S495" s="169"/>
      <c r="T495" s="169"/>
      <c r="U495" s="169"/>
      <c r="V495" s="169"/>
      <c r="W495" s="169"/>
      <c r="X495" s="169"/>
      <c r="Y495" s="169"/>
      <c r="Z495" s="170">
        <f>Z493</f>
        <v>192.42</v>
      </c>
      <c r="AA495" s="169"/>
      <c r="AB495" s="169"/>
      <c r="AC495" s="169"/>
      <c r="AD495" s="169"/>
      <c r="AE495" s="169"/>
      <c r="AF495" s="169"/>
      <c r="AG495" s="169"/>
      <c r="AH495" s="170"/>
      <c r="AJ495" s="453">
        <f ca="1">IF(AND($D495="Serviço",AJ$12&lt;&gt;0,$H495&gt;0,OR(AUTOEVENTO&lt;&gt;"manual",$M495&lt;&gt;$A$15)),
        IF(Import.TipoArredondamento&lt;&gt;"TransfereGOV",
              ROUND(OFFSET($P495,0,AJ$13),15-13*ORÇAMENTO!$AF$7)/$H495*OFFSET(ORÇAMENTO!$X$15,ROW(AJ495)-ROW(AJ$15),0),
              ROUND(ROUND(OFFSET($P495,0,AJ$13),15-13*ORÇAMENTO!$AF$7)*OFFSET(ORÇAMENTO!$W$15,ROW(AJ495)-ROW(AJ$15),0),15-13*ORÇAMENTO!$AF$11)),
         0)</f>
        <v>0</v>
      </c>
      <c r="AK495" s="453">
        <f ca="1">IF(AND($D495="Serviço",AK$12&lt;&gt;0,$H495&gt;0,OR(AUTOEVENTO&lt;&gt;"manual",$M495&lt;&gt;$A$15)),
        IF(Import.TipoArredondamento&lt;&gt;"TransfereGOV",
              ROUND(OFFSET($P495,0,AK$13),15-13*ORÇAMENTO!$AF$7)/$H495*OFFSET(ORÇAMENTO!$X$15,ROW(AK495)-ROW(AK$15),0),
              ROUND(ROUND(OFFSET($P495,0,AK$13),15-13*ORÇAMENTO!$AF$7)*OFFSET(ORÇAMENTO!$W$15,ROW(AK495)-ROW(AK$15),0),15-13*ORÇAMENTO!$AF$11)),
         0)</f>
        <v>0</v>
      </c>
      <c r="AL495" s="453">
        <f ca="1">IF(AND($D495="Serviço",AL$12&lt;&gt;0,$H495&gt;0,OR(AUTOEVENTO&lt;&gt;"manual",$M495&lt;&gt;$A$15)),
        IF(Import.TipoArredondamento&lt;&gt;"TransfereGOV",
              ROUND(OFFSET($P495,0,AL$13),15-13*ORÇAMENTO!$AF$7)/$H495*OFFSET(ORÇAMENTO!$X$15,ROW(AL495)-ROW(AL$15),0),
              ROUND(ROUND(OFFSET($P495,0,AL$13),15-13*ORÇAMENTO!$AF$7)*OFFSET(ORÇAMENTO!$W$15,ROW(AL495)-ROW(AL$15),0),15-13*ORÇAMENTO!$AF$11)),
         0)</f>
        <v>0</v>
      </c>
      <c r="AM495" s="453">
        <f ca="1">IF(AND($D495="Serviço",AM$12&lt;&gt;0,$H495&gt;0,OR(AUTOEVENTO&lt;&gt;"manual",$M495&lt;&gt;$A$15)),
        IF(Import.TipoArredondamento&lt;&gt;"TransfereGOV",
              ROUND(OFFSET($P495,0,AM$13),15-13*ORÇAMENTO!$AF$7)/$H495*OFFSET(ORÇAMENTO!$X$15,ROW(AM495)-ROW(AM$15),0),
              ROUND(ROUND(OFFSET($P495,0,AM$13),15-13*ORÇAMENTO!$AF$7)*OFFSET(ORÇAMENTO!$W$15,ROW(AM495)-ROW(AM$15),0),15-13*ORÇAMENTO!$AF$11)),
         0)</f>
        <v>0</v>
      </c>
      <c r="AN495" s="453">
        <f ca="1">IF(AND($D495="Serviço",AN$12&lt;&gt;0,$H495&gt;0,OR(AUTOEVENTO&lt;&gt;"manual",$M495&lt;&gt;$A$15)),
        IF(Import.TipoArredondamento&lt;&gt;"TransfereGOV",
              ROUND(OFFSET($P495,0,AN$13),15-13*ORÇAMENTO!$AF$7)/$H495*OFFSET(ORÇAMENTO!$X$15,ROW(AN495)-ROW(AN$15),0),
              ROUND(ROUND(OFFSET($P495,0,AN$13),15-13*ORÇAMENTO!$AF$7)*OFFSET(ORÇAMENTO!$W$15,ROW(AN495)-ROW(AN$15),0),15-13*ORÇAMENTO!$AF$11)),
         0)</f>
        <v>0</v>
      </c>
      <c r="AO495" s="453">
        <f ca="1">IF(AND($D495="Serviço",AO$12&lt;&gt;0,$H495&gt;0,OR(AUTOEVENTO&lt;&gt;"manual",$M495&lt;&gt;$A$15)),
        IF(Import.TipoArredondamento&lt;&gt;"TransfereGOV",
              ROUND(OFFSET($P495,0,AO$13),15-13*ORÇAMENTO!$AF$7)/$H495*OFFSET(ORÇAMENTO!$X$15,ROW(AO495)-ROW(AO$15),0),
              ROUND(ROUND(OFFSET($P495,0,AO$13),15-13*ORÇAMENTO!$AF$7)*OFFSET(ORÇAMENTO!$W$15,ROW(AO495)-ROW(AO$15),0),15-13*ORÇAMENTO!$AF$11)),
         0)</f>
        <v>0</v>
      </c>
      <c r="AP495" s="453">
        <f ca="1">IF(AND($D495="Serviço",AP$12&lt;&gt;0,$H495&gt;0,OR(AUTOEVENTO&lt;&gt;"manual",$M495&lt;&gt;$A$15)),
        IF(Import.TipoArredondamento&lt;&gt;"TransfereGOV",
              ROUND(OFFSET($P495,0,AP$13),15-13*ORÇAMENTO!$AF$7)/$H495*OFFSET(ORÇAMENTO!$X$15,ROW(AP495)-ROW(AP$15),0),
              ROUND(ROUND(OFFSET($P495,0,AP$13),15-13*ORÇAMENTO!$AF$7)*OFFSET(ORÇAMENTO!$W$15,ROW(AP495)-ROW(AP$15),0),15-13*ORÇAMENTO!$AF$11)),
         0)</f>
        <v>0</v>
      </c>
      <c r="AQ495" s="453">
        <f ca="1">IF(AND($D495="Serviço",AQ$12&lt;&gt;0,$H495&gt;0,OR(AUTOEVENTO&lt;&gt;"manual",$M495&lt;&gt;$A$15)),
        IF(Import.TipoArredondamento&lt;&gt;"TransfereGOV",
              ROUND(OFFSET($P495,0,AQ$13),15-13*ORÇAMENTO!$AF$7)/$H495*OFFSET(ORÇAMENTO!$X$15,ROW(AQ495)-ROW(AQ$15),0),
              ROUND(ROUND(OFFSET($P495,0,AQ$13),15-13*ORÇAMENTO!$AF$7)*OFFSET(ORÇAMENTO!$W$15,ROW(AQ495)-ROW(AQ$15),0),15-13*ORÇAMENTO!$AF$11)),
         0)</f>
        <v>0</v>
      </c>
      <c r="AR495" s="453">
        <f ca="1">IF(AND($D495="Serviço",AR$12&lt;&gt;0,$H495&gt;0,OR(AUTOEVENTO&lt;&gt;"manual",$M495&lt;&gt;$A$15)),
        IF(Import.TipoArredondamento&lt;&gt;"TransfereGOV",
              ROUND(OFFSET($P495,0,AR$13),15-13*ORÇAMENTO!$AF$7)/$H495*OFFSET(ORÇAMENTO!$X$15,ROW(AR495)-ROW(AR$15),0),
              ROUND(ROUND(OFFSET($P495,0,AR$13),15-13*ORÇAMENTO!$AF$7)*OFFSET(ORÇAMENTO!$W$15,ROW(AR495)-ROW(AR$15),0),15-13*ORÇAMENTO!$AF$11)),
         0)</f>
        <v>0</v>
      </c>
      <c r="AS495" s="453">
        <f ca="1">IF(AND($D495="Serviço",AS$12&lt;&gt;0,$H495&gt;0,OR(AUTOEVENTO&lt;&gt;"manual",$M495&lt;&gt;$A$15)),
        IF(Import.TipoArredondamento&lt;&gt;"TransfereGOV",
              ROUND(OFFSET($P495,0,AS$13),15-13*ORÇAMENTO!$AF$7)/$H495*OFFSET(ORÇAMENTO!$X$15,ROW(AS495)-ROW(AS$15),0),
              ROUND(ROUND(OFFSET($P495,0,AS$13),15-13*ORÇAMENTO!$AF$7)*OFFSET(ORÇAMENTO!$W$15,ROW(AS495)-ROW(AS$15),0),15-13*ORÇAMENTO!$AF$11)),
         0)</f>
        <v>0</v>
      </c>
      <c r="AT495" s="453">
        <f ca="1">IF(AND($D495="Serviço",AT$12&lt;&gt;0,$H495&gt;0,OR(AUTOEVENTO&lt;&gt;"manual",$M495&lt;&gt;$A$15)),
        IF(Import.TipoArredondamento&lt;&gt;"TransfereGOV",
              ROUND(OFFSET($P495,0,AT$13),15-13*ORÇAMENTO!$AF$7)/$H495*OFFSET(ORÇAMENTO!$X$15,ROW(AT495)-ROW(AT$15),0),
              ROUND(ROUND(OFFSET($P495,0,AT$13),15-13*ORÇAMENTO!$AF$7)*OFFSET(ORÇAMENTO!$W$15,ROW(AT495)-ROW(AT$15),0),15-13*ORÇAMENTO!$AF$11)),
         0)</f>
        <v>0</v>
      </c>
      <c r="AU495" s="453">
        <f ca="1">IF(AND($D495="Serviço",AU$12&lt;&gt;0,$H495&gt;0,OR(AUTOEVENTO&lt;&gt;"manual",$M495&lt;&gt;$A$15)),
        IF(Import.TipoArredondamento&lt;&gt;"TransfereGOV",
              ROUND(OFFSET($P495,0,AU$13),15-13*ORÇAMENTO!$AF$7)/$H495*OFFSET(ORÇAMENTO!$X$15,ROW(AU495)-ROW(AU$15),0),
              ROUND(ROUND(OFFSET($P495,0,AU$13),15-13*ORÇAMENTO!$AF$7)*OFFSET(ORÇAMENTO!$W$15,ROW(AU495)-ROW(AU$15),0),15-13*ORÇAMENTO!$AF$11)),
         0)</f>
        <v>0</v>
      </c>
      <c r="AV495" s="453">
        <f ca="1">IF(AND($D495="Serviço",AV$12&lt;&gt;0,$H495&gt;0,OR(AUTOEVENTO&lt;&gt;"manual",$M495&lt;&gt;$A$15)),
        IF(Import.TipoArredondamento&lt;&gt;"TransfereGOV",
              ROUND(OFFSET($P495,0,AV$13),15-13*ORÇAMENTO!$AF$7)/$H495*OFFSET(ORÇAMENTO!$X$15,ROW(AV495)-ROW(AV$15),0),
              ROUND(ROUND(OFFSET($P495,0,AV$13),15-13*ORÇAMENTO!$AF$7)*OFFSET(ORÇAMENTO!$W$15,ROW(AV495)-ROW(AV$15),0),15-13*ORÇAMENTO!$AF$11)),
         0)</f>
        <v>0</v>
      </c>
      <c r="AW495" s="453">
        <f ca="1">IF(AND($D495="Serviço",AW$12&lt;&gt;0,$H495&gt;0,OR(AUTOEVENTO&lt;&gt;"manual",$M495&lt;&gt;$A$15)),
        IF(Import.TipoArredondamento&lt;&gt;"TransfereGOV",
              ROUND(OFFSET($P495,0,AW$13),15-13*ORÇAMENTO!$AF$7)/$H495*OFFSET(ORÇAMENTO!$X$15,ROW(AW495)-ROW(AW$15),0),
              ROUND(ROUND(OFFSET($P495,0,AW$13),15-13*ORÇAMENTO!$AF$7)*OFFSET(ORÇAMENTO!$W$15,ROW(AW495)-ROW(AW$15),0),15-13*ORÇAMENTO!$AF$11)),
         0)</f>
        <v>0</v>
      </c>
      <c r="AX495" s="453">
        <f ca="1">IF(AND($D495="Serviço",AX$12&lt;&gt;0,$H495&gt;0,OR(AUTOEVENTO&lt;&gt;"manual",$M495&lt;&gt;$A$15)),
        IF(Import.TipoArredondamento&lt;&gt;"TransfereGOV",
              ROUND(OFFSET($P495,0,AX$13),15-13*ORÇAMENTO!$AF$7)/$H495*OFFSET(ORÇAMENTO!$X$15,ROW(AX495)-ROW(AX$15),0),
              ROUND(ROUND(OFFSET($P495,0,AX$13),15-13*ORÇAMENTO!$AF$7)*OFFSET(ORÇAMENTO!$W$15,ROW(AX495)-ROW(AX$15),0),15-13*ORÇAMENTO!$AF$11)),
         0)</f>
        <v>0</v>
      </c>
      <c r="AY495" s="453">
        <f ca="1">IF(AND($D495="Serviço",AY$12&lt;&gt;0,$H495&gt;0,OR(AUTOEVENTO&lt;&gt;"manual",$M495&lt;&gt;$A$15)),
        IF(Import.TipoArredondamento&lt;&gt;"TransfereGOV",
              ROUND(OFFSET($P495,0,AY$13),15-13*ORÇAMENTO!$AF$7)/$H495*OFFSET(ORÇAMENTO!$X$15,ROW(AY495)-ROW(AY$15),0),
              ROUND(ROUND(OFFSET($P495,0,AY$13),15-13*ORÇAMENTO!$AF$7)*OFFSET(ORÇAMENTO!$W$15,ROW(AY495)-ROW(AY$15),0),15-13*ORÇAMENTO!$AF$11)),
         0)</f>
        <v>0</v>
      </c>
      <c r="AZ495" s="453">
        <f ca="1">IF(AND($D495="Serviço",AZ$12&lt;&gt;0,$H495&gt;0,OR(AUTOEVENTO&lt;&gt;"manual",$M495&lt;&gt;$A$15)),
        IF(Import.TipoArredondamento&lt;&gt;"TransfereGOV",
              ROUND(OFFSET($P495,0,AZ$13),15-13*ORÇAMENTO!$AF$7)/$H495*OFFSET(ORÇAMENTO!$X$15,ROW(AZ495)-ROW(AZ$15),0),
              ROUND(ROUND(OFFSET($P495,0,AZ$13),15-13*ORÇAMENTO!$AF$7)*OFFSET(ORÇAMENTO!$W$15,ROW(AZ495)-ROW(AZ$15),0),15-13*ORÇAMENTO!$AF$11)),
         0)</f>
        <v>0</v>
      </c>
      <c r="BA495" s="453">
        <f ca="1">IF(AND($D495="Serviço",BA$12&lt;&gt;0,$H495&gt;0,OR(AUTOEVENTO&lt;&gt;"manual",$M495&lt;&gt;$A$15)),
        IF(Import.TipoArredondamento&lt;&gt;"TransfereGOV",
              ROUND(OFFSET($P495,0,BA$13),15-13*ORÇAMENTO!$AF$7)/$H495*OFFSET(ORÇAMENTO!$X$15,ROW(BA495)-ROW(BA$15),0),
              ROUND(ROUND(OFFSET($P495,0,BA$13),15-13*ORÇAMENTO!$AF$7)*OFFSET(ORÇAMENTO!$W$15,ROW(BA495)-ROW(BA$15),0),15-13*ORÇAMENTO!$AF$11)),
         0)</f>
        <v>0</v>
      </c>
      <c r="BC495" s="171">
        <f ca="1">IF(OR($D495&lt;&gt;"Serviço",AND(AUTOEVENTO="Manual",$M495=$A$15)),0,
         IF(OFFSET(CRONOPLE!$F$15,$M495-$A$15,BC$13)=0,10^12,OFFSET(CRONOPLE!$F$15,$M495-$A$15,BC$13)))</f>
        <v>1000000000000</v>
      </c>
      <c r="BD495" s="171">
        <f ca="1">IF(OR($D495&lt;&gt;"Serviço",AND(AUTOEVENTO="Manual",$M495=$A$15)),0,
         IF(OFFSET(CRONOPLE!$F$15,$M495-$A$15,BD$13)=0,10^12,OFFSET(CRONOPLE!$F$15,$M495-$A$15,BD$13)))</f>
        <v>1000000000000</v>
      </c>
      <c r="BE495" s="171">
        <f ca="1">IF(OR($D495&lt;&gt;"Serviço",AND(AUTOEVENTO="Manual",$M495=$A$15)),0,
         IF(OFFSET(CRONOPLE!$F$15,$M495-$A$15,BE$13)=0,10^12,OFFSET(CRONOPLE!$F$15,$M495-$A$15,BE$13)))</f>
        <v>1000000000000</v>
      </c>
      <c r="BF495" s="171">
        <f ca="1">IF(OR($D495&lt;&gt;"Serviço",AND(AUTOEVENTO="Manual",$M495=$A$15)),0,
         IF(OFFSET(CRONOPLE!$F$15,$M495-$A$15,BF$13)=0,10^12,OFFSET(CRONOPLE!$F$15,$M495-$A$15,BF$13)))</f>
        <v>1000000000000</v>
      </c>
      <c r="BG495" s="171">
        <f ca="1">IF(OR($D495&lt;&gt;"Serviço",AND(AUTOEVENTO="Manual",$M495=$A$15)),0,
         IF(OFFSET(CRONOPLE!$F$15,$M495-$A$15,BG$13)=0,10^12,OFFSET(CRONOPLE!$F$15,$M495-$A$15,BG$13)))</f>
        <v>1000000000000</v>
      </c>
      <c r="BH495" s="171">
        <f ca="1">IF(OR($D495&lt;&gt;"Serviço",AND(AUTOEVENTO="Manual",$M495=$A$15)),0,
         IF(OFFSET(CRONOPLE!$F$15,$M495-$A$15,BH$13)=0,10^12,OFFSET(CRONOPLE!$F$15,$M495-$A$15,BH$13)))</f>
        <v>1000000000000</v>
      </c>
      <c r="BI495" s="171">
        <f ca="1">IF(OR($D495&lt;&gt;"Serviço",AND(AUTOEVENTO="Manual",$M495=$A$15)),0,
         IF(OFFSET(CRONOPLE!$F$15,$M495-$A$15,BI$13)=0,10^12,OFFSET(CRONOPLE!$F$15,$M495-$A$15,BI$13)))</f>
        <v>1000000000000</v>
      </c>
      <c r="BJ495" s="171">
        <f ca="1">IF(OR($D495&lt;&gt;"Serviço",AND(AUTOEVENTO="Manual",$M495=$A$15)),0,
         IF(OFFSET(CRONOPLE!$F$15,$M495-$A$15,BJ$13)=0,10^12,OFFSET(CRONOPLE!$F$15,$M495-$A$15,BJ$13)))</f>
        <v>1000000000000</v>
      </c>
      <c r="BK495" s="171">
        <f ca="1">IF(OR($D495&lt;&gt;"Serviço",AND(AUTOEVENTO="Manual",$M495=$A$15)),0,
         IF(OFFSET(CRONOPLE!$F$15,$M495-$A$15,BK$13)=0,10^12,OFFSET(CRONOPLE!$F$15,$M495-$A$15,BK$13)))</f>
        <v>9</v>
      </c>
      <c r="BL495" s="171">
        <f ca="1">IF(OR($D495&lt;&gt;"Serviço",AND(AUTOEVENTO="Manual",$M495=$A$15)),0,
         IF(OFFSET(CRONOPLE!$F$15,$M495-$A$15,BL$13)=0,10^12,OFFSET(CRONOPLE!$F$15,$M495-$A$15,BL$13)))</f>
        <v>10</v>
      </c>
      <c r="BM495" s="171">
        <f ca="1">IF(OR($D495&lt;&gt;"Serviço",AND(AUTOEVENTO="Manual",$M495=$A$15)),0,
         IF(OFFSET(CRONOPLE!$F$15,$M495-$A$15,BM$13)=0,10^12,OFFSET(CRONOPLE!$F$15,$M495-$A$15,BM$13)))</f>
        <v>1000000000000</v>
      </c>
      <c r="BN495" s="171">
        <f ca="1">IF(OR($D495&lt;&gt;"Serviço",AND(AUTOEVENTO="Manual",$M495=$A$15)),0,
         IF(OFFSET(CRONOPLE!$F$15,$M495-$A$15,BN$13)=0,10^12,OFFSET(CRONOPLE!$F$15,$M495-$A$15,BN$13)))</f>
        <v>1000000000000</v>
      </c>
      <c r="BO495" s="171">
        <f ca="1">IF(OR($D495&lt;&gt;"Serviço",AND(AUTOEVENTO="Manual",$M495=$A$15)),0,
         IF(OFFSET(CRONOPLE!$F$15,$M495-$A$15,BO$13)=0,10^12,OFFSET(CRONOPLE!$F$15,$M495-$A$15,BO$13)))</f>
        <v>1000000000000</v>
      </c>
      <c r="BP495" s="171">
        <f ca="1">IF(OR($D495&lt;&gt;"Serviço",AND(AUTOEVENTO="Manual",$M495=$A$15)),0,
         IF(OFFSET(CRONOPLE!$F$15,$M495-$A$15,BP$13)=0,10^12,OFFSET(CRONOPLE!$F$15,$M495-$A$15,BP$13)))</f>
        <v>1000000000000</v>
      </c>
      <c r="BQ495" s="171">
        <f ca="1">IF(OR($D495&lt;&gt;"Serviço",AND(AUTOEVENTO="Manual",$M495=$A$15)),0,
         IF(OFFSET(CRONOPLE!$F$15,$M495-$A$15,BQ$13)=0,10^12,OFFSET(CRONOPLE!$F$15,$M495-$A$15,BQ$13)))</f>
        <v>1000000000000</v>
      </c>
      <c r="BR495" s="171">
        <f ca="1">IF(OR($D495&lt;&gt;"Serviço",AND(AUTOEVENTO="Manual",$M495=$A$15)),0,
         IF(OFFSET(CRONOPLE!$F$15,$M495-$A$15,BR$13)=0,10^12,OFFSET(CRONOPLE!$F$15,$M495-$A$15,BR$13)))</f>
        <v>1000000000000</v>
      </c>
      <c r="BS495" s="171">
        <f ca="1">IF(OR($D495&lt;&gt;"Serviço",AND(AUTOEVENTO="Manual",$M495=$A$15)),0,
         IF(OFFSET(CRONOPLE!$F$15,$M495-$A$15,BS$13)=0,10^12,OFFSET(CRONOPLE!$F$15,$M495-$A$15,BS$13)))</f>
        <v>1000000000000</v>
      </c>
      <c r="BT495" s="171">
        <f ca="1">IF(OR($D495&lt;&gt;"Serviço",AND(AUTOEVENTO="Manual",$M495=$A$15)),0,
         IF(OFFSET(CRONOPLE!$F$15,$M495-$A$15,BT$13)=0,10^12,OFFSET(CRONOPLE!$F$15,$M495-$A$15,BT$13)))</f>
        <v>1000000000000</v>
      </c>
      <c r="BV495" s="172">
        <f ca="1">IF(OR($D495&lt;&gt;"Serviço",AND(AUTOEVENTO="Manual",$M495=$A$15),$M495&gt;(ROW(PLE.lastrow)-ROW(PLE.firstrow))),0,
           IF(OFFSET(PLE!$G$15,$M495-$A$15,BV$13)="",10^12,OFFSET(PLE!$G$15,$M495-$A$15,BV$13)))</f>
        <v>1000000000000</v>
      </c>
      <c r="BW495" s="172">
        <f ca="1">IF(OR($D495&lt;&gt;"Serviço",AND(AUTOEVENTO="Manual",$M495=$A$15),$M495&gt;(ROW(PLE.lastrow)-ROW(PLE.firstrow))),0,
           IF(OFFSET(PLE!$G$15,$M495-$A$15,BW$13)="",10^12,OFFSET(PLE!$G$15,$M495-$A$15,BW$13)))</f>
        <v>1000000000000</v>
      </c>
      <c r="BX495" s="172">
        <f ca="1">IF(OR($D495&lt;&gt;"Serviço",AND(AUTOEVENTO="Manual",$M495=$A$15),$M495&gt;(ROW(PLE.lastrow)-ROW(PLE.firstrow))),0,
           IF(OFFSET(PLE!$G$15,$M495-$A$15,BX$13)="",10^12,OFFSET(PLE!$G$15,$M495-$A$15,BX$13)))</f>
        <v>1000000000000</v>
      </c>
      <c r="BY495" s="172">
        <f ca="1">IF(OR($D495&lt;&gt;"Serviço",AND(AUTOEVENTO="Manual",$M495=$A$15),$M495&gt;(ROW(PLE.lastrow)-ROW(PLE.firstrow))),0,
           IF(OFFSET(PLE!$G$15,$M495-$A$15,BY$13)="",10^12,OFFSET(PLE!$G$15,$M495-$A$15,BY$13)))</f>
        <v>1000000000000</v>
      </c>
      <c r="BZ495" s="172">
        <f ca="1">IF(OR($D495&lt;&gt;"Serviço",AND(AUTOEVENTO="Manual",$M495=$A$15),$M495&gt;(ROW(PLE.lastrow)-ROW(PLE.firstrow))),0,
           IF(OFFSET(PLE!$G$15,$M495-$A$15,BZ$13)="",10^12,OFFSET(PLE!$G$15,$M495-$A$15,BZ$13)))</f>
        <v>1000000000000</v>
      </c>
      <c r="CA495" s="172">
        <f ca="1">IF(OR($D495&lt;&gt;"Serviço",AND(AUTOEVENTO="Manual",$M495=$A$15),$M495&gt;(ROW(PLE.lastrow)-ROW(PLE.firstrow))),0,
           IF(OFFSET(PLE!$G$15,$M495-$A$15,CA$13)="",10^12,OFFSET(PLE!$G$15,$M495-$A$15,CA$13)))</f>
        <v>1000000000000</v>
      </c>
      <c r="CB495" s="172">
        <f ca="1">IF(OR($D495&lt;&gt;"Serviço",AND(AUTOEVENTO="Manual",$M495=$A$15),$M495&gt;(ROW(PLE.lastrow)-ROW(PLE.firstrow))),0,
           IF(OFFSET(PLE!$G$15,$M495-$A$15,CB$13)="",10^12,OFFSET(PLE!$G$15,$M495-$A$15,CB$13)))</f>
        <v>1000000000000</v>
      </c>
      <c r="CC495" s="172">
        <f ca="1">IF(OR($D495&lt;&gt;"Serviço",AND(AUTOEVENTO="Manual",$M495=$A$15),$M495&gt;(ROW(PLE.lastrow)-ROW(PLE.firstrow))),0,
           IF(OFFSET(PLE!$G$15,$M495-$A$15,CC$13)="",10^12,OFFSET(PLE!$G$15,$M495-$A$15,CC$13)))</f>
        <v>1000000000000</v>
      </c>
      <c r="CD495" s="172">
        <f ca="1">IF(OR($D495&lt;&gt;"Serviço",AND(AUTOEVENTO="Manual",$M495=$A$15),$M495&gt;(ROW(PLE.lastrow)-ROW(PLE.firstrow))),0,
           IF(OFFSET(PLE!$G$15,$M495-$A$15,CD$13)="",10^12,OFFSET(PLE!$G$15,$M495-$A$15,CD$13)))</f>
        <v>1000000000000</v>
      </c>
      <c r="CE495" s="172">
        <f ca="1">IF(OR($D495&lt;&gt;"Serviço",AND(AUTOEVENTO="Manual",$M495=$A$15),$M495&gt;(ROW(PLE.lastrow)-ROW(PLE.firstrow))),0,
           IF(OFFSET(PLE!$G$15,$M495-$A$15,CE$13)="",10^12,OFFSET(PLE!$G$15,$M495-$A$15,CE$13)))</f>
        <v>1000000000000</v>
      </c>
      <c r="CF495" s="172">
        <f ca="1">IF(OR($D495&lt;&gt;"Serviço",AND(AUTOEVENTO="Manual",$M495=$A$15),$M495&gt;(ROW(PLE.lastrow)-ROW(PLE.firstrow))),0,
           IF(OFFSET(PLE!$G$15,$M495-$A$15,CF$13)="",10^12,OFFSET(PLE!$G$15,$M495-$A$15,CF$13)))</f>
        <v>1000000000000</v>
      </c>
      <c r="CG495" s="172">
        <f ca="1">IF(OR($D495&lt;&gt;"Serviço",AND(AUTOEVENTO="Manual",$M495=$A$15),$M495&gt;(ROW(PLE.lastrow)-ROW(PLE.firstrow))),0,
           IF(OFFSET(PLE!$G$15,$M495-$A$15,CG$13)="",10^12,OFFSET(PLE!$G$15,$M495-$A$15,CG$13)))</f>
        <v>1000000000000</v>
      </c>
      <c r="CH495" s="172">
        <f ca="1">IF(OR($D495&lt;&gt;"Serviço",AND(AUTOEVENTO="Manual",$M495=$A$15),$M495&gt;(ROW(PLE.lastrow)-ROW(PLE.firstrow))),0,
           IF(OFFSET(PLE!$G$15,$M495-$A$15,CH$13)="",10^12,OFFSET(PLE!$G$15,$M495-$A$15,CH$13)))</f>
        <v>1000000000000</v>
      </c>
      <c r="CI495" s="172">
        <f ca="1">IF(OR($D495&lt;&gt;"Serviço",AND(AUTOEVENTO="Manual",$M495=$A$15),$M495&gt;(ROW(PLE.lastrow)-ROW(PLE.firstrow))),0,
           IF(OFFSET(PLE!$G$15,$M495-$A$15,CI$13)="",10^12,OFFSET(PLE!$G$15,$M495-$A$15,CI$13)))</f>
        <v>1000000000000</v>
      </c>
      <c r="CJ495" s="172">
        <f ca="1">IF(OR($D495&lt;&gt;"Serviço",AND(AUTOEVENTO="Manual",$M495=$A$15),$M495&gt;(ROW(PLE.lastrow)-ROW(PLE.firstrow))),0,
           IF(OFFSET(PLE!$G$15,$M495-$A$15,CJ$13)="",10^12,OFFSET(PLE!$G$15,$M495-$A$15,CJ$13)))</f>
        <v>1000000000000</v>
      </c>
      <c r="CK495" s="172">
        <f ca="1">IF(OR($D495&lt;&gt;"Serviço",AND(AUTOEVENTO="Manual",$M495=$A$15),$M495&gt;(ROW(PLE.lastrow)-ROW(PLE.firstrow))),0,
           IF(OFFSET(PLE!$G$15,$M495-$A$15,CK$13)="",10^12,OFFSET(PLE!$G$15,$M495-$A$15,CK$13)))</f>
        <v>1000000000000</v>
      </c>
      <c r="CL495" s="172">
        <f ca="1">IF(OR($D495&lt;&gt;"Serviço",AND(AUTOEVENTO="Manual",$M495=$A$15),$M495&gt;(ROW(PLE.lastrow)-ROW(PLE.firstrow))),0,
           IF(OFFSET(PLE!$G$15,$M495-$A$15,CL$13)="",10^12,OFFSET(PLE!$G$15,$M495-$A$15,CL$13)))</f>
        <v>1000000000000</v>
      </c>
      <c r="CM495" s="172">
        <f ca="1">IF(OR($D495&lt;&gt;"Serviço",AND(AUTOEVENTO="Manual",$M495=$A$15),$M495&gt;(ROW(PLE.lastrow)-ROW(PLE.firstrow))),0,
           IF(OFFSET(PLE!$G$15,$M495-$A$15,CM$13)="",10^12,OFFSET(PLE!$G$15,$M495-$A$15,CM$13)))</f>
        <v>1000000000000</v>
      </c>
    </row>
    <row r="496" spans="1:91" ht="204" x14ac:dyDescent="0.2">
      <c r="A496" s="7">
        <f t="shared" ca="1" si="17"/>
        <v>9</v>
      </c>
      <c r="B496" s="7" t="str">
        <f ca="1">OFFSET(ORÇAMENTO!C$15,ROW(B496)-ROW(B$15),0)</f>
        <v>S</v>
      </c>
      <c r="C496" s="7" t="str">
        <f ca="1">OFFSET(ORÇAMENTO!L$15,ROW(C496)-ROW(C$15),0)</f>
        <v>F</v>
      </c>
      <c r="D496" s="116" t="str">
        <f ca="1">OFFSET(ORÇAMENTO!N$15,ROW(D496)-ROW(D$15),0)</f>
        <v>Serviço</v>
      </c>
      <c r="E496" s="117" t="str">
        <f ca="1">OFFSET(ORÇAMENTO!O$15,ROW(E496)-ROW(E$15),0)</f>
        <v>1.10.5.0.4.</v>
      </c>
      <c r="F496" s="163" t="str">
        <f ca="1">OFFSET(ORÇAMENTO!R$15,ROW(F496)-ROW(F$15),0)</f>
        <v>ACABAMENTO CAMURÇADO EM PISO - BASEADO EM IOPES (130209)</v>
      </c>
      <c r="G496" s="164" t="str">
        <f ca="1">IF($D496&lt;&gt;"Serviço","",OFFSET(ORÇAMENTO!S$15,ROW(G496)-ROW(G$15),0))</f>
        <v>M2</v>
      </c>
      <c r="H496" s="122" cm="1">
        <f t="array" aca="1" ref="H496" ca="1">IF($D496&lt;&gt;"Serviço",0,IF(ACOMPANHAMENTO="BM",ROUND(OFFSET(ORÇAMENTO!AJ$15,ROW(H496)-ROW(H$15),0),15-13*ORÇAMENTO!$AF$7),SUMPRODUCT(($Q$1:$AI$1=1)*ROUND($Q496:$AI496,15-13*ORÇAMENTO!$AF$7))))</f>
        <v>192.42</v>
      </c>
      <c r="I496" s="468" t="s">
        <v>1435</v>
      </c>
      <c r="J496" s="640" t="str" cm="1">
        <f t="array" aca="1" ref="J496" ca="1">IF(OR(B496&lt;&gt;"S",CÁLCULO.FrentesPreenchidas=0),"",IF(AND(ACOMPANHAMENTO="PLE",AUTOEVENTO="Manual",OR(H496&gt;0,ORÇAMENTO!AC496="QUANT."),OR(K496="",M496=0,N496="")),"►E",IF(AND(ACOMPANHAMENTO="PLE",ORÇAMENTO!AC496="QUANT."),"►Q",IF(AND(ACOMPANHAMENTO="PLE",H496&lt;&gt;SUMPRODUCT(($Q$1:$AI$1=1)*ROUND(Q496:AI496,15))),"►S",IF(AND(COUNTIF($P$11:$AI$11,"▼")=0,H496&gt;0,I496=""),"◄M","")))))</f>
        <v/>
      </c>
      <c r="K496" s="641" t="s">
        <v>1393</v>
      </c>
      <c r="L496" s="165" t="s">
        <v>764</v>
      </c>
      <c r="M496" s="166">
        <f ca="1">IF($D496&lt;&gt;"Serviço","",
          IF(AUTOEVENTO="manual",$A496,
                IF(ISERROR(MATCH($A496,$A$15:OFFSET($A496,-1,0),0)),MAX($M$15:OFFSET(M496,-1,0))+1,
                      INDEX($M$15:OFFSET(M496,-1,0),MATCH($A496,$A$15:OFFSET($A496,-1,0),0)))))</f>
        <v>9</v>
      </c>
      <c r="N496" s="167" t="str">
        <f ca="1">IF($D496&lt;&gt;"Serviço","",
         IF(AUTOEVENTO="Manual",
                IF($A496=0,"&lt;-- defina o número do agrupador",
                       OFFSET(EVENTOS!$D$15,$A496-$A$15,0)),
                OFFSET($F$15,$A496,0)))</f>
        <v>Arquitetura</v>
      </c>
      <c r="O496" s="168"/>
      <c r="Q496" s="168"/>
      <c r="R496" s="169"/>
      <c r="S496" s="169"/>
      <c r="T496" s="169"/>
      <c r="U496" s="169"/>
      <c r="V496" s="169"/>
      <c r="W496" s="169"/>
      <c r="X496" s="169"/>
      <c r="Y496" s="169"/>
      <c r="Z496" s="170">
        <f>Z493</f>
        <v>192.42</v>
      </c>
      <c r="AA496" s="169"/>
      <c r="AB496" s="169"/>
      <c r="AC496" s="169"/>
      <c r="AD496" s="169"/>
      <c r="AE496" s="169"/>
      <c r="AF496" s="169"/>
      <c r="AG496" s="169"/>
      <c r="AH496" s="170"/>
      <c r="AJ496" s="453">
        <f ca="1">IF(AND($D496="Serviço",AJ$12&lt;&gt;0,$H496&gt;0,OR(AUTOEVENTO&lt;&gt;"manual",$M496&lt;&gt;$A$15)),
        IF(Import.TipoArredondamento&lt;&gt;"TransfereGOV",
              ROUND(OFFSET($P496,0,AJ$13),15-13*ORÇAMENTO!$AF$7)/$H496*OFFSET(ORÇAMENTO!$X$15,ROW(AJ496)-ROW(AJ$15),0),
              ROUND(ROUND(OFFSET($P496,0,AJ$13),15-13*ORÇAMENTO!$AF$7)*OFFSET(ORÇAMENTO!$W$15,ROW(AJ496)-ROW(AJ$15),0),15-13*ORÇAMENTO!$AF$11)),
         0)</f>
        <v>0</v>
      </c>
      <c r="AK496" s="453">
        <f ca="1">IF(AND($D496="Serviço",AK$12&lt;&gt;0,$H496&gt;0,OR(AUTOEVENTO&lt;&gt;"manual",$M496&lt;&gt;$A$15)),
        IF(Import.TipoArredondamento&lt;&gt;"TransfereGOV",
              ROUND(OFFSET($P496,0,AK$13),15-13*ORÇAMENTO!$AF$7)/$H496*OFFSET(ORÇAMENTO!$X$15,ROW(AK496)-ROW(AK$15),0),
              ROUND(ROUND(OFFSET($P496,0,AK$13),15-13*ORÇAMENTO!$AF$7)*OFFSET(ORÇAMENTO!$W$15,ROW(AK496)-ROW(AK$15),0),15-13*ORÇAMENTO!$AF$11)),
         0)</f>
        <v>0</v>
      </c>
      <c r="AL496" s="453">
        <f ca="1">IF(AND($D496="Serviço",AL$12&lt;&gt;0,$H496&gt;0,OR(AUTOEVENTO&lt;&gt;"manual",$M496&lt;&gt;$A$15)),
        IF(Import.TipoArredondamento&lt;&gt;"TransfereGOV",
              ROUND(OFFSET($P496,0,AL$13),15-13*ORÇAMENTO!$AF$7)/$H496*OFFSET(ORÇAMENTO!$X$15,ROW(AL496)-ROW(AL$15),0),
              ROUND(ROUND(OFFSET($P496,0,AL$13),15-13*ORÇAMENTO!$AF$7)*OFFSET(ORÇAMENTO!$W$15,ROW(AL496)-ROW(AL$15),0),15-13*ORÇAMENTO!$AF$11)),
         0)</f>
        <v>0</v>
      </c>
      <c r="AM496" s="453">
        <f ca="1">IF(AND($D496="Serviço",AM$12&lt;&gt;0,$H496&gt;0,OR(AUTOEVENTO&lt;&gt;"manual",$M496&lt;&gt;$A$15)),
        IF(Import.TipoArredondamento&lt;&gt;"TransfereGOV",
              ROUND(OFFSET($P496,0,AM$13),15-13*ORÇAMENTO!$AF$7)/$H496*OFFSET(ORÇAMENTO!$X$15,ROW(AM496)-ROW(AM$15),0),
              ROUND(ROUND(OFFSET($P496,0,AM$13),15-13*ORÇAMENTO!$AF$7)*OFFSET(ORÇAMENTO!$W$15,ROW(AM496)-ROW(AM$15),0),15-13*ORÇAMENTO!$AF$11)),
         0)</f>
        <v>0</v>
      </c>
      <c r="AN496" s="453">
        <f ca="1">IF(AND($D496="Serviço",AN$12&lt;&gt;0,$H496&gt;0,OR(AUTOEVENTO&lt;&gt;"manual",$M496&lt;&gt;$A$15)),
        IF(Import.TipoArredondamento&lt;&gt;"TransfereGOV",
              ROUND(OFFSET($P496,0,AN$13),15-13*ORÇAMENTO!$AF$7)/$H496*OFFSET(ORÇAMENTO!$X$15,ROW(AN496)-ROW(AN$15),0),
              ROUND(ROUND(OFFSET($P496,0,AN$13),15-13*ORÇAMENTO!$AF$7)*OFFSET(ORÇAMENTO!$W$15,ROW(AN496)-ROW(AN$15),0),15-13*ORÇAMENTO!$AF$11)),
         0)</f>
        <v>0</v>
      </c>
      <c r="AO496" s="453">
        <f ca="1">IF(AND($D496="Serviço",AO$12&lt;&gt;0,$H496&gt;0,OR(AUTOEVENTO&lt;&gt;"manual",$M496&lt;&gt;$A$15)),
        IF(Import.TipoArredondamento&lt;&gt;"TransfereGOV",
              ROUND(OFFSET($P496,0,AO$13),15-13*ORÇAMENTO!$AF$7)/$H496*OFFSET(ORÇAMENTO!$X$15,ROW(AO496)-ROW(AO$15),0),
              ROUND(ROUND(OFFSET($P496,0,AO$13),15-13*ORÇAMENTO!$AF$7)*OFFSET(ORÇAMENTO!$W$15,ROW(AO496)-ROW(AO$15),0),15-13*ORÇAMENTO!$AF$11)),
         0)</f>
        <v>0</v>
      </c>
      <c r="AP496" s="453">
        <f ca="1">IF(AND($D496="Serviço",AP$12&lt;&gt;0,$H496&gt;0,OR(AUTOEVENTO&lt;&gt;"manual",$M496&lt;&gt;$A$15)),
        IF(Import.TipoArredondamento&lt;&gt;"TransfereGOV",
              ROUND(OFFSET($P496,0,AP$13),15-13*ORÇAMENTO!$AF$7)/$H496*OFFSET(ORÇAMENTO!$X$15,ROW(AP496)-ROW(AP$15),0),
              ROUND(ROUND(OFFSET($P496,0,AP$13),15-13*ORÇAMENTO!$AF$7)*OFFSET(ORÇAMENTO!$W$15,ROW(AP496)-ROW(AP$15),0),15-13*ORÇAMENTO!$AF$11)),
         0)</f>
        <v>0</v>
      </c>
      <c r="AQ496" s="453">
        <f ca="1">IF(AND($D496="Serviço",AQ$12&lt;&gt;0,$H496&gt;0,OR(AUTOEVENTO&lt;&gt;"manual",$M496&lt;&gt;$A$15)),
        IF(Import.TipoArredondamento&lt;&gt;"TransfereGOV",
              ROUND(OFFSET($P496,0,AQ$13),15-13*ORÇAMENTO!$AF$7)/$H496*OFFSET(ORÇAMENTO!$X$15,ROW(AQ496)-ROW(AQ$15),0),
              ROUND(ROUND(OFFSET($P496,0,AQ$13),15-13*ORÇAMENTO!$AF$7)*OFFSET(ORÇAMENTO!$W$15,ROW(AQ496)-ROW(AQ$15),0),15-13*ORÇAMENTO!$AF$11)),
         0)</f>
        <v>0</v>
      </c>
      <c r="AR496" s="453">
        <f ca="1">IF(AND($D496="Serviço",AR$12&lt;&gt;0,$H496&gt;0,OR(AUTOEVENTO&lt;&gt;"manual",$M496&lt;&gt;$A$15)),
        IF(Import.TipoArredondamento&lt;&gt;"TransfereGOV",
              ROUND(OFFSET($P496,0,AR$13),15-13*ORÇAMENTO!$AF$7)/$H496*OFFSET(ORÇAMENTO!$X$15,ROW(AR496)-ROW(AR$15),0),
              ROUND(ROUND(OFFSET($P496,0,AR$13),15-13*ORÇAMENTO!$AF$7)*OFFSET(ORÇAMENTO!$W$15,ROW(AR496)-ROW(AR$15),0),15-13*ORÇAMENTO!$AF$11)),
         0)</f>
        <v>0</v>
      </c>
      <c r="AS496" s="453">
        <f ca="1">IF(AND($D496="Serviço",AS$12&lt;&gt;0,$H496&gt;0,OR(AUTOEVENTO&lt;&gt;"manual",$M496&lt;&gt;$A$15)),
        IF(Import.TipoArredondamento&lt;&gt;"TransfereGOV",
              ROUND(OFFSET($P496,0,AS$13),15-13*ORÇAMENTO!$AF$7)/$H496*OFFSET(ORÇAMENTO!$X$15,ROW(AS496)-ROW(AS$15),0),
              ROUND(ROUND(OFFSET($P496,0,AS$13),15-13*ORÇAMENTO!$AF$7)*OFFSET(ORÇAMENTO!$W$15,ROW(AS496)-ROW(AS$15),0),15-13*ORÇAMENTO!$AF$11)),
         0)</f>
        <v>0</v>
      </c>
      <c r="AT496" s="453">
        <f ca="1">IF(AND($D496="Serviço",AT$12&lt;&gt;0,$H496&gt;0,OR(AUTOEVENTO&lt;&gt;"manual",$M496&lt;&gt;$A$15)),
        IF(Import.TipoArredondamento&lt;&gt;"TransfereGOV",
              ROUND(OFFSET($P496,0,AT$13),15-13*ORÇAMENTO!$AF$7)/$H496*OFFSET(ORÇAMENTO!$X$15,ROW(AT496)-ROW(AT$15),0),
              ROUND(ROUND(OFFSET($P496,0,AT$13),15-13*ORÇAMENTO!$AF$7)*OFFSET(ORÇAMENTO!$W$15,ROW(AT496)-ROW(AT$15),0),15-13*ORÇAMENTO!$AF$11)),
         0)</f>
        <v>0</v>
      </c>
      <c r="AU496" s="453">
        <f ca="1">IF(AND($D496="Serviço",AU$12&lt;&gt;0,$H496&gt;0,OR(AUTOEVENTO&lt;&gt;"manual",$M496&lt;&gt;$A$15)),
        IF(Import.TipoArredondamento&lt;&gt;"TransfereGOV",
              ROUND(OFFSET($P496,0,AU$13),15-13*ORÇAMENTO!$AF$7)/$H496*OFFSET(ORÇAMENTO!$X$15,ROW(AU496)-ROW(AU$15),0),
              ROUND(ROUND(OFFSET($P496,0,AU$13),15-13*ORÇAMENTO!$AF$7)*OFFSET(ORÇAMENTO!$W$15,ROW(AU496)-ROW(AU$15),0),15-13*ORÇAMENTO!$AF$11)),
         0)</f>
        <v>0</v>
      </c>
      <c r="AV496" s="453">
        <f ca="1">IF(AND($D496="Serviço",AV$12&lt;&gt;0,$H496&gt;0,OR(AUTOEVENTO&lt;&gt;"manual",$M496&lt;&gt;$A$15)),
        IF(Import.TipoArredondamento&lt;&gt;"TransfereGOV",
              ROUND(OFFSET($P496,0,AV$13),15-13*ORÇAMENTO!$AF$7)/$H496*OFFSET(ORÇAMENTO!$X$15,ROW(AV496)-ROW(AV$15),0),
              ROUND(ROUND(OFFSET($P496,0,AV$13),15-13*ORÇAMENTO!$AF$7)*OFFSET(ORÇAMENTO!$W$15,ROW(AV496)-ROW(AV$15),0),15-13*ORÇAMENTO!$AF$11)),
         0)</f>
        <v>0</v>
      </c>
      <c r="AW496" s="453">
        <f ca="1">IF(AND($D496="Serviço",AW$12&lt;&gt;0,$H496&gt;0,OR(AUTOEVENTO&lt;&gt;"manual",$M496&lt;&gt;$A$15)),
        IF(Import.TipoArredondamento&lt;&gt;"TransfereGOV",
              ROUND(OFFSET($P496,0,AW$13),15-13*ORÇAMENTO!$AF$7)/$H496*OFFSET(ORÇAMENTO!$X$15,ROW(AW496)-ROW(AW$15),0),
              ROUND(ROUND(OFFSET($P496,0,AW$13),15-13*ORÇAMENTO!$AF$7)*OFFSET(ORÇAMENTO!$W$15,ROW(AW496)-ROW(AW$15),0),15-13*ORÇAMENTO!$AF$11)),
         0)</f>
        <v>0</v>
      </c>
      <c r="AX496" s="453">
        <f ca="1">IF(AND($D496="Serviço",AX$12&lt;&gt;0,$H496&gt;0,OR(AUTOEVENTO&lt;&gt;"manual",$M496&lt;&gt;$A$15)),
        IF(Import.TipoArredondamento&lt;&gt;"TransfereGOV",
              ROUND(OFFSET($P496,0,AX$13),15-13*ORÇAMENTO!$AF$7)/$H496*OFFSET(ORÇAMENTO!$X$15,ROW(AX496)-ROW(AX$15),0),
              ROUND(ROUND(OFFSET($P496,0,AX$13),15-13*ORÇAMENTO!$AF$7)*OFFSET(ORÇAMENTO!$W$15,ROW(AX496)-ROW(AX$15),0),15-13*ORÇAMENTO!$AF$11)),
         0)</f>
        <v>0</v>
      </c>
      <c r="AY496" s="453">
        <f ca="1">IF(AND($D496="Serviço",AY$12&lt;&gt;0,$H496&gt;0,OR(AUTOEVENTO&lt;&gt;"manual",$M496&lt;&gt;$A$15)),
        IF(Import.TipoArredondamento&lt;&gt;"TransfereGOV",
              ROUND(OFFSET($P496,0,AY$13),15-13*ORÇAMENTO!$AF$7)/$H496*OFFSET(ORÇAMENTO!$X$15,ROW(AY496)-ROW(AY$15),0),
              ROUND(ROUND(OFFSET($P496,0,AY$13),15-13*ORÇAMENTO!$AF$7)*OFFSET(ORÇAMENTO!$W$15,ROW(AY496)-ROW(AY$15),0),15-13*ORÇAMENTO!$AF$11)),
         0)</f>
        <v>0</v>
      </c>
      <c r="AZ496" s="453">
        <f ca="1">IF(AND($D496="Serviço",AZ$12&lt;&gt;0,$H496&gt;0,OR(AUTOEVENTO&lt;&gt;"manual",$M496&lt;&gt;$A$15)),
        IF(Import.TipoArredondamento&lt;&gt;"TransfereGOV",
              ROUND(OFFSET($P496,0,AZ$13),15-13*ORÇAMENTO!$AF$7)/$H496*OFFSET(ORÇAMENTO!$X$15,ROW(AZ496)-ROW(AZ$15),0),
              ROUND(ROUND(OFFSET($P496,0,AZ$13),15-13*ORÇAMENTO!$AF$7)*OFFSET(ORÇAMENTO!$W$15,ROW(AZ496)-ROW(AZ$15),0),15-13*ORÇAMENTO!$AF$11)),
         0)</f>
        <v>0</v>
      </c>
      <c r="BA496" s="453">
        <f ca="1">IF(AND($D496="Serviço",BA$12&lt;&gt;0,$H496&gt;0,OR(AUTOEVENTO&lt;&gt;"manual",$M496&lt;&gt;$A$15)),
        IF(Import.TipoArredondamento&lt;&gt;"TransfereGOV",
              ROUND(OFFSET($P496,0,BA$13),15-13*ORÇAMENTO!$AF$7)/$H496*OFFSET(ORÇAMENTO!$X$15,ROW(BA496)-ROW(BA$15),0),
              ROUND(ROUND(OFFSET($P496,0,BA$13),15-13*ORÇAMENTO!$AF$7)*OFFSET(ORÇAMENTO!$W$15,ROW(BA496)-ROW(BA$15),0),15-13*ORÇAMENTO!$AF$11)),
         0)</f>
        <v>0</v>
      </c>
      <c r="BC496" s="171">
        <f ca="1">IF(OR($D496&lt;&gt;"Serviço",AND(AUTOEVENTO="Manual",$M496=$A$15)),0,
         IF(OFFSET(CRONOPLE!$F$15,$M496-$A$15,BC$13)=0,10^12,OFFSET(CRONOPLE!$F$15,$M496-$A$15,BC$13)))</f>
        <v>1000000000000</v>
      </c>
      <c r="BD496" s="171">
        <f ca="1">IF(OR($D496&lt;&gt;"Serviço",AND(AUTOEVENTO="Manual",$M496=$A$15)),0,
         IF(OFFSET(CRONOPLE!$F$15,$M496-$A$15,BD$13)=0,10^12,OFFSET(CRONOPLE!$F$15,$M496-$A$15,BD$13)))</f>
        <v>1000000000000</v>
      </c>
      <c r="BE496" s="171">
        <f ca="1">IF(OR($D496&lt;&gt;"Serviço",AND(AUTOEVENTO="Manual",$M496=$A$15)),0,
         IF(OFFSET(CRONOPLE!$F$15,$M496-$A$15,BE$13)=0,10^12,OFFSET(CRONOPLE!$F$15,$M496-$A$15,BE$13)))</f>
        <v>1000000000000</v>
      </c>
      <c r="BF496" s="171">
        <f ca="1">IF(OR($D496&lt;&gt;"Serviço",AND(AUTOEVENTO="Manual",$M496=$A$15)),0,
         IF(OFFSET(CRONOPLE!$F$15,$M496-$A$15,BF$13)=0,10^12,OFFSET(CRONOPLE!$F$15,$M496-$A$15,BF$13)))</f>
        <v>1000000000000</v>
      </c>
      <c r="BG496" s="171">
        <f ca="1">IF(OR($D496&lt;&gt;"Serviço",AND(AUTOEVENTO="Manual",$M496=$A$15)),0,
         IF(OFFSET(CRONOPLE!$F$15,$M496-$A$15,BG$13)=0,10^12,OFFSET(CRONOPLE!$F$15,$M496-$A$15,BG$13)))</f>
        <v>1000000000000</v>
      </c>
      <c r="BH496" s="171">
        <f ca="1">IF(OR($D496&lt;&gt;"Serviço",AND(AUTOEVENTO="Manual",$M496=$A$15)),0,
         IF(OFFSET(CRONOPLE!$F$15,$M496-$A$15,BH$13)=0,10^12,OFFSET(CRONOPLE!$F$15,$M496-$A$15,BH$13)))</f>
        <v>1000000000000</v>
      </c>
      <c r="BI496" s="171">
        <f ca="1">IF(OR($D496&lt;&gt;"Serviço",AND(AUTOEVENTO="Manual",$M496=$A$15)),0,
         IF(OFFSET(CRONOPLE!$F$15,$M496-$A$15,BI$13)=0,10^12,OFFSET(CRONOPLE!$F$15,$M496-$A$15,BI$13)))</f>
        <v>1000000000000</v>
      </c>
      <c r="BJ496" s="171">
        <f ca="1">IF(OR($D496&lt;&gt;"Serviço",AND(AUTOEVENTO="Manual",$M496=$A$15)),0,
         IF(OFFSET(CRONOPLE!$F$15,$M496-$A$15,BJ$13)=0,10^12,OFFSET(CRONOPLE!$F$15,$M496-$A$15,BJ$13)))</f>
        <v>1000000000000</v>
      </c>
      <c r="BK496" s="171">
        <f ca="1">IF(OR($D496&lt;&gt;"Serviço",AND(AUTOEVENTO="Manual",$M496=$A$15)),0,
         IF(OFFSET(CRONOPLE!$F$15,$M496-$A$15,BK$13)=0,10^12,OFFSET(CRONOPLE!$F$15,$M496-$A$15,BK$13)))</f>
        <v>9</v>
      </c>
      <c r="BL496" s="171">
        <f ca="1">IF(OR($D496&lt;&gt;"Serviço",AND(AUTOEVENTO="Manual",$M496=$A$15)),0,
         IF(OFFSET(CRONOPLE!$F$15,$M496-$A$15,BL$13)=0,10^12,OFFSET(CRONOPLE!$F$15,$M496-$A$15,BL$13)))</f>
        <v>10</v>
      </c>
      <c r="BM496" s="171">
        <f ca="1">IF(OR($D496&lt;&gt;"Serviço",AND(AUTOEVENTO="Manual",$M496=$A$15)),0,
         IF(OFFSET(CRONOPLE!$F$15,$M496-$A$15,BM$13)=0,10^12,OFFSET(CRONOPLE!$F$15,$M496-$A$15,BM$13)))</f>
        <v>1000000000000</v>
      </c>
      <c r="BN496" s="171">
        <f ca="1">IF(OR($D496&lt;&gt;"Serviço",AND(AUTOEVENTO="Manual",$M496=$A$15)),0,
         IF(OFFSET(CRONOPLE!$F$15,$M496-$A$15,BN$13)=0,10^12,OFFSET(CRONOPLE!$F$15,$M496-$A$15,BN$13)))</f>
        <v>1000000000000</v>
      </c>
      <c r="BO496" s="171">
        <f ca="1">IF(OR($D496&lt;&gt;"Serviço",AND(AUTOEVENTO="Manual",$M496=$A$15)),0,
         IF(OFFSET(CRONOPLE!$F$15,$M496-$A$15,BO$13)=0,10^12,OFFSET(CRONOPLE!$F$15,$M496-$A$15,BO$13)))</f>
        <v>1000000000000</v>
      </c>
      <c r="BP496" s="171">
        <f ca="1">IF(OR($D496&lt;&gt;"Serviço",AND(AUTOEVENTO="Manual",$M496=$A$15)),0,
         IF(OFFSET(CRONOPLE!$F$15,$M496-$A$15,BP$13)=0,10^12,OFFSET(CRONOPLE!$F$15,$M496-$A$15,BP$13)))</f>
        <v>1000000000000</v>
      </c>
      <c r="BQ496" s="171">
        <f ca="1">IF(OR($D496&lt;&gt;"Serviço",AND(AUTOEVENTO="Manual",$M496=$A$15)),0,
         IF(OFFSET(CRONOPLE!$F$15,$M496-$A$15,BQ$13)=0,10^12,OFFSET(CRONOPLE!$F$15,$M496-$A$15,BQ$13)))</f>
        <v>1000000000000</v>
      </c>
      <c r="BR496" s="171">
        <f ca="1">IF(OR($D496&lt;&gt;"Serviço",AND(AUTOEVENTO="Manual",$M496=$A$15)),0,
         IF(OFFSET(CRONOPLE!$F$15,$M496-$A$15,BR$13)=0,10^12,OFFSET(CRONOPLE!$F$15,$M496-$A$15,BR$13)))</f>
        <v>1000000000000</v>
      </c>
      <c r="BS496" s="171">
        <f ca="1">IF(OR($D496&lt;&gt;"Serviço",AND(AUTOEVENTO="Manual",$M496=$A$15)),0,
         IF(OFFSET(CRONOPLE!$F$15,$M496-$A$15,BS$13)=0,10^12,OFFSET(CRONOPLE!$F$15,$M496-$A$15,BS$13)))</f>
        <v>1000000000000</v>
      </c>
      <c r="BT496" s="171">
        <f ca="1">IF(OR($D496&lt;&gt;"Serviço",AND(AUTOEVENTO="Manual",$M496=$A$15)),0,
         IF(OFFSET(CRONOPLE!$F$15,$M496-$A$15,BT$13)=0,10^12,OFFSET(CRONOPLE!$F$15,$M496-$A$15,BT$13)))</f>
        <v>1000000000000</v>
      </c>
      <c r="BV496" s="172">
        <f ca="1">IF(OR($D496&lt;&gt;"Serviço",AND(AUTOEVENTO="Manual",$M496=$A$15),$M496&gt;(ROW(PLE.lastrow)-ROW(PLE.firstrow))),0,
           IF(OFFSET(PLE!$G$15,$M496-$A$15,BV$13)="",10^12,OFFSET(PLE!$G$15,$M496-$A$15,BV$13)))</f>
        <v>1000000000000</v>
      </c>
      <c r="BW496" s="172">
        <f ca="1">IF(OR($D496&lt;&gt;"Serviço",AND(AUTOEVENTO="Manual",$M496=$A$15),$M496&gt;(ROW(PLE.lastrow)-ROW(PLE.firstrow))),0,
           IF(OFFSET(PLE!$G$15,$M496-$A$15,BW$13)="",10^12,OFFSET(PLE!$G$15,$M496-$A$15,BW$13)))</f>
        <v>1000000000000</v>
      </c>
      <c r="BX496" s="172">
        <f ca="1">IF(OR($D496&lt;&gt;"Serviço",AND(AUTOEVENTO="Manual",$M496=$A$15),$M496&gt;(ROW(PLE.lastrow)-ROW(PLE.firstrow))),0,
           IF(OFFSET(PLE!$G$15,$M496-$A$15,BX$13)="",10^12,OFFSET(PLE!$G$15,$M496-$A$15,BX$13)))</f>
        <v>1000000000000</v>
      </c>
      <c r="BY496" s="172">
        <f ca="1">IF(OR($D496&lt;&gt;"Serviço",AND(AUTOEVENTO="Manual",$M496=$A$15),$M496&gt;(ROW(PLE.lastrow)-ROW(PLE.firstrow))),0,
           IF(OFFSET(PLE!$G$15,$M496-$A$15,BY$13)="",10^12,OFFSET(PLE!$G$15,$M496-$A$15,BY$13)))</f>
        <v>1000000000000</v>
      </c>
      <c r="BZ496" s="172">
        <f ca="1">IF(OR($D496&lt;&gt;"Serviço",AND(AUTOEVENTO="Manual",$M496=$A$15),$M496&gt;(ROW(PLE.lastrow)-ROW(PLE.firstrow))),0,
           IF(OFFSET(PLE!$G$15,$M496-$A$15,BZ$13)="",10^12,OFFSET(PLE!$G$15,$M496-$A$15,BZ$13)))</f>
        <v>1000000000000</v>
      </c>
      <c r="CA496" s="172">
        <f ca="1">IF(OR($D496&lt;&gt;"Serviço",AND(AUTOEVENTO="Manual",$M496=$A$15),$M496&gt;(ROW(PLE.lastrow)-ROW(PLE.firstrow))),0,
           IF(OFFSET(PLE!$G$15,$M496-$A$15,CA$13)="",10^12,OFFSET(PLE!$G$15,$M496-$A$15,CA$13)))</f>
        <v>1000000000000</v>
      </c>
      <c r="CB496" s="172">
        <f ca="1">IF(OR($D496&lt;&gt;"Serviço",AND(AUTOEVENTO="Manual",$M496=$A$15),$M496&gt;(ROW(PLE.lastrow)-ROW(PLE.firstrow))),0,
           IF(OFFSET(PLE!$G$15,$M496-$A$15,CB$13)="",10^12,OFFSET(PLE!$G$15,$M496-$A$15,CB$13)))</f>
        <v>1000000000000</v>
      </c>
      <c r="CC496" s="172">
        <f ca="1">IF(OR($D496&lt;&gt;"Serviço",AND(AUTOEVENTO="Manual",$M496=$A$15),$M496&gt;(ROW(PLE.lastrow)-ROW(PLE.firstrow))),0,
           IF(OFFSET(PLE!$G$15,$M496-$A$15,CC$13)="",10^12,OFFSET(PLE!$G$15,$M496-$A$15,CC$13)))</f>
        <v>1000000000000</v>
      </c>
      <c r="CD496" s="172">
        <f ca="1">IF(OR($D496&lt;&gt;"Serviço",AND(AUTOEVENTO="Manual",$M496=$A$15),$M496&gt;(ROW(PLE.lastrow)-ROW(PLE.firstrow))),0,
           IF(OFFSET(PLE!$G$15,$M496-$A$15,CD$13)="",10^12,OFFSET(PLE!$G$15,$M496-$A$15,CD$13)))</f>
        <v>1000000000000</v>
      </c>
      <c r="CE496" s="172">
        <f ca="1">IF(OR($D496&lt;&gt;"Serviço",AND(AUTOEVENTO="Manual",$M496=$A$15),$M496&gt;(ROW(PLE.lastrow)-ROW(PLE.firstrow))),0,
           IF(OFFSET(PLE!$G$15,$M496-$A$15,CE$13)="",10^12,OFFSET(PLE!$G$15,$M496-$A$15,CE$13)))</f>
        <v>1000000000000</v>
      </c>
      <c r="CF496" s="172">
        <f ca="1">IF(OR($D496&lt;&gt;"Serviço",AND(AUTOEVENTO="Manual",$M496=$A$15),$M496&gt;(ROW(PLE.lastrow)-ROW(PLE.firstrow))),0,
           IF(OFFSET(PLE!$G$15,$M496-$A$15,CF$13)="",10^12,OFFSET(PLE!$G$15,$M496-$A$15,CF$13)))</f>
        <v>1000000000000</v>
      </c>
      <c r="CG496" s="172">
        <f ca="1">IF(OR($D496&lt;&gt;"Serviço",AND(AUTOEVENTO="Manual",$M496=$A$15),$M496&gt;(ROW(PLE.lastrow)-ROW(PLE.firstrow))),0,
           IF(OFFSET(PLE!$G$15,$M496-$A$15,CG$13)="",10^12,OFFSET(PLE!$G$15,$M496-$A$15,CG$13)))</f>
        <v>1000000000000</v>
      </c>
      <c r="CH496" s="172">
        <f ca="1">IF(OR($D496&lt;&gt;"Serviço",AND(AUTOEVENTO="Manual",$M496=$A$15),$M496&gt;(ROW(PLE.lastrow)-ROW(PLE.firstrow))),0,
           IF(OFFSET(PLE!$G$15,$M496-$A$15,CH$13)="",10^12,OFFSET(PLE!$G$15,$M496-$A$15,CH$13)))</f>
        <v>1000000000000</v>
      </c>
      <c r="CI496" s="172">
        <f ca="1">IF(OR($D496&lt;&gt;"Serviço",AND(AUTOEVENTO="Manual",$M496=$A$15),$M496&gt;(ROW(PLE.lastrow)-ROW(PLE.firstrow))),0,
           IF(OFFSET(PLE!$G$15,$M496-$A$15,CI$13)="",10^12,OFFSET(PLE!$G$15,$M496-$A$15,CI$13)))</f>
        <v>1000000000000</v>
      </c>
      <c r="CJ496" s="172">
        <f ca="1">IF(OR($D496&lt;&gt;"Serviço",AND(AUTOEVENTO="Manual",$M496=$A$15),$M496&gt;(ROW(PLE.lastrow)-ROW(PLE.firstrow))),0,
           IF(OFFSET(PLE!$G$15,$M496-$A$15,CJ$13)="",10^12,OFFSET(PLE!$G$15,$M496-$A$15,CJ$13)))</f>
        <v>1000000000000</v>
      </c>
      <c r="CK496" s="172">
        <f ca="1">IF(OR($D496&lt;&gt;"Serviço",AND(AUTOEVENTO="Manual",$M496=$A$15),$M496&gt;(ROW(PLE.lastrow)-ROW(PLE.firstrow))),0,
           IF(OFFSET(PLE!$G$15,$M496-$A$15,CK$13)="",10^12,OFFSET(PLE!$G$15,$M496-$A$15,CK$13)))</f>
        <v>1000000000000</v>
      </c>
      <c r="CL496" s="172">
        <f ca="1">IF(OR($D496&lt;&gt;"Serviço",AND(AUTOEVENTO="Manual",$M496=$A$15),$M496&gt;(ROW(PLE.lastrow)-ROW(PLE.firstrow))),0,
           IF(OFFSET(PLE!$G$15,$M496-$A$15,CL$13)="",10^12,OFFSET(PLE!$G$15,$M496-$A$15,CL$13)))</f>
        <v>1000000000000</v>
      </c>
      <c r="CM496" s="172">
        <f ca="1">IF(OR($D496&lt;&gt;"Serviço",AND(AUTOEVENTO="Manual",$M496=$A$15),$M496&gt;(ROW(PLE.lastrow)-ROW(PLE.firstrow))),0,
           IF(OFFSET(PLE!$G$15,$M496-$A$15,CM$13)="",10^12,OFFSET(PLE!$G$15,$M496-$A$15,CM$13)))</f>
        <v>1000000000000</v>
      </c>
    </row>
    <row r="497" spans="1:91" ht="51" x14ac:dyDescent="0.2">
      <c r="A497" s="7">
        <f t="shared" ca="1" si="17"/>
        <v>9</v>
      </c>
      <c r="B497" s="7" t="str">
        <f ca="1">OFFSET(ORÇAMENTO!C$15,ROW(B497)-ROW(B$15),0)</f>
        <v>S</v>
      </c>
      <c r="C497" s="7" t="str">
        <f ca="1">OFFSET(ORÇAMENTO!L$15,ROW(C497)-ROW(C$15),0)</f>
        <v>F</v>
      </c>
      <c r="D497" s="116" t="str">
        <f ca="1">OFFSET(ORÇAMENTO!N$15,ROW(D497)-ROW(D$15),0)</f>
        <v>Serviço</v>
      </c>
      <c r="E497" s="117" t="str">
        <f ca="1">OFFSET(ORÇAMENTO!O$15,ROW(E497)-ROW(E$15),0)</f>
        <v>1.10.5.0.5.</v>
      </c>
      <c r="F497" s="163" t="str">
        <f ca="1">OFFSET(ORÇAMENTO!R$15,ROW(F497)-ROW(F$15),0)</f>
        <v>PISO PODOTÁTIL DE ALERTA OU DIRECIONAL, DE CONCRETO, ASSENTADO SOBRE ARGAMASSA. AF_03/2024</v>
      </c>
      <c r="G497" s="164" t="str">
        <f ca="1">IF($D497&lt;&gt;"Serviço","",OFFSET(ORÇAMENTO!S$15,ROW(G497)-ROW(G$15),0))</f>
        <v>M2</v>
      </c>
      <c r="H497" s="122" cm="1">
        <f t="array" aca="1" ref="H497" ca="1">IF($D497&lt;&gt;"Serviço",0,IF(ACOMPANHAMENTO="BM",ROUND(OFFSET(ORÇAMENTO!AJ$15,ROW(H497)-ROW(H$15),0),15-13*ORÇAMENTO!$AF$7),SUMPRODUCT(($Q$1:$AI$1=1)*ROUND($Q497:$AI497,15-13*ORÇAMENTO!$AF$7))))</f>
        <v>3</v>
      </c>
      <c r="I497" s="468" t="s">
        <v>1406</v>
      </c>
      <c r="J497" s="640" t="str" cm="1">
        <f t="array" aca="1" ref="J497" ca="1">IF(OR(B497&lt;&gt;"S",CÁLCULO.FrentesPreenchidas=0),"",IF(AND(ACOMPANHAMENTO="PLE",AUTOEVENTO="Manual",OR(H497&gt;0,ORÇAMENTO!AC497="QUANT."),OR(K497="",M497=0,N497="")),"►E",IF(AND(ACOMPANHAMENTO="PLE",ORÇAMENTO!AC497="QUANT."),"►Q",IF(AND(ACOMPANHAMENTO="PLE",H497&lt;&gt;SUMPRODUCT(($Q$1:$AI$1=1)*ROUND(Q497:AI497,15))),"►S",IF(AND(COUNTIF($P$11:$AI$11,"▼")=0,H497&gt;0,I497=""),"◄M","")))))</f>
        <v/>
      </c>
      <c r="K497" s="641" t="s">
        <v>1393</v>
      </c>
      <c r="L497" s="165" t="s">
        <v>764</v>
      </c>
      <c r="M497" s="166">
        <f ca="1">IF($D497&lt;&gt;"Serviço","",
          IF(AUTOEVENTO="manual",$A497,
                IF(ISERROR(MATCH($A497,$A$15:OFFSET($A497,-1,0),0)),MAX($M$15:OFFSET(M497,-1,0))+1,
                      INDEX($M$15:OFFSET(M497,-1,0),MATCH($A497,$A$15:OFFSET($A497,-1,0),0)))))</f>
        <v>9</v>
      </c>
      <c r="N497" s="167" t="str">
        <f ca="1">IF($D497&lt;&gt;"Serviço","",
         IF(AUTOEVENTO="Manual",
                IF($A497=0,"&lt;-- defina o número do agrupador",
                       OFFSET(EVENTOS!$D$15,$A497-$A$15,0)),
                OFFSET($F$15,$A497,0)))</f>
        <v>Arquitetura</v>
      </c>
      <c r="O497" s="168"/>
      <c r="Q497" s="168"/>
      <c r="R497" s="169"/>
      <c r="S497" s="169"/>
      <c r="T497" s="169"/>
      <c r="U497" s="169"/>
      <c r="V497" s="169"/>
      <c r="W497" s="169"/>
      <c r="X497" s="169"/>
      <c r="Y497" s="169"/>
      <c r="Z497" s="170">
        <v>3</v>
      </c>
      <c r="AA497" s="169"/>
      <c r="AB497" s="169"/>
      <c r="AC497" s="169"/>
      <c r="AD497" s="169"/>
      <c r="AE497" s="169"/>
      <c r="AF497" s="169"/>
      <c r="AG497" s="169"/>
      <c r="AH497" s="170"/>
      <c r="AJ497" s="453">
        <f ca="1">IF(AND($D497="Serviço",AJ$12&lt;&gt;0,$H497&gt;0,OR(AUTOEVENTO&lt;&gt;"manual",$M497&lt;&gt;$A$15)),
        IF(Import.TipoArredondamento&lt;&gt;"TransfereGOV",
              ROUND(OFFSET($P497,0,AJ$13),15-13*ORÇAMENTO!$AF$7)/$H497*OFFSET(ORÇAMENTO!$X$15,ROW(AJ497)-ROW(AJ$15),0),
              ROUND(ROUND(OFFSET($P497,0,AJ$13),15-13*ORÇAMENTO!$AF$7)*OFFSET(ORÇAMENTO!$W$15,ROW(AJ497)-ROW(AJ$15),0),15-13*ORÇAMENTO!$AF$11)),
         0)</f>
        <v>0</v>
      </c>
      <c r="AK497" s="453">
        <f ca="1">IF(AND($D497="Serviço",AK$12&lt;&gt;0,$H497&gt;0,OR(AUTOEVENTO&lt;&gt;"manual",$M497&lt;&gt;$A$15)),
        IF(Import.TipoArredondamento&lt;&gt;"TransfereGOV",
              ROUND(OFFSET($P497,0,AK$13),15-13*ORÇAMENTO!$AF$7)/$H497*OFFSET(ORÇAMENTO!$X$15,ROW(AK497)-ROW(AK$15),0),
              ROUND(ROUND(OFFSET($P497,0,AK$13),15-13*ORÇAMENTO!$AF$7)*OFFSET(ORÇAMENTO!$W$15,ROW(AK497)-ROW(AK$15),0),15-13*ORÇAMENTO!$AF$11)),
         0)</f>
        <v>0</v>
      </c>
      <c r="AL497" s="453">
        <f ca="1">IF(AND($D497="Serviço",AL$12&lt;&gt;0,$H497&gt;0,OR(AUTOEVENTO&lt;&gt;"manual",$M497&lt;&gt;$A$15)),
        IF(Import.TipoArredondamento&lt;&gt;"TransfereGOV",
              ROUND(OFFSET($P497,0,AL$13),15-13*ORÇAMENTO!$AF$7)/$H497*OFFSET(ORÇAMENTO!$X$15,ROW(AL497)-ROW(AL$15),0),
              ROUND(ROUND(OFFSET($P497,0,AL$13),15-13*ORÇAMENTO!$AF$7)*OFFSET(ORÇAMENTO!$W$15,ROW(AL497)-ROW(AL$15),0),15-13*ORÇAMENTO!$AF$11)),
         0)</f>
        <v>0</v>
      </c>
      <c r="AM497" s="453">
        <f ca="1">IF(AND($D497="Serviço",AM$12&lt;&gt;0,$H497&gt;0,OR(AUTOEVENTO&lt;&gt;"manual",$M497&lt;&gt;$A$15)),
        IF(Import.TipoArredondamento&lt;&gt;"TransfereGOV",
              ROUND(OFFSET($P497,0,AM$13),15-13*ORÇAMENTO!$AF$7)/$H497*OFFSET(ORÇAMENTO!$X$15,ROW(AM497)-ROW(AM$15),0),
              ROUND(ROUND(OFFSET($P497,0,AM$13),15-13*ORÇAMENTO!$AF$7)*OFFSET(ORÇAMENTO!$W$15,ROW(AM497)-ROW(AM$15),0),15-13*ORÇAMENTO!$AF$11)),
         0)</f>
        <v>0</v>
      </c>
      <c r="AN497" s="453">
        <f ca="1">IF(AND($D497="Serviço",AN$12&lt;&gt;0,$H497&gt;0,OR(AUTOEVENTO&lt;&gt;"manual",$M497&lt;&gt;$A$15)),
        IF(Import.TipoArredondamento&lt;&gt;"TransfereGOV",
              ROUND(OFFSET($P497,0,AN$13),15-13*ORÇAMENTO!$AF$7)/$H497*OFFSET(ORÇAMENTO!$X$15,ROW(AN497)-ROW(AN$15),0),
              ROUND(ROUND(OFFSET($P497,0,AN$13),15-13*ORÇAMENTO!$AF$7)*OFFSET(ORÇAMENTO!$W$15,ROW(AN497)-ROW(AN$15),0),15-13*ORÇAMENTO!$AF$11)),
         0)</f>
        <v>0</v>
      </c>
      <c r="AO497" s="453">
        <f ca="1">IF(AND($D497="Serviço",AO$12&lt;&gt;0,$H497&gt;0,OR(AUTOEVENTO&lt;&gt;"manual",$M497&lt;&gt;$A$15)),
        IF(Import.TipoArredondamento&lt;&gt;"TransfereGOV",
              ROUND(OFFSET($P497,0,AO$13),15-13*ORÇAMENTO!$AF$7)/$H497*OFFSET(ORÇAMENTO!$X$15,ROW(AO497)-ROW(AO$15),0),
              ROUND(ROUND(OFFSET($P497,0,AO$13),15-13*ORÇAMENTO!$AF$7)*OFFSET(ORÇAMENTO!$W$15,ROW(AO497)-ROW(AO$15),0),15-13*ORÇAMENTO!$AF$11)),
         0)</f>
        <v>0</v>
      </c>
      <c r="AP497" s="453">
        <f ca="1">IF(AND($D497="Serviço",AP$12&lt;&gt;0,$H497&gt;0,OR(AUTOEVENTO&lt;&gt;"manual",$M497&lt;&gt;$A$15)),
        IF(Import.TipoArredondamento&lt;&gt;"TransfereGOV",
              ROUND(OFFSET($P497,0,AP$13),15-13*ORÇAMENTO!$AF$7)/$H497*OFFSET(ORÇAMENTO!$X$15,ROW(AP497)-ROW(AP$15),0),
              ROUND(ROUND(OFFSET($P497,0,AP$13),15-13*ORÇAMENTO!$AF$7)*OFFSET(ORÇAMENTO!$W$15,ROW(AP497)-ROW(AP$15),0),15-13*ORÇAMENTO!$AF$11)),
         0)</f>
        <v>0</v>
      </c>
      <c r="AQ497" s="453">
        <f ca="1">IF(AND($D497="Serviço",AQ$12&lt;&gt;0,$H497&gt;0,OR(AUTOEVENTO&lt;&gt;"manual",$M497&lt;&gt;$A$15)),
        IF(Import.TipoArredondamento&lt;&gt;"TransfereGOV",
              ROUND(OFFSET($P497,0,AQ$13),15-13*ORÇAMENTO!$AF$7)/$H497*OFFSET(ORÇAMENTO!$X$15,ROW(AQ497)-ROW(AQ$15),0),
              ROUND(ROUND(OFFSET($P497,0,AQ$13),15-13*ORÇAMENTO!$AF$7)*OFFSET(ORÇAMENTO!$W$15,ROW(AQ497)-ROW(AQ$15),0),15-13*ORÇAMENTO!$AF$11)),
         0)</f>
        <v>0</v>
      </c>
      <c r="AR497" s="453">
        <f ca="1">IF(AND($D497="Serviço",AR$12&lt;&gt;0,$H497&gt;0,OR(AUTOEVENTO&lt;&gt;"manual",$M497&lt;&gt;$A$15)),
        IF(Import.TipoArredondamento&lt;&gt;"TransfereGOV",
              ROUND(OFFSET($P497,0,AR$13),15-13*ORÇAMENTO!$AF$7)/$H497*OFFSET(ORÇAMENTO!$X$15,ROW(AR497)-ROW(AR$15),0),
              ROUND(ROUND(OFFSET($P497,0,AR$13),15-13*ORÇAMENTO!$AF$7)*OFFSET(ORÇAMENTO!$W$15,ROW(AR497)-ROW(AR$15),0),15-13*ORÇAMENTO!$AF$11)),
         0)</f>
        <v>0</v>
      </c>
      <c r="AS497" s="453">
        <f ca="1">IF(AND($D497="Serviço",AS$12&lt;&gt;0,$H497&gt;0,OR(AUTOEVENTO&lt;&gt;"manual",$M497&lt;&gt;$A$15)),
        IF(Import.TipoArredondamento&lt;&gt;"TransfereGOV",
              ROUND(OFFSET($P497,0,AS$13),15-13*ORÇAMENTO!$AF$7)/$H497*OFFSET(ORÇAMENTO!$X$15,ROW(AS497)-ROW(AS$15),0),
              ROUND(ROUND(OFFSET($P497,0,AS$13),15-13*ORÇAMENTO!$AF$7)*OFFSET(ORÇAMENTO!$W$15,ROW(AS497)-ROW(AS$15),0),15-13*ORÇAMENTO!$AF$11)),
         0)</f>
        <v>0</v>
      </c>
      <c r="AT497" s="453">
        <f ca="1">IF(AND($D497="Serviço",AT$12&lt;&gt;0,$H497&gt;0,OR(AUTOEVENTO&lt;&gt;"manual",$M497&lt;&gt;$A$15)),
        IF(Import.TipoArredondamento&lt;&gt;"TransfereGOV",
              ROUND(OFFSET($P497,0,AT$13),15-13*ORÇAMENTO!$AF$7)/$H497*OFFSET(ORÇAMENTO!$X$15,ROW(AT497)-ROW(AT$15),0),
              ROUND(ROUND(OFFSET($P497,0,AT$13),15-13*ORÇAMENTO!$AF$7)*OFFSET(ORÇAMENTO!$W$15,ROW(AT497)-ROW(AT$15),0),15-13*ORÇAMENTO!$AF$11)),
         0)</f>
        <v>0</v>
      </c>
      <c r="AU497" s="453">
        <f ca="1">IF(AND($D497="Serviço",AU$12&lt;&gt;0,$H497&gt;0,OR(AUTOEVENTO&lt;&gt;"manual",$M497&lt;&gt;$A$15)),
        IF(Import.TipoArredondamento&lt;&gt;"TransfereGOV",
              ROUND(OFFSET($P497,0,AU$13),15-13*ORÇAMENTO!$AF$7)/$H497*OFFSET(ORÇAMENTO!$X$15,ROW(AU497)-ROW(AU$15),0),
              ROUND(ROUND(OFFSET($P497,0,AU$13),15-13*ORÇAMENTO!$AF$7)*OFFSET(ORÇAMENTO!$W$15,ROW(AU497)-ROW(AU$15),0),15-13*ORÇAMENTO!$AF$11)),
         0)</f>
        <v>0</v>
      </c>
      <c r="AV497" s="453">
        <f ca="1">IF(AND($D497="Serviço",AV$12&lt;&gt;0,$H497&gt;0,OR(AUTOEVENTO&lt;&gt;"manual",$M497&lt;&gt;$A$15)),
        IF(Import.TipoArredondamento&lt;&gt;"TransfereGOV",
              ROUND(OFFSET($P497,0,AV$13),15-13*ORÇAMENTO!$AF$7)/$H497*OFFSET(ORÇAMENTO!$X$15,ROW(AV497)-ROW(AV$15),0),
              ROUND(ROUND(OFFSET($P497,0,AV$13),15-13*ORÇAMENTO!$AF$7)*OFFSET(ORÇAMENTO!$W$15,ROW(AV497)-ROW(AV$15),0),15-13*ORÇAMENTO!$AF$11)),
         0)</f>
        <v>0</v>
      </c>
      <c r="AW497" s="453">
        <f ca="1">IF(AND($D497="Serviço",AW$12&lt;&gt;0,$H497&gt;0,OR(AUTOEVENTO&lt;&gt;"manual",$M497&lt;&gt;$A$15)),
        IF(Import.TipoArredondamento&lt;&gt;"TransfereGOV",
              ROUND(OFFSET($P497,0,AW$13),15-13*ORÇAMENTO!$AF$7)/$H497*OFFSET(ORÇAMENTO!$X$15,ROW(AW497)-ROW(AW$15),0),
              ROUND(ROUND(OFFSET($P497,0,AW$13),15-13*ORÇAMENTO!$AF$7)*OFFSET(ORÇAMENTO!$W$15,ROW(AW497)-ROW(AW$15),0),15-13*ORÇAMENTO!$AF$11)),
         0)</f>
        <v>0</v>
      </c>
      <c r="AX497" s="453">
        <f ca="1">IF(AND($D497="Serviço",AX$12&lt;&gt;0,$H497&gt;0,OR(AUTOEVENTO&lt;&gt;"manual",$M497&lt;&gt;$A$15)),
        IF(Import.TipoArredondamento&lt;&gt;"TransfereGOV",
              ROUND(OFFSET($P497,0,AX$13),15-13*ORÇAMENTO!$AF$7)/$H497*OFFSET(ORÇAMENTO!$X$15,ROW(AX497)-ROW(AX$15),0),
              ROUND(ROUND(OFFSET($P497,0,AX$13),15-13*ORÇAMENTO!$AF$7)*OFFSET(ORÇAMENTO!$W$15,ROW(AX497)-ROW(AX$15),0),15-13*ORÇAMENTO!$AF$11)),
         0)</f>
        <v>0</v>
      </c>
      <c r="AY497" s="453">
        <f ca="1">IF(AND($D497="Serviço",AY$12&lt;&gt;0,$H497&gt;0,OR(AUTOEVENTO&lt;&gt;"manual",$M497&lt;&gt;$A$15)),
        IF(Import.TipoArredondamento&lt;&gt;"TransfereGOV",
              ROUND(OFFSET($P497,0,AY$13),15-13*ORÇAMENTO!$AF$7)/$H497*OFFSET(ORÇAMENTO!$X$15,ROW(AY497)-ROW(AY$15),0),
              ROUND(ROUND(OFFSET($P497,0,AY$13),15-13*ORÇAMENTO!$AF$7)*OFFSET(ORÇAMENTO!$W$15,ROW(AY497)-ROW(AY$15),0),15-13*ORÇAMENTO!$AF$11)),
         0)</f>
        <v>0</v>
      </c>
      <c r="AZ497" s="453">
        <f ca="1">IF(AND($D497="Serviço",AZ$12&lt;&gt;0,$H497&gt;0,OR(AUTOEVENTO&lt;&gt;"manual",$M497&lt;&gt;$A$15)),
        IF(Import.TipoArredondamento&lt;&gt;"TransfereGOV",
              ROUND(OFFSET($P497,0,AZ$13),15-13*ORÇAMENTO!$AF$7)/$H497*OFFSET(ORÇAMENTO!$X$15,ROW(AZ497)-ROW(AZ$15),0),
              ROUND(ROUND(OFFSET($P497,0,AZ$13),15-13*ORÇAMENTO!$AF$7)*OFFSET(ORÇAMENTO!$W$15,ROW(AZ497)-ROW(AZ$15),0),15-13*ORÇAMENTO!$AF$11)),
         0)</f>
        <v>0</v>
      </c>
      <c r="BA497" s="453">
        <f ca="1">IF(AND($D497="Serviço",BA$12&lt;&gt;0,$H497&gt;0,OR(AUTOEVENTO&lt;&gt;"manual",$M497&lt;&gt;$A$15)),
        IF(Import.TipoArredondamento&lt;&gt;"TransfereGOV",
              ROUND(OFFSET($P497,0,BA$13),15-13*ORÇAMENTO!$AF$7)/$H497*OFFSET(ORÇAMENTO!$X$15,ROW(BA497)-ROW(BA$15),0),
              ROUND(ROUND(OFFSET($P497,0,BA$13),15-13*ORÇAMENTO!$AF$7)*OFFSET(ORÇAMENTO!$W$15,ROW(BA497)-ROW(BA$15),0),15-13*ORÇAMENTO!$AF$11)),
         0)</f>
        <v>0</v>
      </c>
      <c r="BC497" s="171">
        <f ca="1">IF(OR($D497&lt;&gt;"Serviço",AND(AUTOEVENTO="Manual",$M497=$A$15)),0,
         IF(OFFSET(CRONOPLE!$F$15,$M497-$A$15,BC$13)=0,10^12,OFFSET(CRONOPLE!$F$15,$M497-$A$15,BC$13)))</f>
        <v>1000000000000</v>
      </c>
      <c r="BD497" s="171">
        <f ca="1">IF(OR($D497&lt;&gt;"Serviço",AND(AUTOEVENTO="Manual",$M497=$A$15)),0,
         IF(OFFSET(CRONOPLE!$F$15,$M497-$A$15,BD$13)=0,10^12,OFFSET(CRONOPLE!$F$15,$M497-$A$15,BD$13)))</f>
        <v>1000000000000</v>
      </c>
      <c r="BE497" s="171">
        <f ca="1">IF(OR($D497&lt;&gt;"Serviço",AND(AUTOEVENTO="Manual",$M497=$A$15)),0,
         IF(OFFSET(CRONOPLE!$F$15,$M497-$A$15,BE$13)=0,10^12,OFFSET(CRONOPLE!$F$15,$M497-$A$15,BE$13)))</f>
        <v>1000000000000</v>
      </c>
      <c r="BF497" s="171">
        <f ca="1">IF(OR($D497&lt;&gt;"Serviço",AND(AUTOEVENTO="Manual",$M497=$A$15)),0,
         IF(OFFSET(CRONOPLE!$F$15,$M497-$A$15,BF$13)=0,10^12,OFFSET(CRONOPLE!$F$15,$M497-$A$15,BF$13)))</f>
        <v>1000000000000</v>
      </c>
      <c r="BG497" s="171">
        <f ca="1">IF(OR($D497&lt;&gt;"Serviço",AND(AUTOEVENTO="Manual",$M497=$A$15)),0,
         IF(OFFSET(CRONOPLE!$F$15,$M497-$A$15,BG$13)=0,10^12,OFFSET(CRONOPLE!$F$15,$M497-$A$15,BG$13)))</f>
        <v>1000000000000</v>
      </c>
      <c r="BH497" s="171">
        <f ca="1">IF(OR($D497&lt;&gt;"Serviço",AND(AUTOEVENTO="Manual",$M497=$A$15)),0,
         IF(OFFSET(CRONOPLE!$F$15,$M497-$A$15,BH$13)=0,10^12,OFFSET(CRONOPLE!$F$15,$M497-$A$15,BH$13)))</f>
        <v>1000000000000</v>
      </c>
      <c r="BI497" s="171">
        <f ca="1">IF(OR($D497&lt;&gt;"Serviço",AND(AUTOEVENTO="Manual",$M497=$A$15)),0,
         IF(OFFSET(CRONOPLE!$F$15,$M497-$A$15,BI$13)=0,10^12,OFFSET(CRONOPLE!$F$15,$M497-$A$15,BI$13)))</f>
        <v>1000000000000</v>
      </c>
      <c r="BJ497" s="171">
        <f ca="1">IF(OR($D497&lt;&gt;"Serviço",AND(AUTOEVENTO="Manual",$M497=$A$15)),0,
         IF(OFFSET(CRONOPLE!$F$15,$M497-$A$15,BJ$13)=0,10^12,OFFSET(CRONOPLE!$F$15,$M497-$A$15,BJ$13)))</f>
        <v>1000000000000</v>
      </c>
      <c r="BK497" s="171">
        <f ca="1">IF(OR($D497&lt;&gt;"Serviço",AND(AUTOEVENTO="Manual",$M497=$A$15)),0,
         IF(OFFSET(CRONOPLE!$F$15,$M497-$A$15,BK$13)=0,10^12,OFFSET(CRONOPLE!$F$15,$M497-$A$15,BK$13)))</f>
        <v>9</v>
      </c>
      <c r="BL497" s="171">
        <f ca="1">IF(OR($D497&lt;&gt;"Serviço",AND(AUTOEVENTO="Manual",$M497=$A$15)),0,
         IF(OFFSET(CRONOPLE!$F$15,$M497-$A$15,BL$13)=0,10^12,OFFSET(CRONOPLE!$F$15,$M497-$A$15,BL$13)))</f>
        <v>10</v>
      </c>
      <c r="BM497" s="171">
        <f ca="1">IF(OR($D497&lt;&gt;"Serviço",AND(AUTOEVENTO="Manual",$M497=$A$15)),0,
         IF(OFFSET(CRONOPLE!$F$15,$M497-$A$15,BM$13)=0,10^12,OFFSET(CRONOPLE!$F$15,$M497-$A$15,BM$13)))</f>
        <v>1000000000000</v>
      </c>
      <c r="BN497" s="171">
        <f ca="1">IF(OR($D497&lt;&gt;"Serviço",AND(AUTOEVENTO="Manual",$M497=$A$15)),0,
         IF(OFFSET(CRONOPLE!$F$15,$M497-$A$15,BN$13)=0,10^12,OFFSET(CRONOPLE!$F$15,$M497-$A$15,BN$13)))</f>
        <v>1000000000000</v>
      </c>
      <c r="BO497" s="171">
        <f ca="1">IF(OR($D497&lt;&gt;"Serviço",AND(AUTOEVENTO="Manual",$M497=$A$15)),0,
         IF(OFFSET(CRONOPLE!$F$15,$M497-$A$15,BO$13)=0,10^12,OFFSET(CRONOPLE!$F$15,$M497-$A$15,BO$13)))</f>
        <v>1000000000000</v>
      </c>
      <c r="BP497" s="171">
        <f ca="1">IF(OR($D497&lt;&gt;"Serviço",AND(AUTOEVENTO="Manual",$M497=$A$15)),0,
         IF(OFFSET(CRONOPLE!$F$15,$M497-$A$15,BP$13)=0,10^12,OFFSET(CRONOPLE!$F$15,$M497-$A$15,BP$13)))</f>
        <v>1000000000000</v>
      </c>
      <c r="BQ497" s="171">
        <f ca="1">IF(OR($D497&lt;&gt;"Serviço",AND(AUTOEVENTO="Manual",$M497=$A$15)),0,
         IF(OFFSET(CRONOPLE!$F$15,$M497-$A$15,BQ$13)=0,10^12,OFFSET(CRONOPLE!$F$15,$M497-$A$15,BQ$13)))</f>
        <v>1000000000000</v>
      </c>
      <c r="BR497" s="171">
        <f ca="1">IF(OR($D497&lt;&gt;"Serviço",AND(AUTOEVENTO="Manual",$M497=$A$15)),0,
         IF(OFFSET(CRONOPLE!$F$15,$M497-$A$15,BR$13)=0,10^12,OFFSET(CRONOPLE!$F$15,$M497-$A$15,BR$13)))</f>
        <v>1000000000000</v>
      </c>
      <c r="BS497" s="171">
        <f ca="1">IF(OR($D497&lt;&gt;"Serviço",AND(AUTOEVENTO="Manual",$M497=$A$15)),0,
         IF(OFFSET(CRONOPLE!$F$15,$M497-$A$15,BS$13)=0,10^12,OFFSET(CRONOPLE!$F$15,$M497-$A$15,BS$13)))</f>
        <v>1000000000000</v>
      </c>
      <c r="BT497" s="171">
        <f ca="1">IF(OR($D497&lt;&gt;"Serviço",AND(AUTOEVENTO="Manual",$M497=$A$15)),0,
         IF(OFFSET(CRONOPLE!$F$15,$M497-$A$15,BT$13)=0,10^12,OFFSET(CRONOPLE!$F$15,$M497-$A$15,BT$13)))</f>
        <v>1000000000000</v>
      </c>
      <c r="BV497" s="172">
        <f ca="1">IF(OR($D497&lt;&gt;"Serviço",AND(AUTOEVENTO="Manual",$M497=$A$15),$M497&gt;(ROW(PLE.lastrow)-ROW(PLE.firstrow))),0,
           IF(OFFSET(PLE!$G$15,$M497-$A$15,BV$13)="",10^12,OFFSET(PLE!$G$15,$M497-$A$15,BV$13)))</f>
        <v>1000000000000</v>
      </c>
      <c r="BW497" s="172">
        <f ca="1">IF(OR($D497&lt;&gt;"Serviço",AND(AUTOEVENTO="Manual",$M497=$A$15),$M497&gt;(ROW(PLE.lastrow)-ROW(PLE.firstrow))),0,
           IF(OFFSET(PLE!$G$15,$M497-$A$15,BW$13)="",10^12,OFFSET(PLE!$G$15,$M497-$A$15,BW$13)))</f>
        <v>1000000000000</v>
      </c>
      <c r="BX497" s="172">
        <f ca="1">IF(OR($D497&lt;&gt;"Serviço",AND(AUTOEVENTO="Manual",$M497=$A$15),$M497&gt;(ROW(PLE.lastrow)-ROW(PLE.firstrow))),0,
           IF(OFFSET(PLE!$G$15,$M497-$A$15,BX$13)="",10^12,OFFSET(PLE!$G$15,$M497-$A$15,BX$13)))</f>
        <v>1000000000000</v>
      </c>
      <c r="BY497" s="172">
        <f ca="1">IF(OR($D497&lt;&gt;"Serviço",AND(AUTOEVENTO="Manual",$M497=$A$15),$M497&gt;(ROW(PLE.lastrow)-ROW(PLE.firstrow))),0,
           IF(OFFSET(PLE!$G$15,$M497-$A$15,BY$13)="",10^12,OFFSET(PLE!$G$15,$M497-$A$15,BY$13)))</f>
        <v>1000000000000</v>
      </c>
      <c r="BZ497" s="172">
        <f ca="1">IF(OR($D497&lt;&gt;"Serviço",AND(AUTOEVENTO="Manual",$M497=$A$15),$M497&gt;(ROW(PLE.lastrow)-ROW(PLE.firstrow))),0,
           IF(OFFSET(PLE!$G$15,$M497-$A$15,BZ$13)="",10^12,OFFSET(PLE!$G$15,$M497-$A$15,BZ$13)))</f>
        <v>1000000000000</v>
      </c>
      <c r="CA497" s="172">
        <f ca="1">IF(OR($D497&lt;&gt;"Serviço",AND(AUTOEVENTO="Manual",$M497=$A$15),$M497&gt;(ROW(PLE.lastrow)-ROW(PLE.firstrow))),0,
           IF(OFFSET(PLE!$G$15,$M497-$A$15,CA$13)="",10^12,OFFSET(PLE!$G$15,$M497-$A$15,CA$13)))</f>
        <v>1000000000000</v>
      </c>
      <c r="CB497" s="172">
        <f ca="1">IF(OR($D497&lt;&gt;"Serviço",AND(AUTOEVENTO="Manual",$M497=$A$15),$M497&gt;(ROW(PLE.lastrow)-ROW(PLE.firstrow))),0,
           IF(OFFSET(PLE!$G$15,$M497-$A$15,CB$13)="",10^12,OFFSET(PLE!$G$15,$M497-$A$15,CB$13)))</f>
        <v>1000000000000</v>
      </c>
      <c r="CC497" s="172">
        <f ca="1">IF(OR($D497&lt;&gt;"Serviço",AND(AUTOEVENTO="Manual",$M497=$A$15),$M497&gt;(ROW(PLE.lastrow)-ROW(PLE.firstrow))),0,
           IF(OFFSET(PLE!$G$15,$M497-$A$15,CC$13)="",10^12,OFFSET(PLE!$G$15,$M497-$A$15,CC$13)))</f>
        <v>1000000000000</v>
      </c>
      <c r="CD497" s="172">
        <f ca="1">IF(OR($D497&lt;&gt;"Serviço",AND(AUTOEVENTO="Manual",$M497=$A$15),$M497&gt;(ROW(PLE.lastrow)-ROW(PLE.firstrow))),0,
           IF(OFFSET(PLE!$G$15,$M497-$A$15,CD$13)="",10^12,OFFSET(PLE!$G$15,$M497-$A$15,CD$13)))</f>
        <v>1000000000000</v>
      </c>
      <c r="CE497" s="172">
        <f ca="1">IF(OR($D497&lt;&gt;"Serviço",AND(AUTOEVENTO="Manual",$M497=$A$15),$M497&gt;(ROW(PLE.lastrow)-ROW(PLE.firstrow))),0,
           IF(OFFSET(PLE!$G$15,$M497-$A$15,CE$13)="",10^12,OFFSET(PLE!$G$15,$M497-$A$15,CE$13)))</f>
        <v>1000000000000</v>
      </c>
      <c r="CF497" s="172">
        <f ca="1">IF(OR($D497&lt;&gt;"Serviço",AND(AUTOEVENTO="Manual",$M497=$A$15),$M497&gt;(ROW(PLE.lastrow)-ROW(PLE.firstrow))),0,
           IF(OFFSET(PLE!$G$15,$M497-$A$15,CF$13)="",10^12,OFFSET(PLE!$G$15,$M497-$A$15,CF$13)))</f>
        <v>1000000000000</v>
      </c>
      <c r="CG497" s="172">
        <f ca="1">IF(OR($D497&lt;&gt;"Serviço",AND(AUTOEVENTO="Manual",$M497=$A$15),$M497&gt;(ROW(PLE.lastrow)-ROW(PLE.firstrow))),0,
           IF(OFFSET(PLE!$G$15,$M497-$A$15,CG$13)="",10^12,OFFSET(PLE!$G$15,$M497-$A$15,CG$13)))</f>
        <v>1000000000000</v>
      </c>
      <c r="CH497" s="172">
        <f ca="1">IF(OR($D497&lt;&gt;"Serviço",AND(AUTOEVENTO="Manual",$M497=$A$15),$M497&gt;(ROW(PLE.lastrow)-ROW(PLE.firstrow))),0,
           IF(OFFSET(PLE!$G$15,$M497-$A$15,CH$13)="",10^12,OFFSET(PLE!$G$15,$M497-$A$15,CH$13)))</f>
        <v>1000000000000</v>
      </c>
      <c r="CI497" s="172">
        <f ca="1">IF(OR($D497&lt;&gt;"Serviço",AND(AUTOEVENTO="Manual",$M497=$A$15),$M497&gt;(ROW(PLE.lastrow)-ROW(PLE.firstrow))),0,
           IF(OFFSET(PLE!$G$15,$M497-$A$15,CI$13)="",10^12,OFFSET(PLE!$G$15,$M497-$A$15,CI$13)))</f>
        <v>1000000000000</v>
      </c>
      <c r="CJ497" s="172">
        <f ca="1">IF(OR($D497&lt;&gt;"Serviço",AND(AUTOEVENTO="Manual",$M497=$A$15),$M497&gt;(ROW(PLE.lastrow)-ROW(PLE.firstrow))),0,
           IF(OFFSET(PLE!$G$15,$M497-$A$15,CJ$13)="",10^12,OFFSET(PLE!$G$15,$M497-$A$15,CJ$13)))</f>
        <v>1000000000000</v>
      </c>
      <c r="CK497" s="172">
        <f ca="1">IF(OR($D497&lt;&gt;"Serviço",AND(AUTOEVENTO="Manual",$M497=$A$15),$M497&gt;(ROW(PLE.lastrow)-ROW(PLE.firstrow))),0,
           IF(OFFSET(PLE!$G$15,$M497-$A$15,CK$13)="",10^12,OFFSET(PLE!$G$15,$M497-$A$15,CK$13)))</f>
        <v>1000000000000</v>
      </c>
      <c r="CL497" s="172">
        <f ca="1">IF(OR($D497&lt;&gt;"Serviço",AND(AUTOEVENTO="Manual",$M497=$A$15),$M497&gt;(ROW(PLE.lastrow)-ROW(PLE.firstrow))),0,
           IF(OFFSET(PLE!$G$15,$M497-$A$15,CL$13)="",10^12,OFFSET(PLE!$G$15,$M497-$A$15,CL$13)))</f>
        <v>1000000000000</v>
      </c>
      <c r="CM497" s="172">
        <f ca="1">IF(OR($D497&lt;&gt;"Serviço",AND(AUTOEVENTO="Manual",$M497=$A$15),$M497&gt;(ROW(PLE.lastrow)-ROW(PLE.firstrow))),0,
           IF(OFFSET(PLE!$G$15,$M497-$A$15,CM$13)="",10^12,OFFSET(PLE!$G$15,$M497-$A$15,CM$13)))</f>
        <v>1000000000000</v>
      </c>
    </row>
    <row r="498" spans="1:91" ht="12.75" x14ac:dyDescent="0.2">
      <c r="A498" s="7">
        <f t="shared" ca="1" si="17"/>
        <v>8</v>
      </c>
      <c r="B498" s="7">
        <f ca="1">OFFSET(ORÇAMENTO!C$15,ROW(B498)-ROW(B$15),0)</f>
        <v>3</v>
      </c>
      <c r="C498" s="7" t="str">
        <f ca="1">OFFSET(ORÇAMENTO!L$15,ROW(C498)-ROW(C$15),0)</f>
        <v>F</v>
      </c>
      <c r="D498" s="116" t="str">
        <f ca="1">OFFSET(ORÇAMENTO!N$15,ROW(D498)-ROW(D$15),0)</f>
        <v>Nível 3</v>
      </c>
      <c r="E498" s="117" t="str">
        <f ca="1">OFFSET(ORÇAMENTO!O$15,ROW(E498)-ROW(E$15),0)</f>
        <v>1.10.6.</v>
      </c>
      <c r="F498" s="163" t="str">
        <f ca="1">OFFSET(ORÇAMENTO!R$15,ROW(F498)-ROW(F$15),0)</f>
        <v>ESQUADRIAS</v>
      </c>
      <c r="G498" s="164" t="str">
        <f ca="1">IF($D498&lt;&gt;"Serviço","",OFFSET(ORÇAMENTO!S$15,ROW(G498)-ROW(G$15),0))</f>
        <v/>
      </c>
      <c r="H498" s="122" cm="1">
        <f t="array" aca="1" ref="H498" ca="1">IF($D498&lt;&gt;"Serviço",0,IF(ACOMPANHAMENTO="BM",ROUND(OFFSET(ORÇAMENTO!AJ$15,ROW(H498)-ROW(H$15),0),15-13*ORÇAMENTO!$AF$7),SUMPRODUCT(($Q$1:$AI$1=1)*ROUND($Q498:$AI498,15-13*ORÇAMENTO!$AF$7))))</f>
        <v>0</v>
      </c>
      <c r="I498" s="468"/>
      <c r="J498" s="640" t="str" cm="1">
        <f t="array" aca="1" ref="J498" ca="1">IF(OR(B498&lt;&gt;"S",CÁLCULO.FrentesPreenchidas=0),"",IF(AND(ACOMPANHAMENTO="PLE",AUTOEVENTO="Manual",OR(H498&gt;0,ORÇAMENTO!AC498="QUANT."),OR(K498="",M498=0,N498="")),"►E",IF(AND(ACOMPANHAMENTO="PLE",ORÇAMENTO!AC498="QUANT."),"►Q",IF(AND(ACOMPANHAMENTO="PLE",H498&lt;&gt;SUMPRODUCT(($Q$1:$AI$1=1)*ROUND(Q498:AI498,15))),"►S",IF(AND(COUNTIF($P$11:$AI$11,"▼")=0,H498&gt;0,I498=""),"◄M","")))))</f>
        <v/>
      </c>
      <c r="K498" s="641" t="s">
        <v>1368</v>
      </c>
      <c r="L498" s="165" t="s">
        <v>764</v>
      </c>
      <c r="M498" s="166" t="str">
        <f ca="1">IF($D498&lt;&gt;"Serviço","",
          IF(AUTOEVENTO="manual",$A498,
                IF(ISERROR(MATCH($A498,$A$15:OFFSET($A498,-1,0),0)),MAX($M$15:OFFSET(M498,-1,0))+1,
                      INDEX($M$15:OFFSET(M498,-1,0),MATCH($A498,$A$15:OFFSET($A498,-1,0),0)))))</f>
        <v/>
      </c>
      <c r="N498" s="167" t="str">
        <f ca="1">IF($D498&lt;&gt;"Serviço","",
         IF(AUTOEVENTO="Manual",
                IF($A498=0,"&lt;-- defina o número do agrupador",
                       OFFSET(EVENTOS!$D$15,$A498-$A$15,0)),
                OFFSET($F$15,$A498,0)))</f>
        <v/>
      </c>
      <c r="O498" s="168"/>
      <c r="Q498" s="168"/>
      <c r="R498" s="169"/>
      <c r="S498" s="169"/>
      <c r="T498" s="169"/>
      <c r="U498" s="169"/>
      <c r="V498" s="169"/>
      <c r="W498" s="169"/>
      <c r="X498" s="169"/>
      <c r="Y498" s="169"/>
      <c r="Z498" s="170"/>
      <c r="AA498" s="169"/>
      <c r="AB498" s="169"/>
      <c r="AC498" s="169"/>
      <c r="AD498" s="169"/>
      <c r="AE498" s="169"/>
      <c r="AF498" s="169"/>
      <c r="AG498" s="169"/>
      <c r="AH498" s="170"/>
      <c r="AJ498" s="453">
        <f ca="1">IF(AND($D498="Serviço",AJ$12&lt;&gt;0,$H498&gt;0,OR(AUTOEVENTO&lt;&gt;"manual",$M498&lt;&gt;$A$15)),
        IF(Import.TipoArredondamento&lt;&gt;"TransfereGOV",
              ROUND(OFFSET($P498,0,AJ$13),15-13*ORÇAMENTO!$AF$7)/$H498*OFFSET(ORÇAMENTO!$X$15,ROW(AJ498)-ROW(AJ$15),0),
              ROUND(ROUND(OFFSET($P498,0,AJ$13),15-13*ORÇAMENTO!$AF$7)*OFFSET(ORÇAMENTO!$W$15,ROW(AJ498)-ROW(AJ$15),0),15-13*ORÇAMENTO!$AF$11)),
         0)</f>
        <v>0</v>
      </c>
      <c r="AK498" s="453">
        <f ca="1">IF(AND($D498="Serviço",AK$12&lt;&gt;0,$H498&gt;0,OR(AUTOEVENTO&lt;&gt;"manual",$M498&lt;&gt;$A$15)),
        IF(Import.TipoArredondamento&lt;&gt;"TransfereGOV",
              ROUND(OFFSET($P498,0,AK$13),15-13*ORÇAMENTO!$AF$7)/$H498*OFFSET(ORÇAMENTO!$X$15,ROW(AK498)-ROW(AK$15),0),
              ROUND(ROUND(OFFSET($P498,0,AK$13),15-13*ORÇAMENTO!$AF$7)*OFFSET(ORÇAMENTO!$W$15,ROW(AK498)-ROW(AK$15),0),15-13*ORÇAMENTO!$AF$11)),
         0)</f>
        <v>0</v>
      </c>
      <c r="AL498" s="453">
        <f ca="1">IF(AND($D498="Serviço",AL$12&lt;&gt;0,$H498&gt;0,OR(AUTOEVENTO&lt;&gt;"manual",$M498&lt;&gt;$A$15)),
        IF(Import.TipoArredondamento&lt;&gt;"TransfereGOV",
              ROUND(OFFSET($P498,0,AL$13),15-13*ORÇAMENTO!$AF$7)/$H498*OFFSET(ORÇAMENTO!$X$15,ROW(AL498)-ROW(AL$15),0),
              ROUND(ROUND(OFFSET($P498,0,AL$13),15-13*ORÇAMENTO!$AF$7)*OFFSET(ORÇAMENTO!$W$15,ROW(AL498)-ROW(AL$15),0),15-13*ORÇAMENTO!$AF$11)),
         0)</f>
        <v>0</v>
      </c>
      <c r="AM498" s="453">
        <f ca="1">IF(AND($D498="Serviço",AM$12&lt;&gt;0,$H498&gt;0,OR(AUTOEVENTO&lt;&gt;"manual",$M498&lt;&gt;$A$15)),
        IF(Import.TipoArredondamento&lt;&gt;"TransfereGOV",
              ROUND(OFFSET($P498,0,AM$13),15-13*ORÇAMENTO!$AF$7)/$H498*OFFSET(ORÇAMENTO!$X$15,ROW(AM498)-ROW(AM$15),0),
              ROUND(ROUND(OFFSET($P498,0,AM$13),15-13*ORÇAMENTO!$AF$7)*OFFSET(ORÇAMENTO!$W$15,ROW(AM498)-ROW(AM$15),0),15-13*ORÇAMENTO!$AF$11)),
         0)</f>
        <v>0</v>
      </c>
      <c r="AN498" s="453">
        <f ca="1">IF(AND($D498="Serviço",AN$12&lt;&gt;0,$H498&gt;0,OR(AUTOEVENTO&lt;&gt;"manual",$M498&lt;&gt;$A$15)),
        IF(Import.TipoArredondamento&lt;&gt;"TransfereGOV",
              ROUND(OFFSET($P498,0,AN$13),15-13*ORÇAMENTO!$AF$7)/$H498*OFFSET(ORÇAMENTO!$X$15,ROW(AN498)-ROW(AN$15),0),
              ROUND(ROUND(OFFSET($P498,0,AN$13),15-13*ORÇAMENTO!$AF$7)*OFFSET(ORÇAMENTO!$W$15,ROW(AN498)-ROW(AN$15),0),15-13*ORÇAMENTO!$AF$11)),
         0)</f>
        <v>0</v>
      </c>
      <c r="AO498" s="453">
        <f ca="1">IF(AND($D498="Serviço",AO$12&lt;&gt;0,$H498&gt;0,OR(AUTOEVENTO&lt;&gt;"manual",$M498&lt;&gt;$A$15)),
        IF(Import.TipoArredondamento&lt;&gt;"TransfereGOV",
              ROUND(OFFSET($P498,0,AO$13),15-13*ORÇAMENTO!$AF$7)/$H498*OFFSET(ORÇAMENTO!$X$15,ROW(AO498)-ROW(AO$15),0),
              ROUND(ROUND(OFFSET($P498,0,AO$13),15-13*ORÇAMENTO!$AF$7)*OFFSET(ORÇAMENTO!$W$15,ROW(AO498)-ROW(AO$15),0),15-13*ORÇAMENTO!$AF$11)),
         0)</f>
        <v>0</v>
      </c>
      <c r="AP498" s="453">
        <f ca="1">IF(AND($D498="Serviço",AP$12&lt;&gt;0,$H498&gt;0,OR(AUTOEVENTO&lt;&gt;"manual",$M498&lt;&gt;$A$15)),
        IF(Import.TipoArredondamento&lt;&gt;"TransfereGOV",
              ROUND(OFFSET($P498,0,AP$13),15-13*ORÇAMENTO!$AF$7)/$H498*OFFSET(ORÇAMENTO!$X$15,ROW(AP498)-ROW(AP$15),0),
              ROUND(ROUND(OFFSET($P498,0,AP$13),15-13*ORÇAMENTO!$AF$7)*OFFSET(ORÇAMENTO!$W$15,ROW(AP498)-ROW(AP$15),0),15-13*ORÇAMENTO!$AF$11)),
         0)</f>
        <v>0</v>
      </c>
      <c r="AQ498" s="453">
        <f ca="1">IF(AND($D498="Serviço",AQ$12&lt;&gt;0,$H498&gt;0,OR(AUTOEVENTO&lt;&gt;"manual",$M498&lt;&gt;$A$15)),
        IF(Import.TipoArredondamento&lt;&gt;"TransfereGOV",
              ROUND(OFFSET($P498,0,AQ$13),15-13*ORÇAMENTO!$AF$7)/$H498*OFFSET(ORÇAMENTO!$X$15,ROW(AQ498)-ROW(AQ$15),0),
              ROUND(ROUND(OFFSET($P498,0,AQ$13),15-13*ORÇAMENTO!$AF$7)*OFFSET(ORÇAMENTO!$W$15,ROW(AQ498)-ROW(AQ$15),0),15-13*ORÇAMENTO!$AF$11)),
         0)</f>
        <v>0</v>
      </c>
      <c r="AR498" s="453">
        <f ca="1">IF(AND($D498="Serviço",AR$12&lt;&gt;0,$H498&gt;0,OR(AUTOEVENTO&lt;&gt;"manual",$M498&lt;&gt;$A$15)),
        IF(Import.TipoArredondamento&lt;&gt;"TransfereGOV",
              ROUND(OFFSET($P498,0,AR$13),15-13*ORÇAMENTO!$AF$7)/$H498*OFFSET(ORÇAMENTO!$X$15,ROW(AR498)-ROW(AR$15),0),
              ROUND(ROUND(OFFSET($P498,0,AR$13),15-13*ORÇAMENTO!$AF$7)*OFFSET(ORÇAMENTO!$W$15,ROW(AR498)-ROW(AR$15),0),15-13*ORÇAMENTO!$AF$11)),
         0)</f>
        <v>0</v>
      </c>
      <c r="AS498" s="453">
        <f ca="1">IF(AND($D498="Serviço",AS$12&lt;&gt;0,$H498&gt;0,OR(AUTOEVENTO&lt;&gt;"manual",$M498&lt;&gt;$A$15)),
        IF(Import.TipoArredondamento&lt;&gt;"TransfereGOV",
              ROUND(OFFSET($P498,0,AS$13),15-13*ORÇAMENTO!$AF$7)/$H498*OFFSET(ORÇAMENTO!$X$15,ROW(AS498)-ROW(AS$15),0),
              ROUND(ROUND(OFFSET($P498,0,AS$13),15-13*ORÇAMENTO!$AF$7)*OFFSET(ORÇAMENTO!$W$15,ROW(AS498)-ROW(AS$15),0),15-13*ORÇAMENTO!$AF$11)),
         0)</f>
        <v>0</v>
      </c>
      <c r="AT498" s="453">
        <f ca="1">IF(AND($D498="Serviço",AT$12&lt;&gt;0,$H498&gt;0,OR(AUTOEVENTO&lt;&gt;"manual",$M498&lt;&gt;$A$15)),
        IF(Import.TipoArredondamento&lt;&gt;"TransfereGOV",
              ROUND(OFFSET($P498,0,AT$13),15-13*ORÇAMENTO!$AF$7)/$H498*OFFSET(ORÇAMENTO!$X$15,ROW(AT498)-ROW(AT$15),0),
              ROUND(ROUND(OFFSET($P498,0,AT$13),15-13*ORÇAMENTO!$AF$7)*OFFSET(ORÇAMENTO!$W$15,ROW(AT498)-ROW(AT$15),0),15-13*ORÇAMENTO!$AF$11)),
         0)</f>
        <v>0</v>
      </c>
      <c r="AU498" s="453">
        <f ca="1">IF(AND($D498="Serviço",AU$12&lt;&gt;0,$H498&gt;0,OR(AUTOEVENTO&lt;&gt;"manual",$M498&lt;&gt;$A$15)),
        IF(Import.TipoArredondamento&lt;&gt;"TransfereGOV",
              ROUND(OFFSET($P498,0,AU$13),15-13*ORÇAMENTO!$AF$7)/$H498*OFFSET(ORÇAMENTO!$X$15,ROW(AU498)-ROW(AU$15),0),
              ROUND(ROUND(OFFSET($P498,0,AU$13),15-13*ORÇAMENTO!$AF$7)*OFFSET(ORÇAMENTO!$W$15,ROW(AU498)-ROW(AU$15),0),15-13*ORÇAMENTO!$AF$11)),
         0)</f>
        <v>0</v>
      </c>
      <c r="AV498" s="453">
        <f ca="1">IF(AND($D498="Serviço",AV$12&lt;&gt;0,$H498&gt;0,OR(AUTOEVENTO&lt;&gt;"manual",$M498&lt;&gt;$A$15)),
        IF(Import.TipoArredondamento&lt;&gt;"TransfereGOV",
              ROUND(OFFSET($P498,0,AV$13),15-13*ORÇAMENTO!$AF$7)/$H498*OFFSET(ORÇAMENTO!$X$15,ROW(AV498)-ROW(AV$15),0),
              ROUND(ROUND(OFFSET($P498,0,AV$13),15-13*ORÇAMENTO!$AF$7)*OFFSET(ORÇAMENTO!$W$15,ROW(AV498)-ROW(AV$15),0),15-13*ORÇAMENTO!$AF$11)),
         0)</f>
        <v>0</v>
      </c>
      <c r="AW498" s="453">
        <f ca="1">IF(AND($D498="Serviço",AW$12&lt;&gt;0,$H498&gt;0,OR(AUTOEVENTO&lt;&gt;"manual",$M498&lt;&gt;$A$15)),
        IF(Import.TipoArredondamento&lt;&gt;"TransfereGOV",
              ROUND(OFFSET($P498,0,AW$13),15-13*ORÇAMENTO!$AF$7)/$H498*OFFSET(ORÇAMENTO!$X$15,ROW(AW498)-ROW(AW$15),0),
              ROUND(ROUND(OFFSET($P498,0,AW$13),15-13*ORÇAMENTO!$AF$7)*OFFSET(ORÇAMENTO!$W$15,ROW(AW498)-ROW(AW$15),0),15-13*ORÇAMENTO!$AF$11)),
         0)</f>
        <v>0</v>
      </c>
      <c r="AX498" s="453">
        <f ca="1">IF(AND($D498="Serviço",AX$12&lt;&gt;0,$H498&gt;0,OR(AUTOEVENTO&lt;&gt;"manual",$M498&lt;&gt;$A$15)),
        IF(Import.TipoArredondamento&lt;&gt;"TransfereGOV",
              ROUND(OFFSET($P498,0,AX$13),15-13*ORÇAMENTO!$AF$7)/$H498*OFFSET(ORÇAMENTO!$X$15,ROW(AX498)-ROW(AX$15),0),
              ROUND(ROUND(OFFSET($P498,0,AX$13),15-13*ORÇAMENTO!$AF$7)*OFFSET(ORÇAMENTO!$W$15,ROW(AX498)-ROW(AX$15),0),15-13*ORÇAMENTO!$AF$11)),
         0)</f>
        <v>0</v>
      </c>
      <c r="AY498" s="453">
        <f ca="1">IF(AND($D498="Serviço",AY$12&lt;&gt;0,$H498&gt;0,OR(AUTOEVENTO&lt;&gt;"manual",$M498&lt;&gt;$A$15)),
        IF(Import.TipoArredondamento&lt;&gt;"TransfereGOV",
              ROUND(OFFSET($P498,0,AY$13),15-13*ORÇAMENTO!$AF$7)/$H498*OFFSET(ORÇAMENTO!$X$15,ROW(AY498)-ROW(AY$15),0),
              ROUND(ROUND(OFFSET($P498,0,AY$13),15-13*ORÇAMENTO!$AF$7)*OFFSET(ORÇAMENTO!$W$15,ROW(AY498)-ROW(AY$15),0),15-13*ORÇAMENTO!$AF$11)),
         0)</f>
        <v>0</v>
      </c>
      <c r="AZ498" s="453">
        <f ca="1">IF(AND($D498="Serviço",AZ$12&lt;&gt;0,$H498&gt;0,OR(AUTOEVENTO&lt;&gt;"manual",$M498&lt;&gt;$A$15)),
        IF(Import.TipoArredondamento&lt;&gt;"TransfereGOV",
              ROUND(OFFSET($P498,0,AZ$13),15-13*ORÇAMENTO!$AF$7)/$H498*OFFSET(ORÇAMENTO!$X$15,ROW(AZ498)-ROW(AZ$15),0),
              ROUND(ROUND(OFFSET($P498,0,AZ$13),15-13*ORÇAMENTO!$AF$7)*OFFSET(ORÇAMENTO!$W$15,ROW(AZ498)-ROW(AZ$15),0),15-13*ORÇAMENTO!$AF$11)),
         0)</f>
        <v>0</v>
      </c>
      <c r="BA498" s="453">
        <f ca="1">IF(AND($D498="Serviço",BA$12&lt;&gt;0,$H498&gt;0,OR(AUTOEVENTO&lt;&gt;"manual",$M498&lt;&gt;$A$15)),
        IF(Import.TipoArredondamento&lt;&gt;"TransfereGOV",
              ROUND(OFFSET($P498,0,BA$13),15-13*ORÇAMENTO!$AF$7)/$H498*OFFSET(ORÇAMENTO!$X$15,ROW(BA498)-ROW(BA$15),0),
              ROUND(ROUND(OFFSET($P498,0,BA$13),15-13*ORÇAMENTO!$AF$7)*OFFSET(ORÇAMENTO!$W$15,ROW(BA498)-ROW(BA$15),0),15-13*ORÇAMENTO!$AF$11)),
         0)</f>
        <v>0</v>
      </c>
      <c r="BC498" s="171">
        <f ca="1">IF(OR($D498&lt;&gt;"Serviço",AND(AUTOEVENTO="Manual",$M498=$A$15)),0,
         IF(OFFSET(CRONOPLE!$F$15,$M498-$A$15,BC$13)=0,10^12,OFFSET(CRONOPLE!$F$15,$M498-$A$15,BC$13)))</f>
        <v>0</v>
      </c>
      <c r="BD498" s="171">
        <f ca="1">IF(OR($D498&lt;&gt;"Serviço",AND(AUTOEVENTO="Manual",$M498=$A$15)),0,
         IF(OFFSET(CRONOPLE!$F$15,$M498-$A$15,BD$13)=0,10^12,OFFSET(CRONOPLE!$F$15,$M498-$A$15,BD$13)))</f>
        <v>0</v>
      </c>
      <c r="BE498" s="171">
        <f ca="1">IF(OR($D498&lt;&gt;"Serviço",AND(AUTOEVENTO="Manual",$M498=$A$15)),0,
         IF(OFFSET(CRONOPLE!$F$15,$M498-$A$15,BE$13)=0,10^12,OFFSET(CRONOPLE!$F$15,$M498-$A$15,BE$13)))</f>
        <v>0</v>
      </c>
      <c r="BF498" s="171">
        <f ca="1">IF(OR($D498&lt;&gt;"Serviço",AND(AUTOEVENTO="Manual",$M498=$A$15)),0,
         IF(OFFSET(CRONOPLE!$F$15,$M498-$A$15,BF$13)=0,10^12,OFFSET(CRONOPLE!$F$15,$M498-$A$15,BF$13)))</f>
        <v>0</v>
      </c>
      <c r="BG498" s="171">
        <f ca="1">IF(OR($D498&lt;&gt;"Serviço",AND(AUTOEVENTO="Manual",$M498=$A$15)),0,
         IF(OFFSET(CRONOPLE!$F$15,$M498-$A$15,BG$13)=0,10^12,OFFSET(CRONOPLE!$F$15,$M498-$A$15,BG$13)))</f>
        <v>0</v>
      </c>
      <c r="BH498" s="171">
        <f ca="1">IF(OR($D498&lt;&gt;"Serviço",AND(AUTOEVENTO="Manual",$M498=$A$15)),0,
         IF(OFFSET(CRONOPLE!$F$15,$M498-$A$15,BH$13)=0,10^12,OFFSET(CRONOPLE!$F$15,$M498-$A$15,BH$13)))</f>
        <v>0</v>
      </c>
      <c r="BI498" s="171">
        <f ca="1">IF(OR($D498&lt;&gt;"Serviço",AND(AUTOEVENTO="Manual",$M498=$A$15)),0,
         IF(OFFSET(CRONOPLE!$F$15,$M498-$A$15,BI$13)=0,10^12,OFFSET(CRONOPLE!$F$15,$M498-$A$15,BI$13)))</f>
        <v>0</v>
      </c>
      <c r="BJ498" s="171">
        <f ca="1">IF(OR($D498&lt;&gt;"Serviço",AND(AUTOEVENTO="Manual",$M498=$A$15)),0,
         IF(OFFSET(CRONOPLE!$F$15,$M498-$A$15,BJ$13)=0,10^12,OFFSET(CRONOPLE!$F$15,$M498-$A$15,BJ$13)))</f>
        <v>0</v>
      </c>
      <c r="BK498" s="171">
        <f ca="1">IF(OR($D498&lt;&gt;"Serviço",AND(AUTOEVENTO="Manual",$M498=$A$15)),0,
         IF(OFFSET(CRONOPLE!$F$15,$M498-$A$15,BK$13)=0,10^12,OFFSET(CRONOPLE!$F$15,$M498-$A$15,BK$13)))</f>
        <v>0</v>
      </c>
      <c r="BL498" s="171">
        <f ca="1">IF(OR($D498&lt;&gt;"Serviço",AND(AUTOEVENTO="Manual",$M498=$A$15)),0,
         IF(OFFSET(CRONOPLE!$F$15,$M498-$A$15,BL$13)=0,10^12,OFFSET(CRONOPLE!$F$15,$M498-$A$15,BL$13)))</f>
        <v>0</v>
      </c>
      <c r="BM498" s="171">
        <f ca="1">IF(OR($D498&lt;&gt;"Serviço",AND(AUTOEVENTO="Manual",$M498=$A$15)),0,
         IF(OFFSET(CRONOPLE!$F$15,$M498-$A$15,BM$13)=0,10^12,OFFSET(CRONOPLE!$F$15,$M498-$A$15,BM$13)))</f>
        <v>0</v>
      </c>
      <c r="BN498" s="171">
        <f ca="1">IF(OR($D498&lt;&gt;"Serviço",AND(AUTOEVENTO="Manual",$M498=$A$15)),0,
         IF(OFFSET(CRONOPLE!$F$15,$M498-$A$15,BN$13)=0,10^12,OFFSET(CRONOPLE!$F$15,$M498-$A$15,BN$13)))</f>
        <v>0</v>
      </c>
      <c r="BO498" s="171">
        <f ca="1">IF(OR($D498&lt;&gt;"Serviço",AND(AUTOEVENTO="Manual",$M498=$A$15)),0,
         IF(OFFSET(CRONOPLE!$F$15,$M498-$A$15,BO$13)=0,10^12,OFFSET(CRONOPLE!$F$15,$M498-$A$15,BO$13)))</f>
        <v>0</v>
      </c>
      <c r="BP498" s="171">
        <f ca="1">IF(OR($D498&lt;&gt;"Serviço",AND(AUTOEVENTO="Manual",$M498=$A$15)),0,
         IF(OFFSET(CRONOPLE!$F$15,$M498-$A$15,BP$13)=0,10^12,OFFSET(CRONOPLE!$F$15,$M498-$A$15,BP$13)))</f>
        <v>0</v>
      </c>
      <c r="BQ498" s="171">
        <f ca="1">IF(OR($D498&lt;&gt;"Serviço",AND(AUTOEVENTO="Manual",$M498=$A$15)),0,
         IF(OFFSET(CRONOPLE!$F$15,$M498-$A$15,BQ$13)=0,10^12,OFFSET(CRONOPLE!$F$15,$M498-$A$15,BQ$13)))</f>
        <v>0</v>
      </c>
      <c r="BR498" s="171">
        <f ca="1">IF(OR($D498&lt;&gt;"Serviço",AND(AUTOEVENTO="Manual",$M498=$A$15)),0,
         IF(OFFSET(CRONOPLE!$F$15,$M498-$A$15,BR$13)=0,10^12,OFFSET(CRONOPLE!$F$15,$M498-$A$15,BR$13)))</f>
        <v>0</v>
      </c>
      <c r="BS498" s="171">
        <f ca="1">IF(OR($D498&lt;&gt;"Serviço",AND(AUTOEVENTO="Manual",$M498=$A$15)),0,
         IF(OFFSET(CRONOPLE!$F$15,$M498-$A$15,BS$13)=0,10^12,OFFSET(CRONOPLE!$F$15,$M498-$A$15,BS$13)))</f>
        <v>0</v>
      </c>
      <c r="BT498" s="171">
        <f ca="1">IF(OR($D498&lt;&gt;"Serviço",AND(AUTOEVENTO="Manual",$M498=$A$15)),0,
         IF(OFFSET(CRONOPLE!$F$15,$M498-$A$15,BT$13)=0,10^12,OFFSET(CRONOPLE!$F$15,$M498-$A$15,BT$13)))</f>
        <v>0</v>
      </c>
      <c r="BV498" s="172">
        <f ca="1">IF(OR($D498&lt;&gt;"Serviço",AND(AUTOEVENTO="Manual",$M498=$A$15),$M498&gt;(ROW(PLE.lastrow)-ROW(PLE.firstrow))),0,
           IF(OFFSET(PLE!$G$15,$M498-$A$15,BV$13)="",10^12,OFFSET(PLE!$G$15,$M498-$A$15,BV$13)))</f>
        <v>0</v>
      </c>
      <c r="BW498" s="172">
        <f ca="1">IF(OR($D498&lt;&gt;"Serviço",AND(AUTOEVENTO="Manual",$M498=$A$15),$M498&gt;(ROW(PLE.lastrow)-ROW(PLE.firstrow))),0,
           IF(OFFSET(PLE!$G$15,$M498-$A$15,BW$13)="",10^12,OFFSET(PLE!$G$15,$M498-$A$15,BW$13)))</f>
        <v>0</v>
      </c>
      <c r="BX498" s="172">
        <f ca="1">IF(OR($D498&lt;&gt;"Serviço",AND(AUTOEVENTO="Manual",$M498=$A$15),$M498&gt;(ROW(PLE.lastrow)-ROW(PLE.firstrow))),0,
           IF(OFFSET(PLE!$G$15,$M498-$A$15,BX$13)="",10^12,OFFSET(PLE!$G$15,$M498-$A$15,BX$13)))</f>
        <v>0</v>
      </c>
      <c r="BY498" s="172">
        <f ca="1">IF(OR($D498&lt;&gt;"Serviço",AND(AUTOEVENTO="Manual",$M498=$A$15),$M498&gt;(ROW(PLE.lastrow)-ROW(PLE.firstrow))),0,
           IF(OFFSET(PLE!$G$15,$M498-$A$15,BY$13)="",10^12,OFFSET(PLE!$G$15,$M498-$A$15,BY$13)))</f>
        <v>0</v>
      </c>
      <c r="BZ498" s="172">
        <f ca="1">IF(OR($D498&lt;&gt;"Serviço",AND(AUTOEVENTO="Manual",$M498=$A$15),$M498&gt;(ROW(PLE.lastrow)-ROW(PLE.firstrow))),0,
           IF(OFFSET(PLE!$G$15,$M498-$A$15,BZ$13)="",10^12,OFFSET(PLE!$G$15,$M498-$A$15,BZ$13)))</f>
        <v>0</v>
      </c>
      <c r="CA498" s="172">
        <f ca="1">IF(OR($D498&lt;&gt;"Serviço",AND(AUTOEVENTO="Manual",$M498=$A$15),$M498&gt;(ROW(PLE.lastrow)-ROW(PLE.firstrow))),0,
           IF(OFFSET(PLE!$G$15,$M498-$A$15,CA$13)="",10^12,OFFSET(PLE!$G$15,$M498-$A$15,CA$13)))</f>
        <v>0</v>
      </c>
      <c r="CB498" s="172">
        <f ca="1">IF(OR($D498&lt;&gt;"Serviço",AND(AUTOEVENTO="Manual",$M498=$A$15),$M498&gt;(ROW(PLE.lastrow)-ROW(PLE.firstrow))),0,
           IF(OFFSET(PLE!$G$15,$M498-$A$15,CB$13)="",10^12,OFFSET(PLE!$G$15,$M498-$A$15,CB$13)))</f>
        <v>0</v>
      </c>
      <c r="CC498" s="172">
        <f ca="1">IF(OR($D498&lt;&gt;"Serviço",AND(AUTOEVENTO="Manual",$M498=$A$15),$M498&gt;(ROW(PLE.lastrow)-ROW(PLE.firstrow))),0,
           IF(OFFSET(PLE!$G$15,$M498-$A$15,CC$13)="",10^12,OFFSET(PLE!$G$15,$M498-$A$15,CC$13)))</f>
        <v>0</v>
      </c>
      <c r="CD498" s="172">
        <f ca="1">IF(OR($D498&lt;&gt;"Serviço",AND(AUTOEVENTO="Manual",$M498=$A$15),$M498&gt;(ROW(PLE.lastrow)-ROW(PLE.firstrow))),0,
           IF(OFFSET(PLE!$G$15,$M498-$A$15,CD$13)="",10^12,OFFSET(PLE!$G$15,$M498-$A$15,CD$13)))</f>
        <v>0</v>
      </c>
      <c r="CE498" s="172">
        <f ca="1">IF(OR($D498&lt;&gt;"Serviço",AND(AUTOEVENTO="Manual",$M498=$A$15),$M498&gt;(ROW(PLE.lastrow)-ROW(PLE.firstrow))),0,
           IF(OFFSET(PLE!$G$15,$M498-$A$15,CE$13)="",10^12,OFFSET(PLE!$G$15,$M498-$A$15,CE$13)))</f>
        <v>0</v>
      </c>
      <c r="CF498" s="172">
        <f ca="1">IF(OR($D498&lt;&gt;"Serviço",AND(AUTOEVENTO="Manual",$M498=$A$15),$M498&gt;(ROW(PLE.lastrow)-ROW(PLE.firstrow))),0,
           IF(OFFSET(PLE!$G$15,$M498-$A$15,CF$13)="",10^12,OFFSET(PLE!$G$15,$M498-$A$15,CF$13)))</f>
        <v>0</v>
      </c>
      <c r="CG498" s="172">
        <f ca="1">IF(OR($D498&lt;&gt;"Serviço",AND(AUTOEVENTO="Manual",$M498=$A$15),$M498&gt;(ROW(PLE.lastrow)-ROW(PLE.firstrow))),0,
           IF(OFFSET(PLE!$G$15,$M498-$A$15,CG$13)="",10^12,OFFSET(PLE!$G$15,$M498-$A$15,CG$13)))</f>
        <v>0</v>
      </c>
      <c r="CH498" s="172">
        <f ca="1">IF(OR($D498&lt;&gt;"Serviço",AND(AUTOEVENTO="Manual",$M498=$A$15),$M498&gt;(ROW(PLE.lastrow)-ROW(PLE.firstrow))),0,
           IF(OFFSET(PLE!$G$15,$M498-$A$15,CH$13)="",10^12,OFFSET(PLE!$G$15,$M498-$A$15,CH$13)))</f>
        <v>0</v>
      </c>
      <c r="CI498" s="172">
        <f ca="1">IF(OR($D498&lt;&gt;"Serviço",AND(AUTOEVENTO="Manual",$M498=$A$15),$M498&gt;(ROW(PLE.lastrow)-ROW(PLE.firstrow))),0,
           IF(OFFSET(PLE!$G$15,$M498-$A$15,CI$13)="",10^12,OFFSET(PLE!$G$15,$M498-$A$15,CI$13)))</f>
        <v>0</v>
      </c>
      <c r="CJ498" s="172">
        <f ca="1">IF(OR($D498&lt;&gt;"Serviço",AND(AUTOEVENTO="Manual",$M498=$A$15),$M498&gt;(ROW(PLE.lastrow)-ROW(PLE.firstrow))),0,
           IF(OFFSET(PLE!$G$15,$M498-$A$15,CJ$13)="",10^12,OFFSET(PLE!$G$15,$M498-$A$15,CJ$13)))</f>
        <v>0</v>
      </c>
      <c r="CK498" s="172">
        <f ca="1">IF(OR($D498&lt;&gt;"Serviço",AND(AUTOEVENTO="Manual",$M498=$A$15),$M498&gt;(ROW(PLE.lastrow)-ROW(PLE.firstrow))),0,
           IF(OFFSET(PLE!$G$15,$M498-$A$15,CK$13)="",10^12,OFFSET(PLE!$G$15,$M498-$A$15,CK$13)))</f>
        <v>0</v>
      </c>
      <c r="CL498" s="172">
        <f ca="1">IF(OR($D498&lt;&gt;"Serviço",AND(AUTOEVENTO="Manual",$M498=$A$15),$M498&gt;(ROW(PLE.lastrow)-ROW(PLE.firstrow))),0,
           IF(OFFSET(PLE!$G$15,$M498-$A$15,CL$13)="",10^12,OFFSET(PLE!$G$15,$M498-$A$15,CL$13)))</f>
        <v>0</v>
      </c>
      <c r="CM498" s="172">
        <f ca="1">IF(OR($D498&lt;&gt;"Serviço",AND(AUTOEVENTO="Manual",$M498=$A$15),$M498&gt;(ROW(PLE.lastrow)-ROW(PLE.firstrow))),0,
           IF(OFFSET(PLE!$G$15,$M498-$A$15,CM$13)="",10^12,OFFSET(PLE!$G$15,$M498-$A$15,CM$13)))</f>
        <v>0</v>
      </c>
    </row>
    <row r="499" spans="1:91" ht="63.75" x14ac:dyDescent="0.2">
      <c r="A499" s="7">
        <f t="shared" ca="1" si="17"/>
        <v>9</v>
      </c>
      <c r="B499" s="7" t="str">
        <f ca="1">OFFSET(ORÇAMENTO!C$15,ROW(B499)-ROW(B$15),0)</f>
        <v>S</v>
      </c>
      <c r="C499" s="7" t="str">
        <f ca="1">OFFSET(ORÇAMENTO!L$15,ROW(C499)-ROW(C$15),0)</f>
        <v>F</v>
      </c>
      <c r="D499" s="116" t="str">
        <f ca="1">OFFSET(ORÇAMENTO!N$15,ROW(D499)-ROW(D$15),0)</f>
        <v>Serviço</v>
      </c>
      <c r="E499" s="117" t="str">
        <f ca="1">OFFSET(ORÇAMENTO!O$15,ROW(E499)-ROW(E$15),0)</f>
        <v>1.10.6.0.1.</v>
      </c>
      <c r="F499" s="163" t="str">
        <f ca="1">OFFSET(ORÇAMENTO!R$15,ROW(F499)-ROW(F$15),0)</f>
        <v>PORTA EM ALUMÍNIO DE ABRIR TIPO VENEZIANA COM GUARNIÇÃO, FIXAÇÃO COM PARAFUSOS - FORNECIMENTO E INSTALAÇÃO. AF_12/2019</v>
      </c>
      <c r="G499" s="164" t="str">
        <f ca="1">IF($D499&lt;&gt;"Serviço","",OFFSET(ORÇAMENTO!S$15,ROW(G499)-ROW(G$15),0))</f>
        <v>M2</v>
      </c>
      <c r="H499" s="122" cm="1">
        <f t="array" aca="1" ref="H499" ca="1">IF($D499&lt;&gt;"Serviço",0,IF(ACOMPANHAMENTO="BM",ROUND(OFFSET(ORÇAMENTO!AJ$15,ROW(H499)-ROW(H$15),0),15-13*ORÇAMENTO!$AF$7),SUMPRODUCT(($Q$1:$AI$1=1)*ROUND($Q499:$AI499,15-13*ORÇAMENTO!$AF$7))))</f>
        <v>1.68</v>
      </c>
      <c r="I499" s="468" t="s">
        <v>1398</v>
      </c>
      <c r="J499" s="640" t="str" cm="1">
        <f t="array" aca="1" ref="J499" ca="1">IF(OR(B499&lt;&gt;"S",CÁLCULO.FrentesPreenchidas=0),"",IF(AND(ACOMPANHAMENTO="PLE",AUTOEVENTO="Manual",OR(H499&gt;0,ORÇAMENTO!AC499="QUANT."),OR(K499="",M499=0,N499="")),"►E",IF(AND(ACOMPANHAMENTO="PLE",ORÇAMENTO!AC499="QUANT."),"►Q",IF(AND(ACOMPANHAMENTO="PLE",H499&lt;&gt;SUMPRODUCT(($Q$1:$AI$1=1)*ROUND(Q499:AI499,15))),"►S",IF(AND(COUNTIF($P$11:$AI$11,"▼")=0,H499&gt;0,I499=""),"◄M","")))))</f>
        <v/>
      </c>
      <c r="K499" s="641" t="s">
        <v>1393</v>
      </c>
      <c r="L499" s="165" t="s">
        <v>764</v>
      </c>
      <c r="M499" s="166">
        <f ca="1">IF($D499&lt;&gt;"Serviço","",
          IF(AUTOEVENTO="manual",$A499,
                IF(ISERROR(MATCH($A499,$A$15:OFFSET($A499,-1,0),0)),MAX($M$15:OFFSET(M499,-1,0))+1,
                      INDEX($M$15:OFFSET(M499,-1,0),MATCH($A499,$A$15:OFFSET($A499,-1,0),0)))))</f>
        <v>9</v>
      </c>
      <c r="N499" s="167" t="str">
        <f ca="1">IF($D499&lt;&gt;"Serviço","",
         IF(AUTOEVENTO="Manual",
                IF($A499=0,"&lt;-- defina o número do agrupador",
                       OFFSET(EVENTOS!$D$15,$A499-$A$15,0)),
                OFFSET($F$15,$A499,0)))</f>
        <v>Arquitetura</v>
      </c>
      <c r="O499" s="168"/>
      <c r="Q499" s="168"/>
      <c r="R499" s="169"/>
      <c r="S499" s="169"/>
      <c r="T499" s="169"/>
      <c r="U499" s="169"/>
      <c r="V499" s="169"/>
      <c r="W499" s="169"/>
      <c r="X499" s="169"/>
      <c r="Y499" s="169"/>
      <c r="Z499" s="170">
        <v>1.68</v>
      </c>
      <c r="AA499" s="169"/>
      <c r="AB499" s="169"/>
      <c r="AC499" s="169"/>
      <c r="AD499" s="169"/>
      <c r="AE499" s="169"/>
      <c r="AF499" s="169"/>
      <c r="AG499" s="169"/>
      <c r="AH499" s="170"/>
      <c r="AJ499" s="453">
        <f ca="1">IF(AND($D499="Serviço",AJ$12&lt;&gt;0,$H499&gt;0,OR(AUTOEVENTO&lt;&gt;"manual",$M499&lt;&gt;$A$15)),
        IF(Import.TipoArredondamento&lt;&gt;"TransfereGOV",
              ROUND(OFFSET($P499,0,AJ$13),15-13*ORÇAMENTO!$AF$7)/$H499*OFFSET(ORÇAMENTO!$X$15,ROW(AJ499)-ROW(AJ$15),0),
              ROUND(ROUND(OFFSET($P499,0,AJ$13),15-13*ORÇAMENTO!$AF$7)*OFFSET(ORÇAMENTO!$W$15,ROW(AJ499)-ROW(AJ$15),0),15-13*ORÇAMENTO!$AF$11)),
         0)</f>
        <v>0</v>
      </c>
      <c r="AK499" s="453">
        <f ca="1">IF(AND($D499="Serviço",AK$12&lt;&gt;0,$H499&gt;0,OR(AUTOEVENTO&lt;&gt;"manual",$M499&lt;&gt;$A$15)),
        IF(Import.TipoArredondamento&lt;&gt;"TransfereGOV",
              ROUND(OFFSET($P499,0,AK$13),15-13*ORÇAMENTO!$AF$7)/$H499*OFFSET(ORÇAMENTO!$X$15,ROW(AK499)-ROW(AK$15),0),
              ROUND(ROUND(OFFSET($P499,0,AK$13),15-13*ORÇAMENTO!$AF$7)*OFFSET(ORÇAMENTO!$W$15,ROW(AK499)-ROW(AK$15),0),15-13*ORÇAMENTO!$AF$11)),
         0)</f>
        <v>0</v>
      </c>
      <c r="AL499" s="453">
        <f ca="1">IF(AND($D499="Serviço",AL$12&lt;&gt;0,$H499&gt;0,OR(AUTOEVENTO&lt;&gt;"manual",$M499&lt;&gt;$A$15)),
        IF(Import.TipoArredondamento&lt;&gt;"TransfereGOV",
              ROUND(OFFSET($P499,0,AL$13),15-13*ORÇAMENTO!$AF$7)/$H499*OFFSET(ORÇAMENTO!$X$15,ROW(AL499)-ROW(AL$15),0),
              ROUND(ROUND(OFFSET($P499,0,AL$13),15-13*ORÇAMENTO!$AF$7)*OFFSET(ORÇAMENTO!$W$15,ROW(AL499)-ROW(AL$15),0),15-13*ORÇAMENTO!$AF$11)),
         0)</f>
        <v>0</v>
      </c>
      <c r="AM499" s="453">
        <f ca="1">IF(AND($D499="Serviço",AM$12&lt;&gt;0,$H499&gt;0,OR(AUTOEVENTO&lt;&gt;"manual",$M499&lt;&gt;$A$15)),
        IF(Import.TipoArredondamento&lt;&gt;"TransfereGOV",
              ROUND(OFFSET($P499,0,AM$13),15-13*ORÇAMENTO!$AF$7)/$H499*OFFSET(ORÇAMENTO!$X$15,ROW(AM499)-ROW(AM$15),0),
              ROUND(ROUND(OFFSET($P499,0,AM$13),15-13*ORÇAMENTO!$AF$7)*OFFSET(ORÇAMENTO!$W$15,ROW(AM499)-ROW(AM$15),0),15-13*ORÇAMENTO!$AF$11)),
         0)</f>
        <v>0</v>
      </c>
      <c r="AN499" s="453">
        <f ca="1">IF(AND($D499="Serviço",AN$12&lt;&gt;0,$H499&gt;0,OR(AUTOEVENTO&lt;&gt;"manual",$M499&lt;&gt;$A$15)),
        IF(Import.TipoArredondamento&lt;&gt;"TransfereGOV",
              ROUND(OFFSET($P499,0,AN$13),15-13*ORÇAMENTO!$AF$7)/$H499*OFFSET(ORÇAMENTO!$X$15,ROW(AN499)-ROW(AN$15),0),
              ROUND(ROUND(OFFSET($P499,0,AN$13),15-13*ORÇAMENTO!$AF$7)*OFFSET(ORÇAMENTO!$W$15,ROW(AN499)-ROW(AN$15),0),15-13*ORÇAMENTO!$AF$11)),
         0)</f>
        <v>0</v>
      </c>
      <c r="AO499" s="453">
        <f ca="1">IF(AND($D499="Serviço",AO$12&lt;&gt;0,$H499&gt;0,OR(AUTOEVENTO&lt;&gt;"manual",$M499&lt;&gt;$A$15)),
        IF(Import.TipoArredondamento&lt;&gt;"TransfereGOV",
              ROUND(OFFSET($P499,0,AO$13),15-13*ORÇAMENTO!$AF$7)/$H499*OFFSET(ORÇAMENTO!$X$15,ROW(AO499)-ROW(AO$15),0),
              ROUND(ROUND(OFFSET($P499,0,AO$13),15-13*ORÇAMENTO!$AF$7)*OFFSET(ORÇAMENTO!$W$15,ROW(AO499)-ROW(AO$15),0),15-13*ORÇAMENTO!$AF$11)),
         0)</f>
        <v>0</v>
      </c>
      <c r="AP499" s="453">
        <f ca="1">IF(AND($D499="Serviço",AP$12&lt;&gt;0,$H499&gt;0,OR(AUTOEVENTO&lt;&gt;"manual",$M499&lt;&gt;$A$15)),
        IF(Import.TipoArredondamento&lt;&gt;"TransfereGOV",
              ROUND(OFFSET($P499,0,AP$13),15-13*ORÇAMENTO!$AF$7)/$H499*OFFSET(ORÇAMENTO!$X$15,ROW(AP499)-ROW(AP$15),0),
              ROUND(ROUND(OFFSET($P499,0,AP$13),15-13*ORÇAMENTO!$AF$7)*OFFSET(ORÇAMENTO!$W$15,ROW(AP499)-ROW(AP$15),0),15-13*ORÇAMENTO!$AF$11)),
         0)</f>
        <v>0</v>
      </c>
      <c r="AQ499" s="453">
        <f ca="1">IF(AND($D499="Serviço",AQ$12&lt;&gt;0,$H499&gt;0,OR(AUTOEVENTO&lt;&gt;"manual",$M499&lt;&gt;$A$15)),
        IF(Import.TipoArredondamento&lt;&gt;"TransfereGOV",
              ROUND(OFFSET($P499,0,AQ$13),15-13*ORÇAMENTO!$AF$7)/$H499*OFFSET(ORÇAMENTO!$X$15,ROW(AQ499)-ROW(AQ$15),0),
              ROUND(ROUND(OFFSET($P499,0,AQ$13),15-13*ORÇAMENTO!$AF$7)*OFFSET(ORÇAMENTO!$W$15,ROW(AQ499)-ROW(AQ$15),0),15-13*ORÇAMENTO!$AF$11)),
         0)</f>
        <v>0</v>
      </c>
      <c r="AR499" s="453">
        <f ca="1">IF(AND($D499="Serviço",AR$12&lt;&gt;0,$H499&gt;0,OR(AUTOEVENTO&lt;&gt;"manual",$M499&lt;&gt;$A$15)),
        IF(Import.TipoArredondamento&lt;&gt;"TransfereGOV",
              ROUND(OFFSET($P499,0,AR$13),15-13*ORÇAMENTO!$AF$7)/$H499*OFFSET(ORÇAMENTO!$X$15,ROW(AR499)-ROW(AR$15),0),
              ROUND(ROUND(OFFSET($P499,0,AR$13),15-13*ORÇAMENTO!$AF$7)*OFFSET(ORÇAMENTO!$W$15,ROW(AR499)-ROW(AR$15),0),15-13*ORÇAMENTO!$AF$11)),
         0)</f>
        <v>0</v>
      </c>
      <c r="AS499" s="453">
        <f ca="1">IF(AND($D499="Serviço",AS$12&lt;&gt;0,$H499&gt;0,OR(AUTOEVENTO&lt;&gt;"manual",$M499&lt;&gt;$A$15)),
        IF(Import.TipoArredondamento&lt;&gt;"TransfereGOV",
              ROUND(OFFSET($P499,0,AS$13),15-13*ORÇAMENTO!$AF$7)/$H499*OFFSET(ORÇAMENTO!$X$15,ROW(AS499)-ROW(AS$15),0),
              ROUND(ROUND(OFFSET($P499,0,AS$13),15-13*ORÇAMENTO!$AF$7)*OFFSET(ORÇAMENTO!$W$15,ROW(AS499)-ROW(AS$15),0),15-13*ORÇAMENTO!$AF$11)),
         0)</f>
        <v>0</v>
      </c>
      <c r="AT499" s="453">
        <f ca="1">IF(AND($D499="Serviço",AT$12&lt;&gt;0,$H499&gt;0,OR(AUTOEVENTO&lt;&gt;"manual",$M499&lt;&gt;$A$15)),
        IF(Import.TipoArredondamento&lt;&gt;"TransfereGOV",
              ROUND(OFFSET($P499,0,AT$13),15-13*ORÇAMENTO!$AF$7)/$H499*OFFSET(ORÇAMENTO!$X$15,ROW(AT499)-ROW(AT$15),0),
              ROUND(ROUND(OFFSET($P499,0,AT$13),15-13*ORÇAMENTO!$AF$7)*OFFSET(ORÇAMENTO!$W$15,ROW(AT499)-ROW(AT$15),0),15-13*ORÇAMENTO!$AF$11)),
         0)</f>
        <v>0</v>
      </c>
      <c r="AU499" s="453">
        <f ca="1">IF(AND($D499="Serviço",AU$12&lt;&gt;0,$H499&gt;0,OR(AUTOEVENTO&lt;&gt;"manual",$M499&lt;&gt;$A$15)),
        IF(Import.TipoArredondamento&lt;&gt;"TransfereGOV",
              ROUND(OFFSET($P499,0,AU$13),15-13*ORÇAMENTO!$AF$7)/$H499*OFFSET(ORÇAMENTO!$X$15,ROW(AU499)-ROW(AU$15),0),
              ROUND(ROUND(OFFSET($P499,0,AU$13),15-13*ORÇAMENTO!$AF$7)*OFFSET(ORÇAMENTO!$W$15,ROW(AU499)-ROW(AU$15),0),15-13*ORÇAMENTO!$AF$11)),
         0)</f>
        <v>0</v>
      </c>
      <c r="AV499" s="453">
        <f ca="1">IF(AND($D499="Serviço",AV$12&lt;&gt;0,$H499&gt;0,OR(AUTOEVENTO&lt;&gt;"manual",$M499&lt;&gt;$A$15)),
        IF(Import.TipoArredondamento&lt;&gt;"TransfereGOV",
              ROUND(OFFSET($P499,0,AV$13),15-13*ORÇAMENTO!$AF$7)/$H499*OFFSET(ORÇAMENTO!$X$15,ROW(AV499)-ROW(AV$15),0),
              ROUND(ROUND(OFFSET($P499,0,AV$13),15-13*ORÇAMENTO!$AF$7)*OFFSET(ORÇAMENTO!$W$15,ROW(AV499)-ROW(AV$15),0),15-13*ORÇAMENTO!$AF$11)),
         0)</f>
        <v>0</v>
      </c>
      <c r="AW499" s="453">
        <f ca="1">IF(AND($D499="Serviço",AW$12&lt;&gt;0,$H499&gt;0,OR(AUTOEVENTO&lt;&gt;"manual",$M499&lt;&gt;$A$15)),
        IF(Import.TipoArredondamento&lt;&gt;"TransfereGOV",
              ROUND(OFFSET($P499,0,AW$13),15-13*ORÇAMENTO!$AF$7)/$H499*OFFSET(ORÇAMENTO!$X$15,ROW(AW499)-ROW(AW$15),0),
              ROUND(ROUND(OFFSET($P499,0,AW$13),15-13*ORÇAMENTO!$AF$7)*OFFSET(ORÇAMENTO!$W$15,ROW(AW499)-ROW(AW$15),0),15-13*ORÇAMENTO!$AF$11)),
         0)</f>
        <v>0</v>
      </c>
      <c r="AX499" s="453">
        <f ca="1">IF(AND($D499="Serviço",AX$12&lt;&gt;0,$H499&gt;0,OR(AUTOEVENTO&lt;&gt;"manual",$M499&lt;&gt;$A$15)),
        IF(Import.TipoArredondamento&lt;&gt;"TransfereGOV",
              ROUND(OFFSET($P499,0,AX$13),15-13*ORÇAMENTO!$AF$7)/$H499*OFFSET(ORÇAMENTO!$X$15,ROW(AX499)-ROW(AX$15),0),
              ROUND(ROUND(OFFSET($P499,0,AX$13),15-13*ORÇAMENTO!$AF$7)*OFFSET(ORÇAMENTO!$W$15,ROW(AX499)-ROW(AX$15),0),15-13*ORÇAMENTO!$AF$11)),
         0)</f>
        <v>0</v>
      </c>
      <c r="AY499" s="453">
        <f ca="1">IF(AND($D499="Serviço",AY$12&lt;&gt;0,$H499&gt;0,OR(AUTOEVENTO&lt;&gt;"manual",$M499&lt;&gt;$A$15)),
        IF(Import.TipoArredondamento&lt;&gt;"TransfereGOV",
              ROUND(OFFSET($P499,0,AY$13),15-13*ORÇAMENTO!$AF$7)/$H499*OFFSET(ORÇAMENTO!$X$15,ROW(AY499)-ROW(AY$15),0),
              ROUND(ROUND(OFFSET($P499,0,AY$13),15-13*ORÇAMENTO!$AF$7)*OFFSET(ORÇAMENTO!$W$15,ROW(AY499)-ROW(AY$15),0),15-13*ORÇAMENTO!$AF$11)),
         0)</f>
        <v>0</v>
      </c>
      <c r="AZ499" s="453">
        <f ca="1">IF(AND($D499="Serviço",AZ$12&lt;&gt;0,$H499&gt;0,OR(AUTOEVENTO&lt;&gt;"manual",$M499&lt;&gt;$A$15)),
        IF(Import.TipoArredondamento&lt;&gt;"TransfereGOV",
              ROUND(OFFSET($P499,0,AZ$13),15-13*ORÇAMENTO!$AF$7)/$H499*OFFSET(ORÇAMENTO!$X$15,ROW(AZ499)-ROW(AZ$15),0),
              ROUND(ROUND(OFFSET($P499,0,AZ$13),15-13*ORÇAMENTO!$AF$7)*OFFSET(ORÇAMENTO!$W$15,ROW(AZ499)-ROW(AZ$15),0),15-13*ORÇAMENTO!$AF$11)),
         0)</f>
        <v>0</v>
      </c>
      <c r="BA499" s="453">
        <f ca="1">IF(AND($D499="Serviço",BA$12&lt;&gt;0,$H499&gt;0,OR(AUTOEVENTO&lt;&gt;"manual",$M499&lt;&gt;$A$15)),
        IF(Import.TipoArredondamento&lt;&gt;"TransfereGOV",
              ROUND(OFFSET($P499,0,BA$13),15-13*ORÇAMENTO!$AF$7)/$H499*OFFSET(ORÇAMENTO!$X$15,ROW(BA499)-ROW(BA$15),0),
              ROUND(ROUND(OFFSET($P499,0,BA$13),15-13*ORÇAMENTO!$AF$7)*OFFSET(ORÇAMENTO!$W$15,ROW(BA499)-ROW(BA$15),0),15-13*ORÇAMENTO!$AF$11)),
         0)</f>
        <v>0</v>
      </c>
      <c r="BC499" s="171">
        <f ca="1">IF(OR($D499&lt;&gt;"Serviço",AND(AUTOEVENTO="Manual",$M499=$A$15)),0,
         IF(OFFSET(CRONOPLE!$F$15,$M499-$A$15,BC$13)=0,10^12,OFFSET(CRONOPLE!$F$15,$M499-$A$15,BC$13)))</f>
        <v>1000000000000</v>
      </c>
      <c r="BD499" s="171">
        <f ca="1">IF(OR($D499&lt;&gt;"Serviço",AND(AUTOEVENTO="Manual",$M499=$A$15)),0,
         IF(OFFSET(CRONOPLE!$F$15,$M499-$A$15,BD$13)=0,10^12,OFFSET(CRONOPLE!$F$15,$M499-$A$15,BD$13)))</f>
        <v>1000000000000</v>
      </c>
      <c r="BE499" s="171">
        <f ca="1">IF(OR($D499&lt;&gt;"Serviço",AND(AUTOEVENTO="Manual",$M499=$A$15)),0,
         IF(OFFSET(CRONOPLE!$F$15,$M499-$A$15,BE$13)=0,10^12,OFFSET(CRONOPLE!$F$15,$M499-$A$15,BE$13)))</f>
        <v>1000000000000</v>
      </c>
      <c r="BF499" s="171">
        <f ca="1">IF(OR($D499&lt;&gt;"Serviço",AND(AUTOEVENTO="Manual",$M499=$A$15)),0,
         IF(OFFSET(CRONOPLE!$F$15,$M499-$A$15,BF$13)=0,10^12,OFFSET(CRONOPLE!$F$15,$M499-$A$15,BF$13)))</f>
        <v>1000000000000</v>
      </c>
      <c r="BG499" s="171">
        <f ca="1">IF(OR($D499&lt;&gt;"Serviço",AND(AUTOEVENTO="Manual",$M499=$A$15)),0,
         IF(OFFSET(CRONOPLE!$F$15,$M499-$A$15,BG$13)=0,10^12,OFFSET(CRONOPLE!$F$15,$M499-$A$15,BG$13)))</f>
        <v>1000000000000</v>
      </c>
      <c r="BH499" s="171">
        <f ca="1">IF(OR($D499&lt;&gt;"Serviço",AND(AUTOEVENTO="Manual",$M499=$A$15)),0,
         IF(OFFSET(CRONOPLE!$F$15,$M499-$A$15,BH$13)=0,10^12,OFFSET(CRONOPLE!$F$15,$M499-$A$15,BH$13)))</f>
        <v>1000000000000</v>
      </c>
      <c r="BI499" s="171">
        <f ca="1">IF(OR($D499&lt;&gt;"Serviço",AND(AUTOEVENTO="Manual",$M499=$A$15)),0,
         IF(OFFSET(CRONOPLE!$F$15,$M499-$A$15,BI$13)=0,10^12,OFFSET(CRONOPLE!$F$15,$M499-$A$15,BI$13)))</f>
        <v>1000000000000</v>
      </c>
      <c r="BJ499" s="171">
        <f ca="1">IF(OR($D499&lt;&gt;"Serviço",AND(AUTOEVENTO="Manual",$M499=$A$15)),0,
         IF(OFFSET(CRONOPLE!$F$15,$M499-$A$15,BJ$13)=0,10^12,OFFSET(CRONOPLE!$F$15,$M499-$A$15,BJ$13)))</f>
        <v>1000000000000</v>
      </c>
      <c r="BK499" s="171">
        <f ca="1">IF(OR($D499&lt;&gt;"Serviço",AND(AUTOEVENTO="Manual",$M499=$A$15)),0,
         IF(OFFSET(CRONOPLE!$F$15,$M499-$A$15,BK$13)=0,10^12,OFFSET(CRONOPLE!$F$15,$M499-$A$15,BK$13)))</f>
        <v>9</v>
      </c>
      <c r="BL499" s="171">
        <f ca="1">IF(OR($D499&lt;&gt;"Serviço",AND(AUTOEVENTO="Manual",$M499=$A$15)),0,
         IF(OFFSET(CRONOPLE!$F$15,$M499-$A$15,BL$13)=0,10^12,OFFSET(CRONOPLE!$F$15,$M499-$A$15,BL$13)))</f>
        <v>10</v>
      </c>
      <c r="BM499" s="171">
        <f ca="1">IF(OR($D499&lt;&gt;"Serviço",AND(AUTOEVENTO="Manual",$M499=$A$15)),0,
         IF(OFFSET(CRONOPLE!$F$15,$M499-$A$15,BM$13)=0,10^12,OFFSET(CRONOPLE!$F$15,$M499-$A$15,BM$13)))</f>
        <v>1000000000000</v>
      </c>
      <c r="BN499" s="171">
        <f ca="1">IF(OR($D499&lt;&gt;"Serviço",AND(AUTOEVENTO="Manual",$M499=$A$15)),0,
         IF(OFFSET(CRONOPLE!$F$15,$M499-$A$15,BN$13)=0,10^12,OFFSET(CRONOPLE!$F$15,$M499-$A$15,BN$13)))</f>
        <v>1000000000000</v>
      </c>
      <c r="BO499" s="171">
        <f ca="1">IF(OR($D499&lt;&gt;"Serviço",AND(AUTOEVENTO="Manual",$M499=$A$15)),0,
         IF(OFFSET(CRONOPLE!$F$15,$M499-$A$15,BO$13)=0,10^12,OFFSET(CRONOPLE!$F$15,$M499-$A$15,BO$13)))</f>
        <v>1000000000000</v>
      </c>
      <c r="BP499" s="171">
        <f ca="1">IF(OR($D499&lt;&gt;"Serviço",AND(AUTOEVENTO="Manual",$M499=$A$15)),0,
         IF(OFFSET(CRONOPLE!$F$15,$M499-$A$15,BP$13)=0,10^12,OFFSET(CRONOPLE!$F$15,$M499-$A$15,BP$13)))</f>
        <v>1000000000000</v>
      </c>
      <c r="BQ499" s="171">
        <f ca="1">IF(OR($D499&lt;&gt;"Serviço",AND(AUTOEVENTO="Manual",$M499=$A$15)),0,
         IF(OFFSET(CRONOPLE!$F$15,$M499-$A$15,BQ$13)=0,10^12,OFFSET(CRONOPLE!$F$15,$M499-$A$15,BQ$13)))</f>
        <v>1000000000000</v>
      </c>
      <c r="BR499" s="171">
        <f ca="1">IF(OR($D499&lt;&gt;"Serviço",AND(AUTOEVENTO="Manual",$M499=$A$15)),0,
         IF(OFFSET(CRONOPLE!$F$15,$M499-$A$15,BR$13)=0,10^12,OFFSET(CRONOPLE!$F$15,$M499-$A$15,BR$13)))</f>
        <v>1000000000000</v>
      </c>
      <c r="BS499" s="171">
        <f ca="1">IF(OR($D499&lt;&gt;"Serviço",AND(AUTOEVENTO="Manual",$M499=$A$15)),0,
         IF(OFFSET(CRONOPLE!$F$15,$M499-$A$15,BS$13)=0,10^12,OFFSET(CRONOPLE!$F$15,$M499-$A$15,BS$13)))</f>
        <v>1000000000000</v>
      </c>
      <c r="BT499" s="171">
        <f ca="1">IF(OR($D499&lt;&gt;"Serviço",AND(AUTOEVENTO="Manual",$M499=$A$15)),0,
         IF(OFFSET(CRONOPLE!$F$15,$M499-$A$15,BT$13)=0,10^12,OFFSET(CRONOPLE!$F$15,$M499-$A$15,BT$13)))</f>
        <v>1000000000000</v>
      </c>
      <c r="BV499" s="172">
        <f ca="1">IF(OR($D499&lt;&gt;"Serviço",AND(AUTOEVENTO="Manual",$M499=$A$15),$M499&gt;(ROW(PLE.lastrow)-ROW(PLE.firstrow))),0,
           IF(OFFSET(PLE!$G$15,$M499-$A$15,BV$13)="",10^12,OFFSET(PLE!$G$15,$M499-$A$15,BV$13)))</f>
        <v>1000000000000</v>
      </c>
      <c r="BW499" s="172">
        <f ca="1">IF(OR($D499&lt;&gt;"Serviço",AND(AUTOEVENTO="Manual",$M499=$A$15),$M499&gt;(ROW(PLE.lastrow)-ROW(PLE.firstrow))),0,
           IF(OFFSET(PLE!$G$15,$M499-$A$15,BW$13)="",10^12,OFFSET(PLE!$G$15,$M499-$A$15,BW$13)))</f>
        <v>1000000000000</v>
      </c>
      <c r="BX499" s="172">
        <f ca="1">IF(OR($D499&lt;&gt;"Serviço",AND(AUTOEVENTO="Manual",$M499=$A$15),$M499&gt;(ROW(PLE.lastrow)-ROW(PLE.firstrow))),0,
           IF(OFFSET(PLE!$G$15,$M499-$A$15,BX$13)="",10^12,OFFSET(PLE!$G$15,$M499-$A$15,BX$13)))</f>
        <v>1000000000000</v>
      </c>
      <c r="BY499" s="172">
        <f ca="1">IF(OR($D499&lt;&gt;"Serviço",AND(AUTOEVENTO="Manual",$M499=$A$15),$M499&gt;(ROW(PLE.lastrow)-ROW(PLE.firstrow))),0,
           IF(OFFSET(PLE!$G$15,$M499-$A$15,BY$13)="",10^12,OFFSET(PLE!$G$15,$M499-$A$15,BY$13)))</f>
        <v>1000000000000</v>
      </c>
      <c r="BZ499" s="172">
        <f ca="1">IF(OR($D499&lt;&gt;"Serviço",AND(AUTOEVENTO="Manual",$M499=$A$15),$M499&gt;(ROW(PLE.lastrow)-ROW(PLE.firstrow))),0,
           IF(OFFSET(PLE!$G$15,$M499-$A$15,BZ$13)="",10^12,OFFSET(PLE!$G$15,$M499-$A$15,BZ$13)))</f>
        <v>1000000000000</v>
      </c>
      <c r="CA499" s="172">
        <f ca="1">IF(OR($D499&lt;&gt;"Serviço",AND(AUTOEVENTO="Manual",$M499=$A$15),$M499&gt;(ROW(PLE.lastrow)-ROW(PLE.firstrow))),0,
           IF(OFFSET(PLE!$G$15,$M499-$A$15,CA$13)="",10^12,OFFSET(PLE!$G$15,$M499-$A$15,CA$13)))</f>
        <v>1000000000000</v>
      </c>
      <c r="CB499" s="172">
        <f ca="1">IF(OR($D499&lt;&gt;"Serviço",AND(AUTOEVENTO="Manual",$M499=$A$15),$M499&gt;(ROW(PLE.lastrow)-ROW(PLE.firstrow))),0,
           IF(OFFSET(PLE!$G$15,$M499-$A$15,CB$13)="",10^12,OFFSET(PLE!$G$15,$M499-$A$15,CB$13)))</f>
        <v>1000000000000</v>
      </c>
      <c r="CC499" s="172">
        <f ca="1">IF(OR($D499&lt;&gt;"Serviço",AND(AUTOEVENTO="Manual",$M499=$A$15),$M499&gt;(ROW(PLE.lastrow)-ROW(PLE.firstrow))),0,
           IF(OFFSET(PLE!$G$15,$M499-$A$15,CC$13)="",10^12,OFFSET(PLE!$G$15,$M499-$A$15,CC$13)))</f>
        <v>1000000000000</v>
      </c>
      <c r="CD499" s="172">
        <f ca="1">IF(OR($D499&lt;&gt;"Serviço",AND(AUTOEVENTO="Manual",$M499=$A$15),$M499&gt;(ROW(PLE.lastrow)-ROW(PLE.firstrow))),0,
           IF(OFFSET(PLE!$G$15,$M499-$A$15,CD$13)="",10^12,OFFSET(PLE!$G$15,$M499-$A$15,CD$13)))</f>
        <v>1000000000000</v>
      </c>
      <c r="CE499" s="172">
        <f ca="1">IF(OR($D499&lt;&gt;"Serviço",AND(AUTOEVENTO="Manual",$M499=$A$15),$M499&gt;(ROW(PLE.lastrow)-ROW(PLE.firstrow))),0,
           IF(OFFSET(PLE!$G$15,$M499-$A$15,CE$13)="",10^12,OFFSET(PLE!$G$15,$M499-$A$15,CE$13)))</f>
        <v>1000000000000</v>
      </c>
      <c r="CF499" s="172">
        <f ca="1">IF(OR($D499&lt;&gt;"Serviço",AND(AUTOEVENTO="Manual",$M499=$A$15),$M499&gt;(ROW(PLE.lastrow)-ROW(PLE.firstrow))),0,
           IF(OFFSET(PLE!$G$15,$M499-$A$15,CF$13)="",10^12,OFFSET(PLE!$G$15,$M499-$A$15,CF$13)))</f>
        <v>1000000000000</v>
      </c>
      <c r="CG499" s="172">
        <f ca="1">IF(OR($D499&lt;&gt;"Serviço",AND(AUTOEVENTO="Manual",$M499=$A$15),$M499&gt;(ROW(PLE.lastrow)-ROW(PLE.firstrow))),0,
           IF(OFFSET(PLE!$G$15,$M499-$A$15,CG$13)="",10^12,OFFSET(PLE!$G$15,$M499-$A$15,CG$13)))</f>
        <v>1000000000000</v>
      </c>
      <c r="CH499" s="172">
        <f ca="1">IF(OR($D499&lt;&gt;"Serviço",AND(AUTOEVENTO="Manual",$M499=$A$15),$M499&gt;(ROW(PLE.lastrow)-ROW(PLE.firstrow))),0,
           IF(OFFSET(PLE!$G$15,$M499-$A$15,CH$13)="",10^12,OFFSET(PLE!$G$15,$M499-$A$15,CH$13)))</f>
        <v>1000000000000</v>
      </c>
      <c r="CI499" s="172">
        <f ca="1">IF(OR($D499&lt;&gt;"Serviço",AND(AUTOEVENTO="Manual",$M499=$A$15),$M499&gt;(ROW(PLE.lastrow)-ROW(PLE.firstrow))),0,
           IF(OFFSET(PLE!$G$15,$M499-$A$15,CI$13)="",10^12,OFFSET(PLE!$G$15,$M499-$A$15,CI$13)))</f>
        <v>1000000000000</v>
      </c>
      <c r="CJ499" s="172">
        <f ca="1">IF(OR($D499&lt;&gt;"Serviço",AND(AUTOEVENTO="Manual",$M499=$A$15),$M499&gt;(ROW(PLE.lastrow)-ROW(PLE.firstrow))),0,
           IF(OFFSET(PLE!$G$15,$M499-$A$15,CJ$13)="",10^12,OFFSET(PLE!$G$15,$M499-$A$15,CJ$13)))</f>
        <v>1000000000000</v>
      </c>
      <c r="CK499" s="172">
        <f ca="1">IF(OR($D499&lt;&gt;"Serviço",AND(AUTOEVENTO="Manual",$M499=$A$15),$M499&gt;(ROW(PLE.lastrow)-ROW(PLE.firstrow))),0,
           IF(OFFSET(PLE!$G$15,$M499-$A$15,CK$13)="",10^12,OFFSET(PLE!$G$15,$M499-$A$15,CK$13)))</f>
        <v>1000000000000</v>
      </c>
      <c r="CL499" s="172">
        <f ca="1">IF(OR($D499&lt;&gt;"Serviço",AND(AUTOEVENTO="Manual",$M499=$A$15),$M499&gt;(ROW(PLE.lastrow)-ROW(PLE.firstrow))),0,
           IF(OFFSET(PLE!$G$15,$M499-$A$15,CL$13)="",10^12,OFFSET(PLE!$G$15,$M499-$A$15,CL$13)))</f>
        <v>1000000000000</v>
      </c>
      <c r="CM499" s="172">
        <f ca="1">IF(OR($D499&lt;&gt;"Serviço",AND(AUTOEVENTO="Manual",$M499=$A$15),$M499&gt;(ROW(PLE.lastrow)-ROW(PLE.firstrow))),0,
           IF(OFFSET(PLE!$G$15,$M499-$A$15,CM$13)="",10^12,OFFSET(PLE!$G$15,$M499-$A$15,CM$13)))</f>
        <v>1000000000000</v>
      </c>
    </row>
    <row r="500" spans="1:91" ht="12.75" x14ac:dyDescent="0.2">
      <c r="A500" s="7">
        <f t="shared" ca="1" si="17"/>
        <v>8</v>
      </c>
      <c r="B500" s="7">
        <f ca="1">OFFSET(ORÇAMENTO!C$15,ROW(B500)-ROW(B$15),0)</f>
        <v>3</v>
      </c>
      <c r="C500" s="7" t="str">
        <f ca="1">OFFSET(ORÇAMENTO!L$15,ROW(C500)-ROW(C$15),0)</f>
        <v>F</v>
      </c>
      <c r="D500" s="116" t="str">
        <f ca="1">OFFSET(ORÇAMENTO!N$15,ROW(D500)-ROW(D$15),0)</f>
        <v>Nível 3</v>
      </c>
      <c r="E500" s="117" t="str">
        <f ca="1">OFFSET(ORÇAMENTO!O$15,ROW(E500)-ROW(E$15),0)</f>
        <v>1.10.7.</v>
      </c>
      <c r="F500" s="163" t="str">
        <f ca="1">OFFSET(ORÇAMENTO!R$15,ROW(F500)-ROW(F$15),0)</f>
        <v>COBERTURA</v>
      </c>
      <c r="G500" s="164" t="str">
        <f ca="1">IF($D500&lt;&gt;"Serviço","",OFFSET(ORÇAMENTO!S$15,ROW(G500)-ROW(G$15),0))</f>
        <v/>
      </c>
      <c r="H500" s="122" cm="1">
        <f t="array" aca="1" ref="H500" ca="1">IF($D500&lt;&gt;"Serviço",0,IF(ACOMPANHAMENTO="BM",ROUND(OFFSET(ORÇAMENTO!AJ$15,ROW(H500)-ROW(H$15),0),15-13*ORÇAMENTO!$AF$7),SUMPRODUCT(($Q$1:$AI$1=1)*ROUND($Q500:$AI500,15-13*ORÇAMENTO!$AF$7))))</f>
        <v>0</v>
      </c>
      <c r="I500" s="468"/>
      <c r="J500" s="640" t="str" cm="1">
        <f t="array" aca="1" ref="J500" ca="1">IF(OR(B500&lt;&gt;"S",CÁLCULO.FrentesPreenchidas=0),"",IF(AND(ACOMPANHAMENTO="PLE",AUTOEVENTO="Manual",OR(H500&gt;0,ORÇAMENTO!AC500="QUANT."),OR(K500="",M500=0,N500="")),"►E",IF(AND(ACOMPANHAMENTO="PLE",ORÇAMENTO!AC500="QUANT."),"►Q",IF(AND(ACOMPANHAMENTO="PLE",H500&lt;&gt;SUMPRODUCT(($Q$1:$AI$1=1)*ROUND(Q500:AI500,15))),"►S",IF(AND(COUNTIF($P$11:$AI$11,"▼")=0,H500&gt;0,I500=""),"◄M","")))))</f>
        <v/>
      </c>
      <c r="K500" s="641" t="s">
        <v>1368</v>
      </c>
      <c r="L500" s="165" t="s">
        <v>764</v>
      </c>
      <c r="M500" s="166" t="str">
        <f ca="1">IF($D500&lt;&gt;"Serviço","",
          IF(AUTOEVENTO="manual",$A500,
                IF(ISERROR(MATCH($A500,$A$15:OFFSET($A500,-1,0),0)),MAX($M$15:OFFSET(M500,-1,0))+1,
                      INDEX($M$15:OFFSET(M500,-1,0),MATCH($A500,$A$15:OFFSET($A500,-1,0),0)))))</f>
        <v/>
      </c>
      <c r="N500" s="167" t="str">
        <f ca="1">IF($D500&lt;&gt;"Serviço","",
         IF(AUTOEVENTO="Manual",
                IF($A500=0,"&lt;-- defina o número do agrupador",
                       OFFSET(EVENTOS!$D$15,$A500-$A$15,0)),
                OFFSET($F$15,$A500,0)))</f>
        <v/>
      </c>
      <c r="O500" s="168"/>
      <c r="Q500" s="168"/>
      <c r="R500" s="169"/>
      <c r="S500" s="169"/>
      <c r="T500" s="169"/>
      <c r="U500" s="169"/>
      <c r="V500" s="169"/>
      <c r="W500" s="169"/>
      <c r="X500" s="169"/>
      <c r="Y500" s="169"/>
      <c r="Z500" s="170"/>
      <c r="AA500" s="169"/>
      <c r="AB500" s="169"/>
      <c r="AC500" s="169"/>
      <c r="AD500" s="169"/>
      <c r="AE500" s="169"/>
      <c r="AF500" s="169"/>
      <c r="AG500" s="169"/>
      <c r="AH500" s="170"/>
      <c r="AJ500" s="453">
        <f ca="1">IF(AND($D500="Serviço",AJ$12&lt;&gt;0,$H500&gt;0,OR(AUTOEVENTO&lt;&gt;"manual",$M500&lt;&gt;$A$15)),
        IF(Import.TipoArredondamento&lt;&gt;"TransfereGOV",
              ROUND(OFFSET($P500,0,AJ$13),15-13*ORÇAMENTO!$AF$7)/$H500*OFFSET(ORÇAMENTO!$X$15,ROW(AJ500)-ROW(AJ$15),0),
              ROUND(ROUND(OFFSET($P500,0,AJ$13),15-13*ORÇAMENTO!$AF$7)*OFFSET(ORÇAMENTO!$W$15,ROW(AJ500)-ROW(AJ$15),0),15-13*ORÇAMENTO!$AF$11)),
         0)</f>
        <v>0</v>
      </c>
      <c r="AK500" s="453">
        <f ca="1">IF(AND($D500="Serviço",AK$12&lt;&gt;0,$H500&gt;0,OR(AUTOEVENTO&lt;&gt;"manual",$M500&lt;&gt;$A$15)),
        IF(Import.TipoArredondamento&lt;&gt;"TransfereGOV",
              ROUND(OFFSET($P500,0,AK$13),15-13*ORÇAMENTO!$AF$7)/$H500*OFFSET(ORÇAMENTO!$X$15,ROW(AK500)-ROW(AK$15),0),
              ROUND(ROUND(OFFSET($P500,0,AK$13),15-13*ORÇAMENTO!$AF$7)*OFFSET(ORÇAMENTO!$W$15,ROW(AK500)-ROW(AK$15),0),15-13*ORÇAMENTO!$AF$11)),
         0)</f>
        <v>0</v>
      </c>
      <c r="AL500" s="453">
        <f ca="1">IF(AND($D500="Serviço",AL$12&lt;&gt;0,$H500&gt;0,OR(AUTOEVENTO&lt;&gt;"manual",$M500&lt;&gt;$A$15)),
        IF(Import.TipoArredondamento&lt;&gt;"TransfereGOV",
              ROUND(OFFSET($P500,0,AL$13),15-13*ORÇAMENTO!$AF$7)/$H500*OFFSET(ORÇAMENTO!$X$15,ROW(AL500)-ROW(AL$15),0),
              ROUND(ROUND(OFFSET($P500,0,AL$13),15-13*ORÇAMENTO!$AF$7)*OFFSET(ORÇAMENTO!$W$15,ROW(AL500)-ROW(AL$15),0),15-13*ORÇAMENTO!$AF$11)),
         0)</f>
        <v>0</v>
      </c>
      <c r="AM500" s="453">
        <f ca="1">IF(AND($D500="Serviço",AM$12&lt;&gt;0,$H500&gt;0,OR(AUTOEVENTO&lt;&gt;"manual",$M500&lt;&gt;$A$15)),
        IF(Import.TipoArredondamento&lt;&gt;"TransfereGOV",
              ROUND(OFFSET($P500,0,AM$13),15-13*ORÇAMENTO!$AF$7)/$H500*OFFSET(ORÇAMENTO!$X$15,ROW(AM500)-ROW(AM$15),0),
              ROUND(ROUND(OFFSET($P500,0,AM$13),15-13*ORÇAMENTO!$AF$7)*OFFSET(ORÇAMENTO!$W$15,ROW(AM500)-ROW(AM$15),0),15-13*ORÇAMENTO!$AF$11)),
         0)</f>
        <v>0</v>
      </c>
      <c r="AN500" s="453">
        <f ca="1">IF(AND($D500="Serviço",AN$12&lt;&gt;0,$H500&gt;0,OR(AUTOEVENTO&lt;&gt;"manual",$M500&lt;&gt;$A$15)),
        IF(Import.TipoArredondamento&lt;&gt;"TransfereGOV",
              ROUND(OFFSET($P500,0,AN$13),15-13*ORÇAMENTO!$AF$7)/$H500*OFFSET(ORÇAMENTO!$X$15,ROW(AN500)-ROW(AN$15),0),
              ROUND(ROUND(OFFSET($P500,0,AN$13),15-13*ORÇAMENTO!$AF$7)*OFFSET(ORÇAMENTO!$W$15,ROW(AN500)-ROW(AN$15),0),15-13*ORÇAMENTO!$AF$11)),
         0)</f>
        <v>0</v>
      </c>
      <c r="AO500" s="453">
        <f ca="1">IF(AND($D500="Serviço",AO$12&lt;&gt;0,$H500&gt;0,OR(AUTOEVENTO&lt;&gt;"manual",$M500&lt;&gt;$A$15)),
        IF(Import.TipoArredondamento&lt;&gt;"TransfereGOV",
              ROUND(OFFSET($P500,0,AO$13),15-13*ORÇAMENTO!$AF$7)/$H500*OFFSET(ORÇAMENTO!$X$15,ROW(AO500)-ROW(AO$15),0),
              ROUND(ROUND(OFFSET($P500,0,AO$13),15-13*ORÇAMENTO!$AF$7)*OFFSET(ORÇAMENTO!$W$15,ROW(AO500)-ROW(AO$15),0),15-13*ORÇAMENTO!$AF$11)),
         0)</f>
        <v>0</v>
      </c>
      <c r="AP500" s="453">
        <f ca="1">IF(AND($D500="Serviço",AP$12&lt;&gt;0,$H500&gt;0,OR(AUTOEVENTO&lt;&gt;"manual",$M500&lt;&gt;$A$15)),
        IF(Import.TipoArredondamento&lt;&gt;"TransfereGOV",
              ROUND(OFFSET($P500,0,AP$13),15-13*ORÇAMENTO!$AF$7)/$H500*OFFSET(ORÇAMENTO!$X$15,ROW(AP500)-ROW(AP$15),0),
              ROUND(ROUND(OFFSET($P500,0,AP$13),15-13*ORÇAMENTO!$AF$7)*OFFSET(ORÇAMENTO!$W$15,ROW(AP500)-ROW(AP$15),0),15-13*ORÇAMENTO!$AF$11)),
         0)</f>
        <v>0</v>
      </c>
      <c r="AQ500" s="453">
        <f ca="1">IF(AND($D500="Serviço",AQ$12&lt;&gt;0,$H500&gt;0,OR(AUTOEVENTO&lt;&gt;"manual",$M500&lt;&gt;$A$15)),
        IF(Import.TipoArredondamento&lt;&gt;"TransfereGOV",
              ROUND(OFFSET($P500,0,AQ$13),15-13*ORÇAMENTO!$AF$7)/$H500*OFFSET(ORÇAMENTO!$X$15,ROW(AQ500)-ROW(AQ$15),0),
              ROUND(ROUND(OFFSET($P500,0,AQ$13),15-13*ORÇAMENTO!$AF$7)*OFFSET(ORÇAMENTO!$W$15,ROW(AQ500)-ROW(AQ$15),0),15-13*ORÇAMENTO!$AF$11)),
         0)</f>
        <v>0</v>
      </c>
      <c r="AR500" s="453">
        <f ca="1">IF(AND($D500="Serviço",AR$12&lt;&gt;0,$H500&gt;0,OR(AUTOEVENTO&lt;&gt;"manual",$M500&lt;&gt;$A$15)),
        IF(Import.TipoArredondamento&lt;&gt;"TransfereGOV",
              ROUND(OFFSET($P500,0,AR$13),15-13*ORÇAMENTO!$AF$7)/$H500*OFFSET(ORÇAMENTO!$X$15,ROW(AR500)-ROW(AR$15),0),
              ROUND(ROUND(OFFSET($P500,0,AR$13),15-13*ORÇAMENTO!$AF$7)*OFFSET(ORÇAMENTO!$W$15,ROW(AR500)-ROW(AR$15),0),15-13*ORÇAMENTO!$AF$11)),
         0)</f>
        <v>0</v>
      </c>
      <c r="AS500" s="453">
        <f ca="1">IF(AND($D500="Serviço",AS$12&lt;&gt;0,$H500&gt;0,OR(AUTOEVENTO&lt;&gt;"manual",$M500&lt;&gt;$A$15)),
        IF(Import.TipoArredondamento&lt;&gt;"TransfereGOV",
              ROUND(OFFSET($P500,0,AS$13),15-13*ORÇAMENTO!$AF$7)/$H500*OFFSET(ORÇAMENTO!$X$15,ROW(AS500)-ROW(AS$15),0),
              ROUND(ROUND(OFFSET($P500,0,AS$13),15-13*ORÇAMENTO!$AF$7)*OFFSET(ORÇAMENTO!$W$15,ROW(AS500)-ROW(AS$15),0),15-13*ORÇAMENTO!$AF$11)),
         0)</f>
        <v>0</v>
      </c>
      <c r="AT500" s="453">
        <f ca="1">IF(AND($D500="Serviço",AT$12&lt;&gt;0,$H500&gt;0,OR(AUTOEVENTO&lt;&gt;"manual",$M500&lt;&gt;$A$15)),
        IF(Import.TipoArredondamento&lt;&gt;"TransfereGOV",
              ROUND(OFFSET($P500,0,AT$13),15-13*ORÇAMENTO!$AF$7)/$H500*OFFSET(ORÇAMENTO!$X$15,ROW(AT500)-ROW(AT$15),0),
              ROUND(ROUND(OFFSET($P500,0,AT$13),15-13*ORÇAMENTO!$AF$7)*OFFSET(ORÇAMENTO!$W$15,ROW(AT500)-ROW(AT$15),0),15-13*ORÇAMENTO!$AF$11)),
         0)</f>
        <v>0</v>
      </c>
      <c r="AU500" s="453">
        <f ca="1">IF(AND($D500="Serviço",AU$12&lt;&gt;0,$H500&gt;0,OR(AUTOEVENTO&lt;&gt;"manual",$M500&lt;&gt;$A$15)),
        IF(Import.TipoArredondamento&lt;&gt;"TransfereGOV",
              ROUND(OFFSET($P500,0,AU$13),15-13*ORÇAMENTO!$AF$7)/$H500*OFFSET(ORÇAMENTO!$X$15,ROW(AU500)-ROW(AU$15),0),
              ROUND(ROUND(OFFSET($P500,0,AU$13),15-13*ORÇAMENTO!$AF$7)*OFFSET(ORÇAMENTO!$W$15,ROW(AU500)-ROW(AU$15),0),15-13*ORÇAMENTO!$AF$11)),
         0)</f>
        <v>0</v>
      </c>
      <c r="AV500" s="453">
        <f ca="1">IF(AND($D500="Serviço",AV$12&lt;&gt;0,$H500&gt;0,OR(AUTOEVENTO&lt;&gt;"manual",$M500&lt;&gt;$A$15)),
        IF(Import.TipoArredondamento&lt;&gt;"TransfereGOV",
              ROUND(OFFSET($P500,0,AV$13),15-13*ORÇAMENTO!$AF$7)/$H500*OFFSET(ORÇAMENTO!$X$15,ROW(AV500)-ROW(AV$15),0),
              ROUND(ROUND(OFFSET($P500,0,AV$13),15-13*ORÇAMENTO!$AF$7)*OFFSET(ORÇAMENTO!$W$15,ROW(AV500)-ROW(AV$15),0),15-13*ORÇAMENTO!$AF$11)),
         0)</f>
        <v>0</v>
      </c>
      <c r="AW500" s="453">
        <f ca="1">IF(AND($D500="Serviço",AW$12&lt;&gt;0,$H500&gt;0,OR(AUTOEVENTO&lt;&gt;"manual",$M500&lt;&gt;$A$15)),
        IF(Import.TipoArredondamento&lt;&gt;"TransfereGOV",
              ROUND(OFFSET($P500,0,AW$13),15-13*ORÇAMENTO!$AF$7)/$H500*OFFSET(ORÇAMENTO!$X$15,ROW(AW500)-ROW(AW$15),0),
              ROUND(ROUND(OFFSET($P500,0,AW$13),15-13*ORÇAMENTO!$AF$7)*OFFSET(ORÇAMENTO!$W$15,ROW(AW500)-ROW(AW$15),0),15-13*ORÇAMENTO!$AF$11)),
         0)</f>
        <v>0</v>
      </c>
      <c r="AX500" s="453">
        <f ca="1">IF(AND($D500="Serviço",AX$12&lt;&gt;0,$H500&gt;0,OR(AUTOEVENTO&lt;&gt;"manual",$M500&lt;&gt;$A$15)),
        IF(Import.TipoArredondamento&lt;&gt;"TransfereGOV",
              ROUND(OFFSET($P500,0,AX$13),15-13*ORÇAMENTO!$AF$7)/$H500*OFFSET(ORÇAMENTO!$X$15,ROW(AX500)-ROW(AX$15),0),
              ROUND(ROUND(OFFSET($P500,0,AX$13),15-13*ORÇAMENTO!$AF$7)*OFFSET(ORÇAMENTO!$W$15,ROW(AX500)-ROW(AX$15),0),15-13*ORÇAMENTO!$AF$11)),
         0)</f>
        <v>0</v>
      </c>
      <c r="AY500" s="453">
        <f ca="1">IF(AND($D500="Serviço",AY$12&lt;&gt;0,$H500&gt;0,OR(AUTOEVENTO&lt;&gt;"manual",$M500&lt;&gt;$A$15)),
        IF(Import.TipoArredondamento&lt;&gt;"TransfereGOV",
              ROUND(OFFSET($P500,0,AY$13),15-13*ORÇAMENTO!$AF$7)/$H500*OFFSET(ORÇAMENTO!$X$15,ROW(AY500)-ROW(AY$15),0),
              ROUND(ROUND(OFFSET($P500,0,AY$13),15-13*ORÇAMENTO!$AF$7)*OFFSET(ORÇAMENTO!$W$15,ROW(AY500)-ROW(AY$15),0),15-13*ORÇAMENTO!$AF$11)),
         0)</f>
        <v>0</v>
      </c>
      <c r="AZ500" s="453">
        <f ca="1">IF(AND($D500="Serviço",AZ$12&lt;&gt;0,$H500&gt;0,OR(AUTOEVENTO&lt;&gt;"manual",$M500&lt;&gt;$A$15)),
        IF(Import.TipoArredondamento&lt;&gt;"TransfereGOV",
              ROUND(OFFSET($P500,0,AZ$13),15-13*ORÇAMENTO!$AF$7)/$H500*OFFSET(ORÇAMENTO!$X$15,ROW(AZ500)-ROW(AZ$15),0),
              ROUND(ROUND(OFFSET($P500,0,AZ$13),15-13*ORÇAMENTO!$AF$7)*OFFSET(ORÇAMENTO!$W$15,ROW(AZ500)-ROW(AZ$15),0),15-13*ORÇAMENTO!$AF$11)),
         0)</f>
        <v>0</v>
      </c>
      <c r="BA500" s="453">
        <f ca="1">IF(AND($D500="Serviço",BA$12&lt;&gt;0,$H500&gt;0,OR(AUTOEVENTO&lt;&gt;"manual",$M500&lt;&gt;$A$15)),
        IF(Import.TipoArredondamento&lt;&gt;"TransfereGOV",
              ROUND(OFFSET($P500,0,BA$13),15-13*ORÇAMENTO!$AF$7)/$H500*OFFSET(ORÇAMENTO!$X$15,ROW(BA500)-ROW(BA$15),0),
              ROUND(ROUND(OFFSET($P500,0,BA$13),15-13*ORÇAMENTO!$AF$7)*OFFSET(ORÇAMENTO!$W$15,ROW(BA500)-ROW(BA$15),0),15-13*ORÇAMENTO!$AF$11)),
         0)</f>
        <v>0</v>
      </c>
      <c r="BC500" s="171">
        <f ca="1">IF(OR($D500&lt;&gt;"Serviço",AND(AUTOEVENTO="Manual",$M500=$A$15)),0,
         IF(OFFSET(CRONOPLE!$F$15,$M500-$A$15,BC$13)=0,10^12,OFFSET(CRONOPLE!$F$15,$M500-$A$15,BC$13)))</f>
        <v>0</v>
      </c>
      <c r="BD500" s="171">
        <f ca="1">IF(OR($D500&lt;&gt;"Serviço",AND(AUTOEVENTO="Manual",$M500=$A$15)),0,
         IF(OFFSET(CRONOPLE!$F$15,$M500-$A$15,BD$13)=0,10^12,OFFSET(CRONOPLE!$F$15,$M500-$A$15,BD$13)))</f>
        <v>0</v>
      </c>
      <c r="BE500" s="171">
        <f ca="1">IF(OR($D500&lt;&gt;"Serviço",AND(AUTOEVENTO="Manual",$M500=$A$15)),0,
         IF(OFFSET(CRONOPLE!$F$15,$M500-$A$15,BE$13)=0,10^12,OFFSET(CRONOPLE!$F$15,$M500-$A$15,BE$13)))</f>
        <v>0</v>
      </c>
      <c r="BF500" s="171">
        <f ca="1">IF(OR($D500&lt;&gt;"Serviço",AND(AUTOEVENTO="Manual",$M500=$A$15)),0,
         IF(OFFSET(CRONOPLE!$F$15,$M500-$A$15,BF$13)=0,10^12,OFFSET(CRONOPLE!$F$15,$M500-$A$15,BF$13)))</f>
        <v>0</v>
      </c>
      <c r="BG500" s="171">
        <f ca="1">IF(OR($D500&lt;&gt;"Serviço",AND(AUTOEVENTO="Manual",$M500=$A$15)),0,
         IF(OFFSET(CRONOPLE!$F$15,$M500-$A$15,BG$13)=0,10^12,OFFSET(CRONOPLE!$F$15,$M500-$A$15,BG$13)))</f>
        <v>0</v>
      </c>
      <c r="BH500" s="171">
        <f ca="1">IF(OR($D500&lt;&gt;"Serviço",AND(AUTOEVENTO="Manual",$M500=$A$15)),0,
         IF(OFFSET(CRONOPLE!$F$15,$M500-$A$15,BH$13)=0,10^12,OFFSET(CRONOPLE!$F$15,$M500-$A$15,BH$13)))</f>
        <v>0</v>
      </c>
      <c r="BI500" s="171">
        <f ca="1">IF(OR($D500&lt;&gt;"Serviço",AND(AUTOEVENTO="Manual",$M500=$A$15)),0,
         IF(OFFSET(CRONOPLE!$F$15,$M500-$A$15,BI$13)=0,10^12,OFFSET(CRONOPLE!$F$15,$M500-$A$15,BI$13)))</f>
        <v>0</v>
      </c>
      <c r="BJ500" s="171">
        <f ca="1">IF(OR($D500&lt;&gt;"Serviço",AND(AUTOEVENTO="Manual",$M500=$A$15)),0,
         IF(OFFSET(CRONOPLE!$F$15,$M500-$A$15,BJ$13)=0,10^12,OFFSET(CRONOPLE!$F$15,$M500-$A$15,BJ$13)))</f>
        <v>0</v>
      </c>
      <c r="BK500" s="171">
        <f ca="1">IF(OR($D500&lt;&gt;"Serviço",AND(AUTOEVENTO="Manual",$M500=$A$15)),0,
         IF(OFFSET(CRONOPLE!$F$15,$M500-$A$15,BK$13)=0,10^12,OFFSET(CRONOPLE!$F$15,$M500-$A$15,BK$13)))</f>
        <v>0</v>
      </c>
      <c r="BL500" s="171">
        <f ca="1">IF(OR($D500&lt;&gt;"Serviço",AND(AUTOEVENTO="Manual",$M500=$A$15)),0,
         IF(OFFSET(CRONOPLE!$F$15,$M500-$A$15,BL$13)=0,10^12,OFFSET(CRONOPLE!$F$15,$M500-$A$15,BL$13)))</f>
        <v>0</v>
      </c>
      <c r="BM500" s="171">
        <f ca="1">IF(OR($D500&lt;&gt;"Serviço",AND(AUTOEVENTO="Manual",$M500=$A$15)),0,
         IF(OFFSET(CRONOPLE!$F$15,$M500-$A$15,BM$13)=0,10^12,OFFSET(CRONOPLE!$F$15,$M500-$A$15,BM$13)))</f>
        <v>0</v>
      </c>
      <c r="BN500" s="171">
        <f ca="1">IF(OR($D500&lt;&gt;"Serviço",AND(AUTOEVENTO="Manual",$M500=$A$15)),0,
         IF(OFFSET(CRONOPLE!$F$15,$M500-$A$15,BN$13)=0,10^12,OFFSET(CRONOPLE!$F$15,$M500-$A$15,BN$13)))</f>
        <v>0</v>
      </c>
      <c r="BO500" s="171">
        <f ca="1">IF(OR($D500&lt;&gt;"Serviço",AND(AUTOEVENTO="Manual",$M500=$A$15)),0,
         IF(OFFSET(CRONOPLE!$F$15,$M500-$A$15,BO$13)=0,10^12,OFFSET(CRONOPLE!$F$15,$M500-$A$15,BO$13)))</f>
        <v>0</v>
      </c>
      <c r="BP500" s="171">
        <f ca="1">IF(OR($D500&lt;&gt;"Serviço",AND(AUTOEVENTO="Manual",$M500=$A$15)),0,
         IF(OFFSET(CRONOPLE!$F$15,$M500-$A$15,BP$13)=0,10^12,OFFSET(CRONOPLE!$F$15,$M500-$A$15,BP$13)))</f>
        <v>0</v>
      </c>
      <c r="BQ500" s="171">
        <f ca="1">IF(OR($D500&lt;&gt;"Serviço",AND(AUTOEVENTO="Manual",$M500=$A$15)),0,
         IF(OFFSET(CRONOPLE!$F$15,$M500-$A$15,BQ$13)=0,10^12,OFFSET(CRONOPLE!$F$15,$M500-$A$15,BQ$13)))</f>
        <v>0</v>
      </c>
      <c r="BR500" s="171">
        <f ca="1">IF(OR($D500&lt;&gt;"Serviço",AND(AUTOEVENTO="Manual",$M500=$A$15)),0,
         IF(OFFSET(CRONOPLE!$F$15,$M500-$A$15,BR$13)=0,10^12,OFFSET(CRONOPLE!$F$15,$M500-$A$15,BR$13)))</f>
        <v>0</v>
      </c>
      <c r="BS500" s="171">
        <f ca="1">IF(OR($D500&lt;&gt;"Serviço",AND(AUTOEVENTO="Manual",$M500=$A$15)),0,
         IF(OFFSET(CRONOPLE!$F$15,$M500-$A$15,BS$13)=0,10^12,OFFSET(CRONOPLE!$F$15,$M500-$A$15,BS$13)))</f>
        <v>0</v>
      </c>
      <c r="BT500" s="171">
        <f ca="1">IF(OR($D500&lt;&gt;"Serviço",AND(AUTOEVENTO="Manual",$M500=$A$15)),0,
         IF(OFFSET(CRONOPLE!$F$15,$M500-$A$15,BT$13)=0,10^12,OFFSET(CRONOPLE!$F$15,$M500-$A$15,BT$13)))</f>
        <v>0</v>
      </c>
      <c r="BV500" s="172">
        <f ca="1">IF(OR($D500&lt;&gt;"Serviço",AND(AUTOEVENTO="Manual",$M500=$A$15),$M500&gt;(ROW(PLE.lastrow)-ROW(PLE.firstrow))),0,
           IF(OFFSET(PLE!$G$15,$M500-$A$15,BV$13)="",10^12,OFFSET(PLE!$G$15,$M500-$A$15,BV$13)))</f>
        <v>0</v>
      </c>
      <c r="BW500" s="172">
        <f ca="1">IF(OR($D500&lt;&gt;"Serviço",AND(AUTOEVENTO="Manual",$M500=$A$15),$M500&gt;(ROW(PLE.lastrow)-ROW(PLE.firstrow))),0,
           IF(OFFSET(PLE!$G$15,$M500-$A$15,BW$13)="",10^12,OFFSET(PLE!$G$15,$M500-$A$15,BW$13)))</f>
        <v>0</v>
      </c>
      <c r="BX500" s="172">
        <f ca="1">IF(OR($D500&lt;&gt;"Serviço",AND(AUTOEVENTO="Manual",$M500=$A$15),$M500&gt;(ROW(PLE.lastrow)-ROW(PLE.firstrow))),0,
           IF(OFFSET(PLE!$G$15,$M500-$A$15,BX$13)="",10^12,OFFSET(PLE!$G$15,$M500-$A$15,BX$13)))</f>
        <v>0</v>
      </c>
      <c r="BY500" s="172">
        <f ca="1">IF(OR($D500&lt;&gt;"Serviço",AND(AUTOEVENTO="Manual",$M500=$A$15),$M500&gt;(ROW(PLE.lastrow)-ROW(PLE.firstrow))),0,
           IF(OFFSET(PLE!$G$15,$M500-$A$15,BY$13)="",10^12,OFFSET(PLE!$G$15,$M500-$A$15,BY$13)))</f>
        <v>0</v>
      </c>
      <c r="BZ500" s="172">
        <f ca="1">IF(OR($D500&lt;&gt;"Serviço",AND(AUTOEVENTO="Manual",$M500=$A$15),$M500&gt;(ROW(PLE.lastrow)-ROW(PLE.firstrow))),0,
           IF(OFFSET(PLE!$G$15,$M500-$A$15,BZ$13)="",10^12,OFFSET(PLE!$G$15,$M500-$A$15,BZ$13)))</f>
        <v>0</v>
      </c>
      <c r="CA500" s="172">
        <f ca="1">IF(OR($D500&lt;&gt;"Serviço",AND(AUTOEVENTO="Manual",$M500=$A$15),$M500&gt;(ROW(PLE.lastrow)-ROW(PLE.firstrow))),0,
           IF(OFFSET(PLE!$G$15,$M500-$A$15,CA$13)="",10^12,OFFSET(PLE!$G$15,$M500-$A$15,CA$13)))</f>
        <v>0</v>
      </c>
      <c r="CB500" s="172">
        <f ca="1">IF(OR($D500&lt;&gt;"Serviço",AND(AUTOEVENTO="Manual",$M500=$A$15),$M500&gt;(ROW(PLE.lastrow)-ROW(PLE.firstrow))),0,
           IF(OFFSET(PLE!$G$15,$M500-$A$15,CB$13)="",10^12,OFFSET(PLE!$G$15,$M500-$A$15,CB$13)))</f>
        <v>0</v>
      </c>
      <c r="CC500" s="172">
        <f ca="1">IF(OR($D500&lt;&gt;"Serviço",AND(AUTOEVENTO="Manual",$M500=$A$15),$M500&gt;(ROW(PLE.lastrow)-ROW(PLE.firstrow))),0,
           IF(OFFSET(PLE!$G$15,$M500-$A$15,CC$13)="",10^12,OFFSET(PLE!$G$15,$M500-$A$15,CC$13)))</f>
        <v>0</v>
      </c>
      <c r="CD500" s="172">
        <f ca="1">IF(OR($D500&lt;&gt;"Serviço",AND(AUTOEVENTO="Manual",$M500=$A$15),$M500&gt;(ROW(PLE.lastrow)-ROW(PLE.firstrow))),0,
           IF(OFFSET(PLE!$G$15,$M500-$A$15,CD$13)="",10^12,OFFSET(PLE!$G$15,$M500-$A$15,CD$13)))</f>
        <v>0</v>
      </c>
      <c r="CE500" s="172">
        <f ca="1">IF(OR($D500&lt;&gt;"Serviço",AND(AUTOEVENTO="Manual",$M500=$A$15),$M500&gt;(ROW(PLE.lastrow)-ROW(PLE.firstrow))),0,
           IF(OFFSET(PLE!$G$15,$M500-$A$15,CE$13)="",10^12,OFFSET(PLE!$G$15,$M500-$A$15,CE$13)))</f>
        <v>0</v>
      </c>
      <c r="CF500" s="172">
        <f ca="1">IF(OR($D500&lt;&gt;"Serviço",AND(AUTOEVENTO="Manual",$M500=$A$15),$M500&gt;(ROW(PLE.lastrow)-ROW(PLE.firstrow))),0,
           IF(OFFSET(PLE!$G$15,$M500-$A$15,CF$13)="",10^12,OFFSET(PLE!$G$15,$M500-$A$15,CF$13)))</f>
        <v>0</v>
      </c>
      <c r="CG500" s="172">
        <f ca="1">IF(OR($D500&lt;&gt;"Serviço",AND(AUTOEVENTO="Manual",$M500=$A$15),$M500&gt;(ROW(PLE.lastrow)-ROW(PLE.firstrow))),0,
           IF(OFFSET(PLE!$G$15,$M500-$A$15,CG$13)="",10^12,OFFSET(PLE!$G$15,$M500-$A$15,CG$13)))</f>
        <v>0</v>
      </c>
      <c r="CH500" s="172">
        <f ca="1">IF(OR($D500&lt;&gt;"Serviço",AND(AUTOEVENTO="Manual",$M500=$A$15),$M500&gt;(ROW(PLE.lastrow)-ROW(PLE.firstrow))),0,
           IF(OFFSET(PLE!$G$15,$M500-$A$15,CH$13)="",10^12,OFFSET(PLE!$G$15,$M500-$A$15,CH$13)))</f>
        <v>0</v>
      </c>
      <c r="CI500" s="172">
        <f ca="1">IF(OR($D500&lt;&gt;"Serviço",AND(AUTOEVENTO="Manual",$M500=$A$15),$M500&gt;(ROW(PLE.lastrow)-ROW(PLE.firstrow))),0,
           IF(OFFSET(PLE!$G$15,$M500-$A$15,CI$13)="",10^12,OFFSET(PLE!$G$15,$M500-$A$15,CI$13)))</f>
        <v>0</v>
      </c>
      <c r="CJ500" s="172">
        <f ca="1">IF(OR($D500&lt;&gt;"Serviço",AND(AUTOEVENTO="Manual",$M500=$A$15),$M500&gt;(ROW(PLE.lastrow)-ROW(PLE.firstrow))),0,
           IF(OFFSET(PLE!$G$15,$M500-$A$15,CJ$13)="",10^12,OFFSET(PLE!$G$15,$M500-$A$15,CJ$13)))</f>
        <v>0</v>
      </c>
      <c r="CK500" s="172">
        <f ca="1">IF(OR($D500&lt;&gt;"Serviço",AND(AUTOEVENTO="Manual",$M500=$A$15),$M500&gt;(ROW(PLE.lastrow)-ROW(PLE.firstrow))),0,
           IF(OFFSET(PLE!$G$15,$M500-$A$15,CK$13)="",10^12,OFFSET(PLE!$G$15,$M500-$A$15,CK$13)))</f>
        <v>0</v>
      </c>
      <c r="CL500" s="172">
        <f ca="1">IF(OR($D500&lt;&gt;"Serviço",AND(AUTOEVENTO="Manual",$M500=$A$15),$M500&gt;(ROW(PLE.lastrow)-ROW(PLE.firstrow))),0,
           IF(OFFSET(PLE!$G$15,$M500-$A$15,CL$13)="",10^12,OFFSET(PLE!$G$15,$M500-$A$15,CL$13)))</f>
        <v>0</v>
      </c>
      <c r="CM500" s="172">
        <f ca="1">IF(OR($D500&lt;&gt;"Serviço",AND(AUTOEVENTO="Manual",$M500=$A$15),$M500&gt;(ROW(PLE.lastrow)-ROW(PLE.firstrow))),0,
           IF(OFFSET(PLE!$G$15,$M500-$A$15,CM$13)="",10^12,OFFSET(PLE!$G$15,$M500-$A$15,CM$13)))</f>
        <v>0</v>
      </c>
    </row>
    <row r="501" spans="1:91" ht="102" x14ac:dyDescent="0.2">
      <c r="A501" s="7">
        <f t="shared" ca="1" si="17"/>
        <v>9</v>
      </c>
      <c r="B501" s="7" t="str">
        <f ca="1">OFFSET(ORÇAMENTO!C$15,ROW(B501)-ROW(B$15),0)</f>
        <v>S</v>
      </c>
      <c r="C501" s="7" t="str">
        <f ca="1">OFFSET(ORÇAMENTO!L$15,ROW(C501)-ROW(C$15),0)</f>
        <v>F</v>
      </c>
      <c r="D501" s="116" t="str">
        <f ca="1">OFFSET(ORÇAMENTO!N$15,ROW(D501)-ROW(D$15),0)</f>
        <v>Serviço</v>
      </c>
      <c r="E501" s="117" t="str">
        <f ca="1">OFFSET(ORÇAMENTO!O$15,ROW(E501)-ROW(E$15),0)</f>
        <v>1.10.7.0.1.</v>
      </c>
      <c r="F501" s="163" t="str">
        <f ca="1">OFFSET(ORÇAMENTO!R$15,ROW(F501)-ROW(F$15),0)</f>
        <v>CALHA EM CHAPA DE AÇO GALVANIZADO NÚMERO 24, DESENVOLVIMENTO DE 33 CM, INCLUSO TRANSPORTE VERTICAL. AF_07/2019</v>
      </c>
      <c r="G501" s="164" t="str">
        <f ca="1">IF($D501&lt;&gt;"Serviço","",OFFSET(ORÇAMENTO!S$15,ROW(G501)-ROW(G$15),0))</f>
        <v>M</v>
      </c>
      <c r="H501" s="122" cm="1">
        <f t="array" aca="1" ref="H501" ca="1">IF($D501&lt;&gt;"Serviço",0,IF(ACOMPANHAMENTO="BM",ROUND(OFFSET(ORÇAMENTO!AJ$15,ROW(H501)-ROW(H$15),0),15-13*ORÇAMENTO!$AF$7),SUMPRODUCT(($Q$1:$AI$1=1)*ROUND($Q501:$AI501,15-13*ORÇAMENTO!$AF$7))))</f>
        <v>28.14</v>
      </c>
      <c r="I501" s="468" t="s">
        <v>1399</v>
      </c>
      <c r="J501" s="640" t="str" cm="1">
        <f t="array" aca="1" ref="J501" ca="1">IF(OR(B501&lt;&gt;"S",CÁLCULO.FrentesPreenchidas=0),"",IF(AND(ACOMPANHAMENTO="PLE",AUTOEVENTO="Manual",OR(H501&gt;0,ORÇAMENTO!AC501="QUANT."),OR(K501="",M501=0,N501="")),"►E",IF(AND(ACOMPANHAMENTO="PLE",ORÇAMENTO!AC501="QUANT."),"►Q",IF(AND(ACOMPANHAMENTO="PLE",H501&lt;&gt;SUMPRODUCT(($Q$1:$AI$1=1)*ROUND(Q501:AI501,15))),"►S",IF(AND(COUNTIF($P$11:$AI$11,"▼")=0,H501&gt;0,I501=""),"◄M","")))))</f>
        <v/>
      </c>
      <c r="K501" s="641" t="s">
        <v>1393</v>
      </c>
      <c r="L501" s="165" t="s">
        <v>764</v>
      </c>
      <c r="M501" s="166">
        <f ca="1">IF($D501&lt;&gt;"Serviço","",
          IF(AUTOEVENTO="manual",$A501,
                IF(ISERROR(MATCH($A501,$A$15:OFFSET($A501,-1,0),0)),MAX($M$15:OFFSET(M501,-1,0))+1,
                      INDEX($M$15:OFFSET(M501,-1,0),MATCH($A501,$A$15:OFFSET($A501,-1,0),0)))))</f>
        <v>9</v>
      </c>
      <c r="N501" s="167" t="str">
        <f ca="1">IF($D501&lt;&gt;"Serviço","",
         IF(AUTOEVENTO="Manual",
                IF($A501=0,"&lt;-- defina o número do agrupador",
                       OFFSET(EVENTOS!$D$15,$A501-$A$15,0)),
                OFFSET($F$15,$A501,0)))</f>
        <v>Arquitetura</v>
      </c>
      <c r="O501" s="168"/>
      <c r="Q501" s="168"/>
      <c r="R501" s="169"/>
      <c r="S501" s="169"/>
      <c r="T501" s="169"/>
      <c r="U501" s="169"/>
      <c r="V501" s="169"/>
      <c r="W501" s="169"/>
      <c r="X501" s="169"/>
      <c r="Y501" s="169"/>
      <c r="Z501" s="170">
        <f>13.4+4.74+10</f>
        <v>28.14</v>
      </c>
      <c r="AA501" s="169"/>
      <c r="AB501" s="169"/>
      <c r="AC501" s="169"/>
      <c r="AD501" s="169"/>
      <c r="AE501" s="169"/>
      <c r="AF501" s="169"/>
      <c r="AG501" s="169"/>
      <c r="AH501" s="170"/>
      <c r="AJ501" s="453">
        <f ca="1">IF(AND($D501="Serviço",AJ$12&lt;&gt;0,$H501&gt;0,OR(AUTOEVENTO&lt;&gt;"manual",$M501&lt;&gt;$A$15)),
        IF(Import.TipoArredondamento&lt;&gt;"TransfereGOV",
              ROUND(OFFSET($P501,0,AJ$13),15-13*ORÇAMENTO!$AF$7)/$H501*OFFSET(ORÇAMENTO!$X$15,ROW(AJ501)-ROW(AJ$15),0),
              ROUND(ROUND(OFFSET($P501,0,AJ$13),15-13*ORÇAMENTO!$AF$7)*OFFSET(ORÇAMENTO!$W$15,ROW(AJ501)-ROW(AJ$15),0),15-13*ORÇAMENTO!$AF$11)),
         0)</f>
        <v>0</v>
      </c>
      <c r="AK501" s="453">
        <f ca="1">IF(AND($D501="Serviço",AK$12&lt;&gt;0,$H501&gt;0,OR(AUTOEVENTO&lt;&gt;"manual",$M501&lt;&gt;$A$15)),
        IF(Import.TipoArredondamento&lt;&gt;"TransfereGOV",
              ROUND(OFFSET($P501,0,AK$13),15-13*ORÇAMENTO!$AF$7)/$H501*OFFSET(ORÇAMENTO!$X$15,ROW(AK501)-ROW(AK$15),0),
              ROUND(ROUND(OFFSET($P501,0,AK$13),15-13*ORÇAMENTO!$AF$7)*OFFSET(ORÇAMENTO!$W$15,ROW(AK501)-ROW(AK$15),0),15-13*ORÇAMENTO!$AF$11)),
         0)</f>
        <v>0</v>
      </c>
      <c r="AL501" s="453">
        <f ca="1">IF(AND($D501="Serviço",AL$12&lt;&gt;0,$H501&gt;0,OR(AUTOEVENTO&lt;&gt;"manual",$M501&lt;&gt;$A$15)),
        IF(Import.TipoArredondamento&lt;&gt;"TransfereGOV",
              ROUND(OFFSET($P501,0,AL$13),15-13*ORÇAMENTO!$AF$7)/$H501*OFFSET(ORÇAMENTO!$X$15,ROW(AL501)-ROW(AL$15),0),
              ROUND(ROUND(OFFSET($P501,0,AL$13),15-13*ORÇAMENTO!$AF$7)*OFFSET(ORÇAMENTO!$W$15,ROW(AL501)-ROW(AL$15),0),15-13*ORÇAMENTO!$AF$11)),
         0)</f>
        <v>0</v>
      </c>
      <c r="AM501" s="453">
        <f ca="1">IF(AND($D501="Serviço",AM$12&lt;&gt;0,$H501&gt;0,OR(AUTOEVENTO&lt;&gt;"manual",$M501&lt;&gt;$A$15)),
        IF(Import.TipoArredondamento&lt;&gt;"TransfereGOV",
              ROUND(OFFSET($P501,0,AM$13),15-13*ORÇAMENTO!$AF$7)/$H501*OFFSET(ORÇAMENTO!$X$15,ROW(AM501)-ROW(AM$15),0),
              ROUND(ROUND(OFFSET($P501,0,AM$13),15-13*ORÇAMENTO!$AF$7)*OFFSET(ORÇAMENTO!$W$15,ROW(AM501)-ROW(AM$15),0),15-13*ORÇAMENTO!$AF$11)),
         0)</f>
        <v>0</v>
      </c>
      <c r="AN501" s="453">
        <f ca="1">IF(AND($D501="Serviço",AN$12&lt;&gt;0,$H501&gt;0,OR(AUTOEVENTO&lt;&gt;"manual",$M501&lt;&gt;$A$15)),
        IF(Import.TipoArredondamento&lt;&gt;"TransfereGOV",
              ROUND(OFFSET($P501,0,AN$13),15-13*ORÇAMENTO!$AF$7)/$H501*OFFSET(ORÇAMENTO!$X$15,ROW(AN501)-ROW(AN$15),0),
              ROUND(ROUND(OFFSET($P501,0,AN$13),15-13*ORÇAMENTO!$AF$7)*OFFSET(ORÇAMENTO!$W$15,ROW(AN501)-ROW(AN$15),0),15-13*ORÇAMENTO!$AF$11)),
         0)</f>
        <v>0</v>
      </c>
      <c r="AO501" s="453">
        <f ca="1">IF(AND($D501="Serviço",AO$12&lt;&gt;0,$H501&gt;0,OR(AUTOEVENTO&lt;&gt;"manual",$M501&lt;&gt;$A$15)),
        IF(Import.TipoArredondamento&lt;&gt;"TransfereGOV",
              ROUND(OFFSET($P501,0,AO$13),15-13*ORÇAMENTO!$AF$7)/$H501*OFFSET(ORÇAMENTO!$X$15,ROW(AO501)-ROW(AO$15),0),
              ROUND(ROUND(OFFSET($P501,0,AO$13),15-13*ORÇAMENTO!$AF$7)*OFFSET(ORÇAMENTO!$W$15,ROW(AO501)-ROW(AO$15),0),15-13*ORÇAMENTO!$AF$11)),
         0)</f>
        <v>0</v>
      </c>
      <c r="AP501" s="453">
        <f ca="1">IF(AND($D501="Serviço",AP$12&lt;&gt;0,$H501&gt;0,OR(AUTOEVENTO&lt;&gt;"manual",$M501&lt;&gt;$A$15)),
        IF(Import.TipoArredondamento&lt;&gt;"TransfereGOV",
              ROUND(OFFSET($P501,0,AP$13),15-13*ORÇAMENTO!$AF$7)/$H501*OFFSET(ORÇAMENTO!$X$15,ROW(AP501)-ROW(AP$15),0),
              ROUND(ROUND(OFFSET($P501,0,AP$13),15-13*ORÇAMENTO!$AF$7)*OFFSET(ORÇAMENTO!$W$15,ROW(AP501)-ROW(AP$15),0),15-13*ORÇAMENTO!$AF$11)),
         0)</f>
        <v>0</v>
      </c>
      <c r="AQ501" s="453">
        <f ca="1">IF(AND($D501="Serviço",AQ$12&lt;&gt;0,$H501&gt;0,OR(AUTOEVENTO&lt;&gt;"manual",$M501&lt;&gt;$A$15)),
        IF(Import.TipoArredondamento&lt;&gt;"TransfereGOV",
              ROUND(OFFSET($P501,0,AQ$13),15-13*ORÇAMENTO!$AF$7)/$H501*OFFSET(ORÇAMENTO!$X$15,ROW(AQ501)-ROW(AQ$15),0),
              ROUND(ROUND(OFFSET($P501,0,AQ$13),15-13*ORÇAMENTO!$AF$7)*OFFSET(ORÇAMENTO!$W$15,ROW(AQ501)-ROW(AQ$15),0),15-13*ORÇAMENTO!$AF$11)),
         0)</f>
        <v>0</v>
      </c>
      <c r="AR501" s="453">
        <f ca="1">IF(AND($D501="Serviço",AR$12&lt;&gt;0,$H501&gt;0,OR(AUTOEVENTO&lt;&gt;"manual",$M501&lt;&gt;$A$15)),
        IF(Import.TipoArredondamento&lt;&gt;"TransfereGOV",
              ROUND(OFFSET($P501,0,AR$13),15-13*ORÇAMENTO!$AF$7)/$H501*OFFSET(ORÇAMENTO!$X$15,ROW(AR501)-ROW(AR$15),0),
              ROUND(ROUND(OFFSET($P501,0,AR$13),15-13*ORÇAMENTO!$AF$7)*OFFSET(ORÇAMENTO!$W$15,ROW(AR501)-ROW(AR$15),0),15-13*ORÇAMENTO!$AF$11)),
         0)</f>
        <v>0</v>
      </c>
      <c r="AS501" s="453">
        <f ca="1">IF(AND($D501="Serviço",AS$12&lt;&gt;0,$H501&gt;0,OR(AUTOEVENTO&lt;&gt;"manual",$M501&lt;&gt;$A$15)),
        IF(Import.TipoArredondamento&lt;&gt;"TransfereGOV",
              ROUND(OFFSET($P501,0,AS$13),15-13*ORÇAMENTO!$AF$7)/$H501*OFFSET(ORÇAMENTO!$X$15,ROW(AS501)-ROW(AS$15),0),
              ROUND(ROUND(OFFSET($P501,0,AS$13),15-13*ORÇAMENTO!$AF$7)*OFFSET(ORÇAMENTO!$W$15,ROW(AS501)-ROW(AS$15),0),15-13*ORÇAMENTO!$AF$11)),
         0)</f>
        <v>0</v>
      </c>
      <c r="AT501" s="453">
        <f ca="1">IF(AND($D501="Serviço",AT$12&lt;&gt;0,$H501&gt;0,OR(AUTOEVENTO&lt;&gt;"manual",$M501&lt;&gt;$A$15)),
        IF(Import.TipoArredondamento&lt;&gt;"TransfereGOV",
              ROUND(OFFSET($P501,0,AT$13),15-13*ORÇAMENTO!$AF$7)/$H501*OFFSET(ORÇAMENTO!$X$15,ROW(AT501)-ROW(AT$15),0),
              ROUND(ROUND(OFFSET($P501,0,AT$13),15-13*ORÇAMENTO!$AF$7)*OFFSET(ORÇAMENTO!$W$15,ROW(AT501)-ROW(AT$15),0),15-13*ORÇAMENTO!$AF$11)),
         0)</f>
        <v>0</v>
      </c>
      <c r="AU501" s="453">
        <f ca="1">IF(AND($D501="Serviço",AU$12&lt;&gt;0,$H501&gt;0,OR(AUTOEVENTO&lt;&gt;"manual",$M501&lt;&gt;$A$15)),
        IF(Import.TipoArredondamento&lt;&gt;"TransfereGOV",
              ROUND(OFFSET($P501,0,AU$13),15-13*ORÇAMENTO!$AF$7)/$H501*OFFSET(ORÇAMENTO!$X$15,ROW(AU501)-ROW(AU$15),0),
              ROUND(ROUND(OFFSET($P501,0,AU$13),15-13*ORÇAMENTO!$AF$7)*OFFSET(ORÇAMENTO!$W$15,ROW(AU501)-ROW(AU$15),0),15-13*ORÇAMENTO!$AF$11)),
         0)</f>
        <v>0</v>
      </c>
      <c r="AV501" s="453">
        <f ca="1">IF(AND($D501="Serviço",AV$12&lt;&gt;0,$H501&gt;0,OR(AUTOEVENTO&lt;&gt;"manual",$M501&lt;&gt;$A$15)),
        IF(Import.TipoArredondamento&lt;&gt;"TransfereGOV",
              ROUND(OFFSET($P501,0,AV$13),15-13*ORÇAMENTO!$AF$7)/$H501*OFFSET(ORÇAMENTO!$X$15,ROW(AV501)-ROW(AV$15),0),
              ROUND(ROUND(OFFSET($P501,0,AV$13),15-13*ORÇAMENTO!$AF$7)*OFFSET(ORÇAMENTO!$W$15,ROW(AV501)-ROW(AV$15),0),15-13*ORÇAMENTO!$AF$11)),
         0)</f>
        <v>0</v>
      </c>
      <c r="AW501" s="453">
        <f ca="1">IF(AND($D501="Serviço",AW$12&lt;&gt;0,$H501&gt;0,OR(AUTOEVENTO&lt;&gt;"manual",$M501&lt;&gt;$A$15)),
        IF(Import.TipoArredondamento&lt;&gt;"TransfereGOV",
              ROUND(OFFSET($P501,0,AW$13),15-13*ORÇAMENTO!$AF$7)/$H501*OFFSET(ORÇAMENTO!$X$15,ROW(AW501)-ROW(AW$15),0),
              ROUND(ROUND(OFFSET($P501,0,AW$13),15-13*ORÇAMENTO!$AF$7)*OFFSET(ORÇAMENTO!$W$15,ROW(AW501)-ROW(AW$15),0),15-13*ORÇAMENTO!$AF$11)),
         0)</f>
        <v>0</v>
      </c>
      <c r="AX501" s="453">
        <f ca="1">IF(AND($D501="Serviço",AX$12&lt;&gt;0,$H501&gt;0,OR(AUTOEVENTO&lt;&gt;"manual",$M501&lt;&gt;$A$15)),
        IF(Import.TipoArredondamento&lt;&gt;"TransfereGOV",
              ROUND(OFFSET($P501,0,AX$13),15-13*ORÇAMENTO!$AF$7)/$H501*OFFSET(ORÇAMENTO!$X$15,ROW(AX501)-ROW(AX$15),0),
              ROUND(ROUND(OFFSET($P501,0,AX$13),15-13*ORÇAMENTO!$AF$7)*OFFSET(ORÇAMENTO!$W$15,ROW(AX501)-ROW(AX$15),0),15-13*ORÇAMENTO!$AF$11)),
         0)</f>
        <v>0</v>
      </c>
      <c r="AY501" s="453">
        <f ca="1">IF(AND($D501="Serviço",AY$12&lt;&gt;0,$H501&gt;0,OR(AUTOEVENTO&lt;&gt;"manual",$M501&lt;&gt;$A$15)),
        IF(Import.TipoArredondamento&lt;&gt;"TransfereGOV",
              ROUND(OFFSET($P501,0,AY$13),15-13*ORÇAMENTO!$AF$7)/$H501*OFFSET(ORÇAMENTO!$X$15,ROW(AY501)-ROW(AY$15),0),
              ROUND(ROUND(OFFSET($P501,0,AY$13),15-13*ORÇAMENTO!$AF$7)*OFFSET(ORÇAMENTO!$W$15,ROW(AY501)-ROW(AY$15),0),15-13*ORÇAMENTO!$AF$11)),
         0)</f>
        <v>0</v>
      </c>
      <c r="AZ501" s="453">
        <f ca="1">IF(AND($D501="Serviço",AZ$12&lt;&gt;0,$H501&gt;0,OR(AUTOEVENTO&lt;&gt;"manual",$M501&lt;&gt;$A$15)),
        IF(Import.TipoArredondamento&lt;&gt;"TransfereGOV",
              ROUND(OFFSET($P501,0,AZ$13),15-13*ORÇAMENTO!$AF$7)/$H501*OFFSET(ORÇAMENTO!$X$15,ROW(AZ501)-ROW(AZ$15),0),
              ROUND(ROUND(OFFSET($P501,0,AZ$13),15-13*ORÇAMENTO!$AF$7)*OFFSET(ORÇAMENTO!$W$15,ROW(AZ501)-ROW(AZ$15),0),15-13*ORÇAMENTO!$AF$11)),
         0)</f>
        <v>0</v>
      </c>
      <c r="BA501" s="453">
        <f ca="1">IF(AND($D501="Serviço",BA$12&lt;&gt;0,$H501&gt;0,OR(AUTOEVENTO&lt;&gt;"manual",$M501&lt;&gt;$A$15)),
        IF(Import.TipoArredondamento&lt;&gt;"TransfereGOV",
              ROUND(OFFSET($P501,0,BA$13),15-13*ORÇAMENTO!$AF$7)/$H501*OFFSET(ORÇAMENTO!$X$15,ROW(BA501)-ROW(BA$15),0),
              ROUND(ROUND(OFFSET($P501,0,BA$13),15-13*ORÇAMENTO!$AF$7)*OFFSET(ORÇAMENTO!$W$15,ROW(BA501)-ROW(BA$15),0),15-13*ORÇAMENTO!$AF$11)),
         0)</f>
        <v>0</v>
      </c>
      <c r="BC501" s="171">
        <f ca="1">IF(OR($D501&lt;&gt;"Serviço",AND(AUTOEVENTO="Manual",$M501=$A$15)),0,
         IF(OFFSET(CRONOPLE!$F$15,$M501-$A$15,BC$13)=0,10^12,OFFSET(CRONOPLE!$F$15,$M501-$A$15,BC$13)))</f>
        <v>1000000000000</v>
      </c>
      <c r="BD501" s="171">
        <f ca="1">IF(OR($D501&lt;&gt;"Serviço",AND(AUTOEVENTO="Manual",$M501=$A$15)),0,
         IF(OFFSET(CRONOPLE!$F$15,$M501-$A$15,BD$13)=0,10^12,OFFSET(CRONOPLE!$F$15,$M501-$A$15,BD$13)))</f>
        <v>1000000000000</v>
      </c>
      <c r="BE501" s="171">
        <f ca="1">IF(OR($D501&lt;&gt;"Serviço",AND(AUTOEVENTO="Manual",$M501=$A$15)),0,
         IF(OFFSET(CRONOPLE!$F$15,$M501-$A$15,BE$13)=0,10^12,OFFSET(CRONOPLE!$F$15,$M501-$A$15,BE$13)))</f>
        <v>1000000000000</v>
      </c>
      <c r="BF501" s="171">
        <f ca="1">IF(OR($D501&lt;&gt;"Serviço",AND(AUTOEVENTO="Manual",$M501=$A$15)),0,
         IF(OFFSET(CRONOPLE!$F$15,$M501-$A$15,BF$13)=0,10^12,OFFSET(CRONOPLE!$F$15,$M501-$A$15,BF$13)))</f>
        <v>1000000000000</v>
      </c>
      <c r="BG501" s="171">
        <f ca="1">IF(OR($D501&lt;&gt;"Serviço",AND(AUTOEVENTO="Manual",$M501=$A$15)),0,
         IF(OFFSET(CRONOPLE!$F$15,$M501-$A$15,BG$13)=0,10^12,OFFSET(CRONOPLE!$F$15,$M501-$A$15,BG$13)))</f>
        <v>1000000000000</v>
      </c>
      <c r="BH501" s="171">
        <f ca="1">IF(OR($D501&lt;&gt;"Serviço",AND(AUTOEVENTO="Manual",$M501=$A$15)),0,
         IF(OFFSET(CRONOPLE!$F$15,$M501-$A$15,BH$13)=0,10^12,OFFSET(CRONOPLE!$F$15,$M501-$A$15,BH$13)))</f>
        <v>1000000000000</v>
      </c>
      <c r="BI501" s="171">
        <f ca="1">IF(OR($D501&lt;&gt;"Serviço",AND(AUTOEVENTO="Manual",$M501=$A$15)),0,
         IF(OFFSET(CRONOPLE!$F$15,$M501-$A$15,BI$13)=0,10^12,OFFSET(CRONOPLE!$F$15,$M501-$A$15,BI$13)))</f>
        <v>1000000000000</v>
      </c>
      <c r="BJ501" s="171">
        <f ca="1">IF(OR($D501&lt;&gt;"Serviço",AND(AUTOEVENTO="Manual",$M501=$A$15)),0,
         IF(OFFSET(CRONOPLE!$F$15,$M501-$A$15,BJ$13)=0,10^12,OFFSET(CRONOPLE!$F$15,$M501-$A$15,BJ$13)))</f>
        <v>1000000000000</v>
      </c>
      <c r="BK501" s="171">
        <f ca="1">IF(OR($D501&lt;&gt;"Serviço",AND(AUTOEVENTO="Manual",$M501=$A$15)),0,
         IF(OFFSET(CRONOPLE!$F$15,$M501-$A$15,BK$13)=0,10^12,OFFSET(CRONOPLE!$F$15,$M501-$A$15,BK$13)))</f>
        <v>9</v>
      </c>
      <c r="BL501" s="171">
        <f ca="1">IF(OR($D501&lt;&gt;"Serviço",AND(AUTOEVENTO="Manual",$M501=$A$15)),0,
         IF(OFFSET(CRONOPLE!$F$15,$M501-$A$15,BL$13)=0,10^12,OFFSET(CRONOPLE!$F$15,$M501-$A$15,BL$13)))</f>
        <v>10</v>
      </c>
      <c r="BM501" s="171">
        <f ca="1">IF(OR($D501&lt;&gt;"Serviço",AND(AUTOEVENTO="Manual",$M501=$A$15)),0,
         IF(OFFSET(CRONOPLE!$F$15,$M501-$A$15,BM$13)=0,10^12,OFFSET(CRONOPLE!$F$15,$M501-$A$15,BM$13)))</f>
        <v>1000000000000</v>
      </c>
      <c r="BN501" s="171">
        <f ca="1">IF(OR($D501&lt;&gt;"Serviço",AND(AUTOEVENTO="Manual",$M501=$A$15)),0,
         IF(OFFSET(CRONOPLE!$F$15,$M501-$A$15,BN$13)=0,10^12,OFFSET(CRONOPLE!$F$15,$M501-$A$15,BN$13)))</f>
        <v>1000000000000</v>
      </c>
      <c r="BO501" s="171">
        <f ca="1">IF(OR($D501&lt;&gt;"Serviço",AND(AUTOEVENTO="Manual",$M501=$A$15)),0,
         IF(OFFSET(CRONOPLE!$F$15,$M501-$A$15,BO$13)=0,10^12,OFFSET(CRONOPLE!$F$15,$M501-$A$15,BO$13)))</f>
        <v>1000000000000</v>
      </c>
      <c r="BP501" s="171">
        <f ca="1">IF(OR($D501&lt;&gt;"Serviço",AND(AUTOEVENTO="Manual",$M501=$A$15)),0,
         IF(OFFSET(CRONOPLE!$F$15,$M501-$A$15,BP$13)=0,10^12,OFFSET(CRONOPLE!$F$15,$M501-$A$15,BP$13)))</f>
        <v>1000000000000</v>
      </c>
      <c r="BQ501" s="171">
        <f ca="1">IF(OR($D501&lt;&gt;"Serviço",AND(AUTOEVENTO="Manual",$M501=$A$15)),0,
         IF(OFFSET(CRONOPLE!$F$15,$M501-$A$15,BQ$13)=0,10^12,OFFSET(CRONOPLE!$F$15,$M501-$A$15,BQ$13)))</f>
        <v>1000000000000</v>
      </c>
      <c r="BR501" s="171">
        <f ca="1">IF(OR($D501&lt;&gt;"Serviço",AND(AUTOEVENTO="Manual",$M501=$A$15)),0,
         IF(OFFSET(CRONOPLE!$F$15,$M501-$A$15,BR$13)=0,10^12,OFFSET(CRONOPLE!$F$15,$M501-$A$15,BR$13)))</f>
        <v>1000000000000</v>
      </c>
      <c r="BS501" s="171">
        <f ca="1">IF(OR($D501&lt;&gt;"Serviço",AND(AUTOEVENTO="Manual",$M501=$A$15)),0,
         IF(OFFSET(CRONOPLE!$F$15,$M501-$A$15,BS$13)=0,10^12,OFFSET(CRONOPLE!$F$15,$M501-$A$15,BS$13)))</f>
        <v>1000000000000</v>
      </c>
      <c r="BT501" s="171">
        <f ca="1">IF(OR($D501&lt;&gt;"Serviço",AND(AUTOEVENTO="Manual",$M501=$A$15)),0,
         IF(OFFSET(CRONOPLE!$F$15,$M501-$A$15,BT$13)=0,10^12,OFFSET(CRONOPLE!$F$15,$M501-$A$15,BT$13)))</f>
        <v>1000000000000</v>
      </c>
      <c r="BV501" s="172">
        <f ca="1">IF(OR($D501&lt;&gt;"Serviço",AND(AUTOEVENTO="Manual",$M501=$A$15),$M501&gt;(ROW(PLE.lastrow)-ROW(PLE.firstrow))),0,
           IF(OFFSET(PLE!$G$15,$M501-$A$15,BV$13)="",10^12,OFFSET(PLE!$G$15,$M501-$A$15,BV$13)))</f>
        <v>1000000000000</v>
      </c>
      <c r="BW501" s="172">
        <f ca="1">IF(OR($D501&lt;&gt;"Serviço",AND(AUTOEVENTO="Manual",$M501=$A$15),$M501&gt;(ROW(PLE.lastrow)-ROW(PLE.firstrow))),0,
           IF(OFFSET(PLE!$G$15,$M501-$A$15,BW$13)="",10^12,OFFSET(PLE!$G$15,$M501-$A$15,BW$13)))</f>
        <v>1000000000000</v>
      </c>
      <c r="BX501" s="172">
        <f ca="1">IF(OR($D501&lt;&gt;"Serviço",AND(AUTOEVENTO="Manual",$M501=$A$15),$M501&gt;(ROW(PLE.lastrow)-ROW(PLE.firstrow))),0,
           IF(OFFSET(PLE!$G$15,$M501-$A$15,BX$13)="",10^12,OFFSET(PLE!$G$15,$M501-$A$15,BX$13)))</f>
        <v>1000000000000</v>
      </c>
      <c r="BY501" s="172">
        <f ca="1">IF(OR($D501&lt;&gt;"Serviço",AND(AUTOEVENTO="Manual",$M501=$A$15),$M501&gt;(ROW(PLE.lastrow)-ROW(PLE.firstrow))),0,
           IF(OFFSET(PLE!$G$15,$M501-$A$15,BY$13)="",10^12,OFFSET(PLE!$G$15,$M501-$A$15,BY$13)))</f>
        <v>1000000000000</v>
      </c>
      <c r="BZ501" s="172">
        <f ca="1">IF(OR($D501&lt;&gt;"Serviço",AND(AUTOEVENTO="Manual",$M501=$A$15),$M501&gt;(ROW(PLE.lastrow)-ROW(PLE.firstrow))),0,
           IF(OFFSET(PLE!$G$15,$M501-$A$15,BZ$13)="",10^12,OFFSET(PLE!$G$15,$M501-$A$15,BZ$13)))</f>
        <v>1000000000000</v>
      </c>
      <c r="CA501" s="172">
        <f ca="1">IF(OR($D501&lt;&gt;"Serviço",AND(AUTOEVENTO="Manual",$M501=$A$15),$M501&gt;(ROW(PLE.lastrow)-ROW(PLE.firstrow))),0,
           IF(OFFSET(PLE!$G$15,$M501-$A$15,CA$13)="",10^12,OFFSET(PLE!$G$15,$M501-$A$15,CA$13)))</f>
        <v>1000000000000</v>
      </c>
      <c r="CB501" s="172">
        <f ca="1">IF(OR($D501&lt;&gt;"Serviço",AND(AUTOEVENTO="Manual",$M501=$A$15),$M501&gt;(ROW(PLE.lastrow)-ROW(PLE.firstrow))),0,
           IF(OFFSET(PLE!$G$15,$M501-$A$15,CB$13)="",10^12,OFFSET(PLE!$G$15,$M501-$A$15,CB$13)))</f>
        <v>1000000000000</v>
      </c>
      <c r="CC501" s="172">
        <f ca="1">IF(OR($D501&lt;&gt;"Serviço",AND(AUTOEVENTO="Manual",$M501=$A$15),$M501&gt;(ROW(PLE.lastrow)-ROW(PLE.firstrow))),0,
           IF(OFFSET(PLE!$G$15,$M501-$A$15,CC$13)="",10^12,OFFSET(PLE!$G$15,$M501-$A$15,CC$13)))</f>
        <v>1000000000000</v>
      </c>
      <c r="CD501" s="172">
        <f ca="1">IF(OR($D501&lt;&gt;"Serviço",AND(AUTOEVENTO="Manual",$M501=$A$15),$M501&gt;(ROW(PLE.lastrow)-ROW(PLE.firstrow))),0,
           IF(OFFSET(PLE!$G$15,$M501-$A$15,CD$13)="",10^12,OFFSET(PLE!$G$15,$M501-$A$15,CD$13)))</f>
        <v>1000000000000</v>
      </c>
      <c r="CE501" s="172">
        <f ca="1">IF(OR($D501&lt;&gt;"Serviço",AND(AUTOEVENTO="Manual",$M501=$A$15),$M501&gt;(ROW(PLE.lastrow)-ROW(PLE.firstrow))),0,
           IF(OFFSET(PLE!$G$15,$M501-$A$15,CE$13)="",10^12,OFFSET(PLE!$G$15,$M501-$A$15,CE$13)))</f>
        <v>1000000000000</v>
      </c>
      <c r="CF501" s="172">
        <f ca="1">IF(OR($D501&lt;&gt;"Serviço",AND(AUTOEVENTO="Manual",$M501=$A$15),$M501&gt;(ROW(PLE.lastrow)-ROW(PLE.firstrow))),0,
           IF(OFFSET(PLE!$G$15,$M501-$A$15,CF$13)="",10^12,OFFSET(PLE!$G$15,$M501-$A$15,CF$13)))</f>
        <v>1000000000000</v>
      </c>
      <c r="CG501" s="172">
        <f ca="1">IF(OR($D501&lt;&gt;"Serviço",AND(AUTOEVENTO="Manual",$M501=$A$15),$M501&gt;(ROW(PLE.lastrow)-ROW(PLE.firstrow))),0,
           IF(OFFSET(PLE!$G$15,$M501-$A$15,CG$13)="",10^12,OFFSET(PLE!$G$15,$M501-$A$15,CG$13)))</f>
        <v>1000000000000</v>
      </c>
      <c r="CH501" s="172">
        <f ca="1">IF(OR($D501&lt;&gt;"Serviço",AND(AUTOEVENTO="Manual",$M501=$A$15),$M501&gt;(ROW(PLE.lastrow)-ROW(PLE.firstrow))),0,
           IF(OFFSET(PLE!$G$15,$M501-$A$15,CH$13)="",10^12,OFFSET(PLE!$G$15,$M501-$A$15,CH$13)))</f>
        <v>1000000000000</v>
      </c>
      <c r="CI501" s="172">
        <f ca="1">IF(OR($D501&lt;&gt;"Serviço",AND(AUTOEVENTO="Manual",$M501=$A$15),$M501&gt;(ROW(PLE.lastrow)-ROW(PLE.firstrow))),0,
           IF(OFFSET(PLE!$G$15,$M501-$A$15,CI$13)="",10^12,OFFSET(PLE!$G$15,$M501-$A$15,CI$13)))</f>
        <v>1000000000000</v>
      </c>
      <c r="CJ501" s="172">
        <f ca="1">IF(OR($D501&lt;&gt;"Serviço",AND(AUTOEVENTO="Manual",$M501=$A$15),$M501&gt;(ROW(PLE.lastrow)-ROW(PLE.firstrow))),0,
           IF(OFFSET(PLE!$G$15,$M501-$A$15,CJ$13)="",10^12,OFFSET(PLE!$G$15,$M501-$A$15,CJ$13)))</f>
        <v>1000000000000</v>
      </c>
      <c r="CK501" s="172">
        <f ca="1">IF(OR($D501&lt;&gt;"Serviço",AND(AUTOEVENTO="Manual",$M501=$A$15),$M501&gt;(ROW(PLE.lastrow)-ROW(PLE.firstrow))),0,
           IF(OFFSET(PLE!$G$15,$M501-$A$15,CK$13)="",10^12,OFFSET(PLE!$G$15,$M501-$A$15,CK$13)))</f>
        <v>1000000000000</v>
      </c>
      <c r="CL501" s="172">
        <f ca="1">IF(OR($D501&lt;&gt;"Serviço",AND(AUTOEVENTO="Manual",$M501=$A$15),$M501&gt;(ROW(PLE.lastrow)-ROW(PLE.firstrow))),0,
           IF(OFFSET(PLE!$G$15,$M501-$A$15,CL$13)="",10^12,OFFSET(PLE!$G$15,$M501-$A$15,CL$13)))</f>
        <v>1000000000000</v>
      </c>
      <c r="CM501" s="172">
        <f ca="1">IF(OR($D501&lt;&gt;"Serviço",AND(AUTOEVENTO="Manual",$M501=$A$15),$M501&gt;(ROW(PLE.lastrow)-ROW(PLE.firstrow))),0,
           IF(OFFSET(PLE!$G$15,$M501-$A$15,CM$13)="",10^12,OFFSET(PLE!$G$15,$M501-$A$15,CM$13)))</f>
        <v>1000000000000</v>
      </c>
    </row>
    <row r="502" spans="1:91" ht="63.75" x14ac:dyDescent="0.2">
      <c r="A502" s="7">
        <f t="shared" ca="1" si="17"/>
        <v>9</v>
      </c>
      <c r="B502" s="7" t="str">
        <f ca="1">OFFSET(ORÇAMENTO!C$15,ROW(B502)-ROW(B$15),0)</f>
        <v>S</v>
      </c>
      <c r="C502" s="7" t="str">
        <f ca="1">OFFSET(ORÇAMENTO!L$15,ROW(C502)-ROW(C$15),0)</f>
        <v>F</v>
      </c>
      <c r="D502" s="116" t="str">
        <f ca="1">OFFSET(ORÇAMENTO!N$15,ROW(D502)-ROW(D$15),0)</f>
        <v>Serviço</v>
      </c>
      <c r="E502" s="117" t="str">
        <f ca="1">OFFSET(ORÇAMENTO!O$15,ROW(E502)-ROW(E$15),0)</f>
        <v>1.10.7.0.2.</v>
      </c>
      <c r="F502" s="163" t="str">
        <f ca="1">OFFSET(ORÇAMENTO!R$15,ROW(F502)-ROW(F$15),0)</f>
        <v>TELHAMENTO COM TELHA METÁLICA TERMOACÚSTICA E = 30 MM, COM ATÉ 2 ÁGUAS, INCLUSO IÇAMENTO. AF_07/2019</v>
      </c>
      <c r="G502" s="164" t="str">
        <f ca="1">IF($D502&lt;&gt;"Serviço","",OFFSET(ORÇAMENTO!S$15,ROW(G502)-ROW(G$15),0))</f>
        <v>M2</v>
      </c>
      <c r="H502" s="122" cm="1">
        <f t="array" aca="1" ref="H502" ca="1">IF($D502&lt;&gt;"Serviço",0,IF(ACOMPANHAMENTO="BM",ROUND(OFFSET(ORÇAMENTO!AJ$15,ROW(H502)-ROW(H$15),0),15-13*ORÇAMENTO!$AF$7),SUMPRODUCT(($Q$1:$AI$1=1)*ROUND($Q502:$AI502,15-13*ORÇAMENTO!$AF$7))))</f>
        <v>98.52</v>
      </c>
      <c r="I502" s="468" t="s">
        <v>1407</v>
      </c>
      <c r="J502" s="640" t="str" cm="1">
        <f t="array" aca="1" ref="J502" ca="1">IF(OR(B502&lt;&gt;"S",CÁLCULO.FrentesPreenchidas=0),"",IF(AND(ACOMPANHAMENTO="PLE",AUTOEVENTO="Manual",OR(H502&gt;0,ORÇAMENTO!AC502="QUANT."),OR(K502="",M502=0,N502="")),"►E",IF(AND(ACOMPANHAMENTO="PLE",ORÇAMENTO!AC502="QUANT."),"►Q",IF(AND(ACOMPANHAMENTO="PLE",H502&lt;&gt;SUMPRODUCT(($Q$1:$AI$1=1)*ROUND(Q502:AI502,15))),"►S",IF(AND(COUNTIF($P$11:$AI$11,"▼")=0,H502&gt;0,I502=""),"◄M","")))))</f>
        <v/>
      </c>
      <c r="K502" s="641" t="s">
        <v>1393</v>
      </c>
      <c r="L502" s="165" t="s">
        <v>764</v>
      </c>
      <c r="M502" s="166">
        <f ca="1">IF($D502&lt;&gt;"Serviço","",
          IF(AUTOEVENTO="manual",$A502,
                IF(ISERROR(MATCH($A502,$A$15:OFFSET($A502,-1,0),0)),MAX($M$15:OFFSET(M502,-1,0))+1,
                      INDEX($M$15:OFFSET(M502,-1,0),MATCH($A502,$A$15:OFFSET($A502,-1,0),0)))))</f>
        <v>9</v>
      </c>
      <c r="N502" s="167" t="str">
        <f ca="1">IF($D502&lt;&gt;"Serviço","",
         IF(AUTOEVENTO="Manual",
                IF($A502=0,"&lt;-- defina o número do agrupador",
                       OFFSET(EVENTOS!$D$15,$A502-$A$15,0)),
                OFFSET($F$15,$A502,0)))</f>
        <v>Arquitetura</v>
      </c>
      <c r="O502" s="168"/>
      <c r="Q502" s="168"/>
      <c r="R502" s="169"/>
      <c r="S502" s="169"/>
      <c r="T502" s="169"/>
      <c r="U502" s="169"/>
      <c r="V502" s="169"/>
      <c r="W502" s="169"/>
      <c r="X502" s="169"/>
      <c r="Y502" s="169"/>
      <c r="Z502" s="170">
        <v>98.52</v>
      </c>
      <c r="AA502" s="169"/>
      <c r="AB502" s="169"/>
      <c r="AC502" s="169"/>
      <c r="AD502" s="169"/>
      <c r="AE502" s="169"/>
      <c r="AF502" s="169"/>
      <c r="AG502" s="169"/>
      <c r="AH502" s="170"/>
      <c r="AJ502" s="453">
        <f ca="1">IF(AND($D502="Serviço",AJ$12&lt;&gt;0,$H502&gt;0,OR(AUTOEVENTO&lt;&gt;"manual",$M502&lt;&gt;$A$15)),
        IF(Import.TipoArredondamento&lt;&gt;"TransfereGOV",
              ROUND(OFFSET($P502,0,AJ$13),15-13*ORÇAMENTO!$AF$7)/$H502*OFFSET(ORÇAMENTO!$X$15,ROW(AJ502)-ROW(AJ$15),0),
              ROUND(ROUND(OFFSET($P502,0,AJ$13),15-13*ORÇAMENTO!$AF$7)*OFFSET(ORÇAMENTO!$W$15,ROW(AJ502)-ROW(AJ$15),0),15-13*ORÇAMENTO!$AF$11)),
         0)</f>
        <v>0</v>
      </c>
      <c r="AK502" s="453">
        <f ca="1">IF(AND($D502="Serviço",AK$12&lt;&gt;0,$H502&gt;0,OR(AUTOEVENTO&lt;&gt;"manual",$M502&lt;&gt;$A$15)),
        IF(Import.TipoArredondamento&lt;&gt;"TransfereGOV",
              ROUND(OFFSET($P502,0,AK$13),15-13*ORÇAMENTO!$AF$7)/$H502*OFFSET(ORÇAMENTO!$X$15,ROW(AK502)-ROW(AK$15),0),
              ROUND(ROUND(OFFSET($P502,0,AK$13),15-13*ORÇAMENTO!$AF$7)*OFFSET(ORÇAMENTO!$W$15,ROW(AK502)-ROW(AK$15),0),15-13*ORÇAMENTO!$AF$11)),
         0)</f>
        <v>0</v>
      </c>
      <c r="AL502" s="453">
        <f ca="1">IF(AND($D502="Serviço",AL$12&lt;&gt;0,$H502&gt;0,OR(AUTOEVENTO&lt;&gt;"manual",$M502&lt;&gt;$A$15)),
        IF(Import.TipoArredondamento&lt;&gt;"TransfereGOV",
              ROUND(OFFSET($P502,0,AL$13),15-13*ORÇAMENTO!$AF$7)/$H502*OFFSET(ORÇAMENTO!$X$15,ROW(AL502)-ROW(AL$15),0),
              ROUND(ROUND(OFFSET($P502,0,AL$13),15-13*ORÇAMENTO!$AF$7)*OFFSET(ORÇAMENTO!$W$15,ROW(AL502)-ROW(AL$15),0),15-13*ORÇAMENTO!$AF$11)),
         0)</f>
        <v>0</v>
      </c>
      <c r="AM502" s="453">
        <f ca="1">IF(AND($D502="Serviço",AM$12&lt;&gt;0,$H502&gt;0,OR(AUTOEVENTO&lt;&gt;"manual",$M502&lt;&gt;$A$15)),
        IF(Import.TipoArredondamento&lt;&gt;"TransfereGOV",
              ROUND(OFFSET($P502,0,AM$13),15-13*ORÇAMENTO!$AF$7)/$H502*OFFSET(ORÇAMENTO!$X$15,ROW(AM502)-ROW(AM$15),0),
              ROUND(ROUND(OFFSET($P502,0,AM$13),15-13*ORÇAMENTO!$AF$7)*OFFSET(ORÇAMENTO!$W$15,ROW(AM502)-ROW(AM$15),0),15-13*ORÇAMENTO!$AF$11)),
         0)</f>
        <v>0</v>
      </c>
      <c r="AN502" s="453">
        <f ca="1">IF(AND($D502="Serviço",AN$12&lt;&gt;0,$H502&gt;0,OR(AUTOEVENTO&lt;&gt;"manual",$M502&lt;&gt;$A$15)),
        IF(Import.TipoArredondamento&lt;&gt;"TransfereGOV",
              ROUND(OFFSET($P502,0,AN$13),15-13*ORÇAMENTO!$AF$7)/$H502*OFFSET(ORÇAMENTO!$X$15,ROW(AN502)-ROW(AN$15),0),
              ROUND(ROUND(OFFSET($P502,0,AN$13),15-13*ORÇAMENTO!$AF$7)*OFFSET(ORÇAMENTO!$W$15,ROW(AN502)-ROW(AN$15),0),15-13*ORÇAMENTO!$AF$11)),
         0)</f>
        <v>0</v>
      </c>
      <c r="AO502" s="453">
        <f ca="1">IF(AND($D502="Serviço",AO$12&lt;&gt;0,$H502&gt;0,OR(AUTOEVENTO&lt;&gt;"manual",$M502&lt;&gt;$A$15)),
        IF(Import.TipoArredondamento&lt;&gt;"TransfereGOV",
              ROUND(OFFSET($P502,0,AO$13),15-13*ORÇAMENTO!$AF$7)/$H502*OFFSET(ORÇAMENTO!$X$15,ROW(AO502)-ROW(AO$15),0),
              ROUND(ROUND(OFFSET($P502,0,AO$13),15-13*ORÇAMENTO!$AF$7)*OFFSET(ORÇAMENTO!$W$15,ROW(AO502)-ROW(AO$15),0),15-13*ORÇAMENTO!$AF$11)),
         0)</f>
        <v>0</v>
      </c>
      <c r="AP502" s="453">
        <f ca="1">IF(AND($D502="Serviço",AP$12&lt;&gt;0,$H502&gt;0,OR(AUTOEVENTO&lt;&gt;"manual",$M502&lt;&gt;$A$15)),
        IF(Import.TipoArredondamento&lt;&gt;"TransfereGOV",
              ROUND(OFFSET($P502,0,AP$13),15-13*ORÇAMENTO!$AF$7)/$H502*OFFSET(ORÇAMENTO!$X$15,ROW(AP502)-ROW(AP$15),0),
              ROUND(ROUND(OFFSET($P502,0,AP$13),15-13*ORÇAMENTO!$AF$7)*OFFSET(ORÇAMENTO!$W$15,ROW(AP502)-ROW(AP$15),0),15-13*ORÇAMENTO!$AF$11)),
         0)</f>
        <v>0</v>
      </c>
      <c r="AQ502" s="453">
        <f ca="1">IF(AND($D502="Serviço",AQ$12&lt;&gt;0,$H502&gt;0,OR(AUTOEVENTO&lt;&gt;"manual",$M502&lt;&gt;$A$15)),
        IF(Import.TipoArredondamento&lt;&gt;"TransfereGOV",
              ROUND(OFFSET($P502,0,AQ$13),15-13*ORÇAMENTO!$AF$7)/$H502*OFFSET(ORÇAMENTO!$X$15,ROW(AQ502)-ROW(AQ$15),0),
              ROUND(ROUND(OFFSET($P502,0,AQ$13),15-13*ORÇAMENTO!$AF$7)*OFFSET(ORÇAMENTO!$W$15,ROW(AQ502)-ROW(AQ$15),0),15-13*ORÇAMENTO!$AF$11)),
         0)</f>
        <v>0</v>
      </c>
      <c r="AR502" s="453">
        <f ca="1">IF(AND($D502="Serviço",AR$12&lt;&gt;0,$H502&gt;0,OR(AUTOEVENTO&lt;&gt;"manual",$M502&lt;&gt;$A$15)),
        IF(Import.TipoArredondamento&lt;&gt;"TransfereGOV",
              ROUND(OFFSET($P502,0,AR$13),15-13*ORÇAMENTO!$AF$7)/$H502*OFFSET(ORÇAMENTO!$X$15,ROW(AR502)-ROW(AR$15),0),
              ROUND(ROUND(OFFSET($P502,0,AR$13),15-13*ORÇAMENTO!$AF$7)*OFFSET(ORÇAMENTO!$W$15,ROW(AR502)-ROW(AR$15),0),15-13*ORÇAMENTO!$AF$11)),
         0)</f>
        <v>0</v>
      </c>
      <c r="AS502" s="453">
        <f ca="1">IF(AND($D502="Serviço",AS$12&lt;&gt;0,$H502&gt;0,OR(AUTOEVENTO&lt;&gt;"manual",$M502&lt;&gt;$A$15)),
        IF(Import.TipoArredondamento&lt;&gt;"TransfereGOV",
              ROUND(OFFSET($P502,0,AS$13),15-13*ORÇAMENTO!$AF$7)/$H502*OFFSET(ORÇAMENTO!$X$15,ROW(AS502)-ROW(AS$15),0),
              ROUND(ROUND(OFFSET($P502,0,AS$13),15-13*ORÇAMENTO!$AF$7)*OFFSET(ORÇAMENTO!$W$15,ROW(AS502)-ROW(AS$15),0),15-13*ORÇAMENTO!$AF$11)),
         0)</f>
        <v>0</v>
      </c>
      <c r="AT502" s="453">
        <f ca="1">IF(AND($D502="Serviço",AT$12&lt;&gt;0,$H502&gt;0,OR(AUTOEVENTO&lt;&gt;"manual",$M502&lt;&gt;$A$15)),
        IF(Import.TipoArredondamento&lt;&gt;"TransfereGOV",
              ROUND(OFFSET($P502,0,AT$13),15-13*ORÇAMENTO!$AF$7)/$H502*OFFSET(ORÇAMENTO!$X$15,ROW(AT502)-ROW(AT$15),0),
              ROUND(ROUND(OFFSET($P502,0,AT$13),15-13*ORÇAMENTO!$AF$7)*OFFSET(ORÇAMENTO!$W$15,ROW(AT502)-ROW(AT$15),0),15-13*ORÇAMENTO!$AF$11)),
         0)</f>
        <v>0</v>
      </c>
      <c r="AU502" s="453">
        <f ca="1">IF(AND($D502="Serviço",AU$12&lt;&gt;0,$H502&gt;0,OR(AUTOEVENTO&lt;&gt;"manual",$M502&lt;&gt;$A$15)),
        IF(Import.TipoArredondamento&lt;&gt;"TransfereGOV",
              ROUND(OFFSET($P502,0,AU$13),15-13*ORÇAMENTO!$AF$7)/$H502*OFFSET(ORÇAMENTO!$X$15,ROW(AU502)-ROW(AU$15),0),
              ROUND(ROUND(OFFSET($P502,0,AU$13),15-13*ORÇAMENTO!$AF$7)*OFFSET(ORÇAMENTO!$W$15,ROW(AU502)-ROW(AU$15),0),15-13*ORÇAMENTO!$AF$11)),
         0)</f>
        <v>0</v>
      </c>
      <c r="AV502" s="453">
        <f ca="1">IF(AND($D502="Serviço",AV$12&lt;&gt;0,$H502&gt;0,OR(AUTOEVENTO&lt;&gt;"manual",$M502&lt;&gt;$A$15)),
        IF(Import.TipoArredondamento&lt;&gt;"TransfereGOV",
              ROUND(OFFSET($P502,0,AV$13),15-13*ORÇAMENTO!$AF$7)/$H502*OFFSET(ORÇAMENTO!$X$15,ROW(AV502)-ROW(AV$15),0),
              ROUND(ROUND(OFFSET($P502,0,AV$13),15-13*ORÇAMENTO!$AF$7)*OFFSET(ORÇAMENTO!$W$15,ROW(AV502)-ROW(AV$15),0),15-13*ORÇAMENTO!$AF$11)),
         0)</f>
        <v>0</v>
      </c>
      <c r="AW502" s="453">
        <f ca="1">IF(AND($D502="Serviço",AW$12&lt;&gt;0,$H502&gt;0,OR(AUTOEVENTO&lt;&gt;"manual",$M502&lt;&gt;$A$15)),
        IF(Import.TipoArredondamento&lt;&gt;"TransfereGOV",
              ROUND(OFFSET($P502,0,AW$13),15-13*ORÇAMENTO!$AF$7)/$H502*OFFSET(ORÇAMENTO!$X$15,ROW(AW502)-ROW(AW$15),0),
              ROUND(ROUND(OFFSET($P502,0,AW$13),15-13*ORÇAMENTO!$AF$7)*OFFSET(ORÇAMENTO!$W$15,ROW(AW502)-ROW(AW$15),0),15-13*ORÇAMENTO!$AF$11)),
         0)</f>
        <v>0</v>
      </c>
      <c r="AX502" s="453">
        <f ca="1">IF(AND($D502="Serviço",AX$12&lt;&gt;0,$H502&gt;0,OR(AUTOEVENTO&lt;&gt;"manual",$M502&lt;&gt;$A$15)),
        IF(Import.TipoArredondamento&lt;&gt;"TransfereGOV",
              ROUND(OFFSET($P502,0,AX$13),15-13*ORÇAMENTO!$AF$7)/$H502*OFFSET(ORÇAMENTO!$X$15,ROW(AX502)-ROW(AX$15),0),
              ROUND(ROUND(OFFSET($P502,0,AX$13),15-13*ORÇAMENTO!$AF$7)*OFFSET(ORÇAMENTO!$W$15,ROW(AX502)-ROW(AX$15),0),15-13*ORÇAMENTO!$AF$11)),
         0)</f>
        <v>0</v>
      </c>
      <c r="AY502" s="453">
        <f ca="1">IF(AND($D502="Serviço",AY$12&lt;&gt;0,$H502&gt;0,OR(AUTOEVENTO&lt;&gt;"manual",$M502&lt;&gt;$A$15)),
        IF(Import.TipoArredondamento&lt;&gt;"TransfereGOV",
              ROUND(OFFSET($P502,0,AY$13),15-13*ORÇAMENTO!$AF$7)/$H502*OFFSET(ORÇAMENTO!$X$15,ROW(AY502)-ROW(AY$15),0),
              ROUND(ROUND(OFFSET($P502,0,AY$13),15-13*ORÇAMENTO!$AF$7)*OFFSET(ORÇAMENTO!$W$15,ROW(AY502)-ROW(AY$15),0),15-13*ORÇAMENTO!$AF$11)),
         0)</f>
        <v>0</v>
      </c>
      <c r="AZ502" s="453">
        <f ca="1">IF(AND($D502="Serviço",AZ$12&lt;&gt;0,$H502&gt;0,OR(AUTOEVENTO&lt;&gt;"manual",$M502&lt;&gt;$A$15)),
        IF(Import.TipoArredondamento&lt;&gt;"TransfereGOV",
              ROUND(OFFSET($P502,0,AZ$13),15-13*ORÇAMENTO!$AF$7)/$H502*OFFSET(ORÇAMENTO!$X$15,ROW(AZ502)-ROW(AZ$15),0),
              ROUND(ROUND(OFFSET($P502,0,AZ$13),15-13*ORÇAMENTO!$AF$7)*OFFSET(ORÇAMENTO!$W$15,ROW(AZ502)-ROW(AZ$15),0),15-13*ORÇAMENTO!$AF$11)),
         0)</f>
        <v>0</v>
      </c>
      <c r="BA502" s="453">
        <f ca="1">IF(AND($D502="Serviço",BA$12&lt;&gt;0,$H502&gt;0,OR(AUTOEVENTO&lt;&gt;"manual",$M502&lt;&gt;$A$15)),
        IF(Import.TipoArredondamento&lt;&gt;"TransfereGOV",
              ROUND(OFFSET($P502,0,BA$13),15-13*ORÇAMENTO!$AF$7)/$H502*OFFSET(ORÇAMENTO!$X$15,ROW(BA502)-ROW(BA$15),0),
              ROUND(ROUND(OFFSET($P502,0,BA$13),15-13*ORÇAMENTO!$AF$7)*OFFSET(ORÇAMENTO!$W$15,ROW(BA502)-ROW(BA$15),0),15-13*ORÇAMENTO!$AF$11)),
         0)</f>
        <v>0</v>
      </c>
      <c r="BC502" s="171">
        <f ca="1">IF(OR($D502&lt;&gt;"Serviço",AND(AUTOEVENTO="Manual",$M502=$A$15)),0,
         IF(OFFSET(CRONOPLE!$F$15,$M502-$A$15,BC$13)=0,10^12,OFFSET(CRONOPLE!$F$15,$M502-$A$15,BC$13)))</f>
        <v>1000000000000</v>
      </c>
      <c r="BD502" s="171">
        <f ca="1">IF(OR($D502&lt;&gt;"Serviço",AND(AUTOEVENTO="Manual",$M502=$A$15)),0,
         IF(OFFSET(CRONOPLE!$F$15,$M502-$A$15,BD$13)=0,10^12,OFFSET(CRONOPLE!$F$15,$M502-$A$15,BD$13)))</f>
        <v>1000000000000</v>
      </c>
      <c r="BE502" s="171">
        <f ca="1">IF(OR($D502&lt;&gt;"Serviço",AND(AUTOEVENTO="Manual",$M502=$A$15)),0,
         IF(OFFSET(CRONOPLE!$F$15,$M502-$A$15,BE$13)=0,10^12,OFFSET(CRONOPLE!$F$15,$M502-$A$15,BE$13)))</f>
        <v>1000000000000</v>
      </c>
      <c r="BF502" s="171">
        <f ca="1">IF(OR($D502&lt;&gt;"Serviço",AND(AUTOEVENTO="Manual",$M502=$A$15)),0,
         IF(OFFSET(CRONOPLE!$F$15,$M502-$A$15,BF$13)=0,10^12,OFFSET(CRONOPLE!$F$15,$M502-$A$15,BF$13)))</f>
        <v>1000000000000</v>
      </c>
      <c r="BG502" s="171">
        <f ca="1">IF(OR($D502&lt;&gt;"Serviço",AND(AUTOEVENTO="Manual",$M502=$A$15)),0,
         IF(OFFSET(CRONOPLE!$F$15,$M502-$A$15,BG$13)=0,10^12,OFFSET(CRONOPLE!$F$15,$M502-$A$15,BG$13)))</f>
        <v>1000000000000</v>
      </c>
      <c r="BH502" s="171">
        <f ca="1">IF(OR($D502&lt;&gt;"Serviço",AND(AUTOEVENTO="Manual",$M502=$A$15)),0,
         IF(OFFSET(CRONOPLE!$F$15,$M502-$A$15,BH$13)=0,10^12,OFFSET(CRONOPLE!$F$15,$M502-$A$15,BH$13)))</f>
        <v>1000000000000</v>
      </c>
      <c r="BI502" s="171">
        <f ca="1">IF(OR($D502&lt;&gt;"Serviço",AND(AUTOEVENTO="Manual",$M502=$A$15)),0,
         IF(OFFSET(CRONOPLE!$F$15,$M502-$A$15,BI$13)=0,10^12,OFFSET(CRONOPLE!$F$15,$M502-$A$15,BI$13)))</f>
        <v>1000000000000</v>
      </c>
      <c r="BJ502" s="171">
        <f ca="1">IF(OR($D502&lt;&gt;"Serviço",AND(AUTOEVENTO="Manual",$M502=$A$15)),0,
         IF(OFFSET(CRONOPLE!$F$15,$M502-$A$15,BJ$13)=0,10^12,OFFSET(CRONOPLE!$F$15,$M502-$A$15,BJ$13)))</f>
        <v>1000000000000</v>
      </c>
      <c r="BK502" s="171">
        <f ca="1">IF(OR($D502&lt;&gt;"Serviço",AND(AUTOEVENTO="Manual",$M502=$A$15)),0,
         IF(OFFSET(CRONOPLE!$F$15,$M502-$A$15,BK$13)=0,10^12,OFFSET(CRONOPLE!$F$15,$M502-$A$15,BK$13)))</f>
        <v>9</v>
      </c>
      <c r="BL502" s="171">
        <f ca="1">IF(OR($D502&lt;&gt;"Serviço",AND(AUTOEVENTO="Manual",$M502=$A$15)),0,
         IF(OFFSET(CRONOPLE!$F$15,$M502-$A$15,BL$13)=0,10^12,OFFSET(CRONOPLE!$F$15,$M502-$A$15,BL$13)))</f>
        <v>10</v>
      </c>
      <c r="BM502" s="171">
        <f ca="1">IF(OR($D502&lt;&gt;"Serviço",AND(AUTOEVENTO="Manual",$M502=$A$15)),0,
         IF(OFFSET(CRONOPLE!$F$15,$M502-$A$15,BM$13)=0,10^12,OFFSET(CRONOPLE!$F$15,$M502-$A$15,BM$13)))</f>
        <v>1000000000000</v>
      </c>
      <c r="BN502" s="171">
        <f ca="1">IF(OR($D502&lt;&gt;"Serviço",AND(AUTOEVENTO="Manual",$M502=$A$15)),0,
         IF(OFFSET(CRONOPLE!$F$15,$M502-$A$15,BN$13)=0,10^12,OFFSET(CRONOPLE!$F$15,$M502-$A$15,BN$13)))</f>
        <v>1000000000000</v>
      </c>
      <c r="BO502" s="171">
        <f ca="1">IF(OR($D502&lt;&gt;"Serviço",AND(AUTOEVENTO="Manual",$M502=$A$15)),0,
         IF(OFFSET(CRONOPLE!$F$15,$M502-$A$15,BO$13)=0,10^12,OFFSET(CRONOPLE!$F$15,$M502-$A$15,BO$13)))</f>
        <v>1000000000000</v>
      </c>
      <c r="BP502" s="171">
        <f ca="1">IF(OR($D502&lt;&gt;"Serviço",AND(AUTOEVENTO="Manual",$M502=$A$15)),0,
         IF(OFFSET(CRONOPLE!$F$15,$M502-$A$15,BP$13)=0,10^12,OFFSET(CRONOPLE!$F$15,$M502-$A$15,BP$13)))</f>
        <v>1000000000000</v>
      </c>
      <c r="BQ502" s="171">
        <f ca="1">IF(OR($D502&lt;&gt;"Serviço",AND(AUTOEVENTO="Manual",$M502=$A$15)),0,
         IF(OFFSET(CRONOPLE!$F$15,$M502-$A$15,BQ$13)=0,10^12,OFFSET(CRONOPLE!$F$15,$M502-$A$15,BQ$13)))</f>
        <v>1000000000000</v>
      </c>
      <c r="BR502" s="171">
        <f ca="1">IF(OR($D502&lt;&gt;"Serviço",AND(AUTOEVENTO="Manual",$M502=$A$15)),0,
         IF(OFFSET(CRONOPLE!$F$15,$M502-$A$15,BR$13)=0,10^12,OFFSET(CRONOPLE!$F$15,$M502-$A$15,BR$13)))</f>
        <v>1000000000000</v>
      </c>
      <c r="BS502" s="171">
        <f ca="1">IF(OR($D502&lt;&gt;"Serviço",AND(AUTOEVENTO="Manual",$M502=$A$15)),0,
         IF(OFFSET(CRONOPLE!$F$15,$M502-$A$15,BS$13)=0,10^12,OFFSET(CRONOPLE!$F$15,$M502-$A$15,BS$13)))</f>
        <v>1000000000000</v>
      </c>
      <c r="BT502" s="171">
        <f ca="1">IF(OR($D502&lt;&gt;"Serviço",AND(AUTOEVENTO="Manual",$M502=$A$15)),0,
         IF(OFFSET(CRONOPLE!$F$15,$M502-$A$15,BT$13)=0,10^12,OFFSET(CRONOPLE!$F$15,$M502-$A$15,BT$13)))</f>
        <v>1000000000000</v>
      </c>
      <c r="BV502" s="172">
        <f ca="1">IF(OR($D502&lt;&gt;"Serviço",AND(AUTOEVENTO="Manual",$M502=$A$15),$M502&gt;(ROW(PLE.lastrow)-ROW(PLE.firstrow))),0,
           IF(OFFSET(PLE!$G$15,$M502-$A$15,BV$13)="",10^12,OFFSET(PLE!$G$15,$M502-$A$15,BV$13)))</f>
        <v>1000000000000</v>
      </c>
      <c r="BW502" s="172">
        <f ca="1">IF(OR($D502&lt;&gt;"Serviço",AND(AUTOEVENTO="Manual",$M502=$A$15),$M502&gt;(ROW(PLE.lastrow)-ROW(PLE.firstrow))),0,
           IF(OFFSET(PLE!$G$15,$M502-$A$15,BW$13)="",10^12,OFFSET(PLE!$G$15,$M502-$A$15,BW$13)))</f>
        <v>1000000000000</v>
      </c>
      <c r="BX502" s="172">
        <f ca="1">IF(OR($D502&lt;&gt;"Serviço",AND(AUTOEVENTO="Manual",$M502=$A$15),$M502&gt;(ROW(PLE.lastrow)-ROW(PLE.firstrow))),0,
           IF(OFFSET(PLE!$G$15,$M502-$A$15,BX$13)="",10^12,OFFSET(PLE!$G$15,$M502-$A$15,BX$13)))</f>
        <v>1000000000000</v>
      </c>
      <c r="BY502" s="172">
        <f ca="1">IF(OR($D502&lt;&gt;"Serviço",AND(AUTOEVENTO="Manual",$M502=$A$15),$M502&gt;(ROW(PLE.lastrow)-ROW(PLE.firstrow))),0,
           IF(OFFSET(PLE!$G$15,$M502-$A$15,BY$13)="",10^12,OFFSET(PLE!$G$15,$M502-$A$15,BY$13)))</f>
        <v>1000000000000</v>
      </c>
      <c r="BZ502" s="172">
        <f ca="1">IF(OR($D502&lt;&gt;"Serviço",AND(AUTOEVENTO="Manual",$M502=$A$15),$M502&gt;(ROW(PLE.lastrow)-ROW(PLE.firstrow))),0,
           IF(OFFSET(PLE!$G$15,$M502-$A$15,BZ$13)="",10^12,OFFSET(PLE!$G$15,$M502-$A$15,BZ$13)))</f>
        <v>1000000000000</v>
      </c>
      <c r="CA502" s="172">
        <f ca="1">IF(OR($D502&lt;&gt;"Serviço",AND(AUTOEVENTO="Manual",$M502=$A$15),$M502&gt;(ROW(PLE.lastrow)-ROW(PLE.firstrow))),0,
           IF(OFFSET(PLE!$G$15,$M502-$A$15,CA$13)="",10^12,OFFSET(PLE!$G$15,$M502-$A$15,CA$13)))</f>
        <v>1000000000000</v>
      </c>
      <c r="CB502" s="172">
        <f ca="1">IF(OR($D502&lt;&gt;"Serviço",AND(AUTOEVENTO="Manual",$M502=$A$15),$M502&gt;(ROW(PLE.lastrow)-ROW(PLE.firstrow))),0,
           IF(OFFSET(PLE!$G$15,$M502-$A$15,CB$13)="",10^12,OFFSET(PLE!$G$15,$M502-$A$15,CB$13)))</f>
        <v>1000000000000</v>
      </c>
      <c r="CC502" s="172">
        <f ca="1">IF(OR($D502&lt;&gt;"Serviço",AND(AUTOEVENTO="Manual",$M502=$A$15),$M502&gt;(ROW(PLE.lastrow)-ROW(PLE.firstrow))),0,
           IF(OFFSET(PLE!$G$15,$M502-$A$15,CC$13)="",10^12,OFFSET(PLE!$G$15,$M502-$A$15,CC$13)))</f>
        <v>1000000000000</v>
      </c>
      <c r="CD502" s="172">
        <f ca="1">IF(OR($D502&lt;&gt;"Serviço",AND(AUTOEVENTO="Manual",$M502=$A$15),$M502&gt;(ROW(PLE.lastrow)-ROW(PLE.firstrow))),0,
           IF(OFFSET(PLE!$G$15,$M502-$A$15,CD$13)="",10^12,OFFSET(PLE!$G$15,$M502-$A$15,CD$13)))</f>
        <v>1000000000000</v>
      </c>
      <c r="CE502" s="172">
        <f ca="1">IF(OR($D502&lt;&gt;"Serviço",AND(AUTOEVENTO="Manual",$M502=$A$15),$M502&gt;(ROW(PLE.lastrow)-ROW(PLE.firstrow))),0,
           IF(OFFSET(PLE!$G$15,$M502-$A$15,CE$13)="",10^12,OFFSET(PLE!$G$15,$M502-$A$15,CE$13)))</f>
        <v>1000000000000</v>
      </c>
      <c r="CF502" s="172">
        <f ca="1">IF(OR($D502&lt;&gt;"Serviço",AND(AUTOEVENTO="Manual",$M502=$A$15),$M502&gt;(ROW(PLE.lastrow)-ROW(PLE.firstrow))),0,
           IF(OFFSET(PLE!$G$15,$M502-$A$15,CF$13)="",10^12,OFFSET(PLE!$G$15,$M502-$A$15,CF$13)))</f>
        <v>1000000000000</v>
      </c>
      <c r="CG502" s="172">
        <f ca="1">IF(OR($D502&lt;&gt;"Serviço",AND(AUTOEVENTO="Manual",$M502=$A$15),$M502&gt;(ROW(PLE.lastrow)-ROW(PLE.firstrow))),0,
           IF(OFFSET(PLE!$G$15,$M502-$A$15,CG$13)="",10^12,OFFSET(PLE!$G$15,$M502-$A$15,CG$13)))</f>
        <v>1000000000000</v>
      </c>
      <c r="CH502" s="172">
        <f ca="1">IF(OR($D502&lt;&gt;"Serviço",AND(AUTOEVENTO="Manual",$M502=$A$15),$M502&gt;(ROW(PLE.lastrow)-ROW(PLE.firstrow))),0,
           IF(OFFSET(PLE!$G$15,$M502-$A$15,CH$13)="",10^12,OFFSET(PLE!$G$15,$M502-$A$15,CH$13)))</f>
        <v>1000000000000</v>
      </c>
      <c r="CI502" s="172">
        <f ca="1">IF(OR($D502&lt;&gt;"Serviço",AND(AUTOEVENTO="Manual",$M502=$A$15),$M502&gt;(ROW(PLE.lastrow)-ROW(PLE.firstrow))),0,
           IF(OFFSET(PLE!$G$15,$M502-$A$15,CI$13)="",10^12,OFFSET(PLE!$G$15,$M502-$A$15,CI$13)))</f>
        <v>1000000000000</v>
      </c>
      <c r="CJ502" s="172">
        <f ca="1">IF(OR($D502&lt;&gt;"Serviço",AND(AUTOEVENTO="Manual",$M502=$A$15),$M502&gt;(ROW(PLE.lastrow)-ROW(PLE.firstrow))),0,
           IF(OFFSET(PLE!$G$15,$M502-$A$15,CJ$13)="",10^12,OFFSET(PLE!$G$15,$M502-$A$15,CJ$13)))</f>
        <v>1000000000000</v>
      </c>
      <c r="CK502" s="172">
        <f ca="1">IF(OR($D502&lt;&gt;"Serviço",AND(AUTOEVENTO="Manual",$M502=$A$15),$M502&gt;(ROW(PLE.lastrow)-ROW(PLE.firstrow))),0,
           IF(OFFSET(PLE!$G$15,$M502-$A$15,CK$13)="",10^12,OFFSET(PLE!$G$15,$M502-$A$15,CK$13)))</f>
        <v>1000000000000</v>
      </c>
      <c r="CL502" s="172">
        <f ca="1">IF(OR($D502&lt;&gt;"Serviço",AND(AUTOEVENTO="Manual",$M502=$A$15),$M502&gt;(ROW(PLE.lastrow)-ROW(PLE.firstrow))),0,
           IF(OFFSET(PLE!$G$15,$M502-$A$15,CL$13)="",10^12,OFFSET(PLE!$G$15,$M502-$A$15,CL$13)))</f>
        <v>1000000000000</v>
      </c>
      <c r="CM502" s="172">
        <f ca="1">IF(OR($D502&lt;&gt;"Serviço",AND(AUTOEVENTO="Manual",$M502=$A$15),$M502&gt;(ROW(PLE.lastrow)-ROW(PLE.firstrow))),0,
           IF(OFFSET(PLE!$G$15,$M502-$A$15,CM$13)="",10^12,OFFSET(PLE!$G$15,$M502-$A$15,CM$13)))</f>
        <v>1000000000000</v>
      </c>
    </row>
    <row r="503" spans="1:91" ht="12.75" x14ac:dyDescent="0.2">
      <c r="A503" s="7">
        <f t="shared" ca="1" si="17"/>
        <v>8</v>
      </c>
      <c r="B503" s="7">
        <f ca="1">OFFSET(ORÇAMENTO!C$15,ROW(B503)-ROW(B$15),0)</f>
        <v>3</v>
      </c>
      <c r="C503" s="7" t="str">
        <f ca="1">OFFSET(ORÇAMENTO!L$15,ROW(C503)-ROW(C$15),0)</f>
        <v>F</v>
      </c>
      <c r="D503" s="116" t="str">
        <f ca="1">OFFSET(ORÇAMENTO!N$15,ROW(D503)-ROW(D$15),0)</f>
        <v>Nível 3</v>
      </c>
      <c r="E503" s="117" t="str">
        <f ca="1">OFFSET(ORÇAMENTO!O$15,ROW(E503)-ROW(E$15),0)</f>
        <v>1.10.8.</v>
      </c>
      <c r="F503" s="163" t="str">
        <f ca="1">OFFSET(ORÇAMENTO!R$15,ROW(F503)-ROW(F$15),0)</f>
        <v>PAISAGISMO</v>
      </c>
      <c r="G503" s="164" t="str">
        <f ca="1">IF($D503&lt;&gt;"Serviço","",OFFSET(ORÇAMENTO!S$15,ROW(G503)-ROW(G$15),0))</f>
        <v/>
      </c>
      <c r="H503" s="122" cm="1">
        <f t="array" aca="1" ref="H503" ca="1">IF($D503&lt;&gt;"Serviço",0,IF(ACOMPANHAMENTO="BM",ROUND(OFFSET(ORÇAMENTO!AJ$15,ROW(H503)-ROW(H$15),0),15-13*ORÇAMENTO!$AF$7),SUMPRODUCT(($Q$1:$AI$1=1)*ROUND($Q503:$AI503,15-13*ORÇAMENTO!$AF$7))))</f>
        <v>0</v>
      </c>
      <c r="I503" s="468"/>
      <c r="J503" s="640" t="str" cm="1">
        <f t="array" aca="1" ref="J503" ca="1">IF(OR(B503&lt;&gt;"S",CÁLCULO.FrentesPreenchidas=0),"",IF(AND(ACOMPANHAMENTO="PLE",AUTOEVENTO="Manual",OR(H503&gt;0,ORÇAMENTO!AC503="QUANT."),OR(K503="",M503=0,N503="")),"►E",IF(AND(ACOMPANHAMENTO="PLE",ORÇAMENTO!AC503="QUANT."),"►Q",IF(AND(ACOMPANHAMENTO="PLE",H503&lt;&gt;SUMPRODUCT(($Q$1:$AI$1=1)*ROUND(Q503:AI503,15))),"►S",IF(AND(COUNTIF($P$11:$AI$11,"▼")=0,H503&gt;0,I503=""),"◄M","")))))</f>
        <v/>
      </c>
      <c r="K503" s="641" t="s">
        <v>1368</v>
      </c>
      <c r="L503" s="165" t="s">
        <v>764</v>
      </c>
      <c r="M503" s="166" t="str">
        <f ca="1">IF($D503&lt;&gt;"Serviço","",
          IF(AUTOEVENTO="manual",$A503,
                IF(ISERROR(MATCH($A503,$A$15:OFFSET($A503,-1,0),0)),MAX($M$15:OFFSET(M503,-1,0))+1,
                      INDEX($M$15:OFFSET(M503,-1,0),MATCH($A503,$A$15:OFFSET($A503,-1,0),0)))))</f>
        <v/>
      </c>
      <c r="N503" s="167" t="str">
        <f ca="1">IF($D503&lt;&gt;"Serviço","",
         IF(AUTOEVENTO="Manual",
                IF($A503=0,"&lt;-- defina o número do agrupador",
                       OFFSET(EVENTOS!$D$15,$A503-$A$15,0)),
                OFFSET($F$15,$A503,0)))</f>
        <v/>
      </c>
      <c r="O503" s="168"/>
      <c r="Q503" s="168"/>
      <c r="R503" s="169"/>
      <c r="S503" s="169"/>
      <c r="T503" s="169"/>
      <c r="U503" s="169"/>
      <c r="V503" s="169"/>
      <c r="W503" s="169"/>
      <c r="X503" s="169"/>
      <c r="Y503" s="169"/>
      <c r="Z503" s="170"/>
      <c r="AA503" s="169"/>
      <c r="AB503" s="169"/>
      <c r="AC503" s="169"/>
      <c r="AD503" s="169"/>
      <c r="AE503" s="169"/>
      <c r="AF503" s="169"/>
      <c r="AG503" s="169"/>
      <c r="AH503" s="170"/>
      <c r="AJ503" s="453">
        <f ca="1">IF(AND($D503="Serviço",AJ$12&lt;&gt;0,$H503&gt;0,OR(AUTOEVENTO&lt;&gt;"manual",$M503&lt;&gt;$A$15)),
        IF(Import.TipoArredondamento&lt;&gt;"TransfereGOV",
              ROUND(OFFSET($P503,0,AJ$13),15-13*ORÇAMENTO!$AF$7)/$H503*OFFSET(ORÇAMENTO!$X$15,ROW(AJ503)-ROW(AJ$15),0),
              ROUND(ROUND(OFFSET($P503,0,AJ$13),15-13*ORÇAMENTO!$AF$7)*OFFSET(ORÇAMENTO!$W$15,ROW(AJ503)-ROW(AJ$15),0),15-13*ORÇAMENTO!$AF$11)),
         0)</f>
        <v>0</v>
      </c>
      <c r="AK503" s="453">
        <f ca="1">IF(AND($D503="Serviço",AK$12&lt;&gt;0,$H503&gt;0,OR(AUTOEVENTO&lt;&gt;"manual",$M503&lt;&gt;$A$15)),
        IF(Import.TipoArredondamento&lt;&gt;"TransfereGOV",
              ROUND(OFFSET($P503,0,AK$13),15-13*ORÇAMENTO!$AF$7)/$H503*OFFSET(ORÇAMENTO!$X$15,ROW(AK503)-ROW(AK$15),0),
              ROUND(ROUND(OFFSET($P503,0,AK$13),15-13*ORÇAMENTO!$AF$7)*OFFSET(ORÇAMENTO!$W$15,ROW(AK503)-ROW(AK$15),0),15-13*ORÇAMENTO!$AF$11)),
         0)</f>
        <v>0</v>
      </c>
      <c r="AL503" s="453">
        <f ca="1">IF(AND($D503="Serviço",AL$12&lt;&gt;0,$H503&gt;0,OR(AUTOEVENTO&lt;&gt;"manual",$M503&lt;&gt;$A$15)),
        IF(Import.TipoArredondamento&lt;&gt;"TransfereGOV",
              ROUND(OFFSET($P503,0,AL$13),15-13*ORÇAMENTO!$AF$7)/$H503*OFFSET(ORÇAMENTO!$X$15,ROW(AL503)-ROW(AL$15),0),
              ROUND(ROUND(OFFSET($P503,0,AL$13),15-13*ORÇAMENTO!$AF$7)*OFFSET(ORÇAMENTO!$W$15,ROW(AL503)-ROW(AL$15),0),15-13*ORÇAMENTO!$AF$11)),
         0)</f>
        <v>0</v>
      </c>
      <c r="AM503" s="453">
        <f ca="1">IF(AND($D503="Serviço",AM$12&lt;&gt;0,$H503&gt;0,OR(AUTOEVENTO&lt;&gt;"manual",$M503&lt;&gt;$A$15)),
        IF(Import.TipoArredondamento&lt;&gt;"TransfereGOV",
              ROUND(OFFSET($P503,0,AM$13),15-13*ORÇAMENTO!$AF$7)/$H503*OFFSET(ORÇAMENTO!$X$15,ROW(AM503)-ROW(AM$15),0),
              ROUND(ROUND(OFFSET($P503,0,AM$13),15-13*ORÇAMENTO!$AF$7)*OFFSET(ORÇAMENTO!$W$15,ROW(AM503)-ROW(AM$15),0),15-13*ORÇAMENTO!$AF$11)),
         0)</f>
        <v>0</v>
      </c>
      <c r="AN503" s="453">
        <f ca="1">IF(AND($D503="Serviço",AN$12&lt;&gt;0,$H503&gt;0,OR(AUTOEVENTO&lt;&gt;"manual",$M503&lt;&gt;$A$15)),
        IF(Import.TipoArredondamento&lt;&gt;"TransfereGOV",
              ROUND(OFFSET($P503,0,AN$13),15-13*ORÇAMENTO!$AF$7)/$H503*OFFSET(ORÇAMENTO!$X$15,ROW(AN503)-ROW(AN$15),0),
              ROUND(ROUND(OFFSET($P503,0,AN$13),15-13*ORÇAMENTO!$AF$7)*OFFSET(ORÇAMENTO!$W$15,ROW(AN503)-ROW(AN$15),0),15-13*ORÇAMENTO!$AF$11)),
         0)</f>
        <v>0</v>
      </c>
      <c r="AO503" s="453">
        <f ca="1">IF(AND($D503="Serviço",AO$12&lt;&gt;0,$H503&gt;0,OR(AUTOEVENTO&lt;&gt;"manual",$M503&lt;&gt;$A$15)),
        IF(Import.TipoArredondamento&lt;&gt;"TransfereGOV",
              ROUND(OFFSET($P503,0,AO$13),15-13*ORÇAMENTO!$AF$7)/$H503*OFFSET(ORÇAMENTO!$X$15,ROW(AO503)-ROW(AO$15),0),
              ROUND(ROUND(OFFSET($P503,0,AO$13),15-13*ORÇAMENTO!$AF$7)*OFFSET(ORÇAMENTO!$W$15,ROW(AO503)-ROW(AO$15),0),15-13*ORÇAMENTO!$AF$11)),
         0)</f>
        <v>0</v>
      </c>
      <c r="AP503" s="453">
        <f ca="1">IF(AND($D503="Serviço",AP$12&lt;&gt;0,$H503&gt;0,OR(AUTOEVENTO&lt;&gt;"manual",$M503&lt;&gt;$A$15)),
        IF(Import.TipoArredondamento&lt;&gt;"TransfereGOV",
              ROUND(OFFSET($P503,0,AP$13),15-13*ORÇAMENTO!$AF$7)/$H503*OFFSET(ORÇAMENTO!$X$15,ROW(AP503)-ROW(AP$15),0),
              ROUND(ROUND(OFFSET($P503,0,AP$13),15-13*ORÇAMENTO!$AF$7)*OFFSET(ORÇAMENTO!$W$15,ROW(AP503)-ROW(AP$15),0),15-13*ORÇAMENTO!$AF$11)),
         0)</f>
        <v>0</v>
      </c>
      <c r="AQ503" s="453">
        <f ca="1">IF(AND($D503="Serviço",AQ$12&lt;&gt;0,$H503&gt;0,OR(AUTOEVENTO&lt;&gt;"manual",$M503&lt;&gt;$A$15)),
        IF(Import.TipoArredondamento&lt;&gt;"TransfereGOV",
              ROUND(OFFSET($P503,0,AQ$13),15-13*ORÇAMENTO!$AF$7)/$H503*OFFSET(ORÇAMENTO!$X$15,ROW(AQ503)-ROW(AQ$15),0),
              ROUND(ROUND(OFFSET($P503,0,AQ$13),15-13*ORÇAMENTO!$AF$7)*OFFSET(ORÇAMENTO!$W$15,ROW(AQ503)-ROW(AQ$15),0),15-13*ORÇAMENTO!$AF$11)),
         0)</f>
        <v>0</v>
      </c>
      <c r="AR503" s="453">
        <f ca="1">IF(AND($D503="Serviço",AR$12&lt;&gt;0,$H503&gt;0,OR(AUTOEVENTO&lt;&gt;"manual",$M503&lt;&gt;$A$15)),
        IF(Import.TipoArredondamento&lt;&gt;"TransfereGOV",
              ROUND(OFFSET($P503,0,AR$13),15-13*ORÇAMENTO!$AF$7)/$H503*OFFSET(ORÇAMENTO!$X$15,ROW(AR503)-ROW(AR$15),0),
              ROUND(ROUND(OFFSET($P503,0,AR$13),15-13*ORÇAMENTO!$AF$7)*OFFSET(ORÇAMENTO!$W$15,ROW(AR503)-ROW(AR$15),0),15-13*ORÇAMENTO!$AF$11)),
         0)</f>
        <v>0</v>
      </c>
      <c r="AS503" s="453">
        <f ca="1">IF(AND($D503="Serviço",AS$12&lt;&gt;0,$H503&gt;0,OR(AUTOEVENTO&lt;&gt;"manual",$M503&lt;&gt;$A$15)),
        IF(Import.TipoArredondamento&lt;&gt;"TransfereGOV",
              ROUND(OFFSET($P503,0,AS$13),15-13*ORÇAMENTO!$AF$7)/$H503*OFFSET(ORÇAMENTO!$X$15,ROW(AS503)-ROW(AS$15),0),
              ROUND(ROUND(OFFSET($P503,0,AS$13),15-13*ORÇAMENTO!$AF$7)*OFFSET(ORÇAMENTO!$W$15,ROW(AS503)-ROW(AS$15),0),15-13*ORÇAMENTO!$AF$11)),
         0)</f>
        <v>0</v>
      </c>
      <c r="AT503" s="453">
        <f ca="1">IF(AND($D503="Serviço",AT$12&lt;&gt;0,$H503&gt;0,OR(AUTOEVENTO&lt;&gt;"manual",$M503&lt;&gt;$A$15)),
        IF(Import.TipoArredondamento&lt;&gt;"TransfereGOV",
              ROUND(OFFSET($P503,0,AT$13),15-13*ORÇAMENTO!$AF$7)/$H503*OFFSET(ORÇAMENTO!$X$15,ROW(AT503)-ROW(AT$15),0),
              ROUND(ROUND(OFFSET($P503,0,AT$13),15-13*ORÇAMENTO!$AF$7)*OFFSET(ORÇAMENTO!$W$15,ROW(AT503)-ROW(AT$15),0),15-13*ORÇAMENTO!$AF$11)),
         0)</f>
        <v>0</v>
      </c>
      <c r="AU503" s="453">
        <f ca="1">IF(AND($D503="Serviço",AU$12&lt;&gt;0,$H503&gt;0,OR(AUTOEVENTO&lt;&gt;"manual",$M503&lt;&gt;$A$15)),
        IF(Import.TipoArredondamento&lt;&gt;"TransfereGOV",
              ROUND(OFFSET($P503,0,AU$13),15-13*ORÇAMENTO!$AF$7)/$H503*OFFSET(ORÇAMENTO!$X$15,ROW(AU503)-ROW(AU$15),0),
              ROUND(ROUND(OFFSET($P503,0,AU$13),15-13*ORÇAMENTO!$AF$7)*OFFSET(ORÇAMENTO!$W$15,ROW(AU503)-ROW(AU$15),0),15-13*ORÇAMENTO!$AF$11)),
         0)</f>
        <v>0</v>
      </c>
      <c r="AV503" s="453">
        <f ca="1">IF(AND($D503="Serviço",AV$12&lt;&gt;0,$H503&gt;0,OR(AUTOEVENTO&lt;&gt;"manual",$M503&lt;&gt;$A$15)),
        IF(Import.TipoArredondamento&lt;&gt;"TransfereGOV",
              ROUND(OFFSET($P503,0,AV$13),15-13*ORÇAMENTO!$AF$7)/$H503*OFFSET(ORÇAMENTO!$X$15,ROW(AV503)-ROW(AV$15),0),
              ROUND(ROUND(OFFSET($P503,0,AV$13),15-13*ORÇAMENTO!$AF$7)*OFFSET(ORÇAMENTO!$W$15,ROW(AV503)-ROW(AV$15),0),15-13*ORÇAMENTO!$AF$11)),
         0)</f>
        <v>0</v>
      </c>
      <c r="AW503" s="453">
        <f ca="1">IF(AND($D503="Serviço",AW$12&lt;&gt;0,$H503&gt;0,OR(AUTOEVENTO&lt;&gt;"manual",$M503&lt;&gt;$A$15)),
        IF(Import.TipoArredondamento&lt;&gt;"TransfereGOV",
              ROUND(OFFSET($P503,0,AW$13),15-13*ORÇAMENTO!$AF$7)/$H503*OFFSET(ORÇAMENTO!$X$15,ROW(AW503)-ROW(AW$15),0),
              ROUND(ROUND(OFFSET($P503,0,AW$13),15-13*ORÇAMENTO!$AF$7)*OFFSET(ORÇAMENTO!$W$15,ROW(AW503)-ROW(AW$15),0),15-13*ORÇAMENTO!$AF$11)),
         0)</f>
        <v>0</v>
      </c>
      <c r="AX503" s="453">
        <f ca="1">IF(AND($D503="Serviço",AX$12&lt;&gt;0,$H503&gt;0,OR(AUTOEVENTO&lt;&gt;"manual",$M503&lt;&gt;$A$15)),
        IF(Import.TipoArredondamento&lt;&gt;"TransfereGOV",
              ROUND(OFFSET($P503,0,AX$13),15-13*ORÇAMENTO!$AF$7)/$H503*OFFSET(ORÇAMENTO!$X$15,ROW(AX503)-ROW(AX$15),0),
              ROUND(ROUND(OFFSET($P503,0,AX$13),15-13*ORÇAMENTO!$AF$7)*OFFSET(ORÇAMENTO!$W$15,ROW(AX503)-ROW(AX$15),0),15-13*ORÇAMENTO!$AF$11)),
         0)</f>
        <v>0</v>
      </c>
      <c r="AY503" s="453">
        <f ca="1">IF(AND($D503="Serviço",AY$12&lt;&gt;0,$H503&gt;0,OR(AUTOEVENTO&lt;&gt;"manual",$M503&lt;&gt;$A$15)),
        IF(Import.TipoArredondamento&lt;&gt;"TransfereGOV",
              ROUND(OFFSET($P503,0,AY$13),15-13*ORÇAMENTO!$AF$7)/$H503*OFFSET(ORÇAMENTO!$X$15,ROW(AY503)-ROW(AY$15),0),
              ROUND(ROUND(OFFSET($P503,0,AY$13),15-13*ORÇAMENTO!$AF$7)*OFFSET(ORÇAMENTO!$W$15,ROW(AY503)-ROW(AY$15),0),15-13*ORÇAMENTO!$AF$11)),
         0)</f>
        <v>0</v>
      </c>
      <c r="AZ503" s="453">
        <f ca="1">IF(AND($D503="Serviço",AZ$12&lt;&gt;0,$H503&gt;0,OR(AUTOEVENTO&lt;&gt;"manual",$M503&lt;&gt;$A$15)),
        IF(Import.TipoArredondamento&lt;&gt;"TransfereGOV",
              ROUND(OFFSET($P503,0,AZ$13),15-13*ORÇAMENTO!$AF$7)/$H503*OFFSET(ORÇAMENTO!$X$15,ROW(AZ503)-ROW(AZ$15),0),
              ROUND(ROUND(OFFSET($P503,0,AZ$13),15-13*ORÇAMENTO!$AF$7)*OFFSET(ORÇAMENTO!$W$15,ROW(AZ503)-ROW(AZ$15),0),15-13*ORÇAMENTO!$AF$11)),
         0)</f>
        <v>0</v>
      </c>
      <c r="BA503" s="453">
        <f ca="1">IF(AND($D503="Serviço",BA$12&lt;&gt;0,$H503&gt;0,OR(AUTOEVENTO&lt;&gt;"manual",$M503&lt;&gt;$A$15)),
        IF(Import.TipoArredondamento&lt;&gt;"TransfereGOV",
              ROUND(OFFSET($P503,0,BA$13),15-13*ORÇAMENTO!$AF$7)/$H503*OFFSET(ORÇAMENTO!$X$15,ROW(BA503)-ROW(BA$15),0),
              ROUND(ROUND(OFFSET($P503,0,BA$13),15-13*ORÇAMENTO!$AF$7)*OFFSET(ORÇAMENTO!$W$15,ROW(BA503)-ROW(BA$15),0),15-13*ORÇAMENTO!$AF$11)),
         0)</f>
        <v>0</v>
      </c>
      <c r="BC503" s="171">
        <f ca="1">IF(OR($D503&lt;&gt;"Serviço",AND(AUTOEVENTO="Manual",$M503=$A$15)),0,
         IF(OFFSET(CRONOPLE!$F$15,$M503-$A$15,BC$13)=0,10^12,OFFSET(CRONOPLE!$F$15,$M503-$A$15,BC$13)))</f>
        <v>0</v>
      </c>
      <c r="BD503" s="171">
        <f ca="1">IF(OR($D503&lt;&gt;"Serviço",AND(AUTOEVENTO="Manual",$M503=$A$15)),0,
         IF(OFFSET(CRONOPLE!$F$15,$M503-$A$15,BD$13)=0,10^12,OFFSET(CRONOPLE!$F$15,$M503-$A$15,BD$13)))</f>
        <v>0</v>
      </c>
      <c r="BE503" s="171">
        <f ca="1">IF(OR($D503&lt;&gt;"Serviço",AND(AUTOEVENTO="Manual",$M503=$A$15)),0,
         IF(OFFSET(CRONOPLE!$F$15,$M503-$A$15,BE$13)=0,10^12,OFFSET(CRONOPLE!$F$15,$M503-$A$15,BE$13)))</f>
        <v>0</v>
      </c>
      <c r="BF503" s="171">
        <f ca="1">IF(OR($D503&lt;&gt;"Serviço",AND(AUTOEVENTO="Manual",$M503=$A$15)),0,
         IF(OFFSET(CRONOPLE!$F$15,$M503-$A$15,BF$13)=0,10^12,OFFSET(CRONOPLE!$F$15,$M503-$A$15,BF$13)))</f>
        <v>0</v>
      </c>
      <c r="BG503" s="171">
        <f ca="1">IF(OR($D503&lt;&gt;"Serviço",AND(AUTOEVENTO="Manual",$M503=$A$15)),0,
         IF(OFFSET(CRONOPLE!$F$15,$M503-$A$15,BG$13)=0,10^12,OFFSET(CRONOPLE!$F$15,$M503-$A$15,BG$13)))</f>
        <v>0</v>
      </c>
      <c r="BH503" s="171">
        <f ca="1">IF(OR($D503&lt;&gt;"Serviço",AND(AUTOEVENTO="Manual",$M503=$A$15)),0,
         IF(OFFSET(CRONOPLE!$F$15,$M503-$A$15,BH$13)=0,10^12,OFFSET(CRONOPLE!$F$15,$M503-$A$15,BH$13)))</f>
        <v>0</v>
      </c>
      <c r="BI503" s="171">
        <f ca="1">IF(OR($D503&lt;&gt;"Serviço",AND(AUTOEVENTO="Manual",$M503=$A$15)),0,
         IF(OFFSET(CRONOPLE!$F$15,$M503-$A$15,BI$13)=0,10^12,OFFSET(CRONOPLE!$F$15,$M503-$A$15,BI$13)))</f>
        <v>0</v>
      </c>
      <c r="BJ503" s="171">
        <f ca="1">IF(OR($D503&lt;&gt;"Serviço",AND(AUTOEVENTO="Manual",$M503=$A$15)),0,
         IF(OFFSET(CRONOPLE!$F$15,$M503-$A$15,BJ$13)=0,10^12,OFFSET(CRONOPLE!$F$15,$M503-$A$15,BJ$13)))</f>
        <v>0</v>
      </c>
      <c r="BK503" s="171">
        <f ca="1">IF(OR($D503&lt;&gt;"Serviço",AND(AUTOEVENTO="Manual",$M503=$A$15)),0,
         IF(OFFSET(CRONOPLE!$F$15,$M503-$A$15,BK$13)=0,10^12,OFFSET(CRONOPLE!$F$15,$M503-$A$15,BK$13)))</f>
        <v>0</v>
      </c>
      <c r="BL503" s="171">
        <f ca="1">IF(OR($D503&lt;&gt;"Serviço",AND(AUTOEVENTO="Manual",$M503=$A$15)),0,
         IF(OFFSET(CRONOPLE!$F$15,$M503-$A$15,BL$13)=0,10^12,OFFSET(CRONOPLE!$F$15,$M503-$A$15,BL$13)))</f>
        <v>0</v>
      </c>
      <c r="BM503" s="171">
        <f ca="1">IF(OR($D503&lt;&gt;"Serviço",AND(AUTOEVENTO="Manual",$M503=$A$15)),0,
         IF(OFFSET(CRONOPLE!$F$15,$M503-$A$15,BM$13)=0,10^12,OFFSET(CRONOPLE!$F$15,$M503-$A$15,BM$13)))</f>
        <v>0</v>
      </c>
      <c r="BN503" s="171">
        <f ca="1">IF(OR($D503&lt;&gt;"Serviço",AND(AUTOEVENTO="Manual",$M503=$A$15)),0,
         IF(OFFSET(CRONOPLE!$F$15,$M503-$A$15,BN$13)=0,10^12,OFFSET(CRONOPLE!$F$15,$M503-$A$15,BN$13)))</f>
        <v>0</v>
      </c>
      <c r="BO503" s="171">
        <f ca="1">IF(OR($D503&lt;&gt;"Serviço",AND(AUTOEVENTO="Manual",$M503=$A$15)),0,
         IF(OFFSET(CRONOPLE!$F$15,$M503-$A$15,BO$13)=0,10^12,OFFSET(CRONOPLE!$F$15,$M503-$A$15,BO$13)))</f>
        <v>0</v>
      </c>
      <c r="BP503" s="171">
        <f ca="1">IF(OR($D503&lt;&gt;"Serviço",AND(AUTOEVENTO="Manual",$M503=$A$15)),0,
         IF(OFFSET(CRONOPLE!$F$15,$M503-$A$15,BP$13)=0,10^12,OFFSET(CRONOPLE!$F$15,$M503-$A$15,BP$13)))</f>
        <v>0</v>
      </c>
      <c r="BQ503" s="171">
        <f ca="1">IF(OR($D503&lt;&gt;"Serviço",AND(AUTOEVENTO="Manual",$M503=$A$15)),0,
         IF(OFFSET(CRONOPLE!$F$15,$M503-$A$15,BQ$13)=0,10^12,OFFSET(CRONOPLE!$F$15,$M503-$A$15,BQ$13)))</f>
        <v>0</v>
      </c>
      <c r="BR503" s="171">
        <f ca="1">IF(OR($D503&lt;&gt;"Serviço",AND(AUTOEVENTO="Manual",$M503=$A$15)),0,
         IF(OFFSET(CRONOPLE!$F$15,$M503-$A$15,BR$13)=0,10^12,OFFSET(CRONOPLE!$F$15,$M503-$A$15,BR$13)))</f>
        <v>0</v>
      </c>
      <c r="BS503" s="171">
        <f ca="1">IF(OR($D503&lt;&gt;"Serviço",AND(AUTOEVENTO="Manual",$M503=$A$15)),0,
         IF(OFFSET(CRONOPLE!$F$15,$M503-$A$15,BS$13)=0,10^12,OFFSET(CRONOPLE!$F$15,$M503-$A$15,BS$13)))</f>
        <v>0</v>
      </c>
      <c r="BT503" s="171">
        <f ca="1">IF(OR($D503&lt;&gt;"Serviço",AND(AUTOEVENTO="Manual",$M503=$A$15)),0,
         IF(OFFSET(CRONOPLE!$F$15,$M503-$A$15,BT$13)=0,10^12,OFFSET(CRONOPLE!$F$15,$M503-$A$15,BT$13)))</f>
        <v>0</v>
      </c>
      <c r="BV503" s="172">
        <f ca="1">IF(OR($D503&lt;&gt;"Serviço",AND(AUTOEVENTO="Manual",$M503=$A$15),$M503&gt;(ROW(PLE.lastrow)-ROW(PLE.firstrow))),0,
           IF(OFFSET(PLE!$G$15,$M503-$A$15,BV$13)="",10^12,OFFSET(PLE!$G$15,$M503-$A$15,BV$13)))</f>
        <v>0</v>
      </c>
      <c r="BW503" s="172">
        <f ca="1">IF(OR($D503&lt;&gt;"Serviço",AND(AUTOEVENTO="Manual",$M503=$A$15),$M503&gt;(ROW(PLE.lastrow)-ROW(PLE.firstrow))),0,
           IF(OFFSET(PLE!$G$15,$M503-$A$15,BW$13)="",10^12,OFFSET(PLE!$G$15,$M503-$A$15,BW$13)))</f>
        <v>0</v>
      </c>
      <c r="BX503" s="172">
        <f ca="1">IF(OR($D503&lt;&gt;"Serviço",AND(AUTOEVENTO="Manual",$M503=$A$15),$M503&gt;(ROW(PLE.lastrow)-ROW(PLE.firstrow))),0,
           IF(OFFSET(PLE!$G$15,$M503-$A$15,BX$13)="",10^12,OFFSET(PLE!$G$15,$M503-$A$15,BX$13)))</f>
        <v>0</v>
      </c>
      <c r="BY503" s="172">
        <f ca="1">IF(OR($D503&lt;&gt;"Serviço",AND(AUTOEVENTO="Manual",$M503=$A$15),$M503&gt;(ROW(PLE.lastrow)-ROW(PLE.firstrow))),0,
           IF(OFFSET(PLE!$G$15,$M503-$A$15,BY$13)="",10^12,OFFSET(PLE!$G$15,$M503-$A$15,BY$13)))</f>
        <v>0</v>
      </c>
      <c r="BZ503" s="172">
        <f ca="1">IF(OR($D503&lt;&gt;"Serviço",AND(AUTOEVENTO="Manual",$M503=$A$15),$M503&gt;(ROW(PLE.lastrow)-ROW(PLE.firstrow))),0,
           IF(OFFSET(PLE!$G$15,$M503-$A$15,BZ$13)="",10^12,OFFSET(PLE!$G$15,$M503-$A$15,BZ$13)))</f>
        <v>0</v>
      </c>
      <c r="CA503" s="172">
        <f ca="1">IF(OR($D503&lt;&gt;"Serviço",AND(AUTOEVENTO="Manual",$M503=$A$15),$M503&gt;(ROW(PLE.lastrow)-ROW(PLE.firstrow))),0,
           IF(OFFSET(PLE!$G$15,$M503-$A$15,CA$13)="",10^12,OFFSET(PLE!$G$15,$M503-$A$15,CA$13)))</f>
        <v>0</v>
      </c>
      <c r="CB503" s="172">
        <f ca="1">IF(OR($D503&lt;&gt;"Serviço",AND(AUTOEVENTO="Manual",$M503=$A$15),$M503&gt;(ROW(PLE.lastrow)-ROW(PLE.firstrow))),0,
           IF(OFFSET(PLE!$G$15,$M503-$A$15,CB$13)="",10^12,OFFSET(PLE!$G$15,$M503-$A$15,CB$13)))</f>
        <v>0</v>
      </c>
      <c r="CC503" s="172">
        <f ca="1">IF(OR($D503&lt;&gt;"Serviço",AND(AUTOEVENTO="Manual",$M503=$A$15),$M503&gt;(ROW(PLE.lastrow)-ROW(PLE.firstrow))),0,
           IF(OFFSET(PLE!$G$15,$M503-$A$15,CC$13)="",10^12,OFFSET(PLE!$G$15,$M503-$A$15,CC$13)))</f>
        <v>0</v>
      </c>
      <c r="CD503" s="172">
        <f ca="1">IF(OR($D503&lt;&gt;"Serviço",AND(AUTOEVENTO="Manual",$M503=$A$15),$M503&gt;(ROW(PLE.lastrow)-ROW(PLE.firstrow))),0,
           IF(OFFSET(PLE!$G$15,$M503-$A$15,CD$13)="",10^12,OFFSET(PLE!$G$15,$M503-$A$15,CD$13)))</f>
        <v>0</v>
      </c>
      <c r="CE503" s="172">
        <f ca="1">IF(OR($D503&lt;&gt;"Serviço",AND(AUTOEVENTO="Manual",$M503=$A$15),$M503&gt;(ROW(PLE.lastrow)-ROW(PLE.firstrow))),0,
           IF(OFFSET(PLE!$G$15,$M503-$A$15,CE$13)="",10^12,OFFSET(PLE!$G$15,$M503-$A$15,CE$13)))</f>
        <v>0</v>
      </c>
      <c r="CF503" s="172">
        <f ca="1">IF(OR($D503&lt;&gt;"Serviço",AND(AUTOEVENTO="Manual",$M503=$A$15),$M503&gt;(ROW(PLE.lastrow)-ROW(PLE.firstrow))),0,
           IF(OFFSET(PLE!$G$15,$M503-$A$15,CF$13)="",10^12,OFFSET(PLE!$G$15,$M503-$A$15,CF$13)))</f>
        <v>0</v>
      </c>
      <c r="CG503" s="172">
        <f ca="1">IF(OR($D503&lt;&gt;"Serviço",AND(AUTOEVENTO="Manual",$M503=$A$15),$M503&gt;(ROW(PLE.lastrow)-ROW(PLE.firstrow))),0,
           IF(OFFSET(PLE!$G$15,$M503-$A$15,CG$13)="",10^12,OFFSET(PLE!$G$15,$M503-$A$15,CG$13)))</f>
        <v>0</v>
      </c>
      <c r="CH503" s="172">
        <f ca="1">IF(OR($D503&lt;&gt;"Serviço",AND(AUTOEVENTO="Manual",$M503=$A$15),$M503&gt;(ROW(PLE.lastrow)-ROW(PLE.firstrow))),0,
           IF(OFFSET(PLE!$G$15,$M503-$A$15,CH$13)="",10^12,OFFSET(PLE!$G$15,$M503-$A$15,CH$13)))</f>
        <v>0</v>
      </c>
      <c r="CI503" s="172">
        <f ca="1">IF(OR($D503&lt;&gt;"Serviço",AND(AUTOEVENTO="Manual",$M503=$A$15),$M503&gt;(ROW(PLE.lastrow)-ROW(PLE.firstrow))),0,
           IF(OFFSET(PLE!$G$15,$M503-$A$15,CI$13)="",10^12,OFFSET(PLE!$G$15,$M503-$A$15,CI$13)))</f>
        <v>0</v>
      </c>
      <c r="CJ503" s="172">
        <f ca="1">IF(OR($D503&lt;&gt;"Serviço",AND(AUTOEVENTO="Manual",$M503=$A$15),$M503&gt;(ROW(PLE.lastrow)-ROW(PLE.firstrow))),0,
           IF(OFFSET(PLE!$G$15,$M503-$A$15,CJ$13)="",10^12,OFFSET(PLE!$G$15,$M503-$A$15,CJ$13)))</f>
        <v>0</v>
      </c>
      <c r="CK503" s="172">
        <f ca="1">IF(OR($D503&lt;&gt;"Serviço",AND(AUTOEVENTO="Manual",$M503=$A$15),$M503&gt;(ROW(PLE.lastrow)-ROW(PLE.firstrow))),0,
           IF(OFFSET(PLE!$G$15,$M503-$A$15,CK$13)="",10^12,OFFSET(PLE!$G$15,$M503-$A$15,CK$13)))</f>
        <v>0</v>
      </c>
      <c r="CL503" s="172">
        <f ca="1">IF(OR($D503&lt;&gt;"Serviço",AND(AUTOEVENTO="Manual",$M503=$A$15),$M503&gt;(ROW(PLE.lastrow)-ROW(PLE.firstrow))),0,
           IF(OFFSET(PLE!$G$15,$M503-$A$15,CL$13)="",10^12,OFFSET(PLE!$G$15,$M503-$A$15,CL$13)))</f>
        <v>0</v>
      </c>
      <c r="CM503" s="172">
        <f ca="1">IF(OR($D503&lt;&gt;"Serviço",AND(AUTOEVENTO="Manual",$M503=$A$15),$M503&gt;(ROW(PLE.lastrow)-ROW(PLE.firstrow))),0,
           IF(OFFSET(PLE!$G$15,$M503-$A$15,CM$13)="",10^12,OFFSET(PLE!$G$15,$M503-$A$15,CM$13)))</f>
        <v>0</v>
      </c>
    </row>
    <row r="504" spans="1:91" ht="102" x14ac:dyDescent="0.2">
      <c r="A504" s="7">
        <f t="shared" ca="1" si="17"/>
        <v>9</v>
      </c>
      <c r="B504" s="7" t="str">
        <f ca="1">OFFSET(ORÇAMENTO!C$15,ROW(B504)-ROW(B$15),0)</f>
        <v>S</v>
      </c>
      <c r="C504" s="7" t="str">
        <f ca="1">OFFSET(ORÇAMENTO!L$15,ROW(C504)-ROW(C$15),0)</f>
        <v>F</v>
      </c>
      <c r="D504" s="116" t="str">
        <f ca="1">OFFSET(ORÇAMENTO!N$15,ROW(D504)-ROW(D$15),0)</f>
        <v>Serviço</v>
      </c>
      <c r="E504" s="117" t="str">
        <f ca="1">OFFSET(ORÇAMENTO!O$15,ROW(E504)-ROW(E$15),0)</f>
        <v>1.10.8.0.1.</v>
      </c>
      <c r="F504" s="163" t="str">
        <f ca="1">OFFSET(ORÇAMENTO!R$15,ROW(F504)-ROW(F$15),0)</f>
        <v>PLANTIO DE GRAMA ESMERALDA OU SÃO CARLOS OU CURITIBANA, EM PLACAS. AF_07/2024</v>
      </c>
      <c r="G504" s="164" t="str">
        <f ca="1">IF($D504&lt;&gt;"Serviço","",OFFSET(ORÇAMENTO!S$15,ROW(G504)-ROW(G$15),0))</f>
        <v>M2</v>
      </c>
      <c r="H504" s="122" cm="1">
        <f t="array" aca="1" ref="H504" ca="1">IF($D504&lt;&gt;"Serviço",0,IF(ACOMPANHAMENTO="BM",ROUND(OFFSET(ORÇAMENTO!AJ$15,ROW(H504)-ROW(H$15),0),15-13*ORÇAMENTO!$AF$7),SUMPRODUCT(($Q$1:$AI$1=1)*ROUND($Q504:$AI504,15-13*ORÇAMENTO!$AF$7))))</f>
        <v>1013.19</v>
      </c>
      <c r="I504" s="468" t="s">
        <v>1408</v>
      </c>
      <c r="J504" s="640" t="str" cm="1">
        <f t="array" aca="1" ref="J504" ca="1">IF(OR(B504&lt;&gt;"S",CÁLCULO.FrentesPreenchidas=0),"",IF(AND(ACOMPANHAMENTO="PLE",AUTOEVENTO="Manual",OR(H504&gt;0,ORÇAMENTO!AC504="QUANT."),OR(K504="",M504=0,N504="")),"►E",IF(AND(ACOMPANHAMENTO="PLE",ORÇAMENTO!AC504="QUANT."),"►Q",IF(AND(ACOMPANHAMENTO="PLE",H504&lt;&gt;SUMPRODUCT(($Q$1:$AI$1=1)*ROUND(Q504:AI504,15))),"►S",IF(AND(COUNTIF($P$11:$AI$11,"▼")=0,H504&gt;0,I504=""),"◄M","")))))</f>
        <v/>
      </c>
      <c r="K504" s="641" t="s">
        <v>1393</v>
      </c>
      <c r="L504" s="165" t="s">
        <v>764</v>
      </c>
      <c r="M504" s="166">
        <f ca="1">IF($D504&lt;&gt;"Serviço","",
          IF(AUTOEVENTO="manual",$A504,
                IF(ISERROR(MATCH($A504,$A$15:OFFSET($A504,-1,0),0)),MAX($M$15:OFFSET(M504,-1,0))+1,
                      INDEX($M$15:OFFSET(M504,-1,0),MATCH($A504,$A$15:OFFSET($A504,-1,0),0)))))</f>
        <v>9</v>
      </c>
      <c r="N504" s="167" t="str">
        <f ca="1">IF($D504&lt;&gt;"Serviço","",
         IF(AUTOEVENTO="Manual",
                IF($A504=0,"&lt;-- defina o número do agrupador",
                       OFFSET(EVENTOS!$D$15,$A504-$A$15,0)),
                OFFSET($F$15,$A504,0)))</f>
        <v>Arquitetura</v>
      </c>
      <c r="O504" s="168"/>
      <c r="Q504" s="168"/>
      <c r="R504" s="169"/>
      <c r="S504" s="169"/>
      <c r="T504" s="169"/>
      <c r="U504" s="169"/>
      <c r="V504" s="169"/>
      <c r="W504" s="169"/>
      <c r="X504" s="169"/>
      <c r="Y504" s="169"/>
      <c r="Z504" s="170">
        <v>1013.19</v>
      </c>
      <c r="AA504" s="169"/>
      <c r="AB504" s="169"/>
      <c r="AC504" s="169"/>
      <c r="AD504" s="169"/>
      <c r="AE504" s="169"/>
      <c r="AF504" s="169"/>
      <c r="AG504" s="169"/>
      <c r="AH504" s="170"/>
      <c r="AJ504" s="453">
        <f ca="1">IF(AND($D504="Serviço",AJ$12&lt;&gt;0,$H504&gt;0,OR(AUTOEVENTO&lt;&gt;"manual",$M504&lt;&gt;$A$15)),
        IF(Import.TipoArredondamento&lt;&gt;"TransfereGOV",
              ROUND(OFFSET($P504,0,AJ$13),15-13*ORÇAMENTO!$AF$7)/$H504*OFFSET(ORÇAMENTO!$X$15,ROW(AJ504)-ROW(AJ$15),0),
              ROUND(ROUND(OFFSET($P504,0,AJ$13),15-13*ORÇAMENTO!$AF$7)*OFFSET(ORÇAMENTO!$W$15,ROW(AJ504)-ROW(AJ$15),0),15-13*ORÇAMENTO!$AF$11)),
         0)</f>
        <v>0</v>
      </c>
      <c r="AK504" s="453">
        <f ca="1">IF(AND($D504="Serviço",AK$12&lt;&gt;0,$H504&gt;0,OR(AUTOEVENTO&lt;&gt;"manual",$M504&lt;&gt;$A$15)),
        IF(Import.TipoArredondamento&lt;&gt;"TransfereGOV",
              ROUND(OFFSET($P504,0,AK$13),15-13*ORÇAMENTO!$AF$7)/$H504*OFFSET(ORÇAMENTO!$X$15,ROW(AK504)-ROW(AK$15),0),
              ROUND(ROUND(OFFSET($P504,0,AK$13),15-13*ORÇAMENTO!$AF$7)*OFFSET(ORÇAMENTO!$W$15,ROW(AK504)-ROW(AK$15),0),15-13*ORÇAMENTO!$AF$11)),
         0)</f>
        <v>0</v>
      </c>
      <c r="AL504" s="453">
        <f ca="1">IF(AND($D504="Serviço",AL$12&lt;&gt;0,$H504&gt;0,OR(AUTOEVENTO&lt;&gt;"manual",$M504&lt;&gt;$A$15)),
        IF(Import.TipoArredondamento&lt;&gt;"TransfereGOV",
              ROUND(OFFSET($P504,0,AL$13),15-13*ORÇAMENTO!$AF$7)/$H504*OFFSET(ORÇAMENTO!$X$15,ROW(AL504)-ROW(AL$15),0),
              ROUND(ROUND(OFFSET($P504,0,AL$13),15-13*ORÇAMENTO!$AF$7)*OFFSET(ORÇAMENTO!$W$15,ROW(AL504)-ROW(AL$15),0),15-13*ORÇAMENTO!$AF$11)),
         0)</f>
        <v>0</v>
      </c>
      <c r="AM504" s="453">
        <f ca="1">IF(AND($D504="Serviço",AM$12&lt;&gt;0,$H504&gt;0,OR(AUTOEVENTO&lt;&gt;"manual",$M504&lt;&gt;$A$15)),
        IF(Import.TipoArredondamento&lt;&gt;"TransfereGOV",
              ROUND(OFFSET($P504,0,AM$13),15-13*ORÇAMENTO!$AF$7)/$H504*OFFSET(ORÇAMENTO!$X$15,ROW(AM504)-ROW(AM$15),0),
              ROUND(ROUND(OFFSET($P504,0,AM$13),15-13*ORÇAMENTO!$AF$7)*OFFSET(ORÇAMENTO!$W$15,ROW(AM504)-ROW(AM$15),0),15-13*ORÇAMENTO!$AF$11)),
         0)</f>
        <v>0</v>
      </c>
      <c r="AN504" s="453">
        <f ca="1">IF(AND($D504="Serviço",AN$12&lt;&gt;0,$H504&gt;0,OR(AUTOEVENTO&lt;&gt;"manual",$M504&lt;&gt;$A$15)),
        IF(Import.TipoArredondamento&lt;&gt;"TransfereGOV",
              ROUND(OFFSET($P504,0,AN$13),15-13*ORÇAMENTO!$AF$7)/$H504*OFFSET(ORÇAMENTO!$X$15,ROW(AN504)-ROW(AN$15),0),
              ROUND(ROUND(OFFSET($P504,0,AN$13),15-13*ORÇAMENTO!$AF$7)*OFFSET(ORÇAMENTO!$W$15,ROW(AN504)-ROW(AN$15),0),15-13*ORÇAMENTO!$AF$11)),
         0)</f>
        <v>0</v>
      </c>
      <c r="AO504" s="453">
        <f ca="1">IF(AND($D504="Serviço",AO$12&lt;&gt;0,$H504&gt;0,OR(AUTOEVENTO&lt;&gt;"manual",$M504&lt;&gt;$A$15)),
        IF(Import.TipoArredondamento&lt;&gt;"TransfereGOV",
              ROUND(OFFSET($P504,0,AO$13),15-13*ORÇAMENTO!$AF$7)/$H504*OFFSET(ORÇAMENTO!$X$15,ROW(AO504)-ROW(AO$15),0),
              ROUND(ROUND(OFFSET($P504,0,AO$13),15-13*ORÇAMENTO!$AF$7)*OFFSET(ORÇAMENTO!$W$15,ROW(AO504)-ROW(AO$15),0),15-13*ORÇAMENTO!$AF$11)),
         0)</f>
        <v>0</v>
      </c>
      <c r="AP504" s="453">
        <f ca="1">IF(AND($D504="Serviço",AP$12&lt;&gt;0,$H504&gt;0,OR(AUTOEVENTO&lt;&gt;"manual",$M504&lt;&gt;$A$15)),
        IF(Import.TipoArredondamento&lt;&gt;"TransfereGOV",
              ROUND(OFFSET($P504,0,AP$13),15-13*ORÇAMENTO!$AF$7)/$H504*OFFSET(ORÇAMENTO!$X$15,ROW(AP504)-ROW(AP$15),0),
              ROUND(ROUND(OFFSET($P504,0,AP$13),15-13*ORÇAMENTO!$AF$7)*OFFSET(ORÇAMENTO!$W$15,ROW(AP504)-ROW(AP$15),0),15-13*ORÇAMENTO!$AF$11)),
         0)</f>
        <v>0</v>
      </c>
      <c r="AQ504" s="453">
        <f ca="1">IF(AND($D504="Serviço",AQ$12&lt;&gt;0,$H504&gt;0,OR(AUTOEVENTO&lt;&gt;"manual",$M504&lt;&gt;$A$15)),
        IF(Import.TipoArredondamento&lt;&gt;"TransfereGOV",
              ROUND(OFFSET($P504,0,AQ$13),15-13*ORÇAMENTO!$AF$7)/$H504*OFFSET(ORÇAMENTO!$X$15,ROW(AQ504)-ROW(AQ$15),0),
              ROUND(ROUND(OFFSET($P504,0,AQ$13),15-13*ORÇAMENTO!$AF$7)*OFFSET(ORÇAMENTO!$W$15,ROW(AQ504)-ROW(AQ$15),0),15-13*ORÇAMENTO!$AF$11)),
         0)</f>
        <v>0</v>
      </c>
      <c r="AR504" s="453">
        <f ca="1">IF(AND($D504="Serviço",AR$12&lt;&gt;0,$H504&gt;0,OR(AUTOEVENTO&lt;&gt;"manual",$M504&lt;&gt;$A$15)),
        IF(Import.TipoArredondamento&lt;&gt;"TransfereGOV",
              ROUND(OFFSET($P504,0,AR$13),15-13*ORÇAMENTO!$AF$7)/$H504*OFFSET(ORÇAMENTO!$X$15,ROW(AR504)-ROW(AR$15),0),
              ROUND(ROUND(OFFSET($P504,0,AR$13),15-13*ORÇAMENTO!$AF$7)*OFFSET(ORÇAMENTO!$W$15,ROW(AR504)-ROW(AR$15),0),15-13*ORÇAMENTO!$AF$11)),
         0)</f>
        <v>0</v>
      </c>
      <c r="AS504" s="453">
        <f ca="1">IF(AND($D504="Serviço",AS$12&lt;&gt;0,$H504&gt;0,OR(AUTOEVENTO&lt;&gt;"manual",$M504&lt;&gt;$A$15)),
        IF(Import.TipoArredondamento&lt;&gt;"TransfereGOV",
              ROUND(OFFSET($P504,0,AS$13),15-13*ORÇAMENTO!$AF$7)/$H504*OFFSET(ORÇAMENTO!$X$15,ROW(AS504)-ROW(AS$15),0),
              ROUND(ROUND(OFFSET($P504,0,AS$13),15-13*ORÇAMENTO!$AF$7)*OFFSET(ORÇAMENTO!$W$15,ROW(AS504)-ROW(AS$15),0),15-13*ORÇAMENTO!$AF$11)),
         0)</f>
        <v>0</v>
      </c>
      <c r="AT504" s="453">
        <f ca="1">IF(AND($D504="Serviço",AT$12&lt;&gt;0,$H504&gt;0,OR(AUTOEVENTO&lt;&gt;"manual",$M504&lt;&gt;$A$15)),
        IF(Import.TipoArredondamento&lt;&gt;"TransfereGOV",
              ROUND(OFFSET($P504,0,AT$13),15-13*ORÇAMENTO!$AF$7)/$H504*OFFSET(ORÇAMENTO!$X$15,ROW(AT504)-ROW(AT$15),0),
              ROUND(ROUND(OFFSET($P504,0,AT$13),15-13*ORÇAMENTO!$AF$7)*OFFSET(ORÇAMENTO!$W$15,ROW(AT504)-ROW(AT$15),0),15-13*ORÇAMENTO!$AF$11)),
         0)</f>
        <v>0</v>
      </c>
      <c r="AU504" s="453">
        <f ca="1">IF(AND($D504="Serviço",AU$12&lt;&gt;0,$H504&gt;0,OR(AUTOEVENTO&lt;&gt;"manual",$M504&lt;&gt;$A$15)),
        IF(Import.TipoArredondamento&lt;&gt;"TransfereGOV",
              ROUND(OFFSET($P504,0,AU$13),15-13*ORÇAMENTO!$AF$7)/$H504*OFFSET(ORÇAMENTO!$X$15,ROW(AU504)-ROW(AU$15),0),
              ROUND(ROUND(OFFSET($P504,0,AU$13),15-13*ORÇAMENTO!$AF$7)*OFFSET(ORÇAMENTO!$W$15,ROW(AU504)-ROW(AU$15),0),15-13*ORÇAMENTO!$AF$11)),
         0)</f>
        <v>0</v>
      </c>
      <c r="AV504" s="453">
        <f ca="1">IF(AND($D504="Serviço",AV$12&lt;&gt;0,$H504&gt;0,OR(AUTOEVENTO&lt;&gt;"manual",$M504&lt;&gt;$A$15)),
        IF(Import.TipoArredondamento&lt;&gt;"TransfereGOV",
              ROUND(OFFSET($P504,0,AV$13),15-13*ORÇAMENTO!$AF$7)/$H504*OFFSET(ORÇAMENTO!$X$15,ROW(AV504)-ROW(AV$15),0),
              ROUND(ROUND(OFFSET($P504,0,AV$13),15-13*ORÇAMENTO!$AF$7)*OFFSET(ORÇAMENTO!$W$15,ROW(AV504)-ROW(AV$15),0),15-13*ORÇAMENTO!$AF$11)),
         0)</f>
        <v>0</v>
      </c>
      <c r="AW504" s="453">
        <f ca="1">IF(AND($D504="Serviço",AW$12&lt;&gt;0,$H504&gt;0,OR(AUTOEVENTO&lt;&gt;"manual",$M504&lt;&gt;$A$15)),
        IF(Import.TipoArredondamento&lt;&gt;"TransfereGOV",
              ROUND(OFFSET($P504,0,AW$13),15-13*ORÇAMENTO!$AF$7)/$H504*OFFSET(ORÇAMENTO!$X$15,ROW(AW504)-ROW(AW$15),0),
              ROUND(ROUND(OFFSET($P504,0,AW$13),15-13*ORÇAMENTO!$AF$7)*OFFSET(ORÇAMENTO!$W$15,ROW(AW504)-ROW(AW$15),0),15-13*ORÇAMENTO!$AF$11)),
         0)</f>
        <v>0</v>
      </c>
      <c r="AX504" s="453">
        <f ca="1">IF(AND($D504="Serviço",AX$12&lt;&gt;0,$H504&gt;0,OR(AUTOEVENTO&lt;&gt;"manual",$M504&lt;&gt;$A$15)),
        IF(Import.TipoArredondamento&lt;&gt;"TransfereGOV",
              ROUND(OFFSET($P504,0,AX$13),15-13*ORÇAMENTO!$AF$7)/$H504*OFFSET(ORÇAMENTO!$X$15,ROW(AX504)-ROW(AX$15),0),
              ROUND(ROUND(OFFSET($P504,0,AX$13),15-13*ORÇAMENTO!$AF$7)*OFFSET(ORÇAMENTO!$W$15,ROW(AX504)-ROW(AX$15),0),15-13*ORÇAMENTO!$AF$11)),
         0)</f>
        <v>0</v>
      </c>
      <c r="AY504" s="453">
        <f ca="1">IF(AND($D504="Serviço",AY$12&lt;&gt;0,$H504&gt;0,OR(AUTOEVENTO&lt;&gt;"manual",$M504&lt;&gt;$A$15)),
        IF(Import.TipoArredondamento&lt;&gt;"TransfereGOV",
              ROUND(OFFSET($P504,0,AY$13),15-13*ORÇAMENTO!$AF$7)/$H504*OFFSET(ORÇAMENTO!$X$15,ROW(AY504)-ROW(AY$15),0),
              ROUND(ROUND(OFFSET($P504,0,AY$13),15-13*ORÇAMENTO!$AF$7)*OFFSET(ORÇAMENTO!$W$15,ROW(AY504)-ROW(AY$15),0),15-13*ORÇAMENTO!$AF$11)),
         0)</f>
        <v>0</v>
      </c>
      <c r="AZ504" s="453">
        <f ca="1">IF(AND($D504="Serviço",AZ$12&lt;&gt;0,$H504&gt;0,OR(AUTOEVENTO&lt;&gt;"manual",$M504&lt;&gt;$A$15)),
        IF(Import.TipoArredondamento&lt;&gt;"TransfereGOV",
              ROUND(OFFSET($P504,0,AZ$13),15-13*ORÇAMENTO!$AF$7)/$H504*OFFSET(ORÇAMENTO!$X$15,ROW(AZ504)-ROW(AZ$15),0),
              ROUND(ROUND(OFFSET($P504,0,AZ$13),15-13*ORÇAMENTO!$AF$7)*OFFSET(ORÇAMENTO!$W$15,ROW(AZ504)-ROW(AZ$15),0),15-13*ORÇAMENTO!$AF$11)),
         0)</f>
        <v>0</v>
      </c>
      <c r="BA504" s="453">
        <f ca="1">IF(AND($D504="Serviço",BA$12&lt;&gt;0,$H504&gt;0,OR(AUTOEVENTO&lt;&gt;"manual",$M504&lt;&gt;$A$15)),
        IF(Import.TipoArredondamento&lt;&gt;"TransfereGOV",
              ROUND(OFFSET($P504,0,BA$13),15-13*ORÇAMENTO!$AF$7)/$H504*OFFSET(ORÇAMENTO!$X$15,ROW(BA504)-ROW(BA$15),0),
              ROUND(ROUND(OFFSET($P504,0,BA$13),15-13*ORÇAMENTO!$AF$7)*OFFSET(ORÇAMENTO!$W$15,ROW(BA504)-ROW(BA$15),0),15-13*ORÇAMENTO!$AF$11)),
         0)</f>
        <v>0</v>
      </c>
      <c r="BC504" s="171">
        <f ca="1">IF(OR($D504&lt;&gt;"Serviço",AND(AUTOEVENTO="Manual",$M504=$A$15)),0,
         IF(OFFSET(CRONOPLE!$F$15,$M504-$A$15,BC$13)=0,10^12,OFFSET(CRONOPLE!$F$15,$M504-$A$15,BC$13)))</f>
        <v>1000000000000</v>
      </c>
      <c r="BD504" s="171">
        <f ca="1">IF(OR($D504&lt;&gt;"Serviço",AND(AUTOEVENTO="Manual",$M504=$A$15)),0,
         IF(OFFSET(CRONOPLE!$F$15,$M504-$A$15,BD$13)=0,10^12,OFFSET(CRONOPLE!$F$15,$M504-$A$15,BD$13)))</f>
        <v>1000000000000</v>
      </c>
      <c r="BE504" s="171">
        <f ca="1">IF(OR($D504&lt;&gt;"Serviço",AND(AUTOEVENTO="Manual",$M504=$A$15)),0,
         IF(OFFSET(CRONOPLE!$F$15,$M504-$A$15,BE$13)=0,10^12,OFFSET(CRONOPLE!$F$15,$M504-$A$15,BE$13)))</f>
        <v>1000000000000</v>
      </c>
      <c r="BF504" s="171">
        <f ca="1">IF(OR($D504&lt;&gt;"Serviço",AND(AUTOEVENTO="Manual",$M504=$A$15)),0,
         IF(OFFSET(CRONOPLE!$F$15,$M504-$A$15,BF$13)=0,10^12,OFFSET(CRONOPLE!$F$15,$M504-$A$15,BF$13)))</f>
        <v>1000000000000</v>
      </c>
      <c r="BG504" s="171">
        <f ca="1">IF(OR($D504&lt;&gt;"Serviço",AND(AUTOEVENTO="Manual",$M504=$A$15)),0,
         IF(OFFSET(CRONOPLE!$F$15,$M504-$A$15,BG$13)=0,10^12,OFFSET(CRONOPLE!$F$15,$M504-$A$15,BG$13)))</f>
        <v>1000000000000</v>
      </c>
      <c r="BH504" s="171">
        <f ca="1">IF(OR($D504&lt;&gt;"Serviço",AND(AUTOEVENTO="Manual",$M504=$A$15)),0,
         IF(OFFSET(CRONOPLE!$F$15,$M504-$A$15,BH$13)=0,10^12,OFFSET(CRONOPLE!$F$15,$M504-$A$15,BH$13)))</f>
        <v>1000000000000</v>
      </c>
      <c r="BI504" s="171">
        <f ca="1">IF(OR($D504&lt;&gt;"Serviço",AND(AUTOEVENTO="Manual",$M504=$A$15)),0,
         IF(OFFSET(CRONOPLE!$F$15,$M504-$A$15,BI$13)=0,10^12,OFFSET(CRONOPLE!$F$15,$M504-$A$15,BI$13)))</f>
        <v>1000000000000</v>
      </c>
      <c r="BJ504" s="171">
        <f ca="1">IF(OR($D504&lt;&gt;"Serviço",AND(AUTOEVENTO="Manual",$M504=$A$15)),0,
         IF(OFFSET(CRONOPLE!$F$15,$M504-$A$15,BJ$13)=0,10^12,OFFSET(CRONOPLE!$F$15,$M504-$A$15,BJ$13)))</f>
        <v>1000000000000</v>
      </c>
      <c r="BK504" s="171">
        <f ca="1">IF(OR($D504&lt;&gt;"Serviço",AND(AUTOEVENTO="Manual",$M504=$A$15)),0,
         IF(OFFSET(CRONOPLE!$F$15,$M504-$A$15,BK$13)=0,10^12,OFFSET(CRONOPLE!$F$15,$M504-$A$15,BK$13)))</f>
        <v>9</v>
      </c>
      <c r="BL504" s="171">
        <f ca="1">IF(OR($D504&lt;&gt;"Serviço",AND(AUTOEVENTO="Manual",$M504=$A$15)),0,
         IF(OFFSET(CRONOPLE!$F$15,$M504-$A$15,BL$13)=0,10^12,OFFSET(CRONOPLE!$F$15,$M504-$A$15,BL$13)))</f>
        <v>10</v>
      </c>
      <c r="BM504" s="171">
        <f ca="1">IF(OR($D504&lt;&gt;"Serviço",AND(AUTOEVENTO="Manual",$M504=$A$15)),0,
         IF(OFFSET(CRONOPLE!$F$15,$M504-$A$15,BM$13)=0,10^12,OFFSET(CRONOPLE!$F$15,$M504-$A$15,BM$13)))</f>
        <v>1000000000000</v>
      </c>
      <c r="BN504" s="171">
        <f ca="1">IF(OR($D504&lt;&gt;"Serviço",AND(AUTOEVENTO="Manual",$M504=$A$15)),0,
         IF(OFFSET(CRONOPLE!$F$15,$M504-$A$15,BN$13)=0,10^12,OFFSET(CRONOPLE!$F$15,$M504-$A$15,BN$13)))</f>
        <v>1000000000000</v>
      </c>
      <c r="BO504" s="171">
        <f ca="1">IF(OR($D504&lt;&gt;"Serviço",AND(AUTOEVENTO="Manual",$M504=$A$15)),0,
         IF(OFFSET(CRONOPLE!$F$15,$M504-$A$15,BO$13)=0,10^12,OFFSET(CRONOPLE!$F$15,$M504-$A$15,BO$13)))</f>
        <v>1000000000000</v>
      </c>
      <c r="BP504" s="171">
        <f ca="1">IF(OR($D504&lt;&gt;"Serviço",AND(AUTOEVENTO="Manual",$M504=$A$15)),0,
         IF(OFFSET(CRONOPLE!$F$15,$M504-$A$15,BP$13)=0,10^12,OFFSET(CRONOPLE!$F$15,$M504-$A$15,BP$13)))</f>
        <v>1000000000000</v>
      </c>
      <c r="BQ504" s="171">
        <f ca="1">IF(OR($D504&lt;&gt;"Serviço",AND(AUTOEVENTO="Manual",$M504=$A$15)),0,
         IF(OFFSET(CRONOPLE!$F$15,$M504-$A$15,BQ$13)=0,10^12,OFFSET(CRONOPLE!$F$15,$M504-$A$15,BQ$13)))</f>
        <v>1000000000000</v>
      </c>
      <c r="BR504" s="171">
        <f ca="1">IF(OR($D504&lt;&gt;"Serviço",AND(AUTOEVENTO="Manual",$M504=$A$15)),0,
         IF(OFFSET(CRONOPLE!$F$15,$M504-$A$15,BR$13)=0,10^12,OFFSET(CRONOPLE!$F$15,$M504-$A$15,BR$13)))</f>
        <v>1000000000000</v>
      </c>
      <c r="BS504" s="171">
        <f ca="1">IF(OR($D504&lt;&gt;"Serviço",AND(AUTOEVENTO="Manual",$M504=$A$15)),0,
         IF(OFFSET(CRONOPLE!$F$15,$M504-$A$15,BS$13)=0,10^12,OFFSET(CRONOPLE!$F$15,$M504-$A$15,BS$13)))</f>
        <v>1000000000000</v>
      </c>
      <c r="BT504" s="171">
        <f ca="1">IF(OR($D504&lt;&gt;"Serviço",AND(AUTOEVENTO="Manual",$M504=$A$15)),0,
         IF(OFFSET(CRONOPLE!$F$15,$M504-$A$15,BT$13)=0,10^12,OFFSET(CRONOPLE!$F$15,$M504-$A$15,BT$13)))</f>
        <v>1000000000000</v>
      </c>
      <c r="BV504" s="172">
        <f ca="1">IF(OR($D504&lt;&gt;"Serviço",AND(AUTOEVENTO="Manual",$M504=$A$15),$M504&gt;(ROW(PLE.lastrow)-ROW(PLE.firstrow))),0,
           IF(OFFSET(PLE!$G$15,$M504-$A$15,BV$13)="",10^12,OFFSET(PLE!$G$15,$M504-$A$15,BV$13)))</f>
        <v>1000000000000</v>
      </c>
      <c r="BW504" s="172">
        <f ca="1">IF(OR($D504&lt;&gt;"Serviço",AND(AUTOEVENTO="Manual",$M504=$A$15),$M504&gt;(ROW(PLE.lastrow)-ROW(PLE.firstrow))),0,
           IF(OFFSET(PLE!$G$15,$M504-$A$15,BW$13)="",10^12,OFFSET(PLE!$G$15,$M504-$A$15,BW$13)))</f>
        <v>1000000000000</v>
      </c>
      <c r="BX504" s="172">
        <f ca="1">IF(OR($D504&lt;&gt;"Serviço",AND(AUTOEVENTO="Manual",$M504=$A$15),$M504&gt;(ROW(PLE.lastrow)-ROW(PLE.firstrow))),0,
           IF(OFFSET(PLE!$G$15,$M504-$A$15,BX$13)="",10^12,OFFSET(PLE!$G$15,$M504-$A$15,BX$13)))</f>
        <v>1000000000000</v>
      </c>
      <c r="BY504" s="172">
        <f ca="1">IF(OR($D504&lt;&gt;"Serviço",AND(AUTOEVENTO="Manual",$M504=$A$15),$M504&gt;(ROW(PLE.lastrow)-ROW(PLE.firstrow))),0,
           IF(OFFSET(PLE!$G$15,$M504-$A$15,BY$13)="",10^12,OFFSET(PLE!$G$15,$M504-$A$15,BY$13)))</f>
        <v>1000000000000</v>
      </c>
      <c r="BZ504" s="172">
        <f ca="1">IF(OR($D504&lt;&gt;"Serviço",AND(AUTOEVENTO="Manual",$M504=$A$15),$M504&gt;(ROW(PLE.lastrow)-ROW(PLE.firstrow))),0,
           IF(OFFSET(PLE!$G$15,$M504-$A$15,BZ$13)="",10^12,OFFSET(PLE!$G$15,$M504-$A$15,BZ$13)))</f>
        <v>1000000000000</v>
      </c>
      <c r="CA504" s="172">
        <f ca="1">IF(OR($D504&lt;&gt;"Serviço",AND(AUTOEVENTO="Manual",$M504=$A$15),$M504&gt;(ROW(PLE.lastrow)-ROW(PLE.firstrow))),0,
           IF(OFFSET(PLE!$G$15,$M504-$A$15,CA$13)="",10^12,OFFSET(PLE!$G$15,$M504-$A$15,CA$13)))</f>
        <v>1000000000000</v>
      </c>
      <c r="CB504" s="172">
        <f ca="1">IF(OR($D504&lt;&gt;"Serviço",AND(AUTOEVENTO="Manual",$M504=$A$15),$M504&gt;(ROW(PLE.lastrow)-ROW(PLE.firstrow))),0,
           IF(OFFSET(PLE!$G$15,$M504-$A$15,CB$13)="",10^12,OFFSET(PLE!$G$15,$M504-$A$15,CB$13)))</f>
        <v>1000000000000</v>
      </c>
      <c r="CC504" s="172">
        <f ca="1">IF(OR($D504&lt;&gt;"Serviço",AND(AUTOEVENTO="Manual",$M504=$A$15),$M504&gt;(ROW(PLE.lastrow)-ROW(PLE.firstrow))),0,
           IF(OFFSET(PLE!$G$15,$M504-$A$15,CC$13)="",10^12,OFFSET(PLE!$G$15,$M504-$A$15,CC$13)))</f>
        <v>1000000000000</v>
      </c>
      <c r="CD504" s="172">
        <f ca="1">IF(OR($D504&lt;&gt;"Serviço",AND(AUTOEVENTO="Manual",$M504=$A$15),$M504&gt;(ROW(PLE.lastrow)-ROW(PLE.firstrow))),0,
           IF(OFFSET(PLE!$G$15,$M504-$A$15,CD$13)="",10^12,OFFSET(PLE!$G$15,$M504-$A$15,CD$13)))</f>
        <v>1000000000000</v>
      </c>
      <c r="CE504" s="172">
        <f ca="1">IF(OR($D504&lt;&gt;"Serviço",AND(AUTOEVENTO="Manual",$M504=$A$15),$M504&gt;(ROW(PLE.lastrow)-ROW(PLE.firstrow))),0,
           IF(OFFSET(PLE!$G$15,$M504-$A$15,CE$13)="",10^12,OFFSET(PLE!$G$15,$M504-$A$15,CE$13)))</f>
        <v>1000000000000</v>
      </c>
      <c r="CF504" s="172">
        <f ca="1">IF(OR($D504&lt;&gt;"Serviço",AND(AUTOEVENTO="Manual",$M504=$A$15),$M504&gt;(ROW(PLE.lastrow)-ROW(PLE.firstrow))),0,
           IF(OFFSET(PLE!$G$15,$M504-$A$15,CF$13)="",10^12,OFFSET(PLE!$G$15,$M504-$A$15,CF$13)))</f>
        <v>1000000000000</v>
      </c>
      <c r="CG504" s="172">
        <f ca="1">IF(OR($D504&lt;&gt;"Serviço",AND(AUTOEVENTO="Manual",$M504=$A$15),$M504&gt;(ROW(PLE.lastrow)-ROW(PLE.firstrow))),0,
           IF(OFFSET(PLE!$G$15,$M504-$A$15,CG$13)="",10^12,OFFSET(PLE!$G$15,$M504-$A$15,CG$13)))</f>
        <v>1000000000000</v>
      </c>
      <c r="CH504" s="172">
        <f ca="1">IF(OR($D504&lt;&gt;"Serviço",AND(AUTOEVENTO="Manual",$M504=$A$15),$M504&gt;(ROW(PLE.lastrow)-ROW(PLE.firstrow))),0,
           IF(OFFSET(PLE!$G$15,$M504-$A$15,CH$13)="",10^12,OFFSET(PLE!$G$15,$M504-$A$15,CH$13)))</f>
        <v>1000000000000</v>
      </c>
      <c r="CI504" s="172">
        <f ca="1">IF(OR($D504&lt;&gt;"Serviço",AND(AUTOEVENTO="Manual",$M504=$A$15),$M504&gt;(ROW(PLE.lastrow)-ROW(PLE.firstrow))),0,
           IF(OFFSET(PLE!$G$15,$M504-$A$15,CI$13)="",10^12,OFFSET(PLE!$G$15,$M504-$A$15,CI$13)))</f>
        <v>1000000000000</v>
      </c>
      <c r="CJ504" s="172">
        <f ca="1">IF(OR($D504&lt;&gt;"Serviço",AND(AUTOEVENTO="Manual",$M504=$A$15),$M504&gt;(ROW(PLE.lastrow)-ROW(PLE.firstrow))),0,
           IF(OFFSET(PLE!$G$15,$M504-$A$15,CJ$13)="",10^12,OFFSET(PLE!$G$15,$M504-$A$15,CJ$13)))</f>
        <v>1000000000000</v>
      </c>
      <c r="CK504" s="172">
        <f ca="1">IF(OR($D504&lt;&gt;"Serviço",AND(AUTOEVENTO="Manual",$M504=$A$15),$M504&gt;(ROW(PLE.lastrow)-ROW(PLE.firstrow))),0,
           IF(OFFSET(PLE!$G$15,$M504-$A$15,CK$13)="",10^12,OFFSET(PLE!$G$15,$M504-$A$15,CK$13)))</f>
        <v>1000000000000</v>
      </c>
      <c r="CL504" s="172">
        <f ca="1">IF(OR($D504&lt;&gt;"Serviço",AND(AUTOEVENTO="Manual",$M504=$A$15),$M504&gt;(ROW(PLE.lastrow)-ROW(PLE.firstrow))),0,
           IF(OFFSET(PLE!$G$15,$M504-$A$15,CL$13)="",10^12,OFFSET(PLE!$G$15,$M504-$A$15,CL$13)))</f>
        <v>1000000000000</v>
      </c>
      <c r="CM504" s="172">
        <f ca="1">IF(OR($D504&lt;&gt;"Serviço",AND(AUTOEVENTO="Manual",$M504=$A$15),$M504&gt;(ROW(PLE.lastrow)-ROW(PLE.firstrow))),0,
           IF(OFFSET(PLE!$G$15,$M504-$A$15,CM$13)="",10^12,OFFSET(PLE!$G$15,$M504-$A$15,CM$13)))</f>
        <v>1000000000000</v>
      </c>
    </row>
    <row r="505" spans="1:91" ht="63.75" x14ac:dyDescent="0.2">
      <c r="A505" s="7">
        <f t="shared" ca="1" si="17"/>
        <v>9</v>
      </c>
      <c r="B505" s="7" t="str">
        <f ca="1">OFFSET(ORÇAMENTO!C$15,ROW(B505)-ROW(B$15),0)</f>
        <v>S</v>
      </c>
      <c r="C505" s="7" t="str">
        <f ca="1">OFFSET(ORÇAMENTO!L$15,ROW(C505)-ROW(C$15),0)</f>
        <v>F</v>
      </c>
      <c r="D505" s="116" t="str">
        <f ca="1">OFFSET(ORÇAMENTO!N$15,ROW(D505)-ROW(D$15),0)</f>
        <v>Serviço</v>
      </c>
      <c r="E505" s="117" t="str">
        <f ca="1">OFFSET(ORÇAMENTO!O$15,ROW(E505)-ROW(E$15),0)</f>
        <v>1.10.8.0.2.</v>
      </c>
      <c r="F505" s="163" t="str">
        <f ca="1">OFFSET(ORÇAMENTO!R$15,ROW(F505)-ROW(F$15),0)</f>
        <v>GUIA DE CORDÃO BOLEADO, EM CONCRETO COM FCK 20MPA, PRÉ MOLDADA, 10X10CM (ALTURA X LARGURA), INCLUSIVE UMA (1) FIADA DE BLOCO DE CONCRETO, ESP. 9CM, ESCAVAÇÃO, APILOAMENTO E TRANSPORTE COM RETIRADA DO MATERIAL ESCAVADO (EM CAÇAMBA) - BASEADO EM SETOP (ED-51135)</v>
      </c>
      <c r="G505" s="164" t="str">
        <f ca="1">IF($D505&lt;&gt;"Serviço","",OFFSET(ORÇAMENTO!S$15,ROW(G505)-ROW(G$15),0))</f>
        <v>M</v>
      </c>
      <c r="H505" s="122" cm="1">
        <f t="array" aca="1" ref="H505" ca="1">IF($D505&lt;&gt;"Serviço",0,IF(ACOMPANHAMENTO="BM",ROUND(OFFSET(ORÇAMENTO!AJ$15,ROW(H505)-ROW(H$15),0),15-13*ORÇAMENTO!$AF$7),SUMPRODUCT(($Q$1:$AI$1=1)*ROUND($Q505:$AI505,15-13*ORÇAMENTO!$AF$7))))</f>
        <v>21.9</v>
      </c>
      <c r="I505" s="468" t="s">
        <v>1409</v>
      </c>
      <c r="J505" s="640" t="str" cm="1">
        <f t="array" aca="1" ref="J505" ca="1">IF(OR(B505&lt;&gt;"S",CÁLCULO.FrentesPreenchidas=0),"",IF(AND(ACOMPANHAMENTO="PLE",AUTOEVENTO="Manual",OR(H505&gt;0,ORÇAMENTO!AC505="QUANT."),OR(K505="",M505=0,N505="")),"►E",IF(AND(ACOMPANHAMENTO="PLE",ORÇAMENTO!AC505="QUANT."),"►Q",IF(AND(ACOMPANHAMENTO="PLE",H505&lt;&gt;SUMPRODUCT(($Q$1:$AI$1=1)*ROUND(Q505:AI505,15))),"►S",IF(AND(COUNTIF($P$11:$AI$11,"▼")=0,H505&gt;0,I505=""),"◄M","")))))</f>
        <v/>
      </c>
      <c r="K505" s="641" t="s">
        <v>1393</v>
      </c>
      <c r="L505" s="165" t="s">
        <v>764</v>
      </c>
      <c r="M505" s="166">
        <f ca="1">IF($D505&lt;&gt;"Serviço","",
          IF(AUTOEVENTO="manual",$A505,
                IF(ISERROR(MATCH($A505,$A$15:OFFSET($A505,-1,0),0)),MAX($M$15:OFFSET(M505,-1,0))+1,
                      INDEX($M$15:OFFSET(M505,-1,0),MATCH($A505,$A$15:OFFSET($A505,-1,0),0)))))</f>
        <v>9</v>
      </c>
      <c r="N505" s="167" t="str">
        <f ca="1">IF($D505&lt;&gt;"Serviço","",
         IF(AUTOEVENTO="Manual",
                IF($A505=0,"&lt;-- defina o número do agrupador",
                       OFFSET(EVENTOS!$D$15,$A505-$A$15,0)),
                OFFSET($F$15,$A505,0)))</f>
        <v>Arquitetura</v>
      </c>
      <c r="O505" s="168"/>
      <c r="Q505" s="168"/>
      <c r="R505" s="169"/>
      <c r="S505" s="169"/>
      <c r="T505" s="169"/>
      <c r="U505" s="169"/>
      <c r="V505" s="169"/>
      <c r="W505" s="169"/>
      <c r="X505" s="169"/>
      <c r="Y505" s="169"/>
      <c r="Z505" s="170">
        <v>21.9</v>
      </c>
      <c r="AA505" s="169"/>
      <c r="AB505" s="169"/>
      <c r="AC505" s="169"/>
      <c r="AD505" s="169"/>
      <c r="AE505" s="169"/>
      <c r="AF505" s="169"/>
      <c r="AG505" s="169"/>
      <c r="AH505" s="170"/>
      <c r="AJ505" s="453">
        <f ca="1">IF(AND($D505="Serviço",AJ$12&lt;&gt;0,$H505&gt;0,OR(AUTOEVENTO&lt;&gt;"manual",$M505&lt;&gt;$A$15)),
        IF(Import.TipoArredondamento&lt;&gt;"TransfereGOV",
              ROUND(OFFSET($P505,0,AJ$13),15-13*ORÇAMENTO!$AF$7)/$H505*OFFSET(ORÇAMENTO!$X$15,ROW(AJ505)-ROW(AJ$15),0),
              ROUND(ROUND(OFFSET($P505,0,AJ$13),15-13*ORÇAMENTO!$AF$7)*OFFSET(ORÇAMENTO!$W$15,ROW(AJ505)-ROW(AJ$15),0),15-13*ORÇAMENTO!$AF$11)),
         0)</f>
        <v>0</v>
      </c>
      <c r="AK505" s="453">
        <f ca="1">IF(AND($D505="Serviço",AK$12&lt;&gt;0,$H505&gt;0,OR(AUTOEVENTO&lt;&gt;"manual",$M505&lt;&gt;$A$15)),
        IF(Import.TipoArredondamento&lt;&gt;"TransfereGOV",
              ROUND(OFFSET($P505,0,AK$13),15-13*ORÇAMENTO!$AF$7)/$H505*OFFSET(ORÇAMENTO!$X$15,ROW(AK505)-ROW(AK$15),0),
              ROUND(ROUND(OFFSET($P505,0,AK$13),15-13*ORÇAMENTO!$AF$7)*OFFSET(ORÇAMENTO!$W$15,ROW(AK505)-ROW(AK$15),0),15-13*ORÇAMENTO!$AF$11)),
         0)</f>
        <v>0</v>
      </c>
      <c r="AL505" s="453">
        <f ca="1">IF(AND($D505="Serviço",AL$12&lt;&gt;0,$H505&gt;0,OR(AUTOEVENTO&lt;&gt;"manual",$M505&lt;&gt;$A$15)),
        IF(Import.TipoArredondamento&lt;&gt;"TransfereGOV",
              ROUND(OFFSET($P505,0,AL$13),15-13*ORÇAMENTO!$AF$7)/$H505*OFFSET(ORÇAMENTO!$X$15,ROW(AL505)-ROW(AL$15),0),
              ROUND(ROUND(OFFSET($P505,0,AL$13),15-13*ORÇAMENTO!$AF$7)*OFFSET(ORÇAMENTO!$W$15,ROW(AL505)-ROW(AL$15),0),15-13*ORÇAMENTO!$AF$11)),
         0)</f>
        <v>0</v>
      </c>
      <c r="AM505" s="453">
        <f ca="1">IF(AND($D505="Serviço",AM$12&lt;&gt;0,$H505&gt;0,OR(AUTOEVENTO&lt;&gt;"manual",$M505&lt;&gt;$A$15)),
        IF(Import.TipoArredondamento&lt;&gt;"TransfereGOV",
              ROUND(OFFSET($P505,0,AM$13),15-13*ORÇAMENTO!$AF$7)/$H505*OFFSET(ORÇAMENTO!$X$15,ROW(AM505)-ROW(AM$15),0),
              ROUND(ROUND(OFFSET($P505,0,AM$13),15-13*ORÇAMENTO!$AF$7)*OFFSET(ORÇAMENTO!$W$15,ROW(AM505)-ROW(AM$15),0),15-13*ORÇAMENTO!$AF$11)),
         0)</f>
        <v>0</v>
      </c>
      <c r="AN505" s="453">
        <f ca="1">IF(AND($D505="Serviço",AN$12&lt;&gt;0,$H505&gt;0,OR(AUTOEVENTO&lt;&gt;"manual",$M505&lt;&gt;$A$15)),
        IF(Import.TipoArredondamento&lt;&gt;"TransfereGOV",
              ROUND(OFFSET($P505,0,AN$13),15-13*ORÇAMENTO!$AF$7)/$H505*OFFSET(ORÇAMENTO!$X$15,ROW(AN505)-ROW(AN$15),0),
              ROUND(ROUND(OFFSET($P505,0,AN$13),15-13*ORÇAMENTO!$AF$7)*OFFSET(ORÇAMENTO!$W$15,ROW(AN505)-ROW(AN$15),0),15-13*ORÇAMENTO!$AF$11)),
         0)</f>
        <v>0</v>
      </c>
      <c r="AO505" s="453">
        <f ca="1">IF(AND($D505="Serviço",AO$12&lt;&gt;0,$H505&gt;0,OR(AUTOEVENTO&lt;&gt;"manual",$M505&lt;&gt;$A$15)),
        IF(Import.TipoArredondamento&lt;&gt;"TransfereGOV",
              ROUND(OFFSET($P505,0,AO$13),15-13*ORÇAMENTO!$AF$7)/$H505*OFFSET(ORÇAMENTO!$X$15,ROW(AO505)-ROW(AO$15),0),
              ROUND(ROUND(OFFSET($P505,0,AO$13),15-13*ORÇAMENTO!$AF$7)*OFFSET(ORÇAMENTO!$W$15,ROW(AO505)-ROW(AO$15),0),15-13*ORÇAMENTO!$AF$11)),
         0)</f>
        <v>0</v>
      </c>
      <c r="AP505" s="453">
        <f ca="1">IF(AND($D505="Serviço",AP$12&lt;&gt;0,$H505&gt;0,OR(AUTOEVENTO&lt;&gt;"manual",$M505&lt;&gt;$A$15)),
        IF(Import.TipoArredondamento&lt;&gt;"TransfereGOV",
              ROUND(OFFSET($P505,0,AP$13),15-13*ORÇAMENTO!$AF$7)/$H505*OFFSET(ORÇAMENTO!$X$15,ROW(AP505)-ROW(AP$15),0),
              ROUND(ROUND(OFFSET($P505,0,AP$13),15-13*ORÇAMENTO!$AF$7)*OFFSET(ORÇAMENTO!$W$15,ROW(AP505)-ROW(AP$15),0),15-13*ORÇAMENTO!$AF$11)),
         0)</f>
        <v>0</v>
      </c>
      <c r="AQ505" s="453">
        <f ca="1">IF(AND($D505="Serviço",AQ$12&lt;&gt;0,$H505&gt;0,OR(AUTOEVENTO&lt;&gt;"manual",$M505&lt;&gt;$A$15)),
        IF(Import.TipoArredondamento&lt;&gt;"TransfereGOV",
              ROUND(OFFSET($P505,0,AQ$13),15-13*ORÇAMENTO!$AF$7)/$H505*OFFSET(ORÇAMENTO!$X$15,ROW(AQ505)-ROW(AQ$15),0),
              ROUND(ROUND(OFFSET($P505,0,AQ$13),15-13*ORÇAMENTO!$AF$7)*OFFSET(ORÇAMENTO!$W$15,ROW(AQ505)-ROW(AQ$15),0),15-13*ORÇAMENTO!$AF$11)),
         0)</f>
        <v>0</v>
      </c>
      <c r="AR505" s="453">
        <f ca="1">IF(AND($D505="Serviço",AR$12&lt;&gt;0,$H505&gt;0,OR(AUTOEVENTO&lt;&gt;"manual",$M505&lt;&gt;$A$15)),
        IF(Import.TipoArredondamento&lt;&gt;"TransfereGOV",
              ROUND(OFFSET($P505,0,AR$13),15-13*ORÇAMENTO!$AF$7)/$H505*OFFSET(ORÇAMENTO!$X$15,ROW(AR505)-ROW(AR$15),0),
              ROUND(ROUND(OFFSET($P505,0,AR$13),15-13*ORÇAMENTO!$AF$7)*OFFSET(ORÇAMENTO!$W$15,ROW(AR505)-ROW(AR$15),0),15-13*ORÇAMENTO!$AF$11)),
         0)</f>
        <v>0</v>
      </c>
      <c r="AS505" s="453">
        <f ca="1">IF(AND($D505="Serviço",AS$12&lt;&gt;0,$H505&gt;0,OR(AUTOEVENTO&lt;&gt;"manual",$M505&lt;&gt;$A$15)),
        IF(Import.TipoArredondamento&lt;&gt;"TransfereGOV",
              ROUND(OFFSET($P505,0,AS$13),15-13*ORÇAMENTO!$AF$7)/$H505*OFFSET(ORÇAMENTO!$X$15,ROW(AS505)-ROW(AS$15),0),
              ROUND(ROUND(OFFSET($P505,0,AS$13),15-13*ORÇAMENTO!$AF$7)*OFFSET(ORÇAMENTO!$W$15,ROW(AS505)-ROW(AS$15),0),15-13*ORÇAMENTO!$AF$11)),
         0)</f>
        <v>0</v>
      </c>
      <c r="AT505" s="453">
        <f ca="1">IF(AND($D505="Serviço",AT$12&lt;&gt;0,$H505&gt;0,OR(AUTOEVENTO&lt;&gt;"manual",$M505&lt;&gt;$A$15)),
        IF(Import.TipoArredondamento&lt;&gt;"TransfereGOV",
              ROUND(OFFSET($P505,0,AT$13),15-13*ORÇAMENTO!$AF$7)/$H505*OFFSET(ORÇAMENTO!$X$15,ROW(AT505)-ROW(AT$15),0),
              ROUND(ROUND(OFFSET($P505,0,AT$13),15-13*ORÇAMENTO!$AF$7)*OFFSET(ORÇAMENTO!$W$15,ROW(AT505)-ROW(AT$15),0),15-13*ORÇAMENTO!$AF$11)),
         0)</f>
        <v>0</v>
      </c>
      <c r="AU505" s="453">
        <f ca="1">IF(AND($D505="Serviço",AU$12&lt;&gt;0,$H505&gt;0,OR(AUTOEVENTO&lt;&gt;"manual",$M505&lt;&gt;$A$15)),
        IF(Import.TipoArredondamento&lt;&gt;"TransfereGOV",
              ROUND(OFFSET($P505,0,AU$13),15-13*ORÇAMENTO!$AF$7)/$H505*OFFSET(ORÇAMENTO!$X$15,ROW(AU505)-ROW(AU$15),0),
              ROUND(ROUND(OFFSET($P505,0,AU$13),15-13*ORÇAMENTO!$AF$7)*OFFSET(ORÇAMENTO!$W$15,ROW(AU505)-ROW(AU$15),0),15-13*ORÇAMENTO!$AF$11)),
         0)</f>
        <v>0</v>
      </c>
      <c r="AV505" s="453">
        <f ca="1">IF(AND($D505="Serviço",AV$12&lt;&gt;0,$H505&gt;0,OR(AUTOEVENTO&lt;&gt;"manual",$M505&lt;&gt;$A$15)),
        IF(Import.TipoArredondamento&lt;&gt;"TransfereGOV",
              ROUND(OFFSET($P505,0,AV$13),15-13*ORÇAMENTO!$AF$7)/$H505*OFFSET(ORÇAMENTO!$X$15,ROW(AV505)-ROW(AV$15),0),
              ROUND(ROUND(OFFSET($P505,0,AV$13),15-13*ORÇAMENTO!$AF$7)*OFFSET(ORÇAMENTO!$W$15,ROW(AV505)-ROW(AV$15),0),15-13*ORÇAMENTO!$AF$11)),
         0)</f>
        <v>0</v>
      </c>
      <c r="AW505" s="453">
        <f ca="1">IF(AND($D505="Serviço",AW$12&lt;&gt;0,$H505&gt;0,OR(AUTOEVENTO&lt;&gt;"manual",$M505&lt;&gt;$A$15)),
        IF(Import.TipoArredondamento&lt;&gt;"TransfereGOV",
              ROUND(OFFSET($P505,0,AW$13),15-13*ORÇAMENTO!$AF$7)/$H505*OFFSET(ORÇAMENTO!$X$15,ROW(AW505)-ROW(AW$15),0),
              ROUND(ROUND(OFFSET($P505,0,AW$13),15-13*ORÇAMENTO!$AF$7)*OFFSET(ORÇAMENTO!$W$15,ROW(AW505)-ROW(AW$15),0),15-13*ORÇAMENTO!$AF$11)),
         0)</f>
        <v>0</v>
      </c>
      <c r="AX505" s="453">
        <f ca="1">IF(AND($D505="Serviço",AX$12&lt;&gt;0,$H505&gt;0,OR(AUTOEVENTO&lt;&gt;"manual",$M505&lt;&gt;$A$15)),
        IF(Import.TipoArredondamento&lt;&gt;"TransfereGOV",
              ROUND(OFFSET($P505,0,AX$13),15-13*ORÇAMENTO!$AF$7)/$H505*OFFSET(ORÇAMENTO!$X$15,ROW(AX505)-ROW(AX$15),0),
              ROUND(ROUND(OFFSET($P505,0,AX$13),15-13*ORÇAMENTO!$AF$7)*OFFSET(ORÇAMENTO!$W$15,ROW(AX505)-ROW(AX$15),0),15-13*ORÇAMENTO!$AF$11)),
         0)</f>
        <v>0</v>
      </c>
      <c r="AY505" s="453">
        <f ca="1">IF(AND($D505="Serviço",AY$12&lt;&gt;0,$H505&gt;0,OR(AUTOEVENTO&lt;&gt;"manual",$M505&lt;&gt;$A$15)),
        IF(Import.TipoArredondamento&lt;&gt;"TransfereGOV",
              ROUND(OFFSET($P505,0,AY$13),15-13*ORÇAMENTO!$AF$7)/$H505*OFFSET(ORÇAMENTO!$X$15,ROW(AY505)-ROW(AY$15),0),
              ROUND(ROUND(OFFSET($P505,0,AY$13),15-13*ORÇAMENTO!$AF$7)*OFFSET(ORÇAMENTO!$W$15,ROW(AY505)-ROW(AY$15),0),15-13*ORÇAMENTO!$AF$11)),
         0)</f>
        <v>0</v>
      </c>
      <c r="AZ505" s="453">
        <f ca="1">IF(AND($D505="Serviço",AZ$12&lt;&gt;0,$H505&gt;0,OR(AUTOEVENTO&lt;&gt;"manual",$M505&lt;&gt;$A$15)),
        IF(Import.TipoArredondamento&lt;&gt;"TransfereGOV",
              ROUND(OFFSET($P505,0,AZ$13),15-13*ORÇAMENTO!$AF$7)/$H505*OFFSET(ORÇAMENTO!$X$15,ROW(AZ505)-ROW(AZ$15),0),
              ROUND(ROUND(OFFSET($P505,0,AZ$13),15-13*ORÇAMENTO!$AF$7)*OFFSET(ORÇAMENTO!$W$15,ROW(AZ505)-ROW(AZ$15),0),15-13*ORÇAMENTO!$AF$11)),
         0)</f>
        <v>0</v>
      </c>
      <c r="BA505" s="453">
        <f ca="1">IF(AND($D505="Serviço",BA$12&lt;&gt;0,$H505&gt;0,OR(AUTOEVENTO&lt;&gt;"manual",$M505&lt;&gt;$A$15)),
        IF(Import.TipoArredondamento&lt;&gt;"TransfereGOV",
              ROUND(OFFSET($P505,0,BA$13),15-13*ORÇAMENTO!$AF$7)/$H505*OFFSET(ORÇAMENTO!$X$15,ROW(BA505)-ROW(BA$15),0),
              ROUND(ROUND(OFFSET($P505,0,BA$13),15-13*ORÇAMENTO!$AF$7)*OFFSET(ORÇAMENTO!$W$15,ROW(BA505)-ROW(BA$15),0),15-13*ORÇAMENTO!$AF$11)),
         0)</f>
        <v>0</v>
      </c>
      <c r="BC505" s="171">
        <f ca="1">IF(OR($D505&lt;&gt;"Serviço",AND(AUTOEVENTO="Manual",$M505=$A$15)),0,
         IF(OFFSET(CRONOPLE!$F$15,$M505-$A$15,BC$13)=0,10^12,OFFSET(CRONOPLE!$F$15,$M505-$A$15,BC$13)))</f>
        <v>1000000000000</v>
      </c>
      <c r="BD505" s="171">
        <f ca="1">IF(OR($D505&lt;&gt;"Serviço",AND(AUTOEVENTO="Manual",$M505=$A$15)),0,
         IF(OFFSET(CRONOPLE!$F$15,$M505-$A$15,BD$13)=0,10^12,OFFSET(CRONOPLE!$F$15,$M505-$A$15,BD$13)))</f>
        <v>1000000000000</v>
      </c>
      <c r="BE505" s="171">
        <f ca="1">IF(OR($D505&lt;&gt;"Serviço",AND(AUTOEVENTO="Manual",$M505=$A$15)),0,
         IF(OFFSET(CRONOPLE!$F$15,$M505-$A$15,BE$13)=0,10^12,OFFSET(CRONOPLE!$F$15,$M505-$A$15,BE$13)))</f>
        <v>1000000000000</v>
      </c>
      <c r="BF505" s="171">
        <f ca="1">IF(OR($D505&lt;&gt;"Serviço",AND(AUTOEVENTO="Manual",$M505=$A$15)),0,
         IF(OFFSET(CRONOPLE!$F$15,$M505-$A$15,BF$13)=0,10^12,OFFSET(CRONOPLE!$F$15,$M505-$A$15,BF$13)))</f>
        <v>1000000000000</v>
      </c>
      <c r="BG505" s="171">
        <f ca="1">IF(OR($D505&lt;&gt;"Serviço",AND(AUTOEVENTO="Manual",$M505=$A$15)),0,
         IF(OFFSET(CRONOPLE!$F$15,$M505-$A$15,BG$13)=0,10^12,OFFSET(CRONOPLE!$F$15,$M505-$A$15,BG$13)))</f>
        <v>1000000000000</v>
      </c>
      <c r="BH505" s="171">
        <f ca="1">IF(OR($D505&lt;&gt;"Serviço",AND(AUTOEVENTO="Manual",$M505=$A$15)),0,
         IF(OFFSET(CRONOPLE!$F$15,$M505-$A$15,BH$13)=0,10^12,OFFSET(CRONOPLE!$F$15,$M505-$A$15,BH$13)))</f>
        <v>1000000000000</v>
      </c>
      <c r="BI505" s="171">
        <f ca="1">IF(OR($D505&lt;&gt;"Serviço",AND(AUTOEVENTO="Manual",$M505=$A$15)),0,
         IF(OFFSET(CRONOPLE!$F$15,$M505-$A$15,BI$13)=0,10^12,OFFSET(CRONOPLE!$F$15,$M505-$A$15,BI$13)))</f>
        <v>1000000000000</v>
      </c>
      <c r="BJ505" s="171">
        <f ca="1">IF(OR($D505&lt;&gt;"Serviço",AND(AUTOEVENTO="Manual",$M505=$A$15)),0,
         IF(OFFSET(CRONOPLE!$F$15,$M505-$A$15,BJ$13)=0,10^12,OFFSET(CRONOPLE!$F$15,$M505-$A$15,BJ$13)))</f>
        <v>1000000000000</v>
      </c>
      <c r="BK505" s="171">
        <f ca="1">IF(OR($D505&lt;&gt;"Serviço",AND(AUTOEVENTO="Manual",$M505=$A$15)),0,
         IF(OFFSET(CRONOPLE!$F$15,$M505-$A$15,BK$13)=0,10^12,OFFSET(CRONOPLE!$F$15,$M505-$A$15,BK$13)))</f>
        <v>9</v>
      </c>
      <c r="BL505" s="171">
        <f ca="1">IF(OR($D505&lt;&gt;"Serviço",AND(AUTOEVENTO="Manual",$M505=$A$15)),0,
         IF(OFFSET(CRONOPLE!$F$15,$M505-$A$15,BL$13)=0,10^12,OFFSET(CRONOPLE!$F$15,$M505-$A$15,BL$13)))</f>
        <v>10</v>
      </c>
      <c r="BM505" s="171">
        <f ca="1">IF(OR($D505&lt;&gt;"Serviço",AND(AUTOEVENTO="Manual",$M505=$A$15)),0,
         IF(OFFSET(CRONOPLE!$F$15,$M505-$A$15,BM$13)=0,10^12,OFFSET(CRONOPLE!$F$15,$M505-$A$15,BM$13)))</f>
        <v>1000000000000</v>
      </c>
      <c r="BN505" s="171">
        <f ca="1">IF(OR($D505&lt;&gt;"Serviço",AND(AUTOEVENTO="Manual",$M505=$A$15)),0,
         IF(OFFSET(CRONOPLE!$F$15,$M505-$A$15,BN$13)=0,10^12,OFFSET(CRONOPLE!$F$15,$M505-$A$15,BN$13)))</f>
        <v>1000000000000</v>
      </c>
      <c r="BO505" s="171">
        <f ca="1">IF(OR($D505&lt;&gt;"Serviço",AND(AUTOEVENTO="Manual",$M505=$A$15)),0,
         IF(OFFSET(CRONOPLE!$F$15,$M505-$A$15,BO$13)=0,10^12,OFFSET(CRONOPLE!$F$15,$M505-$A$15,BO$13)))</f>
        <v>1000000000000</v>
      </c>
      <c r="BP505" s="171">
        <f ca="1">IF(OR($D505&lt;&gt;"Serviço",AND(AUTOEVENTO="Manual",$M505=$A$15)),0,
         IF(OFFSET(CRONOPLE!$F$15,$M505-$A$15,BP$13)=0,10^12,OFFSET(CRONOPLE!$F$15,$M505-$A$15,BP$13)))</f>
        <v>1000000000000</v>
      </c>
      <c r="BQ505" s="171">
        <f ca="1">IF(OR($D505&lt;&gt;"Serviço",AND(AUTOEVENTO="Manual",$M505=$A$15)),0,
         IF(OFFSET(CRONOPLE!$F$15,$M505-$A$15,BQ$13)=0,10^12,OFFSET(CRONOPLE!$F$15,$M505-$A$15,BQ$13)))</f>
        <v>1000000000000</v>
      </c>
      <c r="BR505" s="171">
        <f ca="1">IF(OR($D505&lt;&gt;"Serviço",AND(AUTOEVENTO="Manual",$M505=$A$15)),0,
         IF(OFFSET(CRONOPLE!$F$15,$M505-$A$15,BR$13)=0,10^12,OFFSET(CRONOPLE!$F$15,$M505-$A$15,BR$13)))</f>
        <v>1000000000000</v>
      </c>
      <c r="BS505" s="171">
        <f ca="1">IF(OR($D505&lt;&gt;"Serviço",AND(AUTOEVENTO="Manual",$M505=$A$15)),0,
         IF(OFFSET(CRONOPLE!$F$15,$M505-$A$15,BS$13)=0,10^12,OFFSET(CRONOPLE!$F$15,$M505-$A$15,BS$13)))</f>
        <v>1000000000000</v>
      </c>
      <c r="BT505" s="171">
        <f ca="1">IF(OR($D505&lt;&gt;"Serviço",AND(AUTOEVENTO="Manual",$M505=$A$15)),0,
         IF(OFFSET(CRONOPLE!$F$15,$M505-$A$15,BT$13)=0,10^12,OFFSET(CRONOPLE!$F$15,$M505-$A$15,BT$13)))</f>
        <v>1000000000000</v>
      </c>
      <c r="BV505" s="172">
        <f ca="1">IF(OR($D505&lt;&gt;"Serviço",AND(AUTOEVENTO="Manual",$M505=$A$15),$M505&gt;(ROW(PLE.lastrow)-ROW(PLE.firstrow))),0,
           IF(OFFSET(PLE!$G$15,$M505-$A$15,BV$13)="",10^12,OFFSET(PLE!$G$15,$M505-$A$15,BV$13)))</f>
        <v>1000000000000</v>
      </c>
      <c r="BW505" s="172">
        <f ca="1">IF(OR($D505&lt;&gt;"Serviço",AND(AUTOEVENTO="Manual",$M505=$A$15),$M505&gt;(ROW(PLE.lastrow)-ROW(PLE.firstrow))),0,
           IF(OFFSET(PLE!$G$15,$M505-$A$15,BW$13)="",10^12,OFFSET(PLE!$G$15,$M505-$A$15,BW$13)))</f>
        <v>1000000000000</v>
      </c>
      <c r="BX505" s="172">
        <f ca="1">IF(OR($D505&lt;&gt;"Serviço",AND(AUTOEVENTO="Manual",$M505=$A$15),$M505&gt;(ROW(PLE.lastrow)-ROW(PLE.firstrow))),0,
           IF(OFFSET(PLE!$G$15,$M505-$A$15,BX$13)="",10^12,OFFSET(PLE!$G$15,$M505-$A$15,BX$13)))</f>
        <v>1000000000000</v>
      </c>
      <c r="BY505" s="172">
        <f ca="1">IF(OR($D505&lt;&gt;"Serviço",AND(AUTOEVENTO="Manual",$M505=$A$15),$M505&gt;(ROW(PLE.lastrow)-ROW(PLE.firstrow))),0,
           IF(OFFSET(PLE!$G$15,$M505-$A$15,BY$13)="",10^12,OFFSET(PLE!$G$15,$M505-$A$15,BY$13)))</f>
        <v>1000000000000</v>
      </c>
      <c r="BZ505" s="172">
        <f ca="1">IF(OR($D505&lt;&gt;"Serviço",AND(AUTOEVENTO="Manual",$M505=$A$15),$M505&gt;(ROW(PLE.lastrow)-ROW(PLE.firstrow))),0,
           IF(OFFSET(PLE!$G$15,$M505-$A$15,BZ$13)="",10^12,OFFSET(PLE!$G$15,$M505-$A$15,BZ$13)))</f>
        <v>1000000000000</v>
      </c>
      <c r="CA505" s="172">
        <f ca="1">IF(OR($D505&lt;&gt;"Serviço",AND(AUTOEVENTO="Manual",$M505=$A$15),$M505&gt;(ROW(PLE.lastrow)-ROW(PLE.firstrow))),0,
           IF(OFFSET(PLE!$G$15,$M505-$A$15,CA$13)="",10^12,OFFSET(PLE!$G$15,$M505-$A$15,CA$13)))</f>
        <v>1000000000000</v>
      </c>
      <c r="CB505" s="172">
        <f ca="1">IF(OR($D505&lt;&gt;"Serviço",AND(AUTOEVENTO="Manual",$M505=$A$15),$M505&gt;(ROW(PLE.lastrow)-ROW(PLE.firstrow))),0,
           IF(OFFSET(PLE!$G$15,$M505-$A$15,CB$13)="",10^12,OFFSET(PLE!$G$15,$M505-$A$15,CB$13)))</f>
        <v>1000000000000</v>
      </c>
      <c r="CC505" s="172">
        <f ca="1">IF(OR($D505&lt;&gt;"Serviço",AND(AUTOEVENTO="Manual",$M505=$A$15),$M505&gt;(ROW(PLE.lastrow)-ROW(PLE.firstrow))),0,
           IF(OFFSET(PLE!$G$15,$M505-$A$15,CC$13)="",10^12,OFFSET(PLE!$G$15,$M505-$A$15,CC$13)))</f>
        <v>1000000000000</v>
      </c>
      <c r="CD505" s="172">
        <f ca="1">IF(OR($D505&lt;&gt;"Serviço",AND(AUTOEVENTO="Manual",$M505=$A$15),$M505&gt;(ROW(PLE.lastrow)-ROW(PLE.firstrow))),0,
           IF(OFFSET(PLE!$G$15,$M505-$A$15,CD$13)="",10^12,OFFSET(PLE!$G$15,$M505-$A$15,CD$13)))</f>
        <v>1000000000000</v>
      </c>
      <c r="CE505" s="172">
        <f ca="1">IF(OR($D505&lt;&gt;"Serviço",AND(AUTOEVENTO="Manual",$M505=$A$15),$M505&gt;(ROW(PLE.lastrow)-ROW(PLE.firstrow))),0,
           IF(OFFSET(PLE!$G$15,$M505-$A$15,CE$13)="",10^12,OFFSET(PLE!$G$15,$M505-$A$15,CE$13)))</f>
        <v>1000000000000</v>
      </c>
      <c r="CF505" s="172">
        <f ca="1">IF(OR($D505&lt;&gt;"Serviço",AND(AUTOEVENTO="Manual",$M505=$A$15),$M505&gt;(ROW(PLE.lastrow)-ROW(PLE.firstrow))),0,
           IF(OFFSET(PLE!$G$15,$M505-$A$15,CF$13)="",10^12,OFFSET(PLE!$G$15,$M505-$A$15,CF$13)))</f>
        <v>1000000000000</v>
      </c>
      <c r="CG505" s="172">
        <f ca="1">IF(OR($D505&lt;&gt;"Serviço",AND(AUTOEVENTO="Manual",$M505=$A$15),$M505&gt;(ROW(PLE.lastrow)-ROW(PLE.firstrow))),0,
           IF(OFFSET(PLE!$G$15,$M505-$A$15,CG$13)="",10^12,OFFSET(PLE!$G$15,$M505-$A$15,CG$13)))</f>
        <v>1000000000000</v>
      </c>
      <c r="CH505" s="172">
        <f ca="1">IF(OR($D505&lt;&gt;"Serviço",AND(AUTOEVENTO="Manual",$M505=$A$15),$M505&gt;(ROW(PLE.lastrow)-ROW(PLE.firstrow))),0,
           IF(OFFSET(PLE!$G$15,$M505-$A$15,CH$13)="",10^12,OFFSET(PLE!$G$15,$M505-$A$15,CH$13)))</f>
        <v>1000000000000</v>
      </c>
      <c r="CI505" s="172">
        <f ca="1">IF(OR($D505&lt;&gt;"Serviço",AND(AUTOEVENTO="Manual",$M505=$A$15),$M505&gt;(ROW(PLE.lastrow)-ROW(PLE.firstrow))),0,
           IF(OFFSET(PLE!$G$15,$M505-$A$15,CI$13)="",10^12,OFFSET(PLE!$G$15,$M505-$A$15,CI$13)))</f>
        <v>1000000000000</v>
      </c>
      <c r="CJ505" s="172">
        <f ca="1">IF(OR($D505&lt;&gt;"Serviço",AND(AUTOEVENTO="Manual",$M505=$A$15),$M505&gt;(ROW(PLE.lastrow)-ROW(PLE.firstrow))),0,
           IF(OFFSET(PLE!$G$15,$M505-$A$15,CJ$13)="",10^12,OFFSET(PLE!$G$15,$M505-$A$15,CJ$13)))</f>
        <v>1000000000000</v>
      </c>
      <c r="CK505" s="172">
        <f ca="1">IF(OR($D505&lt;&gt;"Serviço",AND(AUTOEVENTO="Manual",$M505=$A$15),$M505&gt;(ROW(PLE.lastrow)-ROW(PLE.firstrow))),0,
           IF(OFFSET(PLE!$G$15,$M505-$A$15,CK$13)="",10^12,OFFSET(PLE!$G$15,$M505-$A$15,CK$13)))</f>
        <v>1000000000000</v>
      </c>
      <c r="CL505" s="172">
        <f ca="1">IF(OR($D505&lt;&gt;"Serviço",AND(AUTOEVENTO="Manual",$M505=$A$15),$M505&gt;(ROW(PLE.lastrow)-ROW(PLE.firstrow))),0,
           IF(OFFSET(PLE!$G$15,$M505-$A$15,CL$13)="",10^12,OFFSET(PLE!$G$15,$M505-$A$15,CL$13)))</f>
        <v>1000000000000</v>
      </c>
      <c r="CM505" s="172">
        <f ca="1">IF(OR($D505&lt;&gt;"Serviço",AND(AUTOEVENTO="Manual",$M505=$A$15),$M505&gt;(ROW(PLE.lastrow)-ROW(PLE.firstrow))),0,
           IF(OFFSET(PLE!$G$15,$M505-$A$15,CM$13)="",10^12,OFFSET(PLE!$G$15,$M505-$A$15,CM$13)))</f>
        <v>1000000000000</v>
      </c>
    </row>
    <row r="506" spans="1:91" ht="12.75" x14ac:dyDescent="0.2">
      <c r="A506" s="7">
        <f t="shared" ca="1" si="17"/>
        <v>0</v>
      </c>
      <c r="B506" s="7">
        <f ca="1">OFFSET(ORÇAMENTO!C$15,ROW(B506)-ROW(B$15),0)</f>
        <v>3</v>
      </c>
      <c r="C506" s="7" t="str">
        <f ca="1">OFFSET(ORÇAMENTO!L$15,ROW(C506)-ROW(C$15),0)</f>
        <v>F</v>
      </c>
      <c r="D506" s="116" t="str">
        <f ca="1">OFFSET(ORÇAMENTO!N$15,ROW(D506)-ROW(D$15),0)</f>
        <v>Nível 3</v>
      </c>
      <c r="E506" s="117" t="str">
        <f ca="1">OFFSET(ORÇAMENTO!O$15,ROW(E506)-ROW(E$15),0)</f>
        <v>1.10.9.</v>
      </c>
      <c r="F506" s="163" t="str">
        <f ca="1">OFFSET(ORÇAMENTO!R$15,ROW(F506)-ROW(F$15),0)</f>
        <v>LIMPEZA FINAL DE OBRA</v>
      </c>
      <c r="G506" s="164" t="str">
        <f ca="1">IF($D506&lt;&gt;"Serviço","",OFFSET(ORÇAMENTO!S$15,ROW(G506)-ROW(G$15),0))</f>
        <v/>
      </c>
      <c r="H506" s="122" cm="1">
        <f t="array" aca="1" ref="H506" ca="1">IF($D506&lt;&gt;"Serviço",0,IF(ACOMPANHAMENTO="BM",ROUND(OFFSET(ORÇAMENTO!AJ$15,ROW(H506)-ROW(H$15),0),15-13*ORÇAMENTO!$AF$7),SUMPRODUCT(($Q$1:$AI$1=1)*ROUND($Q506:$AI506,15-13*ORÇAMENTO!$AF$7))))</f>
        <v>0</v>
      </c>
      <c r="I506" s="468"/>
      <c r="J506" s="640" t="str" cm="1">
        <f t="array" aca="1" ref="J506" ca="1">IF(OR(B506&lt;&gt;"S",CÁLCULO.FrentesPreenchidas=0),"",IF(AND(ACOMPANHAMENTO="PLE",AUTOEVENTO="Manual",OR(H506&gt;0,ORÇAMENTO!AC506="QUANT."),OR(K506="",M506=0,N506="")),"►E",IF(AND(ACOMPANHAMENTO="PLE",ORÇAMENTO!AC506="QUANT."),"►Q",IF(AND(ACOMPANHAMENTO="PLE",H506&lt;&gt;SUMPRODUCT(($Q$1:$AI$1=1)*ROUND(Q506:AI506,15))),"►S",IF(AND(COUNTIF($P$11:$AI$11,"▼")=0,H506&gt;0,I506=""),"◄M","")))))</f>
        <v/>
      </c>
      <c r="K506" s="641"/>
      <c r="L506" s="165" t="s">
        <v>764</v>
      </c>
      <c r="M506" s="166" t="str">
        <f ca="1">IF($D506&lt;&gt;"Serviço","",
          IF(AUTOEVENTO="manual",$A506,
                IF(ISERROR(MATCH($A506,$A$15:OFFSET($A506,-1,0),0)),MAX($M$15:OFFSET(M506,-1,0))+1,
                      INDEX($M$15:OFFSET(M506,-1,0),MATCH($A506,$A$15:OFFSET($A506,-1,0),0)))))</f>
        <v/>
      </c>
      <c r="N506" s="167" t="str">
        <f ca="1">IF($D506&lt;&gt;"Serviço","",
         IF(AUTOEVENTO="Manual",
                IF($A506=0,"&lt;-- defina o número do agrupador",
                       OFFSET(EVENTOS!$D$15,$A506-$A$15,0)),
                OFFSET($F$15,$A506,0)))</f>
        <v/>
      </c>
      <c r="O506" s="168"/>
      <c r="Q506" s="168"/>
      <c r="R506" s="169"/>
      <c r="S506" s="169"/>
      <c r="T506" s="169"/>
      <c r="U506" s="169"/>
      <c r="V506" s="169"/>
      <c r="W506" s="169"/>
      <c r="X506" s="169"/>
      <c r="Y506" s="169"/>
      <c r="Z506" s="170"/>
      <c r="AA506" s="169"/>
      <c r="AB506" s="169"/>
      <c r="AC506" s="169"/>
      <c r="AD506" s="169"/>
      <c r="AE506" s="169"/>
      <c r="AF506" s="169"/>
      <c r="AG506" s="169"/>
      <c r="AH506" s="170"/>
      <c r="AJ506" s="453">
        <f ca="1">IF(AND($D506="Serviço",AJ$12&lt;&gt;0,$H506&gt;0,OR(AUTOEVENTO&lt;&gt;"manual",$M506&lt;&gt;$A$15)),
        IF(Import.TipoArredondamento&lt;&gt;"TransfereGOV",
              ROUND(OFFSET($P506,0,AJ$13),15-13*ORÇAMENTO!$AF$7)/$H506*OFFSET(ORÇAMENTO!$X$15,ROW(AJ506)-ROW(AJ$15),0),
              ROUND(ROUND(OFFSET($P506,0,AJ$13),15-13*ORÇAMENTO!$AF$7)*OFFSET(ORÇAMENTO!$W$15,ROW(AJ506)-ROW(AJ$15),0),15-13*ORÇAMENTO!$AF$11)),
         0)</f>
        <v>0</v>
      </c>
      <c r="AK506" s="453">
        <f ca="1">IF(AND($D506="Serviço",AK$12&lt;&gt;0,$H506&gt;0,OR(AUTOEVENTO&lt;&gt;"manual",$M506&lt;&gt;$A$15)),
        IF(Import.TipoArredondamento&lt;&gt;"TransfereGOV",
              ROUND(OFFSET($P506,0,AK$13),15-13*ORÇAMENTO!$AF$7)/$H506*OFFSET(ORÇAMENTO!$X$15,ROW(AK506)-ROW(AK$15),0),
              ROUND(ROUND(OFFSET($P506,0,AK$13),15-13*ORÇAMENTO!$AF$7)*OFFSET(ORÇAMENTO!$W$15,ROW(AK506)-ROW(AK$15),0),15-13*ORÇAMENTO!$AF$11)),
         0)</f>
        <v>0</v>
      </c>
      <c r="AL506" s="453">
        <f ca="1">IF(AND($D506="Serviço",AL$12&lt;&gt;0,$H506&gt;0,OR(AUTOEVENTO&lt;&gt;"manual",$M506&lt;&gt;$A$15)),
        IF(Import.TipoArredondamento&lt;&gt;"TransfereGOV",
              ROUND(OFFSET($P506,0,AL$13),15-13*ORÇAMENTO!$AF$7)/$H506*OFFSET(ORÇAMENTO!$X$15,ROW(AL506)-ROW(AL$15),0),
              ROUND(ROUND(OFFSET($P506,0,AL$13),15-13*ORÇAMENTO!$AF$7)*OFFSET(ORÇAMENTO!$W$15,ROW(AL506)-ROW(AL$15),0),15-13*ORÇAMENTO!$AF$11)),
         0)</f>
        <v>0</v>
      </c>
      <c r="AM506" s="453">
        <f ca="1">IF(AND($D506="Serviço",AM$12&lt;&gt;0,$H506&gt;0,OR(AUTOEVENTO&lt;&gt;"manual",$M506&lt;&gt;$A$15)),
        IF(Import.TipoArredondamento&lt;&gt;"TransfereGOV",
              ROUND(OFFSET($P506,0,AM$13),15-13*ORÇAMENTO!$AF$7)/$H506*OFFSET(ORÇAMENTO!$X$15,ROW(AM506)-ROW(AM$15),0),
              ROUND(ROUND(OFFSET($P506,0,AM$13),15-13*ORÇAMENTO!$AF$7)*OFFSET(ORÇAMENTO!$W$15,ROW(AM506)-ROW(AM$15),0),15-13*ORÇAMENTO!$AF$11)),
         0)</f>
        <v>0</v>
      </c>
      <c r="AN506" s="453">
        <f ca="1">IF(AND($D506="Serviço",AN$12&lt;&gt;0,$H506&gt;0,OR(AUTOEVENTO&lt;&gt;"manual",$M506&lt;&gt;$A$15)),
        IF(Import.TipoArredondamento&lt;&gt;"TransfereGOV",
              ROUND(OFFSET($P506,0,AN$13),15-13*ORÇAMENTO!$AF$7)/$H506*OFFSET(ORÇAMENTO!$X$15,ROW(AN506)-ROW(AN$15),0),
              ROUND(ROUND(OFFSET($P506,0,AN$13),15-13*ORÇAMENTO!$AF$7)*OFFSET(ORÇAMENTO!$W$15,ROW(AN506)-ROW(AN$15),0),15-13*ORÇAMENTO!$AF$11)),
         0)</f>
        <v>0</v>
      </c>
      <c r="AO506" s="453">
        <f ca="1">IF(AND($D506="Serviço",AO$12&lt;&gt;0,$H506&gt;0,OR(AUTOEVENTO&lt;&gt;"manual",$M506&lt;&gt;$A$15)),
        IF(Import.TipoArredondamento&lt;&gt;"TransfereGOV",
              ROUND(OFFSET($P506,0,AO$13),15-13*ORÇAMENTO!$AF$7)/$H506*OFFSET(ORÇAMENTO!$X$15,ROW(AO506)-ROW(AO$15),0),
              ROUND(ROUND(OFFSET($P506,0,AO$13),15-13*ORÇAMENTO!$AF$7)*OFFSET(ORÇAMENTO!$W$15,ROW(AO506)-ROW(AO$15),0),15-13*ORÇAMENTO!$AF$11)),
         0)</f>
        <v>0</v>
      </c>
      <c r="AP506" s="453">
        <f ca="1">IF(AND($D506="Serviço",AP$12&lt;&gt;0,$H506&gt;0,OR(AUTOEVENTO&lt;&gt;"manual",$M506&lt;&gt;$A$15)),
        IF(Import.TipoArredondamento&lt;&gt;"TransfereGOV",
              ROUND(OFFSET($P506,0,AP$13),15-13*ORÇAMENTO!$AF$7)/$H506*OFFSET(ORÇAMENTO!$X$15,ROW(AP506)-ROW(AP$15),0),
              ROUND(ROUND(OFFSET($P506,0,AP$13),15-13*ORÇAMENTO!$AF$7)*OFFSET(ORÇAMENTO!$W$15,ROW(AP506)-ROW(AP$15),0),15-13*ORÇAMENTO!$AF$11)),
         0)</f>
        <v>0</v>
      </c>
      <c r="AQ506" s="453">
        <f ca="1">IF(AND($D506="Serviço",AQ$12&lt;&gt;0,$H506&gt;0,OR(AUTOEVENTO&lt;&gt;"manual",$M506&lt;&gt;$A$15)),
        IF(Import.TipoArredondamento&lt;&gt;"TransfereGOV",
              ROUND(OFFSET($P506,0,AQ$13),15-13*ORÇAMENTO!$AF$7)/$H506*OFFSET(ORÇAMENTO!$X$15,ROW(AQ506)-ROW(AQ$15),0),
              ROUND(ROUND(OFFSET($P506,0,AQ$13),15-13*ORÇAMENTO!$AF$7)*OFFSET(ORÇAMENTO!$W$15,ROW(AQ506)-ROW(AQ$15),0),15-13*ORÇAMENTO!$AF$11)),
         0)</f>
        <v>0</v>
      </c>
      <c r="AR506" s="453">
        <f ca="1">IF(AND($D506="Serviço",AR$12&lt;&gt;0,$H506&gt;0,OR(AUTOEVENTO&lt;&gt;"manual",$M506&lt;&gt;$A$15)),
        IF(Import.TipoArredondamento&lt;&gt;"TransfereGOV",
              ROUND(OFFSET($P506,0,AR$13),15-13*ORÇAMENTO!$AF$7)/$H506*OFFSET(ORÇAMENTO!$X$15,ROW(AR506)-ROW(AR$15),0),
              ROUND(ROUND(OFFSET($P506,0,AR$13),15-13*ORÇAMENTO!$AF$7)*OFFSET(ORÇAMENTO!$W$15,ROW(AR506)-ROW(AR$15),0),15-13*ORÇAMENTO!$AF$11)),
         0)</f>
        <v>0</v>
      </c>
      <c r="AS506" s="453">
        <f ca="1">IF(AND($D506="Serviço",AS$12&lt;&gt;0,$H506&gt;0,OR(AUTOEVENTO&lt;&gt;"manual",$M506&lt;&gt;$A$15)),
        IF(Import.TipoArredondamento&lt;&gt;"TransfereGOV",
              ROUND(OFFSET($P506,0,AS$13),15-13*ORÇAMENTO!$AF$7)/$H506*OFFSET(ORÇAMENTO!$X$15,ROW(AS506)-ROW(AS$15),0),
              ROUND(ROUND(OFFSET($P506,0,AS$13),15-13*ORÇAMENTO!$AF$7)*OFFSET(ORÇAMENTO!$W$15,ROW(AS506)-ROW(AS$15),0),15-13*ORÇAMENTO!$AF$11)),
         0)</f>
        <v>0</v>
      </c>
      <c r="AT506" s="453">
        <f ca="1">IF(AND($D506="Serviço",AT$12&lt;&gt;0,$H506&gt;0,OR(AUTOEVENTO&lt;&gt;"manual",$M506&lt;&gt;$A$15)),
        IF(Import.TipoArredondamento&lt;&gt;"TransfereGOV",
              ROUND(OFFSET($P506,0,AT$13),15-13*ORÇAMENTO!$AF$7)/$H506*OFFSET(ORÇAMENTO!$X$15,ROW(AT506)-ROW(AT$15),0),
              ROUND(ROUND(OFFSET($P506,0,AT$13),15-13*ORÇAMENTO!$AF$7)*OFFSET(ORÇAMENTO!$W$15,ROW(AT506)-ROW(AT$15),0),15-13*ORÇAMENTO!$AF$11)),
         0)</f>
        <v>0</v>
      </c>
      <c r="AU506" s="453">
        <f ca="1">IF(AND($D506="Serviço",AU$12&lt;&gt;0,$H506&gt;0,OR(AUTOEVENTO&lt;&gt;"manual",$M506&lt;&gt;$A$15)),
        IF(Import.TipoArredondamento&lt;&gt;"TransfereGOV",
              ROUND(OFFSET($P506,0,AU$13),15-13*ORÇAMENTO!$AF$7)/$H506*OFFSET(ORÇAMENTO!$X$15,ROW(AU506)-ROW(AU$15),0),
              ROUND(ROUND(OFFSET($P506,0,AU$13),15-13*ORÇAMENTO!$AF$7)*OFFSET(ORÇAMENTO!$W$15,ROW(AU506)-ROW(AU$15),0),15-13*ORÇAMENTO!$AF$11)),
         0)</f>
        <v>0</v>
      </c>
      <c r="AV506" s="453">
        <f ca="1">IF(AND($D506="Serviço",AV$12&lt;&gt;0,$H506&gt;0,OR(AUTOEVENTO&lt;&gt;"manual",$M506&lt;&gt;$A$15)),
        IF(Import.TipoArredondamento&lt;&gt;"TransfereGOV",
              ROUND(OFFSET($P506,0,AV$13),15-13*ORÇAMENTO!$AF$7)/$H506*OFFSET(ORÇAMENTO!$X$15,ROW(AV506)-ROW(AV$15),0),
              ROUND(ROUND(OFFSET($P506,0,AV$13),15-13*ORÇAMENTO!$AF$7)*OFFSET(ORÇAMENTO!$W$15,ROW(AV506)-ROW(AV$15),0),15-13*ORÇAMENTO!$AF$11)),
         0)</f>
        <v>0</v>
      </c>
      <c r="AW506" s="453">
        <f ca="1">IF(AND($D506="Serviço",AW$12&lt;&gt;0,$H506&gt;0,OR(AUTOEVENTO&lt;&gt;"manual",$M506&lt;&gt;$A$15)),
        IF(Import.TipoArredondamento&lt;&gt;"TransfereGOV",
              ROUND(OFFSET($P506,0,AW$13),15-13*ORÇAMENTO!$AF$7)/$H506*OFFSET(ORÇAMENTO!$X$15,ROW(AW506)-ROW(AW$15),0),
              ROUND(ROUND(OFFSET($P506,0,AW$13),15-13*ORÇAMENTO!$AF$7)*OFFSET(ORÇAMENTO!$W$15,ROW(AW506)-ROW(AW$15),0),15-13*ORÇAMENTO!$AF$11)),
         0)</f>
        <v>0</v>
      </c>
      <c r="AX506" s="453">
        <f ca="1">IF(AND($D506="Serviço",AX$12&lt;&gt;0,$H506&gt;0,OR(AUTOEVENTO&lt;&gt;"manual",$M506&lt;&gt;$A$15)),
        IF(Import.TipoArredondamento&lt;&gt;"TransfereGOV",
              ROUND(OFFSET($P506,0,AX$13),15-13*ORÇAMENTO!$AF$7)/$H506*OFFSET(ORÇAMENTO!$X$15,ROW(AX506)-ROW(AX$15),0),
              ROUND(ROUND(OFFSET($P506,0,AX$13),15-13*ORÇAMENTO!$AF$7)*OFFSET(ORÇAMENTO!$W$15,ROW(AX506)-ROW(AX$15),0),15-13*ORÇAMENTO!$AF$11)),
         0)</f>
        <v>0</v>
      </c>
      <c r="AY506" s="453">
        <f ca="1">IF(AND($D506="Serviço",AY$12&lt;&gt;0,$H506&gt;0,OR(AUTOEVENTO&lt;&gt;"manual",$M506&lt;&gt;$A$15)),
        IF(Import.TipoArredondamento&lt;&gt;"TransfereGOV",
              ROUND(OFFSET($P506,0,AY$13),15-13*ORÇAMENTO!$AF$7)/$H506*OFFSET(ORÇAMENTO!$X$15,ROW(AY506)-ROW(AY$15),0),
              ROUND(ROUND(OFFSET($P506,0,AY$13),15-13*ORÇAMENTO!$AF$7)*OFFSET(ORÇAMENTO!$W$15,ROW(AY506)-ROW(AY$15),0),15-13*ORÇAMENTO!$AF$11)),
         0)</f>
        <v>0</v>
      </c>
      <c r="AZ506" s="453">
        <f ca="1">IF(AND($D506="Serviço",AZ$12&lt;&gt;0,$H506&gt;0,OR(AUTOEVENTO&lt;&gt;"manual",$M506&lt;&gt;$A$15)),
        IF(Import.TipoArredondamento&lt;&gt;"TransfereGOV",
              ROUND(OFFSET($P506,0,AZ$13),15-13*ORÇAMENTO!$AF$7)/$H506*OFFSET(ORÇAMENTO!$X$15,ROW(AZ506)-ROW(AZ$15),0),
              ROUND(ROUND(OFFSET($P506,0,AZ$13),15-13*ORÇAMENTO!$AF$7)*OFFSET(ORÇAMENTO!$W$15,ROW(AZ506)-ROW(AZ$15),0),15-13*ORÇAMENTO!$AF$11)),
         0)</f>
        <v>0</v>
      </c>
      <c r="BA506" s="453">
        <f ca="1">IF(AND($D506="Serviço",BA$12&lt;&gt;0,$H506&gt;0,OR(AUTOEVENTO&lt;&gt;"manual",$M506&lt;&gt;$A$15)),
        IF(Import.TipoArredondamento&lt;&gt;"TransfereGOV",
              ROUND(OFFSET($P506,0,BA$13),15-13*ORÇAMENTO!$AF$7)/$H506*OFFSET(ORÇAMENTO!$X$15,ROW(BA506)-ROW(BA$15),0),
              ROUND(ROUND(OFFSET($P506,0,BA$13),15-13*ORÇAMENTO!$AF$7)*OFFSET(ORÇAMENTO!$W$15,ROW(BA506)-ROW(BA$15),0),15-13*ORÇAMENTO!$AF$11)),
         0)</f>
        <v>0</v>
      </c>
      <c r="BC506" s="171">
        <f ca="1">IF(OR($D506&lt;&gt;"Serviço",AND(AUTOEVENTO="Manual",$M506=$A$15)),0,
         IF(OFFSET(CRONOPLE!$F$15,$M506-$A$15,BC$13)=0,10^12,OFFSET(CRONOPLE!$F$15,$M506-$A$15,BC$13)))</f>
        <v>0</v>
      </c>
      <c r="BD506" s="171">
        <f ca="1">IF(OR($D506&lt;&gt;"Serviço",AND(AUTOEVENTO="Manual",$M506=$A$15)),0,
         IF(OFFSET(CRONOPLE!$F$15,$M506-$A$15,BD$13)=0,10^12,OFFSET(CRONOPLE!$F$15,$M506-$A$15,BD$13)))</f>
        <v>0</v>
      </c>
      <c r="BE506" s="171">
        <f ca="1">IF(OR($D506&lt;&gt;"Serviço",AND(AUTOEVENTO="Manual",$M506=$A$15)),0,
         IF(OFFSET(CRONOPLE!$F$15,$M506-$A$15,BE$13)=0,10^12,OFFSET(CRONOPLE!$F$15,$M506-$A$15,BE$13)))</f>
        <v>0</v>
      </c>
      <c r="BF506" s="171">
        <f ca="1">IF(OR($D506&lt;&gt;"Serviço",AND(AUTOEVENTO="Manual",$M506=$A$15)),0,
         IF(OFFSET(CRONOPLE!$F$15,$M506-$A$15,BF$13)=0,10^12,OFFSET(CRONOPLE!$F$15,$M506-$A$15,BF$13)))</f>
        <v>0</v>
      </c>
      <c r="BG506" s="171">
        <f ca="1">IF(OR($D506&lt;&gt;"Serviço",AND(AUTOEVENTO="Manual",$M506=$A$15)),0,
         IF(OFFSET(CRONOPLE!$F$15,$M506-$A$15,BG$13)=0,10^12,OFFSET(CRONOPLE!$F$15,$M506-$A$15,BG$13)))</f>
        <v>0</v>
      </c>
      <c r="BH506" s="171">
        <f ca="1">IF(OR($D506&lt;&gt;"Serviço",AND(AUTOEVENTO="Manual",$M506=$A$15)),0,
         IF(OFFSET(CRONOPLE!$F$15,$M506-$A$15,BH$13)=0,10^12,OFFSET(CRONOPLE!$F$15,$M506-$A$15,BH$13)))</f>
        <v>0</v>
      </c>
      <c r="BI506" s="171">
        <f ca="1">IF(OR($D506&lt;&gt;"Serviço",AND(AUTOEVENTO="Manual",$M506=$A$15)),0,
         IF(OFFSET(CRONOPLE!$F$15,$M506-$A$15,BI$13)=0,10^12,OFFSET(CRONOPLE!$F$15,$M506-$A$15,BI$13)))</f>
        <v>0</v>
      </c>
      <c r="BJ506" s="171">
        <f ca="1">IF(OR($D506&lt;&gt;"Serviço",AND(AUTOEVENTO="Manual",$M506=$A$15)),0,
         IF(OFFSET(CRONOPLE!$F$15,$M506-$A$15,BJ$13)=0,10^12,OFFSET(CRONOPLE!$F$15,$M506-$A$15,BJ$13)))</f>
        <v>0</v>
      </c>
      <c r="BK506" s="171">
        <f ca="1">IF(OR($D506&lt;&gt;"Serviço",AND(AUTOEVENTO="Manual",$M506=$A$15)),0,
         IF(OFFSET(CRONOPLE!$F$15,$M506-$A$15,BK$13)=0,10^12,OFFSET(CRONOPLE!$F$15,$M506-$A$15,BK$13)))</f>
        <v>0</v>
      </c>
      <c r="BL506" s="171">
        <f ca="1">IF(OR($D506&lt;&gt;"Serviço",AND(AUTOEVENTO="Manual",$M506=$A$15)),0,
         IF(OFFSET(CRONOPLE!$F$15,$M506-$A$15,BL$13)=0,10^12,OFFSET(CRONOPLE!$F$15,$M506-$A$15,BL$13)))</f>
        <v>0</v>
      </c>
      <c r="BM506" s="171">
        <f ca="1">IF(OR($D506&lt;&gt;"Serviço",AND(AUTOEVENTO="Manual",$M506=$A$15)),0,
         IF(OFFSET(CRONOPLE!$F$15,$M506-$A$15,BM$13)=0,10^12,OFFSET(CRONOPLE!$F$15,$M506-$A$15,BM$13)))</f>
        <v>0</v>
      </c>
      <c r="BN506" s="171">
        <f ca="1">IF(OR($D506&lt;&gt;"Serviço",AND(AUTOEVENTO="Manual",$M506=$A$15)),0,
         IF(OFFSET(CRONOPLE!$F$15,$M506-$A$15,BN$13)=0,10^12,OFFSET(CRONOPLE!$F$15,$M506-$A$15,BN$13)))</f>
        <v>0</v>
      </c>
      <c r="BO506" s="171">
        <f ca="1">IF(OR($D506&lt;&gt;"Serviço",AND(AUTOEVENTO="Manual",$M506=$A$15)),0,
         IF(OFFSET(CRONOPLE!$F$15,$M506-$A$15,BO$13)=0,10^12,OFFSET(CRONOPLE!$F$15,$M506-$A$15,BO$13)))</f>
        <v>0</v>
      </c>
      <c r="BP506" s="171">
        <f ca="1">IF(OR($D506&lt;&gt;"Serviço",AND(AUTOEVENTO="Manual",$M506=$A$15)),0,
         IF(OFFSET(CRONOPLE!$F$15,$M506-$A$15,BP$13)=0,10^12,OFFSET(CRONOPLE!$F$15,$M506-$A$15,BP$13)))</f>
        <v>0</v>
      </c>
      <c r="BQ506" s="171">
        <f ca="1">IF(OR($D506&lt;&gt;"Serviço",AND(AUTOEVENTO="Manual",$M506=$A$15)),0,
         IF(OFFSET(CRONOPLE!$F$15,$M506-$A$15,BQ$13)=0,10^12,OFFSET(CRONOPLE!$F$15,$M506-$A$15,BQ$13)))</f>
        <v>0</v>
      </c>
      <c r="BR506" s="171">
        <f ca="1">IF(OR($D506&lt;&gt;"Serviço",AND(AUTOEVENTO="Manual",$M506=$A$15)),0,
         IF(OFFSET(CRONOPLE!$F$15,$M506-$A$15,BR$13)=0,10^12,OFFSET(CRONOPLE!$F$15,$M506-$A$15,BR$13)))</f>
        <v>0</v>
      </c>
      <c r="BS506" s="171">
        <f ca="1">IF(OR($D506&lt;&gt;"Serviço",AND(AUTOEVENTO="Manual",$M506=$A$15)),0,
         IF(OFFSET(CRONOPLE!$F$15,$M506-$A$15,BS$13)=0,10^12,OFFSET(CRONOPLE!$F$15,$M506-$A$15,BS$13)))</f>
        <v>0</v>
      </c>
      <c r="BT506" s="171">
        <f ca="1">IF(OR($D506&lt;&gt;"Serviço",AND(AUTOEVENTO="Manual",$M506=$A$15)),0,
         IF(OFFSET(CRONOPLE!$F$15,$M506-$A$15,BT$13)=0,10^12,OFFSET(CRONOPLE!$F$15,$M506-$A$15,BT$13)))</f>
        <v>0</v>
      </c>
      <c r="BV506" s="172">
        <f ca="1">IF(OR($D506&lt;&gt;"Serviço",AND(AUTOEVENTO="Manual",$M506=$A$15),$M506&gt;(ROW(PLE.lastrow)-ROW(PLE.firstrow))),0,
           IF(OFFSET(PLE!$G$15,$M506-$A$15,BV$13)="",10^12,OFFSET(PLE!$G$15,$M506-$A$15,BV$13)))</f>
        <v>0</v>
      </c>
      <c r="BW506" s="172">
        <f ca="1">IF(OR($D506&lt;&gt;"Serviço",AND(AUTOEVENTO="Manual",$M506=$A$15),$M506&gt;(ROW(PLE.lastrow)-ROW(PLE.firstrow))),0,
           IF(OFFSET(PLE!$G$15,$M506-$A$15,BW$13)="",10^12,OFFSET(PLE!$G$15,$M506-$A$15,BW$13)))</f>
        <v>0</v>
      </c>
      <c r="BX506" s="172">
        <f ca="1">IF(OR($D506&lt;&gt;"Serviço",AND(AUTOEVENTO="Manual",$M506=$A$15),$M506&gt;(ROW(PLE.lastrow)-ROW(PLE.firstrow))),0,
           IF(OFFSET(PLE!$G$15,$M506-$A$15,BX$13)="",10^12,OFFSET(PLE!$G$15,$M506-$A$15,BX$13)))</f>
        <v>0</v>
      </c>
      <c r="BY506" s="172">
        <f ca="1">IF(OR($D506&lt;&gt;"Serviço",AND(AUTOEVENTO="Manual",$M506=$A$15),$M506&gt;(ROW(PLE.lastrow)-ROW(PLE.firstrow))),0,
           IF(OFFSET(PLE!$G$15,$M506-$A$15,BY$13)="",10^12,OFFSET(PLE!$G$15,$M506-$A$15,BY$13)))</f>
        <v>0</v>
      </c>
      <c r="BZ506" s="172">
        <f ca="1">IF(OR($D506&lt;&gt;"Serviço",AND(AUTOEVENTO="Manual",$M506=$A$15),$M506&gt;(ROW(PLE.lastrow)-ROW(PLE.firstrow))),0,
           IF(OFFSET(PLE!$G$15,$M506-$A$15,BZ$13)="",10^12,OFFSET(PLE!$G$15,$M506-$A$15,BZ$13)))</f>
        <v>0</v>
      </c>
      <c r="CA506" s="172">
        <f ca="1">IF(OR($D506&lt;&gt;"Serviço",AND(AUTOEVENTO="Manual",$M506=$A$15),$M506&gt;(ROW(PLE.lastrow)-ROW(PLE.firstrow))),0,
           IF(OFFSET(PLE!$G$15,$M506-$A$15,CA$13)="",10^12,OFFSET(PLE!$G$15,$M506-$A$15,CA$13)))</f>
        <v>0</v>
      </c>
      <c r="CB506" s="172">
        <f ca="1">IF(OR($D506&lt;&gt;"Serviço",AND(AUTOEVENTO="Manual",$M506=$A$15),$M506&gt;(ROW(PLE.lastrow)-ROW(PLE.firstrow))),0,
           IF(OFFSET(PLE!$G$15,$M506-$A$15,CB$13)="",10^12,OFFSET(PLE!$G$15,$M506-$A$15,CB$13)))</f>
        <v>0</v>
      </c>
      <c r="CC506" s="172">
        <f ca="1">IF(OR($D506&lt;&gt;"Serviço",AND(AUTOEVENTO="Manual",$M506=$A$15),$M506&gt;(ROW(PLE.lastrow)-ROW(PLE.firstrow))),0,
           IF(OFFSET(PLE!$G$15,$M506-$A$15,CC$13)="",10^12,OFFSET(PLE!$G$15,$M506-$A$15,CC$13)))</f>
        <v>0</v>
      </c>
      <c r="CD506" s="172">
        <f ca="1">IF(OR($D506&lt;&gt;"Serviço",AND(AUTOEVENTO="Manual",$M506=$A$15),$M506&gt;(ROW(PLE.lastrow)-ROW(PLE.firstrow))),0,
           IF(OFFSET(PLE!$G$15,$M506-$A$15,CD$13)="",10^12,OFFSET(PLE!$G$15,$M506-$A$15,CD$13)))</f>
        <v>0</v>
      </c>
      <c r="CE506" s="172">
        <f ca="1">IF(OR($D506&lt;&gt;"Serviço",AND(AUTOEVENTO="Manual",$M506=$A$15),$M506&gt;(ROW(PLE.lastrow)-ROW(PLE.firstrow))),0,
           IF(OFFSET(PLE!$G$15,$M506-$A$15,CE$13)="",10^12,OFFSET(PLE!$G$15,$M506-$A$15,CE$13)))</f>
        <v>0</v>
      </c>
      <c r="CF506" s="172">
        <f ca="1">IF(OR($D506&lt;&gt;"Serviço",AND(AUTOEVENTO="Manual",$M506=$A$15),$M506&gt;(ROW(PLE.lastrow)-ROW(PLE.firstrow))),0,
           IF(OFFSET(PLE!$G$15,$M506-$A$15,CF$13)="",10^12,OFFSET(PLE!$G$15,$M506-$A$15,CF$13)))</f>
        <v>0</v>
      </c>
      <c r="CG506" s="172">
        <f ca="1">IF(OR($D506&lt;&gt;"Serviço",AND(AUTOEVENTO="Manual",$M506=$A$15),$M506&gt;(ROW(PLE.lastrow)-ROW(PLE.firstrow))),0,
           IF(OFFSET(PLE!$G$15,$M506-$A$15,CG$13)="",10^12,OFFSET(PLE!$G$15,$M506-$A$15,CG$13)))</f>
        <v>0</v>
      </c>
      <c r="CH506" s="172">
        <f ca="1">IF(OR($D506&lt;&gt;"Serviço",AND(AUTOEVENTO="Manual",$M506=$A$15),$M506&gt;(ROW(PLE.lastrow)-ROW(PLE.firstrow))),0,
           IF(OFFSET(PLE!$G$15,$M506-$A$15,CH$13)="",10^12,OFFSET(PLE!$G$15,$M506-$A$15,CH$13)))</f>
        <v>0</v>
      </c>
      <c r="CI506" s="172">
        <f ca="1">IF(OR($D506&lt;&gt;"Serviço",AND(AUTOEVENTO="Manual",$M506=$A$15),$M506&gt;(ROW(PLE.lastrow)-ROW(PLE.firstrow))),0,
           IF(OFFSET(PLE!$G$15,$M506-$A$15,CI$13)="",10^12,OFFSET(PLE!$G$15,$M506-$A$15,CI$13)))</f>
        <v>0</v>
      </c>
      <c r="CJ506" s="172">
        <f ca="1">IF(OR($D506&lt;&gt;"Serviço",AND(AUTOEVENTO="Manual",$M506=$A$15),$M506&gt;(ROW(PLE.lastrow)-ROW(PLE.firstrow))),0,
           IF(OFFSET(PLE!$G$15,$M506-$A$15,CJ$13)="",10^12,OFFSET(PLE!$G$15,$M506-$A$15,CJ$13)))</f>
        <v>0</v>
      </c>
      <c r="CK506" s="172">
        <f ca="1">IF(OR($D506&lt;&gt;"Serviço",AND(AUTOEVENTO="Manual",$M506=$A$15),$M506&gt;(ROW(PLE.lastrow)-ROW(PLE.firstrow))),0,
           IF(OFFSET(PLE!$G$15,$M506-$A$15,CK$13)="",10^12,OFFSET(PLE!$G$15,$M506-$A$15,CK$13)))</f>
        <v>0</v>
      </c>
      <c r="CL506" s="172">
        <f ca="1">IF(OR($D506&lt;&gt;"Serviço",AND(AUTOEVENTO="Manual",$M506=$A$15),$M506&gt;(ROW(PLE.lastrow)-ROW(PLE.firstrow))),0,
           IF(OFFSET(PLE!$G$15,$M506-$A$15,CL$13)="",10^12,OFFSET(PLE!$G$15,$M506-$A$15,CL$13)))</f>
        <v>0</v>
      </c>
      <c r="CM506" s="172">
        <f ca="1">IF(OR($D506&lt;&gt;"Serviço",AND(AUTOEVENTO="Manual",$M506=$A$15),$M506&gt;(ROW(PLE.lastrow)-ROW(PLE.firstrow))),0,
           IF(OFFSET(PLE!$G$15,$M506-$A$15,CM$13)="",10^12,OFFSET(PLE!$G$15,$M506-$A$15,CM$13)))</f>
        <v>0</v>
      </c>
    </row>
    <row r="507" spans="1:91" ht="102" x14ac:dyDescent="0.2">
      <c r="A507" s="7">
        <f t="shared" ca="1" si="17"/>
        <v>9</v>
      </c>
      <c r="B507" s="7" t="str">
        <f ca="1">OFFSET(ORÇAMENTO!C$15,ROW(B507)-ROW(B$15),0)</f>
        <v>S</v>
      </c>
      <c r="C507" s="7" t="str">
        <f ca="1">OFFSET(ORÇAMENTO!L$15,ROW(C507)-ROW(C$15),0)</f>
        <v>F</v>
      </c>
      <c r="D507" s="116" t="str">
        <f ca="1">OFFSET(ORÇAMENTO!N$15,ROW(D507)-ROW(D$15),0)</f>
        <v>Serviço</v>
      </c>
      <c r="E507" s="117" t="str">
        <f ca="1">OFFSET(ORÇAMENTO!O$15,ROW(E507)-ROW(E$15),0)</f>
        <v>1.10.9.0.1.</v>
      </c>
      <c r="F507" s="163" t="str">
        <f ca="1">OFFSET(ORÇAMENTO!R$15,ROW(F507)-ROW(F$15),0)</f>
        <v>LIMPEZA FINAL PARA ENTREGA DA OBRA</v>
      </c>
      <c r="G507" s="164" t="str">
        <f ca="1">IF($D507&lt;&gt;"Serviço","",OFFSET(ORÇAMENTO!S$15,ROW(G507)-ROW(G$15),0))</f>
        <v>M2</v>
      </c>
      <c r="H507" s="122" cm="1">
        <f t="array" aca="1" ref="H507" ca="1">IF($D507&lt;&gt;"Serviço",0,IF(ACOMPANHAMENTO="BM",ROUND(OFFSET(ORÇAMENTO!AJ$15,ROW(H507)-ROW(H$15),0),15-13*ORÇAMENTO!$AF$7),SUMPRODUCT(($Q$1:$AI$1=1)*ROUND($Q507:$AI507,15-13*ORÇAMENTO!$AF$7))))</f>
        <v>129.30000000000001</v>
      </c>
      <c r="I507" s="468" t="s">
        <v>1400</v>
      </c>
      <c r="J507" s="640" t="str" cm="1">
        <f t="array" aca="1" ref="J507" ca="1">IF(OR(B507&lt;&gt;"S",CÁLCULO.FrentesPreenchidas=0),"",IF(AND(ACOMPANHAMENTO="PLE",AUTOEVENTO="Manual",OR(H507&gt;0,ORÇAMENTO!AC507="QUANT."),OR(K507="",M507=0,N507="")),"►E",IF(AND(ACOMPANHAMENTO="PLE",ORÇAMENTO!AC507="QUANT."),"►Q",IF(AND(ACOMPANHAMENTO="PLE",H507&lt;&gt;SUMPRODUCT(($Q$1:$AI$1=1)*ROUND(Q507:AI507,15))),"►S",IF(AND(COUNTIF($P$11:$AI$11,"▼")=0,H507&gt;0,I507=""),"◄M","")))))</f>
        <v/>
      </c>
      <c r="K507" s="641" t="s">
        <v>1393</v>
      </c>
      <c r="L507" s="165" t="s">
        <v>764</v>
      </c>
      <c r="M507" s="166">
        <f ca="1">IF($D507&lt;&gt;"Serviço","",
          IF(AUTOEVENTO="manual",$A507,
                IF(ISERROR(MATCH($A507,$A$15:OFFSET($A507,-1,0),0)),MAX($M$15:OFFSET(M507,-1,0))+1,
                      INDEX($M$15:OFFSET(M507,-1,0),MATCH($A507,$A$15:OFFSET($A507,-1,0),0)))))</f>
        <v>9</v>
      </c>
      <c r="N507" s="167" t="str">
        <f ca="1">IF($D507&lt;&gt;"Serviço","",
         IF(AUTOEVENTO="Manual",
                IF($A507=0,"&lt;-- defina o número do agrupador",
                       OFFSET(EVENTOS!$D$15,$A507-$A$15,0)),
                OFFSET($F$15,$A507,0)))</f>
        <v>Arquitetura</v>
      </c>
      <c r="O507" s="168"/>
      <c r="Q507" s="168"/>
      <c r="R507" s="169"/>
      <c r="S507" s="169"/>
      <c r="T507" s="169"/>
      <c r="U507" s="169"/>
      <c r="V507" s="169"/>
      <c r="W507" s="169"/>
      <c r="X507" s="169"/>
      <c r="Y507" s="169"/>
      <c r="Z507" s="170">
        <f>ROUND(94.303+35,2)</f>
        <v>129.30000000000001</v>
      </c>
      <c r="AA507" s="169"/>
      <c r="AB507" s="169"/>
      <c r="AC507" s="169"/>
      <c r="AD507" s="169"/>
      <c r="AE507" s="169"/>
      <c r="AF507" s="169"/>
      <c r="AG507" s="169"/>
      <c r="AH507" s="170"/>
      <c r="AJ507" s="453">
        <f ca="1">IF(AND($D507="Serviço",AJ$12&lt;&gt;0,$H507&gt;0,OR(AUTOEVENTO&lt;&gt;"manual",$M507&lt;&gt;$A$15)),
        IF(Import.TipoArredondamento&lt;&gt;"TransfereGOV",
              ROUND(OFFSET($P507,0,AJ$13),15-13*ORÇAMENTO!$AF$7)/$H507*OFFSET(ORÇAMENTO!$X$15,ROW(AJ507)-ROW(AJ$15),0),
              ROUND(ROUND(OFFSET($P507,0,AJ$13),15-13*ORÇAMENTO!$AF$7)*OFFSET(ORÇAMENTO!$W$15,ROW(AJ507)-ROW(AJ$15),0),15-13*ORÇAMENTO!$AF$11)),
         0)</f>
        <v>0</v>
      </c>
      <c r="AK507" s="453">
        <f ca="1">IF(AND($D507="Serviço",AK$12&lt;&gt;0,$H507&gt;0,OR(AUTOEVENTO&lt;&gt;"manual",$M507&lt;&gt;$A$15)),
        IF(Import.TipoArredondamento&lt;&gt;"TransfereGOV",
              ROUND(OFFSET($P507,0,AK$13),15-13*ORÇAMENTO!$AF$7)/$H507*OFFSET(ORÇAMENTO!$X$15,ROW(AK507)-ROW(AK$15),0),
              ROUND(ROUND(OFFSET($P507,0,AK$13),15-13*ORÇAMENTO!$AF$7)*OFFSET(ORÇAMENTO!$W$15,ROW(AK507)-ROW(AK$15),0),15-13*ORÇAMENTO!$AF$11)),
         0)</f>
        <v>0</v>
      </c>
      <c r="AL507" s="453">
        <f ca="1">IF(AND($D507="Serviço",AL$12&lt;&gt;0,$H507&gt;0,OR(AUTOEVENTO&lt;&gt;"manual",$M507&lt;&gt;$A$15)),
        IF(Import.TipoArredondamento&lt;&gt;"TransfereGOV",
              ROUND(OFFSET($P507,0,AL$13),15-13*ORÇAMENTO!$AF$7)/$H507*OFFSET(ORÇAMENTO!$X$15,ROW(AL507)-ROW(AL$15),0),
              ROUND(ROUND(OFFSET($P507,0,AL$13),15-13*ORÇAMENTO!$AF$7)*OFFSET(ORÇAMENTO!$W$15,ROW(AL507)-ROW(AL$15),0),15-13*ORÇAMENTO!$AF$11)),
         0)</f>
        <v>0</v>
      </c>
      <c r="AM507" s="453">
        <f ca="1">IF(AND($D507="Serviço",AM$12&lt;&gt;0,$H507&gt;0,OR(AUTOEVENTO&lt;&gt;"manual",$M507&lt;&gt;$A$15)),
        IF(Import.TipoArredondamento&lt;&gt;"TransfereGOV",
              ROUND(OFFSET($P507,0,AM$13),15-13*ORÇAMENTO!$AF$7)/$H507*OFFSET(ORÇAMENTO!$X$15,ROW(AM507)-ROW(AM$15),0),
              ROUND(ROUND(OFFSET($P507,0,AM$13),15-13*ORÇAMENTO!$AF$7)*OFFSET(ORÇAMENTO!$W$15,ROW(AM507)-ROW(AM$15),0),15-13*ORÇAMENTO!$AF$11)),
         0)</f>
        <v>0</v>
      </c>
      <c r="AN507" s="453">
        <f ca="1">IF(AND($D507="Serviço",AN$12&lt;&gt;0,$H507&gt;0,OR(AUTOEVENTO&lt;&gt;"manual",$M507&lt;&gt;$A$15)),
        IF(Import.TipoArredondamento&lt;&gt;"TransfereGOV",
              ROUND(OFFSET($P507,0,AN$13),15-13*ORÇAMENTO!$AF$7)/$H507*OFFSET(ORÇAMENTO!$X$15,ROW(AN507)-ROW(AN$15),0),
              ROUND(ROUND(OFFSET($P507,0,AN$13),15-13*ORÇAMENTO!$AF$7)*OFFSET(ORÇAMENTO!$W$15,ROW(AN507)-ROW(AN$15),0),15-13*ORÇAMENTO!$AF$11)),
         0)</f>
        <v>0</v>
      </c>
      <c r="AO507" s="453">
        <f ca="1">IF(AND($D507="Serviço",AO$12&lt;&gt;0,$H507&gt;0,OR(AUTOEVENTO&lt;&gt;"manual",$M507&lt;&gt;$A$15)),
        IF(Import.TipoArredondamento&lt;&gt;"TransfereGOV",
              ROUND(OFFSET($P507,0,AO$13),15-13*ORÇAMENTO!$AF$7)/$H507*OFFSET(ORÇAMENTO!$X$15,ROW(AO507)-ROW(AO$15),0),
              ROUND(ROUND(OFFSET($P507,0,AO$13),15-13*ORÇAMENTO!$AF$7)*OFFSET(ORÇAMENTO!$W$15,ROW(AO507)-ROW(AO$15),0),15-13*ORÇAMENTO!$AF$11)),
         0)</f>
        <v>0</v>
      </c>
      <c r="AP507" s="453">
        <f ca="1">IF(AND($D507="Serviço",AP$12&lt;&gt;0,$H507&gt;0,OR(AUTOEVENTO&lt;&gt;"manual",$M507&lt;&gt;$A$15)),
        IF(Import.TipoArredondamento&lt;&gt;"TransfereGOV",
              ROUND(OFFSET($P507,0,AP$13),15-13*ORÇAMENTO!$AF$7)/$H507*OFFSET(ORÇAMENTO!$X$15,ROW(AP507)-ROW(AP$15),0),
              ROUND(ROUND(OFFSET($P507,0,AP$13),15-13*ORÇAMENTO!$AF$7)*OFFSET(ORÇAMENTO!$W$15,ROW(AP507)-ROW(AP$15),0),15-13*ORÇAMENTO!$AF$11)),
         0)</f>
        <v>0</v>
      </c>
      <c r="AQ507" s="453">
        <f ca="1">IF(AND($D507="Serviço",AQ$12&lt;&gt;0,$H507&gt;0,OR(AUTOEVENTO&lt;&gt;"manual",$M507&lt;&gt;$A$15)),
        IF(Import.TipoArredondamento&lt;&gt;"TransfereGOV",
              ROUND(OFFSET($P507,0,AQ$13),15-13*ORÇAMENTO!$AF$7)/$H507*OFFSET(ORÇAMENTO!$X$15,ROW(AQ507)-ROW(AQ$15),0),
              ROUND(ROUND(OFFSET($P507,0,AQ$13),15-13*ORÇAMENTO!$AF$7)*OFFSET(ORÇAMENTO!$W$15,ROW(AQ507)-ROW(AQ$15),0),15-13*ORÇAMENTO!$AF$11)),
         0)</f>
        <v>0</v>
      </c>
      <c r="AR507" s="453">
        <f ca="1">IF(AND($D507="Serviço",AR$12&lt;&gt;0,$H507&gt;0,OR(AUTOEVENTO&lt;&gt;"manual",$M507&lt;&gt;$A$15)),
        IF(Import.TipoArredondamento&lt;&gt;"TransfereGOV",
              ROUND(OFFSET($P507,0,AR$13),15-13*ORÇAMENTO!$AF$7)/$H507*OFFSET(ORÇAMENTO!$X$15,ROW(AR507)-ROW(AR$15),0),
              ROUND(ROUND(OFFSET($P507,0,AR$13),15-13*ORÇAMENTO!$AF$7)*OFFSET(ORÇAMENTO!$W$15,ROW(AR507)-ROW(AR$15),0),15-13*ORÇAMENTO!$AF$11)),
         0)</f>
        <v>0</v>
      </c>
      <c r="AS507" s="453">
        <f ca="1">IF(AND($D507="Serviço",AS$12&lt;&gt;0,$H507&gt;0,OR(AUTOEVENTO&lt;&gt;"manual",$M507&lt;&gt;$A$15)),
        IF(Import.TipoArredondamento&lt;&gt;"TransfereGOV",
              ROUND(OFFSET($P507,0,AS$13),15-13*ORÇAMENTO!$AF$7)/$H507*OFFSET(ORÇAMENTO!$X$15,ROW(AS507)-ROW(AS$15),0),
              ROUND(ROUND(OFFSET($P507,0,AS$13),15-13*ORÇAMENTO!$AF$7)*OFFSET(ORÇAMENTO!$W$15,ROW(AS507)-ROW(AS$15),0),15-13*ORÇAMENTO!$AF$11)),
         0)</f>
        <v>0</v>
      </c>
      <c r="AT507" s="453">
        <f ca="1">IF(AND($D507="Serviço",AT$12&lt;&gt;0,$H507&gt;0,OR(AUTOEVENTO&lt;&gt;"manual",$M507&lt;&gt;$A$15)),
        IF(Import.TipoArredondamento&lt;&gt;"TransfereGOV",
              ROUND(OFFSET($P507,0,AT$13),15-13*ORÇAMENTO!$AF$7)/$H507*OFFSET(ORÇAMENTO!$X$15,ROW(AT507)-ROW(AT$15),0),
              ROUND(ROUND(OFFSET($P507,0,AT$13),15-13*ORÇAMENTO!$AF$7)*OFFSET(ORÇAMENTO!$W$15,ROW(AT507)-ROW(AT$15),0),15-13*ORÇAMENTO!$AF$11)),
         0)</f>
        <v>0</v>
      </c>
      <c r="AU507" s="453">
        <f ca="1">IF(AND($D507="Serviço",AU$12&lt;&gt;0,$H507&gt;0,OR(AUTOEVENTO&lt;&gt;"manual",$M507&lt;&gt;$A$15)),
        IF(Import.TipoArredondamento&lt;&gt;"TransfereGOV",
              ROUND(OFFSET($P507,0,AU$13),15-13*ORÇAMENTO!$AF$7)/$H507*OFFSET(ORÇAMENTO!$X$15,ROW(AU507)-ROW(AU$15),0),
              ROUND(ROUND(OFFSET($P507,0,AU$13),15-13*ORÇAMENTO!$AF$7)*OFFSET(ORÇAMENTO!$W$15,ROW(AU507)-ROW(AU$15),0),15-13*ORÇAMENTO!$AF$11)),
         0)</f>
        <v>0</v>
      </c>
      <c r="AV507" s="453">
        <f ca="1">IF(AND($D507="Serviço",AV$12&lt;&gt;0,$H507&gt;0,OR(AUTOEVENTO&lt;&gt;"manual",$M507&lt;&gt;$A$15)),
        IF(Import.TipoArredondamento&lt;&gt;"TransfereGOV",
              ROUND(OFFSET($P507,0,AV$13),15-13*ORÇAMENTO!$AF$7)/$H507*OFFSET(ORÇAMENTO!$X$15,ROW(AV507)-ROW(AV$15),0),
              ROUND(ROUND(OFFSET($P507,0,AV$13),15-13*ORÇAMENTO!$AF$7)*OFFSET(ORÇAMENTO!$W$15,ROW(AV507)-ROW(AV$15),0),15-13*ORÇAMENTO!$AF$11)),
         0)</f>
        <v>0</v>
      </c>
      <c r="AW507" s="453">
        <f ca="1">IF(AND($D507="Serviço",AW$12&lt;&gt;0,$H507&gt;0,OR(AUTOEVENTO&lt;&gt;"manual",$M507&lt;&gt;$A$15)),
        IF(Import.TipoArredondamento&lt;&gt;"TransfereGOV",
              ROUND(OFFSET($P507,0,AW$13),15-13*ORÇAMENTO!$AF$7)/$H507*OFFSET(ORÇAMENTO!$X$15,ROW(AW507)-ROW(AW$15),0),
              ROUND(ROUND(OFFSET($P507,0,AW$13),15-13*ORÇAMENTO!$AF$7)*OFFSET(ORÇAMENTO!$W$15,ROW(AW507)-ROW(AW$15),0),15-13*ORÇAMENTO!$AF$11)),
         0)</f>
        <v>0</v>
      </c>
      <c r="AX507" s="453">
        <f ca="1">IF(AND($D507="Serviço",AX$12&lt;&gt;0,$H507&gt;0,OR(AUTOEVENTO&lt;&gt;"manual",$M507&lt;&gt;$A$15)),
        IF(Import.TipoArredondamento&lt;&gt;"TransfereGOV",
              ROUND(OFFSET($P507,0,AX$13),15-13*ORÇAMENTO!$AF$7)/$H507*OFFSET(ORÇAMENTO!$X$15,ROW(AX507)-ROW(AX$15),0),
              ROUND(ROUND(OFFSET($P507,0,AX$13),15-13*ORÇAMENTO!$AF$7)*OFFSET(ORÇAMENTO!$W$15,ROW(AX507)-ROW(AX$15),0),15-13*ORÇAMENTO!$AF$11)),
         0)</f>
        <v>0</v>
      </c>
      <c r="AY507" s="453">
        <f ca="1">IF(AND($D507="Serviço",AY$12&lt;&gt;0,$H507&gt;0,OR(AUTOEVENTO&lt;&gt;"manual",$M507&lt;&gt;$A$15)),
        IF(Import.TipoArredondamento&lt;&gt;"TransfereGOV",
              ROUND(OFFSET($P507,0,AY$13),15-13*ORÇAMENTO!$AF$7)/$H507*OFFSET(ORÇAMENTO!$X$15,ROW(AY507)-ROW(AY$15),0),
              ROUND(ROUND(OFFSET($P507,0,AY$13),15-13*ORÇAMENTO!$AF$7)*OFFSET(ORÇAMENTO!$W$15,ROW(AY507)-ROW(AY$15),0),15-13*ORÇAMENTO!$AF$11)),
         0)</f>
        <v>0</v>
      </c>
      <c r="AZ507" s="453">
        <f ca="1">IF(AND($D507="Serviço",AZ$12&lt;&gt;0,$H507&gt;0,OR(AUTOEVENTO&lt;&gt;"manual",$M507&lt;&gt;$A$15)),
        IF(Import.TipoArredondamento&lt;&gt;"TransfereGOV",
              ROUND(OFFSET($P507,0,AZ$13),15-13*ORÇAMENTO!$AF$7)/$H507*OFFSET(ORÇAMENTO!$X$15,ROW(AZ507)-ROW(AZ$15),0),
              ROUND(ROUND(OFFSET($P507,0,AZ$13),15-13*ORÇAMENTO!$AF$7)*OFFSET(ORÇAMENTO!$W$15,ROW(AZ507)-ROW(AZ$15),0),15-13*ORÇAMENTO!$AF$11)),
         0)</f>
        <v>0</v>
      </c>
      <c r="BA507" s="453">
        <f ca="1">IF(AND($D507="Serviço",BA$12&lt;&gt;0,$H507&gt;0,OR(AUTOEVENTO&lt;&gt;"manual",$M507&lt;&gt;$A$15)),
        IF(Import.TipoArredondamento&lt;&gt;"TransfereGOV",
              ROUND(OFFSET($P507,0,BA$13),15-13*ORÇAMENTO!$AF$7)/$H507*OFFSET(ORÇAMENTO!$X$15,ROW(BA507)-ROW(BA$15),0),
              ROUND(ROUND(OFFSET($P507,0,BA$13),15-13*ORÇAMENTO!$AF$7)*OFFSET(ORÇAMENTO!$W$15,ROW(BA507)-ROW(BA$15),0),15-13*ORÇAMENTO!$AF$11)),
         0)</f>
        <v>0</v>
      </c>
      <c r="BC507" s="171">
        <f ca="1">IF(OR($D507&lt;&gt;"Serviço",AND(AUTOEVENTO="Manual",$M507=$A$15)),0,
         IF(OFFSET(CRONOPLE!$F$15,$M507-$A$15,BC$13)=0,10^12,OFFSET(CRONOPLE!$F$15,$M507-$A$15,BC$13)))</f>
        <v>1000000000000</v>
      </c>
      <c r="BD507" s="171">
        <f ca="1">IF(OR($D507&lt;&gt;"Serviço",AND(AUTOEVENTO="Manual",$M507=$A$15)),0,
         IF(OFFSET(CRONOPLE!$F$15,$M507-$A$15,BD$13)=0,10^12,OFFSET(CRONOPLE!$F$15,$M507-$A$15,BD$13)))</f>
        <v>1000000000000</v>
      </c>
      <c r="BE507" s="171">
        <f ca="1">IF(OR($D507&lt;&gt;"Serviço",AND(AUTOEVENTO="Manual",$M507=$A$15)),0,
         IF(OFFSET(CRONOPLE!$F$15,$M507-$A$15,BE$13)=0,10^12,OFFSET(CRONOPLE!$F$15,$M507-$A$15,BE$13)))</f>
        <v>1000000000000</v>
      </c>
      <c r="BF507" s="171">
        <f ca="1">IF(OR($D507&lt;&gt;"Serviço",AND(AUTOEVENTO="Manual",$M507=$A$15)),0,
         IF(OFFSET(CRONOPLE!$F$15,$M507-$A$15,BF$13)=0,10^12,OFFSET(CRONOPLE!$F$15,$M507-$A$15,BF$13)))</f>
        <v>1000000000000</v>
      </c>
      <c r="BG507" s="171">
        <f ca="1">IF(OR($D507&lt;&gt;"Serviço",AND(AUTOEVENTO="Manual",$M507=$A$15)),0,
         IF(OFFSET(CRONOPLE!$F$15,$M507-$A$15,BG$13)=0,10^12,OFFSET(CRONOPLE!$F$15,$M507-$A$15,BG$13)))</f>
        <v>1000000000000</v>
      </c>
      <c r="BH507" s="171">
        <f ca="1">IF(OR($D507&lt;&gt;"Serviço",AND(AUTOEVENTO="Manual",$M507=$A$15)),0,
         IF(OFFSET(CRONOPLE!$F$15,$M507-$A$15,BH$13)=0,10^12,OFFSET(CRONOPLE!$F$15,$M507-$A$15,BH$13)))</f>
        <v>1000000000000</v>
      </c>
      <c r="BI507" s="171">
        <f ca="1">IF(OR($D507&lt;&gt;"Serviço",AND(AUTOEVENTO="Manual",$M507=$A$15)),0,
         IF(OFFSET(CRONOPLE!$F$15,$M507-$A$15,BI$13)=0,10^12,OFFSET(CRONOPLE!$F$15,$M507-$A$15,BI$13)))</f>
        <v>1000000000000</v>
      </c>
      <c r="BJ507" s="171">
        <f ca="1">IF(OR($D507&lt;&gt;"Serviço",AND(AUTOEVENTO="Manual",$M507=$A$15)),0,
         IF(OFFSET(CRONOPLE!$F$15,$M507-$A$15,BJ$13)=0,10^12,OFFSET(CRONOPLE!$F$15,$M507-$A$15,BJ$13)))</f>
        <v>1000000000000</v>
      </c>
      <c r="BK507" s="171">
        <f ca="1">IF(OR($D507&lt;&gt;"Serviço",AND(AUTOEVENTO="Manual",$M507=$A$15)),0,
         IF(OFFSET(CRONOPLE!$F$15,$M507-$A$15,BK$13)=0,10^12,OFFSET(CRONOPLE!$F$15,$M507-$A$15,BK$13)))</f>
        <v>9</v>
      </c>
      <c r="BL507" s="171">
        <f ca="1">IF(OR($D507&lt;&gt;"Serviço",AND(AUTOEVENTO="Manual",$M507=$A$15)),0,
         IF(OFFSET(CRONOPLE!$F$15,$M507-$A$15,BL$13)=0,10^12,OFFSET(CRONOPLE!$F$15,$M507-$A$15,BL$13)))</f>
        <v>10</v>
      </c>
      <c r="BM507" s="171">
        <f ca="1">IF(OR($D507&lt;&gt;"Serviço",AND(AUTOEVENTO="Manual",$M507=$A$15)),0,
         IF(OFFSET(CRONOPLE!$F$15,$M507-$A$15,BM$13)=0,10^12,OFFSET(CRONOPLE!$F$15,$M507-$A$15,BM$13)))</f>
        <v>1000000000000</v>
      </c>
      <c r="BN507" s="171">
        <f ca="1">IF(OR($D507&lt;&gt;"Serviço",AND(AUTOEVENTO="Manual",$M507=$A$15)),0,
         IF(OFFSET(CRONOPLE!$F$15,$M507-$A$15,BN$13)=0,10^12,OFFSET(CRONOPLE!$F$15,$M507-$A$15,BN$13)))</f>
        <v>1000000000000</v>
      </c>
      <c r="BO507" s="171">
        <f ca="1">IF(OR($D507&lt;&gt;"Serviço",AND(AUTOEVENTO="Manual",$M507=$A$15)),0,
         IF(OFFSET(CRONOPLE!$F$15,$M507-$A$15,BO$13)=0,10^12,OFFSET(CRONOPLE!$F$15,$M507-$A$15,BO$13)))</f>
        <v>1000000000000</v>
      </c>
      <c r="BP507" s="171">
        <f ca="1">IF(OR($D507&lt;&gt;"Serviço",AND(AUTOEVENTO="Manual",$M507=$A$15)),0,
         IF(OFFSET(CRONOPLE!$F$15,$M507-$A$15,BP$13)=0,10^12,OFFSET(CRONOPLE!$F$15,$M507-$A$15,BP$13)))</f>
        <v>1000000000000</v>
      </c>
      <c r="BQ507" s="171">
        <f ca="1">IF(OR($D507&lt;&gt;"Serviço",AND(AUTOEVENTO="Manual",$M507=$A$15)),0,
         IF(OFFSET(CRONOPLE!$F$15,$M507-$A$15,BQ$13)=0,10^12,OFFSET(CRONOPLE!$F$15,$M507-$A$15,BQ$13)))</f>
        <v>1000000000000</v>
      </c>
      <c r="BR507" s="171">
        <f ca="1">IF(OR($D507&lt;&gt;"Serviço",AND(AUTOEVENTO="Manual",$M507=$A$15)),0,
         IF(OFFSET(CRONOPLE!$F$15,$M507-$A$15,BR$13)=0,10^12,OFFSET(CRONOPLE!$F$15,$M507-$A$15,BR$13)))</f>
        <v>1000000000000</v>
      </c>
      <c r="BS507" s="171">
        <f ca="1">IF(OR($D507&lt;&gt;"Serviço",AND(AUTOEVENTO="Manual",$M507=$A$15)),0,
         IF(OFFSET(CRONOPLE!$F$15,$M507-$A$15,BS$13)=0,10^12,OFFSET(CRONOPLE!$F$15,$M507-$A$15,BS$13)))</f>
        <v>1000000000000</v>
      </c>
      <c r="BT507" s="171">
        <f ca="1">IF(OR($D507&lt;&gt;"Serviço",AND(AUTOEVENTO="Manual",$M507=$A$15)),0,
         IF(OFFSET(CRONOPLE!$F$15,$M507-$A$15,BT$13)=0,10^12,OFFSET(CRONOPLE!$F$15,$M507-$A$15,BT$13)))</f>
        <v>1000000000000</v>
      </c>
      <c r="BV507" s="172">
        <f ca="1">IF(OR($D507&lt;&gt;"Serviço",AND(AUTOEVENTO="Manual",$M507=$A$15),$M507&gt;(ROW(PLE.lastrow)-ROW(PLE.firstrow))),0,
           IF(OFFSET(PLE!$G$15,$M507-$A$15,BV$13)="",10^12,OFFSET(PLE!$G$15,$M507-$A$15,BV$13)))</f>
        <v>1000000000000</v>
      </c>
      <c r="BW507" s="172">
        <f ca="1">IF(OR($D507&lt;&gt;"Serviço",AND(AUTOEVENTO="Manual",$M507=$A$15),$M507&gt;(ROW(PLE.lastrow)-ROW(PLE.firstrow))),0,
           IF(OFFSET(PLE!$G$15,$M507-$A$15,BW$13)="",10^12,OFFSET(PLE!$G$15,$M507-$A$15,BW$13)))</f>
        <v>1000000000000</v>
      </c>
      <c r="BX507" s="172">
        <f ca="1">IF(OR($D507&lt;&gt;"Serviço",AND(AUTOEVENTO="Manual",$M507=$A$15),$M507&gt;(ROW(PLE.lastrow)-ROW(PLE.firstrow))),0,
           IF(OFFSET(PLE!$G$15,$M507-$A$15,BX$13)="",10^12,OFFSET(PLE!$G$15,$M507-$A$15,BX$13)))</f>
        <v>1000000000000</v>
      </c>
      <c r="BY507" s="172">
        <f ca="1">IF(OR($D507&lt;&gt;"Serviço",AND(AUTOEVENTO="Manual",$M507=$A$15),$M507&gt;(ROW(PLE.lastrow)-ROW(PLE.firstrow))),0,
           IF(OFFSET(PLE!$G$15,$M507-$A$15,BY$13)="",10^12,OFFSET(PLE!$G$15,$M507-$A$15,BY$13)))</f>
        <v>1000000000000</v>
      </c>
      <c r="BZ507" s="172">
        <f ca="1">IF(OR($D507&lt;&gt;"Serviço",AND(AUTOEVENTO="Manual",$M507=$A$15),$M507&gt;(ROW(PLE.lastrow)-ROW(PLE.firstrow))),0,
           IF(OFFSET(PLE!$G$15,$M507-$A$15,BZ$13)="",10^12,OFFSET(PLE!$G$15,$M507-$A$15,BZ$13)))</f>
        <v>1000000000000</v>
      </c>
      <c r="CA507" s="172">
        <f ca="1">IF(OR($D507&lt;&gt;"Serviço",AND(AUTOEVENTO="Manual",$M507=$A$15),$M507&gt;(ROW(PLE.lastrow)-ROW(PLE.firstrow))),0,
           IF(OFFSET(PLE!$G$15,$M507-$A$15,CA$13)="",10^12,OFFSET(PLE!$G$15,$M507-$A$15,CA$13)))</f>
        <v>1000000000000</v>
      </c>
      <c r="CB507" s="172">
        <f ca="1">IF(OR($D507&lt;&gt;"Serviço",AND(AUTOEVENTO="Manual",$M507=$A$15),$M507&gt;(ROW(PLE.lastrow)-ROW(PLE.firstrow))),0,
           IF(OFFSET(PLE!$G$15,$M507-$A$15,CB$13)="",10^12,OFFSET(PLE!$G$15,$M507-$A$15,CB$13)))</f>
        <v>1000000000000</v>
      </c>
      <c r="CC507" s="172">
        <f ca="1">IF(OR($D507&lt;&gt;"Serviço",AND(AUTOEVENTO="Manual",$M507=$A$15),$M507&gt;(ROW(PLE.lastrow)-ROW(PLE.firstrow))),0,
           IF(OFFSET(PLE!$G$15,$M507-$A$15,CC$13)="",10^12,OFFSET(PLE!$G$15,$M507-$A$15,CC$13)))</f>
        <v>1000000000000</v>
      </c>
      <c r="CD507" s="172">
        <f ca="1">IF(OR($D507&lt;&gt;"Serviço",AND(AUTOEVENTO="Manual",$M507=$A$15),$M507&gt;(ROW(PLE.lastrow)-ROW(PLE.firstrow))),0,
           IF(OFFSET(PLE!$G$15,$M507-$A$15,CD$13)="",10^12,OFFSET(PLE!$G$15,$M507-$A$15,CD$13)))</f>
        <v>1000000000000</v>
      </c>
      <c r="CE507" s="172">
        <f ca="1">IF(OR($D507&lt;&gt;"Serviço",AND(AUTOEVENTO="Manual",$M507=$A$15),$M507&gt;(ROW(PLE.lastrow)-ROW(PLE.firstrow))),0,
           IF(OFFSET(PLE!$G$15,$M507-$A$15,CE$13)="",10^12,OFFSET(PLE!$G$15,$M507-$A$15,CE$13)))</f>
        <v>1000000000000</v>
      </c>
      <c r="CF507" s="172">
        <f ca="1">IF(OR($D507&lt;&gt;"Serviço",AND(AUTOEVENTO="Manual",$M507=$A$15),$M507&gt;(ROW(PLE.lastrow)-ROW(PLE.firstrow))),0,
           IF(OFFSET(PLE!$G$15,$M507-$A$15,CF$13)="",10^12,OFFSET(PLE!$G$15,$M507-$A$15,CF$13)))</f>
        <v>1000000000000</v>
      </c>
      <c r="CG507" s="172">
        <f ca="1">IF(OR($D507&lt;&gt;"Serviço",AND(AUTOEVENTO="Manual",$M507=$A$15),$M507&gt;(ROW(PLE.lastrow)-ROW(PLE.firstrow))),0,
           IF(OFFSET(PLE!$G$15,$M507-$A$15,CG$13)="",10^12,OFFSET(PLE!$G$15,$M507-$A$15,CG$13)))</f>
        <v>1000000000000</v>
      </c>
      <c r="CH507" s="172">
        <f ca="1">IF(OR($D507&lt;&gt;"Serviço",AND(AUTOEVENTO="Manual",$M507=$A$15),$M507&gt;(ROW(PLE.lastrow)-ROW(PLE.firstrow))),0,
           IF(OFFSET(PLE!$G$15,$M507-$A$15,CH$13)="",10^12,OFFSET(PLE!$G$15,$M507-$A$15,CH$13)))</f>
        <v>1000000000000</v>
      </c>
      <c r="CI507" s="172">
        <f ca="1">IF(OR($D507&lt;&gt;"Serviço",AND(AUTOEVENTO="Manual",$M507=$A$15),$M507&gt;(ROW(PLE.lastrow)-ROW(PLE.firstrow))),0,
           IF(OFFSET(PLE!$G$15,$M507-$A$15,CI$13)="",10^12,OFFSET(PLE!$G$15,$M507-$A$15,CI$13)))</f>
        <v>1000000000000</v>
      </c>
      <c r="CJ507" s="172">
        <f ca="1">IF(OR($D507&lt;&gt;"Serviço",AND(AUTOEVENTO="Manual",$M507=$A$15),$M507&gt;(ROW(PLE.lastrow)-ROW(PLE.firstrow))),0,
           IF(OFFSET(PLE!$G$15,$M507-$A$15,CJ$13)="",10^12,OFFSET(PLE!$G$15,$M507-$A$15,CJ$13)))</f>
        <v>1000000000000</v>
      </c>
      <c r="CK507" s="172">
        <f ca="1">IF(OR($D507&lt;&gt;"Serviço",AND(AUTOEVENTO="Manual",$M507=$A$15),$M507&gt;(ROW(PLE.lastrow)-ROW(PLE.firstrow))),0,
           IF(OFFSET(PLE!$G$15,$M507-$A$15,CK$13)="",10^12,OFFSET(PLE!$G$15,$M507-$A$15,CK$13)))</f>
        <v>1000000000000</v>
      </c>
      <c r="CL507" s="172">
        <f ca="1">IF(OR($D507&lt;&gt;"Serviço",AND(AUTOEVENTO="Manual",$M507=$A$15),$M507&gt;(ROW(PLE.lastrow)-ROW(PLE.firstrow))),0,
           IF(OFFSET(PLE!$G$15,$M507-$A$15,CL$13)="",10^12,OFFSET(PLE!$G$15,$M507-$A$15,CL$13)))</f>
        <v>1000000000000</v>
      </c>
      <c r="CM507" s="172">
        <f ca="1">IF(OR($D507&lt;&gt;"Serviço",AND(AUTOEVENTO="Manual",$M507=$A$15),$M507&gt;(ROW(PLE.lastrow)-ROW(PLE.firstrow))),0,
           IF(OFFSET(PLE!$G$15,$M507-$A$15,CM$13)="",10^12,OFFSET(PLE!$G$15,$M507-$A$15,CM$13)))</f>
        <v>1000000000000</v>
      </c>
    </row>
    <row r="508" spans="1:91" ht="5.0999999999999996" customHeight="1" x14ac:dyDescent="0.2">
      <c r="B508" s="7">
        <f ca="1">OFFSET(ORÇAMENTO!C$15,ROW(B508)-ROW(B$15),0)</f>
        <v>-1</v>
      </c>
      <c r="C508" s="7" t="str">
        <f ca="1">OFFSET(ORÇAMENTO!L$15,ROW(C508)-ROW(C$15),0)</f>
        <v>F</v>
      </c>
      <c r="D508" s="624" t="s">
        <v>700</v>
      </c>
      <c r="E508" s="608"/>
      <c r="F508" s="609"/>
      <c r="G508" s="609"/>
      <c r="H508" s="609"/>
      <c r="I508" s="419"/>
      <c r="K508" s="569"/>
      <c r="L508" s="165" t="s">
        <v>764</v>
      </c>
      <c r="M508" s="421"/>
      <c r="N508" s="420"/>
      <c r="O508" s="625"/>
      <c r="Q508" s="608"/>
      <c r="R508" s="609"/>
      <c r="S508" s="609"/>
      <c r="T508" s="609"/>
      <c r="U508" s="609"/>
      <c r="V508" s="609"/>
      <c r="W508" s="609"/>
      <c r="X508" s="609"/>
      <c r="Y508" s="609"/>
      <c r="Z508" s="419"/>
      <c r="AA508" s="609"/>
      <c r="AB508" s="609"/>
      <c r="AC508" s="609"/>
      <c r="AD508" s="609"/>
      <c r="AE508" s="609"/>
      <c r="AF508" s="609"/>
      <c r="AG508" s="609"/>
      <c r="AH508" s="419"/>
      <c r="AJ508" s="626"/>
      <c r="AK508" s="627"/>
      <c r="AL508" s="627"/>
      <c r="AM508" s="627"/>
      <c r="AN508" s="627"/>
      <c r="AO508" s="627"/>
      <c r="AP508" s="627"/>
      <c r="AQ508" s="627"/>
      <c r="AR508" s="627"/>
      <c r="AS508" s="133"/>
      <c r="AT508" s="627"/>
      <c r="AU508" s="627"/>
      <c r="AV508" s="627"/>
      <c r="AW508" s="627"/>
      <c r="AX508" s="627"/>
      <c r="AY508" s="627"/>
      <c r="AZ508" s="627"/>
      <c r="BA508" s="133"/>
      <c r="BC508" s="626"/>
      <c r="BD508" s="627"/>
      <c r="BE508" s="627"/>
      <c r="BF508" s="627"/>
      <c r="BG508" s="627"/>
      <c r="BH508" s="627"/>
      <c r="BI508" s="627"/>
      <c r="BJ508" s="627"/>
      <c r="BK508" s="627"/>
      <c r="BL508" s="133"/>
      <c r="BM508" s="627"/>
      <c r="BN508" s="627"/>
      <c r="BO508" s="627"/>
      <c r="BP508" s="627"/>
      <c r="BQ508" s="627"/>
      <c r="BR508" s="627"/>
      <c r="BS508" s="627"/>
      <c r="BT508" s="133"/>
      <c r="BV508" s="626"/>
      <c r="BW508" s="627"/>
      <c r="BX508" s="627"/>
      <c r="BY508" s="627"/>
      <c r="BZ508" s="627"/>
      <c r="CA508" s="627"/>
      <c r="CB508" s="627"/>
      <c r="CC508" s="627"/>
      <c r="CD508" s="627"/>
      <c r="CE508" s="133"/>
      <c r="CF508" s="627"/>
      <c r="CG508" s="627"/>
      <c r="CH508" s="627"/>
      <c r="CI508" s="627"/>
      <c r="CJ508" s="627"/>
      <c r="CK508" s="627"/>
      <c r="CL508" s="627"/>
      <c r="CM508" s="133"/>
    </row>
    <row r="509" spans="1:91" ht="12.75" customHeight="1" x14ac:dyDescent="0.2"/>
    <row r="510" spans="1:91" ht="12.75" customHeight="1" x14ac:dyDescent="0.2"/>
    <row r="511" spans="1:91" ht="12.75" customHeight="1" x14ac:dyDescent="0.2"/>
    <row r="512" spans="1:91" ht="15" customHeight="1" x14ac:dyDescent="0.2">
      <c r="F512" s="179" t="str">
        <f>Import.Município</f>
        <v>Araguari / MG</v>
      </c>
      <c r="I512" s="460"/>
      <c r="J512" s="460"/>
      <c r="K512" s="460"/>
      <c r="L512" s="460"/>
      <c r="M512" s="461"/>
      <c r="N512" s="417"/>
      <c r="T512" s="139"/>
      <c r="U512" s="139"/>
      <c r="V512" s="180"/>
      <c r="W512" s="180"/>
      <c r="X512" s="180"/>
      <c r="Y512" s="180"/>
      <c r="AB512" s="139"/>
      <c r="AC512" s="139"/>
      <c r="AD512" s="180"/>
      <c r="AE512" s="180"/>
      <c r="AF512" s="180"/>
      <c r="AG512" s="180"/>
    </row>
    <row r="513" spans="3:29" ht="12.75" customHeight="1" x14ac:dyDescent="0.2">
      <c r="F513" s="9" t="s">
        <v>693</v>
      </c>
      <c r="I513" s="181" t="s">
        <v>696</v>
      </c>
      <c r="J513" s="181"/>
      <c r="K513" s="181"/>
      <c r="L513" s="181"/>
      <c r="T513" s="181" t="s">
        <v>696</v>
      </c>
      <c r="U513" s="181"/>
      <c r="AB513" s="181" t="s">
        <v>696</v>
      </c>
      <c r="AC513" s="181"/>
    </row>
    <row r="514" spans="3:29" ht="12.75" customHeight="1" x14ac:dyDescent="0.2">
      <c r="I514" s="398" t="str">
        <f t="array" aca="1" ref="I514:I516" ca="1">OFFSET(Import.RespOrçamento,0,-1) &amp; " " &amp; Import.RespOrçamento</f>
        <v>Nome: JULIANA GONÇALVES OLIVEIRA</v>
      </c>
      <c r="K514" s="79"/>
      <c r="L514" s="79"/>
      <c r="T514" s="398" t="str">
        <f t="array" aca="1" ref="T514:T516" ca="1">OFFSET(Import.RespOrçamento,0,-1) &amp; " " &amp; Import.RespOrçamento</f>
        <v>Nome: JULIANA GONÇALVES OLIVEIRA</v>
      </c>
      <c r="U514" s="78"/>
      <c r="AB514" s="398" t="str">
        <f t="array" aca="1" ref="AB514:AB516" ca="1">OFFSET(Import.RespOrçamento,0,-1) &amp; " " &amp; Import.RespOrçamento</f>
        <v>Nome: JULIANA GONÇALVES OLIVEIRA</v>
      </c>
      <c r="AC514" s="78"/>
    </row>
    <row r="515" spans="3:29" ht="12.75" customHeight="1" x14ac:dyDescent="0.2">
      <c r="F515" s="459">
        <f>DADOS!$C$25</f>
        <v>45996</v>
      </c>
      <c r="I515" s="398" t="str">
        <f ca="1"/>
        <v>CREA/CAU: 239787 / D</v>
      </c>
      <c r="K515" s="79"/>
      <c r="L515" s="79"/>
      <c r="T515" s="398" t="str">
        <f ca="1"/>
        <v>CREA/CAU: 239787 / D</v>
      </c>
      <c r="U515" s="78"/>
      <c r="AB515" s="398" t="str">
        <f ca="1"/>
        <v>CREA/CAU: 239787 / D</v>
      </c>
      <c r="AC515" s="78"/>
    </row>
    <row r="516" spans="3:29" ht="12.75" customHeight="1" x14ac:dyDescent="0.2">
      <c r="F516" s="140" t="s">
        <v>694</v>
      </c>
      <c r="I516" s="398" t="str">
        <f ca="1"/>
        <v>ART/RRT:  Nº MG20253772936</v>
      </c>
      <c r="K516" s="79"/>
      <c r="L516" s="79"/>
      <c r="T516" s="398" t="str">
        <f ca="1"/>
        <v>ART/RRT:  Nº MG20253772936</v>
      </c>
      <c r="U516" s="78"/>
      <c r="AB516" s="398" t="str">
        <f ca="1"/>
        <v>ART/RRT:  Nº MG20253772936</v>
      </c>
      <c r="AC516" s="78"/>
    </row>
    <row r="517" spans="3:29" ht="12.75" customHeight="1" x14ac:dyDescent="0.2">
      <c r="C517"/>
      <c r="M517"/>
    </row>
    <row r="518" spans="3:29" ht="12.75" customHeight="1" x14ac:dyDescent="0.2">
      <c r="C518"/>
      <c r="M518"/>
    </row>
    <row r="519" spans="3:29" ht="12.75" customHeight="1" x14ac:dyDescent="0.2">
      <c r="C519"/>
      <c r="M519"/>
    </row>
    <row r="520" spans="3:29" ht="12.75" customHeight="1" x14ac:dyDescent="0.2">
      <c r="C520"/>
      <c r="M520"/>
    </row>
    <row r="521" spans="3:29" ht="12.75" customHeight="1" x14ac:dyDescent="0.2">
      <c r="C521"/>
      <c r="M521"/>
    </row>
    <row r="522" spans="3:29" ht="12.75" customHeight="1" x14ac:dyDescent="0.2">
      <c r="C522"/>
      <c r="M522"/>
    </row>
    <row r="523" spans="3:29" ht="12.75" customHeight="1" x14ac:dyDescent="0.2">
      <c r="C523"/>
      <c r="M523"/>
    </row>
    <row r="524" spans="3:29" ht="12.75" customHeight="1" x14ac:dyDescent="0.2">
      <c r="C524"/>
      <c r="M524"/>
    </row>
    <row r="525" spans="3:29" ht="12.75" customHeight="1" x14ac:dyDescent="0.2">
      <c r="C525"/>
      <c r="M525"/>
    </row>
    <row r="526" spans="3:29" ht="12.75" customHeight="1" x14ac:dyDescent="0.2">
      <c r="C526"/>
      <c r="M526"/>
    </row>
    <row r="527" spans="3:29" ht="12.75" customHeight="1" x14ac:dyDescent="0.2">
      <c r="C527"/>
      <c r="M527"/>
    </row>
    <row r="528" spans="3:29"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77" spans="3:13" ht="12.75" customHeight="1" x14ac:dyDescent="0.2">
      <c r="C4477"/>
      <c r="M4477"/>
    </row>
    <row r="4478" spans="3:13" ht="12.75" customHeight="1" x14ac:dyDescent="0.2">
      <c r="C4478"/>
      <c r="M4478"/>
    </row>
    <row r="4479" spans="3:13" ht="12.75" customHeight="1" x14ac:dyDescent="0.2">
      <c r="C4479"/>
      <c r="M4479"/>
    </row>
    <row r="4480" spans="3:13" ht="12.75" customHeight="1" x14ac:dyDescent="0.2">
      <c r="C4480"/>
      <c r="M4480"/>
    </row>
    <row r="4481" spans="3:13" ht="12.75" customHeight="1" x14ac:dyDescent="0.2">
      <c r="C4481"/>
      <c r="M4481"/>
    </row>
    <row r="4482" spans="3:13" ht="12.75" customHeight="1" x14ac:dyDescent="0.2">
      <c r="C4482"/>
      <c r="M4482"/>
    </row>
    <row r="4483" spans="3:13" ht="12.75" customHeight="1" x14ac:dyDescent="0.2">
      <c r="C4483"/>
      <c r="M4483"/>
    </row>
    <row r="4484" spans="3:13" ht="12.75" customHeight="1" x14ac:dyDescent="0.2">
      <c r="C4484"/>
      <c r="M4484"/>
    </row>
    <row r="4485" spans="3:13" ht="12.75" customHeight="1" x14ac:dyDescent="0.2">
      <c r="C4485"/>
      <c r="M4485"/>
    </row>
    <row r="4486" spans="3:13" ht="12.75" customHeight="1" x14ac:dyDescent="0.2">
      <c r="C4486"/>
      <c r="M4486"/>
    </row>
    <row r="4487" spans="3:13" ht="12.75" customHeight="1" x14ac:dyDescent="0.2">
      <c r="C4487"/>
      <c r="M4487"/>
    </row>
    <row r="4488" spans="3:13" ht="12.75" customHeight="1" x14ac:dyDescent="0.2">
      <c r="C4488"/>
      <c r="M4488"/>
    </row>
    <row r="4489" spans="3:13" ht="12.75" customHeight="1" x14ac:dyDescent="0.2">
      <c r="C4489"/>
      <c r="M4489"/>
    </row>
    <row r="4490" spans="3:13" ht="12.75" customHeight="1" x14ac:dyDescent="0.2">
      <c r="C4490"/>
      <c r="M4490"/>
    </row>
    <row r="4491" spans="3:13" ht="12.75" customHeight="1" x14ac:dyDescent="0.2">
      <c r="C4491"/>
      <c r="M4491"/>
    </row>
    <row r="4492" spans="3:13" ht="12.75" customHeight="1" x14ac:dyDescent="0.2">
      <c r="C4492"/>
      <c r="M4492"/>
    </row>
    <row r="4493" spans="3:13" ht="12.75" customHeight="1" x14ac:dyDescent="0.2">
      <c r="C4493"/>
      <c r="M4493"/>
    </row>
    <row r="4494" spans="3:13" ht="12.75" customHeight="1" x14ac:dyDescent="0.2">
      <c r="C4494"/>
      <c r="M4494"/>
    </row>
    <row r="4495" spans="3:13" ht="12.75" customHeight="1" x14ac:dyDescent="0.2">
      <c r="C4495"/>
      <c r="M4495"/>
    </row>
    <row r="4496" spans="3:13" ht="12.75" customHeight="1" x14ac:dyDescent="0.2">
      <c r="C4496"/>
      <c r="M4496"/>
    </row>
    <row r="4497" spans="3:13" ht="12.75" customHeight="1" x14ac:dyDescent="0.2">
      <c r="C4497"/>
      <c r="M4497"/>
    </row>
    <row r="4498" spans="3:13" ht="12.75" customHeight="1" x14ac:dyDescent="0.2">
      <c r="C4498"/>
      <c r="M4498"/>
    </row>
    <row r="4499" spans="3:13" ht="12.75" customHeight="1" x14ac:dyDescent="0.2">
      <c r="C4499"/>
      <c r="M4499"/>
    </row>
    <row r="4500" spans="3:13" ht="12.75" customHeight="1" x14ac:dyDescent="0.2">
      <c r="C4500"/>
      <c r="M4500"/>
    </row>
    <row r="4501" spans="3:13" ht="12.75" customHeight="1" x14ac:dyDescent="0.2">
      <c r="C4501"/>
      <c r="M4501"/>
    </row>
    <row r="4502" spans="3:13" ht="12.75" customHeight="1" x14ac:dyDescent="0.2">
      <c r="C4502"/>
      <c r="M4502"/>
    </row>
    <row r="4503" spans="3:13" ht="12.75" customHeight="1" x14ac:dyDescent="0.2">
      <c r="C4503"/>
      <c r="M4503"/>
    </row>
    <row r="4504" spans="3:13" ht="12.75" customHeight="1" x14ac:dyDescent="0.2">
      <c r="C4504"/>
      <c r="M4504"/>
    </row>
    <row r="4505" spans="3:13" ht="12.75" customHeight="1" x14ac:dyDescent="0.2">
      <c r="C4505"/>
      <c r="M4505"/>
    </row>
    <row r="4506" spans="3:13" ht="12.75" customHeight="1" x14ac:dyDescent="0.2">
      <c r="C4506"/>
      <c r="M4506"/>
    </row>
    <row r="4507" spans="3:13" ht="12.75" customHeight="1" x14ac:dyDescent="0.2">
      <c r="C4507"/>
      <c r="M4507"/>
    </row>
    <row r="4508" spans="3:13" ht="12.75" customHeight="1" x14ac:dyDescent="0.2">
      <c r="C4508"/>
      <c r="M4508"/>
    </row>
    <row r="4509" spans="3:13" ht="12.75" customHeight="1" x14ac:dyDescent="0.2">
      <c r="C4509"/>
      <c r="M4509"/>
    </row>
    <row r="4510" spans="3:13" ht="12.75" customHeight="1" x14ac:dyDescent="0.2">
      <c r="C4510"/>
      <c r="M4510"/>
    </row>
    <row r="4511" spans="3:13" ht="12.75" customHeight="1" x14ac:dyDescent="0.2">
      <c r="C4511"/>
      <c r="M4511"/>
    </row>
    <row r="4512" spans="3:13" ht="12.75" customHeight="1" x14ac:dyDescent="0.2">
      <c r="C4512"/>
      <c r="M4512"/>
    </row>
    <row r="4513" spans="3:13" ht="12.75" customHeight="1" x14ac:dyDescent="0.2">
      <c r="C4513"/>
      <c r="M4513"/>
    </row>
    <row r="4514" spans="3:13" ht="12.75" customHeight="1" x14ac:dyDescent="0.2">
      <c r="C4514"/>
      <c r="M4514"/>
    </row>
    <row r="4515" spans="3:13" ht="12.75" customHeight="1" x14ac:dyDescent="0.2">
      <c r="C4515"/>
      <c r="M4515"/>
    </row>
    <row r="4516" spans="3:13" ht="12.75" customHeight="1" x14ac:dyDescent="0.2">
      <c r="C4516"/>
      <c r="M4516"/>
    </row>
    <row r="4517" spans="3:13" ht="12.75" customHeight="1" x14ac:dyDescent="0.2">
      <c r="C4517"/>
      <c r="M4517"/>
    </row>
    <row r="4518" spans="3:13" ht="12.75" customHeight="1" x14ac:dyDescent="0.2">
      <c r="C4518"/>
      <c r="M4518"/>
    </row>
    <row r="4519" spans="3:13" ht="12.75" customHeight="1" x14ac:dyDescent="0.2">
      <c r="C4519"/>
      <c r="M4519"/>
    </row>
    <row r="4520" spans="3:13" ht="12.75" customHeight="1" x14ac:dyDescent="0.2">
      <c r="C4520"/>
      <c r="M4520"/>
    </row>
    <row r="4521" spans="3:13" ht="12.75" customHeight="1" x14ac:dyDescent="0.2">
      <c r="C4521"/>
      <c r="M4521"/>
    </row>
    <row r="4522" spans="3:13" ht="12.75" customHeight="1" x14ac:dyDescent="0.2">
      <c r="C4522"/>
      <c r="M4522"/>
    </row>
    <row r="4523" spans="3:13" ht="12.75" customHeight="1" x14ac:dyDescent="0.2">
      <c r="C4523"/>
      <c r="M4523"/>
    </row>
    <row r="4524" spans="3:13" ht="12.75" customHeight="1" x14ac:dyDescent="0.2">
      <c r="C4524"/>
      <c r="M4524"/>
    </row>
    <row r="4525" spans="3:13" ht="12.75" customHeight="1" x14ac:dyDescent="0.2">
      <c r="C4525"/>
      <c r="M4525"/>
    </row>
    <row r="4526" spans="3:13" ht="12.75" customHeight="1" x14ac:dyDescent="0.2">
      <c r="C4526"/>
      <c r="M4526"/>
    </row>
    <row r="4527" spans="3:13" ht="12.75" customHeight="1" x14ac:dyDescent="0.2">
      <c r="C4527"/>
      <c r="M4527"/>
    </row>
    <row r="4528" spans="3:13" ht="12.75" customHeight="1" x14ac:dyDescent="0.2">
      <c r="C4528"/>
      <c r="M4528"/>
    </row>
    <row r="4529" spans="3:13" ht="12.75" customHeight="1" x14ac:dyDescent="0.2">
      <c r="C4529"/>
      <c r="M4529"/>
    </row>
    <row r="4530" spans="3:13" ht="12.75" customHeight="1" x14ac:dyDescent="0.2">
      <c r="C4530"/>
      <c r="M4530"/>
    </row>
    <row r="4531" spans="3:13" ht="12.75" customHeight="1" x14ac:dyDescent="0.2">
      <c r="C4531"/>
      <c r="M4531"/>
    </row>
    <row r="4532" spans="3:13" ht="12.75" customHeight="1" x14ac:dyDescent="0.2">
      <c r="C4532"/>
      <c r="M4532"/>
    </row>
    <row r="4533" spans="3:13" ht="12.75" customHeight="1" x14ac:dyDescent="0.2">
      <c r="C4533"/>
      <c r="M4533"/>
    </row>
    <row r="4534" spans="3:13" ht="12.75" customHeight="1" x14ac:dyDescent="0.2">
      <c r="C4534"/>
      <c r="M4534"/>
    </row>
    <row r="4535" spans="3:13" ht="12.75" customHeight="1" x14ac:dyDescent="0.2">
      <c r="C4535"/>
      <c r="M4535"/>
    </row>
    <row r="4536" spans="3:13" ht="12.75" customHeight="1" x14ac:dyDescent="0.2">
      <c r="C4536"/>
      <c r="M4536"/>
    </row>
    <row r="4537" spans="3:13" ht="12.75" customHeight="1" x14ac:dyDescent="0.2">
      <c r="C4537"/>
      <c r="M4537"/>
    </row>
    <row r="4538" spans="3:13" ht="12.75" customHeight="1" x14ac:dyDescent="0.2">
      <c r="C4538"/>
      <c r="M4538"/>
    </row>
    <row r="4539" spans="3:13" ht="12.75" customHeight="1" x14ac:dyDescent="0.2">
      <c r="C4539"/>
      <c r="M4539"/>
    </row>
    <row r="4540" spans="3:13" ht="12.75" customHeight="1" x14ac:dyDescent="0.2">
      <c r="C4540"/>
      <c r="M4540"/>
    </row>
    <row r="4541" spans="3:13" ht="12.75" customHeight="1" x14ac:dyDescent="0.2">
      <c r="C4541"/>
      <c r="M4541"/>
    </row>
    <row r="4542" spans="3:13" ht="12.75" customHeight="1" x14ac:dyDescent="0.2">
      <c r="C4542"/>
      <c r="M4542"/>
    </row>
    <row r="4543" spans="3:13" ht="12.75" customHeight="1" x14ac:dyDescent="0.2">
      <c r="C4543"/>
      <c r="M4543"/>
    </row>
    <row r="4544" spans="3:13" ht="12.75" customHeight="1" x14ac:dyDescent="0.2">
      <c r="C4544"/>
      <c r="M4544"/>
    </row>
    <row r="4545" spans="3:13" ht="12.75" customHeight="1" x14ac:dyDescent="0.2">
      <c r="C4545"/>
      <c r="M4545"/>
    </row>
    <row r="4546" spans="3:13" ht="12.75" customHeight="1" x14ac:dyDescent="0.2">
      <c r="C4546"/>
      <c r="M4546"/>
    </row>
    <row r="4547" spans="3:13" ht="12.75" customHeight="1" x14ac:dyDescent="0.2">
      <c r="C4547"/>
      <c r="M4547"/>
    </row>
    <row r="4548" spans="3:13" ht="12.75" customHeight="1" x14ac:dyDescent="0.2">
      <c r="C4548"/>
      <c r="M4548"/>
    </row>
    <row r="4549" spans="3:13" ht="12.75" customHeight="1" x14ac:dyDescent="0.2">
      <c r="C4549"/>
      <c r="M4549"/>
    </row>
    <row r="4550" spans="3:13" ht="12.75" customHeight="1" x14ac:dyDescent="0.2">
      <c r="C4550"/>
      <c r="M4550"/>
    </row>
    <row r="4551" spans="3:13" ht="12.75" customHeight="1" x14ac:dyDescent="0.2">
      <c r="C4551"/>
      <c r="M4551"/>
    </row>
    <row r="4552" spans="3:13" ht="12.75" customHeight="1" x14ac:dyDescent="0.2">
      <c r="C4552"/>
      <c r="M4552"/>
    </row>
    <row r="4553" spans="3:13" ht="12.75" customHeight="1" x14ac:dyDescent="0.2">
      <c r="C4553"/>
      <c r="M4553"/>
    </row>
    <row r="4554" spans="3:13" ht="12.75" customHeight="1" x14ac:dyDescent="0.2">
      <c r="C4554"/>
      <c r="M4554"/>
    </row>
    <row r="4555" spans="3:13" ht="12.75" customHeight="1" x14ac:dyDescent="0.2">
      <c r="C4555"/>
      <c r="M4555"/>
    </row>
    <row r="4556" spans="3:13" ht="12.75" customHeight="1" x14ac:dyDescent="0.2">
      <c r="C4556"/>
      <c r="M4556"/>
    </row>
    <row r="4557" spans="3:13" ht="12.75" customHeight="1" x14ac:dyDescent="0.2">
      <c r="C4557"/>
      <c r="M4557"/>
    </row>
    <row r="4558" spans="3:13" ht="12.75" customHeight="1" x14ac:dyDescent="0.2">
      <c r="C4558"/>
      <c r="M4558"/>
    </row>
    <row r="4559" spans="3:13" ht="12.75" customHeight="1" x14ac:dyDescent="0.2">
      <c r="C4559"/>
      <c r="M4559"/>
    </row>
    <row r="4560" spans="3:13" ht="12.75" customHeight="1" x14ac:dyDescent="0.2">
      <c r="C4560"/>
      <c r="M4560"/>
    </row>
    <row r="4561" spans="3:13" ht="12.75" customHeight="1" x14ac:dyDescent="0.2">
      <c r="C4561"/>
      <c r="M4561"/>
    </row>
    <row r="4562" spans="3:13" ht="12.75" customHeight="1" x14ac:dyDescent="0.2">
      <c r="C4562"/>
      <c r="M4562"/>
    </row>
    <row r="4563" spans="3:13" ht="12.75" customHeight="1" x14ac:dyDescent="0.2">
      <c r="C4563"/>
      <c r="M4563"/>
    </row>
    <row r="4564" spans="3:13" ht="12.75" customHeight="1" x14ac:dyDescent="0.2">
      <c r="C4564"/>
      <c r="M4564"/>
    </row>
    <row r="4565" spans="3:13" ht="12.75" customHeight="1" x14ac:dyDescent="0.2">
      <c r="C4565"/>
      <c r="M4565"/>
    </row>
    <row r="4566" spans="3:13" ht="12.75" customHeight="1" x14ac:dyDescent="0.2">
      <c r="C4566"/>
      <c r="M4566"/>
    </row>
    <row r="4567" spans="3:13" ht="12.75" customHeight="1" x14ac:dyDescent="0.2">
      <c r="C4567"/>
      <c r="M4567"/>
    </row>
    <row r="4568" spans="3:13" ht="12.75" customHeight="1" x14ac:dyDescent="0.2">
      <c r="C4568"/>
      <c r="M4568"/>
    </row>
    <row r="4569" spans="3:13" ht="12.75" customHeight="1" x14ac:dyDescent="0.2">
      <c r="C4569"/>
      <c r="M4569"/>
    </row>
    <row r="4570" spans="3:13" ht="12.75" customHeight="1" x14ac:dyDescent="0.2">
      <c r="C4570"/>
      <c r="M4570"/>
    </row>
    <row r="4571" spans="3:13" ht="12.75" customHeight="1" x14ac:dyDescent="0.2">
      <c r="C4571"/>
      <c r="M4571"/>
    </row>
    <row r="4572" spans="3:13" ht="12.75" customHeight="1" x14ac:dyDescent="0.2">
      <c r="C4572"/>
      <c r="M4572"/>
    </row>
    <row r="4573" spans="3:13" ht="12.75" customHeight="1" x14ac:dyDescent="0.2">
      <c r="C4573"/>
      <c r="M4573"/>
    </row>
    <row r="4574" spans="3:13" ht="12.75" customHeight="1" x14ac:dyDescent="0.2">
      <c r="C4574"/>
      <c r="M4574"/>
    </row>
    <row r="4575" spans="3:13" ht="12.75" customHeight="1" x14ac:dyDescent="0.2">
      <c r="C4575"/>
      <c r="M4575"/>
    </row>
    <row r="4576" spans="3:13" ht="12.75" customHeight="1" x14ac:dyDescent="0.2">
      <c r="C4576"/>
      <c r="M4576"/>
    </row>
    <row r="4577" spans="3:13" ht="12.75" customHeight="1" x14ac:dyDescent="0.2">
      <c r="C4577"/>
      <c r="M4577"/>
    </row>
    <row r="4578" spans="3:13" ht="12.75" customHeight="1" x14ac:dyDescent="0.2">
      <c r="C4578"/>
      <c r="M4578"/>
    </row>
    <row r="4579" spans="3:13" ht="12.75" customHeight="1" x14ac:dyDescent="0.2">
      <c r="C4579"/>
      <c r="M4579"/>
    </row>
    <row r="4580" spans="3:13" ht="12.75" customHeight="1" x14ac:dyDescent="0.2">
      <c r="C4580"/>
      <c r="M4580"/>
    </row>
    <row r="4581" spans="3:13" ht="12.75" customHeight="1" x14ac:dyDescent="0.2">
      <c r="C4581"/>
      <c r="M4581"/>
    </row>
    <row r="4582" spans="3:13" ht="12.75" customHeight="1" x14ac:dyDescent="0.2">
      <c r="C4582"/>
      <c r="M4582"/>
    </row>
    <row r="4583" spans="3:13" ht="12.75" customHeight="1" x14ac:dyDescent="0.2">
      <c r="C4583"/>
      <c r="M4583"/>
    </row>
    <row r="4584" spans="3:13" ht="12.75" customHeight="1" x14ac:dyDescent="0.2">
      <c r="C4584"/>
      <c r="M4584"/>
    </row>
    <row r="4585" spans="3:13" ht="12.75" customHeight="1" x14ac:dyDescent="0.2">
      <c r="C4585"/>
      <c r="M4585"/>
    </row>
    <row r="4586" spans="3:13" ht="12.75" customHeight="1" x14ac:dyDescent="0.2">
      <c r="C4586"/>
      <c r="M4586"/>
    </row>
    <row r="4587" spans="3:13" ht="12.75" customHeight="1" x14ac:dyDescent="0.2">
      <c r="C4587"/>
      <c r="M4587"/>
    </row>
    <row r="4588" spans="3:13" ht="12.75" customHeight="1" x14ac:dyDescent="0.2">
      <c r="C4588"/>
      <c r="M4588"/>
    </row>
    <row r="4589" spans="3:13" ht="12.75" customHeight="1" x14ac:dyDescent="0.2">
      <c r="C4589"/>
      <c r="M4589"/>
    </row>
    <row r="4590" spans="3:13" ht="12.75" customHeight="1" x14ac:dyDescent="0.2">
      <c r="C4590"/>
      <c r="M4590"/>
    </row>
    <row r="4591" spans="3:13" ht="12.75" customHeight="1" x14ac:dyDescent="0.2">
      <c r="C4591"/>
      <c r="M4591"/>
    </row>
    <row r="4592" spans="3:13" ht="12.75" customHeight="1" x14ac:dyDescent="0.2">
      <c r="C4592"/>
      <c r="M4592"/>
    </row>
    <row r="4593" spans="3:13" ht="12.75" customHeight="1" x14ac:dyDescent="0.2">
      <c r="C4593"/>
      <c r="M4593"/>
    </row>
    <row r="4594" spans="3:13" ht="12.75" customHeight="1" x14ac:dyDescent="0.2">
      <c r="C4594"/>
      <c r="M4594"/>
    </row>
    <row r="4595" spans="3:13" ht="12.75" customHeight="1" x14ac:dyDescent="0.2">
      <c r="C4595"/>
      <c r="M4595"/>
    </row>
    <row r="4596" spans="3:13" ht="12.75" customHeight="1" x14ac:dyDescent="0.2">
      <c r="C4596"/>
      <c r="M4596"/>
    </row>
    <row r="4597" spans="3:13" ht="12.75" customHeight="1" x14ac:dyDescent="0.2">
      <c r="C4597"/>
      <c r="M4597"/>
    </row>
    <row r="4598" spans="3:13" ht="12.75" customHeight="1" x14ac:dyDescent="0.2">
      <c r="C4598"/>
      <c r="M4598"/>
    </row>
    <row r="4599" spans="3:13" ht="12.75" customHeight="1" x14ac:dyDescent="0.2">
      <c r="C4599"/>
      <c r="M4599"/>
    </row>
    <row r="4600" spans="3:13" ht="12.75" customHeight="1" x14ac:dyDescent="0.2">
      <c r="C4600"/>
      <c r="M4600"/>
    </row>
    <row r="4601" spans="3:13" ht="12.75" customHeight="1" x14ac:dyDescent="0.2">
      <c r="C4601"/>
      <c r="M4601"/>
    </row>
    <row r="4602" spans="3:13" ht="12.75" customHeight="1" x14ac:dyDescent="0.2">
      <c r="C4602"/>
      <c r="M4602"/>
    </row>
    <row r="4603" spans="3:13" ht="12.75" customHeight="1" x14ac:dyDescent="0.2">
      <c r="C4603"/>
      <c r="M4603"/>
    </row>
    <row r="4604" spans="3:13" ht="12.75" customHeight="1" x14ac:dyDescent="0.2">
      <c r="C4604"/>
      <c r="M4604"/>
    </row>
    <row r="4605" spans="3:13" ht="12.75" customHeight="1" x14ac:dyDescent="0.2">
      <c r="C4605"/>
      <c r="M4605"/>
    </row>
    <row r="4606" spans="3:13" ht="12.75" customHeight="1" x14ac:dyDescent="0.2">
      <c r="C4606"/>
      <c r="M4606"/>
    </row>
    <row r="4607" spans="3:13" ht="12.75" customHeight="1" x14ac:dyDescent="0.2">
      <c r="C4607"/>
      <c r="M4607"/>
    </row>
    <row r="4608" spans="3:13" ht="12.75" customHeight="1" x14ac:dyDescent="0.2">
      <c r="C4608"/>
      <c r="M4608"/>
    </row>
    <row r="4609" spans="3:13" ht="12.75" customHeight="1" x14ac:dyDescent="0.2">
      <c r="C4609"/>
      <c r="M4609"/>
    </row>
    <row r="4610" spans="3:13" ht="12.75" customHeight="1" x14ac:dyDescent="0.2">
      <c r="C4610"/>
      <c r="M4610"/>
    </row>
    <row r="4611" spans="3:13" ht="12.75" customHeight="1" x14ac:dyDescent="0.2">
      <c r="C4611"/>
      <c r="M4611"/>
    </row>
    <row r="4612" spans="3:13" ht="12.75" customHeight="1" x14ac:dyDescent="0.2">
      <c r="C4612"/>
      <c r="M4612"/>
    </row>
    <row r="4613" spans="3:13" ht="12.75" customHeight="1" x14ac:dyDescent="0.2">
      <c r="C4613"/>
      <c r="M4613"/>
    </row>
    <row r="4614" spans="3:13" ht="12.75" customHeight="1" x14ac:dyDescent="0.2">
      <c r="C4614"/>
      <c r="M4614"/>
    </row>
    <row r="4615" spans="3:13" ht="12.75" customHeight="1" x14ac:dyDescent="0.2">
      <c r="C4615"/>
      <c r="M4615"/>
    </row>
    <row r="4616" spans="3:13" ht="12.75" customHeight="1" x14ac:dyDescent="0.2">
      <c r="C4616"/>
      <c r="M4616"/>
    </row>
    <row r="4617" spans="3:13" ht="12.75" customHeight="1" x14ac:dyDescent="0.2">
      <c r="C4617"/>
      <c r="M4617"/>
    </row>
    <row r="4618" spans="3:13" ht="12.75" customHeight="1" x14ac:dyDescent="0.2">
      <c r="C4618"/>
      <c r="M4618"/>
    </row>
    <row r="4619" spans="3:13" ht="12.75" customHeight="1" x14ac:dyDescent="0.2">
      <c r="C4619"/>
      <c r="M4619"/>
    </row>
    <row r="4620" spans="3:13" ht="12.75" customHeight="1" x14ac:dyDescent="0.2">
      <c r="C4620"/>
      <c r="M4620"/>
    </row>
    <row r="4621" spans="3:13" ht="12.75" customHeight="1" x14ac:dyDescent="0.2">
      <c r="C4621"/>
      <c r="M4621"/>
    </row>
    <row r="4622" spans="3:13" ht="12.75" customHeight="1" x14ac:dyDescent="0.2">
      <c r="C4622"/>
      <c r="M4622"/>
    </row>
    <row r="4623" spans="3:13" ht="12.75" customHeight="1" x14ac:dyDescent="0.2">
      <c r="C4623"/>
      <c r="M4623"/>
    </row>
    <row r="4624" spans="3:13" ht="12.75" customHeight="1" x14ac:dyDescent="0.2">
      <c r="C4624"/>
      <c r="M4624"/>
    </row>
    <row r="4625" spans="3:13" ht="12.75" customHeight="1" x14ac:dyDescent="0.2">
      <c r="C4625"/>
      <c r="M4625"/>
    </row>
    <row r="4626" spans="3:13" ht="12.75" customHeight="1" x14ac:dyDescent="0.2">
      <c r="C4626"/>
      <c r="M4626"/>
    </row>
    <row r="4627" spans="3:13" ht="12.75" customHeight="1" x14ac:dyDescent="0.2">
      <c r="C4627"/>
      <c r="M4627"/>
    </row>
    <row r="4628" spans="3:13" ht="12.75" customHeight="1" x14ac:dyDescent="0.2">
      <c r="C4628"/>
      <c r="M4628"/>
    </row>
    <row r="4629" spans="3:13" ht="12.75" customHeight="1" x14ac:dyDescent="0.2">
      <c r="C4629"/>
      <c r="M4629"/>
    </row>
    <row r="4630" spans="3:13" ht="12.75" customHeight="1" x14ac:dyDescent="0.2">
      <c r="C4630"/>
      <c r="M4630"/>
    </row>
    <row r="4631" spans="3:13" ht="12.75" customHeight="1" x14ac:dyDescent="0.2">
      <c r="C4631"/>
      <c r="M4631"/>
    </row>
    <row r="4632" spans="3:13" ht="12.75" customHeight="1" x14ac:dyDescent="0.2">
      <c r="C4632"/>
      <c r="M4632"/>
    </row>
    <row r="4633" spans="3:13" ht="12.75" customHeight="1" x14ac:dyDescent="0.2">
      <c r="C4633"/>
      <c r="M4633"/>
    </row>
    <row r="4634" spans="3:13" ht="12.75" customHeight="1" x14ac:dyDescent="0.2">
      <c r="C4634"/>
      <c r="M4634"/>
    </row>
    <row r="4635" spans="3:13" ht="12.75" customHeight="1" x14ac:dyDescent="0.2">
      <c r="C4635"/>
      <c r="M4635"/>
    </row>
    <row r="4636" spans="3:13" ht="12.75" customHeight="1" x14ac:dyDescent="0.2">
      <c r="C4636"/>
      <c r="M4636"/>
    </row>
    <row r="4637" spans="3:13" ht="12.75" customHeight="1" x14ac:dyDescent="0.2">
      <c r="C4637"/>
      <c r="M4637"/>
    </row>
    <row r="4638" spans="3:13" ht="12.75" customHeight="1" x14ac:dyDescent="0.2">
      <c r="C4638"/>
      <c r="M4638"/>
    </row>
    <row r="4639" spans="3:13" ht="12.75" customHeight="1" x14ac:dyDescent="0.2">
      <c r="C4639"/>
      <c r="M4639"/>
    </row>
    <row r="4640" spans="3:13" ht="12.75" customHeight="1" x14ac:dyDescent="0.2">
      <c r="C4640"/>
      <c r="M4640"/>
    </row>
    <row r="4641" spans="3:13" ht="12.75" customHeight="1" x14ac:dyDescent="0.2">
      <c r="C4641"/>
      <c r="M4641"/>
    </row>
    <row r="4642" spans="3:13" ht="12.75" customHeight="1" x14ac:dyDescent="0.2">
      <c r="C4642"/>
      <c r="M4642"/>
    </row>
    <row r="4643" spans="3:13" ht="12.75" customHeight="1" x14ac:dyDescent="0.2">
      <c r="C4643"/>
      <c r="M4643"/>
    </row>
    <row r="4644" spans="3:13" ht="12.75" customHeight="1" x14ac:dyDescent="0.2">
      <c r="C4644"/>
      <c r="M4644"/>
    </row>
    <row r="4645" spans="3:13" ht="12.75" customHeight="1" x14ac:dyDescent="0.2">
      <c r="C4645"/>
      <c r="M4645"/>
    </row>
    <row r="4646" spans="3:13" ht="12.75" customHeight="1" x14ac:dyDescent="0.2">
      <c r="C4646"/>
      <c r="M4646"/>
    </row>
    <row r="4647" spans="3:13" ht="12.75" customHeight="1" x14ac:dyDescent="0.2">
      <c r="C4647"/>
      <c r="M4647"/>
    </row>
    <row r="4648" spans="3:13" ht="12.75" customHeight="1" x14ac:dyDescent="0.2">
      <c r="C4648"/>
      <c r="M4648"/>
    </row>
    <row r="4649" spans="3:13" ht="12.75" customHeight="1" x14ac:dyDescent="0.2">
      <c r="C4649"/>
      <c r="M4649"/>
    </row>
    <row r="4650" spans="3:13" ht="12.75" customHeight="1" x14ac:dyDescent="0.2">
      <c r="C4650"/>
      <c r="M4650"/>
    </row>
    <row r="4651" spans="3:13" ht="12.75" customHeight="1" x14ac:dyDescent="0.2">
      <c r="C4651"/>
      <c r="M4651"/>
    </row>
    <row r="4652" spans="3:13" ht="12.75" customHeight="1" x14ac:dyDescent="0.2">
      <c r="C4652"/>
      <c r="M4652"/>
    </row>
    <row r="4653" spans="3:13" ht="12.75" customHeight="1" x14ac:dyDescent="0.2">
      <c r="C4653"/>
      <c r="M4653"/>
    </row>
    <row r="4654" spans="3:13" ht="12.75" customHeight="1" x14ac:dyDescent="0.2">
      <c r="C4654"/>
      <c r="M4654"/>
    </row>
    <row r="4655" spans="3:13" ht="12.75" customHeight="1" x14ac:dyDescent="0.2">
      <c r="C4655"/>
      <c r="M4655"/>
    </row>
    <row r="4656" spans="3:13" ht="12.75" customHeight="1" x14ac:dyDescent="0.2">
      <c r="C4656"/>
      <c r="M4656"/>
    </row>
    <row r="4657" spans="3:13" ht="12.75" customHeight="1" x14ac:dyDescent="0.2">
      <c r="C4657"/>
      <c r="M4657"/>
    </row>
    <row r="4658" spans="3:13" ht="12.75" customHeight="1" x14ac:dyDescent="0.2">
      <c r="C4658"/>
      <c r="M4658"/>
    </row>
    <row r="4659" spans="3:13" ht="12.75" customHeight="1" x14ac:dyDescent="0.2">
      <c r="C4659"/>
      <c r="M4659"/>
    </row>
    <row r="4660" spans="3:13" ht="12.75" customHeight="1" x14ac:dyDescent="0.2">
      <c r="C4660"/>
      <c r="M4660"/>
    </row>
    <row r="4661" spans="3:13" ht="12.75" customHeight="1" x14ac:dyDescent="0.2">
      <c r="C4661"/>
      <c r="M4661"/>
    </row>
    <row r="4662" spans="3:13" ht="12.75" customHeight="1" x14ac:dyDescent="0.2">
      <c r="C4662"/>
      <c r="M4662"/>
    </row>
    <row r="4663" spans="3:13" ht="12.75" customHeight="1" x14ac:dyDescent="0.2">
      <c r="C4663"/>
      <c r="M4663"/>
    </row>
    <row r="4664" spans="3:13" ht="12.75" customHeight="1" x14ac:dyDescent="0.2">
      <c r="C4664"/>
      <c r="M4664"/>
    </row>
    <row r="4665" spans="3:13" ht="12.75" customHeight="1" x14ac:dyDescent="0.2">
      <c r="C4665"/>
      <c r="M4665"/>
    </row>
    <row r="4666" spans="3:13" ht="12.75" customHeight="1" x14ac:dyDescent="0.2">
      <c r="C4666"/>
      <c r="M4666"/>
    </row>
    <row r="4667" spans="3:13" ht="12.75" customHeight="1" x14ac:dyDescent="0.2">
      <c r="C4667"/>
      <c r="M4667"/>
    </row>
    <row r="4668" spans="3:13" ht="12.75" customHeight="1" x14ac:dyDescent="0.2">
      <c r="C4668"/>
      <c r="M4668"/>
    </row>
    <row r="4669" spans="3:13" ht="12.75" customHeight="1" x14ac:dyDescent="0.2">
      <c r="C4669"/>
      <c r="M4669"/>
    </row>
    <row r="4670" spans="3:13" ht="12.75" customHeight="1" x14ac:dyDescent="0.2">
      <c r="C4670"/>
      <c r="M4670"/>
    </row>
    <row r="4671" spans="3:13" ht="12.75" customHeight="1" x14ac:dyDescent="0.2">
      <c r="C4671"/>
      <c r="M4671"/>
    </row>
    <row r="4672" spans="3:13" ht="12.75" customHeight="1" x14ac:dyDescent="0.2">
      <c r="C4672"/>
      <c r="M4672"/>
    </row>
    <row r="4673" spans="3:13" ht="12.75" customHeight="1" x14ac:dyDescent="0.2">
      <c r="C4673"/>
      <c r="M4673"/>
    </row>
    <row r="4674" spans="3:13" ht="12.75" customHeight="1" x14ac:dyDescent="0.2">
      <c r="C4674"/>
      <c r="M4674"/>
    </row>
    <row r="4675" spans="3:13" ht="12.75" customHeight="1" x14ac:dyDescent="0.2">
      <c r="C4675"/>
      <c r="M4675"/>
    </row>
    <row r="4676" spans="3:13" ht="12.75" customHeight="1" x14ac:dyDescent="0.2">
      <c r="C4676"/>
      <c r="M4676"/>
    </row>
    <row r="4677" spans="3:13" ht="12.75" customHeight="1" x14ac:dyDescent="0.2">
      <c r="C4677"/>
      <c r="M4677"/>
    </row>
    <row r="4678" spans="3:13" ht="12.75" customHeight="1" x14ac:dyDescent="0.2">
      <c r="C4678"/>
      <c r="M4678"/>
    </row>
    <row r="4679" spans="3:13" ht="12.75" customHeight="1" x14ac:dyDescent="0.2">
      <c r="C4679"/>
      <c r="M4679"/>
    </row>
    <row r="4680" spans="3:13" ht="12.75" customHeight="1" x14ac:dyDescent="0.2">
      <c r="C4680"/>
      <c r="M4680"/>
    </row>
    <row r="4681" spans="3:13" ht="12.75" customHeight="1" x14ac:dyDescent="0.2">
      <c r="C4681"/>
      <c r="M4681"/>
    </row>
    <row r="4682" spans="3:13" ht="12.75" customHeight="1" x14ac:dyDescent="0.2">
      <c r="C4682"/>
      <c r="M4682"/>
    </row>
    <row r="4683" spans="3:13" ht="12.75" customHeight="1" x14ac:dyDescent="0.2">
      <c r="C4683"/>
      <c r="M4683"/>
    </row>
    <row r="4684" spans="3:13" ht="12.75" customHeight="1" x14ac:dyDescent="0.2">
      <c r="C4684"/>
      <c r="M4684"/>
    </row>
    <row r="4685" spans="3:13" ht="12.75" customHeight="1" x14ac:dyDescent="0.2">
      <c r="C4685"/>
      <c r="M4685"/>
    </row>
    <row r="4686" spans="3:13" ht="12.75" customHeight="1" x14ac:dyDescent="0.2">
      <c r="C4686"/>
      <c r="M4686"/>
    </row>
    <row r="4687" spans="3:13" ht="12.75" customHeight="1" x14ac:dyDescent="0.2">
      <c r="C4687"/>
      <c r="M4687"/>
    </row>
    <row r="4688" spans="3:13" ht="12.75" customHeight="1" x14ac:dyDescent="0.2">
      <c r="C4688"/>
      <c r="M4688"/>
    </row>
    <row r="4689" spans="3:13" ht="12.75" customHeight="1" x14ac:dyDescent="0.2">
      <c r="C4689"/>
      <c r="M4689"/>
    </row>
    <row r="4690" spans="3:13" ht="12.75" customHeight="1" x14ac:dyDescent="0.2">
      <c r="C4690"/>
      <c r="M4690"/>
    </row>
    <row r="4691" spans="3:13" ht="12.75" customHeight="1" x14ac:dyDescent="0.2">
      <c r="C4691"/>
      <c r="M4691"/>
    </row>
    <row r="4692" spans="3:13" ht="12.75" customHeight="1" x14ac:dyDescent="0.2">
      <c r="C4692"/>
      <c r="M4692"/>
    </row>
    <row r="4693" spans="3:13" ht="12.75" customHeight="1" x14ac:dyDescent="0.2">
      <c r="C4693"/>
      <c r="M4693"/>
    </row>
    <row r="4694" spans="3:13" ht="12.75" customHeight="1" x14ac:dyDescent="0.2">
      <c r="C4694"/>
      <c r="M4694"/>
    </row>
    <row r="4695" spans="3:13" ht="12.75" customHeight="1" x14ac:dyDescent="0.2">
      <c r="C4695"/>
      <c r="M4695"/>
    </row>
    <row r="4696" spans="3:13" ht="12.75" customHeight="1" x14ac:dyDescent="0.2">
      <c r="C4696"/>
      <c r="M4696"/>
    </row>
    <row r="4697" spans="3:13" ht="12.75" customHeight="1" x14ac:dyDescent="0.2">
      <c r="C4697"/>
      <c r="M4697"/>
    </row>
    <row r="4698" spans="3:13" ht="12.75" customHeight="1" x14ac:dyDescent="0.2">
      <c r="C4698"/>
      <c r="M4698"/>
    </row>
    <row r="4699" spans="3:13" ht="12.75" customHeight="1" x14ac:dyDescent="0.2">
      <c r="C4699"/>
      <c r="M4699"/>
    </row>
    <row r="4700" spans="3:13" ht="12.75" customHeight="1" x14ac:dyDescent="0.2">
      <c r="C4700"/>
      <c r="M4700"/>
    </row>
    <row r="4701" spans="3:13" ht="12.75" customHeight="1" x14ac:dyDescent="0.2">
      <c r="C4701"/>
      <c r="M4701"/>
    </row>
    <row r="4702" spans="3:13" ht="12.75" customHeight="1" x14ac:dyDescent="0.2">
      <c r="C4702"/>
      <c r="M4702"/>
    </row>
    <row r="4703" spans="3:13" ht="12.75" customHeight="1" x14ac:dyDescent="0.2">
      <c r="C4703"/>
      <c r="M4703"/>
    </row>
    <row r="4704" spans="3:13" ht="12.75" customHeight="1" x14ac:dyDescent="0.2">
      <c r="C4704"/>
      <c r="M4704"/>
    </row>
    <row r="4705" spans="3:13" ht="12.75" customHeight="1" x14ac:dyDescent="0.2">
      <c r="C4705"/>
      <c r="M4705"/>
    </row>
    <row r="4706" spans="3:13" ht="12.75" customHeight="1" x14ac:dyDescent="0.2">
      <c r="C4706"/>
      <c r="M4706"/>
    </row>
    <row r="4707" spans="3:13" ht="12.75" customHeight="1" x14ac:dyDescent="0.2">
      <c r="C4707"/>
      <c r="M4707"/>
    </row>
    <row r="4708" spans="3:13" ht="12.75" customHeight="1" x14ac:dyDescent="0.2">
      <c r="C4708"/>
      <c r="M4708"/>
    </row>
    <row r="4709" spans="3:13" ht="12.75" customHeight="1" x14ac:dyDescent="0.2">
      <c r="C4709"/>
      <c r="M4709"/>
    </row>
    <row r="4710" spans="3:13" ht="12.75" customHeight="1" x14ac:dyDescent="0.2">
      <c r="C4710"/>
      <c r="M4710"/>
    </row>
    <row r="4711" spans="3:13" ht="12.75" customHeight="1" x14ac:dyDescent="0.2">
      <c r="C4711"/>
      <c r="M4711"/>
    </row>
    <row r="4712" spans="3:13" ht="12.75" customHeight="1" x14ac:dyDescent="0.2">
      <c r="C4712"/>
      <c r="M4712"/>
    </row>
    <row r="4713" spans="3:13" ht="12.75" customHeight="1" x14ac:dyDescent="0.2">
      <c r="C4713"/>
      <c r="M4713"/>
    </row>
    <row r="4714" spans="3:13" ht="12.75" customHeight="1" x14ac:dyDescent="0.2">
      <c r="C4714"/>
      <c r="M4714"/>
    </row>
    <row r="4715" spans="3:13" ht="12.75" customHeight="1" x14ac:dyDescent="0.2">
      <c r="C4715"/>
      <c r="M4715"/>
    </row>
    <row r="4716" spans="3:13" ht="12.75" customHeight="1" x14ac:dyDescent="0.2">
      <c r="C4716"/>
      <c r="M4716"/>
    </row>
    <row r="4717" spans="3:13" ht="12.75" customHeight="1" x14ac:dyDescent="0.2">
      <c r="C4717"/>
      <c r="M4717"/>
    </row>
    <row r="4718" spans="3:13" ht="12.75" customHeight="1" x14ac:dyDescent="0.2">
      <c r="C4718"/>
      <c r="M4718"/>
    </row>
    <row r="4719" spans="3:13" ht="12.75" customHeight="1" x14ac:dyDescent="0.2">
      <c r="C4719"/>
      <c r="M4719"/>
    </row>
    <row r="4720" spans="3:13" ht="12.75" customHeight="1" x14ac:dyDescent="0.2">
      <c r="C4720"/>
      <c r="M4720"/>
    </row>
    <row r="4721" spans="3:13" ht="12.75" customHeight="1" x14ac:dyDescent="0.2">
      <c r="C4721"/>
      <c r="M4721"/>
    </row>
    <row r="4722" spans="3:13" ht="12.75" customHeight="1" x14ac:dyDescent="0.2">
      <c r="C4722"/>
      <c r="M4722"/>
    </row>
    <row r="4723" spans="3:13" ht="12.75" customHeight="1" x14ac:dyDescent="0.2">
      <c r="C4723"/>
      <c r="M4723"/>
    </row>
    <row r="4724" spans="3:13" ht="12.75" customHeight="1" x14ac:dyDescent="0.2">
      <c r="C4724"/>
      <c r="M4724"/>
    </row>
    <row r="4725" spans="3:13" ht="12.75" customHeight="1" x14ac:dyDescent="0.2">
      <c r="C4725"/>
      <c r="M4725"/>
    </row>
    <row r="4726" spans="3:13" ht="12.75" customHeight="1" x14ac:dyDescent="0.2">
      <c r="C4726"/>
      <c r="M4726"/>
    </row>
    <row r="4727" spans="3:13" ht="12.75" customHeight="1" x14ac:dyDescent="0.2">
      <c r="C4727"/>
      <c r="M4727"/>
    </row>
    <row r="4728" spans="3:13" ht="12.75" customHeight="1" x14ac:dyDescent="0.2">
      <c r="C4728"/>
      <c r="M4728"/>
    </row>
    <row r="4729" spans="3:13" ht="12.75" customHeight="1" x14ac:dyDescent="0.2">
      <c r="C4729"/>
      <c r="M4729"/>
    </row>
    <row r="4730" spans="3:13" ht="12.75" customHeight="1" x14ac:dyDescent="0.2">
      <c r="C4730"/>
      <c r="M4730"/>
    </row>
    <row r="4731" spans="3:13" ht="12.75" customHeight="1" x14ac:dyDescent="0.2">
      <c r="C4731"/>
      <c r="M4731"/>
    </row>
    <row r="4732" spans="3:13" ht="12.75" customHeight="1" x14ac:dyDescent="0.2">
      <c r="C4732"/>
      <c r="M4732"/>
    </row>
    <row r="4733" spans="3:13" ht="12.75" customHeight="1" x14ac:dyDescent="0.2">
      <c r="C4733"/>
      <c r="M4733"/>
    </row>
    <row r="4734" spans="3:13" ht="12.75" customHeight="1" x14ac:dyDescent="0.2">
      <c r="C4734"/>
      <c r="M4734"/>
    </row>
    <row r="4735" spans="3:13" ht="12.75" customHeight="1" x14ac:dyDescent="0.2">
      <c r="C4735"/>
      <c r="M4735"/>
    </row>
    <row r="4736" spans="3:13" ht="12.75" customHeight="1" x14ac:dyDescent="0.2">
      <c r="C4736"/>
      <c r="M4736"/>
    </row>
    <row r="4737" spans="3:13" ht="12.75" customHeight="1" x14ac:dyDescent="0.2">
      <c r="C4737"/>
      <c r="M4737"/>
    </row>
    <row r="4738" spans="3:13" ht="12.75" customHeight="1" x14ac:dyDescent="0.2">
      <c r="C4738"/>
      <c r="M4738"/>
    </row>
    <row r="4739" spans="3:13" ht="12.75" customHeight="1" x14ac:dyDescent="0.2">
      <c r="C4739"/>
      <c r="M4739"/>
    </row>
    <row r="4740" spans="3:13" ht="12.75" customHeight="1" x14ac:dyDescent="0.2">
      <c r="C4740"/>
      <c r="M4740"/>
    </row>
    <row r="4741" spans="3:13" ht="12.75" customHeight="1" x14ac:dyDescent="0.2">
      <c r="C4741"/>
      <c r="M4741"/>
    </row>
    <row r="4742" spans="3:13" ht="12.75" customHeight="1" x14ac:dyDescent="0.2">
      <c r="C4742"/>
      <c r="M4742"/>
    </row>
    <row r="4743" spans="3:13" ht="12.75" customHeight="1" x14ac:dyDescent="0.2">
      <c r="C4743"/>
      <c r="M4743"/>
    </row>
    <row r="4744" spans="3:13" ht="12.75" customHeight="1" x14ac:dyDescent="0.2">
      <c r="C4744"/>
      <c r="M4744"/>
    </row>
    <row r="4745" spans="3:13" ht="12.75" customHeight="1" x14ac:dyDescent="0.2">
      <c r="C4745"/>
      <c r="M4745"/>
    </row>
    <row r="4746" spans="3:13" ht="12.75" customHeight="1" x14ac:dyDescent="0.2">
      <c r="C4746"/>
      <c r="M4746"/>
    </row>
    <row r="4747" spans="3:13" ht="12.75" customHeight="1" x14ac:dyDescent="0.2">
      <c r="C4747"/>
      <c r="M4747"/>
    </row>
    <row r="4748" spans="3:13" ht="12.75" customHeight="1" x14ac:dyDescent="0.2">
      <c r="C4748"/>
      <c r="M4748"/>
    </row>
    <row r="4749" spans="3:13" ht="12.75" customHeight="1" x14ac:dyDescent="0.2">
      <c r="C4749"/>
      <c r="M4749"/>
    </row>
    <row r="4759" spans="3:13" ht="12.75" customHeight="1" x14ac:dyDescent="0.2">
      <c r="C4759"/>
      <c r="M4759"/>
    </row>
    <row r="4760" spans="3:13" ht="12.75" customHeight="1" x14ac:dyDescent="0.2">
      <c r="C4760"/>
      <c r="M4760"/>
    </row>
    <row r="4761" spans="3:13" ht="12.75" customHeight="1" x14ac:dyDescent="0.2">
      <c r="C4761"/>
      <c r="M4761"/>
    </row>
    <row r="4762" spans="3:13" ht="12.75" customHeight="1" x14ac:dyDescent="0.2">
      <c r="C4762"/>
      <c r="M4762"/>
    </row>
    <row r="61420" spans="3:13" ht="12.75" customHeight="1" x14ac:dyDescent="0.2">
      <c r="C61420"/>
      <c r="M61420"/>
    </row>
    <row r="61436" spans="3:13" ht="12.75" customHeight="1" x14ac:dyDescent="0.2">
      <c r="C61436"/>
      <c r="M61436"/>
    </row>
    <row r="61452" spans="3:13" ht="12.75" customHeight="1" x14ac:dyDescent="0.2">
      <c r="C61452"/>
      <c r="M61452"/>
    </row>
    <row r="61468" spans="3:13" ht="12.75" customHeight="1" x14ac:dyDescent="0.2">
      <c r="C61468"/>
      <c r="M61468"/>
    </row>
    <row r="61481" spans="3:13" ht="12.75" customHeight="1" x14ac:dyDescent="0.2">
      <c r="C61481"/>
      <c r="M61481"/>
    </row>
    <row r="61482" spans="3:13" ht="12.75" customHeight="1" x14ac:dyDescent="0.2">
      <c r="C61482"/>
      <c r="M61482"/>
    </row>
    <row r="61484" spans="3:13" ht="12.75" customHeight="1" x14ac:dyDescent="0.2">
      <c r="C61484"/>
      <c r="M6148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500" spans="3:13" ht="12.75" customHeight="1" x14ac:dyDescent="0.2">
      <c r="C61500"/>
      <c r="M6150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6" spans="3:13" ht="12.75" customHeight="1" x14ac:dyDescent="0.2">
      <c r="C61516"/>
      <c r="M6151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2" spans="3:13" ht="12.75" customHeight="1" x14ac:dyDescent="0.2">
      <c r="C61532"/>
      <c r="M6153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8" spans="3:13" ht="12.75" customHeight="1" x14ac:dyDescent="0.2">
      <c r="C61548"/>
      <c r="M6154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4" spans="3:13" ht="12.75" customHeight="1" x14ac:dyDescent="0.2">
      <c r="C61564"/>
      <c r="M6156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80" spans="3:13" ht="12.75" customHeight="1" x14ac:dyDescent="0.2">
      <c r="C61580"/>
      <c r="M6158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6" spans="3:13" ht="12.75" customHeight="1" x14ac:dyDescent="0.2">
      <c r="C61596"/>
      <c r="M6159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2" spans="3:13" ht="12.75" customHeight="1" x14ac:dyDescent="0.2">
      <c r="C61612"/>
      <c r="M61612"/>
    </row>
    <row r="61620" spans="3:13" ht="12.75" customHeight="1" x14ac:dyDescent="0.2">
      <c r="C61620"/>
      <c r="M61620"/>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8" spans="3:13" ht="12.75" customHeight="1" x14ac:dyDescent="0.2">
      <c r="C61628"/>
      <c r="M61628"/>
    </row>
    <row r="61636" spans="3:13" ht="12.75" customHeight="1" x14ac:dyDescent="0.2">
      <c r="C61636"/>
      <c r="M61636"/>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4" spans="3:13" ht="12.75" customHeight="1" x14ac:dyDescent="0.2">
      <c r="C61644"/>
      <c r="M61644"/>
    </row>
    <row r="61652" spans="3:13" ht="12.75" customHeight="1" x14ac:dyDescent="0.2">
      <c r="C61652"/>
      <c r="M61652"/>
    </row>
    <row r="61653" spans="3:13" ht="12.75" customHeight="1" x14ac:dyDescent="0.2">
      <c r="C61653"/>
      <c r="M61653"/>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60" spans="3:13" ht="12.75" customHeight="1" x14ac:dyDescent="0.2">
      <c r="C61660"/>
      <c r="M61660"/>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6" spans="3:13" ht="12.75" customHeight="1" x14ac:dyDescent="0.2">
      <c r="C61676"/>
      <c r="M61676"/>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2" spans="3:13" ht="12.75" customHeight="1" x14ac:dyDescent="0.2">
      <c r="C61692"/>
      <c r="M61692"/>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row r="65504" spans="3:13" ht="12.75" customHeight="1" x14ac:dyDescent="0.2">
      <c r="C65504"/>
      <c r="M65504"/>
    </row>
    <row r="65505" spans="3:13" ht="12.75" customHeight="1" x14ac:dyDescent="0.2">
      <c r="C65505"/>
      <c r="M65505"/>
    </row>
    <row r="65506" spans="3:13" ht="12.75" customHeight="1" x14ac:dyDescent="0.2">
      <c r="C65506"/>
      <c r="M65506"/>
    </row>
    <row r="65507" spans="3:13" ht="12.75" customHeight="1" x14ac:dyDescent="0.2">
      <c r="C65507"/>
      <c r="M65507"/>
    </row>
    <row r="65508" spans="3:13" ht="12.75" customHeight="1" x14ac:dyDescent="0.2">
      <c r="C65508"/>
      <c r="M65508"/>
    </row>
    <row r="65509" spans="3:13" ht="12.75" customHeight="1" x14ac:dyDescent="0.2">
      <c r="C65509"/>
      <c r="M65509"/>
    </row>
    <row r="65510" spans="3:13" ht="12.75" customHeight="1" x14ac:dyDescent="0.2">
      <c r="C65510"/>
      <c r="M65510"/>
    </row>
    <row r="65511" spans="3:13" ht="12.75" customHeight="1" x14ac:dyDescent="0.2">
      <c r="C65511"/>
      <c r="M65511"/>
    </row>
    <row r="65512" spans="3:13" ht="12.75" customHeight="1" x14ac:dyDescent="0.2">
      <c r="C65512"/>
      <c r="M65512"/>
    </row>
    <row r="65513" spans="3:13" ht="12.75" customHeight="1" x14ac:dyDescent="0.2">
      <c r="C65513"/>
      <c r="M65513"/>
    </row>
    <row r="65514" spans="3:13" ht="12.75" customHeight="1" x14ac:dyDescent="0.2">
      <c r="C65514"/>
      <c r="M65514"/>
    </row>
    <row r="65515" spans="3:13" ht="12.75" customHeight="1" x14ac:dyDescent="0.2">
      <c r="C65515"/>
      <c r="M65515"/>
    </row>
    <row r="65516" spans="3:13" ht="12.75" customHeight="1" x14ac:dyDescent="0.2">
      <c r="C65516"/>
      <c r="M65516"/>
    </row>
    <row r="65517" spans="3:13" ht="12.75" customHeight="1" x14ac:dyDescent="0.2">
      <c r="C65517"/>
      <c r="M65517"/>
    </row>
    <row r="65518" spans="3:13" ht="12.75" customHeight="1" x14ac:dyDescent="0.2">
      <c r="C65518"/>
      <c r="M65518"/>
    </row>
    <row r="65519" spans="3:13" ht="12.75" customHeight="1" x14ac:dyDescent="0.2">
      <c r="C65519"/>
      <c r="M65519"/>
    </row>
    <row r="65520" spans="3:13" ht="12.75" customHeight="1" x14ac:dyDescent="0.2">
      <c r="C65520"/>
      <c r="M65520"/>
    </row>
    <row r="65521" spans="3:13" ht="12.75" customHeight="1" x14ac:dyDescent="0.2">
      <c r="C65521"/>
      <c r="M65521"/>
    </row>
    <row r="65522" spans="3:13" ht="12.75" customHeight="1" x14ac:dyDescent="0.2">
      <c r="C65522"/>
      <c r="M65522"/>
    </row>
    <row r="65523" spans="3:13" ht="12.75" customHeight="1" x14ac:dyDescent="0.2">
      <c r="C65523"/>
      <c r="M65523"/>
    </row>
    <row r="65524" spans="3:13" ht="12.75" customHeight="1" x14ac:dyDescent="0.2">
      <c r="C65524"/>
      <c r="M65524"/>
    </row>
    <row r="65525" spans="3:13" ht="12.75" customHeight="1" x14ac:dyDescent="0.2">
      <c r="C65525"/>
      <c r="M65525"/>
    </row>
    <row r="65526" spans="3:13" ht="12.75" customHeight="1" x14ac:dyDescent="0.2">
      <c r="C65526"/>
      <c r="M65526"/>
    </row>
    <row r="65527" spans="3:13" ht="12.75" customHeight="1" x14ac:dyDescent="0.2">
      <c r="C65527"/>
      <c r="M65527"/>
    </row>
    <row r="65528" spans="3:13" ht="12.75" customHeight="1" x14ac:dyDescent="0.2">
      <c r="C65528"/>
      <c r="M65528"/>
    </row>
    <row r="65529" spans="3:13" ht="12.75" customHeight="1" x14ac:dyDescent="0.2">
      <c r="C65529"/>
      <c r="M65529"/>
    </row>
    <row r="65530" spans="3:13" ht="12.75" customHeight="1" x14ac:dyDescent="0.2">
      <c r="C65530"/>
      <c r="M65530"/>
    </row>
    <row r="65531" spans="3:13" ht="12.75" customHeight="1" x14ac:dyDescent="0.2">
      <c r="C65531"/>
      <c r="M65531"/>
    </row>
    <row r="65532" spans="3:13" ht="12.75" customHeight="1" x14ac:dyDescent="0.2">
      <c r="C65532"/>
      <c r="M65532"/>
    </row>
    <row r="65533" spans="3:13" ht="12.75" customHeight="1" x14ac:dyDescent="0.2">
      <c r="C65533"/>
      <c r="M65533"/>
    </row>
    <row r="65534" spans="3:13" ht="12.75" customHeight="1" x14ac:dyDescent="0.2">
      <c r="C65534"/>
      <c r="M65534"/>
    </row>
    <row r="65535" spans="3:13" ht="12.75" customHeight="1" x14ac:dyDescent="0.2">
      <c r="C65535"/>
      <c r="M65535"/>
    </row>
    <row r="65536" spans="3:13" ht="12.75" customHeight="1" x14ac:dyDescent="0.2">
      <c r="C65536"/>
      <c r="M65536"/>
    </row>
    <row r="65537" spans="3:13" ht="12.75" customHeight="1" x14ac:dyDescent="0.2">
      <c r="C65537"/>
      <c r="M65537"/>
    </row>
    <row r="65538" spans="3:13" ht="12.75" customHeight="1" x14ac:dyDescent="0.2">
      <c r="C65538"/>
      <c r="M65538"/>
    </row>
    <row r="65539" spans="3:13" ht="12.75" customHeight="1" x14ac:dyDescent="0.2">
      <c r="C65539"/>
      <c r="M65539"/>
    </row>
    <row r="65540" spans="3:13" ht="12.75" customHeight="1" x14ac:dyDescent="0.2">
      <c r="C65540"/>
      <c r="M65540"/>
    </row>
    <row r="65541" spans="3:13" ht="12.75" customHeight="1" x14ac:dyDescent="0.2">
      <c r="C65541"/>
      <c r="M65541"/>
    </row>
    <row r="65542" spans="3:13" ht="12.75" customHeight="1" x14ac:dyDescent="0.2">
      <c r="C65542"/>
      <c r="M65542"/>
    </row>
    <row r="65543" spans="3:13" ht="12.75" customHeight="1" x14ac:dyDescent="0.2">
      <c r="C65543"/>
      <c r="M65543"/>
    </row>
    <row r="65544" spans="3:13" ht="12.75" customHeight="1" x14ac:dyDescent="0.2">
      <c r="C65544"/>
      <c r="M65544"/>
    </row>
    <row r="65545" spans="3:13" ht="12.75" customHeight="1" x14ac:dyDescent="0.2">
      <c r="C65545"/>
      <c r="M65545"/>
    </row>
    <row r="65546" spans="3:13" ht="12.75" customHeight="1" x14ac:dyDescent="0.2">
      <c r="C65546"/>
      <c r="M65546"/>
    </row>
    <row r="65547" spans="3:13" ht="12.75" customHeight="1" x14ac:dyDescent="0.2">
      <c r="C65547"/>
      <c r="M65547"/>
    </row>
    <row r="65548" spans="3:13" ht="12.75" customHeight="1" x14ac:dyDescent="0.2">
      <c r="C65548"/>
      <c r="M65548"/>
    </row>
    <row r="65549" spans="3:13" ht="12.75" customHeight="1" x14ac:dyDescent="0.2">
      <c r="C65549"/>
      <c r="M65549"/>
    </row>
    <row r="65550" spans="3:13" ht="12.75" customHeight="1" x14ac:dyDescent="0.2">
      <c r="C65550"/>
      <c r="M65550"/>
    </row>
    <row r="65551" spans="3:13" ht="12.75" customHeight="1" x14ac:dyDescent="0.2">
      <c r="C65551"/>
      <c r="M65551"/>
    </row>
    <row r="65552" spans="3:13" ht="12.75" customHeight="1" x14ac:dyDescent="0.2">
      <c r="C65552"/>
      <c r="M65552"/>
    </row>
    <row r="65553" spans="3:13" ht="12.75" customHeight="1" x14ac:dyDescent="0.2">
      <c r="C65553"/>
      <c r="M65553"/>
    </row>
    <row r="65554" spans="3:13" ht="12.75" customHeight="1" x14ac:dyDescent="0.2">
      <c r="C65554"/>
      <c r="M65554"/>
    </row>
    <row r="65555" spans="3:13" ht="12.75" customHeight="1" x14ac:dyDescent="0.2">
      <c r="C65555"/>
      <c r="M65555"/>
    </row>
    <row r="65556" spans="3:13" ht="12.75" customHeight="1" x14ac:dyDescent="0.2">
      <c r="C65556"/>
      <c r="M65556"/>
    </row>
    <row r="65557" spans="3:13" ht="12.75" customHeight="1" x14ac:dyDescent="0.2">
      <c r="C65557"/>
      <c r="M65557"/>
    </row>
    <row r="65558" spans="3:13" ht="12.75" customHeight="1" x14ac:dyDescent="0.2">
      <c r="C65558"/>
      <c r="M65558"/>
    </row>
    <row r="65559" spans="3:13" ht="12.75" customHeight="1" x14ac:dyDescent="0.2">
      <c r="C65559"/>
      <c r="M65559"/>
    </row>
    <row r="65560" spans="3:13" ht="12.75" customHeight="1" x14ac:dyDescent="0.2">
      <c r="C65560"/>
      <c r="M65560"/>
    </row>
    <row r="65561" spans="3:13" ht="12.75" customHeight="1" x14ac:dyDescent="0.2">
      <c r="C65561"/>
      <c r="M65561"/>
    </row>
    <row r="65562" spans="3:13" ht="12.75" customHeight="1" x14ac:dyDescent="0.2">
      <c r="C65562"/>
      <c r="M65562"/>
    </row>
    <row r="65563" spans="3:13" ht="12.75" customHeight="1" x14ac:dyDescent="0.2">
      <c r="C65563"/>
      <c r="M65563"/>
    </row>
    <row r="65564" spans="3:13" ht="12.75" customHeight="1" x14ac:dyDescent="0.2">
      <c r="C65564"/>
      <c r="M65564"/>
    </row>
    <row r="65565" spans="3:13" ht="12.75" customHeight="1" x14ac:dyDescent="0.2">
      <c r="C65565"/>
      <c r="M65565"/>
    </row>
    <row r="65566" spans="3:13" ht="12.75" customHeight="1" x14ac:dyDescent="0.2">
      <c r="C65566"/>
      <c r="M65566"/>
    </row>
    <row r="65567" spans="3:13" ht="12.75" customHeight="1" x14ac:dyDescent="0.2">
      <c r="C65567"/>
      <c r="M65567"/>
    </row>
    <row r="65568" spans="3:13" ht="12.75" customHeight="1" x14ac:dyDescent="0.2">
      <c r="C65568"/>
      <c r="M65568"/>
    </row>
    <row r="65569" spans="3:13" ht="12.75" customHeight="1" x14ac:dyDescent="0.2">
      <c r="C65569"/>
      <c r="M65569"/>
    </row>
    <row r="65570" spans="3:13" ht="12.75" customHeight="1" x14ac:dyDescent="0.2">
      <c r="C65570"/>
      <c r="M65570"/>
    </row>
    <row r="65571" spans="3:13" ht="12.75" customHeight="1" x14ac:dyDescent="0.2">
      <c r="C65571"/>
      <c r="M65571"/>
    </row>
    <row r="65572" spans="3:13" ht="12.75" customHeight="1" x14ac:dyDescent="0.2">
      <c r="C65572"/>
      <c r="M65572"/>
    </row>
    <row r="65573" spans="3:13" ht="12.75" customHeight="1" x14ac:dyDescent="0.2">
      <c r="C65573"/>
      <c r="M65573"/>
    </row>
    <row r="65574" spans="3:13" ht="12.75" customHeight="1" x14ac:dyDescent="0.2">
      <c r="C65574"/>
      <c r="M65574"/>
    </row>
    <row r="65575" spans="3:13" ht="12.75" customHeight="1" x14ac:dyDescent="0.2">
      <c r="C65575"/>
      <c r="M65575"/>
    </row>
    <row r="65576" spans="3:13" ht="12.75" customHeight="1" x14ac:dyDescent="0.2">
      <c r="C65576"/>
      <c r="M65576"/>
    </row>
    <row r="65577" spans="3:13" ht="12.75" customHeight="1" x14ac:dyDescent="0.2">
      <c r="C65577"/>
      <c r="M65577"/>
    </row>
    <row r="65578" spans="3:13" ht="12.75" customHeight="1" x14ac:dyDescent="0.2">
      <c r="C65578"/>
      <c r="M65578"/>
    </row>
    <row r="65579" spans="3:13" ht="12.75" customHeight="1" x14ac:dyDescent="0.2">
      <c r="C65579"/>
      <c r="M65579"/>
    </row>
    <row r="65580" spans="3:13" ht="12.75" customHeight="1" x14ac:dyDescent="0.2">
      <c r="C65580"/>
      <c r="M65580"/>
    </row>
    <row r="65581" spans="3:13" ht="12.75" customHeight="1" x14ac:dyDescent="0.2">
      <c r="C65581"/>
      <c r="M65581"/>
    </row>
    <row r="65582" spans="3:13" ht="12.75" customHeight="1" x14ac:dyDescent="0.2">
      <c r="C65582"/>
      <c r="M65582"/>
    </row>
    <row r="65583" spans="3:13" ht="12.75" customHeight="1" x14ac:dyDescent="0.2">
      <c r="C65583"/>
      <c r="M65583"/>
    </row>
    <row r="65584" spans="3:13" ht="12.75" customHeight="1" x14ac:dyDescent="0.2">
      <c r="C65584"/>
      <c r="M65584"/>
    </row>
    <row r="65585" spans="3:13" ht="12.75" customHeight="1" x14ac:dyDescent="0.2">
      <c r="C65585"/>
      <c r="M65585"/>
    </row>
    <row r="65586" spans="3:13" ht="12.75" customHeight="1" x14ac:dyDescent="0.2">
      <c r="C65586"/>
      <c r="M65586"/>
    </row>
    <row r="65587" spans="3:13" ht="12.75" customHeight="1" x14ac:dyDescent="0.2">
      <c r="C65587"/>
      <c r="M65587"/>
    </row>
    <row r="65588" spans="3:13" ht="12.75" customHeight="1" x14ac:dyDescent="0.2">
      <c r="C65588"/>
      <c r="M65588"/>
    </row>
    <row r="65589" spans="3:13" ht="12.75" customHeight="1" x14ac:dyDescent="0.2">
      <c r="C65589"/>
      <c r="M65589"/>
    </row>
    <row r="65590" spans="3:13" ht="12.75" customHeight="1" x14ac:dyDescent="0.2">
      <c r="C65590"/>
      <c r="M65590"/>
    </row>
    <row r="65591" spans="3:13" ht="12.75" customHeight="1" x14ac:dyDescent="0.2">
      <c r="C65591"/>
      <c r="M65591"/>
    </row>
    <row r="65592" spans="3:13" ht="12.75" customHeight="1" x14ac:dyDescent="0.2">
      <c r="C65592"/>
      <c r="M65592"/>
    </row>
    <row r="65593" spans="3:13" ht="12.75" customHeight="1" x14ac:dyDescent="0.2">
      <c r="C65593"/>
      <c r="M65593"/>
    </row>
    <row r="65594" spans="3:13" ht="12.75" customHeight="1" x14ac:dyDescent="0.2">
      <c r="C65594"/>
      <c r="M65594"/>
    </row>
    <row r="65595" spans="3:13" ht="12.75" customHeight="1" x14ac:dyDescent="0.2">
      <c r="C65595"/>
      <c r="M65595"/>
    </row>
    <row r="65596" spans="3:13" ht="12.75" customHeight="1" x14ac:dyDescent="0.2">
      <c r="C65596"/>
      <c r="M65596"/>
    </row>
    <row r="65597" spans="3:13" ht="12.75" customHeight="1" x14ac:dyDescent="0.2">
      <c r="C65597"/>
      <c r="M65597"/>
    </row>
    <row r="65598" spans="3:13" ht="12.75" customHeight="1" x14ac:dyDescent="0.2">
      <c r="C65598"/>
      <c r="M65598"/>
    </row>
    <row r="65599" spans="3:13" ht="12.75" customHeight="1" x14ac:dyDescent="0.2">
      <c r="C65599"/>
      <c r="M65599"/>
    </row>
    <row r="65600" spans="3:13" ht="12.75" customHeight="1" x14ac:dyDescent="0.2">
      <c r="C65600"/>
      <c r="M65600"/>
    </row>
    <row r="65601" spans="3:13" ht="12.75" customHeight="1" x14ac:dyDescent="0.2">
      <c r="C65601"/>
      <c r="M65601"/>
    </row>
    <row r="65602" spans="3:13" ht="12.75" customHeight="1" x14ac:dyDescent="0.2">
      <c r="C65602"/>
      <c r="M65602"/>
    </row>
    <row r="65603" spans="3:13" ht="12.75" customHeight="1" x14ac:dyDescent="0.2">
      <c r="C65603"/>
      <c r="M65603"/>
    </row>
    <row r="65604" spans="3:13" ht="12.75" customHeight="1" x14ac:dyDescent="0.2">
      <c r="C65604"/>
      <c r="M65604"/>
    </row>
    <row r="65605" spans="3:13" ht="12.75" customHeight="1" x14ac:dyDescent="0.2">
      <c r="C65605"/>
      <c r="M65605"/>
    </row>
    <row r="65606" spans="3:13" ht="12.75" customHeight="1" x14ac:dyDescent="0.2">
      <c r="C65606"/>
      <c r="M65606"/>
    </row>
    <row r="65607" spans="3:13" ht="12.75" customHeight="1" x14ac:dyDescent="0.2">
      <c r="C65607"/>
      <c r="M65607"/>
    </row>
    <row r="65608" spans="3:13" ht="12.75" customHeight="1" x14ac:dyDescent="0.2">
      <c r="C65608"/>
      <c r="M65608"/>
    </row>
    <row r="65609" spans="3:13" ht="12.75" customHeight="1" x14ac:dyDescent="0.2">
      <c r="C65609"/>
      <c r="M65609"/>
    </row>
    <row r="65610" spans="3:13" ht="12.75" customHeight="1" x14ac:dyDescent="0.2">
      <c r="C65610"/>
      <c r="M65610"/>
    </row>
    <row r="65611" spans="3:13" ht="12.75" customHeight="1" x14ac:dyDescent="0.2">
      <c r="C65611"/>
      <c r="M65611"/>
    </row>
    <row r="65612" spans="3:13" ht="12.75" customHeight="1" x14ac:dyDescent="0.2">
      <c r="C65612"/>
      <c r="M65612"/>
    </row>
    <row r="65613" spans="3:13" ht="12.75" customHeight="1" x14ac:dyDescent="0.2">
      <c r="C65613"/>
      <c r="M65613"/>
    </row>
    <row r="65614" spans="3:13" ht="12.75" customHeight="1" x14ac:dyDescent="0.2">
      <c r="C65614"/>
      <c r="M65614"/>
    </row>
    <row r="65615" spans="3:13" ht="12.75" customHeight="1" x14ac:dyDescent="0.2">
      <c r="C65615"/>
      <c r="M65615"/>
    </row>
    <row r="65616" spans="3:13" ht="12.75" customHeight="1" x14ac:dyDescent="0.2">
      <c r="C65616"/>
      <c r="M65616"/>
    </row>
    <row r="65617" spans="3:13" ht="12.75" customHeight="1" x14ac:dyDescent="0.2">
      <c r="C65617"/>
      <c r="M65617"/>
    </row>
    <row r="65618" spans="3:13" ht="12.75" customHeight="1" x14ac:dyDescent="0.2">
      <c r="C65618"/>
      <c r="M65618"/>
    </row>
    <row r="65619" spans="3:13" ht="12.75" customHeight="1" x14ac:dyDescent="0.2">
      <c r="C65619"/>
      <c r="M65619"/>
    </row>
    <row r="65620" spans="3:13" ht="12.75" customHeight="1" x14ac:dyDescent="0.2">
      <c r="C65620"/>
      <c r="M65620"/>
    </row>
    <row r="65621" spans="3:13" ht="12.75" customHeight="1" x14ac:dyDescent="0.2">
      <c r="C65621"/>
      <c r="M65621"/>
    </row>
    <row r="65622" spans="3:13" ht="12.75" customHeight="1" x14ac:dyDescent="0.2">
      <c r="C65622"/>
      <c r="M65622"/>
    </row>
    <row r="65623" spans="3:13" ht="12.75" customHeight="1" x14ac:dyDescent="0.2">
      <c r="C65623"/>
      <c r="M65623"/>
    </row>
    <row r="65624" spans="3:13" ht="12.75" customHeight="1" x14ac:dyDescent="0.2">
      <c r="C65624"/>
      <c r="M65624"/>
    </row>
    <row r="65625" spans="3:13" ht="12.75" customHeight="1" x14ac:dyDescent="0.2">
      <c r="C65625"/>
      <c r="M65625"/>
    </row>
    <row r="65626" spans="3:13" ht="12.75" customHeight="1" x14ac:dyDescent="0.2">
      <c r="C65626"/>
      <c r="M65626"/>
    </row>
    <row r="65627" spans="3:13" ht="12.75" customHeight="1" x14ac:dyDescent="0.2">
      <c r="C65627"/>
      <c r="M65627"/>
    </row>
    <row r="65628" spans="3:13" ht="12.75" customHeight="1" x14ac:dyDescent="0.2">
      <c r="C65628"/>
      <c r="M65628"/>
    </row>
    <row r="65629" spans="3:13" ht="12.75" customHeight="1" x14ac:dyDescent="0.2">
      <c r="C65629"/>
      <c r="M65629"/>
    </row>
    <row r="65630" spans="3:13" ht="12.75" customHeight="1" x14ac:dyDescent="0.2">
      <c r="C65630"/>
      <c r="M65630"/>
    </row>
    <row r="65631" spans="3:13" ht="12.75" customHeight="1" x14ac:dyDescent="0.2">
      <c r="C65631"/>
      <c r="M65631"/>
    </row>
    <row r="65632" spans="3:13" ht="12.75" customHeight="1" x14ac:dyDescent="0.2">
      <c r="C65632"/>
      <c r="M65632"/>
    </row>
    <row r="65633" spans="3:13" ht="12.75" customHeight="1" x14ac:dyDescent="0.2">
      <c r="C65633"/>
      <c r="M65633"/>
    </row>
    <row r="65634" spans="3:13" ht="12.75" customHeight="1" x14ac:dyDescent="0.2">
      <c r="C65634"/>
      <c r="M65634"/>
    </row>
    <row r="65635" spans="3:13" ht="12.75" customHeight="1" x14ac:dyDescent="0.2">
      <c r="C65635"/>
      <c r="M65635"/>
    </row>
    <row r="65636" spans="3:13" ht="12.75" customHeight="1" x14ac:dyDescent="0.2">
      <c r="C65636"/>
      <c r="M65636"/>
    </row>
    <row r="65637" spans="3:13" ht="12.75" customHeight="1" x14ac:dyDescent="0.2">
      <c r="C65637"/>
      <c r="M65637"/>
    </row>
    <row r="65638" spans="3:13" ht="12.75" customHeight="1" x14ac:dyDescent="0.2">
      <c r="C65638"/>
      <c r="M65638"/>
    </row>
    <row r="65639" spans="3:13" ht="12.75" customHeight="1" x14ac:dyDescent="0.2">
      <c r="C65639"/>
      <c r="M65639"/>
    </row>
    <row r="65640" spans="3:13" ht="12.75" customHeight="1" x14ac:dyDescent="0.2">
      <c r="C65640"/>
      <c r="M65640"/>
    </row>
    <row r="65641" spans="3:13" ht="12.75" customHeight="1" x14ac:dyDescent="0.2">
      <c r="C65641"/>
      <c r="M65641"/>
    </row>
    <row r="65642" spans="3:13" ht="12.75" customHeight="1" x14ac:dyDescent="0.2">
      <c r="C65642"/>
      <c r="M65642"/>
    </row>
    <row r="65643" spans="3:13" ht="12.75" customHeight="1" x14ac:dyDescent="0.2">
      <c r="C65643"/>
      <c r="M65643"/>
    </row>
    <row r="65644" spans="3:13" ht="12.75" customHeight="1" x14ac:dyDescent="0.2">
      <c r="C65644"/>
      <c r="M65644"/>
    </row>
    <row r="65645" spans="3:13" ht="12.75" customHeight="1" x14ac:dyDescent="0.2">
      <c r="C65645"/>
      <c r="M65645"/>
    </row>
    <row r="65646" spans="3:13" ht="12.75" customHeight="1" x14ac:dyDescent="0.2">
      <c r="C65646"/>
      <c r="M65646"/>
    </row>
    <row r="65647" spans="3:13" ht="12.75" customHeight="1" x14ac:dyDescent="0.2">
      <c r="C65647"/>
      <c r="M65647"/>
    </row>
    <row r="65648" spans="3:13" ht="12.75" customHeight="1" x14ac:dyDescent="0.2">
      <c r="C65648"/>
      <c r="M65648"/>
    </row>
    <row r="65649" spans="3:13" ht="12.75" customHeight="1" x14ac:dyDescent="0.2">
      <c r="C65649"/>
      <c r="M65649"/>
    </row>
    <row r="65650" spans="3:13" ht="12.75" customHeight="1" x14ac:dyDescent="0.2">
      <c r="C65650"/>
      <c r="M65650"/>
    </row>
    <row r="65651" spans="3:13" ht="12.75" customHeight="1" x14ac:dyDescent="0.2">
      <c r="C65651"/>
      <c r="M65651"/>
    </row>
    <row r="65652" spans="3:13" ht="12.75" customHeight="1" x14ac:dyDescent="0.2">
      <c r="C65652"/>
      <c r="M65652"/>
    </row>
    <row r="65653" spans="3:13" ht="12.75" customHeight="1" x14ac:dyDescent="0.2">
      <c r="C65653"/>
      <c r="M65653"/>
    </row>
    <row r="65654" spans="3:13" ht="12.75" customHeight="1" x14ac:dyDescent="0.2">
      <c r="C65654"/>
      <c r="M65654"/>
    </row>
    <row r="65655" spans="3:13" ht="12.75" customHeight="1" x14ac:dyDescent="0.2">
      <c r="C65655"/>
      <c r="M65655"/>
    </row>
    <row r="65656" spans="3:13" ht="12.75" customHeight="1" x14ac:dyDescent="0.2">
      <c r="C65656"/>
      <c r="M65656"/>
    </row>
    <row r="65657" spans="3:13" ht="12.75" customHeight="1" x14ac:dyDescent="0.2">
      <c r="C65657"/>
      <c r="M65657"/>
    </row>
    <row r="65658" spans="3:13" ht="12.75" customHeight="1" x14ac:dyDescent="0.2">
      <c r="C65658"/>
      <c r="M65658"/>
    </row>
    <row r="65659" spans="3:13" ht="12.75" customHeight="1" x14ac:dyDescent="0.2">
      <c r="C65659"/>
      <c r="M65659"/>
    </row>
    <row r="65660" spans="3:13" ht="12.75" customHeight="1" x14ac:dyDescent="0.2">
      <c r="C65660"/>
      <c r="M65660"/>
    </row>
    <row r="65661" spans="3:13" ht="12.75" customHeight="1" x14ac:dyDescent="0.2">
      <c r="C65661"/>
      <c r="M65661"/>
    </row>
    <row r="65662" spans="3:13" ht="12.75" customHeight="1" x14ac:dyDescent="0.2">
      <c r="C65662"/>
      <c r="M65662"/>
    </row>
    <row r="65663" spans="3:13" ht="12.75" customHeight="1" x14ac:dyDescent="0.2">
      <c r="C65663"/>
      <c r="M65663"/>
    </row>
    <row r="65664" spans="3:13" ht="12.75" customHeight="1" x14ac:dyDescent="0.2">
      <c r="C65664"/>
      <c r="M65664"/>
    </row>
    <row r="65665" spans="3:13" ht="12.75" customHeight="1" x14ac:dyDescent="0.2">
      <c r="C65665"/>
      <c r="M65665"/>
    </row>
    <row r="65666" spans="3:13" ht="12.75" customHeight="1" x14ac:dyDescent="0.2">
      <c r="C65666"/>
      <c r="M65666"/>
    </row>
    <row r="65667" spans="3:13" ht="12.75" customHeight="1" x14ac:dyDescent="0.2">
      <c r="C65667"/>
      <c r="M65667"/>
    </row>
    <row r="65668" spans="3:13" ht="12.75" customHeight="1" x14ac:dyDescent="0.2">
      <c r="C65668"/>
      <c r="M65668"/>
    </row>
    <row r="65669" spans="3:13" ht="12.75" customHeight="1" x14ac:dyDescent="0.2">
      <c r="C65669"/>
      <c r="M65669"/>
    </row>
    <row r="65670" spans="3:13" ht="12.75" customHeight="1" x14ac:dyDescent="0.2">
      <c r="C65670"/>
      <c r="M65670"/>
    </row>
    <row r="65671" spans="3:13" ht="12.75" customHeight="1" x14ac:dyDescent="0.2">
      <c r="C65671"/>
      <c r="M65671"/>
    </row>
    <row r="65672" spans="3:13" ht="12.75" customHeight="1" x14ac:dyDescent="0.2">
      <c r="C65672"/>
      <c r="M65672"/>
    </row>
    <row r="65673" spans="3:13" ht="12.75" customHeight="1" x14ac:dyDescent="0.2">
      <c r="C65673"/>
      <c r="M65673"/>
    </row>
    <row r="65674" spans="3:13" ht="12.75" customHeight="1" x14ac:dyDescent="0.2">
      <c r="C65674"/>
      <c r="M65674"/>
    </row>
    <row r="65675" spans="3:13" ht="12.75" customHeight="1" x14ac:dyDescent="0.2">
      <c r="C65675"/>
      <c r="M65675"/>
    </row>
    <row r="65676" spans="3:13" ht="12.75" customHeight="1" x14ac:dyDescent="0.2">
      <c r="C65676"/>
      <c r="M65676"/>
    </row>
    <row r="65677" spans="3:13" ht="12.75" customHeight="1" x14ac:dyDescent="0.2">
      <c r="C65677"/>
      <c r="M65677"/>
    </row>
    <row r="65678" spans="3:13" ht="12.75" customHeight="1" x14ac:dyDescent="0.2">
      <c r="C65678"/>
      <c r="M65678"/>
    </row>
    <row r="65679" spans="3:13" ht="12.75" customHeight="1" x14ac:dyDescent="0.2">
      <c r="C65679"/>
      <c r="M65679"/>
    </row>
    <row r="65680" spans="3:13" ht="12.75" customHeight="1" x14ac:dyDescent="0.2">
      <c r="C65680"/>
      <c r="M65680"/>
    </row>
    <row r="65681" spans="3:13" ht="12.75" customHeight="1" x14ac:dyDescent="0.2">
      <c r="C65681"/>
      <c r="M65681"/>
    </row>
    <row r="65682" spans="3:13" ht="12.75" customHeight="1" x14ac:dyDescent="0.2">
      <c r="C65682"/>
      <c r="M65682"/>
    </row>
    <row r="65683" spans="3:13" ht="12.75" customHeight="1" x14ac:dyDescent="0.2">
      <c r="C65683"/>
      <c r="M65683"/>
    </row>
    <row r="65684" spans="3:13" ht="12.75" customHeight="1" x14ac:dyDescent="0.2">
      <c r="C65684"/>
      <c r="M65684"/>
    </row>
    <row r="65685" spans="3:13" ht="12.75" customHeight="1" x14ac:dyDescent="0.2">
      <c r="C65685"/>
      <c r="M65685"/>
    </row>
    <row r="65686" spans="3:13" ht="12.75" customHeight="1" x14ac:dyDescent="0.2">
      <c r="C65686"/>
      <c r="M65686"/>
    </row>
    <row r="65687" spans="3:13" ht="12.75" customHeight="1" x14ac:dyDescent="0.2">
      <c r="C65687"/>
      <c r="M65687"/>
    </row>
    <row r="65688" spans="3:13" ht="12.75" customHeight="1" x14ac:dyDescent="0.2">
      <c r="C65688"/>
      <c r="M65688"/>
    </row>
    <row r="65689" spans="3:13" ht="12.75" customHeight="1" x14ac:dyDescent="0.2">
      <c r="C65689"/>
      <c r="M65689"/>
    </row>
    <row r="65690" spans="3:13" ht="12.75" customHeight="1" x14ac:dyDescent="0.2">
      <c r="C65690"/>
      <c r="M65690"/>
    </row>
    <row r="65691" spans="3:13" ht="12.75" customHeight="1" x14ac:dyDescent="0.2">
      <c r="C65691"/>
      <c r="M65691"/>
    </row>
    <row r="65692" spans="3:13" ht="12.75" customHeight="1" x14ac:dyDescent="0.2">
      <c r="C65692"/>
      <c r="M65692"/>
    </row>
    <row r="65693" spans="3:13" ht="12.75" customHeight="1" x14ac:dyDescent="0.2">
      <c r="C65693"/>
      <c r="M65693"/>
    </row>
    <row r="65694" spans="3:13" ht="12.75" customHeight="1" x14ac:dyDescent="0.2">
      <c r="C65694"/>
      <c r="M65694"/>
    </row>
    <row r="65695" spans="3:13" ht="12.75" customHeight="1" x14ac:dyDescent="0.2">
      <c r="C65695"/>
      <c r="M65695"/>
    </row>
    <row r="65696" spans="3:13" ht="12.75" customHeight="1" x14ac:dyDescent="0.2">
      <c r="C65696"/>
      <c r="M65696"/>
    </row>
    <row r="65697" spans="3:13" ht="12.75" customHeight="1" x14ac:dyDescent="0.2">
      <c r="C65697"/>
      <c r="M65697"/>
    </row>
    <row r="65698" spans="3:13" ht="12.75" customHeight="1" x14ac:dyDescent="0.2">
      <c r="C65698"/>
      <c r="M65698"/>
    </row>
    <row r="65699" spans="3:13" ht="12.75" customHeight="1" x14ac:dyDescent="0.2">
      <c r="C65699"/>
      <c r="M65699"/>
    </row>
    <row r="65700" spans="3:13" ht="12.75" customHeight="1" x14ac:dyDescent="0.2">
      <c r="C65700"/>
      <c r="M65700"/>
    </row>
    <row r="65701" spans="3:13" ht="12.75" customHeight="1" x14ac:dyDescent="0.2">
      <c r="C65701"/>
      <c r="M65701"/>
    </row>
    <row r="65702" spans="3:13" ht="12.75" customHeight="1" x14ac:dyDescent="0.2">
      <c r="C65702"/>
      <c r="M65702"/>
    </row>
    <row r="65703" spans="3:13" ht="12.75" customHeight="1" x14ac:dyDescent="0.2">
      <c r="C65703"/>
      <c r="M65703"/>
    </row>
    <row r="65704" spans="3:13" ht="12.75" customHeight="1" x14ac:dyDescent="0.2">
      <c r="C65704"/>
      <c r="M65704"/>
    </row>
    <row r="65705" spans="3:13" ht="12.75" customHeight="1" x14ac:dyDescent="0.2">
      <c r="C65705"/>
      <c r="M65705"/>
    </row>
    <row r="65706" spans="3:13" ht="12.75" customHeight="1" x14ac:dyDescent="0.2">
      <c r="C65706"/>
      <c r="M65706"/>
    </row>
    <row r="65707" spans="3:13" ht="12.75" customHeight="1" x14ac:dyDescent="0.2">
      <c r="C65707"/>
      <c r="M65707"/>
    </row>
    <row r="65708" spans="3:13" ht="12.75" customHeight="1" x14ac:dyDescent="0.2">
      <c r="C65708"/>
      <c r="M65708"/>
    </row>
    <row r="65709" spans="3:13" ht="12.75" customHeight="1" x14ac:dyDescent="0.2">
      <c r="C65709"/>
      <c r="M65709"/>
    </row>
    <row r="65710" spans="3:13" ht="12.75" customHeight="1" x14ac:dyDescent="0.2">
      <c r="C65710"/>
      <c r="M65710"/>
    </row>
    <row r="65711" spans="3:13" ht="12.75" customHeight="1" x14ac:dyDescent="0.2">
      <c r="C65711"/>
      <c r="M65711"/>
    </row>
    <row r="65712" spans="3:13" ht="12.75" customHeight="1" x14ac:dyDescent="0.2">
      <c r="C65712"/>
      <c r="M65712"/>
    </row>
    <row r="65713" spans="3:13" ht="12.75" customHeight="1" x14ac:dyDescent="0.2">
      <c r="C65713"/>
      <c r="M65713"/>
    </row>
    <row r="65714" spans="3:13" ht="12.75" customHeight="1" x14ac:dyDescent="0.2">
      <c r="C65714"/>
      <c r="M65714"/>
    </row>
    <row r="65715" spans="3:13" ht="12.75" customHeight="1" x14ac:dyDescent="0.2">
      <c r="C65715"/>
      <c r="M65715"/>
    </row>
    <row r="65716" spans="3:13" ht="12.75" customHeight="1" x14ac:dyDescent="0.2">
      <c r="C65716"/>
      <c r="M65716"/>
    </row>
    <row r="65717" spans="3:13" ht="12.75" customHeight="1" x14ac:dyDescent="0.2">
      <c r="C65717"/>
      <c r="M65717"/>
    </row>
    <row r="65718" spans="3:13" ht="12.75" customHeight="1" x14ac:dyDescent="0.2">
      <c r="C65718"/>
      <c r="M65718"/>
    </row>
    <row r="65719" spans="3:13" ht="12.75" customHeight="1" x14ac:dyDescent="0.2">
      <c r="C65719"/>
      <c r="M65719"/>
    </row>
    <row r="65720" spans="3:13" ht="12.75" customHeight="1" x14ac:dyDescent="0.2">
      <c r="C65720"/>
      <c r="M65720"/>
    </row>
    <row r="65721" spans="3:13" ht="12.75" customHeight="1" x14ac:dyDescent="0.2">
      <c r="C65721"/>
      <c r="M65721"/>
    </row>
    <row r="65722" spans="3:13" ht="12.75" customHeight="1" x14ac:dyDescent="0.2">
      <c r="C65722"/>
      <c r="M65722"/>
    </row>
    <row r="65723" spans="3:13" ht="12.75" customHeight="1" x14ac:dyDescent="0.2">
      <c r="C65723"/>
      <c r="M65723"/>
    </row>
    <row r="65724" spans="3:13" ht="12.75" customHeight="1" x14ac:dyDescent="0.2">
      <c r="C65724"/>
      <c r="M65724"/>
    </row>
    <row r="65725" spans="3:13" ht="12.75" customHeight="1" x14ac:dyDescent="0.2">
      <c r="C65725"/>
      <c r="M65725"/>
    </row>
    <row r="65726" spans="3:13" ht="12.75" customHeight="1" x14ac:dyDescent="0.2">
      <c r="C65726"/>
      <c r="M65726"/>
    </row>
    <row r="65727" spans="3:13" ht="12.75" customHeight="1" x14ac:dyDescent="0.2">
      <c r="C65727"/>
      <c r="M65727"/>
    </row>
    <row r="65728" spans="3:13" ht="12.75" customHeight="1" x14ac:dyDescent="0.2">
      <c r="C65728"/>
      <c r="M65728"/>
    </row>
    <row r="65729" spans="3:13" ht="12.75" customHeight="1" x14ac:dyDescent="0.2">
      <c r="C65729"/>
      <c r="M65729"/>
    </row>
    <row r="65730" spans="3:13" ht="12.75" customHeight="1" x14ac:dyDescent="0.2">
      <c r="C65730"/>
      <c r="M65730"/>
    </row>
    <row r="65731" spans="3:13" ht="12.75" customHeight="1" x14ac:dyDescent="0.2">
      <c r="C65731"/>
      <c r="M65731"/>
    </row>
    <row r="65732" spans="3:13" ht="12.75" customHeight="1" x14ac:dyDescent="0.2">
      <c r="C65732"/>
      <c r="M65732"/>
    </row>
    <row r="65733" spans="3:13" ht="12.75" customHeight="1" x14ac:dyDescent="0.2">
      <c r="C65733"/>
      <c r="M65733"/>
    </row>
    <row r="65734" spans="3:13" ht="12.75" customHeight="1" x14ac:dyDescent="0.2">
      <c r="C65734"/>
      <c r="M65734"/>
    </row>
    <row r="65735" spans="3:13" ht="12.75" customHeight="1" x14ac:dyDescent="0.2">
      <c r="C65735"/>
      <c r="M65735"/>
    </row>
    <row r="65736" spans="3:13" ht="12.75" customHeight="1" x14ac:dyDescent="0.2">
      <c r="C65736"/>
      <c r="M65736"/>
    </row>
    <row r="65737" spans="3:13" ht="12.75" customHeight="1" x14ac:dyDescent="0.2">
      <c r="C65737"/>
      <c r="M65737"/>
    </row>
    <row r="65738" spans="3:13" ht="12.75" customHeight="1" x14ac:dyDescent="0.2">
      <c r="C65738"/>
      <c r="M65738"/>
    </row>
    <row r="65739" spans="3:13" ht="12.75" customHeight="1" x14ac:dyDescent="0.2">
      <c r="C65739"/>
      <c r="M65739"/>
    </row>
    <row r="65740" spans="3:13" ht="12.75" customHeight="1" x14ac:dyDescent="0.2">
      <c r="C65740"/>
      <c r="M65740"/>
    </row>
    <row r="65741" spans="3:13" ht="12.75" customHeight="1" x14ac:dyDescent="0.2">
      <c r="C65741"/>
      <c r="M65741"/>
    </row>
    <row r="65742" spans="3:13" ht="12.75" customHeight="1" x14ac:dyDescent="0.2">
      <c r="C65742"/>
      <c r="M65742"/>
    </row>
    <row r="65743" spans="3:13" ht="12.75" customHeight="1" x14ac:dyDescent="0.2">
      <c r="C65743"/>
      <c r="M65743"/>
    </row>
    <row r="65744" spans="3:13" ht="12.75" customHeight="1" x14ac:dyDescent="0.2">
      <c r="C65744"/>
      <c r="M65744"/>
    </row>
    <row r="65745" spans="3:13" ht="12.75" customHeight="1" x14ac:dyDescent="0.2">
      <c r="C65745"/>
      <c r="M65745"/>
    </row>
    <row r="65746" spans="3:13" ht="12.75" customHeight="1" x14ac:dyDescent="0.2">
      <c r="C65746"/>
      <c r="M65746"/>
    </row>
    <row r="65747" spans="3:13" ht="12.75" customHeight="1" x14ac:dyDescent="0.2">
      <c r="C65747"/>
      <c r="M65747"/>
    </row>
    <row r="65748" spans="3:13" ht="12.75" customHeight="1" x14ac:dyDescent="0.2">
      <c r="C65748"/>
      <c r="M65748"/>
    </row>
    <row r="65749" spans="3:13" ht="12.75" customHeight="1" x14ac:dyDescent="0.2">
      <c r="C65749"/>
      <c r="M65749"/>
    </row>
    <row r="65750" spans="3:13" ht="12.75" customHeight="1" x14ac:dyDescent="0.2">
      <c r="C65750"/>
      <c r="M65750"/>
    </row>
    <row r="65751" spans="3:13" ht="12.75" customHeight="1" x14ac:dyDescent="0.2">
      <c r="C65751"/>
      <c r="M65751"/>
    </row>
    <row r="65752" spans="3:13" ht="12.75" customHeight="1" x14ac:dyDescent="0.2">
      <c r="C65752"/>
      <c r="M65752"/>
    </row>
    <row r="65753" spans="3:13" ht="12.75" customHeight="1" x14ac:dyDescent="0.2">
      <c r="C65753"/>
      <c r="M65753"/>
    </row>
    <row r="65754" spans="3:13" ht="12.75" customHeight="1" x14ac:dyDescent="0.2">
      <c r="C65754"/>
      <c r="M65754"/>
    </row>
    <row r="65755" spans="3:13" ht="12.75" customHeight="1" x14ac:dyDescent="0.2">
      <c r="C65755"/>
      <c r="M65755"/>
    </row>
    <row r="65756" spans="3:13" ht="12.75" customHeight="1" x14ac:dyDescent="0.2">
      <c r="C65756"/>
      <c r="M65756"/>
    </row>
    <row r="65757" spans="3:13" ht="12.75" customHeight="1" x14ac:dyDescent="0.2">
      <c r="C65757"/>
      <c r="M65757"/>
    </row>
    <row r="65758" spans="3:13" ht="12.75" customHeight="1" x14ac:dyDescent="0.2">
      <c r="C65758"/>
      <c r="M65758"/>
    </row>
    <row r="65759" spans="3:13" ht="12.75" customHeight="1" x14ac:dyDescent="0.2">
      <c r="C65759"/>
      <c r="M65759"/>
    </row>
    <row r="65760" spans="3:13" ht="12.75" customHeight="1" x14ac:dyDescent="0.2">
      <c r="C65760"/>
      <c r="M65760"/>
    </row>
    <row r="65761" spans="3:13" ht="12.75" customHeight="1" x14ac:dyDescent="0.2">
      <c r="C65761"/>
      <c r="M65761"/>
    </row>
    <row r="65762" spans="3:13" ht="12.75" customHeight="1" x14ac:dyDescent="0.2">
      <c r="C65762"/>
      <c r="M65762"/>
    </row>
    <row r="65763" spans="3:13" ht="12.75" customHeight="1" x14ac:dyDescent="0.2">
      <c r="C65763"/>
      <c r="M65763"/>
    </row>
    <row r="65764" spans="3:13" ht="12.75" customHeight="1" x14ac:dyDescent="0.2">
      <c r="C65764"/>
      <c r="M65764"/>
    </row>
    <row r="65765" spans="3:13" ht="12.75" customHeight="1" x14ac:dyDescent="0.2">
      <c r="C65765"/>
      <c r="M65765"/>
    </row>
    <row r="65766" spans="3:13" ht="12.75" customHeight="1" x14ac:dyDescent="0.2">
      <c r="C65766"/>
      <c r="M65766"/>
    </row>
    <row r="65767" spans="3:13" ht="12.75" customHeight="1" x14ac:dyDescent="0.2">
      <c r="C65767"/>
      <c r="M65767"/>
    </row>
    <row r="65768" spans="3:13" ht="12.75" customHeight="1" x14ac:dyDescent="0.2">
      <c r="C65768"/>
      <c r="M65768"/>
    </row>
    <row r="65769" spans="3:13" ht="12.75" customHeight="1" x14ac:dyDescent="0.2">
      <c r="C65769"/>
      <c r="M65769"/>
    </row>
    <row r="65770" spans="3:13" ht="12.75" customHeight="1" x14ac:dyDescent="0.2">
      <c r="C65770"/>
      <c r="M65770"/>
    </row>
    <row r="65771" spans="3:13" ht="12.75" customHeight="1" x14ac:dyDescent="0.2">
      <c r="C65771"/>
      <c r="M65771"/>
    </row>
    <row r="65772" spans="3:13" ht="12.75" customHeight="1" x14ac:dyDescent="0.2">
      <c r="C65772"/>
      <c r="M65772"/>
    </row>
    <row r="65773" spans="3:13" ht="12.75" customHeight="1" x14ac:dyDescent="0.2">
      <c r="C65773"/>
      <c r="M65773"/>
    </row>
    <row r="65774" spans="3:13" ht="12.75" customHeight="1" x14ac:dyDescent="0.2">
      <c r="C65774"/>
      <c r="M65774"/>
    </row>
    <row r="65775" spans="3:13" ht="12.75" customHeight="1" x14ac:dyDescent="0.2">
      <c r="C65775"/>
      <c r="M65775"/>
    </row>
    <row r="65776" spans="3:13" ht="12.75" customHeight="1" x14ac:dyDescent="0.2">
      <c r="C65776"/>
      <c r="M65776"/>
    </row>
  </sheetData>
  <sheetProtection algorithmName="SHA-512" hashValue="gzVD2/55zZhZGQjX6gzy0vCD05nUubE0B/T2ShZRM+zSlBEjxGt8LXzDfloIjZ2UPuF6QQ0h6AOVfHFOQ6rHWw==" saltValue="Qz0nyA6IiFRoU1+24LfX1g==" spinCount="100000" sheet="1" objects="1" scenarios="1" autoFilter="0"/>
  <autoFilter ref="C15:C508" xr:uid="{00000000-0009-0000-0000-000005000000}"/>
  <mergeCells count="21">
    <mergeCell ref="AG6:AH6"/>
    <mergeCell ref="AG7:AH7"/>
    <mergeCell ref="AA9:AB9"/>
    <mergeCell ref="AC9:AH9"/>
    <mergeCell ref="AA10:AB10"/>
    <mergeCell ref="AC10:AH10"/>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D291:I298 D317:I324 D361:I368 D405:I412">
    <cfRule type="expression" dxfId="772" priority="12341" stopIfTrue="1">
      <formula>$B14=1</formula>
    </cfRule>
    <cfRule type="expression" dxfId="771" priority="12342" stopIfTrue="1">
      <formula>OR($B14=0,$B14=2,$B14=3,$B14=4)</formula>
    </cfRule>
  </conditionalFormatting>
  <conditionalFormatting sqref="M12:N508">
    <cfRule type="expression" dxfId="770" priority="12343" stopIfTrue="1">
      <formula>ACOMPANHAMENTO="BM"</formula>
    </cfRule>
    <cfRule type="expression" dxfId="769" priority="12344" stopIfTrue="1">
      <formula>OR($B12=0,$B12=2,$B12=3,$B12=4)</formula>
    </cfRule>
    <cfRule type="expression" dxfId="768" priority="12345" stopIfTrue="1">
      <formula>$B12=1</formula>
    </cfRule>
  </conditionalFormatting>
  <conditionalFormatting sqref="K12:K508">
    <cfRule type="expression" dxfId="767" priority="12346" stopIfTrue="1">
      <formula>OR(ACOMPANHAMENTO="BM",$A$12&lt;&gt;"Manual")</formula>
    </cfRule>
    <cfRule type="expression" dxfId="766" priority="12347" stopIfTrue="1">
      <formula>$B12=1</formula>
    </cfRule>
    <cfRule type="expression" dxfId="765" priority="12348" stopIfTrue="1">
      <formula>OR($B12=2,$B12=3,$B12=4,$B12=0)</formula>
    </cfRule>
  </conditionalFormatting>
  <conditionalFormatting sqref="O12:AI508">
    <cfRule type="expression" dxfId="764" priority="5932" stopIfTrue="1">
      <formula>ACOMPANHAMENTO="BM"</formula>
    </cfRule>
    <cfRule type="expression" dxfId="763" priority="12350" stopIfTrue="1">
      <formula>AND(O$12&lt;&gt;".",OR($B12=0,$B12=2,$B12=3,$B12=4,AND(O$12="",$B12&lt;&gt;"Empty"),OFFSET(O$1,0,-1)=0))</formula>
    </cfRule>
    <cfRule type="expression" dxfId="762" priority="12351" stopIfTrue="1">
      <formula>AND($B12=1,O$1=1)</formula>
    </cfRule>
  </conditionalFormatting>
  <conditionalFormatting sqref="Q15:AH15">
    <cfRule type="expression" dxfId="761" priority="12349">
      <formula>Q$11="▼"</formula>
    </cfRule>
  </conditionalFormatting>
  <conditionalFormatting sqref="O15">
    <cfRule type="expression" dxfId="760" priority="5931">
      <formula>O$11="▼"</formula>
    </cfRule>
  </conditionalFormatting>
  <conditionalFormatting sqref="N14 N291:N298 N317:N324 N361:N368 N405:N412">
    <cfRule type="expression" dxfId="759" priority="2966">
      <formula>$J14="►"</formula>
    </cfRule>
  </conditionalFormatting>
  <conditionalFormatting sqref="N12">
    <cfRule type="cellIs" dxfId="758" priority="2964" operator="notEqual">
      <formula>"FRENTES DE OBRA:"</formula>
    </cfRule>
  </conditionalFormatting>
  <conditionalFormatting sqref="Q14:AI14 Q291:AI298 Q317:AI324 Q361:AI368 Q405:AI412">
    <cfRule type="expression" dxfId="757" priority="749">
      <formula>Q14&lt;&gt;ROUND(Q14,2)</formula>
    </cfRule>
  </conditionalFormatting>
  <conditionalFormatting sqref="H14 H291:H298 H317:H324 H361:H368 H405:H412">
    <cfRule type="expression" dxfId="756" priority="472">
      <formula>$J14="►S"</formula>
    </cfRule>
  </conditionalFormatting>
  <conditionalFormatting sqref="D16:I16 D24:I29 D18:I19">
    <cfRule type="expression" dxfId="755" priority="309" stopIfTrue="1">
      <formula>$B16=1</formula>
    </cfRule>
    <cfRule type="expression" dxfId="754" priority="310" stopIfTrue="1">
      <formula>OR($B16=0,$B16=2,$B16=3,$B16=4)</formula>
    </cfRule>
  </conditionalFormatting>
  <conditionalFormatting sqref="N16 N24:N29 N18:N19">
    <cfRule type="expression" dxfId="753" priority="308">
      <formula>$J16="►"</formula>
    </cfRule>
  </conditionalFormatting>
  <conditionalFormatting sqref="Q16:AI16 Q24:AI29 Q18:AI19">
    <cfRule type="expression" dxfId="752" priority="307">
      <formula>Q16&lt;&gt;ROUND(Q16,2)</formula>
    </cfRule>
  </conditionalFormatting>
  <conditionalFormatting sqref="H16 H24:H29 H18:H19">
    <cfRule type="expression" dxfId="751" priority="306">
      <formula>$J16="►S"</formula>
    </cfRule>
  </conditionalFormatting>
  <conditionalFormatting sqref="D30:I38">
    <cfRule type="expression" dxfId="750" priority="304" stopIfTrue="1">
      <formula>$B30=1</formula>
    </cfRule>
    <cfRule type="expression" dxfId="749" priority="305" stopIfTrue="1">
      <formula>OR($B30=0,$B30=2,$B30=3,$B30=4)</formula>
    </cfRule>
  </conditionalFormatting>
  <conditionalFormatting sqref="N30:N38">
    <cfRule type="expression" dxfId="748" priority="303">
      <formula>$J30="►"</formula>
    </cfRule>
  </conditionalFormatting>
  <conditionalFormatting sqref="Q30:AI38">
    <cfRule type="expression" dxfId="747" priority="302">
      <formula>Q30&lt;&gt;ROUND(Q30,2)</formula>
    </cfRule>
  </conditionalFormatting>
  <conditionalFormatting sqref="H30:H38">
    <cfRule type="expression" dxfId="746" priority="301">
      <formula>$J30="►S"</formula>
    </cfRule>
  </conditionalFormatting>
  <conditionalFormatting sqref="D39:I47">
    <cfRule type="expression" dxfId="745" priority="299" stopIfTrue="1">
      <formula>$B39=1</formula>
    </cfRule>
    <cfRule type="expression" dxfId="744" priority="300" stopIfTrue="1">
      <formula>OR($B39=0,$B39=2,$B39=3,$B39=4)</formula>
    </cfRule>
  </conditionalFormatting>
  <conditionalFormatting sqref="N39:N47">
    <cfRule type="expression" dxfId="743" priority="298">
      <formula>$J39="►"</formula>
    </cfRule>
  </conditionalFormatting>
  <conditionalFormatting sqref="Q39:AI47">
    <cfRule type="expression" dxfId="742" priority="297">
      <formula>Q39&lt;&gt;ROUND(Q39,2)</formula>
    </cfRule>
  </conditionalFormatting>
  <conditionalFormatting sqref="H39:H47">
    <cfRule type="expression" dxfId="741" priority="296">
      <formula>$J39="►S"</formula>
    </cfRule>
  </conditionalFormatting>
  <conditionalFormatting sqref="D48:I56">
    <cfRule type="expression" dxfId="740" priority="294" stopIfTrue="1">
      <formula>$B48=1</formula>
    </cfRule>
    <cfRule type="expression" dxfId="739" priority="295" stopIfTrue="1">
      <formula>OR($B48=0,$B48=2,$B48=3,$B48=4)</formula>
    </cfRule>
  </conditionalFormatting>
  <conditionalFormatting sqref="N48:N56">
    <cfRule type="expression" dxfId="738" priority="293">
      <formula>$J48="►"</formula>
    </cfRule>
  </conditionalFormatting>
  <conditionalFormatting sqref="Q48:AI56">
    <cfRule type="expression" dxfId="737" priority="292">
      <formula>Q48&lt;&gt;ROUND(Q48,2)</formula>
    </cfRule>
  </conditionalFormatting>
  <conditionalFormatting sqref="H48:H56">
    <cfRule type="expression" dxfId="736" priority="291">
      <formula>$J48="►S"</formula>
    </cfRule>
  </conditionalFormatting>
  <conditionalFormatting sqref="D57:I65">
    <cfRule type="expression" dxfId="735" priority="289" stopIfTrue="1">
      <formula>$B57=1</formula>
    </cfRule>
    <cfRule type="expression" dxfId="734" priority="290" stopIfTrue="1">
      <formula>OR($B57=0,$B57=2,$B57=3,$B57=4)</formula>
    </cfRule>
  </conditionalFormatting>
  <conditionalFormatting sqref="N57:N65">
    <cfRule type="expression" dxfId="733" priority="288">
      <formula>$J57="►"</formula>
    </cfRule>
  </conditionalFormatting>
  <conditionalFormatting sqref="Q57:AI65">
    <cfRule type="expression" dxfId="732" priority="287">
      <formula>Q57&lt;&gt;ROUND(Q57,2)</formula>
    </cfRule>
  </conditionalFormatting>
  <conditionalFormatting sqref="H57:H65">
    <cfRule type="expression" dxfId="731" priority="286">
      <formula>$J57="►S"</formula>
    </cfRule>
  </conditionalFormatting>
  <conditionalFormatting sqref="D66:I74">
    <cfRule type="expression" dxfId="730" priority="284" stopIfTrue="1">
      <formula>$B66=1</formula>
    </cfRule>
    <cfRule type="expression" dxfId="729" priority="285" stopIfTrue="1">
      <formula>OR($B66=0,$B66=2,$B66=3,$B66=4)</formula>
    </cfRule>
  </conditionalFormatting>
  <conditionalFormatting sqref="N66:N74">
    <cfRule type="expression" dxfId="728" priority="283">
      <formula>$J66="►"</formula>
    </cfRule>
  </conditionalFormatting>
  <conditionalFormatting sqref="Q66:AI74">
    <cfRule type="expression" dxfId="727" priority="282">
      <formula>Q66&lt;&gt;ROUND(Q66,2)</formula>
    </cfRule>
  </conditionalFormatting>
  <conditionalFormatting sqref="H66:H74">
    <cfRule type="expression" dxfId="726" priority="281">
      <formula>$J66="►S"</formula>
    </cfRule>
  </conditionalFormatting>
  <conditionalFormatting sqref="D75:I83">
    <cfRule type="expression" dxfId="725" priority="279" stopIfTrue="1">
      <formula>$B75=1</formula>
    </cfRule>
    <cfRule type="expression" dxfId="724" priority="280" stopIfTrue="1">
      <formula>OR($B75=0,$B75=2,$B75=3,$B75=4)</formula>
    </cfRule>
  </conditionalFormatting>
  <conditionalFormatting sqref="N75:N83">
    <cfRule type="expression" dxfId="723" priority="278">
      <formula>$J75="►"</formula>
    </cfRule>
  </conditionalFormatting>
  <conditionalFormatting sqref="Q75:AI83">
    <cfRule type="expression" dxfId="722" priority="277">
      <formula>Q75&lt;&gt;ROUND(Q75,2)</formula>
    </cfRule>
  </conditionalFormatting>
  <conditionalFormatting sqref="H75:H83">
    <cfRule type="expression" dxfId="721" priority="276">
      <formula>$J75="►S"</formula>
    </cfRule>
  </conditionalFormatting>
  <conditionalFormatting sqref="D84:I92">
    <cfRule type="expression" dxfId="720" priority="274" stopIfTrue="1">
      <formula>$B84=1</formula>
    </cfRule>
    <cfRule type="expression" dxfId="719" priority="275" stopIfTrue="1">
      <formula>OR($B84=0,$B84=2,$B84=3,$B84=4)</formula>
    </cfRule>
  </conditionalFormatting>
  <conditionalFormatting sqref="N84:N92">
    <cfRule type="expression" dxfId="718" priority="273">
      <formula>$J84="►"</formula>
    </cfRule>
  </conditionalFormatting>
  <conditionalFormatting sqref="Q84:AI92">
    <cfRule type="expression" dxfId="717" priority="272">
      <formula>Q84&lt;&gt;ROUND(Q84,2)</formula>
    </cfRule>
  </conditionalFormatting>
  <conditionalFormatting sqref="H84:H92">
    <cfRule type="expression" dxfId="716" priority="271">
      <formula>$J84="►S"</formula>
    </cfRule>
  </conditionalFormatting>
  <conditionalFormatting sqref="D93:I101">
    <cfRule type="expression" dxfId="715" priority="269" stopIfTrue="1">
      <formula>$B93=1</formula>
    </cfRule>
    <cfRule type="expression" dxfId="714" priority="270" stopIfTrue="1">
      <formula>OR($B93=0,$B93=2,$B93=3,$B93=4)</formula>
    </cfRule>
  </conditionalFormatting>
  <conditionalFormatting sqref="N93:N101">
    <cfRule type="expression" dxfId="713" priority="268">
      <formula>$J93="►"</formula>
    </cfRule>
  </conditionalFormatting>
  <conditionalFormatting sqref="Q93:AI101">
    <cfRule type="expression" dxfId="712" priority="267">
      <formula>Q93&lt;&gt;ROUND(Q93,2)</formula>
    </cfRule>
  </conditionalFormatting>
  <conditionalFormatting sqref="H93:H101">
    <cfRule type="expression" dxfId="711" priority="266">
      <formula>$J93="►S"</formula>
    </cfRule>
  </conditionalFormatting>
  <conditionalFormatting sqref="D102:I110">
    <cfRule type="expression" dxfId="710" priority="264" stopIfTrue="1">
      <formula>$B102=1</formula>
    </cfRule>
    <cfRule type="expression" dxfId="709" priority="265" stopIfTrue="1">
      <formula>OR($B102=0,$B102=2,$B102=3,$B102=4)</formula>
    </cfRule>
  </conditionalFormatting>
  <conditionalFormatting sqref="N102:N110">
    <cfRule type="expression" dxfId="708" priority="263">
      <formula>$J102="►"</formula>
    </cfRule>
  </conditionalFormatting>
  <conditionalFormatting sqref="Q102:AI110">
    <cfRule type="expression" dxfId="707" priority="262">
      <formula>Q102&lt;&gt;ROUND(Q102,2)</formula>
    </cfRule>
  </conditionalFormatting>
  <conditionalFormatting sqref="H102:H110">
    <cfRule type="expression" dxfId="706" priority="261">
      <formula>$J102="►S"</formula>
    </cfRule>
  </conditionalFormatting>
  <conditionalFormatting sqref="D111:I119">
    <cfRule type="expression" dxfId="705" priority="259" stopIfTrue="1">
      <formula>$B111=1</formula>
    </cfRule>
    <cfRule type="expression" dxfId="704" priority="260" stopIfTrue="1">
      <formula>OR($B111=0,$B111=2,$B111=3,$B111=4)</formula>
    </cfRule>
  </conditionalFormatting>
  <conditionalFormatting sqref="N111:N119">
    <cfRule type="expression" dxfId="703" priority="258">
      <formula>$J111="►"</formula>
    </cfRule>
  </conditionalFormatting>
  <conditionalFormatting sqref="Q111:AI119">
    <cfRule type="expression" dxfId="702" priority="257">
      <formula>Q111&lt;&gt;ROUND(Q111,2)</formula>
    </cfRule>
  </conditionalFormatting>
  <conditionalFormatting sqref="H111:H119">
    <cfRule type="expression" dxfId="701" priority="256">
      <formula>$J111="►S"</formula>
    </cfRule>
  </conditionalFormatting>
  <conditionalFormatting sqref="D120:I128">
    <cfRule type="expression" dxfId="700" priority="254" stopIfTrue="1">
      <formula>$B120=1</formula>
    </cfRule>
    <cfRule type="expression" dxfId="699" priority="255" stopIfTrue="1">
      <formula>OR($B120=0,$B120=2,$B120=3,$B120=4)</formula>
    </cfRule>
  </conditionalFormatting>
  <conditionalFormatting sqref="N120:N128">
    <cfRule type="expression" dxfId="698" priority="253">
      <formula>$J120="►"</formula>
    </cfRule>
  </conditionalFormatting>
  <conditionalFormatting sqref="Q120:AI128">
    <cfRule type="expression" dxfId="697" priority="252">
      <formula>Q120&lt;&gt;ROUND(Q120,2)</formula>
    </cfRule>
  </conditionalFormatting>
  <conditionalFormatting sqref="H120:H128">
    <cfRule type="expression" dxfId="696" priority="251">
      <formula>$J120="►S"</formula>
    </cfRule>
  </conditionalFormatting>
  <conditionalFormatting sqref="D129:I137">
    <cfRule type="expression" dxfId="695" priority="249" stopIfTrue="1">
      <formula>$B129=1</formula>
    </cfRule>
    <cfRule type="expression" dxfId="694" priority="250" stopIfTrue="1">
      <formula>OR($B129=0,$B129=2,$B129=3,$B129=4)</formula>
    </cfRule>
  </conditionalFormatting>
  <conditionalFormatting sqref="N129:N137">
    <cfRule type="expression" dxfId="693" priority="248">
      <formula>$J129="►"</formula>
    </cfRule>
  </conditionalFormatting>
  <conditionalFormatting sqref="Q129:AI137">
    <cfRule type="expression" dxfId="692" priority="247">
      <formula>Q129&lt;&gt;ROUND(Q129,2)</formula>
    </cfRule>
  </conditionalFormatting>
  <conditionalFormatting sqref="H129:H137">
    <cfRule type="expression" dxfId="691" priority="246">
      <formula>$J129="►S"</formula>
    </cfRule>
  </conditionalFormatting>
  <conditionalFormatting sqref="D138:I146">
    <cfRule type="expression" dxfId="690" priority="244" stopIfTrue="1">
      <formula>$B138=1</formula>
    </cfRule>
    <cfRule type="expression" dxfId="689" priority="245" stopIfTrue="1">
      <formula>OR($B138=0,$B138=2,$B138=3,$B138=4)</formula>
    </cfRule>
  </conditionalFormatting>
  <conditionalFormatting sqref="N138:N146">
    <cfRule type="expression" dxfId="688" priority="243">
      <formula>$J138="►"</formula>
    </cfRule>
  </conditionalFormatting>
  <conditionalFormatting sqref="Q138:AI146">
    <cfRule type="expression" dxfId="687" priority="242">
      <formula>Q138&lt;&gt;ROUND(Q138,2)</formula>
    </cfRule>
  </conditionalFormatting>
  <conditionalFormatting sqref="H138:H146">
    <cfRule type="expression" dxfId="686" priority="241">
      <formula>$J138="►S"</formula>
    </cfRule>
  </conditionalFormatting>
  <conditionalFormatting sqref="D147:I155">
    <cfRule type="expression" dxfId="685" priority="239" stopIfTrue="1">
      <formula>$B147=1</formula>
    </cfRule>
    <cfRule type="expression" dxfId="684" priority="240" stopIfTrue="1">
      <formula>OR($B147=0,$B147=2,$B147=3,$B147=4)</formula>
    </cfRule>
  </conditionalFormatting>
  <conditionalFormatting sqref="N147:N155">
    <cfRule type="expression" dxfId="683" priority="238">
      <formula>$J147="►"</formula>
    </cfRule>
  </conditionalFormatting>
  <conditionalFormatting sqref="Q147:AI155">
    <cfRule type="expression" dxfId="682" priority="237">
      <formula>Q147&lt;&gt;ROUND(Q147,2)</formula>
    </cfRule>
  </conditionalFormatting>
  <conditionalFormatting sqref="H147:H155">
    <cfRule type="expression" dxfId="681" priority="236">
      <formula>$J147="►S"</formula>
    </cfRule>
  </conditionalFormatting>
  <conditionalFormatting sqref="D156:I164">
    <cfRule type="expression" dxfId="680" priority="234" stopIfTrue="1">
      <formula>$B156=1</formula>
    </cfRule>
    <cfRule type="expression" dxfId="679" priority="235" stopIfTrue="1">
      <formula>OR($B156=0,$B156=2,$B156=3,$B156=4)</formula>
    </cfRule>
  </conditionalFormatting>
  <conditionalFormatting sqref="N156:N164">
    <cfRule type="expression" dxfId="678" priority="233">
      <formula>$J156="►"</formula>
    </cfRule>
  </conditionalFormatting>
  <conditionalFormatting sqref="Q156:AI164">
    <cfRule type="expression" dxfId="677" priority="232">
      <formula>Q156&lt;&gt;ROUND(Q156,2)</formula>
    </cfRule>
  </conditionalFormatting>
  <conditionalFormatting sqref="H156:H164">
    <cfRule type="expression" dxfId="676" priority="231">
      <formula>$J156="►S"</formula>
    </cfRule>
  </conditionalFormatting>
  <conditionalFormatting sqref="D165:I173">
    <cfRule type="expression" dxfId="675" priority="229" stopIfTrue="1">
      <formula>$B165=1</formula>
    </cfRule>
    <cfRule type="expression" dxfId="674" priority="230" stopIfTrue="1">
      <formula>OR($B165=0,$B165=2,$B165=3,$B165=4)</formula>
    </cfRule>
  </conditionalFormatting>
  <conditionalFormatting sqref="N165:N173">
    <cfRule type="expression" dxfId="673" priority="228">
      <formula>$J165="►"</formula>
    </cfRule>
  </conditionalFormatting>
  <conditionalFormatting sqref="Q165:AI173">
    <cfRule type="expression" dxfId="672" priority="227">
      <formula>Q165&lt;&gt;ROUND(Q165,2)</formula>
    </cfRule>
  </conditionalFormatting>
  <conditionalFormatting sqref="H165:H173">
    <cfRule type="expression" dxfId="671" priority="226">
      <formula>$J165="►S"</formula>
    </cfRule>
  </conditionalFormatting>
  <conditionalFormatting sqref="D174:I182">
    <cfRule type="expression" dxfId="670" priority="224" stopIfTrue="1">
      <formula>$B174=1</formula>
    </cfRule>
    <cfRule type="expression" dxfId="669" priority="225" stopIfTrue="1">
      <formula>OR($B174=0,$B174=2,$B174=3,$B174=4)</formula>
    </cfRule>
  </conditionalFormatting>
  <conditionalFormatting sqref="N174:N182">
    <cfRule type="expression" dxfId="668" priority="223">
      <formula>$J174="►"</formula>
    </cfRule>
  </conditionalFormatting>
  <conditionalFormatting sqref="Q174:AI182">
    <cfRule type="expression" dxfId="667" priority="222">
      <formula>Q174&lt;&gt;ROUND(Q174,2)</formula>
    </cfRule>
  </conditionalFormatting>
  <conditionalFormatting sqref="H174:H182">
    <cfRule type="expression" dxfId="666" priority="221">
      <formula>$J174="►S"</formula>
    </cfRule>
  </conditionalFormatting>
  <conditionalFormatting sqref="D183:I191">
    <cfRule type="expression" dxfId="665" priority="219" stopIfTrue="1">
      <formula>$B183=1</formula>
    </cfRule>
    <cfRule type="expression" dxfId="664" priority="220" stopIfTrue="1">
      <formula>OR($B183=0,$B183=2,$B183=3,$B183=4)</formula>
    </cfRule>
  </conditionalFormatting>
  <conditionalFormatting sqref="N183:N191">
    <cfRule type="expression" dxfId="663" priority="218">
      <formula>$J183="►"</formula>
    </cfRule>
  </conditionalFormatting>
  <conditionalFormatting sqref="Q183:AI191">
    <cfRule type="expression" dxfId="662" priority="217">
      <formula>Q183&lt;&gt;ROUND(Q183,2)</formula>
    </cfRule>
  </conditionalFormatting>
  <conditionalFormatting sqref="H183:H191">
    <cfRule type="expression" dxfId="661" priority="216">
      <formula>$J183="►S"</formula>
    </cfRule>
  </conditionalFormatting>
  <conditionalFormatting sqref="D192:I200">
    <cfRule type="expression" dxfId="660" priority="214" stopIfTrue="1">
      <formula>$B192=1</formula>
    </cfRule>
    <cfRule type="expression" dxfId="659" priority="215" stopIfTrue="1">
      <formula>OR($B192=0,$B192=2,$B192=3,$B192=4)</formula>
    </cfRule>
  </conditionalFormatting>
  <conditionalFormatting sqref="N192:N200">
    <cfRule type="expression" dxfId="658" priority="213">
      <formula>$J192="►"</formula>
    </cfRule>
  </conditionalFormatting>
  <conditionalFormatting sqref="Q192:AI200">
    <cfRule type="expression" dxfId="657" priority="212">
      <formula>Q192&lt;&gt;ROUND(Q192,2)</formula>
    </cfRule>
  </conditionalFormatting>
  <conditionalFormatting sqref="H192:H200">
    <cfRule type="expression" dxfId="656" priority="211">
      <formula>$J192="►S"</formula>
    </cfRule>
  </conditionalFormatting>
  <conditionalFormatting sqref="D201:I209">
    <cfRule type="expression" dxfId="655" priority="209" stopIfTrue="1">
      <formula>$B201=1</formula>
    </cfRule>
    <cfRule type="expression" dxfId="654" priority="210" stopIfTrue="1">
      <formula>OR($B201=0,$B201=2,$B201=3,$B201=4)</formula>
    </cfRule>
  </conditionalFormatting>
  <conditionalFormatting sqref="N201:N209">
    <cfRule type="expression" dxfId="653" priority="208">
      <formula>$J201="►"</formula>
    </cfRule>
  </conditionalFormatting>
  <conditionalFormatting sqref="Q201:AI209">
    <cfRule type="expression" dxfId="652" priority="207">
      <formula>Q201&lt;&gt;ROUND(Q201,2)</formula>
    </cfRule>
  </conditionalFormatting>
  <conditionalFormatting sqref="H201:H209">
    <cfRule type="expression" dxfId="651" priority="206">
      <formula>$J201="►S"</formula>
    </cfRule>
  </conditionalFormatting>
  <conditionalFormatting sqref="D210:I218">
    <cfRule type="expression" dxfId="650" priority="204" stopIfTrue="1">
      <formula>$B210=1</formula>
    </cfRule>
    <cfRule type="expression" dxfId="649" priority="205" stopIfTrue="1">
      <formula>OR($B210=0,$B210=2,$B210=3,$B210=4)</formula>
    </cfRule>
  </conditionalFormatting>
  <conditionalFormatting sqref="N210:N218">
    <cfRule type="expression" dxfId="648" priority="203">
      <formula>$J210="►"</formula>
    </cfRule>
  </conditionalFormatting>
  <conditionalFormatting sqref="Q210:AI218">
    <cfRule type="expression" dxfId="647" priority="202">
      <formula>Q210&lt;&gt;ROUND(Q210,2)</formula>
    </cfRule>
  </conditionalFormatting>
  <conditionalFormatting sqref="H210:H218">
    <cfRule type="expression" dxfId="646" priority="201">
      <formula>$J210="►S"</formula>
    </cfRule>
  </conditionalFormatting>
  <conditionalFormatting sqref="D219:I227">
    <cfRule type="expression" dxfId="645" priority="199" stopIfTrue="1">
      <formula>$B219=1</formula>
    </cfRule>
    <cfRule type="expression" dxfId="644" priority="200" stopIfTrue="1">
      <formula>OR($B219=0,$B219=2,$B219=3,$B219=4)</formula>
    </cfRule>
  </conditionalFormatting>
  <conditionalFormatting sqref="N219:N227">
    <cfRule type="expression" dxfId="643" priority="198">
      <formula>$J219="►"</formula>
    </cfRule>
  </conditionalFormatting>
  <conditionalFormatting sqref="Q219:AI227">
    <cfRule type="expression" dxfId="642" priority="197">
      <formula>Q219&lt;&gt;ROUND(Q219,2)</formula>
    </cfRule>
  </conditionalFormatting>
  <conditionalFormatting sqref="H219:H227">
    <cfRule type="expression" dxfId="641" priority="196">
      <formula>$J219="►S"</formula>
    </cfRule>
  </conditionalFormatting>
  <conditionalFormatting sqref="D228:I236">
    <cfRule type="expression" dxfId="640" priority="194" stopIfTrue="1">
      <formula>$B228=1</formula>
    </cfRule>
    <cfRule type="expression" dxfId="639" priority="195" stopIfTrue="1">
      <formula>OR($B228=0,$B228=2,$B228=3,$B228=4)</formula>
    </cfRule>
  </conditionalFormatting>
  <conditionalFormatting sqref="N228:N236">
    <cfRule type="expression" dxfId="638" priority="193">
      <formula>$J228="►"</formula>
    </cfRule>
  </conditionalFormatting>
  <conditionalFormatting sqref="Q228:AI236">
    <cfRule type="expression" dxfId="637" priority="192">
      <formula>Q228&lt;&gt;ROUND(Q228,2)</formula>
    </cfRule>
  </conditionalFormatting>
  <conditionalFormatting sqref="H228:H236">
    <cfRule type="expression" dxfId="636" priority="191">
      <formula>$J228="►S"</formula>
    </cfRule>
  </conditionalFormatting>
  <conditionalFormatting sqref="D237:I245">
    <cfRule type="expression" dxfId="635" priority="189" stopIfTrue="1">
      <formula>$B237=1</formula>
    </cfRule>
    <cfRule type="expression" dxfId="634" priority="190" stopIfTrue="1">
      <formula>OR($B237=0,$B237=2,$B237=3,$B237=4)</formula>
    </cfRule>
  </conditionalFormatting>
  <conditionalFormatting sqref="N237:N245">
    <cfRule type="expression" dxfId="633" priority="188">
      <formula>$J237="►"</formula>
    </cfRule>
  </conditionalFormatting>
  <conditionalFormatting sqref="Q237:AI245">
    <cfRule type="expression" dxfId="632" priority="187">
      <formula>Q237&lt;&gt;ROUND(Q237,2)</formula>
    </cfRule>
  </conditionalFormatting>
  <conditionalFormatting sqref="H237:H245">
    <cfRule type="expression" dxfId="631" priority="186">
      <formula>$J237="►S"</formula>
    </cfRule>
  </conditionalFormatting>
  <conditionalFormatting sqref="D246:I254">
    <cfRule type="expression" dxfId="630" priority="184" stopIfTrue="1">
      <formula>$B246=1</formula>
    </cfRule>
    <cfRule type="expression" dxfId="629" priority="185" stopIfTrue="1">
      <formula>OR($B246=0,$B246=2,$B246=3,$B246=4)</formula>
    </cfRule>
  </conditionalFormatting>
  <conditionalFormatting sqref="N246:N254">
    <cfRule type="expression" dxfId="628" priority="183">
      <formula>$J246="►"</formula>
    </cfRule>
  </conditionalFormatting>
  <conditionalFormatting sqref="Q246:AI254">
    <cfRule type="expression" dxfId="627" priority="182">
      <formula>Q246&lt;&gt;ROUND(Q246,2)</formula>
    </cfRule>
  </conditionalFormatting>
  <conditionalFormatting sqref="H246:H254">
    <cfRule type="expression" dxfId="626" priority="181">
      <formula>$J246="►S"</formula>
    </cfRule>
  </conditionalFormatting>
  <conditionalFormatting sqref="D255:I263">
    <cfRule type="expression" dxfId="625" priority="179" stopIfTrue="1">
      <formula>$B255=1</formula>
    </cfRule>
    <cfRule type="expression" dxfId="624" priority="180" stopIfTrue="1">
      <formula>OR($B255=0,$B255=2,$B255=3,$B255=4)</formula>
    </cfRule>
  </conditionalFormatting>
  <conditionalFormatting sqref="N255:N263">
    <cfRule type="expression" dxfId="623" priority="178">
      <formula>$J255="►"</formula>
    </cfRule>
  </conditionalFormatting>
  <conditionalFormatting sqref="Q255:AI263">
    <cfRule type="expression" dxfId="622" priority="177">
      <formula>Q255&lt;&gt;ROUND(Q255,2)</formula>
    </cfRule>
  </conditionalFormatting>
  <conditionalFormatting sqref="H255:H263">
    <cfRule type="expression" dxfId="621" priority="176">
      <formula>$J255="►S"</formula>
    </cfRule>
  </conditionalFormatting>
  <conditionalFormatting sqref="D264:I272">
    <cfRule type="expression" dxfId="620" priority="174" stopIfTrue="1">
      <formula>$B264=1</formula>
    </cfRule>
    <cfRule type="expression" dxfId="619" priority="175" stopIfTrue="1">
      <formula>OR($B264=0,$B264=2,$B264=3,$B264=4)</formula>
    </cfRule>
  </conditionalFormatting>
  <conditionalFormatting sqref="N264:N272">
    <cfRule type="expression" dxfId="618" priority="173">
      <formula>$J264="►"</formula>
    </cfRule>
  </conditionalFormatting>
  <conditionalFormatting sqref="Q264:AI272">
    <cfRule type="expression" dxfId="617" priority="172">
      <formula>Q264&lt;&gt;ROUND(Q264,2)</formula>
    </cfRule>
  </conditionalFormatting>
  <conditionalFormatting sqref="H264:H272">
    <cfRule type="expression" dxfId="616" priority="171">
      <formula>$J264="►S"</formula>
    </cfRule>
  </conditionalFormatting>
  <conditionalFormatting sqref="D273:I281">
    <cfRule type="expression" dxfId="615" priority="169" stopIfTrue="1">
      <formula>$B273=1</formula>
    </cfRule>
    <cfRule type="expression" dxfId="614" priority="170" stopIfTrue="1">
      <formula>OR($B273=0,$B273=2,$B273=3,$B273=4)</formula>
    </cfRule>
  </conditionalFormatting>
  <conditionalFormatting sqref="N273:N281">
    <cfRule type="expression" dxfId="613" priority="168">
      <formula>$J273="►"</formula>
    </cfRule>
  </conditionalFormatting>
  <conditionalFormatting sqref="Q273:AI281">
    <cfRule type="expression" dxfId="612" priority="167">
      <formula>Q273&lt;&gt;ROUND(Q273,2)</formula>
    </cfRule>
  </conditionalFormatting>
  <conditionalFormatting sqref="H273:H281">
    <cfRule type="expression" dxfId="611" priority="166">
      <formula>$J273="►S"</formula>
    </cfRule>
  </conditionalFormatting>
  <conditionalFormatting sqref="D282:I290">
    <cfRule type="expression" dxfId="610" priority="164" stopIfTrue="1">
      <formula>$B282=1</formula>
    </cfRule>
    <cfRule type="expression" dxfId="609" priority="165" stopIfTrue="1">
      <formula>OR($B282=0,$B282=2,$B282=3,$B282=4)</formula>
    </cfRule>
  </conditionalFormatting>
  <conditionalFormatting sqref="N282:N290">
    <cfRule type="expression" dxfId="608" priority="163">
      <formula>$J282="►"</formula>
    </cfRule>
  </conditionalFormatting>
  <conditionalFormatting sqref="Q282:AI290">
    <cfRule type="expression" dxfId="607" priority="162">
      <formula>Q282&lt;&gt;ROUND(Q282,2)</formula>
    </cfRule>
  </conditionalFormatting>
  <conditionalFormatting sqref="H282:H290">
    <cfRule type="expression" dxfId="606" priority="161">
      <formula>$J282="►S"</formula>
    </cfRule>
  </conditionalFormatting>
  <conditionalFormatting sqref="D299:I307">
    <cfRule type="expression" dxfId="605" priority="154" stopIfTrue="1">
      <formula>$B299=1</formula>
    </cfRule>
    <cfRule type="expression" dxfId="604" priority="155" stopIfTrue="1">
      <formula>OR($B299=0,$B299=2,$B299=3,$B299=4)</formula>
    </cfRule>
  </conditionalFormatting>
  <conditionalFormatting sqref="N299:N307">
    <cfRule type="expression" dxfId="603" priority="153">
      <formula>$J299="►"</formula>
    </cfRule>
  </conditionalFormatting>
  <conditionalFormatting sqref="Q299:AI307">
    <cfRule type="expression" dxfId="602" priority="152">
      <formula>Q299&lt;&gt;ROUND(Q299,2)</formula>
    </cfRule>
  </conditionalFormatting>
  <conditionalFormatting sqref="H299:H307">
    <cfRule type="expression" dxfId="601" priority="151">
      <formula>$J299="►S"</formula>
    </cfRule>
  </conditionalFormatting>
  <conditionalFormatting sqref="D308:I316">
    <cfRule type="expression" dxfId="600" priority="149" stopIfTrue="1">
      <formula>$B308=1</formula>
    </cfRule>
    <cfRule type="expression" dxfId="599" priority="150" stopIfTrue="1">
      <formula>OR($B308=0,$B308=2,$B308=3,$B308=4)</formula>
    </cfRule>
  </conditionalFormatting>
  <conditionalFormatting sqref="N308:N316">
    <cfRule type="expression" dxfId="598" priority="148">
      <formula>$J308="►"</formula>
    </cfRule>
  </conditionalFormatting>
  <conditionalFormatting sqref="Q308:AI316">
    <cfRule type="expression" dxfId="597" priority="147">
      <formula>Q308&lt;&gt;ROUND(Q308,2)</formula>
    </cfRule>
  </conditionalFormatting>
  <conditionalFormatting sqref="H308:H316">
    <cfRule type="expression" dxfId="596" priority="146">
      <formula>$J308="►S"</formula>
    </cfRule>
  </conditionalFormatting>
  <conditionalFormatting sqref="D325:I333">
    <cfRule type="expression" dxfId="595" priority="139" stopIfTrue="1">
      <formula>$B325=1</formula>
    </cfRule>
    <cfRule type="expression" dxfId="594" priority="140" stopIfTrue="1">
      <formula>OR($B325=0,$B325=2,$B325=3,$B325=4)</formula>
    </cfRule>
  </conditionalFormatting>
  <conditionalFormatting sqref="N325:N333">
    <cfRule type="expression" dxfId="593" priority="138">
      <formula>$J325="►"</formula>
    </cfRule>
  </conditionalFormatting>
  <conditionalFormatting sqref="Q325:AI333">
    <cfRule type="expression" dxfId="592" priority="137">
      <formula>Q325&lt;&gt;ROUND(Q325,2)</formula>
    </cfRule>
  </conditionalFormatting>
  <conditionalFormatting sqref="H325:H333">
    <cfRule type="expression" dxfId="591" priority="136">
      <formula>$J325="►S"</formula>
    </cfRule>
  </conditionalFormatting>
  <conditionalFormatting sqref="D334:I342">
    <cfRule type="expression" dxfId="590" priority="134" stopIfTrue="1">
      <formula>$B334=1</formula>
    </cfRule>
    <cfRule type="expression" dxfId="589" priority="135" stopIfTrue="1">
      <formula>OR($B334=0,$B334=2,$B334=3,$B334=4)</formula>
    </cfRule>
  </conditionalFormatting>
  <conditionalFormatting sqref="N334:N342">
    <cfRule type="expression" dxfId="588" priority="133">
      <formula>$J334="►"</formula>
    </cfRule>
  </conditionalFormatting>
  <conditionalFormatting sqref="Q334:AI342">
    <cfRule type="expression" dxfId="587" priority="132">
      <formula>Q334&lt;&gt;ROUND(Q334,2)</formula>
    </cfRule>
  </conditionalFormatting>
  <conditionalFormatting sqref="H334:H342">
    <cfRule type="expression" dxfId="586" priority="131">
      <formula>$J334="►S"</formula>
    </cfRule>
  </conditionalFormatting>
  <conditionalFormatting sqref="D343:I351">
    <cfRule type="expression" dxfId="585" priority="129" stopIfTrue="1">
      <formula>$B343=1</formula>
    </cfRule>
    <cfRule type="expression" dxfId="584" priority="130" stopIfTrue="1">
      <formula>OR($B343=0,$B343=2,$B343=3,$B343=4)</formula>
    </cfRule>
  </conditionalFormatting>
  <conditionalFormatting sqref="N343:N351">
    <cfRule type="expression" dxfId="583" priority="128">
      <formula>$J343="►"</formula>
    </cfRule>
  </conditionalFormatting>
  <conditionalFormatting sqref="Q343:AI351">
    <cfRule type="expression" dxfId="582" priority="127">
      <formula>Q343&lt;&gt;ROUND(Q343,2)</formula>
    </cfRule>
  </conditionalFormatting>
  <conditionalFormatting sqref="H343:H351">
    <cfRule type="expression" dxfId="581" priority="126">
      <formula>$J343="►S"</formula>
    </cfRule>
  </conditionalFormatting>
  <conditionalFormatting sqref="D352:I360">
    <cfRule type="expression" dxfId="580" priority="124" stopIfTrue="1">
      <formula>$B352=1</formula>
    </cfRule>
    <cfRule type="expression" dxfId="579" priority="125" stopIfTrue="1">
      <formula>OR($B352=0,$B352=2,$B352=3,$B352=4)</formula>
    </cfRule>
  </conditionalFormatting>
  <conditionalFormatting sqref="N352:N360">
    <cfRule type="expression" dxfId="578" priority="123">
      <formula>$J352="►"</formula>
    </cfRule>
  </conditionalFormatting>
  <conditionalFormatting sqref="Q352:AI360">
    <cfRule type="expression" dxfId="577" priority="122">
      <formula>Q352&lt;&gt;ROUND(Q352,2)</formula>
    </cfRule>
  </conditionalFormatting>
  <conditionalFormatting sqref="H352:H360">
    <cfRule type="expression" dxfId="576" priority="121">
      <formula>$J352="►S"</formula>
    </cfRule>
  </conditionalFormatting>
  <conditionalFormatting sqref="D369:I377">
    <cfRule type="expression" dxfId="575" priority="114" stopIfTrue="1">
      <formula>$B369=1</formula>
    </cfRule>
    <cfRule type="expression" dxfId="574" priority="115" stopIfTrue="1">
      <formula>OR($B369=0,$B369=2,$B369=3,$B369=4)</formula>
    </cfRule>
  </conditionalFormatting>
  <conditionalFormatting sqref="N369:N377">
    <cfRule type="expression" dxfId="573" priority="113">
      <formula>$J369="►"</formula>
    </cfRule>
  </conditionalFormatting>
  <conditionalFormatting sqref="Q369:AI377">
    <cfRule type="expression" dxfId="572" priority="112">
      <formula>Q369&lt;&gt;ROUND(Q369,2)</formula>
    </cfRule>
  </conditionalFormatting>
  <conditionalFormatting sqref="H369:H377">
    <cfRule type="expression" dxfId="571" priority="111">
      <formula>$J369="►S"</formula>
    </cfRule>
  </conditionalFormatting>
  <conditionalFormatting sqref="D378:I386">
    <cfRule type="expression" dxfId="570" priority="109" stopIfTrue="1">
      <formula>$B378=1</formula>
    </cfRule>
    <cfRule type="expression" dxfId="569" priority="110" stopIfTrue="1">
      <formula>OR($B378=0,$B378=2,$B378=3,$B378=4)</formula>
    </cfRule>
  </conditionalFormatting>
  <conditionalFormatting sqref="N378:N386">
    <cfRule type="expression" dxfId="568" priority="108">
      <formula>$J378="►"</formula>
    </cfRule>
  </conditionalFormatting>
  <conditionalFormatting sqref="Q378:AI386">
    <cfRule type="expression" dxfId="567" priority="107">
      <formula>Q378&lt;&gt;ROUND(Q378,2)</formula>
    </cfRule>
  </conditionalFormatting>
  <conditionalFormatting sqref="H378:H386">
    <cfRule type="expression" dxfId="566" priority="106">
      <formula>$J378="►S"</formula>
    </cfRule>
  </conditionalFormatting>
  <conditionalFormatting sqref="D387:I395">
    <cfRule type="expression" dxfId="565" priority="104" stopIfTrue="1">
      <formula>$B387=1</formula>
    </cfRule>
    <cfRule type="expression" dxfId="564" priority="105" stopIfTrue="1">
      <formula>OR($B387=0,$B387=2,$B387=3,$B387=4)</formula>
    </cfRule>
  </conditionalFormatting>
  <conditionalFormatting sqref="N387:N395">
    <cfRule type="expression" dxfId="563" priority="103">
      <formula>$J387="►"</formula>
    </cfRule>
  </conditionalFormatting>
  <conditionalFormatting sqref="Q387:AI395">
    <cfRule type="expression" dxfId="562" priority="102">
      <formula>Q387&lt;&gt;ROUND(Q387,2)</formula>
    </cfRule>
  </conditionalFormatting>
  <conditionalFormatting sqref="H387:H395">
    <cfRule type="expression" dxfId="561" priority="101">
      <formula>$J387="►S"</formula>
    </cfRule>
  </conditionalFormatting>
  <conditionalFormatting sqref="D396:I404">
    <cfRule type="expression" dxfId="560" priority="99" stopIfTrue="1">
      <formula>$B396=1</formula>
    </cfRule>
    <cfRule type="expression" dxfId="559" priority="100" stopIfTrue="1">
      <formula>OR($B396=0,$B396=2,$B396=3,$B396=4)</formula>
    </cfRule>
  </conditionalFormatting>
  <conditionalFormatting sqref="N396:N404">
    <cfRule type="expression" dxfId="558" priority="98">
      <formula>$J396="►"</formula>
    </cfRule>
  </conditionalFormatting>
  <conditionalFormatting sqref="Q396:AI404">
    <cfRule type="expression" dxfId="557" priority="97">
      <formula>Q396&lt;&gt;ROUND(Q396,2)</formula>
    </cfRule>
  </conditionalFormatting>
  <conditionalFormatting sqref="H396:H404">
    <cfRule type="expression" dxfId="556" priority="96">
      <formula>$J396="►S"</formula>
    </cfRule>
  </conditionalFormatting>
  <conditionalFormatting sqref="D413:I421">
    <cfRule type="expression" dxfId="555" priority="89" stopIfTrue="1">
      <formula>$B413=1</formula>
    </cfRule>
    <cfRule type="expression" dxfId="554" priority="90" stopIfTrue="1">
      <formula>OR($B413=0,$B413=2,$B413=3,$B413=4)</formula>
    </cfRule>
  </conditionalFormatting>
  <conditionalFormatting sqref="N413:N421">
    <cfRule type="expression" dxfId="553" priority="88">
      <formula>$J413="►"</formula>
    </cfRule>
  </conditionalFormatting>
  <conditionalFormatting sqref="Q413:AI421">
    <cfRule type="expression" dxfId="552" priority="87">
      <formula>Q413&lt;&gt;ROUND(Q413,2)</formula>
    </cfRule>
  </conditionalFormatting>
  <conditionalFormatting sqref="H413:H421">
    <cfRule type="expression" dxfId="551" priority="86">
      <formula>$J413="►S"</formula>
    </cfRule>
  </conditionalFormatting>
  <conditionalFormatting sqref="D422:I430">
    <cfRule type="expression" dxfId="550" priority="84" stopIfTrue="1">
      <formula>$B422=1</formula>
    </cfRule>
    <cfRule type="expression" dxfId="549" priority="85" stopIfTrue="1">
      <formula>OR($B422=0,$B422=2,$B422=3,$B422=4)</formula>
    </cfRule>
  </conditionalFormatting>
  <conditionalFormatting sqref="N422:N430">
    <cfRule type="expression" dxfId="548" priority="83">
      <formula>$J422="►"</formula>
    </cfRule>
  </conditionalFormatting>
  <conditionalFormatting sqref="Q422:AI430">
    <cfRule type="expression" dxfId="547" priority="82">
      <formula>Q422&lt;&gt;ROUND(Q422,2)</formula>
    </cfRule>
  </conditionalFormatting>
  <conditionalFormatting sqref="H422:H430">
    <cfRule type="expression" dxfId="546" priority="81">
      <formula>$J422="►S"</formula>
    </cfRule>
  </conditionalFormatting>
  <conditionalFormatting sqref="D431:I435 D439:I439 D441:I443">
    <cfRule type="expression" dxfId="545" priority="79" stopIfTrue="1">
      <formula>$B431=1</formula>
    </cfRule>
    <cfRule type="expression" dxfId="544" priority="80" stopIfTrue="1">
      <formula>OR($B431=0,$B431=2,$B431=3,$B431=4)</formula>
    </cfRule>
  </conditionalFormatting>
  <conditionalFormatting sqref="N431:N435 N439 N441:N443">
    <cfRule type="expression" dxfId="543" priority="78">
      <formula>$J431="►"</formula>
    </cfRule>
  </conditionalFormatting>
  <conditionalFormatting sqref="Q431:AI435 Q439:AI439 Q441:AI443">
    <cfRule type="expression" dxfId="542" priority="77">
      <formula>Q431&lt;&gt;ROUND(Q431,2)</formula>
    </cfRule>
  </conditionalFormatting>
  <conditionalFormatting sqref="H431:H435 H439 H441:H443">
    <cfRule type="expression" dxfId="541" priority="76">
      <formula>$J431="►S"</formula>
    </cfRule>
  </conditionalFormatting>
  <conditionalFormatting sqref="D444:I452">
    <cfRule type="expression" dxfId="540" priority="74" stopIfTrue="1">
      <formula>$B444=1</formula>
    </cfRule>
    <cfRule type="expression" dxfId="539" priority="75" stopIfTrue="1">
      <formula>OR($B444=0,$B444=2,$B444=3,$B444=4)</formula>
    </cfRule>
  </conditionalFormatting>
  <conditionalFormatting sqref="N444:N452">
    <cfRule type="expression" dxfId="538" priority="73">
      <formula>$J444="►"</formula>
    </cfRule>
  </conditionalFormatting>
  <conditionalFormatting sqref="Q444:AI452">
    <cfRule type="expression" dxfId="537" priority="72">
      <formula>Q444&lt;&gt;ROUND(Q444,2)</formula>
    </cfRule>
  </conditionalFormatting>
  <conditionalFormatting sqref="H444:H452">
    <cfRule type="expression" dxfId="536" priority="71">
      <formula>$J444="►S"</formula>
    </cfRule>
  </conditionalFormatting>
  <conditionalFormatting sqref="D453:I461">
    <cfRule type="expression" dxfId="535" priority="69" stopIfTrue="1">
      <formula>$B453=1</formula>
    </cfRule>
    <cfRule type="expression" dxfId="534" priority="70" stopIfTrue="1">
      <formula>OR($B453=0,$B453=2,$B453=3,$B453=4)</formula>
    </cfRule>
  </conditionalFormatting>
  <conditionalFormatting sqref="N453:N461">
    <cfRule type="expression" dxfId="533" priority="68">
      <formula>$J453="►"</formula>
    </cfRule>
  </conditionalFormatting>
  <conditionalFormatting sqref="Q453:AI461">
    <cfRule type="expression" dxfId="532" priority="67">
      <formula>Q453&lt;&gt;ROUND(Q453,2)</formula>
    </cfRule>
  </conditionalFormatting>
  <conditionalFormatting sqref="H453:H461">
    <cfRule type="expression" dxfId="531" priority="66">
      <formula>$J453="►S"</formula>
    </cfRule>
  </conditionalFormatting>
  <conditionalFormatting sqref="D462:I470">
    <cfRule type="expression" dxfId="530" priority="64" stopIfTrue="1">
      <formula>$B462=1</formula>
    </cfRule>
    <cfRule type="expression" dxfId="529" priority="65" stopIfTrue="1">
      <formula>OR($B462=0,$B462=2,$B462=3,$B462=4)</formula>
    </cfRule>
  </conditionalFormatting>
  <conditionalFormatting sqref="N462:N470">
    <cfRule type="expression" dxfId="528" priority="63">
      <formula>$J462="►"</formula>
    </cfRule>
  </conditionalFormatting>
  <conditionalFormatting sqref="Q462:AI470">
    <cfRule type="expression" dxfId="527" priority="62">
      <formula>Q462&lt;&gt;ROUND(Q462,2)</formula>
    </cfRule>
  </conditionalFormatting>
  <conditionalFormatting sqref="H462:H470">
    <cfRule type="expression" dxfId="526" priority="61">
      <formula>$J462="►S"</formula>
    </cfRule>
  </conditionalFormatting>
  <conditionalFormatting sqref="D471:I479">
    <cfRule type="expression" dxfId="525" priority="59" stopIfTrue="1">
      <formula>$B471=1</formula>
    </cfRule>
    <cfRule type="expression" dxfId="524" priority="60" stopIfTrue="1">
      <formula>OR($B471=0,$B471=2,$B471=3,$B471=4)</formula>
    </cfRule>
  </conditionalFormatting>
  <conditionalFormatting sqref="N471:N479">
    <cfRule type="expression" dxfId="523" priority="58">
      <formula>$J471="►"</formula>
    </cfRule>
  </conditionalFormatting>
  <conditionalFormatting sqref="Q471:AI479">
    <cfRule type="expression" dxfId="522" priority="57">
      <formula>Q471&lt;&gt;ROUND(Q471,2)</formula>
    </cfRule>
  </conditionalFormatting>
  <conditionalFormatting sqref="H471:H479">
    <cfRule type="expression" dxfId="521" priority="56">
      <formula>$J471="►S"</formula>
    </cfRule>
  </conditionalFormatting>
  <conditionalFormatting sqref="D480:I488">
    <cfRule type="expression" dxfId="520" priority="54" stopIfTrue="1">
      <formula>$B480=1</formula>
    </cfRule>
    <cfRule type="expression" dxfId="519" priority="55" stopIfTrue="1">
      <formula>OR($B480=0,$B480=2,$B480=3,$B480=4)</formula>
    </cfRule>
  </conditionalFormatting>
  <conditionalFormatting sqref="N480:N488">
    <cfRule type="expression" dxfId="518" priority="53">
      <formula>$J480="►"</formula>
    </cfRule>
  </conditionalFormatting>
  <conditionalFormatting sqref="Q480:AI488">
    <cfRule type="expression" dxfId="517" priority="52">
      <formula>Q480&lt;&gt;ROUND(Q480,2)</formula>
    </cfRule>
  </conditionalFormatting>
  <conditionalFormatting sqref="H480:H488">
    <cfRule type="expression" dxfId="516" priority="51">
      <formula>$J480="►S"</formula>
    </cfRule>
  </conditionalFormatting>
  <conditionalFormatting sqref="D489:I496 D498:I498">
    <cfRule type="expression" dxfId="515" priority="49" stopIfTrue="1">
      <formula>$B489=1</formula>
    </cfRule>
    <cfRule type="expression" dxfId="514" priority="50" stopIfTrue="1">
      <formula>OR($B489=0,$B489=2,$B489=3,$B489=4)</formula>
    </cfRule>
  </conditionalFormatting>
  <conditionalFormatting sqref="N489:N496 N498">
    <cfRule type="expression" dxfId="513" priority="48">
      <formula>$J489="►"</formula>
    </cfRule>
  </conditionalFormatting>
  <conditionalFormatting sqref="Q489:AI496 Q498:AI498">
    <cfRule type="expression" dxfId="512" priority="47">
      <formula>Q489&lt;&gt;ROUND(Q489,2)</formula>
    </cfRule>
  </conditionalFormatting>
  <conditionalFormatting sqref="H489:H496 H498">
    <cfRule type="expression" dxfId="511" priority="46">
      <formula>$J489="►S"</formula>
    </cfRule>
  </conditionalFormatting>
  <conditionalFormatting sqref="D499:I501 D503:I504 D506:I507">
    <cfRule type="expression" dxfId="510" priority="44" stopIfTrue="1">
      <formula>$B499=1</formula>
    </cfRule>
    <cfRule type="expression" dxfId="509" priority="45" stopIfTrue="1">
      <formula>OR($B499=0,$B499=2,$B499=3,$B499=4)</formula>
    </cfRule>
  </conditionalFormatting>
  <conditionalFormatting sqref="N499:N501 N503:N504 N506:N507">
    <cfRule type="expression" dxfId="508" priority="43">
      <formula>$J499="►"</formula>
    </cfRule>
  </conditionalFormatting>
  <conditionalFormatting sqref="Q499:AI501 Q503:AI504 Q506:AI507">
    <cfRule type="expression" dxfId="507" priority="42">
      <formula>Q499&lt;&gt;ROUND(Q499,2)</formula>
    </cfRule>
  </conditionalFormatting>
  <conditionalFormatting sqref="H499:H501 H503:H504 H506:H507">
    <cfRule type="expression" dxfId="506" priority="41">
      <formula>$J499="►S"</formula>
    </cfRule>
  </conditionalFormatting>
  <conditionalFormatting sqref="D20:I23">
    <cfRule type="expression" dxfId="505" priority="39" stopIfTrue="1">
      <formula>$B20=1</formula>
    </cfRule>
    <cfRule type="expression" dxfId="504" priority="40" stopIfTrue="1">
      <formula>OR($B20=0,$B20=2,$B20=3,$B20=4)</formula>
    </cfRule>
  </conditionalFormatting>
  <conditionalFormatting sqref="N20:N23">
    <cfRule type="expression" dxfId="503" priority="38">
      <formula>$J20="►"</formula>
    </cfRule>
  </conditionalFormatting>
  <conditionalFormatting sqref="Q20:AI23">
    <cfRule type="expression" dxfId="502" priority="37">
      <formula>Q20&lt;&gt;ROUND(Q20,2)</formula>
    </cfRule>
  </conditionalFormatting>
  <conditionalFormatting sqref="H20:H23">
    <cfRule type="expression" dxfId="501" priority="36">
      <formula>$J20="►S"</formula>
    </cfRule>
  </conditionalFormatting>
  <conditionalFormatting sqref="D497:I497">
    <cfRule type="expression" dxfId="500" priority="34" stopIfTrue="1">
      <formula>$B497=1</formula>
    </cfRule>
    <cfRule type="expression" dxfId="499" priority="35" stopIfTrue="1">
      <formula>OR($B497=0,$B497=2,$B497=3,$B497=4)</formula>
    </cfRule>
  </conditionalFormatting>
  <conditionalFormatting sqref="N497">
    <cfRule type="expression" dxfId="498" priority="33">
      <formula>$J497="►"</formula>
    </cfRule>
  </conditionalFormatting>
  <conditionalFormatting sqref="Q497:AI497">
    <cfRule type="expression" dxfId="497" priority="32">
      <formula>Q497&lt;&gt;ROUND(Q497,2)</formula>
    </cfRule>
  </conditionalFormatting>
  <conditionalFormatting sqref="H497">
    <cfRule type="expression" dxfId="496" priority="31">
      <formula>$J497="►S"</formula>
    </cfRule>
  </conditionalFormatting>
  <conditionalFormatting sqref="D502:I502">
    <cfRule type="expression" dxfId="495" priority="29" stopIfTrue="1">
      <formula>$B502=1</formula>
    </cfRule>
    <cfRule type="expression" dxfId="494" priority="30" stopIfTrue="1">
      <formula>OR($B502=0,$B502=2,$B502=3,$B502=4)</formula>
    </cfRule>
  </conditionalFormatting>
  <conditionalFormatting sqref="N502">
    <cfRule type="expression" dxfId="493" priority="28">
      <formula>$J502="►"</formula>
    </cfRule>
  </conditionalFormatting>
  <conditionalFormatting sqref="Q502:AI502">
    <cfRule type="expression" dxfId="492" priority="27">
      <formula>Q502&lt;&gt;ROUND(Q502,2)</formula>
    </cfRule>
  </conditionalFormatting>
  <conditionalFormatting sqref="H502">
    <cfRule type="expression" dxfId="491" priority="26">
      <formula>$J502="►S"</formula>
    </cfRule>
  </conditionalFormatting>
  <conditionalFormatting sqref="D505:I505">
    <cfRule type="expression" dxfId="490" priority="24" stopIfTrue="1">
      <formula>$B505=1</formula>
    </cfRule>
    <cfRule type="expression" dxfId="489" priority="25" stopIfTrue="1">
      <formula>OR($B505=0,$B505=2,$B505=3,$B505=4)</formula>
    </cfRule>
  </conditionalFormatting>
  <conditionalFormatting sqref="N505">
    <cfRule type="expression" dxfId="488" priority="23">
      <formula>$J505="►"</formula>
    </cfRule>
  </conditionalFormatting>
  <conditionalFormatting sqref="Q505:AI505">
    <cfRule type="expression" dxfId="487" priority="22">
      <formula>Q505&lt;&gt;ROUND(Q505,2)</formula>
    </cfRule>
  </conditionalFormatting>
  <conditionalFormatting sqref="H505">
    <cfRule type="expression" dxfId="486" priority="21">
      <formula>$J505="►S"</formula>
    </cfRule>
  </conditionalFormatting>
  <conditionalFormatting sqref="D436:I436 D438:I438">
    <cfRule type="expression" dxfId="485" priority="19" stopIfTrue="1">
      <formula>$B436=1</formula>
    </cfRule>
    <cfRule type="expression" dxfId="484" priority="20" stopIfTrue="1">
      <formula>OR($B436=0,$B436=2,$B436=3,$B436=4)</formula>
    </cfRule>
  </conditionalFormatting>
  <conditionalFormatting sqref="N436 N438">
    <cfRule type="expression" dxfId="483" priority="18">
      <formula>$J436="►"</formula>
    </cfRule>
  </conditionalFormatting>
  <conditionalFormatting sqref="Q436:AI436 Q438:AI438">
    <cfRule type="expression" dxfId="482" priority="17">
      <formula>Q436&lt;&gt;ROUND(Q436,2)</formula>
    </cfRule>
  </conditionalFormatting>
  <conditionalFormatting sqref="H436 H438">
    <cfRule type="expression" dxfId="481" priority="16">
      <formula>$J436="►S"</formula>
    </cfRule>
  </conditionalFormatting>
  <conditionalFormatting sqref="D17:I17">
    <cfRule type="expression" dxfId="480" priority="14" stopIfTrue="1">
      <formula>$B17=1</formula>
    </cfRule>
    <cfRule type="expression" dxfId="479" priority="15" stopIfTrue="1">
      <formula>OR($B17=0,$B17=2,$B17=3,$B17=4)</formula>
    </cfRule>
  </conditionalFormatting>
  <conditionalFormatting sqref="N17">
    <cfRule type="expression" dxfId="478" priority="13">
      <formula>$J17="►"</formula>
    </cfRule>
  </conditionalFormatting>
  <conditionalFormatting sqref="Q17:AI17">
    <cfRule type="expression" dxfId="477" priority="12">
      <formula>Q17&lt;&gt;ROUND(Q17,2)</formula>
    </cfRule>
  </conditionalFormatting>
  <conditionalFormatting sqref="H17">
    <cfRule type="expression" dxfId="476" priority="11">
      <formula>$J17="►S"</formula>
    </cfRule>
  </conditionalFormatting>
  <conditionalFormatting sqref="D437:I437">
    <cfRule type="expression" dxfId="475" priority="9" stopIfTrue="1">
      <formula>$B437=1</formula>
    </cfRule>
    <cfRule type="expression" dxfId="474" priority="10" stopIfTrue="1">
      <formula>OR($B437=0,$B437=2,$B437=3,$B437=4)</formula>
    </cfRule>
  </conditionalFormatting>
  <conditionalFormatting sqref="N437">
    <cfRule type="expression" dxfId="473" priority="8">
      <formula>$J437="►"</formula>
    </cfRule>
  </conditionalFormatting>
  <conditionalFormatting sqref="Q437:AI437">
    <cfRule type="expression" dxfId="472" priority="7">
      <formula>Q437&lt;&gt;ROUND(Q437,2)</formula>
    </cfRule>
  </conditionalFormatting>
  <conditionalFormatting sqref="H437">
    <cfRule type="expression" dxfId="471" priority="6">
      <formula>$J437="►S"</formula>
    </cfRule>
  </conditionalFormatting>
  <conditionalFormatting sqref="D440:I440">
    <cfRule type="expression" dxfId="470" priority="4" stopIfTrue="1">
      <formula>$B440=1</formula>
    </cfRule>
    <cfRule type="expression" dxfId="469" priority="5" stopIfTrue="1">
      <formula>OR($B440=0,$B440=2,$B440=3,$B440=4)</formula>
    </cfRule>
  </conditionalFormatting>
  <conditionalFormatting sqref="N440">
    <cfRule type="expression" dxfId="468" priority="3">
      <formula>$J440="►"</formula>
    </cfRule>
  </conditionalFormatting>
  <conditionalFormatting sqref="Q440:AI440">
    <cfRule type="expression" dxfId="467" priority="2">
      <formula>Q440&lt;&gt;ROUND(Q440,2)</formula>
    </cfRule>
  </conditionalFormatting>
  <conditionalFormatting sqref="H440">
    <cfRule type="expression" dxfId="466" priority="1">
      <formula>$J440="►S"</formula>
    </cfRule>
  </conditionalFormatting>
  <dataValidations xWindow="850" yWindow="623" count="4">
    <dataValidation type="decimal" operator="greaterThan" allowBlank="1" showErrorMessage="1" error="Apenas números decimais maiores que zero." sqref="O14 Q14:AH14 Q16:AH507 O16:O507"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507"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507" xr:uid="{3A230837-2D2F-4EA3-8B69-6785B95F62E1}">
      <formula1>EVENTOS.ListaValidacao</formula1>
    </dataValidation>
  </dataValidations>
  <pageMargins left="0.78740157480314965" right="0.78740157480314965" top="0.78740157480314965" bottom="0.78740157480314965" header="0.59055118110236227" footer="0.59055118110236227"/>
  <pageSetup paperSize="9" scale="50" firstPageNumber="0" fitToHeight="0" orientation="portrait" r:id="rId1"/>
  <headerFooter alignWithMargins="0">
    <oddHeader>&amp;C&amp;14I</oddHeader>
    <oddFooter>&amp;LPMv3.13&amp;R&amp;P / &amp;N</oddFooter>
  </headerFooter>
  <colBreaks count="2" manualBreakCount="2">
    <brk id="13" min="5" max="515" man="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40"/>
  <sheetViews>
    <sheetView showGridLines="0" view="pageBreakPreview" zoomScaleNormal="100" zoomScaleSheetLayoutView="100" workbookViewId="0">
      <pane xSplit="3" ySplit="13" topLeftCell="D14" activePane="bottomRight" state="frozen"/>
      <selection activeCell="E24" sqref="E24"/>
      <selection pane="topRight" activeCell="E24" sqref="E24"/>
      <selection pane="bottomLeft" activeCell="E24" sqref="E24"/>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IF(AUTOEVENTO="Manual",IF(EVENTOS!$F1&gt;0,"F",""),IF(AND(B1&gt;0,B1&lt;=MAX(CÁLCULO!$M$15:$M$508)),"F",""))</f>
        <v>#REF!</v>
      </c>
      <c r="B1" s="247" t="e">
        <f ca="1">OFFSET(B1,-1,0)+1</f>
        <v>#REF!</v>
      </c>
      <c r="C1" s="514" t="e">
        <f ca="1">IF(AUTOEVENTO="Manual",IF($B1&gt;0,OFFSET(EVENTOS!$D$15,$B1-$B$15,0),0),IF(B1&lt;=MAX(CÁLCULO!$M$15:$M$508),VLOOKUP($B1,CÁLCULO!$M$15:$N$508,2,FALSE),0))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2" t="s">
        <v>757</v>
      </c>
      <c r="AD2" s="753"/>
      <c r="AE2" s="754"/>
    </row>
    <row r="3" spans="1:31" ht="12.75" customHeight="1" x14ac:dyDescent="0.2">
      <c r="G3" s="82"/>
      <c r="AD3" s="483"/>
      <c r="AE3" s="483"/>
    </row>
    <row r="4" spans="1:31" ht="12.75" customHeight="1" x14ac:dyDescent="0.2">
      <c r="B4" s="685" t="s">
        <v>652</v>
      </c>
      <c r="C4" s="685"/>
      <c r="D4" s="685"/>
      <c r="G4" s="691" t="s">
        <v>650</v>
      </c>
      <c r="H4" s="691"/>
      <c r="I4" s="691"/>
      <c r="J4" s="691" t="s">
        <v>707</v>
      </c>
      <c r="K4" s="691"/>
      <c r="L4" s="691"/>
      <c r="M4" s="208" t="s">
        <v>758</v>
      </c>
      <c r="N4" s="212"/>
      <c r="P4" s="186"/>
      <c r="Q4" s="186"/>
      <c r="R4" s="186"/>
      <c r="U4" s="484"/>
      <c r="V4" s="186"/>
      <c r="W4" s="186"/>
      <c r="X4" s="186"/>
      <c r="Y4" s="186"/>
      <c r="AD4" s="483"/>
      <c r="AE4" s="485"/>
    </row>
    <row r="5" spans="1:31" ht="12.75" customHeight="1" x14ac:dyDescent="0.2">
      <c r="B5" s="686" t="str">
        <f>Import.Proponente</f>
        <v>Prefeitura Municipal</v>
      </c>
      <c r="C5" s="686"/>
      <c r="D5" s="686"/>
      <c r="G5" s="689" t="str">
        <f>Import.CR</f>
        <v>1098284-30/2024</v>
      </c>
      <c r="H5" s="689"/>
      <c r="I5" s="689"/>
      <c r="J5" s="689" t="str">
        <f>Import.SICONV</f>
        <v>968559/2024</v>
      </c>
      <c r="K5" s="689"/>
      <c r="L5" s="689"/>
      <c r="M5" s="733" t="str">
        <f>Import.Apelido</f>
        <v>ETE - BREJO ALEGRE - FASE II</v>
      </c>
      <c r="N5" s="734"/>
      <c r="O5" s="734"/>
      <c r="P5" s="734"/>
      <c r="Q5" s="734"/>
      <c r="R5" s="734"/>
      <c r="S5" s="734"/>
      <c r="T5" s="734"/>
      <c r="U5" s="734"/>
      <c r="V5" s="734"/>
      <c r="W5" s="734"/>
      <c r="X5" s="734"/>
      <c r="Y5" s="734"/>
      <c r="Z5" s="734"/>
      <c r="AA5" s="734"/>
      <c r="AB5" s="734"/>
      <c r="AC5" s="734"/>
      <c r="AD5" s="734"/>
      <c r="AE5" s="755"/>
    </row>
    <row r="6" spans="1:31" ht="14.25" customHeight="1" x14ac:dyDescent="0.25">
      <c r="B6" s="249" t="str" cm="1">
        <f t="array" aca="1" ref="B6" ca="1">IF(ACOMPANHAMENTO="BM","NO ACOMPANHAMENTO POR BM, UTILIZE A ABA CRONO",
  IF(MAX($B$14:$B$26)&lt;MAX(CÁLCULO!$M$15:$M$508),"ERRO: NÚMERO DE EVENTOS INSUFICIENTE, CLIQUE EM ATUALIZAR LINHAS",
  IF(ROUND(OFFSET(CRONO!$AG$66,0,-1),2)&lt;&gt;CRONO!$R$57,"ERRO: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str">
        <f>MID(Import.EventoAdmLocal,1,SEARCH(".",Import.EventoAdmLocal)-1)</f>
        <v>10</v>
      </c>
      <c r="B8" s="729" t="s">
        <v>1394</v>
      </c>
      <c r="C8" s="730"/>
      <c r="D8" s="571" t="str">
        <f ca="1">IF($B$7="","",IF(AND($B$15=0,$B$8=""),"◄ Não foi indicado o Evento de Administração Local",IF(ISERROR(MATCH(Import.EventoAdmLocal,$F$15:$F$26,0)),"◄ Selecione um Título de Evento válido para a Administração Local","")))</f>
        <v/>
      </c>
    </row>
    <row r="9" spans="1:31" ht="3.95" customHeight="1" x14ac:dyDescent="0.2">
      <c r="A9" s="548"/>
    </row>
    <row r="10" spans="1:31" ht="15" customHeight="1" x14ac:dyDescent="0.2">
      <c r="A10" s="548">
        <f ca="1">MATCH(VALUE(A8),CÁLCULO!$M$15:$M$508,0)-2</f>
        <v>10</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60" t="s">
        <v>760</v>
      </c>
      <c r="C12" s="760"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60"/>
      <c r="C13" s="760"/>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IF(AUTOEVENTO="Manual",IF(EVENTOS!$F15&gt;0,"F",""),IF(AND(B15&gt;0,B15&lt;=MAX(CÁLCULO!$M$15:$M$508)),"F",""))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IF(AUTOEVENTO="Manual",IF(EVENTOS!$F16&gt;0,"F",""),IF(AND(B16&gt;0,B16&lt;=MAX(CÁLCULO!$M$15:$M$508)),"F",""))</f>
        <v/>
      </c>
      <c r="B16" s="247">
        <f t="shared" ref="B16:B24" ca="1" si="1">OFFSET(B16,-1,0)+1</f>
        <v>1</v>
      </c>
      <c r="C16" s="514" t="str">
        <f ca="1">IF(AUTOEVENTO="Manual",IF($B16&gt;0,OFFSET(EVENTOS!$D$15,$B16-$B$15,0),0),IF(B16&lt;=MAX(CÁLCULO!$M$15:$M$508),VLOOKUP($B16,CÁLCULO!$M$15:$N$508,2,FALSE),0))</f>
        <v>Mobilização e Desmobilização</v>
      </c>
      <c r="D16" s="554"/>
      <c r="E16" s="248"/>
      <c r="F16" t="str">
        <f t="shared" ref="F16:F24" ca="1" si="2">IF($C16=0,"",CONCATENATE($B16,". ",$C16))</f>
        <v>1. Mobilização e Desmobilização</v>
      </c>
      <c r="G16" s="553">
        <v>1</v>
      </c>
      <c r="H16" s="553">
        <v>2</v>
      </c>
      <c r="I16" s="553">
        <v>3</v>
      </c>
      <c r="J16" s="553">
        <v>4</v>
      </c>
      <c r="K16" s="553">
        <v>5</v>
      </c>
      <c r="L16" s="553">
        <v>6</v>
      </c>
      <c r="M16" s="553">
        <v>7</v>
      </c>
      <c r="N16" s="553">
        <v>8</v>
      </c>
      <c r="O16" s="553">
        <v>9</v>
      </c>
      <c r="P16" s="553">
        <v>10</v>
      </c>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IF(AUTOEVENTO="Manual",IF(EVENTOS!$F17&gt;0,"F",""),IF(AND(B17&gt;0,B17&lt;=MAX(CÁLCULO!$M$15:$M$508)),"F",""))</f>
        <v/>
      </c>
      <c r="B17" s="247">
        <f t="shared" ca="1" si="1"/>
        <v>2</v>
      </c>
      <c r="C17" s="514" t="str">
        <f ca="1">IF(AUTOEVENTO="Manual",IF($B17&gt;0,OFFSET(EVENTOS!$D$15,$B17-$B$15,0),0),IF(B17&lt;=MAX(CÁLCULO!$M$15:$M$508),VLOOKUP($B17,CÁLCULO!$M$15:$N$508,2,FALSE),0))</f>
        <v>Serviços Iniciais</v>
      </c>
      <c r="D17" s="554"/>
      <c r="E17" s="248"/>
      <c r="F17" t="str">
        <f t="shared" ca="1" si="2"/>
        <v>2. Serviços Iniciais</v>
      </c>
      <c r="G17" s="553">
        <v>1</v>
      </c>
      <c r="H17" s="553">
        <v>2</v>
      </c>
      <c r="I17" s="553">
        <v>3</v>
      </c>
      <c r="J17" s="553">
        <v>4</v>
      </c>
      <c r="K17" s="553">
        <v>5</v>
      </c>
      <c r="L17" s="553">
        <v>6</v>
      </c>
      <c r="M17" s="553">
        <v>7</v>
      </c>
      <c r="N17" s="553">
        <v>8</v>
      </c>
      <c r="O17" s="553">
        <v>9</v>
      </c>
      <c r="P17" s="553">
        <v>10</v>
      </c>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IF(AUTOEVENTO="Manual",IF(EVENTOS!$F18&gt;0,"F",""),IF(AND(B18&gt;0,B18&lt;=MAX(CÁLCULO!$M$15:$M$508)),"F",""))</f>
        <v/>
      </c>
      <c r="B18" s="247">
        <f t="shared" ca="1" si="1"/>
        <v>3</v>
      </c>
      <c r="C18" s="514" t="str">
        <f ca="1">IF(AUTOEVENTO="Manual",IF($B18&gt;0,OFFSET(EVENTOS!$D$15,$B18-$B$15,0),0),IF(B18&lt;=MAX(CÁLCULO!$M$15:$M$508),VLOOKUP($B18,CÁLCULO!$M$15:$N$508,2,FALSE),0))</f>
        <v>Terraplenagem</v>
      </c>
      <c r="D18" s="554"/>
      <c r="E18" s="248"/>
      <c r="F18" t="str">
        <f t="shared" ca="1" si="2"/>
        <v>3. Terraplenagem</v>
      </c>
      <c r="G18" s="553">
        <v>1</v>
      </c>
      <c r="H18" s="553">
        <v>2</v>
      </c>
      <c r="I18" s="553">
        <v>3</v>
      </c>
      <c r="J18" s="553">
        <v>4</v>
      </c>
      <c r="K18" s="553">
        <v>5</v>
      </c>
      <c r="L18" s="553">
        <v>6</v>
      </c>
      <c r="M18" s="553">
        <v>7</v>
      </c>
      <c r="N18" s="553">
        <v>8</v>
      </c>
      <c r="O18" s="553">
        <v>9</v>
      </c>
      <c r="P18" s="553">
        <v>10</v>
      </c>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IF(AUTOEVENTO="Manual",IF(EVENTOS!$F19&gt;0,"F",""),IF(AND(B19&gt;0,B19&lt;=MAX(CÁLCULO!$M$15:$M$508)),"F",""))</f>
        <v/>
      </c>
      <c r="B19" s="247">
        <f t="shared" ca="1" si="1"/>
        <v>4</v>
      </c>
      <c r="C19" s="514" t="str">
        <f ca="1">IF(AUTOEVENTO="Manual",IF($B19&gt;0,OFFSET(EVENTOS!$D$15,$B19-$B$15,0),0),IF(B19&lt;=MAX(CÁLCULO!$M$15:$M$508),VLOOKUP($B19,CÁLCULO!$M$15:$N$508,2,FALSE),0))</f>
        <v>Estruturas de Concreto</v>
      </c>
      <c r="D19" s="554"/>
      <c r="E19" s="248"/>
      <c r="F19" t="str">
        <f t="shared" ca="1" si="2"/>
        <v>4. Estruturas de Concreto</v>
      </c>
      <c r="G19" s="553">
        <v>1</v>
      </c>
      <c r="H19" s="553">
        <v>2</v>
      </c>
      <c r="I19" s="553">
        <v>3</v>
      </c>
      <c r="J19" s="553">
        <v>4</v>
      </c>
      <c r="K19" s="553">
        <v>5</v>
      </c>
      <c r="L19" s="553">
        <v>6</v>
      </c>
      <c r="M19" s="553">
        <v>7</v>
      </c>
      <c r="N19" s="553">
        <v>8</v>
      </c>
      <c r="O19" s="553">
        <v>9</v>
      </c>
      <c r="P19" s="553">
        <v>10</v>
      </c>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IF(AUTOEVENTO="Manual",IF(EVENTOS!$F20&gt;0,"F",""),IF(AND(B20&gt;0,B20&lt;=MAX(CÁLCULO!$M$15:$M$508)),"F",""))</f>
        <v/>
      </c>
      <c r="B20" s="247">
        <f t="shared" ca="1" si="1"/>
        <v>5</v>
      </c>
      <c r="C20" s="514" t="str">
        <f ca="1">IF(AUTOEVENTO="Manual",IF($B20&gt;0,OFFSET(EVENTOS!$D$15,$B20-$B$15,0),0),IF(B20&lt;=MAX(CÁLCULO!$M$15:$M$508),VLOOKUP($B20,CÁLCULO!$M$15:$N$508,2,FALSE),0))</f>
        <v>Estrutura Metálica</v>
      </c>
      <c r="D20" s="554"/>
      <c r="E20" s="248"/>
      <c r="F20" t="str">
        <f t="shared" ca="1" si="2"/>
        <v>5. Estrutura Metálica</v>
      </c>
      <c r="G20" s="553">
        <v>1</v>
      </c>
      <c r="H20" s="553">
        <v>2</v>
      </c>
      <c r="I20" s="553">
        <v>3</v>
      </c>
      <c r="J20" s="553">
        <v>4</v>
      </c>
      <c r="K20" s="553">
        <v>5</v>
      </c>
      <c r="L20" s="553">
        <v>6</v>
      </c>
      <c r="M20" s="553">
        <v>7</v>
      </c>
      <c r="N20" s="553">
        <v>8</v>
      </c>
      <c r="O20" s="553">
        <v>9</v>
      </c>
      <c r="P20" s="553">
        <v>10</v>
      </c>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IF(AUTOEVENTO="Manual",IF(EVENTOS!$F21&gt;0,"F",""),IF(AND(B21&gt;0,B21&lt;=MAX(CÁLCULO!$M$15:$M$508)),"F",""))</f>
        <v/>
      </c>
      <c r="B21" s="247">
        <f t="shared" ca="1" si="1"/>
        <v>6</v>
      </c>
      <c r="C21" s="514" t="str">
        <f ca="1">IF(AUTOEVENTO="Manual",IF($B21&gt;0,OFFSET(EVENTOS!$D$15,$B21-$B$15,0),0),IF(B21&lt;=MAX(CÁLCULO!$M$15:$M$508),VLOOKUP($B21,CÁLCULO!$M$15:$N$508,2,FALSE),0))</f>
        <v>Saneamento</v>
      </c>
      <c r="D21" s="554"/>
      <c r="E21" s="248"/>
      <c r="F21" t="str">
        <f t="shared" ca="1" si="2"/>
        <v>6. Saneamento</v>
      </c>
      <c r="G21" s="553">
        <v>1</v>
      </c>
      <c r="H21" s="553">
        <v>2</v>
      </c>
      <c r="I21" s="553">
        <v>3</v>
      </c>
      <c r="J21" s="553">
        <v>4</v>
      </c>
      <c r="K21" s="553">
        <v>5</v>
      </c>
      <c r="L21" s="553">
        <v>6</v>
      </c>
      <c r="M21" s="553">
        <v>7</v>
      </c>
      <c r="N21" s="553">
        <v>8</v>
      </c>
      <c r="O21" s="553">
        <v>9</v>
      </c>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IF(AUTOEVENTO="Manual",IF(EVENTOS!$F22&gt;0,"F",""),IF(AND(B22&gt;0,B22&lt;=MAX(CÁLCULO!$M$15:$M$508)),"F",""))</f>
        <v/>
      </c>
      <c r="B22" s="247">
        <f t="shared" ca="1" si="1"/>
        <v>7</v>
      </c>
      <c r="C22" s="514" t="str">
        <f ca="1">IF(AUTOEVENTO="Manual",IF($B22&gt;0,OFFSET(EVENTOS!$D$15,$B22-$B$15,0),0),IF(B22&lt;=MAX(CÁLCULO!$M$15:$M$508),VLOOKUP($B22,CÁLCULO!$M$15:$N$508,2,FALSE),0))</f>
        <v>Instalações Elétricas</v>
      </c>
      <c r="D22" s="554"/>
      <c r="E22" s="248"/>
      <c r="F22" t="str">
        <f t="shared" ca="1" si="2"/>
        <v>7. Instalações Elétricas</v>
      </c>
      <c r="G22" s="553">
        <v>1</v>
      </c>
      <c r="H22" s="553">
        <v>2</v>
      </c>
      <c r="I22" s="553">
        <v>3</v>
      </c>
      <c r="J22" s="553">
        <v>4</v>
      </c>
      <c r="K22" s="553">
        <v>5</v>
      </c>
      <c r="L22" s="553">
        <v>6</v>
      </c>
      <c r="M22" s="553">
        <v>7</v>
      </c>
      <c r="N22" s="553">
        <v>8</v>
      </c>
      <c r="O22" s="553">
        <v>9</v>
      </c>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IF(AUTOEVENTO="Manual",IF(EVENTOS!$F23&gt;0,"F",""),IF(AND(B23&gt;0,B23&lt;=MAX(CÁLCULO!$M$15:$M$508)),"F",""))</f>
        <v/>
      </c>
      <c r="B23" s="247">
        <f t="shared" ca="1" si="1"/>
        <v>8</v>
      </c>
      <c r="C23" s="514" t="str">
        <f ca="1">IF(AUTOEVENTO="Manual",IF($B23&gt;0,OFFSET(EVENTOS!$D$15,$B23-$B$15,0),0),IF(B23&lt;=MAX(CÁLCULO!$M$15:$M$508),VLOOKUP($B23,CÁLCULO!$M$15:$N$508,2,FALSE),0))</f>
        <v>CFTV</v>
      </c>
      <c r="D23" s="554"/>
      <c r="E23" s="248"/>
      <c r="F23" t="str">
        <f t="shared" ca="1" si="2"/>
        <v>8. CFTV</v>
      </c>
      <c r="G23" s="553">
        <v>1</v>
      </c>
      <c r="H23" s="553">
        <v>2</v>
      </c>
      <c r="I23" s="553">
        <v>3</v>
      </c>
      <c r="J23" s="553">
        <v>4</v>
      </c>
      <c r="K23" s="553">
        <v>5</v>
      </c>
      <c r="L23" s="553">
        <v>6</v>
      </c>
      <c r="M23" s="553">
        <v>7</v>
      </c>
      <c r="N23" s="553">
        <v>8</v>
      </c>
      <c r="O23" s="553">
        <v>9</v>
      </c>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IF(AUTOEVENTO="Manual",IF(EVENTOS!$F24&gt;0,"F",""),IF(AND(B24&gt;0,B24&lt;=MAX(CÁLCULO!$M$15:$M$508)),"F",""))</f>
        <v/>
      </c>
      <c r="B24" s="247">
        <f t="shared" ca="1" si="1"/>
        <v>9</v>
      </c>
      <c r="C24" s="514" t="str">
        <f ca="1">IF(AUTOEVENTO="Manual",IF($B24&gt;0,OFFSET(EVENTOS!$D$15,$B24-$B$15,0),0),IF(B24&lt;=MAX(CÁLCULO!$M$15:$M$508),VLOOKUP($B24,CÁLCULO!$M$15:$N$508,2,FALSE),0))</f>
        <v>Arquitetura</v>
      </c>
      <c r="D24" s="554"/>
      <c r="E24" s="248"/>
      <c r="F24" t="str">
        <f t="shared" ca="1" si="2"/>
        <v>9. Arquitetura</v>
      </c>
      <c r="G24" s="553"/>
      <c r="H24" s="553"/>
      <c r="I24" s="553"/>
      <c r="J24" s="553"/>
      <c r="K24" s="553"/>
      <c r="L24" s="553"/>
      <c r="M24" s="553"/>
      <c r="N24" s="553"/>
      <c r="O24" s="553">
        <v>9</v>
      </c>
      <c r="P24" s="553">
        <v>10</v>
      </c>
      <c r="Q24" s="553"/>
      <c r="R24" s="553"/>
      <c r="S24" s="553"/>
      <c r="T24" s="553"/>
      <c r="U24" s="553"/>
      <c r="V24" s="553"/>
      <c r="W24" s="553"/>
      <c r="X24" s="553"/>
      <c r="Y24" s="553"/>
      <c r="Z24" s="553"/>
      <c r="AA24" s="553"/>
      <c r="AB24" s="553"/>
      <c r="AC24" s="553"/>
      <c r="AD24" s="553"/>
      <c r="AE24" s="553"/>
    </row>
    <row r="25" spans="1:31" x14ac:dyDescent="0.2">
      <c r="A25" s="7" t="str">
        <f ca="1">IF(AUTOEVENTO="Manual",IF(EVENTOS!$F25&gt;0,"F",""),IF(AND(B25&gt;0,B25&lt;=MAX(CÁLCULO!$M$15:$M$508)),"F",""))</f>
        <v/>
      </c>
      <c r="B25" s="247">
        <f ca="1">OFFSET(B25,-1,0)+1</f>
        <v>10</v>
      </c>
      <c r="C25" s="514" t="str">
        <f ca="1">IF(AUTOEVENTO="Manual",IF($B25&gt;0,OFFSET(EVENTOS!$D$15,$B25-$B$15,0),0),IF(B25&lt;=MAX(CÁLCULO!$M$15:$M$508),VLOOKUP($B25,CÁLCULO!$M$15:$N$508,2,FALSE),0))</f>
        <v>Administração Local</v>
      </c>
      <c r="D25" s="554"/>
      <c r="E25" s="248"/>
      <c r="F25" t="str">
        <f ca="1">IF($C25=0,"",CONCATENATE($B25,". ",$C25))</f>
        <v>10. Administração Local</v>
      </c>
      <c r="G25" s="553">
        <v>1</v>
      </c>
      <c r="H25" s="553">
        <v>2</v>
      </c>
      <c r="I25" s="553">
        <v>3</v>
      </c>
      <c r="J25" s="553">
        <v>4</v>
      </c>
      <c r="K25" s="553">
        <v>5</v>
      </c>
      <c r="L25" s="553">
        <v>6</v>
      </c>
      <c r="M25" s="553">
        <v>7</v>
      </c>
      <c r="N25" s="553">
        <v>8</v>
      </c>
      <c r="O25" s="553">
        <v>9</v>
      </c>
      <c r="P25" s="553">
        <v>10</v>
      </c>
      <c r="Q25" s="553"/>
      <c r="R25" s="553"/>
      <c r="S25" s="553"/>
      <c r="T25" s="553"/>
      <c r="U25" s="553"/>
      <c r="V25" s="553"/>
      <c r="W25" s="553"/>
      <c r="X25" s="553"/>
      <c r="Y25" s="553"/>
      <c r="Z25" s="553"/>
      <c r="AA25" s="553"/>
      <c r="AB25" s="553"/>
      <c r="AC25" s="553"/>
      <c r="AD25" s="553"/>
      <c r="AE25" s="553"/>
    </row>
    <row r="26" spans="1:31" ht="5.0999999999999996" customHeight="1" x14ac:dyDescent="0.2">
      <c r="A26" t="s">
        <v>536</v>
      </c>
      <c r="B26" s="628"/>
      <c r="C26" s="433"/>
      <c r="D26" s="555"/>
      <c r="E26" s="262"/>
      <c r="F26" s="262"/>
      <c r="G26" s="628"/>
      <c r="H26" s="629"/>
      <c r="I26" s="629"/>
      <c r="J26" s="629"/>
      <c r="K26" s="629"/>
      <c r="L26" s="629"/>
      <c r="M26" s="629"/>
      <c r="N26" s="629"/>
      <c r="O26" s="629"/>
      <c r="P26" s="629"/>
      <c r="Q26" s="629"/>
      <c r="R26" s="629"/>
      <c r="S26" s="629"/>
      <c r="T26" s="629"/>
      <c r="U26" s="629"/>
      <c r="V26" s="629"/>
      <c r="W26" s="629"/>
      <c r="X26" s="629"/>
      <c r="Y26" s="629"/>
      <c r="Z26" s="629"/>
      <c r="AA26" s="629"/>
      <c r="AB26" s="629"/>
      <c r="AC26" s="629"/>
      <c r="AD26" s="629"/>
      <c r="AE26" s="433"/>
    </row>
    <row r="27" spans="1:31" ht="6" customHeight="1" x14ac:dyDescent="0.2">
      <c r="A27" s="7" t="s">
        <v>536</v>
      </c>
    </row>
    <row r="28" spans="1:31" ht="15" x14ac:dyDescent="0.2">
      <c r="A28" s="7" t="s">
        <v>536</v>
      </c>
      <c r="C28" s="486" t="s">
        <v>779</v>
      </c>
      <c r="H28" s="759">
        <f>(ROW($G28)-ROW($G$28))/8*12+1</f>
        <v>1</v>
      </c>
      <c r="I28" s="759"/>
      <c r="J28" s="759">
        <f>H28+1</f>
        <v>2</v>
      </c>
      <c r="K28" s="759"/>
      <c r="L28" s="759">
        <f>J28+1</f>
        <v>3</v>
      </c>
      <c r="M28" s="759"/>
      <c r="N28" s="759">
        <f>L28+1</f>
        <v>4</v>
      </c>
      <c r="O28" s="759"/>
      <c r="P28" s="759">
        <f>N28+1</f>
        <v>5</v>
      </c>
      <c r="Q28" s="759"/>
      <c r="R28" s="759">
        <f>P28+1</f>
        <v>6</v>
      </c>
      <c r="S28" s="759"/>
      <c r="T28" s="759">
        <f>R28+1</f>
        <v>7</v>
      </c>
      <c r="U28" s="759"/>
      <c r="V28" s="759">
        <f>T28+1</f>
        <v>8</v>
      </c>
      <c r="W28" s="759"/>
      <c r="X28" s="759">
        <f>V28+1</f>
        <v>9</v>
      </c>
      <c r="Y28" s="759"/>
      <c r="Z28" s="759">
        <f>X28+1</f>
        <v>10</v>
      </c>
      <c r="AA28" s="759"/>
      <c r="AB28" s="759">
        <f>Z28+1</f>
        <v>11</v>
      </c>
      <c r="AC28" s="759"/>
      <c r="AD28" s="759">
        <f>AB28+1</f>
        <v>12</v>
      </c>
      <c r="AE28" s="759"/>
    </row>
    <row r="29" spans="1:31" ht="12.75" customHeight="1" x14ac:dyDescent="0.2">
      <c r="A29" s="7" t="s">
        <v>536</v>
      </c>
      <c r="C29" s="756" t="s">
        <v>780</v>
      </c>
      <c r="G29" s="551" t="s">
        <v>781</v>
      </c>
      <c r="H29" s="745">
        <f ca="1">OFFSET(CRONO!$T$57,0,CRONOPLE!H28)</f>
        <v>6.2579621733506105E-2</v>
      </c>
      <c r="I29" s="745"/>
      <c r="J29" s="745">
        <f ca="1">OFFSET(CRONO!$T$57,0,CRONOPLE!J28)</f>
        <v>3.5412120650372622E-2</v>
      </c>
      <c r="K29" s="745"/>
      <c r="L29" s="745">
        <f ca="1">OFFSET(CRONO!$T$57,0,CRONOPLE!L28)</f>
        <v>0.21472174680700676</v>
      </c>
      <c r="M29" s="745"/>
      <c r="N29" s="745">
        <f ca="1">OFFSET(CRONO!$T$57,0,CRONOPLE!N28)</f>
        <v>0.15837912932489376</v>
      </c>
      <c r="O29" s="745"/>
      <c r="P29" s="745">
        <f ca="1">OFFSET(CRONO!$T$57,0,CRONOPLE!P28)</f>
        <v>9.2013169749895263E-2</v>
      </c>
      <c r="Q29" s="745"/>
      <c r="R29" s="745">
        <f ca="1">OFFSET(CRONO!$T$57,0,CRONOPLE!R28)</f>
        <v>0.28246735243885557</v>
      </c>
      <c r="S29" s="745"/>
      <c r="T29" s="745">
        <f ca="1">OFFSET(CRONO!$T$57,0,CRONOPLE!T28)</f>
        <v>2.7409569881229959E-2</v>
      </c>
      <c r="U29" s="745"/>
      <c r="V29" s="745">
        <f ca="1">OFFSET(CRONO!$T$57,0,CRONOPLE!V28)</f>
        <v>8.3906777826743786E-2</v>
      </c>
      <c r="W29" s="745"/>
      <c r="X29" s="745">
        <f ca="1">OFFSET(CRONO!$T$57,0,CRONOPLE!X28)</f>
        <v>2.6514869565115493E-2</v>
      </c>
      <c r="Y29" s="745"/>
      <c r="Z29" s="745">
        <f ca="1">OFFSET(CRONO!$T$57,0,CRONOPLE!Z28)</f>
        <v>1.659564202238073E-2</v>
      </c>
      <c r="AA29" s="745"/>
      <c r="AB29" s="745">
        <f ca="1">OFFSET(CRONO!$T$57,0,CRONOPLE!AB28)</f>
        <v>0</v>
      </c>
      <c r="AC29" s="745"/>
      <c r="AD29" s="745">
        <f ca="1">OFFSET(CRONO!$T$57,0,CRONOPLE!AD28)</f>
        <v>0</v>
      </c>
      <c r="AE29" s="745"/>
    </row>
    <row r="30" spans="1:31" ht="12.75" customHeight="1" x14ac:dyDescent="0.2">
      <c r="A30" s="7" t="s">
        <v>536</v>
      </c>
      <c r="C30" s="757"/>
      <c r="G30" s="487" t="s">
        <v>782</v>
      </c>
      <c r="H30" s="758">
        <f ca="1">OFFSET(CRONO!$T$61,0,CRONOPLE!H28)</f>
        <v>519596.73</v>
      </c>
      <c r="I30" s="758"/>
      <c r="J30" s="743">
        <f ca="1">OFFSET(CRONO!$T$61,0,CRONOPLE!J28)</f>
        <v>294025.78000000003</v>
      </c>
      <c r="K30" s="744"/>
      <c r="L30" s="743">
        <f ca="1">OFFSET(CRONO!$T$61,0,CRONOPLE!L28)</f>
        <v>1782828.2499999998</v>
      </c>
      <c r="M30" s="744"/>
      <c r="N30" s="743">
        <f ca="1">OFFSET(CRONO!$T$61,0,CRONOPLE!N28)</f>
        <v>1315017.1800000002</v>
      </c>
      <c r="O30" s="744"/>
      <c r="P30" s="743">
        <f ca="1">OFFSET(CRONO!$T$61,0,CRONOPLE!P28)</f>
        <v>763982.60000000009</v>
      </c>
      <c r="Q30" s="744"/>
      <c r="R30" s="743">
        <f ca="1">OFFSET(CRONO!$T$61,0,CRONOPLE!R28)</f>
        <v>2345317.9900000002</v>
      </c>
      <c r="S30" s="744"/>
      <c r="T30" s="743">
        <f ca="1">OFFSET(CRONO!$T$61,0,CRONOPLE!T28)</f>
        <v>227580.83999999985</v>
      </c>
      <c r="U30" s="744"/>
      <c r="V30" s="743">
        <f ca="1">OFFSET(CRONO!$T$61,0,CRONOPLE!V28)</f>
        <v>696675.46999999974</v>
      </c>
      <c r="W30" s="744"/>
      <c r="X30" s="743">
        <f ca="1">OFFSET(CRONO!$T$61,0,CRONOPLE!X28)</f>
        <v>220152.16999999993</v>
      </c>
      <c r="Y30" s="744"/>
      <c r="Z30" s="743">
        <f ca="1">OFFSET(CRONO!$T$61,0,CRONOPLE!Z28)</f>
        <v>137793.12000000011</v>
      </c>
      <c r="AA30" s="744"/>
      <c r="AB30" s="743">
        <f ca="1">OFFSET(CRONO!$T$61,0,CRONOPLE!AB28)</f>
        <v>0</v>
      </c>
      <c r="AC30" s="744"/>
      <c r="AD30" s="743">
        <f ca="1">OFFSET(CRONO!$T$61,0,CRONOPLE!AD28)</f>
        <v>0</v>
      </c>
      <c r="AE30" s="744"/>
    </row>
    <row r="31" spans="1:31" ht="12.75" customHeight="1" x14ac:dyDescent="0.2">
      <c r="A31" s="7" t="s">
        <v>536</v>
      </c>
      <c r="C31" s="756" t="s">
        <v>783</v>
      </c>
      <c r="G31" s="551" t="s">
        <v>781</v>
      </c>
      <c r="H31" s="745">
        <f ca="1">OFFSET(CRONO!$T$62,0,CRONOPLE!H28)</f>
        <v>6.2600000000000003E-2</v>
      </c>
      <c r="I31" s="745"/>
      <c r="J31" s="748">
        <f ca="1">OFFSET(CRONO!$T$62,0,CRONOPLE!J28)</f>
        <v>9.8000000000000004E-2</v>
      </c>
      <c r="K31" s="749"/>
      <c r="L31" s="748">
        <f ca="1">OFFSET(CRONO!$T$62,0,CRONOPLE!L28)</f>
        <v>0.31269999999999998</v>
      </c>
      <c r="M31" s="749"/>
      <c r="N31" s="748">
        <f ca="1">OFFSET(CRONO!$T$62,0,CRONOPLE!N28)</f>
        <v>0.47110000000000002</v>
      </c>
      <c r="O31" s="749"/>
      <c r="P31" s="748">
        <f ca="1">OFFSET(CRONO!$T$62,0,CRONOPLE!P28)</f>
        <v>0.56310000000000004</v>
      </c>
      <c r="Q31" s="749"/>
      <c r="R31" s="748">
        <f ca="1">OFFSET(CRONO!$T$62,0,CRONOPLE!R28)</f>
        <v>0.84560000000000002</v>
      </c>
      <c r="S31" s="749"/>
      <c r="T31" s="748">
        <f ca="1">OFFSET(CRONO!$T$62,0,CRONOPLE!T28)</f>
        <v>0.873</v>
      </c>
      <c r="U31" s="749"/>
      <c r="V31" s="748">
        <f ca="1">OFFSET(CRONO!$T$62,0,CRONOPLE!V28)</f>
        <v>0.95689999999999997</v>
      </c>
      <c r="W31" s="749"/>
      <c r="X31" s="748">
        <f ca="1">OFFSET(CRONO!$T$62,0,CRONOPLE!X28)</f>
        <v>0.98340000000000005</v>
      </c>
      <c r="Y31" s="749"/>
      <c r="Z31" s="748">
        <f ca="1">OFFSET(CRONO!$T$62,0,CRONOPLE!Z28)</f>
        <v>1</v>
      </c>
      <c r="AA31" s="749"/>
      <c r="AB31" s="748">
        <f ca="1">OFFSET(CRONO!$T$62,0,CRONOPLE!AB28)</f>
        <v>1</v>
      </c>
      <c r="AC31" s="749"/>
      <c r="AD31" s="748">
        <f ca="1">OFFSET(CRONO!$T$62,0,CRONOPLE!AD28)</f>
        <v>1</v>
      </c>
      <c r="AE31" s="749"/>
    </row>
    <row r="32" spans="1:31" ht="12.75" customHeight="1" x14ac:dyDescent="0.2">
      <c r="A32" s="7" t="s">
        <v>536</v>
      </c>
      <c r="C32" s="762"/>
      <c r="G32" s="487" t="s">
        <v>782</v>
      </c>
      <c r="H32" s="761">
        <f ca="1">OFFSET(CRONO!$T$66,0,CRONOPLE!H28)</f>
        <v>519596.72623099998</v>
      </c>
      <c r="I32" s="761"/>
      <c r="J32" s="750">
        <f ca="1">OFFSET(CRONO!$T$66,0,CRONOPLE!J28)</f>
        <v>813622.512308</v>
      </c>
      <c r="K32" s="751"/>
      <c r="L32" s="750">
        <f ca="1">OFFSET(CRONO!$T$66,0,CRONOPLE!L28)</f>
        <v>2596450.7570780003</v>
      </c>
      <c r="M32" s="751"/>
      <c r="N32" s="750">
        <f ca="1">OFFSET(CRONO!$T$66,0,CRONOPLE!N28)</f>
        <v>3911467.9405430006</v>
      </c>
      <c r="O32" s="751"/>
      <c r="P32" s="750">
        <f ca="1">OFFSET(CRONO!$T$66,0,CRONOPLE!P28)</f>
        <v>4675450.5370130008</v>
      </c>
      <c r="Q32" s="751"/>
      <c r="R32" s="750">
        <f ca="1">OFFSET(CRONO!$T$66,0,CRONOPLE!R28)</f>
        <v>7020768.5296100006</v>
      </c>
      <c r="S32" s="751"/>
      <c r="T32" s="750">
        <f ca="1">OFFSET(CRONO!$T$66,0,CRONOPLE!T28)</f>
        <v>7248349.373017001</v>
      </c>
      <c r="U32" s="751"/>
      <c r="V32" s="750">
        <f ca="1">OFFSET(CRONO!$T$66,0,CRONOPLE!V28)</f>
        <v>7945024.8390550008</v>
      </c>
      <c r="W32" s="751"/>
      <c r="X32" s="750">
        <f ca="1">OFFSET(CRONO!$T$66,0,CRONOPLE!X28)</f>
        <v>8165177.011593001</v>
      </c>
      <c r="Y32" s="751"/>
      <c r="Z32" s="750">
        <f ca="1">OFFSET(CRONO!$T$66,0,CRONOPLE!Z28)</f>
        <v>8302970.1300000008</v>
      </c>
      <c r="AA32" s="751"/>
      <c r="AB32" s="750">
        <f ca="1">OFFSET(CRONO!$T$66,0,CRONOPLE!AB28)</f>
        <v>8302970.1300000008</v>
      </c>
      <c r="AC32" s="751"/>
      <c r="AD32" s="750">
        <f ca="1">OFFSET(CRONO!$T$66,0,CRONOPLE!AD28)</f>
        <v>8302970.1300000008</v>
      </c>
      <c r="AE32" s="751"/>
    </row>
    <row r="33" spans="1:31" ht="12.75" customHeight="1" x14ac:dyDescent="0.2">
      <c r="A33" s="7" t="s">
        <v>536</v>
      </c>
      <c r="C33" s="552" t="s">
        <v>784</v>
      </c>
      <c r="D33" s="550"/>
      <c r="G33" s="551" t="s">
        <v>781</v>
      </c>
      <c r="H33" s="745">
        <f ca="1">OFFSET(CRONO!$T$67,0,CRONOPLE!H28)</f>
        <v>0.06</v>
      </c>
      <c r="I33" s="745"/>
      <c r="J33" s="746">
        <f ca="1">OFFSET(CRONO!$T$67,0,CRONOPLE!J28)</f>
        <v>0.09</v>
      </c>
      <c r="K33" s="747"/>
      <c r="L33" s="746">
        <f ca="1">OFFSET(CRONO!$T$67,0,CRONOPLE!L28)</f>
        <v>0.3</v>
      </c>
      <c r="M33" s="747"/>
      <c r="N33" s="746">
        <f ca="1">OFFSET(CRONO!$T$67,0,CRONOPLE!N28)</f>
        <v>0.45</v>
      </c>
      <c r="O33" s="747"/>
      <c r="P33" s="746">
        <f ca="1">OFFSET(CRONO!$T$67,0,CRONOPLE!P28)</f>
        <v>0.54</v>
      </c>
      <c r="Q33" s="747"/>
      <c r="R33" s="746">
        <f ca="1">OFFSET(CRONO!$T$67,0,CRONOPLE!R28)</f>
        <v>0.80999999999999994</v>
      </c>
      <c r="S33" s="747"/>
      <c r="T33" s="746">
        <f ca="1">OFFSET(CRONO!$T$67,0,CRONOPLE!T28)</f>
        <v>0.84</v>
      </c>
      <c r="U33" s="747"/>
      <c r="V33" s="746">
        <f ca="1">OFFSET(CRONO!$T$67,0,CRONOPLE!V28)</f>
        <v>0.94</v>
      </c>
      <c r="W33" s="747"/>
      <c r="X33" s="746">
        <f ca="1">OFFSET(CRONO!$T$67,0,CRONOPLE!X28)</f>
        <v>0.97</v>
      </c>
      <c r="Y33" s="747"/>
      <c r="Z33" s="746">
        <f ca="1">OFFSET(CRONO!$T$67,0,CRONOPLE!Z28)</f>
        <v>1</v>
      </c>
      <c r="AA33" s="747"/>
      <c r="AB33" s="746">
        <f ca="1">OFFSET(CRONO!$T$67,0,CRONOPLE!AB28)</f>
        <v>1</v>
      </c>
      <c r="AC33" s="747"/>
      <c r="AD33" s="746">
        <f ca="1">OFFSET(CRONO!$T$67,0,CRONOPLE!AD28)</f>
        <v>1</v>
      </c>
      <c r="AE33" s="747"/>
    </row>
    <row r="34" spans="1:31" ht="15" customHeight="1" x14ac:dyDescent="0.25">
      <c r="A34" s="7" t="s">
        <v>536</v>
      </c>
      <c r="C34" s="549"/>
      <c r="G34" s="583" t="str">
        <f ca="1">IF(COUNTIF(H34:AF34,"%Adm&gt;%Global")&gt;0,"Verificar proporcionalidade da Administração Local","")</f>
        <v/>
      </c>
      <c r="H34" s="535" t="str">
        <f ca="1">IF(H33="","",IF(ROUND(H33,4)&gt;ROUND(H31,4),"%Adm&gt;%Global",""))</f>
        <v/>
      </c>
      <c r="J34" s="535" t="str">
        <f t="shared" ref="J34" ca="1" si="3">IF(J33="","",IF(ROUND(J33,4)&gt;ROUND(J31,4),"%Adm&gt;%Global",""))</f>
        <v/>
      </c>
      <c r="L34" s="535" t="str">
        <f t="shared" ref="L34" ca="1" si="4">IF(L33="","",IF(ROUND(L33,4)&gt;ROUND(L31,4),"%Adm&gt;%Global",""))</f>
        <v/>
      </c>
      <c r="N34" s="535" t="str">
        <f t="shared" ref="N34" ca="1" si="5">IF(N33="","",IF(ROUND(N33,4)&gt;ROUND(N31,4),"%Adm&gt;%Global",""))</f>
        <v/>
      </c>
      <c r="P34" s="535" t="str">
        <f t="shared" ref="P34" ca="1" si="6">IF(P33="","",IF(ROUND(P33,4)&gt;ROUND(P31,4),"%Adm&gt;%Global",""))</f>
        <v/>
      </c>
      <c r="R34" s="535" t="str">
        <f t="shared" ref="R34" ca="1" si="7">IF(R33="","",IF(ROUND(R33,4)&gt;ROUND(R31,4),"%Adm&gt;%Global",""))</f>
        <v/>
      </c>
      <c r="T34" s="535" t="str">
        <f t="shared" ref="T34" ca="1" si="8">IF(T33="","",IF(ROUND(T33,4)&gt;ROUND(T31,4),"%Adm&gt;%Global",""))</f>
        <v/>
      </c>
      <c r="V34" s="535" t="str">
        <f t="shared" ref="V34" ca="1" si="9">IF(V33="","",IF(ROUND(V33,4)&gt;ROUND(V31,4),"%Adm&gt;%Global",""))</f>
        <v/>
      </c>
      <c r="X34" s="535" t="str">
        <f t="shared" ref="X34" ca="1" si="10">IF(X33="","",IF(ROUND(X33,4)&gt;ROUND(X31,4),"%Adm&gt;%Global",""))</f>
        <v/>
      </c>
      <c r="Z34" s="535" t="str">
        <f t="shared" ref="Z34" ca="1" si="11">IF(Z33="","",IF(ROUND(Z33,4)&gt;ROUND(Z31,4),"%Adm&gt;%Global",""))</f>
        <v/>
      </c>
      <c r="AB34" s="535" t="str">
        <f t="shared" ref="AB34" ca="1" si="12">IF(AB33="","",IF(ROUND(AB33,4)&gt;ROUND(AB31,4),"%Adm&gt;%Global",""))</f>
        <v/>
      </c>
      <c r="AD34" s="535" t="str">
        <f t="shared" ref="AD34" ca="1" si="13">IF(AD33="","",IF(ROUND(AD33,4)&gt;ROUND(AD31,4),"%Adm&gt;%Global",""))</f>
        <v/>
      </c>
    </row>
    <row r="35" spans="1:31" x14ac:dyDescent="0.2">
      <c r="A35" s="7" t="s">
        <v>536</v>
      </c>
    </row>
    <row r="36" spans="1:31" ht="15" x14ac:dyDescent="0.2">
      <c r="A36" s="7" t="s">
        <v>536</v>
      </c>
      <c r="B36" s="138" t="str">
        <f>Import.Município</f>
        <v>Araguari / MG</v>
      </c>
      <c r="C36" s="138"/>
      <c r="E36" s="488"/>
      <c r="F36" s="488"/>
      <c r="G36" s="488"/>
      <c r="H36" s="488"/>
      <c r="I36" s="488"/>
      <c r="J36" s="488"/>
      <c r="K36" s="488"/>
      <c r="L36" s="488"/>
      <c r="V36" s="460"/>
      <c r="W36" s="417"/>
      <c r="X36" s="417"/>
      <c r="Y36" s="417"/>
      <c r="Z36" s="417"/>
      <c r="AA36" s="417"/>
      <c r="AB36" s="417"/>
      <c r="AC36" s="417"/>
      <c r="AD36" s="417"/>
      <c r="AE36" s="417"/>
    </row>
    <row r="37" spans="1:31" x14ac:dyDescent="0.2">
      <c r="A37" s="7" t="s">
        <v>536</v>
      </c>
      <c r="B37" s="9" t="s">
        <v>693</v>
      </c>
      <c r="F37" s="185"/>
      <c r="G37" s="185"/>
      <c r="H37" s="185"/>
      <c r="I37" s="185"/>
      <c r="J37" s="185"/>
      <c r="K37" s="185"/>
      <c r="L37" s="187"/>
      <c r="V37" s="181" t="s">
        <v>696</v>
      </c>
    </row>
    <row r="38" spans="1:31" x14ac:dyDescent="0.2">
      <c r="A38" s="7" t="s">
        <v>536</v>
      </c>
      <c r="F38" s="185"/>
      <c r="G38" s="185"/>
      <c r="H38" s="185"/>
      <c r="I38" s="185"/>
      <c r="J38" s="185"/>
      <c r="K38" s="185"/>
      <c r="L38" s="187"/>
      <c r="V38" s="398" t="str">
        <f t="array" aca="1" ref="V38:V40" ca="1">OFFSET(Import.RespOrçamento,0,-1) &amp; " " &amp; Import.RespOrçamento</f>
        <v>Nome: JULIANA GONÇALVES OLIVEIRA</v>
      </c>
    </row>
    <row r="39" spans="1:31" ht="16.5" x14ac:dyDescent="0.3">
      <c r="A39" s="7" t="s">
        <v>536</v>
      </c>
      <c r="B39" s="763">
        <f>DADOS!$C$25</f>
        <v>45996</v>
      </c>
      <c r="C39" s="763"/>
      <c r="F39" s="185"/>
      <c r="G39" s="185"/>
      <c r="H39" s="185"/>
      <c r="I39" s="185"/>
      <c r="J39" s="185"/>
      <c r="K39" s="185"/>
      <c r="L39" s="187"/>
      <c r="V39" s="398" t="str">
        <f ca="1"/>
        <v>CREA/CAU: 239787 / D</v>
      </c>
    </row>
    <row r="40" spans="1:31" x14ac:dyDescent="0.2">
      <c r="A40" s="7" t="s">
        <v>536</v>
      </c>
      <c r="B40" s="9" t="s">
        <v>694</v>
      </c>
      <c r="F40" s="185"/>
      <c r="G40" s="185"/>
      <c r="H40" s="185"/>
      <c r="I40" s="185"/>
      <c r="J40" s="185"/>
      <c r="K40" s="185"/>
      <c r="L40" s="187"/>
      <c r="V40" s="398" t="str">
        <f ca="1"/>
        <v>ART/RRT:  Nº MG20253772936</v>
      </c>
    </row>
  </sheetData>
  <sheetProtection algorithmName="SHA-512" hashValue="hOX157o1BG8BW8EtNMyYeq7WAIDPRyag3ytRPCp9x/SAWF/2DKqjPMGb1C1wRQVGKbNX9SFqhkcoEXB6utu5Jw==" saltValue="WDZFcKuRXxNlbqOA6BZTLA==" spinCount="100000" sheet="1" objects="1" scenarios="1" autoFilter="0"/>
  <autoFilter ref="A13:A40" xr:uid="{00000000-0001-0000-0800-000000000000}"/>
  <mergeCells count="86">
    <mergeCell ref="C31:C32"/>
    <mergeCell ref="H33:I33"/>
    <mergeCell ref="J33:K33"/>
    <mergeCell ref="X31:Y31"/>
    <mergeCell ref="B39:C39"/>
    <mergeCell ref="V32:W32"/>
    <mergeCell ref="X32:Y32"/>
    <mergeCell ref="L33:M33"/>
    <mergeCell ref="N33:O33"/>
    <mergeCell ref="Z32:AA32"/>
    <mergeCell ref="H31:I31"/>
    <mergeCell ref="J31:K31"/>
    <mergeCell ref="L31:M31"/>
    <mergeCell ref="N31:O31"/>
    <mergeCell ref="H32:I32"/>
    <mergeCell ref="J32:K32"/>
    <mergeCell ref="N32:O32"/>
    <mergeCell ref="P32:Q32"/>
    <mergeCell ref="R32:S32"/>
    <mergeCell ref="T32:U32"/>
    <mergeCell ref="P31:Q31"/>
    <mergeCell ref="R31:S31"/>
    <mergeCell ref="V31:W31"/>
    <mergeCell ref="L32:M32"/>
    <mergeCell ref="T31:U31"/>
    <mergeCell ref="T30:U30"/>
    <mergeCell ref="V30:W30"/>
    <mergeCell ref="L29:M29"/>
    <mergeCell ref="N29:O29"/>
    <mergeCell ref="L30:M30"/>
    <mergeCell ref="N30:O30"/>
    <mergeCell ref="P29:Q29"/>
    <mergeCell ref="R29:S29"/>
    <mergeCell ref="T29:U29"/>
    <mergeCell ref="H28:I28"/>
    <mergeCell ref="J28:K28"/>
    <mergeCell ref="L28:M28"/>
    <mergeCell ref="T28:U28"/>
    <mergeCell ref="B8:C8"/>
    <mergeCell ref="B12:B13"/>
    <mergeCell ref="C12:C13"/>
    <mergeCell ref="N28:O28"/>
    <mergeCell ref="P28:Q28"/>
    <mergeCell ref="R28:S28"/>
    <mergeCell ref="AD28:AE28"/>
    <mergeCell ref="X29:Y29"/>
    <mergeCell ref="Z29:AA29"/>
    <mergeCell ref="V29:W29"/>
    <mergeCell ref="AB28:AC28"/>
    <mergeCell ref="X28:Y28"/>
    <mergeCell ref="Z28:AA28"/>
    <mergeCell ref="V28:W28"/>
    <mergeCell ref="C29:C30"/>
    <mergeCell ref="H29:I29"/>
    <mergeCell ref="J29:K29"/>
    <mergeCell ref="H30:I30"/>
    <mergeCell ref="J30:K30"/>
    <mergeCell ref="AC2:AE2"/>
    <mergeCell ref="B4:D4"/>
    <mergeCell ref="G4:I4"/>
    <mergeCell ref="J4:L4"/>
    <mergeCell ref="B5:D5"/>
    <mergeCell ref="G5:I5"/>
    <mergeCell ref="J5:L5"/>
    <mergeCell ref="M5:AE5"/>
    <mergeCell ref="AB33:AC33"/>
    <mergeCell ref="R30:S30"/>
    <mergeCell ref="X30:Y30"/>
    <mergeCell ref="P30:Q30"/>
    <mergeCell ref="AD31:AE31"/>
    <mergeCell ref="P33:Q33"/>
    <mergeCell ref="AD32:AE32"/>
    <mergeCell ref="AD33:AE33"/>
    <mergeCell ref="R33:S33"/>
    <mergeCell ref="T33:U33"/>
    <mergeCell ref="V33:W33"/>
    <mergeCell ref="X33:Y33"/>
    <mergeCell ref="Z33:AA33"/>
    <mergeCell ref="AB32:AC32"/>
    <mergeCell ref="Z31:AA31"/>
    <mergeCell ref="AB31:AC31"/>
    <mergeCell ref="AB30:AC30"/>
    <mergeCell ref="AB29:AC29"/>
    <mergeCell ref="AD29:AE29"/>
    <mergeCell ref="AD30:AE30"/>
    <mergeCell ref="Z30:AA30"/>
  </mergeCells>
  <phoneticPr fontId="38" type="noConversion"/>
  <conditionalFormatting sqref="E1 G1:AE1">
    <cfRule type="expression" dxfId="465" priority="722" stopIfTrue="1">
      <formula>IF(OR(E$12&gt;CÁLCULO.NúmeroDeFrentes,ACOMPANHAMENTO="BM"),TRUE,CRONOPLE.ValorDoEvento=0)</formula>
    </cfRule>
  </conditionalFormatting>
  <conditionalFormatting sqref="U4:Y4">
    <cfRule type="expression" dxfId="464" priority="612" stopIfTrue="1">
      <formula>QCI.ExisteManual</formula>
    </cfRule>
  </conditionalFormatting>
  <conditionalFormatting sqref="J28:AE28">
    <cfRule type="expression" dxfId="463" priority="611" stopIfTrue="1">
      <formula>OFFSET(J28,3,-2)=1</formula>
    </cfRule>
  </conditionalFormatting>
  <conditionalFormatting sqref="J29:AE29">
    <cfRule type="expression" dxfId="462" priority="606" stopIfTrue="1">
      <formula>OFFSET(J29,2,-2)=1</formula>
    </cfRule>
  </conditionalFormatting>
  <conditionalFormatting sqref="J30:AE30">
    <cfRule type="expression" dxfId="461" priority="605" stopIfTrue="1">
      <formula>OFFSET(J30,1,-2)=1</formula>
    </cfRule>
  </conditionalFormatting>
  <conditionalFormatting sqref="J31:AE31">
    <cfRule type="expression" dxfId="460" priority="604" stopIfTrue="1">
      <formula>OFFSET(J31,0,-2)=1</formula>
    </cfRule>
  </conditionalFormatting>
  <conditionalFormatting sqref="J32:AE32">
    <cfRule type="expression" dxfId="459" priority="603" stopIfTrue="1">
      <formula>OFFSET(J32,-1,-2)=1</formula>
    </cfRule>
  </conditionalFormatting>
  <conditionalFormatting sqref="B15:C15 E15 G15:AF15">
    <cfRule type="expression" dxfId="458" priority="427">
      <formula>$B$15=0</formula>
    </cfRule>
  </conditionalFormatting>
  <conditionalFormatting sqref="B8:C8">
    <cfRule type="expression" dxfId="457" priority="426">
      <formula>$B$7=""</formula>
    </cfRule>
  </conditionalFormatting>
  <conditionalFormatting sqref="J33:AE33">
    <cfRule type="expression" dxfId="456" priority="425">
      <formula>OFFSET(J33,-2,-2)=1</formula>
    </cfRule>
  </conditionalFormatting>
  <conditionalFormatting sqref="H33:AE33">
    <cfRule type="expression" dxfId="455" priority="424">
      <formula>ROUND(H33,4)&gt;ROUND(H31,4)</formula>
    </cfRule>
  </conditionalFormatting>
  <conditionalFormatting sqref="E16:E24 G16:AE24">
    <cfRule type="expression" dxfId="454" priority="3" stopIfTrue="1">
      <formula>IF(OR(E$12&gt;CÁLCULO.NúmeroDeFrentes,ACOMPANHAMENTO="BM"),TRUE,CRONOPLE.ValorDoEvento=0)</formula>
    </cfRule>
  </conditionalFormatting>
  <conditionalFormatting sqref="E25 G25:AE25">
    <cfRule type="expression" dxfId="453"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5 G16:AE25"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r:id="rId1"/>
  <headerFooter alignWithMargins="0">
    <oddHeader>&amp;L_&amp;C&amp;14I</oddHeader>
    <oddFooter>&amp;LPMv3.13&amp;R&amp;P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73"/>
  <sheetViews>
    <sheetView showGridLines="0" view="pageBreakPreview" zoomScale="85" zoomScaleNormal="100" zoomScaleSheetLayoutView="85" workbookViewId="0">
      <pane xSplit="20" ySplit="13" topLeftCell="U14" activePane="bottomRight" state="frozen"/>
      <selection pane="topRight"/>
      <selection pane="bottomLeft"/>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f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IF($F2=-1,0,IF(N$13&lt;=$M1,IF(ISERROR(MATCH(N$13,OFFSET($M1,1,0,ROW($M$56)-ROW($M1)-1),0)),ROW($M$56)-ROW($M1)-1,MATCH(N$13,OFFSET($M1,1,0,ROW($M$56)-ROW($M1)-1),0)-1),0))</f>
        <v>#REF!</v>
      </c>
      <c r="O1" s="193" t="e">
        <f ca="1">IF($F2=-1,0,IF(O$13&lt;=$M1,IF(ISERROR(MATCH(O$13,OFFSET($M1,1,0,ROW($M$56)-ROW($M1)-1),0)),ROW($M$56)-ROW($M1)-1,MATCH(O$13,OFFSET($M1,1,0,ROW($M$56)-ROW($M1)-1),0)-1),0))</f>
        <v>#REF!</v>
      </c>
      <c r="P1" s="193" t="e">
        <f ca="1">IF($F2=-1,0,IF(P$13&lt;=$M1,IF(ISERROR(MATCH(P$13,OFFSET($M1,1,0,ROW($M$56)-ROW($M1)-1),0)),ROW($M$56)-ROW($M1)-1,MATCH(P$13,OFFSET($M1,1,0,ROW($M$56)-ROW($M1)-1),0)-1),0))</f>
        <v>#REF!</v>
      </c>
      <c r="Q1" s="193" t="e">
        <f ca="1">IF($F2=-1,0,IF(Q$13&lt;=$M1,IF(ISERROR(MATCH(Q$13,OFFSET($M1,1,0,ROW($M$56)-ROW($M1)-1),0)),ROW($M$56)-ROW($M1)-1,MATCH(Q$13,OFFSET($M1,1,0,ROW($M$56)-ROW($M1)-1),0)-1),0))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IF(ISERROR(F1),IF(1+COUNTIF($M$13:OFFSET(M1,-1,0),1)&lt;=MAX(QCI!$D$13:$D$15),1+COUNTIF($M$13:OFFSET(M1,-1,0),1),-1),0)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SUMIF((OFFSET(CÁLCULO!$BC$15:$BU$15,$F1,0,OFFSET(ORÇAMENTO!$D$15,CRONO!$F1,0))),CRONO!E$12,OFFSET(CÁLCULO!$AJ$15:$BB$15,$F1,0,OFFSET(ORÇAMENTO!$D$15,CRONO!$F1,0)))
                +IF(AND($F3&lt;&gt;"",$F3&lt;&gt;0),
                        SUMIF(CÁLCULO!$BC$15:$BU$508,CRONO!E$12,CÁLCULO!$AJ$15:$BB$508)/(ORÇAMENTO!$X$15-_xlfn.SINGLE(CÁLCULO.TotalAdmLocal))*CRONO!$F3,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SUMIF((OFFSET(CÁLCULO!$BC$15:$BU$15,$F1,0,OFFSET(ORÇAMENTO!$D$15,CRONO!$F1,0))),CRONO!U$12,OFFSET(CÁLCULO!$AJ$15:$BB$15,$F1,0,OFFSET(ORÇAMENTO!$D$15,CRONO!$F1,0)))
                +IF(AND($F3&lt;&gt;"",$F3&lt;&gt;0),
                        SUMIF(CÁLCULO!$BC$15:$BU$508,CRONO!U$12,CÁLCULO!$AJ$15:$BB$508)/(ORÇAMENTO!$X$15-_xlfn.SINGLE(CÁLCULO.TotalAdmLocal))*CRONO!$F3,
                        0),
                 U2*$S1),
          SUMIF(OFFSET($S3,1,0,$R1-2),($M1+1)&amp;"$",OFFSET(U3,1,0,$R1-2)))</f>
        <v>#REF!</v>
      </c>
      <c r="V3" s="202" t="e" cm="1">
        <f t="array" aca="1" ref="V3" ca="1">IF($R1=2,
         IF(AND(ACOMPANHAMENTO="PLE",ISNUMBER($F1)),
                SUMIF((OFFSET(CÁLCULO!$BC$15:$BU$15,$F1,0,OFFSET(ORÇAMENTO!$D$15,CRONO!$F1,0))),CRONO!V$12,OFFSET(CÁLCULO!$AJ$15:$BB$15,$F1,0,OFFSET(ORÇAMENTO!$D$15,CRONO!$F1,0)))
                +IF(AND($F3&lt;&gt;"",$F3&lt;&gt;0),
                        SUMIF(CÁLCULO!$BC$15:$BU$508,CRONO!V$12,CÁLCULO!$AJ$15:$BB$508)/(ORÇAMENTO!$X$15-_xlfn.SINGLE(CÁLCULO.TotalAdmLocal))*CRONO!$F3,
                        0),
                 V2*$S1),
          SUMIF(OFFSET($S3,1,0,$R1-2),($M1+1)&amp;"$",OFFSET(V3,1,0,$R1-2)))</f>
        <v>#REF!</v>
      </c>
      <c r="W3" s="202" t="e" cm="1">
        <f t="array" aca="1" ref="W3" ca="1">IF($R1=2,
         IF(AND(ACOMPANHAMENTO="PLE",ISNUMBER($F1)),
                SUMIF((OFFSET(CÁLCULO!$BC$15:$BU$15,$F1,0,OFFSET(ORÇAMENTO!$D$15,CRONO!$F1,0))),CRONO!W$12,OFFSET(CÁLCULO!$AJ$15:$BB$15,$F1,0,OFFSET(ORÇAMENTO!$D$15,CRONO!$F1,0)))
                +IF(AND($F3&lt;&gt;"",$F3&lt;&gt;0),
                        SUMIF(CÁLCULO!$BC$15:$BU$508,CRONO!W$12,CÁLCULO!$AJ$15:$BB$508)/(ORÇAMENTO!$X$15-_xlfn.SINGLE(CÁLCULO.TotalAdmLocal))*CRONO!$F3,
                        0),
                 W2*$S1),
          SUMIF(OFFSET($S3,1,0,$R1-2),($M1+1)&amp;"$",OFFSET(W3,1,0,$R1-2)))</f>
        <v>#REF!</v>
      </c>
      <c r="X3" s="202" t="e" cm="1">
        <f t="array" aca="1" ref="X3" ca="1">IF($R1=2,
         IF(AND(ACOMPANHAMENTO="PLE",ISNUMBER($F1)),
                SUMIF((OFFSET(CÁLCULO!$BC$15:$BU$15,$F1,0,OFFSET(ORÇAMENTO!$D$15,CRONO!$F1,0))),CRONO!X$12,OFFSET(CÁLCULO!$AJ$15:$BB$15,$F1,0,OFFSET(ORÇAMENTO!$D$15,CRONO!$F1,0)))
                +IF(AND($F3&lt;&gt;"",$F3&lt;&gt;0),
                        SUMIF(CÁLCULO!$BC$15:$BU$508,CRONO!X$12,CÁLCULO!$AJ$15:$BB$508)/(ORÇAMENTO!$X$15-_xlfn.SINGLE(CÁLCULO.TotalAdmLocal))*CRONO!$F3,
                        0),
                 X2*$S1),
          SUMIF(OFFSET($S3,1,0,$R1-2),($M1+1)&amp;"$",OFFSET(X3,1,0,$R1-2)))</f>
        <v>#REF!</v>
      </c>
      <c r="Y3" s="202" t="e" cm="1">
        <f t="array" aca="1" ref="Y3" ca="1">IF($R1=2,
         IF(AND(ACOMPANHAMENTO="PLE",ISNUMBER($F1)),
                SUMIF((OFFSET(CÁLCULO!$BC$15:$BU$15,$F1,0,OFFSET(ORÇAMENTO!$D$15,CRONO!$F1,0))),CRONO!Y$12,OFFSET(CÁLCULO!$AJ$15:$BB$15,$F1,0,OFFSET(ORÇAMENTO!$D$15,CRONO!$F1,0)))
                +IF(AND($F3&lt;&gt;"",$F3&lt;&gt;0),
                        SUMIF(CÁLCULO!$BC$15:$BU$508,CRONO!Y$12,CÁLCULO!$AJ$15:$BB$508)/(ORÇAMENTO!$X$15-_xlfn.SINGLE(CÁLCULO.TotalAdmLocal))*CRONO!$F3,
                        0),
                 Y2*$S1),
          SUMIF(OFFSET($S3,1,0,$R1-2),($M1+1)&amp;"$",OFFSET(Y3,1,0,$R1-2)))</f>
        <v>#REF!</v>
      </c>
      <c r="Z3" s="202" t="e" cm="1">
        <f t="array" aca="1" ref="Z3" ca="1">IF($R1=2,
         IF(AND(ACOMPANHAMENTO="PLE",ISNUMBER($F1)),
                SUMIF((OFFSET(CÁLCULO!$BC$15:$BU$15,$F1,0,OFFSET(ORÇAMENTO!$D$15,CRONO!$F1,0))),CRONO!Z$12,OFFSET(CÁLCULO!$AJ$15:$BB$15,$F1,0,OFFSET(ORÇAMENTO!$D$15,CRONO!$F1,0)))
                +IF(AND($F3&lt;&gt;"",$F3&lt;&gt;0),
                        SUMIF(CÁLCULO!$BC$15:$BU$508,CRONO!Z$12,CÁLCULO!$AJ$15:$BB$508)/(ORÇAMENTO!$X$15-_xlfn.SINGLE(CÁLCULO.TotalAdmLocal))*CRONO!$F3,
                        0),
                 Z2*$S1),
          SUMIF(OFFSET($S3,1,0,$R1-2),($M1+1)&amp;"$",OFFSET(Z3,1,0,$R1-2)))</f>
        <v>#REF!</v>
      </c>
      <c r="AA3" s="202" t="e" cm="1">
        <f t="array" aca="1" ref="AA3" ca="1">IF($R1=2,
         IF(AND(ACOMPANHAMENTO="PLE",ISNUMBER($F1)),
                SUMIF((OFFSET(CÁLCULO!$BC$15:$BU$15,$F1,0,OFFSET(ORÇAMENTO!$D$15,CRONO!$F1,0))),CRONO!AA$12,OFFSET(CÁLCULO!$AJ$15:$BB$15,$F1,0,OFFSET(ORÇAMENTO!$D$15,CRONO!$F1,0)))
                +IF(AND($F3&lt;&gt;"",$F3&lt;&gt;0),
                        SUMIF(CÁLCULO!$BC$15:$BU$508,CRONO!AA$12,CÁLCULO!$AJ$15:$BB$508)/(ORÇAMENTO!$X$15-_xlfn.SINGLE(CÁLCULO.TotalAdmLocal))*CRONO!$F3,
                        0),
                 AA2*$S1),
          SUMIF(OFFSET($S3,1,0,$R1-2),($M1+1)&amp;"$",OFFSET(AA3,1,0,$R1-2)))</f>
        <v>#REF!</v>
      </c>
      <c r="AB3" s="202" t="e" cm="1">
        <f t="array" aca="1" ref="AB3" ca="1">IF($R1=2,
         IF(AND(ACOMPANHAMENTO="PLE",ISNUMBER($F1)),
                SUMIF((OFFSET(CÁLCULO!$BC$15:$BU$15,$F1,0,OFFSET(ORÇAMENTO!$D$15,CRONO!$F1,0))),CRONO!AB$12,OFFSET(CÁLCULO!$AJ$15:$BB$15,$F1,0,OFFSET(ORÇAMENTO!$D$15,CRONO!$F1,0)))
                +IF(AND($F3&lt;&gt;"",$F3&lt;&gt;0),
                        SUMIF(CÁLCULO!$BC$15:$BU$508,CRONO!AB$12,CÁLCULO!$AJ$15:$BB$508)/(ORÇAMENTO!$X$15-_xlfn.SINGLE(CÁLCULO.TotalAdmLocal))*CRONO!$F3,
                        0),
                 AB2*$S1),
          SUMIF(OFFSET($S3,1,0,$R1-2),($M1+1)&amp;"$",OFFSET(AB3,1,0,$R1-2)))</f>
        <v>#REF!</v>
      </c>
      <c r="AC3" s="202" t="e" cm="1">
        <f t="array" aca="1" ref="AC3" ca="1">IF($R1=2,
         IF(AND(ACOMPANHAMENTO="PLE",ISNUMBER($F1)),
                SUMIF((OFFSET(CÁLCULO!$BC$15:$BU$15,$F1,0,OFFSET(ORÇAMENTO!$D$15,CRONO!$F1,0))),CRONO!AC$12,OFFSET(CÁLCULO!$AJ$15:$BB$15,$F1,0,OFFSET(ORÇAMENTO!$D$15,CRONO!$F1,0)))
                +IF(AND($F3&lt;&gt;"",$F3&lt;&gt;0),
                        SUMIF(CÁLCULO!$BC$15:$BU$508,CRONO!AC$12,CÁLCULO!$AJ$15:$BB$508)/(ORÇAMENTO!$X$15-_xlfn.SINGLE(CÁLCULO.TotalAdmLocal))*CRONO!$F3,
                        0),
                 AC2*$S1),
          SUMIF(OFFSET($S3,1,0,$R1-2),($M1+1)&amp;"$",OFFSET(AC3,1,0,$R1-2)))</f>
        <v>#REF!</v>
      </c>
      <c r="AD3" s="202" t="e" cm="1">
        <f t="array" aca="1" ref="AD3" ca="1">IF($R1=2,
         IF(AND(ACOMPANHAMENTO="PLE",ISNUMBER($F1)),
                SUMIF((OFFSET(CÁLCULO!$BC$15:$BU$15,$F1,0,OFFSET(ORÇAMENTO!$D$15,CRONO!$F1,0))),CRONO!AD$12,OFFSET(CÁLCULO!$AJ$15:$BB$15,$F1,0,OFFSET(ORÇAMENTO!$D$15,CRONO!$F1,0)))
                +IF(AND($F3&lt;&gt;"",$F3&lt;&gt;0),
                        SUMIF(CÁLCULO!$BC$15:$BU$508,CRONO!AD$12,CÁLCULO!$AJ$15:$BB$508)/(ORÇAMENTO!$X$15-_xlfn.SINGLE(CÁLCULO.TotalAdmLocal))*CRONO!$F3,
                        0),
                 AD2*$S1),
          SUMIF(OFFSET($S3,1,0,$R1-2),($M1+1)&amp;"$",OFFSET(AD3,1,0,$R1-2)))</f>
        <v>#REF!</v>
      </c>
      <c r="AE3" s="202" t="e" cm="1">
        <f t="array" aca="1" ref="AE3" ca="1">IF($R1=2,
         IF(AND(ACOMPANHAMENTO="PLE",ISNUMBER($F1)),
                SUMIF((OFFSET(CÁLCULO!$BC$15:$BU$15,$F1,0,OFFSET(ORÇAMENTO!$D$15,CRONO!$F1,0))),CRONO!AE$12,OFFSET(CÁLCULO!$AJ$15:$BB$15,$F1,0,OFFSET(ORÇAMENTO!$D$15,CRONO!$F1,0)))
                +IF(AND($F3&lt;&gt;"",$F3&lt;&gt;0),
                        SUMIF(CÁLCULO!$BC$15:$BU$508,CRONO!AE$12,CÁLCULO!$AJ$15:$BB$508)/(ORÇAMENTO!$X$15-_xlfn.SINGLE(CÁLCULO.TotalAdmLocal))*CRONO!$F3,
                        0),
                 AE2*$S1),
          SUMIF(OFFSET($S3,1,0,$R1-2),($M1+1)&amp;"$",OFFSET(AE3,1,0,$R1-2)))</f>
        <v>#REF!</v>
      </c>
      <c r="AF3" s="202" t="e" cm="1">
        <f t="array" aca="1" ref="AF3" ca="1">IF($R1=2,
         IF(AND(ACOMPANHAMENTO="PLE",ISNUMBER($F1)),
                SUMIF((OFFSET(CÁLCULO!$BC$15:$BU$15,$F1,0,OFFSET(ORÇAMENTO!$D$15,CRONO!$F1,0))),CRONO!AF$12,OFFSET(CÁLCULO!$AJ$15:$BB$15,$F1,0,OFFSET(ORÇAMENTO!$D$15,CRONO!$F1,0)))
                +IF(AND($F3&lt;&gt;"",$F3&lt;&gt;0),
                        SUMIF(CÁLCULO!$BC$15:$BU$508,CRONO!AF$12,CÁLCULO!$AJ$15:$BB$508)/(ORÇAMENTO!$X$15-_xlfn.SINGLE(CÁLCULO.TotalAdmLocal))*CRONO!$F3,
                        0),
                 AF2*$S1),
          SUMIF(OFFSET($S3,1,0,$R1-2),($M1+1)&amp;"$",OFFSET(AF3,1,0,$R1-2)))</f>
        <v>#REF!</v>
      </c>
      <c r="AG3" s="534"/>
    </row>
    <row r="4" spans="1:33" ht="15" customHeight="1" x14ac:dyDescent="0.25">
      <c r="S4" s="206" t="str">
        <f>IF(TIPOORCAMENTO="licitado","CFF - CRONOGRAMA FÍSICO-FINANCEIRO LICITADO","CFF - CRONOGRAMA FÍSICO-FINANCEIRO")</f>
        <v>CFF - CRONOGRAMA FÍSICO-FINANCEIRO</v>
      </c>
      <c r="AE4" s="699" t="s">
        <v>644</v>
      </c>
      <c r="AF4" s="699"/>
    </row>
    <row r="5" spans="1:33" ht="15" x14ac:dyDescent="0.2">
      <c r="S5" s="83" t="str">
        <f>import.recurso</f>
        <v>OGU</v>
      </c>
      <c r="AE5" s="700" t="s">
        <v>647</v>
      </c>
      <c r="AF5" s="700"/>
    </row>
    <row r="6" spans="1:33" ht="12.75" customHeight="1" x14ac:dyDescent="0.2"/>
    <row r="7" spans="1:33" ht="12.75" customHeight="1" x14ac:dyDescent="0.2">
      <c r="F7" s="207"/>
      <c r="H7" s="765" t="s">
        <v>786</v>
      </c>
      <c r="I7" s="208" t="s">
        <v>650</v>
      </c>
      <c r="J7" s="209"/>
      <c r="K7" s="210" t="s">
        <v>787</v>
      </c>
      <c r="L7" s="211" t="s">
        <v>788</v>
      </c>
      <c r="M7" s="186"/>
      <c r="N7" s="186"/>
      <c r="O7" s="186"/>
      <c r="T7" s="212"/>
      <c r="U7" s="208" t="s">
        <v>758</v>
      </c>
      <c r="Y7" s="209"/>
      <c r="Z7" s="208" t="str">
        <f>IF(TIPOORCAMENTO="Licitado","NOME DA EMPRESA","DESCRIÇÃO DO LOTE")</f>
        <v>DESCRIÇÃO DO LOTE</v>
      </c>
      <c r="AF7" s="213" t="str">
        <f>IF(TIPOORCAMENTO="Licitado","Nº CTEF","")</f>
        <v/>
      </c>
    </row>
    <row r="8" spans="1:33" x14ac:dyDescent="0.2">
      <c r="A8" s="186" t="s">
        <v>975</v>
      </c>
      <c r="E8" s="185"/>
      <c r="F8" s="114"/>
      <c r="G8" s="688" t="s">
        <v>655</v>
      </c>
      <c r="H8" s="765"/>
      <c r="I8" s="764" t="str">
        <f>Import.CR</f>
        <v>1098284-30/2024</v>
      </c>
      <c r="J8" s="764"/>
      <c r="K8" s="214" t="str">
        <f>Import.TransfereGOV</f>
        <v>968559/2024</v>
      </c>
      <c r="L8" s="774" t="str">
        <f>Import.Proponente</f>
        <v>Prefeitura Municipal</v>
      </c>
      <c r="M8" s="774"/>
      <c r="N8" s="774"/>
      <c r="O8" s="774"/>
      <c r="P8" s="774"/>
      <c r="Q8" s="774"/>
      <c r="R8" s="774"/>
      <c r="S8" s="774"/>
      <c r="T8" s="774"/>
      <c r="U8" s="764" t="str">
        <f>Import.Apelido</f>
        <v>ETE - BREJO ALEGRE - FASE II</v>
      </c>
      <c r="V8" s="764"/>
      <c r="W8" s="764"/>
      <c r="X8" s="764"/>
      <c r="Y8" s="764"/>
      <c r="Z8" s="766" t="str">
        <f>IF(TIPOORCAMENTO="Licitado",Import.empresa,Import.DescLote)</f>
        <v>ETE - BREJO ALEGRE - FASE II</v>
      </c>
      <c r="AA8" s="766"/>
      <c r="AB8" s="766"/>
      <c r="AC8" s="766"/>
      <c r="AD8" s="766"/>
      <c r="AE8" s="766"/>
      <c r="AF8" s="203" t="str">
        <f>IF(TIPOORCAMENTO="Licitado",Import.CTEF,"")</f>
        <v/>
      </c>
    </row>
    <row r="9" spans="1:33" x14ac:dyDescent="0.2">
      <c r="A9" s="644">
        <v>2</v>
      </c>
      <c r="F9" s="114"/>
      <c r="G9" s="688"/>
      <c r="H9" s="765"/>
    </row>
    <row r="10" spans="1:33" x14ac:dyDescent="0.2">
      <c r="A10" s="645">
        <v>3</v>
      </c>
      <c r="F10" s="185" cm="1">
        <f t="array" aca="1" ref="F10" ca="1">CRONO.LinhasNecessarias</f>
        <v>11</v>
      </c>
      <c r="G10" s="688"/>
      <c r="H10" s="215">
        <v>2</v>
      </c>
      <c r="K10" s="775" t="str" cm="1">
        <f t="array" aca="1" ref="K10" ca="1">IF(MAX($B$13:$B$56)&lt;CRONO.LinhasNecessarias,"ERRO: NÚMERO DE LINHAS DO CRONOGRAMA INSUFICIENTE. CLIQUE EM ATUALIZAR LINHAS.",IF(AND(ACOMPANHAMENTO="PLE",ROUND(OFFSET($AG$66,0,-1),2)=0),"CRONOGRAMA DEVE SER PREENCHIDO POR EVENTOS",IF(ROUND(OFFSET($AG$66,0,-1),2)&lt;&gt;$R$57,"ERRO: CRONOGRAMA NÃO FECHA 100%","")))</f>
        <v/>
      </c>
      <c r="L10" s="775"/>
      <c r="M10" s="775"/>
      <c r="N10" s="775"/>
      <c r="O10" s="775"/>
      <c r="P10" s="775"/>
      <c r="Q10" s="775"/>
      <c r="R10" s="775"/>
      <c r="S10" s="775"/>
      <c r="T10" s="775"/>
    </row>
    <row r="11" spans="1:33" ht="12.75" customHeight="1" x14ac:dyDescent="0.2">
      <c r="A11" s="646">
        <v>4</v>
      </c>
      <c r="F11" s="185" cm="1">
        <f t="array" aca="1" ref="F11" ca="1">CRONO.ParcelaFinal</f>
        <v>10</v>
      </c>
      <c r="G11" s="688"/>
      <c r="I11" s="216"/>
      <c r="J11" s="216"/>
      <c r="K11" s="775"/>
      <c r="L11" s="775"/>
      <c r="M11" s="775"/>
      <c r="N11" s="775"/>
      <c r="O11" s="775"/>
      <c r="P11" s="775"/>
      <c r="Q11" s="775"/>
      <c r="R11" s="775"/>
      <c r="S11" s="775"/>
      <c r="T11" s="775"/>
    </row>
    <row r="12" spans="1:33" ht="12.75" customHeight="1" x14ac:dyDescent="0.2">
      <c r="A12" s="186" t="s">
        <v>789</v>
      </c>
      <c r="E12" s="217">
        <f ca="1">OFFSET(E12,0,-1)+1</f>
        <v>1</v>
      </c>
      <c r="G12" s="106" t="s">
        <v>660</v>
      </c>
      <c r="H12" s="767" t="s">
        <v>790</v>
      </c>
      <c r="I12" s="768" t="s">
        <v>735</v>
      </c>
      <c r="J12" s="769" t="s">
        <v>118</v>
      </c>
      <c r="K12" s="218"/>
      <c r="L12" s="218"/>
      <c r="M12" s="219"/>
      <c r="N12" s="219"/>
      <c r="O12" s="219"/>
      <c r="P12" s="219"/>
      <c r="Q12" s="219"/>
      <c r="R12" s="219"/>
      <c r="S12" s="772" t="s">
        <v>791</v>
      </c>
      <c r="T12" s="77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7"/>
      <c r="I13" s="768"/>
      <c r="J13" s="769"/>
      <c r="K13" s="223"/>
      <c r="L13" s="223"/>
      <c r="M13" s="224" t="s">
        <v>733</v>
      </c>
      <c r="N13" s="224">
        <v>1</v>
      </c>
      <c r="O13" s="224">
        <v>2</v>
      </c>
      <c r="P13" s="224">
        <v>3</v>
      </c>
      <c r="Q13" s="224">
        <v>4</v>
      </c>
      <c r="R13" s="225" t="s">
        <v>796</v>
      </c>
      <c r="S13" s="772"/>
      <c r="T13" s="773"/>
      <c r="U13" s="226">
        <v>46023</v>
      </c>
      <c r="V13" s="222">
        <f ca="1">OFFSET(V13,0,-1)+41-DAY(OFFSET(V13,0,-1)+40)</f>
        <v>46054</v>
      </c>
      <c r="W13" s="222">
        <f ca="1">OFFSET(W13,0,-1)+41-DAY(OFFSET(W13,0,-1)+40)</f>
        <v>46082</v>
      </c>
      <c r="X13" s="222">
        <f t="shared" ref="X13:AF13" ca="1" si="1">OFFSET(X13,0,-1)+41-DAY(OFFSET(X13,0,-1)+40)</f>
        <v>46113</v>
      </c>
      <c r="Y13" s="222">
        <f t="shared" ca="1" si="1"/>
        <v>46143</v>
      </c>
      <c r="Z13" s="222">
        <f t="shared" ca="1" si="1"/>
        <v>46174</v>
      </c>
      <c r="AA13" s="222">
        <f t="shared" ca="1" si="1"/>
        <v>46204</v>
      </c>
      <c r="AB13" s="222">
        <f t="shared" ca="1" si="1"/>
        <v>46235</v>
      </c>
      <c r="AC13" s="222">
        <f t="shared" ca="1" si="1"/>
        <v>46266</v>
      </c>
      <c r="AD13" s="222">
        <f t="shared" ca="1" si="1"/>
        <v>46296</v>
      </c>
      <c r="AE13" s="222">
        <f t="shared" ca="1" si="1"/>
        <v>46327</v>
      </c>
      <c r="AF13" s="538">
        <f t="shared" ca="1" si="1"/>
        <v>46357</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f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ETE - BREJO ALEGRE - FASE II</v>
      </c>
      <c r="K14" s="191"/>
      <c r="L14" s="191"/>
      <c r="M14" s="192">
        <f ca="1">IF($F15=0,OFFSET(ORÇAMENTO!C$15,$F14,0),1)</f>
        <v>1</v>
      </c>
      <c r="N14" s="193">
        <f ca="1">IF($F15=-1,0,IF(N$13&lt;=$M14,IF(ISERROR(MATCH(N$13,OFFSET($M14,1,0,ROW($M$56)-ROW($M14)-1),0)),ROW($M$56)-ROW($M14)-1,MATCH(N$13,OFFSET($M14,1,0,ROW($M$56)-ROW($M14)-1),0)-1),0))</f>
        <v>32</v>
      </c>
      <c r="O14" s="193">
        <f ca="1">IF($F15=-1,0,IF(O$13&lt;=$M14,IF(ISERROR(MATCH(O$13,OFFSET($M14,1,0,ROW($M$56)-ROW($M14)-1),0)),ROW($M$56)-ROW($M14)-1,MATCH(O$13,OFFSET($M14,1,0,ROW($M$56)-ROW($M14)-1),0)-1),0))</f>
        <v>0</v>
      </c>
      <c r="P14" s="193">
        <f ca="1">IF($F15=-1,0,IF(P$13&lt;=$M14,IF(ISERROR(MATCH(P$13,OFFSET($M14,1,0,ROW($M$56)-ROW($M14)-1),0)),ROW($M$56)-ROW($M14)-1,MATCH(P$13,OFFSET($M14,1,0,ROW($M$56)-ROW($M14)-1),0)-1),0))</f>
        <v>0</v>
      </c>
      <c r="Q14" s="193">
        <f ca="1">IF($F15=-1,0,IF(Q$13&lt;=$M14,IF(ISERROR(MATCH(Q$13,OFFSET($M14,1,0,ROW($M$56)-ROW($M14)-1),0)),ROW($M$56)-ROW($M14)-1,MATCH(Q$13,OFFSET($M14,1,0,ROW($M$56)-ROW($M14)-1),0)-1),0))</f>
        <v>0</v>
      </c>
      <c r="R14" s="193">
        <f t="shared" ref="R14" ca="1" si="5">MIN(OFFSET(M14,0,1,,M14))</f>
        <v>32</v>
      </c>
      <c r="S14" s="194">
        <f ca="1">IF($F15=0,OFFSET(ORÇAMENTO!X$15,$F14,0),IF($F15&lt;&gt;-1,OFFSET(QCI!$O$13,$F15,0),""))</f>
        <v>8302970.1299999999</v>
      </c>
      <c r="T14" s="195" t="s">
        <v>785</v>
      </c>
      <c r="U14" s="188" cm="1">
        <f t="array" aca="1" ref="U14" ca="1">IF(AND($R14=2,ACOMPANHAMENTO="BM"),ROUND(U15,4),U16/$S14)</f>
        <v>6.2579621279572159E-2</v>
      </c>
      <c r="V14" s="188" cm="1">
        <f t="array" aca="1" ref="V14" ca="1">IF(AND($R14=2,ACOMPANHAMENTO="BM"),ROUND(V15,4),V16/$S14)</f>
        <v>3.5412121382279386E-2</v>
      </c>
      <c r="W14" s="188" cm="1">
        <f t="array" aca="1" ref="W14" ca="1">IF(AND($R14=2,ACOMPANHAMENTO="BM"),ROUND(W15,4),W16/$S14)</f>
        <v>0.21472174617711171</v>
      </c>
      <c r="X14" s="188" cm="1">
        <f t="array" aca="1" ref="X14" ca="1">IF(AND($R14=2,ACOMPANHAMENTO="BM"),ROUND(X15,4),X16/$S14)</f>
        <v>0.15837912974221433</v>
      </c>
      <c r="Y14" s="188" cm="1">
        <f t="array" aca="1" ref="Y14" ca="1">IF(AND($R14=2,ACOMPANHAMENTO="BM"),ROUND(Y15,4),Y16/$S14)</f>
        <v>9.2013169324746208E-2</v>
      </c>
      <c r="Z14" s="188" cm="1">
        <f t="array" aca="1" ref="Z14" ca="1">IF(AND($R14=2,ACOMPANHAMENTO="BM"),ROUND(Z15,4),Z16/$S14)</f>
        <v>0.2824673527516352</v>
      </c>
      <c r="AA14" s="188" cm="1">
        <f t="array" aca="1" ref="AA14" ca="1">IF(AND($R14=2,ACOMPANHAMENTO="BM"),ROUND(AA15,4),AA16/$S14)</f>
        <v>2.7409570291565051E-2</v>
      </c>
      <c r="AB14" s="188" cm="1">
        <f t="array" aca="1" ref="AB14" ca="1">IF(AND($R14=2,ACOMPANHAMENTO="BM"),ROUND(AB15,4),AB16/$S14)</f>
        <v>8.3906777349565156E-2</v>
      </c>
      <c r="AC14" s="188" cm="1">
        <f t="array" aca="1" ref="AC14" ca="1">IF(AND($R14=2,ACOMPANHAMENTO="BM"),ROUND(AC15,4),AC16/$S14)</f>
        <v>2.6514869870789236E-2</v>
      </c>
      <c r="AD14" s="188" cm="1">
        <f t="array" aca="1" ref="AD14" ca="1">IF(AND($R14=2,ACOMPANHAMENTO="BM"),ROUND(AD15,4),AD16/$S14)</f>
        <v>1.6595641830521677E-2</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IF(ISERROR(F14),IF(1+COUNTIF($M$13:OFFSET(M14,-1,0),1)&lt;=MAX(QCI!$D$13:$D$15),1+COUNTIF($M$13:OFFSET(M14,-1,0),1),-1),0)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SUMIF((OFFSET(CÁLCULO!$BC$15:$BU$15,$F14,0,OFFSET(ORÇAMENTO!$D$15,CRONO!$F14,0))),CRONO!E$12,OFFSET(CÁLCULO!$AJ$15:$BB$15,$F14,0,OFFSET(ORÇAMENTO!$D$15,CRONO!$F14,0)))
                +IF(AND($F16&lt;&gt;"",$F16&lt;&gt;0),
                        SUMIF(CÁLCULO!$BC$15:$BU$508,CRONO!E$12,CÁLCULO!$AJ$15:$BB$508)/(ORÇAMENTO!$X$15-_xlfn.SINGLE(CÁLCULO.TotalAdmLocal))*CRONO!$F16,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SUMIF((OFFSET(CÁLCULO!$BC$15:$BU$15,$F14,0,OFFSET(ORÇAMENTO!$D$15,CRONO!$F14,0))),CRONO!U$12,OFFSET(CÁLCULO!$AJ$15:$BB$15,$F14,0,OFFSET(ORÇAMENTO!$D$15,CRONO!$F14,0)))
                +IF(AND($F16&lt;&gt;"",$F16&lt;&gt;0),
                        SUMIF(CÁLCULO!$BC$15:$BU$508,CRONO!U$12,CÁLCULO!$AJ$15:$BB$508)/(ORÇAMENTO!$X$15-_xlfn.SINGLE(CÁLCULO.TotalAdmLocal))*CRONO!$F16,
                        0),
                 U15*$S14),
          SUMIF(OFFSET($S16,1,0,$R14-2),($M14+1)&amp;"$",OFFSET(U16,1,0,$R14-2)))</f>
        <v>519596.72623099998</v>
      </c>
      <c r="V16" s="202" cm="1">
        <f t="array" aca="1" ref="V16" ca="1">IF($R14=2,
         IF(AND(ACOMPANHAMENTO="PLE",ISNUMBER($F14)),
                SUMIF((OFFSET(CÁLCULO!$BC$15:$BU$15,$F14,0,OFFSET(ORÇAMENTO!$D$15,CRONO!$F14,0))),CRONO!V$12,OFFSET(CÁLCULO!$AJ$15:$BB$15,$F14,0,OFFSET(ORÇAMENTO!$D$15,CRONO!$F14,0)))
                +IF(AND($F16&lt;&gt;"",$F16&lt;&gt;0),
                        SUMIF(CÁLCULO!$BC$15:$BU$508,CRONO!V$12,CÁLCULO!$AJ$15:$BB$508)/(ORÇAMENTO!$X$15-_xlfn.SINGLE(CÁLCULO.TotalAdmLocal))*CRONO!$F16,
                        0),
                 V15*$S14),
          SUMIF(OFFSET($S16,1,0,$R14-2),($M14+1)&amp;"$",OFFSET(V16,1,0,$R14-2)))</f>
        <v>294025.78607700003</v>
      </c>
      <c r="W16" s="202" cm="1">
        <f t="array" aca="1" ref="W16" ca="1">IF($R14=2,
         IF(AND(ACOMPANHAMENTO="PLE",ISNUMBER($F14)),
                SUMIF((OFFSET(CÁLCULO!$BC$15:$BU$15,$F14,0,OFFSET(ORÇAMENTO!$D$15,CRONO!$F14,0))),CRONO!W$12,OFFSET(CÁLCULO!$AJ$15:$BB$15,$F14,0,OFFSET(ORÇAMENTO!$D$15,CRONO!$F14,0)))
                +IF(AND($F16&lt;&gt;"",$F16&lt;&gt;0),
                        SUMIF(CÁLCULO!$BC$15:$BU$508,CRONO!W$12,CÁLCULO!$AJ$15:$BB$508)/(ORÇAMENTO!$X$15-_xlfn.SINGLE(CÁLCULO.TotalAdmLocal))*CRONO!$F16,
                        0),
                 W15*$S14),
          SUMIF(OFFSET($S16,1,0,$R14-2),($M14+1)&amp;"$",OFFSET(W16,1,0,$R14-2)))</f>
        <v>1782828.2447700002</v>
      </c>
      <c r="X16" s="202" cm="1">
        <f t="array" aca="1" ref="X16" ca="1">IF($R14=2,
         IF(AND(ACOMPANHAMENTO="PLE",ISNUMBER($F14)),
                SUMIF((OFFSET(CÁLCULO!$BC$15:$BU$15,$F14,0,OFFSET(ORÇAMENTO!$D$15,CRONO!$F14,0))),CRONO!X$12,OFFSET(CÁLCULO!$AJ$15:$BB$15,$F14,0,OFFSET(ORÇAMENTO!$D$15,CRONO!$F14,0)))
                +IF(AND($F16&lt;&gt;"",$F16&lt;&gt;0),
                        SUMIF(CÁLCULO!$BC$15:$BU$508,CRONO!X$12,CÁLCULO!$AJ$15:$BB$508)/(ORÇAMENTO!$X$15-_xlfn.SINGLE(CÁLCULO.TotalAdmLocal))*CRONO!$F16,
                        0),
                 X15*$S14),
          SUMIF(OFFSET($S16,1,0,$R14-2),($M14+1)&amp;"$",OFFSET(X16,1,0,$R14-2)))</f>
        <v>1315017.183465</v>
      </c>
      <c r="Y16" s="202" cm="1">
        <f t="array" aca="1" ref="Y16" ca="1">IF($R14=2,
         IF(AND(ACOMPANHAMENTO="PLE",ISNUMBER($F14)),
                SUMIF((OFFSET(CÁLCULO!$BC$15:$BU$15,$F14,0,OFFSET(ORÇAMENTO!$D$15,CRONO!$F14,0))),CRONO!Y$12,OFFSET(CÁLCULO!$AJ$15:$BB$15,$F14,0,OFFSET(ORÇAMENTO!$D$15,CRONO!$F14,0)))
                +IF(AND($F16&lt;&gt;"",$F16&lt;&gt;0),
                        SUMIF(CÁLCULO!$BC$15:$BU$508,CRONO!Y$12,CÁLCULO!$AJ$15:$BB$508)/(ORÇAMENTO!$X$15-_xlfn.SINGLE(CÁLCULO.TotalAdmLocal))*CRONO!$F16,
                        0),
                 Y15*$S14),
          SUMIF(OFFSET($S16,1,0,$R14-2),($M14+1)&amp;"$",OFFSET(Y16,1,0,$R14-2)))</f>
        <v>763982.59646999999</v>
      </c>
      <c r="Z16" s="202" cm="1">
        <f t="array" aca="1" ref="Z16" ca="1">IF($R14=2,
         IF(AND(ACOMPANHAMENTO="PLE",ISNUMBER($F14)),
                SUMIF((OFFSET(CÁLCULO!$BC$15:$BU$15,$F14,0,OFFSET(ORÇAMENTO!$D$15,CRONO!$F14,0))),CRONO!Z$12,OFFSET(CÁLCULO!$AJ$15:$BB$15,$F14,0,OFFSET(ORÇAMENTO!$D$15,CRONO!$F14,0)))
                +IF(AND($F16&lt;&gt;"",$F16&lt;&gt;0),
                        SUMIF(CÁLCULO!$BC$15:$BU$508,CRONO!Z$12,CÁLCULO!$AJ$15:$BB$508)/(ORÇAMENTO!$X$15-_xlfn.SINGLE(CÁLCULO.TotalAdmLocal))*CRONO!$F16,
                        0),
                 Z15*$S14),
          SUMIF(OFFSET($S16,1,0,$R14-2),($M14+1)&amp;"$",OFFSET(Z16,1,0,$R14-2)))</f>
        <v>2345317.9925970002</v>
      </c>
      <c r="AA16" s="202" cm="1">
        <f t="array" aca="1" ref="AA16" ca="1">IF($R14=2,
         IF(AND(ACOMPANHAMENTO="PLE",ISNUMBER($F14)),
                SUMIF((OFFSET(CÁLCULO!$BC$15:$BU$15,$F14,0,OFFSET(ORÇAMENTO!$D$15,CRONO!$F14,0))),CRONO!AA$12,OFFSET(CÁLCULO!$AJ$15:$BB$15,$F14,0,OFFSET(ORÇAMENTO!$D$15,CRONO!$F14,0)))
                +IF(AND($F16&lt;&gt;"",$F16&lt;&gt;0),
                        SUMIF(CÁLCULO!$BC$15:$BU$508,CRONO!AA$12,CÁLCULO!$AJ$15:$BB$508)/(ORÇAMENTO!$X$15-_xlfn.SINGLE(CÁLCULO.TotalAdmLocal))*CRONO!$F16,
                        0),
                 AA15*$S14),
          SUMIF(OFFSET($S16,1,0,$R14-2),($M14+1)&amp;"$",OFFSET(AA16,1,0,$R14-2)))</f>
        <v>227580.84340700001</v>
      </c>
      <c r="AB16" s="202" cm="1">
        <f t="array" aca="1" ref="AB16" ca="1">IF($R14=2,
         IF(AND(ACOMPANHAMENTO="PLE",ISNUMBER($F14)),
                SUMIF((OFFSET(CÁLCULO!$BC$15:$BU$15,$F14,0,OFFSET(ORÇAMENTO!$D$15,CRONO!$F14,0))),CRONO!AB$12,OFFSET(CÁLCULO!$AJ$15:$BB$15,$F14,0,OFFSET(ORÇAMENTO!$D$15,CRONO!$F14,0)))
                +IF(AND($F16&lt;&gt;"",$F16&lt;&gt;0),
                        SUMIF(CÁLCULO!$BC$15:$BU$508,CRONO!AB$12,CÁLCULO!$AJ$15:$BB$508)/(ORÇAMENTO!$X$15-_xlfn.SINGLE(CÁLCULO.TotalAdmLocal))*CRONO!$F16,
                        0),
                 AB15*$S14),
          SUMIF(OFFSET($S16,1,0,$R14-2),($M14+1)&amp;"$",OFFSET(AB16,1,0,$R14-2)))</f>
        <v>696675.46603800007</v>
      </c>
      <c r="AC16" s="202" cm="1">
        <f t="array" aca="1" ref="AC16" ca="1">IF($R14=2,
         IF(AND(ACOMPANHAMENTO="PLE",ISNUMBER($F14)),
                SUMIF((OFFSET(CÁLCULO!$BC$15:$BU$15,$F14,0,OFFSET(ORÇAMENTO!$D$15,CRONO!$F14,0))),CRONO!AC$12,OFFSET(CÁLCULO!$AJ$15:$BB$15,$F14,0,OFFSET(ORÇAMENTO!$D$15,CRONO!$F14,0)))
                +IF(AND($F16&lt;&gt;"",$F16&lt;&gt;0),
                        SUMIF(CÁLCULO!$BC$15:$BU$508,CRONO!AC$12,CÁLCULO!$AJ$15:$BB$508)/(ORÇAMENTO!$X$15-_xlfn.SINGLE(CÁLCULO.TotalAdmLocal))*CRONO!$F16,
                        0),
                 AC15*$S14),
          SUMIF(OFFSET($S16,1,0,$R14-2),($M14+1)&amp;"$",OFFSET(AC16,1,0,$R14-2)))</f>
        <v>220152.17253799998</v>
      </c>
      <c r="AD16" s="202" cm="1">
        <f t="array" aca="1" ref="AD16" ca="1">IF($R14=2,
         IF(AND(ACOMPANHAMENTO="PLE",ISNUMBER($F14)),
                SUMIF((OFFSET(CÁLCULO!$BC$15:$BU$15,$F14,0,OFFSET(ORÇAMENTO!$D$15,CRONO!$F14,0))),CRONO!AD$12,OFFSET(CÁLCULO!$AJ$15:$BB$15,$F14,0,OFFSET(ORÇAMENTO!$D$15,CRONO!$F14,0)))
                +IF(AND($F16&lt;&gt;"",$F16&lt;&gt;0),
                        SUMIF(CÁLCULO!$BC$15:$BU$508,CRONO!AD$12,CÁLCULO!$AJ$15:$BB$508)/(ORÇAMENTO!$X$15-_xlfn.SINGLE(CÁLCULO.TotalAdmLocal))*CRONO!$F16,
                        0),
                 AD15*$S14),
          SUMIF(OFFSET($S16,1,0,$R14-2),($M14+1)&amp;"$",OFFSET(AD16,1,0,$R14-2)))</f>
        <v>137793.118407</v>
      </c>
      <c r="AE16" s="202" cm="1">
        <f t="array" aca="1" ref="AE16" ca="1">IF($R14=2,
         IF(AND(ACOMPANHAMENTO="PLE",ISNUMBER($F14)),
                SUMIF((OFFSET(CÁLCULO!$BC$15:$BU$15,$F14,0,OFFSET(ORÇAMENTO!$D$15,CRONO!$F14,0))),CRONO!AE$12,OFFSET(CÁLCULO!$AJ$15:$BB$15,$F14,0,OFFSET(ORÇAMENTO!$D$15,CRONO!$F14,0)))
                +IF(AND($F16&lt;&gt;"",$F16&lt;&gt;0),
                        SUMIF(CÁLCULO!$BC$15:$BU$508,CRONO!AE$12,CÁLCULO!$AJ$15:$BB$508)/(ORÇAMENTO!$X$15-_xlfn.SINGLE(CÁLCULO.TotalAdmLocal))*CRONO!$F16,
                        0),
                 AE15*$S14),
          SUMIF(OFFSET($S16,1,0,$R14-2),($M14+1)&amp;"$",OFFSET(AE16,1,0,$R14-2)))</f>
        <v>0</v>
      </c>
      <c r="AF16" s="202" cm="1">
        <f t="array" aca="1" ref="AF16" ca="1">IF($R14=2,
         IF(AND(ACOMPANHAMENTO="PLE",ISNUMBER($F14)),
                SUMIF((OFFSET(CÁLCULO!$BC$15:$BU$15,$F14,0,OFFSET(ORÇAMENTO!$D$15,CRONO!$F14,0))),CRONO!AF$12,OFFSET(CÁLCULO!$AJ$15:$BB$15,$F14,0,OFFSET(ORÇAMENTO!$D$15,CRONO!$F14,0)))
                +IF(AND($F16&lt;&gt;"",$F16&lt;&gt;0),
                        SUMIF(CÁLCULO!$BC$15:$BU$508,CRONO!AF$12,CÁLCULO!$AJ$15:$BB$508)/(ORÇAMENTO!$X$15-_xlfn.SINGLE(CÁLCULO.TotalAdmLocal))*CRONO!$F16,
                        0),
                 AF15*$S14),
          SUMIF(OFFSET($S16,1,0,$R14-2),($M14+1)&amp;"$",OFFSET(AF16,1,0,$R14-2)))</f>
        <v>0</v>
      </c>
      <c r="AG16" s="534"/>
    </row>
    <row r="17" spans="1:33" x14ac:dyDescent="0.2">
      <c r="A17" s="186" t="str">
        <f t="shared" ref="A17" ca="1" si="8">IF($M17&gt;1,_xlfn.CONCAT($I17," ",$J17),"")</f>
        <v>1.1. MOBILIZAÇÃO E DESMOBILIZAÇÃO</v>
      </c>
      <c r="B17" s="185">
        <f t="shared" ref="B17" ca="1" si="9">OFFSET(B17,-3,0)+1</f>
        <v>2</v>
      </c>
      <c r="C17" s="185">
        <f ca="1">IF($R17&lt;&gt;2,0,IF($S17=0,1,IF(F18&gt;0,OFFSET(QCI!$M$13,SUBSTITUTE(F18,".",""),0),OFFSET(ORÇAMENTO!$AA$15,CRONO!$F17,0))/$S17))</f>
        <v>0</v>
      </c>
      <c r="D17" s="185">
        <f ca="1">IF($R17&lt;&gt;2,0,IF($S17=0,1,IF(F18&gt;0,OFFSET(QCI!$N$13,SUBSTITUTE(F18,".",""),0),OFFSET(ORÇAMENTO!$AB$15,CRONO!$F17,0))/$S17))</f>
        <v>0</v>
      </c>
      <c r="E17" s="188" cm="1">
        <f t="array" aca="1" ref="E17" ca="1">IF(AND($R17=2,ACOMPANHAMENTO="BM"),ROUND(E18,4),E19/$S17)</f>
        <v>0</v>
      </c>
      <c r="F17" s="185">
        <f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MOBILIZAÇÃO E DESMOBILIZAÇÃO</v>
      </c>
      <c r="K17" s="191"/>
      <c r="L17" s="191"/>
      <c r="M17" s="192">
        <f ca="1">IF($F18=0,OFFSET(ORÇAMENTO!C$15,$F17,0),1)</f>
        <v>2</v>
      </c>
      <c r="N17" s="193">
        <f ca="1">IF($F18=-1,0,IF(N$13&lt;=$M17,IF(ISERROR(MATCH(N$13,OFFSET($M17,1,0,ROW($M$56)-ROW($M17)-1),0)),ROW($M$56)-ROW($M17)-1,MATCH(N$13,OFFSET($M17,1,0,ROW($M$56)-ROW($M17)-1),0)-1),0))</f>
        <v>29</v>
      </c>
      <c r="O17" s="193">
        <f ca="1">IF($F18=-1,0,IF(O$13&lt;=$M17,IF(ISERROR(MATCH(O$13,OFFSET($M17,1,0,ROW($M$56)-ROW($M17)-1),0)),ROW($M$56)-ROW($M17)-1,MATCH(O$13,OFFSET($M17,1,0,ROW($M$56)-ROW($M17)-1),0)-1),0))</f>
        <v>2</v>
      </c>
      <c r="P17" s="193">
        <f ca="1">IF($F18=-1,0,IF(P$13&lt;=$M17,IF(ISERROR(MATCH(P$13,OFFSET($M17,1,0,ROW($M$56)-ROW($M17)-1),0)),ROW($M$56)-ROW($M17)-1,MATCH(P$13,OFFSET($M17,1,0,ROW($M$56)-ROW($M17)-1),0)-1),0))</f>
        <v>0</v>
      </c>
      <c r="Q17" s="193">
        <f ca="1">IF($F18=-1,0,IF(Q$13&lt;=$M17,IF(ISERROR(MATCH(Q$13,OFFSET($M17,1,0,ROW($M$56)-ROW($M17)-1),0)),ROW($M$56)-ROW($M17)-1,MATCH(Q$13,OFFSET($M17,1,0,ROW($M$56)-ROW($M17)-1),0)-1),0))</f>
        <v>0</v>
      </c>
      <c r="R17" s="193">
        <f t="shared" ref="R17" ca="1" si="11">MIN(OFFSET(M17,0,1,,M17))</f>
        <v>2</v>
      </c>
      <c r="S17" s="194">
        <f ca="1">IF($F18=0,OFFSET(ORÇAMENTO!X$15,$F17,0),IF($F18&lt;&gt;-1,OFFSET(QCI!$O$13,$F18,0),""))</f>
        <v>9287.2900000000009</v>
      </c>
      <c r="T17" s="195" t="s">
        <v>785</v>
      </c>
      <c r="U17" s="188" cm="1">
        <f t="array" aca="1" ref="U17" ca="1">IF(AND($R17=2,ACOMPANHAMENTO="BM"),ROUND(U18,4),U19/$S17)</f>
        <v>0.5</v>
      </c>
      <c r="V17" s="188" cm="1">
        <f t="array" aca="1" ref="V17" ca="1">IF(AND($R17=2,ACOMPANHAMENTO="BM"),ROUND(V18,4),V19/$S17)</f>
        <v>0</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0.5</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IF(ISERROR(F17),IF(1+COUNTIF($M$13:OFFSET(M17,-1,0),1)&lt;=MAX(QCI!$D$13:$D$15),1+COUNTIF($M$13:OFFSET(M17,-1,0),1),-1),0)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0.5</v>
      </c>
      <c r="V18" s="587"/>
      <c r="W18" s="587"/>
      <c r="X18" s="587"/>
      <c r="Y18" s="587"/>
      <c r="Z18" s="587"/>
      <c r="AA18" s="587"/>
      <c r="AB18" s="587"/>
      <c r="AC18" s="587"/>
      <c r="AD18" s="587">
        <v>0.5</v>
      </c>
      <c r="AE18" s="587"/>
      <c r="AF18" s="587"/>
      <c r="AG18" s="534"/>
    </row>
    <row r="19" spans="1:33" ht="12.75" hidden="1" customHeight="1" x14ac:dyDescent="0.2">
      <c r="D19" s="533"/>
      <c r="E19" s="202" cm="1">
        <f t="array" aca="1" ref="E19" ca="1">IF($R17=2,
         IF(AND(ACOMPANHAMENTO="PLE",ISNUMBER($F17)),
                SUMIF((OFFSET(CÁLCULO!$BC$15:$BU$15,$F17,0,OFFSET(ORÇAMENTO!$D$15,CRONO!$F17,0))),CRONO!E$12,OFFSET(CÁLCULO!$AJ$15:$BB$15,$F17,0,OFFSET(ORÇAMENTO!$D$15,CRONO!$F17,0)))
                +IF(AND($F19&lt;&gt;"",$F19&lt;&gt;0),
                        SUMIF(CÁLCULO!$BC$15:$BU$508,CRONO!E$12,CÁLCULO!$AJ$15:$BB$508)/(ORÇAMENTO!$X$15-_xlfn.SINGLE(CÁLCULO.TotalAdmLocal))*CRONO!$F19,
                        0),
                 E18*$S17),
          SUMIF(OFFSET($S19,1,0,$R17-2),($M17+1)&amp;"$",OFFSET(E19,1,0,$R17-2)))</f>
        <v>0</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SUMIF((OFFSET(CÁLCULO!$BC$15:$BU$15,$F17,0,OFFSET(ORÇAMENTO!$D$15,CRONO!$F17,0))),CRONO!U$12,OFFSET(CÁLCULO!$AJ$15:$BB$15,$F17,0,OFFSET(ORÇAMENTO!$D$15,CRONO!$F17,0)))
                +IF(AND($F19&lt;&gt;"",$F19&lt;&gt;0),
                        SUMIF(CÁLCULO!$BC$15:$BU$508,CRONO!U$12,CÁLCULO!$AJ$15:$BB$508)/(ORÇAMENTO!$X$15-_xlfn.SINGLE(CÁLCULO.TotalAdmLocal))*CRONO!$F19,
                        0),
                 U18*$S17),
          SUMIF(OFFSET($S19,1,0,$R17-2),($M17+1)&amp;"$",OFFSET(U19,1,0,$R17-2)))</f>
        <v>4643.6450000000004</v>
      </c>
      <c r="V19" s="202" cm="1">
        <f t="array" aca="1" ref="V19" ca="1">IF($R17=2,
         IF(AND(ACOMPANHAMENTO="PLE",ISNUMBER($F17)),
                SUMIF((OFFSET(CÁLCULO!$BC$15:$BU$15,$F17,0,OFFSET(ORÇAMENTO!$D$15,CRONO!$F17,0))),CRONO!V$12,OFFSET(CÁLCULO!$AJ$15:$BB$15,$F17,0,OFFSET(ORÇAMENTO!$D$15,CRONO!$F17,0)))
                +IF(AND($F19&lt;&gt;"",$F19&lt;&gt;0),
                        SUMIF(CÁLCULO!$BC$15:$BU$508,CRONO!V$12,CÁLCULO!$AJ$15:$BB$508)/(ORÇAMENTO!$X$15-_xlfn.SINGLE(CÁLCULO.TotalAdmLocal))*CRONO!$F19,
                        0),
                 V18*$S17),
          SUMIF(OFFSET($S19,1,0,$R17-2),($M17+1)&amp;"$",OFFSET(V19,1,0,$R17-2)))</f>
        <v>0</v>
      </c>
      <c r="W19" s="202" cm="1">
        <f t="array" aca="1" ref="W19" ca="1">IF($R17=2,
         IF(AND(ACOMPANHAMENTO="PLE",ISNUMBER($F17)),
                SUMIF((OFFSET(CÁLCULO!$BC$15:$BU$15,$F17,0,OFFSET(ORÇAMENTO!$D$15,CRONO!$F17,0))),CRONO!W$12,OFFSET(CÁLCULO!$AJ$15:$BB$15,$F17,0,OFFSET(ORÇAMENTO!$D$15,CRONO!$F17,0)))
                +IF(AND($F19&lt;&gt;"",$F19&lt;&gt;0),
                        SUMIF(CÁLCULO!$BC$15:$BU$508,CRONO!W$12,CÁLCULO!$AJ$15:$BB$508)/(ORÇAMENTO!$X$15-_xlfn.SINGLE(CÁLCULO.TotalAdmLocal))*CRONO!$F19,
                        0),
                 W18*$S17),
          SUMIF(OFFSET($S19,1,0,$R17-2),($M17+1)&amp;"$",OFFSET(W19,1,0,$R17-2)))</f>
        <v>0</v>
      </c>
      <c r="X19" s="202" cm="1">
        <f t="array" aca="1" ref="X19" ca="1">IF($R17=2,
         IF(AND(ACOMPANHAMENTO="PLE",ISNUMBER($F17)),
                SUMIF((OFFSET(CÁLCULO!$BC$15:$BU$15,$F17,0,OFFSET(ORÇAMENTO!$D$15,CRONO!$F17,0))),CRONO!X$12,OFFSET(CÁLCULO!$AJ$15:$BB$15,$F17,0,OFFSET(ORÇAMENTO!$D$15,CRONO!$F17,0)))
                +IF(AND($F19&lt;&gt;"",$F19&lt;&gt;0),
                        SUMIF(CÁLCULO!$BC$15:$BU$508,CRONO!X$12,CÁLCULO!$AJ$15:$BB$508)/(ORÇAMENTO!$X$15-_xlfn.SINGLE(CÁLCULO.TotalAdmLocal))*CRONO!$F19,
                        0),
                 X18*$S17),
          SUMIF(OFFSET($S19,1,0,$R17-2),($M17+1)&amp;"$",OFFSET(X19,1,0,$R17-2)))</f>
        <v>0</v>
      </c>
      <c r="Y19" s="202" cm="1">
        <f t="array" aca="1" ref="Y19" ca="1">IF($R17=2,
         IF(AND(ACOMPANHAMENTO="PLE",ISNUMBER($F17)),
                SUMIF((OFFSET(CÁLCULO!$BC$15:$BU$15,$F17,0,OFFSET(ORÇAMENTO!$D$15,CRONO!$F17,0))),CRONO!Y$12,OFFSET(CÁLCULO!$AJ$15:$BB$15,$F17,0,OFFSET(ORÇAMENTO!$D$15,CRONO!$F17,0)))
                +IF(AND($F19&lt;&gt;"",$F19&lt;&gt;0),
                        SUMIF(CÁLCULO!$BC$15:$BU$508,CRONO!Y$12,CÁLCULO!$AJ$15:$BB$508)/(ORÇAMENTO!$X$15-_xlfn.SINGLE(CÁLCULO.TotalAdmLocal))*CRONO!$F19,
                        0),
                 Y18*$S17),
          SUMIF(OFFSET($S19,1,0,$R17-2),($M17+1)&amp;"$",OFFSET(Y19,1,0,$R17-2)))</f>
        <v>0</v>
      </c>
      <c r="Z19" s="202" cm="1">
        <f t="array" aca="1" ref="Z19" ca="1">IF($R17=2,
         IF(AND(ACOMPANHAMENTO="PLE",ISNUMBER($F17)),
                SUMIF((OFFSET(CÁLCULO!$BC$15:$BU$15,$F17,0,OFFSET(ORÇAMENTO!$D$15,CRONO!$F17,0))),CRONO!Z$12,OFFSET(CÁLCULO!$AJ$15:$BB$15,$F17,0,OFFSET(ORÇAMENTO!$D$15,CRONO!$F17,0)))
                +IF(AND($F19&lt;&gt;"",$F19&lt;&gt;0),
                        SUMIF(CÁLCULO!$BC$15:$BU$508,CRONO!Z$12,CÁLCULO!$AJ$15:$BB$508)/(ORÇAMENTO!$X$15-_xlfn.SINGLE(CÁLCULO.TotalAdmLocal))*CRONO!$F19,
                        0),
                 Z18*$S17),
          SUMIF(OFFSET($S19,1,0,$R17-2),($M17+1)&amp;"$",OFFSET(Z19,1,0,$R17-2)))</f>
        <v>0</v>
      </c>
      <c r="AA19" s="202" cm="1">
        <f t="array" aca="1" ref="AA19" ca="1">IF($R17=2,
         IF(AND(ACOMPANHAMENTO="PLE",ISNUMBER($F17)),
                SUMIF((OFFSET(CÁLCULO!$BC$15:$BU$15,$F17,0,OFFSET(ORÇAMENTO!$D$15,CRONO!$F17,0))),CRONO!AA$12,OFFSET(CÁLCULO!$AJ$15:$BB$15,$F17,0,OFFSET(ORÇAMENTO!$D$15,CRONO!$F17,0)))
                +IF(AND($F19&lt;&gt;"",$F19&lt;&gt;0),
                        SUMIF(CÁLCULO!$BC$15:$BU$508,CRONO!AA$12,CÁLCULO!$AJ$15:$BB$508)/(ORÇAMENTO!$X$15-_xlfn.SINGLE(CÁLCULO.TotalAdmLocal))*CRONO!$F19,
                        0),
                 AA18*$S17),
          SUMIF(OFFSET($S19,1,0,$R17-2),($M17+1)&amp;"$",OFFSET(AA19,1,0,$R17-2)))</f>
        <v>0</v>
      </c>
      <c r="AB19" s="202" cm="1">
        <f t="array" aca="1" ref="AB19" ca="1">IF($R17=2,
         IF(AND(ACOMPANHAMENTO="PLE",ISNUMBER($F17)),
                SUMIF((OFFSET(CÁLCULO!$BC$15:$BU$15,$F17,0,OFFSET(ORÇAMENTO!$D$15,CRONO!$F17,0))),CRONO!AB$12,OFFSET(CÁLCULO!$AJ$15:$BB$15,$F17,0,OFFSET(ORÇAMENTO!$D$15,CRONO!$F17,0)))
                +IF(AND($F19&lt;&gt;"",$F19&lt;&gt;0),
                        SUMIF(CÁLCULO!$BC$15:$BU$508,CRONO!AB$12,CÁLCULO!$AJ$15:$BB$508)/(ORÇAMENTO!$X$15-_xlfn.SINGLE(CÁLCULO.TotalAdmLocal))*CRONO!$F19,
                        0),
                 AB18*$S17),
          SUMIF(OFFSET($S19,1,0,$R17-2),($M17+1)&amp;"$",OFFSET(AB19,1,0,$R17-2)))</f>
        <v>0</v>
      </c>
      <c r="AC19" s="202" cm="1">
        <f t="array" aca="1" ref="AC19" ca="1">IF($R17=2,
         IF(AND(ACOMPANHAMENTO="PLE",ISNUMBER($F17)),
                SUMIF((OFFSET(CÁLCULO!$BC$15:$BU$15,$F17,0,OFFSET(ORÇAMENTO!$D$15,CRONO!$F17,0))),CRONO!AC$12,OFFSET(CÁLCULO!$AJ$15:$BB$15,$F17,0,OFFSET(ORÇAMENTO!$D$15,CRONO!$F17,0)))
                +IF(AND($F19&lt;&gt;"",$F19&lt;&gt;0),
                        SUMIF(CÁLCULO!$BC$15:$BU$508,CRONO!AC$12,CÁLCULO!$AJ$15:$BB$508)/(ORÇAMENTO!$X$15-_xlfn.SINGLE(CÁLCULO.TotalAdmLocal))*CRONO!$F19,
                        0),
                 AC18*$S17),
          SUMIF(OFFSET($S19,1,0,$R17-2),($M17+1)&amp;"$",OFFSET(AC19,1,0,$R17-2)))</f>
        <v>0</v>
      </c>
      <c r="AD19" s="202" cm="1">
        <f t="array" aca="1" ref="AD19" ca="1">IF($R17=2,
         IF(AND(ACOMPANHAMENTO="PLE",ISNUMBER($F17)),
                SUMIF((OFFSET(CÁLCULO!$BC$15:$BU$15,$F17,0,OFFSET(ORÇAMENTO!$D$15,CRONO!$F17,0))),CRONO!AD$12,OFFSET(CÁLCULO!$AJ$15:$BB$15,$F17,0,OFFSET(ORÇAMENTO!$D$15,CRONO!$F17,0)))
                +IF(AND($F19&lt;&gt;"",$F19&lt;&gt;0),
                        SUMIF(CÁLCULO!$BC$15:$BU$508,CRONO!AD$12,CÁLCULO!$AJ$15:$BB$508)/(ORÇAMENTO!$X$15-_xlfn.SINGLE(CÁLCULO.TotalAdmLocal))*CRONO!$F19,
                        0),
                 AD18*$S17),
          SUMIF(OFFSET($S19,1,0,$R17-2),($M17+1)&amp;"$",OFFSET(AD19,1,0,$R17-2)))</f>
        <v>4643.6450000000004</v>
      </c>
      <c r="AE19" s="202" cm="1">
        <f t="array" aca="1" ref="AE19" ca="1">IF($R17=2,
         IF(AND(ACOMPANHAMENTO="PLE",ISNUMBER($F17)),
                SUMIF((OFFSET(CÁLCULO!$BC$15:$BU$15,$F17,0,OFFSET(ORÇAMENTO!$D$15,CRONO!$F17,0))),CRONO!AE$12,OFFSET(CÁLCULO!$AJ$15:$BB$15,$F17,0,OFFSET(ORÇAMENTO!$D$15,CRONO!$F17,0)))
                +IF(AND($F19&lt;&gt;"",$F19&lt;&gt;0),
                        SUMIF(CÁLCULO!$BC$15:$BU$508,CRONO!AE$12,CÁLCULO!$AJ$15:$BB$508)/(ORÇAMENTO!$X$15-_xlfn.SINGLE(CÁLCULO.TotalAdmLocal))*CRONO!$F19,
                        0),
                 AE18*$S17),
          SUMIF(OFFSET($S19,1,0,$R17-2),($M17+1)&amp;"$",OFFSET(AE19,1,0,$R17-2)))</f>
        <v>0</v>
      </c>
      <c r="AF19" s="202" cm="1">
        <f t="array" aca="1" ref="AF19" ca="1">IF($R17=2,
         IF(AND(ACOMPANHAMENTO="PLE",ISNUMBER($F17)),
                SUMIF((OFFSET(CÁLCULO!$BC$15:$BU$15,$F17,0,OFFSET(ORÇAMENTO!$D$15,CRONO!$F17,0))),CRONO!AF$12,OFFSET(CÁLCULO!$AJ$15:$BB$15,$F17,0,OFFSET(ORÇAMENTO!$D$15,CRONO!$F17,0)))
                +IF(AND($F19&lt;&gt;"",$F19&lt;&gt;0),
                        SUMIF(CÁLCULO!$BC$15:$BU$508,CRONO!AF$12,CÁLCULO!$AJ$15:$BB$508)/(ORÇAMENTO!$X$15-_xlfn.SINGLE(CÁLCULO.TotalAdmLocal))*CRONO!$F19,
                        0),
                 AF18*$S17),
          SUMIF(OFFSET($S19,1,0,$R17-2),($M17+1)&amp;"$",OFFSET(AF19,1,0,$R17-2)))</f>
        <v>0</v>
      </c>
      <c r="AG19" s="534"/>
    </row>
    <row r="20" spans="1:33" x14ac:dyDescent="0.2">
      <c r="A20" s="186" t="str">
        <f t="shared" ref="A20" ca="1" si="14">IF($M20&gt;1,_xlfn.CONCAT($I20," ",$J20),"")</f>
        <v>1.2. ADMINISTRAÇÃO LOCAL</v>
      </c>
      <c r="B20" s="185">
        <f t="shared" ref="B20" ca="1" si="15">OFFSET(B20,-3,0)+1</f>
        <v>3</v>
      </c>
      <c r="C20" s="185">
        <f ca="1">IF($R20&lt;&gt;2,0,IF($S20=0,1,IF(F21&gt;0,OFFSET(QCI!$M$13,SUBSTITUTE(F21,".",""),0),OFFSET(ORÇAMENTO!$AA$15,CRONO!$F20,0))/$S20))</f>
        <v>0</v>
      </c>
      <c r="D20" s="185">
        <f ca="1">IF($R20&lt;&gt;2,0,IF($S20=0,1,IF(F21&gt;0,OFFSET(QCI!$N$13,SUBSTITUTE(F21,".",""),0),OFFSET(ORÇAMENTO!$AB$15,CRONO!$F20,0))/$S20))</f>
        <v>0</v>
      </c>
      <c r="E20" s="188" cm="1">
        <f t="array" aca="1" ref="E20" ca="1">IF(AND($R20=2,ACOMPANHAMENTO="BM"),ROUND(E21,4),E22/$S20)</f>
        <v>0</v>
      </c>
      <c r="F20" s="185">
        <f ca="1">IF(B20&lt;=ORÇAMENTO.MáximoListaCrono,MATCH(B20,ORÇAMENTO.ListaCrono,0),NA())</f>
        <v>9</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ADMINISTRAÇÃO LOCAL</v>
      </c>
      <c r="K20" s="191"/>
      <c r="L20" s="191"/>
      <c r="M20" s="192">
        <f ca="1">IF($F21=0,OFFSET(ORÇAMENTO!C$15,$F20,0),1)</f>
        <v>2</v>
      </c>
      <c r="N20" s="193">
        <f ca="1">IF($F21=-1,0,IF(N$13&lt;=$M20,IF(ISERROR(MATCH(N$13,OFFSET($M20,1,0,ROW($M$56)-ROW($M20)-1),0)),ROW($M$56)-ROW($M20)-1,MATCH(N$13,OFFSET($M20,1,0,ROW($M$56)-ROW($M20)-1),0)-1),0))</f>
        <v>26</v>
      </c>
      <c r="O20" s="193">
        <f ca="1">IF($F21=-1,0,IF(O$13&lt;=$M20,IF(ISERROR(MATCH(O$13,OFFSET($M20,1,0,ROW($M$56)-ROW($M20)-1),0)),ROW($M$56)-ROW($M20)-1,MATCH(O$13,OFFSET($M20,1,0,ROW($M$56)-ROW($M20)-1),0)-1),0))</f>
        <v>2</v>
      </c>
      <c r="P20" s="193">
        <f ca="1">IF($F21=-1,0,IF(P$13&lt;=$M20,IF(ISERROR(MATCH(P$13,OFFSET($M20,1,0,ROW($M$56)-ROW($M20)-1),0)),ROW($M$56)-ROW($M20)-1,MATCH(P$13,OFFSET($M20,1,0,ROW($M$56)-ROW($M20)-1),0)-1),0))</f>
        <v>0</v>
      </c>
      <c r="Q20" s="193">
        <f ca="1">IF($F21=-1,0,IF(Q$13&lt;=$M20,IF(ISERROR(MATCH(Q$13,OFFSET($M20,1,0,ROW($M$56)-ROW($M20)-1),0)),ROW($M$56)-ROW($M20)-1,MATCH(Q$13,OFFSET($M20,1,0,ROW($M$56)-ROW($M20)-1),0)-1),0))</f>
        <v>0</v>
      </c>
      <c r="R20" s="193">
        <f t="shared" ref="R20" ca="1" si="17">MIN(OFFSET(M20,0,1,,M20))</f>
        <v>2</v>
      </c>
      <c r="S20" s="194">
        <f ca="1">IF($F21=0,OFFSET(ORÇAMENTO!X$15,$F20,0),IF($F21&lt;&gt;-1,OFFSET(QCI!$O$13,$F21,0),""))</f>
        <v>353885.05</v>
      </c>
      <c r="T20" s="195" t="s">
        <v>785</v>
      </c>
      <c r="U20" s="188" cm="1">
        <f t="array" aca="1" ref="U20" ca="1">IF(AND($R20=2,ACOMPANHAMENTO="BM"),ROUND(U21,4),U22/$S20)</f>
        <v>0.06</v>
      </c>
      <c r="V20" s="188" cm="1">
        <f t="array" aca="1" ref="V20" ca="1">IF(AND($R20=2,ACOMPANHAMENTO="BM"),ROUND(V21,4),V22/$S20)</f>
        <v>0.03</v>
      </c>
      <c r="W20" s="188" cm="1">
        <f t="array" aca="1" ref="W20" ca="1">IF(AND($R20=2,ACOMPANHAMENTO="BM"),ROUND(W21,4),W22/$S20)</f>
        <v>0.21</v>
      </c>
      <c r="X20" s="188" cm="1">
        <f t="array" aca="1" ref="X20" ca="1">IF(AND($R20=2,ACOMPANHAMENTO="BM"),ROUND(X21,4),X22/$S20)</f>
        <v>0.15</v>
      </c>
      <c r="Y20" s="188" cm="1">
        <f t="array" aca="1" ref="Y20" ca="1">IF(AND($R20=2,ACOMPANHAMENTO="BM"),ROUND(Y21,4),Y22/$S20)</f>
        <v>0.09</v>
      </c>
      <c r="Z20" s="188" cm="1">
        <f t="array" aca="1" ref="Z20" ca="1">IF(AND($R20=2,ACOMPANHAMENTO="BM"),ROUND(Z21,4),Z22/$S20)</f>
        <v>0.27</v>
      </c>
      <c r="AA20" s="188" cm="1">
        <f t="array" aca="1" ref="AA20" ca="1">IF(AND($R20=2,ACOMPANHAMENTO="BM"),ROUND(AA21,4),AA22/$S20)</f>
        <v>0.03</v>
      </c>
      <c r="AB20" s="188" cm="1">
        <f t="array" aca="1" ref="AB20" ca="1">IF(AND($R20=2,ACOMPANHAMENTO="BM"),ROUND(AB21,4),AB22/$S20)</f>
        <v>0.1</v>
      </c>
      <c r="AC20" s="188" cm="1">
        <f t="array" aca="1" ref="AC20" ca="1">IF(AND($R20=2,ACOMPANHAMENTO="BM"),ROUND(AC21,4),AC22/$S20)</f>
        <v>0.03</v>
      </c>
      <c r="AD20" s="188" cm="1">
        <f t="array" aca="1" ref="AD20" ca="1">IF(AND($R20=2,ACOMPANHAMENTO="BM"),ROUND(AD21,4),AD22/$S20)</f>
        <v>0.03</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IF(ISERROR(F20),IF(1+COUNTIF($M$13:OFFSET(M20,-1,0),1)&lt;=MAX(QCI!$D$13:$D$15),1+COUNTIF($M$13:OFFSET(M20,-1,0),1),-1),0)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0.06</v>
      </c>
      <c r="V21" s="587">
        <v>0.03</v>
      </c>
      <c r="W21" s="587">
        <v>0.21</v>
      </c>
      <c r="X21" s="587">
        <v>0.15</v>
      </c>
      <c r="Y21" s="587">
        <v>0.09</v>
      </c>
      <c r="Z21" s="587">
        <v>0.27</v>
      </c>
      <c r="AA21" s="587">
        <v>0.03</v>
      </c>
      <c r="AB21" s="587">
        <v>0.1</v>
      </c>
      <c r="AC21" s="587">
        <v>0.03</v>
      </c>
      <c r="AD21" s="587">
        <v>0.03</v>
      </c>
      <c r="AE21" s="587"/>
      <c r="AF21" s="587"/>
      <c r="AG21" s="534"/>
    </row>
    <row r="22" spans="1:33" ht="12.75" hidden="1" customHeight="1" x14ac:dyDescent="0.2">
      <c r="D22" s="533"/>
      <c r="E22" s="202" cm="1">
        <f t="array" aca="1" ref="E22" ca="1">IF($R20=2,
         IF(AND(ACOMPANHAMENTO="PLE",ISNUMBER($F20)),
                SUMIF((OFFSET(CÁLCULO!$BC$15:$BU$15,$F20,0,OFFSET(ORÇAMENTO!$D$15,CRONO!$F20,0))),CRONO!E$12,OFFSET(CÁLCULO!$AJ$15:$BB$15,$F20,0,OFFSET(ORÇAMENTO!$D$15,CRONO!$F20,0)))
                +IF(AND($F22&lt;&gt;"",$F22&lt;&gt;0),
                        SUMIF(CÁLCULO!$BC$15:$BU$508,CRONO!E$12,CÁLCULO!$AJ$15:$BB$508)/(ORÇAMENTO!$X$15-_xlfn.SINGLE(CÁLCULO.TotalAdmLocal))*CRONO!$F22,
                        0),
                 E21*$S20),
          SUMIF(OFFSET($S22,1,0,$R20-2),($M20+1)&amp;"$",OFFSET(E22,1,0,$R20-2)))</f>
        <v>0</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SUMIF((OFFSET(CÁLCULO!$BC$15:$BU$15,$F20,0,OFFSET(ORÇAMENTO!$D$15,CRONO!$F20,0))),CRONO!U$12,OFFSET(CÁLCULO!$AJ$15:$BB$15,$F20,0,OFFSET(ORÇAMENTO!$D$15,CRONO!$F20,0)))
                +IF(AND($F22&lt;&gt;"",$F22&lt;&gt;0),
                        SUMIF(CÁLCULO!$BC$15:$BU$508,CRONO!U$12,CÁLCULO!$AJ$15:$BB$508)/(ORÇAMENTO!$X$15-_xlfn.SINGLE(CÁLCULO.TotalAdmLocal))*CRONO!$F22,
                        0),
                 U21*$S20),
          SUMIF(OFFSET($S22,1,0,$R20-2),($M20+1)&amp;"$",OFFSET(U22,1,0,$R20-2)))</f>
        <v>21233.102999999999</v>
      </c>
      <c r="V22" s="202" cm="1">
        <f t="array" aca="1" ref="V22" ca="1">IF($R20=2,
         IF(AND(ACOMPANHAMENTO="PLE",ISNUMBER($F20)),
                SUMIF((OFFSET(CÁLCULO!$BC$15:$BU$15,$F20,0,OFFSET(ORÇAMENTO!$D$15,CRONO!$F20,0))),CRONO!V$12,OFFSET(CÁLCULO!$AJ$15:$BB$15,$F20,0,OFFSET(ORÇAMENTO!$D$15,CRONO!$F20,0)))
                +IF(AND($F22&lt;&gt;"",$F22&lt;&gt;0),
                        SUMIF(CÁLCULO!$BC$15:$BU$508,CRONO!V$12,CÁLCULO!$AJ$15:$BB$508)/(ORÇAMENTO!$X$15-_xlfn.SINGLE(CÁLCULO.TotalAdmLocal))*CRONO!$F22,
                        0),
                 V21*$S20),
          SUMIF(OFFSET($S22,1,0,$R20-2),($M20+1)&amp;"$",OFFSET(V22,1,0,$R20-2)))</f>
        <v>10616.5515</v>
      </c>
      <c r="W22" s="202" cm="1">
        <f t="array" aca="1" ref="W22" ca="1">IF($R20=2,
         IF(AND(ACOMPANHAMENTO="PLE",ISNUMBER($F20)),
                SUMIF((OFFSET(CÁLCULO!$BC$15:$BU$15,$F20,0,OFFSET(ORÇAMENTO!$D$15,CRONO!$F20,0))),CRONO!W$12,OFFSET(CÁLCULO!$AJ$15:$BB$15,$F20,0,OFFSET(ORÇAMENTO!$D$15,CRONO!$F20,0)))
                +IF(AND($F22&lt;&gt;"",$F22&lt;&gt;0),
                        SUMIF(CÁLCULO!$BC$15:$BU$508,CRONO!W$12,CÁLCULO!$AJ$15:$BB$508)/(ORÇAMENTO!$X$15-_xlfn.SINGLE(CÁLCULO.TotalAdmLocal))*CRONO!$F22,
                        0),
                 W21*$S20),
          SUMIF(OFFSET($S22,1,0,$R20-2),($M20+1)&amp;"$",OFFSET(W22,1,0,$R20-2)))</f>
        <v>74315.860499999995</v>
      </c>
      <c r="X22" s="202" cm="1">
        <f t="array" aca="1" ref="X22" ca="1">IF($R20=2,
         IF(AND(ACOMPANHAMENTO="PLE",ISNUMBER($F20)),
                SUMIF((OFFSET(CÁLCULO!$BC$15:$BU$15,$F20,0,OFFSET(ORÇAMENTO!$D$15,CRONO!$F20,0))),CRONO!X$12,OFFSET(CÁLCULO!$AJ$15:$BB$15,$F20,0,OFFSET(ORÇAMENTO!$D$15,CRONO!$F20,0)))
                +IF(AND($F22&lt;&gt;"",$F22&lt;&gt;0),
                        SUMIF(CÁLCULO!$BC$15:$BU$508,CRONO!X$12,CÁLCULO!$AJ$15:$BB$508)/(ORÇAMENTO!$X$15-_xlfn.SINGLE(CÁLCULO.TotalAdmLocal))*CRONO!$F22,
                        0),
                 X21*$S20),
          SUMIF(OFFSET($S22,1,0,$R20-2),($M20+1)&amp;"$",OFFSET(X22,1,0,$R20-2)))</f>
        <v>53082.7575</v>
      </c>
      <c r="Y22" s="202" cm="1">
        <f t="array" aca="1" ref="Y22" ca="1">IF($R20=2,
         IF(AND(ACOMPANHAMENTO="PLE",ISNUMBER($F20)),
                SUMIF((OFFSET(CÁLCULO!$BC$15:$BU$15,$F20,0,OFFSET(ORÇAMENTO!$D$15,CRONO!$F20,0))),CRONO!Y$12,OFFSET(CÁLCULO!$AJ$15:$BB$15,$F20,0,OFFSET(ORÇAMENTO!$D$15,CRONO!$F20,0)))
                +IF(AND($F22&lt;&gt;"",$F22&lt;&gt;0),
                        SUMIF(CÁLCULO!$BC$15:$BU$508,CRONO!Y$12,CÁLCULO!$AJ$15:$BB$508)/(ORÇAMENTO!$X$15-_xlfn.SINGLE(CÁLCULO.TotalAdmLocal))*CRONO!$F22,
                        0),
                 Y21*$S20),
          SUMIF(OFFSET($S22,1,0,$R20-2),($M20+1)&amp;"$",OFFSET(Y22,1,0,$R20-2)))</f>
        <v>31849.654499999997</v>
      </c>
      <c r="Z22" s="202" cm="1">
        <f t="array" aca="1" ref="Z22" ca="1">IF($R20=2,
         IF(AND(ACOMPANHAMENTO="PLE",ISNUMBER($F20)),
                SUMIF((OFFSET(CÁLCULO!$BC$15:$BU$15,$F20,0,OFFSET(ORÇAMENTO!$D$15,CRONO!$F20,0))),CRONO!Z$12,OFFSET(CÁLCULO!$AJ$15:$BB$15,$F20,0,OFFSET(ORÇAMENTO!$D$15,CRONO!$F20,0)))
                +IF(AND($F22&lt;&gt;"",$F22&lt;&gt;0),
                        SUMIF(CÁLCULO!$BC$15:$BU$508,CRONO!Z$12,CÁLCULO!$AJ$15:$BB$508)/(ORÇAMENTO!$X$15-_xlfn.SINGLE(CÁLCULO.TotalAdmLocal))*CRONO!$F22,
                        0),
                 Z21*$S20),
          SUMIF(OFFSET($S22,1,0,$R20-2),($M20+1)&amp;"$",OFFSET(Z22,1,0,$R20-2)))</f>
        <v>95548.963499999998</v>
      </c>
      <c r="AA22" s="202" cm="1">
        <f t="array" aca="1" ref="AA22" ca="1">IF($R20=2,
         IF(AND(ACOMPANHAMENTO="PLE",ISNUMBER($F20)),
                SUMIF((OFFSET(CÁLCULO!$BC$15:$BU$15,$F20,0,OFFSET(ORÇAMENTO!$D$15,CRONO!$F20,0))),CRONO!AA$12,OFFSET(CÁLCULO!$AJ$15:$BB$15,$F20,0,OFFSET(ORÇAMENTO!$D$15,CRONO!$F20,0)))
                +IF(AND($F22&lt;&gt;"",$F22&lt;&gt;0),
                        SUMIF(CÁLCULO!$BC$15:$BU$508,CRONO!AA$12,CÁLCULO!$AJ$15:$BB$508)/(ORÇAMENTO!$X$15-_xlfn.SINGLE(CÁLCULO.TotalAdmLocal))*CRONO!$F22,
                        0),
                 AA21*$S20),
          SUMIF(OFFSET($S22,1,0,$R20-2),($M20+1)&amp;"$",OFFSET(AA22,1,0,$R20-2)))</f>
        <v>10616.5515</v>
      </c>
      <c r="AB22" s="202" cm="1">
        <f t="array" aca="1" ref="AB22" ca="1">IF($R20=2,
         IF(AND(ACOMPANHAMENTO="PLE",ISNUMBER($F20)),
                SUMIF((OFFSET(CÁLCULO!$BC$15:$BU$15,$F20,0,OFFSET(ORÇAMENTO!$D$15,CRONO!$F20,0))),CRONO!AB$12,OFFSET(CÁLCULO!$AJ$15:$BB$15,$F20,0,OFFSET(ORÇAMENTO!$D$15,CRONO!$F20,0)))
                +IF(AND($F22&lt;&gt;"",$F22&lt;&gt;0),
                        SUMIF(CÁLCULO!$BC$15:$BU$508,CRONO!AB$12,CÁLCULO!$AJ$15:$BB$508)/(ORÇAMENTO!$X$15-_xlfn.SINGLE(CÁLCULO.TotalAdmLocal))*CRONO!$F22,
                        0),
                 AB21*$S20),
          SUMIF(OFFSET($S22,1,0,$R20-2),($M20+1)&amp;"$",OFFSET(AB22,1,0,$R20-2)))</f>
        <v>35388.504999999997</v>
      </c>
      <c r="AC22" s="202" cm="1">
        <f t="array" aca="1" ref="AC22" ca="1">IF($R20=2,
         IF(AND(ACOMPANHAMENTO="PLE",ISNUMBER($F20)),
                SUMIF((OFFSET(CÁLCULO!$BC$15:$BU$15,$F20,0,OFFSET(ORÇAMENTO!$D$15,CRONO!$F20,0))),CRONO!AC$12,OFFSET(CÁLCULO!$AJ$15:$BB$15,$F20,0,OFFSET(ORÇAMENTO!$D$15,CRONO!$F20,0)))
                +IF(AND($F22&lt;&gt;"",$F22&lt;&gt;0),
                        SUMIF(CÁLCULO!$BC$15:$BU$508,CRONO!AC$12,CÁLCULO!$AJ$15:$BB$508)/(ORÇAMENTO!$X$15-_xlfn.SINGLE(CÁLCULO.TotalAdmLocal))*CRONO!$F22,
                        0),
                 AC21*$S20),
          SUMIF(OFFSET($S22,1,0,$R20-2),($M20+1)&amp;"$",OFFSET(AC22,1,0,$R20-2)))</f>
        <v>10616.5515</v>
      </c>
      <c r="AD22" s="202" cm="1">
        <f t="array" aca="1" ref="AD22" ca="1">IF($R20=2,
         IF(AND(ACOMPANHAMENTO="PLE",ISNUMBER($F20)),
                SUMIF((OFFSET(CÁLCULO!$BC$15:$BU$15,$F20,0,OFFSET(ORÇAMENTO!$D$15,CRONO!$F20,0))),CRONO!AD$12,OFFSET(CÁLCULO!$AJ$15:$BB$15,$F20,0,OFFSET(ORÇAMENTO!$D$15,CRONO!$F20,0)))
                +IF(AND($F22&lt;&gt;"",$F22&lt;&gt;0),
                        SUMIF(CÁLCULO!$BC$15:$BU$508,CRONO!AD$12,CÁLCULO!$AJ$15:$BB$508)/(ORÇAMENTO!$X$15-_xlfn.SINGLE(CÁLCULO.TotalAdmLocal))*CRONO!$F22,
                        0),
                 AD21*$S20),
          SUMIF(OFFSET($S22,1,0,$R20-2),($M20+1)&amp;"$",OFFSET(AD22,1,0,$R20-2)))</f>
        <v>10616.5515</v>
      </c>
      <c r="AE22" s="202" cm="1">
        <f t="array" aca="1" ref="AE22" ca="1">IF($R20=2,
         IF(AND(ACOMPANHAMENTO="PLE",ISNUMBER($F20)),
                SUMIF((OFFSET(CÁLCULO!$BC$15:$BU$15,$F20,0,OFFSET(ORÇAMENTO!$D$15,CRONO!$F20,0))),CRONO!AE$12,OFFSET(CÁLCULO!$AJ$15:$BB$15,$F20,0,OFFSET(ORÇAMENTO!$D$15,CRONO!$F20,0)))
                +IF(AND($F22&lt;&gt;"",$F22&lt;&gt;0),
                        SUMIF(CÁLCULO!$BC$15:$BU$508,CRONO!AE$12,CÁLCULO!$AJ$15:$BB$508)/(ORÇAMENTO!$X$15-_xlfn.SINGLE(CÁLCULO.TotalAdmLocal))*CRONO!$F22,
                        0),
                 AE21*$S20),
          SUMIF(OFFSET($S22,1,0,$R20-2),($M20+1)&amp;"$",OFFSET(AE22,1,0,$R20-2)))</f>
        <v>0</v>
      </c>
      <c r="AF22" s="202" cm="1">
        <f t="array" aca="1" ref="AF22" ca="1">IF($R20=2,
         IF(AND(ACOMPANHAMENTO="PLE",ISNUMBER($F20)),
                SUMIF((OFFSET(CÁLCULO!$BC$15:$BU$15,$F20,0,OFFSET(ORÇAMENTO!$D$15,CRONO!$F20,0))),CRONO!AF$12,OFFSET(CÁLCULO!$AJ$15:$BB$15,$F20,0,OFFSET(ORÇAMENTO!$D$15,CRONO!$F20,0)))
                +IF(AND($F22&lt;&gt;"",$F22&lt;&gt;0),
                        SUMIF(CÁLCULO!$BC$15:$BU$508,CRONO!AF$12,CÁLCULO!$AJ$15:$BB$508)/(ORÇAMENTO!$X$15-_xlfn.SINGLE(CÁLCULO.TotalAdmLocal))*CRONO!$F22,
                        0),
                 AF21*$S20),
          SUMIF(OFFSET($S22,1,0,$R20-2),($M20+1)&amp;"$",OFFSET(AF22,1,0,$R20-2)))</f>
        <v>0</v>
      </c>
      <c r="AG22" s="534"/>
    </row>
    <row r="23" spans="1:33" x14ac:dyDescent="0.2">
      <c r="A23" s="186" t="str">
        <f t="shared" ref="A23" ca="1" si="20">IF($M23&gt;1,_xlfn.CONCAT($I23," ",$J23),"")</f>
        <v>1.3. SERVIÇOS INICIAIS</v>
      </c>
      <c r="B23" s="185">
        <f t="shared" ref="B23" ca="1" si="21">OFFSET(B23,-3,0)+1</f>
        <v>4</v>
      </c>
      <c r="C23" s="185">
        <f ca="1">IF($R23&lt;&gt;2,0,IF($S23=0,1,IF(F24&gt;0,OFFSET(QCI!$M$13,SUBSTITUTE(F24,".",""),0),OFFSET(ORÇAMENTO!$AA$15,CRONO!$F23,0))/$S23))</f>
        <v>0</v>
      </c>
      <c r="D23" s="185">
        <f ca="1">IF($R23&lt;&gt;2,0,IF($S23=0,1,IF(F24&gt;0,OFFSET(QCI!$N$13,SUBSTITUTE(F24,".",""),0),OFFSET(ORÇAMENTO!$AB$15,CRONO!$F23,0))/$S23))</f>
        <v>0</v>
      </c>
      <c r="E23" s="188" cm="1">
        <f t="array" aca="1" ref="E23" ca="1">IF(AND($R23=2,ACOMPANHAMENTO="BM"),ROUND(E24,4),E25/$S23)</f>
        <v>0</v>
      </c>
      <c r="F23" s="185">
        <f ca="1">IF(B23&lt;=ORÇAMENTO.MáximoListaCrono,MATCH(B23,ORÇAMENTO.ListaCrono,0),NA())</f>
        <v>12</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SERVIÇOS INICIAIS</v>
      </c>
      <c r="K23" s="191"/>
      <c r="L23" s="191"/>
      <c r="M23" s="192">
        <f ca="1">IF($F24=0,OFFSET(ORÇAMENTO!C$15,$F23,0),1)</f>
        <v>2</v>
      </c>
      <c r="N23" s="193">
        <f ca="1">IF($F24=-1,0,IF(N$13&lt;=$M23,IF(ISERROR(MATCH(N$13,OFFSET($M23,1,0,ROW($M$56)-ROW($M23)-1),0)),ROW($M$56)-ROW($M23)-1,MATCH(N$13,OFFSET($M23,1,0,ROW($M$56)-ROW($M23)-1),0)-1),0))</f>
        <v>23</v>
      </c>
      <c r="O23" s="193">
        <f ca="1">IF($F24=-1,0,IF(O$13&lt;=$M23,IF(ISERROR(MATCH(O$13,OFFSET($M23,1,0,ROW($M$56)-ROW($M23)-1),0)),ROW($M$56)-ROW($M23)-1,MATCH(O$13,OFFSET($M23,1,0,ROW($M$56)-ROW($M23)-1),0)-1),0))</f>
        <v>2</v>
      </c>
      <c r="P23" s="193">
        <f ca="1">IF($F24=-1,0,IF(P$13&lt;=$M23,IF(ISERROR(MATCH(P$13,OFFSET($M23,1,0,ROW($M$56)-ROW($M23)-1),0)),ROW($M$56)-ROW($M23)-1,MATCH(P$13,OFFSET($M23,1,0,ROW($M$56)-ROW($M23)-1),0)-1),0))</f>
        <v>0</v>
      </c>
      <c r="Q23" s="193">
        <f ca="1">IF($F24=-1,0,IF(Q$13&lt;=$M23,IF(ISERROR(MATCH(Q$13,OFFSET($M23,1,0,ROW($M$56)-ROW($M23)-1),0)),ROW($M$56)-ROW($M23)-1,MATCH(Q$13,OFFSET($M23,1,0,ROW($M$56)-ROW($M23)-1),0)-1),0))</f>
        <v>0</v>
      </c>
      <c r="R23" s="193">
        <f t="shared" ref="R23" ca="1" si="23">MIN(OFFSET(M23,0,1,,M23))</f>
        <v>2</v>
      </c>
      <c r="S23" s="194">
        <f ca="1">IF($F24=0,OFFSET(ORÇAMENTO!X$15,$F23,0),IF($F24&lt;&gt;-1,OFFSET(QCI!$O$13,$F24,0),""))</f>
        <v>149901.69</v>
      </c>
      <c r="T23" s="195" t="s">
        <v>785</v>
      </c>
      <c r="U23" s="188" cm="1">
        <f t="array" aca="1" ref="U23" ca="1">IF(AND($R23=2,ACOMPANHAMENTO="BM"),ROUND(U24,4),U25/$S23)</f>
        <v>0.3599</v>
      </c>
      <c r="V23" s="188" cm="1">
        <f t="array" aca="1" ref="V23" ca="1">IF(AND($R23=2,ACOMPANHAMENTO="BM"),ROUND(V24,4),V25/$S23)</f>
        <v>7.9200000000000007E-2</v>
      </c>
      <c r="W23" s="188" cm="1">
        <f t="array" aca="1" ref="W23" ca="1">IF(AND($R23=2,ACOMPANHAMENTO="BM"),ROUND(W24,4),W25/$S23)</f>
        <v>8.0799999999999997E-2</v>
      </c>
      <c r="X23" s="188" cm="1">
        <f t="array" aca="1" ref="X23" ca="1">IF(AND($R23=2,ACOMPANHAMENTO="BM"),ROUND(X24,4),X25/$S23)</f>
        <v>9.9699999999999997E-2</v>
      </c>
      <c r="Y23" s="188" cm="1">
        <f t="array" aca="1" ref="Y23" ca="1">IF(AND($R23=2,ACOMPANHAMENTO="BM"),ROUND(Y24,4),Y25/$S23)</f>
        <v>9.9699999999999997E-2</v>
      </c>
      <c r="Z23" s="188" cm="1">
        <f t="array" aca="1" ref="Z23" ca="1">IF(AND($R23=2,ACOMPANHAMENTO="BM"),ROUND(Z24,4),Z25/$S23)</f>
        <v>9.9699999999999997E-2</v>
      </c>
      <c r="AA23" s="188" cm="1">
        <f t="array" aca="1" ref="AA23" ca="1">IF(AND($R23=2,ACOMPANHAMENTO="BM"),ROUND(AA24,4),AA25/$S23)</f>
        <v>6.0299999999999999E-2</v>
      </c>
      <c r="AB23" s="188" cm="1">
        <f t="array" aca="1" ref="AB23" ca="1">IF(AND($R23=2,ACOMPANHAMENTO="BM"),ROUND(AB24,4),AB25/$S23)</f>
        <v>3.0200000000000001E-2</v>
      </c>
      <c r="AC23" s="188" cm="1">
        <f t="array" aca="1" ref="AC23" ca="1">IF(AND($R23=2,ACOMPANHAMENTO="BM"),ROUND(AC24,4),AC25/$S23)</f>
        <v>3.0200000000000001E-2</v>
      </c>
      <c r="AD23" s="188" cm="1">
        <f t="array" aca="1" ref="AD23" ca="1">IF(AND($R23=2,ACOMPANHAMENTO="BM"),ROUND(AD24,4),AD25/$S23)</f>
        <v>6.0299999999999999E-2</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IF(ISERROR(F23),IF(1+COUNTIF($M$13:OFFSET(M23,-1,0),1)&lt;=MAX(QCI!$D$13:$D$15),1+COUNTIF($M$13:OFFSET(M23,-1,0),1),-1),0)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v>0.3599</v>
      </c>
      <c r="V24" s="587">
        <v>7.9200000000000007E-2</v>
      </c>
      <c r="W24" s="587">
        <v>8.0799999999999997E-2</v>
      </c>
      <c r="X24" s="587">
        <v>9.9699999999999997E-2</v>
      </c>
      <c r="Y24" s="587">
        <v>9.9699999999999997E-2</v>
      </c>
      <c r="Z24" s="587">
        <v>9.9699999999999997E-2</v>
      </c>
      <c r="AA24" s="587">
        <v>6.0299999999999999E-2</v>
      </c>
      <c r="AB24" s="587">
        <v>3.0200000000000001E-2</v>
      </c>
      <c r="AC24" s="587">
        <v>3.0200000000000001E-2</v>
      </c>
      <c r="AD24" s="587">
        <v>6.0299999999999999E-2</v>
      </c>
      <c r="AE24" s="587"/>
      <c r="AF24" s="587"/>
      <c r="AG24" s="534"/>
    </row>
    <row r="25" spans="1:33" ht="12.75" hidden="1" customHeight="1" x14ac:dyDescent="0.2">
      <c r="D25" s="533"/>
      <c r="E25" s="202" cm="1">
        <f t="array" aca="1" ref="E25" ca="1">IF($R23=2,
         IF(AND(ACOMPANHAMENTO="PLE",ISNUMBER($F23)),
                SUMIF((OFFSET(CÁLCULO!$BC$15:$BU$15,$F23,0,OFFSET(ORÇAMENTO!$D$15,CRONO!$F23,0))),CRONO!E$12,OFFSET(CÁLCULO!$AJ$15:$BB$15,$F23,0,OFFSET(ORÇAMENTO!$D$15,CRONO!$F23,0)))
                +IF(AND($F25&lt;&gt;"",$F25&lt;&gt;0),
                        SUMIF(CÁLCULO!$BC$15:$BU$508,CRONO!E$12,CÁLCULO!$AJ$15:$BB$508)/(ORÇAMENTO!$X$15-_xlfn.SINGLE(CÁLCULO.TotalAdmLocal))*CRONO!$F25,
                        0),
                 E24*$S23),
          SUMIF(OFFSET($S25,1,0,$R23-2),($M23+1)&amp;"$",OFFSET(E25,1,0,$R23-2)))</f>
        <v>0</v>
      </c>
      <c r="F25" s="185">
        <f ca="1">IF(OR($R23&lt;&gt;2,AUTOEVENTO&lt;&gt;"manual",$F24&gt;0),"",
        IF(Import.TipoArredondamento="Tradicional",
              SUMIF(OFFSET(CÁLCULO!$M$15,CRONO!$F23,0,OFFSET(ORÇAMENTO!$D$15,CRONO!$F23,0)),1,OFFSET(ORÇAMENTO!$X$15,CRONO!$F23,0,OFFSET(ORÇAMENTO!$D$15,CRONO!$F23,0))),
              0))</f>
        <v>0</v>
      </c>
      <c r="H25" s="203"/>
      <c r="S25" s="204" t="str">
        <f t="shared" ref="S25" ca="1" si="25">M23&amp;"$"</f>
        <v>2$</v>
      </c>
      <c r="T25" s="205"/>
      <c r="U25" s="202" cm="1">
        <f t="array" aca="1" ref="U25" ca="1">IF($R23=2,
         IF(AND(ACOMPANHAMENTO="PLE",ISNUMBER($F23)),
                SUMIF((OFFSET(CÁLCULO!$BC$15:$BU$15,$F23,0,OFFSET(ORÇAMENTO!$D$15,CRONO!$F23,0))),CRONO!U$12,OFFSET(CÁLCULO!$AJ$15:$BB$15,$F23,0,OFFSET(ORÇAMENTO!$D$15,CRONO!$F23,0)))
                +IF(AND($F25&lt;&gt;"",$F25&lt;&gt;0),
                        SUMIF(CÁLCULO!$BC$15:$BU$508,CRONO!U$12,CÁLCULO!$AJ$15:$BB$508)/(ORÇAMENTO!$X$15-_xlfn.SINGLE(CÁLCULO.TotalAdmLocal))*CRONO!$F25,
                        0),
                 U24*$S23),
          SUMIF(OFFSET($S25,1,0,$R23-2),($M23+1)&amp;"$",OFFSET(U25,1,0,$R23-2)))</f>
        <v>53949.618231</v>
      </c>
      <c r="V25" s="202" cm="1">
        <f t="array" aca="1" ref="V25" ca="1">IF($R23=2,
         IF(AND(ACOMPANHAMENTO="PLE",ISNUMBER($F23)),
                SUMIF((OFFSET(CÁLCULO!$BC$15:$BU$15,$F23,0,OFFSET(ORÇAMENTO!$D$15,CRONO!$F23,0))),CRONO!V$12,OFFSET(CÁLCULO!$AJ$15:$BB$15,$F23,0,OFFSET(ORÇAMENTO!$D$15,CRONO!$F23,0)))
                +IF(AND($F25&lt;&gt;"",$F25&lt;&gt;0),
                        SUMIF(CÁLCULO!$BC$15:$BU$508,CRONO!V$12,CÁLCULO!$AJ$15:$BB$508)/(ORÇAMENTO!$X$15-_xlfn.SINGLE(CÁLCULO.TotalAdmLocal))*CRONO!$F25,
                        0),
                 V24*$S23),
          SUMIF(OFFSET($S25,1,0,$R23-2),($M23+1)&amp;"$",OFFSET(V25,1,0,$R23-2)))</f>
        <v>11872.213848000001</v>
      </c>
      <c r="W25" s="202" cm="1">
        <f t="array" aca="1" ref="W25" ca="1">IF($R23=2,
         IF(AND(ACOMPANHAMENTO="PLE",ISNUMBER($F23)),
                SUMIF((OFFSET(CÁLCULO!$BC$15:$BU$15,$F23,0,OFFSET(ORÇAMENTO!$D$15,CRONO!$F23,0))),CRONO!W$12,OFFSET(CÁLCULO!$AJ$15:$BB$15,$F23,0,OFFSET(ORÇAMENTO!$D$15,CRONO!$F23,0)))
                +IF(AND($F25&lt;&gt;"",$F25&lt;&gt;0),
                        SUMIF(CÁLCULO!$BC$15:$BU$508,CRONO!W$12,CÁLCULO!$AJ$15:$BB$508)/(ORÇAMENTO!$X$15-_xlfn.SINGLE(CÁLCULO.TotalAdmLocal))*CRONO!$F25,
                        0),
                 W24*$S23),
          SUMIF(OFFSET($S25,1,0,$R23-2),($M23+1)&amp;"$",OFFSET(W25,1,0,$R23-2)))</f>
        <v>12112.056552</v>
      </c>
      <c r="X25" s="202" cm="1">
        <f t="array" aca="1" ref="X25" ca="1">IF($R23=2,
         IF(AND(ACOMPANHAMENTO="PLE",ISNUMBER($F23)),
                SUMIF((OFFSET(CÁLCULO!$BC$15:$BU$15,$F23,0,OFFSET(ORÇAMENTO!$D$15,CRONO!$F23,0))),CRONO!X$12,OFFSET(CÁLCULO!$AJ$15:$BB$15,$F23,0,OFFSET(ORÇAMENTO!$D$15,CRONO!$F23,0)))
                +IF(AND($F25&lt;&gt;"",$F25&lt;&gt;0),
                        SUMIF(CÁLCULO!$BC$15:$BU$508,CRONO!X$12,CÁLCULO!$AJ$15:$BB$508)/(ORÇAMENTO!$X$15-_xlfn.SINGLE(CÁLCULO.TotalAdmLocal))*CRONO!$F25,
                        0),
                 X24*$S23),
          SUMIF(OFFSET($S25,1,0,$R23-2),($M23+1)&amp;"$",OFFSET(X25,1,0,$R23-2)))</f>
        <v>14945.198493</v>
      </c>
      <c r="Y25" s="202" cm="1">
        <f t="array" aca="1" ref="Y25" ca="1">IF($R23=2,
         IF(AND(ACOMPANHAMENTO="PLE",ISNUMBER($F23)),
                SUMIF((OFFSET(CÁLCULO!$BC$15:$BU$15,$F23,0,OFFSET(ORÇAMENTO!$D$15,CRONO!$F23,0))),CRONO!Y$12,OFFSET(CÁLCULO!$AJ$15:$BB$15,$F23,0,OFFSET(ORÇAMENTO!$D$15,CRONO!$F23,0)))
                +IF(AND($F25&lt;&gt;"",$F25&lt;&gt;0),
                        SUMIF(CÁLCULO!$BC$15:$BU$508,CRONO!Y$12,CÁLCULO!$AJ$15:$BB$508)/(ORÇAMENTO!$X$15-_xlfn.SINGLE(CÁLCULO.TotalAdmLocal))*CRONO!$F25,
                        0),
                 Y24*$S23),
          SUMIF(OFFSET($S25,1,0,$R23-2),($M23+1)&amp;"$",OFFSET(Y25,1,0,$R23-2)))</f>
        <v>14945.198493</v>
      </c>
      <c r="Z25" s="202" cm="1">
        <f t="array" aca="1" ref="Z25" ca="1">IF($R23=2,
         IF(AND(ACOMPANHAMENTO="PLE",ISNUMBER($F23)),
                SUMIF((OFFSET(CÁLCULO!$BC$15:$BU$15,$F23,0,OFFSET(ORÇAMENTO!$D$15,CRONO!$F23,0))),CRONO!Z$12,OFFSET(CÁLCULO!$AJ$15:$BB$15,$F23,0,OFFSET(ORÇAMENTO!$D$15,CRONO!$F23,0)))
                +IF(AND($F25&lt;&gt;"",$F25&lt;&gt;0),
                        SUMIF(CÁLCULO!$BC$15:$BU$508,CRONO!Z$12,CÁLCULO!$AJ$15:$BB$508)/(ORÇAMENTO!$X$15-_xlfn.SINGLE(CÁLCULO.TotalAdmLocal))*CRONO!$F25,
                        0),
                 Z24*$S23),
          SUMIF(OFFSET($S25,1,0,$R23-2),($M23+1)&amp;"$",OFFSET(Z25,1,0,$R23-2)))</f>
        <v>14945.198493</v>
      </c>
      <c r="AA25" s="202" cm="1">
        <f t="array" aca="1" ref="AA25" ca="1">IF($R23=2,
         IF(AND(ACOMPANHAMENTO="PLE",ISNUMBER($F23)),
                SUMIF((OFFSET(CÁLCULO!$BC$15:$BU$15,$F23,0,OFFSET(ORÇAMENTO!$D$15,CRONO!$F23,0))),CRONO!AA$12,OFFSET(CÁLCULO!$AJ$15:$BB$15,$F23,0,OFFSET(ORÇAMENTO!$D$15,CRONO!$F23,0)))
                +IF(AND($F25&lt;&gt;"",$F25&lt;&gt;0),
                        SUMIF(CÁLCULO!$BC$15:$BU$508,CRONO!AA$12,CÁLCULO!$AJ$15:$BB$508)/(ORÇAMENTO!$X$15-_xlfn.SINGLE(CÁLCULO.TotalAdmLocal))*CRONO!$F25,
                        0),
                 AA24*$S23),
          SUMIF(OFFSET($S25,1,0,$R23-2),($M23+1)&amp;"$",OFFSET(AA25,1,0,$R23-2)))</f>
        <v>9039.0719069999996</v>
      </c>
      <c r="AB25" s="202" cm="1">
        <f t="array" aca="1" ref="AB25" ca="1">IF($R23=2,
         IF(AND(ACOMPANHAMENTO="PLE",ISNUMBER($F23)),
                SUMIF((OFFSET(CÁLCULO!$BC$15:$BU$15,$F23,0,OFFSET(ORÇAMENTO!$D$15,CRONO!$F23,0))),CRONO!AB$12,OFFSET(CÁLCULO!$AJ$15:$BB$15,$F23,0,OFFSET(ORÇAMENTO!$D$15,CRONO!$F23,0)))
                +IF(AND($F25&lt;&gt;"",$F25&lt;&gt;0),
                        SUMIF(CÁLCULO!$BC$15:$BU$508,CRONO!AB$12,CÁLCULO!$AJ$15:$BB$508)/(ORÇAMENTO!$X$15-_xlfn.SINGLE(CÁLCULO.TotalAdmLocal))*CRONO!$F25,
                        0),
                 AB24*$S23),
          SUMIF(OFFSET($S25,1,0,$R23-2),($M23+1)&amp;"$",OFFSET(AB25,1,0,$R23-2)))</f>
        <v>4527.0310380000001</v>
      </c>
      <c r="AC25" s="202" cm="1">
        <f t="array" aca="1" ref="AC25" ca="1">IF($R23=2,
         IF(AND(ACOMPANHAMENTO="PLE",ISNUMBER($F23)),
                SUMIF((OFFSET(CÁLCULO!$BC$15:$BU$15,$F23,0,OFFSET(ORÇAMENTO!$D$15,CRONO!$F23,0))),CRONO!AC$12,OFFSET(CÁLCULO!$AJ$15:$BB$15,$F23,0,OFFSET(ORÇAMENTO!$D$15,CRONO!$F23,0)))
                +IF(AND($F25&lt;&gt;"",$F25&lt;&gt;0),
                        SUMIF(CÁLCULO!$BC$15:$BU$508,CRONO!AC$12,CÁLCULO!$AJ$15:$BB$508)/(ORÇAMENTO!$X$15-_xlfn.SINGLE(CÁLCULO.TotalAdmLocal))*CRONO!$F25,
                        0),
                 AC24*$S23),
          SUMIF(OFFSET($S25,1,0,$R23-2),($M23+1)&amp;"$",OFFSET(AC25,1,0,$R23-2)))</f>
        <v>4527.0310380000001</v>
      </c>
      <c r="AD25" s="202" cm="1">
        <f t="array" aca="1" ref="AD25" ca="1">IF($R23=2,
         IF(AND(ACOMPANHAMENTO="PLE",ISNUMBER($F23)),
                SUMIF((OFFSET(CÁLCULO!$BC$15:$BU$15,$F23,0,OFFSET(ORÇAMENTO!$D$15,CRONO!$F23,0))),CRONO!AD$12,OFFSET(CÁLCULO!$AJ$15:$BB$15,$F23,0,OFFSET(ORÇAMENTO!$D$15,CRONO!$F23,0)))
                +IF(AND($F25&lt;&gt;"",$F25&lt;&gt;0),
                        SUMIF(CÁLCULO!$BC$15:$BU$508,CRONO!AD$12,CÁLCULO!$AJ$15:$BB$508)/(ORÇAMENTO!$X$15-_xlfn.SINGLE(CÁLCULO.TotalAdmLocal))*CRONO!$F25,
                        0),
                 AD24*$S23),
          SUMIF(OFFSET($S25,1,0,$R23-2),($M23+1)&amp;"$",OFFSET(AD25,1,0,$R23-2)))</f>
        <v>9039.0719069999996</v>
      </c>
      <c r="AE25" s="202" cm="1">
        <f t="array" aca="1" ref="AE25" ca="1">IF($R23=2,
         IF(AND(ACOMPANHAMENTO="PLE",ISNUMBER($F23)),
                SUMIF((OFFSET(CÁLCULO!$BC$15:$BU$15,$F23,0,OFFSET(ORÇAMENTO!$D$15,CRONO!$F23,0))),CRONO!AE$12,OFFSET(CÁLCULO!$AJ$15:$BB$15,$F23,0,OFFSET(ORÇAMENTO!$D$15,CRONO!$F23,0)))
                +IF(AND($F25&lt;&gt;"",$F25&lt;&gt;0),
                        SUMIF(CÁLCULO!$BC$15:$BU$508,CRONO!AE$12,CÁLCULO!$AJ$15:$BB$508)/(ORÇAMENTO!$X$15-_xlfn.SINGLE(CÁLCULO.TotalAdmLocal))*CRONO!$F25,
                        0),
                 AE24*$S23),
          SUMIF(OFFSET($S25,1,0,$R23-2),($M23+1)&amp;"$",OFFSET(AE25,1,0,$R23-2)))</f>
        <v>0</v>
      </c>
      <c r="AF25" s="202" cm="1">
        <f t="array" aca="1" ref="AF25" ca="1">IF($R23=2,
         IF(AND(ACOMPANHAMENTO="PLE",ISNUMBER($F23)),
                SUMIF((OFFSET(CÁLCULO!$BC$15:$BU$15,$F23,0,OFFSET(ORÇAMENTO!$D$15,CRONO!$F23,0))),CRONO!AF$12,OFFSET(CÁLCULO!$AJ$15:$BB$15,$F23,0,OFFSET(ORÇAMENTO!$D$15,CRONO!$F23,0)))
                +IF(AND($F25&lt;&gt;"",$F25&lt;&gt;0),
                        SUMIF(CÁLCULO!$BC$15:$BU$508,CRONO!AF$12,CÁLCULO!$AJ$15:$BB$508)/(ORÇAMENTO!$X$15-_xlfn.SINGLE(CÁLCULO.TotalAdmLocal))*CRONO!$F25,
                        0),
                 AF24*$S23),
          SUMIF(OFFSET($S25,1,0,$R23-2),($M23+1)&amp;"$",OFFSET(AF25,1,0,$R23-2)))</f>
        <v>0</v>
      </c>
      <c r="AG25" s="534"/>
    </row>
    <row r="26" spans="1:33" x14ac:dyDescent="0.2">
      <c r="A26" s="186" t="str">
        <f t="shared" ref="A26" ca="1" si="26">IF($M26&gt;1,_xlfn.CONCAT($I26," ",$J26),"")</f>
        <v>1.4. TERRAPLENAGEM</v>
      </c>
      <c r="B26" s="185">
        <f t="shared" ref="B26" ca="1" si="27">OFFSET(B26,-3,0)+1</f>
        <v>5</v>
      </c>
      <c r="C26" s="185">
        <f ca="1">IF($R26&lt;&gt;2,0,IF($S26=0,1,IF(F27&gt;0,OFFSET(QCI!$M$13,SUBSTITUTE(F27,".",""),0),OFFSET(ORÇAMENTO!$AA$15,CRONO!$F26,0))/$S26))</f>
        <v>0</v>
      </c>
      <c r="D26" s="185">
        <f ca="1">IF($R26&lt;&gt;2,0,IF($S26=0,1,IF(F27&gt;0,OFFSET(QCI!$N$13,SUBSTITUTE(F27,".",""),0),OFFSET(ORÇAMENTO!$AB$15,CRONO!$F26,0))/$S26))</f>
        <v>0</v>
      </c>
      <c r="E26" s="188" cm="1">
        <f t="array" aca="1" ref="E26" ca="1">IF(AND($R26=2,ACOMPANHAMENTO="BM"),ROUND(E27,4),E28/$S26)</f>
        <v>0</v>
      </c>
      <c r="F26" s="185">
        <f ca="1">IF(B26&lt;=ORÇAMENTO.MáximoListaCrono,MATCH(B26,ORÇAMENTO.ListaCrono,0),NA())</f>
        <v>33</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TERRAPLENAGEM</v>
      </c>
      <c r="K26" s="191"/>
      <c r="L26" s="191"/>
      <c r="M26" s="192">
        <f ca="1">IF($F27=0,OFFSET(ORÇAMENTO!C$15,$F26,0),1)</f>
        <v>2</v>
      </c>
      <c r="N26" s="193">
        <f ca="1">IF($F27=-1,0,IF(N$13&lt;=$M26,IF(ISERROR(MATCH(N$13,OFFSET($M26,1,0,ROW($M$56)-ROW($M26)-1),0)),ROW($M$56)-ROW($M26)-1,MATCH(N$13,OFFSET($M26,1,0,ROW($M$56)-ROW($M26)-1),0)-1),0))</f>
        <v>20</v>
      </c>
      <c r="O26" s="193">
        <f ca="1">IF($F27=-1,0,IF(O$13&lt;=$M26,IF(ISERROR(MATCH(O$13,OFFSET($M26,1,0,ROW($M$56)-ROW($M26)-1),0)),ROW($M$56)-ROW($M26)-1,MATCH(O$13,OFFSET($M26,1,0,ROW($M$56)-ROW($M26)-1),0)-1),0))</f>
        <v>2</v>
      </c>
      <c r="P26" s="193">
        <f ca="1">IF($F27=-1,0,IF(P$13&lt;=$M26,IF(ISERROR(MATCH(P$13,OFFSET($M26,1,0,ROW($M$56)-ROW($M26)-1),0)),ROW($M$56)-ROW($M26)-1,MATCH(P$13,OFFSET($M26,1,0,ROW($M$56)-ROW($M26)-1),0)-1),0))</f>
        <v>0</v>
      </c>
      <c r="Q26" s="193">
        <f ca="1">IF($F27=-1,0,IF(Q$13&lt;=$M26,IF(ISERROR(MATCH(Q$13,OFFSET($M26,1,0,ROW($M$56)-ROW($M26)-1),0)),ROW($M$56)-ROW($M26)-1,MATCH(Q$13,OFFSET($M26,1,0,ROW($M$56)-ROW($M26)-1),0)-1),0))</f>
        <v>0</v>
      </c>
      <c r="R26" s="193">
        <f t="shared" ref="R26" ca="1" si="29">MIN(OFFSET(M26,0,1,,M26))</f>
        <v>2</v>
      </c>
      <c r="S26" s="194">
        <f ca="1">IF($F27=0,OFFSET(ORÇAMENTO!X$15,$F26,0),IF($F27&lt;&gt;-1,OFFSET(QCI!$O$13,$F27,0),""))</f>
        <v>439770.36</v>
      </c>
      <c r="T26" s="195" t="s">
        <v>785</v>
      </c>
      <c r="U26" s="188" cm="1">
        <f t="array" aca="1" ref="U26" ca="1">IF(AND($R26=2,ACOMPANHAMENTO="BM"),ROUND(U27,4),U28/$S26)</f>
        <v>1</v>
      </c>
      <c r="V26" s="188" cm="1">
        <f t="array" aca="1" ref="V26" ca="1">IF(AND($R26=2,ACOMPANHAMENTO="BM"),ROUND(V27,4),V28/$S26)</f>
        <v>0</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IF(ISERROR(F26),IF(1+COUNTIF($M$13:OFFSET(M26,-1,0),1)&lt;=MAX(QCI!$D$13:$D$15),1+COUNTIF($M$13:OFFSET(M26,-1,0),1),-1),0)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v>1</v>
      </c>
      <c r="V27" s="587"/>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SUMIF((OFFSET(CÁLCULO!$BC$15:$BU$15,$F26,0,OFFSET(ORÇAMENTO!$D$15,CRONO!$F26,0))),CRONO!E$12,OFFSET(CÁLCULO!$AJ$15:$BB$15,$F26,0,OFFSET(ORÇAMENTO!$D$15,CRONO!$F26,0)))
                +IF(AND($F28&lt;&gt;"",$F28&lt;&gt;0),
                        SUMIF(CÁLCULO!$BC$15:$BU$508,CRONO!E$12,CÁLCULO!$AJ$15:$BB$508)/(ORÇAMENTO!$X$15-_xlfn.SINGLE(CÁLCULO.TotalAdmLocal))*CRONO!$F28,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203"/>
      <c r="S28" s="204" t="str">
        <f t="shared" ref="S28" ca="1" si="31">M26&amp;"$"</f>
        <v>2$</v>
      </c>
      <c r="T28" s="205"/>
      <c r="U28" s="202" cm="1">
        <f t="array" aca="1" ref="U28" ca="1">IF($R26=2,
         IF(AND(ACOMPANHAMENTO="PLE",ISNUMBER($F26)),
                SUMIF((OFFSET(CÁLCULO!$BC$15:$BU$15,$F26,0,OFFSET(ORÇAMENTO!$D$15,CRONO!$F26,0))),CRONO!U$12,OFFSET(CÁLCULO!$AJ$15:$BB$15,$F26,0,OFFSET(ORÇAMENTO!$D$15,CRONO!$F26,0)))
                +IF(AND($F28&lt;&gt;"",$F28&lt;&gt;0),
                        SUMIF(CÁLCULO!$BC$15:$BU$508,CRONO!U$12,CÁLCULO!$AJ$15:$BB$508)/(ORÇAMENTO!$X$15-_xlfn.SINGLE(CÁLCULO.TotalAdmLocal))*CRONO!$F28,
                        0),
                 U27*$S26),
          SUMIF(OFFSET($S28,1,0,$R26-2),($M26+1)&amp;"$",OFFSET(U28,1,0,$R26-2)))</f>
        <v>439770.36</v>
      </c>
      <c r="V28" s="202" cm="1">
        <f t="array" aca="1" ref="V28" ca="1">IF($R26=2,
         IF(AND(ACOMPANHAMENTO="PLE",ISNUMBER($F26)),
                SUMIF((OFFSET(CÁLCULO!$BC$15:$BU$15,$F26,0,OFFSET(ORÇAMENTO!$D$15,CRONO!$F26,0))),CRONO!V$12,OFFSET(CÁLCULO!$AJ$15:$BB$15,$F26,0,OFFSET(ORÇAMENTO!$D$15,CRONO!$F26,0)))
                +IF(AND($F28&lt;&gt;"",$F28&lt;&gt;0),
                        SUMIF(CÁLCULO!$BC$15:$BU$508,CRONO!V$12,CÁLCULO!$AJ$15:$BB$508)/(ORÇAMENTO!$X$15-_xlfn.SINGLE(CÁLCULO.TotalAdmLocal))*CRONO!$F28,
                        0),
                 V27*$S26),
          SUMIF(OFFSET($S28,1,0,$R26-2),($M26+1)&amp;"$",OFFSET(V28,1,0,$R26-2)))</f>
        <v>0</v>
      </c>
      <c r="W28" s="202" cm="1">
        <f t="array" aca="1" ref="W28" ca="1">IF($R26=2,
         IF(AND(ACOMPANHAMENTO="PLE",ISNUMBER($F26)),
                SUMIF((OFFSET(CÁLCULO!$BC$15:$BU$15,$F26,0,OFFSET(ORÇAMENTO!$D$15,CRONO!$F26,0))),CRONO!W$12,OFFSET(CÁLCULO!$AJ$15:$BB$15,$F26,0,OFFSET(ORÇAMENTO!$D$15,CRONO!$F26,0)))
                +IF(AND($F28&lt;&gt;"",$F28&lt;&gt;0),
                        SUMIF(CÁLCULO!$BC$15:$BU$508,CRONO!W$12,CÁLCULO!$AJ$15:$BB$508)/(ORÇAMENTO!$X$15-_xlfn.SINGLE(CÁLCULO.TotalAdmLocal))*CRONO!$F28,
                        0),
                 W27*$S26),
          SUMIF(OFFSET($S28,1,0,$R26-2),($M26+1)&amp;"$",OFFSET(W28,1,0,$R26-2)))</f>
        <v>0</v>
      </c>
      <c r="X28" s="202" cm="1">
        <f t="array" aca="1" ref="X28" ca="1">IF($R26=2,
         IF(AND(ACOMPANHAMENTO="PLE",ISNUMBER($F26)),
                SUMIF((OFFSET(CÁLCULO!$BC$15:$BU$15,$F26,0,OFFSET(ORÇAMENTO!$D$15,CRONO!$F26,0))),CRONO!X$12,OFFSET(CÁLCULO!$AJ$15:$BB$15,$F26,0,OFFSET(ORÇAMENTO!$D$15,CRONO!$F26,0)))
                +IF(AND($F28&lt;&gt;"",$F28&lt;&gt;0),
                        SUMIF(CÁLCULO!$BC$15:$BU$508,CRONO!X$12,CÁLCULO!$AJ$15:$BB$508)/(ORÇAMENTO!$X$15-_xlfn.SINGLE(CÁLCULO.TotalAdmLocal))*CRONO!$F28,
                        0),
                 X27*$S26),
          SUMIF(OFFSET($S28,1,0,$R26-2),($M26+1)&amp;"$",OFFSET(X28,1,0,$R26-2)))</f>
        <v>0</v>
      </c>
      <c r="Y28" s="202" cm="1">
        <f t="array" aca="1" ref="Y28" ca="1">IF($R26=2,
         IF(AND(ACOMPANHAMENTO="PLE",ISNUMBER($F26)),
                SUMIF((OFFSET(CÁLCULO!$BC$15:$BU$15,$F26,0,OFFSET(ORÇAMENTO!$D$15,CRONO!$F26,0))),CRONO!Y$12,OFFSET(CÁLCULO!$AJ$15:$BB$15,$F26,0,OFFSET(ORÇAMENTO!$D$15,CRONO!$F26,0)))
                +IF(AND($F28&lt;&gt;"",$F28&lt;&gt;0),
                        SUMIF(CÁLCULO!$BC$15:$BU$508,CRONO!Y$12,CÁLCULO!$AJ$15:$BB$508)/(ORÇAMENTO!$X$15-_xlfn.SINGLE(CÁLCULO.TotalAdmLocal))*CRONO!$F28,
                        0),
                 Y27*$S26),
          SUMIF(OFFSET($S28,1,0,$R26-2),($M26+1)&amp;"$",OFFSET(Y28,1,0,$R26-2)))</f>
        <v>0</v>
      </c>
      <c r="Z28" s="202" cm="1">
        <f t="array" aca="1" ref="Z28" ca="1">IF($R26=2,
         IF(AND(ACOMPANHAMENTO="PLE",ISNUMBER($F26)),
                SUMIF((OFFSET(CÁLCULO!$BC$15:$BU$15,$F26,0,OFFSET(ORÇAMENTO!$D$15,CRONO!$F26,0))),CRONO!Z$12,OFFSET(CÁLCULO!$AJ$15:$BB$15,$F26,0,OFFSET(ORÇAMENTO!$D$15,CRONO!$F26,0)))
                +IF(AND($F28&lt;&gt;"",$F28&lt;&gt;0),
                        SUMIF(CÁLCULO!$BC$15:$BU$508,CRONO!Z$12,CÁLCULO!$AJ$15:$BB$508)/(ORÇAMENTO!$X$15-_xlfn.SINGLE(CÁLCULO.TotalAdmLocal))*CRONO!$F28,
                        0),
                 Z27*$S26),
          SUMIF(OFFSET($S28,1,0,$R26-2),($M26+1)&amp;"$",OFFSET(Z28,1,0,$R26-2)))</f>
        <v>0</v>
      </c>
      <c r="AA28" s="202" cm="1">
        <f t="array" aca="1" ref="AA28" ca="1">IF($R26=2,
         IF(AND(ACOMPANHAMENTO="PLE",ISNUMBER($F26)),
                SUMIF((OFFSET(CÁLCULO!$BC$15:$BU$15,$F26,0,OFFSET(ORÇAMENTO!$D$15,CRONO!$F26,0))),CRONO!AA$12,OFFSET(CÁLCULO!$AJ$15:$BB$15,$F26,0,OFFSET(ORÇAMENTO!$D$15,CRONO!$F26,0)))
                +IF(AND($F28&lt;&gt;"",$F28&lt;&gt;0),
                        SUMIF(CÁLCULO!$BC$15:$BU$508,CRONO!AA$12,CÁLCULO!$AJ$15:$BB$508)/(ORÇAMENTO!$X$15-_xlfn.SINGLE(CÁLCULO.TotalAdmLocal))*CRONO!$F28,
                        0),
                 AA27*$S26),
          SUMIF(OFFSET($S28,1,0,$R26-2),($M26+1)&amp;"$",OFFSET(AA28,1,0,$R26-2)))</f>
        <v>0</v>
      </c>
      <c r="AB28" s="202" cm="1">
        <f t="array" aca="1" ref="AB28" ca="1">IF($R26=2,
         IF(AND(ACOMPANHAMENTO="PLE",ISNUMBER($F26)),
                SUMIF((OFFSET(CÁLCULO!$BC$15:$BU$15,$F26,0,OFFSET(ORÇAMENTO!$D$15,CRONO!$F26,0))),CRONO!AB$12,OFFSET(CÁLCULO!$AJ$15:$BB$15,$F26,0,OFFSET(ORÇAMENTO!$D$15,CRONO!$F26,0)))
                +IF(AND($F28&lt;&gt;"",$F28&lt;&gt;0),
                        SUMIF(CÁLCULO!$BC$15:$BU$508,CRONO!AB$12,CÁLCULO!$AJ$15:$BB$508)/(ORÇAMENTO!$X$15-_xlfn.SINGLE(CÁLCULO.TotalAdmLocal))*CRONO!$F28,
                        0),
                 AB27*$S26),
          SUMIF(OFFSET($S28,1,0,$R26-2),($M26+1)&amp;"$",OFFSET(AB28,1,0,$R26-2)))</f>
        <v>0</v>
      </c>
      <c r="AC28" s="202" cm="1">
        <f t="array" aca="1" ref="AC28" ca="1">IF($R26=2,
         IF(AND(ACOMPANHAMENTO="PLE",ISNUMBER($F26)),
                SUMIF((OFFSET(CÁLCULO!$BC$15:$BU$15,$F26,0,OFFSET(ORÇAMENTO!$D$15,CRONO!$F26,0))),CRONO!AC$12,OFFSET(CÁLCULO!$AJ$15:$BB$15,$F26,0,OFFSET(ORÇAMENTO!$D$15,CRONO!$F26,0)))
                +IF(AND($F28&lt;&gt;"",$F28&lt;&gt;0),
                        SUMIF(CÁLCULO!$BC$15:$BU$508,CRONO!AC$12,CÁLCULO!$AJ$15:$BB$508)/(ORÇAMENTO!$X$15-_xlfn.SINGLE(CÁLCULO.TotalAdmLocal))*CRONO!$F28,
                        0),
                 AC27*$S26),
          SUMIF(OFFSET($S28,1,0,$R26-2),($M26+1)&amp;"$",OFFSET(AC28,1,0,$R26-2)))</f>
        <v>0</v>
      </c>
      <c r="AD28" s="202" cm="1">
        <f t="array" aca="1" ref="AD28" ca="1">IF($R26=2,
         IF(AND(ACOMPANHAMENTO="PLE",ISNUMBER($F26)),
                SUMIF((OFFSET(CÁLCULO!$BC$15:$BU$15,$F26,0,OFFSET(ORÇAMENTO!$D$15,CRONO!$F26,0))),CRONO!AD$12,OFFSET(CÁLCULO!$AJ$15:$BB$15,$F26,0,OFFSET(ORÇAMENTO!$D$15,CRONO!$F26,0)))
                +IF(AND($F28&lt;&gt;"",$F28&lt;&gt;0),
                        SUMIF(CÁLCULO!$BC$15:$BU$508,CRONO!AD$12,CÁLCULO!$AJ$15:$BB$508)/(ORÇAMENTO!$X$15-_xlfn.SINGLE(CÁLCULO.TotalAdmLocal))*CRONO!$F28,
                        0),
                 AD27*$S26),
          SUMIF(OFFSET($S28,1,0,$R26-2),($M26+1)&amp;"$",OFFSET(AD28,1,0,$R26-2)))</f>
        <v>0</v>
      </c>
      <c r="AE28" s="202" cm="1">
        <f t="array" aca="1" ref="AE28" ca="1">IF($R26=2,
         IF(AND(ACOMPANHAMENTO="PLE",ISNUMBER($F26)),
                SUMIF((OFFSET(CÁLCULO!$BC$15:$BU$15,$F26,0,OFFSET(ORÇAMENTO!$D$15,CRONO!$F26,0))),CRONO!AE$12,OFFSET(CÁLCULO!$AJ$15:$BB$15,$F26,0,OFFSET(ORÇAMENTO!$D$15,CRONO!$F26,0)))
                +IF(AND($F28&lt;&gt;"",$F28&lt;&gt;0),
                        SUMIF(CÁLCULO!$BC$15:$BU$508,CRONO!AE$12,CÁLCULO!$AJ$15:$BB$508)/(ORÇAMENTO!$X$15-_xlfn.SINGLE(CÁLCULO.TotalAdmLocal))*CRONO!$F28,
                        0),
                 AE27*$S26),
          SUMIF(OFFSET($S28,1,0,$R26-2),($M26+1)&amp;"$",OFFSET(AE28,1,0,$R26-2)))</f>
        <v>0</v>
      </c>
      <c r="AF28" s="202" cm="1">
        <f t="array" aca="1" ref="AF28" ca="1">IF($R26=2,
         IF(AND(ACOMPANHAMENTO="PLE",ISNUMBER($F26)),
                SUMIF((OFFSET(CÁLCULO!$BC$15:$BU$15,$F26,0,OFFSET(ORÇAMENTO!$D$15,CRONO!$F26,0))),CRONO!AF$12,OFFSET(CÁLCULO!$AJ$15:$BB$15,$F26,0,OFFSET(ORÇAMENTO!$D$15,CRONO!$F26,0)))
                +IF(AND($F28&lt;&gt;"",$F28&lt;&gt;0),
                        SUMIF(CÁLCULO!$BC$15:$BU$508,CRONO!AF$12,CÁLCULO!$AJ$15:$BB$508)/(ORÇAMENTO!$X$15-_xlfn.SINGLE(CÁLCULO.TotalAdmLocal))*CRONO!$F28,
                        0),
                 AF27*$S26),
          SUMIF(OFFSET($S28,1,0,$R26-2),($M26+1)&amp;"$",OFFSET(AF28,1,0,$R26-2)))</f>
        <v>0</v>
      </c>
      <c r="AG28" s="534"/>
    </row>
    <row r="29" spans="1:33" x14ac:dyDescent="0.2">
      <c r="A29" s="186" t="str">
        <f t="shared" ref="A29" ca="1" si="32">IF($M29&gt;1,_xlfn.CONCAT($I29," ",$J29),"")</f>
        <v>1.5. ESTRUTURAS DE CONCRETO</v>
      </c>
      <c r="B29" s="185">
        <f t="shared" ref="B29" ca="1" si="33">OFFSET(B29,-3,0)+1</f>
        <v>6</v>
      </c>
      <c r="C29" s="185">
        <f ca="1">IF($R29&lt;&gt;2,0,IF($S29=0,1,IF(F30&gt;0,OFFSET(QCI!$M$13,SUBSTITUTE(F30,".",""),0),OFFSET(ORÇAMENTO!$AA$15,CRONO!$F29,0))/$S29))</f>
        <v>0</v>
      </c>
      <c r="D29" s="185">
        <f ca="1">IF($R29&lt;&gt;2,0,IF($S29=0,1,IF(F30&gt;0,OFFSET(QCI!$N$13,SUBSTITUTE(F30,".",""),0),OFFSET(ORÇAMENTO!$AB$15,CRONO!$F29,0))/$S29))</f>
        <v>0</v>
      </c>
      <c r="E29" s="188" cm="1">
        <f t="array" aca="1" ref="E29" ca="1">IF(AND($R29=2,ACOMPANHAMENTO="BM"),ROUND(E30,4),E31/$S29)</f>
        <v>0</v>
      </c>
      <c r="F29" s="185">
        <f ca="1">IF(B29&lt;=ORÇAMENTO.MáximoListaCrono,MATCH(B29,ORÇAMENTO.ListaCrono,0),NA())</f>
        <v>44</v>
      </c>
      <c r="G29" s="185" t="str">
        <f t="shared" ref="G29" ca="1" si="34">IF(AND($F30&lt;&gt;-1,$S29&gt;0),"F","")</f>
        <v>F</v>
      </c>
      <c r="H29" s="189" cm="1">
        <f t="array" aca="1" ref="H29" ca="1">IF(OR(S29=0,S29=""),"Linha",IF(AND(OR(ACOMPANHAMENTO="PLE",$R29&lt;&gt;2),$F30=0),"Linha",ROUND(1-SUM(U29:AG29),4)))</f>
        <v>0</v>
      </c>
      <c r="I29" s="190" t="str">
        <f ca="1">IF($F30=0,OFFSET(ORÇAMENTO!O$15,$F29,0),IF($F30&lt;&gt;-1,OFFSET(QCI!$D$13,$F30,0),""))</f>
        <v>1.5.</v>
      </c>
      <c r="J29" s="191" t="str">
        <f ca="1">IF($F30=0,OFFSET(ORÇAMENTO!R$15,$F29,0),IF($F30&lt;&gt;-1,OFFSET(QCI!$G$13,$F30,0),""))</f>
        <v>ESTRUTURAS DE CONCRETO</v>
      </c>
      <c r="K29" s="191"/>
      <c r="L29" s="191"/>
      <c r="M29" s="192">
        <f ca="1">IF($F30=0,OFFSET(ORÇAMENTO!C$15,$F29,0),1)</f>
        <v>2</v>
      </c>
      <c r="N29" s="193">
        <f ca="1">IF($F30=-1,0,IF(N$13&lt;=$M29,IF(ISERROR(MATCH(N$13,OFFSET($M29,1,0,ROW($M$56)-ROW($M29)-1),0)),ROW($M$56)-ROW($M29)-1,MATCH(N$13,OFFSET($M29,1,0,ROW($M$56)-ROW($M29)-1),0)-1),0))</f>
        <v>17</v>
      </c>
      <c r="O29" s="193">
        <f ca="1">IF($F30=-1,0,IF(O$13&lt;=$M29,IF(ISERROR(MATCH(O$13,OFFSET($M29,1,0,ROW($M$56)-ROW($M29)-1),0)),ROW($M$56)-ROW($M29)-1,MATCH(O$13,OFFSET($M29,1,0,ROW($M$56)-ROW($M29)-1),0)-1),0))</f>
        <v>2</v>
      </c>
      <c r="P29" s="193">
        <f ca="1">IF($F30=-1,0,IF(P$13&lt;=$M29,IF(ISERROR(MATCH(P$13,OFFSET($M29,1,0,ROW($M$56)-ROW($M29)-1),0)),ROW($M$56)-ROW($M29)-1,MATCH(P$13,OFFSET($M29,1,0,ROW($M$56)-ROW($M29)-1),0)-1),0))</f>
        <v>0</v>
      </c>
      <c r="Q29" s="193">
        <f ca="1">IF($F30=-1,0,IF(Q$13&lt;=$M29,IF(ISERROR(MATCH(Q$13,OFFSET($M29,1,0,ROW($M$56)-ROW($M29)-1),0)),ROW($M$56)-ROW($M29)-1,MATCH(Q$13,OFFSET($M29,1,0,ROW($M$56)-ROW($M29)-1),0)-1),0))</f>
        <v>0</v>
      </c>
      <c r="R29" s="193">
        <f t="shared" ref="R29" ca="1" si="35">MIN(OFFSET(M29,0,1,,M29))</f>
        <v>2</v>
      </c>
      <c r="S29" s="194">
        <f ca="1">IF($F30=0,OFFSET(ORÇAMENTO!X$15,$F29,0),IF($F30&lt;&gt;-1,OFFSET(QCI!$O$13,$F30,0),""))</f>
        <v>2346905.9700000002</v>
      </c>
      <c r="T29" s="195" t="s">
        <v>785</v>
      </c>
      <c r="U29" s="188" cm="1">
        <f t="array" aca="1" ref="U29" ca="1">IF(AND($R29=2,ACOMPANHAMENTO="BM"),ROUND(U30,4),U31/$S29)</f>
        <v>0</v>
      </c>
      <c r="V29" s="188" cm="1">
        <f t="array" aca="1" ref="V29" ca="1">IF(AND($R29=2,ACOMPANHAMENTO="BM"),ROUND(V30,4),V31/$S29)</f>
        <v>0.1157</v>
      </c>
      <c r="W29" s="188" cm="1">
        <f t="array" aca="1" ref="W29" ca="1">IF(AND($R29=2,ACOMPANHAMENTO="BM"),ROUND(W30,4),W31/$S29)</f>
        <v>0.38279999999999997</v>
      </c>
      <c r="X29" s="188" cm="1">
        <f t="array" aca="1" ref="X29" ca="1">IF(AND($R29=2,ACOMPANHAMENTO="BM"),ROUND(X30,4),X31/$S29)</f>
        <v>0.27660000000000001</v>
      </c>
      <c r="Y29" s="188" cm="1">
        <f t="array" aca="1" ref="Y29" ca="1">IF(AND($R29=2,ACOMPANHAMENTO="BM"),ROUND(Y30,4),Y31/$S29)</f>
        <v>0.16869999999999999</v>
      </c>
      <c r="Z29" s="188" cm="1">
        <f t="array" aca="1" ref="Z29" ca="1">IF(AND($R29=2,ACOMPANHAMENTO="BM"),ROUND(Z30,4),Z31/$S29)</f>
        <v>5.62E-2</v>
      </c>
      <c r="AA29" s="188" cm="1">
        <f t="array" aca="1" ref="AA29" ca="1">IF(AND($R29=2,ACOMPANHAMENTO="BM"),ROUND(AA30,4),AA31/$S29)</f>
        <v>0</v>
      </c>
      <c r="AB29" s="188" cm="1">
        <f t="array" aca="1" ref="AB29" ca="1">IF(AND($R29=2,ACOMPANHAMENTO="BM"),ROUND(AB30,4),AB31/$S29)</f>
        <v>0</v>
      </c>
      <c r="AC29" s="188" cm="1">
        <f t="array" aca="1" ref="AC29" ca="1">IF(AND($R29=2,ACOMPANHAMENTO="BM"),ROUND(AC30,4),AC31/$S29)</f>
        <v>0</v>
      </c>
      <c r="AD29" s="188" cm="1">
        <f t="array" aca="1" ref="AD29" ca="1">IF(AND($R29=2,ACOMPANHAMENTO="BM"),ROUND(AD30,4),AD31/$S29)</f>
        <v>0</v>
      </c>
      <c r="AE29" s="188" cm="1">
        <f t="array" aca="1" ref="AE29" ca="1">IF(AND($R29=2,ACOMPANHAMENTO="BM"),ROUND(AE30,4),AE31/$S29)</f>
        <v>0</v>
      </c>
      <c r="AF29" s="188" cm="1">
        <f t="array" aca="1" ref="AF29" ca="1">IF(AND($R29=2,ACOMPANHAMENTO="BM"),ROUND(AF30,4),AF31/$S29)</f>
        <v>0</v>
      </c>
      <c r="AG29" s="534"/>
    </row>
    <row r="30" spans="1:33" ht="12.75" customHeight="1" x14ac:dyDescent="0.2">
      <c r="E30" s="587"/>
      <c r="F30" s="185">
        <f ca="1">IF(ISERROR(F29),IF(1+COUNTIF($M$13:OFFSET(M29,-1,0),1)&lt;=MAX(QCI!$D$13:$D$15),1+COUNTIF($M$13:OFFSET(M29,-1,0),1),-1),0)</f>
        <v>0</v>
      </c>
      <c r="G30" s="185" t="str" cm="1">
        <f t="array" aca="1" ref="G30" ca="1">IF(ACOMPANHAMENTO="BM",OFFSET(G30,-1,0),"")</f>
        <v>F</v>
      </c>
      <c r="H30" s="196" t="str" cm="1">
        <f t="array" aca="1" ref="H30" ca="1">IF(OR(S29=0,S29=""),"vazia",IF(AND(OR(ACOMPANHAMENTO="PLE",$R29&lt;&gt;2),$F30=0),"calculada","--&gt;"))</f>
        <v>--&gt;</v>
      </c>
      <c r="I30" s="197"/>
      <c r="J30" s="198" t="str">
        <f t="shared" ref="J30" ca="1" si="36">IF(AND(H29&lt;&gt;0,ISNUMBER(H29)),"PREENCHA ESTA LINHA --&gt;","")</f>
        <v/>
      </c>
      <c r="K30" s="198"/>
      <c r="L30" s="198"/>
      <c r="M30" s="199"/>
      <c r="N30" s="199"/>
      <c r="O30" s="199"/>
      <c r="P30" s="199"/>
      <c r="Q30" s="199"/>
      <c r="R30" s="199"/>
      <c r="S30" s="200"/>
      <c r="T30" s="201"/>
      <c r="U30" s="587"/>
      <c r="V30" s="587">
        <v>0.1157</v>
      </c>
      <c r="W30" s="587">
        <v>0.38279999999999997</v>
      </c>
      <c r="X30" s="587">
        <v>0.27660000000000001</v>
      </c>
      <c r="Y30" s="587">
        <v>0.16869999999999999</v>
      </c>
      <c r="Z30" s="587">
        <v>5.62E-2</v>
      </c>
      <c r="AA30" s="587"/>
      <c r="AB30" s="587"/>
      <c r="AC30" s="587"/>
      <c r="AD30" s="587"/>
      <c r="AE30" s="587"/>
      <c r="AF30" s="587"/>
      <c r="AG30" s="534"/>
    </row>
    <row r="31" spans="1:33" ht="12.75" hidden="1" customHeight="1" x14ac:dyDescent="0.2">
      <c r="D31" s="533"/>
      <c r="E31" s="202" cm="1">
        <f t="array" aca="1" ref="E31" ca="1">IF($R29=2,
         IF(AND(ACOMPANHAMENTO="PLE",ISNUMBER($F29)),
                SUMIF((OFFSET(CÁLCULO!$BC$15:$BU$15,$F29,0,OFFSET(ORÇAMENTO!$D$15,CRONO!$F29,0))),CRONO!E$12,OFFSET(CÁLCULO!$AJ$15:$BB$15,$F29,0,OFFSET(ORÇAMENTO!$D$15,CRONO!$F29,0)))
                +IF(AND($F31&lt;&gt;"",$F31&lt;&gt;0),
                        SUMIF(CÁLCULO!$BC$15:$BU$508,CRONO!E$12,CÁLCULO!$AJ$15:$BB$508)/(ORÇAMENTO!$X$15-_xlfn.SINGLE(CÁLCULO.TotalAdmLocal))*CRONO!$F31,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203"/>
      <c r="S31" s="204" t="str">
        <f t="shared" ref="S31" ca="1" si="37">M29&amp;"$"</f>
        <v>2$</v>
      </c>
      <c r="T31" s="205"/>
      <c r="U31" s="202" cm="1">
        <f t="array" aca="1" ref="U31" ca="1">IF($R29=2,
         IF(AND(ACOMPANHAMENTO="PLE",ISNUMBER($F29)),
                SUMIF((OFFSET(CÁLCULO!$BC$15:$BU$15,$F29,0,OFFSET(ORÇAMENTO!$D$15,CRONO!$F29,0))),CRONO!U$12,OFFSET(CÁLCULO!$AJ$15:$BB$15,$F29,0,OFFSET(ORÇAMENTO!$D$15,CRONO!$F29,0)))
                +IF(AND($F31&lt;&gt;"",$F31&lt;&gt;0),
                        SUMIF(CÁLCULO!$BC$15:$BU$508,CRONO!U$12,CÁLCULO!$AJ$15:$BB$508)/(ORÇAMENTO!$X$15-_xlfn.SINGLE(CÁLCULO.TotalAdmLocal))*CRONO!$F31,
                        0),
                 U30*$S29),
          SUMIF(OFFSET($S31,1,0,$R29-2),($M29+1)&amp;"$",OFFSET(U31,1,0,$R29-2)))</f>
        <v>0</v>
      </c>
      <c r="V31" s="202" cm="1">
        <f t="array" aca="1" ref="V31" ca="1">IF($R29=2,
         IF(AND(ACOMPANHAMENTO="PLE",ISNUMBER($F29)),
                SUMIF((OFFSET(CÁLCULO!$BC$15:$BU$15,$F29,0,OFFSET(ORÇAMENTO!$D$15,CRONO!$F29,0))),CRONO!V$12,OFFSET(CÁLCULO!$AJ$15:$BB$15,$F29,0,OFFSET(ORÇAMENTO!$D$15,CRONO!$F29,0)))
                +IF(AND($F31&lt;&gt;"",$F31&lt;&gt;0),
                        SUMIF(CÁLCULO!$BC$15:$BU$508,CRONO!V$12,CÁLCULO!$AJ$15:$BB$508)/(ORÇAMENTO!$X$15-_xlfn.SINGLE(CÁLCULO.TotalAdmLocal))*CRONO!$F31,
                        0),
                 V30*$S29),
          SUMIF(OFFSET($S31,1,0,$R29-2),($M29+1)&amp;"$",OFFSET(V31,1,0,$R29-2)))</f>
        <v>271537.02072900004</v>
      </c>
      <c r="W31" s="202" cm="1">
        <f t="array" aca="1" ref="W31" ca="1">IF($R29=2,
         IF(AND(ACOMPANHAMENTO="PLE",ISNUMBER($F29)),
                SUMIF((OFFSET(CÁLCULO!$BC$15:$BU$15,$F29,0,OFFSET(ORÇAMENTO!$D$15,CRONO!$F29,0))),CRONO!W$12,OFFSET(CÁLCULO!$AJ$15:$BB$15,$F29,0,OFFSET(ORÇAMENTO!$D$15,CRONO!$F29,0)))
                +IF(AND($F31&lt;&gt;"",$F31&lt;&gt;0),
                        SUMIF(CÁLCULO!$BC$15:$BU$508,CRONO!W$12,CÁLCULO!$AJ$15:$BB$508)/(ORÇAMENTO!$X$15-_xlfn.SINGLE(CÁLCULO.TotalAdmLocal))*CRONO!$F31,
                        0),
                 W30*$S29),
          SUMIF(OFFSET($S31,1,0,$R29-2),($M29+1)&amp;"$",OFFSET(W31,1,0,$R29-2)))</f>
        <v>898395.60531600006</v>
      </c>
      <c r="X31" s="202" cm="1">
        <f t="array" aca="1" ref="X31" ca="1">IF($R29=2,
         IF(AND(ACOMPANHAMENTO="PLE",ISNUMBER($F29)),
                SUMIF((OFFSET(CÁLCULO!$BC$15:$BU$15,$F29,0,OFFSET(ORÇAMENTO!$D$15,CRONO!$F29,0))),CRONO!X$12,OFFSET(CÁLCULO!$AJ$15:$BB$15,$F29,0,OFFSET(ORÇAMENTO!$D$15,CRONO!$F29,0)))
                +IF(AND($F31&lt;&gt;"",$F31&lt;&gt;0),
                        SUMIF(CÁLCULO!$BC$15:$BU$508,CRONO!X$12,CÁLCULO!$AJ$15:$BB$508)/(ORÇAMENTO!$X$15-_xlfn.SINGLE(CÁLCULO.TotalAdmLocal))*CRONO!$F31,
                        0),
                 X30*$S29),
          SUMIF(OFFSET($S31,1,0,$R29-2),($M29+1)&amp;"$",OFFSET(X31,1,0,$R29-2)))</f>
        <v>649154.19130200008</v>
      </c>
      <c r="Y31" s="202" cm="1">
        <f t="array" aca="1" ref="Y31" ca="1">IF($R29=2,
         IF(AND(ACOMPANHAMENTO="PLE",ISNUMBER($F29)),
                SUMIF((OFFSET(CÁLCULO!$BC$15:$BU$15,$F29,0,OFFSET(ORÇAMENTO!$D$15,CRONO!$F29,0))),CRONO!Y$12,OFFSET(CÁLCULO!$AJ$15:$BB$15,$F29,0,OFFSET(ORÇAMENTO!$D$15,CRONO!$F29,0)))
                +IF(AND($F31&lt;&gt;"",$F31&lt;&gt;0),
                        SUMIF(CÁLCULO!$BC$15:$BU$508,CRONO!Y$12,CÁLCULO!$AJ$15:$BB$508)/(ORÇAMENTO!$X$15-_xlfn.SINGLE(CÁLCULO.TotalAdmLocal))*CRONO!$F31,
                        0),
                 Y30*$S29),
          SUMIF(OFFSET($S31,1,0,$R29-2),($M29+1)&amp;"$",OFFSET(Y31,1,0,$R29-2)))</f>
        <v>395923.03713900002</v>
      </c>
      <c r="Z31" s="202" cm="1">
        <f t="array" aca="1" ref="Z31" ca="1">IF($R29=2,
         IF(AND(ACOMPANHAMENTO="PLE",ISNUMBER($F29)),
                SUMIF((OFFSET(CÁLCULO!$BC$15:$BU$15,$F29,0,OFFSET(ORÇAMENTO!$D$15,CRONO!$F29,0))),CRONO!Z$12,OFFSET(CÁLCULO!$AJ$15:$BB$15,$F29,0,OFFSET(ORÇAMENTO!$D$15,CRONO!$F29,0)))
                +IF(AND($F31&lt;&gt;"",$F31&lt;&gt;0),
                        SUMIF(CÁLCULO!$BC$15:$BU$508,CRONO!Z$12,CÁLCULO!$AJ$15:$BB$508)/(ORÇAMENTO!$X$15-_xlfn.SINGLE(CÁLCULO.TotalAdmLocal))*CRONO!$F31,
                        0),
                 Z30*$S29),
          SUMIF(OFFSET($S31,1,0,$R29-2),($M29+1)&amp;"$",OFFSET(Z31,1,0,$R29-2)))</f>
        <v>131896.115514</v>
      </c>
      <c r="AA31" s="202" cm="1">
        <f t="array" aca="1" ref="AA31" ca="1">IF($R29=2,
         IF(AND(ACOMPANHAMENTO="PLE",ISNUMBER($F29)),
                SUMIF((OFFSET(CÁLCULO!$BC$15:$BU$15,$F29,0,OFFSET(ORÇAMENTO!$D$15,CRONO!$F29,0))),CRONO!AA$12,OFFSET(CÁLCULO!$AJ$15:$BB$15,$F29,0,OFFSET(ORÇAMENTO!$D$15,CRONO!$F29,0)))
                +IF(AND($F31&lt;&gt;"",$F31&lt;&gt;0),
                        SUMIF(CÁLCULO!$BC$15:$BU$508,CRONO!AA$12,CÁLCULO!$AJ$15:$BB$508)/(ORÇAMENTO!$X$15-_xlfn.SINGLE(CÁLCULO.TotalAdmLocal))*CRONO!$F31,
                        0),
                 AA30*$S29),
          SUMIF(OFFSET($S31,1,0,$R29-2),($M29+1)&amp;"$",OFFSET(AA31,1,0,$R29-2)))</f>
        <v>0</v>
      </c>
      <c r="AB31" s="202" cm="1">
        <f t="array" aca="1" ref="AB31" ca="1">IF($R29=2,
         IF(AND(ACOMPANHAMENTO="PLE",ISNUMBER($F29)),
                SUMIF((OFFSET(CÁLCULO!$BC$15:$BU$15,$F29,0,OFFSET(ORÇAMENTO!$D$15,CRONO!$F29,0))),CRONO!AB$12,OFFSET(CÁLCULO!$AJ$15:$BB$15,$F29,0,OFFSET(ORÇAMENTO!$D$15,CRONO!$F29,0)))
                +IF(AND($F31&lt;&gt;"",$F31&lt;&gt;0),
                        SUMIF(CÁLCULO!$BC$15:$BU$508,CRONO!AB$12,CÁLCULO!$AJ$15:$BB$508)/(ORÇAMENTO!$X$15-_xlfn.SINGLE(CÁLCULO.TotalAdmLocal))*CRONO!$F31,
                        0),
                 AB30*$S29),
          SUMIF(OFFSET($S31,1,0,$R29-2),($M29+1)&amp;"$",OFFSET(AB31,1,0,$R29-2)))</f>
        <v>0</v>
      </c>
      <c r="AC31" s="202" cm="1">
        <f t="array" aca="1" ref="AC31" ca="1">IF($R29=2,
         IF(AND(ACOMPANHAMENTO="PLE",ISNUMBER($F29)),
                SUMIF((OFFSET(CÁLCULO!$BC$15:$BU$15,$F29,0,OFFSET(ORÇAMENTO!$D$15,CRONO!$F29,0))),CRONO!AC$12,OFFSET(CÁLCULO!$AJ$15:$BB$15,$F29,0,OFFSET(ORÇAMENTO!$D$15,CRONO!$F29,0)))
                +IF(AND($F31&lt;&gt;"",$F31&lt;&gt;0),
                        SUMIF(CÁLCULO!$BC$15:$BU$508,CRONO!AC$12,CÁLCULO!$AJ$15:$BB$508)/(ORÇAMENTO!$X$15-_xlfn.SINGLE(CÁLCULO.TotalAdmLocal))*CRONO!$F31,
                        0),
                 AC30*$S29),
          SUMIF(OFFSET($S31,1,0,$R29-2),($M29+1)&amp;"$",OFFSET(AC31,1,0,$R29-2)))</f>
        <v>0</v>
      </c>
      <c r="AD31" s="202" cm="1">
        <f t="array" aca="1" ref="AD31" ca="1">IF($R29=2,
         IF(AND(ACOMPANHAMENTO="PLE",ISNUMBER($F29)),
                SUMIF((OFFSET(CÁLCULO!$BC$15:$BU$15,$F29,0,OFFSET(ORÇAMENTO!$D$15,CRONO!$F29,0))),CRONO!AD$12,OFFSET(CÁLCULO!$AJ$15:$BB$15,$F29,0,OFFSET(ORÇAMENTO!$D$15,CRONO!$F29,0)))
                +IF(AND($F31&lt;&gt;"",$F31&lt;&gt;0),
                        SUMIF(CÁLCULO!$BC$15:$BU$508,CRONO!AD$12,CÁLCULO!$AJ$15:$BB$508)/(ORÇAMENTO!$X$15-_xlfn.SINGLE(CÁLCULO.TotalAdmLocal))*CRONO!$F31,
                        0),
                 AD30*$S29),
          SUMIF(OFFSET($S31,1,0,$R29-2),($M29+1)&amp;"$",OFFSET(AD31,1,0,$R29-2)))</f>
        <v>0</v>
      </c>
      <c r="AE31" s="202" cm="1">
        <f t="array" aca="1" ref="AE31" ca="1">IF($R29=2,
         IF(AND(ACOMPANHAMENTO="PLE",ISNUMBER($F29)),
                SUMIF((OFFSET(CÁLCULO!$BC$15:$BU$15,$F29,0,OFFSET(ORÇAMENTO!$D$15,CRONO!$F29,0))),CRONO!AE$12,OFFSET(CÁLCULO!$AJ$15:$BB$15,$F29,0,OFFSET(ORÇAMENTO!$D$15,CRONO!$F29,0)))
                +IF(AND($F31&lt;&gt;"",$F31&lt;&gt;0),
                        SUMIF(CÁLCULO!$BC$15:$BU$508,CRONO!AE$12,CÁLCULO!$AJ$15:$BB$508)/(ORÇAMENTO!$X$15-_xlfn.SINGLE(CÁLCULO.TotalAdmLocal))*CRONO!$F31,
                        0),
                 AE30*$S29),
          SUMIF(OFFSET($S31,1,0,$R29-2),($M29+1)&amp;"$",OFFSET(AE31,1,0,$R29-2)))</f>
        <v>0</v>
      </c>
      <c r="AF31" s="202" cm="1">
        <f t="array" aca="1" ref="AF31" ca="1">IF($R29=2,
         IF(AND(ACOMPANHAMENTO="PLE",ISNUMBER($F29)),
                SUMIF((OFFSET(CÁLCULO!$BC$15:$BU$15,$F29,0,OFFSET(ORÇAMENTO!$D$15,CRONO!$F29,0))),CRONO!AF$12,OFFSET(CÁLCULO!$AJ$15:$BB$15,$F29,0,OFFSET(ORÇAMENTO!$D$15,CRONO!$F29,0)))
                +IF(AND($F31&lt;&gt;"",$F31&lt;&gt;0),
                        SUMIF(CÁLCULO!$BC$15:$BU$508,CRONO!AF$12,CÁLCULO!$AJ$15:$BB$508)/(ORÇAMENTO!$X$15-_xlfn.SINGLE(CÁLCULO.TotalAdmLocal))*CRONO!$F31,
                        0),
                 AF30*$S29),
          SUMIF(OFFSET($S31,1,0,$R29-2),($M29+1)&amp;"$",OFFSET(AF31,1,0,$R29-2)))</f>
        <v>0</v>
      </c>
      <c r="AG31" s="534"/>
    </row>
    <row r="32" spans="1:33" x14ac:dyDescent="0.2">
      <c r="A32" s="186" t="str">
        <f t="shared" ref="A32" ca="1" si="38">IF($M32&gt;1,_xlfn.CONCAT($I32," ",$J32),"")</f>
        <v>1.6. ESTRUTURA METÁLICA</v>
      </c>
      <c r="B32" s="185">
        <f t="shared" ref="B32" ca="1" si="39">OFFSET(B32,-3,0)+1</f>
        <v>7</v>
      </c>
      <c r="C32" s="185">
        <f ca="1">IF($R32&lt;&gt;2,0,IF($S32=0,1,IF(F33&gt;0,OFFSET(QCI!$M$13,SUBSTITUTE(F33,".",""),0),OFFSET(ORÇAMENTO!$AA$15,CRONO!$F32,0))/$S32))</f>
        <v>0</v>
      </c>
      <c r="D32" s="185">
        <f ca="1">IF($R32&lt;&gt;2,0,IF($S32=0,1,IF(F33&gt;0,OFFSET(QCI!$N$13,SUBSTITUTE(F33,".",""),0),OFFSET(ORÇAMENTO!$AB$15,CRONO!$F32,0))/$S32))</f>
        <v>0</v>
      </c>
      <c r="E32" s="188" cm="1">
        <f t="array" aca="1" ref="E32" ca="1">IF(AND($R32=2,ACOMPANHAMENTO="BM"),ROUND(E33,4),E34/$S32)</f>
        <v>0</v>
      </c>
      <c r="F32" s="185">
        <f ca="1">IF(B32&lt;=ORÇAMENTO.MáximoListaCrono,MATCH(B32,ORÇAMENTO.ListaCrono,0),NA())</f>
        <v>200</v>
      </c>
      <c r="G32" s="185" t="str">
        <f t="shared" ref="G32" ca="1" si="40">IF(AND($F33&lt;&gt;-1,$S32&gt;0),"F","")</f>
        <v>F</v>
      </c>
      <c r="H32" s="189" cm="1">
        <f t="array" aca="1" ref="H32" ca="1">IF(OR(S32=0,S32=""),"Linha",IF(AND(OR(ACOMPANHAMENTO="PLE",$R32&lt;&gt;2),$F33=0),"Linha",ROUND(1-SUM(U32:AG32),4)))</f>
        <v>0</v>
      </c>
      <c r="I32" s="190" t="str">
        <f ca="1">IF($F33=0,OFFSET(ORÇAMENTO!O$15,$F32,0),IF($F33&lt;&gt;-1,OFFSET(QCI!$D$13,$F33,0),""))</f>
        <v>1.6.</v>
      </c>
      <c r="J32" s="191" t="str">
        <f ca="1">IF($F33=0,OFFSET(ORÇAMENTO!R$15,$F32,0),IF($F33&lt;&gt;-1,OFFSET(QCI!$G$13,$F33,0),""))</f>
        <v>ESTRUTURA METÁLICA</v>
      </c>
      <c r="K32" s="191"/>
      <c r="L32" s="191"/>
      <c r="M32" s="192">
        <f ca="1">IF($F33=0,OFFSET(ORÇAMENTO!C$15,$F32,0),1)</f>
        <v>2</v>
      </c>
      <c r="N32" s="193">
        <f ca="1">IF($F33=-1,0,IF(N$13&lt;=$M32,IF(ISERROR(MATCH(N$13,OFFSET($M32,1,0,ROW($M$56)-ROW($M32)-1),0)),ROW($M$56)-ROW($M32)-1,MATCH(N$13,OFFSET($M32,1,0,ROW($M$56)-ROW($M32)-1),0)-1),0))</f>
        <v>14</v>
      </c>
      <c r="O32" s="193">
        <f ca="1">IF($F33=-1,0,IF(O$13&lt;=$M32,IF(ISERROR(MATCH(O$13,OFFSET($M32,1,0,ROW($M$56)-ROW($M32)-1),0)),ROW($M$56)-ROW($M32)-1,MATCH(O$13,OFFSET($M32,1,0,ROW($M$56)-ROW($M32)-1),0)-1),0))</f>
        <v>2</v>
      </c>
      <c r="P32" s="193">
        <f ca="1">IF($F33=-1,0,IF(P$13&lt;=$M32,IF(ISERROR(MATCH(P$13,OFFSET($M32,1,0,ROW($M$56)-ROW($M32)-1),0)),ROW($M$56)-ROW($M32)-1,MATCH(P$13,OFFSET($M32,1,0,ROW($M$56)-ROW($M32)-1),0)-1),0))</f>
        <v>0</v>
      </c>
      <c r="Q32" s="193">
        <f ca="1">IF($F33=-1,0,IF(Q$13&lt;=$M32,IF(ISERROR(MATCH(Q$13,OFFSET($M32,1,0,ROW($M$56)-ROW($M32)-1),0)),ROW($M$56)-ROW($M32)-1,MATCH(Q$13,OFFSET($M32,1,0,ROW($M$56)-ROW($M32)-1),0)-1),0))</f>
        <v>0</v>
      </c>
      <c r="R32" s="193">
        <f t="shared" ref="R32" ca="1" si="41">MIN(OFFSET(M32,0,1,,M32))</f>
        <v>2</v>
      </c>
      <c r="S32" s="194">
        <f ca="1">IF($F33=0,OFFSET(ORÇAMENTO!X$15,$F32,0),IF($F33&lt;&gt;-1,OFFSET(QCI!$O$13,$F33,0),""))</f>
        <v>207925.22</v>
      </c>
      <c r="T32" s="195" t="s">
        <v>785</v>
      </c>
      <c r="U32" s="188" cm="1">
        <f t="array" aca="1" ref="U32" ca="1">IF(AND($R32=2,ACOMPANHAMENTO="BM"),ROUND(U33,4),U34/$S32)</f>
        <v>0</v>
      </c>
      <c r="V32" s="188" cm="1">
        <f t="array" aca="1" ref="V32" ca="1">IF(AND($R32=2,ACOMPANHAMENTO="BM"),ROUND(V33,4),V34/$S32)</f>
        <v>0</v>
      </c>
      <c r="W32" s="188" cm="1">
        <f t="array" aca="1" ref="W32" ca="1">IF(AND($R32=2,ACOMPANHAMENTO="BM"),ROUND(W33,4),W34/$S32)</f>
        <v>0</v>
      </c>
      <c r="X32" s="188" cm="1">
        <f t="array" aca="1" ref="X32" ca="1">IF(AND($R32=2,ACOMPANHAMENTO="BM"),ROUND(X33,4),X34/$S32)</f>
        <v>0</v>
      </c>
      <c r="Y32" s="188" cm="1">
        <f t="array" aca="1" ref="Y32" ca="1">IF(AND($R32=2,ACOMPANHAMENTO="BM"),ROUND(Y33,4),Y34/$S32)</f>
        <v>0</v>
      </c>
      <c r="Z32" s="188" cm="1">
        <f t="array" aca="1" ref="Z32" ca="1">IF(AND($R32=2,ACOMPANHAMENTO="BM"),ROUND(Z33,4),Z34/$S32)</f>
        <v>0</v>
      </c>
      <c r="AA32" s="188" cm="1">
        <f t="array" aca="1" ref="AA32" ca="1">IF(AND($R32=2,ACOMPANHAMENTO="BM"),ROUND(AA33,4),AA34/$S32)</f>
        <v>1</v>
      </c>
      <c r="AB32" s="188" cm="1">
        <f t="array" aca="1" ref="AB32" ca="1">IF(AND($R32=2,ACOMPANHAMENTO="BM"),ROUND(AB33,4),AB34/$S32)</f>
        <v>0</v>
      </c>
      <c r="AC32" s="188" cm="1">
        <f t="array" aca="1" ref="AC32" ca="1">IF(AND($R32=2,ACOMPANHAMENTO="BM"),ROUND(AC33,4),AC34/$S32)</f>
        <v>0</v>
      </c>
      <c r="AD32" s="188" cm="1">
        <f t="array" aca="1" ref="AD32" ca="1">IF(AND($R32=2,ACOMPANHAMENTO="BM"),ROUND(AD33,4),AD34/$S32)</f>
        <v>0</v>
      </c>
      <c r="AE32" s="188" cm="1">
        <f t="array" aca="1" ref="AE32" ca="1">IF(AND($R32=2,ACOMPANHAMENTO="BM"),ROUND(AE33,4),AE34/$S32)</f>
        <v>0</v>
      </c>
      <c r="AF32" s="188" cm="1">
        <f t="array" aca="1" ref="AF32" ca="1">IF(AND($R32=2,ACOMPANHAMENTO="BM"),ROUND(AF33,4),AF34/$S32)</f>
        <v>0</v>
      </c>
      <c r="AG32" s="534"/>
    </row>
    <row r="33" spans="1:33" ht="12.75" customHeight="1" x14ac:dyDescent="0.2">
      <c r="E33" s="587"/>
      <c r="F33" s="185">
        <f ca="1">IF(ISERROR(F32),IF(1+COUNTIF($M$13:OFFSET(M32,-1,0),1)&lt;=MAX(QCI!$D$13:$D$15),1+COUNTIF($M$13:OFFSET(M32,-1,0),1),-1),0)</f>
        <v>0</v>
      </c>
      <c r="G33" s="185" t="str" cm="1">
        <f t="array" aca="1" ref="G33" ca="1">IF(ACOMPANHAMENTO="BM",OFFSET(G33,-1,0),"")</f>
        <v>F</v>
      </c>
      <c r="H33" s="196" t="str" cm="1">
        <f t="array" aca="1" ref="H33" ca="1">IF(OR(S32=0,S32=""),"vazia",IF(AND(OR(ACOMPANHAMENTO="PLE",$R32&lt;&gt;2),$F33=0),"calculada","--&gt;"))</f>
        <v>--&gt;</v>
      </c>
      <c r="I33" s="197"/>
      <c r="J33" s="198" t="str">
        <f t="shared" ref="J33" ca="1" si="42">IF(AND(H32&lt;&gt;0,ISNUMBER(H32)),"PREENCHA ESTA LINHA --&gt;","")</f>
        <v/>
      </c>
      <c r="K33" s="198"/>
      <c r="L33" s="198"/>
      <c r="M33" s="199"/>
      <c r="N33" s="199"/>
      <c r="O33" s="199"/>
      <c r="P33" s="199"/>
      <c r="Q33" s="199"/>
      <c r="R33" s="199"/>
      <c r="S33" s="200"/>
      <c r="T33" s="201"/>
      <c r="U33" s="587"/>
      <c r="V33" s="587"/>
      <c r="W33" s="587"/>
      <c r="X33" s="587"/>
      <c r="Y33" s="587"/>
      <c r="Z33" s="587"/>
      <c r="AA33" s="587">
        <v>1</v>
      </c>
      <c r="AB33" s="587"/>
      <c r="AC33" s="587"/>
      <c r="AD33" s="587"/>
      <c r="AE33" s="587"/>
      <c r="AF33" s="587"/>
      <c r="AG33" s="534"/>
    </row>
    <row r="34" spans="1:33" ht="12.75" hidden="1" customHeight="1" x14ac:dyDescent="0.2">
      <c r="D34" s="533"/>
      <c r="E34" s="202" cm="1">
        <f t="array" aca="1" ref="E34" ca="1">IF($R32=2,
         IF(AND(ACOMPANHAMENTO="PLE",ISNUMBER($F32)),
                SUMIF((OFFSET(CÁLCULO!$BC$15:$BU$15,$F32,0,OFFSET(ORÇAMENTO!$D$15,CRONO!$F32,0))),CRONO!E$12,OFFSET(CÁLCULO!$AJ$15:$BB$15,$F32,0,OFFSET(ORÇAMENTO!$D$15,CRONO!$F32,0)))
                +IF(AND($F34&lt;&gt;"",$F34&lt;&gt;0),
                        SUMIF(CÁLCULO!$BC$15:$BU$508,CRONO!E$12,CÁLCULO!$AJ$15:$BB$508)/(ORÇAMENTO!$X$15-_xlfn.SINGLE(CÁLCULO.TotalAdmLocal))*CRONO!$F34,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203"/>
      <c r="S34" s="204" t="str">
        <f t="shared" ref="S34" ca="1" si="43">M32&amp;"$"</f>
        <v>2$</v>
      </c>
      <c r="T34" s="205"/>
      <c r="U34" s="202" cm="1">
        <f t="array" aca="1" ref="U34" ca="1">IF($R32=2,
         IF(AND(ACOMPANHAMENTO="PLE",ISNUMBER($F32)),
                SUMIF((OFFSET(CÁLCULO!$BC$15:$BU$15,$F32,0,OFFSET(ORÇAMENTO!$D$15,CRONO!$F32,0))),CRONO!U$12,OFFSET(CÁLCULO!$AJ$15:$BB$15,$F32,0,OFFSET(ORÇAMENTO!$D$15,CRONO!$F32,0)))
                +IF(AND($F34&lt;&gt;"",$F34&lt;&gt;0),
                        SUMIF(CÁLCULO!$BC$15:$BU$508,CRONO!U$12,CÁLCULO!$AJ$15:$BB$508)/(ORÇAMENTO!$X$15-_xlfn.SINGLE(CÁLCULO.TotalAdmLocal))*CRONO!$F34,
                        0),
                 U33*$S32),
          SUMIF(OFFSET($S34,1,0,$R32-2),($M32+1)&amp;"$",OFFSET(U34,1,0,$R32-2)))</f>
        <v>0</v>
      </c>
      <c r="V34" s="202" cm="1">
        <f t="array" aca="1" ref="V34" ca="1">IF($R32=2,
         IF(AND(ACOMPANHAMENTO="PLE",ISNUMBER($F32)),
                SUMIF((OFFSET(CÁLCULO!$BC$15:$BU$15,$F32,0,OFFSET(ORÇAMENTO!$D$15,CRONO!$F32,0))),CRONO!V$12,OFFSET(CÁLCULO!$AJ$15:$BB$15,$F32,0,OFFSET(ORÇAMENTO!$D$15,CRONO!$F32,0)))
                +IF(AND($F34&lt;&gt;"",$F34&lt;&gt;0),
                        SUMIF(CÁLCULO!$BC$15:$BU$508,CRONO!V$12,CÁLCULO!$AJ$15:$BB$508)/(ORÇAMENTO!$X$15-_xlfn.SINGLE(CÁLCULO.TotalAdmLocal))*CRONO!$F34,
                        0),
                 V33*$S32),
          SUMIF(OFFSET($S34,1,0,$R32-2),($M32+1)&amp;"$",OFFSET(V34,1,0,$R32-2)))</f>
        <v>0</v>
      </c>
      <c r="W34" s="202" cm="1">
        <f t="array" aca="1" ref="W34" ca="1">IF($R32=2,
         IF(AND(ACOMPANHAMENTO="PLE",ISNUMBER($F32)),
                SUMIF((OFFSET(CÁLCULO!$BC$15:$BU$15,$F32,0,OFFSET(ORÇAMENTO!$D$15,CRONO!$F32,0))),CRONO!W$12,OFFSET(CÁLCULO!$AJ$15:$BB$15,$F32,0,OFFSET(ORÇAMENTO!$D$15,CRONO!$F32,0)))
                +IF(AND($F34&lt;&gt;"",$F34&lt;&gt;0),
                        SUMIF(CÁLCULO!$BC$15:$BU$508,CRONO!W$12,CÁLCULO!$AJ$15:$BB$508)/(ORÇAMENTO!$X$15-_xlfn.SINGLE(CÁLCULO.TotalAdmLocal))*CRONO!$F34,
                        0),
                 W33*$S32),
          SUMIF(OFFSET($S34,1,0,$R32-2),($M32+1)&amp;"$",OFFSET(W34,1,0,$R32-2)))</f>
        <v>0</v>
      </c>
      <c r="X34" s="202" cm="1">
        <f t="array" aca="1" ref="X34" ca="1">IF($R32=2,
         IF(AND(ACOMPANHAMENTO="PLE",ISNUMBER($F32)),
                SUMIF((OFFSET(CÁLCULO!$BC$15:$BU$15,$F32,0,OFFSET(ORÇAMENTO!$D$15,CRONO!$F32,0))),CRONO!X$12,OFFSET(CÁLCULO!$AJ$15:$BB$15,$F32,0,OFFSET(ORÇAMENTO!$D$15,CRONO!$F32,0)))
                +IF(AND($F34&lt;&gt;"",$F34&lt;&gt;0),
                        SUMIF(CÁLCULO!$BC$15:$BU$508,CRONO!X$12,CÁLCULO!$AJ$15:$BB$508)/(ORÇAMENTO!$X$15-_xlfn.SINGLE(CÁLCULO.TotalAdmLocal))*CRONO!$F34,
                        0),
                 X33*$S32),
          SUMIF(OFFSET($S34,1,0,$R32-2),($M32+1)&amp;"$",OFFSET(X34,1,0,$R32-2)))</f>
        <v>0</v>
      </c>
      <c r="Y34" s="202" cm="1">
        <f t="array" aca="1" ref="Y34" ca="1">IF($R32=2,
         IF(AND(ACOMPANHAMENTO="PLE",ISNUMBER($F32)),
                SUMIF((OFFSET(CÁLCULO!$BC$15:$BU$15,$F32,0,OFFSET(ORÇAMENTO!$D$15,CRONO!$F32,0))),CRONO!Y$12,OFFSET(CÁLCULO!$AJ$15:$BB$15,$F32,0,OFFSET(ORÇAMENTO!$D$15,CRONO!$F32,0)))
                +IF(AND($F34&lt;&gt;"",$F34&lt;&gt;0),
                        SUMIF(CÁLCULO!$BC$15:$BU$508,CRONO!Y$12,CÁLCULO!$AJ$15:$BB$508)/(ORÇAMENTO!$X$15-_xlfn.SINGLE(CÁLCULO.TotalAdmLocal))*CRONO!$F34,
                        0),
                 Y33*$S32),
          SUMIF(OFFSET($S34,1,0,$R32-2),($M32+1)&amp;"$",OFFSET(Y34,1,0,$R32-2)))</f>
        <v>0</v>
      </c>
      <c r="Z34" s="202" cm="1">
        <f t="array" aca="1" ref="Z34" ca="1">IF($R32=2,
         IF(AND(ACOMPANHAMENTO="PLE",ISNUMBER($F32)),
                SUMIF((OFFSET(CÁLCULO!$BC$15:$BU$15,$F32,0,OFFSET(ORÇAMENTO!$D$15,CRONO!$F32,0))),CRONO!Z$12,OFFSET(CÁLCULO!$AJ$15:$BB$15,$F32,0,OFFSET(ORÇAMENTO!$D$15,CRONO!$F32,0)))
                +IF(AND($F34&lt;&gt;"",$F34&lt;&gt;0),
                        SUMIF(CÁLCULO!$BC$15:$BU$508,CRONO!Z$12,CÁLCULO!$AJ$15:$BB$508)/(ORÇAMENTO!$X$15-_xlfn.SINGLE(CÁLCULO.TotalAdmLocal))*CRONO!$F34,
                        0),
                 Z33*$S32),
          SUMIF(OFFSET($S34,1,0,$R32-2),($M32+1)&amp;"$",OFFSET(Z34,1,0,$R32-2)))</f>
        <v>0</v>
      </c>
      <c r="AA34" s="202" cm="1">
        <f t="array" aca="1" ref="AA34" ca="1">IF($R32=2,
         IF(AND(ACOMPANHAMENTO="PLE",ISNUMBER($F32)),
                SUMIF((OFFSET(CÁLCULO!$BC$15:$BU$15,$F32,0,OFFSET(ORÇAMENTO!$D$15,CRONO!$F32,0))),CRONO!AA$12,OFFSET(CÁLCULO!$AJ$15:$BB$15,$F32,0,OFFSET(ORÇAMENTO!$D$15,CRONO!$F32,0)))
                +IF(AND($F34&lt;&gt;"",$F34&lt;&gt;0),
                        SUMIF(CÁLCULO!$BC$15:$BU$508,CRONO!AA$12,CÁLCULO!$AJ$15:$BB$508)/(ORÇAMENTO!$X$15-_xlfn.SINGLE(CÁLCULO.TotalAdmLocal))*CRONO!$F34,
                        0),
                 AA33*$S32),
          SUMIF(OFFSET($S34,1,0,$R32-2),($M32+1)&amp;"$",OFFSET(AA34,1,0,$R32-2)))</f>
        <v>207925.22</v>
      </c>
      <c r="AB34" s="202" cm="1">
        <f t="array" aca="1" ref="AB34" ca="1">IF($R32=2,
         IF(AND(ACOMPANHAMENTO="PLE",ISNUMBER($F32)),
                SUMIF((OFFSET(CÁLCULO!$BC$15:$BU$15,$F32,0,OFFSET(ORÇAMENTO!$D$15,CRONO!$F32,0))),CRONO!AB$12,OFFSET(CÁLCULO!$AJ$15:$BB$15,$F32,0,OFFSET(ORÇAMENTO!$D$15,CRONO!$F32,0)))
                +IF(AND($F34&lt;&gt;"",$F34&lt;&gt;0),
                        SUMIF(CÁLCULO!$BC$15:$BU$508,CRONO!AB$12,CÁLCULO!$AJ$15:$BB$508)/(ORÇAMENTO!$X$15-_xlfn.SINGLE(CÁLCULO.TotalAdmLocal))*CRONO!$F34,
                        0),
                 AB33*$S32),
          SUMIF(OFFSET($S34,1,0,$R32-2),($M32+1)&amp;"$",OFFSET(AB34,1,0,$R32-2)))</f>
        <v>0</v>
      </c>
      <c r="AC34" s="202" cm="1">
        <f t="array" aca="1" ref="AC34" ca="1">IF($R32=2,
         IF(AND(ACOMPANHAMENTO="PLE",ISNUMBER($F32)),
                SUMIF((OFFSET(CÁLCULO!$BC$15:$BU$15,$F32,0,OFFSET(ORÇAMENTO!$D$15,CRONO!$F32,0))),CRONO!AC$12,OFFSET(CÁLCULO!$AJ$15:$BB$15,$F32,0,OFFSET(ORÇAMENTO!$D$15,CRONO!$F32,0)))
                +IF(AND($F34&lt;&gt;"",$F34&lt;&gt;0),
                        SUMIF(CÁLCULO!$BC$15:$BU$508,CRONO!AC$12,CÁLCULO!$AJ$15:$BB$508)/(ORÇAMENTO!$X$15-_xlfn.SINGLE(CÁLCULO.TotalAdmLocal))*CRONO!$F34,
                        0),
                 AC33*$S32),
          SUMIF(OFFSET($S34,1,0,$R32-2),($M32+1)&amp;"$",OFFSET(AC34,1,0,$R32-2)))</f>
        <v>0</v>
      </c>
      <c r="AD34" s="202" cm="1">
        <f t="array" aca="1" ref="AD34" ca="1">IF($R32=2,
         IF(AND(ACOMPANHAMENTO="PLE",ISNUMBER($F32)),
                SUMIF((OFFSET(CÁLCULO!$BC$15:$BU$15,$F32,0,OFFSET(ORÇAMENTO!$D$15,CRONO!$F32,0))),CRONO!AD$12,OFFSET(CÁLCULO!$AJ$15:$BB$15,$F32,0,OFFSET(ORÇAMENTO!$D$15,CRONO!$F32,0)))
                +IF(AND($F34&lt;&gt;"",$F34&lt;&gt;0),
                        SUMIF(CÁLCULO!$BC$15:$BU$508,CRONO!AD$12,CÁLCULO!$AJ$15:$BB$508)/(ORÇAMENTO!$X$15-_xlfn.SINGLE(CÁLCULO.TotalAdmLocal))*CRONO!$F34,
                        0),
                 AD33*$S32),
          SUMIF(OFFSET($S34,1,0,$R32-2),($M32+1)&amp;"$",OFFSET(AD34,1,0,$R32-2)))</f>
        <v>0</v>
      </c>
      <c r="AE34" s="202" cm="1">
        <f t="array" aca="1" ref="AE34" ca="1">IF($R32=2,
         IF(AND(ACOMPANHAMENTO="PLE",ISNUMBER($F32)),
                SUMIF((OFFSET(CÁLCULO!$BC$15:$BU$15,$F32,0,OFFSET(ORÇAMENTO!$D$15,CRONO!$F32,0))),CRONO!AE$12,OFFSET(CÁLCULO!$AJ$15:$BB$15,$F32,0,OFFSET(ORÇAMENTO!$D$15,CRONO!$F32,0)))
                +IF(AND($F34&lt;&gt;"",$F34&lt;&gt;0),
                        SUMIF(CÁLCULO!$BC$15:$BU$508,CRONO!AE$12,CÁLCULO!$AJ$15:$BB$508)/(ORÇAMENTO!$X$15-_xlfn.SINGLE(CÁLCULO.TotalAdmLocal))*CRONO!$F34,
                        0),
                 AE33*$S32),
          SUMIF(OFFSET($S34,1,0,$R32-2),($M32+1)&amp;"$",OFFSET(AE34,1,0,$R32-2)))</f>
        <v>0</v>
      </c>
      <c r="AF34" s="202" cm="1">
        <f t="array" aca="1" ref="AF34" ca="1">IF($R32=2,
         IF(AND(ACOMPANHAMENTO="PLE",ISNUMBER($F32)),
                SUMIF((OFFSET(CÁLCULO!$BC$15:$BU$15,$F32,0,OFFSET(ORÇAMENTO!$D$15,CRONO!$F32,0))),CRONO!AF$12,OFFSET(CÁLCULO!$AJ$15:$BB$15,$F32,0,OFFSET(ORÇAMENTO!$D$15,CRONO!$F32,0)))
                +IF(AND($F34&lt;&gt;"",$F34&lt;&gt;0),
                        SUMIF(CÁLCULO!$BC$15:$BU$508,CRONO!AF$12,CÁLCULO!$AJ$15:$BB$508)/(ORÇAMENTO!$X$15-_xlfn.SINGLE(CÁLCULO.TotalAdmLocal))*CRONO!$F34,
                        0),
                 AF33*$S32),
          SUMIF(OFFSET($S34,1,0,$R32-2),($M32+1)&amp;"$",OFFSET(AF34,1,0,$R32-2)))</f>
        <v>0</v>
      </c>
      <c r="AG34" s="534"/>
    </row>
    <row r="35" spans="1:33" x14ac:dyDescent="0.2">
      <c r="A35" s="186" t="str">
        <f t="shared" ref="A35" ca="1" si="44">IF($M35&gt;1,_xlfn.CONCAT($I35," ",$J35),"")</f>
        <v>1.7. SANEAMENTO</v>
      </c>
      <c r="B35" s="185">
        <f t="shared" ref="B35" ca="1" si="45">OFFSET(B35,-3,0)+1</f>
        <v>8</v>
      </c>
      <c r="C35" s="185">
        <f ca="1">IF($R35&lt;&gt;2,0,IF($S35=0,1,IF(F36&gt;0,OFFSET(QCI!$M$13,SUBSTITUTE(F36,".",""),0),OFFSET(ORÇAMENTO!$AA$15,CRONO!$F35,0))/$S35))</f>
        <v>0</v>
      </c>
      <c r="D35" s="185">
        <f ca="1">IF($R35&lt;&gt;2,0,IF($S35=0,1,IF(F36&gt;0,OFFSET(QCI!$N$13,SUBSTITUTE(F36,".",""),0),OFFSET(ORÇAMENTO!$AB$15,CRONO!$F35,0))/$S35))</f>
        <v>0</v>
      </c>
      <c r="E35" s="188" cm="1">
        <f t="array" aca="1" ref="E35" ca="1">IF(AND($R35=2,ACOMPANHAMENTO="BM"),ROUND(E36,4),E37/$S35)</f>
        <v>0</v>
      </c>
      <c r="F35" s="185">
        <f ca="1">IF(B35&lt;=ORÇAMENTO.MáximoListaCrono,MATCH(B35,ORÇAMENTO.ListaCrono,0),NA())</f>
        <v>229</v>
      </c>
      <c r="G35" s="185" t="str">
        <f t="shared" ref="G35" ca="1" si="46">IF(AND($F36&lt;&gt;-1,$S35&gt;0),"F","")</f>
        <v>F</v>
      </c>
      <c r="H35" s="189" cm="1">
        <f t="array" aca="1" ref="H35" ca="1">IF(OR(S35=0,S35=""),"Linha",IF(AND(OR(ACOMPANHAMENTO="PLE",$R35&lt;&gt;2),$F36=0),"Linha",ROUND(1-SUM(U35:AG35),4)))</f>
        <v>0</v>
      </c>
      <c r="I35" s="190" t="str">
        <f ca="1">IF($F36=0,OFFSET(ORÇAMENTO!O$15,$F35,0),IF($F36&lt;&gt;-1,OFFSET(QCI!$D$13,$F36,0),""))</f>
        <v>1.7.</v>
      </c>
      <c r="J35" s="191" t="str">
        <f ca="1">IF($F36=0,OFFSET(ORÇAMENTO!R$15,$F35,0),IF($F36&lt;&gt;-1,OFFSET(QCI!$G$13,$F36,0),""))</f>
        <v>SANEAMENTO</v>
      </c>
      <c r="K35" s="191"/>
      <c r="L35" s="191"/>
      <c r="M35" s="192">
        <f ca="1">IF($F36=0,OFFSET(ORÇAMENTO!C$15,$F35,0),1)</f>
        <v>2</v>
      </c>
      <c r="N35" s="193">
        <f ca="1">IF($F36=-1,0,IF(N$13&lt;=$M35,IF(ISERROR(MATCH(N$13,OFFSET($M35,1,0,ROW($M$56)-ROW($M35)-1),0)),ROW($M$56)-ROW($M35)-1,MATCH(N$13,OFFSET($M35,1,0,ROW($M$56)-ROW($M35)-1),0)-1),0))</f>
        <v>11</v>
      </c>
      <c r="O35" s="193">
        <f ca="1">IF($F36=-1,0,IF(O$13&lt;=$M35,IF(ISERROR(MATCH(O$13,OFFSET($M35,1,0,ROW($M$56)-ROW($M35)-1),0)),ROW($M$56)-ROW($M35)-1,MATCH(O$13,OFFSET($M35,1,0,ROW($M$56)-ROW($M35)-1),0)-1),0))</f>
        <v>2</v>
      </c>
      <c r="P35" s="193">
        <f ca="1">IF($F36=-1,0,IF(P$13&lt;=$M35,IF(ISERROR(MATCH(P$13,OFFSET($M35,1,0,ROW($M$56)-ROW($M35)-1),0)),ROW($M$56)-ROW($M35)-1,MATCH(P$13,OFFSET($M35,1,0,ROW($M$56)-ROW($M35)-1),0)-1),0))</f>
        <v>0</v>
      </c>
      <c r="Q35" s="193">
        <f ca="1">IF($F36=-1,0,IF(Q$13&lt;=$M35,IF(ISERROR(MATCH(Q$13,OFFSET($M35,1,0,ROW($M$56)-ROW($M35)-1),0)),ROW($M$56)-ROW($M35)-1,MATCH(Q$13,OFFSET($M35,1,0,ROW($M$56)-ROW($M35)-1),0)-1),0))</f>
        <v>0</v>
      </c>
      <c r="R35" s="193">
        <f t="shared" ref="R35" ca="1" si="47">MIN(OFFSET(M35,0,1,,M35))</f>
        <v>2</v>
      </c>
      <c r="S35" s="194">
        <f ca="1">IF($F36=0,OFFSET(ORÇAMENTO!X$15,$F35,0),IF($F36&lt;&gt;-1,OFFSET(QCI!$O$13,$F36,0),""))</f>
        <v>3820032.18</v>
      </c>
      <c r="T35" s="195" t="s">
        <v>785</v>
      </c>
      <c r="U35" s="188" cm="1">
        <f t="array" aca="1" ref="U35" ca="1">IF(AND($R35=2,ACOMPANHAMENTO="BM"),ROUND(U36,4),U37/$S35)</f>
        <v>0</v>
      </c>
      <c r="V35" s="188" cm="1">
        <f t="array" aca="1" ref="V35" ca="1">IF(AND($R35=2,ACOMPANHAMENTO="BM"),ROUND(V36,4),V37/$S35)</f>
        <v>0</v>
      </c>
      <c r="W35" s="188" cm="1">
        <f t="array" aca="1" ref="W35" ca="1">IF(AND($R35=2,ACOMPANHAMENTO="BM"),ROUND(W36,4),W37/$S35)</f>
        <v>0.2089</v>
      </c>
      <c r="X35" s="188" cm="1">
        <f t="array" aca="1" ref="X35" ca="1">IF(AND($R35=2,ACOMPANHAMENTO="BM"),ROUND(X36,4),X37/$S35)</f>
        <v>0.1565</v>
      </c>
      <c r="Y35" s="188" cm="1">
        <f t="array" aca="1" ref="Y35" ca="1">IF(AND($R35=2,ACOMPANHAMENTO="BM"),ROUND(Y36,4),Y37/$S35)</f>
        <v>8.4099999999999994E-2</v>
      </c>
      <c r="Z35" s="188" cm="1">
        <f t="array" aca="1" ref="Z35" ca="1">IF(AND($R35=2,ACOMPANHAMENTO="BM"),ROUND(Z36,4),Z37/$S35)</f>
        <v>0.55049999999999999</v>
      </c>
      <c r="AA35" s="188" cm="1">
        <f t="array" aca="1" ref="AA35" ca="1">IF(AND($R35=2,ACOMPANHAMENTO="BM"),ROUND(AA36,4),AA37/$S35)</f>
        <v>0</v>
      </c>
      <c r="AB35" s="188" cm="1">
        <f t="array" aca="1" ref="AB35" ca="1">IF(AND($R35=2,ACOMPANHAMENTO="BM"),ROUND(AB36,4),AB37/$S35)</f>
        <v>0</v>
      </c>
      <c r="AC35" s="188" cm="1">
        <f t="array" aca="1" ref="AC35" ca="1">IF(AND($R35=2,ACOMPANHAMENTO="BM"),ROUND(AC36,4),AC37/$S35)</f>
        <v>0</v>
      </c>
      <c r="AD35" s="188" cm="1">
        <f t="array" aca="1" ref="AD35" ca="1">IF(AND($R35=2,ACOMPANHAMENTO="BM"),ROUND(AD36,4),AD37/$S35)</f>
        <v>0</v>
      </c>
      <c r="AE35" s="188" cm="1">
        <f t="array" aca="1" ref="AE35" ca="1">IF(AND($R35=2,ACOMPANHAMENTO="BM"),ROUND(AE36,4),AE37/$S35)</f>
        <v>0</v>
      </c>
      <c r="AF35" s="188" cm="1">
        <f t="array" aca="1" ref="AF35" ca="1">IF(AND($R35=2,ACOMPANHAMENTO="BM"),ROUND(AF36,4),AF37/$S35)</f>
        <v>0</v>
      </c>
      <c r="AG35" s="534"/>
    </row>
    <row r="36" spans="1:33" ht="12.75" customHeight="1" x14ac:dyDescent="0.2">
      <c r="E36" s="587"/>
      <c r="F36" s="185">
        <f ca="1">IF(ISERROR(F35),IF(1+COUNTIF($M$13:OFFSET(M35,-1,0),1)&lt;=MAX(QCI!$D$13:$D$15),1+COUNTIF($M$13:OFFSET(M35,-1,0),1),-1),0)</f>
        <v>0</v>
      </c>
      <c r="G36" s="185" t="str" cm="1">
        <f t="array" aca="1" ref="G36" ca="1">IF(ACOMPANHAMENTO="BM",OFFSET(G36,-1,0),"")</f>
        <v>F</v>
      </c>
      <c r="H36" s="196" t="str" cm="1">
        <f t="array" aca="1" ref="H36" ca="1">IF(OR(S35=0,S35=""),"vazia",IF(AND(OR(ACOMPANHAMENTO="PLE",$R35&lt;&gt;2),$F36=0),"calculada","--&gt;"))</f>
        <v>--&gt;</v>
      </c>
      <c r="I36" s="197"/>
      <c r="J36" s="198" t="str">
        <f t="shared" ref="J36" ca="1" si="48">IF(AND(H35&lt;&gt;0,ISNUMBER(H35)),"PREENCHA ESTA LINHA --&gt;","")</f>
        <v/>
      </c>
      <c r="K36" s="198"/>
      <c r="L36" s="198"/>
      <c r="M36" s="199"/>
      <c r="N36" s="199"/>
      <c r="O36" s="199"/>
      <c r="P36" s="199"/>
      <c r="Q36" s="199"/>
      <c r="R36" s="199"/>
      <c r="S36" s="200"/>
      <c r="T36" s="201"/>
      <c r="U36" s="587"/>
      <c r="V36" s="587"/>
      <c r="W36" s="587">
        <v>0.2089</v>
      </c>
      <c r="X36" s="587">
        <v>0.1565</v>
      </c>
      <c r="Y36" s="587">
        <v>8.4099999999999994E-2</v>
      </c>
      <c r="Z36" s="587">
        <v>0.55049999999999999</v>
      </c>
      <c r="AA36" s="587"/>
      <c r="AB36" s="587"/>
      <c r="AC36" s="587"/>
      <c r="AD36" s="587"/>
      <c r="AE36" s="587"/>
      <c r="AF36" s="587"/>
      <c r="AG36" s="534"/>
    </row>
    <row r="37" spans="1:33" ht="12.75" hidden="1" customHeight="1" x14ac:dyDescent="0.2">
      <c r="D37" s="533"/>
      <c r="E37" s="202" cm="1">
        <f t="array" aca="1" ref="E37" ca="1">IF($R35=2,
         IF(AND(ACOMPANHAMENTO="PLE",ISNUMBER($F35)),
                SUMIF((OFFSET(CÁLCULO!$BC$15:$BU$15,$F35,0,OFFSET(ORÇAMENTO!$D$15,CRONO!$F35,0))),CRONO!E$12,OFFSET(CÁLCULO!$AJ$15:$BB$15,$F35,0,OFFSET(ORÇAMENTO!$D$15,CRONO!$F35,0)))
                +IF(AND($F37&lt;&gt;"",$F37&lt;&gt;0),
                        SUMIF(CÁLCULO!$BC$15:$BU$508,CRONO!E$12,CÁLCULO!$AJ$15:$BB$508)/(ORÇAMENTO!$X$15-_xlfn.SINGLE(CÁLCULO.TotalAdmLocal))*CRONO!$F37,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203"/>
      <c r="S37" s="204" t="str">
        <f t="shared" ref="S37" ca="1" si="49">M35&amp;"$"</f>
        <v>2$</v>
      </c>
      <c r="T37" s="205"/>
      <c r="U37" s="202" cm="1">
        <f t="array" aca="1" ref="U37" ca="1">IF($R35=2,
         IF(AND(ACOMPANHAMENTO="PLE",ISNUMBER($F35)),
                SUMIF((OFFSET(CÁLCULO!$BC$15:$BU$15,$F35,0,OFFSET(ORÇAMENTO!$D$15,CRONO!$F35,0))),CRONO!U$12,OFFSET(CÁLCULO!$AJ$15:$BB$15,$F35,0,OFFSET(ORÇAMENTO!$D$15,CRONO!$F35,0)))
                +IF(AND($F37&lt;&gt;"",$F37&lt;&gt;0),
                        SUMIF(CÁLCULO!$BC$15:$BU$508,CRONO!U$12,CÁLCULO!$AJ$15:$BB$508)/(ORÇAMENTO!$X$15-_xlfn.SINGLE(CÁLCULO.TotalAdmLocal))*CRONO!$F37,
                        0),
                 U36*$S35),
          SUMIF(OFFSET($S37,1,0,$R35-2),($M35+1)&amp;"$",OFFSET(U37,1,0,$R35-2)))</f>
        <v>0</v>
      </c>
      <c r="V37" s="202" cm="1">
        <f t="array" aca="1" ref="V37" ca="1">IF($R35=2,
         IF(AND(ACOMPANHAMENTO="PLE",ISNUMBER($F35)),
                SUMIF((OFFSET(CÁLCULO!$BC$15:$BU$15,$F35,0,OFFSET(ORÇAMENTO!$D$15,CRONO!$F35,0))),CRONO!V$12,OFFSET(CÁLCULO!$AJ$15:$BB$15,$F35,0,OFFSET(ORÇAMENTO!$D$15,CRONO!$F35,0)))
                +IF(AND($F37&lt;&gt;"",$F37&lt;&gt;0),
                        SUMIF(CÁLCULO!$BC$15:$BU$508,CRONO!V$12,CÁLCULO!$AJ$15:$BB$508)/(ORÇAMENTO!$X$15-_xlfn.SINGLE(CÁLCULO.TotalAdmLocal))*CRONO!$F37,
                        0),
                 V36*$S35),
          SUMIF(OFFSET($S37,1,0,$R35-2),($M35+1)&amp;"$",OFFSET(V37,1,0,$R35-2)))</f>
        <v>0</v>
      </c>
      <c r="W37" s="202" cm="1">
        <f t="array" aca="1" ref="W37" ca="1">IF($R35=2,
         IF(AND(ACOMPANHAMENTO="PLE",ISNUMBER($F35)),
                SUMIF((OFFSET(CÁLCULO!$BC$15:$BU$15,$F35,0,OFFSET(ORÇAMENTO!$D$15,CRONO!$F35,0))),CRONO!W$12,OFFSET(CÁLCULO!$AJ$15:$BB$15,$F35,0,OFFSET(ORÇAMENTO!$D$15,CRONO!$F35,0)))
                +IF(AND($F37&lt;&gt;"",$F37&lt;&gt;0),
                        SUMIF(CÁLCULO!$BC$15:$BU$508,CRONO!W$12,CÁLCULO!$AJ$15:$BB$508)/(ORÇAMENTO!$X$15-_xlfn.SINGLE(CÁLCULO.TotalAdmLocal))*CRONO!$F37,
                        0),
                 W36*$S35),
          SUMIF(OFFSET($S37,1,0,$R35-2),($M35+1)&amp;"$",OFFSET(W37,1,0,$R35-2)))</f>
        <v>798004.7224020001</v>
      </c>
      <c r="X37" s="202" cm="1">
        <f t="array" aca="1" ref="X37" ca="1">IF($R35=2,
         IF(AND(ACOMPANHAMENTO="PLE",ISNUMBER($F35)),
                SUMIF((OFFSET(CÁLCULO!$BC$15:$BU$15,$F35,0,OFFSET(ORÇAMENTO!$D$15,CRONO!$F35,0))),CRONO!X$12,OFFSET(CÁLCULO!$AJ$15:$BB$15,$F35,0,OFFSET(ORÇAMENTO!$D$15,CRONO!$F35,0)))
                +IF(AND($F37&lt;&gt;"",$F37&lt;&gt;0),
                        SUMIF(CÁLCULO!$BC$15:$BU$508,CRONO!X$12,CÁLCULO!$AJ$15:$BB$508)/(ORÇAMENTO!$X$15-_xlfn.SINGLE(CÁLCULO.TotalAdmLocal))*CRONO!$F37,
                        0),
                 X36*$S35),
          SUMIF(OFFSET($S37,1,0,$R35-2),($M35+1)&amp;"$",OFFSET(X37,1,0,$R35-2)))</f>
        <v>597835.03616999998</v>
      </c>
      <c r="Y37" s="202" cm="1">
        <f t="array" aca="1" ref="Y37" ca="1">IF($R35=2,
         IF(AND(ACOMPANHAMENTO="PLE",ISNUMBER($F35)),
                SUMIF((OFFSET(CÁLCULO!$BC$15:$BU$15,$F35,0,OFFSET(ORÇAMENTO!$D$15,CRONO!$F35,0))),CRONO!Y$12,OFFSET(CÁLCULO!$AJ$15:$BB$15,$F35,0,OFFSET(ORÇAMENTO!$D$15,CRONO!$F35,0)))
                +IF(AND($F37&lt;&gt;"",$F37&lt;&gt;0),
                        SUMIF(CÁLCULO!$BC$15:$BU$508,CRONO!Y$12,CÁLCULO!$AJ$15:$BB$508)/(ORÇAMENTO!$X$15-_xlfn.SINGLE(CÁLCULO.TotalAdmLocal))*CRONO!$F37,
                        0),
                 Y36*$S35),
          SUMIF(OFFSET($S37,1,0,$R35-2),($M35+1)&amp;"$",OFFSET(Y37,1,0,$R35-2)))</f>
        <v>321264.70633800002</v>
      </c>
      <c r="Z37" s="202" cm="1">
        <f t="array" aca="1" ref="Z37" ca="1">IF($R35=2,
         IF(AND(ACOMPANHAMENTO="PLE",ISNUMBER($F35)),
                SUMIF((OFFSET(CÁLCULO!$BC$15:$BU$15,$F35,0,OFFSET(ORÇAMENTO!$D$15,CRONO!$F35,0))),CRONO!Z$12,OFFSET(CÁLCULO!$AJ$15:$BB$15,$F35,0,OFFSET(ORÇAMENTO!$D$15,CRONO!$F35,0)))
                +IF(AND($F37&lt;&gt;"",$F37&lt;&gt;0),
                        SUMIF(CÁLCULO!$BC$15:$BU$508,CRONO!Z$12,CÁLCULO!$AJ$15:$BB$508)/(ORÇAMENTO!$X$15-_xlfn.SINGLE(CÁLCULO.TotalAdmLocal))*CRONO!$F37,
                        0),
                 Z36*$S35),
          SUMIF(OFFSET($S37,1,0,$R35-2),($M35+1)&amp;"$",OFFSET(Z37,1,0,$R35-2)))</f>
        <v>2102927.7150900001</v>
      </c>
      <c r="AA37" s="202" cm="1">
        <f t="array" aca="1" ref="AA37" ca="1">IF($R35=2,
         IF(AND(ACOMPANHAMENTO="PLE",ISNUMBER($F35)),
                SUMIF((OFFSET(CÁLCULO!$BC$15:$BU$15,$F35,0,OFFSET(ORÇAMENTO!$D$15,CRONO!$F35,0))),CRONO!AA$12,OFFSET(CÁLCULO!$AJ$15:$BB$15,$F35,0,OFFSET(ORÇAMENTO!$D$15,CRONO!$F35,0)))
                +IF(AND($F37&lt;&gt;"",$F37&lt;&gt;0),
                        SUMIF(CÁLCULO!$BC$15:$BU$508,CRONO!AA$12,CÁLCULO!$AJ$15:$BB$508)/(ORÇAMENTO!$X$15-_xlfn.SINGLE(CÁLCULO.TotalAdmLocal))*CRONO!$F37,
                        0),
                 AA36*$S35),
          SUMIF(OFFSET($S37,1,0,$R35-2),($M35+1)&amp;"$",OFFSET(AA37,1,0,$R35-2)))</f>
        <v>0</v>
      </c>
      <c r="AB37" s="202" cm="1">
        <f t="array" aca="1" ref="AB37" ca="1">IF($R35=2,
         IF(AND(ACOMPANHAMENTO="PLE",ISNUMBER($F35)),
                SUMIF((OFFSET(CÁLCULO!$BC$15:$BU$15,$F35,0,OFFSET(ORÇAMENTO!$D$15,CRONO!$F35,0))),CRONO!AB$12,OFFSET(CÁLCULO!$AJ$15:$BB$15,$F35,0,OFFSET(ORÇAMENTO!$D$15,CRONO!$F35,0)))
                +IF(AND($F37&lt;&gt;"",$F37&lt;&gt;0),
                        SUMIF(CÁLCULO!$BC$15:$BU$508,CRONO!AB$12,CÁLCULO!$AJ$15:$BB$508)/(ORÇAMENTO!$X$15-_xlfn.SINGLE(CÁLCULO.TotalAdmLocal))*CRONO!$F37,
                        0),
                 AB36*$S35),
          SUMIF(OFFSET($S37,1,0,$R35-2),($M35+1)&amp;"$",OFFSET(AB37,1,0,$R35-2)))</f>
        <v>0</v>
      </c>
      <c r="AC37" s="202" cm="1">
        <f t="array" aca="1" ref="AC37" ca="1">IF($R35=2,
         IF(AND(ACOMPANHAMENTO="PLE",ISNUMBER($F35)),
                SUMIF((OFFSET(CÁLCULO!$BC$15:$BU$15,$F35,0,OFFSET(ORÇAMENTO!$D$15,CRONO!$F35,0))),CRONO!AC$12,OFFSET(CÁLCULO!$AJ$15:$BB$15,$F35,0,OFFSET(ORÇAMENTO!$D$15,CRONO!$F35,0)))
                +IF(AND($F37&lt;&gt;"",$F37&lt;&gt;0),
                        SUMIF(CÁLCULO!$BC$15:$BU$508,CRONO!AC$12,CÁLCULO!$AJ$15:$BB$508)/(ORÇAMENTO!$X$15-_xlfn.SINGLE(CÁLCULO.TotalAdmLocal))*CRONO!$F37,
                        0),
                 AC36*$S35),
          SUMIF(OFFSET($S37,1,0,$R35-2),($M35+1)&amp;"$",OFFSET(AC37,1,0,$R35-2)))</f>
        <v>0</v>
      </c>
      <c r="AD37" s="202" cm="1">
        <f t="array" aca="1" ref="AD37" ca="1">IF($R35=2,
         IF(AND(ACOMPANHAMENTO="PLE",ISNUMBER($F35)),
                SUMIF((OFFSET(CÁLCULO!$BC$15:$BU$15,$F35,0,OFFSET(ORÇAMENTO!$D$15,CRONO!$F35,0))),CRONO!AD$12,OFFSET(CÁLCULO!$AJ$15:$BB$15,$F35,0,OFFSET(ORÇAMENTO!$D$15,CRONO!$F35,0)))
                +IF(AND($F37&lt;&gt;"",$F37&lt;&gt;0),
                        SUMIF(CÁLCULO!$BC$15:$BU$508,CRONO!AD$12,CÁLCULO!$AJ$15:$BB$508)/(ORÇAMENTO!$X$15-_xlfn.SINGLE(CÁLCULO.TotalAdmLocal))*CRONO!$F37,
                        0),
                 AD36*$S35),
          SUMIF(OFFSET($S37,1,0,$R35-2),($M35+1)&amp;"$",OFFSET(AD37,1,0,$R35-2)))</f>
        <v>0</v>
      </c>
      <c r="AE37" s="202" cm="1">
        <f t="array" aca="1" ref="AE37" ca="1">IF($R35=2,
         IF(AND(ACOMPANHAMENTO="PLE",ISNUMBER($F35)),
                SUMIF((OFFSET(CÁLCULO!$BC$15:$BU$15,$F35,0,OFFSET(ORÇAMENTO!$D$15,CRONO!$F35,0))),CRONO!AE$12,OFFSET(CÁLCULO!$AJ$15:$BB$15,$F35,0,OFFSET(ORÇAMENTO!$D$15,CRONO!$F35,0)))
                +IF(AND($F37&lt;&gt;"",$F37&lt;&gt;0),
                        SUMIF(CÁLCULO!$BC$15:$BU$508,CRONO!AE$12,CÁLCULO!$AJ$15:$BB$508)/(ORÇAMENTO!$X$15-_xlfn.SINGLE(CÁLCULO.TotalAdmLocal))*CRONO!$F37,
                        0),
                 AE36*$S35),
          SUMIF(OFFSET($S37,1,0,$R35-2),($M35+1)&amp;"$",OFFSET(AE37,1,0,$R35-2)))</f>
        <v>0</v>
      </c>
      <c r="AF37" s="202" cm="1">
        <f t="array" aca="1" ref="AF37" ca="1">IF($R35=2,
         IF(AND(ACOMPANHAMENTO="PLE",ISNUMBER($F35)),
                SUMIF((OFFSET(CÁLCULO!$BC$15:$BU$15,$F35,0,OFFSET(ORÇAMENTO!$D$15,CRONO!$F35,0))),CRONO!AF$12,OFFSET(CÁLCULO!$AJ$15:$BB$15,$F35,0,OFFSET(ORÇAMENTO!$D$15,CRONO!$F35,0)))
                +IF(AND($F37&lt;&gt;"",$F37&lt;&gt;0),
                        SUMIF(CÁLCULO!$BC$15:$BU$508,CRONO!AF$12,CÁLCULO!$AJ$15:$BB$508)/(ORÇAMENTO!$X$15-_xlfn.SINGLE(CÁLCULO.TotalAdmLocal))*CRONO!$F37,
                        0),
                 AF36*$S35),
          SUMIF(OFFSET($S37,1,0,$R35-2),($M35+1)&amp;"$",OFFSET(AF37,1,0,$R35-2)))</f>
        <v>0</v>
      </c>
      <c r="AG37" s="534"/>
    </row>
    <row r="38" spans="1:33" x14ac:dyDescent="0.2">
      <c r="A38" s="186" t="str">
        <f t="shared" ref="A38" ca="1" si="50">IF($M38&gt;1,_xlfn.CONCAT($I38," ",$J38),"")</f>
        <v>1.8. INSTALAÇÕES ELÉTRICAS</v>
      </c>
      <c r="B38" s="185">
        <f t="shared" ref="B38" ca="1" si="51">OFFSET(B38,-3,0)+1</f>
        <v>9</v>
      </c>
      <c r="C38" s="185">
        <f ca="1">IF($R38&lt;&gt;2,0,IF($S38=0,1,IF(F39&gt;0,OFFSET(QCI!$M$13,SUBSTITUTE(F39,".",""),0),OFFSET(ORÇAMENTO!$AA$15,CRONO!$F38,0))/$S38))</f>
        <v>0</v>
      </c>
      <c r="D38" s="185">
        <f ca="1">IF($R38&lt;&gt;2,0,IF($S38=0,1,IF(F39&gt;0,OFFSET(QCI!$N$13,SUBSTITUTE(F39,".",""),0),OFFSET(ORÇAMENTO!$AB$15,CRONO!$F38,0))/$S38))</f>
        <v>0</v>
      </c>
      <c r="E38" s="188" cm="1">
        <f t="array" aca="1" ref="E38" ca="1">IF(AND($R38=2,ACOMPANHAMENTO="BM"),ROUND(E39,4),E40/$S38)</f>
        <v>0</v>
      </c>
      <c r="F38" s="185">
        <f ca="1">IF(B38&lt;=ORÇAMENTO.MáximoListaCrono,MATCH(B38,ORÇAMENTO.ListaCrono,0),NA())</f>
        <v>345</v>
      </c>
      <c r="G38" s="185" t="str">
        <f t="shared" ref="G38" ca="1" si="52">IF(AND($F39&lt;&gt;-1,$S38&gt;0),"F","")</f>
        <v>F</v>
      </c>
      <c r="H38" s="189" cm="1">
        <f t="array" aca="1" ref="H38" ca="1">IF(OR(S38=0,S38=""),"Linha",IF(AND(OR(ACOMPANHAMENTO="PLE",$R38&lt;&gt;2),$F39=0),"Linha",ROUND(1-SUM(U38:AG38),4)))</f>
        <v>0</v>
      </c>
      <c r="I38" s="190" t="str">
        <f ca="1">IF($F39=0,OFFSET(ORÇAMENTO!O$15,$F38,0),IF($F39&lt;&gt;-1,OFFSET(QCI!$D$13,$F39,0),""))</f>
        <v>1.8.</v>
      </c>
      <c r="J38" s="191" t="str">
        <f ca="1">IF($F39=0,OFFSET(ORÇAMENTO!R$15,$F38,0),IF($F39&lt;&gt;-1,OFFSET(QCI!$G$13,$F39,0),""))</f>
        <v>INSTALAÇÕES ELÉTRICAS</v>
      </c>
      <c r="K38" s="191"/>
      <c r="L38" s="191"/>
      <c r="M38" s="192">
        <f ca="1">IF($F39=0,OFFSET(ORÇAMENTO!C$15,$F38,0),1)</f>
        <v>2</v>
      </c>
      <c r="N38" s="193">
        <f ca="1">IF($F39=-1,0,IF(N$13&lt;=$M38,IF(ISERROR(MATCH(N$13,OFFSET($M38,1,0,ROW($M$56)-ROW($M38)-1),0)),ROW($M$56)-ROW($M38)-1,MATCH(N$13,OFFSET($M38,1,0,ROW($M$56)-ROW($M38)-1),0)-1),0))</f>
        <v>8</v>
      </c>
      <c r="O38" s="193">
        <f ca="1">IF($F39=-1,0,IF(O$13&lt;=$M38,IF(ISERROR(MATCH(O$13,OFFSET($M38,1,0,ROW($M$56)-ROW($M38)-1),0)),ROW($M$56)-ROW($M38)-1,MATCH(O$13,OFFSET($M38,1,0,ROW($M$56)-ROW($M38)-1),0)-1),0))</f>
        <v>2</v>
      </c>
      <c r="P38" s="193">
        <f ca="1">IF($F39=-1,0,IF(P$13&lt;=$M38,IF(ISERROR(MATCH(P$13,OFFSET($M38,1,0,ROW($M$56)-ROW($M38)-1),0)),ROW($M$56)-ROW($M38)-1,MATCH(P$13,OFFSET($M38,1,0,ROW($M$56)-ROW($M38)-1),0)-1),0))</f>
        <v>0</v>
      </c>
      <c r="Q38" s="193">
        <f ca="1">IF($F39=-1,0,IF(Q$13&lt;=$M38,IF(ISERROR(MATCH(Q$13,OFFSET($M38,1,0,ROW($M$56)-ROW($M38)-1),0)),ROW($M$56)-ROW($M38)-1,MATCH(Q$13,OFFSET($M38,1,0,ROW($M$56)-ROW($M38)-1),0)-1),0))</f>
        <v>0</v>
      </c>
      <c r="R38" s="193">
        <f t="shared" ref="R38" ca="1" si="53">MIN(OFFSET(M38,0,1,,M38))</f>
        <v>2</v>
      </c>
      <c r="S38" s="194">
        <f ca="1">IF($F39=0,OFFSET(ORÇAMENTO!X$15,$F38,0),IF($F39&lt;&gt;-1,OFFSET(QCI!$O$13,$F39,0),""))</f>
        <v>656759.93000000005</v>
      </c>
      <c r="T38" s="195" t="s">
        <v>785</v>
      </c>
      <c r="U38" s="188" cm="1">
        <f t="array" aca="1" ref="U38" ca="1">IF(AND($R38=2,ACOMPANHAMENTO="BM"),ROUND(U39,4),U40/$S38)</f>
        <v>0</v>
      </c>
      <c r="V38" s="188" cm="1">
        <f t="array" aca="1" ref="V38" ca="1">IF(AND($R38=2,ACOMPANHAMENTO="BM"),ROUND(V39,4),V40/$S38)</f>
        <v>0</v>
      </c>
      <c r="W38" s="188" cm="1">
        <f t="array" aca="1" ref="W38" ca="1">IF(AND($R38=2,ACOMPANHAMENTO="BM"),ROUND(W39,4),W40/$S38)</f>
        <v>0</v>
      </c>
      <c r="X38" s="188" cm="1">
        <f t="array" aca="1" ref="X38" ca="1">IF(AND($R38=2,ACOMPANHAMENTO="BM"),ROUND(X39,4),X40/$S38)</f>
        <v>0</v>
      </c>
      <c r="Y38" s="188" cm="1">
        <f t="array" aca="1" ref="Y38" ca="1">IF(AND($R38=2,ACOMPANHAMENTO="BM"),ROUND(Y39,4),Y40/$S38)</f>
        <v>0</v>
      </c>
      <c r="Z38" s="188" cm="1">
        <f t="array" aca="1" ref="Z38" ca="1">IF(AND($R38=2,ACOMPANHAMENTO="BM"),ROUND(Z39,4),Z40/$S38)</f>
        <v>0</v>
      </c>
      <c r="AA38" s="188" cm="1">
        <f t="array" aca="1" ref="AA38" ca="1">IF(AND($R38=2,ACOMPANHAMENTO="BM"),ROUND(AA39,4),AA40/$S38)</f>
        <v>0</v>
      </c>
      <c r="AB38" s="188" cm="1">
        <f t="array" aca="1" ref="AB38" ca="1">IF(AND($R38=2,ACOMPANHAMENTO="BM"),ROUND(AB39,4),AB40/$S38)</f>
        <v>1</v>
      </c>
      <c r="AC38" s="188" cm="1">
        <f t="array" aca="1" ref="AC38" ca="1">IF(AND($R38=2,ACOMPANHAMENTO="BM"),ROUND(AC39,4),AC40/$S38)</f>
        <v>0</v>
      </c>
      <c r="AD38" s="188" cm="1">
        <f t="array" aca="1" ref="AD38" ca="1">IF(AND($R38=2,ACOMPANHAMENTO="BM"),ROUND(AD39,4),AD40/$S38)</f>
        <v>0</v>
      </c>
      <c r="AE38" s="188" cm="1">
        <f t="array" aca="1" ref="AE38" ca="1">IF(AND($R38=2,ACOMPANHAMENTO="BM"),ROUND(AE39,4),AE40/$S38)</f>
        <v>0</v>
      </c>
      <c r="AF38" s="188" cm="1">
        <f t="array" aca="1" ref="AF38" ca="1">IF(AND($R38=2,ACOMPANHAMENTO="BM"),ROUND(AF39,4),AF40/$S38)</f>
        <v>0</v>
      </c>
      <c r="AG38" s="534"/>
    </row>
    <row r="39" spans="1:33" ht="12.75" customHeight="1" x14ac:dyDescent="0.2">
      <c r="E39" s="587"/>
      <c r="F39" s="185">
        <f ca="1">IF(ISERROR(F38),IF(1+COUNTIF($M$13:OFFSET(M38,-1,0),1)&lt;=MAX(QCI!$D$13:$D$15),1+COUNTIF($M$13:OFFSET(M38,-1,0),1),-1),0)</f>
        <v>0</v>
      </c>
      <c r="G39" s="185" t="str" cm="1">
        <f t="array" aca="1" ref="G39" ca="1">IF(ACOMPANHAMENTO="BM",OFFSET(G39,-1,0),"")</f>
        <v>F</v>
      </c>
      <c r="H39" s="196" t="str" cm="1">
        <f t="array" aca="1" ref="H39" ca="1">IF(OR(S38=0,S38=""),"vazia",IF(AND(OR(ACOMPANHAMENTO="PLE",$R38&lt;&gt;2),$F39=0),"calculada","--&gt;"))</f>
        <v>--&gt;</v>
      </c>
      <c r="I39" s="197"/>
      <c r="J39" s="198" t="str">
        <f t="shared" ref="J39" ca="1" si="54">IF(AND(H38&lt;&gt;0,ISNUMBER(H38)),"PREENCHA ESTA LINHA --&gt;","")</f>
        <v/>
      </c>
      <c r="K39" s="198"/>
      <c r="L39" s="198"/>
      <c r="M39" s="199"/>
      <c r="N39" s="199"/>
      <c r="O39" s="199"/>
      <c r="P39" s="199"/>
      <c r="Q39" s="199"/>
      <c r="R39" s="199"/>
      <c r="S39" s="200"/>
      <c r="T39" s="201"/>
      <c r="U39" s="587"/>
      <c r="V39" s="587"/>
      <c r="W39" s="587"/>
      <c r="X39" s="587"/>
      <c r="Y39" s="587"/>
      <c r="Z39" s="587"/>
      <c r="AA39" s="587"/>
      <c r="AB39" s="587">
        <v>1</v>
      </c>
      <c r="AC39" s="587"/>
      <c r="AD39" s="587"/>
      <c r="AE39" s="587"/>
      <c r="AF39" s="587"/>
      <c r="AG39" s="534"/>
    </row>
    <row r="40" spans="1:33" ht="12.75" hidden="1" customHeight="1" x14ac:dyDescent="0.2">
      <c r="D40" s="533"/>
      <c r="E40" s="202" cm="1">
        <f t="array" aca="1" ref="E40" ca="1">IF($R38=2,
         IF(AND(ACOMPANHAMENTO="PLE",ISNUMBER($F38)),
                SUMIF((OFFSET(CÁLCULO!$BC$15:$BU$15,$F38,0,OFFSET(ORÇAMENTO!$D$15,CRONO!$F38,0))),CRONO!E$12,OFFSET(CÁLCULO!$AJ$15:$BB$15,$F38,0,OFFSET(ORÇAMENTO!$D$15,CRONO!$F38,0)))
                +IF(AND($F40&lt;&gt;"",$F40&lt;&gt;0),
                        SUMIF(CÁLCULO!$BC$15:$BU$508,CRONO!E$12,CÁLCULO!$AJ$15:$BB$508)/(ORÇAMENTO!$X$15-_xlfn.SINGLE(CÁLCULO.TotalAdmLocal))*CRONO!$F40,
                        0),
                 E39*$S38),
          SUMIF(OFFSET($S40,1,0,$R38-2),($M38+1)&amp;"$",OFFSET(E40,1,0,$R38-2)))</f>
        <v>0</v>
      </c>
      <c r="F40" s="185">
        <f ca="1">IF(OR($R38&lt;&gt;2,AUTOEVENTO&lt;&gt;"manual",$F39&gt;0),"",
        IF(Import.TipoArredondamento="Tradicional",
              SUMIF(OFFSET(CÁLCULO!$M$15,CRONO!$F38,0,OFFSET(ORÇAMENTO!$D$15,CRONO!$F38,0)),1,OFFSET(ORÇAMENTO!$X$15,CRONO!$F38,0,OFFSET(ORÇAMENTO!$D$15,CRONO!$F38,0))),
              0))</f>
        <v>0</v>
      </c>
      <c r="H40" s="203"/>
      <c r="S40" s="204" t="str">
        <f t="shared" ref="S40" ca="1" si="55">M38&amp;"$"</f>
        <v>2$</v>
      </c>
      <c r="T40" s="205"/>
      <c r="U40" s="202" cm="1">
        <f t="array" aca="1" ref="U40" ca="1">IF($R38=2,
         IF(AND(ACOMPANHAMENTO="PLE",ISNUMBER($F38)),
                SUMIF((OFFSET(CÁLCULO!$BC$15:$BU$15,$F38,0,OFFSET(ORÇAMENTO!$D$15,CRONO!$F38,0))),CRONO!U$12,OFFSET(CÁLCULO!$AJ$15:$BB$15,$F38,0,OFFSET(ORÇAMENTO!$D$15,CRONO!$F38,0)))
                +IF(AND($F40&lt;&gt;"",$F40&lt;&gt;0),
                        SUMIF(CÁLCULO!$BC$15:$BU$508,CRONO!U$12,CÁLCULO!$AJ$15:$BB$508)/(ORÇAMENTO!$X$15-_xlfn.SINGLE(CÁLCULO.TotalAdmLocal))*CRONO!$F40,
                        0),
                 U39*$S38),
          SUMIF(OFFSET($S40,1,0,$R38-2),($M38+1)&amp;"$",OFFSET(U40,1,0,$R38-2)))</f>
        <v>0</v>
      </c>
      <c r="V40" s="202" cm="1">
        <f t="array" aca="1" ref="V40" ca="1">IF($R38=2,
         IF(AND(ACOMPANHAMENTO="PLE",ISNUMBER($F38)),
                SUMIF((OFFSET(CÁLCULO!$BC$15:$BU$15,$F38,0,OFFSET(ORÇAMENTO!$D$15,CRONO!$F38,0))),CRONO!V$12,OFFSET(CÁLCULO!$AJ$15:$BB$15,$F38,0,OFFSET(ORÇAMENTO!$D$15,CRONO!$F38,0)))
                +IF(AND($F40&lt;&gt;"",$F40&lt;&gt;0),
                        SUMIF(CÁLCULO!$BC$15:$BU$508,CRONO!V$12,CÁLCULO!$AJ$15:$BB$508)/(ORÇAMENTO!$X$15-_xlfn.SINGLE(CÁLCULO.TotalAdmLocal))*CRONO!$F40,
                        0),
                 V39*$S38),
          SUMIF(OFFSET($S40,1,0,$R38-2),($M38+1)&amp;"$",OFFSET(V40,1,0,$R38-2)))</f>
        <v>0</v>
      </c>
      <c r="W40" s="202" cm="1">
        <f t="array" aca="1" ref="W40" ca="1">IF($R38=2,
         IF(AND(ACOMPANHAMENTO="PLE",ISNUMBER($F38)),
                SUMIF((OFFSET(CÁLCULO!$BC$15:$BU$15,$F38,0,OFFSET(ORÇAMENTO!$D$15,CRONO!$F38,0))),CRONO!W$12,OFFSET(CÁLCULO!$AJ$15:$BB$15,$F38,0,OFFSET(ORÇAMENTO!$D$15,CRONO!$F38,0)))
                +IF(AND($F40&lt;&gt;"",$F40&lt;&gt;0),
                        SUMIF(CÁLCULO!$BC$15:$BU$508,CRONO!W$12,CÁLCULO!$AJ$15:$BB$508)/(ORÇAMENTO!$X$15-_xlfn.SINGLE(CÁLCULO.TotalAdmLocal))*CRONO!$F40,
                        0),
                 W39*$S38),
          SUMIF(OFFSET($S40,1,0,$R38-2),($M38+1)&amp;"$",OFFSET(W40,1,0,$R38-2)))</f>
        <v>0</v>
      </c>
      <c r="X40" s="202" cm="1">
        <f t="array" aca="1" ref="X40" ca="1">IF($R38=2,
         IF(AND(ACOMPANHAMENTO="PLE",ISNUMBER($F38)),
                SUMIF((OFFSET(CÁLCULO!$BC$15:$BU$15,$F38,0,OFFSET(ORÇAMENTO!$D$15,CRONO!$F38,0))),CRONO!X$12,OFFSET(CÁLCULO!$AJ$15:$BB$15,$F38,0,OFFSET(ORÇAMENTO!$D$15,CRONO!$F38,0)))
                +IF(AND($F40&lt;&gt;"",$F40&lt;&gt;0),
                        SUMIF(CÁLCULO!$BC$15:$BU$508,CRONO!X$12,CÁLCULO!$AJ$15:$BB$508)/(ORÇAMENTO!$X$15-_xlfn.SINGLE(CÁLCULO.TotalAdmLocal))*CRONO!$F40,
                        0),
                 X39*$S38),
          SUMIF(OFFSET($S40,1,0,$R38-2),($M38+1)&amp;"$",OFFSET(X40,1,0,$R38-2)))</f>
        <v>0</v>
      </c>
      <c r="Y40" s="202" cm="1">
        <f t="array" aca="1" ref="Y40" ca="1">IF($R38=2,
         IF(AND(ACOMPANHAMENTO="PLE",ISNUMBER($F38)),
                SUMIF((OFFSET(CÁLCULO!$BC$15:$BU$15,$F38,0,OFFSET(ORÇAMENTO!$D$15,CRONO!$F38,0))),CRONO!Y$12,OFFSET(CÁLCULO!$AJ$15:$BB$15,$F38,0,OFFSET(ORÇAMENTO!$D$15,CRONO!$F38,0)))
                +IF(AND($F40&lt;&gt;"",$F40&lt;&gt;0),
                        SUMIF(CÁLCULO!$BC$15:$BU$508,CRONO!Y$12,CÁLCULO!$AJ$15:$BB$508)/(ORÇAMENTO!$X$15-_xlfn.SINGLE(CÁLCULO.TotalAdmLocal))*CRONO!$F40,
                        0),
                 Y39*$S38),
          SUMIF(OFFSET($S40,1,0,$R38-2),($M38+1)&amp;"$",OFFSET(Y40,1,0,$R38-2)))</f>
        <v>0</v>
      </c>
      <c r="Z40" s="202" cm="1">
        <f t="array" aca="1" ref="Z40" ca="1">IF($R38=2,
         IF(AND(ACOMPANHAMENTO="PLE",ISNUMBER($F38)),
                SUMIF((OFFSET(CÁLCULO!$BC$15:$BU$15,$F38,0,OFFSET(ORÇAMENTO!$D$15,CRONO!$F38,0))),CRONO!Z$12,OFFSET(CÁLCULO!$AJ$15:$BB$15,$F38,0,OFFSET(ORÇAMENTO!$D$15,CRONO!$F38,0)))
                +IF(AND($F40&lt;&gt;"",$F40&lt;&gt;0),
                        SUMIF(CÁLCULO!$BC$15:$BU$508,CRONO!Z$12,CÁLCULO!$AJ$15:$BB$508)/(ORÇAMENTO!$X$15-_xlfn.SINGLE(CÁLCULO.TotalAdmLocal))*CRONO!$F40,
                        0),
                 Z39*$S38),
          SUMIF(OFFSET($S40,1,0,$R38-2),($M38+1)&amp;"$",OFFSET(Z40,1,0,$R38-2)))</f>
        <v>0</v>
      </c>
      <c r="AA40" s="202" cm="1">
        <f t="array" aca="1" ref="AA40" ca="1">IF($R38=2,
         IF(AND(ACOMPANHAMENTO="PLE",ISNUMBER($F38)),
                SUMIF((OFFSET(CÁLCULO!$BC$15:$BU$15,$F38,0,OFFSET(ORÇAMENTO!$D$15,CRONO!$F38,0))),CRONO!AA$12,OFFSET(CÁLCULO!$AJ$15:$BB$15,$F38,0,OFFSET(ORÇAMENTO!$D$15,CRONO!$F38,0)))
                +IF(AND($F40&lt;&gt;"",$F40&lt;&gt;0),
                        SUMIF(CÁLCULO!$BC$15:$BU$508,CRONO!AA$12,CÁLCULO!$AJ$15:$BB$508)/(ORÇAMENTO!$X$15-_xlfn.SINGLE(CÁLCULO.TotalAdmLocal))*CRONO!$F40,
                        0),
                 AA39*$S38),
          SUMIF(OFFSET($S40,1,0,$R38-2),($M38+1)&amp;"$",OFFSET(AA40,1,0,$R38-2)))</f>
        <v>0</v>
      </c>
      <c r="AB40" s="202" cm="1">
        <f t="array" aca="1" ref="AB40" ca="1">IF($R38=2,
         IF(AND(ACOMPANHAMENTO="PLE",ISNUMBER($F38)),
                SUMIF((OFFSET(CÁLCULO!$BC$15:$BU$15,$F38,0,OFFSET(ORÇAMENTO!$D$15,CRONO!$F38,0))),CRONO!AB$12,OFFSET(CÁLCULO!$AJ$15:$BB$15,$F38,0,OFFSET(ORÇAMENTO!$D$15,CRONO!$F38,0)))
                +IF(AND($F40&lt;&gt;"",$F40&lt;&gt;0),
                        SUMIF(CÁLCULO!$BC$15:$BU$508,CRONO!AB$12,CÁLCULO!$AJ$15:$BB$508)/(ORÇAMENTO!$X$15-_xlfn.SINGLE(CÁLCULO.TotalAdmLocal))*CRONO!$F40,
                        0),
                 AB39*$S38),
          SUMIF(OFFSET($S40,1,0,$R38-2),($M38+1)&amp;"$",OFFSET(AB40,1,0,$R38-2)))</f>
        <v>656759.93000000005</v>
      </c>
      <c r="AC40" s="202" cm="1">
        <f t="array" aca="1" ref="AC40" ca="1">IF($R38=2,
         IF(AND(ACOMPANHAMENTO="PLE",ISNUMBER($F38)),
                SUMIF((OFFSET(CÁLCULO!$BC$15:$BU$15,$F38,0,OFFSET(ORÇAMENTO!$D$15,CRONO!$F38,0))),CRONO!AC$12,OFFSET(CÁLCULO!$AJ$15:$BB$15,$F38,0,OFFSET(ORÇAMENTO!$D$15,CRONO!$F38,0)))
                +IF(AND($F40&lt;&gt;"",$F40&lt;&gt;0),
                        SUMIF(CÁLCULO!$BC$15:$BU$508,CRONO!AC$12,CÁLCULO!$AJ$15:$BB$508)/(ORÇAMENTO!$X$15-_xlfn.SINGLE(CÁLCULO.TotalAdmLocal))*CRONO!$F40,
                        0),
                 AC39*$S38),
          SUMIF(OFFSET($S40,1,0,$R38-2),($M38+1)&amp;"$",OFFSET(AC40,1,0,$R38-2)))</f>
        <v>0</v>
      </c>
      <c r="AD40" s="202" cm="1">
        <f t="array" aca="1" ref="AD40" ca="1">IF($R38=2,
         IF(AND(ACOMPANHAMENTO="PLE",ISNUMBER($F38)),
                SUMIF((OFFSET(CÁLCULO!$BC$15:$BU$15,$F38,0,OFFSET(ORÇAMENTO!$D$15,CRONO!$F38,0))),CRONO!AD$12,OFFSET(CÁLCULO!$AJ$15:$BB$15,$F38,0,OFFSET(ORÇAMENTO!$D$15,CRONO!$F38,0)))
                +IF(AND($F40&lt;&gt;"",$F40&lt;&gt;0),
                        SUMIF(CÁLCULO!$BC$15:$BU$508,CRONO!AD$12,CÁLCULO!$AJ$15:$BB$508)/(ORÇAMENTO!$X$15-_xlfn.SINGLE(CÁLCULO.TotalAdmLocal))*CRONO!$F40,
                        0),
                 AD39*$S38),
          SUMIF(OFFSET($S40,1,0,$R38-2),($M38+1)&amp;"$",OFFSET(AD40,1,0,$R38-2)))</f>
        <v>0</v>
      </c>
      <c r="AE40" s="202" cm="1">
        <f t="array" aca="1" ref="AE40" ca="1">IF($R38=2,
         IF(AND(ACOMPANHAMENTO="PLE",ISNUMBER($F38)),
                SUMIF((OFFSET(CÁLCULO!$BC$15:$BU$15,$F38,0,OFFSET(ORÇAMENTO!$D$15,CRONO!$F38,0))),CRONO!AE$12,OFFSET(CÁLCULO!$AJ$15:$BB$15,$F38,0,OFFSET(ORÇAMENTO!$D$15,CRONO!$F38,0)))
                +IF(AND($F40&lt;&gt;"",$F40&lt;&gt;0),
                        SUMIF(CÁLCULO!$BC$15:$BU$508,CRONO!AE$12,CÁLCULO!$AJ$15:$BB$508)/(ORÇAMENTO!$X$15-_xlfn.SINGLE(CÁLCULO.TotalAdmLocal))*CRONO!$F40,
                        0),
                 AE39*$S38),
          SUMIF(OFFSET($S40,1,0,$R38-2),($M38+1)&amp;"$",OFFSET(AE40,1,0,$R38-2)))</f>
        <v>0</v>
      </c>
      <c r="AF40" s="202" cm="1">
        <f t="array" aca="1" ref="AF40" ca="1">IF($R38=2,
         IF(AND(ACOMPANHAMENTO="PLE",ISNUMBER($F38)),
                SUMIF((OFFSET(CÁLCULO!$BC$15:$BU$15,$F38,0,OFFSET(ORÇAMENTO!$D$15,CRONO!$F38,0))),CRONO!AF$12,OFFSET(CÁLCULO!$AJ$15:$BB$15,$F38,0,OFFSET(ORÇAMENTO!$D$15,CRONO!$F38,0)))
                +IF(AND($F40&lt;&gt;"",$F40&lt;&gt;0),
                        SUMIF(CÁLCULO!$BC$15:$BU$508,CRONO!AF$12,CÁLCULO!$AJ$15:$BB$508)/(ORÇAMENTO!$X$15-_xlfn.SINGLE(CÁLCULO.TotalAdmLocal))*CRONO!$F40,
                        0),
                 AF39*$S38),
          SUMIF(OFFSET($S40,1,0,$R38-2),($M38+1)&amp;"$",OFFSET(AF40,1,0,$R38-2)))</f>
        <v>0</v>
      </c>
      <c r="AG40" s="534"/>
    </row>
    <row r="41" spans="1:33" x14ac:dyDescent="0.2">
      <c r="A41" s="186" t="str">
        <f t="shared" ref="A41" ca="1" si="56">IF($M41&gt;1,_xlfn.CONCAT($I41," ",$J41),"")</f>
        <v>1.9. CFTV</v>
      </c>
      <c r="B41" s="185">
        <f t="shared" ref="B41" ca="1" si="57">OFFSET(B41,-3,0)+1</f>
        <v>10</v>
      </c>
      <c r="C41" s="185">
        <f ca="1">IF($R41&lt;&gt;2,0,IF($S41=0,1,IF(F42&gt;0,OFFSET(QCI!$M$13,SUBSTITUTE(F42,".",""),0),OFFSET(ORÇAMENTO!$AA$15,CRONO!$F41,0))/$S41))</f>
        <v>0</v>
      </c>
      <c r="D41" s="185">
        <f ca="1">IF($R41&lt;&gt;2,0,IF($S41=0,1,IF(F42&gt;0,OFFSET(QCI!$N$13,SUBSTITUTE(F42,".",""),0),OFFSET(ORÇAMENTO!$AB$15,CRONO!$F41,0))/$S41))</f>
        <v>0</v>
      </c>
      <c r="E41" s="188" cm="1">
        <f t="array" aca="1" ref="E41" ca="1">IF(AND($R41=2,ACOMPANHAMENTO="BM"),ROUND(E42,4),E43/$S41)</f>
        <v>0</v>
      </c>
      <c r="F41" s="185">
        <f ca="1">IF(B41&lt;=ORÇAMENTO.MáximoListaCrono,MATCH(B41,ORÇAMENTO.ListaCrono,0),NA())</f>
        <v>426</v>
      </c>
      <c r="G41" s="185" t="str">
        <f t="shared" ref="G41" ca="1" si="58">IF(AND($F42&lt;&gt;-1,$S41&gt;0),"F","")</f>
        <v>F</v>
      </c>
      <c r="H41" s="189" cm="1">
        <f t="array" aca="1" ref="H41" ca="1">IF(OR(S41=0,S41=""),"Linha",IF(AND(OR(ACOMPANHAMENTO="PLE",$R41&lt;&gt;2),$F42=0),"Linha",ROUND(1-SUM(U41:AG41),4)))</f>
        <v>0</v>
      </c>
      <c r="I41" s="190" t="str">
        <f ca="1">IF($F42=0,OFFSET(ORÇAMENTO!O$15,$F41,0),IF($F42&lt;&gt;-1,OFFSET(QCI!$D$13,$F42,0),""))</f>
        <v>1.9.</v>
      </c>
      <c r="J41" s="191" t="str">
        <f ca="1">IF($F42=0,OFFSET(ORÇAMENTO!R$15,$F41,0),IF($F42&lt;&gt;-1,OFFSET(QCI!$G$13,$F42,0),""))</f>
        <v>CFTV</v>
      </c>
      <c r="K41" s="191"/>
      <c r="L41" s="191"/>
      <c r="M41" s="192">
        <f ca="1">IF($F42=0,OFFSET(ORÇAMENTO!C$15,$F41,0),1)</f>
        <v>2</v>
      </c>
      <c r="N41" s="193">
        <f ca="1">IF($F42=-1,0,IF(N$13&lt;=$M41,IF(ISERROR(MATCH(N$13,OFFSET($M41,1,0,ROW($M$56)-ROW($M41)-1),0)),ROW($M$56)-ROW($M41)-1,MATCH(N$13,OFFSET($M41,1,0,ROW($M$56)-ROW($M41)-1),0)-1),0))</f>
        <v>5</v>
      </c>
      <c r="O41" s="193">
        <f ca="1">IF($F42=-1,0,IF(O$13&lt;=$M41,IF(ISERROR(MATCH(O$13,OFFSET($M41,1,0,ROW($M$56)-ROW($M41)-1),0)),ROW($M$56)-ROW($M41)-1,MATCH(O$13,OFFSET($M41,1,0,ROW($M$56)-ROW($M41)-1),0)-1),0))</f>
        <v>2</v>
      </c>
      <c r="P41" s="193">
        <f ca="1">IF($F42=-1,0,IF(P$13&lt;=$M41,IF(ISERROR(MATCH(P$13,OFFSET($M41,1,0,ROW($M$56)-ROW($M41)-1),0)),ROW($M$56)-ROW($M41)-1,MATCH(P$13,OFFSET($M41,1,0,ROW($M$56)-ROW($M41)-1),0)-1),0))</f>
        <v>0</v>
      </c>
      <c r="Q41" s="193">
        <f ca="1">IF($F42=-1,0,IF(Q$13&lt;=$M41,IF(ISERROR(MATCH(Q$13,OFFSET($M41,1,0,ROW($M$56)-ROW($M41)-1),0)),ROW($M$56)-ROW($M41)-1,MATCH(Q$13,OFFSET($M41,1,0,ROW($M$56)-ROW($M41)-1),0)-1),0))</f>
        <v>0</v>
      </c>
      <c r="R41" s="193">
        <f t="shared" ref="R41" ca="1" si="59">MIN(OFFSET(M41,0,1,,M41))</f>
        <v>2</v>
      </c>
      <c r="S41" s="194">
        <f ca="1">IF($F42=0,OFFSET(ORÇAMENTO!X$15,$F41,0),IF($F42&lt;&gt;-1,OFFSET(QCI!$O$13,$F42,0),""))</f>
        <v>205008.59</v>
      </c>
      <c r="T41" s="195" t="s">
        <v>785</v>
      </c>
      <c r="U41" s="188" cm="1">
        <f t="array" aca="1" ref="U41" ca="1">IF(AND($R41=2,ACOMPANHAMENTO="BM"),ROUND(U42,4),U43/$S41)</f>
        <v>0</v>
      </c>
      <c r="V41" s="188" cm="1">
        <f t="array" aca="1" ref="V41" ca="1">IF(AND($R41=2,ACOMPANHAMENTO="BM"),ROUND(V42,4),V43/$S41)</f>
        <v>0</v>
      </c>
      <c r="W41" s="188" cm="1">
        <f t="array" aca="1" ref="W41" ca="1">IF(AND($R41=2,ACOMPANHAMENTO="BM"),ROUND(W42,4),W43/$S41)</f>
        <v>0</v>
      </c>
      <c r="X41" s="188" cm="1">
        <f t="array" aca="1" ref="X41" ca="1">IF(AND($R41=2,ACOMPANHAMENTO="BM"),ROUND(X42,4),X43/$S41)</f>
        <v>0</v>
      </c>
      <c r="Y41" s="188" cm="1">
        <f t="array" aca="1" ref="Y41" ca="1">IF(AND($R41=2,ACOMPANHAMENTO="BM"),ROUND(Y42,4),Y43/$S41)</f>
        <v>0</v>
      </c>
      <c r="Z41" s="188" cm="1">
        <f t="array" aca="1" ref="Z41" ca="1">IF(AND($R41=2,ACOMPANHAMENTO="BM"),ROUND(Z42,4),Z43/$S41)</f>
        <v>0</v>
      </c>
      <c r="AA41" s="188" cm="1">
        <f t="array" aca="1" ref="AA41" ca="1">IF(AND($R41=2,ACOMPANHAMENTO="BM"),ROUND(AA42,4),AA43/$S41)</f>
        <v>0</v>
      </c>
      <c r="AB41" s="188" cm="1">
        <f t="array" aca="1" ref="AB41" ca="1">IF(AND($R41=2,ACOMPANHAMENTO="BM"),ROUND(AB42,4),AB43/$S41)</f>
        <v>0</v>
      </c>
      <c r="AC41" s="188" cm="1">
        <f t="array" aca="1" ref="AC41" ca="1">IF(AND($R41=2,ACOMPANHAMENTO="BM"),ROUND(AC42,4),AC43/$S41)</f>
        <v>1</v>
      </c>
      <c r="AD41" s="188" cm="1">
        <f t="array" aca="1" ref="AD41" ca="1">IF(AND($R41=2,ACOMPANHAMENTO="BM"),ROUND(AD42,4),AD43/$S41)</f>
        <v>0</v>
      </c>
      <c r="AE41" s="188" cm="1">
        <f t="array" aca="1" ref="AE41" ca="1">IF(AND($R41=2,ACOMPANHAMENTO="BM"),ROUND(AE42,4),AE43/$S41)</f>
        <v>0</v>
      </c>
      <c r="AF41" s="188" cm="1">
        <f t="array" aca="1" ref="AF41" ca="1">IF(AND($R41=2,ACOMPANHAMENTO="BM"),ROUND(AF42,4),AF43/$S41)</f>
        <v>0</v>
      </c>
      <c r="AG41" s="534"/>
    </row>
    <row r="42" spans="1:33" ht="12.75" customHeight="1" x14ac:dyDescent="0.2">
      <c r="E42" s="587"/>
      <c r="F42" s="185">
        <f ca="1">IF(ISERROR(F41),IF(1+COUNTIF($M$13:OFFSET(M41,-1,0),1)&lt;=MAX(QCI!$D$13:$D$15),1+COUNTIF($M$13:OFFSET(M41,-1,0),1),-1),0)</f>
        <v>0</v>
      </c>
      <c r="G42" s="185" t="str" cm="1">
        <f t="array" aca="1" ref="G42" ca="1">IF(ACOMPANHAMENTO="BM",OFFSET(G42,-1,0),"")</f>
        <v>F</v>
      </c>
      <c r="H42" s="196" t="str" cm="1">
        <f t="array" aca="1" ref="H42" ca="1">IF(OR(S41=0,S41=""),"vazia",IF(AND(OR(ACOMPANHAMENTO="PLE",$R41&lt;&gt;2),$F42=0),"calculada","--&gt;"))</f>
        <v>--&gt;</v>
      </c>
      <c r="I42" s="197"/>
      <c r="J42" s="198" t="str">
        <f t="shared" ref="J42" ca="1" si="60">IF(AND(H41&lt;&gt;0,ISNUMBER(H41)),"PREENCHA ESTA LINHA --&gt;","")</f>
        <v/>
      </c>
      <c r="K42" s="198"/>
      <c r="L42" s="198"/>
      <c r="M42" s="199"/>
      <c r="N42" s="199"/>
      <c r="O42" s="199"/>
      <c r="P42" s="199"/>
      <c r="Q42" s="199"/>
      <c r="R42" s="199"/>
      <c r="S42" s="200"/>
      <c r="T42" s="201"/>
      <c r="U42" s="587"/>
      <c r="V42" s="587"/>
      <c r="W42" s="587"/>
      <c r="X42" s="587"/>
      <c r="Y42" s="587"/>
      <c r="Z42" s="587"/>
      <c r="AA42" s="587"/>
      <c r="AB42" s="587"/>
      <c r="AC42" s="587">
        <v>1</v>
      </c>
      <c r="AD42" s="587"/>
      <c r="AE42" s="587"/>
      <c r="AF42" s="587"/>
      <c r="AG42" s="534"/>
    </row>
    <row r="43" spans="1:33" ht="12.75" hidden="1" customHeight="1" x14ac:dyDescent="0.2">
      <c r="D43" s="533"/>
      <c r="E43" s="202" cm="1">
        <f t="array" aca="1" ref="E43" ca="1">IF($R41=2,
         IF(AND(ACOMPANHAMENTO="PLE",ISNUMBER($F41)),
                SUMIF((OFFSET(CÁLCULO!$BC$15:$BU$15,$F41,0,OFFSET(ORÇAMENTO!$D$15,CRONO!$F41,0))),CRONO!E$12,OFFSET(CÁLCULO!$AJ$15:$BB$15,$F41,0,OFFSET(ORÇAMENTO!$D$15,CRONO!$F41,0)))
                +IF(AND($F43&lt;&gt;"",$F43&lt;&gt;0),
                        SUMIF(CÁLCULO!$BC$15:$BU$508,CRONO!E$12,CÁLCULO!$AJ$15:$BB$508)/(ORÇAMENTO!$X$15-_xlfn.SINGLE(CÁLCULO.TotalAdmLocal))*CRONO!$F43,
                        0),
                 E42*$S41),
          SUMIF(OFFSET($S43,1,0,$R41-2),($M41+1)&amp;"$",OFFSET(E43,1,0,$R41-2)))</f>
        <v>0</v>
      </c>
      <c r="F43" s="185">
        <f ca="1">IF(OR($R41&lt;&gt;2,AUTOEVENTO&lt;&gt;"manual",$F42&gt;0),"",
        IF(Import.TipoArredondamento="Tradicional",
              SUMIF(OFFSET(CÁLCULO!$M$15,CRONO!$F41,0,OFFSET(ORÇAMENTO!$D$15,CRONO!$F41,0)),1,OFFSET(ORÇAMENTO!$X$15,CRONO!$F41,0,OFFSET(ORÇAMENTO!$D$15,CRONO!$F41,0))),
              0))</f>
        <v>0</v>
      </c>
      <c r="H43" s="203"/>
      <c r="S43" s="204" t="str">
        <f t="shared" ref="S43" ca="1" si="61">M41&amp;"$"</f>
        <v>2$</v>
      </c>
      <c r="T43" s="205"/>
      <c r="U43" s="202" cm="1">
        <f t="array" aca="1" ref="U43" ca="1">IF($R41=2,
         IF(AND(ACOMPANHAMENTO="PLE",ISNUMBER($F41)),
                SUMIF((OFFSET(CÁLCULO!$BC$15:$BU$15,$F41,0,OFFSET(ORÇAMENTO!$D$15,CRONO!$F41,0))),CRONO!U$12,OFFSET(CÁLCULO!$AJ$15:$BB$15,$F41,0,OFFSET(ORÇAMENTO!$D$15,CRONO!$F41,0)))
                +IF(AND($F43&lt;&gt;"",$F43&lt;&gt;0),
                        SUMIF(CÁLCULO!$BC$15:$BU$508,CRONO!U$12,CÁLCULO!$AJ$15:$BB$508)/(ORÇAMENTO!$X$15-_xlfn.SINGLE(CÁLCULO.TotalAdmLocal))*CRONO!$F43,
                        0),
                 U42*$S41),
          SUMIF(OFFSET($S43,1,0,$R41-2),($M41+1)&amp;"$",OFFSET(U43,1,0,$R41-2)))</f>
        <v>0</v>
      </c>
      <c r="V43" s="202" cm="1">
        <f t="array" aca="1" ref="V43" ca="1">IF($R41=2,
         IF(AND(ACOMPANHAMENTO="PLE",ISNUMBER($F41)),
                SUMIF((OFFSET(CÁLCULO!$BC$15:$BU$15,$F41,0,OFFSET(ORÇAMENTO!$D$15,CRONO!$F41,0))),CRONO!V$12,OFFSET(CÁLCULO!$AJ$15:$BB$15,$F41,0,OFFSET(ORÇAMENTO!$D$15,CRONO!$F41,0)))
                +IF(AND($F43&lt;&gt;"",$F43&lt;&gt;0),
                        SUMIF(CÁLCULO!$BC$15:$BU$508,CRONO!V$12,CÁLCULO!$AJ$15:$BB$508)/(ORÇAMENTO!$X$15-_xlfn.SINGLE(CÁLCULO.TotalAdmLocal))*CRONO!$F43,
                        0),
                 V42*$S41),
          SUMIF(OFFSET($S43,1,0,$R41-2),($M41+1)&amp;"$",OFFSET(V43,1,0,$R41-2)))</f>
        <v>0</v>
      </c>
      <c r="W43" s="202" cm="1">
        <f t="array" aca="1" ref="W43" ca="1">IF($R41=2,
         IF(AND(ACOMPANHAMENTO="PLE",ISNUMBER($F41)),
                SUMIF((OFFSET(CÁLCULO!$BC$15:$BU$15,$F41,0,OFFSET(ORÇAMENTO!$D$15,CRONO!$F41,0))),CRONO!W$12,OFFSET(CÁLCULO!$AJ$15:$BB$15,$F41,0,OFFSET(ORÇAMENTO!$D$15,CRONO!$F41,0)))
                +IF(AND($F43&lt;&gt;"",$F43&lt;&gt;0),
                        SUMIF(CÁLCULO!$BC$15:$BU$508,CRONO!W$12,CÁLCULO!$AJ$15:$BB$508)/(ORÇAMENTO!$X$15-_xlfn.SINGLE(CÁLCULO.TotalAdmLocal))*CRONO!$F43,
                        0),
                 W42*$S41),
          SUMIF(OFFSET($S43,1,0,$R41-2),($M41+1)&amp;"$",OFFSET(W43,1,0,$R41-2)))</f>
        <v>0</v>
      </c>
      <c r="X43" s="202" cm="1">
        <f t="array" aca="1" ref="X43" ca="1">IF($R41=2,
         IF(AND(ACOMPANHAMENTO="PLE",ISNUMBER($F41)),
                SUMIF((OFFSET(CÁLCULO!$BC$15:$BU$15,$F41,0,OFFSET(ORÇAMENTO!$D$15,CRONO!$F41,0))),CRONO!X$12,OFFSET(CÁLCULO!$AJ$15:$BB$15,$F41,0,OFFSET(ORÇAMENTO!$D$15,CRONO!$F41,0)))
                +IF(AND($F43&lt;&gt;"",$F43&lt;&gt;0),
                        SUMIF(CÁLCULO!$BC$15:$BU$508,CRONO!X$12,CÁLCULO!$AJ$15:$BB$508)/(ORÇAMENTO!$X$15-_xlfn.SINGLE(CÁLCULO.TotalAdmLocal))*CRONO!$F43,
                        0),
                 X42*$S41),
          SUMIF(OFFSET($S43,1,0,$R41-2),($M41+1)&amp;"$",OFFSET(X43,1,0,$R41-2)))</f>
        <v>0</v>
      </c>
      <c r="Y43" s="202" cm="1">
        <f t="array" aca="1" ref="Y43" ca="1">IF($R41=2,
         IF(AND(ACOMPANHAMENTO="PLE",ISNUMBER($F41)),
                SUMIF((OFFSET(CÁLCULO!$BC$15:$BU$15,$F41,0,OFFSET(ORÇAMENTO!$D$15,CRONO!$F41,0))),CRONO!Y$12,OFFSET(CÁLCULO!$AJ$15:$BB$15,$F41,0,OFFSET(ORÇAMENTO!$D$15,CRONO!$F41,0)))
                +IF(AND($F43&lt;&gt;"",$F43&lt;&gt;0),
                        SUMIF(CÁLCULO!$BC$15:$BU$508,CRONO!Y$12,CÁLCULO!$AJ$15:$BB$508)/(ORÇAMENTO!$X$15-_xlfn.SINGLE(CÁLCULO.TotalAdmLocal))*CRONO!$F43,
                        0),
                 Y42*$S41),
          SUMIF(OFFSET($S43,1,0,$R41-2),($M41+1)&amp;"$",OFFSET(Y43,1,0,$R41-2)))</f>
        <v>0</v>
      </c>
      <c r="Z43" s="202" cm="1">
        <f t="array" aca="1" ref="Z43" ca="1">IF($R41=2,
         IF(AND(ACOMPANHAMENTO="PLE",ISNUMBER($F41)),
                SUMIF((OFFSET(CÁLCULO!$BC$15:$BU$15,$F41,0,OFFSET(ORÇAMENTO!$D$15,CRONO!$F41,0))),CRONO!Z$12,OFFSET(CÁLCULO!$AJ$15:$BB$15,$F41,0,OFFSET(ORÇAMENTO!$D$15,CRONO!$F41,0)))
                +IF(AND($F43&lt;&gt;"",$F43&lt;&gt;0),
                        SUMIF(CÁLCULO!$BC$15:$BU$508,CRONO!Z$12,CÁLCULO!$AJ$15:$BB$508)/(ORÇAMENTO!$X$15-_xlfn.SINGLE(CÁLCULO.TotalAdmLocal))*CRONO!$F43,
                        0),
                 Z42*$S41),
          SUMIF(OFFSET($S43,1,0,$R41-2),($M41+1)&amp;"$",OFFSET(Z43,1,0,$R41-2)))</f>
        <v>0</v>
      </c>
      <c r="AA43" s="202" cm="1">
        <f t="array" aca="1" ref="AA43" ca="1">IF($R41=2,
         IF(AND(ACOMPANHAMENTO="PLE",ISNUMBER($F41)),
                SUMIF((OFFSET(CÁLCULO!$BC$15:$BU$15,$F41,0,OFFSET(ORÇAMENTO!$D$15,CRONO!$F41,0))),CRONO!AA$12,OFFSET(CÁLCULO!$AJ$15:$BB$15,$F41,0,OFFSET(ORÇAMENTO!$D$15,CRONO!$F41,0)))
                +IF(AND($F43&lt;&gt;"",$F43&lt;&gt;0),
                        SUMIF(CÁLCULO!$BC$15:$BU$508,CRONO!AA$12,CÁLCULO!$AJ$15:$BB$508)/(ORÇAMENTO!$X$15-_xlfn.SINGLE(CÁLCULO.TotalAdmLocal))*CRONO!$F43,
                        0),
                 AA42*$S41),
          SUMIF(OFFSET($S43,1,0,$R41-2),($M41+1)&amp;"$",OFFSET(AA43,1,0,$R41-2)))</f>
        <v>0</v>
      </c>
      <c r="AB43" s="202" cm="1">
        <f t="array" aca="1" ref="AB43" ca="1">IF($R41=2,
         IF(AND(ACOMPANHAMENTO="PLE",ISNUMBER($F41)),
                SUMIF((OFFSET(CÁLCULO!$BC$15:$BU$15,$F41,0,OFFSET(ORÇAMENTO!$D$15,CRONO!$F41,0))),CRONO!AB$12,OFFSET(CÁLCULO!$AJ$15:$BB$15,$F41,0,OFFSET(ORÇAMENTO!$D$15,CRONO!$F41,0)))
                +IF(AND($F43&lt;&gt;"",$F43&lt;&gt;0),
                        SUMIF(CÁLCULO!$BC$15:$BU$508,CRONO!AB$12,CÁLCULO!$AJ$15:$BB$508)/(ORÇAMENTO!$X$15-_xlfn.SINGLE(CÁLCULO.TotalAdmLocal))*CRONO!$F43,
                        0),
                 AB42*$S41),
          SUMIF(OFFSET($S43,1,0,$R41-2),($M41+1)&amp;"$",OFFSET(AB43,1,0,$R41-2)))</f>
        <v>0</v>
      </c>
      <c r="AC43" s="202" cm="1">
        <f t="array" aca="1" ref="AC43" ca="1">IF($R41=2,
         IF(AND(ACOMPANHAMENTO="PLE",ISNUMBER($F41)),
                SUMIF((OFFSET(CÁLCULO!$BC$15:$BU$15,$F41,0,OFFSET(ORÇAMENTO!$D$15,CRONO!$F41,0))),CRONO!AC$12,OFFSET(CÁLCULO!$AJ$15:$BB$15,$F41,0,OFFSET(ORÇAMENTO!$D$15,CRONO!$F41,0)))
                +IF(AND($F43&lt;&gt;"",$F43&lt;&gt;0),
                        SUMIF(CÁLCULO!$BC$15:$BU$508,CRONO!AC$12,CÁLCULO!$AJ$15:$BB$508)/(ORÇAMENTO!$X$15-_xlfn.SINGLE(CÁLCULO.TotalAdmLocal))*CRONO!$F43,
                        0),
                 AC42*$S41),
          SUMIF(OFFSET($S43,1,0,$R41-2),($M41+1)&amp;"$",OFFSET(AC43,1,0,$R41-2)))</f>
        <v>205008.59</v>
      </c>
      <c r="AD43" s="202" cm="1">
        <f t="array" aca="1" ref="AD43" ca="1">IF($R41=2,
         IF(AND(ACOMPANHAMENTO="PLE",ISNUMBER($F41)),
                SUMIF((OFFSET(CÁLCULO!$BC$15:$BU$15,$F41,0,OFFSET(ORÇAMENTO!$D$15,CRONO!$F41,0))),CRONO!AD$12,OFFSET(CÁLCULO!$AJ$15:$BB$15,$F41,0,OFFSET(ORÇAMENTO!$D$15,CRONO!$F41,0)))
                +IF(AND($F43&lt;&gt;"",$F43&lt;&gt;0),
                        SUMIF(CÁLCULO!$BC$15:$BU$508,CRONO!AD$12,CÁLCULO!$AJ$15:$BB$508)/(ORÇAMENTO!$X$15-_xlfn.SINGLE(CÁLCULO.TotalAdmLocal))*CRONO!$F43,
                        0),
                 AD42*$S41),
          SUMIF(OFFSET($S43,1,0,$R41-2),($M41+1)&amp;"$",OFFSET(AD43,1,0,$R41-2)))</f>
        <v>0</v>
      </c>
      <c r="AE43" s="202" cm="1">
        <f t="array" aca="1" ref="AE43" ca="1">IF($R41=2,
         IF(AND(ACOMPANHAMENTO="PLE",ISNUMBER($F41)),
                SUMIF((OFFSET(CÁLCULO!$BC$15:$BU$15,$F41,0,OFFSET(ORÇAMENTO!$D$15,CRONO!$F41,0))),CRONO!AE$12,OFFSET(CÁLCULO!$AJ$15:$BB$15,$F41,0,OFFSET(ORÇAMENTO!$D$15,CRONO!$F41,0)))
                +IF(AND($F43&lt;&gt;"",$F43&lt;&gt;0),
                        SUMIF(CÁLCULO!$BC$15:$BU$508,CRONO!AE$12,CÁLCULO!$AJ$15:$BB$508)/(ORÇAMENTO!$X$15-_xlfn.SINGLE(CÁLCULO.TotalAdmLocal))*CRONO!$F43,
                        0),
                 AE42*$S41),
          SUMIF(OFFSET($S43,1,0,$R41-2),($M41+1)&amp;"$",OFFSET(AE43,1,0,$R41-2)))</f>
        <v>0</v>
      </c>
      <c r="AF43" s="202" cm="1">
        <f t="array" aca="1" ref="AF43" ca="1">IF($R41=2,
         IF(AND(ACOMPANHAMENTO="PLE",ISNUMBER($F41)),
                SUMIF((OFFSET(CÁLCULO!$BC$15:$BU$15,$F41,0,OFFSET(ORÇAMENTO!$D$15,CRONO!$F41,0))),CRONO!AF$12,OFFSET(CÁLCULO!$AJ$15:$BB$15,$F41,0,OFFSET(ORÇAMENTO!$D$15,CRONO!$F41,0)))
                +IF(AND($F43&lt;&gt;"",$F43&lt;&gt;0),
                        SUMIF(CÁLCULO!$BC$15:$BU$508,CRONO!AF$12,CÁLCULO!$AJ$15:$BB$508)/(ORÇAMENTO!$X$15-_xlfn.SINGLE(CÁLCULO.TotalAdmLocal))*CRONO!$F43,
                        0),
                 AF42*$S41),
          SUMIF(OFFSET($S43,1,0,$R41-2),($M41+1)&amp;"$",OFFSET(AF43,1,0,$R41-2)))</f>
        <v>0</v>
      </c>
      <c r="AG43" s="534"/>
    </row>
    <row r="44" spans="1:33" x14ac:dyDescent="0.2">
      <c r="A44" s="186" t="str">
        <f t="shared" ref="A44" ca="1" si="62">IF($M44&gt;1,_xlfn.CONCAT($I44," ",$J44),"")</f>
        <v>1.10. ARQUITETURA</v>
      </c>
      <c r="B44" s="185">
        <f t="shared" ref="B44" ca="1" si="63">OFFSET(B44,-3,0)+1</f>
        <v>11</v>
      </c>
      <c r="C44" s="185">
        <f ca="1">IF($R44&lt;&gt;2,0,IF($S44=0,1,IF(F45&gt;0,OFFSET(QCI!$M$13,SUBSTITUTE(F45,".",""),0),OFFSET(ORÇAMENTO!$AA$15,CRONO!$F44,0))/$S44))</f>
        <v>0</v>
      </c>
      <c r="D44" s="185">
        <f ca="1">IF($R44&lt;&gt;2,0,IF($S44=0,1,IF(F45&gt;0,OFFSET(QCI!$N$13,SUBSTITUTE(F45,".",""),0),OFFSET(ORÇAMENTO!$AB$15,CRONO!$F44,0))/$S44))</f>
        <v>0</v>
      </c>
      <c r="E44" s="188" cm="1">
        <f t="array" aca="1" ref="E44" ca="1">IF(AND($R44=2,ACOMPANHAMENTO="BM"),ROUND(E45,4),E46/$S44)</f>
        <v>0</v>
      </c>
      <c r="F44" s="185">
        <f ca="1">IF(B44&lt;=ORÇAMENTO.MáximoListaCrono,MATCH(B44,ORÇAMENTO.ListaCrono,0),NA())</f>
        <v>464</v>
      </c>
      <c r="G44" s="185" t="str">
        <f t="shared" ref="G44" ca="1" si="64">IF(AND($F45&lt;&gt;-1,$S44&gt;0),"F","")</f>
        <v>F</v>
      </c>
      <c r="H44" s="189" cm="1">
        <f t="array" aca="1" ref="H44" ca="1">IF(OR(S44=0,S44=""),"Linha",IF(AND(OR(ACOMPANHAMENTO="PLE",$R44&lt;&gt;2),$F45=0),"Linha",ROUND(1-SUM(U44:AG44),4)))</f>
        <v>0</v>
      </c>
      <c r="I44" s="190" t="str">
        <f ca="1">IF($F45=0,OFFSET(ORÇAMENTO!O$15,$F44,0),IF($F45&lt;&gt;-1,OFFSET(QCI!$D$13,$F45,0),""))</f>
        <v>1.10.</v>
      </c>
      <c r="J44" s="191" t="str">
        <f ca="1">IF($F45=0,OFFSET(ORÇAMENTO!R$15,$F44,0),IF($F45&lt;&gt;-1,OFFSET(QCI!$G$13,$F45,0),""))</f>
        <v>ARQUITETURA</v>
      </c>
      <c r="K44" s="191"/>
      <c r="L44" s="191"/>
      <c r="M44" s="192">
        <f ca="1">IF($F45=0,OFFSET(ORÇAMENTO!C$15,$F44,0),1)</f>
        <v>2</v>
      </c>
      <c r="N44" s="193">
        <f ca="1">IF($F45=-1,0,IF(N$13&lt;=$M44,IF(ISERROR(MATCH(N$13,OFFSET($M44,1,0,ROW($M$56)-ROW($M44)-1),0)),ROW($M$56)-ROW($M44)-1,MATCH(N$13,OFFSET($M44,1,0,ROW($M$56)-ROW($M44)-1),0)-1),0))</f>
        <v>2</v>
      </c>
      <c r="O44" s="193">
        <f ca="1">IF($F45=-1,0,IF(O$13&lt;=$M44,IF(ISERROR(MATCH(O$13,OFFSET($M44,1,0,ROW($M$56)-ROW($M44)-1),0)),ROW($M$56)-ROW($M44)-1,MATCH(O$13,OFFSET($M44,1,0,ROW($M$56)-ROW($M44)-1),0)-1),0))</f>
        <v>11</v>
      </c>
      <c r="P44" s="193">
        <f ca="1">IF($F45=-1,0,IF(P$13&lt;=$M44,IF(ISERROR(MATCH(P$13,OFFSET($M44,1,0,ROW($M$56)-ROW($M44)-1),0)),ROW($M$56)-ROW($M44)-1,MATCH(P$13,OFFSET($M44,1,0,ROW($M$56)-ROW($M44)-1),0)-1),0))</f>
        <v>0</v>
      </c>
      <c r="Q44" s="193">
        <f ca="1">IF($F45=-1,0,IF(Q$13&lt;=$M44,IF(ISERROR(MATCH(Q$13,OFFSET($M44,1,0,ROW($M$56)-ROW($M44)-1),0)),ROW($M$56)-ROW($M44)-1,MATCH(Q$13,OFFSET($M44,1,0,ROW($M$56)-ROW($M44)-1),0)-1),0))</f>
        <v>0</v>
      </c>
      <c r="R44" s="193">
        <f t="shared" ref="R44" ca="1" si="65">MIN(OFFSET(M44,0,1,,M44))</f>
        <v>2</v>
      </c>
      <c r="S44" s="194">
        <f ca="1">IF($F45=0,OFFSET(ORÇAMENTO!X$15,$F44,0),IF($F45&lt;&gt;-1,OFFSET(QCI!$O$13,$F45,0),""))</f>
        <v>113493.85</v>
      </c>
      <c r="T44" s="195" t="s">
        <v>785</v>
      </c>
      <c r="U44" s="188" cm="1">
        <f t="array" aca="1" ref="U44" ca="1">IF(AND($R44=2,ACOMPANHAMENTO="BM"),ROUND(U45,4),U46/$S44)</f>
        <v>0</v>
      </c>
      <c r="V44" s="188" cm="1">
        <f t="array" aca="1" ref="V44" ca="1">IF(AND($R44=2,ACOMPANHAMENTO="BM"),ROUND(V45,4),V46/$S44)</f>
        <v>0</v>
      </c>
      <c r="W44" s="188" cm="1">
        <f t="array" aca="1" ref="W44" ca="1">IF(AND($R44=2,ACOMPANHAMENTO="BM"),ROUND(W45,4),W46/$S44)</f>
        <v>0</v>
      </c>
      <c r="X44" s="188" cm="1">
        <f t="array" aca="1" ref="X44" ca="1">IF(AND($R44=2,ACOMPANHAMENTO="BM"),ROUND(X45,4),X46/$S44)</f>
        <v>0</v>
      </c>
      <c r="Y44" s="188" cm="1">
        <f t="array" aca="1" ref="Y44" ca="1">IF(AND($R44=2,ACOMPANHAMENTO="BM"),ROUND(Y45,4),Y46/$S44)</f>
        <v>0</v>
      </c>
      <c r="Z44" s="188" cm="1">
        <f t="array" aca="1" ref="Z44" ca="1">IF(AND($R44=2,ACOMPANHAMENTO="BM"),ROUND(Z45,4),Z46/$S44)</f>
        <v>0</v>
      </c>
      <c r="AA44" s="188" cm="1">
        <f t="array" aca="1" ref="AA44" ca="1">IF(AND($R44=2,ACOMPANHAMENTO="BM"),ROUND(AA45,4),AA46/$S44)</f>
        <v>0</v>
      </c>
      <c r="AB44" s="188" cm="1">
        <f t="array" aca="1" ref="AB44" ca="1">IF(AND($R44=2,ACOMPANHAMENTO="BM"),ROUND(AB45,4),AB46/$S44)</f>
        <v>0</v>
      </c>
      <c r="AC44" s="188" cm="1">
        <f t="array" aca="1" ref="AC44" ca="1">IF(AND($R44=2,ACOMPANHAMENTO="BM"),ROUND(AC45,4),AC46/$S44)</f>
        <v>0</v>
      </c>
      <c r="AD44" s="188" cm="1">
        <f t="array" aca="1" ref="AD44" ca="1">IF(AND($R44=2,ACOMPANHAMENTO="BM"),ROUND(AD45,4),AD46/$S44)</f>
        <v>1</v>
      </c>
      <c r="AE44" s="188" cm="1">
        <f t="array" aca="1" ref="AE44" ca="1">IF(AND($R44=2,ACOMPANHAMENTO="BM"),ROUND(AE45,4),AE46/$S44)</f>
        <v>0</v>
      </c>
      <c r="AF44" s="188" cm="1">
        <f t="array" aca="1" ref="AF44" ca="1">IF(AND($R44=2,ACOMPANHAMENTO="BM"),ROUND(AF45,4),AF46/$S44)</f>
        <v>0</v>
      </c>
      <c r="AG44" s="534"/>
    </row>
    <row r="45" spans="1:33" ht="12.75" customHeight="1" x14ac:dyDescent="0.2">
      <c r="E45" s="587"/>
      <c r="F45" s="185">
        <f ca="1">IF(ISERROR(F44),IF(1+COUNTIF($M$13:OFFSET(M44,-1,0),1)&lt;=MAX(QCI!$D$13:$D$15),1+COUNTIF($M$13:OFFSET(M44,-1,0),1),-1),0)</f>
        <v>0</v>
      </c>
      <c r="G45" s="185" t="str" cm="1">
        <f t="array" aca="1" ref="G45" ca="1">IF(ACOMPANHAMENTO="BM",OFFSET(G45,-1,0),"")</f>
        <v>F</v>
      </c>
      <c r="H45" s="196" t="str" cm="1">
        <f t="array" aca="1" ref="H45" ca="1">IF(OR(S44=0,S44=""),"vazia",IF(AND(OR(ACOMPANHAMENTO="PLE",$R44&lt;&gt;2),$F45=0),"calculada","--&gt;"))</f>
        <v>--&gt;</v>
      </c>
      <c r="I45" s="197"/>
      <c r="J45" s="198" t="str">
        <f t="shared" ref="J45" ca="1" si="66">IF(AND(H44&lt;&gt;0,ISNUMBER(H44)),"PREENCHA ESTA LINHA --&gt;","")</f>
        <v/>
      </c>
      <c r="K45" s="198"/>
      <c r="L45" s="198"/>
      <c r="M45" s="199"/>
      <c r="N45" s="199"/>
      <c r="O45" s="199"/>
      <c r="P45" s="199"/>
      <c r="Q45" s="199"/>
      <c r="R45" s="199"/>
      <c r="S45" s="200"/>
      <c r="T45" s="201"/>
      <c r="U45" s="587"/>
      <c r="V45" s="587"/>
      <c r="W45" s="587"/>
      <c r="X45" s="587"/>
      <c r="Y45" s="587"/>
      <c r="Z45" s="587"/>
      <c r="AA45" s="587"/>
      <c r="AB45" s="587"/>
      <c r="AC45" s="587"/>
      <c r="AD45" s="587">
        <v>1</v>
      </c>
      <c r="AE45" s="587"/>
      <c r="AF45" s="587"/>
      <c r="AG45" s="534"/>
    </row>
    <row r="46" spans="1:33" ht="12.75" hidden="1" customHeight="1" x14ac:dyDescent="0.2">
      <c r="D46" s="533"/>
      <c r="E46" s="202" cm="1">
        <f t="array" aca="1" ref="E46" ca="1">IF($R44=2,
         IF(AND(ACOMPANHAMENTO="PLE",ISNUMBER($F44)),
                SUMIF((OFFSET(CÁLCULO!$BC$15:$BU$15,$F44,0,OFFSET(ORÇAMENTO!$D$15,CRONO!$F44,0))),CRONO!E$12,OFFSET(CÁLCULO!$AJ$15:$BB$15,$F44,0,OFFSET(ORÇAMENTO!$D$15,CRONO!$F44,0)))
                +IF(AND($F46&lt;&gt;"",$F46&lt;&gt;0),
                        SUMIF(CÁLCULO!$BC$15:$BU$508,CRONO!E$12,CÁLCULO!$AJ$15:$BB$508)/(ORÇAMENTO!$X$15-_xlfn.SINGLE(CÁLCULO.TotalAdmLocal))*CRONO!$F46,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203"/>
      <c r="S46" s="204" t="str">
        <f t="shared" ref="S46" ca="1" si="67">M44&amp;"$"</f>
        <v>2$</v>
      </c>
      <c r="T46" s="205"/>
      <c r="U46" s="202" cm="1">
        <f t="array" aca="1" ref="U46" ca="1">IF($R44=2,
         IF(AND(ACOMPANHAMENTO="PLE",ISNUMBER($F44)),
                SUMIF((OFFSET(CÁLCULO!$BC$15:$BU$15,$F44,0,OFFSET(ORÇAMENTO!$D$15,CRONO!$F44,0))),CRONO!U$12,OFFSET(CÁLCULO!$AJ$15:$BB$15,$F44,0,OFFSET(ORÇAMENTO!$D$15,CRONO!$F44,0)))
                +IF(AND($F46&lt;&gt;"",$F46&lt;&gt;0),
                        SUMIF(CÁLCULO!$BC$15:$BU$508,CRONO!U$12,CÁLCULO!$AJ$15:$BB$508)/(ORÇAMENTO!$X$15-_xlfn.SINGLE(CÁLCULO.TotalAdmLocal))*CRONO!$F46,
                        0),
                 U45*$S44),
          SUMIF(OFFSET($S46,1,0,$R44-2),($M44+1)&amp;"$",OFFSET(U46,1,0,$R44-2)))</f>
        <v>0</v>
      </c>
      <c r="V46" s="202" cm="1">
        <f t="array" aca="1" ref="V46" ca="1">IF($R44=2,
         IF(AND(ACOMPANHAMENTO="PLE",ISNUMBER($F44)),
                SUMIF((OFFSET(CÁLCULO!$BC$15:$BU$15,$F44,0,OFFSET(ORÇAMENTO!$D$15,CRONO!$F44,0))),CRONO!V$12,OFFSET(CÁLCULO!$AJ$15:$BB$15,$F44,0,OFFSET(ORÇAMENTO!$D$15,CRONO!$F44,0)))
                +IF(AND($F46&lt;&gt;"",$F46&lt;&gt;0),
                        SUMIF(CÁLCULO!$BC$15:$BU$508,CRONO!V$12,CÁLCULO!$AJ$15:$BB$508)/(ORÇAMENTO!$X$15-_xlfn.SINGLE(CÁLCULO.TotalAdmLocal))*CRONO!$F46,
                        0),
                 V45*$S44),
          SUMIF(OFFSET($S46,1,0,$R44-2),($M44+1)&amp;"$",OFFSET(V46,1,0,$R44-2)))</f>
        <v>0</v>
      </c>
      <c r="W46" s="202" cm="1">
        <f t="array" aca="1" ref="W46" ca="1">IF($R44=2,
         IF(AND(ACOMPANHAMENTO="PLE",ISNUMBER($F44)),
                SUMIF((OFFSET(CÁLCULO!$BC$15:$BU$15,$F44,0,OFFSET(ORÇAMENTO!$D$15,CRONO!$F44,0))),CRONO!W$12,OFFSET(CÁLCULO!$AJ$15:$BB$15,$F44,0,OFFSET(ORÇAMENTO!$D$15,CRONO!$F44,0)))
                +IF(AND($F46&lt;&gt;"",$F46&lt;&gt;0),
                        SUMIF(CÁLCULO!$BC$15:$BU$508,CRONO!W$12,CÁLCULO!$AJ$15:$BB$508)/(ORÇAMENTO!$X$15-_xlfn.SINGLE(CÁLCULO.TotalAdmLocal))*CRONO!$F46,
                        0),
                 W45*$S44),
          SUMIF(OFFSET($S46,1,0,$R44-2),($M44+1)&amp;"$",OFFSET(W46,1,0,$R44-2)))</f>
        <v>0</v>
      </c>
      <c r="X46" s="202" cm="1">
        <f t="array" aca="1" ref="X46" ca="1">IF($R44=2,
         IF(AND(ACOMPANHAMENTO="PLE",ISNUMBER($F44)),
                SUMIF((OFFSET(CÁLCULO!$BC$15:$BU$15,$F44,0,OFFSET(ORÇAMENTO!$D$15,CRONO!$F44,0))),CRONO!X$12,OFFSET(CÁLCULO!$AJ$15:$BB$15,$F44,0,OFFSET(ORÇAMENTO!$D$15,CRONO!$F44,0)))
                +IF(AND($F46&lt;&gt;"",$F46&lt;&gt;0),
                        SUMIF(CÁLCULO!$BC$15:$BU$508,CRONO!X$12,CÁLCULO!$AJ$15:$BB$508)/(ORÇAMENTO!$X$15-_xlfn.SINGLE(CÁLCULO.TotalAdmLocal))*CRONO!$F46,
                        0),
                 X45*$S44),
          SUMIF(OFFSET($S46,1,0,$R44-2),($M44+1)&amp;"$",OFFSET(X46,1,0,$R44-2)))</f>
        <v>0</v>
      </c>
      <c r="Y46" s="202" cm="1">
        <f t="array" aca="1" ref="Y46" ca="1">IF($R44=2,
         IF(AND(ACOMPANHAMENTO="PLE",ISNUMBER($F44)),
                SUMIF((OFFSET(CÁLCULO!$BC$15:$BU$15,$F44,0,OFFSET(ORÇAMENTO!$D$15,CRONO!$F44,0))),CRONO!Y$12,OFFSET(CÁLCULO!$AJ$15:$BB$15,$F44,0,OFFSET(ORÇAMENTO!$D$15,CRONO!$F44,0)))
                +IF(AND($F46&lt;&gt;"",$F46&lt;&gt;0),
                        SUMIF(CÁLCULO!$BC$15:$BU$508,CRONO!Y$12,CÁLCULO!$AJ$15:$BB$508)/(ORÇAMENTO!$X$15-_xlfn.SINGLE(CÁLCULO.TotalAdmLocal))*CRONO!$F46,
                        0),
                 Y45*$S44),
          SUMIF(OFFSET($S46,1,0,$R44-2),($M44+1)&amp;"$",OFFSET(Y46,1,0,$R44-2)))</f>
        <v>0</v>
      </c>
      <c r="Z46" s="202" cm="1">
        <f t="array" aca="1" ref="Z46" ca="1">IF($R44=2,
         IF(AND(ACOMPANHAMENTO="PLE",ISNUMBER($F44)),
                SUMIF((OFFSET(CÁLCULO!$BC$15:$BU$15,$F44,0,OFFSET(ORÇAMENTO!$D$15,CRONO!$F44,0))),CRONO!Z$12,OFFSET(CÁLCULO!$AJ$15:$BB$15,$F44,0,OFFSET(ORÇAMENTO!$D$15,CRONO!$F44,0)))
                +IF(AND($F46&lt;&gt;"",$F46&lt;&gt;0),
                        SUMIF(CÁLCULO!$BC$15:$BU$508,CRONO!Z$12,CÁLCULO!$AJ$15:$BB$508)/(ORÇAMENTO!$X$15-_xlfn.SINGLE(CÁLCULO.TotalAdmLocal))*CRONO!$F46,
                        0),
                 Z45*$S44),
          SUMIF(OFFSET($S46,1,0,$R44-2),($M44+1)&amp;"$",OFFSET(Z46,1,0,$R44-2)))</f>
        <v>0</v>
      </c>
      <c r="AA46" s="202" cm="1">
        <f t="array" aca="1" ref="AA46" ca="1">IF($R44=2,
         IF(AND(ACOMPANHAMENTO="PLE",ISNUMBER($F44)),
                SUMIF((OFFSET(CÁLCULO!$BC$15:$BU$15,$F44,0,OFFSET(ORÇAMENTO!$D$15,CRONO!$F44,0))),CRONO!AA$12,OFFSET(CÁLCULO!$AJ$15:$BB$15,$F44,0,OFFSET(ORÇAMENTO!$D$15,CRONO!$F44,0)))
                +IF(AND($F46&lt;&gt;"",$F46&lt;&gt;0),
                        SUMIF(CÁLCULO!$BC$15:$BU$508,CRONO!AA$12,CÁLCULO!$AJ$15:$BB$508)/(ORÇAMENTO!$X$15-_xlfn.SINGLE(CÁLCULO.TotalAdmLocal))*CRONO!$F46,
                        0),
                 AA45*$S44),
          SUMIF(OFFSET($S46,1,0,$R44-2),($M44+1)&amp;"$",OFFSET(AA46,1,0,$R44-2)))</f>
        <v>0</v>
      </c>
      <c r="AB46" s="202" cm="1">
        <f t="array" aca="1" ref="AB46" ca="1">IF($R44=2,
         IF(AND(ACOMPANHAMENTO="PLE",ISNUMBER($F44)),
                SUMIF((OFFSET(CÁLCULO!$BC$15:$BU$15,$F44,0,OFFSET(ORÇAMENTO!$D$15,CRONO!$F44,0))),CRONO!AB$12,OFFSET(CÁLCULO!$AJ$15:$BB$15,$F44,0,OFFSET(ORÇAMENTO!$D$15,CRONO!$F44,0)))
                +IF(AND($F46&lt;&gt;"",$F46&lt;&gt;0),
                        SUMIF(CÁLCULO!$BC$15:$BU$508,CRONO!AB$12,CÁLCULO!$AJ$15:$BB$508)/(ORÇAMENTO!$X$15-_xlfn.SINGLE(CÁLCULO.TotalAdmLocal))*CRONO!$F46,
                        0),
                 AB45*$S44),
          SUMIF(OFFSET($S46,1,0,$R44-2),($M44+1)&amp;"$",OFFSET(AB46,1,0,$R44-2)))</f>
        <v>0</v>
      </c>
      <c r="AC46" s="202" cm="1">
        <f t="array" aca="1" ref="AC46" ca="1">IF($R44=2,
         IF(AND(ACOMPANHAMENTO="PLE",ISNUMBER($F44)),
                SUMIF((OFFSET(CÁLCULO!$BC$15:$BU$15,$F44,0,OFFSET(ORÇAMENTO!$D$15,CRONO!$F44,0))),CRONO!AC$12,OFFSET(CÁLCULO!$AJ$15:$BB$15,$F44,0,OFFSET(ORÇAMENTO!$D$15,CRONO!$F44,0)))
                +IF(AND($F46&lt;&gt;"",$F46&lt;&gt;0),
                        SUMIF(CÁLCULO!$BC$15:$BU$508,CRONO!AC$12,CÁLCULO!$AJ$15:$BB$508)/(ORÇAMENTO!$X$15-_xlfn.SINGLE(CÁLCULO.TotalAdmLocal))*CRONO!$F46,
                        0),
                 AC45*$S44),
          SUMIF(OFFSET($S46,1,0,$R44-2),($M44+1)&amp;"$",OFFSET(AC46,1,0,$R44-2)))</f>
        <v>0</v>
      </c>
      <c r="AD46" s="202" cm="1">
        <f t="array" aca="1" ref="AD46" ca="1">IF($R44=2,
         IF(AND(ACOMPANHAMENTO="PLE",ISNUMBER($F44)),
                SUMIF((OFFSET(CÁLCULO!$BC$15:$BU$15,$F44,0,OFFSET(ORÇAMENTO!$D$15,CRONO!$F44,0))),CRONO!AD$12,OFFSET(CÁLCULO!$AJ$15:$BB$15,$F44,0,OFFSET(ORÇAMENTO!$D$15,CRONO!$F44,0)))
                +IF(AND($F46&lt;&gt;"",$F46&lt;&gt;0),
                        SUMIF(CÁLCULO!$BC$15:$BU$508,CRONO!AD$12,CÁLCULO!$AJ$15:$BB$508)/(ORÇAMENTO!$X$15-_xlfn.SINGLE(CÁLCULO.TotalAdmLocal))*CRONO!$F46,
                        0),
                 AD45*$S44),
          SUMIF(OFFSET($S46,1,0,$R44-2),($M44+1)&amp;"$",OFFSET(AD46,1,0,$R44-2)))</f>
        <v>113493.85</v>
      </c>
      <c r="AE46" s="202" cm="1">
        <f t="array" aca="1" ref="AE46" ca="1">IF($R44=2,
         IF(AND(ACOMPANHAMENTO="PLE",ISNUMBER($F44)),
                SUMIF((OFFSET(CÁLCULO!$BC$15:$BU$15,$F44,0,OFFSET(ORÇAMENTO!$D$15,CRONO!$F44,0))),CRONO!AE$12,OFFSET(CÁLCULO!$AJ$15:$BB$15,$F44,0,OFFSET(ORÇAMENTO!$D$15,CRONO!$F44,0)))
                +IF(AND($F46&lt;&gt;"",$F46&lt;&gt;0),
                        SUMIF(CÁLCULO!$BC$15:$BU$508,CRONO!AE$12,CÁLCULO!$AJ$15:$BB$508)/(ORÇAMENTO!$X$15-_xlfn.SINGLE(CÁLCULO.TotalAdmLocal))*CRONO!$F46,
                        0),
                 AE45*$S44),
          SUMIF(OFFSET($S46,1,0,$R44-2),($M44+1)&amp;"$",OFFSET(AE46,1,0,$R44-2)))</f>
        <v>0</v>
      </c>
      <c r="AF46" s="202" cm="1">
        <f t="array" aca="1" ref="AF46" ca="1">IF($R44=2,
         IF(AND(ACOMPANHAMENTO="PLE",ISNUMBER($F44)),
                SUMIF((OFFSET(CÁLCULO!$BC$15:$BU$15,$F44,0,OFFSET(ORÇAMENTO!$D$15,CRONO!$F44,0))),CRONO!AF$12,OFFSET(CÁLCULO!$AJ$15:$BB$15,$F44,0,OFFSET(ORÇAMENTO!$D$15,CRONO!$F44,0)))
                +IF(AND($F46&lt;&gt;"",$F46&lt;&gt;0),
                        SUMIF(CÁLCULO!$BC$15:$BU$508,CRONO!AF$12,CÁLCULO!$AJ$15:$BB$508)/(ORÇAMENTO!$X$15-_xlfn.SINGLE(CÁLCULO.TotalAdmLocal))*CRONO!$F46,
                        0),
                 AF45*$S44),
          SUMIF(OFFSET($S46,1,0,$R44-2),($M44+1)&amp;"$",OFFSET(AF46,1,0,$R44-2)))</f>
        <v>0</v>
      </c>
      <c r="AG46" s="534"/>
    </row>
    <row r="47" spans="1:33" hidden="1" x14ac:dyDescent="0.2">
      <c r="A47" s="186" t="str">
        <f t="shared" ref="A47" ca="1" si="68">IF($M47&gt;1,_xlfn.CONCAT($I47," ",$J47),"")</f>
        <v/>
      </c>
      <c r="B47" s="185">
        <f t="shared" ref="B47" ca="1" si="69">OFFSET(B47,-3,0)+1</f>
        <v>12</v>
      </c>
      <c r="C47" s="185">
        <f ca="1">IF($R47&lt;&gt;2,0,IF($S47=0,1,IF(F48&gt;0,OFFSET(QCI!$M$13,SUBSTITUTE(F48,".",""),0),OFFSET(ORÇAMENTO!$AA$15,CRONO!$F47,0))/$S47))</f>
        <v>0</v>
      </c>
      <c r="D47" s="185">
        <f ca="1">IF($R47&lt;&gt;2,0,IF($S47=0,1,IF(F48&gt;0,OFFSET(QCI!$N$13,SUBSTITUTE(F48,".",""),0),OFFSET(ORÇAMENTO!$AB$15,CRONO!$F47,0))/$S47))</f>
        <v>0</v>
      </c>
      <c r="E47" s="188" t="e" cm="1">
        <f t="array" aca="1" ref="E47" ca="1">IF(AND($R47=2,ACOMPANHAMENTO="BM"),ROUND(E48,4),E49/$S47)</f>
        <v>#VALUE!</v>
      </c>
      <c r="F47" s="185" t="e">
        <f ca="1">IF(B47&lt;=ORÇAMENTO.MáximoListaCrono,MATCH(B47,ORÇAMENTO.ListaCrono,0),NA())</f>
        <v>#N/A</v>
      </c>
      <c r="G47" s="185" t="str">
        <f t="shared" ref="G47" ca="1" si="70">IF(AND($F48&lt;&gt;-1,$S47&gt;0),"F","")</f>
        <v/>
      </c>
      <c r="H47" s="189" t="str" cm="1">
        <f t="array" aca="1" ref="H47" ca="1">IF(OR(S47=0,S47=""),"Linha",IF(AND(OR(ACOMPANHAMENTO="PLE",$R47&lt;&gt;2),$F48=0),"Linha",ROUND(1-SUM(U47:AG47),4)))</f>
        <v>Linha</v>
      </c>
      <c r="I47" s="190" t="str">
        <f ca="1">IF($F48=0,OFFSET(ORÇAMENTO!O$15,$F47,0),IF($F48&lt;&gt;-1,OFFSET(QCI!$D$13,$F48,0),""))</f>
        <v/>
      </c>
      <c r="J47" s="191" t="str">
        <f ca="1">IF($F48=0,OFFSET(ORÇAMENTO!R$15,$F47,0),IF($F48&lt;&gt;-1,OFFSET(QCI!$G$13,$F48,0),""))</f>
        <v/>
      </c>
      <c r="K47" s="191"/>
      <c r="L47" s="191"/>
      <c r="M47" s="192">
        <f ca="1">IF($F48=0,OFFSET(ORÇAMENTO!C$15,$F47,0),1)</f>
        <v>1</v>
      </c>
      <c r="N47" s="193">
        <f ca="1">IF($F48=-1,0,IF(N$13&lt;=$M47,IF(ISERROR(MATCH(N$13,OFFSET($M47,1,0,ROW($M$56)-ROW($M47)-1),0)),ROW($M$56)-ROW($M47)-1,MATCH(N$13,OFFSET($M47,1,0,ROW($M$56)-ROW($M47)-1),0)-1),0))</f>
        <v>0</v>
      </c>
      <c r="O47" s="193">
        <f ca="1">IF($F48=-1,0,IF(O$13&lt;=$M47,IF(ISERROR(MATCH(O$13,OFFSET($M47,1,0,ROW($M$56)-ROW($M47)-1),0)),ROW($M$56)-ROW($M47)-1,MATCH(O$13,OFFSET($M47,1,0,ROW($M$56)-ROW($M47)-1),0)-1),0))</f>
        <v>0</v>
      </c>
      <c r="P47" s="193">
        <f ca="1">IF($F48=-1,0,IF(P$13&lt;=$M47,IF(ISERROR(MATCH(P$13,OFFSET($M47,1,0,ROW($M$56)-ROW($M47)-1),0)),ROW($M$56)-ROW($M47)-1,MATCH(P$13,OFFSET($M47,1,0,ROW($M$56)-ROW($M47)-1),0)-1),0))</f>
        <v>0</v>
      </c>
      <c r="Q47" s="193">
        <f ca="1">IF($F48=-1,0,IF(Q$13&lt;=$M47,IF(ISERROR(MATCH(Q$13,OFFSET($M47,1,0,ROW($M$56)-ROW($M47)-1),0)),ROW($M$56)-ROW($M47)-1,MATCH(Q$13,OFFSET($M47,1,0,ROW($M$56)-ROW($M47)-1),0)-1),0))</f>
        <v>0</v>
      </c>
      <c r="R47" s="193">
        <f t="shared" ref="R47" ca="1" si="71">MIN(OFFSET(M47,0,1,,M47))</f>
        <v>0</v>
      </c>
      <c r="S47" s="194" t="str">
        <f ca="1">IF($F48=0,OFFSET(ORÇAMENTO!X$15,$F47,0),IF($F48&lt;&gt;-1,OFFSET(QCI!$O$13,$F48,0),""))</f>
        <v/>
      </c>
      <c r="T47" s="195" t="s">
        <v>785</v>
      </c>
      <c r="U47" s="188" t="e" cm="1">
        <f t="array" aca="1" ref="U47" ca="1">IF(AND($R47=2,ACOMPANHAMENTO="BM"),ROUND(U48,4),U49/$S47)</f>
        <v>#VALUE!</v>
      </c>
      <c r="V47" s="188" t="e" cm="1">
        <f t="array" aca="1" ref="V47" ca="1">IF(AND($R47=2,ACOMPANHAMENTO="BM"),ROUND(V48,4),V49/$S47)</f>
        <v>#VALUE!</v>
      </c>
      <c r="W47" s="188" t="e" cm="1">
        <f t="array" aca="1" ref="W47" ca="1">IF(AND($R47=2,ACOMPANHAMENTO="BM"),ROUND(W48,4),W49/$S47)</f>
        <v>#VALUE!</v>
      </c>
      <c r="X47" s="188" t="e" cm="1">
        <f t="array" aca="1" ref="X47" ca="1">IF(AND($R47=2,ACOMPANHAMENTO="BM"),ROUND(X48,4),X49/$S47)</f>
        <v>#VALUE!</v>
      </c>
      <c r="Y47" s="188" t="e" cm="1">
        <f t="array" aca="1" ref="Y47" ca="1">IF(AND($R47=2,ACOMPANHAMENTO="BM"),ROUND(Y48,4),Y49/$S47)</f>
        <v>#VALUE!</v>
      </c>
      <c r="Z47" s="188" t="e" cm="1">
        <f t="array" aca="1" ref="Z47" ca="1">IF(AND($R47=2,ACOMPANHAMENTO="BM"),ROUND(Z48,4),Z49/$S47)</f>
        <v>#VALUE!</v>
      </c>
      <c r="AA47" s="188" t="e" cm="1">
        <f t="array" aca="1" ref="AA47" ca="1">IF(AND($R47=2,ACOMPANHAMENTO="BM"),ROUND(AA48,4),AA49/$S47)</f>
        <v>#VALUE!</v>
      </c>
      <c r="AB47" s="188" t="e" cm="1">
        <f t="array" aca="1" ref="AB47" ca="1">IF(AND($R47=2,ACOMPANHAMENTO="BM"),ROUND(AB48,4),AB49/$S47)</f>
        <v>#VALUE!</v>
      </c>
      <c r="AC47" s="188" t="e" cm="1">
        <f t="array" aca="1" ref="AC47" ca="1">IF(AND($R47=2,ACOMPANHAMENTO="BM"),ROUND(AC48,4),AC49/$S47)</f>
        <v>#VALUE!</v>
      </c>
      <c r="AD47" s="188" t="e" cm="1">
        <f t="array" aca="1" ref="AD47" ca="1">IF(AND($R47=2,ACOMPANHAMENTO="BM"),ROUND(AD48,4),AD49/$S47)</f>
        <v>#VALUE!</v>
      </c>
      <c r="AE47" s="188" t="e" cm="1">
        <f t="array" aca="1" ref="AE47" ca="1">IF(AND($R47=2,ACOMPANHAMENTO="BM"),ROUND(AE48,4),AE49/$S47)</f>
        <v>#VALUE!</v>
      </c>
      <c r="AF47" s="188" t="e" cm="1">
        <f t="array" aca="1" ref="AF47" ca="1">IF(AND($R47=2,ACOMPANHAMENTO="BM"),ROUND(AF48,4),AF49/$S47)</f>
        <v>#VALUE!</v>
      </c>
      <c r="AG47" s="534"/>
    </row>
    <row r="48" spans="1:33" ht="12.75" hidden="1" customHeight="1" x14ac:dyDescent="0.2">
      <c r="E48" s="587"/>
      <c r="F48" s="185">
        <f ca="1">IF(ISERROR(F47),IF(1+COUNTIF($M$13:OFFSET(M47,-1,0),1)&lt;=MAX(QCI!$D$13:$D$15),1+COUNTIF($M$13:OFFSET(M47,-1,0),1),-1),0)</f>
        <v>-1</v>
      </c>
      <c r="G48" s="185" t="str" cm="1">
        <f t="array" aca="1" ref="G48" ca="1">IF(ACOMPANHAMENTO="BM",OFFSET(G48,-1,0),"")</f>
        <v/>
      </c>
      <c r="H48" s="196" t="str" cm="1">
        <f t="array" aca="1" ref="H48" ca="1">IF(OR(S47=0,S47=""),"vazia",IF(AND(OR(ACOMPANHAMENTO="PLE",$R47&lt;&gt;2),$F48=0),"calculada","--&gt;"))</f>
        <v>vazia</v>
      </c>
      <c r="I48" s="197"/>
      <c r="J48" s="198" t="str">
        <f t="shared" ref="J48" ca="1" si="72">IF(AND(H47&lt;&gt;0,ISNUMBER(H47)),"PREENCHA ESTA LINHA --&gt;","")</f>
        <v/>
      </c>
      <c r="K48" s="198"/>
      <c r="L48" s="198"/>
      <c r="M48" s="199"/>
      <c r="N48" s="199"/>
      <c r="O48" s="199"/>
      <c r="P48" s="199"/>
      <c r="Q48" s="199"/>
      <c r="R48" s="199"/>
      <c r="S48" s="200"/>
      <c r="T48" s="201"/>
      <c r="U48" s="587"/>
      <c r="V48" s="587"/>
      <c r="W48" s="587"/>
      <c r="X48" s="587"/>
      <c r="Y48" s="587"/>
      <c r="Z48" s="587"/>
      <c r="AA48" s="587"/>
      <c r="AB48" s="587"/>
      <c r="AC48" s="587"/>
      <c r="AD48" s="587"/>
      <c r="AE48" s="587"/>
      <c r="AF48" s="587"/>
      <c r="AG48" s="534"/>
    </row>
    <row r="49" spans="1:33" ht="12.75" hidden="1" customHeight="1" x14ac:dyDescent="0.2">
      <c r="D49" s="533"/>
      <c r="E49" s="202" cm="1">
        <f t="array" aca="1" ref="E49" ca="1">IF($R47=2,
         IF(AND(ACOMPANHAMENTO="PLE",ISNUMBER($F47)),
                SUMIF((OFFSET(CÁLCULO!$BC$15:$BU$15,$F47,0,OFFSET(ORÇAMENTO!$D$15,CRONO!$F47,0))),CRONO!E$12,OFFSET(CÁLCULO!$AJ$15:$BB$15,$F47,0,OFFSET(ORÇAMENTO!$D$15,CRONO!$F47,0)))
                +IF(AND($F49&lt;&gt;"",$F49&lt;&gt;0),
                        SUMIF(CÁLCULO!$BC$15:$BU$508,CRONO!E$12,CÁLCULO!$AJ$15:$BB$508)/(ORÇAMENTO!$X$15-_xlfn.SINGLE(CÁLCULO.TotalAdmLocal))*CRONO!$F49,
                        0),
                 E48*$S47),
          SUMIF(OFFSET($S49,1,0,$R47-2),($M47+1)&amp;"$",OFFSET(E49,1,0,$R47-2)))</f>
        <v>0</v>
      </c>
      <c r="F49" s="185" t="str">
        <f ca="1">IF(OR($R47&lt;&gt;2,AUTOEVENTO&lt;&gt;"manual",$F48&gt;0),"",
        IF(Import.TipoArredondamento="Tradicional",
              SUMIF(OFFSET(CÁLCULO!$M$15,CRONO!$F47,0,OFFSET(ORÇAMENTO!$D$15,CRONO!$F47,0)),1,OFFSET(ORÇAMENTO!$X$15,CRONO!$F47,0,OFFSET(ORÇAMENTO!$D$15,CRONO!$F47,0))),
              0))</f>
        <v/>
      </c>
      <c r="H49" s="203"/>
      <c r="S49" s="204" t="str">
        <f t="shared" ref="S49" ca="1" si="73">M47&amp;"$"</f>
        <v>1$</v>
      </c>
      <c r="T49" s="205"/>
      <c r="U49" s="202" cm="1">
        <f t="array" aca="1" ref="U49" ca="1">IF($R47=2,
         IF(AND(ACOMPANHAMENTO="PLE",ISNUMBER($F47)),
                SUMIF((OFFSET(CÁLCULO!$BC$15:$BU$15,$F47,0,OFFSET(ORÇAMENTO!$D$15,CRONO!$F47,0))),CRONO!U$12,OFFSET(CÁLCULO!$AJ$15:$BB$15,$F47,0,OFFSET(ORÇAMENTO!$D$15,CRONO!$F47,0)))
                +IF(AND($F49&lt;&gt;"",$F49&lt;&gt;0),
                        SUMIF(CÁLCULO!$BC$15:$BU$508,CRONO!U$12,CÁLCULO!$AJ$15:$BB$508)/(ORÇAMENTO!$X$15-_xlfn.SINGLE(CÁLCULO.TotalAdmLocal))*CRONO!$F49,
                        0),
                 U48*$S47),
          SUMIF(OFFSET($S49,1,0,$R47-2),($M47+1)&amp;"$",OFFSET(U49,1,0,$R47-2)))</f>
        <v>0</v>
      </c>
      <c r="V49" s="202" cm="1">
        <f t="array" aca="1" ref="V49" ca="1">IF($R47=2,
         IF(AND(ACOMPANHAMENTO="PLE",ISNUMBER($F47)),
                SUMIF((OFFSET(CÁLCULO!$BC$15:$BU$15,$F47,0,OFFSET(ORÇAMENTO!$D$15,CRONO!$F47,0))),CRONO!V$12,OFFSET(CÁLCULO!$AJ$15:$BB$15,$F47,0,OFFSET(ORÇAMENTO!$D$15,CRONO!$F47,0)))
                +IF(AND($F49&lt;&gt;"",$F49&lt;&gt;0),
                        SUMIF(CÁLCULO!$BC$15:$BU$508,CRONO!V$12,CÁLCULO!$AJ$15:$BB$508)/(ORÇAMENTO!$X$15-_xlfn.SINGLE(CÁLCULO.TotalAdmLocal))*CRONO!$F49,
                        0),
                 V48*$S47),
          SUMIF(OFFSET($S49,1,0,$R47-2),($M47+1)&amp;"$",OFFSET(V49,1,0,$R47-2)))</f>
        <v>0</v>
      </c>
      <c r="W49" s="202" cm="1">
        <f t="array" aca="1" ref="W49" ca="1">IF($R47=2,
         IF(AND(ACOMPANHAMENTO="PLE",ISNUMBER($F47)),
                SUMIF((OFFSET(CÁLCULO!$BC$15:$BU$15,$F47,0,OFFSET(ORÇAMENTO!$D$15,CRONO!$F47,0))),CRONO!W$12,OFFSET(CÁLCULO!$AJ$15:$BB$15,$F47,0,OFFSET(ORÇAMENTO!$D$15,CRONO!$F47,0)))
                +IF(AND($F49&lt;&gt;"",$F49&lt;&gt;0),
                        SUMIF(CÁLCULO!$BC$15:$BU$508,CRONO!W$12,CÁLCULO!$AJ$15:$BB$508)/(ORÇAMENTO!$X$15-_xlfn.SINGLE(CÁLCULO.TotalAdmLocal))*CRONO!$F49,
                        0),
                 W48*$S47),
          SUMIF(OFFSET($S49,1,0,$R47-2),($M47+1)&amp;"$",OFFSET(W49,1,0,$R47-2)))</f>
        <v>0</v>
      </c>
      <c r="X49" s="202" cm="1">
        <f t="array" aca="1" ref="X49" ca="1">IF($R47=2,
         IF(AND(ACOMPANHAMENTO="PLE",ISNUMBER($F47)),
                SUMIF((OFFSET(CÁLCULO!$BC$15:$BU$15,$F47,0,OFFSET(ORÇAMENTO!$D$15,CRONO!$F47,0))),CRONO!X$12,OFFSET(CÁLCULO!$AJ$15:$BB$15,$F47,0,OFFSET(ORÇAMENTO!$D$15,CRONO!$F47,0)))
                +IF(AND($F49&lt;&gt;"",$F49&lt;&gt;0),
                        SUMIF(CÁLCULO!$BC$15:$BU$508,CRONO!X$12,CÁLCULO!$AJ$15:$BB$508)/(ORÇAMENTO!$X$15-_xlfn.SINGLE(CÁLCULO.TotalAdmLocal))*CRONO!$F49,
                        0),
                 X48*$S47),
          SUMIF(OFFSET($S49,1,0,$R47-2),($M47+1)&amp;"$",OFFSET(X49,1,0,$R47-2)))</f>
        <v>0</v>
      </c>
      <c r="Y49" s="202" cm="1">
        <f t="array" aca="1" ref="Y49" ca="1">IF($R47=2,
         IF(AND(ACOMPANHAMENTO="PLE",ISNUMBER($F47)),
                SUMIF((OFFSET(CÁLCULO!$BC$15:$BU$15,$F47,0,OFFSET(ORÇAMENTO!$D$15,CRONO!$F47,0))),CRONO!Y$12,OFFSET(CÁLCULO!$AJ$15:$BB$15,$F47,0,OFFSET(ORÇAMENTO!$D$15,CRONO!$F47,0)))
                +IF(AND($F49&lt;&gt;"",$F49&lt;&gt;0),
                        SUMIF(CÁLCULO!$BC$15:$BU$508,CRONO!Y$12,CÁLCULO!$AJ$15:$BB$508)/(ORÇAMENTO!$X$15-_xlfn.SINGLE(CÁLCULO.TotalAdmLocal))*CRONO!$F49,
                        0),
                 Y48*$S47),
          SUMIF(OFFSET($S49,1,0,$R47-2),($M47+1)&amp;"$",OFFSET(Y49,1,0,$R47-2)))</f>
        <v>0</v>
      </c>
      <c r="Z49" s="202" cm="1">
        <f t="array" aca="1" ref="Z49" ca="1">IF($R47=2,
         IF(AND(ACOMPANHAMENTO="PLE",ISNUMBER($F47)),
                SUMIF((OFFSET(CÁLCULO!$BC$15:$BU$15,$F47,0,OFFSET(ORÇAMENTO!$D$15,CRONO!$F47,0))),CRONO!Z$12,OFFSET(CÁLCULO!$AJ$15:$BB$15,$F47,0,OFFSET(ORÇAMENTO!$D$15,CRONO!$F47,0)))
                +IF(AND($F49&lt;&gt;"",$F49&lt;&gt;0),
                        SUMIF(CÁLCULO!$BC$15:$BU$508,CRONO!Z$12,CÁLCULO!$AJ$15:$BB$508)/(ORÇAMENTO!$X$15-_xlfn.SINGLE(CÁLCULO.TotalAdmLocal))*CRONO!$F49,
                        0),
                 Z48*$S47),
          SUMIF(OFFSET($S49,1,0,$R47-2),($M47+1)&amp;"$",OFFSET(Z49,1,0,$R47-2)))</f>
        <v>0</v>
      </c>
      <c r="AA49" s="202" cm="1">
        <f t="array" aca="1" ref="AA49" ca="1">IF($R47=2,
         IF(AND(ACOMPANHAMENTO="PLE",ISNUMBER($F47)),
                SUMIF((OFFSET(CÁLCULO!$BC$15:$BU$15,$F47,0,OFFSET(ORÇAMENTO!$D$15,CRONO!$F47,0))),CRONO!AA$12,OFFSET(CÁLCULO!$AJ$15:$BB$15,$F47,0,OFFSET(ORÇAMENTO!$D$15,CRONO!$F47,0)))
                +IF(AND($F49&lt;&gt;"",$F49&lt;&gt;0),
                        SUMIF(CÁLCULO!$BC$15:$BU$508,CRONO!AA$12,CÁLCULO!$AJ$15:$BB$508)/(ORÇAMENTO!$X$15-_xlfn.SINGLE(CÁLCULO.TotalAdmLocal))*CRONO!$F49,
                        0),
                 AA48*$S47),
          SUMIF(OFFSET($S49,1,0,$R47-2),($M47+1)&amp;"$",OFFSET(AA49,1,0,$R47-2)))</f>
        <v>0</v>
      </c>
      <c r="AB49" s="202" cm="1">
        <f t="array" aca="1" ref="AB49" ca="1">IF($R47=2,
         IF(AND(ACOMPANHAMENTO="PLE",ISNUMBER($F47)),
                SUMIF((OFFSET(CÁLCULO!$BC$15:$BU$15,$F47,0,OFFSET(ORÇAMENTO!$D$15,CRONO!$F47,0))),CRONO!AB$12,OFFSET(CÁLCULO!$AJ$15:$BB$15,$F47,0,OFFSET(ORÇAMENTO!$D$15,CRONO!$F47,0)))
                +IF(AND($F49&lt;&gt;"",$F49&lt;&gt;0),
                        SUMIF(CÁLCULO!$BC$15:$BU$508,CRONO!AB$12,CÁLCULO!$AJ$15:$BB$508)/(ORÇAMENTO!$X$15-_xlfn.SINGLE(CÁLCULO.TotalAdmLocal))*CRONO!$F49,
                        0),
                 AB48*$S47),
          SUMIF(OFFSET($S49,1,0,$R47-2),($M47+1)&amp;"$",OFFSET(AB49,1,0,$R47-2)))</f>
        <v>0</v>
      </c>
      <c r="AC49" s="202" cm="1">
        <f t="array" aca="1" ref="AC49" ca="1">IF($R47=2,
         IF(AND(ACOMPANHAMENTO="PLE",ISNUMBER($F47)),
                SUMIF((OFFSET(CÁLCULO!$BC$15:$BU$15,$F47,0,OFFSET(ORÇAMENTO!$D$15,CRONO!$F47,0))),CRONO!AC$12,OFFSET(CÁLCULO!$AJ$15:$BB$15,$F47,0,OFFSET(ORÇAMENTO!$D$15,CRONO!$F47,0)))
                +IF(AND($F49&lt;&gt;"",$F49&lt;&gt;0),
                        SUMIF(CÁLCULO!$BC$15:$BU$508,CRONO!AC$12,CÁLCULO!$AJ$15:$BB$508)/(ORÇAMENTO!$X$15-_xlfn.SINGLE(CÁLCULO.TotalAdmLocal))*CRONO!$F49,
                        0),
                 AC48*$S47),
          SUMIF(OFFSET($S49,1,0,$R47-2),($M47+1)&amp;"$",OFFSET(AC49,1,0,$R47-2)))</f>
        <v>0</v>
      </c>
      <c r="AD49" s="202" cm="1">
        <f t="array" aca="1" ref="AD49" ca="1">IF($R47=2,
         IF(AND(ACOMPANHAMENTO="PLE",ISNUMBER($F47)),
                SUMIF((OFFSET(CÁLCULO!$BC$15:$BU$15,$F47,0,OFFSET(ORÇAMENTO!$D$15,CRONO!$F47,0))),CRONO!AD$12,OFFSET(CÁLCULO!$AJ$15:$BB$15,$F47,0,OFFSET(ORÇAMENTO!$D$15,CRONO!$F47,0)))
                +IF(AND($F49&lt;&gt;"",$F49&lt;&gt;0),
                        SUMIF(CÁLCULO!$BC$15:$BU$508,CRONO!AD$12,CÁLCULO!$AJ$15:$BB$508)/(ORÇAMENTO!$X$15-_xlfn.SINGLE(CÁLCULO.TotalAdmLocal))*CRONO!$F49,
                        0),
                 AD48*$S47),
          SUMIF(OFFSET($S49,1,0,$R47-2),($M47+1)&amp;"$",OFFSET(AD49,1,0,$R47-2)))</f>
        <v>0</v>
      </c>
      <c r="AE49" s="202" cm="1">
        <f t="array" aca="1" ref="AE49" ca="1">IF($R47=2,
         IF(AND(ACOMPANHAMENTO="PLE",ISNUMBER($F47)),
                SUMIF((OFFSET(CÁLCULO!$BC$15:$BU$15,$F47,0,OFFSET(ORÇAMENTO!$D$15,CRONO!$F47,0))),CRONO!AE$12,OFFSET(CÁLCULO!$AJ$15:$BB$15,$F47,0,OFFSET(ORÇAMENTO!$D$15,CRONO!$F47,0)))
                +IF(AND($F49&lt;&gt;"",$F49&lt;&gt;0),
                        SUMIF(CÁLCULO!$BC$15:$BU$508,CRONO!AE$12,CÁLCULO!$AJ$15:$BB$508)/(ORÇAMENTO!$X$15-_xlfn.SINGLE(CÁLCULO.TotalAdmLocal))*CRONO!$F49,
                        0),
                 AE48*$S47),
          SUMIF(OFFSET($S49,1,0,$R47-2),($M47+1)&amp;"$",OFFSET(AE49,1,0,$R47-2)))</f>
        <v>0</v>
      </c>
      <c r="AF49" s="202" cm="1">
        <f t="array" aca="1" ref="AF49" ca="1">IF($R47=2,
         IF(AND(ACOMPANHAMENTO="PLE",ISNUMBER($F47)),
                SUMIF((OFFSET(CÁLCULO!$BC$15:$BU$15,$F47,0,OFFSET(ORÇAMENTO!$D$15,CRONO!$F47,0))),CRONO!AF$12,OFFSET(CÁLCULO!$AJ$15:$BB$15,$F47,0,OFFSET(ORÇAMENTO!$D$15,CRONO!$F47,0)))
                +IF(AND($F49&lt;&gt;"",$F49&lt;&gt;0),
                        SUMIF(CÁLCULO!$BC$15:$BU$508,CRONO!AF$12,CÁLCULO!$AJ$15:$BB$508)/(ORÇAMENTO!$X$15-_xlfn.SINGLE(CÁLCULO.TotalAdmLocal))*CRONO!$F49,
                        0),
                 AF48*$S47),
          SUMIF(OFFSET($S49,1,0,$R47-2),($M47+1)&amp;"$",OFFSET(AF49,1,0,$R47-2)))</f>
        <v>0</v>
      </c>
      <c r="AG49" s="534"/>
    </row>
    <row r="50" spans="1:33" hidden="1" x14ac:dyDescent="0.2">
      <c r="A50" s="186" t="str">
        <f t="shared" ref="A50" ca="1" si="74">IF($M50&gt;1,_xlfn.CONCAT($I50," ",$J50),"")</f>
        <v/>
      </c>
      <c r="B50" s="185">
        <f t="shared" ref="B50" ca="1" si="75">OFFSET(B50,-3,0)+1</f>
        <v>13</v>
      </c>
      <c r="C50" s="185">
        <f ca="1">IF($R50&lt;&gt;2,0,IF($S50=0,1,IF(F51&gt;0,OFFSET(QCI!$M$13,SUBSTITUTE(F51,".",""),0),OFFSET(ORÇAMENTO!$AA$15,CRONO!$F50,0))/$S50))</f>
        <v>0</v>
      </c>
      <c r="D50" s="185">
        <f ca="1">IF($R50&lt;&gt;2,0,IF($S50=0,1,IF(F51&gt;0,OFFSET(QCI!$N$13,SUBSTITUTE(F51,".",""),0),OFFSET(ORÇAMENTO!$AB$15,CRONO!$F50,0))/$S50))</f>
        <v>0</v>
      </c>
      <c r="E50" s="188" t="e" cm="1">
        <f t="array" aca="1" ref="E50" ca="1">IF(AND($R50=2,ACOMPANHAMENTO="BM"),ROUND(E51,4),E52/$S50)</f>
        <v>#VALUE!</v>
      </c>
      <c r="F50" s="185" t="e">
        <f ca="1">IF(B50&lt;=ORÇAMENTO.MáximoListaCrono,MATCH(B50,ORÇAMENTO.ListaCrono,0),NA())</f>
        <v>#N/A</v>
      </c>
      <c r="G50" s="185" t="str">
        <f t="shared" ref="G50" ca="1" si="76">IF(AND($F51&lt;&gt;-1,$S50&gt;0),"F","")</f>
        <v/>
      </c>
      <c r="H50" s="189" t="str" cm="1">
        <f t="array" aca="1" ref="H50" ca="1">IF(OR(S50=0,S50=""),"Linha",IF(AND(OR(ACOMPANHAMENTO="PLE",$R50&lt;&gt;2),$F51=0),"Linha",ROUND(1-SUM(U50:AG50),4)))</f>
        <v>Linha</v>
      </c>
      <c r="I50" s="190" t="str">
        <f ca="1">IF($F51=0,OFFSET(ORÇAMENTO!O$15,$F50,0),IF($F51&lt;&gt;-1,OFFSET(QCI!$D$13,$F51,0),""))</f>
        <v/>
      </c>
      <c r="J50" s="191" t="str">
        <f ca="1">IF($F51=0,OFFSET(ORÇAMENTO!R$15,$F50,0),IF($F51&lt;&gt;-1,OFFSET(QCI!$G$13,$F51,0),""))</f>
        <v/>
      </c>
      <c r="K50" s="191"/>
      <c r="L50" s="191"/>
      <c r="M50" s="192">
        <f ca="1">IF($F51=0,OFFSET(ORÇAMENTO!C$15,$F50,0),1)</f>
        <v>1</v>
      </c>
      <c r="N50" s="193">
        <f ca="1">IF($F51=-1,0,IF(N$13&lt;=$M50,IF(ISERROR(MATCH(N$13,OFFSET($M50,1,0,ROW($M$56)-ROW($M50)-1),0)),ROW($M$56)-ROW($M50)-1,MATCH(N$13,OFFSET($M50,1,0,ROW($M$56)-ROW($M50)-1),0)-1),0))</f>
        <v>0</v>
      </c>
      <c r="O50" s="193">
        <f ca="1">IF($F51=-1,0,IF(O$13&lt;=$M50,IF(ISERROR(MATCH(O$13,OFFSET($M50,1,0,ROW($M$56)-ROW($M50)-1),0)),ROW($M$56)-ROW($M50)-1,MATCH(O$13,OFFSET($M50,1,0,ROW($M$56)-ROW($M50)-1),0)-1),0))</f>
        <v>0</v>
      </c>
      <c r="P50" s="193">
        <f ca="1">IF($F51=-1,0,IF(P$13&lt;=$M50,IF(ISERROR(MATCH(P$13,OFFSET($M50,1,0,ROW($M$56)-ROW($M50)-1),0)),ROW($M$56)-ROW($M50)-1,MATCH(P$13,OFFSET($M50,1,0,ROW($M$56)-ROW($M50)-1),0)-1),0))</f>
        <v>0</v>
      </c>
      <c r="Q50" s="193">
        <f ca="1">IF($F51=-1,0,IF(Q$13&lt;=$M50,IF(ISERROR(MATCH(Q$13,OFFSET($M50,1,0,ROW($M$56)-ROW($M50)-1),0)),ROW($M$56)-ROW($M50)-1,MATCH(Q$13,OFFSET($M50,1,0,ROW($M$56)-ROW($M50)-1),0)-1),0))</f>
        <v>0</v>
      </c>
      <c r="R50" s="193">
        <f t="shared" ref="R50" ca="1" si="77">MIN(OFFSET(M50,0,1,,M50))</f>
        <v>0</v>
      </c>
      <c r="S50" s="194" t="str">
        <f ca="1">IF($F51=0,OFFSET(ORÇAMENTO!X$15,$F50,0),IF($F51&lt;&gt;-1,OFFSET(QCI!$O$13,$F51,0),""))</f>
        <v/>
      </c>
      <c r="T50" s="195" t="s">
        <v>785</v>
      </c>
      <c r="U50" s="188" t="e" cm="1">
        <f t="array" aca="1" ref="U50" ca="1">IF(AND($R50=2,ACOMPANHAMENTO="BM"),ROUND(U51,4),U52/$S50)</f>
        <v>#VALUE!</v>
      </c>
      <c r="V50" s="188" t="e" cm="1">
        <f t="array" aca="1" ref="V50" ca="1">IF(AND($R50=2,ACOMPANHAMENTO="BM"),ROUND(V51,4),V52/$S50)</f>
        <v>#VALUE!</v>
      </c>
      <c r="W50" s="188" t="e" cm="1">
        <f t="array" aca="1" ref="W50" ca="1">IF(AND($R50=2,ACOMPANHAMENTO="BM"),ROUND(W51,4),W52/$S50)</f>
        <v>#VALUE!</v>
      </c>
      <c r="X50" s="188" t="e" cm="1">
        <f t="array" aca="1" ref="X50" ca="1">IF(AND($R50=2,ACOMPANHAMENTO="BM"),ROUND(X51,4),X52/$S50)</f>
        <v>#VALUE!</v>
      </c>
      <c r="Y50" s="188" t="e" cm="1">
        <f t="array" aca="1" ref="Y50" ca="1">IF(AND($R50=2,ACOMPANHAMENTO="BM"),ROUND(Y51,4),Y52/$S50)</f>
        <v>#VALUE!</v>
      </c>
      <c r="Z50" s="188" t="e" cm="1">
        <f t="array" aca="1" ref="Z50" ca="1">IF(AND($R50=2,ACOMPANHAMENTO="BM"),ROUND(Z51,4),Z52/$S50)</f>
        <v>#VALUE!</v>
      </c>
      <c r="AA50" s="188" t="e" cm="1">
        <f t="array" aca="1" ref="AA50" ca="1">IF(AND($R50=2,ACOMPANHAMENTO="BM"),ROUND(AA51,4),AA52/$S50)</f>
        <v>#VALUE!</v>
      </c>
      <c r="AB50" s="188" t="e" cm="1">
        <f t="array" aca="1" ref="AB50" ca="1">IF(AND($R50=2,ACOMPANHAMENTO="BM"),ROUND(AB51,4),AB52/$S50)</f>
        <v>#VALUE!</v>
      </c>
      <c r="AC50" s="188" t="e" cm="1">
        <f t="array" aca="1" ref="AC50" ca="1">IF(AND($R50=2,ACOMPANHAMENTO="BM"),ROUND(AC51,4),AC52/$S50)</f>
        <v>#VALUE!</v>
      </c>
      <c r="AD50" s="188" t="e" cm="1">
        <f t="array" aca="1" ref="AD50" ca="1">IF(AND($R50=2,ACOMPANHAMENTO="BM"),ROUND(AD51,4),AD52/$S50)</f>
        <v>#VALUE!</v>
      </c>
      <c r="AE50" s="188" t="e" cm="1">
        <f t="array" aca="1" ref="AE50" ca="1">IF(AND($R50=2,ACOMPANHAMENTO="BM"),ROUND(AE51,4),AE52/$S50)</f>
        <v>#VALUE!</v>
      </c>
      <c r="AF50" s="188" t="e" cm="1">
        <f t="array" aca="1" ref="AF50" ca="1">IF(AND($R50=2,ACOMPANHAMENTO="BM"),ROUND(AF51,4),AF52/$S50)</f>
        <v>#VALUE!</v>
      </c>
      <c r="AG50" s="534"/>
    </row>
    <row r="51" spans="1:33" ht="12.75" hidden="1" customHeight="1" x14ac:dyDescent="0.2">
      <c r="E51" s="587"/>
      <c r="F51" s="185">
        <f ca="1">IF(ISERROR(F50),IF(1+COUNTIF($M$13:OFFSET(M50,-1,0),1)&lt;=MAX(QCI!$D$13:$D$15),1+COUNTIF($M$13:OFFSET(M50,-1,0),1),-1),0)</f>
        <v>-1</v>
      </c>
      <c r="G51" s="185" t="str" cm="1">
        <f t="array" aca="1" ref="G51" ca="1">IF(ACOMPANHAMENTO="BM",OFFSET(G51,-1,0),"")</f>
        <v/>
      </c>
      <c r="H51" s="196" t="str" cm="1">
        <f t="array" aca="1" ref="H51" ca="1">IF(OR(S50=0,S50=""),"vazia",IF(AND(OR(ACOMPANHAMENTO="PLE",$R50&lt;&gt;2),$F51=0),"calculada","--&gt;"))</f>
        <v>vazia</v>
      </c>
      <c r="I51" s="197"/>
      <c r="J51" s="198" t="str">
        <f t="shared" ref="J51" ca="1" si="78">IF(AND(H50&lt;&gt;0,ISNUMBER(H50)),"PREENCHA ESTA LINHA --&gt;","")</f>
        <v/>
      </c>
      <c r="K51" s="198"/>
      <c r="L51" s="198"/>
      <c r="M51" s="199"/>
      <c r="N51" s="199"/>
      <c r="O51" s="199"/>
      <c r="P51" s="199"/>
      <c r="Q51" s="199"/>
      <c r="R51" s="199"/>
      <c r="S51" s="200"/>
      <c r="T51" s="201"/>
      <c r="U51" s="587"/>
      <c r="V51" s="587"/>
      <c r="W51" s="587"/>
      <c r="X51" s="587"/>
      <c r="Y51" s="587"/>
      <c r="Z51" s="587"/>
      <c r="AA51" s="587"/>
      <c r="AB51" s="587"/>
      <c r="AC51" s="587"/>
      <c r="AD51" s="587"/>
      <c r="AE51" s="587"/>
      <c r="AF51" s="587"/>
      <c r="AG51" s="534"/>
    </row>
    <row r="52" spans="1:33" ht="12.75" hidden="1" customHeight="1" x14ac:dyDescent="0.2">
      <c r="D52" s="533"/>
      <c r="E52" s="202" cm="1">
        <f t="array" aca="1" ref="E52" ca="1">IF($R50=2,
         IF(AND(ACOMPANHAMENTO="PLE",ISNUMBER($F50)),
                SUMIF((OFFSET(CÁLCULO!$BC$15:$BU$15,$F50,0,OFFSET(ORÇAMENTO!$D$15,CRONO!$F50,0))),CRONO!E$12,OFFSET(CÁLCULO!$AJ$15:$BB$15,$F50,0,OFFSET(ORÇAMENTO!$D$15,CRONO!$F50,0)))
                +IF(AND($F52&lt;&gt;"",$F52&lt;&gt;0),
                        SUMIF(CÁLCULO!$BC$15:$BU$508,CRONO!E$12,CÁLCULO!$AJ$15:$BB$508)/(ORÇAMENTO!$X$15-_xlfn.SINGLE(CÁLCULO.TotalAdmLocal))*CRONO!$F52,
                        0),
                 E51*$S50),
          SUMIF(OFFSET($S52,1,0,$R50-2),($M50+1)&amp;"$",OFFSET(E52,1,0,$R50-2)))</f>
        <v>0</v>
      </c>
      <c r="F52" s="185" t="str">
        <f ca="1">IF(OR($R50&lt;&gt;2,AUTOEVENTO&lt;&gt;"manual",$F51&gt;0),"",
        IF(Import.TipoArredondamento="Tradicional",
              SUMIF(OFFSET(CÁLCULO!$M$15,CRONO!$F50,0,OFFSET(ORÇAMENTO!$D$15,CRONO!$F50,0)),1,OFFSET(ORÇAMENTO!$X$15,CRONO!$F50,0,OFFSET(ORÇAMENTO!$D$15,CRONO!$F50,0))),
              0))</f>
        <v/>
      </c>
      <c r="H52" s="203"/>
      <c r="S52" s="204" t="str">
        <f t="shared" ref="S52" ca="1" si="79">M50&amp;"$"</f>
        <v>1$</v>
      </c>
      <c r="T52" s="205"/>
      <c r="U52" s="202" cm="1">
        <f t="array" aca="1" ref="U52" ca="1">IF($R50=2,
         IF(AND(ACOMPANHAMENTO="PLE",ISNUMBER($F50)),
                SUMIF((OFFSET(CÁLCULO!$BC$15:$BU$15,$F50,0,OFFSET(ORÇAMENTO!$D$15,CRONO!$F50,0))),CRONO!U$12,OFFSET(CÁLCULO!$AJ$15:$BB$15,$F50,0,OFFSET(ORÇAMENTO!$D$15,CRONO!$F50,0)))
                +IF(AND($F52&lt;&gt;"",$F52&lt;&gt;0),
                        SUMIF(CÁLCULO!$BC$15:$BU$508,CRONO!U$12,CÁLCULO!$AJ$15:$BB$508)/(ORÇAMENTO!$X$15-_xlfn.SINGLE(CÁLCULO.TotalAdmLocal))*CRONO!$F52,
                        0),
                 U51*$S50),
          SUMIF(OFFSET($S52,1,0,$R50-2),($M50+1)&amp;"$",OFFSET(U52,1,0,$R50-2)))</f>
        <v>0</v>
      </c>
      <c r="V52" s="202" cm="1">
        <f t="array" aca="1" ref="V52" ca="1">IF($R50=2,
         IF(AND(ACOMPANHAMENTO="PLE",ISNUMBER($F50)),
                SUMIF((OFFSET(CÁLCULO!$BC$15:$BU$15,$F50,0,OFFSET(ORÇAMENTO!$D$15,CRONO!$F50,0))),CRONO!V$12,OFFSET(CÁLCULO!$AJ$15:$BB$15,$F50,0,OFFSET(ORÇAMENTO!$D$15,CRONO!$F50,0)))
                +IF(AND($F52&lt;&gt;"",$F52&lt;&gt;0),
                        SUMIF(CÁLCULO!$BC$15:$BU$508,CRONO!V$12,CÁLCULO!$AJ$15:$BB$508)/(ORÇAMENTO!$X$15-_xlfn.SINGLE(CÁLCULO.TotalAdmLocal))*CRONO!$F52,
                        0),
                 V51*$S50),
          SUMIF(OFFSET($S52,1,0,$R50-2),($M50+1)&amp;"$",OFFSET(V52,1,0,$R50-2)))</f>
        <v>0</v>
      </c>
      <c r="W52" s="202" cm="1">
        <f t="array" aca="1" ref="W52" ca="1">IF($R50=2,
         IF(AND(ACOMPANHAMENTO="PLE",ISNUMBER($F50)),
                SUMIF((OFFSET(CÁLCULO!$BC$15:$BU$15,$F50,0,OFFSET(ORÇAMENTO!$D$15,CRONO!$F50,0))),CRONO!W$12,OFFSET(CÁLCULO!$AJ$15:$BB$15,$F50,0,OFFSET(ORÇAMENTO!$D$15,CRONO!$F50,0)))
                +IF(AND($F52&lt;&gt;"",$F52&lt;&gt;0),
                        SUMIF(CÁLCULO!$BC$15:$BU$508,CRONO!W$12,CÁLCULO!$AJ$15:$BB$508)/(ORÇAMENTO!$X$15-_xlfn.SINGLE(CÁLCULO.TotalAdmLocal))*CRONO!$F52,
                        0),
                 W51*$S50),
          SUMIF(OFFSET($S52,1,0,$R50-2),($M50+1)&amp;"$",OFFSET(W52,1,0,$R50-2)))</f>
        <v>0</v>
      </c>
      <c r="X52" s="202" cm="1">
        <f t="array" aca="1" ref="X52" ca="1">IF($R50=2,
         IF(AND(ACOMPANHAMENTO="PLE",ISNUMBER($F50)),
                SUMIF((OFFSET(CÁLCULO!$BC$15:$BU$15,$F50,0,OFFSET(ORÇAMENTO!$D$15,CRONO!$F50,0))),CRONO!X$12,OFFSET(CÁLCULO!$AJ$15:$BB$15,$F50,0,OFFSET(ORÇAMENTO!$D$15,CRONO!$F50,0)))
                +IF(AND($F52&lt;&gt;"",$F52&lt;&gt;0),
                        SUMIF(CÁLCULO!$BC$15:$BU$508,CRONO!X$12,CÁLCULO!$AJ$15:$BB$508)/(ORÇAMENTO!$X$15-_xlfn.SINGLE(CÁLCULO.TotalAdmLocal))*CRONO!$F52,
                        0),
                 X51*$S50),
          SUMIF(OFFSET($S52,1,0,$R50-2),($M50+1)&amp;"$",OFFSET(X52,1,0,$R50-2)))</f>
        <v>0</v>
      </c>
      <c r="Y52" s="202" cm="1">
        <f t="array" aca="1" ref="Y52" ca="1">IF($R50=2,
         IF(AND(ACOMPANHAMENTO="PLE",ISNUMBER($F50)),
                SUMIF((OFFSET(CÁLCULO!$BC$15:$BU$15,$F50,0,OFFSET(ORÇAMENTO!$D$15,CRONO!$F50,0))),CRONO!Y$12,OFFSET(CÁLCULO!$AJ$15:$BB$15,$F50,0,OFFSET(ORÇAMENTO!$D$15,CRONO!$F50,0)))
                +IF(AND($F52&lt;&gt;"",$F52&lt;&gt;0),
                        SUMIF(CÁLCULO!$BC$15:$BU$508,CRONO!Y$12,CÁLCULO!$AJ$15:$BB$508)/(ORÇAMENTO!$X$15-_xlfn.SINGLE(CÁLCULO.TotalAdmLocal))*CRONO!$F52,
                        0),
                 Y51*$S50),
          SUMIF(OFFSET($S52,1,0,$R50-2),($M50+1)&amp;"$",OFFSET(Y52,1,0,$R50-2)))</f>
        <v>0</v>
      </c>
      <c r="Z52" s="202" cm="1">
        <f t="array" aca="1" ref="Z52" ca="1">IF($R50=2,
         IF(AND(ACOMPANHAMENTO="PLE",ISNUMBER($F50)),
                SUMIF((OFFSET(CÁLCULO!$BC$15:$BU$15,$F50,0,OFFSET(ORÇAMENTO!$D$15,CRONO!$F50,0))),CRONO!Z$12,OFFSET(CÁLCULO!$AJ$15:$BB$15,$F50,0,OFFSET(ORÇAMENTO!$D$15,CRONO!$F50,0)))
                +IF(AND($F52&lt;&gt;"",$F52&lt;&gt;0),
                        SUMIF(CÁLCULO!$BC$15:$BU$508,CRONO!Z$12,CÁLCULO!$AJ$15:$BB$508)/(ORÇAMENTO!$X$15-_xlfn.SINGLE(CÁLCULO.TotalAdmLocal))*CRONO!$F52,
                        0),
                 Z51*$S50),
          SUMIF(OFFSET($S52,1,0,$R50-2),($M50+1)&amp;"$",OFFSET(Z52,1,0,$R50-2)))</f>
        <v>0</v>
      </c>
      <c r="AA52" s="202" cm="1">
        <f t="array" aca="1" ref="AA52" ca="1">IF($R50=2,
         IF(AND(ACOMPANHAMENTO="PLE",ISNUMBER($F50)),
                SUMIF((OFFSET(CÁLCULO!$BC$15:$BU$15,$F50,0,OFFSET(ORÇAMENTO!$D$15,CRONO!$F50,0))),CRONO!AA$12,OFFSET(CÁLCULO!$AJ$15:$BB$15,$F50,0,OFFSET(ORÇAMENTO!$D$15,CRONO!$F50,0)))
                +IF(AND($F52&lt;&gt;"",$F52&lt;&gt;0),
                        SUMIF(CÁLCULO!$BC$15:$BU$508,CRONO!AA$12,CÁLCULO!$AJ$15:$BB$508)/(ORÇAMENTO!$X$15-_xlfn.SINGLE(CÁLCULO.TotalAdmLocal))*CRONO!$F52,
                        0),
                 AA51*$S50),
          SUMIF(OFFSET($S52,1,0,$R50-2),($M50+1)&amp;"$",OFFSET(AA52,1,0,$R50-2)))</f>
        <v>0</v>
      </c>
      <c r="AB52" s="202" cm="1">
        <f t="array" aca="1" ref="AB52" ca="1">IF($R50=2,
         IF(AND(ACOMPANHAMENTO="PLE",ISNUMBER($F50)),
                SUMIF((OFFSET(CÁLCULO!$BC$15:$BU$15,$F50,0,OFFSET(ORÇAMENTO!$D$15,CRONO!$F50,0))),CRONO!AB$12,OFFSET(CÁLCULO!$AJ$15:$BB$15,$F50,0,OFFSET(ORÇAMENTO!$D$15,CRONO!$F50,0)))
                +IF(AND($F52&lt;&gt;"",$F52&lt;&gt;0),
                        SUMIF(CÁLCULO!$BC$15:$BU$508,CRONO!AB$12,CÁLCULO!$AJ$15:$BB$508)/(ORÇAMENTO!$X$15-_xlfn.SINGLE(CÁLCULO.TotalAdmLocal))*CRONO!$F52,
                        0),
                 AB51*$S50),
          SUMIF(OFFSET($S52,1,0,$R50-2),($M50+1)&amp;"$",OFFSET(AB52,1,0,$R50-2)))</f>
        <v>0</v>
      </c>
      <c r="AC52" s="202" cm="1">
        <f t="array" aca="1" ref="AC52" ca="1">IF($R50=2,
         IF(AND(ACOMPANHAMENTO="PLE",ISNUMBER($F50)),
                SUMIF((OFFSET(CÁLCULO!$BC$15:$BU$15,$F50,0,OFFSET(ORÇAMENTO!$D$15,CRONO!$F50,0))),CRONO!AC$12,OFFSET(CÁLCULO!$AJ$15:$BB$15,$F50,0,OFFSET(ORÇAMENTO!$D$15,CRONO!$F50,0)))
                +IF(AND($F52&lt;&gt;"",$F52&lt;&gt;0),
                        SUMIF(CÁLCULO!$BC$15:$BU$508,CRONO!AC$12,CÁLCULO!$AJ$15:$BB$508)/(ORÇAMENTO!$X$15-_xlfn.SINGLE(CÁLCULO.TotalAdmLocal))*CRONO!$F52,
                        0),
                 AC51*$S50),
          SUMIF(OFFSET($S52,1,0,$R50-2),($M50+1)&amp;"$",OFFSET(AC52,1,0,$R50-2)))</f>
        <v>0</v>
      </c>
      <c r="AD52" s="202" cm="1">
        <f t="array" aca="1" ref="AD52" ca="1">IF($R50=2,
         IF(AND(ACOMPANHAMENTO="PLE",ISNUMBER($F50)),
                SUMIF((OFFSET(CÁLCULO!$BC$15:$BU$15,$F50,0,OFFSET(ORÇAMENTO!$D$15,CRONO!$F50,0))),CRONO!AD$12,OFFSET(CÁLCULO!$AJ$15:$BB$15,$F50,0,OFFSET(ORÇAMENTO!$D$15,CRONO!$F50,0)))
                +IF(AND($F52&lt;&gt;"",$F52&lt;&gt;0),
                        SUMIF(CÁLCULO!$BC$15:$BU$508,CRONO!AD$12,CÁLCULO!$AJ$15:$BB$508)/(ORÇAMENTO!$X$15-_xlfn.SINGLE(CÁLCULO.TotalAdmLocal))*CRONO!$F52,
                        0),
                 AD51*$S50),
          SUMIF(OFFSET($S52,1,0,$R50-2),($M50+1)&amp;"$",OFFSET(AD52,1,0,$R50-2)))</f>
        <v>0</v>
      </c>
      <c r="AE52" s="202" cm="1">
        <f t="array" aca="1" ref="AE52" ca="1">IF($R50=2,
         IF(AND(ACOMPANHAMENTO="PLE",ISNUMBER($F50)),
                SUMIF((OFFSET(CÁLCULO!$BC$15:$BU$15,$F50,0,OFFSET(ORÇAMENTO!$D$15,CRONO!$F50,0))),CRONO!AE$12,OFFSET(CÁLCULO!$AJ$15:$BB$15,$F50,0,OFFSET(ORÇAMENTO!$D$15,CRONO!$F50,0)))
                +IF(AND($F52&lt;&gt;"",$F52&lt;&gt;0),
                        SUMIF(CÁLCULO!$BC$15:$BU$508,CRONO!AE$12,CÁLCULO!$AJ$15:$BB$508)/(ORÇAMENTO!$X$15-_xlfn.SINGLE(CÁLCULO.TotalAdmLocal))*CRONO!$F52,
                        0),
                 AE51*$S50),
          SUMIF(OFFSET($S52,1,0,$R50-2),($M50+1)&amp;"$",OFFSET(AE52,1,0,$R50-2)))</f>
        <v>0</v>
      </c>
      <c r="AF52" s="202" cm="1">
        <f t="array" aca="1" ref="AF52" ca="1">IF($R50=2,
         IF(AND(ACOMPANHAMENTO="PLE",ISNUMBER($F50)),
                SUMIF((OFFSET(CÁLCULO!$BC$15:$BU$15,$F50,0,OFFSET(ORÇAMENTO!$D$15,CRONO!$F50,0))),CRONO!AF$12,OFFSET(CÁLCULO!$AJ$15:$BB$15,$F50,0,OFFSET(ORÇAMENTO!$D$15,CRONO!$F50,0)))
                +IF(AND($F52&lt;&gt;"",$F52&lt;&gt;0),
                        SUMIF(CÁLCULO!$BC$15:$BU$508,CRONO!AF$12,CÁLCULO!$AJ$15:$BB$508)/(ORÇAMENTO!$X$15-_xlfn.SINGLE(CÁLCULO.TotalAdmLocal))*CRONO!$F52,
                        0),
                 AF51*$S50),
          SUMIF(OFFSET($S52,1,0,$R50-2),($M50+1)&amp;"$",OFFSET(AF52,1,0,$R50-2)))</f>
        <v>0</v>
      </c>
      <c r="AG52" s="534"/>
    </row>
    <row r="53" spans="1:33" hidden="1" x14ac:dyDescent="0.2">
      <c r="A53" s="186" t="str">
        <f t="shared" ref="A53" ca="1" si="80">IF($M53&gt;1,_xlfn.CONCAT($I53," ",$J53),"")</f>
        <v/>
      </c>
      <c r="B53" s="185">
        <f t="shared" ref="B53" ca="1" si="81">OFFSET(B53,-3,0)+1</f>
        <v>14</v>
      </c>
      <c r="C53" s="185">
        <f ca="1">IF($R53&lt;&gt;2,0,IF($S53=0,1,IF(F54&gt;0,OFFSET(QCI!$M$13,SUBSTITUTE(F54,".",""),0),OFFSET(ORÇAMENTO!$AA$15,CRONO!$F53,0))/$S53))</f>
        <v>0</v>
      </c>
      <c r="D53" s="185">
        <f ca="1">IF($R53&lt;&gt;2,0,IF($S53=0,1,IF(F54&gt;0,OFFSET(QCI!$N$13,SUBSTITUTE(F54,".",""),0),OFFSET(ORÇAMENTO!$AB$15,CRONO!$F53,0))/$S53))</f>
        <v>0</v>
      </c>
      <c r="E53" s="188" t="e" cm="1">
        <f t="array" aca="1" ref="E53" ca="1">IF(AND($R53=2,ACOMPANHAMENTO="BM"),ROUND(E54,4),E55/$S53)</f>
        <v>#VALUE!</v>
      </c>
      <c r="F53" s="185" t="e">
        <f ca="1">IF(B53&lt;=ORÇAMENTO.MáximoListaCrono,MATCH(B53,ORÇAMENTO.ListaCrono,0),NA())</f>
        <v>#N/A</v>
      </c>
      <c r="G53" s="185" t="str">
        <f t="shared" ref="G53" ca="1" si="82">IF(AND($F54&lt;&gt;-1,$S53&gt;0),"F","")</f>
        <v/>
      </c>
      <c r="H53" s="189" t="str" cm="1">
        <f t="array" aca="1" ref="H53" ca="1">IF(OR(S53=0,S53=""),"Linha",IF(AND(OR(ACOMPANHAMENTO="PLE",$R53&lt;&gt;2),$F54=0),"Linha",ROUND(1-SUM(U53:AG53),4)))</f>
        <v>Linha</v>
      </c>
      <c r="I53" s="190" t="str">
        <f ca="1">IF($F54=0,OFFSET(ORÇAMENTO!O$15,$F53,0),IF($F54&lt;&gt;-1,OFFSET(QCI!$D$13,$F54,0),""))</f>
        <v/>
      </c>
      <c r="J53" s="191" t="str">
        <f ca="1">IF($F54=0,OFFSET(ORÇAMENTO!R$15,$F53,0),IF($F54&lt;&gt;-1,OFFSET(QCI!$G$13,$F54,0),""))</f>
        <v/>
      </c>
      <c r="K53" s="191"/>
      <c r="L53" s="191"/>
      <c r="M53" s="192">
        <f ca="1">IF($F54=0,OFFSET(ORÇAMENTO!C$15,$F53,0),1)</f>
        <v>1</v>
      </c>
      <c r="N53" s="193">
        <f ca="1">IF($F54=-1,0,IF(N$13&lt;=$M53,IF(ISERROR(MATCH(N$13,OFFSET($M53,1,0,ROW($M$56)-ROW($M53)-1),0)),ROW($M$56)-ROW($M53)-1,MATCH(N$13,OFFSET($M53,1,0,ROW($M$56)-ROW($M53)-1),0)-1),0))</f>
        <v>0</v>
      </c>
      <c r="O53" s="193">
        <f ca="1">IF($F54=-1,0,IF(O$13&lt;=$M53,IF(ISERROR(MATCH(O$13,OFFSET($M53,1,0,ROW($M$56)-ROW($M53)-1),0)),ROW($M$56)-ROW($M53)-1,MATCH(O$13,OFFSET($M53,1,0,ROW($M$56)-ROW($M53)-1),0)-1),0))</f>
        <v>0</v>
      </c>
      <c r="P53" s="193">
        <f ca="1">IF($F54=-1,0,IF(P$13&lt;=$M53,IF(ISERROR(MATCH(P$13,OFFSET($M53,1,0,ROW($M$56)-ROW($M53)-1),0)),ROW($M$56)-ROW($M53)-1,MATCH(P$13,OFFSET($M53,1,0,ROW($M$56)-ROW($M53)-1),0)-1),0))</f>
        <v>0</v>
      </c>
      <c r="Q53" s="193">
        <f ca="1">IF($F54=-1,0,IF(Q$13&lt;=$M53,IF(ISERROR(MATCH(Q$13,OFFSET($M53,1,0,ROW($M$56)-ROW($M53)-1),0)),ROW($M$56)-ROW($M53)-1,MATCH(Q$13,OFFSET($M53,1,0,ROW($M$56)-ROW($M53)-1),0)-1),0))</f>
        <v>0</v>
      </c>
      <c r="R53" s="193">
        <f t="shared" ref="R53" ca="1" si="83">MIN(OFFSET(M53,0,1,,M53))</f>
        <v>0</v>
      </c>
      <c r="S53" s="194" t="str">
        <f ca="1">IF($F54=0,OFFSET(ORÇAMENTO!X$15,$F53,0),IF($F54&lt;&gt;-1,OFFSET(QCI!$O$13,$F54,0),""))</f>
        <v/>
      </c>
      <c r="T53" s="195" t="s">
        <v>785</v>
      </c>
      <c r="U53" s="188" t="e" cm="1">
        <f t="array" aca="1" ref="U53" ca="1">IF(AND($R53=2,ACOMPANHAMENTO="BM"),ROUND(U54,4),U55/$S53)</f>
        <v>#VALUE!</v>
      </c>
      <c r="V53" s="188" t="e" cm="1">
        <f t="array" aca="1" ref="V53" ca="1">IF(AND($R53=2,ACOMPANHAMENTO="BM"),ROUND(V54,4),V55/$S53)</f>
        <v>#VALUE!</v>
      </c>
      <c r="W53" s="188" t="e" cm="1">
        <f t="array" aca="1" ref="W53" ca="1">IF(AND($R53=2,ACOMPANHAMENTO="BM"),ROUND(W54,4),W55/$S53)</f>
        <v>#VALUE!</v>
      </c>
      <c r="X53" s="188" t="e" cm="1">
        <f t="array" aca="1" ref="X53" ca="1">IF(AND($R53=2,ACOMPANHAMENTO="BM"),ROUND(X54,4),X55/$S53)</f>
        <v>#VALUE!</v>
      </c>
      <c r="Y53" s="188" t="e" cm="1">
        <f t="array" aca="1" ref="Y53" ca="1">IF(AND($R53=2,ACOMPANHAMENTO="BM"),ROUND(Y54,4),Y55/$S53)</f>
        <v>#VALUE!</v>
      </c>
      <c r="Z53" s="188" t="e" cm="1">
        <f t="array" aca="1" ref="Z53" ca="1">IF(AND($R53=2,ACOMPANHAMENTO="BM"),ROUND(Z54,4),Z55/$S53)</f>
        <v>#VALUE!</v>
      </c>
      <c r="AA53" s="188" t="e" cm="1">
        <f t="array" aca="1" ref="AA53" ca="1">IF(AND($R53=2,ACOMPANHAMENTO="BM"),ROUND(AA54,4),AA55/$S53)</f>
        <v>#VALUE!</v>
      </c>
      <c r="AB53" s="188" t="e" cm="1">
        <f t="array" aca="1" ref="AB53" ca="1">IF(AND($R53=2,ACOMPANHAMENTO="BM"),ROUND(AB54,4),AB55/$S53)</f>
        <v>#VALUE!</v>
      </c>
      <c r="AC53" s="188" t="e" cm="1">
        <f t="array" aca="1" ref="AC53" ca="1">IF(AND($R53=2,ACOMPANHAMENTO="BM"),ROUND(AC54,4),AC55/$S53)</f>
        <v>#VALUE!</v>
      </c>
      <c r="AD53" s="188" t="e" cm="1">
        <f t="array" aca="1" ref="AD53" ca="1">IF(AND($R53=2,ACOMPANHAMENTO="BM"),ROUND(AD54,4),AD55/$S53)</f>
        <v>#VALUE!</v>
      </c>
      <c r="AE53" s="188" t="e" cm="1">
        <f t="array" aca="1" ref="AE53" ca="1">IF(AND($R53=2,ACOMPANHAMENTO="BM"),ROUND(AE54,4),AE55/$S53)</f>
        <v>#VALUE!</v>
      </c>
      <c r="AF53" s="188" t="e" cm="1">
        <f t="array" aca="1" ref="AF53" ca="1">IF(AND($R53=2,ACOMPANHAMENTO="BM"),ROUND(AF54,4),AF55/$S53)</f>
        <v>#VALUE!</v>
      </c>
      <c r="AG53" s="534"/>
    </row>
    <row r="54" spans="1:33" ht="12.75" hidden="1" customHeight="1" x14ac:dyDescent="0.2">
      <c r="E54" s="587"/>
      <c r="F54" s="185">
        <f ca="1">IF(ISERROR(F53),IF(1+COUNTIF($M$13:OFFSET(M53,-1,0),1)&lt;=MAX(QCI!$D$13:$D$15),1+COUNTIF($M$13:OFFSET(M53,-1,0),1),-1),0)</f>
        <v>-1</v>
      </c>
      <c r="G54" s="185" t="str" cm="1">
        <f t="array" aca="1" ref="G54" ca="1">IF(ACOMPANHAMENTO="BM",OFFSET(G54,-1,0),"")</f>
        <v/>
      </c>
      <c r="H54" s="196" t="str" cm="1">
        <f t="array" aca="1" ref="H54" ca="1">IF(OR(S53=0,S53=""),"vazia",IF(AND(OR(ACOMPANHAMENTO="PLE",$R53&lt;&gt;2),$F54=0),"calculada","--&gt;"))</f>
        <v>vazia</v>
      </c>
      <c r="I54" s="197"/>
      <c r="J54" s="198" t="str">
        <f t="shared" ref="J54" ca="1" si="84">IF(AND(H53&lt;&gt;0,ISNUMBER(H53)),"PREENCHA ESTA LINHA --&gt;","")</f>
        <v/>
      </c>
      <c r="K54" s="198"/>
      <c r="L54" s="198"/>
      <c r="M54" s="199"/>
      <c r="N54" s="199"/>
      <c r="O54" s="199"/>
      <c r="P54" s="199"/>
      <c r="Q54" s="199"/>
      <c r="R54" s="199"/>
      <c r="S54" s="200"/>
      <c r="T54" s="201"/>
      <c r="U54" s="587"/>
      <c r="V54" s="587"/>
      <c r="W54" s="587"/>
      <c r="X54" s="587"/>
      <c r="Y54" s="587"/>
      <c r="Z54" s="587"/>
      <c r="AA54" s="587"/>
      <c r="AB54" s="587"/>
      <c r="AC54" s="587"/>
      <c r="AD54" s="587"/>
      <c r="AE54" s="587"/>
      <c r="AF54" s="587"/>
      <c r="AG54" s="534"/>
    </row>
    <row r="55" spans="1:33" ht="12.75" hidden="1" customHeight="1" x14ac:dyDescent="0.2">
      <c r="D55" s="533"/>
      <c r="E55" s="202" cm="1">
        <f t="array" aca="1" ref="E55" ca="1">IF($R53=2,
         IF(AND(ACOMPANHAMENTO="PLE",ISNUMBER($F53)),
                SUMIF((OFFSET(CÁLCULO!$BC$15:$BU$15,$F53,0,OFFSET(ORÇAMENTO!$D$15,CRONO!$F53,0))),CRONO!E$12,OFFSET(CÁLCULO!$AJ$15:$BB$15,$F53,0,OFFSET(ORÇAMENTO!$D$15,CRONO!$F53,0)))
                +IF(AND($F55&lt;&gt;"",$F55&lt;&gt;0),
                        SUMIF(CÁLCULO!$BC$15:$BU$508,CRONO!E$12,CÁLCULO!$AJ$15:$BB$508)/(ORÇAMENTO!$X$15-_xlfn.SINGLE(CÁLCULO.TotalAdmLocal))*CRONO!$F55,
                        0),
                 E54*$S53),
          SUMIF(OFFSET($S55,1,0,$R53-2),($M53+1)&amp;"$",OFFSET(E55,1,0,$R53-2)))</f>
        <v>0</v>
      </c>
      <c r="F55" s="185" t="str">
        <f ca="1">IF(OR($R53&lt;&gt;2,AUTOEVENTO&lt;&gt;"manual",$F54&gt;0),"",
        IF(Import.TipoArredondamento="Tradicional",
              SUMIF(OFFSET(CÁLCULO!$M$15,CRONO!$F53,0,OFFSET(ORÇAMENTO!$D$15,CRONO!$F53,0)),1,OFFSET(ORÇAMENTO!$X$15,CRONO!$F53,0,OFFSET(ORÇAMENTO!$D$15,CRONO!$F53,0))),
              0))</f>
        <v/>
      </c>
      <c r="H55" s="203"/>
      <c r="S55" s="204" t="str">
        <f t="shared" ref="S55" ca="1" si="85">M53&amp;"$"</f>
        <v>1$</v>
      </c>
      <c r="T55" s="205"/>
      <c r="U55" s="202" cm="1">
        <f t="array" aca="1" ref="U55" ca="1">IF($R53=2,
         IF(AND(ACOMPANHAMENTO="PLE",ISNUMBER($F53)),
                SUMIF((OFFSET(CÁLCULO!$BC$15:$BU$15,$F53,0,OFFSET(ORÇAMENTO!$D$15,CRONO!$F53,0))),CRONO!U$12,OFFSET(CÁLCULO!$AJ$15:$BB$15,$F53,0,OFFSET(ORÇAMENTO!$D$15,CRONO!$F53,0)))
                +IF(AND($F55&lt;&gt;"",$F55&lt;&gt;0),
                        SUMIF(CÁLCULO!$BC$15:$BU$508,CRONO!U$12,CÁLCULO!$AJ$15:$BB$508)/(ORÇAMENTO!$X$15-_xlfn.SINGLE(CÁLCULO.TotalAdmLocal))*CRONO!$F55,
                        0),
                 U54*$S53),
          SUMIF(OFFSET($S55,1,0,$R53-2),($M53+1)&amp;"$",OFFSET(U55,1,0,$R53-2)))</f>
        <v>0</v>
      </c>
      <c r="V55" s="202" cm="1">
        <f t="array" aca="1" ref="V55" ca="1">IF($R53=2,
         IF(AND(ACOMPANHAMENTO="PLE",ISNUMBER($F53)),
                SUMIF((OFFSET(CÁLCULO!$BC$15:$BU$15,$F53,0,OFFSET(ORÇAMENTO!$D$15,CRONO!$F53,0))),CRONO!V$12,OFFSET(CÁLCULO!$AJ$15:$BB$15,$F53,0,OFFSET(ORÇAMENTO!$D$15,CRONO!$F53,0)))
                +IF(AND($F55&lt;&gt;"",$F55&lt;&gt;0),
                        SUMIF(CÁLCULO!$BC$15:$BU$508,CRONO!V$12,CÁLCULO!$AJ$15:$BB$508)/(ORÇAMENTO!$X$15-_xlfn.SINGLE(CÁLCULO.TotalAdmLocal))*CRONO!$F55,
                        0),
                 V54*$S53),
          SUMIF(OFFSET($S55,1,0,$R53-2),($M53+1)&amp;"$",OFFSET(V55,1,0,$R53-2)))</f>
        <v>0</v>
      </c>
      <c r="W55" s="202" cm="1">
        <f t="array" aca="1" ref="W55" ca="1">IF($R53=2,
         IF(AND(ACOMPANHAMENTO="PLE",ISNUMBER($F53)),
                SUMIF((OFFSET(CÁLCULO!$BC$15:$BU$15,$F53,0,OFFSET(ORÇAMENTO!$D$15,CRONO!$F53,0))),CRONO!W$12,OFFSET(CÁLCULO!$AJ$15:$BB$15,$F53,0,OFFSET(ORÇAMENTO!$D$15,CRONO!$F53,0)))
                +IF(AND($F55&lt;&gt;"",$F55&lt;&gt;0),
                        SUMIF(CÁLCULO!$BC$15:$BU$508,CRONO!W$12,CÁLCULO!$AJ$15:$BB$508)/(ORÇAMENTO!$X$15-_xlfn.SINGLE(CÁLCULO.TotalAdmLocal))*CRONO!$F55,
                        0),
                 W54*$S53),
          SUMIF(OFFSET($S55,1,0,$R53-2),($M53+1)&amp;"$",OFFSET(W55,1,0,$R53-2)))</f>
        <v>0</v>
      </c>
      <c r="X55" s="202" cm="1">
        <f t="array" aca="1" ref="X55" ca="1">IF($R53=2,
         IF(AND(ACOMPANHAMENTO="PLE",ISNUMBER($F53)),
                SUMIF((OFFSET(CÁLCULO!$BC$15:$BU$15,$F53,0,OFFSET(ORÇAMENTO!$D$15,CRONO!$F53,0))),CRONO!X$12,OFFSET(CÁLCULO!$AJ$15:$BB$15,$F53,0,OFFSET(ORÇAMENTO!$D$15,CRONO!$F53,0)))
                +IF(AND($F55&lt;&gt;"",$F55&lt;&gt;0),
                        SUMIF(CÁLCULO!$BC$15:$BU$508,CRONO!X$12,CÁLCULO!$AJ$15:$BB$508)/(ORÇAMENTO!$X$15-_xlfn.SINGLE(CÁLCULO.TotalAdmLocal))*CRONO!$F55,
                        0),
                 X54*$S53),
          SUMIF(OFFSET($S55,1,0,$R53-2),($M53+1)&amp;"$",OFFSET(X55,1,0,$R53-2)))</f>
        <v>0</v>
      </c>
      <c r="Y55" s="202" cm="1">
        <f t="array" aca="1" ref="Y55" ca="1">IF($R53=2,
         IF(AND(ACOMPANHAMENTO="PLE",ISNUMBER($F53)),
                SUMIF((OFFSET(CÁLCULO!$BC$15:$BU$15,$F53,0,OFFSET(ORÇAMENTO!$D$15,CRONO!$F53,0))),CRONO!Y$12,OFFSET(CÁLCULO!$AJ$15:$BB$15,$F53,0,OFFSET(ORÇAMENTO!$D$15,CRONO!$F53,0)))
                +IF(AND($F55&lt;&gt;"",$F55&lt;&gt;0),
                        SUMIF(CÁLCULO!$BC$15:$BU$508,CRONO!Y$12,CÁLCULO!$AJ$15:$BB$508)/(ORÇAMENTO!$X$15-_xlfn.SINGLE(CÁLCULO.TotalAdmLocal))*CRONO!$F55,
                        0),
                 Y54*$S53),
          SUMIF(OFFSET($S55,1,0,$R53-2),($M53+1)&amp;"$",OFFSET(Y55,1,0,$R53-2)))</f>
        <v>0</v>
      </c>
      <c r="Z55" s="202" cm="1">
        <f t="array" aca="1" ref="Z55" ca="1">IF($R53=2,
         IF(AND(ACOMPANHAMENTO="PLE",ISNUMBER($F53)),
                SUMIF((OFFSET(CÁLCULO!$BC$15:$BU$15,$F53,0,OFFSET(ORÇAMENTO!$D$15,CRONO!$F53,0))),CRONO!Z$12,OFFSET(CÁLCULO!$AJ$15:$BB$15,$F53,0,OFFSET(ORÇAMENTO!$D$15,CRONO!$F53,0)))
                +IF(AND($F55&lt;&gt;"",$F55&lt;&gt;0),
                        SUMIF(CÁLCULO!$BC$15:$BU$508,CRONO!Z$12,CÁLCULO!$AJ$15:$BB$508)/(ORÇAMENTO!$X$15-_xlfn.SINGLE(CÁLCULO.TotalAdmLocal))*CRONO!$F55,
                        0),
                 Z54*$S53),
          SUMIF(OFFSET($S55,1,0,$R53-2),($M53+1)&amp;"$",OFFSET(Z55,1,0,$R53-2)))</f>
        <v>0</v>
      </c>
      <c r="AA55" s="202" cm="1">
        <f t="array" aca="1" ref="AA55" ca="1">IF($R53=2,
         IF(AND(ACOMPANHAMENTO="PLE",ISNUMBER($F53)),
                SUMIF((OFFSET(CÁLCULO!$BC$15:$BU$15,$F53,0,OFFSET(ORÇAMENTO!$D$15,CRONO!$F53,0))),CRONO!AA$12,OFFSET(CÁLCULO!$AJ$15:$BB$15,$F53,0,OFFSET(ORÇAMENTO!$D$15,CRONO!$F53,0)))
                +IF(AND($F55&lt;&gt;"",$F55&lt;&gt;0),
                        SUMIF(CÁLCULO!$BC$15:$BU$508,CRONO!AA$12,CÁLCULO!$AJ$15:$BB$508)/(ORÇAMENTO!$X$15-_xlfn.SINGLE(CÁLCULO.TotalAdmLocal))*CRONO!$F55,
                        0),
                 AA54*$S53),
          SUMIF(OFFSET($S55,1,0,$R53-2),($M53+1)&amp;"$",OFFSET(AA55,1,0,$R53-2)))</f>
        <v>0</v>
      </c>
      <c r="AB55" s="202" cm="1">
        <f t="array" aca="1" ref="AB55" ca="1">IF($R53=2,
         IF(AND(ACOMPANHAMENTO="PLE",ISNUMBER($F53)),
                SUMIF((OFFSET(CÁLCULO!$BC$15:$BU$15,$F53,0,OFFSET(ORÇAMENTO!$D$15,CRONO!$F53,0))),CRONO!AB$12,OFFSET(CÁLCULO!$AJ$15:$BB$15,$F53,0,OFFSET(ORÇAMENTO!$D$15,CRONO!$F53,0)))
                +IF(AND($F55&lt;&gt;"",$F55&lt;&gt;0),
                        SUMIF(CÁLCULO!$BC$15:$BU$508,CRONO!AB$12,CÁLCULO!$AJ$15:$BB$508)/(ORÇAMENTO!$X$15-_xlfn.SINGLE(CÁLCULO.TotalAdmLocal))*CRONO!$F55,
                        0),
                 AB54*$S53),
          SUMIF(OFFSET($S55,1,0,$R53-2),($M53+1)&amp;"$",OFFSET(AB55,1,0,$R53-2)))</f>
        <v>0</v>
      </c>
      <c r="AC55" s="202" cm="1">
        <f t="array" aca="1" ref="AC55" ca="1">IF($R53=2,
         IF(AND(ACOMPANHAMENTO="PLE",ISNUMBER($F53)),
                SUMIF((OFFSET(CÁLCULO!$BC$15:$BU$15,$F53,0,OFFSET(ORÇAMENTO!$D$15,CRONO!$F53,0))),CRONO!AC$12,OFFSET(CÁLCULO!$AJ$15:$BB$15,$F53,0,OFFSET(ORÇAMENTO!$D$15,CRONO!$F53,0)))
                +IF(AND($F55&lt;&gt;"",$F55&lt;&gt;0),
                        SUMIF(CÁLCULO!$BC$15:$BU$508,CRONO!AC$12,CÁLCULO!$AJ$15:$BB$508)/(ORÇAMENTO!$X$15-_xlfn.SINGLE(CÁLCULO.TotalAdmLocal))*CRONO!$F55,
                        0),
                 AC54*$S53),
          SUMIF(OFFSET($S55,1,0,$R53-2),($M53+1)&amp;"$",OFFSET(AC55,1,0,$R53-2)))</f>
        <v>0</v>
      </c>
      <c r="AD55" s="202" cm="1">
        <f t="array" aca="1" ref="AD55" ca="1">IF($R53=2,
         IF(AND(ACOMPANHAMENTO="PLE",ISNUMBER($F53)),
                SUMIF((OFFSET(CÁLCULO!$BC$15:$BU$15,$F53,0,OFFSET(ORÇAMENTO!$D$15,CRONO!$F53,0))),CRONO!AD$12,OFFSET(CÁLCULO!$AJ$15:$BB$15,$F53,0,OFFSET(ORÇAMENTO!$D$15,CRONO!$F53,0)))
                +IF(AND($F55&lt;&gt;"",$F55&lt;&gt;0),
                        SUMIF(CÁLCULO!$BC$15:$BU$508,CRONO!AD$12,CÁLCULO!$AJ$15:$BB$508)/(ORÇAMENTO!$X$15-_xlfn.SINGLE(CÁLCULO.TotalAdmLocal))*CRONO!$F55,
                        0),
                 AD54*$S53),
          SUMIF(OFFSET($S55,1,0,$R53-2),($M53+1)&amp;"$",OFFSET(AD55,1,0,$R53-2)))</f>
        <v>0</v>
      </c>
      <c r="AE55" s="202" cm="1">
        <f t="array" aca="1" ref="AE55" ca="1">IF($R53=2,
         IF(AND(ACOMPANHAMENTO="PLE",ISNUMBER($F53)),
                SUMIF((OFFSET(CÁLCULO!$BC$15:$BU$15,$F53,0,OFFSET(ORÇAMENTO!$D$15,CRONO!$F53,0))),CRONO!AE$12,OFFSET(CÁLCULO!$AJ$15:$BB$15,$F53,0,OFFSET(ORÇAMENTO!$D$15,CRONO!$F53,0)))
                +IF(AND($F55&lt;&gt;"",$F55&lt;&gt;0),
                        SUMIF(CÁLCULO!$BC$15:$BU$508,CRONO!AE$12,CÁLCULO!$AJ$15:$BB$508)/(ORÇAMENTO!$X$15-_xlfn.SINGLE(CÁLCULO.TotalAdmLocal))*CRONO!$F55,
                        0),
                 AE54*$S53),
          SUMIF(OFFSET($S55,1,0,$R53-2),($M53+1)&amp;"$",OFFSET(AE55,1,0,$R53-2)))</f>
        <v>0</v>
      </c>
      <c r="AF55" s="202" cm="1">
        <f t="array" aca="1" ref="AF55" ca="1">IF($R53=2,
         IF(AND(ACOMPANHAMENTO="PLE",ISNUMBER($F53)),
                SUMIF((OFFSET(CÁLCULO!$BC$15:$BU$15,$F53,0,OFFSET(ORÇAMENTO!$D$15,CRONO!$F53,0))),CRONO!AF$12,OFFSET(CÁLCULO!$AJ$15:$BB$15,$F53,0,OFFSET(ORÇAMENTO!$D$15,CRONO!$F53,0)))
                +IF(AND($F55&lt;&gt;"",$F55&lt;&gt;0),
                        SUMIF(CÁLCULO!$BC$15:$BU$508,CRONO!AF$12,CÁLCULO!$AJ$15:$BB$508)/(ORÇAMENTO!$X$15-_xlfn.SINGLE(CÁLCULO.TotalAdmLocal))*CRONO!$F55,
                        0),
                 AF54*$S53),
          SUMIF(OFFSET($S55,1,0,$R53-2),($M53+1)&amp;"$",OFFSET(AF55,1,0,$R53-2)))</f>
        <v>0</v>
      </c>
      <c r="AG55" s="534"/>
    </row>
    <row r="56" spans="1:33" ht="5.0999999999999996" customHeight="1" x14ac:dyDescent="0.2">
      <c r="E56" s="630"/>
      <c r="G56" s="185" t="s">
        <v>536</v>
      </c>
      <c r="H56" s="432"/>
      <c r="I56" s="631"/>
      <c r="J56" s="632"/>
      <c r="K56" s="632"/>
      <c r="L56" s="632"/>
      <c r="M56" s="633" t="s">
        <v>797</v>
      </c>
      <c r="N56" s="633"/>
      <c r="O56" s="633"/>
      <c r="P56" s="633"/>
      <c r="Q56" s="633"/>
      <c r="R56" s="633"/>
      <c r="S56" s="634"/>
      <c r="T56" s="634"/>
      <c r="U56" s="632"/>
      <c r="V56" s="632"/>
      <c r="W56" s="632"/>
      <c r="X56" s="632"/>
      <c r="Y56" s="632"/>
      <c r="Z56" s="632"/>
      <c r="AA56" s="632"/>
      <c r="AB56" s="632"/>
      <c r="AC56" s="632"/>
      <c r="AD56" s="632"/>
      <c r="AE56" s="632"/>
      <c r="AF56" s="632"/>
      <c r="AG56" s="534"/>
    </row>
    <row r="57" spans="1:33" ht="12.75" customHeight="1" x14ac:dyDescent="0.2">
      <c r="E57" s="528">
        <f ca="1">E61/$R$57</f>
        <v>0</v>
      </c>
      <c r="G57" s="185" t="s">
        <v>536</v>
      </c>
      <c r="I57" s="776" t="str">
        <f ca="1">"Total:    R$ "&amp;TEXT(R57,"#.##0,00")</f>
        <v>Total:    R$ 8.302.970,13</v>
      </c>
      <c r="J57" s="776"/>
      <c r="K57" s="776"/>
      <c r="L57" s="227"/>
      <c r="R57" s="228">
        <f ca="1">SUMIF(M12:M56,1,S12:S56)</f>
        <v>8302970.1299999999</v>
      </c>
      <c r="S57" s="229"/>
      <c r="T57" s="230" t="s">
        <v>798</v>
      </c>
      <c r="U57" s="528">
        <f t="shared" ref="U57:AF57" ca="1" si="86">ROUND(U61,2)/$R$57</f>
        <v>6.2579621733506105E-2</v>
      </c>
      <c r="V57" s="528">
        <f t="shared" ca="1" si="86"/>
        <v>3.5412120650372622E-2</v>
      </c>
      <c r="W57" s="528">
        <f t="shared" ca="1" si="86"/>
        <v>0.21472174680700676</v>
      </c>
      <c r="X57" s="528">
        <f t="shared" ca="1" si="86"/>
        <v>0.15837912932489376</v>
      </c>
      <c r="Y57" s="528">
        <f t="shared" ca="1" si="86"/>
        <v>9.2013169749895263E-2</v>
      </c>
      <c r="Z57" s="528">
        <f t="shared" ca="1" si="86"/>
        <v>0.28246735243885557</v>
      </c>
      <c r="AA57" s="528">
        <f t="shared" ca="1" si="86"/>
        <v>2.7409569881229959E-2</v>
      </c>
      <c r="AB57" s="528">
        <f t="shared" ca="1" si="86"/>
        <v>8.3906777826743786E-2</v>
      </c>
      <c r="AC57" s="528">
        <f t="shared" ca="1" si="86"/>
        <v>2.6514869565115493E-2</v>
      </c>
      <c r="AD57" s="528">
        <f t="shared" ca="1" si="86"/>
        <v>1.659564202238073E-2</v>
      </c>
      <c r="AE57" s="528">
        <f t="shared" ca="1" si="86"/>
        <v>0</v>
      </c>
      <c r="AF57" s="539">
        <f t="shared" ca="1" si="86"/>
        <v>0</v>
      </c>
      <c r="AG57" s="534"/>
    </row>
    <row r="58" spans="1:33" ht="15" customHeight="1" x14ac:dyDescent="0.2">
      <c r="E58" s="231">
        <f ca="1">IF(E$12=1,ROUND(E63,2),ROUND(E63,2)-ROUND(D63,2))</f>
        <v>0</v>
      </c>
      <c r="G58" s="185" t="s">
        <v>536</v>
      </c>
      <c r="I58" s="776"/>
      <c r="J58" s="776"/>
      <c r="K58" s="776"/>
      <c r="L58" s="232"/>
      <c r="R58" s="228"/>
      <c r="S58" s="233"/>
      <c r="T58" s="234" t="str">
        <f>IF(import.recurso="FGTS","Financiamento:","Repasse:")</f>
        <v>Repasse:</v>
      </c>
      <c r="U58" s="231">
        <f t="shared" ref="U58:AF58" ca="1" si="87">IF(U$12=1,ROUND(U63,2),ROUND(U63,2)-ROUND(T63,2))</f>
        <v>519596.73</v>
      </c>
      <c r="V58" s="231">
        <f t="shared" ca="1" si="87"/>
        <v>294025.78000000003</v>
      </c>
      <c r="W58" s="231">
        <f t="shared" ca="1" si="87"/>
        <v>1782828.2499999998</v>
      </c>
      <c r="X58" s="231">
        <f t="shared" ca="1" si="87"/>
        <v>1315017.1800000002</v>
      </c>
      <c r="Y58" s="231">
        <f t="shared" ca="1" si="87"/>
        <v>763982.60000000009</v>
      </c>
      <c r="Z58" s="231">
        <f t="shared" ca="1" si="87"/>
        <v>2345317.9900000002</v>
      </c>
      <c r="AA58" s="231">
        <f t="shared" ca="1" si="87"/>
        <v>227580.83999999985</v>
      </c>
      <c r="AB58" s="231">
        <f t="shared" ca="1" si="87"/>
        <v>696675.46999999974</v>
      </c>
      <c r="AC58" s="231">
        <f t="shared" ca="1" si="87"/>
        <v>220152.16999999993</v>
      </c>
      <c r="AD58" s="231">
        <f t="shared" ca="1" si="87"/>
        <v>137793.12000000011</v>
      </c>
      <c r="AE58" s="231">
        <f t="shared" ca="1" si="87"/>
        <v>0</v>
      </c>
      <c r="AF58" s="231">
        <f t="shared" ca="1" si="87"/>
        <v>0</v>
      </c>
      <c r="AG58" s="534"/>
    </row>
    <row r="59" spans="1:33" ht="12.75" customHeight="1" x14ac:dyDescent="0.2">
      <c r="E59" s="529">
        <f ca="1">IF(E$12=1,ROUND(E64,2),ROUND(E64,2)-ROUND(D64,2))</f>
        <v>0</v>
      </c>
      <c r="G59" s="185" t="s">
        <v>536</v>
      </c>
      <c r="I59" s="235"/>
      <c r="L59" s="236" t="s">
        <v>799</v>
      </c>
      <c r="R59" s="228"/>
      <c r="S59" s="237"/>
      <c r="T59" s="238" t="s">
        <v>800</v>
      </c>
      <c r="U59" s="529">
        <f t="shared" ref="U59:AF59" ca="1" si="88">IF(U$12=1,ROUND(U64,2),ROUND(U64,2)-ROUND(T64,2))</f>
        <v>0</v>
      </c>
      <c r="V59" s="529">
        <f t="shared" ca="1" si="88"/>
        <v>0</v>
      </c>
      <c r="W59" s="529">
        <f t="shared" ca="1" si="88"/>
        <v>0</v>
      </c>
      <c r="X59" s="529">
        <f t="shared" ca="1" si="88"/>
        <v>0</v>
      </c>
      <c r="Y59" s="529">
        <f t="shared" ca="1" si="88"/>
        <v>0</v>
      </c>
      <c r="Z59" s="529">
        <f t="shared" ca="1" si="88"/>
        <v>0</v>
      </c>
      <c r="AA59" s="529">
        <f t="shared" ca="1" si="88"/>
        <v>0</v>
      </c>
      <c r="AB59" s="529">
        <f t="shared" ca="1" si="88"/>
        <v>0</v>
      </c>
      <c r="AC59" s="529">
        <f t="shared" ca="1" si="88"/>
        <v>0</v>
      </c>
      <c r="AD59" s="529">
        <f t="shared" ca="1" si="88"/>
        <v>0</v>
      </c>
      <c r="AE59" s="529">
        <f t="shared" ca="1" si="88"/>
        <v>0</v>
      </c>
      <c r="AF59" s="529">
        <f t="shared" ca="1" si="88"/>
        <v>0</v>
      </c>
      <c r="AG59" s="534"/>
    </row>
    <row r="60" spans="1:33" x14ac:dyDescent="0.2">
      <c r="E60" s="239">
        <f ca="1">IF(E$12=1,ROUND(E65,2),ROUND(E65,2)-ROUND(D65,2))</f>
        <v>0</v>
      </c>
      <c r="G60" s="185" t="s">
        <v>536</v>
      </c>
      <c r="I60" s="235"/>
      <c r="L60" s="236"/>
      <c r="R60" s="228"/>
      <c r="S60" s="240"/>
      <c r="T60" s="241" t="s">
        <v>801</v>
      </c>
      <c r="U60" s="239">
        <f t="shared" ref="U60:AF60" ca="1" si="89">IF(U$12=1,ROUND(U65,2),ROUND(U65,2)-ROUND(T65,2))</f>
        <v>0</v>
      </c>
      <c r="V60" s="239">
        <f t="shared" ca="1" si="89"/>
        <v>0</v>
      </c>
      <c r="W60" s="239">
        <f t="shared" ca="1" si="89"/>
        <v>0</v>
      </c>
      <c r="X60" s="239">
        <f t="shared" ca="1" si="89"/>
        <v>0</v>
      </c>
      <c r="Y60" s="239">
        <f t="shared" ca="1" si="89"/>
        <v>0</v>
      </c>
      <c r="Z60" s="239">
        <f t="shared" ca="1" si="89"/>
        <v>0</v>
      </c>
      <c r="AA60" s="239">
        <f t="shared" ca="1" si="89"/>
        <v>0</v>
      </c>
      <c r="AB60" s="239">
        <f t="shared" ca="1" si="89"/>
        <v>0</v>
      </c>
      <c r="AC60" s="239">
        <f t="shared" ca="1" si="89"/>
        <v>0</v>
      </c>
      <c r="AD60" s="239">
        <f t="shared" ca="1" si="89"/>
        <v>0</v>
      </c>
      <c r="AE60" s="239">
        <f t="shared" ca="1" si="89"/>
        <v>0</v>
      </c>
      <c r="AF60" s="239">
        <f t="shared" ca="1" si="89"/>
        <v>0</v>
      </c>
      <c r="AG60" s="534"/>
    </row>
    <row r="61" spans="1:33" x14ac:dyDescent="0.2">
      <c r="E61" s="530">
        <f ca="1">IF(E$12=1,ROUND(E66,2),ROUND(E66,2)-ROUND(D66,2))</f>
        <v>0</v>
      </c>
      <c r="G61" s="185" t="s">
        <v>536</v>
      </c>
      <c r="H61" s="536"/>
      <c r="L61" s="242"/>
      <c r="S61" s="243"/>
      <c r="T61" s="244" t="s">
        <v>802</v>
      </c>
      <c r="U61" s="530">
        <f t="shared" ref="U61:AF61" ca="1" si="90">IF(U$12=1,ROUND(U66,2),ROUND(U66,2)-ROUND(T66,2))</f>
        <v>519596.73</v>
      </c>
      <c r="V61" s="530">
        <f t="shared" ca="1" si="90"/>
        <v>294025.78000000003</v>
      </c>
      <c r="W61" s="530">
        <f t="shared" ca="1" si="90"/>
        <v>1782828.2499999998</v>
      </c>
      <c r="X61" s="530">
        <f t="shared" ca="1" si="90"/>
        <v>1315017.1800000002</v>
      </c>
      <c r="Y61" s="530">
        <f t="shared" ca="1" si="90"/>
        <v>763982.60000000009</v>
      </c>
      <c r="Z61" s="530">
        <f t="shared" ca="1" si="90"/>
        <v>2345317.9900000002</v>
      </c>
      <c r="AA61" s="530">
        <f t="shared" ca="1" si="90"/>
        <v>227580.83999999985</v>
      </c>
      <c r="AB61" s="530">
        <f t="shared" ca="1" si="90"/>
        <v>696675.46999999974</v>
      </c>
      <c r="AC61" s="530">
        <f t="shared" ca="1" si="90"/>
        <v>220152.16999999993</v>
      </c>
      <c r="AD61" s="530">
        <f t="shared" ca="1" si="90"/>
        <v>137793.12000000011</v>
      </c>
      <c r="AE61" s="530">
        <f t="shared" ca="1" si="90"/>
        <v>0</v>
      </c>
      <c r="AF61" s="530">
        <f t="shared" ca="1" si="90"/>
        <v>0</v>
      </c>
      <c r="AG61" s="534"/>
    </row>
    <row r="62" spans="1:33" x14ac:dyDescent="0.2">
      <c r="E62" s="528">
        <f ca="1">ROUND(ROUND(E66,2)/$R$57,4)</f>
        <v>0</v>
      </c>
      <c r="G62" s="185" t="s">
        <v>536</v>
      </c>
      <c r="L62" s="227"/>
      <c r="S62" s="229"/>
      <c r="T62" s="230" t="s">
        <v>798</v>
      </c>
      <c r="U62" s="528">
        <f t="shared" ref="U62:AF62" ca="1" si="91">ROUND(ROUND(U66,2)/$R$57,4)</f>
        <v>6.2600000000000003E-2</v>
      </c>
      <c r="V62" s="528">
        <f t="shared" ca="1" si="91"/>
        <v>9.8000000000000004E-2</v>
      </c>
      <c r="W62" s="528">
        <f t="shared" ca="1" si="91"/>
        <v>0.31269999999999998</v>
      </c>
      <c r="X62" s="528">
        <f t="shared" ca="1" si="91"/>
        <v>0.47110000000000002</v>
      </c>
      <c r="Y62" s="528">
        <f t="shared" ca="1" si="91"/>
        <v>0.56310000000000004</v>
      </c>
      <c r="Z62" s="528">
        <f t="shared" ca="1" si="91"/>
        <v>0.84560000000000002</v>
      </c>
      <c r="AA62" s="528">
        <f t="shared" ca="1" si="91"/>
        <v>0.873</v>
      </c>
      <c r="AB62" s="528">
        <f t="shared" ca="1" si="91"/>
        <v>0.95689999999999997</v>
      </c>
      <c r="AC62" s="528">
        <f t="shared" ca="1" si="91"/>
        <v>0.98340000000000005</v>
      </c>
      <c r="AD62" s="528">
        <f t="shared" ca="1" si="91"/>
        <v>1</v>
      </c>
      <c r="AE62" s="528">
        <f t="shared" ca="1" si="91"/>
        <v>1</v>
      </c>
      <c r="AF62" s="528">
        <f t="shared" ca="1" si="91"/>
        <v>1</v>
      </c>
      <c r="AG62" s="534"/>
    </row>
    <row r="63" spans="1:33" x14ac:dyDescent="0.2">
      <c r="E63" s="231">
        <f ca="1">ROUND(E66-E65-E64,2)</f>
        <v>0</v>
      </c>
      <c r="G63" s="185" t="s">
        <v>536</v>
      </c>
      <c r="L63" s="232"/>
      <c r="S63" s="233"/>
      <c r="T63" s="234" t="str">
        <f>IF(import.recurso="FGTS","Financiamento:","Repasse:")</f>
        <v>Repasse:</v>
      </c>
      <c r="U63" s="231">
        <f t="shared" ref="U63:AF63" ca="1" si="92">ROUND(U66-U65-U64,2)</f>
        <v>519596.73</v>
      </c>
      <c r="V63" s="231">
        <f t="shared" ca="1" si="92"/>
        <v>813622.51</v>
      </c>
      <c r="W63" s="231">
        <f t="shared" ca="1" si="92"/>
        <v>2596450.7599999998</v>
      </c>
      <c r="X63" s="231">
        <f t="shared" ca="1" si="92"/>
        <v>3911467.94</v>
      </c>
      <c r="Y63" s="231">
        <f t="shared" ca="1" si="92"/>
        <v>4675450.54</v>
      </c>
      <c r="Z63" s="231">
        <f t="shared" ca="1" si="92"/>
        <v>7020768.5300000003</v>
      </c>
      <c r="AA63" s="231">
        <f t="shared" ca="1" si="92"/>
        <v>7248349.3700000001</v>
      </c>
      <c r="AB63" s="231">
        <f t="shared" ca="1" si="92"/>
        <v>7945024.8399999999</v>
      </c>
      <c r="AC63" s="231">
        <f t="shared" ca="1" si="92"/>
        <v>8165177.0099999998</v>
      </c>
      <c r="AD63" s="231">
        <f t="shared" ca="1" si="92"/>
        <v>8302970.1299999999</v>
      </c>
      <c r="AE63" s="231">
        <f t="shared" ca="1" si="92"/>
        <v>8302970.1299999999</v>
      </c>
      <c r="AF63" s="231">
        <f t="shared" ca="1" si="92"/>
        <v>8302970.1299999999</v>
      </c>
      <c r="AG63" s="534"/>
    </row>
    <row r="64" spans="1:33" x14ac:dyDescent="0.2">
      <c r="E64" s="529" cm="1">
        <f t="array" aca="1" ref="E64" ca="1">IF(E$12=1,0,OFFSET(E64,0,-1))+SUM((OFFSET($C$13,1,0):OFFSET($C$56,-3,0))*IF(ISNUMBER(OFFSET(E$11,5,0):OFFSET(E$56,-1,0)),OFFSET(E$11,5,0):OFFSET(E$56,-1,0),0))</f>
        <v>0</v>
      </c>
      <c r="G64" s="185" t="s">
        <v>536</v>
      </c>
      <c r="L64" s="236" t="s">
        <v>803</v>
      </c>
      <c r="S64" s="237"/>
      <c r="T64" s="238" t="s">
        <v>800</v>
      </c>
      <c r="U64" s="529" cm="1">
        <f t="array" aca="1" ref="U64" ca="1">IF(U$12=1,0,OFFSET(U64,0,-1))+SUM((OFFSET($C$13,1,0):OFFSET($C$56,-3,0))*IF(ISNUMBER(OFFSET(U$11,5,0):OFFSET(U$56,-1,0)),OFFSET(U$11,5,0):OFFSET(U$56,-1,0),0))</f>
        <v>0</v>
      </c>
      <c r="V64" s="529" cm="1">
        <f t="array" aca="1" ref="V64" ca="1">IF(V$12=1,0,OFFSET(V64,0,-1))+SUM((OFFSET($C$13,1,0):OFFSET($C$56,-3,0))*IF(ISNUMBER(OFFSET(V$11,5,0):OFFSET(V$56,-1,0)),OFFSET(V$11,5,0):OFFSET(V$56,-1,0),0))</f>
        <v>0</v>
      </c>
      <c r="W64" s="529" cm="1">
        <f t="array" aca="1" ref="W64" ca="1">IF(W$12=1,0,OFFSET(W64,0,-1))+SUM((OFFSET($C$13,1,0):OFFSET($C$56,-3,0))*IF(ISNUMBER(OFFSET(W$11,5,0):OFFSET(W$56,-1,0)),OFFSET(W$11,5,0):OFFSET(W$56,-1,0),0))</f>
        <v>0</v>
      </c>
      <c r="X64" s="529" cm="1">
        <f t="array" aca="1" ref="X64" ca="1">IF(X$12=1,0,OFFSET(X64,0,-1))+SUM((OFFSET($C$13,1,0):OFFSET($C$56,-3,0))*IF(ISNUMBER(OFFSET(X$11,5,0):OFFSET(X$56,-1,0)),OFFSET(X$11,5,0):OFFSET(X$56,-1,0),0))</f>
        <v>0</v>
      </c>
      <c r="Y64" s="529" cm="1">
        <f t="array" aca="1" ref="Y64" ca="1">IF(Y$12=1,0,OFFSET(Y64,0,-1))+SUM((OFFSET($C$13,1,0):OFFSET($C$56,-3,0))*IF(ISNUMBER(OFFSET(Y$11,5,0):OFFSET(Y$56,-1,0)),OFFSET(Y$11,5,0):OFFSET(Y$56,-1,0),0))</f>
        <v>0</v>
      </c>
      <c r="Z64" s="529" cm="1">
        <f t="array" aca="1" ref="Z64" ca="1">IF(Z$12=1,0,OFFSET(Z64,0,-1))+SUM((OFFSET($C$13,1,0):OFFSET($C$56,-3,0))*IF(ISNUMBER(OFFSET(Z$11,5,0):OFFSET(Z$56,-1,0)),OFFSET(Z$11,5,0):OFFSET(Z$56,-1,0),0))</f>
        <v>0</v>
      </c>
      <c r="AA64" s="529" cm="1">
        <f t="array" aca="1" ref="AA64" ca="1">IF(AA$12=1,0,OFFSET(AA64,0,-1))+SUM((OFFSET($C$13,1,0):OFFSET($C$56,-3,0))*IF(ISNUMBER(OFFSET(AA$11,5,0):OFFSET(AA$56,-1,0)),OFFSET(AA$11,5,0):OFFSET(AA$56,-1,0),0))</f>
        <v>0</v>
      </c>
      <c r="AB64" s="529" cm="1">
        <f t="array" aca="1" ref="AB64" ca="1">IF(AB$12=1,0,OFFSET(AB64,0,-1))+SUM((OFFSET($C$13,1,0):OFFSET($C$56,-3,0))*IF(ISNUMBER(OFFSET(AB$11,5,0):OFFSET(AB$56,-1,0)),OFFSET(AB$11,5,0):OFFSET(AB$56,-1,0),0))</f>
        <v>0</v>
      </c>
      <c r="AC64" s="529" cm="1">
        <f t="array" aca="1" ref="AC64" ca="1">IF(AC$12=1,0,OFFSET(AC64,0,-1))+SUM((OFFSET($C$13,1,0):OFFSET($C$56,-3,0))*IF(ISNUMBER(OFFSET(AC$11,5,0):OFFSET(AC$56,-1,0)),OFFSET(AC$11,5,0):OFFSET(AC$56,-1,0),0))</f>
        <v>0</v>
      </c>
      <c r="AD64" s="529" cm="1">
        <f t="array" aca="1" ref="AD64" ca="1">IF(AD$12=1,0,OFFSET(AD64,0,-1))+SUM((OFFSET($C$13,1,0):OFFSET($C$56,-3,0))*IF(ISNUMBER(OFFSET(AD$11,5,0):OFFSET(AD$56,-1,0)),OFFSET(AD$11,5,0):OFFSET(AD$56,-1,0),0))</f>
        <v>0</v>
      </c>
      <c r="AE64" s="529" cm="1">
        <f t="array" aca="1" ref="AE64" ca="1">IF(AE$12=1,0,OFFSET(AE64,0,-1))+SUM((OFFSET($C$13,1,0):OFFSET($C$56,-3,0))*IF(ISNUMBER(OFFSET(AE$11,5,0):OFFSET(AE$56,-1,0)),OFFSET(AE$11,5,0):OFFSET(AE$56,-1,0),0))</f>
        <v>0</v>
      </c>
      <c r="AF64" s="529" cm="1">
        <f t="array" aca="1" ref="AF64" ca="1">IF(AF$12=1,0,OFFSET(AF64,0,-1))+SUM((OFFSET($C$13,1,0):OFFSET($C$56,-3,0))*IF(ISNUMBER(OFFSET(AF$11,5,0):OFFSET(AF$56,-1,0)),OFFSET(AF$11,5,0):OFFSET(AF$56,-1,0),0))</f>
        <v>0</v>
      </c>
      <c r="AG64" s="534"/>
    </row>
    <row r="65" spans="4:33" x14ac:dyDescent="0.2">
      <c r="E65" s="239" cm="1">
        <f t="array" aca="1" ref="E65" ca="1">IF(E$12=1,0,OFFSET(E65,0,-1))+SUM((OFFSET($D$13,1,0):OFFSET($D$56,-3,0))*IF(ISNUMBER(OFFSET(E$11,5,0):OFFSET(E$56,-1,0)),OFFSET(E$11,5,0):OFFSET(E$56,-1,0),0))</f>
        <v>0</v>
      </c>
      <c r="G65" s="185" t="s">
        <v>536</v>
      </c>
      <c r="L65" s="236"/>
      <c r="S65" s="240"/>
      <c r="T65" s="241" t="s">
        <v>801</v>
      </c>
      <c r="U65" s="239" cm="1">
        <f t="array" aca="1" ref="U65" ca="1">IF(U$12=1,0,OFFSET(U65,0,-1))+SUM((OFFSET($D$13,1,0):OFFSET($D$56,-3,0))*IF(ISNUMBER(OFFSET(U$11,5,0):OFFSET(U$56,-1,0)),OFFSET(U$11,5,0):OFFSET(U$56,-1,0),0))</f>
        <v>0</v>
      </c>
      <c r="V65" s="239" cm="1">
        <f t="array" aca="1" ref="V65" ca="1">IF(V$12=1,0,OFFSET(V65,0,-1))+SUM((OFFSET($D$13,1,0):OFFSET($D$56,-3,0))*IF(ISNUMBER(OFFSET(V$11,5,0):OFFSET(V$56,-1,0)),OFFSET(V$11,5,0):OFFSET(V$56,-1,0),0))</f>
        <v>0</v>
      </c>
      <c r="W65" s="239" cm="1">
        <f t="array" aca="1" ref="W65" ca="1">IF(W$12=1,0,OFFSET(W65,0,-1))+SUM((OFFSET($D$13,1,0):OFFSET($D$56,-3,0))*IF(ISNUMBER(OFFSET(W$11,5,0):OFFSET(W$56,-1,0)),OFFSET(W$11,5,0):OFFSET(W$56,-1,0),0))</f>
        <v>0</v>
      </c>
      <c r="X65" s="239" cm="1">
        <f t="array" aca="1" ref="X65" ca="1">IF(X$12=1,0,OFFSET(X65,0,-1))+SUM((OFFSET($D$13,1,0):OFFSET($D$56,-3,0))*IF(ISNUMBER(OFFSET(X$11,5,0):OFFSET(X$56,-1,0)),OFFSET(X$11,5,0):OFFSET(X$56,-1,0),0))</f>
        <v>0</v>
      </c>
      <c r="Y65" s="239" cm="1">
        <f t="array" aca="1" ref="Y65" ca="1">IF(Y$12=1,0,OFFSET(Y65,0,-1))+SUM((OFFSET($D$13,1,0):OFFSET($D$56,-3,0))*IF(ISNUMBER(OFFSET(Y$11,5,0):OFFSET(Y$56,-1,0)),OFFSET(Y$11,5,0):OFFSET(Y$56,-1,0),0))</f>
        <v>0</v>
      </c>
      <c r="Z65" s="239" cm="1">
        <f t="array" aca="1" ref="Z65" ca="1">IF(Z$12=1,0,OFFSET(Z65,0,-1))+SUM((OFFSET($D$13,1,0):OFFSET($D$56,-3,0))*IF(ISNUMBER(OFFSET(Z$11,5,0):OFFSET(Z$56,-1,0)),OFFSET(Z$11,5,0):OFFSET(Z$56,-1,0),0))</f>
        <v>0</v>
      </c>
      <c r="AA65" s="239" cm="1">
        <f t="array" aca="1" ref="AA65" ca="1">IF(AA$12=1,0,OFFSET(AA65,0,-1))+SUM((OFFSET($D$13,1,0):OFFSET($D$56,-3,0))*IF(ISNUMBER(OFFSET(AA$11,5,0):OFFSET(AA$56,-1,0)),OFFSET(AA$11,5,0):OFFSET(AA$56,-1,0),0))</f>
        <v>0</v>
      </c>
      <c r="AB65" s="239" cm="1">
        <f t="array" aca="1" ref="AB65" ca="1">IF(AB$12=1,0,OFFSET(AB65,0,-1))+SUM((OFFSET($D$13,1,0):OFFSET($D$56,-3,0))*IF(ISNUMBER(OFFSET(AB$11,5,0):OFFSET(AB$56,-1,0)),OFFSET(AB$11,5,0):OFFSET(AB$56,-1,0),0))</f>
        <v>0</v>
      </c>
      <c r="AC65" s="239" cm="1">
        <f t="array" aca="1" ref="AC65" ca="1">IF(AC$12=1,0,OFFSET(AC65,0,-1))+SUM((OFFSET($D$13,1,0):OFFSET($D$56,-3,0))*IF(ISNUMBER(OFFSET(AC$11,5,0):OFFSET(AC$56,-1,0)),OFFSET(AC$11,5,0):OFFSET(AC$56,-1,0),0))</f>
        <v>0</v>
      </c>
      <c r="AD65" s="239" cm="1">
        <f t="array" aca="1" ref="AD65" ca="1">IF(AD$12=1,0,OFFSET(AD65,0,-1))+SUM((OFFSET($D$13,1,0):OFFSET($D$56,-3,0))*IF(ISNUMBER(OFFSET(AD$11,5,0):OFFSET(AD$56,-1,0)),OFFSET(AD$11,5,0):OFFSET(AD$56,-1,0),0))</f>
        <v>0</v>
      </c>
      <c r="AE65" s="239" cm="1">
        <f t="array" aca="1" ref="AE65" ca="1">IF(AE$12=1,0,OFFSET(AE65,0,-1))+SUM((OFFSET($D$13,1,0):OFFSET($D$56,-3,0))*IF(ISNUMBER(OFFSET(AE$11,5,0):OFFSET(AE$56,-1,0)),OFFSET(AE$11,5,0):OFFSET(AE$56,-1,0),0))</f>
        <v>0</v>
      </c>
      <c r="AF65" s="239" cm="1">
        <f t="array" aca="1" ref="AF65" ca="1">IF(AF$12=1,0,OFFSET(AF65,0,-1))+SUM((OFFSET($D$13,1,0):OFFSET($D$56,-3,0))*IF(ISNUMBER(OFFSET(AF$11,5,0):OFFSET(AF$56,-1,0)),OFFSET(AF$11,5,0):OFFSET(AF$56,-1,0),0))</f>
        <v>0</v>
      </c>
      <c r="AG65" s="534"/>
    </row>
    <row r="66" spans="4:33" ht="13.5" thickBot="1" x14ac:dyDescent="0.25">
      <c r="D66" s="533"/>
      <c r="E66" s="531">
        <f ca="1">SUMIF($S$12:$S$56,"1$",E12:E56)+IF(E$12&gt;1,OFFSET(E66,0,-1),0)</f>
        <v>0</v>
      </c>
      <c r="G66" s="185" t="s">
        <v>536</v>
      </c>
      <c r="H66" s="522" t="str" cm="1">
        <f t="array" ref="H66">IF(ACOMPANHAMENTO="BM","Selecione o Macrosserviço da Administração Local:","")</f>
        <v>Selecione o Macrosserviço da Administração Local:</v>
      </c>
      <c r="I66"/>
      <c r="L66" s="236"/>
      <c r="S66" s="237"/>
      <c r="T66" s="526" t="s">
        <v>802</v>
      </c>
      <c r="U66" s="531">
        <f t="shared" ref="U66:AF66" ca="1" si="93">SUMIF($S$12:$S$56,"1$",U12:U56)+IF(U$12&gt;1,OFFSET(U66,0,-1),0)</f>
        <v>519596.72623099998</v>
      </c>
      <c r="V66" s="531">
        <f t="shared" ca="1" si="93"/>
        <v>813622.512308</v>
      </c>
      <c r="W66" s="531">
        <f t="shared" ca="1" si="93"/>
        <v>2596450.7570780003</v>
      </c>
      <c r="X66" s="531">
        <f t="shared" ca="1" si="93"/>
        <v>3911467.9405430006</v>
      </c>
      <c r="Y66" s="531">
        <f t="shared" ca="1" si="93"/>
        <v>4675450.5370130008</v>
      </c>
      <c r="Z66" s="531">
        <f t="shared" ca="1" si="93"/>
        <v>7020768.5296100006</v>
      </c>
      <c r="AA66" s="531">
        <f t="shared" ca="1" si="93"/>
        <v>7248349.373017001</v>
      </c>
      <c r="AB66" s="531">
        <f t="shared" ca="1" si="93"/>
        <v>7945024.8390550008</v>
      </c>
      <c r="AC66" s="531">
        <f t="shared" ca="1" si="93"/>
        <v>8165177.011593001</v>
      </c>
      <c r="AD66" s="531">
        <f t="shared" ca="1" si="93"/>
        <v>8302970.1300000008</v>
      </c>
      <c r="AE66" s="531">
        <f t="shared" ca="1" si="93"/>
        <v>8302970.1300000008</v>
      </c>
      <c r="AF66" s="540">
        <f t="shared" ca="1" si="93"/>
        <v>8302970.1300000008</v>
      </c>
      <c r="AG66" s="534"/>
    </row>
    <row r="67" spans="4:33" ht="13.5" thickBot="1" x14ac:dyDescent="0.25">
      <c r="D67" s="533"/>
      <c r="E67" s="532">
        <f ca="1">IF($F$67="","",
  IF(ACOMPANHAMENTO="PLE",
     IF(AUTOEVENTO="Manual",
         IF(AdmLocal="Automática",
              E62,
              SUMIF(OFFSET(CRONOPLE!$F$14,CRONOPLE!$A$8+1,1,1,OFFSET(CRONOPLE!$AF$12,0,-1)),"&lt;="&amp;E$12,OFFSET(EVENTOS!$G$14,CRONOPLE!$A$8+1,1,1,OFFSET(CRONOPLE!$AF$12,0,-1)))/OFFSET(EVENTOS!$G$14,CRONOPLE!$A$8+1,-1)),
         SUMIFS(OFFSET(CÁLCULO!$AI$15,$F$67,1,OFFSET(ORÇAMENTO!$D$15,$F$67,0),CÁLCULO.FrentesPreenchidas),OFFSET(CÁLCULO!$BB$15,$F$67,1,OFFSET(ORÇAMENTO!$D$15,$F$67,0),CÁLCULO.FrentesPreenchidas),"&lt;="&amp;E$12)/OFFSET(ORÇAMENTO!$X$15,$F$67,0)),
     IF(ACOMPANHAMENTO="BM",SUM(OFFSET($T$13,$F$67+2,1,1,E$12))/OFFSET($S$13,$F$67,0),"")))</f>
        <v>0.06</v>
      </c>
      <c r="F67" s="185">
        <f ca="1">IF(ACOMPANHAMENTO="PLE",
    IF(AUTOEVENTO="Manual",
        IF(AdmLocal="Automática",1,IF(CRONOPLE!$D$8&lt;&gt;"","",MATCH(Import.EventoAdmLocal,EVENTOS!$B$15:$B$26,0))),
        IF(CRONOPLE!$D$8&lt;&gt;"","",CRONOPLE!$A$10)),
    IF($H$68&lt;&gt;"","",MATCH(Import.MacrosserviçoAdmLocal,$A$13:$A$56,0)-1))</f>
        <v>7</v>
      </c>
      <c r="G67" s="185" t="s">
        <v>536</v>
      </c>
      <c r="H67" s="729" t="s">
        <v>1440</v>
      </c>
      <c r="I67" s="771"/>
      <c r="J67" s="730"/>
      <c r="L67" s="242"/>
      <c r="S67" s="525"/>
      <c r="T67" s="527" t="s">
        <v>804</v>
      </c>
      <c r="U67" s="532">
        <f ca="1">IF($F$67="","",
  IF(ACOMPANHAMENTO="PLE",
     IF(AUTOEVENTO="Manual",
         IF(AdmLocal="Automática",
              U62,
              SUMIF(OFFSET(CRONOPLE!$F$14,CRONOPLE!$A$8+1,1,1,OFFSET(CRONOPLE!$AF$12,0,-1)),"&lt;="&amp;U$12,OFFSET(EVENTOS!$G$14,CRONOPLE!$A$8+1,1,1,OFFSET(CRONOPLE!$AF$12,0,-1)))/OFFSET(EVENTOS!$G$14,CRONOPLE!$A$8+1,-1)),
         SUMIFS(OFFSET(CÁLCULO!$AI$15,$F$67,1,OFFSET(ORÇAMENTO!$D$15,$F$67,0),CÁLCULO.FrentesPreenchidas),OFFSET(CÁLCULO!$BB$15,$F$67,1,OFFSET(ORÇAMENTO!$D$15,$F$67,0),CÁLCULO.FrentesPreenchidas),"&lt;="&amp;U$12)/OFFSET(ORÇAMENTO!$X$15,$F$67,0)),
     IF(ACOMPANHAMENTO="BM",SUM(OFFSET($T$13,$F$67+2,1,1,U$12))/OFFSET($S$13,$F$67,0),"")))</f>
        <v>0.06</v>
      </c>
      <c r="V67" s="532">
        <f ca="1">IF($F$67="","",
  IF(ACOMPANHAMENTO="PLE",
     IF(AUTOEVENTO="Manual",
         IF(AdmLocal="Automática",
              V62,
              SUMIF(OFFSET(CRONOPLE!$F$14,CRONOPLE!$A$8+1,1,1,OFFSET(CRONOPLE!$AF$12,0,-1)),"&lt;="&amp;V$12,OFFSET(EVENTOS!$G$14,CRONOPLE!$A$8+1,1,1,OFFSET(CRONOPLE!$AF$12,0,-1)))/OFFSET(EVENTOS!$G$14,CRONOPLE!$A$8+1,-1)),
         SUMIFS(OFFSET(CÁLCULO!$AI$15,$F$67,1,OFFSET(ORÇAMENTO!$D$15,$F$67,0),CÁLCULO.FrentesPreenchidas),OFFSET(CÁLCULO!$BB$15,$F$67,1,OFFSET(ORÇAMENTO!$D$15,$F$67,0),CÁLCULO.FrentesPreenchidas),"&lt;="&amp;V$12)/OFFSET(ORÇAMENTO!$X$15,$F$67,0)),
     IF(ACOMPANHAMENTO="BM",SUM(OFFSET($T$13,$F$67+2,1,1,V$12))/OFFSET($S$13,$F$67,0),"")))</f>
        <v>0.09</v>
      </c>
      <c r="W67" s="532">
        <f ca="1">IF($F$67="","",
  IF(ACOMPANHAMENTO="PLE",
     IF(AUTOEVENTO="Manual",
         IF(AdmLocal="Automática",
              W62,
              SUMIF(OFFSET(CRONOPLE!$F$14,CRONOPLE!$A$8+1,1,1,OFFSET(CRONOPLE!$AF$12,0,-1)),"&lt;="&amp;W$12,OFFSET(EVENTOS!$G$14,CRONOPLE!$A$8+1,1,1,OFFSET(CRONOPLE!$AF$12,0,-1)))/OFFSET(EVENTOS!$G$14,CRONOPLE!$A$8+1,-1)),
         SUMIFS(OFFSET(CÁLCULO!$AI$15,$F$67,1,OFFSET(ORÇAMENTO!$D$15,$F$67,0),CÁLCULO.FrentesPreenchidas),OFFSET(CÁLCULO!$BB$15,$F$67,1,OFFSET(ORÇAMENTO!$D$15,$F$67,0),CÁLCULO.FrentesPreenchidas),"&lt;="&amp;W$12)/OFFSET(ORÇAMENTO!$X$15,$F$67,0)),
     IF(ACOMPANHAMENTO="BM",SUM(OFFSET($T$13,$F$67+2,1,1,W$12))/OFFSET($S$13,$F$67,0),"")))</f>
        <v>0.3</v>
      </c>
      <c r="X67" s="532">
        <f ca="1">IF($F$67="","",
  IF(ACOMPANHAMENTO="PLE",
     IF(AUTOEVENTO="Manual",
         IF(AdmLocal="Automática",
              X62,
              SUMIF(OFFSET(CRONOPLE!$F$14,CRONOPLE!$A$8+1,1,1,OFFSET(CRONOPLE!$AF$12,0,-1)),"&lt;="&amp;X$12,OFFSET(EVENTOS!$G$14,CRONOPLE!$A$8+1,1,1,OFFSET(CRONOPLE!$AF$12,0,-1)))/OFFSET(EVENTOS!$G$14,CRONOPLE!$A$8+1,-1)),
         SUMIFS(OFFSET(CÁLCULO!$AI$15,$F$67,1,OFFSET(ORÇAMENTO!$D$15,$F$67,0),CÁLCULO.FrentesPreenchidas),OFFSET(CÁLCULO!$BB$15,$F$67,1,OFFSET(ORÇAMENTO!$D$15,$F$67,0),CÁLCULO.FrentesPreenchidas),"&lt;="&amp;X$12)/OFFSET(ORÇAMENTO!$X$15,$F$67,0)),
     IF(ACOMPANHAMENTO="BM",SUM(OFFSET($T$13,$F$67+2,1,1,X$12))/OFFSET($S$13,$F$67,0),"")))</f>
        <v>0.45</v>
      </c>
      <c r="Y67" s="532">
        <f ca="1">IF($F$67="","",
  IF(ACOMPANHAMENTO="PLE",
     IF(AUTOEVENTO="Manual",
         IF(AdmLocal="Automática",
              Y62,
              SUMIF(OFFSET(CRONOPLE!$F$14,CRONOPLE!$A$8+1,1,1,OFFSET(CRONOPLE!$AF$12,0,-1)),"&lt;="&amp;Y$12,OFFSET(EVENTOS!$G$14,CRONOPLE!$A$8+1,1,1,OFFSET(CRONOPLE!$AF$12,0,-1)))/OFFSET(EVENTOS!$G$14,CRONOPLE!$A$8+1,-1)),
         SUMIFS(OFFSET(CÁLCULO!$AI$15,$F$67,1,OFFSET(ORÇAMENTO!$D$15,$F$67,0),CÁLCULO.FrentesPreenchidas),OFFSET(CÁLCULO!$BB$15,$F$67,1,OFFSET(ORÇAMENTO!$D$15,$F$67,0),CÁLCULO.FrentesPreenchidas),"&lt;="&amp;Y$12)/OFFSET(ORÇAMENTO!$X$15,$F$67,0)),
     IF(ACOMPANHAMENTO="BM",SUM(OFFSET($T$13,$F$67+2,1,1,Y$12))/OFFSET($S$13,$F$67,0),"")))</f>
        <v>0.54</v>
      </c>
      <c r="Z67" s="532">
        <f ca="1">IF($F$67="","",
  IF(ACOMPANHAMENTO="PLE",
     IF(AUTOEVENTO="Manual",
         IF(AdmLocal="Automática",
              Z62,
              SUMIF(OFFSET(CRONOPLE!$F$14,CRONOPLE!$A$8+1,1,1,OFFSET(CRONOPLE!$AF$12,0,-1)),"&lt;="&amp;Z$12,OFFSET(EVENTOS!$G$14,CRONOPLE!$A$8+1,1,1,OFFSET(CRONOPLE!$AF$12,0,-1)))/OFFSET(EVENTOS!$G$14,CRONOPLE!$A$8+1,-1)),
         SUMIFS(OFFSET(CÁLCULO!$AI$15,$F$67,1,OFFSET(ORÇAMENTO!$D$15,$F$67,0),CÁLCULO.FrentesPreenchidas),OFFSET(CÁLCULO!$BB$15,$F$67,1,OFFSET(ORÇAMENTO!$D$15,$F$67,0),CÁLCULO.FrentesPreenchidas),"&lt;="&amp;Z$12)/OFFSET(ORÇAMENTO!$X$15,$F$67,0)),
     IF(ACOMPANHAMENTO="BM",SUM(OFFSET($T$13,$F$67+2,1,1,Z$12))/OFFSET($S$13,$F$67,0),"")))</f>
        <v>0.80999999999999994</v>
      </c>
      <c r="AA67" s="532">
        <f ca="1">IF($F$67="","",
  IF(ACOMPANHAMENTO="PLE",
     IF(AUTOEVENTO="Manual",
         IF(AdmLocal="Automática",
              AA62,
              SUMIF(OFFSET(CRONOPLE!$F$14,CRONOPLE!$A$8+1,1,1,OFFSET(CRONOPLE!$AF$12,0,-1)),"&lt;="&amp;AA$12,OFFSET(EVENTOS!$G$14,CRONOPLE!$A$8+1,1,1,OFFSET(CRONOPLE!$AF$12,0,-1)))/OFFSET(EVENTOS!$G$14,CRONOPLE!$A$8+1,-1)),
         SUMIFS(OFFSET(CÁLCULO!$AI$15,$F$67,1,OFFSET(ORÇAMENTO!$D$15,$F$67,0),CÁLCULO.FrentesPreenchidas),OFFSET(CÁLCULO!$BB$15,$F$67,1,OFFSET(ORÇAMENTO!$D$15,$F$67,0),CÁLCULO.FrentesPreenchidas),"&lt;="&amp;AA$12)/OFFSET(ORÇAMENTO!$X$15,$F$67,0)),
     IF(ACOMPANHAMENTO="BM",SUM(OFFSET($T$13,$F$67+2,1,1,AA$12))/OFFSET($S$13,$F$67,0),"")))</f>
        <v>0.84</v>
      </c>
      <c r="AB67" s="532">
        <f ca="1">IF($F$67="","",
  IF(ACOMPANHAMENTO="PLE",
     IF(AUTOEVENTO="Manual",
         IF(AdmLocal="Automática",
              AB62,
              SUMIF(OFFSET(CRONOPLE!$F$14,CRONOPLE!$A$8+1,1,1,OFFSET(CRONOPLE!$AF$12,0,-1)),"&lt;="&amp;AB$12,OFFSET(EVENTOS!$G$14,CRONOPLE!$A$8+1,1,1,OFFSET(CRONOPLE!$AF$12,0,-1)))/OFFSET(EVENTOS!$G$14,CRONOPLE!$A$8+1,-1)),
         SUMIFS(OFFSET(CÁLCULO!$AI$15,$F$67,1,OFFSET(ORÇAMENTO!$D$15,$F$67,0),CÁLCULO.FrentesPreenchidas),OFFSET(CÁLCULO!$BB$15,$F$67,1,OFFSET(ORÇAMENTO!$D$15,$F$67,0),CÁLCULO.FrentesPreenchidas),"&lt;="&amp;AB$12)/OFFSET(ORÇAMENTO!$X$15,$F$67,0)),
     IF(ACOMPANHAMENTO="BM",SUM(OFFSET($T$13,$F$67+2,1,1,AB$12))/OFFSET($S$13,$F$67,0),"")))</f>
        <v>0.94</v>
      </c>
      <c r="AC67" s="532">
        <f ca="1">IF($F$67="","",
  IF(ACOMPANHAMENTO="PLE",
     IF(AUTOEVENTO="Manual",
         IF(AdmLocal="Automática",
              AC62,
              SUMIF(OFFSET(CRONOPLE!$F$14,CRONOPLE!$A$8+1,1,1,OFFSET(CRONOPLE!$AF$12,0,-1)),"&lt;="&amp;AC$12,OFFSET(EVENTOS!$G$14,CRONOPLE!$A$8+1,1,1,OFFSET(CRONOPLE!$AF$12,0,-1)))/OFFSET(EVENTOS!$G$14,CRONOPLE!$A$8+1,-1)),
         SUMIFS(OFFSET(CÁLCULO!$AI$15,$F$67,1,OFFSET(ORÇAMENTO!$D$15,$F$67,0),CÁLCULO.FrentesPreenchidas),OFFSET(CÁLCULO!$BB$15,$F$67,1,OFFSET(ORÇAMENTO!$D$15,$F$67,0),CÁLCULO.FrentesPreenchidas),"&lt;="&amp;AC$12)/OFFSET(ORÇAMENTO!$X$15,$F$67,0)),
     IF(ACOMPANHAMENTO="BM",SUM(OFFSET($T$13,$F$67+2,1,1,AC$12))/OFFSET($S$13,$F$67,0),"")))</f>
        <v>0.97</v>
      </c>
      <c r="AD67" s="532">
        <f ca="1">IF($F$67="","",
  IF(ACOMPANHAMENTO="PLE",
     IF(AUTOEVENTO="Manual",
         IF(AdmLocal="Automática",
              AD62,
              SUMIF(OFFSET(CRONOPLE!$F$14,CRONOPLE!$A$8+1,1,1,OFFSET(CRONOPLE!$AF$12,0,-1)),"&lt;="&amp;AD$12,OFFSET(EVENTOS!$G$14,CRONOPLE!$A$8+1,1,1,OFFSET(CRONOPLE!$AF$12,0,-1)))/OFFSET(EVENTOS!$G$14,CRONOPLE!$A$8+1,-1)),
         SUMIFS(OFFSET(CÁLCULO!$AI$15,$F$67,1,OFFSET(ORÇAMENTO!$D$15,$F$67,0),CÁLCULO.FrentesPreenchidas),OFFSET(CÁLCULO!$BB$15,$F$67,1,OFFSET(ORÇAMENTO!$D$15,$F$67,0),CÁLCULO.FrentesPreenchidas),"&lt;="&amp;AD$12)/OFFSET(ORÇAMENTO!$X$15,$F$67,0)),
     IF(ACOMPANHAMENTO="BM",SUM(OFFSET($T$13,$F$67+2,1,1,AD$12))/OFFSET($S$13,$F$67,0),"")))</f>
        <v>1</v>
      </c>
      <c r="AE67" s="532">
        <f ca="1">IF($F$67="","",
  IF(ACOMPANHAMENTO="PLE",
     IF(AUTOEVENTO="Manual",
         IF(AdmLocal="Automática",
              AE62,
              SUMIF(OFFSET(CRONOPLE!$F$14,CRONOPLE!$A$8+1,1,1,OFFSET(CRONOPLE!$AF$12,0,-1)),"&lt;="&amp;AE$12,OFFSET(EVENTOS!$G$14,CRONOPLE!$A$8+1,1,1,OFFSET(CRONOPLE!$AF$12,0,-1)))/OFFSET(EVENTOS!$G$14,CRONOPLE!$A$8+1,-1)),
         SUMIFS(OFFSET(CÁLCULO!$AI$15,$F$67,1,OFFSET(ORÇAMENTO!$D$15,$F$67,0),CÁLCULO.FrentesPreenchidas),OFFSET(CÁLCULO!$BB$15,$F$67,1,OFFSET(ORÇAMENTO!$D$15,$F$67,0),CÁLCULO.FrentesPreenchidas),"&lt;="&amp;AE$12)/OFFSET(ORÇAMENTO!$X$15,$F$67,0)),
     IF(ACOMPANHAMENTO="BM",SUM(OFFSET($T$13,$F$67+2,1,1,AE$12))/OFFSET($S$13,$F$67,0),"")))</f>
        <v>1</v>
      </c>
      <c r="AF67" s="532">
        <f ca="1">IF($F$67="","",
  IF(ACOMPANHAMENTO="PLE",
     IF(AUTOEVENTO="Manual",
         IF(AdmLocal="Automática",
              AF62,
              SUMIF(OFFSET(CRONOPLE!$F$14,CRONOPLE!$A$8+1,1,1,OFFSET(CRONOPLE!$AF$12,0,-1)),"&lt;="&amp;AF$12,OFFSET(EVENTOS!$G$14,CRONOPLE!$A$8+1,1,1,OFFSET(CRONOPLE!$AF$12,0,-1)))/OFFSET(EVENTOS!$G$14,CRONOPLE!$A$8+1,-1)),
         SUMIFS(OFFSET(CÁLCULO!$AI$15,$F$67,1,OFFSET(ORÇAMENTO!$D$15,$F$67,0),CÁLCULO.FrentesPreenchidas),OFFSET(CÁLCULO!$BB$15,$F$67,1,OFFSET(ORÇAMENTO!$D$15,$F$67,0),CÁLCULO.FrentesPreenchidas),"&lt;="&amp;AF$12)/OFFSET(ORÇAMENTO!$X$15,$F$67,0)),
     IF(ACOMPANHAMENTO="BM",SUM(OFFSET($T$13,$F$67+2,1,1,AF$12))/OFFSET($S$13,$F$67,0),"")))</f>
        <v>1</v>
      </c>
      <c r="AG67" s="534"/>
    </row>
    <row r="68" spans="4:33" ht="17.100000000000001" customHeight="1" x14ac:dyDescent="0.25">
      <c r="G68" s="185" t="s">
        <v>536</v>
      </c>
      <c r="H68" s="571" t="str" cm="1">
        <f t="array" ref="H68">IF(AND(ACOMPANHAMENTO="BM",$H$67=""),"↑ Não foi indicado o Macrosserviço de Administração Local","")</f>
        <v/>
      </c>
      <c r="T68" s="583" t="str">
        <f ca="1">IF(COUNTIF(U68:AG68,"%Adm&gt;%Global")&gt;0,"Verificar proporcionalidade da Administração Local","")</f>
        <v/>
      </c>
      <c r="U68" s="535" t="str">
        <f ca="1">IF(U67="","",IF(ROUND(U67,4)&gt;ROUND(U62,4),"%Adm&gt;%Global",""))</f>
        <v/>
      </c>
      <c r="V68" s="535" t="str">
        <f t="shared" ref="V68:AG68" ca="1" si="94">IF(V67="","",IF(ROUND(V67,4)&gt;ROUND(V62,4),"%Adm&gt;%Global",""))</f>
        <v/>
      </c>
      <c r="W68" s="535" t="str">
        <f t="shared" ca="1" si="94"/>
        <v/>
      </c>
      <c r="X68" s="535" t="str">
        <f t="shared" ca="1" si="94"/>
        <v/>
      </c>
      <c r="Y68" s="535" t="str">
        <f t="shared" ca="1" si="94"/>
        <v/>
      </c>
      <c r="Z68" s="535" t="str">
        <f t="shared" ca="1" si="94"/>
        <v/>
      </c>
      <c r="AA68" s="535" t="str">
        <f t="shared" ca="1" si="94"/>
        <v/>
      </c>
      <c r="AB68" s="535" t="str">
        <f t="shared" ca="1" si="94"/>
        <v/>
      </c>
      <c r="AC68" s="535" t="str">
        <f t="shared" ca="1" si="94"/>
        <v/>
      </c>
      <c r="AD68" s="535" t="str">
        <f t="shared" ca="1" si="94"/>
        <v/>
      </c>
      <c r="AE68" s="535" t="str">
        <f t="shared" ca="1" si="94"/>
        <v/>
      </c>
      <c r="AF68" s="535" t="str">
        <f t="shared" ca="1" si="94"/>
        <v/>
      </c>
      <c r="AG68" s="535" t="str">
        <f t="shared" si="94"/>
        <v/>
      </c>
    </row>
    <row r="69" spans="4:33" ht="32.25" customHeight="1" x14ac:dyDescent="0.2">
      <c r="G69" s="185" t="s">
        <v>536</v>
      </c>
      <c r="I69" s="683" t="str">
        <f>Import.Município</f>
        <v>Araguari / MG</v>
      </c>
      <c r="J69" s="683"/>
      <c r="K69" s="683"/>
      <c r="L69" s="683"/>
      <c r="M69" s="683"/>
      <c r="N69" s="683"/>
      <c r="O69" s="683"/>
      <c r="P69" s="683"/>
      <c r="Q69" s="683"/>
      <c r="R69" s="683"/>
      <c r="S69" s="683"/>
      <c r="AA69" s="460"/>
      <c r="AB69" s="460"/>
      <c r="AC69" s="460"/>
      <c r="AD69" s="460"/>
      <c r="AE69" s="462"/>
      <c r="AF69" s="462"/>
    </row>
    <row r="70" spans="4:33" x14ac:dyDescent="0.2">
      <c r="G70" s="185" t="s">
        <v>536</v>
      </c>
      <c r="I70" s="9" t="s">
        <v>693</v>
      </c>
      <c r="J70"/>
      <c r="K70"/>
      <c r="L70"/>
      <c r="AA70" s="181" t="s">
        <v>696</v>
      </c>
      <c r="AB70" s="181"/>
      <c r="AC70" s="181"/>
      <c r="AD70" s="181"/>
      <c r="AE70" s="185"/>
      <c r="AF70" s="185"/>
    </row>
    <row r="71" spans="4:33" x14ac:dyDescent="0.2">
      <c r="G71" s="185" t="s">
        <v>536</v>
      </c>
      <c r="I71"/>
      <c r="J71"/>
      <c r="K71"/>
      <c r="L71"/>
      <c r="AA71" s="398" t="str">
        <f t="array" aca="1" ref="AA71:AA73" ca="1">OFFSET(Import.RespOrçamento,0,-1) &amp; " " &amp; Import.RespOrçamento</f>
        <v>Nome: JULIANA GONÇALVES OLIVEIRA</v>
      </c>
      <c r="AC71"/>
      <c r="AD71" s="79"/>
      <c r="AE71" s="185"/>
      <c r="AF71" s="185"/>
    </row>
    <row r="72" spans="4:33" x14ac:dyDescent="0.2">
      <c r="G72" s="185" t="s">
        <v>536</v>
      </c>
      <c r="I72" s="770">
        <f>DADOS!$C$25</f>
        <v>45996</v>
      </c>
      <c r="J72" s="770"/>
      <c r="K72" s="770"/>
      <c r="L72" s="180"/>
      <c r="M72" s="245"/>
      <c r="N72" s="245"/>
      <c r="O72" s="245"/>
      <c r="P72" s="245"/>
      <c r="Q72" s="245"/>
      <c r="R72" s="245"/>
      <c r="S72" s="246"/>
      <c r="AA72" s="398" t="str">
        <f ca="1"/>
        <v>CREA/CAU: 239787 / D</v>
      </c>
      <c r="AC72" s="79"/>
      <c r="AD72" s="79"/>
      <c r="AE72" s="185"/>
      <c r="AF72" s="185"/>
    </row>
    <row r="73" spans="4:33" x14ac:dyDescent="0.2">
      <c r="G73" s="185" t="s">
        <v>536</v>
      </c>
      <c r="I73" s="9" t="s">
        <v>694</v>
      </c>
      <c r="J73"/>
      <c r="K73"/>
      <c r="L73"/>
      <c r="AA73" s="398" t="str">
        <f ca="1"/>
        <v>ART/RRT:  Nº MG20253772936</v>
      </c>
      <c r="AC73" s="79"/>
      <c r="AD73" s="79"/>
      <c r="AE73" s="185"/>
      <c r="AF73" s="185"/>
    </row>
  </sheetData>
  <sheetProtection algorithmName="SHA-512" hashValue="8e2yyAxdTPsDGOzp/ko915WCGt2+gAQoxWwXEzpU5XKea5en0kjVO1Lpyh71cY0nVGo9JLsNrJ3c4i36aDcbag==" saltValue="j4hYLVQLebjpdXx6l0pMtQ==" spinCount="100000" sheet="1" objects="1" scenarios="1" autoFilter="0"/>
  <autoFilter ref="G13:G73" xr:uid="{00000000-0009-0000-0000-000007000000}">
    <filterColumn colId="0">
      <customFilters>
        <customFilter operator="notEqual" val=" "/>
      </customFilters>
    </filterColumn>
  </autoFilter>
  <mergeCells count="18">
    <mergeCell ref="T12:T13"/>
    <mergeCell ref="L8:T8"/>
    <mergeCell ref="U8:Y8"/>
    <mergeCell ref="K10:T11"/>
    <mergeCell ref="I57:K58"/>
    <mergeCell ref="H12:H13"/>
    <mergeCell ref="I12:I13"/>
    <mergeCell ref="J12:J13"/>
    <mergeCell ref="I72:K72"/>
    <mergeCell ref="I69:S69"/>
    <mergeCell ref="H67:J67"/>
    <mergeCell ref="S12:S13"/>
    <mergeCell ref="G8:G11"/>
    <mergeCell ref="I8:J8"/>
    <mergeCell ref="H7:H9"/>
    <mergeCell ref="AE4:AF4"/>
    <mergeCell ref="AE5:AF5"/>
    <mergeCell ref="Z8:AE8"/>
  </mergeCells>
  <phoneticPr fontId="38" type="noConversion"/>
  <conditionalFormatting sqref="U12:U13">
    <cfRule type="expression" dxfId="452" priority="14120" stopIfTrue="1">
      <formula>NOT(ISNUMBER(T$12))</formula>
    </cfRule>
  </conditionalFormatting>
  <conditionalFormatting sqref="E2 U2:AF2">
    <cfRule type="expression" dxfId="451" priority="14121" stopIfTrue="1">
      <formula>AND(ISNUMBER($H1),$H1&lt;&gt;0)</formula>
    </cfRule>
  </conditionalFormatting>
  <conditionalFormatting sqref="I2:S2">
    <cfRule type="expression" dxfId="450" priority="14122" stopIfTrue="1">
      <formula>$M1=2</formula>
    </cfRule>
    <cfRule type="expression" dxfId="449" priority="14123" stopIfTrue="1">
      <formula>AND($M1=1,$S1&lt;&gt;"")</formula>
    </cfRule>
  </conditionalFormatting>
  <conditionalFormatting sqref="I1:S1">
    <cfRule type="expression" dxfId="448" priority="14124" stopIfTrue="1">
      <formula>$M1=2</formula>
    </cfRule>
    <cfRule type="expression" dxfId="447" priority="14125" stopIfTrue="1">
      <formula>AND($M1=1,$S1&lt;&gt;"")</formula>
    </cfRule>
  </conditionalFormatting>
  <conditionalFormatting sqref="E57 E59 E61:E62 E64 E66 U66:AF66 U57:AF57 U59:AF59 U61:AF62 U64:AF64">
    <cfRule type="expression" dxfId="446" priority="14126" stopIfTrue="1">
      <formula>D$62=1</formula>
    </cfRule>
  </conditionalFormatting>
  <conditionalFormatting sqref="E58 E60 E63 E65 E67 U58:AF58 U60:AF60 U63:AF63 U65:AF65 U67:AF67">
    <cfRule type="expression" dxfId="445" priority="14127" stopIfTrue="1">
      <formula>D$62=1</formula>
    </cfRule>
  </conditionalFormatting>
  <conditionalFormatting sqref="AF7:AF8">
    <cfRule type="expression" dxfId="444" priority="14131" stopIfTrue="1">
      <formula>OR(TIPOORCAMENTO&lt;&gt;"Licitado",QCI.ExisteManual)</formula>
    </cfRule>
  </conditionalFormatting>
  <conditionalFormatting sqref="Z7:AE8">
    <cfRule type="expression" dxfId="443" priority="14119" stopIfTrue="1">
      <formula>QCI.ExisteManual</formula>
    </cfRule>
  </conditionalFormatting>
  <conditionalFormatting sqref="H2">
    <cfRule type="expression" dxfId="442" priority="10265">
      <formula>AND(H1&lt;&gt;0,ISNUMBER(H1))</formula>
    </cfRule>
  </conditionalFormatting>
  <conditionalFormatting sqref="E67 U67:AF67">
    <cfRule type="expression" dxfId="441" priority="10256">
      <formula>ROUND(E67,4)&gt;ROUND(E62,4)</formula>
    </cfRule>
  </conditionalFormatting>
  <conditionalFormatting sqref="H1">
    <cfRule type="expression" dxfId="440" priority="10255">
      <formula>AND(H1&lt;&gt;0,ISNUMBER(H1))</formula>
    </cfRule>
  </conditionalFormatting>
  <conditionalFormatting sqref="H67:J67">
    <cfRule type="expression" dxfId="439" priority="10254">
      <formula>$H$66=""</formula>
    </cfRule>
  </conditionalFormatting>
  <conditionalFormatting sqref="E67">
    <cfRule type="expression" dxfId="438" priority="10247" stopIfTrue="1">
      <formula>D$62=1</formula>
    </cfRule>
  </conditionalFormatting>
  <conditionalFormatting sqref="E1">
    <cfRule type="expression" dxfId="437" priority="10244" stopIfTrue="1">
      <formula>E1&lt;&gt;0</formula>
    </cfRule>
  </conditionalFormatting>
  <conditionalFormatting sqref="E2">
    <cfRule type="expression" dxfId="436" priority="10243">
      <formula>AND(_xlfn.SINGLE(ACOMPANHAMENTO)="BM",E2&gt;ROUND(E2,4))</formula>
    </cfRule>
  </conditionalFormatting>
  <conditionalFormatting sqref="E67">
    <cfRule type="expression" dxfId="435" priority="10242" stopIfTrue="1">
      <formula>D$62=1</formula>
    </cfRule>
  </conditionalFormatting>
  <conditionalFormatting sqref="U1:AF1">
    <cfRule type="expression" dxfId="434" priority="10241" stopIfTrue="1">
      <formula>U1&lt;&gt;0</formula>
    </cfRule>
  </conditionalFormatting>
  <conditionalFormatting sqref="U2:AF2">
    <cfRule type="expression" dxfId="433" priority="10240">
      <formula>AND(_xlfn.SINGLE(ACOMPANHAMENTO)="BM",U2&gt;ROUND(U2,4))</formula>
    </cfRule>
  </conditionalFormatting>
  <conditionalFormatting sqref="E15 E18 E21 U15:AF15 U18:AF18 U21:AF21">
    <cfRule type="expression" dxfId="432" priority="194" stopIfTrue="1">
      <formula>AND(ISNUMBER($H14),$H14&lt;&gt;0)</formula>
    </cfRule>
  </conditionalFormatting>
  <conditionalFormatting sqref="I15:S15 I18:S18 I21:S21">
    <cfRule type="expression" dxfId="431" priority="195" stopIfTrue="1">
      <formula>$M14=2</formula>
    </cfRule>
    <cfRule type="expression" dxfId="430" priority="196" stopIfTrue="1">
      <formula>AND($M14=1,$S14&lt;&gt;"")</formula>
    </cfRule>
  </conditionalFormatting>
  <conditionalFormatting sqref="I14:S14 I17:S17 I20:S20">
    <cfRule type="expression" dxfId="429" priority="197" stopIfTrue="1">
      <formula>$M14=2</formula>
    </cfRule>
    <cfRule type="expression" dxfId="428" priority="198" stopIfTrue="1">
      <formula>AND($M14=1,$S14&lt;&gt;"")</formula>
    </cfRule>
  </conditionalFormatting>
  <conditionalFormatting sqref="H15 H18 H21">
    <cfRule type="expression" dxfId="427" priority="193">
      <formula>AND(H14&lt;&gt;0,ISNUMBER(H14))</formula>
    </cfRule>
  </conditionalFormatting>
  <conditionalFormatting sqref="H14 H17 H20">
    <cfRule type="expression" dxfId="426" priority="192">
      <formula>AND(H14&lt;&gt;0,ISNUMBER(H14))</formula>
    </cfRule>
  </conditionalFormatting>
  <conditionalFormatting sqref="E14 E17 E20">
    <cfRule type="expression" dxfId="425" priority="191" stopIfTrue="1">
      <formula>E14&lt;&gt;0</formula>
    </cfRule>
  </conditionalFormatting>
  <conditionalFormatting sqref="E15 E18 E21">
    <cfRule type="expression" dxfId="424" priority="190">
      <formula>AND(_xlfn.SINGLE(ACOMPANHAMENTO)="BM",E15&gt;ROUND(E15,4))</formula>
    </cfRule>
  </conditionalFormatting>
  <conditionalFormatting sqref="U14:AF14 U17:AF17 U20:AF20">
    <cfRule type="expression" dxfId="423" priority="189" stopIfTrue="1">
      <formula>U14&lt;&gt;0</formula>
    </cfRule>
  </conditionalFormatting>
  <conditionalFormatting sqref="U15:AF15 U18:AF18 U21:AF21">
    <cfRule type="expression" dxfId="422" priority="188">
      <formula>AND(_xlfn.SINGLE(ACOMPANHAMENTO)="BM",U15&gt;ROUND(U15,4))</formula>
    </cfRule>
  </conditionalFormatting>
  <conditionalFormatting sqref="E24 E27 E30 U24:AF24 U27:AF27 U30:AF30">
    <cfRule type="expression" dxfId="421" priority="183" stopIfTrue="1">
      <formula>AND(ISNUMBER($H23),$H23&lt;&gt;0)</formula>
    </cfRule>
  </conditionalFormatting>
  <conditionalFormatting sqref="I24:S24 I27:S27 I30:S30">
    <cfRule type="expression" dxfId="420" priority="184" stopIfTrue="1">
      <formula>$M23=2</formula>
    </cfRule>
    <cfRule type="expression" dxfId="419" priority="185" stopIfTrue="1">
      <formula>AND($M23=1,$S23&lt;&gt;"")</formula>
    </cfRule>
  </conditionalFormatting>
  <conditionalFormatting sqref="I23:S23 I26:S26 I29:S29">
    <cfRule type="expression" dxfId="418" priority="186" stopIfTrue="1">
      <formula>$M23=2</formula>
    </cfRule>
    <cfRule type="expression" dxfId="417" priority="187" stopIfTrue="1">
      <formula>AND($M23=1,$S23&lt;&gt;"")</formula>
    </cfRule>
  </conditionalFormatting>
  <conditionalFormatting sqref="H24 H27 H30">
    <cfRule type="expression" dxfId="416" priority="182">
      <formula>AND(H23&lt;&gt;0,ISNUMBER(H23))</formula>
    </cfRule>
  </conditionalFormatting>
  <conditionalFormatting sqref="H23 H26 H29">
    <cfRule type="expression" dxfId="415" priority="181">
      <formula>AND(H23&lt;&gt;0,ISNUMBER(H23))</formula>
    </cfRule>
  </conditionalFormatting>
  <conditionalFormatting sqref="E23 E26 E29">
    <cfRule type="expression" dxfId="414" priority="180" stopIfTrue="1">
      <formula>E23&lt;&gt;0</formula>
    </cfRule>
  </conditionalFormatting>
  <conditionalFormatting sqref="E24 E27 E30">
    <cfRule type="expression" dxfId="413" priority="179">
      <formula>AND(_xlfn.SINGLE(ACOMPANHAMENTO)="BM",E24&gt;ROUND(E24,4))</formula>
    </cfRule>
  </conditionalFormatting>
  <conditionalFormatting sqref="U23:AF23 U26:AF26 U29:AF29">
    <cfRule type="expression" dxfId="412" priority="178" stopIfTrue="1">
      <formula>U23&lt;&gt;0</formula>
    </cfRule>
  </conditionalFormatting>
  <conditionalFormatting sqref="U24:AF24 U27:AF27 U30:AF30">
    <cfRule type="expression" dxfId="411" priority="177">
      <formula>AND(_xlfn.SINGLE(ACOMPANHAMENTO)="BM",U24&gt;ROUND(U24,4))</formula>
    </cfRule>
  </conditionalFormatting>
  <conditionalFormatting sqref="E33 E36 E39 U33:AF33 U36:AF36 U39:AF39">
    <cfRule type="expression" dxfId="410" priority="172" stopIfTrue="1">
      <formula>AND(ISNUMBER($H32),$H32&lt;&gt;0)</formula>
    </cfRule>
  </conditionalFormatting>
  <conditionalFormatting sqref="I33:S33 I36:S36 I39:S39">
    <cfRule type="expression" dxfId="409" priority="173" stopIfTrue="1">
      <formula>$M32=2</formula>
    </cfRule>
    <cfRule type="expression" dxfId="408" priority="174" stopIfTrue="1">
      <formula>AND($M32=1,$S32&lt;&gt;"")</formula>
    </cfRule>
  </conditionalFormatting>
  <conditionalFormatting sqref="I32:S32 I35:S35 I38:S38">
    <cfRule type="expression" dxfId="407" priority="175" stopIfTrue="1">
      <formula>$M32=2</formula>
    </cfRule>
    <cfRule type="expression" dxfId="406" priority="176" stopIfTrue="1">
      <formula>AND($M32=1,$S32&lt;&gt;"")</formula>
    </cfRule>
  </conditionalFormatting>
  <conditionalFormatting sqref="H33 H36 H39">
    <cfRule type="expression" dxfId="405" priority="171">
      <formula>AND(H32&lt;&gt;0,ISNUMBER(H32))</formula>
    </cfRule>
  </conditionalFormatting>
  <conditionalFormatting sqref="H32 H35 H38">
    <cfRule type="expression" dxfId="404" priority="170">
      <formula>AND(H32&lt;&gt;0,ISNUMBER(H32))</formula>
    </cfRule>
  </conditionalFormatting>
  <conditionalFormatting sqref="E32 E35 E38">
    <cfRule type="expression" dxfId="403" priority="169" stopIfTrue="1">
      <formula>E32&lt;&gt;0</formula>
    </cfRule>
  </conditionalFormatting>
  <conditionalFormatting sqref="E33 E36 E39">
    <cfRule type="expression" dxfId="402" priority="168">
      <formula>AND(_xlfn.SINGLE(ACOMPANHAMENTO)="BM",E33&gt;ROUND(E33,4))</formula>
    </cfRule>
  </conditionalFormatting>
  <conditionalFormatting sqref="U32:AF32 U35:AF35 U38:AF38">
    <cfRule type="expression" dxfId="401" priority="167" stopIfTrue="1">
      <formula>U32&lt;&gt;0</formula>
    </cfRule>
  </conditionalFormatting>
  <conditionalFormatting sqref="U33:AF33 U36:AF36 U39:AF39">
    <cfRule type="expression" dxfId="400" priority="166">
      <formula>AND(_xlfn.SINGLE(ACOMPANHAMENTO)="BM",U33&gt;ROUND(U33,4))</formula>
    </cfRule>
  </conditionalFormatting>
  <conditionalFormatting sqref="E42 E45 E48 U42:AF42 U45:AF45 U48:AF48">
    <cfRule type="expression" dxfId="399" priority="161" stopIfTrue="1">
      <formula>AND(ISNUMBER($H41),$H41&lt;&gt;0)</formula>
    </cfRule>
  </conditionalFormatting>
  <conditionalFormatting sqref="I42:S42 I45:S45 I48:S48">
    <cfRule type="expression" dxfId="398" priority="162" stopIfTrue="1">
      <formula>$M41=2</formula>
    </cfRule>
    <cfRule type="expression" dxfId="397" priority="163" stopIfTrue="1">
      <formula>AND($M41=1,$S41&lt;&gt;"")</formula>
    </cfRule>
  </conditionalFormatting>
  <conditionalFormatting sqref="I41:S41 I44:S44 I47:S47">
    <cfRule type="expression" dxfId="396" priority="164" stopIfTrue="1">
      <formula>$M41=2</formula>
    </cfRule>
    <cfRule type="expression" dxfId="395" priority="165" stopIfTrue="1">
      <formula>AND($M41=1,$S41&lt;&gt;"")</formula>
    </cfRule>
  </conditionalFormatting>
  <conditionalFormatting sqref="H42 H45 H48">
    <cfRule type="expression" dxfId="394" priority="160">
      <formula>AND(H41&lt;&gt;0,ISNUMBER(H41))</formula>
    </cfRule>
  </conditionalFormatting>
  <conditionalFormatting sqref="H41 H44 H47">
    <cfRule type="expression" dxfId="393" priority="159">
      <formula>AND(H41&lt;&gt;0,ISNUMBER(H41))</formula>
    </cfRule>
  </conditionalFormatting>
  <conditionalFormatting sqref="E41 E44 E47">
    <cfRule type="expression" dxfId="392" priority="158" stopIfTrue="1">
      <formula>E41&lt;&gt;0</formula>
    </cfRule>
  </conditionalFormatting>
  <conditionalFormatting sqref="E42 E45 E48">
    <cfRule type="expression" dxfId="391" priority="157">
      <formula>AND(_xlfn.SINGLE(ACOMPANHAMENTO)="BM",E42&gt;ROUND(E42,4))</formula>
    </cfRule>
  </conditionalFormatting>
  <conditionalFormatting sqref="U41:AF41 U44:AF44 U47:AF47">
    <cfRule type="expression" dxfId="390" priority="156" stopIfTrue="1">
      <formula>U41&lt;&gt;0</formula>
    </cfRule>
  </conditionalFormatting>
  <conditionalFormatting sqref="U42:AF42 U45:AF45 U48:AF48">
    <cfRule type="expression" dxfId="389" priority="155">
      <formula>AND(_xlfn.SINGLE(ACOMPANHAMENTO)="BM",U42&gt;ROUND(U42,4))</formula>
    </cfRule>
  </conditionalFormatting>
  <conditionalFormatting sqref="E51 E54 U51:AF51 U54:AF54">
    <cfRule type="expression" dxfId="388" priority="150" stopIfTrue="1">
      <formula>AND(ISNUMBER($H50),$H50&lt;&gt;0)</formula>
    </cfRule>
  </conditionalFormatting>
  <conditionalFormatting sqref="I51:S51 I54:S54">
    <cfRule type="expression" dxfId="387" priority="151" stopIfTrue="1">
      <formula>$M50=2</formula>
    </cfRule>
    <cfRule type="expression" dxfId="386" priority="152" stopIfTrue="1">
      <formula>AND($M50=1,$S50&lt;&gt;"")</formula>
    </cfRule>
  </conditionalFormatting>
  <conditionalFormatting sqref="I50:S50 I53:S53">
    <cfRule type="expression" dxfId="385" priority="153" stopIfTrue="1">
      <formula>$M50=2</formula>
    </cfRule>
    <cfRule type="expression" dxfId="384" priority="154" stopIfTrue="1">
      <formula>AND($M50=1,$S50&lt;&gt;"")</formula>
    </cfRule>
  </conditionalFormatting>
  <conditionalFormatting sqref="H51 H54">
    <cfRule type="expression" dxfId="383" priority="149">
      <formula>AND(H50&lt;&gt;0,ISNUMBER(H50))</formula>
    </cfRule>
  </conditionalFormatting>
  <conditionalFormatting sqref="H50 H53">
    <cfRule type="expression" dxfId="382" priority="148">
      <formula>AND(H50&lt;&gt;0,ISNUMBER(H50))</formula>
    </cfRule>
  </conditionalFormatting>
  <conditionalFormatting sqref="E50 E53">
    <cfRule type="expression" dxfId="381" priority="147" stopIfTrue="1">
      <formula>E50&lt;&gt;0</formula>
    </cfRule>
  </conditionalFormatting>
  <conditionalFormatting sqref="E51 E54">
    <cfRule type="expression" dxfId="380" priority="146">
      <formula>AND(_xlfn.SINGLE(ACOMPANHAMENTO)="BM",E51&gt;ROUND(E51,4))</formula>
    </cfRule>
  </conditionalFormatting>
  <conditionalFormatting sqref="U50:AF50 U53:AF53">
    <cfRule type="expression" dxfId="379" priority="145" stopIfTrue="1">
      <formula>U50&lt;&gt;0</formula>
    </cfRule>
  </conditionalFormatting>
  <conditionalFormatting sqref="U51:AF51 U54:AF54">
    <cfRule type="expression" dxfId="378" priority="144">
      <formula>AND(_xlfn.SINGLE(ACOMPANHAMENTO)="BM",U51&gt;ROUND(U51,4))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U50:AF50 U53:AF53"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U51:AG51 U54:AG54"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67:J67"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&amp;LPMv3.13&amp;R&amp;P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28"/>
  <sheetViews>
    <sheetView showGridLines="0" view="pageBreakPreview" zoomScale="90" zoomScaleNormal="100" zoomScaleSheetLayoutView="90" workbookViewId="0">
      <pane xSplit="7" ySplit="13" topLeftCell="H14" activePane="bottomRight" state="frozen"/>
      <selection pane="topRight"/>
      <selection pane="bottomLeft"/>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43" t="s">
        <v>981</v>
      </c>
      <c r="F1" s="272" t="s">
        <v>805</v>
      </c>
      <c r="I1" s="8"/>
      <c r="J1" s="8"/>
      <c r="O1" s="492" t="s">
        <v>757</v>
      </c>
      <c r="P1" s="86"/>
    </row>
    <row r="2" spans="1:31" x14ac:dyDescent="0.2">
      <c r="A2" t="s">
        <v>976</v>
      </c>
      <c r="Z2" t="s">
        <v>806</v>
      </c>
      <c r="AA2" s="88" t="s">
        <v>807</v>
      </c>
      <c r="AB2" s="77"/>
    </row>
    <row r="3" spans="1:31" x14ac:dyDescent="0.2">
      <c r="A3" t="s">
        <v>977</v>
      </c>
      <c r="D3" s="685" t="s">
        <v>650</v>
      </c>
      <c r="E3" s="685"/>
      <c r="F3" s="87" t="s">
        <v>707</v>
      </c>
      <c r="G3" s="685" t="s">
        <v>652</v>
      </c>
      <c r="H3" s="685"/>
      <c r="I3" s="685"/>
      <c r="J3" s="777" t="s">
        <v>808</v>
      </c>
      <c r="K3" s="777"/>
      <c r="L3" s="777"/>
      <c r="M3" s="778" t="s">
        <v>809</v>
      </c>
      <c r="N3" s="778"/>
      <c r="O3" s="778"/>
      <c r="Z3" s="102">
        <f ca="1">MAX(Z7:AB7)</f>
        <v>0</v>
      </c>
      <c r="AA3" s="273">
        <f ca="1">IF(OR($O$15=ORÇAMENTO.SumINVMANUAL+QCI.SumINVMANUAL,$O$15=0),0,MIN(MAX(0,($Z$3*$O$15-ORÇAMENTO.SumCPMANUAL-QCI.SumCPMANUAL)/($O$15-ORÇAMENTO.SumINVMANUAL-QCI.SumINVMANUAL)),1))</f>
        <v>0</v>
      </c>
      <c r="AB3" s="92"/>
    </row>
    <row r="4" spans="1:31" x14ac:dyDescent="0.2">
      <c r="A4" t="s">
        <v>978</v>
      </c>
      <c r="D4" s="686" t="str">
        <f>Import.CR</f>
        <v>1098284-30/2024</v>
      </c>
      <c r="E4" s="686"/>
      <c r="F4" s="56" t="str">
        <f>Import.TransfereGOV</f>
        <v>968559/2024</v>
      </c>
      <c r="G4" s="686" t="str">
        <f>Import.Proponente</f>
        <v>Prefeitura Municipal</v>
      </c>
      <c r="H4" s="686"/>
      <c r="I4" s="686"/>
      <c r="J4" s="779" t="str">
        <f>Import.Município</f>
        <v>Araguari / MG</v>
      </c>
      <c r="K4" s="779"/>
      <c r="L4" s="779"/>
      <c r="M4" s="778"/>
      <c r="N4" s="778"/>
      <c r="O4" s="778"/>
      <c r="R4" s="129"/>
      <c r="Z4" s="92"/>
      <c r="AA4" s="92"/>
      <c r="AB4" s="92"/>
    </row>
    <row r="5" spans="1:31" ht="5.0999999999999996" customHeight="1" x14ac:dyDescent="0.2">
      <c r="A5" t="s">
        <v>979</v>
      </c>
      <c r="M5" s="265"/>
      <c r="O5" s="4"/>
    </row>
    <row r="6" spans="1:31" x14ac:dyDescent="0.2">
      <c r="A6" t="s">
        <v>980</v>
      </c>
      <c r="D6" s="685" t="s">
        <v>708</v>
      </c>
      <c r="E6" s="685"/>
      <c r="F6" s="685"/>
      <c r="G6" s="685"/>
      <c r="H6" s="685"/>
      <c r="I6" s="685"/>
      <c r="J6" s="685"/>
      <c r="K6" s="685"/>
      <c r="L6" s="274" t="s">
        <v>715</v>
      </c>
      <c r="M6" s="87" t="str">
        <f>IF(import.recurso="FGTS","FINANCIAMENTO","REPASSE")</f>
        <v>REPASSE</v>
      </c>
      <c r="N6" s="87" t="s">
        <v>810</v>
      </c>
      <c r="O6" s="87" t="s">
        <v>811</v>
      </c>
      <c r="Z6" t="s">
        <v>812</v>
      </c>
      <c r="AA6" t="s">
        <v>813</v>
      </c>
      <c r="AB6" t="s">
        <v>814</v>
      </c>
    </row>
    <row r="7" spans="1:31" ht="12.75" customHeight="1" x14ac:dyDescent="0.2">
      <c r="A7" s="647" t="s">
        <v>983</v>
      </c>
      <c r="C7" s="688" t="s">
        <v>655</v>
      </c>
      <c r="D7" s="686" t="str">
        <f>Import.Apelido</f>
        <v>ETE - BREJO ALEGRE - FASE II</v>
      </c>
      <c r="E7" s="686"/>
      <c r="F7" s="686"/>
      <c r="G7" s="686"/>
      <c r="H7" s="686"/>
      <c r="I7" s="686"/>
      <c r="J7" s="686"/>
      <c r="K7" s="686"/>
      <c r="L7" s="275" t="str">
        <f>import.recurso</f>
        <v>OGU</v>
      </c>
      <c r="M7" s="276">
        <f>Import.Repasse</f>
        <v>10480784.359999999</v>
      </c>
      <c r="N7" s="276">
        <f>Import.Contrapartida</f>
        <v>0</v>
      </c>
      <c r="O7" s="276">
        <f>M7+N7</f>
        <v>10480784.359999999</v>
      </c>
      <c r="Z7" s="102">
        <f>ROUND(Import.CPMinPerc,4)</f>
        <v>0</v>
      </c>
      <c r="AA7" s="102">
        <f ca="1">IF($O$15=0,0,Import.CPMinAbsoluta/$O$15)</f>
        <v>0</v>
      </c>
      <c r="AB7" s="102">
        <f ca="1">IF($O$15=0,0,($O$15-$AB$15-Import.Repasse)/($O$15))</f>
        <v>-0.26229339572488619</v>
      </c>
    </row>
    <row r="8" spans="1:31" x14ac:dyDescent="0.2">
      <c r="A8" t="s">
        <v>819</v>
      </c>
      <c r="C8" s="688"/>
      <c r="D8" s="92"/>
      <c r="E8" s="92"/>
      <c r="F8" s="277"/>
      <c r="G8" s="92"/>
      <c r="H8" s="92"/>
      <c r="I8" s="92"/>
      <c r="J8" s="92"/>
      <c r="K8" s="92"/>
      <c r="L8" s="92"/>
      <c r="M8" s="92"/>
      <c r="N8" s="92"/>
      <c r="O8" s="92"/>
    </row>
    <row r="9" spans="1:31" ht="12.75" customHeight="1" x14ac:dyDescent="0.2">
      <c r="A9" t="s">
        <v>982</v>
      </c>
      <c r="C9" s="688"/>
      <c r="G9" s="783"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IF(OFFSET($A$15,-1,0)&lt;OFFSET(ORÇAMENTO!$E$508,-1,0),"ERRO: NÚMERO DE LINHAS DO QCI INSUFICIENTE. CLIQUE NO BOTÃO ADICIONAR LINHAS",
  "")))))))</f>
        <v/>
      </c>
      <c r="H9" s="783"/>
      <c r="I9" s="512"/>
      <c r="J9" s="511"/>
      <c r="K9" s="782" t="s">
        <v>815</v>
      </c>
      <c r="L9" s="278" t="str">
        <f>$L$13</f>
        <v>Repasse (R$)</v>
      </c>
      <c r="M9" s="278" t="s">
        <v>741</v>
      </c>
      <c r="AD9" s="780"/>
      <c r="AE9" s="780"/>
    </row>
    <row r="10" spans="1:31" ht="12.75" customHeight="1" x14ac:dyDescent="0.2">
      <c r="A10" s="784" t="s">
        <v>816</v>
      </c>
      <c r="C10" s="688"/>
      <c r="G10" s="783"/>
      <c r="H10" s="783"/>
      <c r="I10" s="512"/>
      <c r="J10" s="511"/>
      <c r="K10" s="782"/>
      <c r="L10" s="279">
        <f ca="1">Import.Repasse-L15</f>
        <v>2177814.2299999995</v>
      </c>
      <c r="M10" s="280">
        <f ca="1">Import.Contrapartida-M15</f>
        <v>0</v>
      </c>
      <c r="Z10" s="693" t="s">
        <v>721</v>
      </c>
      <c r="AA10" s="693"/>
      <c r="AB10" s="693"/>
      <c r="AD10" s="780" t="s">
        <v>817</v>
      </c>
      <c r="AE10" s="780"/>
    </row>
    <row r="11" spans="1:31" ht="20.100000000000001" customHeight="1" x14ac:dyDescent="0.25">
      <c r="A11" s="784"/>
      <c r="C11" s="688"/>
      <c r="G11" s="582"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21"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IF(NOT(ISBLANK(QCI.DescManual)),IF(QCI.Divisao="Calculado","Manual","SemiAuto"),IF(ISERROR(MATCH($A12,ORÇAMENTO!$E$15:$E$508,0)),"Branco","Automático"))</f>
        <v>Branco</v>
      </c>
      <c r="C12" t="str">
        <f ca="1">IF(O12&gt;0,"F","")</f>
        <v/>
      </c>
      <c r="D12" s="281">
        <f>ROW()-ROW($D$13)</f>
        <v>-1</v>
      </c>
      <c r="E12" s="118"/>
      <c r="F12" s="118"/>
      <c r="G12" s="163" t="str">
        <f ca="1">IF(OR($B12="Manual",$B12="SemiAuto"),QCI.DescManual,IF($B12="Automático",INDEX(ORÇAMENTO!$R$15:$R$508,MATCH($A12,ORÇAMENTO!$E$15:$E$508,0)),""))</f>
        <v/>
      </c>
      <c r="H12" s="118"/>
      <c r="I12" s="464"/>
      <c r="J12" s="282" t="str">
        <f ca="1">IF(AND(ISBLANK(E12),ISBLANK(F12)),"",VLOOKUP($F12,OFFSET(DADOS!$A$2,1,MATCH(QCI!$E12,DADOS!$2:$2,0)-1,100,50),2,FALSE))</f>
        <v/>
      </c>
      <c r="K12" s="463" t="str">
        <f ca="1">IF(OR($B12="Manual",$B12="SemiAuto"),QCI.LoteManual,IF($B12="Automático",IF(TIPOORCAMENTO="Licitado",Import.CTEF,"LOTE 1"),""))</f>
        <v/>
      </c>
      <c r="L12" s="283">
        <f ca="1">ROUND($O12,2)-ROUND($M12,2)-ROUND($N12,2)</f>
        <v>0</v>
      </c>
      <c r="M12" s="284">
        <f ca="1">ROUND($AA12,2)-ROUND($AE12,2)</f>
        <v>0</v>
      </c>
      <c r="N12" s="285">
        <f ca="1">ROUND($AB12,2)</f>
        <v>0</v>
      </c>
      <c r="O12" s="286">
        <f ca="1">IF($B12="Branco",0,IF(OR($B12="Manual",$B12="SemiAuto"),QCI.InvManual,INDEX(ORÇAMENTO!X$15:X$508,MATCH($A12,ORÇAMENTO!$E$15:$E$508,0))))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f ca="1">IF($B12="Branco",0,IF($B12="Manual",QCI.CPManual,IF($B12="SemiAuto",ROUND(QCI!$AA$3*QCI.InvManual,2),INDEX(ORÇAMENTO!$AA$15:$AA$508,MATCH($A12,ORÇAMENTO!$E$15:$E$508,0)))))</f>
        <v>0</v>
      </c>
      <c r="AB12">
        <f ca="1">IF($B12="Branco",0,IF($B12="Manual",QCI.OutrosManual,IF($B12="SemiAuto",0,INDEX(ORÇAMENTO!$AB$15:$AB$508,MATCH($A12,ORÇAMENTO!$E$15:$E$508,0)))))</f>
        <v>0</v>
      </c>
      <c r="AD12" s="289" t="b">
        <f ca="1">AND($AA$3&gt;0,$AA$3&lt;1,$O12&gt;0,OR($B12="Automático",$B12="SemiAuto"),OR(QCI!$Z$3=QCI!$Z$7,QCI!$Z$3=QCI!$AA$7,QCI!$Z$3=QCI!$AB$7))</f>
        <v>0</v>
      </c>
      <c r="AE12" s="289">
        <f ca="1">IF(AND($AD12,$O12&gt;0,COUNTIF(OFFSET($AD12,1,0):$AD$15,TRUE)=0),CHOOSE(1+LOG(1+2*(QCI!$Z$3=QCI!$Z$7)+4*(QCI!$Z$3=QCI!$AA$7)+8*(QCI!$Z$3=QCI!$AB$7),2),0,$AA$15-ROUND(Import.CPMinPerc*$O$15,2),$AA$15-Import.CPMinAbsoluta,Import.Repasse-$Z$15),0)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35" t="str">
        <f>IF(import.recurso="FGTS","Financiamento (R$)","Repasse (R$)")</f>
        <v>Repasse (R$)</v>
      </c>
      <c r="M13" s="636" t="s">
        <v>826</v>
      </c>
      <c r="N13" s="291" t="s">
        <v>742</v>
      </c>
      <c r="O13" s="107" t="s">
        <v>827</v>
      </c>
      <c r="R13" s="292" t="s">
        <v>823</v>
      </c>
      <c r="T13" s="292" t="s">
        <v>825</v>
      </c>
      <c r="U13" s="159" t="s">
        <v>827</v>
      </c>
      <c r="V13" s="293" t="s">
        <v>828</v>
      </c>
      <c r="W13" s="158" t="s">
        <v>826</v>
      </c>
      <c r="X13" s="160" t="s">
        <v>742</v>
      </c>
    </row>
    <row r="14" spans="1:31" ht="30" customHeight="1" x14ac:dyDescent="0.2">
      <c r="A14">
        <f t="shared" ref="A14" ca="1" si="0">IF(NOT(ISBLANK(QCI.DescManual)),OFFSET(A14,-1,0),D14)</f>
        <v>1</v>
      </c>
      <c r="B14" t="str">
        <f ca="1">IF(NOT(ISBLANK(QCI.DescManual)),IF(QCI.Divisao="Calculado","Manual","SemiAuto"),IF(ISERROR(MATCH($A14,ORÇAMENTO!$E$15:$E$508,0)),"Branco","Automático"))</f>
        <v>Automático</v>
      </c>
      <c r="C14" t="str">
        <f t="shared" ref="C14" ca="1" si="1">IF(O14&gt;0,"F","")</f>
        <v>F</v>
      </c>
      <c r="D14" s="281">
        <f t="shared" ref="D14" si="2">ROW()-ROW($D$13)</f>
        <v>1</v>
      </c>
      <c r="E14" s="118" t="s">
        <v>105</v>
      </c>
      <c r="F14" s="118" t="s">
        <v>194</v>
      </c>
      <c r="G14" s="163" t="str">
        <f ca="1">IF(OR($B14="Manual",$B14="SemiAuto"),QCI.DescManual,IF($B14="Automático",INDEX(ORÇAMENTO!$R$15:$R$508,MATCH($A14,ORÇAMENTO!$E$15:$E$508,0)),""))</f>
        <v>ETE - BREJO ALEGRE - FASE II</v>
      </c>
      <c r="H14" s="118" t="s">
        <v>977</v>
      </c>
      <c r="I14" s="464">
        <v>1</v>
      </c>
      <c r="J14" s="282" t="str">
        <f ca="1">IF(AND(ISBLANK(E14),ISBLANK(F14)),"",VLOOKUP($F14,OFFSET(DADOS!$A$2,1,MATCH(QCI!$E14,DADOS!$2:$2,0)-1,100,50),2,FALSE))</f>
        <v>m³/s</v>
      </c>
      <c r="K14" s="463" t="str">
        <f ca="1">IF(OR($B14="Manual",$B14="SemiAuto"),QCI.LoteManual,IF($B14="Automático",IF(TIPOORCAMENTO="Licitado",Import.CTEF,"LOTE 1"),""))</f>
        <v>LOTE 1</v>
      </c>
      <c r="L14" s="283">
        <f t="shared" ref="L14" ca="1" si="3">ROUND($O14,2)-ROUND($M14,2)-ROUND($N14,2)</f>
        <v>8302970.1299999999</v>
      </c>
      <c r="M14" s="284">
        <f t="shared" ref="M14" ca="1" si="4">ROUND($AA14,2)-ROUND($AE14,2)</f>
        <v>0</v>
      </c>
      <c r="N14" s="285">
        <f t="shared" ref="N14" ca="1" si="5">ROUND($AB14,2)</f>
        <v>0</v>
      </c>
      <c r="O14" s="286">
        <f ca="1">IF($B14="Branco",0,IF(OR($B14="Manual",$B14="SemiAuto"),QCI.InvManual,INDEX(ORÇAMENTO!X$15:X$508,MATCH($A14,ORÇAMENTO!$E$15:$E$508,0))))</f>
        <v>8302970.1299999999</v>
      </c>
      <c r="P14" s="577" t="str">
        <f t="shared" ref="P14" ca="1" si="6">IF(O14=0,"",
  IF(E14="","ITEM",
  IF(F14="","SUBITEM",
  IF(H14="","SITUAÇÃO",
  IF(I14=0,"QUANT.","")))))</f>
        <v/>
      </c>
      <c r="R14" s="465"/>
      <c r="S14" s="578" t="str">
        <f t="shared" ref="S14" si="7">IF(R14="","",
  IF(T14=0,"► LOTE",
  IF(U14=0,"► INVEST",
  IF(V14=0,"► DIV",
  IF(AND(V14="Calculado",W14=""),"► CP",
  IF(AND(V14="Calculado",X14=""),"► OU",""))))))</f>
        <v/>
      </c>
      <c r="T14" s="466"/>
      <c r="U14" s="579"/>
      <c r="V14" s="467" t="s">
        <v>819</v>
      </c>
      <c r="W14" s="580">
        <v>0</v>
      </c>
      <c r="X14" s="581">
        <v>0</v>
      </c>
      <c r="Z14">
        <f t="shared" ref="Z14" ca="1" si="8">$O14-$AA14-$AB14</f>
        <v>8302970.1299999999</v>
      </c>
      <c r="AA14">
        <f ca="1">IF($B14="Branco",0,IF($B14="Manual",QCI.CPManual,IF($B14="SemiAuto",ROUND(QCI!$AA$3*QCI.InvManual,2),INDEX(ORÇAMENTO!$AA$15:$AA$508,MATCH($A14,ORÇAMENTO!$E$15:$E$508,0)))))</f>
        <v>0</v>
      </c>
      <c r="AB14">
        <f ca="1">IF($B14="Branco",0,IF($B14="Manual",QCI.OutrosManual,IF($B14="SemiAuto",0,INDEX(ORÇAMENTO!$AB$15:$AB$508,MATCH($A14,ORÇAMENTO!$E$15:$E$508,0)))))</f>
        <v>0</v>
      </c>
      <c r="AD14" s="289" t="b">
        <f ca="1">AND($AA$3&gt;0,$AA$3&lt;1,$O14&gt;0,OR($B14="Automático",$B14="SemiAuto"),OR(QCI!$Z$3=QCI!$Z$7,QCI!$Z$3=QCI!$AA$7,QCI!$Z$3=QCI!$AB$7))</f>
        <v>0</v>
      </c>
      <c r="AE14" s="289">
        <f ca="1">IF(AND($AD14,$O14&gt;0,COUNTIF(OFFSET($AD14,1,0):$AD$15,TRUE)=0),CHOOSE(1+LOG(1+2*(QCI!$Z$3=QCI!$Z$7)+4*(QCI!$Z$3=QCI!$AA$7)+8*(QCI!$Z$3=QCI!$AB$7),2),0,$AA$15-ROUND(Import.CPMinPerc*$O$15,2),$AA$15-Import.CPMinAbsoluta,Import.Repasse-$Z$15),0)</f>
        <v>0</v>
      </c>
    </row>
    <row r="15" spans="1:31" ht="15" x14ac:dyDescent="0.2">
      <c r="B15" t="s">
        <v>829</v>
      </c>
      <c r="C15" t="s">
        <v>536</v>
      </c>
      <c r="D15" s="294"/>
      <c r="E15" s="295"/>
      <c r="F15" s="295"/>
      <c r="G15" s="295"/>
      <c r="H15" s="295"/>
      <c r="I15" s="295"/>
      <c r="J15" s="295"/>
      <c r="K15" s="781" t="s">
        <v>830</v>
      </c>
      <c r="L15" s="296">
        <f ca="1">SUM(L13:OFFSET(L15,-1,0))</f>
        <v>8302970.1299999999</v>
      </c>
      <c r="M15" s="297">
        <f ca="1">SUM(M13:OFFSET(M15,-1,0))</f>
        <v>0</v>
      </c>
      <c r="N15" s="298">
        <f ca="1">SUM(N13:OFFSET(N15,-1,0))</f>
        <v>0</v>
      </c>
      <c r="O15" s="299">
        <f ca="1">SUM(O13:OFFSET(O15,-1,0))</f>
        <v>8302970.1299999999</v>
      </c>
      <c r="R15" s="300"/>
      <c r="T15" s="301"/>
      <c r="U15" s="302"/>
      <c r="V15" s="303"/>
      <c r="W15" s="304"/>
      <c r="X15" s="305"/>
      <c r="Z15" s="88">
        <f ca="1">SUMPRODUCT(ROUND(Z13:OFFSET(Z15,-1,0),2))</f>
        <v>8302970.1299999999</v>
      </c>
      <c r="AA15" s="88">
        <f ca="1">SUMPRODUCT(ROUND(AA13:OFFSET(AA15,-1,0),2))</f>
        <v>0</v>
      </c>
      <c r="AB15" s="88">
        <f ca="1">SUM(AB13:OFFSET(AB15,-1,0))</f>
        <v>0</v>
      </c>
    </row>
    <row r="16" spans="1:31" x14ac:dyDescent="0.2">
      <c r="B16" t="s">
        <v>831</v>
      </c>
      <c r="C16" t="s">
        <v>536</v>
      </c>
      <c r="D16" s="306"/>
      <c r="E16" s="307"/>
      <c r="F16" s="307"/>
      <c r="G16" s="307"/>
      <c r="H16" s="307"/>
      <c r="I16" s="307"/>
      <c r="J16" s="307"/>
      <c r="K16" s="781"/>
      <c r="L16" s="308">
        <f ca="1">IF(ISERROR(L15/$O15),0,ROUND(L15/$O15,4))</f>
        <v>1</v>
      </c>
      <c r="M16" s="309">
        <f ca="1">IF(ISERROR(M15/$O15),0,ROUND(M15/$O15,4))</f>
        <v>0</v>
      </c>
      <c r="N16" s="310">
        <f ca="1">IF(ISERROR(N15/$O15),0,ROUND(N15/$O15,4))</f>
        <v>0</v>
      </c>
      <c r="O16" s="311">
        <f ca="1">IF(ISERROR(O15/$O15),0,ROUND(O15/$O15,4))</f>
        <v>1</v>
      </c>
      <c r="R16" s="312"/>
      <c r="T16" s="313"/>
      <c r="U16" s="314"/>
      <c r="V16" s="315"/>
      <c r="W16" s="316"/>
      <c r="X16" s="317"/>
    </row>
    <row r="18" spans="4:15" ht="14.25" x14ac:dyDescent="0.2">
      <c r="D18" s="135" t="s">
        <v>689</v>
      </c>
    </row>
    <row r="19" spans="4:15" ht="12.75" customHeight="1" x14ac:dyDescent="0.2">
      <c r="D19" s="681"/>
      <c r="E19" s="681"/>
      <c r="F19" s="681"/>
      <c r="G19" s="681"/>
      <c r="H19" s="681"/>
      <c r="I19" s="681"/>
      <c r="J19" s="681"/>
      <c r="K19" s="681"/>
      <c r="L19" s="681"/>
      <c r="M19" s="681"/>
      <c r="N19" s="681"/>
      <c r="O19" s="681"/>
    </row>
    <row r="20" spans="4:15" ht="12.75" customHeight="1" x14ac:dyDescent="0.2">
      <c r="D20" s="681"/>
      <c r="E20" s="681"/>
      <c r="F20" s="681"/>
      <c r="G20" s="681"/>
      <c r="H20" s="681"/>
      <c r="I20" s="681"/>
      <c r="J20" s="681"/>
      <c r="K20" s="681"/>
      <c r="L20" s="681"/>
      <c r="M20" s="681"/>
      <c r="N20" s="681"/>
      <c r="O20" s="681"/>
    </row>
    <row r="21" spans="4:15" ht="12.75" customHeight="1" x14ac:dyDescent="0.2">
      <c r="D21" s="681"/>
      <c r="E21" s="681"/>
      <c r="F21" s="681"/>
      <c r="G21" s="681"/>
      <c r="H21" s="681"/>
      <c r="I21" s="681"/>
      <c r="J21" s="681"/>
      <c r="K21" s="681"/>
      <c r="L21" s="681"/>
      <c r="M21" s="681"/>
      <c r="N21" s="681"/>
      <c r="O21" s="681"/>
    </row>
    <row r="24" spans="4:15" ht="15" x14ac:dyDescent="0.2">
      <c r="D24" s="683" t="str">
        <f>Import.Município</f>
        <v>Araguari / MG</v>
      </c>
      <c r="E24" s="683"/>
      <c r="F24" s="683"/>
      <c r="I24" s="139"/>
      <c r="J24" s="139"/>
      <c r="K24" s="180"/>
      <c r="L24" s="180"/>
    </row>
    <row r="25" spans="4:15" x14ac:dyDescent="0.2">
      <c r="D25" s="9" t="s">
        <v>693</v>
      </c>
      <c r="I25" s="181" t="s">
        <v>832</v>
      </c>
      <c r="J25" s="181"/>
    </row>
    <row r="26" spans="4:15" x14ac:dyDescent="0.2">
      <c r="I26" s="77" t="str">
        <f>"Nome:" &amp;  " " &amp; DADOS!C28</f>
        <v>Nome: RENATO CARVALHO FERNANDES</v>
      </c>
    </row>
    <row r="27" spans="4:15" x14ac:dyDescent="0.2">
      <c r="D27" s="677">
        <f>DADOS!$C$25</f>
        <v>45996</v>
      </c>
      <c r="E27" s="677"/>
      <c r="F27" s="677"/>
      <c r="I27" s="77" t="str">
        <f>"Cargo:"  &amp; " " &amp; DADOS!C29</f>
        <v>Cargo: PREFEITO MUNICIPAL</v>
      </c>
    </row>
    <row r="28" spans="4:15" x14ac:dyDescent="0.2">
      <c r="D28" s="140" t="s">
        <v>694</v>
      </c>
      <c r="E28" s="1"/>
      <c r="F28" s="1"/>
      <c r="K28" s="77"/>
      <c r="L28" s="78"/>
    </row>
  </sheetData>
  <sheetProtection algorithmName="SHA-512" hashValue="ZpM7LNKS57nSbdNT+AKcGqLBNsvBZNp6ZAMRGWiNBiePMBrF2iw6jHtxfk6Mpa9puxEBFWiGD2jVGyq6CsWt4g==" saltValue="BnRT8jpQBj6d08wLbZby3g==" spinCount="100000" sheet="1" objects="1" scenarios="1" autoFilter="0"/>
  <autoFilter ref="C13:C16" xr:uid="{00000000-0009-0000-0000-00000A000000}"/>
  <mergeCells count="20">
    <mergeCell ref="D6:K6"/>
    <mergeCell ref="A10:A11"/>
    <mergeCell ref="Z10:AB10"/>
    <mergeCell ref="D27:F27"/>
    <mergeCell ref="D19:O21"/>
    <mergeCell ref="D24:F24"/>
    <mergeCell ref="AD10:AE10"/>
    <mergeCell ref="K15:K16"/>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T14:V14">
    <cfRule type="expression" dxfId="377" priority="849" stopIfTrue="1">
      <formula>OR($B12="Automático",$B12="Branco")</formula>
    </cfRule>
  </conditionalFormatting>
  <conditionalFormatting sqref="L12 L14">
    <cfRule type="expression" dxfId="376" priority="850" stopIfTrue="1">
      <formula>OR(L12&lt;0,AND(L$13="Contrapartida Financeira (R$)",$B12="T%",OR(L12&lt;Import.CPMinPerc,AND(L12&gt;Import.CPMaxPerc,Import.CPMaxPerc&gt;0))),AND(L$13="Contrapartida Financeira (R$)",$B12="TR$",L12&lt;Import.CPMinAbsoluta))</formula>
    </cfRule>
  </conditionalFormatting>
  <conditionalFormatting sqref="W12:X12 W14:X14">
    <cfRule type="expression" dxfId="375" priority="851" stopIfTrue="1">
      <formula>OR($B12="Automático",$B12="Branco",$V12&lt;&gt;"Calculado")</formula>
    </cfRule>
  </conditionalFormatting>
  <conditionalFormatting sqref="M16">
    <cfRule type="expression" dxfId="374" priority="853" stopIfTrue="1">
      <formula>AND($G$9&lt;&gt;"",OR($M$16&lt;Import.CPMinPerc,$M$16&gt;Import.CPMaxPerc))</formula>
    </cfRule>
  </conditionalFormatting>
  <conditionalFormatting sqref="M15">
    <cfRule type="expression" dxfId="373" priority="854" stopIfTrue="1">
      <formula>AND($G$9&lt;&gt;"",$M$15&lt;Import.CPMinAbsoluta)</formula>
    </cfRule>
  </conditionalFormatting>
  <conditionalFormatting sqref="L10:M10">
    <cfRule type="cellIs" dxfId="372" priority="855" stopIfTrue="1" operator="lessThan">
      <formula>0</formula>
    </cfRule>
  </conditionalFormatting>
  <conditionalFormatting sqref="G12">
    <cfRule type="cellIs" dxfId="371" priority="856" stopIfTrue="1" operator="equal">
      <formula>"(digite a descrição aqui)"</formula>
    </cfRule>
  </conditionalFormatting>
  <conditionalFormatting sqref="G14">
    <cfRule type="cellIs" dxfId="370" priority="8"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 type="list" allowBlank="1" showInputMessage="1" showErrorMessage="1" errorTitle="Erro:" error="Selecione uma opção da lista." prompt="Selecione uma opção da lista." sqref="H12 H14" xr:uid="{2C92EC3B-F6E1-4E2F-B694-FDBD44D7E101}">
      <formula1>QCI.Lista.Situação</formula1>
    </dataValidation>
    <dataValidation type="list" allowBlank="1" showInputMessage="1" showErrorMessage="1" errorTitle="Erro:" error="Selecione uma opção da lista." prompt="Selecione uma opção da lista." sqref="F12 F14" xr:uid="{B8760799-99A8-4AC2-BB6C-C10778E4DA4D}">
      <formula1>QCI.SubItemInvestimento</formula1>
    </dataValidation>
    <dataValidation type="list" allowBlank="1" showInputMessage="1" showErrorMessage="1" errorTitle="Erro:" error="Selecione uma opção da lista." prompt="Selecione uma opção da lista." sqref="E12 E14" xr:uid="{C47D275E-9B79-4BFD-8F23-46B4A1B34E7F}">
      <formula1>QCI.ItemInvestimento</formula1>
    </dataValidation>
    <dataValidation type="list" allowBlank="1" showInputMessage="1" showErrorMessage="1" errorTitle="Erro:" error="Selecione uma opção da lista." prompt="Selecione uma opção da lista." sqref="V12 V14"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3"/>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5" t="e">
        <f ca="1">IF(AUTOEVENTO="Manual",OFFSET(EVENTOS!$D$15,$B1-$B$15,0),IF(B1&lt;=MAX(CÁLCULO!$M$15:$M$508),VLOOKUP($B1,CÁLCULO!$M$15:$N$508,2,FALSE),0))</f>
        <v>#REF!</v>
      </c>
      <c r="D1" s="785"/>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99" t="s">
        <v>644</v>
      </c>
      <c r="AE3" s="699"/>
      <c r="AF3" s="699"/>
    </row>
    <row r="4" spans="1:33" ht="15.75" x14ac:dyDescent="0.2">
      <c r="B4" s="82"/>
      <c r="C4" s="82"/>
      <c r="H4" s="83" t="str">
        <f>import.recurso</f>
        <v>OGU</v>
      </c>
      <c r="AD4" s="700" t="s">
        <v>647</v>
      </c>
      <c r="AE4" s="700"/>
      <c r="AF4" s="700"/>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f>IF(TIPOORCAMENTO="Licitado","NOME DA EMPRESA","DESCRIÇÃO DO LOTE")</f>
        <v>DESCRIÇÃO DO LOTE</v>
      </c>
      <c r="W6" s="186"/>
      <c r="X6" s="186"/>
      <c r="Y6" s="186"/>
      <c r="AD6" s="4"/>
      <c r="AE6" s="799" t="str">
        <f>IF(TIPOORCAMENTO="Licitado","Nº CTEF","")</f>
        <v/>
      </c>
      <c r="AF6" s="799"/>
    </row>
    <row r="7" spans="1:33" x14ac:dyDescent="0.2">
      <c r="B7" s="764" t="str">
        <f>Import.CR</f>
        <v>1098284-30/2024</v>
      </c>
      <c r="C7" s="764"/>
      <c r="D7" s="214" t="str">
        <f>Import.TransfereGOV</f>
        <v>968559/2024</v>
      </c>
      <c r="E7" s="42"/>
      <c r="H7" s="774" t="str">
        <f>Import.Proponente</f>
        <v>Prefeitura Municipal</v>
      </c>
      <c r="I7" s="774"/>
      <c r="J7" s="774"/>
      <c r="K7" s="774"/>
      <c r="L7" s="774"/>
      <c r="M7" s="774"/>
      <c r="N7" s="774"/>
      <c r="O7" s="764" t="str">
        <f>Import.Apelido</f>
        <v>ETE - BREJO ALEGRE - FASE II</v>
      </c>
      <c r="P7" s="764"/>
      <c r="Q7" s="764"/>
      <c r="R7" s="764"/>
      <c r="S7" s="764"/>
      <c r="T7" s="764"/>
      <c r="U7" s="764"/>
      <c r="V7" s="764" t="str">
        <f>IF(TIPOORCAMENTO="Licitado",Import.empresa,Import.DescLote)</f>
        <v>ETE - BREJO ALEGRE - FASE II</v>
      </c>
      <c r="W7" s="764"/>
      <c r="X7" s="764"/>
      <c r="Y7" s="764"/>
      <c r="Z7" s="764"/>
      <c r="AA7" s="764"/>
      <c r="AB7" s="764"/>
      <c r="AC7" s="764"/>
      <c r="AD7" s="764"/>
      <c r="AE7" s="800" t="str">
        <f>IF(TIPOORCAMENTO="Licitado",Import.CTEF,"")</f>
        <v/>
      </c>
      <c r="AF7" s="800"/>
      <c r="AG7" s="265"/>
    </row>
    <row r="9" spans="1:33" ht="15.75" x14ac:dyDescent="0.25">
      <c r="A9" s="165">
        <v>0</v>
      </c>
      <c r="B9" s="266"/>
      <c r="C9" s="266"/>
      <c r="I9" s="267" t="s">
        <v>834</v>
      </c>
      <c r="J9" s="802">
        <v>1</v>
      </c>
      <c r="K9" s="802"/>
      <c r="M9" s="267" t="s">
        <v>799</v>
      </c>
      <c r="N9" s="803" t="str">
        <f ca="1">TEXT(IF(PLE.Medicao=1,Import.DataInicioObra,OFFSET($H$29,0,1+(PLE.Medicao-$I$30)*2-2)+1),"dd/mm/aaaa")&amp;" a "&amp;TEXT(OFFSET($H$29,0,1+(PLE.Medicao-$I$30)*2),"dd/mm/aaaa")</f>
        <v>00/01/1900 a 00/01/1900</v>
      </c>
      <c r="O9" s="803"/>
      <c r="P9" s="803"/>
      <c r="Q9" s="803"/>
      <c r="R9" s="803"/>
      <c r="S9" s="803"/>
      <c r="T9" s="803"/>
      <c r="U9" s="268"/>
      <c r="X9" s="267" t="s">
        <v>835</v>
      </c>
      <c r="Y9" s="801">
        <f ca="1">OFFSET($I$30,1+8*(ROUNDUP(($J$9-0)/((COLUMN($AG$14)-COLUMN($G$14)-1)/25*12),0)-1),ROUNDDOWN((($J$9-0)-OFFSET($I$30,8*(ROUNDUP(($J$9-0)/((COLUMN($AG$14)-COLUMN($G$14)-1)/25*12),0)-1),0))*(2+1/12),0))</f>
        <v>0</v>
      </c>
      <c r="Z9" s="801"/>
      <c r="AD9" s="267" t="s">
        <v>836</v>
      </c>
      <c r="AE9" s="801">
        <f ca="1">OFFSET($I$30,3+8*(ROUNDUP(($J$9-0)/((COLUMN($AG$14)-COLUMN($G$14)-1)/25*12),0)-1),ROUNDDOWN((($J$9-0)-OFFSET($I$30,8*(ROUNDUP(($J$9-0)/((COLUMN($AG$14)-COLUMN($G$14)-1)/25*12),0)-1),0))*(2+1/12),0))</f>
        <v>0</v>
      </c>
      <c r="AF9" s="801"/>
    </row>
    <row r="11" spans="1:33" ht="65.25" customHeight="1" x14ac:dyDescent="0.2">
      <c r="A11" s="250" t="s">
        <v>837</v>
      </c>
      <c r="C11" s="798"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IF($H$29&lt;&gt;"",UPPER($H$29),
 IF($S$38&lt;&gt;"",UPPER($S$38),""))))))</f>
        <v>ALTERE O TIPO DE ORÇAMENTO NA ABA 'MENU' PARA LICITADO.</v>
      </c>
      <c r="D11" s="798"/>
      <c r="F11" s="252" t="str">
        <f ca="1">IF(F$12&gt;CÁLCULO.NúmeroDeFrentes,"",OFFSET(CÁLCULO!$P$12,0,F$12))</f>
        <v>SERVIÇOS INICIAIS / TERRAPLENAGEM</v>
      </c>
      <c r="H11" s="252" t="str">
        <f ca="1">IF(H$12&gt;CÁLCULO.NúmeroDeFrentes,"",OFFSET(CÁLCULO!$P$12,0,H$12))</f>
        <v>SERVIÇOS INICIAIS / TERRAPLENAGEM</v>
      </c>
      <c r="I11" s="252" t="str">
        <f ca="1">IF(I$12&gt;CÁLCULO.NúmeroDeFrentes,"",OFFSET(CÁLCULO!$P$12,0,I$12))</f>
        <v>FILTRO BIOLÓGICO
ETAPA 1</v>
      </c>
      <c r="J11" s="252" t="str">
        <f ca="1">IF(J$12&gt;CÁLCULO.NúmeroDeFrentes,"",OFFSET(CÁLCULO!$P$12,0,J$12))</f>
        <v>FILTRO BIOLÓGICO
ETAPA 2</v>
      </c>
      <c r="K11" s="252" t="str">
        <f ca="1">IF(K$12&gt;CÁLCULO.NúmeroDeFrentes,"",OFFSET(CÁLCULO!$P$12,0,K$12))</f>
        <v>DECANTADOR SECUNDÁRIO</v>
      </c>
      <c r="L11" s="252" t="str">
        <f ca="1">IF(L$12&gt;CÁLCULO.NúmeroDeFrentes,"",OFFSET(CÁLCULO!$P$12,0,L$12))</f>
        <v>LEITOS DE SECAGEM</v>
      </c>
      <c r="M11" s="252" t="str">
        <f ca="1">IF(M$12&gt;CÁLCULO.NúmeroDeFrentes,"",OFFSET(CÁLCULO!$P$12,0,M$12))</f>
        <v>DESINFECÇÃO</v>
      </c>
      <c r="N11" s="252" t="str">
        <f ca="1">IF(N$12&gt;CÁLCULO.NúmeroDeFrentes,"",OFFSET(CÁLCULO!$P$12,0,N$12))</f>
        <v>ESTRUTURA METÁLICA</v>
      </c>
      <c r="O11" s="252" t="str">
        <f ca="1">IF(O$12&gt;CÁLCULO.NúmeroDeFrentes,"",OFFSET(CÁLCULO!$P$12,0,O$12))</f>
        <v>INSTALAÇÕES ELÉTRICAS</v>
      </c>
      <c r="P11" s="252" t="str">
        <f ca="1">IF(P$12&gt;CÁLCULO.NúmeroDeFrentes,"",OFFSET(CÁLCULO!$P$12,0,P$12))</f>
        <v>CFTV</v>
      </c>
      <c r="Q11" s="252" t="str">
        <f ca="1">IF(Q$12&gt;CÁLCULO.NúmeroDeFrentes,"",OFFSET(CÁLCULO!$P$12,0,Q$12))</f>
        <v>COBERTURA 3</v>
      </c>
      <c r="R11" s="252">
        <f ca="1">IF(R$12&gt;CÁLCULO.NúmeroDeFrentes,"",OFFSET(CÁLCULO!$P$12,0,R$12))</f>
        <v>0</v>
      </c>
      <c r="S11" s="252">
        <f ca="1">IF(S$12&gt;CÁLCULO.NúmeroDeFrentes,"",OFFSET(CÁLCULO!$P$12,0,S$12))</f>
        <v>0</v>
      </c>
      <c r="T11" s="252">
        <f ca="1">IF(T$12&gt;CÁLCULO.NúmeroDeFrentes,"",OFFSET(CÁLCULO!$P$12,0,T$12))</f>
        <v>0</v>
      </c>
      <c r="U11" s="252">
        <f ca="1">IF(U$12&gt;CÁLCULO.NúmeroDeFrentes,"",OFFSET(CÁLCULO!$P$12,0,U$12))</f>
        <v>0</v>
      </c>
      <c r="V11" s="252">
        <f ca="1">IF(V$12&gt;CÁLCULO.NúmeroDeFrentes,"",OFFSET(CÁLCULO!$P$12,0,V$12))</f>
        <v>0</v>
      </c>
      <c r="W11" s="252">
        <f ca="1">IF(W$12&gt;CÁLCULO.NúmeroDeFrentes,"",OFFSET(CÁLCULO!$P$12,0,W$12))</f>
        <v>0</v>
      </c>
      <c r="X11" s="252">
        <f ca="1">IF(X$12&gt;CÁLCULO.NúmeroDeFrentes,"",OFFSET(CÁLCULO!$P$12,0,X$12))</f>
        <v>0</v>
      </c>
      <c r="Y11" s="252">
        <f ca="1">IF(Y$12&gt;CÁLCULO.NúmeroDeFrentes,"",OFFSET(CÁLCULO!$P$12,0,Y$12))</f>
        <v>0</v>
      </c>
      <c r="Z11" s="252" t="str">
        <f ca="1">IF(Z$12&gt;CÁLCULO.NúmeroDeFrentes,"",OFFSET(CÁLCULO!$P$12,0,Z$12))</f>
        <v/>
      </c>
      <c r="AA11" s="252" t="str">
        <f ca="1">IF(AA$12&gt;CÁLCULO.NúmeroDeFrentes,"",OFFSET(CÁLCULO!$P$12,0,AA$12))</f>
        <v/>
      </c>
      <c r="AB11" s="252" t="str">
        <f ca="1">IF(AB$12&gt;CÁLCULO.NúmeroDeFrentes,"",OFFSET(CÁLCULO!$P$12,0,AB$12))</f>
        <v/>
      </c>
      <c r="AC11" s="252" t="str">
        <f ca="1">IF(AC$12&gt;CÁLCULO.NúmeroDeFrentes,"",OFFSET(CÁLCULO!$P$12,0,AC$12))</f>
        <v/>
      </c>
      <c r="AD11" s="252" t="str">
        <f ca="1">IF(AD$12&gt;CÁLCULO.NúmeroDeFrentes,"",OFFSET(CÁLCULO!$P$12,0,AD$12))</f>
        <v/>
      </c>
      <c r="AE11" s="252" t="str">
        <f ca="1">IF(AE$12&gt;CÁLCULO.NúmeroDeFrentes,"",OFFSET(CÁLCULO!$P$12,0,AE$12))</f>
        <v/>
      </c>
      <c r="AF11" s="252" t="str">
        <f ca="1">IF(AF$12&gt;CÁLCULO.NúmeroDeFrentes,"",OFFSET(CÁLCULO!$P$12,0,AF$12))</f>
        <v/>
      </c>
    </row>
    <row r="12" spans="1:33" ht="12.75" customHeight="1" x14ac:dyDescent="0.2">
      <c r="A12" s="106" t="s">
        <v>660</v>
      </c>
      <c r="B12" s="760" t="s">
        <v>760</v>
      </c>
      <c r="C12" s="760" t="s">
        <v>778</v>
      </c>
      <c r="D12" s="760"/>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60"/>
      <c r="C13" s="760"/>
      <c r="D13" s="760"/>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804" t="str">
        <f>EVENTOS!$D$15</f>
        <v/>
      </c>
      <c r="D15" s="804"/>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24" ca="1" si="1">IF(C16=0,"","F")</f>
        <v>F</v>
      </c>
      <c r="B16" s="247">
        <f t="shared" ref="B16:B24" ca="1" si="2">OFFSET(B16,-1,0)+1</f>
        <v>1</v>
      </c>
      <c r="C16" s="785" t="str">
        <f ca="1">IF(AUTOEVENTO="Manual",OFFSET(EVENTOS!$D$15,$B16-$B$15,0),IF(B16&lt;=MAX(CÁLCULO!$M$15:$M$508),VLOOKUP($B16,CÁLCULO!$M$15:$N$508,2,FALSE),0))</f>
        <v>Mobilização e Desmobilização</v>
      </c>
      <c r="D16" s="785"/>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t="shared" ca="1" si="1"/>
        <v>F</v>
      </c>
      <c r="B17" s="247">
        <f t="shared" ca="1" si="2"/>
        <v>2</v>
      </c>
      <c r="C17" s="785" t="str">
        <f ca="1">IF(AUTOEVENTO="Manual",OFFSET(EVENTOS!$D$15,$B17-$B$15,0),IF(B17&lt;=MAX(CÁLCULO!$M$15:$M$508),VLOOKUP($B17,CÁLCULO!$M$15:$N$508,2,FALSE),0))</f>
        <v>Serviços Iniciais</v>
      </c>
      <c r="D17" s="785"/>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t="shared" ca="1" si="1"/>
        <v>F</v>
      </c>
      <c r="B18" s="247">
        <f t="shared" ca="1" si="2"/>
        <v>3</v>
      </c>
      <c r="C18" s="785" t="str">
        <f ca="1">IF(AUTOEVENTO="Manual",OFFSET(EVENTOS!$D$15,$B18-$B$15,0),IF(B18&lt;=MAX(CÁLCULO!$M$15:$M$508),VLOOKUP($B18,CÁLCULO!$M$15:$N$508,2,FALSE),0))</f>
        <v>Terraplenagem</v>
      </c>
      <c r="D18" s="785"/>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5" t="str">
        <f ca="1">IF(AUTOEVENTO="Manual",OFFSET(EVENTOS!$D$15,$B19-$B$15,0),IF(B19&lt;=MAX(CÁLCULO!$M$15:$M$508),VLOOKUP($B19,CÁLCULO!$M$15:$N$508,2,FALSE),0))</f>
        <v>Estruturas de Concreto</v>
      </c>
      <c r="D19" s="785"/>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5" t="str">
        <f ca="1">IF(AUTOEVENTO="Manual",OFFSET(EVENTOS!$D$15,$B20-$B$15,0),IF(B20&lt;=MAX(CÁLCULO!$M$15:$M$508),VLOOKUP($B20,CÁLCULO!$M$15:$N$508,2,FALSE),0))</f>
        <v>Estrutura Metálica</v>
      </c>
      <c r="D20" s="785"/>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5" t="str">
        <f ca="1">IF(AUTOEVENTO="Manual",OFFSET(EVENTOS!$D$15,$B21-$B$15,0),IF(B21&lt;=MAX(CÁLCULO!$M$15:$M$508),VLOOKUP($B21,CÁLCULO!$M$15:$N$508,2,FALSE),0))</f>
        <v>Saneamento</v>
      </c>
      <c r="D21" s="785"/>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85" t="str">
        <f ca="1">IF(AUTOEVENTO="Manual",OFFSET(EVENTOS!$D$15,$B22-$B$15,0),IF(B22&lt;=MAX(CÁLCULO!$M$15:$M$508),VLOOKUP($B22,CÁLCULO!$M$15:$N$508,2,FALSE),0))</f>
        <v>Instalações Elétricas</v>
      </c>
      <c r="D22" s="785"/>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85" t="str">
        <f ca="1">IF(AUTOEVENTO="Manual",OFFSET(EVENTOS!$D$15,$B23-$B$15,0),IF(B23&lt;=MAX(CÁLCULO!$M$15:$M$508),VLOOKUP($B23,CÁLCULO!$M$15:$N$508,2,FALSE),0))</f>
        <v>CFTV</v>
      </c>
      <c r="D23" s="785"/>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85" t="str">
        <f ca="1">IF(AUTOEVENTO="Manual",OFFSET(EVENTOS!$D$15,$B24-$B$15,0),IF(B24&lt;=MAX(CÁLCULO!$M$15:$M$508),VLOOKUP($B24,CÁLCULO!$M$15:$N$508,2,FALSE),0))</f>
        <v>Arquitetura</v>
      </c>
      <c r="D24" s="785"/>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19.5" customHeight="1" x14ac:dyDescent="0.2">
      <c r="A25" s="7" t="str">
        <f ca="1">IF(C25=0,"","F")</f>
        <v>F</v>
      </c>
      <c r="B25" s="247">
        <f ca="1">OFFSET(B25,-1,0)+1</f>
        <v>10</v>
      </c>
      <c r="C25" s="785" t="str">
        <f ca="1">IF(AUTOEVENTO="Manual",OFFSET(EVENTOS!$D$15,$B25-$B$15,0),IF(B25&lt;=MAX(CÁLCULO!$M$15:$M$508),VLOOKUP($B25,CÁLCULO!$M$15:$N$508,2,FALSE),0))</f>
        <v>Administração Local</v>
      </c>
      <c r="D25" s="785"/>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ht="4.5" customHeight="1" x14ac:dyDescent="0.2">
      <c r="A26" s="7" t="s">
        <v>536</v>
      </c>
      <c r="B26" s="608"/>
      <c r="C26" s="609"/>
      <c r="D26" s="419"/>
      <c r="F26" s="626"/>
      <c r="H26" s="608"/>
      <c r="I26" s="609"/>
      <c r="J26" s="609"/>
      <c r="K26" s="609"/>
      <c r="L26" s="609"/>
      <c r="M26" s="609"/>
      <c r="N26" s="609"/>
      <c r="O26" s="609"/>
      <c r="P26" s="609"/>
      <c r="Q26" s="609"/>
      <c r="R26" s="609"/>
      <c r="S26" s="609"/>
      <c r="T26" s="609"/>
      <c r="U26" s="609"/>
      <c r="V26" s="609"/>
      <c r="W26" s="609"/>
      <c r="X26" s="609"/>
      <c r="Y26" s="609"/>
      <c r="Z26" s="609"/>
      <c r="AA26" s="609"/>
      <c r="AB26" s="609"/>
      <c r="AC26" s="609"/>
      <c r="AD26" s="609"/>
      <c r="AE26" s="609"/>
      <c r="AF26" s="419"/>
    </row>
    <row r="27" spans="1:32" x14ac:dyDescent="0.2">
      <c r="A27" s="7" t="s">
        <v>536</v>
      </c>
    </row>
    <row r="28" spans="1:32" x14ac:dyDescent="0.2">
      <c r="A28" s="7" t="s">
        <v>536</v>
      </c>
      <c r="I28" s="794" t="s">
        <v>839</v>
      </c>
      <c r="J28" s="794"/>
      <c r="K28" s="794"/>
      <c r="L28" s="794"/>
      <c r="M28" s="794"/>
      <c r="N28" s="794"/>
      <c r="O28" s="794"/>
      <c r="P28" s="794"/>
      <c r="Q28" s="794"/>
      <c r="R28" s="794"/>
      <c r="S28" s="794"/>
      <c r="T28" s="794"/>
      <c r="U28" s="794"/>
      <c r="V28" s="794"/>
      <c r="W28" s="794"/>
      <c r="X28" s="794"/>
      <c r="Y28" s="794"/>
      <c r="Z28" s="794"/>
      <c r="AA28" s="794"/>
      <c r="AB28" s="794"/>
      <c r="AC28" s="794"/>
      <c r="AD28" s="794"/>
      <c r="AE28" s="794"/>
      <c r="AF28" s="794"/>
    </row>
    <row r="29" spans="1:32" x14ac:dyDescent="0.2">
      <c r="A29" s="7" t="s">
        <v>536</v>
      </c>
      <c r="H29" s="583" t="str">
        <f>IF(INDEX($I$29:$AG$29,MATCH(PLE.Medicao,$I$30:$AG$30,0))="","Preencher a data da medição "&amp;PLE.Medicao,"")</f>
        <v>Preencher a data da medição 1</v>
      </c>
      <c r="I29" s="805"/>
      <c r="J29" s="787"/>
      <c r="K29" s="787"/>
      <c r="L29" s="787"/>
      <c r="M29" s="787"/>
      <c r="N29" s="787"/>
      <c r="O29" s="787"/>
      <c r="P29" s="787"/>
      <c r="Q29" s="787"/>
      <c r="R29" s="787"/>
      <c r="S29" s="787"/>
      <c r="T29" s="787"/>
      <c r="U29" s="787"/>
      <c r="V29" s="787"/>
      <c r="W29" s="787"/>
      <c r="X29" s="787"/>
      <c r="Y29" s="787"/>
      <c r="Z29" s="787"/>
      <c r="AA29" s="787"/>
      <c r="AB29" s="787"/>
      <c r="AC29" s="787"/>
      <c r="AD29" s="787"/>
      <c r="AE29" s="787"/>
      <c r="AF29" s="795"/>
    </row>
    <row r="30" spans="1:32" x14ac:dyDescent="0.2">
      <c r="A30" s="7" t="s">
        <v>536</v>
      </c>
      <c r="D30" s="269" t="s">
        <v>840</v>
      </c>
      <c r="I30" s="796">
        <f>IF(PLE.Medicao&lt;=12,1,TRUNC((PLE.Medicao - 2)/11,0) * 11 + 1)</f>
        <v>1</v>
      </c>
      <c r="J30" s="796"/>
      <c r="K30" s="796">
        <f>I30+1</f>
        <v>2</v>
      </c>
      <c r="L30" s="796"/>
      <c r="M30" s="796">
        <f>K30+1</f>
        <v>3</v>
      </c>
      <c r="N30" s="796"/>
      <c r="O30" s="796">
        <f>M30+1</f>
        <v>4</v>
      </c>
      <c r="P30" s="796"/>
      <c r="Q30" s="796">
        <f>O30+1</f>
        <v>5</v>
      </c>
      <c r="R30" s="796"/>
      <c r="S30" s="796">
        <f>Q30+1</f>
        <v>6</v>
      </c>
      <c r="T30" s="796"/>
      <c r="U30" s="796">
        <f>S30+1</f>
        <v>7</v>
      </c>
      <c r="V30" s="796"/>
      <c r="W30" s="796">
        <f>U30+1</f>
        <v>8</v>
      </c>
      <c r="X30" s="796"/>
      <c r="Y30" s="796">
        <f>W30+1</f>
        <v>9</v>
      </c>
      <c r="Z30" s="796"/>
      <c r="AA30" s="796">
        <f>Y30+1</f>
        <v>10</v>
      </c>
      <c r="AB30" s="796"/>
      <c r="AC30" s="796">
        <f>AA30+1</f>
        <v>11</v>
      </c>
      <c r="AD30" s="796"/>
      <c r="AE30" s="796">
        <f>AC30+1</f>
        <v>12</v>
      </c>
      <c r="AF30" s="796"/>
    </row>
    <row r="31" spans="1:32" x14ac:dyDescent="0.2">
      <c r="A31" s="7" t="s">
        <v>536</v>
      </c>
      <c r="D31" s="790" t="s">
        <v>799</v>
      </c>
      <c r="H31" s="270" t="s">
        <v>781</v>
      </c>
      <c r="I31" s="797">
        <f ca="1">ROUND(I32,2)/ORÇAMENTO!$X$15</f>
        <v>0</v>
      </c>
      <c r="J31" s="797"/>
      <c r="K31" s="789">
        <f ca="1">ROUND(K32,2)/ORÇAMENTO!$X$15</f>
        <v>0</v>
      </c>
      <c r="L31" s="789"/>
      <c r="M31" s="793">
        <f ca="1">ROUND(M32,2)/ORÇAMENTO!$X$15</f>
        <v>0</v>
      </c>
      <c r="N31" s="793"/>
      <c r="O31" s="789">
        <f ca="1">ROUND(O32,2)/ORÇAMENTO!$X$15</f>
        <v>0</v>
      </c>
      <c r="P31" s="789"/>
      <c r="Q31" s="793">
        <f ca="1">ROUND(Q32,2)/ORÇAMENTO!$X$15</f>
        <v>0</v>
      </c>
      <c r="R31" s="793"/>
      <c r="S31" s="789">
        <f ca="1">ROUND(S32,2)/ORÇAMENTO!$X$15</f>
        <v>0</v>
      </c>
      <c r="T31" s="789"/>
      <c r="U31" s="793">
        <f ca="1">ROUND(U32,2)/ORÇAMENTO!$X$15</f>
        <v>0</v>
      </c>
      <c r="V31" s="793"/>
      <c r="W31" s="789">
        <f ca="1">ROUND(W32,2)/ORÇAMENTO!$X$15</f>
        <v>0</v>
      </c>
      <c r="X31" s="789"/>
      <c r="Y31" s="793">
        <f ca="1">ROUND(Y32,2)/ORÇAMENTO!$X$15</f>
        <v>0</v>
      </c>
      <c r="Z31" s="793"/>
      <c r="AA31" s="789">
        <f ca="1">ROUND(AA32,2)/ORÇAMENTO!$X$15</f>
        <v>0</v>
      </c>
      <c r="AB31" s="789"/>
      <c r="AC31" s="793">
        <f ca="1">ROUND(AC32,2)/ORÇAMENTO!$X$15</f>
        <v>0</v>
      </c>
      <c r="AD31" s="793"/>
      <c r="AE31" s="789">
        <f ca="1">ROUND(AE32,2)/ORÇAMENTO!$X$15</f>
        <v>0</v>
      </c>
      <c r="AF31" s="789"/>
    </row>
    <row r="32" spans="1:32" x14ac:dyDescent="0.2">
      <c r="A32" s="7" t="s">
        <v>536</v>
      </c>
      <c r="D32" s="790"/>
      <c r="H32" s="11" t="s">
        <v>782</v>
      </c>
      <c r="I32" s="788" cm="1">
        <f t="array" aca="1" ref="I32" ca="1">IF(I30=1,I34,_xlfn.SINGLE(AH11ARRED(I34,2))-ROUND(SUMIF(CÁLCULO!$BV$15:$CN$508,"&lt;="&amp;PLE!I30-1,CÁLCULO!$AJ$15:$BB$508)*IF(AdmLocal="Automática",(1+_xlfn.SINGLE(CÁLCULO.TotalAdmLocal)/(ORÇAMENTO!$X$15-_xlfn.SINGLE(CÁLCULO.TotalAdmLocal))),1),2))</f>
        <v>0</v>
      </c>
      <c r="J32" s="788"/>
      <c r="K32" s="788">
        <f ca="1">ROUND(K34,2)-ROUND(I34,2)</f>
        <v>0</v>
      </c>
      <c r="L32" s="788"/>
      <c r="M32" s="786">
        <f ca="1">ROUND(M34,2)-ROUND(K34,2)</f>
        <v>0</v>
      </c>
      <c r="N32" s="786"/>
      <c r="O32" s="788">
        <f ca="1">ROUND(O34,2)-ROUND(M34,2)</f>
        <v>0</v>
      </c>
      <c r="P32" s="788"/>
      <c r="Q32" s="786">
        <f ca="1">ROUND(Q34,2)-ROUND(O34,2)</f>
        <v>0</v>
      </c>
      <c r="R32" s="786"/>
      <c r="S32" s="788">
        <f ca="1">ROUND(S34,2)-ROUND(Q34,2)</f>
        <v>0</v>
      </c>
      <c r="T32" s="788"/>
      <c r="U32" s="786">
        <f ca="1">ROUND(U34,2)-ROUND(S34,2)</f>
        <v>0</v>
      </c>
      <c r="V32" s="786"/>
      <c r="W32" s="788">
        <f ca="1">ROUND(W34,2)-ROUND(U34,2)</f>
        <v>0</v>
      </c>
      <c r="X32" s="788"/>
      <c r="Y32" s="786">
        <f ca="1">ROUND(Y34,2)-ROUND(W34,2)</f>
        <v>0</v>
      </c>
      <c r="Z32" s="786"/>
      <c r="AA32" s="788">
        <f ca="1">ROUND(AA34,2)-ROUND(Y34,2)</f>
        <v>0</v>
      </c>
      <c r="AB32" s="788"/>
      <c r="AC32" s="786">
        <f ca="1">ROUND(AC34,2)-ROUND(AA34,2)</f>
        <v>0</v>
      </c>
      <c r="AD32" s="786"/>
      <c r="AE32" s="788">
        <f ca="1">ROUND(AE34,2)-ROUND(AC34,2)</f>
        <v>0</v>
      </c>
      <c r="AF32" s="788"/>
    </row>
    <row r="33" spans="1:32" x14ac:dyDescent="0.2">
      <c r="A33" s="7" t="s">
        <v>536</v>
      </c>
      <c r="D33" s="790" t="s">
        <v>803</v>
      </c>
      <c r="H33" s="270" t="s">
        <v>781</v>
      </c>
      <c r="I33" s="807">
        <f ca="1">ROUND(I34,2)/ORÇAMENTO!$X$15</f>
        <v>0</v>
      </c>
      <c r="J33" s="807"/>
      <c r="K33" s="791">
        <f ca="1">ROUND(K34,2)/ORÇAMENTO!$X$15</f>
        <v>0</v>
      </c>
      <c r="L33" s="791"/>
      <c r="M33" s="792">
        <f ca="1">ROUND(M34,2)/ORÇAMENTO!$X$15</f>
        <v>0</v>
      </c>
      <c r="N33" s="792"/>
      <c r="O33" s="791">
        <f ca="1">ROUND(O34,2)/ORÇAMENTO!$X$15</f>
        <v>0</v>
      </c>
      <c r="P33" s="791"/>
      <c r="Q33" s="792">
        <f ca="1">ROUND(Q34,2)/ORÇAMENTO!$X$15</f>
        <v>0</v>
      </c>
      <c r="R33" s="792"/>
      <c r="S33" s="791">
        <f ca="1">ROUND(S34,2)/ORÇAMENTO!$X$15</f>
        <v>0</v>
      </c>
      <c r="T33" s="791"/>
      <c r="U33" s="792">
        <f ca="1">ROUND(U34,2)/ORÇAMENTO!$X$15</f>
        <v>0</v>
      </c>
      <c r="V33" s="792"/>
      <c r="W33" s="791">
        <f ca="1">ROUND(W34,2)/ORÇAMENTO!$X$15</f>
        <v>0</v>
      </c>
      <c r="X33" s="791"/>
      <c r="Y33" s="792">
        <f ca="1">ROUND(Y34,2)/ORÇAMENTO!$X$15</f>
        <v>0</v>
      </c>
      <c r="Z33" s="792"/>
      <c r="AA33" s="791">
        <f ca="1">ROUND(AA34,2)/ORÇAMENTO!$X$15</f>
        <v>0</v>
      </c>
      <c r="AB33" s="791"/>
      <c r="AC33" s="792">
        <f ca="1">ROUND(AC34,2)/ORÇAMENTO!$X$15</f>
        <v>0</v>
      </c>
      <c r="AD33" s="792"/>
      <c r="AE33" s="791">
        <f ca="1">ROUND(AE34,2)/ORÇAMENTO!$X$15</f>
        <v>0</v>
      </c>
      <c r="AF33" s="791"/>
    </row>
    <row r="34" spans="1:32" x14ac:dyDescent="0.2">
      <c r="A34" s="7" t="s">
        <v>536</v>
      </c>
      <c r="D34" s="790"/>
      <c r="H34" s="11" t="s">
        <v>782</v>
      </c>
      <c r="I34" s="806" cm="1">
        <f t="array" aca="1" ref="I34" ca="1">SUMIF(CÁLCULO!$BV$15:$CN$508,"&lt;="&amp;PLE!I30,CÁLCULO!$AJ$15:$BB$508)*IF(AdmLocal="Automática",(1+_xlfn.SINGLE(CÁLCULO.TotalAdmLocal)/(ORÇAMENTO!$X$15-_xlfn.SINGLE(CÁLCULO.TotalAdmLocal))),1)</f>
        <v>0</v>
      </c>
      <c r="J34" s="806"/>
      <c r="K34" s="788" cm="1">
        <f t="array" aca="1" ref="K34" ca="1">SUMIF(CÁLCULO!$BV$15:$CN$508,"&lt;="&amp;PLE!K30,CÁLCULO!$AJ$15:$BB$508)*IF(AdmLocal="Automática",(1+_xlfn.SINGLE(CÁLCULO.TotalAdmLocal)/(ORÇAMENTO!$X$15-_xlfn.SINGLE(CÁLCULO.TotalAdmLocal))),1)</f>
        <v>0</v>
      </c>
      <c r="L34" s="788"/>
      <c r="M34" s="786" cm="1">
        <f t="array" aca="1" ref="M34" ca="1">SUMIF(CÁLCULO!$BV$15:$CN$508,"&lt;="&amp;PLE!M30,CÁLCULO!$AJ$15:$BB$508)*IF(AdmLocal="Automática",(1+_xlfn.SINGLE(CÁLCULO.TotalAdmLocal)/(ORÇAMENTO!$X$15-_xlfn.SINGLE(CÁLCULO.TotalAdmLocal))),1)</f>
        <v>0</v>
      </c>
      <c r="N34" s="786"/>
      <c r="O34" s="788" cm="1">
        <f t="array" aca="1" ref="O34" ca="1">SUMIF(CÁLCULO!$BV$15:$CN$508,"&lt;="&amp;PLE!O30,CÁLCULO!$AJ$15:$BB$508)*IF(AdmLocal="Automática",(1+_xlfn.SINGLE(CÁLCULO.TotalAdmLocal)/(ORÇAMENTO!$X$15-_xlfn.SINGLE(CÁLCULO.TotalAdmLocal))),1)</f>
        <v>0</v>
      </c>
      <c r="P34" s="788"/>
      <c r="Q34" s="786" cm="1">
        <f t="array" aca="1" ref="Q34" ca="1">SUMIF(CÁLCULO!$BV$15:$CN$508,"&lt;="&amp;PLE!Q30,CÁLCULO!$AJ$15:$BB$508)*IF(AdmLocal="Automática",(1+_xlfn.SINGLE(CÁLCULO.TotalAdmLocal)/(ORÇAMENTO!$X$15-_xlfn.SINGLE(CÁLCULO.TotalAdmLocal))),1)</f>
        <v>0</v>
      </c>
      <c r="R34" s="786"/>
      <c r="S34" s="788" cm="1">
        <f t="array" aca="1" ref="S34" ca="1">SUMIF(CÁLCULO!$BV$15:$CN$508,"&lt;="&amp;PLE!S30,CÁLCULO!$AJ$15:$BB$508)*IF(AdmLocal="Automática",(1+_xlfn.SINGLE(CÁLCULO.TotalAdmLocal)/(ORÇAMENTO!$X$15-_xlfn.SINGLE(CÁLCULO.TotalAdmLocal))),1)</f>
        <v>0</v>
      </c>
      <c r="T34" s="788"/>
      <c r="U34" s="786" cm="1">
        <f t="array" aca="1" ref="U34" ca="1">SUMIF(CÁLCULO!$BV$15:$CN$508,"&lt;="&amp;PLE!U30,CÁLCULO!$AJ$15:$BB$508)*IF(AdmLocal="Automática",(1+_xlfn.SINGLE(CÁLCULO.TotalAdmLocal)/(ORÇAMENTO!$X$15-_xlfn.SINGLE(CÁLCULO.TotalAdmLocal))),1)</f>
        <v>0</v>
      </c>
      <c r="V34" s="786"/>
      <c r="W34" s="788" cm="1">
        <f t="array" aca="1" ref="W34" ca="1">SUMIF(CÁLCULO!$BV$15:$CN$508,"&lt;="&amp;PLE!W30,CÁLCULO!$AJ$15:$BB$508)*IF(AdmLocal="Automática",(1+_xlfn.SINGLE(CÁLCULO.TotalAdmLocal)/(ORÇAMENTO!$X$15-_xlfn.SINGLE(CÁLCULO.TotalAdmLocal))),1)</f>
        <v>0</v>
      </c>
      <c r="X34" s="788"/>
      <c r="Y34" s="786" cm="1">
        <f t="array" aca="1" ref="Y34" ca="1">SUMIF(CÁLCULO!$BV$15:$CN$508,"&lt;="&amp;PLE!Y30,CÁLCULO!$AJ$15:$BB$508)*IF(AdmLocal="Automática",(1+_xlfn.SINGLE(CÁLCULO.TotalAdmLocal)/(ORÇAMENTO!$X$15-_xlfn.SINGLE(CÁLCULO.TotalAdmLocal))),1)</f>
        <v>0</v>
      </c>
      <c r="Z34" s="786"/>
      <c r="AA34" s="788" cm="1">
        <f t="array" aca="1" ref="AA34" ca="1">SUMIF(CÁLCULO!$BV$15:$CN$508,"&lt;="&amp;PLE!AA30,CÁLCULO!$AJ$15:$BB$508)*IF(AdmLocal="Automática",(1+_xlfn.SINGLE(CÁLCULO.TotalAdmLocal)/(ORÇAMENTO!$X$15-_xlfn.SINGLE(CÁLCULO.TotalAdmLocal))),1)</f>
        <v>0</v>
      </c>
      <c r="AB34" s="788"/>
      <c r="AC34" s="786" cm="1">
        <f t="array" aca="1" ref="AC34" ca="1">SUMIF(CÁLCULO!$BV$15:$CN$508,"&lt;="&amp;PLE!AC30,CÁLCULO!$AJ$15:$BB$508)*IF(AdmLocal="Automática",(1+_xlfn.SINGLE(CÁLCULO.TotalAdmLocal)/(ORÇAMENTO!$X$15-_xlfn.SINGLE(CÁLCULO.TotalAdmLocal))),1)</f>
        <v>0</v>
      </c>
      <c r="AD34" s="786"/>
      <c r="AE34" s="788" cm="1">
        <f t="array" aca="1" ref="AE34" ca="1">SUMIF(CÁLCULO!$BV$15:$CN$508,"&lt;="&amp;PLE!AE30,CÁLCULO!$AJ$15:$BB$508)*IF(AdmLocal="Automática",(1+_xlfn.SINGLE(CÁLCULO.TotalAdmLocal)/(ORÇAMENTO!$X$15-_xlfn.SINGLE(CÁLCULO.TotalAdmLocal))),1)</f>
        <v>0</v>
      </c>
      <c r="AF34" s="788"/>
    </row>
    <row r="35" spans="1:32" ht="12.75" customHeight="1" x14ac:dyDescent="0.2">
      <c r="A35" s="7"/>
      <c r="D35" s="552" t="s">
        <v>784</v>
      </c>
      <c r="H35" s="551" t="s">
        <v>781</v>
      </c>
      <c r="I35" s="745" cm="1">
        <f t="array" aca="1" ref="I35" ca="1">IF(OR(_xlfn.SINGLE(ACOMPANHAMENTO)&lt;&gt;"PLE",I30&gt;PLE.Medicao),0,
   IF(AUTOEVENTO="Manual",
      IF(AdmLocal="Automática",I33,
         IF(Import.EventoAdmLocal="","",SUMIF(OFFSET($G$14,CRONOPLE!$A$8+1,1,1,OFFSET($AG$12,0,-1)),"&lt;="&amp;I30,OFFSET(EVENTOS!$G$14,CRONOPLE!$A$8+1,1,1,OFFSET($AG$12,0,-1)))/OFFSET(EVENTOS!$G$14,CRONOPLE!$A$8+1,-1))),
      IF(Import.EventoAdmLocal="","",SUMIF(OFFSET(CÁLCULO!$BU$15,CRONOPLE!$A$10,1,OFFSET(ORÇAMENTO!$D$15,CRONOPLE!$A$10,0),COLUMN(CÁLCULO!$CN$15)-COLUMN(CÁLCULO!$BU$15)-1),"&lt;="&amp;I30,OFFSET(CÁLCULO!$AI$15,CRONOPLE!$A$10,1,OFFSET(ORÇAMENTO!$D$15,CRONOPLE!$A$10,0),COLUMN(CÁLCULO!$BB$15)-COLUMN(CÁLCULO!$AI$15)-1))/OFFSET(ORÇAMENTO!$X$15,CRONOPLE!$A$10,0))))</f>
        <v>0</v>
      </c>
      <c r="J35" s="745"/>
      <c r="K35" s="745" cm="1">
        <f t="array" aca="1" ref="K35" ca="1">IF(OR(_xlfn.SINGLE(ACOMPANHAMENTO)&lt;&gt;"PLE",K30&gt;PLE.Medicao),0,
   IF(AUTOEVENTO="Manual",
      IF(AdmLocal="Automática",K33,
         IF(Import.EventoAdmLocal="","",SUMIF(OFFSET($G$14,CRONOPLE!$A$8+1,1,1,OFFSET($AG$12,0,-1)),"&lt;="&amp;K30,OFFSET(EVENTOS!$G$14,CRONOPLE!$A$8+1,1,1,OFFSET($AG$12,0,-1)))/OFFSET(EVENTOS!$G$14,CRONOPLE!$A$8+1,-1))),
      IF(Import.EventoAdmLocal="","",SUMIF(OFFSET(CÁLCULO!$BU$15,CRONOPLE!$A$10,1,OFFSET(ORÇAMENTO!$D$15,CRONOPLE!$A$10,0),COLUMN(CÁLCULO!$CN$15)-COLUMN(CÁLCULO!$BU$15)-1),"&lt;="&amp;K30,OFFSET(CÁLCULO!$AI$15,CRONOPLE!$A$10,1,OFFSET(ORÇAMENTO!$D$15,CRONOPLE!$A$10,0),COLUMN(CÁLCULO!$BB$15)-COLUMN(CÁLCULO!$AI$15)-1))/OFFSET(ORÇAMENTO!$X$15,CRONOPLE!$A$10,0))))</f>
        <v>0</v>
      </c>
      <c r="L35" s="745"/>
      <c r="M35" s="745" cm="1">
        <f t="array" aca="1" ref="M35" ca="1">IF(OR(_xlfn.SINGLE(ACOMPANHAMENTO)&lt;&gt;"PLE",M30&gt;PLE.Medicao),0,
   IF(AUTOEVENTO="Manual",
      IF(AdmLocal="Automática",M33,
         IF(Import.EventoAdmLocal="","",SUMIF(OFFSET($G$14,CRONOPLE!$A$8+1,1,1,OFFSET($AG$12,0,-1)),"&lt;="&amp;M30,OFFSET(EVENTOS!$G$14,CRONOPLE!$A$8+1,1,1,OFFSET($AG$12,0,-1)))/OFFSET(EVENTOS!$G$14,CRONOPLE!$A$8+1,-1))),
      IF(Import.EventoAdmLocal="","",SUMIF(OFFSET(CÁLCULO!$BU$15,CRONOPLE!$A$10,1,OFFSET(ORÇAMENTO!$D$15,CRONOPLE!$A$10,0),COLUMN(CÁLCULO!$CN$15)-COLUMN(CÁLCULO!$BU$15)-1),"&lt;="&amp;M30,OFFSET(CÁLCULO!$AI$15,CRONOPLE!$A$10,1,OFFSET(ORÇAMENTO!$D$15,CRONOPLE!$A$10,0),COLUMN(CÁLCULO!$BB$15)-COLUMN(CÁLCULO!$AI$15)-1))/OFFSET(ORÇAMENTO!$X$15,CRONOPLE!$A$10,0))))</f>
        <v>0</v>
      </c>
      <c r="N35" s="745"/>
      <c r="O35" s="745" cm="1">
        <f t="array" aca="1" ref="O35" ca="1">IF(OR(_xlfn.SINGLE(ACOMPANHAMENTO)&lt;&gt;"PLE",O30&gt;PLE.Medicao),0,
   IF(AUTOEVENTO="Manual",
      IF(AdmLocal="Automática",O33,
         IF(Import.EventoAdmLocal="","",SUMIF(OFFSET($G$14,CRONOPLE!$A$8+1,1,1,OFFSET($AG$12,0,-1)),"&lt;="&amp;O30,OFFSET(EVENTOS!$G$14,CRONOPLE!$A$8+1,1,1,OFFSET($AG$12,0,-1)))/OFFSET(EVENTOS!$G$14,CRONOPLE!$A$8+1,-1))),
      IF(Import.EventoAdmLocal="","",SUMIF(OFFSET(CÁLCULO!$BU$15,CRONOPLE!$A$10,1,OFFSET(ORÇAMENTO!$D$15,CRONOPLE!$A$10,0),COLUMN(CÁLCULO!$CN$15)-COLUMN(CÁLCULO!$BU$15)-1),"&lt;="&amp;O30,OFFSET(CÁLCULO!$AI$15,CRONOPLE!$A$10,1,OFFSET(ORÇAMENTO!$D$15,CRONOPLE!$A$10,0),COLUMN(CÁLCULO!$BB$15)-COLUMN(CÁLCULO!$AI$15)-1))/OFFSET(ORÇAMENTO!$X$15,CRONOPLE!$A$10,0))))</f>
        <v>0</v>
      </c>
      <c r="P35" s="745"/>
      <c r="Q35" s="745" cm="1">
        <f t="array" aca="1" ref="Q35" ca="1">IF(OR(_xlfn.SINGLE(ACOMPANHAMENTO)&lt;&gt;"PLE",Q30&gt;PLE.Medicao),0,
   IF(AUTOEVENTO="Manual",
      IF(AdmLocal="Automática",Q33,
         IF(Import.EventoAdmLocal="","",SUMIF(OFFSET($G$14,CRONOPLE!$A$8+1,1,1,OFFSET($AG$12,0,-1)),"&lt;="&amp;Q30,OFFSET(EVENTOS!$G$14,CRONOPLE!$A$8+1,1,1,OFFSET($AG$12,0,-1)))/OFFSET(EVENTOS!$G$14,CRONOPLE!$A$8+1,-1))),
      IF(Import.EventoAdmLocal="","",SUMIF(OFFSET(CÁLCULO!$BU$15,CRONOPLE!$A$10,1,OFFSET(ORÇAMENTO!$D$15,CRONOPLE!$A$10,0),COLUMN(CÁLCULO!$CN$15)-COLUMN(CÁLCULO!$BU$15)-1),"&lt;="&amp;Q30,OFFSET(CÁLCULO!$AI$15,CRONOPLE!$A$10,1,OFFSET(ORÇAMENTO!$D$15,CRONOPLE!$A$10,0),COLUMN(CÁLCULO!$BB$15)-COLUMN(CÁLCULO!$AI$15)-1))/OFFSET(ORÇAMENTO!$X$15,CRONOPLE!$A$10,0))))</f>
        <v>0</v>
      </c>
      <c r="R35" s="745"/>
      <c r="S35" s="745" cm="1">
        <f t="array" aca="1" ref="S35" ca="1">IF(OR(_xlfn.SINGLE(ACOMPANHAMENTO)&lt;&gt;"PLE",S30&gt;PLE.Medicao),0,
   IF(AUTOEVENTO="Manual",
      IF(AdmLocal="Automática",S33,
         IF(Import.EventoAdmLocal="","",SUMIF(OFFSET($G$14,CRONOPLE!$A$8+1,1,1,OFFSET($AG$12,0,-1)),"&lt;="&amp;S30,OFFSET(EVENTOS!$G$14,CRONOPLE!$A$8+1,1,1,OFFSET($AG$12,0,-1)))/OFFSET(EVENTOS!$G$14,CRONOPLE!$A$8+1,-1))),
      IF(Import.EventoAdmLocal="","",SUMIF(OFFSET(CÁLCULO!$BU$15,CRONOPLE!$A$10,1,OFFSET(ORÇAMENTO!$D$15,CRONOPLE!$A$10,0),COLUMN(CÁLCULO!$CN$15)-COLUMN(CÁLCULO!$BU$15)-1),"&lt;="&amp;S30,OFFSET(CÁLCULO!$AI$15,CRONOPLE!$A$10,1,OFFSET(ORÇAMENTO!$D$15,CRONOPLE!$A$10,0),COLUMN(CÁLCULO!$BB$15)-COLUMN(CÁLCULO!$AI$15)-1))/OFFSET(ORÇAMENTO!$X$15,CRONOPLE!$A$10,0))))</f>
        <v>0</v>
      </c>
      <c r="T35" s="745"/>
      <c r="U35" s="745" cm="1">
        <f t="array" aca="1" ref="U35" ca="1">IF(OR(_xlfn.SINGLE(ACOMPANHAMENTO)&lt;&gt;"PLE",U30&gt;PLE.Medicao),0,
   IF(AUTOEVENTO="Manual",
      IF(AdmLocal="Automática",U33,
         IF(Import.EventoAdmLocal="","",SUMIF(OFFSET($G$14,CRONOPLE!$A$8+1,1,1,OFFSET($AG$12,0,-1)),"&lt;="&amp;U30,OFFSET(EVENTOS!$G$14,CRONOPLE!$A$8+1,1,1,OFFSET($AG$12,0,-1)))/OFFSET(EVENTOS!$G$14,CRONOPLE!$A$8+1,-1))),
      IF(Import.EventoAdmLocal="","",SUMIF(OFFSET(CÁLCULO!$BU$15,CRONOPLE!$A$10,1,OFFSET(ORÇAMENTO!$D$15,CRONOPLE!$A$10,0),COLUMN(CÁLCULO!$CN$15)-COLUMN(CÁLCULO!$BU$15)-1),"&lt;="&amp;U30,OFFSET(CÁLCULO!$AI$15,CRONOPLE!$A$10,1,OFFSET(ORÇAMENTO!$D$15,CRONOPLE!$A$10,0),COLUMN(CÁLCULO!$BB$15)-COLUMN(CÁLCULO!$AI$15)-1))/OFFSET(ORÇAMENTO!$X$15,CRONOPLE!$A$10,0))))</f>
        <v>0</v>
      </c>
      <c r="V35" s="745"/>
      <c r="W35" s="745" cm="1">
        <f t="array" aca="1" ref="W35" ca="1">IF(OR(_xlfn.SINGLE(ACOMPANHAMENTO)&lt;&gt;"PLE",W30&gt;PLE.Medicao),0,
   IF(AUTOEVENTO="Manual",
      IF(AdmLocal="Automática",W33,
         IF(Import.EventoAdmLocal="","",SUMIF(OFFSET($G$14,CRONOPLE!$A$8+1,1,1,OFFSET($AG$12,0,-1)),"&lt;="&amp;W30,OFFSET(EVENTOS!$G$14,CRONOPLE!$A$8+1,1,1,OFFSET($AG$12,0,-1)))/OFFSET(EVENTOS!$G$14,CRONOPLE!$A$8+1,-1))),
      IF(Import.EventoAdmLocal="","",SUMIF(OFFSET(CÁLCULO!$BU$15,CRONOPLE!$A$10,1,OFFSET(ORÇAMENTO!$D$15,CRONOPLE!$A$10,0),COLUMN(CÁLCULO!$CN$15)-COLUMN(CÁLCULO!$BU$15)-1),"&lt;="&amp;W30,OFFSET(CÁLCULO!$AI$15,CRONOPLE!$A$10,1,OFFSET(ORÇAMENTO!$D$15,CRONOPLE!$A$10,0),COLUMN(CÁLCULO!$BB$15)-COLUMN(CÁLCULO!$AI$15)-1))/OFFSET(ORÇAMENTO!$X$15,CRONOPLE!$A$10,0))))</f>
        <v>0</v>
      </c>
      <c r="X35" s="745"/>
      <c r="Y35" s="745" cm="1">
        <f t="array" aca="1" ref="Y35" ca="1">IF(OR(_xlfn.SINGLE(ACOMPANHAMENTO)&lt;&gt;"PLE",Y30&gt;PLE.Medicao),0,
   IF(AUTOEVENTO="Manual",
      IF(AdmLocal="Automática",Y33,
         IF(Import.EventoAdmLocal="","",SUMIF(OFFSET($G$14,CRONOPLE!$A$8+1,1,1,OFFSET($AG$12,0,-1)),"&lt;="&amp;Y30,OFFSET(EVENTOS!$G$14,CRONOPLE!$A$8+1,1,1,OFFSET($AG$12,0,-1)))/OFFSET(EVENTOS!$G$14,CRONOPLE!$A$8+1,-1))),
      IF(Import.EventoAdmLocal="","",SUMIF(OFFSET(CÁLCULO!$BU$15,CRONOPLE!$A$10,1,OFFSET(ORÇAMENTO!$D$15,CRONOPLE!$A$10,0),COLUMN(CÁLCULO!$CN$15)-COLUMN(CÁLCULO!$BU$15)-1),"&lt;="&amp;Y30,OFFSET(CÁLCULO!$AI$15,CRONOPLE!$A$10,1,OFFSET(ORÇAMENTO!$D$15,CRONOPLE!$A$10,0),COLUMN(CÁLCULO!$BB$15)-COLUMN(CÁLCULO!$AI$15)-1))/OFFSET(ORÇAMENTO!$X$15,CRONOPLE!$A$10,0))))</f>
        <v>0</v>
      </c>
      <c r="Z35" s="745"/>
      <c r="AA35" s="745" cm="1">
        <f t="array" aca="1" ref="AA35" ca="1">IF(OR(_xlfn.SINGLE(ACOMPANHAMENTO)&lt;&gt;"PLE",AA30&gt;PLE.Medicao),0,
   IF(AUTOEVENTO="Manual",
      IF(AdmLocal="Automática",AA33,
         IF(Import.EventoAdmLocal="","",SUMIF(OFFSET($G$14,CRONOPLE!$A$8+1,1,1,OFFSET($AG$12,0,-1)),"&lt;="&amp;AA30,OFFSET(EVENTOS!$G$14,CRONOPLE!$A$8+1,1,1,OFFSET($AG$12,0,-1)))/OFFSET(EVENTOS!$G$14,CRONOPLE!$A$8+1,-1))),
      IF(Import.EventoAdmLocal="","",SUMIF(OFFSET(CÁLCULO!$BU$15,CRONOPLE!$A$10,1,OFFSET(ORÇAMENTO!$D$15,CRONOPLE!$A$10,0),COLUMN(CÁLCULO!$CN$15)-COLUMN(CÁLCULO!$BU$15)-1),"&lt;="&amp;AA30,OFFSET(CÁLCULO!$AI$15,CRONOPLE!$A$10,1,OFFSET(ORÇAMENTO!$D$15,CRONOPLE!$A$10,0),COLUMN(CÁLCULO!$BB$15)-COLUMN(CÁLCULO!$AI$15)-1))/OFFSET(ORÇAMENTO!$X$15,CRONOPLE!$A$10,0))))</f>
        <v>0</v>
      </c>
      <c r="AB35" s="745"/>
      <c r="AC35" s="745" cm="1">
        <f t="array" aca="1" ref="AC35" ca="1">IF(OR(_xlfn.SINGLE(ACOMPANHAMENTO)&lt;&gt;"PLE",AC30&gt;PLE.Medicao),0,
   IF(AUTOEVENTO="Manual",
      IF(AdmLocal="Automática",AC33,
         IF(Import.EventoAdmLocal="","",SUMIF(OFFSET($G$14,CRONOPLE!$A$8+1,1,1,OFFSET($AG$12,0,-1)),"&lt;="&amp;AC30,OFFSET(EVENTOS!$G$14,CRONOPLE!$A$8+1,1,1,OFFSET($AG$12,0,-1)))/OFFSET(EVENTOS!$G$14,CRONOPLE!$A$8+1,-1))),
      IF(Import.EventoAdmLocal="","",SUMIF(OFFSET(CÁLCULO!$BU$15,CRONOPLE!$A$10,1,OFFSET(ORÇAMENTO!$D$15,CRONOPLE!$A$10,0),COLUMN(CÁLCULO!$CN$15)-COLUMN(CÁLCULO!$BU$15)-1),"&lt;="&amp;AC30,OFFSET(CÁLCULO!$AI$15,CRONOPLE!$A$10,1,OFFSET(ORÇAMENTO!$D$15,CRONOPLE!$A$10,0),COLUMN(CÁLCULO!$BB$15)-COLUMN(CÁLCULO!$AI$15)-1))/OFFSET(ORÇAMENTO!$X$15,CRONOPLE!$A$10,0))))</f>
        <v>0</v>
      </c>
      <c r="AD35" s="745"/>
      <c r="AE35" s="745" cm="1">
        <f t="array" aca="1" ref="AE35" ca="1">IF(OR(_xlfn.SINGLE(ACOMPANHAMENTO)&lt;&gt;"PLE",AE30&gt;PLE.Medicao),0,
   IF(AUTOEVENTO="Manual",
      IF(AdmLocal="Automática",AE33,
         IF(Import.EventoAdmLocal="","",SUMIF(OFFSET($G$14,CRONOPLE!$A$8+1,1,1,OFFSET($AG$12,0,-1)),"&lt;="&amp;AE30,OFFSET(EVENTOS!$G$14,CRONOPLE!$A$8+1,1,1,OFFSET($AG$12,0,-1)))/OFFSET(EVENTOS!$G$14,CRONOPLE!$A$8+1,-1))),
      IF(Import.EventoAdmLocal="","",SUMIF(OFFSET(CÁLCULO!$BU$15,CRONOPLE!$A$10,1,OFFSET(ORÇAMENTO!$D$15,CRONOPLE!$A$10,0),COLUMN(CÁLCULO!$CN$15)-COLUMN(CÁLCULO!$BU$15)-1),"&lt;="&amp;AE30,OFFSET(CÁLCULO!$AI$15,CRONOPLE!$A$10,1,OFFSET(ORÇAMENTO!$D$15,CRONOPLE!$A$10,0),COLUMN(CÁLCULO!$BB$15)-COLUMN(CÁLCULO!$AI$15)-1))/OFFSET(ORÇAMENTO!$X$15,CRONOPLE!$A$10,0))))</f>
        <v>0</v>
      </c>
      <c r="AF35" s="745"/>
    </row>
    <row r="36" spans="1:32" ht="13.5" x14ac:dyDescent="0.25">
      <c r="A36" s="7" t="s">
        <v>536</v>
      </c>
      <c r="D36" s="523"/>
      <c r="H36" s="583" t="str">
        <f ca="1">IF(COUNTIF(I36:AG36,"%Adm&gt;%Global")&gt;0,"Verificar proporcionalidade da Administração Local","")</f>
        <v/>
      </c>
      <c r="I36" s="535" t="str">
        <f ca="1">IF(I35="","",IF(ROUND(I35,4)&gt;ROUND(I33,4),"%Adm&gt;%Global",""))</f>
        <v/>
      </c>
      <c r="J36" s="524"/>
      <c r="K36" s="535" t="str">
        <f t="shared" ref="K36" ca="1" si="3">IF(K35="","",IF(ROUND(K35,4)&gt;ROUND(K33,4),"%Adm&gt;%Global",""))</f>
        <v/>
      </c>
      <c r="L36" s="524"/>
      <c r="M36" s="535" t="str">
        <f t="shared" ref="M36" ca="1" si="4">IF(M35="","",IF(ROUND(M35,4)&gt;ROUND(M33,4),"%Adm&gt;%Global",""))</f>
        <v/>
      </c>
      <c r="N36" s="524"/>
      <c r="O36" s="535" t="str">
        <f t="shared" ref="O36" ca="1" si="5">IF(O35="","",IF(ROUND(O35,4)&gt;ROUND(O33,4),"%Adm&gt;%Global",""))</f>
        <v/>
      </c>
      <c r="P36" s="524"/>
      <c r="Q36" s="535" t="str">
        <f t="shared" ref="Q36" ca="1" si="6">IF(Q35="","",IF(ROUND(Q35,4)&gt;ROUND(Q33,4),"%Adm&gt;%Global",""))</f>
        <v/>
      </c>
      <c r="R36" s="524"/>
      <c r="S36" s="535" t="str">
        <f t="shared" ref="S36" ca="1" si="7">IF(S35="","",IF(ROUND(S35,4)&gt;ROUND(S33,4),"%Adm&gt;%Global",""))</f>
        <v/>
      </c>
      <c r="T36" s="524"/>
      <c r="U36" s="535" t="str">
        <f t="shared" ref="U36" ca="1" si="8">IF(U35="","",IF(ROUND(U35,4)&gt;ROUND(U33,4),"%Adm&gt;%Global",""))</f>
        <v/>
      </c>
      <c r="V36" s="524"/>
      <c r="W36" s="535" t="str">
        <f t="shared" ref="W36" ca="1" si="9">IF(W35="","",IF(ROUND(W35,4)&gt;ROUND(W33,4),"%Adm&gt;%Global",""))</f>
        <v/>
      </c>
      <c r="X36" s="524"/>
      <c r="Y36" s="535" t="str">
        <f t="shared" ref="Y36" ca="1" si="10">IF(Y35="","",IF(ROUND(Y35,4)&gt;ROUND(Y33,4),"%Adm&gt;%Global",""))</f>
        <v/>
      </c>
      <c r="Z36" s="524"/>
      <c r="AA36" s="535" t="str">
        <f t="shared" ref="AA36" ca="1" si="11">IF(AA35="","",IF(ROUND(AA35,4)&gt;ROUND(AA33,4),"%Adm&gt;%Global",""))</f>
        <v/>
      </c>
      <c r="AB36" s="524"/>
      <c r="AC36" s="535" t="str">
        <f t="shared" ref="AC36" ca="1" si="12">IF(AC35="","",IF(ROUND(AC35,4)&gt;ROUND(AC33,4),"%Adm&gt;%Global",""))</f>
        <v/>
      </c>
      <c r="AD36" s="524"/>
      <c r="AE36" s="535" t="str">
        <f t="shared" ref="AE36" ca="1" si="13">IF(AE35="","",IF(ROUND(AE35,4)&gt;ROUND(AE33,4),"%Adm&gt;%Global",""))</f>
        <v/>
      </c>
      <c r="AF36" s="524"/>
    </row>
    <row r="37" spans="1:32" ht="20.25" customHeight="1" x14ac:dyDescent="0.2">
      <c r="A37" s="7" t="s">
        <v>536</v>
      </c>
      <c r="I37" s="808"/>
      <c r="J37" s="808"/>
    </row>
    <row r="38" spans="1:32" ht="15" x14ac:dyDescent="0.25">
      <c r="A38" s="7" t="s">
        <v>536</v>
      </c>
      <c r="B38" s="683" t="str">
        <f>Import.Município</f>
        <v>Araguari / MG</v>
      </c>
      <c r="C38" s="683"/>
      <c r="D38" s="683"/>
      <c r="S38" s="562" t="str">
        <f ca="1">IF(DADOS!$D$50&lt;&gt;"","Preencher os Dados do Responsável pela Fiscalização, na aba DADOS.","")</f>
        <v/>
      </c>
      <c r="U38" s="139"/>
      <c r="V38" s="139"/>
      <c r="W38" s="139"/>
      <c r="X38" s="139"/>
      <c r="Y38" s="180"/>
      <c r="Z38" s="180"/>
      <c r="AA38" s="180"/>
      <c r="AB38" s="180"/>
      <c r="AC38" s="180"/>
      <c r="AD38" s="180"/>
    </row>
    <row r="39" spans="1:32" x14ac:dyDescent="0.2">
      <c r="A39" s="7" t="s">
        <v>536</v>
      </c>
      <c r="B39" s="9" t="s">
        <v>693</v>
      </c>
      <c r="U39" s="181" t="s">
        <v>841</v>
      </c>
    </row>
    <row r="40" spans="1:32" x14ac:dyDescent="0.2">
      <c r="A40" s="7" t="s">
        <v>536</v>
      </c>
      <c r="I40" s="79"/>
      <c r="U40" s="77" t="s">
        <v>240</v>
      </c>
      <c r="W40" s="271">
        <f t="array" ref="W40:W43">Import.RespFiscalização</f>
        <v>0</v>
      </c>
    </row>
    <row r="41" spans="1:32" x14ac:dyDescent="0.2">
      <c r="A41" s="7" t="s">
        <v>536</v>
      </c>
      <c r="B41" s="677">
        <f>DADOS!$C$48</f>
        <v>0</v>
      </c>
      <c r="C41" s="677"/>
      <c r="D41" s="677"/>
      <c r="I41" s="79"/>
      <c r="U41" s="77" t="s">
        <v>319</v>
      </c>
      <c r="W41" s="271">
        <v>0</v>
      </c>
    </row>
    <row r="42" spans="1:32" x14ac:dyDescent="0.2">
      <c r="A42" s="7" t="s">
        <v>536</v>
      </c>
      <c r="B42" s="140" t="s">
        <v>694</v>
      </c>
      <c r="C42" s="1"/>
      <c r="D42" s="1"/>
      <c r="I42" s="79"/>
      <c r="U42" s="77" t="s">
        <v>243</v>
      </c>
      <c r="W42" s="271">
        <v>0</v>
      </c>
    </row>
    <row r="43" spans="1:32" x14ac:dyDescent="0.2">
      <c r="U43" s="77" t="s">
        <v>246</v>
      </c>
      <c r="W43" s="12">
        <v>0</v>
      </c>
    </row>
  </sheetData>
  <sheetProtection algorithmName="SHA-512" hashValue="t0Cyv+lwX7Qvzl+XHcPaEFxnTurmJ2VkSmG3RzBXDVGmWJOsTHunsgISqSndVIDIeDHR+Cuf6ZqKD1S0BBch8g==" saltValue="7p+6Haisj/HN/7yx7W9rSQ==" spinCount="100000" sheet="1" objects="1" scenarios="1" autoFilter="0"/>
  <autoFilter ref="A13:A42" xr:uid="{00000000-0009-0000-0000-000009000000}"/>
  <mergeCells count="117">
    <mergeCell ref="C15:D15"/>
    <mergeCell ref="W32:X32"/>
    <mergeCell ref="S30:T30"/>
    <mergeCell ref="Q30:R30"/>
    <mergeCell ref="K30:L30"/>
    <mergeCell ref="K29:L29"/>
    <mergeCell ref="I29:J29"/>
    <mergeCell ref="B41:D41"/>
    <mergeCell ref="B38:D38"/>
    <mergeCell ref="D33:D34"/>
    <mergeCell ref="M33:N33"/>
    <mergeCell ref="M34:N34"/>
    <mergeCell ref="I34:J34"/>
    <mergeCell ref="K34:L34"/>
    <mergeCell ref="K33:L33"/>
    <mergeCell ref="I33:J33"/>
    <mergeCell ref="I37:J37"/>
    <mergeCell ref="I35:J35"/>
    <mergeCell ref="K35:L35"/>
    <mergeCell ref="M35:N35"/>
    <mergeCell ref="O35:P35"/>
    <mergeCell ref="Q35:R35"/>
    <mergeCell ref="O34:P34"/>
    <mergeCell ref="C17:D17"/>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B7:C7"/>
    <mergeCell ref="B12:B13"/>
    <mergeCell ref="AE32:AF32"/>
    <mergeCell ref="O30:P30"/>
    <mergeCell ref="W31:X31"/>
    <mergeCell ref="U31:V31"/>
    <mergeCell ref="AC31:AD31"/>
    <mergeCell ref="AE30:AF30"/>
    <mergeCell ref="S31:T31"/>
    <mergeCell ref="U30:V30"/>
    <mergeCell ref="Q33:R33"/>
    <mergeCell ref="AE31:AF31"/>
    <mergeCell ref="S32:T32"/>
    <mergeCell ref="Q32:R32"/>
    <mergeCell ref="W30:X30"/>
    <mergeCell ref="AC32:AD32"/>
    <mergeCell ref="AC33:AD33"/>
    <mergeCell ref="AA32:AB32"/>
    <mergeCell ref="O33:P33"/>
    <mergeCell ref="C16:D16"/>
    <mergeCell ref="C18:D18"/>
    <mergeCell ref="C19:D19"/>
    <mergeCell ref="C20:D20"/>
    <mergeCell ref="O31:P31"/>
    <mergeCell ref="M31:N31"/>
    <mergeCell ref="K31:L31"/>
    <mergeCell ref="I28:AF28"/>
    <mergeCell ref="O29:P29"/>
    <mergeCell ref="AE29:AF29"/>
    <mergeCell ref="Y29:Z29"/>
    <mergeCell ref="Q31:R31"/>
    <mergeCell ref="AC30:AD30"/>
    <mergeCell ref="AA30:AB30"/>
    <mergeCell ref="Y31:Z31"/>
    <mergeCell ref="S29:T29"/>
    <mergeCell ref="U29:V29"/>
    <mergeCell ref="Q29:R29"/>
    <mergeCell ref="W29:X29"/>
    <mergeCell ref="AC29:AD29"/>
    <mergeCell ref="Y30:Z30"/>
    <mergeCell ref="I30:J30"/>
    <mergeCell ref="I31:J31"/>
    <mergeCell ref="M30:N30"/>
    <mergeCell ref="AE35:AF35"/>
    <mergeCell ref="S35:T35"/>
    <mergeCell ref="U35:V35"/>
    <mergeCell ref="W35:X35"/>
    <mergeCell ref="Y35:Z35"/>
    <mergeCell ref="AA35:AB35"/>
    <mergeCell ref="W33:X33"/>
    <mergeCell ref="S33:T33"/>
    <mergeCell ref="AC34:AD34"/>
    <mergeCell ref="AA33:AB33"/>
    <mergeCell ref="AE34:AF34"/>
    <mergeCell ref="AE33:AF33"/>
    <mergeCell ref="Y34:Z34"/>
    <mergeCell ref="AA34:AB34"/>
    <mergeCell ref="S34:T34"/>
    <mergeCell ref="W34:X34"/>
    <mergeCell ref="U34:V34"/>
    <mergeCell ref="U33:V33"/>
    <mergeCell ref="Y33:Z33"/>
    <mergeCell ref="C22:D22"/>
    <mergeCell ref="C23:D23"/>
    <mergeCell ref="C24:D24"/>
    <mergeCell ref="C21:D21"/>
    <mergeCell ref="AC35:AD35"/>
    <mergeCell ref="Q34:R34"/>
    <mergeCell ref="M29:N29"/>
    <mergeCell ref="O32:P32"/>
    <mergeCell ref="M32:N32"/>
    <mergeCell ref="K32:L32"/>
    <mergeCell ref="AA29:AB29"/>
    <mergeCell ref="AA31:AB31"/>
    <mergeCell ref="Y32:Z32"/>
    <mergeCell ref="U32:V32"/>
    <mergeCell ref="C25:D25"/>
    <mergeCell ref="D31:D32"/>
    <mergeCell ref="I32:J32"/>
  </mergeCells>
  <phoneticPr fontId="38" type="noConversion"/>
  <conditionalFormatting sqref="F1:F2">
    <cfRule type="expression" dxfId="369" priority="2401" stopIfTrue="1">
      <formula>IF(OR(ACOMPANHAMENTO="BM",F$12&gt;CÁLCULO.NúmeroDeFrentes),TRUE,PLE.ValorDoEvento=0)</formula>
    </cfRule>
    <cfRule type="cellIs" dxfId="368" priority="2402" stopIfTrue="1" operator="equal">
      <formula>$J$9</formula>
    </cfRule>
  </conditionalFormatting>
  <conditionalFormatting sqref="I31:AF31">
    <cfRule type="expression" dxfId="367" priority="2403" stopIfTrue="1">
      <formula>I30=$J$9</formula>
    </cfRule>
  </conditionalFormatting>
  <conditionalFormatting sqref="I32:AF32">
    <cfRule type="expression" dxfId="366" priority="2404" stopIfTrue="1">
      <formula>I30=$J$9</formula>
    </cfRule>
  </conditionalFormatting>
  <conditionalFormatting sqref="I33:AF33">
    <cfRule type="expression" dxfId="365" priority="2405" stopIfTrue="1">
      <formula>I30=$J$9</formula>
    </cfRule>
  </conditionalFormatting>
  <conditionalFormatting sqref="I34:AF34">
    <cfRule type="expression" dxfId="364" priority="2406" stopIfTrue="1">
      <formula>I30=$J$9</formula>
    </cfRule>
  </conditionalFormatting>
  <conditionalFormatting sqref="I30:J30">
    <cfRule type="cellIs" dxfId="363" priority="2400" stopIfTrue="1" operator="notEqual">
      <formula>1</formula>
    </cfRule>
  </conditionalFormatting>
  <conditionalFormatting sqref="H1:AF1">
    <cfRule type="expression" dxfId="362" priority="2418" stopIfTrue="1">
      <formula>IF(OR(ACOMPANHAMENTO="BM",TIPOORCAMENTO="Proposto",H$12&gt;CÁLCULO.NúmeroDeFrentes),TRUE,PLE.ValorDoEvento=0)</formula>
    </cfRule>
    <cfRule type="cellIs" dxfId="361" priority="2419" stopIfTrue="1" operator="equal">
      <formula>$J$9</formula>
    </cfRule>
  </conditionalFormatting>
  <conditionalFormatting sqref="AE6:AE7">
    <cfRule type="expression" dxfId="360" priority="2407" stopIfTrue="1">
      <formula>TIPOORCAMENTO&lt;&gt;"Licitado"</formula>
    </cfRule>
  </conditionalFormatting>
  <conditionalFormatting sqref="N9:T9">
    <cfRule type="expression" dxfId="359" priority="2408" stopIfTrue="1">
      <formula>COLUMN(N9)&gt;COLUMN($AF$12)</formula>
    </cfRule>
    <cfRule type="expression" dxfId="358" priority="2409" stopIfTrue="1">
      <formula>$N$9="DIGITE A DATA DA MEDIÇÃO"</formula>
    </cfRule>
  </conditionalFormatting>
  <conditionalFormatting sqref="I9:M9 U9:AF9">
    <cfRule type="expression" dxfId="357" priority="2410" stopIfTrue="1">
      <formula>COLUMN(I9)&gt;COLUMN($AF$12)</formula>
    </cfRule>
  </conditionalFormatting>
  <conditionalFormatting sqref="K31:AF34">
    <cfRule type="expression" dxfId="356" priority="1416" stopIfTrue="1">
      <formula>I$33=100%</formula>
    </cfRule>
  </conditionalFormatting>
  <conditionalFormatting sqref="J36 L36 N36 P36 R36 T36 V36 X36 Z36 AB36 AD36 AF36">
    <cfRule type="expression" dxfId="355" priority="14127" stopIfTrue="1">
      <formula>J31=$J$9</formula>
    </cfRule>
  </conditionalFormatting>
  <conditionalFormatting sqref="K35:AF35">
    <cfRule type="expression" dxfId="354" priority="1415">
      <formula>OFFSET(K35,-2,-2)=1</formula>
    </cfRule>
  </conditionalFormatting>
  <conditionalFormatting sqref="I35:AF35">
    <cfRule type="expression" dxfId="353" priority="1414">
      <formula>ROUND(I35,4)&gt;ROUND(I33,4)</formula>
    </cfRule>
  </conditionalFormatting>
  <conditionalFormatting sqref="N13">
    <cfRule type="expression" dxfId="352" priority="1413">
      <formula>$Y$9=0</formula>
    </cfRule>
  </conditionalFormatting>
  <conditionalFormatting sqref="F16:F24">
    <cfRule type="expression" dxfId="351" priority="9" stopIfTrue="1">
      <formula>IF(OR(ACOMPANHAMENTO="BM",F$12&gt;CÁLCULO.NúmeroDeFrentes),TRUE,PLE.ValorDoEvento=0)</formula>
    </cfRule>
    <cfRule type="cellIs" dxfId="350" priority="10" stopIfTrue="1" operator="equal">
      <formula>$J$9</formula>
    </cfRule>
  </conditionalFormatting>
  <conditionalFormatting sqref="H16:AF24">
    <cfRule type="expression" dxfId="349" priority="11" stopIfTrue="1">
      <formula>IF(OR(ACOMPANHAMENTO="BM",TIPOORCAMENTO="Proposto",H$12&gt;CÁLCULO.NúmeroDeFrentes),TRUE,PLE.ValorDoEvento=0)</formula>
    </cfRule>
    <cfRule type="cellIs" dxfId="348" priority="12" stopIfTrue="1" operator="equal">
      <formula>$J$9</formula>
    </cfRule>
  </conditionalFormatting>
  <conditionalFormatting sqref="F25">
    <cfRule type="expression" dxfId="347" priority="1" stopIfTrue="1">
      <formula>IF(OR(ACOMPANHAMENTO="BM",F$12&gt;CÁLCULO.NúmeroDeFrentes),TRUE,PLE.ValorDoEvento=0)</formula>
    </cfRule>
    <cfRule type="cellIs" dxfId="346" priority="2" stopIfTrue="1" operator="equal">
      <formula>$J$9</formula>
    </cfRule>
  </conditionalFormatting>
  <conditionalFormatting sqref="H25:AF25">
    <cfRule type="expression" dxfId="345" priority="3" stopIfTrue="1">
      <formula>IF(OR(ACOMPANHAMENTO="BM",TIPOORCAMENTO="Proposto",H$12&gt;CÁLCULO.NúmeroDeFrentes),TRUE,PLE.ValorDoEvento=0)</formula>
    </cfRule>
    <cfRule type="cellIs" dxfId="344" priority="4" stopIfTrue="1" operator="equal">
      <formula>$J$9</formula>
    </cfRule>
  </conditionalFormatting>
  <dataValidations count="3">
    <dataValidation type="whole" operator="greaterThan" allowBlank="1" showErrorMessage="1" sqref="I3:AC4 J9:K9 F1:F4 F16:F25"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5"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523"/>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f ca="1">IF(Import.RegimeExecução="(SELECIONAR)","Selecione o Regime de Execução na Aba Dados",Import.RegimeExecução&amp;" - "&amp;import.recurso)</f>
        <v>Selecione o Regime de Execução na Aba Dados</v>
      </c>
      <c r="O2" s="11" t="s">
        <v>647</v>
      </c>
    </row>
    <row r="3" spans="1:41" x14ac:dyDescent="0.2">
      <c r="A3" s="809" t="b">
        <v>0</v>
      </c>
      <c r="B3" s="809"/>
      <c r="E3" s="86"/>
    </row>
    <row r="4" spans="1:41" x14ac:dyDescent="0.2">
      <c r="D4" s="685" t="s">
        <v>652</v>
      </c>
      <c r="E4" s="685"/>
      <c r="F4" s="691" t="s">
        <v>650</v>
      </c>
      <c r="G4" s="691"/>
      <c r="H4" s="691"/>
      <c r="I4" s="145" t="s">
        <v>707</v>
      </c>
      <c r="J4" s="685" t="s">
        <v>708</v>
      </c>
      <c r="K4" s="685"/>
      <c r="L4" s="685"/>
      <c r="M4" s="685"/>
      <c r="N4" s="685"/>
      <c r="O4" s="147" t="s">
        <v>843</v>
      </c>
    </row>
    <row r="5" spans="1:41" ht="12.75" customHeight="1" x14ac:dyDescent="0.2">
      <c r="A5" t="s">
        <v>844</v>
      </c>
      <c r="D5" s="686" t="str">
        <f>Import.Proponente</f>
        <v>Prefeitura Municipal</v>
      </c>
      <c r="E5" s="686"/>
      <c r="F5" s="689" t="str">
        <f>Import.CR</f>
        <v>1098284-30/2024</v>
      </c>
      <c r="G5" s="689"/>
      <c r="H5" s="689"/>
      <c r="I5" s="322" t="str">
        <f>Import.TransfereGOV</f>
        <v>968559/2024</v>
      </c>
      <c r="J5" s="686" t="str">
        <f>Import.Apelido</f>
        <v>ETE - BREJO ALEGRE - FASE II</v>
      </c>
      <c r="K5" s="686"/>
      <c r="L5" s="686"/>
      <c r="M5" s="686"/>
      <c r="N5" s="686"/>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f ca="1">RegimeExecucao</f>
        <v>Unitário</v>
      </c>
      <c r="D7" s="87" t="s">
        <v>846</v>
      </c>
      <c r="E7" s="87" t="s">
        <v>847</v>
      </c>
      <c r="F7" s="685" t="s">
        <v>848</v>
      </c>
      <c r="G7" s="685"/>
      <c r="H7" s="685"/>
      <c r="I7" s="685" t="str">
        <f>IF(TIPOORCAMENTO="Licitado","REGIME DE EXECUÇÃO","MUNICÍPIO / UF")</f>
        <v>MUNICÍPIO / UF</v>
      </c>
      <c r="J7" s="685"/>
      <c r="K7" s="685"/>
      <c r="L7" s="685"/>
      <c r="M7" s="685" t="s">
        <v>849</v>
      </c>
      <c r="N7" s="685"/>
      <c r="O7" s="87" t="s">
        <v>850</v>
      </c>
      <c r="AO7" s="275">
        <f ca="1">BM.MEDAcumulado</f>
        <v>0</v>
      </c>
    </row>
    <row r="8" spans="1:41" ht="12.75" customHeight="1" x14ac:dyDescent="0.2">
      <c r="A8" s="320" t="s">
        <v>851</v>
      </c>
      <c r="B8" s="2"/>
      <c r="C8" s="688" t="s">
        <v>655</v>
      </c>
      <c r="D8" s="326">
        <f>Import.CTEF</f>
        <v>0</v>
      </c>
      <c r="E8" s="56">
        <f>Import.empresa</f>
        <v>0</v>
      </c>
      <c r="F8" s="686">
        <f>Import.CNPJ</f>
        <v>0</v>
      </c>
      <c r="G8" s="686"/>
      <c r="H8" s="686"/>
      <c r="I8" s="686" t="str">
        <f>IF(TIPOORCAMENTO="Licitado",Import.RegimeExecução,Import.Município)</f>
        <v>Araguari / MG</v>
      </c>
      <c r="J8" s="686"/>
      <c r="K8" s="686"/>
      <c r="L8" s="686"/>
      <c r="M8" s="686" t="str" cm="1">
        <f t="array" aca="1" ref="M8" ca="1">TEXT(IF(BM.medicao=1,Import.DataInicioObra,OFFSET($AB$12,0,BM.medicao-1-$AB$13)+1),"dd/mm/aaaa")&amp;" a "&amp;TEXT(OFFSET($AB$12,0,BM.medicao-$AB$13),"dd/mm/aaaa")</f>
        <v>00/01/1900 a 00/01/1900</v>
      </c>
      <c r="N8" s="686"/>
      <c r="O8" s="422">
        <v>1</v>
      </c>
    </row>
    <row r="9" spans="1:41" ht="12.75" customHeight="1" x14ac:dyDescent="0.2">
      <c r="A9" s="559" t="b">
        <v>1</v>
      </c>
      <c r="B9" s="4"/>
      <c r="C9" s="688"/>
    </row>
    <row r="10" spans="1:41" ht="13.35" customHeight="1" x14ac:dyDescent="0.2">
      <c r="A10" s="410" t="s">
        <v>852</v>
      </c>
      <c r="B10" s="411"/>
      <c r="C10" s="688"/>
      <c r="E10" s="556"/>
      <c r="F10" s="810"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IF($J$518&lt;&gt;"",UPPER($J$518),
 "")))))))</f>
        <v>Altere na aba 'MENU' o tipo de orçamento para 'Licitado'.</v>
      </c>
      <c r="G10" s="810"/>
      <c r="H10" s="810"/>
      <c r="I10" s="810"/>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f ca="1">OFFSET(CRONO!$F$13,CRONO!$F$67,0)</f>
        <v>9</v>
      </c>
      <c r="B11" s="418"/>
      <c r="C11" s="688"/>
      <c r="E11" s="556"/>
      <c r="F11" s="810"/>
      <c r="G11" s="810"/>
      <c r="H11" s="810"/>
      <c r="I11" s="810"/>
      <c r="N11" s="557"/>
      <c r="O11" s="558" t="str">
        <f ca="1">IF(ISERROR(P11),"","Administração Local Acumulada: "&amp;TEXT(P11,"0,00%"))</f>
        <v>Administração Local Acumulada: 0,00%</v>
      </c>
      <c r="P11" s="561">
        <f ca="1">OFFSET($O$15,$A$11,0)/OFFSET($I$15,$A$11,0)</f>
        <v>0</v>
      </c>
      <c r="T11" s="811" t="s">
        <v>853</v>
      </c>
      <c r="U11" s="811"/>
      <c r="Z11" s="4"/>
      <c r="AB11" s="794" t="s">
        <v>854</v>
      </c>
      <c r="AC11" s="794"/>
      <c r="AD11" s="794"/>
      <c r="AE11" s="794"/>
      <c r="AF11" s="794"/>
      <c r="AG11" s="794"/>
      <c r="AH11" s="794"/>
      <c r="AI11" s="794"/>
      <c r="AJ11" s="794"/>
      <c r="AK11" s="794"/>
      <c r="AL11" s="794"/>
      <c r="AM11" s="794"/>
    </row>
    <row r="12" spans="1:41" ht="15" customHeight="1" x14ac:dyDescent="0.25">
      <c r="C12" s="688"/>
      <c r="E12" s="84" t="s">
        <v>855</v>
      </c>
      <c r="J12" s="700" t="str">
        <f ca="1">"Evolução Física "&amp;CHOOSE(MATCH(RegimeExecucao,{"Unitário","Global"},0),"(Qtde.)","(%)")</f>
        <v>Evolução Física (Qtde.)</v>
      </c>
      <c r="K12" s="700"/>
      <c r="L12" s="700"/>
      <c r="M12" s="700" t="s">
        <v>856</v>
      </c>
      <c r="N12" s="700"/>
      <c r="O12" s="700"/>
      <c r="Q12" s="700" t="str">
        <f ca="1">"Aferido (CAIXA) "&amp;CHOOSE(MATCH(RegimeExecucao,{"Unitário","Global"},0),"(Qtde.)","(%)")</f>
        <v>Aferido (CAIXA) (Qtde.)</v>
      </c>
      <c r="R12" s="700"/>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f ca="1">IF(RegimeExecucao="Unitário","Unidade","")</f>
        <v>Unidade</v>
      </c>
      <c r="W13" s="292" t="str">
        <f ca="1">CHOOSE(MATCH(RegimeExecucao,{"Unitário","Global"},0),"Quant. Glosada (unid)","Percentual Glosado (%)")</f>
        <v>Quant. Glosada (unid)</v>
      </c>
      <c r="X13" s="292" t="str">
        <f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f ca="1">IF(RegimeExecucao="Global","",ORÇAMENTO.Unidade)</f>
        <v>-</v>
      </c>
      <c r="G14" s="122">
        <f ca="1">IF(RegimeExecucao="Global","",ORÇAMENTO!T14)</f>
        <v>0</v>
      </c>
      <c r="H14" s="122">
        <f ca="1">IF(RegimeExecucao="Global","",ORÇAMENTO!W14)</f>
        <v>0</v>
      </c>
      <c r="I14" s="125">
        <f ca="1">ORÇAMENTO!X14</f>
        <v>0</v>
      </c>
      <c r="J14" s="333" cm="1">
        <f t="array" aca="1" ref="J14" ca="1">_xlfn.SINGLE(IF($A14="S",IF(CAIXA.Modo,BM.AFAnterior,BM.MEDAnterior),IF(AND(_xlfn.SINGLE(RegimeExecucao)="Global",$I14&gt;0,COUNTIF($AB$13:$AM$13,BM.medicao-1)&gt;0),M14/$I14*100,0)))</f>
        <v>0</v>
      </c>
      <c r="K14" s="122">
        <f ca="1">L14-J14</f>
        <v>0</v>
      </c>
      <c r="L14" s="334" cm="1">
        <f t="array" aca="1" ref="L14" ca="1">_xlfn.SINGLE(IF($A14="S",IF(CAIXA.Modo,BM.AFAcumulado,BM.MEDAcumulado),IF(AND(_xlfn.SINGLE(RegimeExecucao)="Global",$I14&gt;0,COUNTIF($AB$13:$AM$13,BM.medicao)&gt;0),O14/$I14*100,0)))</f>
        <v>0</v>
      </c>
      <c r="M14" s="335">
        <f ca="1">IF($A14="S",VTOTALBM,IF($A14=0,0,ROUND(SomaAgrupBM,15-13*ORÇAMENTO!$AF$11)))</f>
        <v>0</v>
      </c>
      <c r="N14" s="336">
        <f ca="1">O14-M14</f>
        <v>0</v>
      </c>
      <c r="O14" s="125">
        <f ca="1">IF($A14="S",VTOTALBM,IF($A14=0,0,ROUND(SomaAgrupBM,15-13*ORÇAMENTO!$AF$11)))</f>
        <v>0</v>
      </c>
      <c r="Q14" s="337"/>
      <c r="R14" s="338"/>
      <c r="T14" s="117" t="str">
        <f ca="1">IF($W14&gt;0,$D14,"")</f>
        <v/>
      </c>
      <c r="U14" s="163" t="str">
        <f ca="1">IF($W14&gt;0,$E14,"")</f>
        <v/>
      </c>
      <c r="V14" s="164" t="str">
        <f ca="1">IF(AND($W14&gt;0,RegimeExecucao="Unitário"),$F14,"")</f>
        <v/>
      </c>
      <c r="W14" s="454">
        <f ca="1">IF($Y14&gt;0,CHOOSE(MATCH(RegimeExecucao,{"Unitário","Global"},0),IF($A14="S",$Y14/$X14,""),($Y14/$X14)*100),0)</f>
        <v>0</v>
      </c>
      <c r="X14" s="339" t="str">
        <f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7" t="str">
        <f>"Objeto do CTEF: "&amp;Import.DescLote</f>
        <v>Objeto do CTEF: ETE - BREJO ALEGRE - FASE II</v>
      </c>
      <c r="E15" s="817"/>
      <c r="F15" s="455"/>
      <c r="G15" s="456"/>
      <c r="H15" s="456" t="s">
        <v>864</v>
      </c>
      <c r="I15" s="457">
        <f>IF(OR(_xlfn.SINGLE(ACOMPANHAMENTO)="PLE",_xlfn.SINGLE(TIPOORCAMENTO)="Proposto"),0,ORÇAMENTO!$X$15)</f>
        <v>0</v>
      </c>
      <c r="J15" s="340">
        <f ca="1">IF(M$15=0,0,IF(RegimeExecucao="Global",M$15/$I$15*100,0))</f>
        <v>0</v>
      </c>
      <c r="K15" s="340">
        <f ca="1">L15-J15</f>
        <v>0</v>
      </c>
      <c r="L15" s="340">
        <f ca="1">IF(O$15=0,0,IF(RegimeExecucao="Global",O$15/$I$15*100,0))</f>
        <v>0</v>
      </c>
      <c r="M15" s="341">
        <f ca="1">IF(OR(_xlfn.SINGLE(ACOMPANHAMENTO)="PLE",_xlfn.SINGLE(TIPOORCAMENTO)="Proposto"),0,SUMIF(OFFSET($A15,1,0):$A$508,"S",OFFSET(M15,1,0):M$508))</f>
        <v>0</v>
      </c>
      <c r="N15" s="341">
        <f ca="1">O15-M15</f>
        <v>0</v>
      </c>
      <c r="O15" s="341">
        <f ca="1">IF(OR(_xlfn.SINGLE(ACOMPANHAMENTO)="PLE",_xlfn.SINGLE(TIPOORCAMENTO)="Proposto"),0,SUMIF(OFFSET($A15,1,0):$A$508,"S",OFFSET(O15,1,0):O$508))</f>
        <v>0</v>
      </c>
      <c r="Q15" s="342"/>
      <c r="R15" s="342"/>
      <c r="T15" s="343"/>
      <c r="U15" s="344"/>
      <c r="V15" s="344"/>
      <c r="W15" s="344"/>
      <c r="X15" s="344"/>
      <c r="Y15" s="344"/>
      <c r="Z15" s="345"/>
      <c r="AB15" s="813" t="str">
        <f ca="1">"Preencher abaixo com a "&amp;CHOOSE(MATCH(RegimeExecucao,{"Unitário","Global"},0),"QUANTIDADE","PORCENTAGEM")&amp;" executada no PERÍODO"</f>
        <v>Preencher abaixo com a QUANTIDADE executada no PERÍODO</v>
      </c>
      <c r="AC15" s="813"/>
      <c r="AD15" s="813"/>
      <c r="AE15" s="813"/>
      <c r="AF15" s="813"/>
      <c r="AG15" s="813"/>
      <c r="AH15" s="813"/>
      <c r="AI15" s="813"/>
      <c r="AJ15" s="813"/>
      <c r="AK15" s="813"/>
      <c r="AL15" s="813"/>
      <c r="AM15" s="813"/>
    </row>
    <row r="16" spans="1:41" x14ac:dyDescent="0.2">
      <c r="A16">
        <f ca="1">ORÇAMENTO!C16</f>
        <v>1</v>
      </c>
      <c r="B16">
        <f ca="1">ORÇAMENTO!D16</f>
        <v>492</v>
      </c>
      <c r="C16" s="114" t="str">
        <f t="shared" ref="C16:C84" ca="1" si="1">IF(OR($I16&gt;0,$A16=1,$A16=2,$A16=3,$A16=4),"F","")</f>
        <v>F</v>
      </c>
      <c r="D16" s="117" t="str">
        <f ca="1">ORÇAMENTO!O16</f>
        <v>1.</v>
      </c>
      <c r="E16" s="163" t="str">
        <f t="shared" ref="E16:E84" si="2">ORÇAMENTO.Descricao</f>
        <v>ETE - BREJO ALEGRE - FASE II</v>
      </c>
      <c r="F16" s="164" t="str">
        <f ca="1">IF(RegimeExecucao="Global","",ORÇAMENTO.Unidade)</f>
        <v>-</v>
      </c>
      <c r="G16" s="122">
        <f ca="1">IF(RegimeExecucao="Global","",ORÇAMENTO!T16)</f>
        <v>0</v>
      </c>
      <c r="H16" s="122">
        <f ca="1">IF(RegimeExecucao="Global","",ORÇAMENTO!W16)</f>
        <v>0</v>
      </c>
      <c r="I16" s="125">
        <f ca="1">ORÇAMENTO!X16</f>
        <v>8302970.1299999999</v>
      </c>
      <c r="J16" s="333" cm="1">
        <f t="array" aca="1" ref="J16" ca="1">_xlfn.SINGLE(IF($A16="S",IF(CAIXA.Modo,BM.AFAnterior,BM.MEDAnterior),IF(AND(_xlfn.SINGLE(RegimeExecucao)="Global",$I16&gt;0,COUNTIF($AB$13:$AM$13,BM.medicao-1)&gt;0),M16/$I16*100,0)))</f>
        <v>0</v>
      </c>
      <c r="K16" s="122">
        <f t="shared" ref="K16:K84" ca="1" si="3">L16-J16</f>
        <v>0</v>
      </c>
      <c r="L16" s="334" cm="1">
        <f t="array" aca="1" ref="L16" ca="1">_xlfn.SINGLE(IF($A16="S",IF(CAIXA.Modo,BM.AFAcumulado,BM.MEDAcumulado),IF(AND(_xlfn.SINGLE(RegimeExecucao)="Global",$I16&gt;0,COUNTIF($AB$13:$AM$13,BM.medicao)&gt;0),O16/$I16*100,0)))</f>
        <v>0</v>
      </c>
      <c r="M16" s="335">
        <f ca="1">IF($A16="S",VTOTALBM,IF($A16=0,0,ROUND(SomaAgrupBM,15-13*ORÇAMENTO!$AF$11)))</f>
        <v>0</v>
      </c>
      <c r="N16" s="336">
        <f t="shared" ref="N16:N84" ca="1" si="4">O16-M16</f>
        <v>0</v>
      </c>
      <c r="O16" s="125">
        <f ca="1">IF($A16="S",VTOTALBM,IF($A16=0,0,ROUND(SomaAgrupBM,15-13*ORÇAMENTO!$AF$11)))</f>
        <v>0</v>
      </c>
      <c r="Q16" s="337"/>
      <c r="R16" s="338"/>
      <c r="T16" s="117" t="str">
        <f t="shared" ref="T16:T84" ca="1" si="5">IF($W16&gt;0,$D16,"")</f>
        <v/>
      </c>
      <c r="U16" s="163" t="str">
        <f t="shared" ref="U16:U84" ca="1" si="6">IF($W16&gt;0,$E16,"")</f>
        <v/>
      </c>
      <c r="V16" s="164" t="str">
        <f ca="1">IF(AND($W16&gt;0,RegimeExecucao="Unitário"),$F16,"")</f>
        <v/>
      </c>
      <c r="W16" s="454">
        <f ca="1">IF($Y16&gt;0,CHOOSE(MATCH(RegimeExecucao,{"Unitário","Global"},0),IF($A16="S",$Y16/$X16,""),($Y16/$X16)*100),0)</f>
        <v>0</v>
      </c>
      <c r="X16" s="339" t="str">
        <f ca="1">IF($Y16&gt;0,CHOOSE(MATCH(RegimeExecucao,{"Unitário","Global"},0),IF($A16="S",ROUND($H16,ORÇAMENTO!$AF$10),""),ROUND($I16,ORÇAMENTO!$AF$11)),"")</f>
        <v/>
      </c>
      <c r="Y16" s="339">
        <f t="shared" ref="Y16:Y84" ca="1" si="7">AO16-O16</f>
        <v>0</v>
      </c>
      <c r="Z16" s="473"/>
      <c r="AB16" s="337"/>
      <c r="AC16" s="437"/>
      <c r="AD16" s="437"/>
      <c r="AE16" s="437"/>
      <c r="AF16" s="437"/>
      <c r="AG16" s="437"/>
      <c r="AH16" s="437"/>
      <c r="AI16" s="437"/>
      <c r="AJ16" s="437"/>
      <c r="AK16" s="437"/>
      <c r="AL16" s="437"/>
      <c r="AM16" s="338"/>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7</v>
      </c>
      <c r="C17" s="114" t="str">
        <f ca="1">IF(OR($I17&gt;0,$A17=1,$A17=2,$A17=3,$A17=4),"F","")</f>
        <v>F</v>
      </c>
      <c r="D17" s="117" t="str">
        <f ca="1">ORÇAMENTO!O17</f>
        <v>1.1.</v>
      </c>
      <c r="E17" s="163" t="str">
        <f>ORÇAMENTO.Descricao</f>
        <v>MOBILIZAÇÃO E DESMOBILIZAÇÃO</v>
      </c>
      <c r="F17" s="164" t="str">
        <f ca="1">IF(RegimeExecucao="Global","",ORÇAMENTO.Unidade)</f>
        <v>-</v>
      </c>
      <c r="G17" s="122">
        <f ca="1">IF(RegimeExecucao="Global","",ORÇAMENTO!T17)</f>
        <v>0</v>
      </c>
      <c r="H17" s="122">
        <f ca="1">IF(RegimeExecucao="Global","",ORÇAMENTO!W17)</f>
        <v>0</v>
      </c>
      <c r="I17" s="125">
        <f ca="1">ORÇAMENTO!X17</f>
        <v>9287.2900000000009</v>
      </c>
      <c r="J17" s="333" cm="1">
        <f t="array" aca="1" ref="J17" ca="1">_xlfn.SINGLE(IF($A17="S",IF(CAIXA.Modo,BM.AFAnterior,BM.MEDAnterior),IF(AND(_xlfn.SINGLE(RegimeExecucao)="Global",$I17&gt;0,COUNTIF($AB$13:$AM$13,BM.medicao-1)&gt;0),M17/$I17*100,0)))</f>
        <v>0</v>
      </c>
      <c r="K17" s="122">
        <f ca="1">L17-J17</f>
        <v>0</v>
      </c>
      <c r="L17" s="334" cm="1">
        <f t="array" aca="1" ref="L17" ca="1">_xlfn.SINGLE(IF($A17="S",IF(CAIXA.Modo,BM.AFAcumulado,BM.MEDAcumulado),IF(AND(_xlfn.SINGLE(RegimeExecucao)="Global",$I17&gt;0,COUNTIF($AB$13:$AM$13,BM.medicao)&gt;0),O17/$I17*100,0)))</f>
        <v>0</v>
      </c>
      <c r="M17" s="335">
        <f ca="1">IF($A17="S",VTOTALBM,IF($A17=0,0,ROUND(SomaAgrupBM,15-13*ORÇAMENTO!$AF$11)))</f>
        <v>0</v>
      </c>
      <c r="N17" s="336">
        <f ca="1">O17-M17</f>
        <v>0</v>
      </c>
      <c r="O17" s="125">
        <f ca="1">IF($A17="S",VTOTALBM,IF($A17=0,0,ROUND(SomaAgrupBM,15-13*ORÇAMENTO!$AF$11)))</f>
        <v>0</v>
      </c>
      <c r="Q17" s="337"/>
      <c r="R17" s="338"/>
      <c r="T17" s="117" t="str">
        <f ca="1">IF($W17&gt;0,$D17,"")</f>
        <v/>
      </c>
      <c r="U17" s="163" t="str">
        <f ca="1">IF($W17&gt;0,$E17,"")</f>
        <v/>
      </c>
      <c r="V17" s="164" t="str">
        <f ca="1">IF(AND($W17&gt;0,RegimeExecucao="Unitário"),$F17,"")</f>
        <v/>
      </c>
      <c r="W17" s="454">
        <f ca="1">IF($Y17&gt;0,CHOOSE(MATCH(RegimeExecucao,{"Unitário","Global"},0),IF($A17="S",$Y17/$X17,""),($Y17/$X17)*100),0)</f>
        <v>0</v>
      </c>
      <c r="X17" s="339" t="str">
        <f ca="1">IF($Y17&gt;0,CHOOSE(MATCH(RegimeExecucao,{"Unitário","Global"},0),IF($A17="S",ROUND($H17,ORÇAMENTO!$AF$10),""),ROUND($I17,ORÇAMENTO!$AF$11)),"")</f>
        <v/>
      </c>
      <c r="Y17" s="339">
        <f ca="1">AO17-O17</f>
        <v>0</v>
      </c>
      <c r="Z17" s="473"/>
      <c r="AB17" s="337"/>
      <c r="AC17" s="437"/>
      <c r="AD17" s="437"/>
      <c r="AE17" s="437"/>
      <c r="AF17" s="437"/>
      <c r="AG17" s="437"/>
      <c r="AH17" s="437"/>
      <c r="AI17" s="437"/>
      <c r="AJ17" s="437"/>
      <c r="AK17" s="437"/>
      <c r="AL17" s="437"/>
      <c r="AM17" s="338"/>
      <c r="AO17">
        <f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f ca="1">ORÇAMENTO!C18</f>
        <v>3</v>
      </c>
      <c r="B18">
        <f ca="1">ORÇAMENTO!D18</f>
        <v>6</v>
      </c>
      <c r="C18" s="114" t="str">
        <f t="shared" ca="1" si="1"/>
        <v>F</v>
      </c>
      <c r="D18" s="117" t="str">
        <f ca="1">ORÇAMENTO!O18</f>
        <v>1.1.1.</v>
      </c>
      <c r="E18" s="163" t="str">
        <f t="shared" si="2"/>
        <v>MOBILIZAÇÃO E DESMOBILIZAÇÃO DE OBRA</v>
      </c>
      <c r="F18" s="164" t="str">
        <f ca="1">IF(RegimeExecucao="Global","",ORÇAMENTO.Unidade)</f>
        <v>-</v>
      </c>
      <c r="G18" s="122">
        <f ca="1">IF(RegimeExecucao="Global","",ORÇAMENTO!T18)</f>
        <v>0</v>
      </c>
      <c r="H18" s="122">
        <f ca="1">IF(RegimeExecucao="Global","",ORÇAMENTO!W18)</f>
        <v>0</v>
      </c>
      <c r="I18" s="125">
        <f ca="1">ORÇAMENTO!X18</f>
        <v>9287.2900000000009</v>
      </c>
      <c r="J18" s="333" cm="1">
        <f t="array" aca="1" ref="J18" ca="1">_xlfn.SINGLE(IF($A18="S",IF(CAIXA.Modo,BM.AFAnterior,BM.MEDAnterior),IF(AND(_xlfn.SINGLE(RegimeExecucao)="Global",$I18&gt;0,COUNTIF($AB$13:$AM$13,BM.medicao-1)&gt;0),M18/$I18*100,0)))</f>
        <v>0</v>
      </c>
      <c r="K18" s="122">
        <f t="shared" ca="1" si="3"/>
        <v>0</v>
      </c>
      <c r="L18" s="334" cm="1">
        <f t="array" aca="1" ref="L18" ca="1">_xlfn.SINGLE(IF($A18="S",IF(CAIXA.Modo,BM.AFAcumulado,BM.MEDAcumulado),IF(AND(_xlfn.SINGLE(RegimeExecucao)="Global",$I18&gt;0,COUNTIF($AB$13:$AM$13,BM.medicao)&gt;0),O18/$I18*100,0)))</f>
        <v>0</v>
      </c>
      <c r="M18" s="335">
        <f ca="1">IF($A18="S",VTOTALBM,IF($A18=0,0,ROUND(SomaAgrupBM,15-13*ORÇAMENTO!$AF$11)))</f>
        <v>0</v>
      </c>
      <c r="N18" s="336">
        <f t="shared" ca="1" si="4"/>
        <v>0</v>
      </c>
      <c r="O18" s="125">
        <f ca="1">IF($A18="S",VTOTALBM,IF($A18=0,0,ROUND(SomaAgrupBM,15-13*ORÇAMENTO!$AF$11)))</f>
        <v>0</v>
      </c>
      <c r="Q18" s="337"/>
      <c r="R18" s="338"/>
      <c r="T18" s="117" t="str">
        <f t="shared" ca="1" si="5"/>
        <v/>
      </c>
      <c r="U18" s="163" t="str">
        <f t="shared" ca="1" si="6"/>
        <v/>
      </c>
      <c r="V18" s="164" t="str">
        <f ca="1">IF(AND($W18&gt;0,RegimeExecucao="Unitário"),$F18,"")</f>
        <v/>
      </c>
      <c r="W18" s="454">
        <f ca="1">IF($Y18&gt;0,CHOOSE(MATCH(RegimeExecucao,{"Unitário","Global"},0),IF($A18="S",$Y18/$X18,""),($Y18/$X18)*100),0)</f>
        <v>0</v>
      </c>
      <c r="X18" s="339" t="str">
        <f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f ca="1">IF($A18="S",IF(BM!$I18=0,0,CHOOSE(MATCH(RegimeExecucao,{"Global","Unitário"},0),ROUND(ROUND(BM.MEDAcumulado,15-13*BM!$A$9)/100*BM!$I18,15-13*ORÇAMENTO!$AF$11),ROUND(ROUND(BM.MEDAcumulado,15-13*BM!$A$9)*ROUND(BM!$H18,15-13*ORÇAMENTO!$AF$10),15-13*ORÇAMENTO!$AF$11))),IF($A18=0,0,ROUND(SomaAgrupBM,15-13*ORÇAMENTO!$AF$11)))</f>
        <v>0</v>
      </c>
    </row>
    <row r="19" spans="1:41" ht="38.25" x14ac:dyDescent="0.2">
      <c r="A19" t="str">
        <f ca="1">ORÇAMENTO!C19</f>
        <v>S</v>
      </c>
      <c r="B19">
        <f ca="1">ORÇAMENTO!D19</f>
        <v>0</v>
      </c>
      <c r="C19" s="114" t="str">
        <f t="shared" ca="1" si="1"/>
        <v>F</v>
      </c>
      <c r="D19" s="117" t="str">
        <f ca="1">ORÇAMENTO!O19</f>
        <v>1.1.1.0.1.</v>
      </c>
      <c r="E19" s="163" t="str">
        <f t="shared" ca="1" si="2"/>
        <v>CAMINHÃO TRUCADO (C/ TERCEIRO EIXO) ELETRÔNICO - POTÊNCIA 231CV - PBT = 22000KG - DIST. ENTRE EIXOS 5170 MM - INCLUI CARROCERIA FIXA ABERTA DE MADEIRA - CHP DIURNO. AF_06/2015</v>
      </c>
      <c r="F19" s="164" t="str">
        <f ca="1">IF(RegimeExecucao="Global","",ORÇAMENTO.Unidade)</f>
        <v>CHP</v>
      </c>
      <c r="G19" s="122">
        <f ca="1">IF(RegimeExecucao="Global","",ORÇAMENTO!T19)</f>
        <v>16.96</v>
      </c>
      <c r="H19" s="122">
        <f ca="1">IF(RegimeExecucao="Global","",ORÇAMENTO!W19)</f>
        <v>328.76</v>
      </c>
      <c r="I19" s="125">
        <f ca="1">ORÇAMENTO!X19</f>
        <v>5575.77</v>
      </c>
      <c r="J19" s="333" cm="1">
        <f t="array" aca="1" ref="J19" ca="1">_xlfn.SINGLE(IF($A19="S",IF(CAIXA.Modo,BM.AFAnterior,BM.MEDAnterior),IF(AND(_xlfn.SINGLE(RegimeExecucao)="Global",$I19&gt;0,COUNTIF($AB$13:$AM$13,BM.medicao-1)&gt;0),M19/$I19*100,0)))</f>
        <v>0</v>
      </c>
      <c r="K19" s="122">
        <f t="shared" ca="1" si="3"/>
        <v>0</v>
      </c>
      <c r="L19" s="334" cm="1">
        <f t="array" aca="1" ref="L19" ca="1">_xlfn.SINGLE(IF($A19="S",IF(CAIXA.Modo,BM.AFAcumulado,BM.MEDAcumulado),IF(AND(_xlfn.SINGLE(RegimeExecucao)="Global",$I19&gt;0,COUNTIF($AB$13:$AM$13,BM.medicao)&gt;0),O19/$I19*100,0)))</f>
        <v>0</v>
      </c>
      <c r="M19" s="335">
        <f ca="1">IF($A19="S",VTOTALBM,IF($A19=0,0,ROUND(SomaAgrupBM,15-13*ORÇAMENTO!$AF$11)))</f>
        <v>0</v>
      </c>
      <c r="N19" s="336">
        <f t="shared" ca="1" si="4"/>
        <v>0</v>
      </c>
      <c r="O19" s="125">
        <f ca="1">IF($A19="S",VTOTALBM,IF($A19=0,0,ROUND(SomaAgrupBM,15-13*ORÇAMENTO!$AF$11)))</f>
        <v>0</v>
      </c>
      <c r="Q19" s="337"/>
      <c r="R19" s="338"/>
      <c r="T19" s="117" t="str">
        <f t="shared" ca="1" si="5"/>
        <v/>
      </c>
      <c r="U19" s="163" t="str">
        <f t="shared" ca="1" si="6"/>
        <v/>
      </c>
      <c r="V19" s="164" t="str">
        <f ca="1">IF(AND($W19&gt;0,RegimeExecucao="Unitário"),$F19,"")</f>
        <v/>
      </c>
      <c r="W19" s="454">
        <f ca="1">IF($Y19&gt;0,CHOOSE(MATCH(RegimeExecucao,{"Unitário","Global"},0),IF($A19="S",$Y19/$X19,""),($Y19/$X19)*100),0)</f>
        <v>0</v>
      </c>
      <c r="X19" s="339" t="str">
        <f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f ca="1">IF($A19="S",IF(BM!$I19=0,0,CHOOSE(MATCH(RegimeExecucao,{"Global","Unitário"},0),ROUND(ROUND(BM.MEDAcumulado,15-13*BM!$A$9)/100*BM!$I19,15-13*ORÇAMENTO!$AF$11),ROUND(ROUND(BM.MEDAcumulado,15-13*BM!$A$9)*ROUND(BM!$H19,15-13*ORÇAMENTO!$AF$10),15-13*ORÇAMENTO!$AF$11))),IF($A19=0,0,ROUND(SomaAgrupBM,15-13*ORÇAMENTO!$AF$11)))</f>
        <v>0</v>
      </c>
    </row>
    <row r="20" spans="1:41" ht="51" x14ac:dyDescent="0.2">
      <c r="A20" t="str">
        <f ca="1">ORÇAMENTO!C20</f>
        <v>S</v>
      </c>
      <c r="B20">
        <f ca="1">ORÇAMENTO!D20</f>
        <v>0</v>
      </c>
      <c r="C20" s="114" t="str">
        <f t="shared" ca="1" si="1"/>
        <v>F</v>
      </c>
      <c r="D20" s="117" t="str">
        <f ca="1">ORÇAMENTO!O20</f>
        <v>1.1.1.0.2.</v>
      </c>
      <c r="E20" s="163" t="str">
        <f t="shared" ca="1" si="2"/>
        <v>CAMINHÃO BASCULANTE 14 M3, COM CAVALO MECÂNICO DE CAPACIDADE MÁXIMA DE TRAÇÃO COMBINADO DE 36000 KG, POTÊNCIA 286 CV, INCLUSIVE SEMIREBOQUE COM CAÇAMBA METÁLICA - CHP DIURNO. AF_12/2014</v>
      </c>
      <c r="F20" s="164" t="str">
        <f ca="1">IF(RegimeExecucao="Global","",ORÇAMENTO.Unidade)</f>
        <v>CHP</v>
      </c>
      <c r="G20" s="122">
        <f ca="1">IF(RegimeExecucao="Global","",ORÇAMENTO!T20)</f>
        <v>2.82</v>
      </c>
      <c r="H20" s="122">
        <f ca="1">IF(RegimeExecucao="Global","",ORÇAMENTO!W20)</f>
        <v>417.06</v>
      </c>
      <c r="I20" s="125">
        <f ca="1">ORÇAMENTO!X20</f>
        <v>1176.1099999999999</v>
      </c>
      <c r="J20" s="333" cm="1">
        <f t="array" aca="1" ref="J20" ca="1">_xlfn.SINGLE(IF($A20="S",IF(CAIXA.Modo,BM.AFAnterior,BM.MEDAnterior),IF(AND(_xlfn.SINGLE(RegimeExecucao)="Global",$I20&gt;0,COUNTIF($AB$13:$AM$13,BM.medicao-1)&gt;0),M20/$I20*100,0)))</f>
        <v>0</v>
      </c>
      <c r="K20" s="122">
        <f t="shared" ca="1" si="3"/>
        <v>0</v>
      </c>
      <c r="L20" s="334" cm="1">
        <f t="array" aca="1" ref="L20" ca="1">_xlfn.SINGLE(IF($A20="S",IF(CAIXA.Modo,BM.AFAcumulado,BM.MEDAcumulado),IF(AND(_xlfn.SINGLE(RegimeExecucao)="Global",$I20&gt;0,COUNTIF($AB$13:$AM$13,BM.medicao)&gt;0),O20/$I20*100,0)))</f>
        <v>0</v>
      </c>
      <c r="M20" s="335">
        <f ca="1">IF($A20="S",VTOTALBM,IF($A20=0,0,ROUND(SomaAgrupBM,15-13*ORÇAMENTO!$AF$11)))</f>
        <v>0</v>
      </c>
      <c r="N20" s="336">
        <f t="shared" ca="1" si="4"/>
        <v>0</v>
      </c>
      <c r="O20" s="125">
        <f ca="1">IF($A20="S",VTOTALBM,IF($A20=0,0,ROUND(SomaAgrupBM,15-13*ORÇAMENTO!$AF$11)))</f>
        <v>0</v>
      </c>
      <c r="Q20" s="337"/>
      <c r="R20" s="338"/>
      <c r="T20" s="117" t="str">
        <f t="shared" ca="1" si="5"/>
        <v/>
      </c>
      <c r="U20" s="163" t="str">
        <f t="shared" ca="1" si="6"/>
        <v/>
      </c>
      <c r="V20" s="164" t="str">
        <f ca="1">IF(AND($W20&gt;0,RegimeExecucao="Unitário"),$F20,"")</f>
        <v/>
      </c>
      <c r="W20" s="454">
        <f ca="1">IF($Y20&gt;0,CHOOSE(MATCH(RegimeExecucao,{"Unitário","Global"},0),IF($A20="S",$Y20/$X20,""),($Y20/$X20)*100),0)</f>
        <v>0</v>
      </c>
      <c r="X20" s="339" t="str">
        <f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f ca="1">IF($A20="S",IF(BM!$I20=0,0,CHOOSE(MATCH(RegimeExecucao,{"Global","Unitário"},0),ROUND(ROUND(BM.MEDAcumulado,15-13*BM!$A$9)/100*BM!$I20,15-13*ORÇAMENTO!$AF$11),ROUND(ROUND(BM.MEDAcumulado,15-13*BM!$A$9)*ROUND(BM!$H20,15-13*ORÇAMENTO!$AF$10),15-13*ORÇAMENTO!$AF$11))),IF($A20=0,0,ROUND(SomaAgrupBM,15-13*ORÇAMENTO!$AF$11)))</f>
        <v>0</v>
      </c>
    </row>
    <row r="21" spans="1:41" ht="51" x14ac:dyDescent="0.2">
      <c r="A21" t="str">
        <f ca="1">ORÇAMENTO!C21</f>
        <v>S</v>
      </c>
      <c r="B21">
        <f ca="1">ORÇAMENTO!D21</f>
        <v>0</v>
      </c>
      <c r="C21" s="114" t="str">
        <f t="shared" ca="1" si="1"/>
        <v>F</v>
      </c>
      <c r="D21" s="117" t="str">
        <f ca="1">ORÇAMENTO!O21</f>
        <v>1.1.1.0.3.</v>
      </c>
      <c r="E21" s="163" t="str">
        <f t="shared" ca="1" si="2"/>
        <v>CAMINHÃO BASCULANTE 10 M3, TRUCADO CABINE SIMPLES, PESO BRUTO TOTAL 23.000 KG, CARGA ÚTIL MÁXIMA 15.935 KG, DISTÂNCIA ENTRE EIXOS 4,80 M, POTÊNCIA 230 CV INCLUSIVE CAÇAMBA METÁLICA - CHP DIURNO. AF_06/2014</v>
      </c>
      <c r="F21" s="164" t="str">
        <f ca="1">IF(RegimeExecucao="Global","",ORÇAMENTO.Unidade)</f>
        <v>CHP</v>
      </c>
      <c r="G21" s="122">
        <f ca="1">IF(RegimeExecucao="Global","",ORÇAMENTO!T21)</f>
        <v>2.82</v>
      </c>
      <c r="H21" s="122">
        <f ca="1">IF(RegimeExecucao="Global","",ORÇAMENTO!W21)</f>
        <v>340.59</v>
      </c>
      <c r="I21" s="125">
        <f ca="1">ORÇAMENTO!X21</f>
        <v>960.46</v>
      </c>
      <c r="J21" s="333" cm="1">
        <f t="array" aca="1" ref="J21" ca="1">_xlfn.SINGLE(IF($A21="S",IF(CAIXA.Modo,BM.AFAnterior,BM.MEDAnterior),IF(AND(_xlfn.SINGLE(RegimeExecucao)="Global",$I21&gt;0,COUNTIF($AB$13:$AM$13,BM.medicao-1)&gt;0),M21/$I21*100,0)))</f>
        <v>0</v>
      </c>
      <c r="K21" s="122">
        <f t="shared" ca="1" si="3"/>
        <v>0</v>
      </c>
      <c r="L21" s="334" cm="1">
        <f t="array" aca="1" ref="L21" ca="1">_xlfn.SINGLE(IF($A21="S",IF(CAIXA.Modo,BM.AFAcumulado,BM.MEDAcumulado),IF(AND(_xlfn.SINGLE(RegimeExecucao)="Global",$I21&gt;0,COUNTIF($AB$13:$AM$13,BM.medicao)&gt;0),O21/$I21*100,0)))</f>
        <v>0</v>
      </c>
      <c r="M21" s="335">
        <f ca="1">IF($A21="S",VTOTALBM,IF($A21=0,0,ROUND(SomaAgrupBM,15-13*ORÇAMENTO!$AF$11)))</f>
        <v>0</v>
      </c>
      <c r="N21" s="336">
        <f t="shared" ca="1" si="4"/>
        <v>0</v>
      </c>
      <c r="O21" s="125">
        <f ca="1">IF($A21="S",VTOTALBM,IF($A21=0,0,ROUND(SomaAgrupBM,15-13*ORÇAMENTO!$AF$11)))</f>
        <v>0</v>
      </c>
      <c r="Q21" s="337"/>
      <c r="R21" s="338"/>
      <c r="T21" s="117" t="str">
        <f t="shared" ca="1" si="5"/>
        <v/>
      </c>
      <c r="U21" s="163" t="str">
        <f t="shared" ca="1" si="6"/>
        <v/>
      </c>
      <c r="V21" s="164" t="str">
        <f ca="1">IF(AND($W21&gt;0,RegimeExecucao="Unitário"),$F21,"")</f>
        <v/>
      </c>
      <c r="W21" s="454">
        <f ca="1">IF($Y21&gt;0,CHOOSE(MATCH(RegimeExecucao,{"Unitário","Global"},0),IF($A21="S",$Y21/$X21,""),($Y21/$X21)*100),0)</f>
        <v>0</v>
      </c>
      <c r="X21" s="339" t="str">
        <f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f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F</v>
      </c>
      <c r="D22" s="117" t="str">
        <f ca="1">ORÇAMENTO!O22</f>
        <v>1.1.1.0.4.</v>
      </c>
      <c r="E22" s="163" t="str">
        <f t="shared" ca="1" si="2"/>
        <v>CHP/CAMINHÃO TANQUE, 10.000L, CARGA ÚTIL MÁXIMA 7200 KG, DISTÂNCIA ENTRE EIXOS 4,50 M, POTÊNCIA 190 CV</v>
      </c>
      <c r="F22" s="164" t="str">
        <f ca="1">IF(RegimeExecucao="Global","",ORÇAMENTO.Unidade)</f>
        <v>H</v>
      </c>
      <c r="G22" s="122">
        <f ca="1">IF(RegimeExecucao="Global","",ORÇAMENTO!T22)</f>
        <v>1.42</v>
      </c>
      <c r="H22" s="122">
        <f ca="1">IF(RegimeExecucao="Global","",ORÇAMENTO!W22)</f>
        <v>311.48</v>
      </c>
      <c r="I22" s="125">
        <f ca="1">ORÇAMENTO!X22</f>
        <v>442.3</v>
      </c>
      <c r="J22" s="333" cm="1">
        <f t="array" aca="1" ref="J22" ca="1">_xlfn.SINGLE(IF($A22="S",IF(CAIXA.Modo,BM.AFAnterior,BM.MEDAnterior),IF(AND(_xlfn.SINGLE(RegimeExecucao)="Global",$I22&gt;0,COUNTIF($AB$13:$AM$13,BM.medicao-1)&gt;0),M22/$I22*100,0)))</f>
        <v>0</v>
      </c>
      <c r="K22" s="122">
        <f t="shared" ca="1" si="3"/>
        <v>0</v>
      </c>
      <c r="L22" s="334" cm="1">
        <f t="array" aca="1" ref="L22" ca="1">_xlfn.SINGLE(IF($A22="S",IF(CAIXA.Modo,BM.AFAcumulado,BM.MEDAcumulado),IF(AND(_xlfn.SINGLE(RegimeExecucao)="Global",$I22&gt;0,COUNTIF($AB$13:$AM$13,BM.medicao)&gt;0),O22/$I22*100,0)))</f>
        <v>0</v>
      </c>
      <c r="M22" s="335">
        <f ca="1">IF($A22="S",VTOTALBM,IF($A22=0,0,ROUND(SomaAgrupBM,15-13*ORÇAMENTO!$AF$11)))</f>
        <v>0</v>
      </c>
      <c r="N22" s="336">
        <f t="shared" ca="1" si="4"/>
        <v>0</v>
      </c>
      <c r="O22" s="125">
        <f ca="1">IF($A22="S",VTOTALBM,IF($A22=0,0,ROUND(SomaAgrupBM,15-13*ORÇAMENTO!$AF$11)))</f>
        <v>0</v>
      </c>
      <c r="Q22" s="337"/>
      <c r="R22" s="338"/>
      <c r="T22" s="117" t="str">
        <f t="shared" ca="1" si="5"/>
        <v/>
      </c>
      <c r="U22" s="163" t="str">
        <f t="shared" ca="1" si="6"/>
        <v/>
      </c>
      <c r="V22" s="164" t="str">
        <f ca="1">IF(AND($W22&gt;0,RegimeExecucao="Unitário"),$F22,"")</f>
        <v/>
      </c>
      <c r="W22" s="454">
        <f ca="1">IF($Y22&gt;0,CHOOSE(MATCH(RegimeExecucao,{"Unitário","Global"},0),IF($A22="S",$Y22/$X22,""),($Y22/$X22)*100),0)</f>
        <v>0</v>
      </c>
      <c r="X22" s="339" t="str">
        <f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f ca="1">IF($A22="S",IF(BM!$I22=0,0,CHOOSE(MATCH(RegimeExecucao,{"Global","Unitário"},0),ROUND(ROUND(BM.MEDAcumulado,15-13*BM!$A$9)/100*BM!$I22,15-13*ORÇAMENTO!$AF$11),ROUND(ROUND(BM.MEDAcumulado,15-13*BM!$A$9)*ROUND(BM!$H22,15-13*ORÇAMENTO!$AF$10),15-13*ORÇAMENTO!$AF$11))),IF($A22=0,0,ROUND(SomaAgrupBM,15-13*ORÇAMENTO!$AF$11)))</f>
        <v>0</v>
      </c>
    </row>
    <row r="23" spans="1:41" ht="51" x14ac:dyDescent="0.2">
      <c r="A23" t="str">
        <f ca="1">ORÇAMENTO!C23</f>
        <v>S</v>
      </c>
      <c r="B23">
        <f ca="1">ORÇAMENTO!D23</f>
        <v>0</v>
      </c>
      <c r="C23" s="114" t="str">
        <f t="shared" ca="1" si="1"/>
        <v>F</v>
      </c>
      <c r="D23" s="117" t="str">
        <f ca="1">ORÇAMENTO!O23</f>
        <v>1.1.1.0.5.</v>
      </c>
      <c r="E23" s="163" t="str">
        <f t="shared" ca="1" si="2"/>
        <v>CAMINHÃO PIPA 10.000 L TRUCADO, PESO BRUTO TOTAL 23.000 KG, CARGA ÚTIL MÁXIMA 15.935 KG, DISTÂNCIA ENTRE EIXOS 4,8 M, POTÊNCIA 230 CV, INCLUSIVE TANQUE DE AÇO PARA TRANSPORTE DE ÁGUA - CHP DIURNO. AF_06/2014</v>
      </c>
      <c r="F23" s="164" t="str">
        <f ca="1">IF(RegimeExecucao="Global","",ORÇAMENTO.Unidade)</f>
        <v>CHP</v>
      </c>
      <c r="G23" s="122">
        <f ca="1">IF(RegimeExecucao="Global","",ORÇAMENTO!T23)</f>
        <v>2.82</v>
      </c>
      <c r="H23" s="122">
        <f ca="1">IF(RegimeExecucao="Global","",ORÇAMENTO!W23)</f>
        <v>401.65</v>
      </c>
      <c r="I23" s="125">
        <f ca="1">ORÇAMENTO!X23</f>
        <v>1132.6500000000001</v>
      </c>
      <c r="J23" s="333" cm="1">
        <f t="array" aca="1" ref="J23" ca="1">_xlfn.SINGLE(IF($A23="S",IF(CAIXA.Modo,BM.AFAnterior,BM.MEDAnterior),IF(AND(_xlfn.SINGLE(RegimeExecucao)="Global",$I23&gt;0,COUNTIF($AB$13:$AM$13,BM.medicao-1)&gt;0),M23/$I23*100,0)))</f>
        <v>0</v>
      </c>
      <c r="K23" s="122">
        <f t="shared" ca="1" si="3"/>
        <v>0</v>
      </c>
      <c r="L23" s="334" cm="1">
        <f t="array" aca="1" ref="L23" ca="1">_xlfn.SINGLE(IF($A23="S",IF(CAIXA.Modo,BM.AFAcumulado,BM.MEDAcumulado),IF(AND(_xlfn.SINGLE(RegimeExecucao)="Global",$I23&gt;0,COUNTIF($AB$13:$AM$13,BM.medicao)&gt;0),O23/$I23*100,0)))</f>
        <v>0</v>
      </c>
      <c r="M23" s="335">
        <f ca="1">IF($A23="S",VTOTALBM,IF($A23=0,0,ROUND(SomaAgrupBM,15-13*ORÇAMENTO!$AF$11)))</f>
        <v>0</v>
      </c>
      <c r="N23" s="336">
        <f t="shared" ca="1" si="4"/>
        <v>0</v>
      </c>
      <c r="O23" s="125">
        <f ca="1">IF($A23="S",VTOTALBM,IF($A23=0,0,ROUND(SomaAgrupBM,15-13*ORÇAMENTO!$AF$11)))</f>
        <v>0</v>
      </c>
      <c r="Q23" s="337"/>
      <c r="R23" s="338"/>
      <c r="T23" s="117" t="str">
        <f t="shared" ca="1" si="5"/>
        <v/>
      </c>
      <c r="U23" s="163" t="str">
        <f t="shared" ca="1" si="6"/>
        <v/>
      </c>
      <c r="V23" s="164" t="str">
        <f ca="1">IF(AND($W23&gt;0,RegimeExecucao="Unitário"),$F23,"")</f>
        <v/>
      </c>
      <c r="W23" s="454">
        <f ca="1">IF($Y23&gt;0,CHOOSE(MATCH(RegimeExecucao,{"Unitário","Global"},0),IF($A23="S",$Y23/$X23,""),($Y23/$X23)*100),0)</f>
        <v>0</v>
      </c>
      <c r="X23" s="339" t="str">
        <f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f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2</v>
      </c>
      <c r="B24">
        <f ca="1">ORÇAMENTO!D24</f>
        <v>3</v>
      </c>
      <c r="C24" s="114" t="str">
        <f t="shared" ca="1" si="1"/>
        <v>F</v>
      </c>
      <c r="D24" s="117" t="str">
        <f ca="1">ORÇAMENTO!O24</f>
        <v>1.2.</v>
      </c>
      <c r="E24" s="163" t="str">
        <f t="shared" si="2"/>
        <v>ADMINISTRAÇÃO LOCAL</v>
      </c>
      <c r="F24" s="164" t="str">
        <f ca="1">IF(RegimeExecucao="Global","",ORÇAMENTO.Unidade)</f>
        <v>-</v>
      </c>
      <c r="G24" s="122">
        <f ca="1">IF(RegimeExecucao="Global","",ORÇAMENTO!T24)</f>
        <v>0</v>
      </c>
      <c r="H24" s="122">
        <f ca="1">IF(RegimeExecucao="Global","",ORÇAMENTO!W24)</f>
        <v>0</v>
      </c>
      <c r="I24" s="125">
        <f ca="1">ORÇAMENTO!X24</f>
        <v>353885.05</v>
      </c>
      <c r="J24" s="333" cm="1">
        <f t="array" aca="1" ref="J24" ca="1">_xlfn.SINGLE(IF($A24="S",IF(CAIXA.Modo,BM.AFAnterior,BM.MEDAnterior),IF(AND(_xlfn.SINGLE(RegimeExecucao)="Global",$I24&gt;0,COUNTIF($AB$13:$AM$13,BM.medicao-1)&gt;0),M24/$I24*100,0)))</f>
        <v>0</v>
      </c>
      <c r="K24" s="122">
        <f t="shared" ca="1" si="3"/>
        <v>0</v>
      </c>
      <c r="L24" s="334" cm="1">
        <f t="array" aca="1" ref="L24" ca="1">_xlfn.SINGLE(IF($A24="S",IF(CAIXA.Modo,BM.AFAcumulado,BM.MEDAcumulado),IF(AND(_xlfn.SINGLE(RegimeExecucao)="Global",$I24&gt;0,COUNTIF($AB$13:$AM$13,BM.medicao)&gt;0),O24/$I24*100,0)))</f>
        <v>0</v>
      </c>
      <c r="M24" s="335">
        <f ca="1">IF($A24="S",VTOTALBM,IF($A24=0,0,ROUND(SomaAgrupBM,15-13*ORÇAMENTO!$AF$11)))</f>
        <v>0</v>
      </c>
      <c r="N24" s="336">
        <f t="shared" ca="1" si="4"/>
        <v>0</v>
      </c>
      <c r="O24" s="125">
        <f ca="1">IF($A24="S",VTOTALBM,IF($A24=0,0,ROUND(SomaAgrupBM,15-13*ORÇAMENTO!$AF$11)))</f>
        <v>0</v>
      </c>
      <c r="Q24" s="337"/>
      <c r="R24" s="338"/>
      <c r="T24" s="117" t="str">
        <f t="shared" ca="1" si="5"/>
        <v/>
      </c>
      <c r="U24" s="163" t="str">
        <f t="shared" ca="1" si="6"/>
        <v/>
      </c>
      <c r="V24" s="164" t="str">
        <f ca="1">IF(AND($W24&gt;0,RegimeExecucao="Unitário"),$F24,"")</f>
        <v/>
      </c>
      <c r="W24" s="454">
        <f ca="1">IF($Y24&gt;0,CHOOSE(MATCH(RegimeExecucao,{"Unitário","Global"},0),IF($A24="S",$Y24/$X24,""),($Y24/$X24)*100),0)</f>
        <v>0</v>
      </c>
      <c r="X24" s="339" t="str">
        <f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f ca="1">IF($A24="S",IF(BM!$I24=0,0,CHOOSE(MATCH(RegimeExecucao,{"Global","Unitário"},0),ROUND(ROUND(BM.MEDAcumulado,15-13*BM!$A$9)/100*BM!$I24,15-13*ORÇAMENTO!$AF$11),ROUND(ROUND(BM.MEDAcumulado,15-13*BM!$A$9)*ROUND(BM!$H24,15-13*ORÇAMENTO!$AF$10),15-13*ORÇAMENTO!$AF$11))),IF($A24=0,0,ROUND(SomaAgrupBM,15-13*ORÇAMENTO!$AF$11)))</f>
        <v>0</v>
      </c>
    </row>
    <row r="25" spans="1:41" x14ac:dyDescent="0.2">
      <c r="A25">
        <f ca="1">ORÇAMENTO!C25</f>
        <v>3</v>
      </c>
      <c r="B25">
        <f ca="1">ORÇAMENTO!D25</f>
        <v>2</v>
      </c>
      <c r="C25" s="114" t="str">
        <f t="shared" ca="1" si="1"/>
        <v>F</v>
      </c>
      <c r="D25" s="117" t="str">
        <f ca="1">ORÇAMENTO!O25</f>
        <v>1.2.1.</v>
      </c>
      <c r="E25" s="163" t="str">
        <f t="shared" si="2"/>
        <v>ADMINISTRAÇÃO LOCAL DE OBRA</v>
      </c>
      <c r="F25" s="164" t="str">
        <f ca="1">IF(RegimeExecucao="Global","",ORÇAMENTO.Unidade)</f>
        <v>-</v>
      </c>
      <c r="G25" s="122">
        <f ca="1">IF(RegimeExecucao="Global","",ORÇAMENTO!T25)</f>
        <v>0</v>
      </c>
      <c r="H25" s="122">
        <f ca="1">IF(RegimeExecucao="Global","",ORÇAMENTO!W25)</f>
        <v>0</v>
      </c>
      <c r="I25" s="125">
        <f ca="1">ORÇAMENTO!X25</f>
        <v>353885.05</v>
      </c>
      <c r="J25" s="333" cm="1">
        <f t="array" aca="1" ref="J25" ca="1">_xlfn.SINGLE(IF($A25="S",IF(CAIXA.Modo,BM.AFAnterior,BM.MEDAnterior),IF(AND(_xlfn.SINGLE(RegimeExecucao)="Global",$I25&gt;0,COUNTIF($AB$13:$AM$13,BM.medicao-1)&gt;0),M25/$I25*100,0)))</f>
        <v>0</v>
      </c>
      <c r="K25" s="122">
        <f t="shared" ca="1" si="3"/>
        <v>0</v>
      </c>
      <c r="L25" s="334" cm="1">
        <f t="array" aca="1" ref="L25" ca="1">_xlfn.SINGLE(IF($A25="S",IF(CAIXA.Modo,BM.AFAcumulado,BM.MEDAcumulado),IF(AND(_xlfn.SINGLE(RegimeExecucao)="Global",$I25&gt;0,COUNTIF($AB$13:$AM$13,BM.medicao)&gt;0),O25/$I25*100,0)))</f>
        <v>0</v>
      </c>
      <c r="M25" s="335">
        <f ca="1">IF($A25="S",VTOTALBM,IF($A25=0,0,ROUND(SomaAgrupBM,15-13*ORÇAMENTO!$AF$11)))</f>
        <v>0</v>
      </c>
      <c r="N25" s="336">
        <f t="shared" ca="1" si="4"/>
        <v>0</v>
      </c>
      <c r="O25" s="125">
        <f ca="1">IF($A25="S",VTOTALBM,IF($A25=0,0,ROUND(SomaAgrupBM,15-13*ORÇAMENTO!$AF$11)))</f>
        <v>0</v>
      </c>
      <c r="Q25" s="337"/>
      <c r="R25" s="338"/>
      <c r="T25" s="117" t="str">
        <f t="shared" ca="1" si="5"/>
        <v/>
      </c>
      <c r="U25" s="163" t="str">
        <f t="shared" ca="1" si="6"/>
        <v/>
      </c>
      <c r="V25" s="164" t="str">
        <f ca="1">IF(AND($W25&gt;0,RegimeExecucao="Unitário"),$F25,"")</f>
        <v/>
      </c>
      <c r="W25" s="454">
        <f ca="1">IF($Y25&gt;0,CHOOSE(MATCH(RegimeExecucao,{"Unitário","Global"},0),IF($A25="S",$Y25/$X25,""),($Y25/$X25)*100),0)</f>
        <v>0</v>
      </c>
      <c r="X25" s="339" t="str">
        <f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f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4" t="str">
        <f t="shared" ca="1" si="1"/>
        <v>F</v>
      </c>
      <c r="D26" s="117" t="str">
        <f ca="1">ORÇAMENTO!O26</f>
        <v>1.2.1.0.1.</v>
      </c>
      <c r="E26" s="163" t="str">
        <f t="shared" ca="1" si="2"/>
        <v>ADMINISTRAÇÃO LOCAL DE OBRA</v>
      </c>
      <c r="F26" s="164" t="str">
        <f ca="1">IF(RegimeExecucao="Global","",ORÇAMENTO.Unidade)</f>
        <v>CJ</v>
      </c>
      <c r="G26" s="122">
        <f ca="1">IF(RegimeExecucao="Global","",ORÇAMENTO!T26)</f>
        <v>1</v>
      </c>
      <c r="H26" s="122">
        <f ca="1">IF(RegimeExecucao="Global","",ORÇAMENTO!W26)</f>
        <v>353885.05</v>
      </c>
      <c r="I26" s="125">
        <f ca="1">ORÇAMENTO!X26</f>
        <v>353885.05</v>
      </c>
      <c r="J26" s="333" cm="1">
        <f t="array" aca="1" ref="J26" ca="1">_xlfn.SINGLE(IF($A26="S",IF(CAIXA.Modo,BM.AFAnterior,BM.MEDAnterior),IF(AND(_xlfn.SINGLE(RegimeExecucao)="Global",$I26&gt;0,COUNTIF($AB$13:$AM$13,BM.medicao-1)&gt;0),M26/$I26*100,0)))</f>
        <v>0</v>
      </c>
      <c r="K26" s="122">
        <f t="shared" ca="1" si="3"/>
        <v>0</v>
      </c>
      <c r="L26" s="334" cm="1">
        <f t="array" aca="1" ref="L26" ca="1">_xlfn.SINGLE(IF($A26="S",IF(CAIXA.Modo,BM.AFAcumulado,BM.MEDAcumulado),IF(AND(_xlfn.SINGLE(RegimeExecucao)="Global",$I26&gt;0,COUNTIF($AB$13:$AM$13,BM.medicao)&gt;0),O26/$I26*100,0)))</f>
        <v>0</v>
      </c>
      <c r="M26" s="335">
        <f ca="1">IF($A26="S",VTOTALBM,IF($A26=0,0,ROUND(SomaAgrupBM,15-13*ORÇAMENTO!$AF$11)))</f>
        <v>0</v>
      </c>
      <c r="N26" s="336">
        <f t="shared" ca="1" si="4"/>
        <v>0</v>
      </c>
      <c r="O26" s="125">
        <f ca="1">IF($A26="S",VTOTALBM,IF($A26=0,0,ROUND(SomaAgrupBM,15-13*ORÇAMENTO!$AF$11)))</f>
        <v>0</v>
      </c>
      <c r="Q26" s="337"/>
      <c r="R26" s="338"/>
      <c r="T26" s="117" t="str">
        <f t="shared" ca="1" si="5"/>
        <v/>
      </c>
      <c r="U26" s="163" t="str">
        <f t="shared" ca="1" si="6"/>
        <v/>
      </c>
      <c r="V26" s="164" t="str">
        <f ca="1">IF(AND($W26&gt;0,RegimeExecucao="Unitário"),$F26,"")</f>
        <v/>
      </c>
      <c r="W26" s="454">
        <f ca="1">IF($Y26&gt;0,CHOOSE(MATCH(RegimeExecucao,{"Unitário","Global"},0),IF($A26="S",$Y26/$X26,""),($Y26/$X26)*100),0)</f>
        <v>0</v>
      </c>
      <c r="X26" s="339" t="str">
        <f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f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f ca="1">ORÇAMENTO!C27</f>
        <v>2</v>
      </c>
      <c r="B27">
        <f ca="1">ORÇAMENTO!D27</f>
        <v>21</v>
      </c>
      <c r="C27" s="114" t="str">
        <f t="shared" ca="1" si="1"/>
        <v>F</v>
      </c>
      <c r="D27" s="117" t="str">
        <f ca="1">ORÇAMENTO!O27</f>
        <v>1.3.</v>
      </c>
      <c r="E27" s="163" t="str">
        <f t="shared" si="2"/>
        <v>SERVIÇOS INICIAIS</v>
      </c>
      <c r="F27" s="164" t="str">
        <f ca="1">IF(RegimeExecucao="Global","",ORÇAMENTO.Unidade)</f>
        <v>-</v>
      </c>
      <c r="G27" s="122">
        <f ca="1">IF(RegimeExecucao="Global","",ORÇAMENTO!T27)</f>
        <v>0</v>
      </c>
      <c r="H27" s="122">
        <f ca="1">IF(RegimeExecucao="Global","",ORÇAMENTO!W27)</f>
        <v>0</v>
      </c>
      <c r="I27" s="125">
        <f ca="1">ORÇAMENTO!X27</f>
        <v>149901.69</v>
      </c>
      <c r="J27" s="333" cm="1">
        <f t="array" aca="1" ref="J27" ca="1">_xlfn.SINGLE(IF($A27="S",IF(CAIXA.Modo,BM.AFAnterior,BM.MEDAnterior),IF(AND(_xlfn.SINGLE(RegimeExecucao)="Global",$I27&gt;0,COUNTIF($AB$13:$AM$13,BM.medicao-1)&gt;0),M27/$I27*100,0)))</f>
        <v>0</v>
      </c>
      <c r="K27" s="122">
        <f t="shared" ca="1" si="3"/>
        <v>0</v>
      </c>
      <c r="L27" s="334" cm="1">
        <f t="array" aca="1" ref="L27" ca="1">_xlfn.SINGLE(IF($A27="S",IF(CAIXA.Modo,BM.AFAcumulado,BM.MEDAcumulado),IF(AND(_xlfn.SINGLE(RegimeExecucao)="Global",$I27&gt;0,COUNTIF($AB$13:$AM$13,BM.medicao)&gt;0),O27/$I27*100,0)))</f>
        <v>0</v>
      </c>
      <c r="M27" s="335">
        <f ca="1">IF($A27="S",VTOTALBM,IF($A27=0,0,ROUND(SomaAgrupBM,15-13*ORÇAMENTO!$AF$11)))</f>
        <v>0</v>
      </c>
      <c r="N27" s="336">
        <f t="shared" ca="1" si="4"/>
        <v>0</v>
      </c>
      <c r="O27" s="125">
        <f ca="1">IF($A27="S",VTOTALBM,IF($A27=0,0,ROUND(SomaAgrupBM,15-13*ORÇAMENTO!$AF$11)))</f>
        <v>0</v>
      </c>
      <c r="Q27" s="337"/>
      <c r="R27" s="338"/>
      <c r="T27" s="117" t="str">
        <f t="shared" ca="1" si="5"/>
        <v/>
      </c>
      <c r="U27" s="163" t="str">
        <f t="shared" ca="1" si="6"/>
        <v/>
      </c>
      <c r="V27" s="164" t="str">
        <f ca="1">IF(AND($W27&gt;0,RegimeExecucao="Unitário"),$F27,"")</f>
        <v/>
      </c>
      <c r="W27" s="454">
        <f ca="1">IF($Y27&gt;0,CHOOSE(MATCH(RegimeExecucao,{"Unitário","Global"},0),IF($A27="S",$Y27/$X27,""),($Y27/$X27)*100),0)</f>
        <v>0</v>
      </c>
      <c r="X27" s="339" t="str">
        <f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f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3</v>
      </c>
      <c r="B28">
        <f ca="1">ORÇAMENTO!D28</f>
        <v>2</v>
      </c>
      <c r="C28" s="114" t="str">
        <f t="shared" ca="1" si="1"/>
        <v>F</v>
      </c>
      <c r="D28" s="117" t="str">
        <f ca="1">ORÇAMENTO!O28</f>
        <v>1.3.1.</v>
      </c>
      <c r="E28" s="163" t="str">
        <f t="shared" si="2"/>
        <v>IDENTIFICAÇÃO DE OBRA</v>
      </c>
      <c r="F28" s="164" t="str">
        <f ca="1">IF(RegimeExecucao="Global","",ORÇAMENTO.Unidade)</f>
        <v>-</v>
      </c>
      <c r="G28" s="122">
        <f ca="1">IF(RegimeExecucao="Global","",ORÇAMENTO!T28)</f>
        <v>0</v>
      </c>
      <c r="H28" s="122">
        <f ca="1">IF(RegimeExecucao="Global","",ORÇAMENTO!W28)</f>
        <v>0</v>
      </c>
      <c r="I28" s="125">
        <f ca="1">ORÇAMENTO!X28</f>
        <v>4044.69</v>
      </c>
      <c r="J28" s="333" cm="1">
        <f t="array" aca="1" ref="J28" ca="1">_xlfn.SINGLE(IF($A28="S",IF(CAIXA.Modo,BM.AFAnterior,BM.MEDAnterior),IF(AND(_xlfn.SINGLE(RegimeExecucao)="Global",$I28&gt;0,COUNTIF($AB$13:$AM$13,BM.medicao-1)&gt;0),M28/$I28*100,0)))</f>
        <v>0</v>
      </c>
      <c r="K28" s="122">
        <f t="shared" ca="1" si="3"/>
        <v>0</v>
      </c>
      <c r="L28" s="334" cm="1">
        <f t="array" aca="1" ref="L28" ca="1">_xlfn.SINGLE(IF($A28="S",IF(CAIXA.Modo,BM.AFAcumulado,BM.MEDAcumulado),IF(AND(_xlfn.SINGLE(RegimeExecucao)="Global",$I28&gt;0,COUNTIF($AB$13:$AM$13,BM.medicao)&gt;0),O28/$I28*100,0)))</f>
        <v>0</v>
      </c>
      <c r="M28" s="335">
        <f ca="1">IF($A28="S",VTOTALBM,IF($A28=0,0,ROUND(SomaAgrupBM,15-13*ORÇAMENTO!$AF$11)))</f>
        <v>0</v>
      </c>
      <c r="N28" s="336">
        <f t="shared" ca="1" si="4"/>
        <v>0</v>
      </c>
      <c r="O28" s="125">
        <f ca="1">IF($A28="S",VTOTALBM,IF($A28=0,0,ROUND(SomaAgrupBM,15-13*ORÇAMENTO!$AF$11)))</f>
        <v>0</v>
      </c>
      <c r="Q28" s="337"/>
      <c r="R28" s="338"/>
      <c r="T28" s="117" t="str">
        <f t="shared" ca="1" si="5"/>
        <v/>
      </c>
      <c r="U28" s="163" t="str">
        <f t="shared" ca="1" si="6"/>
        <v/>
      </c>
      <c r="V28" s="164" t="str">
        <f ca="1">IF(AND($W28&gt;0,RegimeExecucao="Unitário"),$F28,"")</f>
        <v/>
      </c>
      <c r="W28" s="454">
        <f ca="1">IF($Y28&gt;0,CHOOSE(MATCH(RegimeExecucao,{"Unitário","Global"},0),IF($A28="S",$Y28/$X28,""),($Y28/$X28)*100),0)</f>
        <v>0</v>
      </c>
      <c r="X28" s="339" t="str">
        <f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f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4" t="str">
        <f t="shared" ca="1" si="1"/>
        <v>F</v>
      </c>
      <c r="D29" s="117" t="str">
        <f ca="1">ORÇAMENTO!O29</f>
        <v>1.3.1.0.1.</v>
      </c>
      <c r="E29" s="163" t="str">
        <f t="shared" ca="1" si="2"/>
        <v>FORNECIMENTO E INSTALAÇÃO DE PLACA DE OBRA COM CHAPA GALVANIZADA E ESTRUTURA DE MADEIRA. AF_03/2022_PS</v>
      </c>
      <c r="F29" s="164" t="str">
        <f ca="1">IF(RegimeExecucao="Global","",ORÇAMENTO.Unidade)</f>
        <v>M2</v>
      </c>
      <c r="G29" s="122">
        <f ca="1">IF(RegimeExecucao="Global","",ORÇAMENTO!T29)</f>
        <v>6.48</v>
      </c>
      <c r="H29" s="122">
        <f ca="1">IF(RegimeExecucao="Global","",ORÇAMENTO!W29)</f>
        <v>624.17999999999995</v>
      </c>
      <c r="I29" s="125">
        <f ca="1">ORÇAMENTO!X29</f>
        <v>4044.69</v>
      </c>
      <c r="J29" s="333" cm="1">
        <f t="array" aca="1" ref="J29" ca="1">_xlfn.SINGLE(IF($A29="S",IF(CAIXA.Modo,BM.AFAnterior,BM.MEDAnterior),IF(AND(_xlfn.SINGLE(RegimeExecucao)="Global",$I29&gt;0,COUNTIF($AB$13:$AM$13,BM.medicao-1)&gt;0),M29/$I29*100,0)))</f>
        <v>0</v>
      </c>
      <c r="K29" s="122">
        <f t="shared" ca="1" si="3"/>
        <v>0</v>
      </c>
      <c r="L29" s="334" cm="1">
        <f t="array" aca="1" ref="L29" ca="1">_xlfn.SINGLE(IF($A29="S",IF(CAIXA.Modo,BM.AFAcumulado,BM.MEDAcumulado),IF(AND(_xlfn.SINGLE(RegimeExecucao)="Global",$I29&gt;0,COUNTIF($AB$13:$AM$13,BM.medicao)&gt;0),O29/$I29*100,0)))</f>
        <v>0</v>
      </c>
      <c r="M29" s="335">
        <f ca="1">IF($A29="S",VTOTALBM,IF($A29=0,0,ROUND(SomaAgrupBM,15-13*ORÇAMENTO!$AF$11)))</f>
        <v>0</v>
      </c>
      <c r="N29" s="336">
        <f t="shared" ca="1" si="4"/>
        <v>0</v>
      </c>
      <c r="O29" s="125">
        <f ca="1">IF($A29="S",VTOTALBM,IF($A29=0,0,ROUND(SomaAgrupBM,15-13*ORÇAMENTO!$AF$11)))</f>
        <v>0</v>
      </c>
      <c r="Q29" s="337"/>
      <c r="R29" s="338"/>
      <c r="T29" s="117" t="str">
        <f t="shared" ca="1" si="5"/>
        <v/>
      </c>
      <c r="U29" s="163" t="str">
        <f t="shared" ca="1" si="6"/>
        <v/>
      </c>
      <c r="V29" s="164" t="str">
        <f ca="1">IF(AND($W29&gt;0,RegimeExecucao="Unitário"),$F29,"")</f>
        <v/>
      </c>
      <c r="W29" s="454">
        <f ca="1">IF($Y29&gt;0,CHOOSE(MATCH(RegimeExecucao,{"Unitário","Global"},0),IF($A29="S",$Y29/$X29,""),($Y29/$X29)*100),0)</f>
        <v>0</v>
      </c>
      <c r="X29" s="339" t="str">
        <f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3</v>
      </c>
      <c r="B30">
        <f ca="1">ORÇAMENTO!D30</f>
        <v>12</v>
      </c>
      <c r="C30" s="114" t="str">
        <f t="shared" ca="1" si="1"/>
        <v>F</v>
      </c>
      <c r="D30" s="117" t="str">
        <f ca="1">ORÇAMENTO!O30</f>
        <v>1.3.2.</v>
      </c>
      <c r="E30" s="163" t="str">
        <f t="shared" si="2"/>
        <v>CANTEIRO DE OBRA</v>
      </c>
      <c r="F30" s="164" t="str">
        <f ca="1">IF(RegimeExecucao="Global","",ORÇAMENTO.Unidade)</f>
        <v>-</v>
      </c>
      <c r="G30" s="122">
        <f ca="1">IF(RegimeExecucao="Global","",ORÇAMENTO!T30)</f>
        <v>0</v>
      </c>
      <c r="H30" s="122">
        <f ca="1">IF(RegimeExecucao="Global","",ORÇAMENTO!W30)</f>
        <v>0</v>
      </c>
      <c r="I30" s="125">
        <f ca="1">ORÇAMENTO!X30</f>
        <v>87551.91</v>
      </c>
      <c r="J30" s="333" cm="1">
        <f t="array" aca="1" ref="J30" ca="1">_xlfn.SINGLE(IF($A30="S",IF(CAIXA.Modo,BM.AFAnterior,BM.MEDAnterior),IF(AND(_xlfn.SINGLE(RegimeExecucao)="Global",$I30&gt;0,COUNTIF($AB$13:$AM$13,BM.medicao-1)&gt;0),M30/$I30*100,0)))</f>
        <v>0</v>
      </c>
      <c r="K30" s="122">
        <f t="shared" ca="1" si="3"/>
        <v>0</v>
      </c>
      <c r="L30" s="334" cm="1">
        <f t="array" aca="1" ref="L30" ca="1">_xlfn.SINGLE(IF($A30="S",IF(CAIXA.Modo,BM.AFAcumulado,BM.MEDAcumulado),IF(AND(_xlfn.SINGLE(RegimeExecucao)="Global",$I30&gt;0,COUNTIF($AB$13:$AM$13,BM.medicao)&gt;0),O30/$I30*100,0)))</f>
        <v>0</v>
      </c>
      <c r="M30" s="335">
        <f ca="1">IF($A30="S",VTOTALBM,IF($A30=0,0,ROUND(SomaAgrupBM,15-13*ORÇAMENTO!$AF$11)))</f>
        <v>0</v>
      </c>
      <c r="N30" s="336">
        <f t="shared" ca="1" si="4"/>
        <v>0</v>
      </c>
      <c r="O30" s="125">
        <f ca="1">IF($A30="S",VTOTALBM,IF($A30=0,0,ROUND(SomaAgrupBM,15-13*ORÇAMENTO!$AF$11)))</f>
        <v>0</v>
      </c>
      <c r="Q30" s="337"/>
      <c r="R30" s="338"/>
      <c r="T30" s="117" t="str">
        <f t="shared" ca="1" si="5"/>
        <v/>
      </c>
      <c r="U30" s="163" t="str">
        <f t="shared" ca="1" si="6"/>
        <v/>
      </c>
      <c r="V30" s="164" t="str">
        <f ca="1">IF(AND($W30&gt;0,RegimeExecucao="Unitário"),$F30,"")</f>
        <v/>
      </c>
      <c r="W30" s="454">
        <f ca="1">IF($Y30&gt;0,CHOOSE(MATCH(RegimeExecucao,{"Unitário","Global"},0),IF($A30="S",$Y30/$X30,""),($Y30/$X30)*100),0)</f>
        <v>0</v>
      </c>
      <c r="X30" s="339" t="str">
        <f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f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F</v>
      </c>
      <c r="D31" s="117" t="str">
        <f ca="1">ORÇAMENTO!O31</f>
        <v>1.3.2.0.1.</v>
      </c>
      <c r="E31" s="163" t="str">
        <f t="shared" ca="1" si="2"/>
        <v>MOBILIZAÇÃO E DESMOBILIZAÇÃO DE CONTAINER, INCLUSIVE CARGA, DESCARGA E TRANSPORTE EM CAMINHÃO CARROCERIA COM GUINDAUTO (MUNCK), EXCLUSIVE LOCAÇÃO DO CONTAINER</v>
      </c>
      <c r="F31" s="164" t="str">
        <f ca="1">IF(RegimeExecucao="Global","",ORÇAMENTO.Unidade)</f>
        <v>UN</v>
      </c>
      <c r="G31" s="122">
        <f ca="1">IF(RegimeExecucao="Global","",ORÇAMENTO!T31)</f>
        <v>4</v>
      </c>
      <c r="H31" s="122">
        <f ca="1">IF(RegimeExecucao="Global","",ORÇAMENTO!W31)</f>
        <v>1941.44</v>
      </c>
      <c r="I31" s="125">
        <f ca="1">ORÇAMENTO!X31</f>
        <v>7765.76</v>
      </c>
      <c r="J31" s="333" cm="1">
        <f t="array" aca="1" ref="J31" ca="1">_xlfn.SINGLE(IF($A31="S",IF(CAIXA.Modo,BM.AFAnterior,BM.MEDAnterior),IF(AND(_xlfn.SINGLE(RegimeExecucao)="Global",$I31&gt;0,COUNTIF($AB$13:$AM$13,BM.medicao-1)&gt;0),M31/$I31*100,0)))</f>
        <v>0</v>
      </c>
      <c r="K31" s="122">
        <f t="shared" ca="1" si="3"/>
        <v>0</v>
      </c>
      <c r="L31" s="334" cm="1">
        <f t="array" aca="1" ref="L31" ca="1">_xlfn.SINGLE(IF($A31="S",IF(CAIXA.Modo,BM.AFAcumulado,BM.MEDAcumulado),IF(AND(_xlfn.SINGLE(RegimeExecucao)="Global",$I31&gt;0,COUNTIF($AB$13:$AM$13,BM.medicao)&gt;0),O31/$I31*100,0)))</f>
        <v>0</v>
      </c>
      <c r="M31" s="335">
        <f ca="1">IF($A31="S",VTOTALBM,IF($A31=0,0,ROUND(SomaAgrupBM,15-13*ORÇAMENTO!$AF$11)))</f>
        <v>0</v>
      </c>
      <c r="N31" s="336">
        <f t="shared" ca="1" si="4"/>
        <v>0</v>
      </c>
      <c r="O31" s="125">
        <f ca="1">IF($A31="S",VTOTALBM,IF($A31=0,0,ROUND(SomaAgrupBM,15-13*ORÇAMENTO!$AF$11)))</f>
        <v>0</v>
      </c>
      <c r="Q31" s="337"/>
      <c r="R31" s="338"/>
      <c r="T31" s="117" t="str">
        <f t="shared" ca="1" si="5"/>
        <v/>
      </c>
      <c r="U31" s="163" t="str">
        <f t="shared" ca="1" si="6"/>
        <v/>
      </c>
      <c r="V31" s="164" t="str">
        <f ca="1">IF(AND($W31&gt;0,RegimeExecucao="Unitário"),$F31,"")</f>
        <v/>
      </c>
      <c r="W31" s="454">
        <f ca="1">IF($Y31&gt;0,CHOOSE(MATCH(RegimeExecucao,{"Unitário","Global"},0),IF($A31="S",$Y31/$X31,""),($Y31/$X31)*100),0)</f>
        <v>0</v>
      </c>
      <c r="X31" s="339" t="str">
        <f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f ca="1">IF($A31="S",IF(BM!$I31=0,0,CHOOSE(MATCH(RegimeExecucao,{"Global","Unitário"},0),ROUND(ROUND(BM.MEDAcumulado,15-13*BM!$A$9)/100*BM!$I31,15-13*ORÇAMENTO!$AF$11),ROUND(ROUND(BM.MEDAcumulado,15-13*BM!$A$9)*ROUND(BM!$H31,15-13*ORÇAMENTO!$AF$10),15-13*ORÇAMENTO!$AF$11))),IF($A31=0,0,ROUND(SomaAgrupBM,15-13*ORÇAMENTO!$AF$11)))</f>
        <v>0</v>
      </c>
    </row>
    <row r="32" spans="1:41" ht="76.5" x14ac:dyDescent="0.2">
      <c r="A32" t="str">
        <f ca="1">ORÇAMENTO!C32</f>
        <v>S</v>
      </c>
      <c r="B32">
        <f ca="1">ORÇAMENTO!D32</f>
        <v>0</v>
      </c>
      <c r="C32" s="114" t="str">
        <f t="shared" ca="1" si="1"/>
        <v>F</v>
      </c>
      <c r="D32" s="117" t="str">
        <f ca="1">ORÇAMENTO!O32</f>
        <v>1.3.2.0.2.</v>
      </c>
      <c r="E32" s="163" t="str">
        <f t="shared" ca="1" si="2"/>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
      <c r="F32" s="164" t="str">
        <f ca="1">IF(RegimeExecucao="Global","",ORÇAMENTO.Unidade)</f>
        <v>MÊS</v>
      </c>
      <c r="G32" s="122">
        <f ca="1">IF(RegimeExecucao="Global","",ORÇAMENTO!T32)</f>
        <v>10</v>
      </c>
      <c r="H32" s="122">
        <f ca="1">IF(RegimeExecucao="Global","",ORÇAMENTO!W32)</f>
        <v>2037.13</v>
      </c>
      <c r="I32" s="125">
        <f ca="1">ORÇAMENTO!X32</f>
        <v>20371.3</v>
      </c>
      <c r="J32" s="333" cm="1">
        <f t="array" aca="1" ref="J32" ca="1">_xlfn.SINGLE(IF($A32="S",IF(CAIXA.Modo,BM.AFAnterior,BM.MEDAnterior),IF(AND(_xlfn.SINGLE(RegimeExecucao)="Global",$I32&gt;0,COUNTIF($AB$13:$AM$13,BM.medicao-1)&gt;0),M32/$I32*100,0)))</f>
        <v>0</v>
      </c>
      <c r="K32" s="122">
        <f t="shared" ca="1" si="3"/>
        <v>0</v>
      </c>
      <c r="L32" s="334" cm="1">
        <f t="array" aca="1" ref="L32" ca="1">_xlfn.SINGLE(IF($A32="S",IF(CAIXA.Modo,BM.AFAcumulado,BM.MEDAcumulado),IF(AND(_xlfn.SINGLE(RegimeExecucao)="Global",$I32&gt;0,COUNTIF($AB$13:$AM$13,BM.medicao)&gt;0),O32/$I32*100,0)))</f>
        <v>0</v>
      </c>
      <c r="M32" s="335">
        <f ca="1">IF($A32="S",VTOTALBM,IF($A32=0,0,ROUND(SomaAgrupBM,15-13*ORÇAMENTO!$AF$11)))</f>
        <v>0</v>
      </c>
      <c r="N32" s="336">
        <f t="shared" ca="1" si="4"/>
        <v>0</v>
      </c>
      <c r="O32" s="125">
        <f ca="1">IF($A32="S",VTOTALBM,IF($A32=0,0,ROUND(SomaAgrupBM,15-13*ORÇAMENTO!$AF$11)))</f>
        <v>0</v>
      </c>
      <c r="Q32" s="337"/>
      <c r="R32" s="338"/>
      <c r="T32" s="117" t="str">
        <f t="shared" ca="1" si="5"/>
        <v/>
      </c>
      <c r="U32" s="163" t="str">
        <f t="shared" ca="1" si="6"/>
        <v/>
      </c>
      <c r="V32" s="164" t="str">
        <f ca="1">IF(AND($W32&gt;0,RegimeExecucao="Unitário"),$F32,"")</f>
        <v/>
      </c>
      <c r="W32" s="454">
        <f ca="1">IF($Y32&gt;0,CHOOSE(MATCH(RegimeExecucao,{"Unitário","Global"},0),IF($A32="S",$Y32/$X32,""),($Y32/$X32)*100),0)</f>
        <v>0</v>
      </c>
      <c r="X32" s="339" t="str">
        <f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f ca="1">IF($A32="S",IF(BM!$I32=0,0,CHOOSE(MATCH(RegimeExecucao,{"Global","Unitário"},0),ROUND(ROUND(BM.MEDAcumulado,15-13*BM!$A$9)/100*BM!$I32,15-13*ORÇAMENTO!$AF$11),ROUND(ROUND(BM.MEDAcumulado,15-13*BM!$A$9)*ROUND(BM!$H32,15-13*ORÇAMENTO!$AF$10),15-13*ORÇAMENTO!$AF$11))),IF($A32=0,0,ROUND(SomaAgrupBM,15-13*ORÇAMENTO!$AF$11)))</f>
        <v>0</v>
      </c>
    </row>
    <row r="33" spans="1:41" ht="89.25" x14ac:dyDescent="0.2">
      <c r="A33" t="str">
        <f ca="1">ORÇAMENTO!C33</f>
        <v>S</v>
      </c>
      <c r="B33">
        <f ca="1">ORÇAMENTO!D33</f>
        <v>0</v>
      </c>
      <c r="C33" s="114" t="str">
        <f t="shared" ca="1" si="1"/>
        <v>F</v>
      </c>
      <c r="D33" s="117" t="str">
        <f ca="1">ORÇAMENTO!O33</f>
        <v>1.3.2.0.3.</v>
      </c>
      <c r="E33" s="163" t="str">
        <f t="shared" ca="1" si="2"/>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33" s="164" t="str">
        <f ca="1">IF(RegimeExecucao="Global","",ORÇAMENTO.Unidade)</f>
        <v>MÊS</v>
      </c>
      <c r="G33" s="122">
        <f ca="1">IF(RegimeExecucao="Global","",ORÇAMENTO!T33)</f>
        <v>10</v>
      </c>
      <c r="H33" s="122">
        <f ca="1">IF(RegimeExecucao="Global","",ORÇAMENTO!W33)</f>
        <v>990.52</v>
      </c>
      <c r="I33" s="125">
        <f ca="1">ORÇAMENTO!X33</f>
        <v>9905.2000000000007</v>
      </c>
      <c r="J33" s="333" cm="1">
        <f t="array" aca="1" ref="J33" ca="1">_xlfn.SINGLE(IF($A33="S",IF(CAIXA.Modo,BM.AFAnterior,BM.MEDAnterior),IF(AND(_xlfn.SINGLE(RegimeExecucao)="Global",$I33&gt;0,COUNTIF($AB$13:$AM$13,BM.medicao-1)&gt;0),M33/$I33*100,0)))</f>
        <v>0</v>
      </c>
      <c r="K33" s="122">
        <f t="shared" ca="1" si="3"/>
        <v>0</v>
      </c>
      <c r="L33" s="334" cm="1">
        <f t="array" aca="1" ref="L33" ca="1">_xlfn.SINGLE(IF($A33="S",IF(CAIXA.Modo,BM.AFAcumulado,BM.MEDAcumulado),IF(AND(_xlfn.SINGLE(RegimeExecucao)="Global",$I33&gt;0,COUNTIF($AB$13:$AM$13,BM.medicao)&gt;0),O33/$I33*100,0)))</f>
        <v>0</v>
      </c>
      <c r="M33" s="335">
        <f ca="1">IF($A33="S",VTOTALBM,IF($A33=0,0,ROUND(SomaAgrupBM,15-13*ORÇAMENTO!$AF$11)))</f>
        <v>0</v>
      </c>
      <c r="N33" s="336">
        <f t="shared" ca="1" si="4"/>
        <v>0</v>
      </c>
      <c r="O33" s="125">
        <f ca="1">IF($A33="S",VTOTALBM,IF($A33=0,0,ROUND(SomaAgrupBM,15-13*ORÇAMENTO!$AF$11)))</f>
        <v>0</v>
      </c>
      <c r="Q33" s="337"/>
      <c r="R33" s="338"/>
      <c r="T33" s="117" t="str">
        <f t="shared" ca="1" si="5"/>
        <v/>
      </c>
      <c r="U33" s="163" t="str">
        <f t="shared" ca="1" si="6"/>
        <v/>
      </c>
      <c r="V33" s="164" t="str">
        <f ca="1">IF(AND($W33&gt;0,RegimeExecucao="Unitário"),$F33,"")</f>
        <v/>
      </c>
      <c r="W33" s="454">
        <f ca="1">IF($Y33&gt;0,CHOOSE(MATCH(RegimeExecucao,{"Unitário","Global"},0),IF($A33="S",$Y33/$X33,""),($Y33/$X33)*100),0)</f>
        <v>0</v>
      </c>
      <c r="X33" s="339" t="str">
        <f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f ca="1">IF($A33="S",IF(BM!$I33=0,0,CHOOSE(MATCH(RegimeExecucao,{"Global","Unitário"},0),ROUND(ROUND(BM.MEDAcumulado,15-13*BM!$A$9)/100*BM!$I33,15-13*ORÇAMENTO!$AF$11),ROUND(ROUND(BM.MEDAcumulado,15-13*BM!$A$9)*ROUND(BM!$H33,15-13*ORÇAMENTO!$AF$10),15-13*ORÇAMENTO!$AF$11))),IF($A33=0,0,ROUND(SomaAgrupBM,15-13*ORÇAMENTO!$AF$11)))</f>
        <v>0</v>
      </c>
    </row>
    <row r="34" spans="1:41" ht="76.5" x14ac:dyDescent="0.2">
      <c r="A34" t="str">
        <f ca="1">ORÇAMENTO!C34</f>
        <v>S</v>
      </c>
      <c r="B34">
        <f ca="1">ORÇAMENTO!D34</f>
        <v>0</v>
      </c>
      <c r="C34" s="114" t="str">
        <f t="shared" ca="1" si="1"/>
        <v>F</v>
      </c>
      <c r="D34" s="117" t="str">
        <f ca="1">ORÇAMENTO!O34</f>
        <v>1.3.2.0.4.</v>
      </c>
      <c r="E34" s="163" t="str">
        <f t="shared" ca="1" si="2"/>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
      <c r="F34" s="164" t="str">
        <f ca="1">IF(RegimeExecucao="Global","",ORÇAMENTO.Unidade)</f>
        <v>MÊS</v>
      </c>
      <c r="G34" s="122">
        <f ca="1">IF(RegimeExecucao="Global","",ORÇAMENTO!T34)</f>
        <v>10</v>
      </c>
      <c r="H34" s="122">
        <f ca="1">IF(RegimeExecucao="Global","",ORÇAMENTO!W34)</f>
        <v>1475.62</v>
      </c>
      <c r="I34" s="125">
        <f ca="1">ORÇAMENTO!X34</f>
        <v>14756.2</v>
      </c>
      <c r="J34" s="333" cm="1">
        <f t="array" aca="1" ref="J34" ca="1">_xlfn.SINGLE(IF($A34="S",IF(CAIXA.Modo,BM.AFAnterior,BM.MEDAnterior),IF(AND(_xlfn.SINGLE(RegimeExecucao)="Global",$I34&gt;0,COUNTIF($AB$13:$AM$13,BM.medicao-1)&gt;0),M34/$I34*100,0)))</f>
        <v>0</v>
      </c>
      <c r="K34" s="122">
        <f t="shared" ca="1" si="3"/>
        <v>0</v>
      </c>
      <c r="L34" s="334" cm="1">
        <f t="array" aca="1" ref="L34" ca="1">_xlfn.SINGLE(IF($A34="S",IF(CAIXA.Modo,BM.AFAcumulado,BM.MEDAcumulado),IF(AND(_xlfn.SINGLE(RegimeExecucao)="Global",$I34&gt;0,COUNTIF($AB$13:$AM$13,BM.medicao)&gt;0),O34/$I34*100,0)))</f>
        <v>0</v>
      </c>
      <c r="M34" s="335">
        <f ca="1">IF($A34="S",VTOTALBM,IF($A34=0,0,ROUND(SomaAgrupBM,15-13*ORÇAMENTO!$AF$11)))</f>
        <v>0</v>
      </c>
      <c r="N34" s="336">
        <f t="shared" ca="1" si="4"/>
        <v>0</v>
      </c>
      <c r="O34" s="125">
        <f ca="1">IF($A34="S",VTOTALBM,IF($A34=0,0,ROUND(SomaAgrupBM,15-13*ORÇAMENTO!$AF$11)))</f>
        <v>0</v>
      </c>
      <c r="Q34" s="337"/>
      <c r="R34" s="338"/>
      <c r="T34" s="117" t="str">
        <f t="shared" ca="1" si="5"/>
        <v/>
      </c>
      <c r="U34" s="163" t="str">
        <f t="shared" ca="1" si="6"/>
        <v/>
      </c>
      <c r="V34" s="164" t="str">
        <f ca="1">IF(AND($W34&gt;0,RegimeExecucao="Unitário"),$F34,"")</f>
        <v/>
      </c>
      <c r="W34" s="454">
        <f ca="1">IF($Y34&gt;0,CHOOSE(MATCH(RegimeExecucao,{"Unitário","Global"},0),IF($A34="S",$Y34/$X34,""),($Y34/$X34)*100),0)</f>
        <v>0</v>
      </c>
      <c r="X34" s="339" t="str">
        <f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f ca="1">IF($A34="S",IF(BM!$I34=0,0,CHOOSE(MATCH(RegimeExecucao,{"Global","Unitário"},0),ROUND(ROUND(BM.MEDAcumulado,15-13*BM!$A$9)/100*BM!$I34,15-13*ORÇAMENTO!$AF$11),ROUND(ROUND(BM.MEDAcumulado,15-13*BM!$A$9)*ROUND(BM!$H34,15-13*ORÇAMENTO!$AF$10),15-13*ORÇAMENTO!$AF$11))),IF($A34=0,0,ROUND(SomaAgrupBM,15-13*ORÇAMENTO!$AF$11)))</f>
        <v>0</v>
      </c>
    </row>
    <row r="35" spans="1:41" ht="102" x14ac:dyDescent="0.2">
      <c r="A35" t="str">
        <f ca="1">ORÇAMENTO!C35</f>
        <v>S</v>
      </c>
      <c r="B35">
        <f ca="1">ORÇAMENTO!D35</f>
        <v>0</v>
      </c>
      <c r="C35" s="114" t="str">
        <f t="shared" ca="1" si="1"/>
        <v>F</v>
      </c>
      <c r="D35" s="117" t="str">
        <f ca="1">ORÇAMENTO!O35</f>
        <v>1.3.2.0.5.</v>
      </c>
      <c r="E35" s="163" t="str">
        <f t="shared" ca="1" si="2"/>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
      <c r="F35" s="164" t="str">
        <f ca="1">IF(RegimeExecucao="Global","",ORÇAMENTO.Unidade)</f>
        <v>MÊS</v>
      </c>
      <c r="G35" s="122">
        <f ca="1">IF(RegimeExecucao="Global","",ORÇAMENTO!T35)</f>
        <v>10</v>
      </c>
      <c r="H35" s="122">
        <f ca="1">IF(RegimeExecucao="Global","",ORÇAMENTO!W35)</f>
        <v>2037.94</v>
      </c>
      <c r="I35" s="125">
        <f ca="1">ORÇAMENTO!X35</f>
        <v>20379.400000000001</v>
      </c>
      <c r="J35" s="333" cm="1">
        <f t="array" aca="1" ref="J35" ca="1">_xlfn.SINGLE(IF($A35="S",IF(CAIXA.Modo,BM.AFAnterior,BM.MEDAnterior),IF(AND(_xlfn.SINGLE(RegimeExecucao)="Global",$I35&gt;0,COUNTIF($AB$13:$AM$13,BM.medicao-1)&gt;0),M35/$I35*100,0)))</f>
        <v>0</v>
      </c>
      <c r="K35" s="122">
        <f t="shared" ca="1" si="3"/>
        <v>0</v>
      </c>
      <c r="L35" s="334" cm="1">
        <f t="array" aca="1" ref="L35" ca="1">_xlfn.SINGLE(IF($A35="S",IF(CAIXA.Modo,BM.AFAcumulado,BM.MEDAcumulado),IF(AND(_xlfn.SINGLE(RegimeExecucao)="Global",$I35&gt;0,COUNTIF($AB$13:$AM$13,BM.medicao)&gt;0),O35/$I35*100,0)))</f>
        <v>0</v>
      </c>
      <c r="M35" s="335">
        <f ca="1">IF($A35="S",VTOTALBM,IF($A35=0,0,ROUND(SomaAgrupBM,15-13*ORÇAMENTO!$AF$11)))</f>
        <v>0</v>
      </c>
      <c r="N35" s="336">
        <f t="shared" ca="1" si="4"/>
        <v>0</v>
      </c>
      <c r="O35" s="125">
        <f ca="1">IF($A35="S",VTOTALBM,IF($A35=0,0,ROUND(SomaAgrupBM,15-13*ORÇAMENTO!$AF$11)))</f>
        <v>0</v>
      </c>
      <c r="Q35" s="337"/>
      <c r="R35" s="338"/>
      <c r="T35" s="117" t="str">
        <f t="shared" ca="1" si="5"/>
        <v/>
      </c>
      <c r="U35" s="163" t="str">
        <f t="shared" ca="1" si="6"/>
        <v/>
      </c>
      <c r="V35" s="164" t="str">
        <f ca="1">IF(AND($W35&gt;0,RegimeExecucao="Unitário"),$F35,"")</f>
        <v/>
      </c>
      <c r="W35" s="454">
        <f ca="1">IF($Y35&gt;0,CHOOSE(MATCH(RegimeExecucao,{"Unitário","Global"},0),IF($A35="S",$Y35/$X35,""),($Y35/$X35)*100),0)</f>
        <v>0</v>
      </c>
      <c r="X35" s="339" t="str">
        <f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f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4" t="str">
        <f t="shared" ca="1" si="1"/>
        <v>F</v>
      </c>
      <c r="D36" s="117" t="str">
        <f ca="1">ORÇAMENTO!O36</f>
        <v>1.3.2.0.6.</v>
      </c>
      <c r="E36" s="163" t="str">
        <f t="shared" ca="1" si="2"/>
        <v>LOCAÇÃO DE BANHEIRO QUÍMICO, DIMENSÃO (110X120X230)CM, LINHA PADRÃO, CONTENDO UMA (1) PIA/HIGIENIZADOR DE MÃOS, INCLUSIVE MANUTENÇÃO E MOBILIZAÇÃO/DESMOBILIZAÇÃO</v>
      </c>
      <c r="F36" s="164" t="str">
        <f ca="1">IF(RegimeExecucao="Global","",ORÇAMENTO.Unidade)</f>
        <v>MÊS</v>
      </c>
      <c r="G36" s="122">
        <f ca="1">IF(RegimeExecucao="Global","",ORÇAMENTO!T36)</f>
        <v>10</v>
      </c>
      <c r="H36" s="122">
        <f ca="1">IF(RegimeExecucao="Global","",ORÇAMENTO!W36)</f>
        <v>1111.5</v>
      </c>
      <c r="I36" s="125">
        <f ca="1">ORÇAMENTO!X36</f>
        <v>11115</v>
      </c>
      <c r="J36" s="333" cm="1">
        <f t="array" aca="1" ref="J36" ca="1">_xlfn.SINGLE(IF($A36="S",IF(CAIXA.Modo,BM.AFAnterior,BM.MEDAnterior),IF(AND(_xlfn.SINGLE(RegimeExecucao)="Global",$I36&gt;0,COUNTIF($AB$13:$AM$13,BM.medicao-1)&gt;0),M36/$I36*100,0)))</f>
        <v>0</v>
      </c>
      <c r="K36" s="122">
        <f t="shared" ca="1" si="3"/>
        <v>0</v>
      </c>
      <c r="L36" s="334" cm="1">
        <f t="array" aca="1" ref="L36" ca="1">_xlfn.SINGLE(IF($A36="S",IF(CAIXA.Modo,BM.AFAcumulado,BM.MEDAcumulado),IF(AND(_xlfn.SINGLE(RegimeExecucao)="Global",$I36&gt;0,COUNTIF($AB$13:$AM$13,BM.medicao)&gt;0),O36/$I36*100,0)))</f>
        <v>0</v>
      </c>
      <c r="M36" s="335">
        <f ca="1">IF($A36="S",VTOTALBM,IF($A36=0,0,ROUND(SomaAgrupBM,15-13*ORÇAMENTO!$AF$11)))</f>
        <v>0</v>
      </c>
      <c r="N36" s="336">
        <f t="shared" ca="1" si="4"/>
        <v>0</v>
      </c>
      <c r="O36" s="125">
        <f ca="1">IF($A36="S",VTOTALBM,IF($A36=0,0,ROUND(SomaAgrupBM,15-13*ORÇAMENTO!$AF$11)))</f>
        <v>0</v>
      </c>
      <c r="Q36" s="337"/>
      <c r="R36" s="338"/>
      <c r="T36" s="117" t="str">
        <f t="shared" ca="1" si="5"/>
        <v/>
      </c>
      <c r="U36" s="163" t="str">
        <f t="shared" ca="1" si="6"/>
        <v/>
      </c>
      <c r="V36" s="164" t="str">
        <f ca="1">IF(AND($W36&gt;0,RegimeExecucao="Unitário"),$F36,"")</f>
        <v/>
      </c>
      <c r="W36" s="454">
        <f ca="1">IF($Y36&gt;0,CHOOSE(MATCH(RegimeExecucao,{"Unitário","Global"},0),IF($A36="S",$Y36/$X36,""),($Y36/$X36)*100),0)</f>
        <v>0</v>
      </c>
      <c r="X36" s="339" t="str">
        <f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f ca="1">IF($A36="S",IF(BM!$I36=0,0,CHOOSE(MATCH(RegimeExecucao,{"Global","Unitário"},0),ROUND(ROUND(BM.MEDAcumulado,15-13*BM!$A$9)/100*BM!$I36,15-13*ORÇAMENTO!$AF$11),ROUND(ROUND(BM.MEDAcumulado,15-13*BM!$A$9)*ROUND(BM!$H36,15-13*ORÇAMENTO!$AF$10),15-13*ORÇAMENTO!$AF$11))),IF($A36=0,0,ROUND(SomaAgrupBM,15-13*ORÇAMENTO!$AF$11)))</f>
        <v>0</v>
      </c>
    </row>
    <row r="37" spans="1:41" ht="25.5" x14ac:dyDescent="0.2">
      <c r="A37" t="str">
        <f ca="1">ORÇAMENTO!C37</f>
        <v>S</v>
      </c>
      <c r="B37">
        <f ca="1">ORÇAMENTO!D37</f>
        <v>0</v>
      </c>
      <c r="C37" s="114" t="str">
        <f t="shared" ca="1" si="1"/>
        <v>F</v>
      </c>
      <c r="D37" s="117" t="str">
        <f ca="1">ORÇAMENTO!O37</f>
        <v>1.3.2.0.7.</v>
      </c>
      <c r="E37" s="163" t="str">
        <f t="shared" ca="1" si="2"/>
        <v>LIGAÇÃO PROVISÓRIA DE ÁGUA E ESGOTO PARA CONTAINER (ESCRITÓRIO DE OBRA)</v>
      </c>
      <c r="F37" s="164" t="str">
        <f ca="1">IF(RegimeExecucao="Global","",ORÇAMENTO.Unidade)</f>
        <v>UN</v>
      </c>
      <c r="G37" s="122">
        <f ca="1">IF(RegimeExecucao="Global","",ORÇAMENTO!T37)</f>
        <v>1</v>
      </c>
      <c r="H37" s="122">
        <f ca="1">IF(RegimeExecucao="Global","",ORÇAMENTO!W37)</f>
        <v>403.43</v>
      </c>
      <c r="I37" s="125">
        <f ca="1">ORÇAMENTO!X37</f>
        <v>403.43</v>
      </c>
      <c r="J37" s="333" cm="1">
        <f t="array" aca="1" ref="J37" ca="1">_xlfn.SINGLE(IF($A37="S",IF(CAIXA.Modo,BM.AFAnterior,BM.MEDAnterior),IF(AND(_xlfn.SINGLE(RegimeExecucao)="Global",$I37&gt;0,COUNTIF($AB$13:$AM$13,BM.medicao-1)&gt;0),M37/$I37*100,0)))</f>
        <v>0</v>
      </c>
      <c r="K37" s="122">
        <f t="shared" ca="1" si="3"/>
        <v>0</v>
      </c>
      <c r="L37" s="334" cm="1">
        <f t="array" aca="1" ref="L37" ca="1">_xlfn.SINGLE(IF($A37="S",IF(CAIXA.Modo,BM.AFAcumulado,BM.MEDAcumulado),IF(AND(_xlfn.SINGLE(RegimeExecucao)="Global",$I37&gt;0,COUNTIF($AB$13:$AM$13,BM.medicao)&gt;0),O37/$I37*100,0)))</f>
        <v>0</v>
      </c>
      <c r="M37" s="335">
        <f ca="1">IF($A37="S",VTOTALBM,IF($A37=0,0,ROUND(SomaAgrupBM,15-13*ORÇAMENTO!$AF$11)))</f>
        <v>0</v>
      </c>
      <c r="N37" s="336">
        <f t="shared" ca="1" si="4"/>
        <v>0</v>
      </c>
      <c r="O37" s="125">
        <f ca="1">IF($A37="S",VTOTALBM,IF($A37=0,0,ROUND(SomaAgrupBM,15-13*ORÇAMENTO!$AF$11)))</f>
        <v>0</v>
      </c>
      <c r="Q37" s="337"/>
      <c r="R37" s="338"/>
      <c r="T37" s="117" t="str">
        <f t="shared" ca="1" si="5"/>
        <v/>
      </c>
      <c r="U37" s="163" t="str">
        <f t="shared" ca="1" si="6"/>
        <v/>
      </c>
      <c r="V37" s="164" t="str">
        <f ca="1">IF(AND($W37&gt;0,RegimeExecucao="Unitário"),$F37,"")</f>
        <v/>
      </c>
      <c r="W37" s="454">
        <f ca="1">IF($Y37&gt;0,CHOOSE(MATCH(RegimeExecucao,{"Unitário","Global"},0),IF($A37="S",$Y37/$X37,""),($Y37/$X37)*100),0)</f>
        <v>0</v>
      </c>
      <c r="X37" s="339" t="str">
        <f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f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t="str">
        <f ca="1">ORÇAMENTO!C38</f>
        <v>S</v>
      </c>
      <c r="B38">
        <f ca="1">ORÇAMENTO!D38</f>
        <v>0</v>
      </c>
      <c r="C38" s="114" t="str">
        <f t="shared" ca="1" si="1"/>
        <v>F</v>
      </c>
      <c r="D38" s="117" t="str">
        <f ca="1">ORÇAMENTO!O38</f>
        <v>1.3.2.0.8.</v>
      </c>
      <c r="E38" s="163" t="str">
        <f t="shared" ca="1" si="2"/>
        <v>LIGAÇÃO PROVISÓRIA DE ENERGIA ELÉTRICA PARA CONTAINER</v>
      </c>
      <c r="F38" s="164" t="str">
        <f ca="1">IF(RegimeExecucao="Global","",ORÇAMENTO.Unidade)</f>
        <v>UN</v>
      </c>
      <c r="G38" s="122">
        <f ca="1">IF(RegimeExecucao="Global","",ORÇAMENTO!T38)</f>
        <v>1</v>
      </c>
      <c r="H38" s="122">
        <f ca="1">IF(RegimeExecucao="Global","",ORÇAMENTO!W38)</f>
        <v>379.92</v>
      </c>
      <c r="I38" s="125">
        <f ca="1">ORÇAMENTO!X38</f>
        <v>379.92</v>
      </c>
      <c r="J38" s="333" cm="1">
        <f t="array" aca="1" ref="J38" ca="1">_xlfn.SINGLE(IF($A38="S",IF(CAIXA.Modo,BM.AFAnterior,BM.MEDAnterior),IF(AND(_xlfn.SINGLE(RegimeExecucao)="Global",$I38&gt;0,COUNTIF($AB$13:$AM$13,BM.medicao-1)&gt;0),M38/$I38*100,0)))</f>
        <v>0</v>
      </c>
      <c r="K38" s="122">
        <f t="shared" ca="1" si="3"/>
        <v>0</v>
      </c>
      <c r="L38" s="334" cm="1">
        <f t="array" aca="1" ref="L38" ca="1">_xlfn.SINGLE(IF($A38="S",IF(CAIXA.Modo,BM.AFAcumulado,BM.MEDAcumulado),IF(AND(_xlfn.SINGLE(RegimeExecucao)="Global",$I38&gt;0,COUNTIF($AB$13:$AM$13,BM.medicao)&gt;0),O38/$I38*100,0)))</f>
        <v>0</v>
      </c>
      <c r="M38" s="335">
        <f ca="1">IF($A38="S",VTOTALBM,IF($A38=0,0,ROUND(SomaAgrupBM,15-13*ORÇAMENTO!$AF$11)))</f>
        <v>0</v>
      </c>
      <c r="N38" s="336">
        <f t="shared" ca="1" si="4"/>
        <v>0</v>
      </c>
      <c r="O38" s="125">
        <f ca="1">IF($A38="S",VTOTALBM,IF($A38=0,0,ROUND(SomaAgrupBM,15-13*ORÇAMENTO!$AF$11)))</f>
        <v>0</v>
      </c>
      <c r="Q38" s="337"/>
      <c r="R38" s="338"/>
      <c r="T38" s="117" t="str">
        <f t="shared" ca="1" si="5"/>
        <v/>
      </c>
      <c r="U38" s="163" t="str">
        <f t="shared" ca="1" si="6"/>
        <v/>
      </c>
      <c r="V38" s="164" t="str">
        <f ca="1">IF(AND($W38&gt;0,RegimeExecucao="Unitário"),$F38,"")</f>
        <v/>
      </c>
      <c r="W38" s="454">
        <f ca="1">IF($Y38&gt;0,CHOOSE(MATCH(RegimeExecucao,{"Unitário","Global"},0),IF($A38="S",$Y38/$X38,""),($Y38/$X38)*100),0)</f>
        <v>0</v>
      </c>
      <c r="X38" s="339" t="str">
        <f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f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4" t="str">
        <f t="shared" ca="1" si="1"/>
        <v>F</v>
      </c>
      <c r="D39" s="117" t="str">
        <f ca="1">ORÇAMENTO!O39</f>
        <v>1.3.2.0.9.</v>
      </c>
      <c r="E39" s="163" t="str">
        <f t="shared" ca="1" si="2"/>
        <v>LIGAÇÃO PROVISÓRIA DE ÁGUA E ESGOTO PARA CONTAINER (VESTIÁRIO DE OBRA), EXCLUSIVE CHUVEIRO ELÉTRICO</v>
      </c>
      <c r="F39" s="164" t="str">
        <f ca="1">IF(RegimeExecucao="Global","",ORÇAMENTO.Unidade)</f>
        <v>UN</v>
      </c>
      <c r="G39" s="122">
        <f ca="1">IF(RegimeExecucao="Global","",ORÇAMENTO!T39)</f>
        <v>1</v>
      </c>
      <c r="H39" s="122">
        <f ca="1">IF(RegimeExecucao="Global","",ORÇAMENTO!W39)</f>
        <v>459.96</v>
      </c>
      <c r="I39" s="125">
        <f ca="1">ORÇAMENTO!X39</f>
        <v>459.96</v>
      </c>
      <c r="J39" s="333" cm="1">
        <f t="array" aca="1" ref="J39" ca="1">_xlfn.SINGLE(IF($A39="S",IF(CAIXA.Modo,BM.AFAnterior,BM.MEDAnterior),IF(AND(_xlfn.SINGLE(RegimeExecucao)="Global",$I39&gt;0,COUNTIF($AB$13:$AM$13,BM.medicao-1)&gt;0),M39/$I39*100,0)))</f>
        <v>0</v>
      </c>
      <c r="K39" s="122">
        <f t="shared" ca="1" si="3"/>
        <v>0</v>
      </c>
      <c r="L39" s="334" cm="1">
        <f t="array" aca="1" ref="L39" ca="1">_xlfn.SINGLE(IF($A39="S",IF(CAIXA.Modo,BM.AFAcumulado,BM.MEDAcumulado),IF(AND(_xlfn.SINGLE(RegimeExecucao)="Global",$I39&gt;0,COUNTIF($AB$13:$AM$13,BM.medicao)&gt;0),O39/$I39*100,0)))</f>
        <v>0</v>
      </c>
      <c r="M39" s="335">
        <f ca="1">IF($A39="S",VTOTALBM,IF($A39=0,0,ROUND(SomaAgrupBM,15-13*ORÇAMENTO!$AF$11)))</f>
        <v>0</v>
      </c>
      <c r="N39" s="336">
        <f t="shared" ca="1" si="4"/>
        <v>0</v>
      </c>
      <c r="O39" s="125">
        <f ca="1">IF($A39="S",VTOTALBM,IF($A39=0,0,ROUND(SomaAgrupBM,15-13*ORÇAMENTO!$AF$11)))</f>
        <v>0</v>
      </c>
      <c r="Q39" s="337"/>
      <c r="R39" s="338"/>
      <c r="T39" s="117" t="str">
        <f t="shared" ca="1" si="5"/>
        <v/>
      </c>
      <c r="U39" s="163" t="str">
        <f t="shared" ca="1" si="6"/>
        <v/>
      </c>
      <c r="V39" s="164" t="str">
        <f ca="1">IF(AND($W39&gt;0,RegimeExecucao="Unitário"),$F39,"")</f>
        <v/>
      </c>
      <c r="W39" s="454">
        <f ca="1">IF($Y39&gt;0,CHOOSE(MATCH(RegimeExecucao,{"Unitário","Global"},0),IF($A39="S",$Y39/$X39,""),($Y39/$X39)*100),0)</f>
        <v>0</v>
      </c>
      <c r="X39" s="339" t="str">
        <f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f ca="1">IF($A39="S",IF(BM!$I39=0,0,CHOOSE(MATCH(RegimeExecucao,{"Global","Unitário"},0),ROUND(ROUND(BM.MEDAcumulado,15-13*BM!$A$9)/100*BM!$I39,15-13*ORÇAMENTO!$AF$11),ROUND(ROUND(BM.MEDAcumulado,15-13*BM!$A$9)*ROUND(BM!$H39,15-13*ORÇAMENTO!$AF$10),15-13*ORÇAMENTO!$AF$11))),IF($A39=0,0,ROUND(SomaAgrupBM,15-13*ORÇAMENTO!$AF$11)))</f>
        <v>0</v>
      </c>
    </row>
    <row r="40" spans="1:41" ht="51" x14ac:dyDescent="0.2">
      <c r="A40" t="str">
        <f ca="1">ORÇAMENTO!C40</f>
        <v>S</v>
      </c>
      <c r="B40">
        <f ca="1">ORÇAMENTO!D40</f>
        <v>0</v>
      </c>
      <c r="C40" s="114" t="str">
        <f t="shared" ca="1" si="1"/>
        <v>F</v>
      </c>
      <c r="D40" s="117" t="str">
        <f ca="1">ORÇAMENTO!O40</f>
        <v>1.3.2.0.10.</v>
      </c>
      <c r="E40" s="163" t="str">
        <f t="shared" ca="1" si="2"/>
        <v>LIGAÇÃO DE ÁGUA PROVISÓRIA PARA CANTEIRO,  INCLUSIVE HIDRÔMETRO E CAVALETE PARA MEDIÇÃO DE ÁGUA - ENTRADA PRINCIPAL, EM AÇO GALVANIZADO DN 20MM (1/2") - PADRÃO CONCESSIONÁRIA</v>
      </c>
      <c r="F40" s="164" t="str">
        <f ca="1">IF(RegimeExecucao="Global","",ORÇAMENTO.Unidade)</f>
        <v>UN</v>
      </c>
      <c r="G40" s="122">
        <f ca="1">IF(RegimeExecucao="Global","",ORÇAMENTO!T40)</f>
        <v>1</v>
      </c>
      <c r="H40" s="122">
        <f ca="1">IF(RegimeExecucao="Global","",ORÇAMENTO!W40)</f>
        <v>708.79</v>
      </c>
      <c r="I40" s="125">
        <f ca="1">ORÇAMENTO!X40</f>
        <v>708.79</v>
      </c>
      <c r="J40" s="333" cm="1">
        <f t="array" aca="1" ref="J40" ca="1">_xlfn.SINGLE(IF($A40="S",IF(CAIXA.Modo,BM.AFAnterior,BM.MEDAnterior),IF(AND(_xlfn.SINGLE(RegimeExecucao)="Global",$I40&gt;0,COUNTIF($AB$13:$AM$13,BM.medicao-1)&gt;0),M40/$I40*100,0)))</f>
        <v>0</v>
      </c>
      <c r="K40" s="122">
        <f t="shared" ca="1" si="3"/>
        <v>0</v>
      </c>
      <c r="L40" s="334" cm="1">
        <f t="array" aca="1" ref="L40" ca="1">_xlfn.SINGLE(IF($A40="S",IF(CAIXA.Modo,BM.AFAcumulado,BM.MEDAcumulado),IF(AND(_xlfn.SINGLE(RegimeExecucao)="Global",$I40&gt;0,COUNTIF($AB$13:$AM$13,BM.medicao)&gt;0),O40/$I40*100,0)))</f>
        <v>0</v>
      </c>
      <c r="M40" s="335">
        <f ca="1">IF($A40="S",VTOTALBM,IF($A40=0,0,ROUND(SomaAgrupBM,15-13*ORÇAMENTO!$AF$11)))</f>
        <v>0</v>
      </c>
      <c r="N40" s="336">
        <f t="shared" ca="1" si="4"/>
        <v>0</v>
      </c>
      <c r="O40" s="125">
        <f ca="1">IF($A40="S",VTOTALBM,IF($A40=0,0,ROUND(SomaAgrupBM,15-13*ORÇAMENTO!$AF$11)))</f>
        <v>0</v>
      </c>
      <c r="Q40" s="337"/>
      <c r="R40" s="338"/>
      <c r="T40" s="117" t="str">
        <f t="shared" ca="1" si="5"/>
        <v/>
      </c>
      <c r="U40" s="163" t="str">
        <f t="shared" ca="1" si="6"/>
        <v/>
      </c>
      <c r="V40" s="164" t="str">
        <f ca="1">IF(AND($W40&gt;0,RegimeExecucao="Unitário"),$F40,"")</f>
        <v/>
      </c>
      <c r="W40" s="454">
        <f ca="1">IF($Y40&gt;0,CHOOSE(MATCH(RegimeExecucao,{"Unitário","Global"},0),IF($A40="S",$Y40/$X40,""),($Y40/$X40)*100),0)</f>
        <v>0</v>
      </c>
      <c r="X40" s="339" t="str">
        <f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f ca="1">IF($A40="S",IF(BM!$I40=0,0,CHOOSE(MATCH(RegimeExecucao,{"Global","Unitário"},0),ROUND(ROUND(BM.MEDAcumulado,15-13*BM!$A$9)/100*BM!$I40,15-13*ORÇAMENTO!$AF$11),ROUND(ROUND(BM.MEDAcumulado,15-13*BM!$A$9)*ROUND(BM!$H40,15-13*ORÇAMENTO!$AF$10),15-13*ORÇAMENTO!$AF$11))),IF($A40=0,0,ROUND(SomaAgrupBM,15-13*ORÇAMENTO!$AF$11)))</f>
        <v>0</v>
      </c>
    </row>
    <row r="41" spans="1:41" ht="63.75" x14ac:dyDescent="0.2">
      <c r="A41" t="str">
        <f ca="1">ORÇAMENTO!C41</f>
        <v>S</v>
      </c>
      <c r="B41">
        <f ca="1">ORÇAMENTO!D41</f>
        <v>0</v>
      </c>
      <c r="C41" s="114" t="str">
        <f t="shared" ca="1" si="1"/>
        <v>F</v>
      </c>
      <c r="D41" s="117" t="str">
        <f ca="1">ORÇAMENTO!O41</f>
        <v>1.3.2.0.11.</v>
      </c>
      <c r="E41" s="163" t="str">
        <f t="shared" ca="1" si="2"/>
        <v>LIGAÇÃO PROVISÓRIA COM ENTRADA DE ENERGIA AÉREA, PADRÃO CEMIG, CARGA INSTALADA DE 15,1KVA ATÉ 30KVA, TRIFÁSICO, COM SAÍDA SUBTERRÂNEA, INCLUSIVE POSTE, CAIXA PARA MEDIDOR, DISJUNTOR, BARRAMENTO, ATERRAMENTO E ACESSÓRIOS</v>
      </c>
      <c r="F41" s="164" t="str">
        <f ca="1">IF(RegimeExecucao="Global","",ORÇAMENTO.Unidade)</f>
        <v>UN</v>
      </c>
      <c r="G41" s="122">
        <f ca="1">IF(RegimeExecucao="Global","",ORÇAMENTO!T41)</f>
        <v>1</v>
      </c>
      <c r="H41" s="122">
        <f ca="1">IF(RegimeExecucao="Global","",ORÇAMENTO!W41)</f>
        <v>1306.95</v>
      </c>
      <c r="I41" s="125">
        <f ca="1">ORÇAMENTO!X41</f>
        <v>1306.95</v>
      </c>
      <c r="J41" s="333" cm="1">
        <f t="array" aca="1" ref="J41" ca="1">_xlfn.SINGLE(IF($A41="S",IF(CAIXA.Modo,BM.AFAnterior,BM.MEDAnterior),IF(AND(_xlfn.SINGLE(RegimeExecucao)="Global",$I41&gt;0,COUNTIF($AB$13:$AM$13,BM.medicao-1)&gt;0),M41/$I41*100,0)))</f>
        <v>0</v>
      </c>
      <c r="K41" s="122">
        <f t="shared" ca="1" si="3"/>
        <v>0</v>
      </c>
      <c r="L41" s="334" cm="1">
        <f t="array" aca="1" ref="L41" ca="1">_xlfn.SINGLE(IF($A41="S",IF(CAIXA.Modo,BM.AFAcumulado,BM.MEDAcumulado),IF(AND(_xlfn.SINGLE(RegimeExecucao)="Global",$I41&gt;0,COUNTIF($AB$13:$AM$13,BM.medicao)&gt;0),O41/$I41*100,0)))</f>
        <v>0</v>
      </c>
      <c r="M41" s="335">
        <f ca="1">IF($A41="S",VTOTALBM,IF($A41=0,0,ROUND(SomaAgrupBM,15-13*ORÇAMENTO!$AF$11)))</f>
        <v>0</v>
      </c>
      <c r="N41" s="336">
        <f t="shared" ca="1" si="4"/>
        <v>0</v>
      </c>
      <c r="O41" s="125">
        <f ca="1">IF($A41="S",VTOTALBM,IF($A41=0,0,ROUND(SomaAgrupBM,15-13*ORÇAMENTO!$AF$11)))</f>
        <v>0</v>
      </c>
      <c r="Q41" s="337"/>
      <c r="R41" s="338"/>
      <c r="T41" s="117" t="str">
        <f t="shared" ca="1" si="5"/>
        <v/>
      </c>
      <c r="U41" s="163" t="str">
        <f t="shared" ca="1" si="6"/>
        <v/>
      </c>
      <c r="V41" s="164" t="str">
        <f ca="1">IF(AND($W41&gt;0,RegimeExecucao="Unitário"),$F41,"")</f>
        <v/>
      </c>
      <c r="W41" s="454">
        <f ca="1">IF($Y41&gt;0,CHOOSE(MATCH(RegimeExecucao,{"Unitário","Global"},0),IF($A41="S",$Y41/$X41,""),($Y41/$X41)*100),0)</f>
        <v>0</v>
      </c>
      <c r="X41" s="339" t="str">
        <f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f ca="1">IF($A41="S",IF(BM!$I41=0,0,CHOOSE(MATCH(RegimeExecucao,{"Global","Unitário"},0),ROUND(ROUND(BM.MEDAcumulado,15-13*BM!$A$9)/100*BM!$I41,15-13*ORÇAMENTO!$AF$11),ROUND(ROUND(BM.MEDAcumulado,15-13*BM!$A$9)*ROUND(BM!$H41,15-13*ORÇAMENTO!$AF$10),15-13*ORÇAMENTO!$AF$11))),IF($A41=0,0,ROUND(SomaAgrupBM,15-13*ORÇAMENTO!$AF$11)))</f>
        <v>0</v>
      </c>
    </row>
    <row r="42" spans="1:41" x14ac:dyDescent="0.2">
      <c r="A42">
        <f ca="1">ORÇAMENTO!C42</f>
        <v>3</v>
      </c>
      <c r="B42">
        <f ca="1">ORÇAMENTO!D42</f>
        <v>2</v>
      </c>
      <c r="C42" s="114" t="str">
        <f t="shared" ca="1" si="1"/>
        <v>F</v>
      </c>
      <c r="D42" s="117" t="str">
        <f ca="1">ORÇAMENTO!O42</f>
        <v>1.3.3.</v>
      </c>
      <c r="E42" s="163" t="str">
        <f t="shared" si="2"/>
        <v>SERVIÇOS TOPOGRÁFICOS</v>
      </c>
      <c r="F42" s="164" t="str">
        <f ca="1">IF(RegimeExecucao="Global","",ORÇAMENTO.Unidade)</f>
        <v>-</v>
      </c>
      <c r="G42" s="122">
        <f ca="1">IF(RegimeExecucao="Global","",ORÇAMENTO!T42)</f>
        <v>0</v>
      </c>
      <c r="H42" s="122">
        <f ca="1">IF(RegimeExecucao="Global","",ORÇAMENTO!W42)</f>
        <v>0</v>
      </c>
      <c r="I42" s="125">
        <f ca="1">ORÇAMENTO!X42</f>
        <v>50562.080000000002</v>
      </c>
      <c r="J42" s="333" cm="1">
        <f t="array" aca="1" ref="J42" ca="1">_xlfn.SINGLE(IF($A42="S",IF(CAIXA.Modo,BM.AFAnterior,BM.MEDAnterior),IF(AND(_xlfn.SINGLE(RegimeExecucao)="Global",$I42&gt;0,COUNTIF($AB$13:$AM$13,BM.medicao-1)&gt;0),M42/$I42*100,0)))</f>
        <v>0</v>
      </c>
      <c r="K42" s="122">
        <f t="shared" ca="1" si="3"/>
        <v>0</v>
      </c>
      <c r="L42" s="334" cm="1">
        <f t="array" aca="1" ref="L42" ca="1">_xlfn.SINGLE(IF($A42="S",IF(CAIXA.Modo,BM.AFAcumulado,BM.MEDAcumulado),IF(AND(_xlfn.SINGLE(RegimeExecucao)="Global",$I42&gt;0,COUNTIF($AB$13:$AM$13,BM.medicao)&gt;0),O42/$I42*100,0)))</f>
        <v>0</v>
      </c>
      <c r="M42" s="335">
        <f ca="1">IF($A42="S",VTOTALBM,IF($A42=0,0,ROUND(SomaAgrupBM,15-13*ORÇAMENTO!$AF$11)))</f>
        <v>0</v>
      </c>
      <c r="N42" s="336">
        <f t="shared" ca="1" si="4"/>
        <v>0</v>
      </c>
      <c r="O42" s="125">
        <f ca="1">IF($A42="S",VTOTALBM,IF($A42=0,0,ROUND(SomaAgrupBM,15-13*ORÇAMENTO!$AF$11)))</f>
        <v>0</v>
      </c>
      <c r="Q42" s="337"/>
      <c r="R42" s="338"/>
      <c r="T42" s="117" t="str">
        <f t="shared" ca="1" si="5"/>
        <v/>
      </c>
      <c r="U42" s="163" t="str">
        <f t="shared" ca="1" si="6"/>
        <v/>
      </c>
      <c r="V42" s="164" t="str">
        <f ca="1">IF(AND($W42&gt;0,RegimeExecucao="Unitário"),$F42,"")</f>
        <v/>
      </c>
      <c r="W42" s="454">
        <f ca="1">IF($Y42&gt;0,CHOOSE(MATCH(RegimeExecucao,{"Unitário","Global"},0),IF($A42="S",$Y42/$X42,""),($Y42/$X42)*100),0)</f>
        <v>0</v>
      </c>
      <c r="X42" s="339" t="str">
        <f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f ca="1">IF($A42="S",IF(BM!$I42=0,0,CHOOSE(MATCH(RegimeExecucao,{"Global","Unitário"},0),ROUND(ROUND(BM.MEDAcumulado,15-13*BM!$A$9)/100*BM!$I42,15-13*ORÇAMENTO!$AF$11),ROUND(ROUND(BM.MEDAcumulado,15-13*BM!$A$9)*ROUND(BM!$H42,15-13*ORÇAMENTO!$AF$10),15-13*ORÇAMENTO!$AF$11))),IF($A42=0,0,ROUND(SomaAgrupBM,15-13*ORÇAMENTO!$AF$11)))</f>
        <v>0</v>
      </c>
    </row>
    <row r="43" spans="1:41" x14ac:dyDescent="0.2">
      <c r="A43" t="str">
        <f ca="1">ORÇAMENTO!C43</f>
        <v>S</v>
      </c>
      <c r="B43">
        <f ca="1">ORÇAMENTO!D43</f>
        <v>0</v>
      </c>
      <c r="C43" s="114" t="str">
        <f t="shared" ca="1" si="1"/>
        <v>F</v>
      </c>
      <c r="D43" s="117" t="str">
        <f ca="1">ORÇAMENTO!O43</f>
        <v>1.3.3.0.1.</v>
      </c>
      <c r="E43" s="163" t="str">
        <f t="shared" ca="1" si="2"/>
        <v>EQUIPE DE TOPOGRAFIA - OBRA - BASEADO EM SUDECAP (43.01.03)</v>
      </c>
      <c r="F43" s="164" t="str">
        <f ca="1">IF(RegimeExecucao="Global","",ORÇAMENTO.Unidade)</f>
        <v>MÊS</v>
      </c>
      <c r="G43" s="122">
        <f ca="1">IF(RegimeExecucao="Global","",ORÇAMENTO!T43)</f>
        <v>2</v>
      </c>
      <c r="H43" s="122">
        <f ca="1">IF(RegimeExecucao="Global","",ORÇAMENTO!W43)</f>
        <v>25281.040000000001</v>
      </c>
      <c r="I43" s="125">
        <f ca="1">ORÇAMENTO!X43</f>
        <v>50562.080000000002</v>
      </c>
      <c r="J43" s="333" cm="1">
        <f t="array" aca="1" ref="J43" ca="1">_xlfn.SINGLE(IF($A43="S",IF(CAIXA.Modo,BM.AFAnterior,BM.MEDAnterior),IF(AND(_xlfn.SINGLE(RegimeExecucao)="Global",$I43&gt;0,COUNTIF($AB$13:$AM$13,BM.medicao-1)&gt;0),M43/$I43*100,0)))</f>
        <v>0</v>
      </c>
      <c r="K43" s="122">
        <f t="shared" ca="1" si="3"/>
        <v>0</v>
      </c>
      <c r="L43" s="334" cm="1">
        <f t="array" aca="1" ref="L43" ca="1">_xlfn.SINGLE(IF($A43="S",IF(CAIXA.Modo,BM.AFAcumulado,BM.MEDAcumulado),IF(AND(_xlfn.SINGLE(RegimeExecucao)="Global",$I43&gt;0,COUNTIF($AB$13:$AM$13,BM.medicao)&gt;0),O43/$I43*100,0)))</f>
        <v>0</v>
      </c>
      <c r="M43" s="335">
        <f ca="1">IF($A43="S",VTOTALBM,IF($A43=0,0,ROUND(SomaAgrupBM,15-13*ORÇAMENTO!$AF$11)))</f>
        <v>0</v>
      </c>
      <c r="N43" s="336">
        <f t="shared" ca="1" si="4"/>
        <v>0</v>
      </c>
      <c r="O43" s="125">
        <f ca="1">IF($A43="S",VTOTALBM,IF($A43=0,0,ROUND(SomaAgrupBM,15-13*ORÇAMENTO!$AF$11)))</f>
        <v>0</v>
      </c>
      <c r="Q43" s="337"/>
      <c r="R43" s="338"/>
      <c r="T43" s="117" t="str">
        <f t="shared" ca="1" si="5"/>
        <v/>
      </c>
      <c r="U43" s="163" t="str">
        <f t="shared" ca="1" si="6"/>
        <v/>
      </c>
      <c r="V43" s="164" t="str">
        <f ca="1">IF(AND($W43&gt;0,RegimeExecucao="Unitário"),$F43,"")</f>
        <v/>
      </c>
      <c r="W43" s="454">
        <f ca="1">IF($Y43&gt;0,CHOOSE(MATCH(RegimeExecucao,{"Unitário","Global"},0),IF($A43="S",$Y43/$X43,""),($Y43/$X43)*100),0)</f>
        <v>0</v>
      </c>
      <c r="X43" s="339" t="str">
        <f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f ca="1">IF($A43="S",IF(BM!$I43=0,0,CHOOSE(MATCH(RegimeExecucao,{"Global","Unitário"},0),ROUND(ROUND(BM.MEDAcumulado,15-13*BM!$A$9)/100*BM!$I43,15-13*ORÇAMENTO!$AF$11),ROUND(ROUND(BM.MEDAcumulado,15-13*BM!$A$9)*ROUND(BM!$H43,15-13*ORÇAMENTO!$AF$10),15-13*ORÇAMENTO!$AF$11))),IF($A43=0,0,ROUND(SomaAgrupBM,15-13*ORÇAMENTO!$AF$11)))</f>
        <v>0</v>
      </c>
    </row>
    <row r="44" spans="1:41" x14ac:dyDescent="0.2">
      <c r="A44">
        <f ca="1">ORÇAMENTO!C44</f>
        <v>3</v>
      </c>
      <c r="B44">
        <f ca="1">ORÇAMENTO!D44</f>
        <v>4</v>
      </c>
      <c r="C44" s="114" t="str">
        <f t="shared" ca="1" si="1"/>
        <v>F</v>
      </c>
      <c r="D44" s="117" t="str">
        <f ca="1">ORÇAMENTO!O44</f>
        <v>1.3.4.</v>
      </c>
      <c r="E44" s="163" t="str">
        <f t="shared" si="2"/>
        <v>SINALIZAÇÃO DE OBRA</v>
      </c>
      <c r="F44" s="164" t="str">
        <f ca="1">IF(RegimeExecucao="Global","",ORÇAMENTO.Unidade)</f>
        <v>-</v>
      </c>
      <c r="G44" s="122">
        <f ca="1">IF(RegimeExecucao="Global","",ORÇAMENTO!T44)</f>
        <v>0</v>
      </c>
      <c r="H44" s="122">
        <f ca="1">IF(RegimeExecucao="Global","",ORÇAMENTO!W44)</f>
        <v>0</v>
      </c>
      <c r="I44" s="125">
        <f ca="1">ORÇAMENTO!X44</f>
        <v>7743.01</v>
      </c>
      <c r="J44" s="333" cm="1">
        <f t="array" aca="1" ref="J44" ca="1">_xlfn.SINGLE(IF($A44="S",IF(CAIXA.Modo,BM.AFAnterior,BM.MEDAnterior),IF(AND(_xlfn.SINGLE(RegimeExecucao)="Global",$I44&gt;0,COUNTIF($AB$13:$AM$13,BM.medicao-1)&gt;0),M44/$I44*100,0)))</f>
        <v>0</v>
      </c>
      <c r="K44" s="122">
        <f t="shared" ca="1" si="3"/>
        <v>0</v>
      </c>
      <c r="L44" s="334" cm="1">
        <f t="array" aca="1" ref="L44" ca="1">_xlfn.SINGLE(IF($A44="S",IF(CAIXA.Modo,BM.AFAcumulado,BM.MEDAcumulado),IF(AND(_xlfn.SINGLE(RegimeExecucao)="Global",$I44&gt;0,COUNTIF($AB$13:$AM$13,BM.medicao)&gt;0),O44/$I44*100,0)))</f>
        <v>0</v>
      </c>
      <c r="M44" s="335">
        <f ca="1">IF($A44="S",VTOTALBM,IF($A44=0,0,ROUND(SomaAgrupBM,15-13*ORÇAMENTO!$AF$11)))</f>
        <v>0</v>
      </c>
      <c r="N44" s="336">
        <f t="shared" ca="1" si="4"/>
        <v>0</v>
      </c>
      <c r="O44" s="125">
        <f ca="1">IF($A44="S",VTOTALBM,IF($A44=0,0,ROUND(SomaAgrupBM,15-13*ORÇAMENTO!$AF$11)))</f>
        <v>0</v>
      </c>
      <c r="Q44" s="337"/>
      <c r="R44" s="338"/>
      <c r="T44" s="117" t="str">
        <f t="shared" ca="1" si="5"/>
        <v/>
      </c>
      <c r="U44" s="163" t="str">
        <f t="shared" ca="1" si="6"/>
        <v/>
      </c>
      <c r="V44" s="164" t="str">
        <f ca="1">IF(AND($W44&gt;0,RegimeExecucao="Unitário"),$F44,"")</f>
        <v/>
      </c>
      <c r="W44" s="454">
        <f ca="1">IF($Y44&gt;0,CHOOSE(MATCH(RegimeExecucao,{"Unitário","Global"},0),IF($A44="S",$Y44/$X44,""),($Y44/$X44)*100),0)</f>
        <v>0</v>
      </c>
      <c r="X44" s="339" t="str">
        <f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f ca="1">IF($A44="S",IF(BM!$I44=0,0,CHOOSE(MATCH(RegimeExecucao,{"Global","Unitário"},0),ROUND(ROUND(BM.MEDAcumulado,15-13*BM!$A$9)/100*BM!$I44,15-13*ORÇAMENTO!$AF$11),ROUND(ROUND(BM.MEDAcumulado,15-13*BM!$A$9)*ROUND(BM!$H44,15-13*ORÇAMENTO!$AF$10),15-13*ORÇAMENTO!$AF$11))),IF($A44=0,0,ROUND(SomaAgrupBM,15-13*ORÇAMENTO!$AF$11)))</f>
        <v>0</v>
      </c>
    </row>
    <row r="45" spans="1:41" ht="25.5" x14ac:dyDescent="0.2">
      <c r="A45" t="str">
        <f ca="1">ORÇAMENTO!C45</f>
        <v>S</v>
      </c>
      <c r="B45">
        <f ca="1">ORÇAMENTO!D45</f>
        <v>0</v>
      </c>
      <c r="C45" s="114" t="str">
        <f t="shared" ca="1" si="1"/>
        <v>F</v>
      </c>
      <c r="D45" s="117" t="str">
        <f ca="1">ORÇAMENTO!O45</f>
        <v>1.3.4.0.1.</v>
      </c>
      <c r="E45" s="163" t="str">
        <f t="shared" ca="1" si="2"/>
        <v>FITA ZEBRADA PARA DISPOSITIVOS DE CANALIZAÇÃO DE TRÂNSITO - FORNECIMENTO, IMPLANTAÇÃO E RETIRADA</v>
      </c>
      <c r="F45" s="164" t="str">
        <f ca="1">IF(RegimeExecucao="Global","",ORÇAMENTO.Unidade)</f>
        <v>M</v>
      </c>
      <c r="G45" s="122">
        <f ca="1">IF(RegimeExecucao="Global","",ORÇAMENTO!T45)</f>
        <v>860</v>
      </c>
      <c r="H45" s="122">
        <f ca="1">IF(RegimeExecucao="Global","",ORÇAMENTO!W45)</f>
        <v>0.16</v>
      </c>
      <c r="I45" s="125">
        <f ca="1">ORÇAMENTO!X45</f>
        <v>137.6</v>
      </c>
      <c r="J45" s="333" cm="1">
        <f t="array" aca="1" ref="J45" ca="1">_xlfn.SINGLE(IF($A45="S",IF(CAIXA.Modo,BM.AFAnterior,BM.MEDAnterior),IF(AND(_xlfn.SINGLE(RegimeExecucao)="Global",$I45&gt;0,COUNTIF($AB$13:$AM$13,BM.medicao-1)&gt;0),M45/$I45*100,0)))</f>
        <v>0</v>
      </c>
      <c r="K45" s="122">
        <f t="shared" ca="1" si="3"/>
        <v>0</v>
      </c>
      <c r="L45" s="334" cm="1">
        <f t="array" aca="1" ref="L45" ca="1">_xlfn.SINGLE(IF($A45="S",IF(CAIXA.Modo,BM.AFAcumulado,BM.MEDAcumulado),IF(AND(_xlfn.SINGLE(RegimeExecucao)="Global",$I45&gt;0,COUNTIF($AB$13:$AM$13,BM.medicao)&gt;0),O45/$I45*100,0)))</f>
        <v>0</v>
      </c>
      <c r="M45" s="335">
        <f ca="1">IF($A45="S",VTOTALBM,IF($A45=0,0,ROUND(SomaAgrupBM,15-13*ORÇAMENTO!$AF$11)))</f>
        <v>0</v>
      </c>
      <c r="N45" s="336">
        <f t="shared" ca="1" si="4"/>
        <v>0</v>
      </c>
      <c r="O45" s="125">
        <f ca="1">IF($A45="S",VTOTALBM,IF($A45=0,0,ROUND(SomaAgrupBM,15-13*ORÇAMENTO!$AF$11)))</f>
        <v>0</v>
      </c>
      <c r="Q45" s="337"/>
      <c r="R45" s="338"/>
      <c r="T45" s="117" t="str">
        <f t="shared" ca="1" si="5"/>
        <v/>
      </c>
      <c r="U45" s="163" t="str">
        <f t="shared" ca="1" si="6"/>
        <v/>
      </c>
      <c r="V45" s="164" t="str">
        <f ca="1">IF(AND($W45&gt;0,RegimeExecucao="Unitário"),$F45,"")</f>
        <v/>
      </c>
      <c r="W45" s="454">
        <f ca="1">IF($Y45&gt;0,CHOOSE(MATCH(RegimeExecucao,{"Unitário","Global"},0),IF($A45="S",$Y45/$X45,""),($Y45/$X45)*100),0)</f>
        <v>0</v>
      </c>
      <c r="X45" s="339" t="str">
        <f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f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4" t="str">
        <f t="shared" ca="1" si="1"/>
        <v>F</v>
      </c>
      <c r="D46" s="117" t="str">
        <f ca="1">ORÇAMENTO!O46</f>
        <v>1.3.4.0.2.</v>
      </c>
      <c r="E46" s="163" t="str">
        <f t="shared" ca="1" si="2"/>
        <v>CONE PARA SINALIZAÇÃO/ISOLAMENTO DE ÁREAS, ALTURA 75CM, INCLUSIVE FORNECIMENTO E MOVIMENTAÇÃO</v>
      </c>
      <c r="F46" s="164" t="str">
        <f ca="1">IF(RegimeExecucao="Global","",ORÇAMENTO.Unidade)</f>
        <v>UN</v>
      </c>
      <c r="G46" s="122">
        <f ca="1">IF(RegimeExecucao="Global","",ORÇAMENTO!T46)</f>
        <v>43</v>
      </c>
      <c r="H46" s="122">
        <f ca="1">IF(RegimeExecucao="Global","",ORÇAMENTO!W46)</f>
        <v>6.57</v>
      </c>
      <c r="I46" s="125">
        <f ca="1">ORÇAMENTO!X46</f>
        <v>282.51</v>
      </c>
      <c r="J46" s="333" cm="1">
        <f t="array" aca="1" ref="J46" ca="1">_xlfn.SINGLE(IF($A46="S",IF(CAIXA.Modo,BM.AFAnterior,BM.MEDAnterior),IF(AND(_xlfn.SINGLE(RegimeExecucao)="Global",$I46&gt;0,COUNTIF($AB$13:$AM$13,BM.medicao-1)&gt;0),M46/$I46*100,0)))</f>
        <v>0</v>
      </c>
      <c r="K46" s="122">
        <f t="shared" ca="1" si="3"/>
        <v>0</v>
      </c>
      <c r="L46" s="334" cm="1">
        <f t="array" aca="1" ref="L46" ca="1">_xlfn.SINGLE(IF($A46="S",IF(CAIXA.Modo,BM.AFAcumulado,BM.MEDAcumulado),IF(AND(_xlfn.SINGLE(RegimeExecucao)="Global",$I46&gt;0,COUNTIF($AB$13:$AM$13,BM.medicao)&gt;0),O46/$I46*100,0)))</f>
        <v>0</v>
      </c>
      <c r="M46" s="335">
        <f ca="1">IF($A46="S",VTOTALBM,IF($A46=0,0,ROUND(SomaAgrupBM,15-13*ORÇAMENTO!$AF$11)))</f>
        <v>0</v>
      </c>
      <c r="N46" s="336">
        <f t="shared" ca="1" si="4"/>
        <v>0</v>
      </c>
      <c r="O46" s="125">
        <f ca="1">IF($A46="S",VTOTALBM,IF($A46=0,0,ROUND(SomaAgrupBM,15-13*ORÇAMENTO!$AF$11)))</f>
        <v>0</v>
      </c>
      <c r="Q46" s="337"/>
      <c r="R46" s="338"/>
      <c r="T46" s="117" t="str">
        <f t="shared" ca="1" si="5"/>
        <v/>
      </c>
      <c r="U46" s="163" t="str">
        <f t="shared" ca="1" si="6"/>
        <v/>
      </c>
      <c r="V46" s="164" t="str">
        <f ca="1">IF(AND($W46&gt;0,RegimeExecucao="Unitário"),$F46,"")</f>
        <v/>
      </c>
      <c r="W46" s="454">
        <f ca="1">IF($Y46&gt;0,CHOOSE(MATCH(RegimeExecucao,{"Unitário","Global"},0),IF($A46="S",$Y46/$X46,""),($Y46/$X46)*100),0)</f>
        <v>0</v>
      </c>
      <c r="X46" s="339" t="str">
        <f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f ca="1">IF($A46="S",IF(BM!$I46=0,0,CHOOSE(MATCH(RegimeExecucao,{"Global","Unitário"},0),ROUND(ROUND(BM.MEDAcumulado,15-13*BM!$A$9)/100*BM!$I46,15-13*ORÇAMENTO!$AF$11),ROUND(ROUND(BM.MEDAcumulado,15-13*BM!$A$9)*ROUND(BM!$H46,15-13*ORÇAMENTO!$AF$10),15-13*ORÇAMENTO!$AF$11))),IF($A46=0,0,ROUND(SomaAgrupBM,15-13*ORÇAMENTO!$AF$11)))</f>
        <v>0</v>
      </c>
    </row>
    <row r="47" spans="1:41" ht="51" x14ac:dyDescent="0.2">
      <c r="A47" t="str">
        <f ca="1">ORÇAMENTO!C47</f>
        <v>S</v>
      </c>
      <c r="B47">
        <f ca="1">ORÇAMENTO!D47</f>
        <v>0</v>
      </c>
      <c r="C47" s="114" t="str">
        <f t="shared" ca="1" si="1"/>
        <v>F</v>
      </c>
      <c r="D47" s="117" t="str">
        <f ca="1">ORÇAMENTO!O47</f>
        <v>1.3.4.0.3.</v>
      </c>
      <c r="E47" s="163" t="str">
        <f t="shared" ca="1" si="2"/>
        <v>TAPUME DE PROTEÇÃO PARA TRANSEUNTE EM TELA DE POLIETILENO, COM MÓDULO NA DIMENSÃO DE (150X150)CM, INCLUSIVE PONTALETE COM BASE DE APOIO EM CONCRETO MAGRO, FORNECIMENTO E MOVIMENTAÇÃO</v>
      </c>
      <c r="F47" s="164" t="str">
        <f ca="1">IF(RegimeExecucao="Global","",ORÇAMENTO.Unidade)</f>
        <v>M</v>
      </c>
      <c r="G47" s="122">
        <f ca="1">IF(RegimeExecucao="Global","",ORÇAMENTO!T47)</f>
        <v>430</v>
      </c>
      <c r="H47" s="122">
        <f ca="1">IF(RegimeExecucao="Global","",ORÇAMENTO!W47)</f>
        <v>17.03</v>
      </c>
      <c r="I47" s="125">
        <f ca="1">ORÇAMENTO!X47</f>
        <v>7322.9</v>
      </c>
      <c r="J47" s="333" cm="1">
        <f t="array" aca="1" ref="J47" ca="1">_xlfn.SINGLE(IF($A47="S",IF(CAIXA.Modo,BM.AFAnterior,BM.MEDAnterior),IF(AND(_xlfn.SINGLE(RegimeExecucao)="Global",$I47&gt;0,COUNTIF($AB$13:$AM$13,BM.medicao-1)&gt;0),M47/$I47*100,0)))</f>
        <v>0</v>
      </c>
      <c r="K47" s="122">
        <f t="shared" ca="1" si="3"/>
        <v>0</v>
      </c>
      <c r="L47" s="334" cm="1">
        <f t="array" aca="1" ref="L47" ca="1">_xlfn.SINGLE(IF($A47="S",IF(CAIXA.Modo,BM.AFAcumulado,BM.MEDAcumulado),IF(AND(_xlfn.SINGLE(RegimeExecucao)="Global",$I47&gt;0,COUNTIF($AB$13:$AM$13,BM.medicao)&gt;0),O47/$I47*100,0)))</f>
        <v>0</v>
      </c>
      <c r="M47" s="335">
        <f ca="1">IF($A47="S",VTOTALBM,IF($A47=0,0,ROUND(SomaAgrupBM,15-13*ORÇAMENTO!$AF$11)))</f>
        <v>0</v>
      </c>
      <c r="N47" s="336">
        <f t="shared" ca="1" si="4"/>
        <v>0</v>
      </c>
      <c r="O47" s="125">
        <f ca="1">IF($A47="S",VTOTALBM,IF($A47=0,0,ROUND(SomaAgrupBM,15-13*ORÇAMENTO!$AF$11)))</f>
        <v>0</v>
      </c>
      <c r="Q47" s="337"/>
      <c r="R47" s="338"/>
      <c r="T47" s="117" t="str">
        <f t="shared" ca="1" si="5"/>
        <v/>
      </c>
      <c r="U47" s="163" t="str">
        <f t="shared" ca="1" si="6"/>
        <v/>
      </c>
      <c r="V47" s="164" t="str">
        <f ca="1">IF(AND($W47&gt;0,RegimeExecucao="Unitário"),$F47,"")</f>
        <v/>
      </c>
      <c r="W47" s="454">
        <f ca="1">IF($Y47&gt;0,CHOOSE(MATCH(RegimeExecucao,{"Unitário","Global"},0),IF($A47="S",$Y47/$X47,""),($Y47/$X47)*100),0)</f>
        <v>0</v>
      </c>
      <c r="X47" s="339" t="str">
        <f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f ca="1">ORÇAMENTO!C48</f>
        <v>2</v>
      </c>
      <c r="B48">
        <f ca="1">ORÇAMENTO!D48</f>
        <v>11</v>
      </c>
      <c r="C48" s="114" t="str">
        <f t="shared" ca="1" si="1"/>
        <v>F</v>
      </c>
      <c r="D48" s="117" t="str">
        <f ca="1">ORÇAMENTO!O48</f>
        <v>1.4.</v>
      </c>
      <c r="E48" s="163" t="str">
        <f t="shared" si="2"/>
        <v>TERRAPLENAGEM</v>
      </c>
      <c r="F48" s="164" t="str">
        <f ca="1">IF(RegimeExecucao="Global","",ORÇAMENTO.Unidade)</f>
        <v>-</v>
      </c>
      <c r="G48" s="122">
        <f ca="1">IF(RegimeExecucao="Global","",ORÇAMENTO!T48)</f>
        <v>0</v>
      </c>
      <c r="H48" s="122">
        <f ca="1">IF(RegimeExecucao="Global","",ORÇAMENTO!W48)</f>
        <v>0</v>
      </c>
      <c r="I48" s="125">
        <f ca="1">ORÇAMENTO!X48</f>
        <v>439770.36</v>
      </c>
      <c r="J48" s="333" cm="1">
        <f t="array" aca="1" ref="J48" ca="1">_xlfn.SINGLE(IF($A48="S",IF(CAIXA.Modo,BM.AFAnterior,BM.MEDAnterior),IF(AND(_xlfn.SINGLE(RegimeExecucao)="Global",$I48&gt;0,COUNTIF($AB$13:$AM$13,BM.medicao-1)&gt;0),M48/$I48*100,0)))</f>
        <v>0</v>
      </c>
      <c r="K48" s="122">
        <f t="shared" ca="1" si="3"/>
        <v>0</v>
      </c>
      <c r="L48" s="334" cm="1">
        <f t="array" aca="1" ref="L48" ca="1">_xlfn.SINGLE(IF($A48="S",IF(CAIXA.Modo,BM.AFAcumulado,BM.MEDAcumulado),IF(AND(_xlfn.SINGLE(RegimeExecucao)="Global",$I48&gt;0,COUNTIF($AB$13:$AM$13,BM.medicao)&gt;0),O48/$I48*100,0)))</f>
        <v>0</v>
      </c>
      <c r="M48" s="335">
        <f ca="1">IF($A48="S",VTOTALBM,IF($A48=0,0,ROUND(SomaAgrupBM,15-13*ORÇAMENTO!$AF$11)))</f>
        <v>0</v>
      </c>
      <c r="N48" s="336">
        <f t="shared" ca="1" si="4"/>
        <v>0</v>
      </c>
      <c r="O48" s="125">
        <f ca="1">IF($A48="S",VTOTALBM,IF($A48=0,0,ROUND(SomaAgrupBM,15-13*ORÇAMENTO!$AF$11)))</f>
        <v>0</v>
      </c>
      <c r="Q48" s="337"/>
      <c r="R48" s="338"/>
      <c r="T48" s="117" t="str">
        <f t="shared" ca="1" si="5"/>
        <v/>
      </c>
      <c r="U48" s="163" t="str">
        <f t="shared" ca="1" si="6"/>
        <v/>
      </c>
      <c r="V48" s="164" t="str">
        <f ca="1">IF(AND($W48&gt;0,RegimeExecucao="Unitário"),$F48,"")</f>
        <v/>
      </c>
      <c r="W48" s="454">
        <f ca="1">IF($Y48&gt;0,CHOOSE(MATCH(RegimeExecucao,{"Unitário","Global"},0),IF($A48="S",$Y48/$X48,""),($Y48/$X48)*100),0)</f>
        <v>0</v>
      </c>
      <c r="X48" s="339" t="str">
        <f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f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f ca="1">ORÇAMENTO!C49</f>
        <v>3</v>
      </c>
      <c r="B49">
        <f ca="1">ORÇAMENTO!D49</f>
        <v>3</v>
      </c>
      <c r="C49" s="114" t="str">
        <f t="shared" ca="1" si="1"/>
        <v>F</v>
      </c>
      <c r="D49" s="117" t="str">
        <f ca="1">ORÇAMENTO!O49</f>
        <v>1.4.1.</v>
      </c>
      <c r="E49" s="163" t="str">
        <f t="shared" si="2"/>
        <v>CORTE E ATERRO</v>
      </c>
      <c r="F49" s="164" t="str">
        <f ca="1">IF(RegimeExecucao="Global","",ORÇAMENTO.Unidade)</f>
        <v>-</v>
      </c>
      <c r="G49" s="122">
        <f ca="1">IF(RegimeExecucao="Global","",ORÇAMENTO!T49)</f>
        <v>0</v>
      </c>
      <c r="H49" s="122">
        <f ca="1">IF(RegimeExecucao="Global","",ORÇAMENTO!W49)</f>
        <v>0</v>
      </c>
      <c r="I49" s="125">
        <f ca="1">ORÇAMENTO!X49</f>
        <v>14792.78</v>
      </c>
      <c r="J49" s="333" cm="1">
        <f t="array" aca="1" ref="J49" ca="1">_xlfn.SINGLE(IF($A49="S",IF(CAIXA.Modo,BM.AFAnterior,BM.MEDAnterior),IF(AND(_xlfn.SINGLE(RegimeExecucao)="Global",$I49&gt;0,COUNTIF($AB$13:$AM$13,BM.medicao-1)&gt;0),M49/$I49*100,0)))</f>
        <v>0</v>
      </c>
      <c r="K49" s="122">
        <f t="shared" ca="1" si="3"/>
        <v>0</v>
      </c>
      <c r="L49" s="334" cm="1">
        <f t="array" aca="1" ref="L49" ca="1">_xlfn.SINGLE(IF($A49="S",IF(CAIXA.Modo,BM.AFAcumulado,BM.MEDAcumulado),IF(AND(_xlfn.SINGLE(RegimeExecucao)="Global",$I49&gt;0,COUNTIF($AB$13:$AM$13,BM.medicao)&gt;0),O49/$I49*100,0)))</f>
        <v>0</v>
      </c>
      <c r="M49" s="335">
        <f ca="1">IF($A49="S",VTOTALBM,IF($A49=0,0,ROUND(SomaAgrupBM,15-13*ORÇAMENTO!$AF$11)))</f>
        <v>0</v>
      </c>
      <c r="N49" s="336">
        <f t="shared" ca="1" si="4"/>
        <v>0</v>
      </c>
      <c r="O49" s="125">
        <f ca="1">IF($A49="S",VTOTALBM,IF($A49=0,0,ROUND(SomaAgrupBM,15-13*ORÇAMENTO!$AF$11)))</f>
        <v>0</v>
      </c>
      <c r="Q49" s="337"/>
      <c r="R49" s="338"/>
      <c r="T49" s="117" t="str">
        <f t="shared" ca="1" si="5"/>
        <v/>
      </c>
      <c r="U49" s="163" t="str">
        <f t="shared" ca="1" si="6"/>
        <v/>
      </c>
      <c r="V49" s="164" t="str">
        <f ca="1">IF(AND($W49&gt;0,RegimeExecucao="Unitário"),$F49,"")</f>
        <v/>
      </c>
      <c r="W49" s="454">
        <f ca="1">IF($Y49&gt;0,CHOOSE(MATCH(RegimeExecucao,{"Unitário","Global"},0),IF($A49="S",$Y49/$X49,""),($Y49/$X49)*100),0)</f>
        <v>0</v>
      </c>
      <c r="X49" s="339" t="str">
        <f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f ca="1">IF($A49="S",IF(BM!$I49=0,0,CHOOSE(MATCH(RegimeExecucao,{"Global","Unitário"},0),ROUND(ROUND(BM.MEDAcumulado,15-13*BM!$A$9)/100*BM!$I49,15-13*ORÇAMENTO!$AF$11),ROUND(ROUND(BM.MEDAcumulado,15-13*BM!$A$9)*ROUND(BM!$H49,15-13*ORÇAMENTO!$AF$10),15-13*ORÇAMENTO!$AF$11))),IF($A49=0,0,ROUND(SomaAgrupBM,15-13*ORÇAMENTO!$AF$11)))</f>
        <v>0</v>
      </c>
    </row>
    <row r="50" spans="1:41" ht="25.5" x14ac:dyDescent="0.2">
      <c r="A50" t="str">
        <f ca="1">ORÇAMENTO!C50</f>
        <v>S</v>
      </c>
      <c r="B50">
        <f ca="1">ORÇAMENTO!D50</f>
        <v>0</v>
      </c>
      <c r="C50" s="114" t="str">
        <f t="shared" ca="1" si="1"/>
        <v>F</v>
      </c>
      <c r="D50" s="117" t="str">
        <f ca="1">ORÇAMENTO!O50</f>
        <v>1.4.1.0.1.</v>
      </c>
      <c r="E50" s="163" t="str">
        <f t="shared" ca="1" si="2"/>
        <v>ESCAVAÇÃO HORIZONTAL EM SOLO DE 1A CATEGORIA COM TRATOR DE ESTEIRAS (150HP/LÂMINA: 3,18M3). AF_07/2020</v>
      </c>
      <c r="F50" s="164" t="str">
        <f ca="1">IF(RegimeExecucao="Global","",ORÇAMENTO.Unidade)</f>
        <v>M3</v>
      </c>
      <c r="G50" s="122">
        <f ca="1">IF(RegimeExecucao="Global","",ORÇAMENTO!T50)</f>
        <v>2644.16</v>
      </c>
      <c r="H50" s="122">
        <f ca="1">IF(RegimeExecucao="Global","",ORÇAMENTO!W50)</f>
        <v>4.93</v>
      </c>
      <c r="I50" s="125">
        <f ca="1">ORÇAMENTO!X50</f>
        <v>13035.71</v>
      </c>
      <c r="J50" s="333" cm="1">
        <f t="array" aca="1" ref="J50" ca="1">_xlfn.SINGLE(IF($A50="S",IF(CAIXA.Modo,BM.AFAnterior,BM.MEDAnterior),IF(AND(_xlfn.SINGLE(RegimeExecucao)="Global",$I50&gt;0,COUNTIF($AB$13:$AM$13,BM.medicao-1)&gt;0),M50/$I50*100,0)))</f>
        <v>0</v>
      </c>
      <c r="K50" s="122">
        <f t="shared" ca="1" si="3"/>
        <v>0</v>
      </c>
      <c r="L50" s="334" cm="1">
        <f t="array" aca="1" ref="L50" ca="1">_xlfn.SINGLE(IF($A50="S",IF(CAIXA.Modo,BM.AFAcumulado,BM.MEDAcumulado),IF(AND(_xlfn.SINGLE(RegimeExecucao)="Global",$I50&gt;0,COUNTIF($AB$13:$AM$13,BM.medicao)&gt;0),O50/$I50*100,0)))</f>
        <v>0</v>
      </c>
      <c r="M50" s="335">
        <f ca="1">IF($A50="S",VTOTALBM,IF($A50=0,0,ROUND(SomaAgrupBM,15-13*ORÇAMENTO!$AF$11)))</f>
        <v>0</v>
      </c>
      <c r="N50" s="336">
        <f t="shared" ca="1" si="4"/>
        <v>0</v>
      </c>
      <c r="O50" s="125">
        <f ca="1">IF($A50="S",VTOTALBM,IF($A50=0,0,ROUND(SomaAgrupBM,15-13*ORÇAMENTO!$AF$11)))</f>
        <v>0</v>
      </c>
      <c r="Q50" s="337"/>
      <c r="R50" s="338"/>
      <c r="T50" s="117" t="str">
        <f t="shared" ca="1" si="5"/>
        <v/>
      </c>
      <c r="U50" s="163" t="str">
        <f t="shared" ca="1" si="6"/>
        <v/>
      </c>
      <c r="V50" s="164" t="str">
        <f ca="1">IF(AND($W50&gt;0,RegimeExecucao="Unitário"),$F50,"")</f>
        <v/>
      </c>
      <c r="W50" s="454">
        <f ca="1">IF($Y50&gt;0,CHOOSE(MATCH(RegimeExecucao,{"Unitário","Global"},0),IF($A50="S",$Y50/$X50,""),($Y50/$X50)*100),0)</f>
        <v>0</v>
      </c>
      <c r="X50" s="339" t="str">
        <f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f ca="1">IF($A50="S",IF(BM!$I50=0,0,CHOOSE(MATCH(RegimeExecucao,{"Global","Unitário"},0),ROUND(ROUND(BM.MEDAcumulado,15-13*BM!$A$9)/100*BM!$I50,15-13*ORÇAMENTO!$AF$11),ROUND(ROUND(BM.MEDAcumulado,15-13*BM!$A$9)*ROUND(BM!$H50,15-13*ORÇAMENTO!$AF$10),15-13*ORÇAMENTO!$AF$11))),IF($A50=0,0,ROUND(SomaAgrupBM,15-13*ORÇAMENTO!$AF$11)))</f>
        <v>0</v>
      </c>
    </row>
    <row r="51" spans="1:41" ht="25.5" x14ac:dyDescent="0.2">
      <c r="A51" t="str">
        <f ca="1">ORÇAMENTO!C51</f>
        <v>S</v>
      </c>
      <c r="B51">
        <f ca="1">ORÇAMENTO!D51</f>
        <v>0</v>
      </c>
      <c r="C51" s="114" t="str">
        <f t="shared" ca="1" si="1"/>
        <v>F</v>
      </c>
      <c r="D51" s="117" t="str">
        <f ca="1">ORÇAMENTO!O51</f>
        <v>1.4.1.0.2.</v>
      </c>
      <c r="E51" s="163" t="str">
        <f t="shared" ca="1" si="2"/>
        <v>COMPACTAÇÃO MECÂNICA DE ATERRO COM ROLO VIBRATÓRIO A 95% DO PROCTOR NORMAL, INCLUSIVE ESPALHAMENTO</v>
      </c>
      <c r="F51" s="164" t="str">
        <f ca="1">IF(RegimeExecucao="Global","",ORÇAMENTO.Unidade)</f>
        <v>M3</v>
      </c>
      <c r="G51" s="122">
        <f ca="1">IF(RegimeExecucao="Global","",ORÇAMENTO!T51)</f>
        <v>316.02</v>
      </c>
      <c r="H51" s="122">
        <f ca="1">IF(RegimeExecucao="Global","",ORÇAMENTO!W51)</f>
        <v>5.56</v>
      </c>
      <c r="I51" s="125">
        <f ca="1">ORÇAMENTO!X51</f>
        <v>1757.07</v>
      </c>
      <c r="J51" s="333" cm="1">
        <f t="array" aca="1" ref="J51" ca="1">_xlfn.SINGLE(IF($A51="S",IF(CAIXA.Modo,BM.AFAnterior,BM.MEDAnterior),IF(AND(_xlfn.SINGLE(RegimeExecucao)="Global",$I51&gt;0,COUNTIF($AB$13:$AM$13,BM.medicao-1)&gt;0),M51/$I51*100,0)))</f>
        <v>0</v>
      </c>
      <c r="K51" s="122">
        <f t="shared" ca="1" si="3"/>
        <v>0</v>
      </c>
      <c r="L51" s="334" cm="1">
        <f t="array" aca="1" ref="L51" ca="1">_xlfn.SINGLE(IF($A51="S",IF(CAIXA.Modo,BM.AFAcumulado,BM.MEDAcumulado),IF(AND(_xlfn.SINGLE(RegimeExecucao)="Global",$I51&gt;0,COUNTIF($AB$13:$AM$13,BM.medicao)&gt;0),O51/$I51*100,0)))</f>
        <v>0</v>
      </c>
      <c r="M51" s="335">
        <f ca="1">IF($A51="S",VTOTALBM,IF($A51=0,0,ROUND(SomaAgrupBM,15-13*ORÇAMENTO!$AF$11)))</f>
        <v>0</v>
      </c>
      <c r="N51" s="336">
        <f t="shared" ca="1" si="4"/>
        <v>0</v>
      </c>
      <c r="O51" s="125">
        <f ca="1">IF($A51="S",VTOTALBM,IF($A51=0,0,ROUND(SomaAgrupBM,15-13*ORÇAMENTO!$AF$11)))</f>
        <v>0</v>
      </c>
      <c r="Q51" s="337"/>
      <c r="R51" s="338"/>
      <c r="T51" s="117" t="str">
        <f t="shared" ca="1" si="5"/>
        <v/>
      </c>
      <c r="U51" s="163" t="str">
        <f t="shared" ca="1" si="6"/>
        <v/>
      </c>
      <c r="V51" s="164" t="str">
        <f ca="1">IF(AND($W51&gt;0,RegimeExecucao="Unitário"),$F51,"")</f>
        <v/>
      </c>
      <c r="W51" s="454">
        <f ca="1">IF($Y51&gt;0,CHOOSE(MATCH(RegimeExecucao,{"Unitário","Global"},0),IF($A51="S",$Y51/$X51,""),($Y51/$X51)*100),0)</f>
        <v>0</v>
      </c>
      <c r="X51" s="339" t="str">
        <f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f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f ca="1">ORÇAMENTO!C52</f>
        <v>3</v>
      </c>
      <c r="B52">
        <f ca="1">ORÇAMENTO!D52</f>
        <v>5</v>
      </c>
      <c r="C52" s="114" t="str">
        <f t="shared" ca="1" si="1"/>
        <v>F</v>
      </c>
      <c r="D52" s="117" t="str">
        <f ca="1">ORÇAMENTO!O52</f>
        <v>1.4.2.</v>
      </c>
      <c r="E52" s="163" t="str">
        <f t="shared" si="2"/>
        <v>BOTA FORA</v>
      </c>
      <c r="F52" s="164" t="str">
        <f ca="1">IF(RegimeExecucao="Global","",ORÇAMENTO.Unidade)</f>
        <v>-</v>
      </c>
      <c r="G52" s="122">
        <f ca="1">IF(RegimeExecucao="Global","",ORÇAMENTO!T52)</f>
        <v>0</v>
      </c>
      <c r="H52" s="122">
        <f ca="1">IF(RegimeExecucao="Global","",ORÇAMENTO!W52)</f>
        <v>0</v>
      </c>
      <c r="I52" s="125">
        <f ca="1">ORÇAMENTO!X52</f>
        <v>424296.31</v>
      </c>
      <c r="J52" s="333" cm="1">
        <f t="array" aca="1" ref="J52" ca="1">_xlfn.SINGLE(IF($A52="S",IF(CAIXA.Modo,BM.AFAnterior,BM.MEDAnterior),IF(AND(_xlfn.SINGLE(RegimeExecucao)="Global",$I52&gt;0,COUNTIF($AB$13:$AM$13,BM.medicao-1)&gt;0),M52/$I52*100,0)))</f>
        <v>0</v>
      </c>
      <c r="K52" s="122">
        <f t="shared" ca="1" si="3"/>
        <v>0</v>
      </c>
      <c r="L52" s="334" cm="1">
        <f t="array" aca="1" ref="L52" ca="1">_xlfn.SINGLE(IF($A52="S",IF(CAIXA.Modo,BM.AFAcumulado,BM.MEDAcumulado),IF(AND(_xlfn.SINGLE(RegimeExecucao)="Global",$I52&gt;0,COUNTIF($AB$13:$AM$13,BM.medicao)&gt;0),O52/$I52*100,0)))</f>
        <v>0</v>
      </c>
      <c r="M52" s="335">
        <f ca="1">IF($A52="S",VTOTALBM,IF($A52=0,0,ROUND(SomaAgrupBM,15-13*ORÇAMENTO!$AF$11)))</f>
        <v>0</v>
      </c>
      <c r="N52" s="336">
        <f t="shared" ca="1" si="4"/>
        <v>0</v>
      </c>
      <c r="O52" s="125">
        <f ca="1">IF($A52="S",VTOTALBM,IF($A52=0,0,ROUND(SomaAgrupBM,15-13*ORÇAMENTO!$AF$11)))</f>
        <v>0</v>
      </c>
      <c r="Q52" s="337"/>
      <c r="R52" s="338"/>
      <c r="T52" s="117" t="str">
        <f t="shared" ca="1" si="5"/>
        <v/>
      </c>
      <c r="U52" s="163" t="str">
        <f t="shared" ca="1" si="6"/>
        <v/>
      </c>
      <c r="V52" s="164" t="str">
        <f ca="1">IF(AND($W52&gt;0,RegimeExecucao="Unitário"),$F52,"")</f>
        <v/>
      </c>
      <c r="W52" s="454">
        <f ca="1">IF($Y52&gt;0,CHOOSE(MATCH(RegimeExecucao,{"Unitário","Global"},0),IF($A52="S",$Y52/$X52,""),($Y52/$X52)*100),0)</f>
        <v>0</v>
      </c>
      <c r="X52" s="339" t="str">
        <f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f ca="1">IF($A52="S",IF(BM!$I52=0,0,CHOOSE(MATCH(RegimeExecucao,{"Global","Unitário"},0),ROUND(ROUND(BM.MEDAcumulado,15-13*BM!$A$9)/100*BM!$I52,15-13*ORÇAMENTO!$AF$11),ROUND(ROUND(BM.MEDAcumulado,15-13*BM!$A$9)*ROUND(BM!$H52,15-13*ORÇAMENTO!$AF$10),15-13*ORÇAMENTO!$AF$11))),IF($A52=0,0,ROUND(SomaAgrupBM,15-13*ORÇAMENTO!$AF$11)))</f>
        <v>0</v>
      </c>
    </row>
    <row r="53" spans="1:41" ht="51" x14ac:dyDescent="0.2">
      <c r="A53" t="str">
        <f ca="1">ORÇAMENTO!C53</f>
        <v>S</v>
      </c>
      <c r="B53">
        <f ca="1">ORÇAMENTO!D53</f>
        <v>0</v>
      </c>
      <c r="C53" s="114" t="str">
        <f t="shared" ca="1" si="1"/>
        <v>F</v>
      </c>
      <c r="D53" s="117" t="str">
        <f ca="1">ORÇAMENTO!O53</f>
        <v>1.4.2.0.1.</v>
      </c>
      <c r="E53" s="163" t="str">
        <f t="shared" ca="1" si="2"/>
        <v>CARGA, MANOBRA E DESCARGA DE SOLOS E MATERIAIS GRANULARES EM CAMINHÃO BASCULANTE 18 M³ - CARGA COM ESCAVADEIRA HIDRÁULICA (CAÇAMBA DE 1,20 M³ / 155 HP) E DESCARGA LIVRE (UNIDADE: M3). AF_07/2020</v>
      </c>
      <c r="F53" s="164" t="str">
        <f ca="1">IF(RegimeExecucao="Global","",ORÇAMENTO.Unidade)</f>
        <v>M3</v>
      </c>
      <c r="G53" s="122">
        <f ca="1">IF(RegimeExecucao="Global","",ORÇAMENTO!T53)</f>
        <v>3086.27</v>
      </c>
      <c r="H53" s="122">
        <f ca="1">IF(RegimeExecucao="Global","",ORÇAMENTO!W53)</f>
        <v>8.0500000000000007</v>
      </c>
      <c r="I53" s="125">
        <f ca="1">ORÇAMENTO!X53</f>
        <v>24844.47</v>
      </c>
      <c r="J53" s="333" cm="1">
        <f t="array" aca="1" ref="J53" ca="1">_xlfn.SINGLE(IF($A53="S",IF(CAIXA.Modo,BM.AFAnterior,BM.MEDAnterior),IF(AND(_xlfn.SINGLE(RegimeExecucao)="Global",$I53&gt;0,COUNTIF($AB$13:$AM$13,BM.medicao-1)&gt;0),M53/$I53*100,0)))</f>
        <v>0</v>
      </c>
      <c r="K53" s="122">
        <f t="shared" ca="1" si="3"/>
        <v>0</v>
      </c>
      <c r="L53" s="334" cm="1">
        <f t="array" aca="1" ref="L53" ca="1">_xlfn.SINGLE(IF($A53="S",IF(CAIXA.Modo,BM.AFAcumulado,BM.MEDAcumulado),IF(AND(_xlfn.SINGLE(RegimeExecucao)="Global",$I53&gt;0,COUNTIF($AB$13:$AM$13,BM.medicao)&gt;0),O53/$I53*100,0)))</f>
        <v>0</v>
      </c>
      <c r="M53" s="335">
        <f ca="1">IF($A53="S",VTOTALBM,IF($A53=0,0,ROUND(SomaAgrupBM,15-13*ORÇAMENTO!$AF$11)))</f>
        <v>0</v>
      </c>
      <c r="N53" s="336">
        <f t="shared" ca="1" si="4"/>
        <v>0</v>
      </c>
      <c r="O53" s="125">
        <f ca="1">IF($A53="S",VTOTALBM,IF($A53=0,0,ROUND(SomaAgrupBM,15-13*ORÇAMENTO!$AF$11)))</f>
        <v>0</v>
      </c>
      <c r="Q53" s="337"/>
      <c r="R53" s="338"/>
      <c r="T53" s="117" t="str">
        <f t="shared" ca="1" si="5"/>
        <v/>
      </c>
      <c r="U53" s="163" t="str">
        <f t="shared" ca="1" si="6"/>
        <v/>
      </c>
      <c r="V53" s="164" t="str">
        <f ca="1">IF(AND($W53&gt;0,RegimeExecucao="Unitário"),$F53,"")</f>
        <v/>
      </c>
      <c r="W53" s="454">
        <f ca="1">IF($Y53&gt;0,CHOOSE(MATCH(RegimeExecucao,{"Unitário","Global"},0),IF($A53="S",$Y53/$X53,""),($Y53/$X53)*100),0)</f>
        <v>0</v>
      </c>
      <c r="X53" s="339" t="str">
        <f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f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4" t="str">
        <f t="shared" ca="1" si="1"/>
        <v>F</v>
      </c>
      <c r="D54" s="117" t="str">
        <f ca="1">ORÇAMENTO!O54</f>
        <v>1.4.2.0.2.</v>
      </c>
      <c r="E54" s="163" t="str">
        <f t="shared" ca="1" si="2"/>
        <v>TRANSPORTE COM CAMINHÃO BASCULANTE DE 18 M³, EM VIA URBANA PAVIMENTADA, DMT ATÉ 30 KM (UNIDADE: M3XKM). AF_07/2020</v>
      </c>
      <c r="F54" s="164" t="str">
        <f ca="1">IF(RegimeExecucao="Global","",ORÇAMENTO.Unidade)</f>
        <v>M3XKM</v>
      </c>
      <c r="G54" s="122">
        <f ca="1">IF(RegimeExecucao="Global","",ORÇAMENTO!T54)</f>
        <v>23764.28</v>
      </c>
      <c r="H54" s="122">
        <f ca="1">IF(RegimeExecucao="Global","",ORÇAMENTO!W54)</f>
        <v>2.35</v>
      </c>
      <c r="I54" s="125">
        <f ca="1">ORÇAMENTO!X54</f>
        <v>55846.06</v>
      </c>
      <c r="J54" s="333" cm="1">
        <f t="array" aca="1" ref="J54" ca="1">_xlfn.SINGLE(IF($A54="S",IF(CAIXA.Modo,BM.AFAnterior,BM.MEDAnterior),IF(AND(_xlfn.SINGLE(RegimeExecucao)="Global",$I54&gt;0,COUNTIF($AB$13:$AM$13,BM.medicao-1)&gt;0),M54/$I54*100,0)))</f>
        <v>0</v>
      </c>
      <c r="K54" s="122">
        <f t="shared" ca="1" si="3"/>
        <v>0</v>
      </c>
      <c r="L54" s="334" cm="1">
        <f t="array" aca="1" ref="L54" ca="1">_xlfn.SINGLE(IF($A54="S",IF(CAIXA.Modo,BM.AFAcumulado,BM.MEDAcumulado),IF(AND(_xlfn.SINGLE(RegimeExecucao)="Global",$I54&gt;0,COUNTIF($AB$13:$AM$13,BM.medicao)&gt;0),O54/$I54*100,0)))</f>
        <v>0</v>
      </c>
      <c r="M54" s="335">
        <f ca="1">IF($A54="S",VTOTALBM,IF($A54=0,0,ROUND(SomaAgrupBM,15-13*ORÇAMENTO!$AF$11)))</f>
        <v>0</v>
      </c>
      <c r="N54" s="336">
        <f t="shared" ca="1" si="4"/>
        <v>0</v>
      </c>
      <c r="O54" s="125">
        <f ca="1">IF($A54="S",VTOTALBM,IF($A54=0,0,ROUND(SomaAgrupBM,15-13*ORÇAMENTO!$AF$11)))</f>
        <v>0</v>
      </c>
      <c r="Q54" s="337"/>
      <c r="R54" s="338"/>
      <c r="T54" s="117" t="str">
        <f t="shared" ca="1" si="5"/>
        <v/>
      </c>
      <c r="U54" s="163" t="str">
        <f t="shared" ca="1" si="6"/>
        <v/>
      </c>
      <c r="V54" s="164" t="str">
        <f ca="1">IF(AND($W54&gt;0,RegimeExecucao="Unitário"),$F54,"")</f>
        <v/>
      </c>
      <c r="W54" s="454">
        <f ca="1">IF($Y54&gt;0,CHOOSE(MATCH(RegimeExecucao,{"Unitário","Global"},0),IF($A54="S",$Y54/$X54,""),($Y54/$X54)*100),0)</f>
        <v>0</v>
      </c>
      <c r="X54" s="339" t="str">
        <f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f ca="1">IF($A54="S",IF(BM!$I54=0,0,CHOOSE(MATCH(RegimeExecucao,{"Global","Unitário"},0),ROUND(ROUND(BM.MEDAcumulado,15-13*BM!$A$9)/100*BM!$I54,15-13*ORÇAMENTO!$AF$11),ROUND(ROUND(BM.MEDAcumulado,15-13*BM!$A$9)*ROUND(BM!$H54,15-13*ORÇAMENTO!$AF$10),15-13*ORÇAMENTO!$AF$11))),IF($A54=0,0,ROUND(SomaAgrupBM,15-13*ORÇAMENTO!$AF$11)))</f>
        <v>0</v>
      </c>
    </row>
    <row r="55" spans="1:41" x14ac:dyDescent="0.2">
      <c r="A55" t="str">
        <f ca="1">ORÇAMENTO!C55</f>
        <v>S</v>
      </c>
      <c r="B55">
        <f ca="1">ORÇAMENTO!D55</f>
        <v>0</v>
      </c>
      <c r="C55" s="114" t="str">
        <f t="shared" ca="1" si="1"/>
        <v>F</v>
      </c>
      <c r="D55" s="117" t="str">
        <f ca="1">ORÇAMENTO!O55</f>
        <v>1.4.2.0.3.</v>
      </c>
      <c r="E55" s="163" t="str">
        <f t="shared" ca="1" si="2"/>
        <v>TAXA ATERRO SANITÁRIO</v>
      </c>
      <c r="F55" s="164" t="str">
        <f ca="1">IF(RegimeExecucao="Global","",ORÇAMENTO.Unidade)</f>
        <v>T</v>
      </c>
      <c r="G55" s="122">
        <f ca="1">IF(RegimeExecucao="Global","",ORÇAMENTO!T55)</f>
        <v>4197.33</v>
      </c>
      <c r="H55" s="122">
        <f ca="1">IF(RegimeExecucao="Global","",ORÇAMENTO!W55)</f>
        <v>80.510000000000005</v>
      </c>
      <c r="I55" s="125">
        <f ca="1">ORÇAMENTO!X55</f>
        <v>337927.04</v>
      </c>
      <c r="J55" s="333" cm="1">
        <f t="array" aca="1" ref="J55" ca="1">_xlfn.SINGLE(IF($A55="S",IF(CAIXA.Modo,BM.AFAnterior,BM.MEDAnterior),IF(AND(_xlfn.SINGLE(RegimeExecucao)="Global",$I55&gt;0,COUNTIF($AB$13:$AM$13,BM.medicao-1)&gt;0),M55/$I55*100,0)))</f>
        <v>0</v>
      </c>
      <c r="K55" s="122">
        <f t="shared" ca="1" si="3"/>
        <v>0</v>
      </c>
      <c r="L55" s="334" cm="1">
        <f t="array" aca="1" ref="L55" ca="1">_xlfn.SINGLE(IF($A55="S",IF(CAIXA.Modo,BM.AFAcumulado,BM.MEDAcumulado),IF(AND(_xlfn.SINGLE(RegimeExecucao)="Global",$I55&gt;0,COUNTIF($AB$13:$AM$13,BM.medicao)&gt;0),O55/$I55*100,0)))</f>
        <v>0</v>
      </c>
      <c r="M55" s="335">
        <f ca="1">IF($A55="S",VTOTALBM,IF($A55=0,0,ROUND(SomaAgrupBM,15-13*ORÇAMENTO!$AF$11)))</f>
        <v>0</v>
      </c>
      <c r="N55" s="336">
        <f t="shared" ca="1" si="4"/>
        <v>0</v>
      </c>
      <c r="O55" s="125">
        <f ca="1">IF($A55="S",VTOTALBM,IF($A55=0,0,ROUND(SomaAgrupBM,15-13*ORÇAMENTO!$AF$11)))</f>
        <v>0</v>
      </c>
      <c r="Q55" s="337"/>
      <c r="R55" s="338"/>
      <c r="T55" s="117" t="str">
        <f t="shared" ca="1" si="5"/>
        <v/>
      </c>
      <c r="U55" s="163" t="str">
        <f t="shared" ca="1" si="6"/>
        <v/>
      </c>
      <c r="V55" s="164" t="str">
        <f ca="1">IF(AND($W55&gt;0,RegimeExecucao="Unitário"),$F55,"")</f>
        <v/>
      </c>
      <c r="W55" s="454">
        <f ca="1">IF($Y55&gt;0,CHOOSE(MATCH(RegimeExecucao,{"Unitário","Global"},0),IF($A55="S",$Y55/$X55,""),($Y55/$X55)*100),0)</f>
        <v>0</v>
      </c>
      <c r="X55" s="339" t="str">
        <f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f ca="1">IF($A55="S",IF(BM!$I55=0,0,CHOOSE(MATCH(RegimeExecucao,{"Global","Unitário"},0),ROUND(ROUND(BM.MEDAcumulado,15-13*BM!$A$9)/100*BM!$I55,15-13*ORÇAMENTO!$AF$11),ROUND(ROUND(BM.MEDAcumulado,15-13*BM!$A$9)*ROUND(BM!$H55,15-13*ORÇAMENTO!$AF$10),15-13*ORÇAMENTO!$AF$11))),IF($A55=0,0,ROUND(SomaAgrupBM,15-13*ORÇAMENTO!$AF$11)))</f>
        <v>0</v>
      </c>
    </row>
    <row r="56" spans="1:41" ht="25.5" x14ac:dyDescent="0.2">
      <c r="A56" t="str">
        <f ca="1">ORÇAMENTO!C56</f>
        <v>S</v>
      </c>
      <c r="B56">
        <f ca="1">ORÇAMENTO!D56</f>
        <v>0</v>
      </c>
      <c r="C56" s="114" t="str">
        <f t="shared" ca="1" si="1"/>
        <v>F</v>
      </c>
      <c r="D56" s="117" t="str">
        <f ca="1">ORÇAMENTO!O56</f>
        <v>1.4.2.0.4.</v>
      </c>
      <c r="E56" s="163" t="str">
        <f t="shared" ca="1" si="2"/>
        <v>ESPALHAMENTO DE MATERIAL COM TRATOR DE ESTEIRAS. AF_09/2024</v>
      </c>
      <c r="F56" s="164" t="str">
        <f ca="1">IF(RegimeExecucao="Global","",ORÇAMENTO.Unidade)</f>
        <v>M3</v>
      </c>
      <c r="G56" s="122">
        <f ca="1">IF(RegimeExecucao="Global","",ORÇAMENTO!T56)</f>
        <v>3086.27</v>
      </c>
      <c r="H56" s="122">
        <f ca="1">IF(RegimeExecucao="Global","",ORÇAMENTO!W56)</f>
        <v>1.84</v>
      </c>
      <c r="I56" s="125">
        <f ca="1">ORÇAMENTO!X56</f>
        <v>5678.74</v>
      </c>
      <c r="J56" s="333" cm="1">
        <f t="array" aca="1" ref="J56" ca="1">_xlfn.SINGLE(IF($A56="S",IF(CAIXA.Modo,BM.AFAnterior,BM.MEDAnterior),IF(AND(_xlfn.SINGLE(RegimeExecucao)="Global",$I56&gt;0,COUNTIF($AB$13:$AM$13,BM.medicao-1)&gt;0),M56/$I56*100,0)))</f>
        <v>0</v>
      </c>
      <c r="K56" s="122">
        <f t="shared" ca="1" si="3"/>
        <v>0</v>
      </c>
      <c r="L56" s="334" cm="1">
        <f t="array" aca="1" ref="L56" ca="1">_xlfn.SINGLE(IF($A56="S",IF(CAIXA.Modo,BM.AFAcumulado,BM.MEDAcumulado),IF(AND(_xlfn.SINGLE(RegimeExecucao)="Global",$I56&gt;0,COUNTIF($AB$13:$AM$13,BM.medicao)&gt;0),O56/$I56*100,0)))</f>
        <v>0</v>
      </c>
      <c r="M56" s="335">
        <f ca="1">IF($A56="S",VTOTALBM,IF($A56=0,0,ROUND(SomaAgrupBM,15-13*ORÇAMENTO!$AF$11)))</f>
        <v>0</v>
      </c>
      <c r="N56" s="336">
        <f t="shared" ca="1" si="4"/>
        <v>0</v>
      </c>
      <c r="O56" s="125">
        <f ca="1">IF($A56="S",VTOTALBM,IF($A56=0,0,ROUND(SomaAgrupBM,15-13*ORÇAMENTO!$AF$11)))</f>
        <v>0</v>
      </c>
      <c r="Q56" s="337"/>
      <c r="R56" s="338"/>
      <c r="T56" s="117" t="str">
        <f t="shared" ca="1" si="5"/>
        <v/>
      </c>
      <c r="U56" s="163" t="str">
        <f t="shared" ca="1" si="6"/>
        <v/>
      </c>
      <c r="V56" s="164" t="str">
        <f ca="1">IF(AND($W56&gt;0,RegimeExecucao="Unitário"),$F56,"")</f>
        <v/>
      </c>
      <c r="W56" s="454">
        <f ca="1">IF($Y56&gt;0,CHOOSE(MATCH(RegimeExecucao,{"Unitário","Global"},0),IF($A56="S",$Y56/$X56,""),($Y56/$X56)*100),0)</f>
        <v>0</v>
      </c>
      <c r="X56" s="339" t="str">
        <f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f ca="1">IF($A56="S",IF(BM!$I56=0,0,CHOOSE(MATCH(RegimeExecucao,{"Global","Unitário"},0),ROUND(ROUND(BM.MEDAcumulado,15-13*BM!$A$9)/100*BM!$I56,15-13*ORÇAMENTO!$AF$11),ROUND(ROUND(BM.MEDAcumulado,15-13*BM!$A$9)*ROUND(BM!$H56,15-13*ORÇAMENTO!$AF$10),15-13*ORÇAMENTO!$AF$11))),IF($A56=0,0,ROUND(SomaAgrupBM,15-13*ORÇAMENTO!$AF$11)))</f>
        <v>0</v>
      </c>
    </row>
    <row r="57" spans="1:41" x14ac:dyDescent="0.2">
      <c r="A57">
        <f ca="1">ORÇAMENTO!C57</f>
        <v>3</v>
      </c>
      <c r="B57">
        <f ca="1">ORÇAMENTO!D57</f>
        <v>2</v>
      </c>
      <c r="C57" s="114" t="str">
        <f t="shared" ca="1" si="1"/>
        <v>F</v>
      </c>
      <c r="D57" s="117" t="str">
        <f ca="1">ORÇAMENTO!O57</f>
        <v>1.4.3.</v>
      </c>
      <c r="E57" s="163" t="str">
        <f t="shared" si="2"/>
        <v>COBERTURA VEGETAL DE TALUDES</v>
      </c>
      <c r="F57" s="164" t="str">
        <f ca="1">IF(RegimeExecucao="Global","",ORÇAMENTO.Unidade)</f>
        <v>-</v>
      </c>
      <c r="G57" s="122">
        <f ca="1">IF(RegimeExecucao="Global","",ORÇAMENTO!T57)</f>
        <v>0</v>
      </c>
      <c r="H57" s="122">
        <f ca="1">IF(RegimeExecucao="Global","",ORÇAMENTO!W57)</f>
        <v>0</v>
      </c>
      <c r="I57" s="125">
        <f ca="1">ORÇAMENTO!X57</f>
        <v>681.27</v>
      </c>
      <c r="J57" s="333" cm="1">
        <f t="array" aca="1" ref="J57" ca="1">_xlfn.SINGLE(IF($A57="S",IF(CAIXA.Modo,BM.AFAnterior,BM.MEDAnterior),IF(AND(_xlfn.SINGLE(RegimeExecucao)="Global",$I57&gt;0,COUNTIF($AB$13:$AM$13,BM.medicao-1)&gt;0),M57/$I57*100,0)))</f>
        <v>0</v>
      </c>
      <c r="K57" s="122">
        <f t="shared" ca="1" si="3"/>
        <v>0</v>
      </c>
      <c r="L57" s="334" cm="1">
        <f t="array" aca="1" ref="L57" ca="1">_xlfn.SINGLE(IF($A57="S",IF(CAIXA.Modo,BM.AFAcumulado,BM.MEDAcumulado),IF(AND(_xlfn.SINGLE(RegimeExecucao)="Global",$I57&gt;0,COUNTIF($AB$13:$AM$13,BM.medicao)&gt;0),O57/$I57*100,0)))</f>
        <v>0</v>
      </c>
      <c r="M57" s="335">
        <f ca="1">IF($A57="S",VTOTALBM,IF($A57=0,0,ROUND(SomaAgrupBM,15-13*ORÇAMENTO!$AF$11)))</f>
        <v>0</v>
      </c>
      <c r="N57" s="336">
        <f t="shared" ca="1" si="4"/>
        <v>0</v>
      </c>
      <c r="O57" s="125">
        <f ca="1">IF($A57="S",VTOTALBM,IF($A57=0,0,ROUND(SomaAgrupBM,15-13*ORÇAMENTO!$AF$11)))</f>
        <v>0</v>
      </c>
      <c r="Q57" s="337"/>
      <c r="R57" s="338"/>
      <c r="T57" s="117" t="str">
        <f t="shared" ca="1" si="5"/>
        <v/>
      </c>
      <c r="U57" s="163" t="str">
        <f t="shared" ca="1" si="6"/>
        <v/>
      </c>
      <c r="V57" s="164" t="str">
        <f ca="1">IF(AND($W57&gt;0,RegimeExecucao="Unitário"),$F57,"")</f>
        <v/>
      </c>
      <c r="W57" s="454">
        <f ca="1">IF($Y57&gt;0,CHOOSE(MATCH(RegimeExecucao,{"Unitário","Global"},0),IF($A57="S",$Y57/$X57,""),($Y57/$X57)*100),0)</f>
        <v>0</v>
      </c>
      <c r="X57" s="339" t="str">
        <f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f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t="str">
        <f ca="1">ORÇAMENTO!C58</f>
        <v>S</v>
      </c>
      <c r="B58">
        <f ca="1">ORÇAMENTO!D58</f>
        <v>0</v>
      </c>
      <c r="C58" s="114" t="str">
        <f t="shared" ca="1" si="1"/>
        <v>F</v>
      </c>
      <c r="D58" s="117" t="str">
        <f ca="1">ORÇAMENTO!O58</f>
        <v>1.4.3.0.1.</v>
      </c>
      <c r="E58" s="163" t="str">
        <f t="shared" ca="1" si="2"/>
        <v>HIDROSSEMEADURA</v>
      </c>
      <c r="F58" s="164" t="str">
        <f ca="1">IF(RegimeExecucao="Global","",ORÇAMENTO.Unidade)</f>
        <v>M2</v>
      </c>
      <c r="G58" s="122">
        <f ca="1">IF(RegimeExecucao="Global","",ORÇAMENTO!T58)</f>
        <v>82.18</v>
      </c>
      <c r="H58" s="122">
        <f ca="1">IF(RegimeExecucao="Global","",ORÇAMENTO!W58)</f>
        <v>8.2899999999999991</v>
      </c>
      <c r="I58" s="125">
        <f ca="1">ORÇAMENTO!X58</f>
        <v>681.27</v>
      </c>
      <c r="J58" s="333" cm="1">
        <f t="array" aca="1" ref="J58" ca="1">_xlfn.SINGLE(IF($A58="S",IF(CAIXA.Modo,BM.AFAnterior,BM.MEDAnterior),IF(AND(_xlfn.SINGLE(RegimeExecucao)="Global",$I58&gt;0,COUNTIF($AB$13:$AM$13,BM.medicao-1)&gt;0),M58/$I58*100,0)))</f>
        <v>0</v>
      </c>
      <c r="K58" s="122">
        <f t="shared" ca="1" si="3"/>
        <v>0</v>
      </c>
      <c r="L58" s="334" cm="1">
        <f t="array" aca="1" ref="L58" ca="1">_xlfn.SINGLE(IF($A58="S",IF(CAIXA.Modo,BM.AFAcumulado,BM.MEDAcumulado),IF(AND(_xlfn.SINGLE(RegimeExecucao)="Global",$I58&gt;0,COUNTIF($AB$13:$AM$13,BM.medicao)&gt;0),O58/$I58*100,0)))</f>
        <v>0</v>
      </c>
      <c r="M58" s="335">
        <f ca="1">IF($A58="S",VTOTALBM,IF($A58=0,0,ROUND(SomaAgrupBM,15-13*ORÇAMENTO!$AF$11)))</f>
        <v>0</v>
      </c>
      <c r="N58" s="336">
        <f t="shared" ca="1" si="4"/>
        <v>0</v>
      </c>
      <c r="O58" s="125">
        <f ca="1">IF($A58="S",VTOTALBM,IF($A58=0,0,ROUND(SomaAgrupBM,15-13*ORÇAMENTO!$AF$11)))</f>
        <v>0</v>
      </c>
      <c r="Q58" s="337"/>
      <c r="R58" s="338"/>
      <c r="T58" s="117" t="str">
        <f t="shared" ca="1" si="5"/>
        <v/>
      </c>
      <c r="U58" s="163" t="str">
        <f t="shared" ca="1" si="6"/>
        <v/>
      </c>
      <c r="V58" s="164" t="str">
        <f ca="1">IF(AND($W58&gt;0,RegimeExecucao="Unitário"),$F58,"")</f>
        <v/>
      </c>
      <c r="W58" s="454">
        <f ca="1">IF($Y58&gt;0,CHOOSE(MATCH(RegimeExecucao,{"Unitário","Global"},0),IF($A58="S",$Y58/$X58,""),($Y58/$X58)*100),0)</f>
        <v>0</v>
      </c>
      <c r="X58" s="339" t="str">
        <f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f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f ca="1">ORÇAMENTO!C59</f>
        <v>2</v>
      </c>
      <c r="B59">
        <f ca="1">ORÇAMENTO!D59</f>
        <v>156</v>
      </c>
      <c r="C59" s="114" t="str">
        <f t="shared" ca="1" si="1"/>
        <v>F</v>
      </c>
      <c r="D59" s="117" t="str">
        <f ca="1">ORÇAMENTO!O59</f>
        <v>1.5.</v>
      </c>
      <c r="E59" s="163" t="str">
        <f t="shared" si="2"/>
        <v>ESTRUTURAS DE CONCRETO</v>
      </c>
      <c r="F59" s="164" t="str">
        <f ca="1">IF(RegimeExecucao="Global","",ORÇAMENTO.Unidade)</f>
        <v>-</v>
      </c>
      <c r="G59" s="122">
        <f ca="1">IF(RegimeExecucao="Global","",ORÇAMENTO!T59)</f>
        <v>0</v>
      </c>
      <c r="H59" s="122">
        <f ca="1">IF(RegimeExecucao="Global","",ORÇAMENTO!W59)</f>
        <v>0</v>
      </c>
      <c r="I59" s="125">
        <f ca="1">ORÇAMENTO!X59</f>
        <v>2346905.9700000002</v>
      </c>
      <c r="J59" s="333" cm="1">
        <f t="array" aca="1" ref="J59" ca="1">_xlfn.SINGLE(IF($A59="S",IF(CAIXA.Modo,BM.AFAnterior,BM.MEDAnterior),IF(AND(_xlfn.SINGLE(RegimeExecucao)="Global",$I59&gt;0,COUNTIF($AB$13:$AM$13,BM.medicao-1)&gt;0),M59/$I59*100,0)))</f>
        <v>0</v>
      </c>
      <c r="K59" s="122">
        <f t="shared" ca="1" si="3"/>
        <v>0</v>
      </c>
      <c r="L59" s="334" cm="1">
        <f t="array" aca="1" ref="L59" ca="1">_xlfn.SINGLE(IF($A59="S",IF(CAIXA.Modo,BM.AFAcumulado,BM.MEDAcumulado),IF(AND(_xlfn.SINGLE(RegimeExecucao)="Global",$I59&gt;0,COUNTIF($AB$13:$AM$13,BM.medicao)&gt;0),O59/$I59*100,0)))</f>
        <v>0</v>
      </c>
      <c r="M59" s="335">
        <f ca="1">IF($A59="S",VTOTALBM,IF($A59=0,0,ROUND(SomaAgrupBM,15-13*ORÇAMENTO!$AF$11)))</f>
        <v>0</v>
      </c>
      <c r="N59" s="336">
        <f t="shared" ca="1" si="4"/>
        <v>0</v>
      </c>
      <c r="O59" s="125">
        <f ca="1">IF($A59="S",VTOTALBM,IF($A59=0,0,ROUND(SomaAgrupBM,15-13*ORÇAMENTO!$AF$11)))</f>
        <v>0</v>
      </c>
      <c r="Q59" s="337"/>
      <c r="R59" s="338"/>
      <c r="T59" s="117" t="str">
        <f t="shared" ca="1" si="5"/>
        <v/>
      </c>
      <c r="U59" s="163" t="str">
        <f t="shared" ca="1" si="6"/>
        <v/>
      </c>
      <c r="V59" s="164" t="str">
        <f ca="1">IF(AND($W59&gt;0,RegimeExecucao="Unitário"),$F59,"")</f>
        <v/>
      </c>
      <c r="W59" s="454">
        <f ca="1">IF($Y59&gt;0,CHOOSE(MATCH(RegimeExecucao,{"Unitário","Global"},0),IF($A59="S",$Y59/$X59,""),($Y59/$X59)*100),0)</f>
        <v>0</v>
      </c>
      <c r="X59" s="339" t="str">
        <f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f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f ca="1">ORÇAMENTO!C60</f>
        <v>3</v>
      </c>
      <c r="B60">
        <f ca="1">ORÇAMENTO!D60</f>
        <v>45</v>
      </c>
      <c r="C60" s="114" t="str">
        <f t="shared" ca="1" si="1"/>
        <v>F</v>
      </c>
      <c r="D60" s="117" t="str">
        <f ca="1">ORÇAMENTO!O60</f>
        <v>1.5.1.</v>
      </c>
      <c r="E60" s="163" t="str">
        <f t="shared" si="2"/>
        <v>FILTRO BIOLÓGICO</v>
      </c>
      <c r="F60" s="164" t="str">
        <f ca="1">IF(RegimeExecucao="Global","",ORÇAMENTO.Unidade)</f>
        <v>-</v>
      </c>
      <c r="G60" s="122">
        <f ca="1">IF(RegimeExecucao="Global","",ORÇAMENTO!T60)</f>
        <v>0</v>
      </c>
      <c r="H60" s="122">
        <f ca="1">IF(RegimeExecucao="Global","",ORÇAMENTO!W60)</f>
        <v>0</v>
      </c>
      <c r="I60" s="125">
        <f ca="1">ORÇAMENTO!X60</f>
        <v>1193998.8500000001</v>
      </c>
      <c r="J60" s="333" cm="1">
        <f t="array" aca="1" ref="J60" ca="1">_xlfn.SINGLE(IF($A60="S",IF(CAIXA.Modo,BM.AFAnterior,BM.MEDAnterior),IF(AND(_xlfn.SINGLE(RegimeExecucao)="Global",$I60&gt;0,COUNTIF($AB$13:$AM$13,BM.medicao-1)&gt;0),M60/$I60*100,0)))</f>
        <v>0</v>
      </c>
      <c r="K60" s="122">
        <f t="shared" ca="1" si="3"/>
        <v>0</v>
      </c>
      <c r="L60" s="334" cm="1">
        <f t="array" aca="1" ref="L60" ca="1">_xlfn.SINGLE(IF($A60="S",IF(CAIXA.Modo,BM.AFAcumulado,BM.MEDAcumulado),IF(AND(_xlfn.SINGLE(RegimeExecucao)="Global",$I60&gt;0,COUNTIF($AB$13:$AM$13,BM.medicao)&gt;0),O60/$I60*100,0)))</f>
        <v>0</v>
      </c>
      <c r="M60" s="335">
        <f ca="1">IF($A60="S",VTOTALBM,IF($A60=0,0,ROUND(SomaAgrupBM,15-13*ORÇAMENTO!$AF$11)))</f>
        <v>0</v>
      </c>
      <c r="N60" s="336">
        <f t="shared" ca="1" si="4"/>
        <v>0</v>
      </c>
      <c r="O60" s="125">
        <f ca="1">IF($A60="S",VTOTALBM,IF($A60=0,0,ROUND(SomaAgrupBM,15-13*ORÇAMENTO!$AF$11)))</f>
        <v>0</v>
      </c>
      <c r="Q60" s="337"/>
      <c r="R60" s="338"/>
      <c r="T60" s="117" t="str">
        <f t="shared" ca="1" si="5"/>
        <v/>
      </c>
      <c r="U60" s="163" t="str">
        <f t="shared" ca="1" si="6"/>
        <v/>
      </c>
      <c r="V60" s="164" t="str">
        <f ca="1">IF(AND($W60&gt;0,RegimeExecucao="Unitário"),$F60,"")</f>
        <v/>
      </c>
      <c r="W60" s="454">
        <f ca="1">IF($Y60&gt;0,CHOOSE(MATCH(RegimeExecucao,{"Unitário","Global"},0),IF($A60="S",$Y60/$X60,""),($Y60/$X60)*100),0)</f>
        <v>0</v>
      </c>
      <c r="X60" s="339" t="str">
        <f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f ca="1">IF($A60="S",IF(BM!$I60=0,0,CHOOSE(MATCH(RegimeExecucao,{"Global","Unitário"},0),ROUND(ROUND(BM.MEDAcumulado,15-13*BM!$A$9)/100*BM!$I60,15-13*ORÇAMENTO!$AF$11),ROUND(ROUND(BM.MEDAcumulado,15-13*BM!$A$9)*ROUND(BM!$H60,15-13*ORÇAMENTO!$AF$10),15-13*ORÇAMENTO!$AF$11))),IF($A60=0,0,ROUND(SomaAgrupBM,15-13*ORÇAMENTO!$AF$11)))</f>
        <v>0</v>
      </c>
    </row>
    <row r="61" spans="1:41" x14ac:dyDescent="0.2">
      <c r="A61">
        <f ca="1">ORÇAMENTO!C61</f>
        <v>4</v>
      </c>
      <c r="B61">
        <f ca="1">ORÇAMENTO!D61</f>
        <v>11</v>
      </c>
      <c r="C61" s="114" t="str">
        <f t="shared" ca="1" si="1"/>
        <v>F</v>
      </c>
      <c r="D61" s="117" t="str">
        <f ca="1">ORÇAMENTO!O61</f>
        <v>1.5.1.1.</v>
      </c>
      <c r="E61" s="163" t="str">
        <f t="shared" si="2"/>
        <v>ESTACAS</v>
      </c>
      <c r="F61" s="164" t="str">
        <f ca="1">IF(RegimeExecucao="Global","",ORÇAMENTO.Unidade)</f>
        <v>-</v>
      </c>
      <c r="G61" s="122">
        <f ca="1">IF(RegimeExecucao="Global","",ORÇAMENTO!T61)</f>
        <v>0</v>
      </c>
      <c r="H61" s="122">
        <f ca="1">IF(RegimeExecucao="Global","",ORÇAMENTO!W61)</f>
        <v>0</v>
      </c>
      <c r="I61" s="125">
        <f ca="1">ORÇAMENTO!X61</f>
        <v>260460.2</v>
      </c>
      <c r="J61" s="333" cm="1">
        <f t="array" aca="1" ref="J61" ca="1">_xlfn.SINGLE(IF($A61="S",IF(CAIXA.Modo,BM.AFAnterior,BM.MEDAnterior),IF(AND(_xlfn.SINGLE(RegimeExecucao)="Global",$I61&gt;0,COUNTIF($AB$13:$AM$13,BM.medicao-1)&gt;0),M61/$I61*100,0)))</f>
        <v>0</v>
      </c>
      <c r="K61" s="122">
        <f t="shared" ca="1" si="3"/>
        <v>0</v>
      </c>
      <c r="L61" s="334" cm="1">
        <f t="array" aca="1" ref="L61" ca="1">_xlfn.SINGLE(IF($A61="S",IF(CAIXA.Modo,BM.AFAcumulado,BM.MEDAcumulado),IF(AND(_xlfn.SINGLE(RegimeExecucao)="Global",$I61&gt;0,COUNTIF($AB$13:$AM$13,BM.medicao)&gt;0),O61/$I61*100,0)))</f>
        <v>0</v>
      </c>
      <c r="M61" s="335">
        <f ca="1">IF($A61="S",VTOTALBM,IF($A61=0,0,ROUND(SomaAgrupBM,15-13*ORÇAMENTO!$AF$11)))</f>
        <v>0</v>
      </c>
      <c r="N61" s="336">
        <f t="shared" ca="1" si="4"/>
        <v>0</v>
      </c>
      <c r="O61" s="125">
        <f ca="1">IF($A61="S",VTOTALBM,IF($A61=0,0,ROUND(SomaAgrupBM,15-13*ORÇAMENTO!$AF$11)))</f>
        <v>0</v>
      </c>
      <c r="Q61" s="337"/>
      <c r="R61" s="338"/>
      <c r="T61" s="117" t="str">
        <f t="shared" ca="1" si="5"/>
        <v/>
      </c>
      <c r="U61" s="163" t="str">
        <f t="shared" ca="1" si="6"/>
        <v/>
      </c>
      <c r="V61" s="164" t="str">
        <f ca="1">IF(AND($W61&gt;0,RegimeExecucao="Unitário"),$F61,"")</f>
        <v/>
      </c>
      <c r="W61" s="454">
        <f ca="1">IF($Y61&gt;0,CHOOSE(MATCH(RegimeExecucao,{"Unitário","Global"},0),IF($A61="S",$Y61/$X61,""),($Y61/$X61)*100),0)</f>
        <v>0</v>
      </c>
      <c r="X61" s="339" t="str">
        <f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f ca="1">IF($A61="S",IF(BM!$I61=0,0,CHOOSE(MATCH(RegimeExecucao,{"Global","Unitário"},0),ROUND(ROUND(BM.MEDAcumulado,15-13*BM!$A$9)/100*BM!$I61,15-13*ORÇAMENTO!$AF$11),ROUND(ROUND(BM.MEDAcumulado,15-13*BM!$A$9)*ROUND(BM!$H61,15-13*ORÇAMENTO!$AF$10),15-13*ORÇAMENTO!$AF$11))),IF($A61=0,0,ROUND(SomaAgrupBM,15-13*ORÇAMENTO!$AF$11)))</f>
        <v>0</v>
      </c>
    </row>
    <row r="62" spans="1:41" ht="25.5" x14ac:dyDescent="0.2">
      <c r="A62" t="str">
        <f ca="1">ORÇAMENTO!C62</f>
        <v>S</v>
      </c>
      <c r="B62">
        <f ca="1">ORÇAMENTO!D62</f>
        <v>0</v>
      </c>
      <c r="C62" s="114" t="str">
        <f t="shared" ca="1" si="1"/>
        <v>F</v>
      </c>
      <c r="D62" s="117" t="str">
        <f ca="1">ORÇAMENTO!O62</f>
        <v>1.5.1.1.1.</v>
      </c>
      <c r="E62" s="163" t="str">
        <f t="shared" ca="1" si="2"/>
        <v>MOBILIZAÇÃO E DESMOBILIZAÇÃO DE EQUIPAMENTO - HÉLICE CONTÍNUA</v>
      </c>
      <c r="F62" s="164" t="str">
        <f ca="1">IF(RegimeExecucao="Global","",ORÇAMENTO.Unidade)</f>
        <v>UN</v>
      </c>
      <c r="G62" s="122">
        <f ca="1">IF(RegimeExecucao="Global","",ORÇAMENTO!T62)</f>
        <v>1</v>
      </c>
      <c r="H62" s="122">
        <f ca="1">IF(RegimeExecucao="Global","",ORÇAMENTO!W62)</f>
        <v>30875</v>
      </c>
      <c r="I62" s="125">
        <f ca="1">ORÇAMENTO!X62</f>
        <v>30875</v>
      </c>
      <c r="J62" s="333" cm="1">
        <f t="array" aca="1" ref="J62" ca="1">_xlfn.SINGLE(IF($A62="S",IF(CAIXA.Modo,BM.AFAnterior,BM.MEDAnterior),IF(AND(_xlfn.SINGLE(RegimeExecucao)="Global",$I62&gt;0,COUNTIF($AB$13:$AM$13,BM.medicao-1)&gt;0),M62/$I62*100,0)))</f>
        <v>0</v>
      </c>
      <c r="K62" s="122">
        <f t="shared" ca="1" si="3"/>
        <v>0</v>
      </c>
      <c r="L62" s="334" cm="1">
        <f t="array" aca="1" ref="L62" ca="1">_xlfn.SINGLE(IF($A62="S",IF(CAIXA.Modo,BM.AFAcumulado,BM.MEDAcumulado),IF(AND(_xlfn.SINGLE(RegimeExecucao)="Global",$I62&gt;0,COUNTIF($AB$13:$AM$13,BM.medicao)&gt;0),O62/$I62*100,0)))</f>
        <v>0</v>
      </c>
      <c r="M62" s="335">
        <f ca="1">IF($A62="S",VTOTALBM,IF($A62=0,0,ROUND(SomaAgrupBM,15-13*ORÇAMENTO!$AF$11)))</f>
        <v>0</v>
      </c>
      <c r="N62" s="336">
        <f t="shared" ca="1" si="4"/>
        <v>0</v>
      </c>
      <c r="O62" s="125">
        <f ca="1">IF($A62="S",VTOTALBM,IF($A62=0,0,ROUND(SomaAgrupBM,15-13*ORÇAMENTO!$AF$11)))</f>
        <v>0</v>
      </c>
      <c r="Q62" s="337"/>
      <c r="R62" s="338"/>
      <c r="T62" s="117" t="str">
        <f t="shared" ca="1" si="5"/>
        <v/>
      </c>
      <c r="U62" s="163" t="str">
        <f t="shared" ca="1" si="6"/>
        <v/>
      </c>
      <c r="V62" s="164" t="str">
        <f ca="1">IF(AND($W62&gt;0,RegimeExecucao="Unitário"),$F62,"")</f>
        <v/>
      </c>
      <c r="W62" s="454">
        <f ca="1">IF($Y62&gt;0,CHOOSE(MATCH(RegimeExecucao,{"Unitário","Global"},0),IF($A62="S",$Y62/$X62,""),($Y62/$X62)*100),0)</f>
        <v>0</v>
      </c>
      <c r="X62" s="339" t="str">
        <f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f ca="1">IF($A62="S",IF(BM!$I62=0,0,CHOOSE(MATCH(RegimeExecucao,{"Global","Unitário"},0),ROUND(ROUND(BM.MEDAcumulado,15-13*BM!$A$9)/100*BM!$I62,15-13*ORÇAMENTO!$AF$11),ROUND(ROUND(BM.MEDAcumulado,15-13*BM!$A$9)*ROUND(BM!$H62,15-13*ORÇAMENTO!$AF$10),15-13*ORÇAMENTO!$AF$11))),IF($A62=0,0,ROUND(SomaAgrupBM,15-13*ORÇAMENTO!$AF$11)))</f>
        <v>0</v>
      </c>
    </row>
    <row r="63" spans="1:41" ht="51" x14ac:dyDescent="0.2">
      <c r="A63" t="str">
        <f ca="1">ORÇAMENTO!C63</f>
        <v>S</v>
      </c>
      <c r="B63">
        <f ca="1">ORÇAMENTO!D63</f>
        <v>0</v>
      </c>
      <c r="C63" s="114" t="str">
        <f t="shared" ca="1" si="1"/>
        <v>F</v>
      </c>
      <c r="D63" s="117" t="str">
        <f ca="1">ORÇAMENTO!O63</f>
        <v>1.5.1.1.2.</v>
      </c>
      <c r="E63" s="163" t="str">
        <f t="shared" ca="1" si="2"/>
        <v>EXECUÇÃO DE ESTACA TIPO HÉLICE CONTÍNUA, DIÂMETRO 60CM, INCLUSIVE AFASTAMENTO LATERAL, EXCLUSIVE ARMAÇÃO, CONCRETO ESTRUTURAL, TRANSPORTE E RETIRADA DO MATERIAL ESCAVADO</v>
      </c>
      <c r="F63" s="164" t="str">
        <f ca="1">IF(RegimeExecucao="Global","",ORÇAMENTO.Unidade)</f>
        <v>M</v>
      </c>
      <c r="G63" s="122">
        <f ca="1">IF(RegimeExecucao="Global","",ORÇAMENTO!T63)</f>
        <v>480</v>
      </c>
      <c r="H63" s="122">
        <f ca="1">IF(RegimeExecucao="Global","",ORÇAMENTO!W63)</f>
        <v>111.5</v>
      </c>
      <c r="I63" s="125">
        <f ca="1">ORÇAMENTO!X63</f>
        <v>53520</v>
      </c>
      <c r="J63" s="333" cm="1">
        <f t="array" aca="1" ref="J63" ca="1">_xlfn.SINGLE(IF($A63="S",IF(CAIXA.Modo,BM.AFAnterior,BM.MEDAnterior),IF(AND(_xlfn.SINGLE(RegimeExecucao)="Global",$I63&gt;0,COUNTIF($AB$13:$AM$13,BM.medicao-1)&gt;0),M63/$I63*100,0)))</f>
        <v>0</v>
      </c>
      <c r="K63" s="122">
        <f t="shared" ca="1" si="3"/>
        <v>0</v>
      </c>
      <c r="L63" s="334" cm="1">
        <f t="array" aca="1" ref="L63" ca="1">_xlfn.SINGLE(IF($A63="S",IF(CAIXA.Modo,BM.AFAcumulado,BM.MEDAcumulado),IF(AND(_xlfn.SINGLE(RegimeExecucao)="Global",$I63&gt;0,COUNTIF($AB$13:$AM$13,BM.medicao)&gt;0),O63/$I63*100,0)))</f>
        <v>0</v>
      </c>
      <c r="M63" s="335">
        <f ca="1">IF($A63="S",VTOTALBM,IF($A63=0,0,ROUND(SomaAgrupBM,15-13*ORÇAMENTO!$AF$11)))</f>
        <v>0</v>
      </c>
      <c r="N63" s="336">
        <f t="shared" ca="1" si="4"/>
        <v>0</v>
      </c>
      <c r="O63" s="125">
        <f ca="1">IF($A63="S",VTOTALBM,IF($A63=0,0,ROUND(SomaAgrupBM,15-13*ORÇAMENTO!$AF$11)))</f>
        <v>0</v>
      </c>
      <c r="Q63" s="337"/>
      <c r="R63" s="338"/>
      <c r="T63" s="117" t="str">
        <f t="shared" ca="1" si="5"/>
        <v/>
      </c>
      <c r="U63" s="163" t="str">
        <f t="shared" ca="1" si="6"/>
        <v/>
      </c>
      <c r="V63" s="164" t="str">
        <f ca="1">IF(AND($W63&gt;0,RegimeExecucao="Unitário"),$F63,"")</f>
        <v/>
      </c>
      <c r="W63" s="454">
        <f ca="1">IF($Y63&gt;0,CHOOSE(MATCH(RegimeExecucao,{"Unitário","Global"},0),IF($A63="S",$Y63/$X63,""),($Y63/$X63)*100),0)</f>
        <v>0</v>
      </c>
      <c r="X63" s="339" t="str">
        <f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f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14" t="str">
        <f t="shared" ca="1" si="1"/>
        <v>F</v>
      </c>
      <c r="D64" s="117" t="str">
        <f ca="1">ORÇAMENTO!O64</f>
        <v>1.5.1.1.3.</v>
      </c>
      <c r="E64" s="163" t="str">
        <f t="shared" ca="1" si="2"/>
        <v>CONCRETO FCK = 40MPA, TRAÇO 1:1,6:1,9 (EM MASSA SECA DE CIMENTO/ AREIA MÉDIA/ BRITA 1) - PREPARO MECÂNICO COM BETONEIRA 600 L. AF_05/2021</v>
      </c>
      <c r="F64" s="164" t="str">
        <f ca="1">IF(RegimeExecucao="Global","",ORÇAMENTO.Unidade)</f>
        <v>M3</v>
      </c>
      <c r="G64" s="122">
        <f ca="1">IF(RegimeExecucao="Global","",ORÇAMENTO!T64)</f>
        <v>137.19</v>
      </c>
      <c r="H64" s="122">
        <f ca="1">IF(RegimeExecucao="Global","",ORÇAMENTO!W64)</f>
        <v>775.96</v>
      </c>
      <c r="I64" s="125">
        <f ca="1">ORÇAMENTO!X64</f>
        <v>106453.95</v>
      </c>
      <c r="J64" s="333" cm="1">
        <f t="array" aca="1" ref="J64" ca="1">_xlfn.SINGLE(IF($A64="S",IF(CAIXA.Modo,BM.AFAnterior,BM.MEDAnterior),IF(AND(_xlfn.SINGLE(RegimeExecucao)="Global",$I64&gt;0,COUNTIF($AB$13:$AM$13,BM.medicao-1)&gt;0),M64/$I64*100,0)))</f>
        <v>0</v>
      </c>
      <c r="K64" s="122">
        <f t="shared" ca="1" si="3"/>
        <v>0</v>
      </c>
      <c r="L64" s="334" cm="1">
        <f t="array" aca="1" ref="L64" ca="1">_xlfn.SINGLE(IF($A64="S",IF(CAIXA.Modo,BM.AFAcumulado,BM.MEDAcumulado),IF(AND(_xlfn.SINGLE(RegimeExecucao)="Global",$I64&gt;0,COUNTIF($AB$13:$AM$13,BM.medicao)&gt;0),O64/$I64*100,0)))</f>
        <v>0</v>
      </c>
      <c r="M64" s="335">
        <f ca="1">IF($A64="S",VTOTALBM,IF($A64=0,0,ROUND(SomaAgrupBM,15-13*ORÇAMENTO!$AF$11)))</f>
        <v>0</v>
      </c>
      <c r="N64" s="336">
        <f t="shared" ca="1" si="4"/>
        <v>0</v>
      </c>
      <c r="O64" s="125">
        <f ca="1">IF($A64="S",VTOTALBM,IF($A64=0,0,ROUND(SomaAgrupBM,15-13*ORÇAMENTO!$AF$11)))</f>
        <v>0</v>
      </c>
      <c r="Q64" s="337"/>
      <c r="R64" s="338"/>
      <c r="T64" s="117" t="str">
        <f t="shared" ca="1" si="5"/>
        <v/>
      </c>
      <c r="U64" s="163" t="str">
        <f t="shared" ca="1" si="6"/>
        <v/>
      </c>
      <c r="V64" s="164" t="str">
        <f ca="1">IF(AND($W64&gt;0,RegimeExecucao="Unitário"),$F64,"")</f>
        <v/>
      </c>
      <c r="W64" s="454">
        <f ca="1">IF($Y64&gt;0,CHOOSE(MATCH(RegimeExecucao,{"Unitário","Global"},0),IF($A64="S",$Y64/$X64,""),($Y64/$X64)*100),0)</f>
        <v>0</v>
      </c>
      <c r="X64" s="339" t="str">
        <f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f ca="1">IF($A64="S",IF(BM!$I64=0,0,CHOOSE(MATCH(RegimeExecucao,{"Global","Unitário"},0),ROUND(ROUND(BM.MEDAcumulado,15-13*BM!$A$9)/100*BM!$I64,15-13*ORÇAMENTO!$AF$11),ROUND(ROUND(BM.MEDAcumulado,15-13*BM!$A$9)*ROUND(BM!$H64,15-13*ORÇAMENTO!$AF$10),15-13*ORÇAMENTO!$AF$11))),IF($A64=0,0,ROUND(SomaAgrupBM,15-13*ORÇAMENTO!$AF$11)))</f>
        <v>0</v>
      </c>
    </row>
    <row r="65" spans="1:41" ht="25.5" x14ac:dyDescent="0.2">
      <c r="A65" t="str">
        <f ca="1">ORÇAMENTO!C65</f>
        <v>S</v>
      </c>
      <c r="B65">
        <f ca="1">ORÇAMENTO!D65</f>
        <v>0</v>
      </c>
      <c r="C65" s="114" t="str">
        <f t="shared" ca="1" si="1"/>
        <v>F</v>
      </c>
      <c r="D65" s="117" t="str">
        <f ca="1">ORÇAMENTO!O65</f>
        <v>1.5.1.1.4.</v>
      </c>
      <c r="E65" s="163" t="str">
        <f t="shared" ca="1" si="2"/>
        <v>LANÇAMENTO COM USO DE BOMBA, ADENSAMENTO E ACABAMENTO DE CONCRETO EM ESTRUTURAS. AF_02/2022</v>
      </c>
      <c r="F65" s="164" t="str">
        <f ca="1">IF(RegimeExecucao="Global","",ORÇAMENTO.Unidade)</f>
        <v>M3</v>
      </c>
      <c r="G65" s="122">
        <f ca="1">IF(RegimeExecucao="Global","",ORÇAMENTO!T65)</f>
        <v>137.19</v>
      </c>
      <c r="H65" s="122">
        <f ca="1">IF(RegimeExecucao="Global","",ORÇAMENTO!W65)</f>
        <v>54.96</v>
      </c>
      <c r="I65" s="125">
        <f ca="1">ORÇAMENTO!X65</f>
        <v>7539.96</v>
      </c>
      <c r="J65" s="333" cm="1">
        <f t="array" aca="1" ref="J65" ca="1">_xlfn.SINGLE(IF($A65="S",IF(CAIXA.Modo,BM.AFAnterior,BM.MEDAnterior),IF(AND(_xlfn.SINGLE(RegimeExecucao)="Global",$I65&gt;0,COUNTIF($AB$13:$AM$13,BM.medicao-1)&gt;0),M65/$I65*100,0)))</f>
        <v>0</v>
      </c>
      <c r="K65" s="122">
        <f t="shared" ca="1" si="3"/>
        <v>0</v>
      </c>
      <c r="L65" s="334" cm="1">
        <f t="array" aca="1" ref="L65" ca="1">_xlfn.SINGLE(IF($A65="S",IF(CAIXA.Modo,BM.AFAcumulado,BM.MEDAcumulado),IF(AND(_xlfn.SINGLE(RegimeExecucao)="Global",$I65&gt;0,COUNTIF($AB$13:$AM$13,BM.medicao)&gt;0),O65/$I65*100,0)))</f>
        <v>0</v>
      </c>
      <c r="M65" s="335">
        <f ca="1">IF($A65="S",VTOTALBM,IF($A65=0,0,ROUND(SomaAgrupBM,15-13*ORÇAMENTO!$AF$11)))</f>
        <v>0</v>
      </c>
      <c r="N65" s="336">
        <f t="shared" ca="1" si="4"/>
        <v>0</v>
      </c>
      <c r="O65" s="125">
        <f ca="1">IF($A65="S",VTOTALBM,IF($A65=0,0,ROUND(SomaAgrupBM,15-13*ORÇAMENTO!$AF$11)))</f>
        <v>0</v>
      </c>
      <c r="Q65" s="337"/>
      <c r="R65" s="338"/>
      <c r="T65" s="117" t="str">
        <f t="shared" ca="1" si="5"/>
        <v/>
      </c>
      <c r="U65" s="163" t="str">
        <f t="shared" ca="1" si="6"/>
        <v/>
      </c>
      <c r="V65" s="164" t="str">
        <f ca="1">IF(AND($W65&gt;0,RegimeExecucao="Unitário"),$F65,"")</f>
        <v/>
      </c>
      <c r="W65" s="454">
        <f ca="1">IF($Y65&gt;0,CHOOSE(MATCH(RegimeExecucao,{"Unitário","Global"},0),IF($A65="S",$Y65/$X65,""),($Y65/$X65)*100),0)</f>
        <v>0</v>
      </c>
      <c r="X65" s="339" t="str">
        <f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f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114" t="str">
        <f t="shared" ca="1" si="1"/>
        <v>F</v>
      </c>
      <c r="D66" s="117" t="str">
        <f ca="1">ORÇAMENTO!O66</f>
        <v>1.5.1.1.5.</v>
      </c>
      <c r="E66" s="163" t="str">
        <f t="shared" ca="1" si="2"/>
        <v>ARMAÇÃO EM AÇO CA-50 - FORNECIMENTO, PREPARO E COLOCAÇÃO</v>
      </c>
      <c r="F66" s="164" t="str">
        <f ca="1">IF(RegimeExecucao="Global","",ORÇAMENTO.Unidade)</f>
        <v>KG</v>
      </c>
      <c r="G66" s="122">
        <f ca="1">IF(RegimeExecucao="Global","",ORÇAMENTO!T66)</f>
        <v>3137.87</v>
      </c>
      <c r="H66" s="122">
        <f ca="1">IF(RegimeExecucao="Global","",ORÇAMENTO!W66)</f>
        <v>14.92</v>
      </c>
      <c r="I66" s="125">
        <f ca="1">ORÇAMENTO!X66</f>
        <v>46817.02</v>
      </c>
      <c r="J66" s="333" cm="1">
        <f t="array" aca="1" ref="J66" ca="1">_xlfn.SINGLE(IF($A66="S",IF(CAIXA.Modo,BM.AFAnterior,BM.MEDAnterior),IF(AND(_xlfn.SINGLE(RegimeExecucao)="Global",$I66&gt;0,COUNTIF($AB$13:$AM$13,BM.medicao-1)&gt;0),M66/$I66*100,0)))</f>
        <v>0</v>
      </c>
      <c r="K66" s="122">
        <f t="shared" ca="1" si="3"/>
        <v>0</v>
      </c>
      <c r="L66" s="334" cm="1">
        <f t="array" aca="1" ref="L66" ca="1">_xlfn.SINGLE(IF($A66="S",IF(CAIXA.Modo,BM.AFAcumulado,BM.MEDAcumulado),IF(AND(_xlfn.SINGLE(RegimeExecucao)="Global",$I66&gt;0,COUNTIF($AB$13:$AM$13,BM.medicao)&gt;0),O66/$I66*100,0)))</f>
        <v>0</v>
      </c>
      <c r="M66" s="335">
        <f ca="1">IF($A66="S",VTOTALBM,IF($A66=0,0,ROUND(SomaAgrupBM,15-13*ORÇAMENTO!$AF$11)))</f>
        <v>0</v>
      </c>
      <c r="N66" s="336">
        <f t="shared" ca="1" si="4"/>
        <v>0</v>
      </c>
      <c r="O66" s="125">
        <f ca="1">IF($A66="S",VTOTALBM,IF($A66=0,0,ROUND(SomaAgrupBM,15-13*ORÇAMENTO!$AF$11)))</f>
        <v>0</v>
      </c>
      <c r="Q66" s="337"/>
      <c r="R66" s="338"/>
      <c r="T66" s="117" t="str">
        <f t="shared" ca="1" si="5"/>
        <v/>
      </c>
      <c r="U66" s="163" t="str">
        <f t="shared" ca="1" si="6"/>
        <v/>
      </c>
      <c r="V66" s="164" t="str">
        <f ca="1">IF(AND($W66&gt;0,RegimeExecucao="Unitário"),$F66,"")</f>
        <v/>
      </c>
      <c r="W66" s="454">
        <f ca="1">IF($Y66&gt;0,CHOOSE(MATCH(RegimeExecucao,{"Unitário","Global"},0),IF($A66="S",$Y66/$X66,""),($Y66/$X66)*100),0)</f>
        <v>0</v>
      </c>
      <c r="X66" s="339" t="str">
        <f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f ca="1">IF($A66="S",IF(BM!$I66=0,0,CHOOSE(MATCH(RegimeExecucao,{"Global","Unitário"},0),ROUND(ROUND(BM.MEDAcumulado,15-13*BM!$A$9)/100*BM!$I66,15-13*ORÇAMENTO!$AF$11),ROUND(ROUND(BM.MEDAcumulado,15-13*BM!$A$9)*ROUND(BM!$H66,15-13*ORÇAMENTO!$AF$10),15-13*ORÇAMENTO!$AF$11))),IF($A66=0,0,ROUND(SomaAgrupBM,15-13*ORÇAMENTO!$AF$11)))</f>
        <v>0</v>
      </c>
    </row>
    <row r="67" spans="1:41" ht="51" x14ac:dyDescent="0.2">
      <c r="A67" t="str">
        <f ca="1">ORÇAMENTO!C67</f>
        <v>S</v>
      </c>
      <c r="B67">
        <f ca="1">ORÇAMENTO!D67</f>
        <v>0</v>
      </c>
      <c r="C67" s="114" t="str">
        <f t="shared" ca="1" si="1"/>
        <v>F</v>
      </c>
      <c r="D67" s="117" t="str">
        <f ca="1">ORÇAMENTO!O67</f>
        <v>1.5.1.1.6.</v>
      </c>
      <c r="E67" s="163" t="str">
        <f t="shared" ca="1" si="2"/>
        <v>CARGA, MANOBRA E DESCARGA DE SOLOS E MATERIAIS GRANULARES EM CAMINHÃO BASCULANTE 18 M³ - CARGA COM ESCAVADEIRA HIDRÁULICA (CAÇAMBA DE 1,20 M³ / 155 HP) E DESCARGA LIVRE (UNIDADE: M3). AF_07/2020</v>
      </c>
      <c r="F67" s="164" t="str">
        <f ca="1">IF(RegimeExecucao="Global","",ORÇAMENTO.Unidade)</f>
        <v>M3</v>
      </c>
      <c r="G67" s="122">
        <f ca="1">IF(RegimeExecucao="Global","",ORÇAMENTO!T67)</f>
        <v>176.43</v>
      </c>
      <c r="H67" s="122">
        <f ca="1">IF(RegimeExecucao="Global","",ORÇAMENTO!W67)</f>
        <v>8.0500000000000007</v>
      </c>
      <c r="I67" s="125">
        <f ca="1">ORÇAMENTO!X67</f>
        <v>1420.26</v>
      </c>
      <c r="J67" s="333" cm="1">
        <f t="array" aca="1" ref="J67" ca="1">_xlfn.SINGLE(IF($A67="S",IF(CAIXA.Modo,BM.AFAnterior,BM.MEDAnterior),IF(AND(_xlfn.SINGLE(RegimeExecucao)="Global",$I67&gt;0,COUNTIF($AB$13:$AM$13,BM.medicao-1)&gt;0),M67/$I67*100,0)))</f>
        <v>0</v>
      </c>
      <c r="K67" s="122">
        <f t="shared" ca="1" si="3"/>
        <v>0</v>
      </c>
      <c r="L67" s="334" cm="1">
        <f t="array" aca="1" ref="L67" ca="1">_xlfn.SINGLE(IF($A67="S",IF(CAIXA.Modo,BM.AFAcumulado,BM.MEDAcumulado),IF(AND(_xlfn.SINGLE(RegimeExecucao)="Global",$I67&gt;0,COUNTIF($AB$13:$AM$13,BM.medicao)&gt;0),O67/$I67*100,0)))</f>
        <v>0</v>
      </c>
      <c r="M67" s="335">
        <f ca="1">IF($A67="S",VTOTALBM,IF($A67=0,0,ROUND(SomaAgrupBM,15-13*ORÇAMENTO!$AF$11)))</f>
        <v>0</v>
      </c>
      <c r="N67" s="336">
        <f t="shared" ca="1" si="4"/>
        <v>0</v>
      </c>
      <c r="O67" s="125">
        <f ca="1">IF($A67="S",VTOTALBM,IF($A67=0,0,ROUND(SomaAgrupBM,15-13*ORÇAMENTO!$AF$11)))</f>
        <v>0</v>
      </c>
      <c r="Q67" s="337"/>
      <c r="R67" s="338"/>
      <c r="T67" s="117" t="str">
        <f t="shared" ca="1" si="5"/>
        <v/>
      </c>
      <c r="U67" s="163" t="str">
        <f t="shared" ca="1" si="6"/>
        <v/>
      </c>
      <c r="V67" s="164" t="str">
        <f ca="1">IF(AND($W67&gt;0,RegimeExecucao="Unitário"),$F67,"")</f>
        <v/>
      </c>
      <c r="W67" s="454">
        <f ca="1">IF($Y67&gt;0,CHOOSE(MATCH(RegimeExecucao,{"Unitário","Global"},0),IF($A67="S",$Y67/$X67,""),($Y67/$X67)*100),0)</f>
        <v>0</v>
      </c>
      <c r="X67" s="339" t="str">
        <f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f ca="1">IF($A67="S",IF(BM!$I67=0,0,CHOOSE(MATCH(RegimeExecucao,{"Global","Unitário"},0),ROUND(ROUND(BM.MEDAcumulado,15-13*BM!$A$9)/100*BM!$I67,15-13*ORÇAMENTO!$AF$11),ROUND(ROUND(BM.MEDAcumulado,15-13*BM!$A$9)*ROUND(BM!$H67,15-13*ORÇAMENTO!$AF$10),15-13*ORÇAMENTO!$AF$11))),IF($A67=0,0,ROUND(SomaAgrupBM,15-13*ORÇAMENTO!$AF$11)))</f>
        <v>0</v>
      </c>
    </row>
    <row r="68" spans="1:41" ht="38.25" x14ac:dyDescent="0.2">
      <c r="A68" t="str">
        <f ca="1">ORÇAMENTO!C68</f>
        <v>S</v>
      </c>
      <c r="B68">
        <f ca="1">ORÇAMENTO!D68</f>
        <v>0</v>
      </c>
      <c r="C68" s="114" t="str">
        <f t="shared" ca="1" si="1"/>
        <v>F</v>
      </c>
      <c r="D68" s="117" t="str">
        <f ca="1">ORÇAMENTO!O68</f>
        <v>1.5.1.1.7.</v>
      </c>
      <c r="E68" s="163" t="str">
        <f t="shared" ca="1" si="2"/>
        <v>TRANSPORTE COM CAMINHÃO BASCULANTE DE 18 M³, EM VIA URBANA PAVIMENTADA, DMT ATÉ 30 KM (UNIDADE: M3XKM). AF_07/2020</v>
      </c>
      <c r="F68" s="164" t="str">
        <f ca="1">IF(RegimeExecucao="Global","",ORÇAMENTO.Unidade)</f>
        <v>M3XKM</v>
      </c>
      <c r="G68" s="122">
        <f ca="1">IF(RegimeExecucao="Global","",ORÇAMENTO!T68)</f>
        <v>1358.51</v>
      </c>
      <c r="H68" s="122">
        <f ca="1">IF(RegimeExecucao="Global","",ORÇAMENTO!W68)</f>
        <v>2.35</v>
      </c>
      <c r="I68" s="125">
        <f ca="1">ORÇAMENTO!X68</f>
        <v>3192.5</v>
      </c>
      <c r="J68" s="333" cm="1">
        <f t="array" aca="1" ref="J68" ca="1">_xlfn.SINGLE(IF($A68="S",IF(CAIXA.Modo,BM.AFAnterior,BM.MEDAnterior),IF(AND(_xlfn.SINGLE(RegimeExecucao)="Global",$I68&gt;0,COUNTIF($AB$13:$AM$13,BM.medicao-1)&gt;0),M68/$I68*100,0)))</f>
        <v>0</v>
      </c>
      <c r="K68" s="122">
        <f t="shared" ca="1" si="3"/>
        <v>0</v>
      </c>
      <c r="L68" s="334" cm="1">
        <f t="array" aca="1" ref="L68" ca="1">_xlfn.SINGLE(IF($A68="S",IF(CAIXA.Modo,BM.AFAcumulado,BM.MEDAcumulado),IF(AND(_xlfn.SINGLE(RegimeExecucao)="Global",$I68&gt;0,COUNTIF($AB$13:$AM$13,BM.medicao)&gt;0),O68/$I68*100,0)))</f>
        <v>0</v>
      </c>
      <c r="M68" s="335">
        <f ca="1">IF($A68="S",VTOTALBM,IF($A68=0,0,ROUND(SomaAgrupBM,15-13*ORÇAMENTO!$AF$11)))</f>
        <v>0</v>
      </c>
      <c r="N68" s="336">
        <f t="shared" ca="1" si="4"/>
        <v>0</v>
      </c>
      <c r="O68" s="125">
        <f ca="1">IF($A68="S",VTOTALBM,IF($A68=0,0,ROUND(SomaAgrupBM,15-13*ORÇAMENTO!$AF$11)))</f>
        <v>0</v>
      </c>
      <c r="Q68" s="337"/>
      <c r="R68" s="338"/>
      <c r="T68" s="117" t="str">
        <f t="shared" ca="1" si="5"/>
        <v/>
      </c>
      <c r="U68" s="163" t="str">
        <f t="shared" ca="1" si="6"/>
        <v/>
      </c>
      <c r="V68" s="164" t="str">
        <f ca="1">IF(AND($W68&gt;0,RegimeExecucao="Unitário"),$F68,"")</f>
        <v/>
      </c>
      <c r="W68" s="454">
        <f ca="1">IF($Y68&gt;0,CHOOSE(MATCH(RegimeExecucao,{"Unitário","Global"},0),IF($A68="S",$Y68/$X68,""),($Y68/$X68)*100),0)</f>
        <v>0</v>
      </c>
      <c r="X68" s="339" t="str">
        <f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f ca="1">IF($A68="S",IF(BM!$I68=0,0,CHOOSE(MATCH(RegimeExecucao,{"Global","Unitário"},0),ROUND(ROUND(BM.MEDAcumulado,15-13*BM!$A$9)/100*BM!$I68,15-13*ORÇAMENTO!$AF$11),ROUND(ROUND(BM.MEDAcumulado,15-13*BM!$A$9)*ROUND(BM!$H68,15-13*ORÇAMENTO!$AF$10),15-13*ORÇAMENTO!$AF$11))),IF($A68=0,0,ROUND(SomaAgrupBM,15-13*ORÇAMENTO!$AF$11)))</f>
        <v>0</v>
      </c>
    </row>
    <row r="69" spans="1:41" ht="25.5" x14ac:dyDescent="0.2">
      <c r="A69" t="str">
        <f ca="1">ORÇAMENTO!C69</f>
        <v>S</v>
      </c>
      <c r="B69">
        <f ca="1">ORÇAMENTO!D69</f>
        <v>0</v>
      </c>
      <c r="C69" s="114" t="str">
        <f t="shared" ca="1" si="1"/>
        <v>F</v>
      </c>
      <c r="D69" s="117" t="str">
        <f ca="1">ORÇAMENTO!O69</f>
        <v>1.5.1.1.8.</v>
      </c>
      <c r="E69" s="163" t="str">
        <f t="shared" ca="1" si="2"/>
        <v>ESPALHAMENTO DE MATERIAL COM TRATOR DE ESTEIRAS. AF_09/2024</v>
      </c>
      <c r="F69" s="164" t="str">
        <f ca="1">IF(RegimeExecucao="Global","",ORÇAMENTO.Unidade)</f>
        <v>M3</v>
      </c>
      <c r="G69" s="122">
        <f ca="1">IF(RegimeExecucao="Global","",ORÇAMENTO!T69)</f>
        <v>176.43</v>
      </c>
      <c r="H69" s="122">
        <f ca="1">IF(RegimeExecucao="Global","",ORÇAMENTO!W69)</f>
        <v>1.84</v>
      </c>
      <c r="I69" s="125">
        <f ca="1">ORÇAMENTO!X69</f>
        <v>324.63</v>
      </c>
      <c r="J69" s="333" cm="1">
        <f t="array" aca="1" ref="J69" ca="1">_xlfn.SINGLE(IF($A69="S",IF(CAIXA.Modo,BM.AFAnterior,BM.MEDAnterior),IF(AND(_xlfn.SINGLE(RegimeExecucao)="Global",$I69&gt;0,COUNTIF($AB$13:$AM$13,BM.medicao-1)&gt;0),M69/$I69*100,0)))</f>
        <v>0</v>
      </c>
      <c r="K69" s="122">
        <f t="shared" ca="1" si="3"/>
        <v>0</v>
      </c>
      <c r="L69" s="334" cm="1">
        <f t="array" aca="1" ref="L69" ca="1">_xlfn.SINGLE(IF($A69="S",IF(CAIXA.Modo,BM.AFAcumulado,BM.MEDAcumulado),IF(AND(_xlfn.SINGLE(RegimeExecucao)="Global",$I69&gt;0,COUNTIF($AB$13:$AM$13,BM.medicao)&gt;0),O69/$I69*100,0)))</f>
        <v>0</v>
      </c>
      <c r="M69" s="335">
        <f ca="1">IF($A69="S",VTOTALBM,IF($A69=0,0,ROUND(SomaAgrupBM,15-13*ORÇAMENTO!$AF$11)))</f>
        <v>0</v>
      </c>
      <c r="N69" s="336">
        <f t="shared" ca="1" si="4"/>
        <v>0</v>
      </c>
      <c r="O69" s="125">
        <f ca="1">IF($A69="S",VTOTALBM,IF($A69=0,0,ROUND(SomaAgrupBM,15-13*ORÇAMENTO!$AF$11)))</f>
        <v>0</v>
      </c>
      <c r="Q69" s="337"/>
      <c r="R69" s="338"/>
      <c r="T69" s="117" t="str">
        <f t="shared" ca="1" si="5"/>
        <v/>
      </c>
      <c r="U69" s="163" t="str">
        <f t="shared" ca="1" si="6"/>
        <v/>
      </c>
      <c r="V69" s="164" t="str">
        <f ca="1">IF(AND($W69&gt;0,RegimeExecucao="Unitário"),$F69,"")</f>
        <v/>
      </c>
      <c r="W69" s="454">
        <f ca="1">IF($Y69&gt;0,CHOOSE(MATCH(RegimeExecucao,{"Unitário","Global"},0),IF($A69="S",$Y69/$X69,""),($Y69/$X69)*100),0)</f>
        <v>0</v>
      </c>
      <c r="X69" s="339" t="str">
        <f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f ca="1">IF($A69="S",IF(BM!$I69=0,0,CHOOSE(MATCH(RegimeExecucao,{"Global","Unitário"},0),ROUND(ROUND(BM.MEDAcumulado,15-13*BM!$A$9)/100*BM!$I69,15-13*ORÇAMENTO!$AF$11),ROUND(ROUND(BM.MEDAcumulado,15-13*BM!$A$9)*ROUND(BM!$H69,15-13*ORÇAMENTO!$AF$10),15-13*ORÇAMENTO!$AF$11))),IF($A69=0,0,ROUND(SomaAgrupBM,15-13*ORÇAMENTO!$AF$11)))</f>
        <v>0</v>
      </c>
    </row>
    <row r="70" spans="1:41" ht="25.5" x14ac:dyDescent="0.2">
      <c r="A70" t="str">
        <f ca="1">ORÇAMENTO!C70</f>
        <v>S</v>
      </c>
      <c r="B70">
        <f ca="1">ORÇAMENTO!D70</f>
        <v>0</v>
      </c>
      <c r="C70" s="114" t="str">
        <f t="shared" ca="1" si="1"/>
        <v>F</v>
      </c>
      <c r="D70" s="117" t="str">
        <f ca="1">ORÇAMENTO!O70</f>
        <v>1.5.1.1.9.</v>
      </c>
      <c r="E70" s="163" t="str">
        <f t="shared" ca="1" si="2"/>
        <v>ARRASAMENTO MECANICO DE ESTACA DE CONCRETO ARMADO, DIAMETROS DE 41 CM A 60 CM. AF_05/2021</v>
      </c>
      <c r="F70" s="164" t="str">
        <f ca="1">IF(RegimeExecucao="Global","",ORÇAMENTO.Unidade)</f>
        <v>UN</v>
      </c>
      <c r="G70" s="122">
        <f ca="1">IF(RegimeExecucao="Global","",ORÇAMENTO!T70)</f>
        <v>48</v>
      </c>
      <c r="H70" s="122">
        <f ca="1">IF(RegimeExecucao="Global","",ORÇAMENTO!W70)</f>
        <v>37.03</v>
      </c>
      <c r="I70" s="125">
        <f ca="1">ORÇAMENTO!X70</f>
        <v>1777.44</v>
      </c>
      <c r="J70" s="333" cm="1">
        <f t="array" aca="1" ref="J70" ca="1">_xlfn.SINGLE(IF($A70="S",IF(CAIXA.Modo,BM.AFAnterior,BM.MEDAnterior),IF(AND(_xlfn.SINGLE(RegimeExecucao)="Global",$I70&gt;0,COUNTIF($AB$13:$AM$13,BM.medicao-1)&gt;0),M70/$I70*100,0)))</f>
        <v>0</v>
      </c>
      <c r="K70" s="122">
        <f t="shared" ca="1" si="3"/>
        <v>0</v>
      </c>
      <c r="L70" s="334" cm="1">
        <f t="array" aca="1" ref="L70" ca="1">_xlfn.SINGLE(IF($A70="S",IF(CAIXA.Modo,BM.AFAcumulado,BM.MEDAcumulado),IF(AND(_xlfn.SINGLE(RegimeExecucao)="Global",$I70&gt;0,COUNTIF($AB$13:$AM$13,BM.medicao)&gt;0),O70/$I70*100,0)))</f>
        <v>0</v>
      </c>
      <c r="M70" s="335">
        <f ca="1">IF($A70="S",VTOTALBM,IF($A70=0,0,ROUND(SomaAgrupBM,15-13*ORÇAMENTO!$AF$11)))</f>
        <v>0</v>
      </c>
      <c r="N70" s="336">
        <f t="shared" ca="1" si="4"/>
        <v>0</v>
      </c>
      <c r="O70" s="125">
        <f ca="1">IF($A70="S",VTOTALBM,IF($A70=0,0,ROUND(SomaAgrupBM,15-13*ORÇAMENTO!$AF$11)))</f>
        <v>0</v>
      </c>
      <c r="Q70" s="337"/>
      <c r="R70" s="338"/>
      <c r="T70" s="117" t="str">
        <f t="shared" ca="1" si="5"/>
        <v/>
      </c>
      <c r="U70" s="163" t="str">
        <f t="shared" ca="1" si="6"/>
        <v/>
      </c>
      <c r="V70" s="164" t="str">
        <f ca="1">IF(AND($W70&gt;0,RegimeExecucao="Unitário"),$F70,"")</f>
        <v/>
      </c>
      <c r="W70" s="454">
        <f ca="1">IF($Y70&gt;0,CHOOSE(MATCH(RegimeExecucao,{"Unitário","Global"},0),IF($A70="S",$Y70/$X70,""),($Y70/$X70)*100),0)</f>
        <v>0</v>
      </c>
      <c r="X70" s="339" t="str">
        <f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f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t="str">
        <f ca="1">ORÇAMENTO!C71</f>
        <v>S</v>
      </c>
      <c r="B71">
        <f ca="1">ORÇAMENTO!D71</f>
        <v>0</v>
      </c>
      <c r="C71" s="114" t="str">
        <f t="shared" ca="1" si="1"/>
        <v>F</v>
      </c>
      <c r="D71" s="117" t="str">
        <f ca="1">ORÇAMENTO!O71</f>
        <v>1.5.1.1.10.</v>
      </c>
      <c r="E71" s="163" t="str">
        <f t="shared" ca="1" si="2"/>
        <v>ENSAIO DE RESISTENCIA A COMPRESSAO SIMPLES - CONCRETO</v>
      </c>
      <c r="F71" s="164" t="str">
        <f ca="1">IF(RegimeExecucao="Global","",ORÇAMENTO.Unidade)</f>
        <v>UN</v>
      </c>
      <c r="G71" s="122">
        <f ca="1">IF(RegimeExecucao="Global","",ORÇAMENTO!T71)</f>
        <v>69</v>
      </c>
      <c r="H71" s="122">
        <f ca="1">IF(RegimeExecucao="Global","",ORÇAMENTO!W71)</f>
        <v>123.76</v>
      </c>
      <c r="I71" s="125">
        <f ca="1">ORÇAMENTO!X71</f>
        <v>8539.44</v>
      </c>
      <c r="J71" s="333" cm="1">
        <f t="array" aca="1" ref="J71" ca="1">_xlfn.SINGLE(IF($A71="S",IF(CAIXA.Modo,BM.AFAnterior,BM.MEDAnterior),IF(AND(_xlfn.SINGLE(RegimeExecucao)="Global",$I71&gt;0,COUNTIF($AB$13:$AM$13,BM.medicao-1)&gt;0),M71/$I71*100,0)))</f>
        <v>0</v>
      </c>
      <c r="K71" s="122">
        <f t="shared" ca="1" si="3"/>
        <v>0</v>
      </c>
      <c r="L71" s="334" cm="1">
        <f t="array" aca="1" ref="L71" ca="1">_xlfn.SINGLE(IF($A71="S",IF(CAIXA.Modo,BM.AFAcumulado,BM.MEDAcumulado),IF(AND(_xlfn.SINGLE(RegimeExecucao)="Global",$I71&gt;0,COUNTIF($AB$13:$AM$13,BM.medicao)&gt;0),O71/$I71*100,0)))</f>
        <v>0</v>
      </c>
      <c r="M71" s="335">
        <f ca="1">IF($A71="S",VTOTALBM,IF($A71=0,0,ROUND(SomaAgrupBM,15-13*ORÇAMENTO!$AF$11)))</f>
        <v>0</v>
      </c>
      <c r="N71" s="336">
        <f t="shared" ca="1" si="4"/>
        <v>0</v>
      </c>
      <c r="O71" s="125">
        <f ca="1">IF($A71="S",VTOTALBM,IF($A71=0,0,ROUND(SomaAgrupBM,15-13*ORÇAMENTO!$AF$11)))</f>
        <v>0</v>
      </c>
      <c r="Q71" s="337"/>
      <c r="R71" s="338"/>
      <c r="T71" s="117" t="str">
        <f t="shared" ca="1" si="5"/>
        <v/>
      </c>
      <c r="U71" s="163" t="str">
        <f t="shared" ca="1" si="6"/>
        <v/>
      </c>
      <c r="V71" s="164" t="str">
        <f ca="1">IF(AND($W71&gt;0,RegimeExecucao="Unitário"),$F71,"")</f>
        <v/>
      </c>
      <c r="W71" s="454">
        <f ca="1">IF($Y71&gt;0,CHOOSE(MATCH(RegimeExecucao,{"Unitário","Global"},0),IF($A71="S",$Y71/$X71,""),($Y71/$X71)*100),0)</f>
        <v>0</v>
      </c>
      <c r="X71" s="339" t="str">
        <f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f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f ca="1">ORÇAMENTO!C72</f>
        <v>4</v>
      </c>
      <c r="B72">
        <f ca="1">ORÇAMENTO!D72</f>
        <v>15</v>
      </c>
      <c r="C72" s="114" t="str">
        <f t="shared" ca="1" si="1"/>
        <v>F</v>
      </c>
      <c r="D72" s="117" t="str">
        <f ca="1">ORÇAMENTO!O72</f>
        <v>1.5.1.2.</v>
      </c>
      <c r="E72" s="163" t="str">
        <f t="shared" si="2"/>
        <v>BALDRAME ESCADA</v>
      </c>
      <c r="F72" s="164" t="str">
        <f ca="1">IF(RegimeExecucao="Global","",ORÇAMENTO.Unidade)</f>
        <v>-</v>
      </c>
      <c r="G72" s="122">
        <f ca="1">IF(RegimeExecucao="Global","",ORÇAMENTO!T72)</f>
        <v>0</v>
      </c>
      <c r="H72" s="122">
        <f ca="1">IF(RegimeExecucao="Global","",ORÇAMENTO!W72)</f>
        <v>0</v>
      </c>
      <c r="I72" s="125">
        <f ca="1">ORÇAMENTO!X72</f>
        <v>2399.19</v>
      </c>
      <c r="J72" s="333" cm="1">
        <f t="array" aca="1" ref="J72" ca="1">_xlfn.SINGLE(IF($A72="S",IF(CAIXA.Modo,BM.AFAnterior,BM.MEDAnterior),IF(AND(_xlfn.SINGLE(RegimeExecucao)="Global",$I72&gt;0,COUNTIF($AB$13:$AM$13,BM.medicao-1)&gt;0),M72/$I72*100,0)))</f>
        <v>0</v>
      </c>
      <c r="K72" s="122">
        <f t="shared" ca="1" si="3"/>
        <v>0</v>
      </c>
      <c r="L72" s="334" cm="1">
        <f t="array" aca="1" ref="L72" ca="1">_xlfn.SINGLE(IF($A72="S",IF(CAIXA.Modo,BM.AFAcumulado,BM.MEDAcumulado),IF(AND(_xlfn.SINGLE(RegimeExecucao)="Global",$I72&gt;0,COUNTIF($AB$13:$AM$13,BM.medicao)&gt;0),O72/$I72*100,0)))</f>
        <v>0</v>
      </c>
      <c r="M72" s="335">
        <f ca="1">IF($A72="S",VTOTALBM,IF($A72=0,0,ROUND(SomaAgrupBM,15-13*ORÇAMENTO!$AF$11)))</f>
        <v>0</v>
      </c>
      <c r="N72" s="336">
        <f t="shared" ca="1" si="4"/>
        <v>0</v>
      </c>
      <c r="O72" s="125">
        <f ca="1">IF($A72="S",VTOTALBM,IF($A72=0,0,ROUND(SomaAgrupBM,15-13*ORÇAMENTO!$AF$11)))</f>
        <v>0</v>
      </c>
      <c r="Q72" s="337"/>
      <c r="R72" s="338"/>
      <c r="T72" s="117" t="str">
        <f t="shared" ca="1" si="5"/>
        <v/>
      </c>
      <c r="U72" s="163" t="str">
        <f t="shared" ca="1" si="6"/>
        <v/>
      </c>
      <c r="V72" s="164" t="str">
        <f ca="1">IF(AND($W72&gt;0,RegimeExecucao="Unitário"),$F72,"")</f>
        <v/>
      </c>
      <c r="W72" s="454">
        <f ca="1">IF($Y72&gt;0,CHOOSE(MATCH(RegimeExecucao,{"Unitário","Global"},0),IF($A72="S",$Y72/$X72,""),($Y72/$X72)*100),0)</f>
        <v>0</v>
      </c>
      <c r="X72" s="339" t="str">
        <f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f ca="1">IF($A72="S",IF(BM!$I72=0,0,CHOOSE(MATCH(RegimeExecucao,{"Global","Unitário"},0),ROUND(ROUND(BM.MEDAcumulado,15-13*BM!$A$9)/100*BM!$I72,15-13*ORÇAMENTO!$AF$11),ROUND(ROUND(BM.MEDAcumulado,15-13*BM!$A$9)*ROUND(BM!$H72,15-13*ORÇAMENTO!$AF$10),15-13*ORÇAMENTO!$AF$11))),IF($A72=0,0,ROUND(SomaAgrupBM,15-13*ORÇAMENTO!$AF$11)))</f>
        <v>0</v>
      </c>
    </row>
    <row r="73" spans="1:41" ht="38.25" x14ac:dyDescent="0.2">
      <c r="A73" t="str">
        <f ca="1">ORÇAMENTO!C73</f>
        <v>S</v>
      </c>
      <c r="B73">
        <f ca="1">ORÇAMENTO!D73</f>
        <v>0</v>
      </c>
      <c r="C73" s="114" t="str">
        <f t="shared" ca="1" si="1"/>
        <v>F</v>
      </c>
      <c r="D73" s="117" t="str">
        <f ca="1">ORÇAMENTO!O73</f>
        <v>1.5.1.2.1.</v>
      </c>
      <c r="E73" s="163" t="str">
        <f t="shared" ca="1" si="2"/>
        <v>ESCAVAÇÃO MANUAL PARA VIGA BALDRAME OU SAPATA CORRIDA (INCLUINDO ESCAVAÇÃO PARA COLOCAÇÃO DE FÔRMAS). AF_01/2024</v>
      </c>
      <c r="F73" s="164" t="str">
        <f ca="1">IF(RegimeExecucao="Global","",ORÇAMENTO.Unidade)</f>
        <v>M3</v>
      </c>
      <c r="G73" s="122">
        <f ca="1">IF(RegimeExecucao="Global","",ORÇAMENTO!T73)</f>
        <v>5.91</v>
      </c>
      <c r="H73" s="122">
        <f ca="1">IF(RegimeExecucao="Global","",ORÇAMENTO!W73)</f>
        <v>136.96</v>
      </c>
      <c r="I73" s="125">
        <f ca="1">ORÇAMENTO!X73</f>
        <v>809.43</v>
      </c>
      <c r="J73" s="333" cm="1">
        <f t="array" aca="1" ref="J73" ca="1">_xlfn.SINGLE(IF($A73="S",IF(CAIXA.Modo,BM.AFAnterior,BM.MEDAnterior),IF(AND(_xlfn.SINGLE(RegimeExecucao)="Global",$I73&gt;0,COUNTIF($AB$13:$AM$13,BM.medicao-1)&gt;0),M73/$I73*100,0)))</f>
        <v>0</v>
      </c>
      <c r="K73" s="122">
        <f t="shared" ca="1" si="3"/>
        <v>0</v>
      </c>
      <c r="L73" s="334" cm="1">
        <f t="array" aca="1" ref="L73" ca="1">_xlfn.SINGLE(IF($A73="S",IF(CAIXA.Modo,BM.AFAcumulado,BM.MEDAcumulado),IF(AND(_xlfn.SINGLE(RegimeExecucao)="Global",$I73&gt;0,COUNTIF($AB$13:$AM$13,BM.medicao)&gt;0),O73/$I73*100,0)))</f>
        <v>0</v>
      </c>
      <c r="M73" s="335">
        <f ca="1">IF($A73="S",VTOTALBM,IF($A73=0,0,ROUND(SomaAgrupBM,15-13*ORÇAMENTO!$AF$11)))</f>
        <v>0</v>
      </c>
      <c r="N73" s="336">
        <f t="shared" ca="1" si="4"/>
        <v>0</v>
      </c>
      <c r="O73" s="125">
        <f ca="1">IF($A73="S",VTOTALBM,IF($A73=0,0,ROUND(SomaAgrupBM,15-13*ORÇAMENTO!$AF$11)))</f>
        <v>0</v>
      </c>
      <c r="Q73" s="337"/>
      <c r="R73" s="338"/>
      <c r="T73" s="117" t="str">
        <f t="shared" ca="1" si="5"/>
        <v/>
      </c>
      <c r="U73" s="163" t="str">
        <f t="shared" ca="1" si="6"/>
        <v/>
      </c>
      <c r="V73" s="164" t="str">
        <f ca="1">IF(AND($W73&gt;0,RegimeExecucao="Unitário"),$F73,"")</f>
        <v/>
      </c>
      <c r="W73" s="454">
        <f ca="1">IF($Y73&gt;0,CHOOSE(MATCH(RegimeExecucao,{"Unitário","Global"},0),IF($A73="S",$Y73/$X73,""),($Y73/$X73)*100),0)</f>
        <v>0</v>
      </c>
      <c r="X73" s="339" t="str">
        <f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f ca="1">IF($A73="S",IF(BM!$I73=0,0,CHOOSE(MATCH(RegimeExecucao,{"Global","Unitário"},0),ROUND(ROUND(BM.MEDAcumulado,15-13*BM!$A$9)/100*BM!$I73,15-13*ORÇAMENTO!$AF$11),ROUND(ROUND(BM.MEDAcumulado,15-13*BM!$A$9)*ROUND(BM!$H73,15-13*ORÇAMENTO!$AF$10),15-13*ORÇAMENTO!$AF$11))),IF($A73=0,0,ROUND(SomaAgrupBM,15-13*ORÇAMENTO!$AF$11)))</f>
        <v>0</v>
      </c>
    </row>
    <row r="74" spans="1:41" ht="25.5" x14ac:dyDescent="0.2">
      <c r="A74" t="str">
        <f ca="1">ORÇAMENTO!C74</f>
        <v>S</v>
      </c>
      <c r="B74">
        <f ca="1">ORÇAMENTO!D74</f>
        <v>0</v>
      </c>
      <c r="C74" s="114" t="str">
        <f t="shared" ca="1" si="1"/>
        <v>F</v>
      </c>
      <c r="D74" s="117" t="str">
        <f ca="1">ORÇAMENTO!O74</f>
        <v>1.5.1.2.2.</v>
      </c>
      <c r="E74" s="163" t="str">
        <f t="shared" ca="1" si="2"/>
        <v>PREPARO DE FUNDO DE VALA COM LARGURA MENOR QUE 1,5 M (ACERTO DO SOLO NATURAL). AF_08/2020</v>
      </c>
      <c r="F74" s="164" t="str">
        <f ca="1">IF(RegimeExecucao="Global","",ORÇAMENTO.Unidade)</f>
        <v>M2</v>
      </c>
      <c r="G74" s="122">
        <f ca="1">IF(RegimeExecucao="Global","",ORÇAMENTO!T74)</f>
        <v>4.7300000000000004</v>
      </c>
      <c r="H74" s="122">
        <f ca="1">IF(RegimeExecucao="Global","",ORÇAMENTO!W74)</f>
        <v>8.56</v>
      </c>
      <c r="I74" s="125">
        <f ca="1">ORÇAMENTO!X74</f>
        <v>40.49</v>
      </c>
      <c r="J74" s="333" cm="1">
        <f t="array" aca="1" ref="J74" ca="1">_xlfn.SINGLE(IF($A74="S",IF(CAIXA.Modo,BM.AFAnterior,BM.MEDAnterior),IF(AND(_xlfn.SINGLE(RegimeExecucao)="Global",$I74&gt;0,COUNTIF($AB$13:$AM$13,BM.medicao-1)&gt;0),M74/$I74*100,0)))</f>
        <v>0</v>
      </c>
      <c r="K74" s="122">
        <f t="shared" ca="1" si="3"/>
        <v>0</v>
      </c>
      <c r="L74" s="334" cm="1">
        <f t="array" aca="1" ref="L74" ca="1">_xlfn.SINGLE(IF($A74="S",IF(CAIXA.Modo,BM.AFAcumulado,BM.MEDAcumulado),IF(AND(_xlfn.SINGLE(RegimeExecucao)="Global",$I74&gt;0,COUNTIF($AB$13:$AM$13,BM.medicao)&gt;0),O74/$I74*100,0)))</f>
        <v>0</v>
      </c>
      <c r="M74" s="335">
        <f ca="1">IF($A74="S",VTOTALBM,IF($A74=0,0,ROUND(SomaAgrupBM,15-13*ORÇAMENTO!$AF$11)))</f>
        <v>0</v>
      </c>
      <c r="N74" s="336">
        <f t="shared" ca="1" si="4"/>
        <v>0</v>
      </c>
      <c r="O74" s="125">
        <f ca="1">IF($A74="S",VTOTALBM,IF($A74=0,0,ROUND(SomaAgrupBM,15-13*ORÇAMENTO!$AF$11)))</f>
        <v>0</v>
      </c>
      <c r="Q74" s="337"/>
      <c r="R74" s="338"/>
      <c r="T74" s="117" t="str">
        <f t="shared" ca="1" si="5"/>
        <v/>
      </c>
      <c r="U74" s="163" t="str">
        <f t="shared" ca="1" si="6"/>
        <v/>
      </c>
      <c r="V74" s="164" t="str">
        <f ca="1">IF(AND($W74&gt;0,RegimeExecucao="Unitário"),$F74,"")</f>
        <v/>
      </c>
      <c r="W74" s="454">
        <f ca="1">IF($Y74&gt;0,CHOOSE(MATCH(RegimeExecucao,{"Unitário","Global"},0),IF($A74="S",$Y74/$X74,""),($Y74/$X74)*100),0)</f>
        <v>0</v>
      </c>
      <c r="X74" s="339" t="str">
        <f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f ca="1">IF($A74="S",IF(BM!$I74=0,0,CHOOSE(MATCH(RegimeExecucao,{"Global","Unitário"},0),ROUND(ROUND(BM.MEDAcumulado,15-13*BM!$A$9)/100*BM!$I74,15-13*ORÇAMENTO!$AF$11),ROUND(ROUND(BM.MEDAcumulado,15-13*BM!$A$9)*ROUND(BM!$H74,15-13*ORÇAMENTO!$AF$10),15-13*ORÇAMENTO!$AF$11))),IF($A74=0,0,ROUND(SomaAgrupBM,15-13*ORÇAMENTO!$AF$11)))</f>
        <v>0</v>
      </c>
    </row>
    <row r="75" spans="1:41" ht="25.5" x14ac:dyDescent="0.2">
      <c r="A75" t="str">
        <f ca="1">ORÇAMENTO!C75</f>
        <v>S</v>
      </c>
      <c r="B75">
        <f ca="1">ORÇAMENTO!D75</f>
        <v>0</v>
      </c>
      <c r="C75" s="114" t="str">
        <f t="shared" ca="1" si="1"/>
        <v>F</v>
      </c>
      <c r="D75" s="117" t="str">
        <f ca="1">ORÇAMENTO!O75</f>
        <v>1.5.1.2.3.</v>
      </c>
      <c r="E75" s="163" t="str">
        <f t="shared" ca="1" si="2"/>
        <v>FÔRMAS DE COMPENSADO RESINADO 10 MM - USO GERAL - UTILIZAÇÃO DE 3 VEZES - CONFECÇÃO, INSTALAÇÃO E RETIRADA</v>
      </c>
      <c r="F75" s="164" t="str">
        <f ca="1">IF(RegimeExecucao="Global","",ORÇAMENTO.Unidade)</f>
        <v>M2</v>
      </c>
      <c r="G75" s="122">
        <f ca="1">IF(RegimeExecucao="Global","",ORÇAMENTO!T75)</f>
        <v>2.96</v>
      </c>
      <c r="H75" s="122">
        <f ca="1">IF(RegimeExecucao="Global","",ORÇAMENTO!W75)</f>
        <v>88.5</v>
      </c>
      <c r="I75" s="125">
        <f ca="1">ORÇAMENTO!X75</f>
        <v>261.95999999999998</v>
      </c>
      <c r="J75" s="333" cm="1">
        <f t="array" aca="1" ref="J75" ca="1">_xlfn.SINGLE(IF($A75="S",IF(CAIXA.Modo,BM.AFAnterior,BM.MEDAnterior),IF(AND(_xlfn.SINGLE(RegimeExecucao)="Global",$I75&gt;0,COUNTIF($AB$13:$AM$13,BM.medicao-1)&gt;0),M75/$I75*100,0)))</f>
        <v>0</v>
      </c>
      <c r="K75" s="122">
        <f t="shared" ca="1" si="3"/>
        <v>0</v>
      </c>
      <c r="L75" s="334" cm="1">
        <f t="array" aca="1" ref="L75" ca="1">_xlfn.SINGLE(IF($A75="S",IF(CAIXA.Modo,BM.AFAcumulado,BM.MEDAcumulado),IF(AND(_xlfn.SINGLE(RegimeExecucao)="Global",$I75&gt;0,COUNTIF($AB$13:$AM$13,BM.medicao)&gt;0),O75/$I75*100,0)))</f>
        <v>0</v>
      </c>
      <c r="M75" s="335">
        <f ca="1">IF($A75="S",VTOTALBM,IF($A75=0,0,ROUND(SomaAgrupBM,15-13*ORÇAMENTO!$AF$11)))</f>
        <v>0</v>
      </c>
      <c r="N75" s="336">
        <f t="shared" ca="1" si="4"/>
        <v>0</v>
      </c>
      <c r="O75" s="125">
        <f ca="1">IF($A75="S",VTOTALBM,IF($A75=0,0,ROUND(SomaAgrupBM,15-13*ORÇAMENTO!$AF$11)))</f>
        <v>0</v>
      </c>
      <c r="Q75" s="337"/>
      <c r="R75" s="338"/>
      <c r="T75" s="117" t="str">
        <f t="shared" ca="1" si="5"/>
        <v/>
      </c>
      <c r="U75" s="163" t="str">
        <f t="shared" ca="1" si="6"/>
        <v/>
      </c>
      <c r="V75" s="164" t="str">
        <f ca="1">IF(AND($W75&gt;0,RegimeExecucao="Unitário"),$F75,"")</f>
        <v/>
      </c>
      <c r="W75" s="454">
        <f ca="1">IF($Y75&gt;0,CHOOSE(MATCH(RegimeExecucao,{"Unitário","Global"},0),IF($A75="S",$Y75/$X75,""),($Y75/$X75)*100),0)</f>
        <v>0</v>
      </c>
      <c r="X75" s="339" t="str">
        <f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f ca="1">IF($A75="S",IF(BM!$I75=0,0,CHOOSE(MATCH(RegimeExecucao,{"Global","Unitário"},0),ROUND(ROUND(BM.MEDAcumulado,15-13*BM!$A$9)/100*BM!$I75,15-13*ORÇAMENTO!$AF$11),ROUND(ROUND(BM.MEDAcumulado,15-13*BM!$A$9)*ROUND(BM!$H75,15-13*ORÇAMENTO!$AF$10),15-13*ORÇAMENTO!$AF$11))),IF($A75=0,0,ROUND(SomaAgrupBM,15-13*ORÇAMENTO!$AF$11)))</f>
        <v>0</v>
      </c>
    </row>
    <row r="76" spans="1:41" ht="25.5" x14ac:dyDescent="0.2">
      <c r="A76" t="str">
        <f ca="1">ORÇAMENTO!C76</f>
        <v>S</v>
      </c>
      <c r="B76">
        <f ca="1">ORÇAMENTO!D76</f>
        <v>0</v>
      </c>
      <c r="C76" s="114" t="str">
        <f t="shared" ca="1" si="1"/>
        <v>F</v>
      </c>
      <c r="D76" s="117" t="str">
        <f ca="1">ORÇAMENTO!O76</f>
        <v>1.5.1.2.4.</v>
      </c>
      <c r="E76" s="163" t="str">
        <f t="shared" ca="1" si="2"/>
        <v>LASTRO DE CONCRETO MAGRO, APLICADO EM BLOCOS DE COROAMENTO OU SAPATAS. AF_01/2024</v>
      </c>
      <c r="F76" s="164" t="str">
        <f ca="1">IF(RegimeExecucao="Global","",ORÇAMENTO.Unidade)</f>
        <v>M3</v>
      </c>
      <c r="G76" s="122">
        <f ca="1">IF(RegimeExecucao="Global","",ORÇAMENTO!T76)</f>
        <v>0.24</v>
      </c>
      <c r="H76" s="122">
        <f ca="1">IF(RegimeExecucao="Global","",ORÇAMENTO!W76)</f>
        <v>1088.3699999999999</v>
      </c>
      <c r="I76" s="125">
        <f ca="1">ORÇAMENTO!X76</f>
        <v>261.20999999999998</v>
      </c>
      <c r="J76" s="333" cm="1">
        <f t="array" aca="1" ref="J76" ca="1">_xlfn.SINGLE(IF($A76="S",IF(CAIXA.Modo,BM.AFAnterior,BM.MEDAnterior),IF(AND(_xlfn.SINGLE(RegimeExecucao)="Global",$I76&gt;0,COUNTIF($AB$13:$AM$13,BM.medicao-1)&gt;0),M76/$I76*100,0)))</f>
        <v>0</v>
      </c>
      <c r="K76" s="122">
        <f t="shared" ca="1" si="3"/>
        <v>0</v>
      </c>
      <c r="L76" s="334" cm="1">
        <f t="array" aca="1" ref="L76" ca="1">_xlfn.SINGLE(IF($A76="S",IF(CAIXA.Modo,BM.AFAcumulado,BM.MEDAcumulado),IF(AND(_xlfn.SINGLE(RegimeExecucao)="Global",$I76&gt;0,COUNTIF($AB$13:$AM$13,BM.medicao)&gt;0),O76/$I76*100,0)))</f>
        <v>0</v>
      </c>
      <c r="M76" s="335">
        <f ca="1">IF($A76="S",VTOTALBM,IF($A76=0,0,ROUND(SomaAgrupBM,15-13*ORÇAMENTO!$AF$11)))</f>
        <v>0</v>
      </c>
      <c r="N76" s="336">
        <f t="shared" ca="1" si="4"/>
        <v>0</v>
      </c>
      <c r="O76" s="125">
        <f ca="1">IF($A76="S",VTOTALBM,IF($A76=0,0,ROUND(SomaAgrupBM,15-13*ORÇAMENTO!$AF$11)))</f>
        <v>0</v>
      </c>
      <c r="Q76" s="337"/>
      <c r="R76" s="338"/>
      <c r="T76" s="117" t="str">
        <f t="shared" ca="1" si="5"/>
        <v/>
      </c>
      <c r="U76" s="163" t="str">
        <f t="shared" ca="1" si="6"/>
        <v/>
      </c>
      <c r="V76" s="164" t="str">
        <f ca="1">IF(AND($W76&gt;0,RegimeExecucao="Unitário"),$F76,"")</f>
        <v/>
      </c>
      <c r="W76" s="454">
        <f ca="1">IF($Y76&gt;0,CHOOSE(MATCH(RegimeExecucao,{"Unitário","Global"},0),IF($A76="S",$Y76/$X76,""),($Y76/$X76)*100),0)</f>
        <v>0</v>
      </c>
      <c r="X76" s="339" t="str">
        <f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f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4" t="str">
        <f t="shared" ca="1" si="1"/>
        <v>F</v>
      </c>
      <c r="D77" s="117" t="str">
        <f ca="1">ORÇAMENTO!O77</f>
        <v>1.5.1.2.5.</v>
      </c>
      <c r="E77" s="163" t="str">
        <f t="shared" ca="1" si="2"/>
        <v>IMPERMEABILIZAÇÃO DE SUPERFÍCIE COM EMULSÃO ASFÁLTICA, 2 DEMÃOS. AF_09/2023</v>
      </c>
      <c r="F77" s="164" t="str">
        <f ca="1">IF(RegimeExecucao="Global","",ORÇAMENTO.Unidade)</f>
        <v>M2</v>
      </c>
      <c r="G77" s="122">
        <f ca="1">IF(RegimeExecucao="Global","",ORÇAMENTO!T77)</f>
        <v>2.2400000000000002</v>
      </c>
      <c r="H77" s="122">
        <f ca="1">IF(RegimeExecucao="Global","",ORÇAMENTO!W77)</f>
        <v>53.52</v>
      </c>
      <c r="I77" s="125">
        <f ca="1">ORÇAMENTO!X77</f>
        <v>119.88</v>
      </c>
      <c r="J77" s="333" cm="1">
        <f t="array" aca="1" ref="J77" ca="1">_xlfn.SINGLE(IF($A77="S",IF(CAIXA.Modo,BM.AFAnterior,BM.MEDAnterior),IF(AND(_xlfn.SINGLE(RegimeExecucao)="Global",$I77&gt;0,COUNTIF($AB$13:$AM$13,BM.medicao-1)&gt;0),M77/$I77*100,0)))</f>
        <v>0</v>
      </c>
      <c r="K77" s="122">
        <f t="shared" ca="1" si="3"/>
        <v>0</v>
      </c>
      <c r="L77" s="334" cm="1">
        <f t="array" aca="1" ref="L77" ca="1">_xlfn.SINGLE(IF($A77="S",IF(CAIXA.Modo,BM.AFAcumulado,BM.MEDAcumulado),IF(AND(_xlfn.SINGLE(RegimeExecucao)="Global",$I77&gt;0,COUNTIF($AB$13:$AM$13,BM.medicao)&gt;0),O77/$I77*100,0)))</f>
        <v>0</v>
      </c>
      <c r="M77" s="335">
        <f ca="1">IF($A77="S",VTOTALBM,IF($A77=0,0,ROUND(SomaAgrupBM,15-13*ORÇAMENTO!$AF$11)))</f>
        <v>0</v>
      </c>
      <c r="N77" s="336">
        <f t="shared" ca="1" si="4"/>
        <v>0</v>
      </c>
      <c r="O77" s="125">
        <f ca="1">IF($A77="S",VTOTALBM,IF($A77=0,0,ROUND(SomaAgrupBM,15-13*ORÇAMENTO!$AF$11)))</f>
        <v>0</v>
      </c>
      <c r="Q77" s="337"/>
      <c r="R77" s="338"/>
      <c r="T77" s="117" t="str">
        <f t="shared" ca="1" si="5"/>
        <v/>
      </c>
      <c r="U77" s="163" t="str">
        <f t="shared" ca="1" si="6"/>
        <v/>
      </c>
      <c r="V77" s="164" t="str">
        <f ca="1">IF(AND($W77&gt;0,RegimeExecucao="Unitário"),$F77,"")</f>
        <v/>
      </c>
      <c r="W77" s="454">
        <f ca="1">IF($Y77&gt;0,CHOOSE(MATCH(RegimeExecucao,{"Unitário","Global"},0),IF($A77="S",$Y77/$X77,""),($Y77/$X77)*100),0)</f>
        <v>0</v>
      </c>
      <c r="X77" s="339" t="str">
        <f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f ca="1">IF($A77="S",IF(BM!$I77=0,0,CHOOSE(MATCH(RegimeExecucao,{"Global","Unitário"},0),ROUND(ROUND(BM.MEDAcumulado,15-13*BM!$A$9)/100*BM!$I77,15-13*ORÇAMENTO!$AF$11),ROUND(ROUND(BM.MEDAcumulado,15-13*BM!$A$9)*ROUND(BM!$H77,15-13*ORÇAMENTO!$AF$10),15-13*ORÇAMENTO!$AF$11))),IF($A77=0,0,ROUND(SomaAgrupBM,15-13*ORÇAMENTO!$AF$11)))</f>
        <v>0</v>
      </c>
    </row>
    <row r="78" spans="1:41" ht="38.25" x14ac:dyDescent="0.2">
      <c r="A78" t="str">
        <f ca="1">ORÇAMENTO!C78</f>
        <v>S</v>
      </c>
      <c r="B78">
        <f ca="1">ORÇAMENTO!D78</f>
        <v>0</v>
      </c>
      <c r="C78" s="114" t="str">
        <f t="shared" ca="1" si="1"/>
        <v>F</v>
      </c>
      <c r="D78" s="117" t="str">
        <f ca="1">ORÇAMENTO!O78</f>
        <v>1.5.1.2.6.</v>
      </c>
      <c r="E78" s="163" t="str">
        <f t="shared" ca="1" si="2"/>
        <v>CONCRETO FCK = 40MPA, TRAÇO 1:1,6:1,9 (EM MASSA SECA DE CIMENTO/ AREIA MÉDIA/ BRITA 1) - PREPARO MECÂNICO COM BETONEIRA 600 L. AF_05/2021</v>
      </c>
      <c r="F78" s="164" t="str">
        <f ca="1">IF(RegimeExecucao="Global","",ORÇAMENTO.Unidade)</f>
        <v>M3</v>
      </c>
      <c r="G78" s="122">
        <f ca="1">IF(RegimeExecucao="Global","",ORÇAMENTO!T78)</f>
        <v>0.41</v>
      </c>
      <c r="H78" s="122">
        <f ca="1">IF(RegimeExecucao="Global","",ORÇAMENTO!W78)</f>
        <v>775.96</v>
      </c>
      <c r="I78" s="125">
        <f ca="1">ORÇAMENTO!X78</f>
        <v>318.14</v>
      </c>
      <c r="J78" s="333" cm="1">
        <f t="array" aca="1" ref="J78" ca="1">_xlfn.SINGLE(IF($A78="S",IF(CAIXA.Modo,BM.AFAnterior,BM.MEDAnterior),IF(AND(_xlfn.SINGLE(RegimeExecucao)="Global",$I78&gt;0,COUNTIF($AB$13:$AM$13,BM.medicao-1)&gt;0),M78/$I78*100,0)))</f>
        <v>0</v>
      </c>
      <c r="K78" s="122">
        <f t="shared" ca="1" si="3"/>
        <v>0</v>
      </c>
      <c r="L78" s="334" cm="1">
        <f t="array" aca="1" ref="L78" ca="1">_xlfn.SINGLE(IF($A78="S",IF(CAIXA.Modo,BM.AFAcumulado,BM.MEDAcumulado),IF(AND(_xlfn.SINGLE(RegimeExecucao)="Global",$I78&gt;0,COUNTIF($AB$13:$AM$13,BM.medicao)&gt;0),O78/$I78*100,0)))</f>
        <v>0</v>
      </c>
      <c r="M78" s="335">
        <f ca="1">IF($A78="S",VTOTALBM,IF($A78=0,0,ROUND(SomaAgrupBM,15-13*ORÇAMENTO!$AF$11)))</f>
        <v>0</v>
      </c>
      <c r="N78" s="336">
        <f t="shared" ca="1" si="4"/>
        <v>0</v>
      </c>
      <c r="O78" s="125">
        <f ca="1">IF($A78="S",VTOTALBM,IF($A78=0,0,ROUND(SomaAgrupBM,15-13*ORÇAMENTO!$AF$11)))</f>
        <v>0</v>
      </c>
      <c r="Q78" s="337"/>
      <c r="R78" s="338"/>
      <c r="T78" s="117" t="str">
        <f t="shared" ca="1" si="5"/>
        <v/>
      </c>
      <c r="U78" s="163" t="str">
        <f t="shared" ca="1" si="6"/>
        <v/>
      </c>
      <c r="V78" s="164" t="str">
        <f ca="1">IF(AND($W78&gt;0,RegimeExecucao="Unitário"),$F78,"")</f>
        <v/>
      </c>
      <c r="W78" s="454">
        <f ca="1">IF($Y78&gt;0,CHOOSE(MATCH(RegimeExecucao,{"Unitário","Global"},0),IF($A78="S",$Y78/$X78,""),($Y78/$X78)*100),0)</f>
        <v>0</v>
      </c>
      <c r="X78" s="339" t="str">
        <f ca="1">IF($Y78&gt;0,CHOOSE(MATCH(RegimeExecucao,{"Unitário","Global"},0),IF($A78="S",ROUND($H78,ORÇAMENTO!$AF$10),""),ROUND($I78,ORÇAMENTO!$AF$11)),"")</f>
        <v/>
      </c>
      <c r="Y78" s="339">
        <f t="shared" ca="1" si="7"/>
        <v>0</v>
      </c>
      <c r="Z78" s="473"/>
      <c r="AB78" s="337"/>
      <c r="AC78" s="437"/>
      <c r="AD78" s="437"/>
      <c r="AE78" s="437"/>
      <c r="AF78" s="437"/>
      <c r="AG78" s="437"/>
      <c r="AH78" s="437"/>
      <c r="AI78" s="437"/>
      <c r="AJ78" s="437"/>
      <c r="AK78" s="437"/>
      <c r="AL78" s="437"/>
      <c r="AM78" s="338"/>
      <c r="AO78">
        <f ca="1">IF($A78="S",IF(BM!$I78=0,0,CHOOSE(MATCH(RegimeExecucao,{"Global","Unitário"},0),ROUND(ROUND(BM.MEDAcumulado,15-13*BM!$A$9)/100*BM!$I78,15-13*ORÇAMENTO!$AF$11),ROUND(ROUND(BM.MEDAcumulado,15-13*BM!$A$9)*ROUND(BM!$H78,15-13*ORÇAMENTO!$AF$10),15-13*ORÇAMENTO!$AF$11))),IF($A78=0,0,ROUND(SomaAgrupBM,15-13*ORÇAMENTO!$AF$11)))</f>
        <v>0</v>
      </c>
    </row>
    <row r="79" spans="1:41" ht="25.5" x14ac:dyDescent="0.2">
      <c r="A79" t="str">
        <f ca="1">ORÇAMENTO!C79</f>
        <v>S</v>
      </c>
      <c r="B79">
        <f ca="1">ORÇAMENTO!D79</f>
        <v>0</v>
      </c>
      <c r="C79" s="114" t="str">
        <f t="shared" ca="1" si="1"/>
        <v>F</v>
      </c>
      <c r="D79" s="117" t="str">
        <f ca="1">ORÇAMENTO!O79</f>
        <v>1.5.1.2.7.</v>
      </c>
      <c r="E79" s="163" t="str">
        <f t="shared" ca="1" si="2"/>
        <v>LANÇAMENTO COM USO DE BOMBA, ADENSAMENTO E ACABAMENTO DE CONCRETO EM ESTRUTURAS. AF_02/2022</v>
      </c>
      <c r="F79" s="164" t="str">
        <f ca="1">IF(RegimeExecucao="Global","",ORÇAMENTO.Unidade)</f>
        <v>M3</v>
      </c>
      <c r="G79" s="122">
        <f ca="1">IF(RegimeExecucao="Global","",ORÇAMENTO!T79)</f>
        <v>0.41</v>
      </c>
      <c r="H79" s="122">
        <f ca="1">IF(RegimeExecucao="Global","",ORÇAMENTO!W79)</f>
        <v>54.96</v>
      </c>
      <c r="I79" s="125">
        <f ca="1">ORÇAMENTO!X79</f>
        <v>22.53</v>
      </c>
      <c r="J79" s="333" cm="1">
        <f t="array" aca="1" ref="J79" ca="1">_xlfn.SINGLE(IF($A79="S",IF(CAIXA.Modo,BM.AFAnterior,BM.MEDAnterior),IF(AND(_xlfn.SINGLE(RegimeExecucao)="Global",$I79&gt;0,COUNTIF($AB$13:$AM$13,BM.medicao-1)&gt;0),M79/$I79*100,0)))</f>
        <v>0</v>
      </c>
      <c r="K79" s="122">
        <f t="shared" ca="1" si="3"/>
        <v>0</v>
      </c>
      <c r="L79" s="334" cm="1">
        <f t="array" aca="1" ref="L79" ca="1">_xlfn.SINGLE(IF($A79="S",IF(CAIXA.Modo,BM.AFAcumulado,BM.MEDAcumulado),IF(AND(_xlfn.SINGLE(RegimeExecucao)="Global",$I79&gt;0,COUNTIF($AB$13:$AM$13,BM.medicao)&gt;0),O79/$I79*100,0)))</f>
        <v>0</v>
      </c>
      <c r="M79" s="335">
        <f ca="1">IF($A79="S",VTOTALBM,IF($A79=0,0,ROUND(SomaAgrupBM,15-13*ORÇAMENTO!$AF$11)))</f>
        <v>0</v>
      </c>
      <c r="N79" s="336">
        <f t="shared" ca="1" si="4"/>
        <v>0</v>
      </c>
      <c r="O79" s="125">
        <f ca="1">IF($A79="S",VTOTALBM,IF($A79=0,0,ROUND(SomaAgrupBM,15-13*ORÇAMENTO!$AF$11)))</f>
        <v>0</v>
      </c>
      <c r="Q79" s="337"/>
      <c r="R79" s="338"/>
      <c r="T79" s="117" t="str">
        <f t="shared" ca="1" si="5"/>
        <v/>
      </c>
      <c r="U79" s="163" t="str">
        <f t="shared" ca="1" si="6"/>
        <v/>
      </c>
      <c r="V79" s="164" t="str">
        <f ca="1">IF(AND($W79&gt;0,RegimeExecucao="Unitário"),$F79,"")</f>
        <v/>
      </c>
      <c r="W79" s="454">
        <f ca="1">IF($Y79&gt;0,CHOOSE(MATCH(RegimeExecucao,{"Unitário","Global"},0),IF($A79="S",$Y79/$X79,""),($Y79/$X79)*100),0)</f>
        <v>0</v>
      </c>
      <c r="X79" s="339" t="str">
        <f ca="1">IF($Y79&gt;0,CHOOSE(MATCH(RegimeExecucao,{"Unitário","Global"},0),IF($A79="S",ROUND($H79,ORÇAMENTO!$AF$10),""),ROUND($I79,ORÇAMENTO!$AF$11)),"")</f>
        <v/>
      </c>
      <c r="Y79" s="339">
        <f t="shared" ca="1" si="7"/>
        <v>0</v>
      </c>
      <c r="Z79" s="473"/>
      <c r="AB79" s="337"/>
      <c r="AC79" s="437"/>
      <c r="AD79" s="437"/>
      <c r="AE79" s="437"/>
      <c r="AF79" s="437"/>
      <c r="AG79" s="437"/>
      <c r="AH79" s="437"/>
      <c r="AI79" s="437"/>
      <c r="AJ79" s="437"/>
      <c r="AK79" s="437"/>
      <c r="AL79" s="437"/>
      <c r="AM79" s="338"/>
      <c r="AO79">
        <f ca="1">IF($A79="S",IF(BM!$I79=0,0,CHOOSE(MATCH(RegimeExecucao,{"Global","Unitário"},0),ROUND(ROUND(BM.MEDAcumulado,15-13*BM!$A$9)/100*BM!$I79,15-13*ORÇAMENTO!$AF$11),ROUND(ROUND(BM.MEDAcumulado,15-13*BM!$A$9)*ROUND(BM!$H79,15-13*ORÇAMENTO!$AF$10),15-13*ORÇAMENTO!$AF$11))),IF($A79=0,0,ROUND(SomaAgrupBM,15-13*ORÇAMENTO!$AF$11)))</f>
        <v>0</v>
      </c>
    </row>
    <row r="80" spans="1:41" ht="25.5" x14ac:dyDescent="0.2">
      <c r="A80" t="str">
        <f ca="1">ORÇAMENTO!C80</f>
        <v>S</v>
      </c>
      <c r="B80">
        <f ca="1">ORÇAMENTO!D80</f>
        <v>0</v>
      </c>
      <c r="C80" s="114" t="str">
        <f t="shared" ca="1" si="1"/>
        <v>F</v>
      </c>
      <c r="D80" s="117" t="str">
        <f ca="1">ORÇAMENTO!O80</f>
        <v>1.5.1.2.8.</v>
      </c>
      <c r="E80" s="163" t="str">
        <f t="shared" ca="1" si="2"/>
        <v>ARMAÇÃO EM AÇO CA-50 - FORNECIMENTO, PREPARO E COLOCAÇÃO</v>
      </c>
      <c r="F80" s="164" t="str">
        <f ca="1">IF(RegimeExecucao="Global","",ORÇAMENTO.Unidade)</f>
        <v>KG</v>
      </c>
      <c r="G80" s="122">
        <f ca="1">IF(RegimeExecucao="Global","",ORÇAMENTO!T80)</f>
        <v>9.41</v>
      </c>
      <c r="H80" s="122">
        <f ca="1">IF(RegimeExecucao="Global","",ORÇAMENTO!W80)</f>
        <v>14.92</v>
      </c>
      <c r="I80" s="125">
        <f ca="1">ORÇAMENTO!X80</f>
        <v>140.4</v>
      </c>
      <c r="J80" s="333" cm="1">
        <f t="array" aca="1" ref="J80" ca="1">_xlfn.SINGLE(IF($A80="S",IF(CAIXA.Modo,BM.AFAnterior,BM.MEDAnterior),IF(AND(_xlfn.SINGLE(RegimeExecucao)="Global",$I80&gt;0,COUNTIF($AB$13:$AM$13,BM.medicao-1)&gt;0),M80/$I80*100,0)))</f>
        <v>0</v>
      </c>
      <c r="K80" s="122">
        <f t="shared" ca="1" si="3"/>
        <v>0</v>
      </c>
      <c r="L80" s="334" cm="1">
        <f t="array" aca="1" ref="L80" ca="1">_xlfn.SINGLE(IF($A80="S",IF(CAIXA.Modo,BM.AFAcumulado,BM.MEDAcumulado),IF(AND(_xlfn.SINGLE(RegimeExecucao)="Global",$I80&gt;0,COUNTIF($AB$13:$AM$13,BM.medicao)&gt;0),O80/$I80*100,0)))</f>
        <v>0</v>
      </c>
      <c r="M80" s="335">
        <f ca="1">IF($A80="S",VTOTALBM,IF($A80=0,0,ROUND(SomaAgrupBM,15-13*ORÇAMENTO!$AF$11)))</f>
        <v>0</v>
      </c>
      <c r="N80" s="336">
        <f t="shared" ca="1" si="4"/>
        <v>0</v>
      </c>
      <c r="O80" s="125">
        <f ca="1">IF($A80="S",VTOTALBM,IF($A80=0,0,ROUND(SomaAgrupBM,15-13*ORÇAMENTO!$AF$11)))</f>
        <v>0</v>
      </c>
      <c r="Q80" s="337"/>
      <c r="R80" s="338"/>
      <c r="T80" s="117" t="str">
        <f t="shared" ca="1" si="5"/>
        <v/>
      </c>
      <c r="U80" s="163" t="str">
        <f t="shared" ca="1" si="6"/>
        <v/>
      </c>
      <c r="V80" s="164" t="str">
        <f ca="1">IF(AND($W80&gt;0,RegimeExecucao="Unitário"),$F80,"")</f>
        <v/>
      </c>
      <c r="W80" s="454">
        <f ca="1">IF($Y80&gt;0,CHOOSE(MATCH(RegimeExecucao,{"Unitário","Global"},0),IF($A80="S",$Y80/$X80,""),($Y80/$X80)*100),0)</f>
        <v>0</v>
      </c>
      <c r="X80" s="339" t="str">
        <f ca="1">IF($Y80&gt;0,CHOOSE(MATCH(RegimeExecucao,{"Unitário","Global"},0),IF($A80="S",ROUND($H80,ORÇAMENTO!$AF$10),""),ROUND($I80,ORÇAMENTO!$AF$11)),"")</f>
        <v/>
      </c>
      <c r="Y80" s="339">
        <f t="shared" ca="1" si="7"/>
        <v>0</v>
      </c>
      <c r="Z80" s="473"/>
      <c r="AB80" s="337"/>
      <c r="AC80" s="437"/>
      <c r="AD80" s="437"/>
      <c r="AE80" s="437"/>
      <c r="AF80" s="437"/>
      <c r="AG80" s="437"/>
      <c r="AH80" s="437"/>
      <c r="AI80" s="437"/>
      <c r="AJ80" s="437"/>
      <c r="AK80" s="437"/>
      <c r="AL80" s="437"/>
      <c r="AM80" s="338"/>
      <c r="AO80">
        <f ca="1">IF($A80="S",IF(BM!$I80=0,0,CHOOSE(MATCH(RegimeExecucao,{"Global","Unitário"},0),ROUND(ROUND(BM.MEDAcumulado,15-13*BM!$A$9)/100*BM!$I80,15-13*ORÇAMENTO!$AF$11),ROUND(ROUND(BM.MEDAcumulado,15-13*BM!$A$9)*ROUND(BM!$H80,15-13*ORÇAMENTO!$AF$10),15-13*ORÇAMENTO!$AF$11))),IF($A80=0,0,ROUND(SomaAgrupBM,15-13*ORÇAMENTO!$AF$11)))</f>
        <v>0</v>
      </c>
    </row>
    <row r="81" spans="1:41" ht="25.5" x14ac:dyDescent="0.2">
      <c r="A81" t="str">
        <f ca="1">ORÇAMENTO!C81</f>
        <v>S</v>
      </c>
      <c r="B81">
        <f ca="1">ORÇAMENTO!D81</f>
        <v>0</v>
      </c>
      <c r="C81" s="114" t="str">
        <f t="shared" ca="1" si="1"/>
        <v>F</v>
      </c>
      <c r="D81" s="117" t="str">
        <f ca="1">ORÇAMENTO!O81</f>
        <v>1.5.1.2.9.</v>
      </c>
      <c r="E81" s="163" t="str">
        <f t="shared" ca="1" si="2"/>
        <v>REATERRO MANUAL DE VALAS, COM COMPACTADOR DE SOLOS DE PERCUSSÃO. AF_08/2023</v>
      </c>
      <c r="F81" s="164" t="str">
        <f ca="1">IF(RegimeExecucao="Global","",ORÇAMENTO.Unidade)</f>
        <v>M3</v>
      </c>
      <c r="G81" s="122">
        <f ca="1">IF(RegimeExecucao="Global","",ORÇAMENTO!T81)</f>
        <v>5.26</v>
      </c>
      <c r="H81" s="122">
        <f ca="1">IF(RegimeExecucao="Global","",ORÇAMENTO!W81)</f>
        <v>35.020000000000003</v>
      </c>
      <c r="I81" s="125">
        <f ca="1">ORÇAMENTO!X81</f>
        <v>184.21</v>
      </c>
      <c r="J81" s="333" cm="1">
        <f t="array" aca="1" ref="J81" ca="1">_xlfn.SINGLE(IF($A81="S",IF(CAIXA.Modo,BM.AFAnterior,BM.MEDAnterior),IF(AND(_xlfn.SINGLE(RegimeExecucao)="Global",$I81&gt;0,COUNTIF($AB$13:$AM$13,BM.medicao-1)&gt;0),M81/$I81*100,0)))</f>
        <v>0</v>
      </c>
      <c r="K81" s="122">
        <f t="shared" ca="1" si="3"/>
        <v>0</v>
      </c>
      <c r="L81" s="334" cm="1">
        <f t="array" aca="1" ref="L81" ca="1">_xlfn.SINGLE(IF($A81="S",IF(CAIXA.Modo,BM.AFAcumulado,BM.MEDAcumulado),IF(AND(_xlfn.SINGLE(RegimeExecucao)="Global",$I81&gt;0,COUNTIF($AB$13:$AM$13,BM.medicao)&gt;0),O81/$I81*100,0)))</f>
        <v>0</v>
      </c>
      <c r="M81" s="335">
        <f ca="1">IF($A81="S",VTOTALBM,IF($A81=0,0,ROUND(SomaAgrupBM,15-13*ORÇAMENTO!$AF$11)))</f>
        <v>0</v>
      </c>
      <c r="N81" s="336">
        <f t="shared" ca="1" si="4"/>
        <v>0</v>
      </c>
      <c r="O81" s="125">
        <f ca="1">IF($A81="S",VTOTALBM,IF($A81=0,0,ROUND(SomaAgrupBM,15-13*ORÇAMENTO!$AF$11)))</f>
        <v>0</v>
      </c>
      <c r="Q81" s="337"/>
      <c r="R81" s="338"/>
      <c r="T81" s="117" t="str">
        <f t="shared" ca="1" si="5"/>
        <v/>
      </c>
      <c r="U81" s="163" t="str">
        <f t="shared" ca="1" si="6"/>
        <v/>
      </c>
      <c r="V81" s="164" t="str">
        <f ca="1">IF(AND($W81&gt;0,RegimeExecucao="Unitário"),$F81,"")</f>
        <v/>
      </c>
      <c r="W81" s="454">
        <f ca="1">IF($Y81&gt;0,CHOOSE(MATCH(RegimeExecucao,{"Unitário","Global"},0),IF($A81="S",$Y81/$X81,""),($Y81/$X81)*100),0)</f>
        <v>0</v>
      </c>
      <c r="X81" s="339" t="str">
        <f ca="1">IF($Y81&gt;0,CHOOSE(MATCH(RegimeExecucao,{"Unitário","Global"},0),IF($A81="S",ROUND($H81,ORÇAMENTO!$AF$10),""),ROUND($I81,ORÇAMENTO!$AF$11)),"")</f>
        <v/>
      </c>
      <c r="Y81" s="339">
        <f t="shared" ca="1" si="7"/>
        <v>0</v>
      </c>
      <c r="Z81" s="473"/>
      <c r="AB81" s="337"/>
      <c r="AC81" s="437"/>
      <c r="AD81" s="437"/>
      <c r="AE81" s="437"/>
      <c r="AF81" s="437"/>
      <c r="AG81" s="437"/>
      <c r="AH81" s="437"/>
      <c r="AI81" s="437"/>
      <c r="AJ81" s="437"/>
      <c r="AK81" s="437"/>
      <c r="AL81" s="437"/>
      <c r="AM81" s="338"/>
      <c r="AO81">
        <f ca="1">IF($A81="S",IF(BM!$I81=0,0,CHOOSE(MATCH(RegimeExecucao,{"Global","Unitário"},0),ROUND(ROUND(BM.MEDAcumulado,15-13*BM!$A$9)/100*BM!$I81,15-13*ORÇAMENTO!$AF$11),ROUND(ROUND(BM.MEDAcumulado,15-13*BM!$A$9)*ROUND(BM!$H81,15-13*ORÇAMENTO!$AF$10),15-13*ORÇAMENTO!$AF$11))),IF($A81=0,0,ROUND(SomaAgrupBM,15-13*ORÇAMENTO!$AF$11)))</f>
        <v>0</v>
      </c>
    </row>
    <row r="82" spans="1:41" ht="51" x14ac:dyDescent="0.2">
      <c r="A82" t="str">
        <f ca="1">ORÇAMENTO!C82</f>
        <v>S</v>
      </c>
      <c r="B82">
        <f ca="1">ORÇAMENTO!D82</f>
        <v>0</v>
      </c>
      <c r="C82" s="114" t="str">
        <f t="shared" ca="1" si="1"/>
        <v>F</v>
      </c>
      <c r="D82" s="117" t="str">
        <f ca="1">ORÇAMENTO!O82</f>
        <v>1.5.1.2.10.</v>
      </c>
      <c r="E82" s="163" t="str">
        <f t="shared" ca="1" si="2"/>
        <v>CARGA, MANOBRA E DESCARGA DE SOLOS E MATERIAIS GRANULARES EM CAMINHÃO BASCULANTE 18 M³ - CARGA COM ESCAVADEIRA HIDRÁULICA (CAÇAMBA DE 1,20 M³ / 155 HP) E DESCARGA LIVRE (UNIDADE: M3). AF_07/2020</v>
      </c>
      <c r="F82" s="164" t="str">
        <f ca="1">IF(RegimeExecucao="Global","",ORÇAMENTO.Unidade)</f>
        <v>M3</v>
      </c>
      <c r="G82" s="122">
        <f ca="1">IF(RegimeExecucao="Global","",ORÇAMENTO!T82)</f>
        <v>0.85</v>
      </c>
      <c r="H82" s="122">
        <f ca="1">IF(RegimeExecucao="Global","",ORÇAMENTO!W82)</f>
        <v>8.0500000000000007</v>
      </c>
      <c r="I82" s="125">
        <f ca="1">ORÇAMENTO!X82</f>
        <v>6.84</v>
      </c>
      <c r="J82" s="333" cm="1">
        <f t="array" aca="1" ref="J82" ca="1">_xlfn.SINGLE(IF($A82="S",IF(CAIXA.Modo,BM.AFAnterior,BM.MEDAnterior),IF(AND(_xlfn.SINGLE(RegimeExecucao)="Global",$I82&gt;0,COUNTIF($AB$13:$AM$13,BM.medicao-1)&gt;0),M82/$I82*100,0)))</f>
        <v>0</v>
      </c>
      <c r="K82" s="122">
        <f t="shared" ca="1" si="3"/>
        <v>0</v>
      </c>
      <c r="L82" s="334" cm="1">
        <f t="array" aca="1" ref="L82" ca="1">_xlfn.SINGLE(IF($A82="S",IF(CAIXA.Modo,BM.AFAcumulado,BM.MEDAcumulado),IF(AND(_xlfn.SINGLE(RegimeExecucao)="Global",$I82&gt;0,COUNTIF($AB$13:$AM$13,BM.medicao)&gt;0),O82/$I82*100,0)))</f>
        <v>0</v>
      </c>
      <c r="M82" s="335">
        <f ca="1">IF($A82="S",VTOTALBM,IF($A82=0,0,ROUND(SomaAgrupBM,15-13*ORÇAMENTO!$AF$11)))</f>
        <v>0</v>
      </c>
      <c r="N82" s="336">
        <f t="shared" ca="1" si="4"/>
        <v>0</v>
      </c>
      <c r="O82" s="125">
        <f ca="1">IF($A82="S",VTOTALBM,IF($A82=0,0,ROUND(SomaAgrupBM,15-13*ORÇAMENTO!$AF$11)))</f>
        <v>0</v>
      </c>
      <c r="Q82" s="337"/>
      <c r="R82" s="338"/>
      <c r="T82" s="117" t="str">
        <f t="shared" ca="1" si="5"/>
        <v/>
      </c>
      <c r="U82" s="163" t="str">
        <f t="shared" ca="1" si="6"/>
        <v/>
      </c>
      <c r="V82" s="164" t="str">
        <f ca="1">IF(AND($W82&gt;0,RegimeExecucao="Unitário"),$F82,"")</f>
        <v/>
      </c>
      <c r="W82" s="454">
        <f ca="1">IF($Y82&gt;0,CHOOSE(MATCH(RegimeExecucao,{"Unitário","Global"},0),IF($A82="S",$Y82/$X82,""),($Y82/$X82)*100),0)</f>
        <v>0</v>
      </c>
      <c r="X82" s="339" t="str">
        <f ca="1">IF($Y82&gt;0,CHOOSE(MATCH(RegimeExecucao,{"Unitário","Global"},0),IF($A82="S",ROUND($H82,ORÇAMENTO!$AF$10),""),ROUND($I82,ORÇAMENTO!$AF$11)),"")</f>
        <v/>
      </c>
      <c r="Y82" s="339">
        <f t="shared" ca="1" si="7"/>
        <v>0</v>
      </c>
      <c r="Z82" s="473"/>
      <c r="AB82" s="337"/>
      <c r="AC82" s="437"/>
      <c r="AD82" s="437"/>
      <c r="AE82" s="437"/>
      <c r="AF82" s="437"/>
      <c r="AG82" s="437"/>
      <c r="AH82" s="437"/>
      <c r="AI82" s="437"/>
      <c r="AJ82" s="437"/>
      <c r="AK82" s="437"/>
      <c r="AL82" s="437"/>
      <c r="AM82" s="338"/>
      <c r="AO82">
        <f ca="1">IF($A82="S",IF(BM!$I82=0,0,CHOOSE(MATCH(RegimeExecucao,{"Global","Unitário"},0),ROUND(ROUND(BM.MEDAcumulado,15-13*BM!$A$9)/100*BM!$I82,15-13*ORÇAMENTO!$AF$11),ROUND(ROUND(BM.MEDAcumulado,15-13*BM!$A$9)*ROUND(BM!$H82,15-13*ORÇAMENTO!$AF$10),15-13*ORÇAMENTO!$AF$11))),IF($A82=0,0,ROUND(SomaAgrupBM,15-13*ORÇAMENTO!$AF$11)))</f>
        <v>0</v>
      </c>
    </row>
    <row r="83" spans="1:41" ht="38.25" x14ac:dyDescent="0.2">
      <c r="A83" t="str">
        <f ca="1">ORÇAMENTO!C83</f>
        <v>S</v>
      </c>
      <c r="B83">
        <f ca="1">ORÇAMENTO!D83</f>
        <v>0</v>
      </c>
      <c r="C83" s="114" t="str">
        <f t="shared" ca="1" si="1"/>
        <v>F</v>
      </c>
      <c r="D83" s="117" t="str">
        <f ca="1">ORÇAMENTO!O83</f>
        <v>1.5.1.2.11.</v>
      </c>
      <c r="E83" s="163" t="str">
        <f t="shared" ca="1" si="2"/>
        <v>TRANSPORTE COM CAMINHÃO BASCULANTE DE 18 M³, EM VIA URBANA PAVIMENTADA, DMT ATÉ 30 KM (UNIDADE: M3XKM). AF_07/2020</v>
      </c>
      <c r="F83" s="164" t="str">
        <f ca="1">IF(RegimeExecucao="Global","",ORÇAMENTO.Unidade)</f>
        <v>M3XKM</v>
      </c>
      <c r="G83" s="122">
        <f ca="1">IF(RegimeExecucao="Global","",ORÇAMENTO!T83)</f>
        <v>6.55</v>
      </c>
      <c r="H83" s="122">
        <f ca="1">IF(RegimeExecucao="Global","",ORÇAMENTO!W83)</f>
        <v>2.35</v>
      </c>
      <c r="I83" s="125">
        <f ca="1">ORÇAMENTO!X83</f>
        <v>15.39</v>
      </c>
      <c r="J83" s="333" cm="1">
        <f t="array" aca="1" ref="J83" ca="1">_xlfn.SINGLE(IF($A83="S",IF(CAIXA.Modo,BM.AFAnterior,BM.MEDAnterior),IF(AND(_xlfn.SINGLE(RegimeExecucao)="Global",$I83&gt;0,COUNTIF($AB$13:$AM$13,BM.medicao-1)&gt;0),M83/$I83*100,0)))</f>
        <v>0</v>
      </c>
      <c r="K83" s="122">
        <f t="shared" ca="1" si="3"/>
        <v>0</v>
      </c>
      <c r="L83" s="334" cm="1">
        <f t="array" aca="1" ref="L83" ca="1">_xlfn.SINGLE(IF($A83="S",IF(CAIXA.Modo,BM.AFAcumulado,BM.MEDAcumulado),IF(AND(_xlfn.SINGLE(RegimeExecucao)="Global",$I83&gt;0,COUNTIF($AB$13:$AM$13,BM.medicao)&gt;0),O83/$I83*100,0)))</f>
        <v>0</v>
      </c>
      <c r="M83" s="335">
        <f ca="1">IF($A83="S",VTOTALBM,IF($A83=0,0,ROUND(SomaAgrupBM,15-13*ORÇAMENTO!$AF$11)))</f>
        <v>0</v>
      </c>
      <c r="N83" s="336">
        <f t="shared" ca="1" si="4"/>
        <v>0</v>
      </c>
      <c r="O83" s="125">
        <f ca="1">IF($A83="S",VTOTALBM,IF($A83=0,0,ROUND(SomaAgrupBM,15-13*ORÇAMENTO!$AF$11)))</f>
        <v>0</v>
      </c>
      <c r="Q83" s="337"/>
      <c r="R83" s="338"/>
      <c r="T83" s="117" t="str">
        <f t="shared" ca="1" si="5"/>
        <v/>
      </c>
      <c r="U83" s="163" t="str">
        <f t="shared" ca="1" si="6"/>
        <v/>
      </c>
      <c r="V83" s="164" t="str">
        <f ca="1">IF(AND($W83&gt;0,RegimeExecucao="Unitário"),$F83,"")</f>
        <v/>
      </c>
      <c r="W83" s="454">
        <f ca="1">IF($Y83&gt;0,CHOOSE(MATCH(RegimeExecucao,{"Unitário","Global"},0),IF($A83="S",$Y83/$X83,""),($Y83/$X83)*100),0)</f>
        <v>0</v>
      </c>
      <c r="X83" s="339" t="str">
        <f ca="1">IF($Y83&gt;0,CHOOSE(MATCH(RegimeExecucao,{"Unitário","Global"},0),IF($A83="S",ROUND($H83,ORÇAMENTO!$AF$10),""),ROUND($I83,ORÇAMENTO!$AF$11)),"")</f>
        <v/>
      </c>
      <c r="Y83" s="339">
        <f t="shared" ca="1" si="7"/>
        <v>0</v>
      </c>
      <c r="Z83" s="473"/>
      <c r="AB83" s="337"/>
      <c r="AC83" s="437"/>
      <c r="AD83" s="437"/>
      <c r="AE83" s="437"/>
      <c r="AF83" s="437"/>
      <c r="AG83" s="437"/>
      <c r="AH83" s="437"/>
      <c r="AI83" s="437"/>
      <c r="AJ83" s="437"/>
      <c r="AK83" s="437"/>
      <c r="AL83" s="437"/>
      <c r="AM83" s="338"/>
      <c r="AO83">
        <f ca="1">IF($A83="S",IF(BM!$I83=0,0,CHOOSE(MATCH(RegimeExecucao,{"Global","Unitário"},0),ROUND(ROUND(BM.MEDAcumulado,15-13*BM!$A$9)/100*BM!$I83,15-13*ORÇAMENTO!$AF$11),ROUND(ROUND(BM.MEDAcumulado,15-13*BM!$A$9)*ROUND(BM!$H83,15-13*ORÇAMENTO!$AF$10),15-13*ORÇAMENTO!$AF$11))),IF($A83=0,0,ROUND(SomaAgrupBM,15-13*ORÇAMENTO!$AF$11)))</f>
        <v>0</v>
      </c>
    </row>
    <row r="84" spans="1:41" x14ac:dyDescent="0.2">
      <c r="A84" t="str">
        <f ca="1">ORÇAMENTO!C84</f>
        <v>S</v>
      </c>
      <c r="B84">
        <f ca="1">ORÇAMENTO!D84</f>
        <v>0</v>
      </c>
      <c r="C84" s="114" t="str">
        <f t="shared" ca="1" si="1"/>
        <v>F</v>
      </c>
      <c r="D84" s="117" t="str">
        <f ca="1">ORÇAMENTO!O84</f>
        <v>1.5.1.2.12.</v>
      </c>
      <c r="E84" s="163" t="str">
        <f t="shared" ca="1" si="2"/>
        <v>TAXA ATERRO SANITÁRIO</v>
      </c>
      <c r="F84" s="164" t="str">
        <f ca="1">IF(RegimeExecucao="Global","",ORÇAMENTO.Unidade)</f>
        <v>T</v>
      </c>
      <c r="G84" s="122">
        <f ca="1">IF(RegimeExecucao="Global","",ORÇAMENTO!T84)</f>
        <v>1.1599999999999999</v>
      </c>
      <c r="H84" s="122">
        <f ca="1">IF(RegimeExecucao="Global","",ORÇAMENTO!W84)</f>
        <v>80.510000000000005</v>
      </c>
      <c r="I84" s="125">
        <f ca="1">ORÇAMENTO!X84</f>
        <v>93.39</v>
      </c>
      <c r="J84" s="333" cm="1">
        <f t="array" aca="1" ref="J84" ca="1">_xlfn.SINGLE(IF($A84="S",IF(CAIXA.Modo,BM.AFAnterior,BM.MEDAnterior),IF(AND(_xlfn.SINGLE(RegimeExecucao)="Global",$I84&gt;0,COUNTIF($AB$13:$AM$13,BM.medicao-1)&gt;0),M84/$I84*100,0)))</f>
        <v>0</v>
      </c>
      <c r="K84" s="122">
        <f t="shared" ca="1" si="3"/>
        <v>0</v>
      </c>
      <c r="L84" s="334" cm="1">
        <f t="array" aca="1" ref="L84" ca="1">_xlfn.SINGLE(IF($A84="S",IF(CAIXA.Modo,BM.AFAcumulado,BM.MEDAcumulado),IF(AND(_xlfn.SINGLE(RegimeExecucao)="Global",$I84&gt;0,COUNTIF($AB$13:$AM$13,BM.medicao)&gt;0),O84/$I84*100,0)))</f>
        <v>0</v>
      </c>
      <c r="M84" s="335">
        <f ca="1">IF($A84="S",VTOTALBM,IF($A84=0,0,ROUND(SomaAgrupBM,15-13*ORÇAMENTO!$AF$11)))</f>
        <v>0</v>
      </c>
      <c r="N84" s="336">
        <f t="shared" ca="1" si="4"/>
        <v>0</v>
      </c>
      <c r="O84" s="125">
        <f ca="1">IF($A84="S",VTOTALBM,IF($A84=0,0,ROUND(SomaAgrupBM,15-13*ORÇAMENTO!$AF$11)))</f>
        <v>0</v>
      </c>
      <c r="Q84" s="337"/>
      <c r="R84" s="338"/>
      <c r="T84" s="117" t="str">
        <f t="shared" ca="1" si="5"/>
        <v/>
      </c>
      <c r="U84" s="163" t="str">
        <f t="shared" ca="1" si="6"/>
        <v/>
      </c>
      <c r="V84" s="164" t="str">
        <f ca="1">IF(AND($W84&gt;0,RegimeExecucao="Unitário"),$F84,"")</f>
        <v/>
      </c>
      <c r="W84" s="454">
        <f ca="1">IF($Y84&gt;0,CHOOSE(MATCH(RegimeExecucao,{"Unitário","Global"},0),IF($A84="S",$Y84/$X84,""),($Y84/$X84)*100),0)</f>
        <v>0</v>
      </c>
      <c r="X84" s="339" t="str">
        <f ca="1">IF($Y84&gt;0,CHOOSE(MATCH(RegimeExecucao,{"Unitário","Global"},0),IF($A84="S",ROUND($H84,ORÇAMENTO!$AF$10),""),ROUND($I84,ORÇAMENTO!$AF$11)),"")</f>
        <v/>
      </c>
      <c r="Y84" s="339">
        <f t="shared" ca="1" si="7"/>
        <v>0</v>
      </c>
      <c r="Z84" s="473"/>
      <c r="AB84" s="337"/>
      <c r="AC84" s="437"/>
      <c r="AD84" s="437"/>
      <c r="AE84" s="437"/>
      <c r="AF84" s="437"/>
      <c r="AG84" s="437"/>
      <c r="AH84" s="437"/>
      <c r="AI84" s="437"/>
      <c r="AJ84" s="437"/>
      <c r="AK84" s="437"/>
      <c r="AL84" s="437"/>
      <c r="AM84" s="338"/>
      <c r="AO84">
        <f ca="1">IF($A84="S",IF(BM!$I84=0,0,CHOOSE(MATCH(RegimeExecucao,{"Global","Unitário"},0),ROUND(ROUND(BM.MEDAcumulado,15-13*BM!$A$9)/100*BM!$I84,15-13*ORÇAMENTO!$AF$11),ROUND(ROUND(BM.MEDAcumulado,15-13*BM!$A$9)*ROUND(BM!$H84,15-13*ORÇAMENTO!$AF$10),15-13*ORÇAMENTO!$AF$11))),IF($A84=0,0,ROUND(SomaAgrupBM,15-13*ORÇAMENTO!$AF$11)))</f>
        <v>0</v>
      </c>
    </row>
    <row r="85" spans="1:41" ht="25.5" x14ac:dyDescent="0.2">
      <c r="A85" t="str">
        <f ca="1">ORÇAMENTO!C85</f>
        <v>S</v>
      </c>
      <c r="B85">
        <f ca="1">ORÇAMENTO!D85</f>
        <v>0</v>
      </c>
      <c r="C85" s="114" t="str">
        <f t="shared" ref="C85:C148" ca="1" si="8">IF(OR($I85&gt;0,$A85=1,$A85=2,$A85=3,$A85=4),"F","")</f>
        <v>F</v>
      </c>
      <c r="D85" s="117" t="str">
        <f ca="1">ORÇAMENTO!O85</f>
        <v>1.5.1.2.13.</v>
      </c>
      <c r="E85" s="163" t="str">
        <f t="shared" ref="E85:E148" ca="1" si="9">ORÇAMENTO.Descricao</f>
        <v>ESPALHAMENTO DE MATERIAL COM TRATOR DE ESTEIRAS. AF_09/2024</v>
      </c>
      <c r="F85" s="164" t="str">
        <f ca="1">IF(RegimeExecucao="Global","",ORÇAMENTO.Unidade)</f>
        <v>M3</v>
      </c>
      <c r="G85" s="122">
        <f ca="1">IF(RegimeExecucao="Global","",ORÇAMENTO!T85)</f>
        <v>0.85</v>
      </c>
      <c r="H85" s="122">
        <f ca="1">IF(RegimeExecucao="Global","",ORÇAMENTO!W85)</f>
        <v>1.84</v>
      </c>
      <c r="I85" s="125">
        <f ca="1">ORÇAMENTO!X85</f>
        <v>1.56</v>
      </c>
      <c r="J85" s="333" cm="1">
        <f t="array" aca="1" ref="J85" ca="1">_xlfn.SINGLE(IF($A85="S",IF(CAIXA.Modo,BM.AFAnterior,BM.MEDAnterior),IF(AND(_xlfn.SINGLE(RegimeExecucao)="Global",$I85&gt;0,COUNTIF($AB$13:$AM$13,BM.medicao-1)&gt;0),M85/$I85*100,0)))</f>
        <v>0</v>
      </c>
      <c r="K85" s="122">
        <f t="shared" ref="K85:K148" ca="1" si="10">L85-J85</f>
        <v>0</v>
      </c>
      <c r="L85" s="334" cm="1">
        <f t="array" aca="1" ref="L85" ca="1">_xlfn.SINGLE(IF($A85="S",IF(CAIXA.Modo,BM.AFAcumulado,BM.MEDAcumulado),IF(AND(_xlfn.SINGLE(RegimeExecucao)="Global",$I85&gt;0,COUNTIF($AB$13:$AM$13,BM.medicao)&gt;0),O85/$I85*100,0)))</f>
        <v>0</v>
      </c>
      <c r="M85" s="335">
        <f ca="1">IF($A85="S",VTOTALBM,IF($A85=0,0,ROUND(SomaAgrupBM,15-13*ORÇAMENTO!$AF$11)))</f>
        <v>0</v>
      </c>
      <c r="N85" s="336">
        <f t="shared" ref="N85:N148" ca="1" si="11">O85-M85</f>
        <v>0</v>
      </c>
      <c r="O85" s="125">
        <f ca="1">IF($A85="S",VTOTALBM,IF($A85=0,0,ROUND(SomaAgrupBM,15-13*ORÇAMENTO!$AF$11)))</f>
        <v>0</v>
      </c>
      <c r="Q85" s="337"/>
      <c r="R85" s="338"/>
      <c r="T85" s="117" t="str">
        <f t="shared" ref="T85:T148" ca="1" si="12">IF($W85&gt;0,$D85,"")</f>
        <v/>
      </c>
      <c r="U85" s="163" t="str">
        <f t="shared" ref="U85:U148" ca="1" si="13">IF($W85&gt;0,$E85,"")</f>
        <v/>
      </c>
      <c r="V85" s="164" t="str">
        <f ca="1">IF(AND($W85&gt;0,RegimeExecucao="Unitário"),$F85,"")</f>
        <v/>
      </c>
      <c r="W85" s="454">
        <f ca="1">IF($Y85&gt;0,CHOOSE(MATCH(RegimeExecucao,{"Unitário","Global"},0),IF($A85="S",$Y85/$X85,""),($Y85/$X85)*100),0)</f>
        <v>0</v>
      </c>
      <c r="X85" s="339" t="str">
        <f ca="1">IF($Y85&gt;0,CHOOSE(MATCH(RegimeExecucao,{"Unitário","Global"},0),IF($A85="S",ROUND($H85,ORÇAMENTO!$AF$10),""),ROUND($I85,ORÇAMENTO!$AF$11)),"")</f>
        <v/>
      </c>
      <c r="Y85" s="339">
        <f t="shared" ref="Y85:Y148" ca="1" si="14">AO85-O85</f>
        <v>0</v>
      </c>
      <c r="Z85" s="473"/>
      <c r="AB85" s="337"/>
      <c r="AC85" s="437"/>
      <c r="AD85" s="437"/>
      <c r="AE85" s="437"/>
      <c r="AF85" s="437"/>
      <c r="AG85" s="437"/>
      <c r="AH85" s="437"/>
      <c r="AI85" s="437"/>
      <c r="AJ85" s="437"/>
      <c r="AK85" s="437"/>
      <c r="AL85" s="437"/>
      <c r="AM85" s="338"/>
      <c r="AO85">
        <f ca="1">IF($A85="S",IF(BM!$I85=0,0,CHOOSE(MATCH(RegimeExecucao,{"Global","Unitário"},0),ROUND(ROUND(BM.MEDAcumulado,15-13*BM!$A$9)/100*BM!$I85,15-13*ORÇAMENTO!$AF$11),ROUND(ROUND(BM.MEDAcumulado,15-13*BM!$A$9)*ROUND(BM!$H85,15-13*ORÇAMENTO!$AF$10),15-13*ORÇAMENTO!$AF$11))),IF($A85=0,0,ROUND(SomaAgrupBM,15-13*ORÇAMENTO!$AF$11)))</f>
        <v>0</v>
      </c>
    </row>
    <row r="86" spans="1:41" x14ac:dyDescent="0.2">
      <c r="A86" t="str">
        <f ca="1">ORÇAMENTO!C86</f>
        <v>S</v>
      </c>
      <c r="B86">
        <f ca="1">ORÇAMENTO!D86</f>
        <v>0</v>
      </c>
      <c r="C86" s="114" t="str">
        <f t="shared" ca="1" si="8"/>
        <v>F</v>
      </c>
      <c r="D86" s="117" t="str">
        <f ca="1">ORÇAMENTO!O86</f>
        <v>1.5.1.2.14.</v>
      </c>
      <c r="E86" s="163" t="str">
        <f t="shared" ca="1" si="9"/>
        <v>ENSAIO DE RESISTENCIA A COMPRESSAO SIMPLES - CONCRETO</v>
      </c>
      <c r="F86" s="164" t="str">
        <f ca="1">IF(RegimeExecucao="Global","",ORÇAMENTO.Unidade)</f>
        <v>UN</v>
      </c>
      <c r="G86" s="122">
        <f ca="1">IF(RegimeExecucao="Global","",ORÇAMENTO!T86)</f>
        <v>1</v>
      </c>
      <c r="H86" s="122">
        <f ca="1">IF(RegimeExecucao="Global","",ORÇAMENTO!W86)</f>
        <v>123.76</v>
      </c>
      <c r="I86" s="125">
        <f ca="1">ORÇAMENTO!X86</f>
        <v>123.76</v>
      </c>
      <c r="J86" s="333" cm="1">
        <f t="array" aca="1" ref="J86" ca="1">_xlfn.SINGLE(IF($A86="S",IF(CAIXA.Modo,BM.AFAnterior,BM.MEDAnterior),IF(AND(_xlfn.SINGLE(RegimeExecucao)="Global",$I86&gt;0,COUNTIF($AB$13:$AM$13,BM.medicao-1)&gt;0),M86/$I86*100,0)))</f>
        <v>0</v>
      </c>
      <c r="K86" s="122">
        <f t="shared" ca="1" si="10"/>
        <v>0</v>
      </c>
      <c r="L86" s="334" cm="1">
        <f t="array" aca="1" ref="L86" ca="1">_xlfn.SINGLE(IF($A86="S",IF(CAIXA.Modo,BM.AFAcumulado,BM.MEDAcumulado),IF(AND(_xlfn.SINGLE(RegimeExecucao)="Global",$I86&gt;0,COUNTIF($AB$13:$AM$13,BM.medicao)&gt;0),O86/$I86*100,0)))</f>
        <v>0</v>
      </c>
      <c r="M86" s="335">
        <f ca="1">IF($A86="S",VTOTALBM,IF($A86=0,0,ROUND(SomaAgrupBM,15-13*ORÇAMENTO!$AF$11)))</f>
        <v>0</v>
      </c>
      <c r="N86" s="336">
        <f t="shared" ca="1" si="11"/>
        <v>0</v>
      </c>
      <c r="O86" s="125">
        <f ca="1">IF($A86="S",VTOTALBM,IF($A86=0,0,ROUND(SomaAgrupBM,15-13*ORÇAMENTO!$AF$11)))</f>
        <v>0</v>
      </c>
      <c r="Q86" s="337"/>
      <c r="R86" s="338"/>
      <c r="T86" s="117" t="str">
        <f t="shared" ca="1" si="12"/>
        <v/>
      </c>
      <c r="U86" s="163" t="str">
        <f t="shared" ca="1" si="13"/>
        <v/>
      </c>
      <c r="V86" s="164" t="str">
        <f ca="1">IF(AND($W86&gt;0,RegimeExecucao="Unitário"),$F86,"")</f>
        <v/>
      </c>
      <c r="W86" s="454">
        <f ca="1">IF($Y86&gt;0,CHOOSE(MATCH(RegimeExecucao,{"Unitário","Global"},0),IF($A86="S",$Y86/$X86,""),($Y86/$X86)*100),0)</f>
        <v>0</v>
      </c>
      <c r="X86" s="339" t="str">
        <f ca="1">IF($Y86&gt;0,CHOOSE(MATCH(RegimeExecucao,{"Unitário","Global"},0),IF($A86="S",ROUND($H86,ORÇAMENTO!$AF$10),""),ROUND($I86,ORÇAMENTO!$AF$11)),"")</f>
        <v/>
      </c>
      <c r="Y86" s="339">
        <f t="shared" ca="1" si="14"/>
        <v>0</v>
      </c>
      <c r="Z86" s="473"/>
      <c r="AB86" s="337"/>
      <c r="AC86" s="437"/>
      <c r="AD86" s="437"/>
      <c r="AE86" s="437"/>
      <c r="AF86" s="437"/>
      <c r="AG86" s="437"/>
      <c r="AH86" s="437"/>
      <c r="AI86" s="437"/>
      <c r="AJ86" s="437"/>
      <c r="AK86" s="437"/>
      <c r="AL86" s="437"/>
      <c r="AM86" s="338"/>
      <c r="AO86">
        <f ca="1">IF($A86="S",IF(BM!$I86=0,0,CHOOSE(MATCH(RegimeExecucao,{"Global","Unitário"},0),ROUND(ROUND(BM.MEDAcumulado,15-13*BM!$A$9)/100*BM!$I86,15-13*ORÇAMENTO!$AF$11),ROUND(ROUND(BM.MEDAcumulado,15-13*BM!$A$9)*ROUND(BM!$H86,15-13*ORÇAMENTO!$AF$10),15-13*ORÇAMENTO!$AF$11))),IF($A86=0,0,ROUND(SomaAgrupBM,15-13*ORÇAMENTO!$AF$11)))</f>
        <v>0</v>
      </c>
    </row>
    <row r="87" spans="1:41" x14ac:dyDescent="0.2">
      <c r="A87">
        <f ca="1">ORÇAMENTO!C87</f>
        <v>4</v>
      </c>
      <c r="B87">
        <f ca="1">ORÇAMENTO!D87</f>
        <v>8</v>
      </c>
      <c r="C87" s="114" t="str">
        <f t="shared" ca="1" si="8"/>
        <v>F</v>
      </c>
      <c r="D87" s="117" t="str">
        <f ca="1">ORÇAMENTO!O87</f>
        <v>1.5.1.3.</v>
      </c>
      <c r="E87" s="163" t="str">
        <f t="shared" si="9"/>
        <v>PAREDES E LAJES</v>
      </c>
      <c r="F87" s="164" t="str">
        <f ca="1">IF(RegimeExecucao="Global","",ORÇAMENTO.Unidade)</f>
        <v>-</v>
      </c>
      <c r="G87" s="122">
        <f ca="1">IF(RegimeExecucao="Global","",ORÇAMENTO!T87)</f>
        <v>0</v>
      </c>
      <c r="H87" s="122">
        <f ca="1">IF(RegimeExecucao="Global","",ORÇAMENTO!W87)</f>
        <v>0</v>
      </c>
      <c r="I87" s="125">
        <f ca="1">ORÇAMENTO!X87</f>
        <v>799089.63</v>
      </c>
      <c r="J87" s="333" cm="1">
        <f t="array" aca="1" ref="J87" ca="1">_xlfn.SINGLE(IF($A87="S",IF(CAIXA.Modo,BM.AFAnterior,BM.MEDAnterior),IF(AND(_xlfn.SINGLE(RegimeExecucao)="Global",$I87&gt;0,COUNTIF($AB$13:$AM$13,BM.medicao-1)&gt;0),M87/$I87*100,0)))</f>
        <v>0</v>
      </c>
      <c r="K87" s="122">
        <f t="shared" ca="1" si="10"/>
        <v>0</v>
      </c>
      <c r="L87" s="334" cm="1">
        <f t="array" aca="1" ref="L87" ca="1">_xlfn.SINGLE(IF($A87="S",IF(CAIXA.Modo,BM.AFAcumulado,BM.MEDAcumulado),IF(AND(_xlfn.SINGLE(RegimeExecucao)="Global",$I87&gt;0,COUNTIF($AB$13:$AM$13,BM.medicao)&gt;0),O87/$I87*100,0)))</f>
        <v>0</v>
      </c>
      <c r="M87" s="335">
        <f ca="1">IF($A87="S",VTOTALBM,IF($A87=0,0,ROUND(SomaAgrupBM,15-13*ORÇAMENTO!$AF$11)))</f>
        <v>0</v>
      </c>
      <c r="N87" s="336">
        <f t="shared" ca="1" si="11"/>
        <v>0</v>
      </c>
      <c r="O87" s="125">
        <f ca="1">IF($A87="S",VTOTALBM,IF($A87=0,0,ROUND(SomaAgrupBM,15-13*ORÇAMENTO!$AF$11)))</f>
        <v>0</v>
      </c>
      <c r="Q87" s="337"/>
      <c r="R87" s="338"/>
      <c r="T87" s="117" t="str">
        <f t="shared" ca="1" si="12"/>
        <v/>
      </c>
      <c r="U87" s="163" t="str">
        <f t="shared" ca="1" si="13"/>
        <v/>
      </c>
      <c r="V87" s="164" t="str">
        <f ca="1">IF(AND($W87&gt;0,RegimeExecucao="Unitário"),$F87,"")</f>
        <v/>
      </c>
      <c r="W87" s="454">
        <f ca="1">IF($Y87&gt;0,CHOOSE(MATCH(RegimeExecucao,{"Unitário","Global"},0),IF($A87="S",$Y87/$X87,""),($Y87/$X87)*100),0)</f>
        <v>0</v>
      </c>
      <c r="X87" s="339" t="str">
        <f ca="1">IF($Y87&gt;0,CHOOSE(MATCH(RegimeExecucao,{"Unitário","Global"},0),IF($A87="S",ROUND($H87,ORÇAMENTO!$AF$10),""),ROUND($I87,ORÇAMENTO!$AF$11)),"")</f>
        <v/>
      </c>
      <c r="Y87" s="339">
        <f t="shared" ca="1" si="14"/>
        <v>0</v>
      </c>
      <c r="Z87" s="473"/>
      <c r="AB87" s="337"/>
      <c r="AC87" s="437"/>
      <c r="AD87" s="437"/>
      <c r="AE87" s="437"/>
      <c r="AF87" s="437"/>
      <c r="AG87" s="437"/>
      <c r="AH87" s="437"/>
      <c r="AI87" s="437"/>
      <c r="AJ87" s="437"/>
      <c r="AK87" s="437"/>
      <c r="AL87" s="437"/>
      <c r="AM87" s="338"/>
      <c r="AO87">
        <f ca="1">IF($A87="S",IF(BM!$I87=0,0,CHOOSE(MATCH(RegimeExecucao,{"Global","Unitário"},0),ROUND(ROUND(BM.MEDAcumulado,15-13*BM!$A$9)/100*BM!$I87,15-13*ORÇAMENTO!$AF$11),ROUND(ROUND(BM.MEDAcumulado,15-13*BM!$A$9)*ROUND(BM!$H87,15-13*ORÇAMENTO!$AF$10),15-13*ORÇAMENTO!$AF$11))),IF($A87=0,0,ROUND(SomaAgrupBM,15-13*ORÇAMENTO!$AF$11)))</f>
        <v>0</v>
      </c>
    </row>
    <row r="88" spans="1:41" ht="38.25" x14ac:dyDescent="0.2">
      <c r="A88" t="str">
        <f ca="1">ORÇAMENTO!C88</f>
        <v>S</v>
      </c>
      <c r="B88">
        <f ca="1">ORÇAMENTO!D88</f>
        <v>0</v>
      </c>
      <c r="C88" s="114" t="str">
        <f t="shared" ca="1" si="8"/>
        <v>F</v>
      </c>
      <c r="D88" s="117" t="str">
        <f ca="1">ORÇAMENTO!O88</f>
        <v>1.5.1.3.1.</v>
      </c>
      <c r="E88" s="163" t="str">
        <f t="shared" ca="1" si="9"/>
        <v>CONCRETO FCK = 40MPA, TRAÇO 1:1,6:1,9 (EM MASSA SECA DE CIMENTO/ AREIA MÉDIA/ BRITA 1) - PREPARO MECÂNICO COM BETONEIRA 600 L. AF_05/2021</v>
      </c>
      <c r="F88" s="164" t="str">
        <f ca="1">IF(RegimeExecucao="Global","",ORÇAMENTO.Unidade)</f>
        <v>M3</v>
      </c>
      <c r="G88" s="122">
        <f ca="1">IF(RegimeExecucao="Global","",ORÇAMENTO!T88)</f>
        <v>215.9</v>
      </c>
      <c r="H88" s="122">
        <f ca="1">IF(RegimeExecucao="Global","",ORÇAMENTO!W88)</f>
        <v>775.96</v>
      </c>
      <c r="I88" s="125">
        <f ca="1">ORÇAMENTO!X88</f>
        <v>167529.76</v>
      </c>
      <c r="J88" s="333" cm="1">
        <f t="array" aca="1" ref="J88" ca="1">_xlfn.SINGLE(IF($A88="S",IF(CAIXA.Modo,BM.AFAnterior,BM.MEDAnterior),IF(AND(_xlfn.SINGLE(RegimeExecucao)="Global",$I88&gt;0,COUNTIF($AB$13:$AM$13,BM.medicao-1)&gt;0),M88/$I88*100,0)))</f>
        <v>0</v>
      </c>
      <c r="K88" s="122">
        <f t="shared" ca="1" si="10"/>
        <v>0</v>
      </c>
      <c r="L88" s="334" cm="1">
        <f t="array" aca="1" ref="L88" ca="1">_xlfn.SINGLE(IF($A88="S",IF(CAIXA.Modo,BM.AFAcumulado,BM.MEDAcumulado),IF(AND(_xlfn.SINGLE(RegimeExecucao)="Global",$I88&gt;0,COUNTIF($AB$13:$AM$13,BM.medicao)&gt;0),O88/$I88*100,0)))</f>
        <v>0</v>
      </c>
      <c r="M88" s="335">
        <f ca="1">IF($A88="S",VTOTALBM,IF($A88=0,0,ROUND(SomaAgrupBM,15-13*ORÇAMENTO!$AF$11)))</f>
        <v>0</v>
      </c>
      <c r="N88" s="336">
        <f t="shared" ca="1" si="11"/>
        <v>0</v>
      </c>
      <c r="O88" s="125">
        <f ca="1">IF($A88="S",VTOTALBM,IF($A88=0,0,ROUND(SomaAgrupBM,15-13*ORÇAMENTO!$AF$11)))</f>
        <v>0</v>
      </c>
      <c r="Q88" s="337"/>
      <c r="R88" s="338"/>
      <c r="T88" s="117" t="str">
        <f t="shared" ca="1" si="12"/>
        <v/>
      </c>
      <c r="U88" s="163" t="str">
        <f t="shared" ca="1" si="13"/>
        <v/>
      </c>
      <c r="V88" s="164" t="str">
        <f ca="1">IF(AND($W88&gt;0,RegimeExecucao="Unitário"),$F88,"")</f>
        <v/>
      </c>
      <c r="W88" s="454">
        <f ca="1">IF($Y88&gt;0,CHOOSE(MATCH(RegimeExecucao,{"Unitário","Global"},0),IF($A88="S",$Y88/$X88,""),($Y88/$X88)*100),0)</f>
        <v>0</v>
      </c>
      <c r="X88" s="339" t="str">
        <f ca="1">IF($Y88&gt;0,CHOOSE(MATCH(RegimeExecucao,{"Unitário","Global"},0),IF($A88="S",ROUND($H88,ORÇAMENTO!$AF$10),""),ROUND($I88,ORÇAMENTO!$AF$11)),"")</f>
        <v/>
      </c>
      <c r="Y88" s="339">
        <f t="shared" ca="1" si="14"/>
        <v>0</v>
      </c>
      <c r="Z88" s="473"/>
      <c r="AB88" s="337"/>
      <c r="AC88" s="437"/>
      <c r="AD88" s="437"/>
      <c r="AE88" s="437"/>
      <c r="AF88" s="437"/>
      <c r="AG88" s="437"/>
      <c r="AH88" s="437"/>
      <c r="AI88" s="437"/>
      <c r="AJ88" s="437"/>
      <c r="AK88" s="437"/>
      <c r="AL88" s="437"/>
      <c r="AM88" s="338"/>
      <c r="AO88">
        <f ca="1">IF($A88="S",IF(BM!$I88=0,0,CHOOSE(MATCH(RegimeExecucao,{"Global","Unitário"},0),ROUND(ROUND(BM.MEDAcumulado,15-13*BM!$A$9)/100*BM!$I88,15-13*ORÇAMENTO!$AF$11),ROUND(ROUND(BM.MEDAcumulado,15-13*BM!$A$9)*ROUND(BM!$H88,15-13*ORÇAMENTO!$AF$10),15-13*ORÇAMENTO!$AF$11))),IF($A88=0,0,ROUND(SomaAgrupBM,15-13*ORÇAMENTO!$AF$11)))</f>
        <v>0</v>
      </c>
    </row>
    <row r="89" spans="1:41" ht="25.5" x14ac:dyDescent="0.2">
      <c r="A89" t="str">
        <f ca="1">ORÇAMENTO!C89</f>
        <v>S</v>
      </c>
      <c r="B89">
        <f ca="1">ORÇAMENTO!D89</f>
        <v>0</v>
      </c>
      <c r="C89" s="114" t="str">
        <f t="shared" ca="1" si="8"/>
        <v>F</v>
      </c>
      <c r="D89" s="117" t="str">
        <f ca="1">ORÇAMENTO!O89</f>
        <v>1.5.1.3.2.</v>
      </c>
      <c r="E89" s="163" t="str">
        <f t="shared" ca="1" si="9"/>
        <v>LANÇAMENTO COM USO DE BOMBA, ADENSAMENTO E ACABAMENTO DE CONCRETO EM ESTRUTURAS. AF_02/2022</v>
      </c>
      <c r="F89" s="164" t="str">
        <f ca="1">IF(RegimeExecucao="Global","",ORÇAMENTO.Unidade)</f>
        <v>M3</v>
      </c>
      <c r="G89" s="122">
        <f ca="1">IF(RegimeExecucao="Global","",ORÇAMENTO!T89)</f>
        <v>215.9</v>
      </c>
      <c r="H89" s="122">
        <f ca="1">IF(RegimeExecucao="Global","",ORÇAMENTO!W89)</f>
        <v>54.96</v>
      </c>
      <c r="I89" s="125">
        <f ca="1">ORÇAMENTO!X89</f>
        <v>11865.86</v>
      </c>
      <c r="J89" s="333" cm="1">
        <f t="array" aca="1" ref="J89" ca="1">_xlfn.SINGLE(IF($A89="S",IF(CAIXA.Modo,BM.AFAnterior,BM.MEDAnterior),IF(AND(_xlfn.SINGLE(RegimeExecucao)="Global",$I89&gt;0,COUNTIF($AB$13:$AM$13,BM.medicao-1)&gt;0),M89/$I89*100,0)))</f>
        <v>0</v>
      </c>
      <c r="K89" s="122">
        <f t="shared" ca="1" si="10"/>
        <v>0</v>
      </c>
      <c r="L89" s="334" cm="1">
        <f t="array" aca="1" ref="L89" ca="1">_xlfn.SINGLE(IF($A89="S",IF(CAIXA.Modo,BM.AFAcumulado,BM.MEDAcumulado),IF(AND(_xlfn.SINGLE(RegimeExecucao)="Global",$I89&gt;0,COUNTIF($AB$13:$AM$13,BM.medicao)&gt;0),O89/$I89*100,0)))</f>
        <v>0</v>
      </c>
      <c r="M89" s="335">
        <f ca="1">IF($A89="S",VTOTALBM,IF($A89=0,0,ROUND(SomaAgrupBM,15-13*ORÇAMENTO!$AF$11)))</f>
        <v>0</v>
      </c>
      <c r="N89" s="336">
        <f t="shared" ca="1" si="11"/>
        <v>0</v>
      </c>
      <c r="O89" s="125">
        <f ca="1">IF($A89="S",VTOTALBM,IF($A89=0,0,ROUND(SomaAgrupBM,15-13*ORÇAMENTO!$AF$11)))</f>
        <v>0</v>
      </c>
      <c r="Q89" s="337"/>
      <c r="R89" s="338"/>
      <c r="T89" s="117" t="str">
        <f t="shared" ca="1" si="12"/>
        <v/>
      </c>
      <c r="U89" s="163" t="str">
        <f t="shared" ca="1" si="13"/>
        <v/>
      </c>
      <c r="V89" s="164" t="str">
        <f ca="1">IF(AND($W89&gt;0,RegimeExecucao="Unitário"),$F89,"")</f>
        <v/>
      </c>
      <c r="W89" s="454">
        <f ca="1">IF($Y89&gt;0,CHOOSE(MATCH(RegimeExecucao,{"Unitário","Global"},0),IF($A89="S",$Y89/$X89,""),($Y89/$X89)*100),0)</f>
        <v>0</v>
      </c>
      <c r="X89" s="339" t="str">
        <f ca="1">IF($Y89&gt;0,CHOOSE(MATCH(RegimeExecucao,{"Unitário","Global"},0),IF($A89="S",ROUND($H89,ORÇAMENTO!$AF$10),""),ROUND($I89,ORÇAMENTO!$AF$11)),"")</f>
        <v/>
      </c>
      <c r="Y89" s="339">
        <f t="shared" ca="1" si="14"/>
        <v>0</v>
      </c>
      <c r="Z89" s="473"/>
      <c r="AB89" s="337"/>
      <c r="AC89" s="437"/>
      <c r="AD89" s="437"/>
      <c r="AE89" s="437"/>
      <c r="AF89" s="437"/>
      <c r="AG89" s="437"/>
      <c r="AH89" s="437"/>
      <c r="AI89" s="437"/>
      <c r="AJ89" s="437"/>
      <c r="AK89" s="437"/>
      <c r="AL89" s="437"/>
      <c r="AM89" s="338"/>
      <c r="AO89">
        <f ca="1">IF($A89="S",IF(BM!$I89=0,0,CHOOSE(MATCH(RegimeExecucao,{"Global","Unitário"},0),ROUND(ROUND(BM.MEDAcumulado,15-13*BM!$A$9)/100*BM!$I89,15-13*ORÇAMENTO!$AF$11),ROUND(ROUND(BM.MEDAcumulado,15-13*BM!$A$9)*ROUND(BM!$H89,15-13*ORÇAMENTO!$AF$10),15-13*ORÇAMENTO!$AF$11))),IF($A89=0,0,ROUND(SomaAgrupBM,15-13*ORÇAMENTO!$AF$11)))</f>
        <v>0</v>
      </c>
    </row>
    <row r="90" spans="1:41" ht="25.5" x14ac:dyDescent="0.2">
      <c r="A90" t="str">
        <f ca="1">ORÇAMENTO!C90</f>
        <v>S</v>
      </c>
      <c r="B90">
        <f ca="1">ORÇAMENTO!D90</f>
        <v>0</v>
      </c>
      <c r="C90" s="114" t="str">
        <f t="shared" ca="1" si="8"/>
        <v>F</v>
      </c>
      <c r="D90" s="117" t="str">
        <f ca="1">ORÇAMENTO!O90</f>
        <v>1.5.1.3.3.</v>
      </c>
      <c r="E90" s="163" t="str">
        <f t="shared" ca="1" si="9"/>
        <v xml:space="preserve">LASTRO DE CONCRETO MAGRO, INCLUSIVE TRANSPORTE, LANÇAMENTO E ADENSAMENTO </v>
      </c>
      <c r="F90" s="164" t="str">
        <f ca="1">IF(RegimeExecucao="Global","",ORÇAMENTO.Unidade)</f>
        <v>M3</v>
      </c>
      <c r="G90" s="122">
        <f ca="1">IF(RegimeExecucao="Global","",ORÇAMENTO!T90)</f>
        <v>2.37</v>
      </c>
      <c r="H90" s="122">
        <f ca="1">IF(RegimeExecucao="Global","",ORÇAMENTO!W90)</f>
        <v>727.7</v>
      </c>
      <c r="I90" s="125">
        <f ca="1">ORÇAMENTO!X90</f>
        <v>1724.65</v>
      </c>
      <c r="J90" s="333" cm="1">
        <f t="array" aca="1" ref="J90" ca="1">_xlfn.SINGLE(IF($A90="S",IF(CAIXA.Modo,BM.AFAnterior,BM.MEDAnterior),IF(AND(_xlfn.SINGLE(RegimeExecucao)="Global",$I90&gt;0,COUNTIF($AB$13:$AM$13,BM.medicao-1)&gt;0),M90/$I90*100,0)))</f>
        <v>0</v>
      </c>
      <c r="K90" s="122">
        <f t="shared" ca="1" si="10"/>
        <v>0</v>
      </c>
      <c r="L90" s="334" cm="1">
        <f t="array" aca="1" ref="L90" ca="1">_xlfn.SINGLE(IF($A90="S",IF(CAIXA.Modo,BM.AFAcumulado,BM.MEDAcumulado),IF(AND(_xlfn.SINGLE(RegimeExecucao)="Global",$I90&gt;0,COUNTIF($AB$13:$AM$13,BM.medicao)&gt;0),O90/$I90*100,0)))</f>
        <v>0</v>
      </c>
      <c r="M90" s="335">
        <f ca="1">IF($A90="S",VTOTALBM,IF($A90=0,0,ROUND(SomaAgrupBM,15-13*ORÇAMENTO!$AF$11)))</f>
        <v>0</v>
      </c>
      <c r="N90" s="336">
        <f t="shared" ca="1" si="11"/>
        <v>0</v>
      </c>
      <c r="O90" s="125">
        <f ca="1">IF($A90="S",VTOTALBM,IF($A90=0,0,ROUND(SomaAgrupBM,15-13*ORÇAMENTO!$AF$11)))</f>
        <v>0</v>
      </c>
      <c r="Q90" s="337"/>
      <c r="R90" s="338"/>
      <c r="T90" s="117" t="str">
        <f t="shared" ca="1" si="12"/>
        <v/>
      </c>
      <c r="U90" s="163" t="str">
        <f t="shared" ca="1" si="13"/>
        <v/>
      </c>
      <c r="V90" s="164" t="str">
        <f ca="1">IF(AND($W90&gt;0,RegimeExecucao="Unitário"),$F90,"")</f>
        <v/>
      </c>
      <c r="W90" s="454">
        <f ca="1">IF($Y90&gt;0,CHOOSE(MATCH(RegimeExecucao,{"Unitário","Global"},0),IF($A90="S",$Y90/$X90,""),($Y90/$X90)*100),0)</f>
        <v>0</v>
      </c>
      <c r="X90" s="339" t="str">
        <f ca="1">IF($Y90&gt;0,CHOOSE(MATCH(RegimeExecucao,{"Unitário","Global"},0),IF($A90="S",ROUND($H90,ORÇAMENTO!$AF$10),""),ROUND($I90,ORÇAMENTO!$AF$11)),"")</f>
        <v/>
      </c>
      <c r="Y90" s="339">
        <f t="shared" ca="1" si="14"/>
        <v>0</v>
      </c>
      <c r="Z90" s="473"/>
      <c r="AB90" s="337"/>
      <c r="AC90" s="437"/>
      <c r="AD90" s="437"/>
      <c r="AE90" s="437"/>
      <c r="AF90" s="437"/>
      <c r="AG90" s="437"/>
      <c r="AH90" s="437"/>
      <c r="AI90" s="437"/>
      <c r="AJ90" s="437"/>
      <c r="AK90" s="437"/>
      <c r="AL90" s="437"/>
      <c r="AM90" s="338"/>
      <c r="AO90">
        <f ca="1">IF($A90="S",IF(BM!$I90=0,0,CHOOSE(MATCH(RegimeExecucao,{"Global","Unitário"},0),ROUND(ROUND(BM.MEDAcumulado,15-13*BM!$A$9)/100*BM!$I90,15-13*ORÇAMENTO!$AF$11),ROUND(ROUND(BM.MEDAcumulado,15-13*BM!$A$9)*ROUND(BM!$H90,15-13*ORÇAMENTO!$AF$10),15-13*ORÇAMENTO!$AF$11))),IF($A90=0,0,ROUND(SomaAgrupBM,15-13*ORÇAMENTO!$AF$11)))</f>
        <v>0</v>
      </c>
    </row>
    <row r="91" spans="1:41" ht="25.5" x14ac:dyDescent="0.2">
      <c r="A91" t="str">
        <f ca="1">ORÇAMENTO!C91</f>
        <v>S</v>
      </c>
      <c r="B91">
        <f ca="1">ORÇAMENTO!D91</f>
        <v>0</v>
      </c>
      <c r="C91" s="114" t="str">
        <f t="shared" ca="1" si="8"/>
        <v>F</v>
      </c>
      <c r="D91" s="117" t="str">
        <f ca="1">ORÇAMENTO!O91</f>
        <v>1.5.1.3.4.</v>
      </c>
      <c r="E91" s="163" t="str">
        <f t="shared" ca="1" si="9"/>
        <v>FÔRMAS DE COMPENSADO RESINADO 10 MM - USO GERAL - UTILIZAÇÃO DE 3 VEZES - CONFECÇÃO, INSTALAÇÃO E RETIRADA</v>
      </c>
      <c r="F91" s="164" t="str">
        <f ca="1">IF(RegimeExecucao="Global","",ORÇAMENTO.Unidade)</f>
        <v>M2</v>
      </c>
      <c r="G91" s="122">
        <f ca="1">IF(RegimeExecucao="Global","",ORÇAMENTO!T91)</f>
        <v>775.1</v>
      </c>
      <c r="H91" s="122">
        <f ca="1">IF(RegimeExecucao="Global","",ORÇAMENTO!W91)</f>
        <v>88.5</v>
      </c>
      <c r="I91" s="125">
        <f ca="1">ORÇAMENTO!X91</f>
        <v>68596.350000000006</v>
      </c>
      <c r="J91" s="333" cm="1">
        <f t="array" aca="1" ref="J91" ca="1">_xlfn.SINGLE(IF($A91="S",IF(CAIXA.Modo,BM.AFAnterior,BM.MEDAnterior),IF(AND(_xlfn.SINGLE(RegimeExecucao)="Global",$I91&gt;0,COUNTIF($AB$13:$AM$13,BM.medicao-1)&gt;0),M91/$I91*100,0)))</f>
        <v>0</v>
      </c>
      <c r="K91" s="122">
        <f t="shared" ca="1" si="10"/>
        <v>0</v>
      </c>
      <c r="L91" s="334" cm="1">
        <f t="array" aca="1" ref="L91" ca="1">_xlfn.SINGLE(IF($A91="S",IF(CAIXA.Modo,BM.AFAcumulado,BM.MEDAcumulado),IF(AND(_xlfn.SINGLE(RegimeExecucao)="Global",$I91&gt;0,COUNTIF($AB$13:$AM$13,BM.medicao)&gt;0),O91/$I91*100,0)))</f>
        <v>0</v>
      </c>
      <c r="M91" s="335">
        <f ca="1">IF($A91="S",VTOTALBM,IF($A91=0,0,ROUND(SomaAgrupBM,15-13*ORÇAMENTO!$AF$11)))</f>
        <v>0</v>
      </c>
      <c r="N91" s="336">
        <f t="shared" ca="1" si="11"/>
        <v>0</v>
      </c>
      <c r="O91" s="125">
        <f ca="1">IF($A91="S",VTOTALBM,IF($A91=0,0,ROUND(SomaAgrupBM,15-13*ORÇAMENTO!$AF$11)))</f>
        <v>0</v>
      </c>
      <c r="Q91" s="337"/>
      <c r="R91" s="338"/>
      <c r="T91" s="117" t="str">
        <f t="shared" ca="1" si="12"/>
        <v/>
      </c>
      <c r="U91" s="163" t="str">
        <f t="shared" ca="1" si="13"/>
        <v/>
      </c>
      <c r="V91" s="164" t="str">
        <f ca="1">IF(AND($W91&gt;0,RegimeExecucao="Unitário"),$F91,"")</f>
        <v/>
      </c>
      <c r="W91" s="454">
        <f ca="1">IF($Y91&gt;0,CHOOSE(MATCH(RegimeExecucao,{"Unitário","Global"},0),IF($A91="S",$Y91/$X91,""),($Y91/$X91)*100),0)</f>
        <v>0</v>
      </c>
      <c r="X91" s="339" t="str">
        <f ca="1">IF($Y91&gt;0,CHOOSE(MATCH(RegimeExecucao,{"Unitário","Global"},0),IF($A91="S",ROUND($H91,ORÇAMENTO!$AF$10),""),ROUND($I91,ORÇAMENTO!$AF$11)),"")</f>
        <v/>
      </c>
      <c r="Y91" s="339">
        <f t="shared" ca="1" si="14"/>
        <v>0</v>
      </c>
      <c r="Z91" s="473"/>
      <c r="AB91" s="337"/>
      <c r="AC91" s="437"/>
      <c r="AD91" s="437"/>
      <c r="AE91" s="437"/>
      <c r="AF91" s="437"/>
      <c r="AG91" s="437"/>
      <c r="AH91" s="437"/>
      <c r="AI91" s="437"/>
      <c r="AJ91" s="437"/>
      <c r="AK91" s="437"/>
      <c r="AL91" s="437"/>
      <c r="AM91" s="338"/>
      <c r="AO91">
        <f ca="1">IF($A91="S",IF(BM!$I91=0,0,CHOOSE(MATCH(RegimeExecucao,{"Global","Unitário"},0),ROUND(ROUND(BM.MEDAcumulado,15-13*BM!$A$9)/100*BM!$I91,15-13*ORÇAMENTO!$AF$11),ROUND(ROUND(BM.MEDAcumulado,15-13*BM!$A$9)*ROUND(BM!$H91,15-13*ORÇAMENTO!$AF$10),15-13*ORÇAMENTO!$AF$11))),IF($A91=0,0,ROUND(SomaAgrupBM,15-13*ORÇAMENTO!$AF$11)))</f>
        <v>0</v>
      </c>
    </row>
    <row r="92" spans="1:41" ht="25.5" x14ac:dyDescent="0.2">
      <c r="A92" t="str">
        <f ca="1">ORÇAMENTO!C92</f>
        <v>S</v>
      </c>
      <c r="B92">
        <f ca="1">ORÇAMENTO!D92</f>
        <v>0</v>
      </c>
      <c r="C92" s="114" t="str">
        <f t="shared" ca="1" si="8"/>
        <v>F</v>
      </c>
      <c r="D92" s="117" t="str">
        <f ca="1">ORÇAMENTO!O92</f>
        <v>1.5.1.3.5.</v>
      </c>
      <c r="E92" s="163" t="str">
        <f t="shared" ca="1" si="9"/>
        <v>REATERRO MANUAL DE VALAS, COM PLACA VIBRATÓRIA. AF_08/2023</v>
      </c>
      <c r="F92" s="164" t="str">
        <f ca="1">IF(RegimeExecucao="Global","",ORÇAMENTO.Unidade)</f>
        <v>M3</v>
      </c>
      <c r="G92" s="122">
        <f ca="1">IF(RegimeExecucao="Global","",ORÇAMENTO!T92)</f>
        <v>1834.92</v>
      </c>
      <c r="H92" s="122">
        <f ca="1">IF(RegimeExecucao="Global","",ORÇAMENTO!W92)</f>
        <v>28.01</v>
      </c>
      <c r="I92" s="125">
        <f ca="1">ORÇAMENTO!X92</f>
        <v>51396.11</v>
      </c>
      <c r="J92" s="333" cm="1">
        <f t="array" aca="1" ref="J92" ca="1">_xlfn.SINGLE(IF($A92="S",IF(CAIXA.Modo,BM.AFAnterior,BM.MEDAnterior),IF(AND(_xlfn.SINGLE(RegimeExecucao)="Global",$I92&gt;0,COUNTIF($AB$13:$AM$13,BM.medicao-1)&gt;0),M92/$I92*100,0)))</f>
        <v>0</v>
      </c>
      <c r="K92" s="122">
        <f t="shared" ca="1" si="10"/>
        <v>0</v>
      </c>
      <c r="L92" s="334" cm="1">
        <f t="array" aca="1" ref="L92" ca="1">_xlfn.SINGLE(IF($A92="S",IF(CAIXA.Modo,BM.AFAcumulado,BM.MEDAcumulado),IF(AND(_xlfn.SINGLE(RegimeExecucao)="Global",$I92&gt;0,COUNTIF($AB$13:$AM$13,BM.medicao)&gt;0),O92/$I92*100,0)))</f>
        <v>0</v>
      </c>
      <c r="M92" s="335">
        <f ca="1">IF($A92="S",VTOTALBM,IF($A92=0,0,ROUND(SomaAgrupBM,15-13*ORÇAMENTO!$AF$11)))</f>
        <v>0</v>
      </c>
      <c r="N92" s="336">
        <f t="shared" ca="1" si="11"/>
        <v>0</v>
      </c>
      <c r="O92" s="125">
        <f ca="1">IF($A92="S",VTOTALBM,IF($A92=0,0,ROUND(SomaAgrupBM,15-13*ORÇAMENTO!$AF$11)))</f>
        <v>0</v>
      </c>
      <c r="Q92" s="337"/>
      <c r="R92" s="338"/>
      <c r="T92" s="117" t="str">
        <f t="shared" ca="1" si="12"/>
        <v/>
      </c>
      <c r="U92" s="163" t="str">
        <f t="shared" ca="1" si="13"/>
        <v/>
      </c>
      <c r="V92" s="164" t="str">
        <f ca="1">IF(AND($W92&gt;0,RegimeExecucao="Unitário"),$F92,"")</f>
        <v/>
      </c>
      <c r="W92" s="454">
        <f ca="1">IF($Y92&gt;0,CHOOSE(MATCH(RegimeExecucao,{"Unitário","Global"},0),IF($A92="S",$Y92/$X92,""),($Y92/$X92)*100),0)</f>
        <v>0</v>
      </c>
      <c r="X92" s="339" t="str">
        <f ca="1">IF($Y92&gt;0,CHOOSE(MATCH(RegimeExecucao,{"Unitário","Global"},0),IF($A92="S",ROUND($H92,ORÇAMENTO!$AF$10),""),ROUND($I92,ORÇAMENTO!$AF$11)),"")</f>
        <v/>
      </c>
      <c r="Y92" s="339">
        <f t="shared" ca="1" si="14"/>
        <v>0</v>
      </c>
      <c r="Z92" s="473"/>
      <c r="AB92" s="337"/>
      <c r="AC92" s="437"/>
      <c r="AD92" s="437"/>
      <c r="AE92" s="437"/>
      <c r="AF92" s="437"/>
      <c r="AG92" s="437"/>
      <c r="AH92" s="437"/>
      <c r="AI92" s="437"/>
      <c r="AJ92" s="437"/>
      <c r="AK92" s="437"/>
      <c r="AL92" s="437"/>
      <c r="AM92" s="338"/>
      <c r="AO92">
        <f ca="1">IF($A92="S",IF(BM!$I92=0,0,CHOOSE(MATCH(RegimeExecucao,{"Global","Unitário"},0),ROUND(ROUND(BM.MEDAcumulado,15-13*BM!$A$9)/100*BM!$I92,15-13*ORÇAMENTO!$AF$11),ROUND(ROUND(BM.MEDAcumulado,15-13*BM!$A$9)*ROUND(BM!$H92,15-13*ORÇAMENTO!$AF$10),15-13*ORÇAMENTO!$AF$11))),IF($A92=0,0,ROUND(SomaAgrupBM,15-13*ORÇAMENTO!$AF$11)))</f>
        <v>0</v>
      </c>
    </row>
    <row r="93" spans="1:41" x14ac:dyDescent="0.2">
      <c r="A93" t="str">
        <f ca="1">ORÇAMENTO!C93</f>
        <v>S</v>
      </c>
      <c r="B93">
        <f ca="1">ORÇAMENTO!D93</f>
        <v>0</v>
      </c>
      <c r="C93" s="114" t="str">
        <f t="shared" ca="1" si="8"/>
        <v>F</v>
      </c>
      <c r="D93" s="117" t="str">
        <f ca="1">ORÇAMENTO!O93</f>
        <v>1.5.1.3.6.</v>
      </c>
      <c r="E93" s="163" t="str">
        <f t="shared" ca="1" si="9"/>
        <v>RACHÃO OU PEDRA DE MÃO PRODUZIDA</v>
      </c>
      <c r="F93" s="164" t="str">
        <f ca="1">IF(RegimeExecucao="Global","",ORÇAMENTO.Unidade)</f>
        <v>M3</v>
      </c>
      <c r="G93" s="122">
        <f ca="1">IF(RegimeExecucao="Global","",ORÇAMENTO!T93)</f>
        <v>693.73</v>
      </c>
      <c r="H93" s="122">
        <f ca="1">IF(RegimeExecucao="Global","",ORÇAMENTO!W93)</f>
        <v>51.3</v>
      </c>
      <c r="I93" s="125">
        <f ca="1">ORÇAMENTO!X93</f>
        <v>35588.35</v>
      </c>
      <c r="J93" s="333" cm="1">
        <f t="array" aca="1" ref="J93" ca="1">_xlfn.SINGLE(IF($A93="S",IF(CAIXA.Modo,BM.AFAnterior,BM.MEDAnterior),IF(AND(_xlfn.SINGLE(RegimeExecucao)="Global",$I93&gt;0,COUNTIF($AB$13:$AM$13,BM.medicao-1)&gt;0),M93/$I93*100,0)))</f>
        <v>0</v>
      </c>
      <c r="K93" s="122">
        <f t="shared" ca="1" si="10"/>
        <v>0</v>
      </c>
      <c r="L93" s="334" cm="1">
        <f t="array" aca="1" ref="L93" ca="1">_xlfn.SINGLE(IF($A93="S",IF(CAIXA.Modo,BM.AFAcumulado,BM.MEDAcumulado),IF(AND(_xlfn.SINGLE(RegimeExecucao)="Global",$I93&gt;0,COUNTIF($AB$13:$AM$13,BM.medicao)&gt;0),O93/$I93*100,0)))</f>
        <v>0</v>
      </c>
      <c r="M93" s="335">
        <f ca="1">IF($A93="S",VTOTALBM,IF($A93=0,0,ROUND(SomaAgrupBM,15-13*ORÇAMENTO!$AF$11)))</f>
        <v>0</v>
      </c>
      <c r="N93" s="336">
        <f t="shared" ca="1" si="11"/>
        <v>0</v>
      </c>
      <c r="O93" s="125">
        <f ca="1">IF($A93="S",VTOTALBM,IF($A93=0,0,ROUND(SomaAgrupBM,15-13*ORÇAMENTO!$AF$11)))</f>
        <v>0</v>
      </c>
      <c r="Q93" s="337"/>
      <c r="R93" s="338"/>
      <c r="T93" s="117" t="str">
        <f t="shared" ca="1" si="12"/>
        <v/>
      </c>
      <c r="U93" s="163" t="str">
        <f t="shared" ca="1" si="13"/>
        <v/>
      </c>
      <c r="V93" s="164" t="str">
        <f ca="1">IF(AND($W93&gt;0,RegimeExecucao="Unitário"),$F93,"")</f>
        <v/>
      </c>
      <c r="W93" s="454">
        <f ca="1">IF($Y93&gt;0,CHOOSE(MATCH(RegimeExecucao,{"Unitário","Global"},0),IF($A93="S",$Y93/$X93,""),($Y93/$X93)*100),0)</f>
        <v>0</v>
      </c>
      <c r="X93" s="339" t="str">
        <f ca="1">IF($Y93&gt;0,CHOOSE(MATCH(RegimeExecucao,{"Unitário","Global"},0),IF($A93="S",ROUND($H93,ORÇAMENTO!$AF$10),""),ROUND($I93,ORÇAMENTO!$AF$11)),"")</f>
        <v/>
      </c>
      <c r="Y93" s="339">
        <f t="shared" ca="1" si="14"/>
        <v>0</v>
      </c>
      <c r="Z93" s="473"/>
      <c r="AB93" s="337"/>
      <c r="AC93" s="437"/>
      <c r="AD93" s="437"/>
      <c r="AE93" s="437"/>
      <c r="AF93" s="437"/>
      <c r="AG93" s="437"/>
      <c r="AH93" s="437"/>
      <c r="AI93" s="437"/>
      <c r="AJ93" s="437"/>
      <c r="AK93" s="437"/>
      <c r="AL93" s="437"/>
      <c r="AM93" s="338"/>
      <c r="AO93">
        <f ca="1">IF($A93="S",IF(BM!$I93=0,0,CHOOSE(MATCH(RegimeExecucao,{"Global","Unitário"},0),ROUND(ROUND(BM.MEDAcumulado,15-13*BM!$A$9)/100*BM!$I93,15-13*ORÇAMENTO!$AF$11),ROUND(ROUND(BM.MEDAcumulado,15-13*BM!$A$9)*ROUND(BM!$H93,15-13*ORÇAMENTO!$AF$10),15-13*ORÇAMENTO!$AF$11))),IF($A93=0,0,ROUND(SomaAgrupBM,15-13*ORÇAMENTO!$AF$11)))</f>
        <v>0</v>
      </c>
    </row>
    <row r="94" spans="1:41" ht="25.5" x14ac:dyDescent="0.2">
      <c r="A94" t="str">
        <f ca="1">ORÇAMENTO!C94</f>
        <v>S</v>
      </c>
      <c r="B94">
        <f ca="1">ORÇAMENTO!D94</f>
        <v>0</v>
      </c>
      <c r="C94" s="114" t="str">
        <f t="shared" ca="1" si="8"/>
        <v>F</v>
      </c>
      <c r="D94" s="117" t="str">
        <f ca="1">ORÇAMENTO!O94</f>
        <v>1.5.1.3.7.</v>
      </c>
      <c r="E94" s="163" t="str">
        <f t="shared" ca="1" si="9"/>
        <v>ARMAÇÃO EM AÇO CA-50 - FORNECIMENTO, PREPARO E COLOCAÇÃO</v>
      </c>
      <c r="F94" s="164" t="str">
        <f ca="1">IF(RegimeExecucao="Global","",ORÇAMENTO.Unidade)</f>
        <v>KG</v>
      </c>
      <c r="G94" s="122">
        <f ca="1">IF(RegimeExecucao="Global","",ORÇAMENTO!T94)</f>
        <v>30991.19</v>
      </c>
      <c r="H94" s="122">
        <f ca="1">IF(RegimeExecucao="Global","",ORÇAMENTO!W94)</f>
        <v>14.92</v>
      </c>
      <c r="I94" s="125">
        <f ca="1">ORÇAMENTO!X94</f>
        <v>462388.55</v>
      </c>
      <c r="J94" s="333" cm="1">
        <f t="array" aca="1" ref="J94" ca="1">_xlfn.SINGLE(IF($A94="S",IF(CAIXA.Modo,BM.AFAnterior,BM.MEDAnterior),IF(AND(_xlfn.SINGLE(RegimeExecucao)="Global",$I94&gt;0,COUNTIF($AB$13:$AM$13,BM.medicao-1)&gt;0),M94/$I94*100,0)))</f>
        <v>0</v>
      </c>
      <c r="K94" s="122">
        <f t="shared" ca="1" si="10"/>
        <v>0</v>
      </c>
      <c r="L94" s="334" cm="1">
        <f t="array" aca="1" ref="L94" ca="1">_xlfn.SINGLE(IF($A94="S",IF(CAIXA.Modo,BM.AFAcumulado,BM.MEDAcumulado),IF(AND(_xlfn.SINGLE(RegimeExecucao)="Global",$I94&gt;0,COUNTIF($AB$13:$AM$13,BM.medicao)&gt;0),O94/$I94*100,0)))</f>
        <v>0</v>
      </c>
      <c r="M94" s="335">
        <f ca="1">IF($A94="S",VTOTALBM,IF($A94=0,0,ROUND(SomaAgrupBM,15-13*ORÇAMENTO!$AF$11)))</f>
        <v>0</v>
      </c>
      <c r="N94" s="336">
        <f t="shared" ca="1" si="11"/>
        <v>0</v>
      </c>
      <c r="O94" s="125">
        <f ca="1">IF($A94="S",VTOTALBM,IF($A94=0,0,ROUND(SomaAgrupBM,15-13*ORÇAMENTO!$AF$11)))</f>
        <v>0</v>
      </c>
      <c r="Q94" s="337"/>
      <c r="R94" s="338"/>
      <c r="T94" s="117" t="str">
        <f t="shared" ca="1" si="12"/>
        <v/>
      </c>
      <c r="U94" s="163" t="str">
        <f t="shared" ca="1" si="13"/>
        <v/>
      </c>
      <c r="V94" s="164" t="str">
        <f ca="1">IF(AND($W94&gt;0,RegimeExecucao="Unitário"),$F94,"")</f>
        <v/>
      </c>
      <c r="W94" s="454">
        <f ca="1">IF($Y94&gt;0,CHOOSE(MATCH(RegimeExecucao,{"Unitário","Global"},0),IF($A94="S",$Y94/$X94,""),($Y94/$X94)*100),0)</f>
        <v>0</v>
      </c>
      <c r="X94" s="339" t="str">
        <f ca="1">IF($Y94&gt;0,CHOOSE(MATCH(RegimeExecucao,{"Unitário","Global"},0),IF($A94="S",ROUND($H94,ORÇAMENTO!$AF$10),""),ROUND($I94,ORÇAMENTO!$AF$11)),"")</f>
        <v/>
      </c>
      <c r="Y94" s="339">
        <f t="shared" ca="1" si="14"/>
        <v>0</v>
      </c>
      <c r="Z94" s="473"/>
      <c r="AB94" s="337"/>
      <c r="AC94" s="437"/>
      <c r="AD94" s="437"/>
      <c r="AE94" s="437"/>
      <c r="AF94" s="437"/>
      <c r="AG94" s="437"/>
      <c r="AH94" s="437"/>
      <c r="AI94" s="437"/>
      <c r="AJ94" s="437"/>
      <c r="AK94" s="437"/>
      <c r="AL94" s="437"/>
      <c r="AM94" s="338"/>
      <c r="AO94">
        <f ca="1">IF($A94="S",IF(BM!$I94=0,0,CHOOSE(MATCH(RegimeExecucao,{"Global","Unitário"},0),ROUND(ROUND(BM.MEDAcumulado,15-13*BM!$A$9)/100*BM!$I94,15-13*ORÇAMENTO!$AF$11),ROUND(ROUND(BM.MEDAcumulado,15-13*BM!$A$9)*ROUND(BM!$H94,15-13*ORÇAMENTO!$AF$10),15-13*ORÇAMENTO!$AF$11))),IF($A94=0,0,ROUND(SomaAgrupBM,15-13*ORÇAMENTO!$AF$11)))</f>
        <v>0</v>
      </c>
    </row>
    <row r="95" spans="1:41" x14ac:dyDescent="0.2">
      <c r="A95">
        <f ca="1">ORÇAMENTO!C95</f>
        <v>4</v>
      </c>
      <c r="B95">
        <f ca="1">ORÇAMENTO!D95</f>
        <v>5</v>
      </c>
      <c r="C95" s="114" t="str">
        <f t="shared" ca="1" si="8"/>
        <v>F</v>
      </c>
      <c r="D95" s="117" t="str">
        <f ca="1">ORÇAMENTO!O95</f>
        <v>1.5.1.4.</v>
      </c>
      <c r="E95" s="163" t="str">
        <f t="shared" si="9"/>
        <v>ESCADA</v>
      </c>
      <c r="F95" s="164" t="str">
        <f ca="1">IF(RegimeExecucao="Global","",ORÇAMENTO.Unidade)</f>
        <v>-</v>
      </c>
      <c r="G95" s="122">
        <f ca="1">IF(RegimeExecucao="Global","",ORÇAMENTO!T95)</f>
        <v>0</v>
      </c>
      <c r="H95" s="122">
        <f ca="1">IF(RegimeExecucao="Global","",ORÇAMENTO!W95)</f>
        <v>0</v>
      </c>
      <c r="I95" s="125">
        <f ca="1">ORÇAMENTO!X95</f>
        <v>4083.54</v>
      </c>
      <c r="J95" s="333" cm="1">
        <f t="array" aca="1" ref="J95" ca="1">_xlfn.SINGLE(IF($A95="S",IF(CAIXA.Modo,BM.AFAnterior,BM.MEDAnterior),IF(AND(_xlfn.SINGLE(RegimeExecucao)="Global",$I95&gt;0,COUNTIF($AB$13:$AM$13,BM.medicao-1)&gt;0),M95/$I95*100,0)))</f>
        <v>0</v>
      </c>
      <c r="K95" s="122">
        <f t="shared" ca="1" si="10"/>
        <v>0</v>
      </c>
      <c r="L95" s="334" cm="1">
        <f t="array" aca="1" ref="L95" ca="1">_xlfn.SINGLE(IF($A95="S",IF(CAIXA.Modo,BM.AFAcumulado,BM.MEDAcumulado),IF(AND(_xlfn.SINGLE(RegimeExecucao)="Global",$I95&gt;0,COUNTIF($AB$13:$AM$13,BM.medicao)&gt;0),O95/$I95*100,0)))</f>
        <v>0</v>
      </c>
      <c r="M95" s="335">
        <f ca="1">IF($A95="S",VTOTALBM,IF($A95=0,0,ROUND(SomaAgrupBM,15-13*ORÇAMENTO!$AF$11)))</f>
        <v>0</v>
      </c>
      <c r="N95" s="336">
        <f t="shared" ca="1" si="11"/>
        <v>0</v>
      </c>
      <c r="O95" s="125">
        <f ca="1">IF($A95="S",VTOTALBM,IF($A95=0,0,ROUND(SomaAgrupBM,15-13*ORÇAMENTO!$AF$11)))</f>
        <v>0</v>
      </c>
      <c r="Q95" s="337"/>
      <c r="R95" s="338"/>
      <c r="T95" s="117" t="str">
        <f t="shared" ca="1" si="12"/>
        <v/>
      </c>
      <c r="U95" s="163" t="str">
        <f t="shared" ca="1" si="13"/>
        <v/>
      </c>
      <c r="V95" s="164" t="str">
        <f ca="1">IF(AND($W95&gt;0,RegimeExecucao="Unitário"),$F95,"")</f>
        <v/>
      </c>
      <c r="W95" s="454">
        <f ca="1">IF($Y95&gt;0,CHOOSE(MATCH(RegimeExecucao,{"Unitário","Global"},0),IF($A95="S",$Y95/$X95,""),($Y95/$X95)*100),0)</f>
        <v>0</v>
      </c>
      <c r="X95" s="339" t="str">
        <f ca="1">IF($Y95&gt;0,CHOOSE(MATCH(RegimeExecucao,{"Unitário","Global"},0),IF($A95="S",ROUND($H95,ORÇAMENTO!$AF$10),""),ROUND($I95,ORÇAMENTO!$AF$11)),"")</f>
        <v/>
      </c>
      <c r="Y95" s="339">
        <f t="shared" ca="1" si="14"/>
        <v>0</v>
      </c>
      <c r="Z95" s="473"/>
      <c r="AB95" s="337"/>
      <c r="AC95" s="437"/>
      <c r="AD95" s="437"/>
      <c r="AE95" s="437"/>
      <c r="AF95" s="437"/>
      <c r="AG95" s="437"/>
      <c r="AH95" s="437"/>
      <c r="AI95" s="437"/>
      <c r="AJ95" s="437"/>
      <c r="AK95" s="437"/>
      <c r="AL95" s="437"/>
      <c r="AM95" s="338"/>
      <c r="AO95">
        <f ca="1">IF($A95="S",IF(BM!$I95=0,0,CHOOSE(MATCH(RegimeExecucao,{"Global","Unitário"},0),ROUND(ROUND(BM.MEDAcumulado,15-13*BM!$A$9)/100*BM!$I95,15-13*ORÇAMENTO!$AF$11),ROUND(ROUND(BM.MEDAcumulado,15-13*BM!$A$9)*ROUND(BM!$H95,15-13*ORÇAMENTO!$AF$10),15-13*ORÇAMENTO!$AF$11))),IF($A95=0,0,ROUND(SomaAgrupBM,15-13*ORÇAMENTO!$AF$11)))</f>
        <v>0</v>
      </c>
    </row>
    <row r="96" spans="1:41" ht="38.25" x14ac:dyDescent="0.2">
      <c r="A96" t="str">
        <f ca="1">ORÇAMENTO!C96</f>
        <v>S</v>
      </c>
      <c r="B96">
        <f ca="1">ORÇAMENTO!D96</f>
        <v>0</v>
      </c>
      <c r="C96" s="114" t="str">
        <f t="shared" ca="1" si="8"/>
        <v>F</v>
      </c>
      <c r="D96" s="117" t="str">
        <f ca="1">ORÇAMENTO!O96</f>
        <v>1.5.1.4.1.</v>
      </c>
      <c r="E96" s="163" t="str">
        <f t="shared" ca="1" si="9"/>
        <v>CONCRETO FCK = 40MPA, TRAÇO 1:1,6:1,9 (EM MASSA SECA DE CIMENTO/ AREIA MÉDIA/ BRITA 1) - PREPARO MECÂNICO COM BETONEIRA 600 L. AF_05/2021</v>
      </c>
      <c r="F96" s="164" t="str">
        <f ca="1">IF(RegimeExecucao="Global","",ORÇAMENTO.Unidade)</f>
        <v>M3</v>
      </c>
      <c r="G96" s="122">
        <f ca="1">IF(RegimeExecucao="Global","",ORÇAMENTO!T96)</f>
        <v>1.36</v>
      </c>
      <c r="H96" s="122">
        <f ca="1">IF(RegimeExecucao="Global","",ORÇAMENTO!W96)</f>
        <v>775.96</v>
      </c>
      <c r="I96" s="125">
        <f ca="1">ORÇAMENTO!X96</f>
        <v>1055.31</v>
      </c>
      <c r="J96" s="333" cm="1">
        <f t="array" aca="1" ref="J96" ca="1">_xlfn.SINGLE(IF($A96="S",IF(CAIXA.Modo,BM.AFAnterior,BM.MEDAnterior),IF(AND(_xlfn.SINGLE(RegimeExecucao)="Global",$I96&gt;0,COUNTIF($AB$13:$AM$13,BM.medicao-1)&gt;0),M96/$I96*100,0)))</f>
        <v>0</v>
      </c>
      <c r="K96" s="122">
        <f t="shared" ca="1" si="10"/>
        <v>0</v>
      </c>
      <c r="L96" s="334" cm="1">
        <f t="array" aca="1" ref="L96" ca="1">_xlfn.SINGLE(IF($A96="S",IF(CAIXA.Modo,BM.AFAcumulado,BM.MEDAcumulado),IF(AND(_xlfn.SINGLE(RegimeExecucao)="Global",$I96&gt;0,COUNTIF($AB$13:$AM$13,BM.medicao)&gt;0),O96/$I96*100,0)))</f>
        <v>0</v>
      </c>
      <c r="M96" s="335">
        <f ca="1">IF($A96="S",VTOTALBM,IF($A96=0,0,ROUND(SomaAgrupBM,15-13*ORÇAMENTO!$AF$11)))</f>
        <v>0</v>
      </c>
      <c r="N96" s="336">
        <f t="shared" ca="1" si="11"/>
        <v>0</v>
      </c>
      <c r="O96" s="125">
        <f ca="1">IF($A96="S",VTOTALBM,IF($A96=0,0,ROUND(SomaAgrupBM,15-13*ORÇAMENTO!$AF$11)))</f>
        <v>0</v>
      </c>
      <c r="Q96" s="337"/>
      <c r="R96" s="338"/>
      <c r="T96" s="117" t="str">
        <f t="shared" ca="1" si="12"/>
        <v/>
      </c>
      <c r="U96" s="163" t="str">
        <f t="shared" ca="1" si="13"/>
        <v/>
      </c>
      <c r="V96" s="164" t="str">
        <f ca="1">IF(AND($W96&gt;0,RegimeExecucao="Unitário"),$F96,"")</f>
        <v/>
      </c>
      <c r="W96" s="454">
        <f ca="1">IF($Y96&gt;0,CHOOSE(MATCH(RegimeExecucao,{"Unitário","Global"},0),IF($A96="S",$Y96/$X96,""),($Y96/$X96)*100),0)</f>
        <v>0</v>
      </c>
      <c r="X96" s="339" t="str">
        <f ca="1">IF($Y96&gt;0,CHOOSE(MATCH(RegimeExecucao,{"Unitário","Global"},0),IF($A96="S",ROUND($H96,ORÇAMENTO!$AF$10),""),ROUND($I96,ORÇAMENTO!$AF$11)),"")</f>
        <v/>
      </c>
      <c r="Y96" s="339">
        <f t="shared" ca="1" si="14"/>
        <v>0</v>
      </c>
      <c r="Z96" s="473"/>
      <c r="AB96" s="337"/>
      <c r="AC96" s="437"/>
      <c r="AD96" s="437"/>
      <c r="AE96" s="437"/>
      <c r="AF96" s="437"/>
      <c r="AG96" s="437"/>
      <c r="AH96" s="437"/>
      <c r="AI96" s="437"/>
      <c r="AJ96" s="437"/>
      <c r="AK96" s="437"/>
      <c r="AL96" s="437"/>
      <c r="AM96" s="338"/>
      <c r="AO96">
        <f ca="1">IF($A96="S",IF(BM!$I96=0,0,CHOOSE(MATCH(RegimeExecucao,{"Global","Unitário"},0),ROUND(ROUND(BM.MEDAcumulado,15-13*BM!$A$9)/100*BM!$I96,15-13*ORÇAMENTO!$AF$11),ROUND(ROUND(BM.MEDAcumulado,15-13*BM!$A$9)*ROUND(BM!$H96,15-13*ORÇAMENTO!$AF$10),15-13*ORÇAMENTO!$AF$11))),IF($A96=0,0,ROUND(SomaAgrupBM,15-13*ORÇAMENTO!$AF$11)))</f>
        <v>0</v>
      </c>
    </row>
    <row r="97" spans="1:41" ht="25.5" x14ac:dyDescent="0.2">
      <c r="A97" t="str">
        <f ca="1">ORÇAMENTO!C97</f>
        <v>S</v>
      </c>
      <c r="B97">
        <f ca="1">ORÇAMENTO!D97</f>
        <v>0</v>
      </c>
      <c r="C97" s="114" t="str">
        <f t="shared" ca="1" si="8"/>
        <v>F</v>
      </c>
      <c r="D97" s="117" t="str">
        <f ca="1">ORÇAMENTO!O97</f>
        <v>1.5.1.4.2.</v>
      </c>
      <c r="E97" s="163" t="str">
        <f t="shared" ca="1" si="9"/>
        <v>LANÇAMENTO COM USO DE BOMBA, ADENSAMENTO E ACABAMENTO DE CONCRETO EM ESTRUTURAS. AF_02/2022</v>
      </c>
      <c r="F97" s="164" t="str">
        <f ca="1">IF(RegimeExecucao="Global","",ORÇAMENTO.Unidade)</f>
        <v>M3</v>
      </c>
      <c r="G97" s="122">
        <f ca="1">IF(RegimeExecucao="Global","",ORÇAMENTO!T97)</f>
        <v>1.36</v>
      </c>
      <c r="H97" s="122">
        <f ca="1">IF(RegimeExecucao="Global","",ORÇAMENTO!W97)</f>
        <v>54.96</v>
      </c>
      <c r="I97" s="125">
        <f ca="1">ORÇAMENTO!X97</f>
        <v>74.75</v>
      </c>
      <c r="J97" s="333" cm="1">
        <f t="array" aca="1" ref="J97" ca="1">_xlfn.SINGLE(IF($A97="S",IF(CAIXA.Modo,BM.AFAnterior,BM.MEDAnterior),IF(AND(_xlfn.SINGLE(RegimeExecucao)="Global",$I97&gt;0,COUNTIF($AB$13:$AM$13,BM.medicao-1)&gt;0),M97/$I97*100,0)))</f>
        <v>0</v>
      </c>
      <c r="K97" s="122">
        <f t="shared" ca="1" si="10"/>
        <v>0</v>
      </c>
      <c r="L97" s="334" cm="1">
        <f t="array" aca="1" ref="L97" ca="1">_xlfn.SINGLE(IF($A97="S",IF(CAIXA.Modo,BM.AFAcumulado,BM.MEDAcumulado),IF(AND(_xlfn.SINGLE(RegimeExecucao)="Global",$I97&gt;0,COUNTIF($AB$13:$AM$13,BM.medicao)&gt;0),O97/$I97*100,0)))</f>
        <v>0</v>
      </c>
      <c r="M97" s="335">
        <f ca="1">IF($A97="S",VTOTALBM,IF($A97=0,0,ROUND(SomaAgrupBM,15-13*ORÇAMENTO!$AF$11)))</f>
        <v>0</v>
      </c>
      <c r="N97" s="336">
        <f t="shared" ca="1" si="11"/>
        <v>0</v>
      </c>
      <c r="O97" s="125">
        <f ca="1">IF($A97="S",VTOTALBM,IF($A97=0,0,ROUND(SomaAgrupBM,15-13*ORÇAMENTO!$AF$11)))</f>
        <v>0</v>
      </c>
      <c r="Q97" s="337"/>
      <c r="R97" s="338"/>
      <c r="T97" s="117" t="str">
        <f t="shared" ca="1" si="12"/>
        <v/>
      </c>
      <c r="U97" s="163" t="str">
        <f t="shared" ca="1" si="13"/>
        <v/>
      </c>
      <c r="V97" s="164" t="str">
        <f ca="1">IF(AND($W97&gt;0,RegimeExecucao="Unitário"),$F97,"")</f>
        <v/>
      </c>
      <c r="W97" s="454">
        <f ca="1">IF($Y97&gt;0,CHOOSE(MATCH(RegimeExecucao,{"Unitário","Global"},0),IF($A97="S",$Y97/$X97,""),($Y97/$X97)*100),0)</f>
        <v>0</v>
      </c>
      <c r="X97" s="339" t="str">
        <f ca="1">IF($Y97&gt;0,CHOOSE(MATCH(RegimeExecucao,{"Unitário","Global"},0),IF($A97="S",ROUND($H97,ORÇAMENTO!$AF$10),""),ROUND($I97,ORÇAMENTO!$AF$11)),"")</f>
        <v/>
      </c>
      <c r="Y97" s="339">
        <f t="shared" ca="1" si="14"/>
        <v>0</v>
      </c>
      <c r="Z97" s="473"/>
      <c r="AB97" s="337"/>
      <c r="AC97" s="437"/>
      <c r="AD97" s="437"/>
      <c r="AE97" s="437"/>
      <c r="AF97" s="437"/>
      <c r="AG97" s="437"/>
      <c r="AH97" s="437"/>
      <c r="AI97" s="437"/>
      <c r="AJ97" s="437"/>
      <c r="AK97" s="437"/>
      <c r="AL97" s="437"/>
      <c r="AM97" s="338"/>
      <c r="AO97">
        <f ca="1">IF($A97="S",IF(BM!$I97=0,0,CHOOSE(MATCH(RegimeExecucao,{"Global","Unitário"},0),ROUND(ROUND(BM.MEDAcumulado,15-13*BM!$A$9)/100*BM!$I97,15-13*ORÇAMENTO!$AF$11),ROUND(ROUND(BM.MEDAcumulado,15-13*BM!$A$9)*ROUND(BM!$H97,15-13*ORÇAMENTO!$AF$10),15-13*ORÇAMENTO!$AF$11))),IF($A97=0,0,ROUND(SomaAgrupBM,15-13*ORÇAMENTO!$AF$11)))</f>
        <v>0</v>
      </c>
    </row>
    <row r="98" spans="1:41" ht="25.5" x14ac:dyDescent="0.2">
      <c r="A98" t="str">
        <f ca="1">ORÇAMENTO!C98</f>
        <v>S</v>
      </c>
      <c r="B98">
        <f ca="1">ORÇAMENTO!D98</f>
        <v>0</v>
      </c>
      <c r="C98" s="114" t="str">
        <f t="shared" ca="1" si="8"/>
        <v>F</v>
      </c>
      <c r="D98" s="117" t="str">
        <f ca="1">ORÇAMENTO!O98</f>
        <v>1.5.1.4.3.</v>
      </c>
      <c r="E98" s="163" t="str">
        <f t="shared" ca="1" si="9"/>
        <v>FÔRMAS DE COMPENSADO RESINADO 10 MM - USO GERAL - UTILIZAÇÃO DE 3 VEZES - CONFECÇÃO, INSTALAÇÃO E RETIRADA</v>
      </c>
      <c r="F98" s="164" t="str">
        <f ca="1">IF(RegimeExecucao="Global","",ORÇAMENTO.Unidade)</f>
        <v>M2</v>
      </c>
      <c r="G98" s="122">
        <f ca="1">IF(RegimeExecucao="Global","",ORÇAMENTO!T98)</f>
        <v>9.89</v>
      </c>
      <c r="H98" s="122">
        <f ca="1">IF(RegimeExecucao="Global","",ORÇAMENTO!W98)</f>
        <v>88.5</v>
      </c>
      <c r="I98" s="125">
        <f ca="1">ORÇAMENTO!X98</f>
        <v>875.27</v>
      </c>
      <c r="J98" s="333" cm="1">
        <f t="array" aca="1" ref="J98" ca="1">_xlfn.SINGLE(IF($A98="S",IF(CAIXA.Modo,BM.AFAnterior,BM.MEDAnterior),IF(AND(_xlfn.SINGLE(RegimeExecucao)="Global",$I98&gt;0,COUNTIF($AB$13:$AM$13,BM.medicao-1)&gt;0),M98/$I98*100,0)))</f>
        <v>0</v>
      </c>
      <c r="K98" s="122">
        <f t="shared" ca="1" si="10"/>
        <v>0</v>
      </c>
      <c r="L98" s="334" cm="1">
        <f t="array" aca="1" ref="L98" ca="1">_xlfn.SINGLE(IF($A98="S",IF(CAIXA.Modo,BM.AFAcumulado,BM.MEDAcumulado),IF(AND(_xlfn.SINGLE(RegimeExecucao)="Global",$I98&gt;0,COUNTIF($AB$13:$AM$13,BM.medicao)&gt;0),O98/$I98*100,0)))</f>
        <v>0</v>
      </c>
      <c r="M98" s="335">
        <f ca="1">IF($A98="S",VTOTALBM,IF($A98=0,0,ROUND(SomaAgrupBM,15-13*ORÇAMENTO!$AF$11)))</f>
        <v>0</v>
      </c>
      <c r="N98" s="336">
        <f t="shared" ca="1" si="11"/>
        <v>0</v>
      </c>
      <c r="O98" s="125">
        <f ca="1">IF($A98="S",VTOTALBM,IF($A98=0,0,ROUND(SomaAgrupBM,15-13*ORÇAMENTO!$AF$11)))</f>
        <v>0</v>
      </c>
      <c r="Q98" s="337"/>
      <c r="R98" s="338"/>
      <c r="T98" s="117" t="str">
        <f t="shared" ca="1" si="12"/>
        <v/>
      </c>
      <c r="U98" s="163" t="str">
        <f t="shared" ca="1" si="13"/>
        <v/>
      </c>
      <c r="V98" s="164" t="str">
        <f ca="1">IF(AND($W98&gt;0,RegimeExecucao="Unitário"),$F98,"")</f>
        <v/>
      </c>
      <c r="W98" s="454">
        <f ca="1">IF($Y98&gt;0,CHOOSE(MATCH(RegimeExecucao,{"Unitário","Global"},0),IF($A98="S",$Y98/$X98,""),($Y98/$X98)*100),0)</f>
        <v>0</v>
      </c>
      <c r="X98" s="339" t="str">
        <f ca="1">IF($Y98&gt;0,CHOOSE(MATCH(RegimeExecucao,{"Unitário","Global"},0),IF($A98="S",ROUND($H98,ORÇAMENTO!$AF$10),""),ROUND($I98,ORÇAMENTO!$AF$11)),"")</f>
        <v/>
      </c>
      <c r="Y98" s="339">
        <f t="shared" ca="1" si="14"/>
        <v>0</v>
      </c>
      <c r="Z98" s="473"/>
      <c r="AB98" s="337"/>
      <c r="AC98" s="437"/>
      <c r="AD98" s="437"/>
      <c r="AE98" s="437"/>
      <c r="AF98" s="437"/>
      <c r="AG98" s="437"/>
      <c r="AH98" s="437"/>
      <c r="AI98" s="437"/>
      <c r="AJ98" s="437"/>
      <c r="AK98" s="437"/>
      <c r="AL98" s="437"/>
      <c r="AM98" s="338"/>
      <c r="AO98">
        <f ca="1">IF($A98="S",IF(BM!$I98=0,0,CHOOSE(MATCH(RegimeExecucao,{"Global","Unitário"},0),ROUND(ROUND(BM.MEDAcumulado,15-13*BM!$A$9)/100*BM!$I98,15-13*ORÇAMENTO!$AF$11),ROUND(ROUND(BM.MEDAcumulado,15-13*BM!$A$9)*ROUND(BM!$H98,15-13*ORÇAMENTO!$AF$10),15-13*ORÇAMENTO!$AF$11))),IF($A98=0,0,ROUND(SomaAgrupBM,15-13*ORÇAMENTO!$AF$11)))</f>
        <v>0</v>
      </c>
    </row>
    <row r="99" spans="1:41" ht="25.5" x14ac:dyDescent="0.2">
      <c r="A99" t="str">
        <f ca="1">ORÇAMENTO!C99</f>
        <v>S</v>
      </c>
      <c r="B99">
        <f ca="1">ORÇAMENTO!D99</f>
        <v>0</v>
      </c>
      <c r="C99" s="114" t="str">
        <f t="shared" ca="1" si="8"/>
        <v>F</v>
      </c>
      <c r="D99" s="117" t="str">
        <f ca="1">ORÇAMENTO!O99</f>
        <v>1.5.1.4.4.</v>
      </c>
      <c r="E99" s="163" t="str">
        <f t="shared" ca="1" si="9"/>
        <v>ARMAÇÃO EM AÇO CA-50 - FORNECIMENTO, PREPARO E COLOCAÇÃO</v>
      </c>
      <c r="F99" s="164" t="str">
        <f ca="1">IF(RegimeExecucao="Global","",ORÇAMENTO.Unidade)</f>
        <v>KG</v>
      </c>
      <c r="G99" s="122">
        <f ca="1">IF(RegimeExecucao="Global","",ORÇAMENTO!T99)</f>
        <v>139.29</v>
      </c>
      <c r="H99" s="122">
        <f ca="1">IF(RegimeExecucao="Global","",ORÇAMENTO!W99)</f>
        <v>14.92</v>
      </c>
      <c r="I99" s="125">
        <f ca="1">ORÇAMENTO!X99</f>
        <v>2078.21</v>
      </c>
      <c r="J99" s="333" cm="1">
        <f t="array" aca="1" ref="J99" ca="1">_xlfn.SINGLE(IF($A99="S",IF(CAIXA.Modo,BM.AFAnterior,BM.MEDAnterior),IF(AND(_xlfn.SINGLE(RegimeExecucao)="Global",$I99&gt;0,COUNTIF($AB$13:$AM$13,BM.medicao-1)&gt;0),M99/$I99*100,0)))</f>
        <v>0</v>
      </c>
      <c r="K99" s="122">
        <f t="shared" ca="1" si="10"/>
        <v>0</v>
      </c>
      <c r="L99" s="334" cm="1">
        <f t="array" aca="1" ref="L99" ca="1">_xlfn.SINGLE(IF($A99="S",IF(CAIXA.Modo,BM.AFAcumulado,BM.MEDAcumulado),IF(AND(_xlfn.SINGLE(RegimeExecucao)="Global",$I99&gt;0,COUNTIF($AB$13:$AM$13,BM.medicao)&gt;0),O99/$I99*100,0)))</f>
        <v>0</v>
      </c>
      <c r="M99" s="335">
        <f ca="1">IF($A99="S",VTOTALBM,IF($A99=0,0,ROUND(SomaAgrupBM,15-13*ORÇAMENTO!$AF$11)))</f>
        <v>0</v>
      </c>
      <c r="N99" s="336">
        <f t="shared" ca="1" si="11"/>
        <v>0</v>
      </c>
      <c r="O99" s="125">
        <f ca="1">IF($A99="S",VTOTALBM,IF($A99=0,0,ROUND(SomaAgrupBM,15-13*ORÇAMENTO!$AF$11)))</f>
        <v>0</v>
      </c>
      <c r="Q99" s="337"/>
      <c r="R99" s="338"/>
      <c r="T99" s="117" t="str">
        <f t="shared" ca="1" si="12"/>
        <v/>
      </c>
      <c r="U99" s="163" t="str">
        <f t="shared" ca="1" si="13"/>
        <v/>
      </c>
      <c r="V99" s="164" t="str">
        <f ca="1">IF(AND($W99&gt;0,RegimeExecucao="Unitário"),$F99,"")</f>
        <v/>
      </c>
      <c r="W99" s="454">
        <f ca="1">IF($Y99&gt;0,CHOOSE(MATCH(RegimeExecucao,{"Unitário","Global"},0),IF($A99="S",$Y99/$X99,""),($Y99/$X99)*100),0)</f>
        <v>0</v>
      </c>
      <c r="X99" s="339" t="str">
        <f ca="1">IF($Y99&gt;0,CHOOSE(MATCH(RegimeExecucao,{"Unitário","Global"},0),IF($A99="S",ROUND($H99,ORÇAMENTO!$AF$10),""),ROUND($I99,ORÇAMENTO!$AF$11)),"")</f>
        <v/>
      </c>
      <c r="Y99" s="339">
        <f t="shared" ca="1" si="14"/>
        <v>0</v>
      </c>
      <c r="Z99" s="473"/>
      <c r="AB99" s="337"/>
      <c r="AC99" s="437"/>
      <c r="AD99" s="437"/>
      <c r="AE99" s="437"/>
      <c r="AF99" s="437"/>
      <c r="AG99" s="437"/>
      <c r="AH99" s="437"/>
      <c r="AI99" s="437"/>
      <c r="AJ99" s="437"/>
      <c r="AK99" s="437"/>
      <c r="AL99" s="437"/>
      <c r="AM99" s="338"/>
      <c r="AO99">
        <f ca="1">IF($A99="S",IF(BM!$I99=0,0,CHOOSE(MATCH(RegimeExecucao,{"Global","Unitário"},0),ROUND(ROUND(BM.MEDAcumulado,15-13*BM!$A$9)/100*BM!$I99,15-13*ORÇAMENTO!$AF$11),ROUND(ROUND(BM.MEDAcumulado,15-13*BM!$A$9)*ROUND(BM!$H99,15-13*ORÇAMENTO!$AF$10),15-13*ORÇAMENTO!$AF$11))),IF($A99=0,0,ROUND(SomaAgrupBM,15-13*ORÇAMENTO!$AF$11)))</f>
        <v>0</v>
      </c>
    </row>
    <row r="100" spans="1:41" x14ac:dyDescent="0.2">
      <c r="A100">
        <f ca="1">ORÇAMENTO!C100</f>
        <v>4</v>
      </c>
      <c r="B100">
        <f ca="1">ORÇAMENTO!D100</f>
        <v>5</v>
      </c>
      <c r="C100" s="114" t="str">
        <f t="shared" ca="1" si="8"/>
        <v>F</v>
      </c>
      <c r="D100" s="117" t="str">
        <f ca="1">ORÇAMENTO!O100</f>
        <v>1.5.1.5.</v>
      </c>
      <c r="E100" s="163" t="str">
        <f t="shared" si="9"/>
        <v>PILARES E VIGAS</v>
      </c>
      <c r="F100" s="164" t="str">
        <f ca="1">IF(RegimeExecucao="Global","",ORÇAMENTO.Unidade)</f>
        <v>-</v>
      </c>
      <c r="G100" s="122">
        <f ca="1">IF(RegimeExecucao="Global","",ORÇAMENTO!T100)</f>
        <v>0</v>
      </c>
      <c r="H100" s="122">
        <f ca="1">IF(RegimeExecucao="Global","",ORÇAMENTO!W100)</f>
        <v>0</v>
      </c>
      <c r="I100" s="125">
        <f ca="1">ORÇAMENTO!X100</f>
        <v>127966.29</v>
      </c>
      <c r="J100" s="333" cm="1">
        <f t="array" aca="1" ref="J100" ca="1">_xlfn.SINGLE(IF($A100="S",IF(CAIXA.Modo,BM.AFAnterior,BM.MEDAnterior),IF(AND(_xlfn.SINGLE(RegimeExecucao)="Global",$I100&gt;0,COUNTIF($AB$13:$AM$13,BM.medicao-1)&gt;0),M100/$I100*100,0)))</f>
        <v>0</v>
      </c>
      <c r="K100" s="122">
        <f t="shared" ca="1" si="10"/>
        <v>0</v>
      </c>
      <c r="L100" s="334" cm="1">
        <f t="array" aca="1" ref="L100" ca="1">_xlfn.SINGLE(IF($A100="S",IF(CAIXA.Modo,BM.AFAcumulado,BM.MEDAcumulado),IF(AND(_xlfn.SINGLE(RegimeExecucao)="Global",$I100&gt;0,COUNTIF($AB$13:$AM$13,BM.medicao)&gt;0),O100/$I100*100,0)))</f>
        <v>0</v>
      </c>
      <c r="M100" s="335">
        <f ca="1">IF($A100="S",VTOTALBM,IF($A100=0,0,ROUND(SomaAgrupBM,15-13*ORÇAMENTO!$AF$11)))</f>
        <v>0</v>
      </c>
      <c r="N100" s="336">
        <f t="shared" ca="1" si="11"/>
        <v>0</v>
      </c>
      <c r="O100" s="125">
        <f ca="1">IF($A100="S",VTOTALBM,IF($A100=0,0,ROUND(SomaAgrupBM,15-13*ORÇAMENTO!$AF$11)))</f>
        <v>0</v>
      </c>
      <c r="Q100" s="337"/>
      <c r="R100" s="338"/>
      <c r="T100" s="117" t="str">
        <f t="shared" ca="1" si="12"/>
        <v/>
      </c>
      <c r="U100" s="163" t="str">
        <f t="shared" ca="1" si="13"/>
        <v/>
      </c>
      <c r="V100" s="164" t="str">
        <f ca="1">IF(AND($W100&gt;0,RegimeExecucao="Unitário"),$F100,"")</f>
        <v/>
      </c>
      <c r="W100" s="454">
        <f ca="1">IF($Y100&gt;0,CHOOSE(MATCH(RegimeExecucao,{"Unitário","Global"},0),IF($A100="S",$Y100/$X100,""),($Y100/$X100)*100),0)</f>
        <v>0</v>
      </c>
      <c r="X100" s="339" t="str">
        <f ca="1">IF($Y100&gt;0,CHOOSE(MATCH(RegimeExecucao,{"Unitário","Global"},0),IF($A100="S",ROUND($H100,ORÇAMENTO!$AF$10),""),ROUND($I100,ORÇAMENTO!$AF$11)),"")</f>
        <v/>
      </c>
      <c r="Y100" s="339">
        <f t="shared" ca="1" si="14"/>
        <v>0</v>
      </c>
      <c r="Z100" s="473"/>
      <c r="AB100" s="337"/>
      <c r="AC100" s="437"/>
      <c r="AD100" s="437"/>
      <c r="AE100" s="437"/>
      <c r="AF100" s="437"/>
      <c r="AG100" s="437"/>
      <c r="AH100" s="437"/>
      <c r="AI100" s="437"/>
      <c r="AJ100" s="437"/>
      <c r="AK100" s="437"/>
      <c r="AL100" s="437"/>
      <c r="AM100" s="338"/>
      <c r="AO100">
        <f ca="1">IF($A100="S",IF(BM!$I100=0,0,CHOOSE(MATCH(RegimeExecucao,{"Global","Unitário"},0),ROUND(ROUND(BM.MEDAcumulado,15-13*BM!$A$9)/100*BM!$I100,15-13*ORÇAMENTO!$AF$11),ROUND(ROUND(BM.MEDAcumulado,15-13*BM!$A$9)*ROUND(BM!$H100,15-13*ORÇAMENTO!$AF$10),15-13*ORÇAMENTO!$AF$11))),IF($A100=0,0,ROUND(SomaAgrupBM,15-13*ORÇAMENTO!$AF$11)))</f>
        <v>0</v>
      </c>
    </row>
    <row r="101" spans="1:41" ht="38.25" x14ac:dyDescent="0.2">
      <c r="A101" t="str">
        <f ca="1">ORÇAMENTO!C101</f>
        <v>S</v>
      </c>
      <c r="B101">
        <f ca="1">ORÇAMENTO!D101</f>
        <v>0</v>
      </c>
      <c r="C101" s="114" t="str">
        <f t="shared" ca="1" si="8"/>
        <v>F</v>
      </c>
      <c r="D101" s="117" t="str">
        <f ca="1">ORÇAMENTO!O101</f>
        <v>1.5.1.5.1.</v>
      </c>
      <c r="E101" s="163" t="str">
        <f t="shared" ca="1" si="9"/>
        <v>CONCRETO FCK = 40MPA, TRAÇO 1:1,6:1,9 (EM MASSA SECA DE CIMENTO/ AREIA MÉDIA/ BRITA 1) - PREPARO MECÂNICO COM BETONEIRA 600 L. AF_05/2021</v>
      </c>
      <c r="F101" s="164" t="str">
        <f ca="1">IF(RegimeExecucao="Global","",ORÇAMENTO.Unidade)</f>
        <v>M3</v>
      </c>
      <c r="G101" s="122">
        <f ca="1">IF(RegimeExecucao="Global","",ORÇAMENTO!T101)</f>
        <v>24.79</v>
      </c>
      <c r="H101" s="122">
        <f ca="1">IF(RegimeExecucao="Global","",ORÇAMENTO!W101)</f>
        <v>775.96</v>
      </c>
      <c r="I101" s="125">
        <f ca="1">ORÇAMENTO!X101</f>
        <v>19236.05</v>
      </c>
      <c r="J101" s="333" cm="1">
        <f t="array" aca="1" ref="J101" ca="1">_xlfn.SINGLE(IF($A101="S",IF(CAIXA.Modo,BM.AFAnterior,BM.MEDAnterior),IF(AND(_xlfn.SINGLE(RegimeExecucao)="Global",$I101&gt;0,COUNTIF($AB$13:$AM$13,BM.medicao-1)&gt;0),M101/$I101*100,0)))</f>
        <v>0</v>
      </c>
      <c r="K101" s="122">
        <f t="shared" ca="1" si="10"/>
        <v>0</v>
      </c>
      <c r="L101" s="334" cm="1">
        <f t="array" aca="1" ref="L101" ca="1">_xlfn.SINGLE(IF($A101="S",IF(CAIXA.Modo,BM.AFAcumulado,BM.MEDAcumulado),IF(AND(_xlfn.SINGLE(RegimeExecucao)="Global",$I101&gt;0,COUNTIF($AB$13:$AM$13,BM.medicao)&gt;0),O101/$I101*100,0)))</f>
        <v>0</v>
      </c>
      <c r="M101" s="335">
        <f ca="1">IF($A101="S",VTOTALBM,IF($A101=0,0,ROUND(SomaAgrupBM,15-13*ORÇAMENTO!$AF$11)))</f>
        <v>0</v>
      </c>
      <c r="N101" s="336">
        <f t="shared" ca="1" si="11"/>
        <v>0</v>
      </c>
      <c r="O101" s="125">
        <f ca="1">IF($A101="S",VTOTALBM,IF($A101=0,0,ROUND(SomaAgrupBM,15-13*ORÇAMENTO!$AF$11)))</f>
        <v>0</v>
      </c>
      <c r="Q101" s="337"/>
      <c r="R101" s="338"/>
      <c r="T101" s="117" t="str">
        <f t="shared" ca="1" si="12"/>
        <v/>
      </c>
      <c r="U101" s="163" t="str">
        <f t="shared" ca="1" si="13"/>
        <v/>
      </c>
      <c r="V101" s="164" t="str">
        <f ca="1">IF(AND($W101&gt;0,RegimeExecucao="Unitário"),$F101,"")</f>
        <v/>
      </c>
      <c r="W101" s="454">
        <f ca="1">IF($Y101&gt;0,CHOOSE(MATCH(RegimeExecucao,{"Unitário","Global"},0),IF($A101="S",$Y101/$X101,""),($Y101/$X101)*100),0)</f>
        <v>0</v>
      </c>
      <c r="X101" s="339" t="str">
        <f ca="1">IF($Y101&gt;0,CHOOSE(MATCH(RegimeExecucao,{"Unitário","Global"},0),IF($A101="S",ROUND($H101,ORÇAMENTO!$AF$10),""),ROUND($I101,ORÇAMENTO!$AF$11)),"")</f>
        <v/>
      </c>
      <c r="Y101" s="339">
        <f t="shared" ca="1" si="14"/>
        <v>0</v>
      </c>
      <c r="Z101" s="473"/>
      <c r="AB101" s="337"/>
      <c r="AC101" s="437"/>
      <c r="AD101" s="437"/>
      <c r="AE101" s="437"/>
      <c r="AF101" s="437"/>
      <c r="AG101" s="437"/>
      <c r="AH101" s="437"/>
      <c r="AI101" s="437"/>
      <c r="AJ101" s="437"/>
      <c r="AK101" s="437"/>
      <c r="AL101" s="437"/>
      <c r="AM101" s="338"/>
      <c r="AO101">
        <f ca="1">IF($A101="S",IF(BM!$I101=0,0,CHOOSE(MATCH(RegimeExecucao,{"Global","Unitário"},0),ROUND(ROUND(BM.MEDAcumulado,15-13*BM!$A$9)/100*BM!$I101,15-13*ORÇAMENTO!$AF$11),ROUND(ROUND(BM.MEDAcumulado,15-13*BM!$A$9)*ROUND(BM!$H101,15-13*ORÇAMENTO!$AF$10),15-13*ORÇAMENTO!$AF$11))),IF($A101=0,0,ROUND(SomaAgrupBM,15-13*ORÇAMENTO!$AF$11)))</f>
        <v>0</v>
      </c>
    </row>
    <row r="102" spans="1:41" ht="25.5" x14ac:dyDescent="0.2">
      <c r="A102" t="str">
        <f ca="1">ORÇAMENTO!C102</f>
        <v>S</v>
      </c>
      <c r="B102">
        <f ca="1">ORÇAMENTO!D102</f>
        <v>0</v>
      </c>
      <c r="C102" s="114" t="str">
        <f t="shared" ca="1" si="8"/>
        <v>F</v>
      </c>
      <c r="D102" s="117" t="str">
        <f ca="1">ORÇAMENTO!O102</f>
        <v>1.5.1.5.2.</v>
      </c>
      <c r="E102" s="163" t="str">
        <f t="shared" ca="1" si="9"/>
        <v>LANÇAMENTO COM USO DE BOMBA, ADENSAMENTO E ACABAMENTO DE CONCRETO EM ESTRUTURAS. AF_02/2022</v>
      </c>
      <c r="F102" s="164" t="str">
        <f ca="1">IF(RegimeExecucao="Global","",ORÇAMENTO.Unidade)</f>
        <v>M3</v>
      </c>
      <c r="G102" s="122">
        <f ca="1">IF(RegimeExecucao="Global","",ORÇAMENTO!T102)</f>
        <v>24.79</v>
      </c>
      <c r="H102" s="122">
        <f ca="1">IF(RegimeExecucao="Global","",ORÇAMENTO!W102)</f>
        <v>54.96</v>
      </c>
      <c r="I102" s="125">
        <f ca="1">ORÇAMENTO!X102</f>
        <v>1362.46</v>
      </c>
      <c r="J102" s="333" cm="1">
        <f t="array" aca="1" ref="J102" ca="1">_xlfn.SINGLE(IF($A102="S",IF(CAIXA.Modo,BM.AFAnterior,BM.MEDAnterior),IF(AND(_xlfn.SINGLE(RegimeExecucao)="Global",$I102&gt;0,COUNTIF($AB$13:$AM$13,BM.medicao-1)&gt;0),M102/$I102*100,0)))</f>
        <v>0</v>
      </c>
      <c r="K102" s="122">
        <f t="shared" ca="1" si="10"/>
        <v>0</v>
      </c>
      <c r="L102" s="334" cm="1">
        <f t="array" aca="1" ref="L102" ca="1">_xlfn.SINGLE(IF($A102="S",IF(CAIXA.Modo,BM.AFAcumulado,BM.MEDAcumulado),IF(AND(_xlfn.SINGLE(RegimeExecucao)="Global",$I102&gt;0,COUNTIF($AB$13:$AM$13,BM.medicao)&gt;0),O102/$I102*100,0)))</f>
        <v>0</v>
      </c>
      <c r="M102" s="335">
        <f ca="1">IF($A102="S",VTOTALBM,IF($A102=0,0,ROUND(SomaAgrupBM,15-13*ORÇAMENTO!$AF$11)))</f>
        <v>0</v>
      </c>
      <c r="N102" s="336">
        <f t="shared" ca="1" si="11"/>
        <v>0</v>
      </c>
      <c r="O102" s="125">
        <f ca="1">IF($A102="S",VTOTALBM,IF($A102=0,0,ROUND(SomaAgrupBM,15-13*ORÇAMENTO!$AF$11)))</f>
        <v>0</v>
      </c>
      <c r="Q102" s="337"/>
      <c r="R102" s="338"/>
      <c r="T102" s="117" t="str">
        <f t="shared" ca="1" si="12"/>
        <v/>
      </c>
      <c r="U102" s="163" t="str">
        <f t="shared" ca="1" si="13"/>
        <v/>
      </c>
      <c r="V102" s="164" t="str">
        <f ca="1">IF(AND($W102&gt;0,RegimeExecucao="Unitário"),$F102,"")</f>
        <v/>
      </c>
      <c r="W102" s="454">
        <f ca="1">IF($Y102&gt;0,CHOOSE(MATCH(RegimeExecucao,{"Unitário","Global"},0),IF($A102="S",$Y102/$X102,""),($Y102/$X102)*100),0)</f>
        <v>0</v>
      </c>
      <c r="X102" s="339" t="str">
        <f ca="1">IF($Y102&gt;0,CHOOSE(MATCH(RegimeExecucao,{"Unitário","Global"},0),IF($A102="S",ROUND($H102,ORÇAMENTO!$AF$10),""),ROUND($I102,ORÇAMENTO!$AF$11)),"")</f>
        <v/>
      </c>
      <c r="Y102" s="339">
        <f t="shared" ca="1" si="14"/>
        <v>0</v>
      </c>
      <c r="Z102" s="473"/>
      <c r="AB102" s="337"/>
      <c r="AC102" s="437"/>
      <c r="AD102" s="437"/>
      <c r="AE102" s="437"/>
      <c r="AF102" s="437"/>
      <c r="AG102" s="437"/>
      <c r="AH102" s="437"/>
      <c r="AI102" s="437"/>
      <c r="AJ102" s="437"/>
      <c r="AK102" s="437"/>
      <c r="AL102" s="437"/>
      <c r="AM102" s="338"/>
      <c r="AO102">
        <f ca="1">IF($A102="S",IF(BM!$I102=0,0,CHOOSE(MATCH(RegimeExecucao,{"Global","Unitário"},0),ROUND(ROUND(BM.MEDAcumulado,15-13*BM!$A$9)/100*BM!$I102,15-13*ORÇAMENTO!$AF$11),ROUND(ROUND(BM.MEDAcumulado,15-13*BM!$A$9)*ROUND(BM!$H102,15-13*ORÇAMENTO!$AF$10),15-13*ORÇAMENTO!$AF$11))),IF($A102=0,0,ROUND(SomaAgrupBM,15-13*ORÇAMENTO!$AF$11)))</f>
        <v>0</v>
      </c>
    </row>
    <row r="103" spans="1:41" ht="25.5" x14ac:dyDescent="0.2">
      <c r="A103" t="str">
        <f ca="1">ORÇAMENTO!C103</f>
        <v>S</v>
      </c>
      <c r="B103">
        <f ca="1">ORÇAMENTO!D103</f>
        <v>0</v>
      </c>
      <c r="C103" s="114" t="str">
        <f t="shared" ca="1" si="8"/>
        <v>F</v>
      </c>
      <c r="D103" s="117" t="str">
        <f ca="1">ORÇAMENTO!O103</f>
        <v>1.5.1.5.3.</v>
      </c>
      <c r="E103" s="163" t="str">
        <f t="shared" ca="1" si="9"/>
        <v>FÔRMAS DE COMPENSADO RESINADO 10 MM - USO GERAL - UTILIZAÇÃO DE 3 VEZES - CONFECÇÃO, INSTALAÇÃO E RETIRADA</v>
      </c>
      <c r="F103" s="164" t="str">
        <f ca="1">IF(RegimeExecucao="Global","",ORÇAMENTO.Unidade)</f>
        <v>M2</v>
      </c>
      <c r="G103" s="122">
        <f ca="1">IF(RegimeExecucao="Global","",ORÇAMENTO!T103)</f>
        <v>309.2</v>
      </c>
      <c r="H103" s="122">
        <f ca="1">IF(RegimeExecucao="Global","",ORÇAMENTO!W103)</f>
        <v>88.5</v>
      </c>
      <c r="I103" s="125">
        <f ca="1">ORÇAMENTO!X103</f>
        <v>27364.2</v>
      </c>
      <c r="J103" s="333" cm="1">
        <f t="array" aca="1" ref="J103" ca="1">_xlfn.SINGLE(IF($A103="S",IF(CAIXA.Modo,BM.AFAnterior,BM.MEDAnterior),IF(AND(_xlfn.SINGLE(RegimeExecucao)="Global",$I103&gt;0,COUNTIF($AB$13:$AM$13,BM.medicao-1)&gt;0),M103/$I103*100,0)))</f>
        <v>0</v>
      </c>
      <c r="K103" s="122">
        <f t="shared" ca="1" si="10"/>
        <v>0</v>
      </c>
      <c r="L103" s="334" cm="1">
        <f t="array" aca="1" ref="L103" ca="1">_xlfn.SINGLE(IF($A103="S",IF(CAIXA.Modo,BM.AFAcumulado,BM.MEDAcumulado),IF(AND(_xlfn.SINGLE(RegimeExecucao)="Global",$I103&gt;0,COUNTIF($AB$13:$AM$13,BM.medicao)&gt;0),O103/$I103*100,0)))</f>
        <v>0</v>
      </c>
      <c r="M103" s="335">
        <f ca="1">IF($A103="S",VTOTALBM,IF($A103=0,0,ROUND(SomaAgrupBM,15-13*ORÇAMENTO!$AF$11)))</f>
        <v>0</v>
      </c>
      <c r="N103" s="336">
        <f t="shared" ca="1" si="11"/>
        <v>0</v>
      </c>
      <c r="O103" s="125">
        <f ca="1">IF($A103="S",VTOTALBM,IF($A103=0,0,ROUND(SomaAgrupBM,15-13*ORÇAMENTO!$AF$11)))</f>
        <v>0</v>
      </c>
      <c r="Q103" s="337"/>
      <c r="R103" s="338"/>
      <c r="T103" s="117" t="str">
        <f t="shared" ca="1" si="12"/>
        <v/>
      </c>
      <c r="U103" s="163" t="str">
        <f t="shared" ca="1" si="13"/>
        <v/>
      </c>
      <c r="V103" s="164" t="str">
        <f ca="1">IF(AND($W103&gt;0,RegimeExecucao="Unitário"),$F103,"")</f>
        <v/>
      </c>
      <c r="W103" s="454">
        <f ca="1">IF($Y103&gt;0,CHOOSE(MATCH(RegimeExecucao,{"Unitário","Global"},0),IF($A103="S",$Y103/$X103,""),($Y103/$X103)*100),0)</f>
        <v>0</v>
      </c>
      <c r="X103" s="339" t="str">
        <f ca="1">IF($Y103&gt;0,CHOOSE(MATCH(RegimeExecucao,{"Unitário","Global"},0),IF($A103="S",ROUND($H103,ORÇAMENTO!$AF$10),""),ROUND($I103,ORÇAMENTO!$AF$11)),"")</f>
        <v/>
      </c>
      <c r="Y103" s="339">
        <f t="shared" ca="1" si="14"/>
        <v>0</v>
      </c>
      <c r="Z103" s="473"/>
      <c r="AB103" s="337"/>
      <c r="AC103" s="437"/>
      <c r="AD103" s="437"/>
      <c r="AE103" s="437"/>
      <c r="AF103" s="437"/>
      <c r="AG103" s="437"/>
      <c r="AH103" s="437"/>
      <c r="AI103" s="437"/>
      <c r="AJ103" s="437"/>
      <c r="AK103" s="437"/>
      <c r="AL103" s="437"/>
      <c r="AM103" s="338"/>
      <c r="AO103">
        <f ca="1">IF($A103="S",IF(BM!$I103=0,0,CHOOSE(MATCH(RegimeExecucao,{"Global","Unitário"},0),ROUND(ROUND(BM.MEDAcumulado,15-13*BM!$A$9)/100*BM!$I103,15-13*ORÇAMENTO!$AF$11),ROUND(ROUND(BM.MEDAcumulado,15-13*BM!$A$9)*ROUND(BM!$H103,15-13*ORÇAMENTO!$AF$10),15-13*ORÇAMENTO!$AF$11))),IF($A103=0,0,ROUND(SomaAgrupBM,15-13*ORÇAMENTO!$AF$11)))</f>
        <v>0</v>
      </c>
    </row>
    <row r="104" spans="1:41" ht="25.5" x14ac:dyDescent="0.2">
      <c r="A104" t="str">
        <f ca="1">ORÇAMENTO!C104</f>
        <v>S</v>
      </c>
      <c r="B104">
        <f ca="1">ORÇAMENTO!D104</f>
        <v>0</v>
      </c>
      <c r="C104" s="114" t="str">
        <f t="shared" ca="1" si="8"/>
        <v>F</v>
      </c>
      <c r="D104" s="117" t="str">
        <f ca="1">ORÇAMENTO!O104</f>
        <v>1.5.1.5.4.</v>
      </c>
      <c r="E104" s="163" t="str">
        <f t="shared" ca="1" si="9"/>
        <v>ARMAÇÃO EM AÇO CA-50 - FORNECIMENTO, PREPARO E COLOCAÇÃO</v>
      </c>
      <c r="F104" s="164" t="str">
        <f ca="1">IF(RegimeExecucao="Global","",ORÇAMENTO.Unidade)</f>
        <v>KG</v>
      </c>
      <c r="G104" s="122">
        <f ca="1">IF(RegimeExecucao="Global","",ORÇAMENTO!T104)</f>
        <v>5362.17</v>
      </c>
      <c r="H104" s="122">
        <f ca="1">IF(RegimeExecucao="Global","",ORÇAMENTO!W104)</f>
        <v>14.92</v>
      </c>
      <c r="I104" s="125">
        <f ca="1">ORÇAMENTO!X104</f>
        <v>80003.58</v>
      </c>
      <c r="J104" s="333" cm="1">
        <f t="array" aca="1" ref="J104" ca="1">_xlfn.SINGLE(IF($A104="S",IF(CAIXA.Modo,BM.AFAnterior,BM.MEDAnterior),IF(AND(_xlfn.SINGLE(RegimeExecucao)="Global",$I104&gt;0,COUNTIF($AB$13:$AM$13,BM.medicao-1)&gt;0),M104/$I104*100,0)))</f>
        <v>0</v>
      </c>
      <c r="K104" s="122">
        <f t="shared" ca="1" si="10"/>
        <v>0</v>
      </c>
      <c r="L104" s="334" cm="1">
        <f t="array" aca="1" ref="L104" ca="1">_xlfn.SINGLE(IF($A104="S",IF(CAIXA.Modo,BM.AFAcumulado,BM.MEDAcumulado),IF(AND(_xlfn.SINGLE(RegimeExecucao)="Global",$I104&gt;0,COUNTIF($AB$13:$AM$13,BM.medicao)&gt;0),O104/$I104*100,0)))</f>
        <v>0</v>
      </c>
      <c r="M104" s="335">
        <f ca="1">IF($A104="S",VTOTALBM,IF($A104=0,0,ROUND(SomaAgrupBM,15-13*ORÇAMENTO!$AF$11)))</f>
        <v>0</v>
      </c>
      <c r="N104" s="336">
        <f t="shared" ca="1" si="11"/>
        <v>0</v>
      </c>
      <c r="O104" s="125">
        <f ca="1">IF($A104="S",VTOTALBM,IF($A104=0,0,ROUND(SomaAgrupBM,15-13*ORÇAMENTO!$AF$11)))</f>
        <v>0</v>
      </c>
      <c r="Q104" s="337"/>
      <c r="R104" s="338"/>
      <c r="T104" s="117" t="str">
        <f t="shared" ca="1" si="12"/>
        <v/>
      </c>
      <c r="U104" s="163" t="str">
        <f t="shared" ca="1" si="13"/>
        <v/>
      </c>
      <c r="V104" s="164" t="str">
        <f ca="1">IF(AND($W104&gt;0,RegimeExecucao="Unitário"),$F104,"")</f>
        <v/>
      </c>
      <c r="W104" s="454">
        <f ca="1">IF($Y104&gt;0,CHOOSE(MATCH(RegimeExecucao,{"Unitário","Global"},0),IF($A104="S",$Y104/$X104,""),($Y104/$X104)*100),0)</f>
        <v>0</v>
      </c>
      <c r="X104" s="339" t="str">
        <f ca="1">IF($Y104&gt;0,CHOOSE(MATCH(RegimeExecucao,{"Unitário","Global"},0),IF($A104="S",ROUND($H104,ORÇAMENTO!$AF$10),""),ROUND($I104,ORÇAMENTO!$AF$11)),"")</f>
        <v/>
      </c>
      <c r="Y104" s="339">
        <f t="shared" ca="1" si="14"/>
        <v>0</v>
      </c>
      <c r="Z104" s="473"/>
      <c r="AB104" s="337"/>
      <c r="AC104" s="437"/>
      <c r="AD104" s="437"/>
      <c r="AE104" s="437"/>
      <c r="AF104" s="437"/>
      <c r="AG104" s="437"/>
      <c r="AH104" s="437"/>
      <c r="AI104" s="437"/>
      <c r="AJ104" s="437"/>
      <c r="AK104" s="437"/>
      <c r="AL104" s="437"/>
      <c r="AM104" s="338"/>
      <c r="AO104">
        <f ca="1">IF($A104="S",IF(BM!$I104=0,0,CHOOSE(MATCH(RegimeExecucao,{"Global","Unitário"},0),ROUND(ROUND(BM.MEDAcumulado,15-13*BM!$A$9)/100*BM!$I104,15-13*ORÇAMENTO!$AF$11),ROUND(ROUND(BM.MEDAcumulado,15-13*BM!$A$9)*ROUND(BM!$H104,15-13*ORÇAMENTO!$AF$10),15-13*ORÇAMENTO!$AF$11))),IF($A104=0,0,ROUND(SomaAgrupBM,15-13*ORÇAMENTO!$AF$11)))</f>
        <v>0</v>
      </c>
    </row>
    <row r="105" spans="1:41" x14ac:dyDescent="0.2">
      <c r="A105">
        <f ca="1">ORÇAMENTO!C105</f>
        <v>3</v>
      </c>
      <c r="B105">
        <f ca="1">ORÇAMENTO!D105</f>
        <v>29</v>
      </c>
      <c r="C105" s="114" t="str">
        <f t="shared" ca="1" si="8"/>
        <v>F</v>
      </c>
      <c r="D105" s="117" t="str">
        <f ca="1">ORÇAMENTO!O105</f>
        <v>1.5.2.</v>
      </c>
      <c r="E105" s="163" t="str">
        <f t="shared" si="9"/>
        <v>DECANTADOR SECUNDÁRIO</v>
      </c>
      <c r="F105" s="164" t="str">
        <f ca="1">IF(RegimeExecucao="Global","",ORÇAMENTO.Unidade)</f>
        <v>-</v>
      </c>
      <c r="G105" s="122">
        <f ca="1">IF(RegimeExecucao="Global","",ORÇAMENTO!T105)</f>
        <v>0</v>
      </c>
      <c r="H105" s="122">
        <f ca="1">IF(RegimeExecucao="Global","",ORÇAMENTO!W105)</f>
        <v>0</v>
      </c>
      <c r="I105" s="125">
        <f ca="1">ORÇAMENTO!X105</f>
        <v>808293.31</v>
      </c>
      <c r="J105" s="333" cm="1">
        <f t="array" aca="1" ref="J105" ca="1">_xlfn.SINGLE(IF($A105="S",IF(CAIXA.Modo,BM.AFAnterior,BM.MEDAnterior),IF(AND(_xlfn.SINGLE(RegimeExecucao)="Global",$I105&gt;0,COUNTIF($AB$13:$AM$13,BM.medicao-1)&gt;0),M105/$I105*100,0)))</f>
        <v>0</v>
      </c>
      <c r="K105" s="122">
        <f t="shared" ca="1" si="10"/>
        <v>0</v>
      </c>
      <c r="L105" s="334" cm="1">
        <f t="array" aca="1" ref="L105" ca="1">_xlfn.SINGLE(IF($A105="S",IF(CAIXA.Modo,BM.AFAcumulado,BM.MEDAcumulado),IF(AND(_xlfn.SINGLE(RegimeExecucao)="Global",$I105&gt;0,COUNTIF($AB$13:$AM$13,BM.medicao)&gt;0),O105/$I105*100,0)))</f>
        <v>0</v>
      </c>
      <c r="M105" s="335">
        <f ca="1">IF($A105="S",VTOTALBM,IF($A105=0,0,ROUND(SomaAgrupBM,15-13*ORÇAMENTO!$AF$11)))</f>
        <v>0</v>
      </c>
      <c r="N105" s="336">
        <f t="shared" ca="1" si="11"/>
        <v>0</v>
      </c>
      <c r="O105" s="125">
        <f ca="1">IF($A105="S",VTOTALBM,IF($A105=0,0,ROUND(SomaAgrupBM,15-13*ORÇAMENTO!$AF$11)))</f>
        <v>0</v>
      </c>
      <c r="Q105" s="337"/>
      <c r="R105" s="338"/>
      <c r="T105" s="117" t="str">
        <f t="shared" ca="1" si="12"/>
        <v/>
      </c>
      <c r="U105" s="163" t="str">
        <f t="shared" ca="1" si="13"/>
        <v/>
      </c>
      <c r="V105" s="164" t="str">
        <f ca="1">IF(AND($W105&gt;0,RegimeExecucao="Unitário"),$F105,"")</f>
        <v/>
      </c>
      <c r="W105" s="454">
        <f ca="1">IF($Y105&gt;0,CHOOSE(MATCH(RegimeExecucao,{"Unitário","Global"},0),IF($A105="S",$Y105/$X105,""),($Y105/$X105)*100),0)</f>
        <v>0</v>
      </c>
      <c r="X105" s="339" t="str">
        <f ca="1">IF($Y105&gt;0,CHOOSE(MATCH(RegimeExecucao,{"Unitário","Global"},0),IF($A105="S",ROUND($H105,ORÇAMENTO!$AF$10),""),ROUND($I105,ORÇAMENTO!$AF$11)),"")</f>
        <v/>
      </c>
      <c r="Y105" s="339">
        <f t="shared" ca="1" si="14"/>
        <v>0</v>
      </c>
      <c r="Z105" s="473"/>
      <c r="AB105" s="337"/>
      <c r="AC105" s="437"/>
      <c r="AD105" s="437"/>
      <c r="AE105" s="437"/>
      <c r="AF105" s="437"/>
      <c r="AG105" s="437"/>
      <c r="AH105" s="437"/>
      <c r="AI105" s="437"/>
      <c r="AJ105" s="437"/>
      <c r="AK105" s="437"/>
      <c r="AL105" s="437"/>
      <c r="AM105" s="338"/>
      <c r="AO105">
        <f ca="1">IF($A105="S",IF(BM!$I105=0,0,CHOOSE(MATCH(RegimeExecucao,{"Global","Unitário"},0),ROUND(ROUND(BM.MEDAcumulado,15-13*BM!$A$9)/100*BM!$I105,15-13*ORÇAMENTO!$AF$11),ROUND(ROUND(BM.MEDAcumulado,15-13*BM!$A$9)*ROUND(BM!$H105,15-13*ORÇAMENTO!$AF$10),15-13*ORÇAMENTO!$AF$11))),IF($A105=0,0,ROUND(SomaAgrupBM,15-13*ORÇAMENTO!$AF$11)))</f>
        <v>0</v>
      </c>
    </row>
    <row r="106" spans="1:41" x14ac:dyDescent="0.2">
      <c r="A106">
        <f ca="1">ORÇAMENTO!C106</f>
        <v>4</v>
      </c>
      <c r="B106">
        <f ca="1">ORÇAMENTO!D106</f>
        <v>12</v>
      </c>
      <c r="C106" s="114" t="str">
        <f t="shared" ca="1" si="8"/>
        <v>F</v>
      </c>
      <c r="D106" s="117" t="str">
        <f ca="1">ORÇAMENTO!O106</f>
        <v>1.5.2.1.</v>
      </c>
      <c r="E106" s="163" t="str">
        <f t="shared" si="9"/>
        <v>ESTACAS</v>
      </c>
      <c r="F106" s="164" t="str">
        <f ca="1">IF(RegimeExecucao="Global","",ORÇAMENTO.Unidade)</f>
        <v>-</v>
      </c>
      <c r="G106" s="122">
        <f ca="1">IF(RegimeExecucao="Global","",ORÇAMENTO!T106)</f>
        <v>0</v>
      </c>
      <c r="H106" s="122">
        <f ca="1">IF(RegimeExecucao="Global","",ORÇAMENTO!W106)</f>
        <v>0</v>
      </c>
      <c r="I106" s="125">
        <f ca="1">ORÇAMENTO!X106</f>
        <v>151449.60999999999</v>
      </c>
      <c r="J106" s="333" cm="1">
        <f t="array" aca="1" ref="J106" ca="1">_xlfn.SINGLE(IF($A106="S",IF(CAIXA.Modo,BM.AFAnterior,BM.MEDAnterior),IF(AND(_xlfn.SINGLE(RegimeExecucao)="Global",$I106&gt;0,COUNTIF($AB$13:$AM$13,BM.medicao-1)&gt;0),M106/$I106*100,0)))</f>
        <v>0</v>
      </c>
      <c r="K106" s="122">
        <f t="shared" ca="1" si="10"/>
        <v>0</v>
      </c>
      <c r="L106" s="334" cm="1">
        <f t="array" aca="1" ref="L106" ca="1">_xlfn.SINGLE(IF($A106="S",IF(CAIXA.Modo,BM.AFAcumulado,BM.MEDAcumulado),IF(AND(_xlfn.SINGLE(RegimeExecucao)="Global",$I106&gt;0,COUNTIF($AB$13:$AM$13,BM.medicao)&gt;0),O106/$I106*100,0)))</f>
        <v>0</v>
      </c>
      <c r="M106" s="335">
        <f ca="1">IF($A106="S",VTOTALBM,IF($A106=0,0,ROUND(SomaAgrupBM,15-13*ORÇAMENTO!$AF$11)))</f>
        <v>0</v>
      </c>
      <c r="N106" s="336">
        <f t="shared" ca="1" si="11"/>
        <v>0</v>
      </c>
      <c r="O106" s="125">
        <f ca="1">IF($A106="S",VTOTALBM,IF($A106=0,0,ROUND(SomaAgrupBM,15-13*ORÇAMENTO!$AF$11)))</f>
        <v>0</v>
      </c>
      <c r="Q106" s="337"/>
      <c r="R106" s="338"/>
      <c r="T106" s="117" t="str">
        <f t="shared" ca="1" si="12"/>
        <v/>
      </c>
      <c r="U106" s="163" t="str">
        <f t="shared" ca="1" si="13"/>
        <v/>
      </c>
      <c r="V106" s="164" t="str">
        <f ca="1">IF(AND($W106&gt;0,RegimeExecucao="Unitário"),$F106,"")</f>
        <v/>
      </c>
      <c r="W106" s="454">
        <f ca="1">IF($Y106&gt;0,CHOOSE(MATCH(RegimeExecucao,{"Unitário","Global"},0),IF($A106="S",$Y106/$X106,""),($Y106/$X106)*100),0)</f>
        <v>0</v>
      </c>
      <c r="X106" s="339" t="str">
        <f ca="1">IF($Y106&gt;0,CHOOSE(MATCH(RegimeExecucao,{"Unitário","Global"},0),IF($A106="S",ROUND($H106,ORÇAMENTO!$AF$10),""),ROUND($I106,ORÇAMENTO!$AF$11)),"")</f>
        <v/>
      </c>
      <c r="Y106" s="339">
        <f t="shared" ca="1" si="14"/>
        <v>0</v>
      </c>
      <c r="Z106" s="473"/>
      <c r="AB106" s="337"/>
      <c r="AC106" s="437"/>
      <c r="AD106" s="437"/>
      <c r="AE106" s="437"/>
      <c r="AF106" s="437"/>
      <c r="AG106" s="437"/>
      <c r="AH106" s="437"/>
      <c r="AI106" s="437"/>
      <c r="AJ106" s="437"/>
      <c r="AK106" s="437"/>
      <c r="AL106" s="437"/>
      <c r="AM106" s="338"/>
      <c r="AO106">
        <f ca="1">IF($A106="S",IF(BM!$I106=0,0,CHOOSE(MATCH(RegimeExecucao,{"Global","Unitário"},0),ROUND(ROUND(BM.MEDAcumulado,15-13*BM!$A$9)/100*BM!$I106,15-13*ORÇAMENTO!$AF$11),ROUND(ROUND(BM.MEDAcumulado,15-13*BM!$A$9)*ROUND(BM!$H106,15-13*ORÇAMENTO!$AF$10),15-13*ORÇAMENTO!$AF$11))),IF($A106=0,0,ROUND(SomaAgrupBM,15-13*ORÇAMENTO!$AF$11)))</f>
        <v>0</v>
      </c>
    </row>
    <row r="107" spans="1:41" ht="25.5" x14ac:dyDescent="0.2">
      <c r="A107" t="str">
        <f ca="1">ORÇAMENTO!C107</f>
        <v>S</v>
      </c>
      <c r="B107">
        <f ca="1">ORÇAMENTO!D107</f>
        <v>0</v>
      </c>
      <c r="C107" s="114" t="str">
        <f t="shared" ca="1" si="8"/>
        <v>F</v>
      </c>
      <c r="D107" s="117" t="str">
        <f ca="1">ORÇAMENTO!O107</f>
        <v>1.5.2.1.1.</v>
      </c>
      <c r="E107" s="163" t="str">
        <f t="shared" ca="1" si="9"/>
        <v>MOBILIZAÇÃO E DESMOBILIZAÇÃO DE EQUIPAMENTO - HÉLICE CONTÍNUA</v>
      </c>
      <c r="F107" s="164" t="str">
        <f ca="1">IF(RegimeExecucao="Global","",ORÇAMENTO.Unidade)</f>
        <v>UN</v>
      </c>
      <c r="G107" s="122">
        <f ca="1">IF(RegimeExecucao="Global","",ORÇAMENTO!T107)</f>
        <v>1</v>
      </c>
      <c r="H107" s="122">
        <f ca="1">IF(RegimeExecucao="Global","",ORÇAMENTO!W107)</f>
        <v>30875</v>
      </c>
      <c r="I107" s="125">
        <f ca="1">ORÇAMENTO!X107</f>
        <v>30875</v>
      </c>
      <c r="J107" s="333" cm="1">
        <f t="array" aca="1" ref="J107" ca="1">_xlfn.SINGLE(IF($A107="S",IF(CAIXA.Modo,BM.AFAnterior,BM.MEDAnterior),IF(AND(_xlfn.SINGLE(RegimeExecucao)="Global",$I107&gt;0,COUNTIF($AB$13:$AM$13,BM.medicao-1)&gt;0),M107/$I107*100,0)))</f>
        <v>0</v>
      </c>
      <c r="K107" s="122">
        <f t="shared" ca="1" si="10"/>
        <v>0</v>
      </c>
      <c r="L107" s="334" cm="1">
        <f t="array" aca="1" ref="L107" ca="1">_xlfn.SINGLE(IF($A107="S",IF(CAIXA.Modo,BM.AFAcumulado,BM.MEDAcumulado),IF(AND(_xlfn.SINGLE(RegimeExecucao)="Global",$I107&gt;0,COUNTIF($AB$13:$AM$13,BM.medicao)&gt;0),O107/$I107*100,0)))</f>
        <v>0</v>
      </c>
      <c r="M107" s="335">
        <f ca="1">IF($A107="S",VTOTALBM,IF($A107=0,0,ROUND(SomaAgrupBM,15-13*ORÇAMENTO!$AF$11)))</f>
        <v>0</v>
      </c>
      <c r="N107" s="336">
        <f t="shared" ca="1" si="11"/>
        <v>0</v>
      </c>
      <c r="O107" s="125">
        <f ca="1">IF($A107="S",VTOTALBM,IF($A107=0,0,ROUND(SomaAgrupBM,15-13*ORÇAMENTO!$AF$11)))</f>
        <v>0</v>
      </c>
      <c r="Q107" s="337"/>
      <c r="R107" s="338"/>
      <c r="T107" s="117" t="str">
        <f t="shared" ca="1" si="12"/>
        <v/>
      </c>
      <c r="U107" s="163" t="str">
        <f t="shared" ca="1" si="13"/>
        <v/>
      </c>
      <c r="V107" s="164" t="str">
        <f ca="1">IF(AND($W107&gt;0,RegimeExecucao="Unitário"),$F107,"")</f>
        <v/>
      </c>
      <c r="W107" s="454">
        <f ca="1">IF($Y107&gt;0,CHOOSE(MATCH(RegimeExecucao,{"Unitário","Global"},0),IF($A107="S",$Y107/$X107,""),($Y107/$X107)*100),0)</f>
        <v>0</v>
      </c>
      <c r="X107" s="339" t="str">
        <f ca="1">IF($Y107&gt;0,CHOOSE(MATCH(RegimeExecucao,{"Unitário","Global"},0),IF($A107="S",ROUND($H107,ORÇAMENTO!$AF$10),""),ROUND($I107,ORÇAMENTO!$AF$11)),"")</f>
        <v/>
      </c>
      <c r="Y107" s="339">
        <f t="shared" ca="1" si="14"/>
        <v>0</v>
      </c>
      <c r="Z107" s="473"/>
      <c r="AB107" s="337"/>
      <c r="AC107" s="437"/>
      <c r="AD107" s="437"/>
      <c r="AE107" s="437"/>
      <c r="AF107" s="437"/>
      <c r="AG107" s="437"/>
      <c r="AH107" s="437"/>
      <c r="AI107" s="437"/>
      <c r="AJ107" s="437"/>
      <c r="AK107" s="437"/>
      <c r="AL107" s="437"/>
      <c r="AM107" s="338"/>
      <c r="AO107">
        <f ca="1">IF($A107="S",IF(BM!$I107=0,0,CHOOSE(MATCH(RegimeExecucao,{"Global","Unitário"},0),ROUND(ROUND(BM.MEDAcumulado,15-13*BM!$A$9)/100*BM!$I107,15-13*ORÇAMENTO!$AF$11),ROUND(ROUND(BM.MEDAcumulado,15-13*BM!$A$9)*ROUND(BM!$H107,15-13*ORÇAMENTO!$AF$10),15-13*ORÇAMENTO!$AF$11))),IF($A107=0,0,ROUND(SomaAgrupBM,15-13*ORÇAMENTO!$AF$11)))</f>
        <v>0</v>
      </c>
    </row>
    <row r="108" spans="1:41" ht="51" x14ac:dyDescent="0.2">
      <c r="A108" t="str">
        <f ca="1">ORÇAMENTO!C108</f>
        <v>S</v>
      </c>
      <c r="B108">
        <f ca="1">ORÇAMENTO!D108</f>
        <v>0</v>
      </c>
      <c r="C108" s="114" t="str">
        <f t="shared" ca="1" si="8"/>
        <v>F</v>
      </c>
      <c r="D108" s="117" t="str">
        <f ca="1">ORÇAMENTO!O108</f>
        <v>1.5.2.1.2.</v>
      </c>
      <c r="E108" s="163" t="str">
        <f t="shared" ca="1" si="9"/>
        <v>EXECUÇÃO DE ESTACA TIPO HÉLICE CONTÍNUA, DIÂMETRO 50CM, INCLUSIVE AFASTAMENTO LATERAL, EXCLUSIVE ARMAÇÃO, CONCRETO ESTRUTURAL, TRANSPORTE E RETIRADA DO MATERIAL ESCAVADO</v>
      </c>
      <c r="F108" s="164" t="str">
        <f ca="1">IF(RegimeExecucao="Global","",ORÇAMENTO.Unidade)</f>
        <v>M</v>
      </c>
      <c r="G108" s="122">
        <f ca="1">IF(RegimeExecucao="Global","",ORÇAMENTO!T108)</f>
        <v>256</v>
      </c>
      <c r="H108" s="122">
        <f ca="1">IF(RegimeExecucao="Global","",ORÇAMENTO!W108)</f>
        <v>84.81</v>
      </c>
      <c r="I108" s="125">
        <f ca="1">ORÇAMENTO!X108</f>
        <v>21711.360000000001</v>
      </c>
      <c r="J108" s="333" cm="1">
        <f t="array" aca="1" ref="J108" ca="1">_xlfn.SINGLE(IF($A108="S",IF(CAIXA.Modo,BM.AFAnterior,BM.MEDAnterior),IF(AND(_xlfn.SINGLE(RegimeExecucao)="Global",$I108&gt;0,COUNTIF($AB$13:$AM$13,BM.medicao-1)&gt;0),M108/$I108*100,0)))</f>
        <v>0</v>
      </c>
      <c r="K108" s="122">
        <f t="shared" ca="1" si="10"/>
        <v>0</v>
      </c>
      <c r="L108" s="334" cm="1">
        <f t="array" aca="1" ref="L108" ca="1">_xlfn.SINGLE(IF($A108="S",IF(CAIXA.Modo,BM.AFAcumulado,BM.MEDAcumulado),IF(AND(_xlfn.SINGLE(RegimeExecucao)="Global",$I108&gt;0,COUNTIF($AB$13:$AM$13,BM.medicao)&gt;0),O108/$I108*100,0)))</f>
        <v>0</v>
      </c>
      <c r="M108" s="335">
        <f ca="1">IF($A108="S",VTOTALBM,IF($A108=0,0,ROUND(SomaAgrupBM,15-13*ORÇAMENTO!$AF$11)))</f>
        <v>0</v>
      </c>
      <c r="N108" s="336">
        <f t="shared" ca="1" si="11"/>
        <v>0</v>
      </c>
      <c r="O108" s="125">
        <f ca="1">IF($A108="S",VTOTALBM,IF($A108=0,0,ROUND(SomaAgrupBM,15-13*ORÇAMENTO!$AF$11)))</f>
        <v>0</v>
      </c>
      <c r="Q108" s="337"/>
      <c r="R108" s="338"/>
      <c r="T108" s="117" t="str">
        <f t="shared" ca="1" si="12"/>
        <v/>
      </c>
      <c r="U108" s="163" t="str">
        <f t="shared" ca="1" si="13"/>
        <v/>
      </c>
      <c r="V108" s="164" t="str">
        <f ca="1">IF(AND($W108&gt;0,RegimeExecucao="Unitário"),$F108,"")</f>
        <v/>
      </c>
      <c r="W108" s="454">
        <f ca="1">IF($Y108&gt;0,CHOOSE(MATCH(RegimeExecucao,{"Unitário","Global"},0),IF($A108="S",$Y108/$X108,""),($Y108/$X108)*100),0)</f>
        <v>0</v>
      </c>
      <c r="X108" s="339" t="str">
        <f ca="1">IF($Y108&gt;0,CHOOSE(MATCH(RegimeExecucao,{"Unitário","Global"},0),IF($A108="S",ROUND($H108,ORÇAMENTO!$AF$10),""),ROUND($I108,ORÇAMENTO!$AF$11)),"")</f>
        <v/>
      </c>
      <c r="Y108" s="339">
        <f t="shared" ca="1" si="14"/>
        <v>0</v>
      </c>
      <c r="Z108" s="473"/>
      <c r="AB108" s="337"/>
      <c r="AC108" s="437"/>
      <c r="AD108" s="437"/>
      <c r="AE108" s="437"/>
      <c r="AF108" s="437"/>
      <c r="AG108" s="437"/>
      <c r="AH108" s="437"/>
      <c r="AI108" s="437"/>
      <c r="AJ108" s="437"/>
      <c r="AK108" s="437"/>
      <c r="AL108" s="437"/>
      <c r="AM108" s="338"/>
      <c r="AO108">
        <f ca="1">IF($A108="S",IF(BM!$I108=0,0,CHOOSE(MATCH(RegimeExecucao,{"Global","Unitário"},0),ROUND(ROUND(BM.MEDAcumulado,15-13*BM!$A$9)/100*BM!$I108,15-13*ORÇAMENTO!$AF$11),ROUND(ROUND(BM.MEDAcumulado,15-13*BM!$A$9)*ROUND(BM!$H108,15-13*ORÇAMENTO!$AF$10),15-13*ORÇAMENTO!$AF$11))),IF($A108=0,0,ROUND(SomaAgrupBM,15-13*ORÇAMENTO!$AF$11)))</f>
        <v>0</v>
      </c>
    </row>
    <row r="109" spans="1:41" ht="38.25" x14ac:dyDescent="0.2">
      <c r="A109" t="str">
        <f ca="1">ORÇAMENTO!C109</f>
        <v>S</v>
      </c>
      <c r="B109">
        <f ca="1">ORÇAMENTO!D109</f>
        <v>0</v>
      </c>
      <c r="C109" s="114" t="str">
        <f t="shared" ca="1" si="8"/>
        <v>F</v>
      </c>
      <c r="D109" s="117" t="str">
        <f ca="1">ORÇAMENTO!O109</f>
        <v>1.5.2.1.3.</v>
      </c>
      <c r="E109" s="163" t="str">
        <f t="shared" ca="1" si="9"/>
        <v>CONCRETO FCK = 40MPA, TRAÇO 1:1,6:1,9 (EM MASSA SECA DE CIMENTO/ AREIA MÉDIA/ BRITA 1) - PREPARO MECÂNICO COM BETONEIRA 600 L. AF_05/2021</v>
      </c>
      <c r="F109" s="164" t="str">
        <f ca="1">IF(RegimeExecucao="Global","",ORÇAMENTO.Unidade)</f>
        <v>M3</v>
      </c>
      <c r="G109" s="122">
        <f ca="1">IF(RegimeExecucao="Global","",ORÇAMENTO!T109)</f>
        <v>41.61</v>
      </c>
      <c r="H109" s="122">
        <f ca="1">IF(RegimeExecucao="Global","",ORÇAMENTO!W109)</f>
        <v>775.96</v>
      </c>
      <c r="I109" s="125">
        <f ca="1">ORÇAMENTO!X109</f>
        <v>32287.7</v>
      </c>
      <c r="J109" s="333" cm="1">
        <f t="array" aca="1" ref="J109" ca="1">_xlfn.SINGLE(IF($A109="S",IF(CAIXA.Modo,BM.AFAnterior,BM.MEDAnterior),IF(AND(_xlfn.SINGLE(RegimeExecucao)="Global",$I109&gt;0,COUNTIF($AB$13:$AM$13,BM.medicao-1)&gt;0),M109/$I109*100,0)))</f>
        <v>0</v>
      </c>
      <c r="K109" s="122">
        <f t="shared" ca="1" si="10"/>
        <v>0</v>
      </c>
      <c r="L109" s="334" cm="1">
        <f t="array" aca="1" ref="L109" ca="1">_xlfn.SINGLE(IF($A109="S",IF(CAIXA.Modo,BM.AFAcumulado,BM.MEDAcumulado),IF(AND(_xlfn.SINGLE(RegimeExecucao)="Global",$I109&gt;0,COUNTIF($AB$13:$AM$13,BM.medicao)&gt;0),O109/$I109*100,0)))</f>
        <v>0</v>
      </c>
      <c r="M109" s="335">
        <f ca="1">IF($A109="S",VTOTALBM,IF($A109=0,0,ROUND(SomaAgrupBM,15-13*ORÇAMENTO!$AF$11)))</f>
        <v>0</v>
      </c>
      <c r="N109" s="336">
        <f t="shared" ca="1" si="11"/>
        <v>0</v>
      </c>
      <c r="O109" s="125">
        <f ca="1">IF($A109="S",VTOTALBM,IF($A109=0,0,ROUND(SomaAgrupBM,15-13*ORÇAMENTO!$AF$11)))</f>
        <v>0</v>
      </c>
      <c r="Q109" s="337"/>
      <c r="R109" s="338"/>
      <c r="T109" s="117" t="str">
        <f t="shared" ca="1" si="12"/>
        <v/>
      </c>
      <c r="U109" s="163" t="str">
        <f t="shared" ca="1" si="13"/>
        <v/>
      </c>
      <c r="V109" s="164" t="str">
        <f ca="1">IF(AND($W109&gt;0,RegimeExecucao="Unitário"),$F109,"")</f>
        <v/>
      </c>
      <c r="W109" s="454">
        <f ca="1">IF($Y109&gt;0,CHOOSE(MATCH(RegimeExecucao,{"Unitário","Global"},0),IF($A109="S",$Y109/$X109,""),($Y109/$X109)*100),0)</f>
        <v>0</v>
      </c>
      <c r="X109" s="339" t="str">
        <f ca="1">IF($Y109&gt;0,CHOOSE(MATCH(RegimeExecucao,{"Unitário","Global"},0),IF($A109="S",ROUND($H109,ORÇAMENTO!$AF$10),""),ROUND($I109,ORÇAMENTO!$AF$11)),"")</f>
        <v/>
      </c>
      <c r="Y109" s="339">
        <f t="shared" ca="1" si="14"/>
        <v>0</v>
      </c>
      <c r="Z109" s="473"/>
      <c r="AB109" s="337"/>
      <c r="AC109" s="437"/>
      <c r="AD109" s="437"/>
      <c r="AE109" s="437"/>
      <c r="AF109" s="437"/>
      <c r="AG109" s="437"/>
      <c r="AH109" s="437"/>
      <c r="AI109" s="437"/>
      <c r="AJ109" s="437"/>
      <c r="AK109" s="437"/>
      <c r="AL109" s="437"/>
      <c r="AM109" s="338"/>
      <c r="AO109">
        <f ca="1">IF($A109="S",IF(BM!$I109=0,0,CHOOSE(MATCH(RegimeExecucao,{"Global","Unitário"},0),ROUND(ROUND(BM.MEDAcumulado,15-13*BM!$A$9)/100*BM!$I109,15-13*ORÇAMENTO!$AF$11),ROUND(ROUND(BM.MEDAcumulado,15-13*BM!$A$9)*ROUND(BM!$H109,15-13*ORÇAMENTO!$AF$10),15-13*ORÇAMENTO!$AF$11))),IF($A109=0,0,ROUND(SomaAgrupBM,15-13*ORÇAMENTO!$AF$11)))</f>
        <v>0</v>
      </c>
    </row>
    <row r="110" spans="1:41" ht="25.5" x14ac:dyDescent="0.2">
      <c r="A110" t="str">
        <f ca="1">ORÇAMENTO!C110</f>
        <v>S</v>
      </c>
      <c r="B110">
        <f ca="1">ORÇAMENTO!D110</f>
        <v>0</v>
      </c>
      <c r="C110" s="114" t="str">
        <f t="shared" ca="1" si="8"/>
        <v>F</v>
      </c>
      <c r="D110" s="117" t="str">
        <f ca="1">ORÇAMENTO!O110</f>
        <v>1.5.2.1.4.</v>
      </c>
      <c r="E110" s="163" t="str">
        <f t="shared" ca="1" si="9"/>
        <v>LANÇAMENTO COM USO DE BOMBA, ADENSAMENTO E ACABAMENTO DE CONCRETO EM ESTRUTURAS. AF_02/2022</v>
      </c>
      <c r="F110" s="164" t="str">
        <f ca="1">IF(RegimeExecucao="Global","",ORÇAMENTO.Unidade)</f>
        <v>M3</v>
      </c>
      <c r="G110" s="122">
        <f ca="1">IF(RegimeExecucao="Global","",ORÇAMENTO!T110)</f>
        <v>41.61</v>
      </c>
      <c r="H110" s="122">
        <f ca="1">IF(RegimeExecucao="Global","",ORÇAMENTO!W110)</f>
        <v>54.96</v>
      </c>
      <c r="I110" s="125">
        <f ca="1">ORÇAMENTO!X110</f>
        <v>2286.89</v>
      </c>
      <c r="J110" s="333" cm="1">
        <f t="array" aca="1" ref="J110" ca="1">_xlfn.SINGLE(IF($A110="S",IF(CAIXA.Modo,BM.AFAnterior,BM.MEDAnterior),IF(AND(_xlfn.SINGLE(RegimeExecucao)="Global",$I110&gt;0,COUNTIF($AB$13:$AM$13,BM.medicao-1)&gt;0),M110/$I110*100,0)))</f>
        <v>0</v>
      </c>
      <c r="K110" s="122">
        <f t="shared" ca="1" si="10"/>
        <v>0</v>
      </c>
      <c r="L110" s="334" cm="1">
        <f t="array" aca="1" ref="L110" ca="1">_xlfn.SINGLE(IF($A110="S",IF(CAIXA.Modo,BM.AFAcumulado,BM.MEDAcumulado),IF(AND(_xlfn.SINGLE(RegimeExecucao)="Global",$I110&gt;0,COUNTIF($AB$13:$AM$13,BM.medicao)&gt;0),O110/$I110*100,0)))</f>
        <v>0</v>
      </c>
      <c r="M110" s="335">
        <f ca="1">IF($A110="S",VTOTALBM,IF($A110=0,0,ROUND(SomaAgrupBM,15-13*ORÇAMENTO!$AF$11)))</f>
        <v>0</v>
      </c>
      <c r="N110" s="336">
        <f t="shared" ca="1" si="11"/>
        <v>0</v>
      </c>
      <c r="O110" s="125">
        <f ca="1">IF($A110="S",VTOTALBM,IF($A110=0,0,ROUND(SomaAgrupBM,15-13*ORÇAMENTO!$AF$11)))</f>
        <v>0</v>
      </c>
      <c r="Q110" s="337"/>
      <c r="R110" s="338"/>
      <c r="T110" s="117" t="str">
        <f t="shared" ca="1" si="12"/>
        <v/>
      </c>
      <c r="U110" s="163" t="str">
        <f t="shared" ca="1" si="13"/>
        <v/>
      </c>
      <c r="V110" s="164" t="str">
        <f ca="1">IF(AND($W110&gt;0,RegimeExecucao="Unitário"),$F110,"")</f>
        <v/>
      </c>
      <c r="W110" s="454">
        <f ca="1">IF($Y110&gt;0,CHOOSE(MATCH(RegimeExecucao,{"Unitário","Global"},0),IF($A110="S",$Y110/$X110,""),($Y110/$X110)*100),0)</f>
        <v>0</v>
      </c>
      <c r="X110" s="339" t="str">
        <f ca="1">IF($Y110&gt;0,CHOOSE(MATCH(RegimeExecucao,{"Unitário","Global"},0),IF($A110="S",ROUND($H110,ORÇAMENTO!$AF$10),""),ROUND($I110,ORÇAMENTO!$AF$11)),"")</f>
        <v/>
      </c>
      <c r="Y110" s="339">
        <f t="shared" ca="1" si="14"/>
        <v>0</v>
      </c>
      <c r="Z110" s="473"/>
      <c r="AB110" s="337"/>
      <c r="AC110" s="437"/>
      <c r="AD110" s="437"/>
      <c r="AE110" s="437"/>
      <c r="AF110" s="437"/>
      <c r="AG110" s="437"/>
      <c r="AH110" s="437"/>
      <c r="AI110" s="437"/>
      <c r="AJ110" s="437"/>
      <c r="AK110" s="437"/>
      <c r="AL110" s="437"/>
      <c r="AM110" s="338"/>
      <c r="AO110">
        <f ca="1">IF($A110="S",IF(BM!$I110=0,0,CHOOSE(MATCH(RegimeExecucao,{"Global","Unitário"},0),ROUND(ROUND(BM.MEDAcumulado,15-13*BM!$A$9)/100*BM!$I110,15-13*ORÇAMENTO!$AF$11),ROUND(ROUND(BM.MEDAcumulado,15-13*BM!$A$9)*ROUND(BM!$H110,15-13*ORÇAMENTO!$AF$10),15-13*ORÇAMENTO!$AF$11))),IF($A110=0,0,ROUND(SomaAgrupBM,15-13*ORÇAMENTO!$AF$11)))</f>
        <v>0</v>
      </c>
    </row>
    <row r="111" spans="1:41" ht="25.5" x14ac:dyDescent="0.2">
      <c r="A111" t="str">
        <f ca="1">ORÇAMENTO!C111</f>
        <v>S</v>
      </c>
      <c r="B111">
        <f ca="1">ORÇAMENTO!D111</f>
        <v>0</v>
      </c>
      <c r="C111" s="114" t="str">
        <f t="shared" ca="1" si="8"/>
        <v>F</v>
      </c>
      <c r="D111" s="117" t="str">
        <f ca="1">ORÇAMENTO!O111</f>
        <v>1.5.2.1.5.</v>
      </c>
      <c r="E111" s="163" t="str">
        <f t="shared" ca="1" si="9"/>
        <v>ARMAÇÃO EM AÇO CA-50 - FORNECIMENTO, PREPARO E COLOCAÇÃO</v>
      </c>
      <c r="F111" s="164" t="str">
        <f ca="1">IF(RegimeExecucao="Global","",ORÇAMENTO.Unidade)</f>
        <v>KG</v>
      </c>
      <c r="G111" s="122">
        <f ca="1">IF(RegimeExecucao="Global","",ORÇAMENTO!T111)</f>
        <v>3433.24</v>
      </c>
      <c r="H111" s="122">
        <f ca="1">IF(RegimeExecucao="Global","",ORÇAMENTO!W111)</f>
        <v>14.92</v>
      </c>
      <c r="I111" s="125">
        <f ca="1">ORÇAMENTO!X111</f>
        <v>51223.94</v>
      </c>
      <c r="J111" s="333" cm="1">
        <f t="array" aca="1" ref="J111" ca="1">_xlfn.SINGLE(IF($A111="S",IF(CAIXA.Modo,BM.AFAnterior,BM.MEDAnterior),IF(AND(_xlfn.SINGLE(RegimeExecucao)="Global",$I111&gt;0,COUNTIF($AB$13:$AM$13,BM.medicao-1)&gt;0),M111/$I111*100,0)))</f>
        <v>0</v>
      </c>
      <c r="K111" s="122">
        <f t="shared" ca="1" si="10"/>
        <v>0</v>
      </c>
      <c r="L111" s="334" cm="1">
        <f t="array" aca="1" ref="L111" ca="1">_xlfn.SINGLE(IF($A111="S",IF(CAIXA.Modo,BM.AFAcumulado,BM.MEDAcumulado),IF(AND(_xlfn.SINGLE(RegimeExecucao)="Global",$I111&gt;0,COUNTIF($AB$13:$AM$13,BM.medicao)&gt;0),O111/$I111*100,0)))</f>
        <v>0</v>
      </c>
      <c r="M111" s="335">
        <f ca="1">IF($A111="S",VTOTALBM,IF($A111=0,0,ROUND(SomaAgrupBM,15-13*ORÇAMENTO!$AF$11)))</f>
        <v>0</v>
      </c>
      <c r="N111" s="336">
        <f t="shared" ca="1" si="11"/>
        <v>0</v>
      </c>
      <c r="O111" s="125">
        <f ca="1">IF($A111="S",VTOTALBM,IF($A111=0,0,ROUND(SomaAgrupBM,15-13*ORÇAMENTO!$AF$11)))</f>
        <v>0</v>
      </c>
      <c r="Q111" s="337"/>
      <c r="R111" s="338"/>
      <c r="T111" s="117" t="str">
        <f t="shared" ca="1" si="12"/>
        <v/>
      </c>
      <c r="U111" s="163" t="str">
        <f t="shared" ca="1" si="13"/>
        <v/>
      </c>
      <c r="V111" s="164" t="str">
        <f ca="1">IF(AND($W111&gt;0,RegimeExecucao="Unitário"),$F111,"")</f>
        <v/>
      </c>
      <c r="W111" s="454">
        <f ca="1">IF($Y111&gt;0,CHOOSE(MATCH(RegimeExecucao,{"Unitário","Global"},0),IF($A111="S",$Y111/$X111,""),($Y111/$X111)*100),0)</f>
        <v>0</v>
      </c>
      <c r="X111" s="339" t="str">
        <f ca="1">IF($Y111&gt;0,CHOOSE(MATCH(RegimeExecucao,{"Unitário","Global"},0),IF($A111="S",ROUND($H111,ORÇAMENTO!$AF$10),""),ROUND($I111,ORÇAMENTO!$AF$11)),"")</f>
        <v/>
      </c>
      <c r="Y111" s="339">
        <f t="shared" ca="1" si="14"/>
        <v>0</v>
      </c>
      <c r="Z111" s="473"/>
      <c r="AB111" s="337"/>
      <c r="AC111" s="437"/>
      <c r="AD111" s="437"/>
      <c r="AE111" s="437"/>
      <c r="AF111" s="437"/>
      <c r="AG111" s="437"/>
      <c r="AH111" s="437"/>
      <c r="AI111" s="437"/>
      <c r="AJ111" s="437"/>
      <c r="AK111" s="437"/>
      <c r="AL111" s="437"/>
      <c r="AM111" s="338"/>
      <c r="AO111">
        <f ca="1">IF($A111="S",IF(BM!$I111=0,0,CHOOSE(MATCH(RegimeExecucao,{"Global","Unitário"},0),ROUND(ROUND(BM.MEDAcumulado,15-13*BM!$A$9)/100*BM!$I111,15-13*ORÇAMENTO!$AF$11),ROUND(ROUND(BM.MEDAcumulado,15-13*BM!$A$9)*ROUND(BM!$H111,15-13*ORÇAMENTO!$AF$10),15-13*ORÇAMENTO!$AF$11))),IF($A111=0,0,ROUND(SomaAgrupBM,15-13*ORÇAMENTO!$AF$11)))</f>
        <v>0</v>
      </c>
    </row>
    <row r="112" spans="1:41" ht="51" x14ac:dyDescent="0.2">
      <c r="A112" t="str">
        <f ca="1">ORÇAMENTO!C112</f>
        <v>S</v>
      </c>
      <c r="B112">
        <f ca="1">ORÇAMENTO!D112</f>
        <v>0</v>
      </c>
      <c r="C112" s="114" t="str">
        <f t="shared" ca="1" si="8"/>
        <v>F</v>
      </c>
      <c r="D112" s="117" t="str">
        <f ca="1">ORÇAMENTO!O112</f>
        <v>1.5.2.1.6.</v>
      </c>
      <c r="E112" s="163" t="str">
        <f t="shared" ca="1" si="9"/>
        <v>CARGA, MANOBRA E DESCARGA DE SOLOS E MATERIAIS GRANULARES EM CAMINHÃO BASCULANTE 18 M³ - CARGA COM ESCAVADEIRA HIDRÁULICA (CAÇAMBA DE 1,20 M³ / 155 HP) E DESCARGA LIVRE (UNIDADE: M3). AF_07/2020</v>
      </c>
      <c r="F112" s="164" t="str">
        <f ca="1">IF(RegimeExecucao="Global","",ORÇAMENTO.Unidade)</f>
        <v>M3</v>
      </c>
      <c r="G112" s="122">
        <f ca="1">IF(RegimeExecucao="Global","",ORÇAMENTO!T112)</f>
        <v>65.349999999999994</v>
      </c>
      <c r="H112" s="122">
        <f ca="1">IF(RegimeExecucao="Global","",ORÇAMENTO!W112)</f>
        <v>8.0500000000000007</v>
      </c>
      <c r="I112" s="125">
        <f ca="1">ORÇAMENTO!X112</f>
        <v>526.07000000000005</v>
      </c>
      <c r="J112" s="333" cm="1">
        <f t="array" aca="1" ref="J112" ca="1">_xlfn.SINGLE(IF($A112="S",IF(CAIXA.Modo,BM.AFAnterior,BM.MEDAnterior),IF(AND(_xlfn.SINGLE(RegimeExecucao)="Global",$I112&gt;0,COUNTIF($AB$13:$AM$13,BM.medicao-1)&gt;0),M112/$I112*100,0)))</f>
        <v>0</v>
      </c>
      <c r="K112" s="122">
        <f t="shared" ca="1" si="10"/>
        <v>0</v>
      </c>
      <c r="L112" s="334" cm="1">
        <f t="array" aca="1" ref="L112" ca="1">_xlfn.SINGLE(IF($A112="S",IF(CAIXA.Modo,BM.AFAcumulado,BM.MEDAcumulado),IF(AND(_xlfn.SINGLE(RegimeExecucao)="Global",$I112&gt;0,COUNTIF($AB$13:$AM$13,BM.medicao)&gt;0),O112/$I112*100,0)))</f>
        <v>0</v>
      </c>
      <c r="M112" s="335">
        <f ca="1">IF($A112="S",VTOTALBM,IF($A112=0,0,ROUND(SomaAgrupBM,15-13*ORÇAMENTO!$AF$11)))</f>
        <v>0</v>
      </c>
      <c r="N112" s="336">
        <f t="shared" ca="1" si="11"/>
        <v>0</v>
      </c>
      <c r="O112" s="125">
        <f ca="1">IF($A112="S",VTOTALBM,IF($A112=0,0,ROUND(SomaAgrupBM,15-13*ORÇAMENTO!$AF$11)))</f>
        <v>0</v>
      </c>
      <c r="Q112" s="337"/>
      <c r="R112" s="338"/>
      <c r="T112" s="117" t="str">
        <f t="shared" ca="1" si="12"/>
        <v/>
      </c>
      <c r="U112" s="163" t="str">
        <f t="shared" ca="1" si="13"/>
        <v/>
      </c>
      <c r="V112" s="164" t="str">
        <f ca="1">IF(AND($W112&gt;0,RegimeExecucao="Unitário"),$F112,"")</f>
        <v/>
      </c>
      <c r="W112" s="454">
        <f ca="1">IF($Y112&gt;0,CHOOSE(MATCH(RegimeExecucao,{"Unitário","Global"},0),IF($A112="S",$Y112/$X112,""),($Y112/$X112)*100),0)</f>
        <v>0</v>
      </c>
      <c r="X112" s="339" t="str">
        <f ca="1">IF($Y112&gt;0,CHOOSE(MATCH(RegimeExecucao,{"Unitário","Global"},0),IF($A112="S",ROUND($H112,ORÇAMENTO!$AF$10),""),ROUND($I112,ORÇAMENTO!$AF$11)),"")</f>
        <v/>
      </c>
      <c r="Y112" s="339">
        <f t="shared" ca="1" si="14"/>
        <v>0</v>
      </c>
      <c r="Z112" s="473"/>
      <c r="AB112" s="337"/>
      <c r="AC112" s="437"/>
      <c r="AD112" s="437"/>
      <c r="AE112" s="437"/>
      <c r="AF112" s="437"/>
      <c r="AG112" s="437"/>
      <c r="AH112" s="437"/>
      <c r="AI112" s="437"/>
      <c r="AJ112" s="437"/>
      <c r="AK112" s="437"/>
      <c r="AL112" s="437"/>
      <c r="AM112" s="338"/>
      <c r="AO112">
        <f ca="1">IF($A112="S",IF(BM!$I112=0,0,CHOOSE(MATCH(RegimeExecucao,{"Global","Unitário"},0),ROUND(ROUND(BM.MEDAcumulado,15-13*BM!$A$9)/100*BM!$I112,15-13*ORÇAMENTO!$AF$11),ROUND(ROUND(BM.MEDAcumulado,15-13*BM!$A$9)*ROUND(BM!$H112,15-13*ORÇAMENTO!$AF$10),15-13*ORÇAMENTO!$AF$11))),IF($A112=0,0,ROUND(SomaAgrupBM,15-13*ORÇAMENTO!$AF$11)))</f>
        <v>0</v>
      </c>
    </row>
    <row r="113" spans="1:41" ht="38.25" x14ac:dyDescent="0.2">
      <c r="A113" t="str">
        <f ca="1">ORÇAMENTO!C113</f>
        <v>S</v>
      </c>
      <c r="B113">
        <f ca="1">ORÇAMENTO!D113</f>
        <v>0</v>
      </c>
      <c r="C113" s="114" t="str">
        <f t="shared" ca="1" si="8"/>
        <v>F</v>
      </c>
      <c r="D113" s="117" t="str">
        <f ca="1">ORÇAMENTO!O113</f>
        <v>1.5.2.1.7.</v>
      </c>
      <c r="E113" s="163" t="str">
        <f t="shared" ca="1" si="9"/>
        <v>TRANSPORTE COM CAMINHÃO BASCULANTE DE 18 M³, EM VIA URBANA PAVIMENTADA, DMT ATÉ 30 KM (UNIDADE: M3XKM). AF_07/2020</v>
      </c>
      <c r="F113" s="164" t="str">
        <f ca="1">IF(RegimeExecucao="Global","",ORÇAMENTO.Unidade)</f>
        <v>M3XKM</v>
      </c>
      <c r="G113" s="122">
        <f ca="1">IF(RegimeExecucao="Global","",ORÇAMENTO!T113)</f>
        <v>503.2</v>
      </c>
      <c r="H113" s="122">
        <f ca="1">IF(RegimeExecucao="Global","",ORÇAMENTO!W113)</f>
        <v>2.35</v>
      </c>
      <c r="I113" s="125">
        <f ca="1">ORÇAMENTO!X113</f>
        <v>1182.52</v>
      </c>
      <c r="J113" s="333" cm="1">
        <f t="array" aca="1" ref="J113" ca="1">_xlfn.SINGLE(IF($A113="S",IF(CAIXA.Modo,BM.AFAnterior,BM.MEDAnterior),IF(AND(_xlfn.SINGLE(RegimeExecucao)="Global",$I113&gt;0,COUNTIF($AB$13:$AM$13,BM.medicao-1)&gt;0),M113/$I113*100,0)))</f>
        <v>0</v>
      </c>
      <c r="K113" s="122">
        <f t="shared" ca="1" si="10"/>
        <v>0</v>
      </c>
      <c r="L113" s="334" cm="1">
        <f t="array" aca="1" ref="L113" ca="1">_xlfn.SINGLE(IF($A113="S",IF(CAIXA.Modo,BM.AFAcumulado,BM.MEDAcumulado),IF(AND(_xlfn.SINGLE(RegimeExecucao)="Global",$I113&gt;0,COUNTIF($AB$13:$AM$13,BM.medicao)&gt;0),O113/$I113*100,0)))</f>
        <v>0</v>
      </c>
      <c r="M113" s="335">
        <f ca="1">IF($A113="S",VTOTALBM,IF($A113=0,0,ROUND(SomaAgrupBM,15-13*ORÇAMENTO!$AF$11)))</f>
        <v>0</v>
      </c>
      <c r="N113" s="336">
        <f t="shared" ca="1" si="11"/>
        <v>0</v>
      </c>
      <c r="O113" s="125">
        <f ca="1">IF($A113="S",VTOTALBM,IF($A113=0,0,ROUND(SomaAgrupBM,15-13*ORÇAMENTO!$AF$11)))</f>
        <v>0</v>
      </c>
      <c r="Q113" s="337"/>
      <c r="R113" s="338"/>
      <c r="T113" s="117" t="str">
        <f t="shared" ca="1" si="12"/>
        <v/>
      </c>
      <c r="U113" s="163" t="str">
        <f t="shared" ca="1" si="13"/>
        <v/>
      </c>
      <c r="V113" s="164" t="str">
        <f ca="1">IF(AND($W113&gt;0,RegimeExecucao="Unitário"),$F113,"")</f>
        <v/>
      </c>
      <c r="W113" s="454">
        <f ca="1">IF($Y113&gt;0,CHOOSE(MATCH(RegimeExecucao,{"Unitário","Global"},0),IF($A113="S",$Y113/$X113,""),($Y113/$X113)*100),0)</f>
        <v>0</v>
      </c>
      <c r="X113" s="339" t="str">
        <f ca="1">IF($Y113&gt;0,CHOOSE(MATCH(RegimeExecucao,{"Unitário","Global"},0),IF($A113="S",ROUND($H113,ORÇAMENTO!$AF$10),""),ROUND($I113,ORÇAMENTO!$AF$11)),"")</f>
        <v/>
      </c>
      <c r="Y113" s="339">
        <f t="shared" ca="1" si="14"/>
        <v>0</v>
      </c>
      <c r="Z113" s="473"/>
      <c r="AB113" s="337"/>
      <c r="AC113" s="437"/>
      <c r="AD113" s="437"/>
      <c r="AE113" s="437"/>
      <c r="AF113" s="437"/>
      <c r="AG113" s="437"/>
      <c r="AH113" s="437"/>
      <c r="AI113" s="437"/>
      <c r="AJ113" s="437"/>
      <c r="AK113" s="437"/>
      <c r="AL113" s="437"/>
      <c r="AM113" s="338"/>
      <c r="AO113">
        <f ca="1">IF($A113="S",IF(BM!$I113=0,0,CHOOSE(MATCH(RegimeExecucao,{"Global","Unitário"},0),ROUND(ROUND(BM.MEDAcumulado,15-13*BM!$A$9)/100*BM!$I113,15-13*ORÇAMENTO!$AF$11),ROUND(ROUND(BM.MEDAcumulado,15-13*BM!$A$9)*ROUND(BM!$H113,15-13*ORÇAMENTO!$AF$10),15-13*ORÇAMENTO!$AF$11))),IF($A113=0,0,ROUND(SomaAgrupBM,15-13*ORÇAMENTO!$AF$11)))</f>
        <v>0</v>
      </c>
    </row>
    <row r="114" spans="1:41" x14ac:dyDescent="0.2">
      <c r="A114" t="str">
        <f ca="1">ORÇAMENTO!C114</f>
        <v>S</v>
      </c>
      <c r="B114">
        <f ca="1">ORÇAMENTO!D114</f>
        <v>0</v>
      </c>
      <c r="C114" s="114" t="str">
        <f t="shared" ca="1" si="8"/>
        <v>F</v>
      </c>
      <c r="D114" s="117" t="str">
        <f ca="1">ORÇAMENTO!O114</f>
        <v>1.5.2.1.8.</v>
      </c>
      <c r="E114" s="163" t="str">
        <f t="shared" ca="1" si="9"/>
        <v>TAXA ATERRO SANITÁRIO</v>
      </c>
      <c r="F114" s="164" t="str">
        <f ca="1">IF(RegimeExecucao="Global","",ORÇAMENTO.Unidade)</f>
        <v>T</v>
      </c>
      <c r="G114" s="122">
        <f ca="1">IF(RegimeExecucao="Global","",ORÇAMENTO!T114)</f>
        <v>88.88</v>
      </c>
      <c r="H114" s="122">
        <f ca="1">IF(RegimeExecucao="Global","",ORÇAMENTO!W114)</f>
        <v>80.510000000000005</v>
      </c>
      <c r="I114" s="125">
        <f ca="1">ORÇAMENTO!X114</f>
        <v>7155.73</v>
      </c>
      <c r="J114" s="333" cm="1">
        <f t="array" aca="1" ref="J114" ca="1">_xlfn.SINGLE(IF($A114="S",IF(CAIXA.Modo,BM.AFAnterior,BM.MEDAnterior),IF(AND(_xlfn.SINGLE(RegimeExecucao)="Global",$I114&gt;0,COUNTIF($AB$13:$AM$13,BM.medicao-1)&gt;0),M114/$I114*100,0)))</f>
        <v>0</v>
      </c>
      <c r="K114" s="122">
        <f t="shared" ca="1" si="10"/>
        <v>0</v>
      </c>
      <c r="L114" s="334" cm="1">
        <f t="array" aca="1" ref="L114" ca="1">_xlfn.SINGLE(IF($A114="S",IF(CAIXA.Modo,BM.AFAcumulado,BM.MEDAcumulado),IF(AND(_xlfn.SINGLE(RegimeExecucao)="Global",$I114&gt;0,COUNTIF($AB$13:$AM$13,BM.medicao)&gt;0),O114/$I114*100,0)))</f>
        <v>0</v>
      </c>
      <c r="M114" s="335">
        <f ca="1">IF($A114="S",VTOTALBM,IF($A114=0,0,ROUND(SomaAgrupBM,15-13*ORÇAMENTO!$AF$11)))</f>
        <v>0</v>
      </c>
      <c r="N114" s="336">
        <f t="shared" ca="1" si="11"/>
        <v>0</v>
      </c>
      <c r="O114" s="125">
        <f ca="1">IF($A114="S",VTOTALBM,IF($A114=0,0,ROUND(SomaAgrupBM,15-13*ORÇAMENTO!$AF$11)))</f>
        <v>0</v>
      </c>
      <c r="Q114" s="337"/>
      <c r="R114" s="338"/>
      <c r="T114" s="117" t="str">
        <f t="shared" ca="1" si="12"/>
        <v/>
      </c>
      <c r="U114" s="163" t="str">
        <f t="shared" ca="1" si="13"/>
        <v/>
      </c>
      <c r="V114" s="164" t="str">
        <f ca="1">IF(AND($W114&gt;0,RegimeExecucao="Unitário"),$F114,"")</f>
        <v/>
      </c>
      <c r="W114" s="454">
        <f ca="1">IF($Y114&gt;0,CHOOSE(MATCH(RegimeExecucao,{"Unitário","Global"},0),IF($A114="S",$Y114/$X114,""),($Y114/$X114)*100),0)</f>
        <v>0</v>
      </c>
      <c r="X114" s="339" t="str">
        <f ca="1">IF($Y114&gt;0,CHOOSE(MATCH(RegimeExecucao,{"Unitário","Global"},0),IF($A114="S",ROUND($H114,ORÇAMENTO!$AF$10),""),ROUND($I114,ORÇAMENTO!$AF$11)),"")</f>
        <v/>
      </c>
      <c r="Y114" s="339">
        <f t="shared" ca="1" si="14"/>
        <v>0</v>
      </c>
      <c r="Z114" s="473"/>
      <c r="AB114" s="337"/>
      <c r="AC114" s="437"/>
      <c r="AD114" s="437"/>
      <c r="AE114" s="437"/>
      <c r="AF114" s="437"/>
      <c r="AG114" s="437"/>
      <c r="AH114" s="437"/>
      <c r="AI114" s="437"/>
      <c r="AJ114" s="437"/>
      <c r="AK114" s="437"/>
      <c r="AL114" s="437"/>
      <c r="AM114" s="338"/>
      <c r="AO114">
        <f ca="1">IF($A114="S",IF(BM!$I114=0,0,CHOOSE(MATCH(RegimeExecucao,{"Global","Unitário"},0),ROUND(ROUND(BM.MEDAcumulado,15-13*BM!$A$9)/100*BM!$I114,15-13*ORÇAMENTO!$AF$11),ROUND(ROUND(BM.MEDAcumulado,15-13*BM!$A$9)*ROUND(BM!$H114,15-13*ORÇAMENTO!$AF$10),15-13*ORÇAMENTO!$AF$11))),IF($A114=0,0,ROUND(SomaAgrupBM,15-13*ORÇAMENTO!$AF$11)))</f>
        <v>0</v>
      </c>
    </row>
    <row r="115" spans="1:41" ht="25.5" x14ac:dyDescent="0.2">
      <c r="A115" t="str">
        <f ca="1">ORÇAMENTO!C115</f>
        <v>S</v>
      </c>
      <c r="B115">
        <f ca="1">ORÇAMENTO!D115</f>
        <v>0</v>
      </c>
      <c r="C115" s="114" t="str">
        <f t="shared" ca="1" si="8"/>
        <v>F</v>
      </c>
      <c r="D115" s="117" t="str">
        <f ca="1">ORÇAMENTO!O115</f>
        <v>1.5.2.1.9.</v>
      </c>
      <c r="E115" s="163" t="str">
        <f t="shared" ca="1" si="9"/>
        <v>ESPALHAMENTO DE MATERIAL COM TRATOR DE ESTEIRAS. AF_09/2024</v>
      </c>
      <c r="F115" s="164" t="str">
        <f ca="1">IF(RegimeExecucao="Global","",ORÇAMENTO.Unidade)</f>
        <v>M3</v>
      </c>
      <c r="G115" s="122">
        <f ca="1">IF(RegimeExecucao="Global","",ORÇAMENTO!T115)</f>
        <v>65.349999999999994</v>
      </c>
      <c r="H115" s="122">
        <f ca="1">IF(RegimeExecucao="Global","",ORÇAMENTO!W115)</f>
        <v>1.84</v>
      </c>
      <c r="I115" s="125">
        <f ca="1">ORÇAMENTO!X115</f>
        <v>120.24</v>
      </c>
      <c r="J115" s="333" cm="1">
        <f t="array" aca="1" ref="J115" ca="1">_xlfn.SINGLE(IF($A115="S",IF(CAIXA.Modo,BM.AFAnterior,BM.MEDAnterior),IF(AND(_xlfn.SINGLE(RegimeExecucao)="Global",$I115&gt;0,COUNTIF($AB$13:$AM$13,BM.medicao-1)&gt;0),M115/$I115*100,0)))</f>
        <v>0</v>
      </c>
      <c r="K115" s="122">
        <f t="shared" ca="1" si="10"/>
        <v>0</v>
      </c>
      <c r="L115" s="334" cm="1">
        <f t="array" aca="1" ref="L115" ca="1">_xlfn.SINGLE(IF($A115="S",IF(CAIXA.Modo,BM.AFAcumulado,BM.MEDAcumulado),IF(AND(_xlfn.SINGLE(RegimeExecucao)="Global",$I115&gt;0,COUNTIF($AB$13:$AM$13,BM.medicao)&gt;0),O115/$I115*100,0)))</f>
        <v>0</v>
      </c>
      <c r="M115" s="335">
        <f ca="1">IF($A115="S",VTOTALBM,IF($A115=0,0,ROUND(SomaAgrupBM,15-13*ORÇAMENTO!$AF$11)))</f>
        <v>0</v>
      </c>
      <c r="N115" s="336">
        <f t="shared" ca="1" si="11"/>
        <v>0</v>
      </c>
      <c r="O115" s="125">
        <f ca="1">IF($A115="S",VTOTALBM,IF($A115=0,0,ROUND(SomaAgrupBM,15-13*ORÇAMENTO!$AF$11)))</f>
        <v>0</v>
      </c>
      <c r="Q115" s="337"/>
      <c r="R115" s="338"/>
      <c r="T115" s="117" t="str">
        <f t="shared" ca="1" si="12"/>
        <v/>
      </c>
      <c r="U115" s="163" t="str">
        <f t="shared" ca="1" si="13"/>
        <v/>
      </c>
      <c r="V115" s="164" t="str">
        <f ca="1">IF(AND($W115&gt;0,RegimeExecucao="Unitário"),$F115,"")</f>
        <v/>
      </c>
      <c r="W115" s="454">
        <f ca="1">IF($Y115&gt;0,CHOOSE(MATCH(RegimeExecucao,{"Unitário","Global"},0),IF($A115="S",$Y115/$X115,""),($Y115/$X115)*100),0)</f>
        <v>0</v>
      </c>
      <c r="X115" s="339" t="str">
        <f ca="1">IF($Y115&gt;0,CHOOSE(MATCH(RegimeExecucao,{"Unitário","Global"},0),IF($A115="S",ROUND($H115,ORÇAMENTO!$AF$10),""),ROUND($I115,ORÇAMENTO!$AF$11)),"")</f>
        <v/>
      </c>
      <c r="Y115" s="339">
        <f t="shared" ca="1" si="14"/>
        <v>0</v>
      </c>
      <c r="Z115" s="473"/>
      <c r="AB115" s="337"/>
      <c r="AC115" s="437"/>
      <c r="AD115" s="437"/>
      <c r="AE115" s="437"/>
      <c r="AF115" s="437"/>
      <c r="AG115" s="437"/>
      <c r="AH115" s="437"/>
      <c r="AI115" s="437"/>
      <c r="AJ115" s="437"/>
      <c r="AK115" s="437"/>
      <c r="AL115" s="437"/>
      <c r="AM115" s="338"/>
      <c r="AO115">
        <f ca="1">IF($A115="S",IF(BM!$I115=0,0,CHOOSE(MATCH(RegimeExecucao,{"Global","Unitário"},0),ROUND(ROUND(BM.MEDAcumulado,15-13*BM!$A$9)/100*BM!$I115,15-13*ORÇAMENTO!$AF$11),ROUND(ROUND(BM.MEDAcumulado,15-13*BM!$A$9)*ROUND(BM!$H115,15-13*ORÇAMENTO!$AF$10),15-13*ORÇAMENTO!$AF$11))),IF($A115=0,0,ROUND(SomaAgrupBM,15-13*ORÇAMENTO!$AF$11)))</f>
        <v>0</v>
      </c>
    </row>
    <row r="116" spans="1:41" ht="25.5" x14ac:dyDescent="0.2">
      <c r="A116" t="str">
        <f ca="1">ORÇAMENTO!C116</f>
        <v>S</v>
      </c>
      <c r="B116">
        <f ca="1">ORÇAMENTO!D116</f>
        <v>0</v>
      </c>
      <c r="C116" s="114" t="str">
        <f t="shared" ca="1" si="8"/>
        <v>F</v>
      </c>
      <c r="D116" s="117" t="str">
        <f ca="1">ORÇAMENTO!O116</f>
        <v>1.5.2.1.10.</v>
      </c>
      <c r="E116" s="163" t="str">
        <f t="shared" ca="1" si="9"/>
        <v>ARRASAMENTO MECANICO DE ESTACA DE CONCRETO ARMADO, DIAMETROS DE 41 CM A 60 CM. AF_05/2021</v>
      </c>
      <c r="F116" s="164" t="str">
        <f ca="1">IF(RegimeExecucao="Global","",ORÇAMENTO.Unidade)</f>
        <v>UN</v>
      </c>
      <c r="G116" s="122">
        <f ca="1">IF(RegimeExecucao="Global","",ORÇAMENTO!T116)</f>
        <v>40</v>
      </c>
      <c r="H116" s="122">
        <f ca="1">IF(RegimeExecucao="Global","",ORÇAMENTO!W116)</f>
        <v>37.03</v>
      </c>
      <c r="I116" s="125">
        <f ca="1">ORÇAMENTO!X116</f>
        <v>1481.2</v>
      </c>
      <c r="J116" s="333" cm="1">
        <f t="array" aca="1" ref="J116" ca="1">_xlfn.SINGLE(IF($A116="S",IF(CAIXA.Modo,BM.AFAnterior,BM.MEDAnterior),IF(AND(_xlfn.SINGLE(RegimeExecucao)="Global",$I116&gt;0,COUNTIF($AB$13:$AM$13,BM.medicao-1)&gt;0),M116/$I116*100,0)))</f>
        <v>0</v>
      </c>
      <c r="K116" s="122">
        <f t="shared" ca="1" si="10"/>
        <v>0</v>
      </c>
      <c r="L116" s="334" cm="1">
        <f t="array" aca="1" ref="L116" ca="1">_xlfn.SINGLE(IF($A116="S",IF(CAIXA.Modo,BM.AFAcumulado,BM.MEDAcumulado),IF(AND(_xlfn.SINGLE(RegimeExecucao)="Global",$I116&gt;0,COUNTIF($AB$13:$AM$13,BM.medicao)&gt;0),O116/$I116*100,0)))</f>
        <v>0</v>
      </c>
      <c r="M116" s="335">
        <f ca="1">IF($A116="S",VTOTALBM,IF($A116=0,0,ROUND(SomaAgrupBM,15-13*ORÇAMENTO!$AF$11)))</f>
        <v>0</v>
      </c>
      <c r="N116" s="336">
        <f t="shared" ca="1" si="11"/>
        <v>0</v>
      </c>
      <c r="O116" s="125">
        <f ca="1">IF($A116="S",VTOTALBM,IF($A116=0,0,ROUND(SomaAgrupBM,15-13*ORÇAMENTO!$AF$11)))</f>
        <v>0</v>
      </c>
      <c r="Q116" s="337"/>
      <c r="R116" s="338"/>
      <c r="T116" s="117" t="str">
        <f t="shared" ca="1" si="12"/>
        <v/>
      </c>
      <c r="U116" s="163" t="str">
        <f t="shared" ca="1" si="13"/>
        <v/>
      </c>
      <c r="V116" s="164" t="str">
        <f ca="1">IF(AND($W116&gt;0,RegimeExecucao="Unitário"),$F116,"")</f>
        <v/>
      </c>
      <c r="W116" s="454">
        <f ca="1">IF($Y116&gt;0,CHOOSE(MATCH(RegimeExecucao,{"Unitário","Global"},0),IF($A116="S",$Y116/$X116,""),($Y116/$X116)*100),0)</f>
        <v>0</v>
      </c>
      <c r="X116" s="339" t="str">
        <f ca="1">IF($Y116&gt;0,CHOOSE(MATCH(RegimeExecucao,{"Unitário","Global"},0),IF($A116="S",ROUND($H116,ORÇAMENTO!$AF$10),""),ROUND($I116,ORÇAMENTO!$AF$11)),"")</f>
        <v/>
      </c>
      <c r="Y116" s="339">
        <f t="shared" ca="1" si="14"/>
        <v>0</v>
      </c>
      <c r="Z116" s="473"/>
      <c r="AB116" s="337"/>
      <c r="AC116" s="437"/>
      <c r="AD116" s="437"/>
      <c r="AE116" s="437"/>
      <c r="AF116" s="437"/>
      <c r="AG116" s="437"/>
      <c r="AH116" s="437"/>
      <c r="AI116" s="437"/>
      <c r="AJ116" s="437"/>
      <c r="AK116" s="437"/>
      <c r="AL116" s="437"/>
      <c r="AM116" s="338"/>
      <c r="AO116">
        <f ca="1">IF($A116="S",IF(BM!$I116=0,0,CHOOSE(MATCH(RegimeExecucao,{"Global","Unitário"},0),ROUND(ROUND(BM.MEDAcumulado,15-13*BM!$A$9)/100*BM!$I116,15-13*ORÇAMENTO!$AF$11),ROUND(ROUND(BM.MEDAcumulado,15-13*BM!$A$9)*ROUND(BM!$H116,15-13*ORÇAMENTO!$AF$10),15-13*ORÇAMENTO!$AF$11))),IF($A116=0,0,ROUND(SomaAgrupBM,15-13*ORÇAMENTO!$AF$11)))</f>
        <v>0</v>
      </c>
    </row>
    <row r="117" spans="1:41" x14ac:dyDescent="0.2">
      <c r="A117" t="str">
        <f ca="1">ORÇAMENTO!C117</f>
        <v>S</v>
      </c>
      <c r="B117">
        <f ca="1">ORÇAMENTO!D117</f>
        <v>0</v>
      </c>
      <c r="C117" s="114" t="str">
        <f t="shared" ca="1" si="8"/>
        <v>F</v>
      </c>
      <c r="D117" s="117" t="str">
        <f ca="1">ORÇAMENTO!O117</f>
        <v>1.5.2.1.11.</v>
      </c>
      <c r="E117" s="163" t="str">
        <f t="shared" ca="1" si="9"/>
        <v>ENSAIO DE RESISTENCIA A COMPRESSAO SIMPLES - CONCRETO</v>
      </c>
      <c r="F117" s="164" t="str">
        <f ca="1">IF(RegimeExecucao="Global","",ORÇAMENTO.Unidade)</f>
        <v>UN</v>
      </c>
      <c r="G117" s="122">
        <f ca="1">IF(RegimeExecucao="Global","",ORÇAMENTO!T117)</f>
        <v>21</v>
      </c>
      <c r="H117" s="122">
        <f ca="1">IF(RegimeExecucao="Global","",ORÇAMENTO!W117)</f>
        <v>123.76</v>
      </c>
      <c r="I117" s="125">
        <f ca="1">ORÇAMENTO!X117</f>
        <v>2598.96</v>
      </c>
      <c r="J117" s="333" cm="1">
        <f t="array" aca="1" ref="J117" ca="1">_xlfn.SINGLE(IF($A117="S",IF(CAIXA.Modo,BM.AFAnterior,BM.MEDAnterior),IF(AND(_xlfn.SINGLE(RegimeExecucao)="Global",$I117&gt;0,COUNTIF($AB$13:$AM$13,BM.medicao-1)&gt;0),M117/$I117*100,0)))</f>
        <v>0</v>
      </c>
      <c r="K117" s="122">
        <f t="shared" ca="1" si="10"/>
        <v>0</v>
      </c>
      <c r="L117" s="334" cm="1">
        <f t="array" aca="1" ref="L117" ca="1">_xlfn.SINGLE(IF($A117="S",IF(CAIXA.Modo,BM.AFAcumulado,BM.MEDAcumulado),IF(AND(_xlfn.SINGLE(RegimeExecucao)="Global",$I117&gt;0,COUNTIF($AB$13:$AM$13,BM.medicao)&gt;0),O117/$I117*100,0)))</f>
        <v>0</v>
      </c>
      <c r="M117" s="335">
        <f ca="1">IF($A117="S",VTOTALBM,IF($A117=0,0,ROUND(SomaAgrupBM,15-13*ORÇAMENTO!$AF$11)))</f>
        <v>0</v>
      </c>
      <c r="N117" s="336">
        <f t="shared" ca="1" si="11"/>
        <v>0</v>
      </c>
      <c r="O117" s="125">
        <f ca="1">IF($A117="S",VTOTALBM,IF($A117=0,0,ROUND(SomaAgrupBM,15-13*ORÇAMENTO!$AF$11)))</f>
        <v>0</v>
      </c>
      <c r="Q117" s="337"/>
      <c r="R117" s="338"/>
      <c r="T117" s="117" t="str">
        <f t="shared" ca="1" si="12"/>
        <v/>
      </c>
      <c r="U117" s="163" t="str">
        <f t="shared" ca="1" si="13"/>
        <v/>
      </c>
      <c r="V117" s="164" t="str">
        <f ca="1">IF(AND($W117&gt;0,RegimeExecucao="Unitário"),$F117,"")</f>
        <v/>
      </c>
      <c r="W117" s="454">
        <f ca="1">IF($Y117&gt;0,CHOOSE(MATCH(RegimeExecucao,{"Unitário","Global"},0),IF($A117="S",$Y117/$X117,""),($Y117/$X117)*100),0)</f>
        <v>0</v>
      </c>
      <c r="X117" s="339" t="str">
        <f ca="1">IF($Y117&gt;0,CHOOSE(MATCH(RegimeExecucao,{"Unitário","Global"},0),IF($A117="S",ROUND($H117,ORÇAMENTO!$AF$10),""),ROUND($I117,ORÇAMENTO!$AF$11)),"")</f>
        <v/>
      </c>
      <c r="Y117" s="339">
        <f t="shared" ca="1" si="14"/>
        <v>0</v>
      </c>
      <c r="Z117" s="473"/>
      <c r="AB117" s="337"/>
      <c r="AC117" s="437"/>
      <c r="AD117" s="437"/>
      <c r="AE117" s="437"/>
      <c r="AF117" s="437"/>
      <c r="AG117" s="437"/>
      <c r="AH117" s="437"/>
      <c r="AI117" s="437"/>
      <c r="AJ117" s="437"/>
      <c r="AK117" s="437"/>
      <c r="AL117" s="437"/>
      <c r="AM117" s="338"/>
      <c r="AO117">
        <f ca="1">IF($A117="S",IF(BM!$I117=0,0,CHOOSE(MATCH(RegimeExecucao,{"Global","Unitário"},0),ROUND(ROUND(BM.MEDAcumulado,15-13*BM!$A$9)/100*BM!$I117,15-13*ORÇAMENTO!$AF$11),ROUND(ROUND(BM.MEDAcumulado,15-13*BM!$A$9)*ROUND(BM!$H117,15-13*ORÇAMENTO!$AF$10),15-13*ORÇAMENTO!$AF$11))),IF($A117=0,0,ROUND(SomaAgrupBM,15-13*ORÇAMENTO!$AF$11)))</f>
        <v>0</v>
      </c>
    </row>
    <row r="118" spans="1:41" x14ac:dyDescent="0.2">
      <c r="A118">
        <f ca="1">ORÇAMENTO!C118</f>
        <v>4</v>
      </c>
      <c r="B118">
        <f ca="1">ORÇAMENTO!D118</f>
        <v>6</v>
      </c>
      <c r="C118" s="114" t="str">
        <f t="shared" ca="1" si="8"/>
        <v>F</v>
      </c>
      <c r="D118" s="117" t="str">
        <f ca="1">ORÇAMENTO!O118</f>
        <v>1.5.2.2.</v>
      </c>
      <c r="E118" s="163" t="str">
        <f t="shared" si="9"/>
        <v>PAREDES E LAJES</v>
      </c>
      <c r="F118" s="164" t="str">
        <f ca="1">IF(RegimeExecucao="Global","",ORÇAMENTO.Unidade)</f>
        <v>-</v>
      </c>
      <c r="G118" s="122">
        <f ca="1">IF(RegimeExecucao="Global","",ORÇAMENTO!T118)</f>
        <v>0</v>
      </c>
      <c r="H118" s="122">
        <f ca="1">IF(RegimeExecucao="Global","",ORÇAMENTO!W118)</f>
        <v>0</v>
      </c>
      <c r="I118" s="125">
        <f ca="1">ORÇAMENTO!X118</f>
        <v>472890.11</v>
      </c>
      <c r="J118" s="333" cm="1">
        <f t="array" aca="1" ref="J118" ca="1">_xlfn.SINGLE(IF($A118="S",IF(CAIXA.Modo,BM.AFAnterior,BM.MEDAnterior),IF(AND(_xlfn.SINGLE(RegimeExecucao)="Global",$I118&gt;0,COUNTIF($AB$13:$AM$13,BM.medicao-1)&gt;0),M118/$I118*100,0)))</f>
        <v>0</v>
      </c>
      <c r="K118" s="122">
        <f t="shared" ca="1" si="10"/>
        <v>0</v>
      </c>
      <c r="L118" s="334" cm="1">
        <f t="array" aca="1" ref="L118" ca="1">_xlfn.SINGLE(IF($A118="S",IF(CAIXA.Modo,BM.AFAcumulado,BM.MEDAcumulado),IF(AND(_xlfn.SINGLE(RegimeExecucao)="Global",$I118&gt;0,COUNTIF($AB$13:$AM$13,BM.medicao)&gt;0),O118/$I118*100,0)))</f>
        <v>0</v>
      </c>
      <c r="M118" s="335">
        <f ca="1">IF($A118="S",VTOTALBM,IF($A118=0,0,ROUND(SomaAgrupBM,15-13*ORÇAMENTO!$AF$11)))</f>
        <v>0</v>
      </c>
      <c r="N118" s="336">
        <f t="shared" ca="1" si="11"/>
        <v>0</v>
      </c>
      <c r="O118" s="125">
        <f ca="1">IF($A118="S",VTOTALBM,IF($A118=0,0,ROUND(SomaAgrupBM,15-13*ORÇAMENTO!$AF$11)))</f>
        <v>0</v>
      </c>
      <c r="Q118" s="337"/>
      <c r="R118" s="338"/>
      <c r="T118" s="117" t="str">
        <f t="shared" ca="1" si="12"/>
        <v/>
      </c>
      <c r="U118" s="163" t="str">
        <f t="shared" ca="1" si="13"/>
        <v/>
      </c>
      <c r="V118" s="164" t="str">
        <f ca="1">IF(AND($W118&gt;0,RegimeExecucao="Unitário"),$F118,"")</f>
        <v/>
      </c>
      <c r="W118" s="454">
        <f ca="1">IF($Y118&gt;0,CHOOSE(MATCH(RegimeExecucao,{"Unitário","Global"},0),IF($A118="S",$Y118/$X118,""),($Y118/$X118)*100),0)</f>
        <v>0</v>
      </c>
      <c r="X118" s="339" t="str">
        <f ca="1">IF($Y118&gt;0,CHOOSE(MATCH(RegimeExecucao,{"Unitário","Global"},0),IF($A118="S",ROUND($H118,ORÇAMENTO!$AF$10),""),ROUND($I118,ORÇAMENTO!$AF$11)),"")</f>
        <v/>
      </c>
      <c r="Y118" s="339">
        <f t="shared" ca="1" si="14"/>
        <v>0</v>
      </c>
      <c r="Z118" s="473"/>
      <c r="AB118" s="337"/>
      <c r="AC118" s="437"/>
      <c r="AD118" s="437"/>
      <c r="AE118" s="437"/>
      <c r="AF118" s="437"/>
      <c r="AG118" s="437"/>
      <c r="AH118" s="437"/>
      <c r="AI118" s="437"/>
      <c r="AJ118" s="437"/>
      <c r="AK118" s="437"/>
      <c r="AL118" s="437"/>
      <c r="AM118" s="338"/>
      <c r="AO118">
        <f ca="1">IF($A118="S",IF(BM!$I118=0,0,CHOOSE(MATCH(RegimeExecucao,{"Global","Unitário"},0),ROUND(ROUND(BM.MEDAcumulado,15-13*BM!$A$9)/100*BM!$I118,15-13*ORÇAMENTO!$AF$11),ROUND(ROUND(BM.MEDAcumulado,15-13*BM!$A$9)*ROUND(BM!$H118,15-13*ORÇAMENTO!$AF$10),15-13*ORÇAMENTO!$AF$11))),IF($A118=0,0,ROUND(SomaAgrupBM,15-13*ORÇAMENTO!$AF$11)))</f>
        <v>0</v>
      </c>
    </row>
    <row r="119" spans="1:41" ht="38.25" x14ac:dyDescent="0.2">
      <c r="A119" t="str">
        <f ca="1">ORÇAMENTO!C119</f>
        <v>S</v>
      </c>
      <c r="B119">
        <f ca="1">ORÇAMENTO!D119</f>
        <v>0</v>
      </c>
      <c r="C119" s="114" t="str">
        <f t="shared" ca="1" si="8"/>
        <v>F</v>
      </c>
      <c r="D119" s="117" t="str">
        <f ca="1">ORÇAMENTO!O119</f>
        <v>1.5.2.2.1.</v>
      </c>
      <c r="E119" s="163" t="str">
        <f t="shared" ca="1" si="9"/>
        <v>CONCRETO FCK = 40MPA, TRAÇO 1:1,6:1,9 (EM MASSA SECA DE CIMENTO/ AREIA MÉDIA/ BRITA 1) - PREPARO MECÂNICO COM BETONEIRA 600 L. AF_05/2021</v>
      </c>
      <c r="F119" s="164" t="str">
        <f ca="1">IF(RegimeExecucao="Global","",ORÇAMENTO.Unidade)</f>
        <v>M3</v>
      </c>
      <c r="G119" s="122">
        <f ca="1">IF(RegimeExecucao="Global","",ORÇAMENTO!T119)</f>
        <v>228.37</v>
      </c>
      <c r="H119" s="122">
        <f ca="1">IF(RegimeExecucao="Global","",ORÇAMENTO!W119)</f>
        <v>775.96</v>
      </c>
      <c r="I119" s="125">
        <f ca="1">ORÇAMENTO!X119</f>
        <v>177205.99</v>
      </c>
      <c r="J119" s="333" cm="1">
        <f t="array" aca="1" ref="J119" ca="1">_xlfn.SINGLE(IF($A119="S",IF(CAIXA.Modo,BM.AFAnterior,BM.MEDAnterior),IF(AND(_xlfn.SINGLE(RegimeExecucao)="Global",$I119&gt;0,COUNTIF($AB$13:$AM$13,BM.medicao-1)&gt;0),M119/$I119*100,0)))</f>
        <v>0</v>
      </c>
      <c r="K119" s="122">
        <f t="shared" ca="1" si="10"/>
        <v>0</v>
      </c>
      <c r="L119" s="334" cm="1">
        <f t="array" aca="1" ref="L119" ca="1">_xlfn.SINGLE(IF($A119="S",IF(CAIXA.Modo,BM.AFAcumulado,BM.MEDAcumulado),IF(AND(_xlfn.SINGLE(RegimeExecucao)="Global",$I119&gt;0,COUNTIF($AB$13:$AM$13,BM.medicao)&gt;0),O119/$I119*100,0)))</f>
        <v>0</v>
      </c>
      <c r="M119" s="335">
        <f ca="1">IF($A119="S",VTOTALBM,IF($A119=0,0,ROUND(SomaAgrupBM,15-13*ORÇAMENTO!$AF$11)))</f>
        <v>0</v>
      </c>
      <c r="N119" s="336">
        <f t="shared" ca="1" si="11"/>
        <v>0</v>
      </c>
      <c r="O119" s="125">
        <f ca="1">IF($A119="S",VTOTALBM,IF($A119=0,0,ROUND(SomaAgrupBM,15-13*ORÇAMENTO!$AF$11)))</f>
        <v>0</v>
      </c>
      <c r="Q119" s="337"/>
      <c r="R119" s="338"/>
      <c r="T119" s="117" t="str">
        <f t="shared" ca="1" si="12"/>
        <v/>
      </c>
      <c r="U119" s="163" t="str">
        <f t="shared" ca="1" si="13"/>
        <v/>
      </c>
      <c r="V119" s="164" t="str">
        <f ca="1">IF(AND($W119&gt;0,RegimeExecucao="Unitário"),$F119,"")</f>
        <v/>
      </c>
      <c r="W119" s="454">
        <f ca="1">IF($Y119&gt;0,CHOOSE(MATCH(RegimeExecucao,{"Unitário","Global"},0),IF($A119="S",$Y119/$X119,""),($Y119/$X119)*100),0)</f>
        <v>0</v>
      </c>
      <c r="X119" s="339" t="str">
        <f ca="1">IF($Y119&gt;0,CHOOSE(MATCH(RegimeExecucao,{"Unitário","Global"},0),IF($A119="S",ROUND($H119,ORÇAMENTO!$AF$10),""),ROUND($I119,ORÇAMENTO!$AF$11)),"")</f>
        <v/>
      </c>
      <c r="Y119" s="339">
        <f t="shared" ca="1" si="14"/>
        <v>0</v>
      </c>
      <c r="Z119" s="473"/>
      <c r="AB119" s="337"/>
      <c r="AC119" s="437"/>
      <c r="AD119" s="437"/>
      <c r="AE119" s="437"/>
      <c r="AF119" s="437"/>
      <c r="AG119" s="437"/>
      <c r="AH119" s="437"/>
      <c r="AI119" s="437"/>
      <c r="AJ119" s="437"/>
      <c r="AK119" s="437"/>
      <c r="AL119" s="437"/>
      <c r="AM119" s="338"/>
      <c r="AO119">
        <f ca="1">IF($A119="S",IF(BM!$I119=0,0,CHOOSE(MATCH(RegimeExecucao,{"Global","Unitário"},0),ROUND(ROUND(BM.MEDAcumulado,15-13*BM!$A$9)/100*BM!$I119,15-13*ORÇAMENTO!$AF$11),ROUND(ROUND(BM.MEDAcumulado,15-13*BM!$A$9)*ROUND(BM!$H119,15-13*ORÇAMENTO!$AF$10),15-13*ORÇAMENTO!$AF$11))),IF($A119=0,0,ROUND(SomaAgrupBM,15-13*ORÇAMENTO!$AF$11)))</f>
        <v>0</v>
      </c>
    </row>
    <row r="120" spans="1:41" ht="25.5" x14ac:dyDescent="0.2">
      <c r="A120" t="str">
        <f ca="1">ORÇAMENTO!C120</f>
        <v>S</v>
      </c>
      <c r="B120">
        <f ca="1">ORÇAMENTO!D120</f>
        <v>0</v>
      </c>
      <c r="C120" s="114" t="str">
        <f t="shared" ca="1" si="8"/>
        <v>F</v>
      </c>
      <c r="D120" s="117" t="str">
        <f ca="1">ORÇAMENTO!O120</f>
        <v>1.5.2.2.2.</v>
      </c>
      <c r="E120" s="163" t="str">
        <f t="shared" ca="1" si="9"/>
        <v>LANÇAMENTO COM USO DE BOMBA, ADENSAMENTO E ACABAMENTO DE CONCRETO EM ESTRUTURAS. AF_02/2022</v>
      </c>
      <c r="F120" s="164" t="str">
        <f ca="1">IF(RegimeExecucao="Global","",ORÇAMENTO.Unidade)</f>
        <v>M3</v>
      </c>
      <c r="G120" s="122">
        <f ca="1">IF(RegimeExecucao="Global","",ORÇAMENTO!T120)</f>
        <v>228.37</v>
      </c>
      <c r="H120" s="122">
        <f ca="1">IF(RegimeExecucao="Global","",ORÇAMENTO!W120)</f>
        <v>54.96</v>
      </c>
      <c r="I120" s="125">
        <f ca="1">ORÇAMENTO!X120</f>
        <v>12551.22</v>
      </c>
      <c r="J120" s="333" cm="1">
        <f t="array" aca="1" ref="J120" ca="1">_xlfn.SINGLE(IF($A120="S",IF(CAIXA.Modo,BM.AFAnterior,BM.MEDAnterior),IF(AND(_xlfn.SINGLE(RegimeExecucao)="Global",$I120&gt;0,COUNTIF($AB$13:$AM$13,BM.medicao-1)&gt;0),M120/$I120*100,0)))</f>
        <v>0</v>
      </c>
      <c r="K120" s="122">
        <f t="shared" ca="1" si="10"/>
        <v>0</v>
      </c>
      <c r="L120" s="334" cm="1">
        <f t="array" aca="1" ref="L120" ca="1">_xlfn.SINGLE(IF($A120="S",IF(CAIXA.Modo,BM.AFAcumulado,BM.MEDAcumulado),IF(AND(_xlfn.SINGLE(RegimeExecucao)="Global",$I120&gt;0,COUNTIF($AB$13:$AM$13,BM.medicao)&gt;0),O120/$I120*100,0)))</f>
        <v>0</v>
      </c>
      <c r="M120" s="335">
        <f ca="1">IF($A120="S",VTOTALBM,IF($A120=0,0,ROUND(SomaAgrupBM,15-13*ORÇAMENTO!$AF$11)))</f>
        <v>0</v>
      </c>
      <c r="N120" s="336">
        <f t="shared" ca="1" si="11"/>
        <v>0</v>
      </c>
      <c r="O120" s="125">
        <f ca="1">IF($A120="S",VTOTALBM,IF($A120=0,0,ROUND(SomaAgrupBM,15-13*ORÇAMENTO!$AF$11)))</f>
        <v>0</v>
      </c>
      <c r="Q120" s="337"/>
      <c r="R120" s="338"/>
      <c r="T120" s="117" t="str">
        <f t="shared" ca="1" si="12"/>
        <v/>
      </c>
      <c r="U120" s="163" t="str">
        <f t="shared" ca="1" si="13"/>
        <v/>
      </c>
      <c r="V120" s="164" t="str">
        <f ca="1">IF(AND($W120&gt;0,RegimeExecucao="Unitário"),$F120,"")</f>
        <v/>
      </c>
      <c r="W120" s="454">
        <f ca="1">IF($Y120&gt;0,CHOOSE(MATCH(RegimeExecucao,{"Unitário","Global"},0),IF($A120="S",$Y120/$X120,""),($Y120/$X120)*100),0)</f>
        <v>0</v>
      </c>
      <c r="X120" s="339" t="str">
        <f ca="1">IF($Y120&gt;0,CHOOSE(MATCH(RegimeExecucao,{"Unitário","Global"},0),IF($A120="S",ROUND($H120,ORÇAMENTO!$AF$10),""),ROUND($I120,ORÇAMENTO!$AF$11)),"")</f>
        <v/>
      </c>
      <c r="Y120" s="339">
        <f t="shared" ca="1" si="14"/>
        <v>0</v>
      </c>
      <c r="Z120" s="473"/>
      <c r="AB120" s="337"/>
      <c r="AC120" s="437"/>
      <c r="AD120" s="437"/>
      <c r="AE120" s="437"/>
      <c r="AF120" s="437"/>
      <c r="AG120" s="437"/>
      <c r="AH120" s="437"/>
      <c r="AI120" s="437"/>
      <c r="AJ120" s="437"/>
      <c r="AK120" s="437"/>
      <c r="AL120" s="437"/>
      <c r="AM120" s="338"/>
      <c r="AO120">
        <f ca="1">IF($A120="S",IF(BM!$I120=0,0,CHOOSE(MATCH(RegimeExecucao,{"Global","Unitário"},0),ROUND(ROUND(BM.MEDAcumulado,15-13*BM!$A$9)/100*BM!$I120,15-13*ORÇAMENTO!$AF$11),ROUND(ROUND(BM.MEDAcumulado,15-13*BM!$A$9)*ROUND(BM!$H120,15-13*ORÇAMENTO!$AF$10),15-13*ORÇAMENTO!$AF$11))),IF($A120=0,0,ROUND(SomaAgrupBM,15-13*ORÇAMENTO!$AF$11)))</f>
        <v>0</v>
      </c>
    </row>
    <row r="121" spans="1:41" ht="25.5" x14ac:dyDescent="0.2">
      <c r="A121" t="str">
        <f ca="1">ORÇAMENTO!C121</f>
        <v>S</v>
      </c>
      <c r="B121">
        <f ca="1">ORÇAMENTO!D121</f>
        <v>0</v>
      </c>
      <c r="C121" s="114" t="str">
        <f t="shared" ca="1" si="8"/>
        <v>F</v>
      </c>
      <c r="D121" s="117" t="str">
        <f ca="1">ORÇAMENTO!O121</f>
        <v>1.5.2.2.3.</v>
      </c>
      <c r="E121" s="163" t="str">
        <f t="shared" ca="1" si="9"/>
        <v xml:space="preserve">LASTRO DE CONCRETO MAGRO, INCLUSIVE TRANSPORTE, LANÇAMENTO E ADENSAMENTO </v>
      </c>
      <c r="F121" s="164" t="str">
        <f ca="1">IF(RegimeExecucao="Global","",ORÇAMENTO.Unidade)</f>
        <v>M3</v>
      </c>
      <c r="G121" s="122">
        <f ca="1">IF(RegimeExecucao="Global","",ORÇAMENTO!T121)</f>
        <v>14.49</v>
      </c>
      <c r="H121" s="122">
        <f ca="1">IF(RegimeExecucao="Global","",ORÇAMENTO!W121)</f>
        <v>727.7</v>
      </c>
      <c r="I121" s="125">
        <f ca="1">ORÇAMENTO!X121</f>
        <v>10544.37</v>
      </c>
      <c r="J121" s="333" cm="1">
        <f t="array" aca="1" ref="J121" ca="1">_xlfn.SINGLE(IF($A121="S",IF(CAIXA.Modo,BM.AFAnterior,BM.MEDAnterior),IF(AND(_xlfn.SINGLE(RegimeExecucao)="Global",$I121&gt;0,COUNTIF($AB$13:$AM$13,BM.medicao-1)&gt;0),M121/$I121*100,0)))</f>
        <v>0</v>
      </c>
      <c r="K121" s="122">
        <f t="shared" ca="1" si="10"/>
        <v>0</v>
      </c>
      <c r="L121" s="334" cm="1">
        <f t="array" aca="1" ref="L121" ca="1">_xlfn.SINGLE(IF($A121="S",IF(CAIXA.Modo,BM.AFAcumulado,BM.MEDAcumulado),IF(AND(_xlfn.SINGLE(RegimeExecucao)="Global",$I121&gt;0,COUNTIF($AB$13:$AM$13,BM.medicao)&gt;0),O121/$I121*100,0)))</f>
        <v>0</v>
      </c>
      <c r="M121" s="335">
        <f ca="1">IF($A121="S",VTOTALBM,IF($A121=0,0,ROUND(SomaAgrupBM,15-13*ORÇAMENTO!$AF$11)))</f>
        <v>0</v>
      </c>
      <c r="N121" s="336">
        <f t="shared" ca="1" si="11"/>
        <v>0</v>
      </c>
      <c r="O121" s="125">
        <f ca="1">IF($A121="S",VTOTALBM,IF($A121=0,0,ROUND(SomaAgrupBM,15-13*ORÇAMENTO!$AF$11)))</f>
        <v>0</v>
      </c>
      <c r="Q121" s="337"/>
      <c r="R121" s="338"/>
      <c r="T121" s="117" t="str">
        <f t="shared" ca="1" si="12"/>
        <v/>
      </c>
      <c r="U121" s="163" t="str">
        <f t="shared" ca="1" si="13"/>
        <v/>
      </c>
      <c r="V121" s="164" t="str">
        <f ca="1">IF(AND($W121&gt;0,RegimeExecucao="Unitário"),$F121,"")</f>
        <v/>
      </c>
      <c r="W121" s="454">
        <f ca="1">IF($Y121&gt;0,CHOOSE(MATCH(RegimeExecucao,{"Unitário","Global"},0),IF($A121="S",$Y121/$X121,""),($Y121/$X121)*100),0)</f>
        <v>0</v>
      </c>
      <c r="X121" s="339" t="str">
        <f ca="1">IF($Y121&gt;0,CHOOSE(MATCH(RegimeExecucao,{"Unitário","Global"},0),IF($A121="S",ROUND($H121,ORÇAMENTO!$AF$10),""),ROUND($I121,ORÇAMENTO!$AF$11)),"")</f>
        <v/>
      </c>
      <c r="Y121" s="339">
        <f t="shared" ca="1" si="14"/>
        <v>0</v>
      </c>
      <c r="Z121" s="473"/>
      <c r="AB121" s="337"/>
      <c r="AC121" s="437"/>
      <c r="AD121" s="437"/>
      <c r="AE121" s="437"/>
      <c r="AF121" s="437"/>
      <c r="AG121" s="437"/>
      <c r="AH121" s="437"/>
      <c r="AI121" s="437"/>
      <c r="AJ121" s="437"/>
      <c r="AK121" s="437"/>
      <c r="AL121" s="437"/>
      <c r="AM121" s="338"/>
      <c r="AO121">
        <f ca="1">IF($A121="S",IF(BM!$I121=0,0,CHOOSE(MATCH(RegimeExecucao,{"Global","Unitário"},0),ROUND(ROUND(BM.MEDAcumulado,15-13*BM!$A$9)/100*BM!$I121,15-13*ORÇAMENTO!$AF$11),ROUND(ROUND(BM.MEDAcumulado,15-13*BM!$A$9)*ROUND(BM!$H121,15-13*ORÇAMENTO!$AF$10),15-13*ORÇAMENTO!$AF$11))),IF($A121=0,0,ROUND(SomaAgrupBM,15-13*ORÇAMENTO!$AF$11)))</f>
        <v>0</v>
      </c>
    </row>
    <row r="122" spans="1:41" ht="25.5" x14ac:dyDescent="0.2">
      <c r="A122" t="str">
        <f ca="1">ORÇAMENTO!C122</f>
        <v>S</v>
      </c>
      <c r="B122">
        <f ca="1">ORÇAMENTO!D122</f>
        <v>0</v>
      </c>
      <c r="C122" s="114" t="str">
        <f t="shared" ca="1" si="8"/>
        <v>F</v>
      </c>
      <c r="D122" s="117" t="str">
        <f ca="1">ORÇAMENTO!O122</f>
        <v>1.5.2.2.4.</v>
      </c>
      <c r="E122" s="163" t="str">
        <f t="shared" ca="1" si="9"/>
        <v>FÔRMAS DE COMPENSADO RESINADO 10 MM - USO GERAL - UTILIZAÇÃO DE 3 VEZES - CONFECÇÃO, INSTALAÇÃO E RETIRADA</v>
      </c>
      <c r="F122" s="164" t="str">
        <f ca="1">IF(RegimeExecucao="Global","",ORÇAMENTO.Unidade)</f>
        <v>M2</v>
      </c>
      <c r="G122" s="122">
        <f ca="1">IF(RegimeExecucao="Global","",ORÇAMENTO!T122)</f>
        <v>334.26</v>
      </c>
      <c r="H122" s="122">
        <f ca="1">IF(RegimeExecucao="Global","",ORÇAMENTO!W122)</f>
        <v>88.5</v>
      </c>
      <c r="I122" s="125">
        <f ca="1">ORÇAMENTO!X122</f>
        <v>29582.01</v>
      </c>
      <c r="J122" s="333" cm="1">
        <f t="array" aca="1" ref="J122" ca="1">_xlfn.SINGLE(IF($A122="S",IF(CAIXA.Modo,BM.AFAnterior,BM.MEDAnterior),IF(AND(_xlfn.SINGLE(RegimeExecucao)="Global",$I122&gt;0,COUNTIF($AB$13:$AM$13,BM.medicao-1)&gt;0),M122/$I122*100,0)))</f>
        <v>0</v>
      </c>
      <c r="K122" s="122">
        <f t="shared" ca="1" si="10"/>
        <v>0</v>
      </c>
      <c r="L122" s="334" cm="1">
        <f t="array" aca="1" ref="L122" ca="1">_xlfn.SINGLE(IF($A122="S",IF(CAIXA.Modo,BM.AFAcumulado,BM.MEDAcumulado),IF(AND(_xlfn.SINGLE(RegimeExecucao)="Global",$I122&gt;0,COUNTIF($AB$13:$AM$13,BM.medicao)&gt;0),O122/$I122*100,0)))</f>
        <v>0</v>
      </c>
      <c r="M122" s="335">
        <f ca="1">IF($A122="S",VTOTALBM,IF($A122=0,0,ROUND(SomaAgrupBM,15-13*ORÇAMENTO!$AF$11)))</f>
        <v>0</v>
      </c>
      <c r="N122" s="336">
        <f t="shared" ca="1" si="11"/>
        <v>0</v>
      </c>
      <c r="O122" s="125">
        <f ca="1">IF($A122="S",VTOTALBM,IF($A122=0,0,ROUND(SomaAgrupBM,15-13*ORÇAMENTO!$AF$11)))</f>
        <v>0</v>
      </c>
      <c r="Q122" s="337"/>
      <c r="R122" s="338"/>
      <c r="T122" s="117" t="str">
        <f t="shared" ca="1" si="12"/>
        <v/>
      </c>
      <c r="U122" s="163" t="str">
        <f t="shared" ca="1" si="13"/>
        <v/>
      </c>
      <c r="V122" s="164" t="str">
        <f ca="1">IF(AND($W122&gt;0,RegimeExecucao="Unitário"),$F122,"")</f>
        <v/>
      </c>
      <c r="W122" s="454">
        <f ca="1">IF($Y122&gt;0,CHOOSE(MATCH(RegimeExecucao,{"Unitário","Global"},0),IF($A122="S",$Y122/$X122,""),($Y122/$X122)*100),0)</f>
        <v>0</v>
      </c>
      <c r="X122" s="339" t="str">
        <f ca="1">IF($Y122&gt;0,CHOOSE(MATCH(RegimeExecucao,{"Unitário","Global"},0),IF($A122="S",ROUND($H122,ORÇAMENTO!$AF$10),""),ROUND($I122,ORÇAMENTO!$AF$11)),"")</f>
        <v/>
      </c>
      <c r="Y122" s="339">
        <f t="shared" ca="1" si="14"/>
        <v>0</v>
      </c>
      <c r="Z122" s="473"/>
      <c r="AB122" s="337"/>
      <c r="AC122" s="437"/>
      <c r="AD122" s="437"/>
      <c r="AE122" s="437"/>
      <c r="AF122" s="437"/>
      <c r="AG122" s="437"/>
      <c r="AH122" s="437"/>
      <c r="AI122" s="437"/>
      <c r="AJ122" s="437"/>
      <c r="AK122" s="437"/>
      <c r="AL122" s="437"/>
      <c r="AM122" s="338"/>
      <c r="AO122">
        <f ca="1">IF($A122="S",IF(BM!$I122=0,0,CHOOSE(MATCH(RegimeExecucao,{"Global","Unitário"},0),ROUND(ROUND(BM.MEDAcumulado,15-13*BM!$A$9)/100*BM!$I122,15-13*ORÇAMENTO!$AF$11),ROUND(ROUND(BM.MEDAcumulado,15-13*BM!$A$9)*ROUND(BM!$H122,15-13*ORÇAMENTO!$AF$10),15-13*ORÇAMENTO!$AF$11))),IF($A122=0,0,ROUND(SomaAgrupBM,15-13*ORÇAMENTO!$AF$11)))</f>
        <v>0</v>
      </c>
    </row>
    <row r="123" spans="1:41" ht="25.5" x14ac:dyDescent="0.2">
      <c r="A123" t="str">
        <f ca="1">ORÇAMENTO!C123</f>
        <v>S</v>
      </c>
      <c r="B123">
        <f ca="1">ORÇAMENTO!D123</f>
        <v>0</v>
      </c>
      <c r="C123" s="114" t="str">
        <f t="shared" ca="1" si="8"/>
        <v>F</v>
      </c>
      <c r="D123" s="117" t="str">
        <f ca="1">ORÇAMENTO!O123</f>
        <v>1.5.2.2.5.</v>
      </c>
      <c r="E123" s="163" t="str">
        <f t="shared" ca="1" si="9"/>
        <v>ARMAÇÃO EM AÇO CA-50 - FORNECIMENTO, PREPARO E COLOCAÇÃO</v>
      </c>
      <c r="F123" s="164" t="str">
        <f ca="1">IF(RegimeExecucao="Global","",ORÇAMENTO.Unidade)</f>
        <v>KG</v>
      </c>
      <c r="G123" s="122">
        <f ca="1">IF(RegimeExecucao="Global","",ORÇAMENTO!T123)</f>
        <v>16287.3</v>
      </c>
      <c r="H123" s="122">
        <f ca="1">IF(RegimeExecucao="Global","",ORÇAMENTO!W123)</f>
        <v>14.92</v>
      </c>
      <c r="I123" s="125">
        <f ca="1">ORÇAMENTO!X123</f>
        <v>243006.52</v>
      </c>
      <c r="J123" s="333" cm="1">
        <f t="array" aca="1" ref="J123" ca="1">_xlfn.SINGLE(IF($A123="S",IF(CAIXA.Modo,BM.AFAnterior,BM.MEDAnterior),IF(AND(_xlfn.SINGLE(RegimeExecucao)="Global",$I123&gt;0,COUNTIF($AB$13:$AM$13,BM.medicao-1)&gt;0),M123/$I123*100,0)))</f>
        <v>0</v>
      </c>
      <c r="K123" s="122">
        <f t="shared" ca="1" si="10"/>
        <v>0</v>
      </c>
      <c r="L123" s="334" cm="1">
        <f t="array" aca="1" ref="L123" ca="1">_xlfn.SINGLE(IF($A123="S",IF(CAIXA.Modo,BM.AFAcumulado,BM.MEDAcumulado),IF(AND(_xlfn.SINGLE(RegimeExecucao)="Global",$I123&gt;0,COUNTIF($AB$13:$AM$13,BM.medicao)&gt;0),O123/$I123*100,0)))</f>
        <v>0</v>
      </c>
      <c r="M123" s="335">
        <f ca="1">IF($A123="S",VTOTALBM,IF($A123=0,0,ROUND(SomaAgrupBM,15-13*ORÇAMENTO!$AF$11)))</f>
        <v>0</v>
      </c>
      <c r="N123" s="336">
        <f t="shared" ca="1" si="11"/>
        <v>0</v>
      </c>
      <c r="O123" s="125">
        <f ca="1">IF($A123="S",VTOTALBM,IF($A123=0,0,ROUND(SomaAgrupBM,15-13*ORÇAMENTO!$AF$11)))</f>
        <v>0</v>
      </c>
      <c r="Q123" s="337"/>
      <c r="R123" s="338"/>
      <c r="T123" s="117" t="str">
        <f t="shared" ca="1" si="12"/>
        <v/>
      </c>
      <c r="U123" s="163" t="str">
        <f t="shared" ca="1" si="13"/>
        <v/>
      </c>
      <c r="V123" s="164" t="str">
        <f ca="1">IF(AND($W123&gt;0,RegimeExecucao="Unitário"),$F123,"")</f>
        <v/>
      </c>
      <c r="W123" s="454">
        <f ca="1">IF($Y123&gt;0,CHOOSE(MATCH(RegimeExecucao,{"Unitário","Global"},0),IF($A123="S",$Y123/$X123,""),($Y123/$X123)*100),0)</f>
        <v>0</v>
      </c>
      <c r="X123" s="339" t="str">
        <f ca="1">IF($Y123&gt;0,CHOOSE(MATCH(RegimeExecucao,{"Unitário","Global"},0),IF($A123="S",ROUND($H123,ORÇAMENTO!$AF$10),""),ROUND($I123,ORÇAMENTO!$AF$11)),"")</f>
        <v/>
      </c>
      <c r="Y123" s="339">
        <f t="shared" ca="1" si="14"/>
        <v>0</v>
      </c>
      <c r="Z123" s="473"/>
      <c r="AB123" s="337"/>
      <c r="AC123" s="437"/>
      <c r="AD123" s="437"/>
      <c r="AE123" s="437"/>
      <c r="AF123" s="437"/>
      <c r="AG123" s="437"/>
      <c r="AH123" s="437"/>
      <c r="AI123" s="437"/>
      <c r="AJ123" s="437"/>
      <c r="AK123" s="437"/>
      <c r="AL123" s="437"/>
      <c r="AM123" s="338"/>
      <c r="AO123">
        <f ca="1">IF($A123="S",IF(BM!$I123=0,0,CHOOSE(MATCH(RegimeExecucao,{"Global","Unitário"},0),ROUND(ROUND(BM.MEDAcumulado,15-13*BM!$A$9)/100*BM!$I123,15-13*ORÇAMENTO!$AF$11),ROUND(ROUND(BM.MEDAcumulado,15-13*BM!$A$9)*ROUND(BM!$H123,15-13*ORÇAMENTO!$AF$10),15-13*ORÇAMENTO!$AF$11))),IF($A123=0,0,ROUND(SomaAgrupBM,15-13*ORÇAMENTO!$AF$11)))</f>
        <v>0</v>
      </c>
    </row>
    <row r="124" spans="1:41" x14ac:dyDescent="0.2">
      <c r="A124">
        <f ca="1">ORÇAMENTO!C124</f>
        <v>4</v>
      </c>
      <c r="B124">
        <f ca="1">ORÇAMENTO!D124</f>
        <v>5</v>
      </c>
      <c r="C124" s="114" t="str">
        <f t="shared" ca="1" si="8"/>
        <v>F</v>
      </c>
      <c r="D124" s="117" t="str">
        <f ca="1">ORÇAMENTO!O124</f>
        <v>1.5.2.3.</v>
      </c>
      <c r="E124" s="163" t="str">
        <f t="shared" si="9"/>
        <v>CAIXA</v>
      </c>
      <c r="F124" s="164" t="str">
        <f ca="1">IF(RegimeExecucao="Global","",ORÇAMENTO.Unidade)</f>
        <v>-</v>
      </c>
      <c r="G124" s="122">
        <f ca="1">IF(RegimeExecucao="Global","",ORÇAMENTO!T124)</f>
        <v>0</v>
      </c>
      <c r="H124" s="122">
        <f ca="1">IF(RegimeExecucao="Global","",ORÇAMENTO!W124)</f>
        <v>0</v>
      </c>
      <c r="I124" s="125">
        <f ca="1">ORÇAMENTO!X124</f>
        <v>9649.64</v>
      </c>
      <c r="J124" s="333" cm="1">
        <f t="array" aca="1" ref="J124" ca="1">_xlfn.SINGLE(IF($A124="S",IF(CAIXA.Modo,BM.AFAnterior,BM.MEDAnterior),IF(AND(_xlfn.SINGLE(RegimeExecucao)="Global",$I124&gt;0,COUNTIF($AB$13:$AM$13,BM.medicao-1)&gt;0),M124/$I124*100,0)))</f>
        <v>0</v>
      </c>
      <c r="K124" s="122">
        <f t="shared" ca="1" si="10"/>
        <v>0</v>
      </c>
      <c r="L124" s="334" cm="1">
        <f t="array" aca="1" ref="L124" ca="1">_xlfn.SINGLE(IF($A124="S",IF(CAIXA.Modo,BM.AFAcumulado,BM.MEDAcumulado),IF(AND(_xlfn.SINGLE(RegimeExecucao)="Global",$I124&gt;0,COUNTIF($AB$13:$AM$13,BM.medicao)&gt;0),O124/$I124*100,0)))</f>
        <v>0</v>
      </c>
      <c r="M124" s="335">
        <f ca="1">IF($A124="S",VTOTALBM,IF($A124=0,0,ROUND(SomaAgrupBM,15-13*ORÇAMENTO!$AF$11)))</f>
        <v>0</v>
      </c>
      <c r="N124" s="336">
        <f t="shared" ca="1" si="11"/>
        <v>0</v>
      </c>
      <c r="O124" s="125">
        <f ca="1">IF($A124="S",VTOTALBM,IF($A124=0,0,ROUND(SomaAgrupBM,15-13*ORÇAMENTO!$AF$11)))</f>
        <v>0</v>
      </c>
      <c r="Q124" s="337"/>
      <c r="R124" s="338"/>
      <c r="T124" s="117" t="str">
        <f t="shared" ca="1" si="12"/>
        <v/>
      </c>
      <c r="U124" s="163" t="str">
        <f t="shared" ca="1" si="13"/>
        <v/>
      </c>
      <c r="V124" s="164" t="str">
        <f ca="1">IF(AND($W124&gt;0,RegimeExecucao="Unitário"),$F124,"")</f>
        <v/>
      </c>
      <c r="W124" s="454">
        <f ca="1">IF($Y124&gt;0,CHOOSE(MATCH(RegimeExecucao,{"Unitário","Global"},0),IF($A124="S",$Y124/$X124,""),($Y124/$X124)*100),0)</f>
        <v>0</v>
      </c>
      <c r="X124" s="339" t="str">
        <f ca="1">IF($Y124&gt;0,CHOOSE(MATCH(RegimeExecucao,{"Unitário","Global"},0),IF($A124="S",ROUND($H124,ORÇAMENTO!$AF$10),""),ROUND($I124,ORÇAMENTO!$AF$11)),"")</f>
        <v/>
      </c>
      <c r="Y124" s="339">
        <f t="shared" ca="1" si="14"/>
        <v>0</v>
      </c>
      <c r="Z124" s="473"/>
      <c r="AB124" s="337"/>
      <c r="AC124" s="437"/>
      <c r="AD124" s="437"/>
      <c r="AE124" s="437"/>
      <c r="AF124" s="437"/>
      <c r="AG124" s="437"/>
      <c r="AH124" s="437"/>
      <c r="AI124" s="437"/>
      <c r="AJ124" s="437"/>
      <c r="AK124" s="437"/>
      <c r="AL124" s="437"/>
      <c r="AM124" s="338"/>
      <c r="AO124">
        <f ca="1">IF($A124="S",IF(BM!$I124=0,0,CHOOSE(MATCH(RegimeExecucao,{"Global","Unitário"},0),ROUND(ROUND(BM.MEDAcumulado,15-13*BM!$A$9)/100*BM!$I124,15-13*ORÇAMENTO!$AF$11),ROUND(ROUND(BM.MEDAcumulado,15-13*BM!$A$9)*ROUND(BM!$H124,15-13*ORÇAMENTO!$AF$10),15-13*ORÇAMENTO!$AF$11))),IF($A124=0,0,ROUND(SomaAgrupBM,15-13*ORÇAMENTO!$AF$11)))</f>
        <v>0</v>
      </c>
    </row>
    <row r="125" spans="1:41" ht="38.25" x14ac:dyDescent="0.2">
      <c r="A125" t="str">
        <f ca="1">ORÇAMENTO!C125</f>
        <v>S</v>
      </c>
      <c r="B125">
        <f ca="1">ORÇAMENTO!D125</f>
        <v>0</v>
      </c>
      <c r="C125" s="114" t="str">
        <f t="shared" ca="1" si="8"/>
        <v>F</v>
      </c>
      <c r="D125" s="117" t="str">
        <f ca="1">ORÇAMENTO!O125</f>
        <v>1.5.2.3.1.</v>
      </c>
      <c r="E125" s="163" t="str">
        <f t="shared" ca="1" si="9"/>
        <v>CONCRETO FCK = 40MPA, TRAÇO 1:1,6:1,9 (EM MASSA SECA DE CIMENTO/ AREIA MÉDIA/ BRITA 1) - PREPARO MECÂNICO COM BETONEIRA 600 L. AF_05/2021</v>
      </c>
      <c r="F125" s="164" t="str">
        <f ca="1">IF(RegimeExecucao="Global","",ORÇAMENTO.Unidade)</f>
        <v>M3</v>
      </c>
      <c r="G125" s="122">
        <f ca="1">IF(RegimeExecucao="Global","",ORÇAMENTO!T125)</f>
        <v>3.08</v>
      </c>
      <c r="H125" s="122">
        <f ca="1">IF(RegimeExecucao="Global","",ORÇAMENTO!W125)</f>
        <v>775.96</v>
      </c>
      <c r="I125" s="125">
        <f ca="1">ORÇAMENTO!X125</f>
        <v>2389.96</v>
      </c>
      <c r="J125" s="333" cm="1">
        <f t="array" aca="1" ref="J125" ca="1">_xlfn.SINGLE(IF($A125="S",IF(CAIXA.Modo,BM.AFAnterior,BM.MEDAnterior),IF(AND(_xlfn.SINGLE(RegimeExecucao)="Global",$I125&gt;0,COUNTIF($AB$13:$AM$13,BM.medicao-1)&gt;0),M125/$I125*100,0)))</f>
        <v>0</v>
      </c>
      <c r="K125" s="122">
        <f t="shared" ca="1" si="10"/>
        <v>0</v>
      </c>
      <c r="L125" s="334" cm="1">
        <f t="array" aca="1" ref="L125" ca="1">_xlfn.SINGLE(IF($A125="S",IF(CAIXA.Modo,BM.AFAcumulado,BM.MEDAcumulado),IF(AND(_xlfn.SINGLE(RegimeExecucao)="Global",$I125&gt;0,COUNTIF($AB$13:$AM$13,BM.medicao)&gt;0),O125/$I125*100,0)))</f>
        <v>0</v>
      </c>
      <c r="M125" s="335">
        <f ca="1">IF($A125="S",VTOTALBM,IF($A125=0,0,ROUND(SomaAgrupBM,15-13*ORÇAMENTO!$AF$11)))</f>
        <v>0</v>
      </c>
      <c r="N125" s="336">
        <f t="shared" ca="1" si="11"/>
        <v>0</v>
      </c>
      <c r="O125" s="125">
        <f ca="1">IF($A125="S",VTOTALBM,IF($A125=0,0,ROUND(SomaAgrupBM,15-13*ORÇAMENTO!$AF$11)))</f>
        <v>0</v>
      </c>
      <c r="Q125" s="337"/>
      <c r="R125" s="338"/>
      <c r="T125" s="117" t="str">
        <f t="shared" ca="1" si="12"/>
        <v/>
      </c>
      <c r="U125" s="163" t="str">
        <f t="shared" ca="1" si="13"/>
        <v/>
      </c>
      <c r="V125" s="164" t="str">
        <f ca="1">IF(AND($W125&gt;0,RegimeExecucao="Unitário"),$F125,"")</f>
        <v/>
      </c>
      <c r="W125" s="454">
        <f ca="1">IF($Y125&gt;0,CHOOSE(MATCH(RegimeExecucao,{"Unitário","Global"},0),IF($A125="S",$Y125/$X125,""),($Y125/$X125)*100),0)</f>
        <v>0</v>
      </c>
      <c r="X125" s="339" t="str">
        <f ca="1">IF($Y125&gt;0,CHOOSE(MATCH(RegimeExecucao,{"Unitário","Global"},0),IF($A125="S",ROUND($H125,ORÇAMENTO!$AF$10),""),ROUND($I125,ORÇAMENTO!$AF$11)),"")</f>
        <v/>
      </c>
      <c r="Y125" s="339">
        <f t="shared" ca="1" si="14"/>
        <v>0</v>
      </c>
      <c r="Z125" s="473"/>
      <c r="AB125" s="337"/>
      <c r="AC125" s="437"/>
      <c r="AD125" s="437"/>
      <c r="AE125" s="437"/>
      <c r="AF125" s="437"/>
      <c r="AG125" s="437"/>
      <c r="AH125" s="437"/>
      <c r="AI125" s="437"/>
      <c r="AJ125" s="437"/>
      <c r="AK125" s="437"/>
      <c r="AL125" s="437"/>
      <c r="AM125" s="338"/>
      <c r="AO125">
        <f ca="1">IF($A125="S",IF(BM!$I125=0,0,CHOOSE(MATCH(RegimeExecucao,{"Global","Unitário"},0),ROUND(ROUND(BM.MEDAcumulado,15-13*BM!$A$9)/100*BM!$I125,15-13*ORÇAMENTO!$AF$11),ROUND(ROUND(BM.MEDAcumulado,15-13*BM!$A$9)*ROUND(BM!$H125,15-13*ORÇAMENTO!$AF$10),15-13*ORÇAMENTO!$AF$11))),IF($A125=0,0,ROUND(SomaAgrupBM,15-13*ORÇAMENTO!$AF$11)))</f>
        <v>0</v>
      </c>
    </row>
    <row r="126" spans="1:41" ht="25.5" x14ac:dyDescent="0.2">
      <c r="A126" t="str">
        <f ca="1">ORÇAMENTO!C126</f>
        <v>S</v>
      </c>
      <c r="B126">
        <f ca="1">ORÇAMENTO!D126</f>
        <v>0</v>
      </c>
      <c r="C126" s="114" t="str">
        <f t="shared" ca="1" si="8"/>
        <v>F</v>
      </c>
      <c r="D126" s="117" t="str">
        <f ca="1">ORÇAMENTO!O126</f>
        <v>1.5.2.3.2.</v>
      </c>
      <c r="E126" s="163" t="str">
        <f t="shared" ca="1" si="9"/>
        <v>LANÇAMENTO COM USO DE BOMBA, ADENSAMENTO E ACABAMENTO DE CONCRETO EM ESTRUTURAS. AF_02/2022</v>
      </c>
      <c r="F126" s="164" t="str">
        <f ca="1">IF(RegimeExecucao="Global","",ORÇAMENTO.Unidade)</f>
        <v>M3</v>
      </c>
      <c r="G126" s="122">
        <f ca="1">IF(RegimeExecucao="Global","",ORÇAMENTO!T126)</f>
        <v>3.08</v>
      </c>
      <c r="H126" s="122">
        <f ca="1">IF(RegimeExecucao="Global","",ORÇAMENTO!W126)</f>
        <v>54.96</v>
      </c>
      <c r="I126" s="125">
        <f ca="1">ORÇAMENTO!X126</f>
        <v>169.28</v>
      </c>
      <c r="J126" s="333" cm="1">
        <f t="array" aca="1" ref="J126" ca="1">_xlfn.SINGLE(IF($A126="S",IF(CAIXA.Modo,BM.AFAnterior,BM.MEDAnterior),IF(AND(_xlfn.SINGLE(RegimeExecucao)="Global",$I126&gt;0,COUNTIF($AB$13:$AM$13,BM.medicao-1)&gt;0),M126/$I126*100,0)))</f>
        <v>0</v>
      </c>
      <c r="K126" s="122">
        <f t="shared" ca="1" si="10"/>
        <v>0</v>
      </c>
      <c r="L126" s="334" cm="1">
        <f t="array" aca="1" ref="L126" ca="1">_xlfn.SINGLE(IF($A126="S",IF(CAIXA.Modo,BM.AFAcumulado,BM.MEDAcumulado),IF(AND(_xlfn.SINGLE(RegimeExecucao)="Global",$I126&gt;0,COUNTIF($AB$13:$AM$13,BM.medicao)&gt;0),O126/$I126*100,0)))</f>
        <v>0</v>
      </c>
      <c r="M126" s="335">
        <f ca="1">IF($A126="S",VTOTALBM,IF($A126=0,0,ROUND(SomaAgrupBM,15-13*ORÇAMENTO!$AF$11)))</f>
        <v>0</v>
      </c>
      <c r="N126" s="336">
        <f t="shared" ca="1" si="11"/>
        <v>0</v>
      </c>
      <c r="O126" s="125">
        <f ca="1">IF($A126="S",VTOTALBM,IF($A126=0,0,ROUND(SomaAgrupBM,15-13*ORÇAMENTO!$AF$11)))</f>
        <v>0</v>
      </c>
      <c r="Q126" s="337"/>
      <c r="R126" s="338"/>
      <c r="T126" s="117" t="str">
        <f t="shared" ca="1" si="12"/>
        <v/>
      </c>
      <c r="U126" s="163" t="str">
        <f t="shared" ca="1" si="13"/>
        <v/>
      </c>
      <c r="V126" s="164" t="str">
        <f ca="1">IF(AND($W126&gt;0,RegimeExecucao="Unitário"),$F126,"")</f>
        <v/>
      </c>
      <c r="W126" s="454">
        <f ca="1">IF($Y126&gt;0,CHOOSE(MATCH(RegimeExecucao,{"Unitário","Global"},0),IF($A126="S",$Y126/$X126,""),($Y126/$X126)*100),0)</f>
        <v>0</v>
      </c>
      <c r="X126" s="339" t="str">
        <f ca="1">IF($Y126&gt;0,CHOOSE(MATCH(RegimeExecucao,{"Unitário","Global"},0),IF($A126="S",ROUND($H126,ORÇAMENTO!$AF$10),""),ROUND($I126,ORÇAMENTO!$AF$11)),"")</f>
        <v/>
      </c>
      <c r="Y126" s="339">
        <f t="shared" ca="1" si="14"/>
        <v>0</v>
      </c>
      <c r="Z126" s="473"/>
      <c r="AB126" s="337"/>
      <c r="AC126" s="437"/>
      <c r="AD126" s="437"/>
      <c r="AE126" s="437"/>
      <c r="AF126" s="437"/>
      <c r="AG126" s="437"/>
      <c r="AH126" s="437"/>
      <c r="AI126" s="437"/>
      <c r="AJ126" s="437"/>
      <c r="AK126" s="437"/>
      <c r="AL126" s="437"/>
      <c r="AM126" s="338"/>
      <c r="AO126">
        <f ca="1">IF($A126="S",IF(BM!$I126=0,0,CHOOSE(MATCH(RegimeExecucao,{"Global","Unitário"},0),ROUND(ROUND(BM.MEDAcumulado,15-13*BM!$A$9)/100*BM!$I126,15-13*ORÇAMENTO!$AF$11),ROUND(ROUND(BM.MEDAcumulado,15-13*BM!$A$9)*ROUND(BM!$H126,15-13*ORÇAMENTO!$AF$10),15-13*ORÇAMENTO!$AF$11))),IF($A126=0,0,ROUND(SomaAgrupBM,15-13*ORÇAMENTO!$AF$11)))</f>
        <v>0</v>
      </c>
    </row>
    <row r="127" spans="1:41" ht="25.5" x14ac:dyDescent="0.2">
      <c r="A127" t="str">
        <f ca="1">ORÇAMENTO!C127</f>
        <v>S</v>
      </c>
      <c r="B127">
        <f ca="1">ORÇAMENTO!D127</f>
        <v>0</v>
      </c>
      <c r="C127" s="114" t="str">
        <f t="shared" ca="1" si="8"/>
        <v>F</v>
      </c>
      <c r="D127" s="117" t="str">
        <f ca="1">ORÇAMENTO!O127</f>
        <v>1.5.2.3.3.</v>
      </c>
      <c r="E127" s="163" t="str">
        <f t="shared" ca="1" si="9"/>
        <v>FÔRMAS DE COMPENSADO RESINADO 10 MM - USO GERAL - UTILIZAÇÃO DE 3 VEZES - CONFECÇÃO, INSTALAÇÃO E RETIRADA</v>
      </c>
      <c r="F127" s="164" t="str">
        <f ca="1">IF(RegimeExecucao="Global","",ORÇAMENTO.Unidade)</f>
        <v>M2</v>
      </c>
      <c r="G127" s="122">
        <f ca="1">IF(RegimeExecucao="Global","",ORÇAMENTO!T127)</f>
        <v>15.54</v>
      </c>
      <c r="H127" s="122">
        <f ca="1">IF(RegimeExecucao="Global","",ORÇAMENTO!W127)</f>
        <v>88.5</v>
      </c>
      <c r="I127" s="125">
        <f ca="1">ORÇAMENTO!X127</f>
        <v>1375.29</v>
      </c>
      <c r="J127" s="333" cm="1">
        <f t="array" aca="1" ref="J127" ca="1">_xlfn.SINGLE(IF($A127="S",IF(CAIXA.Modo,BM.AFAnterior,BM.MEDAnterior),IF(AND(_xlfn.SINGLE(RegimeExecucao)="Global",$I127&gt;0,COUNTIF($AB$13:$AM$13,BM.medicao-1)&gt;0),M127/$I127*100,0)))</f>
        <v>0</v>
      </c>
      <c r="K127" s="122">
        <f t="shared" ca="1" si="10"/>
        <v>0</v>
      </c>
      <c r="L127" s="334" cm="1">
        <f t="array" aca="1" ref="L127" ca="1">_xlfn.SINGLE(IF($A127="S",IF(CAIXA.Modo,BM.AFAcumulado,BM.MEDAcumulado),IF(AND(_xlfn.SINGLE(RegimeExecucao)="Global",$I127&gt;0,COUNTIF($AB$13:$AM$13,BM.medicao)&gt;0),O127/$I127*100,0)))</f>
        <v>0</v>
      </c>
      <c r="M127" s="335">
        <f ca="1">IF($A127="S",VTOTALBM,IF($A127=0,0,ROUND(SomaAgrupBM,15-13*ORÇAMENTO!$AF$11)))</f>
        <v>0</v>
      </c>
      <c r="N127" s="336">
        <f t="shared" ca="1" si="11"/>
        <v>0</v>
      </c>
      <c r="O127" s="125">
        <f ca="1">IF($A127="S",VTOTALBM,IF($A127=0,0,ROUND(SomaAgrupBM,15-13*ORÇAMENTO!$AF$11)))</f>
        <v>0</v>
      </c>
      <c r="Q127" s="337"/>
      <c r="R127" s="338"/>
      <c r="T127" s="117" t="str">
        <f t="shared" ca="1" si="12"/>
        <v/>
      </c>
      <c r="U127" s="163" t="str">
        <f t="shared" ca="1" si="13"/>
        <v/>
      </c>
      <c r="V127" s="164" t="str">
        <f ca="1">IF(AND($W127&gt;0,RegimeExecucao="Unitário"),$F127,"")</f>
        <v/>
      </c>
      <c r="W127" s="454">
        <f ca="1">IF($Y127&gt;0,CHOOSE(MATCH(RegimeExecucao,{"Unitário","Global"},0),IF($A127="S",$Y127/$X127,""),($Y127/$X127)*100),0)</f>
        <v>0</v>
      </c>
      <c r="X127" s="339" t="str">
        <f ca="1">IF($Y127&gt;0,CHOOSE(MATCH(RegimeExecucao,{"Unitário","Global"},0),IF($A127="S",ROUND($H127,ORÇAMENTO!$AF$10),""),ROUND($I127,ORÇAMENTO!$AF$11)),"")</f>
        <v/>
      </c>
      <c r="Y127" s="339">
        <f t="shared" ca="1" si="14"/>
        <v>0</v>
      </c>
      <c r="Z127" s="473"/>
      <c r="AB127" s="337"/>
      <c r="AC127" s="437"/>
      <c r="AD127" s="437"/>
      <c r="AE127" s="437"/>
      <c r="AF127" s="437"/>
      <c r="AG127" s="437"/>
      <c r="AH127" s="437"/>
      <c r="AI127" s="437"/>
      <c r="AJ127" s="437"/>
      <c r="AK127" s="437"/>
      <c r="AL127" s="437"/>
      <c r="AM127" s="338"/>
      <c r="AO127">
        <f ca="1">IF($A127="S",IF(BM!$I127=0,0,CHOOSE(MATCH(RegimeExecucao,{"Global","Unitário"},0),ROUND(ROUND(BM.MEDAcumulado,15-13*BM!$A$9)/100*BM!$I127,15-13*ORÇAMENTO!$AF$11),ROUND(ROUND(BM.MEDAcumulado,15-13*BM!$A$9)*ROUND(BM!$H127,15-13*ORÇAMENTO!$AF$10),15-13*ORÇAMENTO!$AF$11))),IF($A127=0,0,ROUND(SomaAgrupBM,15-13*ORÇAMENTO!$AF$11)))</f>
        <v>0</v>
      </c>
    </row>
    <row r="128" spans="1:41" ht="25.5" x14ac:dyDescent="0.2">
      <c r="A128" t="str">
        <f ca="1">ORÇAMENTO!C128</f>
        <v>S</v>
      </c>
      <c r="B128">
        <f ca="1">ORÇAMENTO!D128</f>
        <v>0</v>
      </c>
      <c r="C128" s="114" t="str">
        <f t="shared" ca="1" si="8"/>
        <v>F</v>
      </c>
      <c r="D128" s="117" t="str">
        <f ca="1">ORÇAMENTO!O128</f>
        <v>1.5.2.3.4.</v>
      </c>
      <c r="E128" s="163" t="str">
        <f t="shared" ca="1" si="9"/>
        <v>ARMAÇÃO EM AÇO CA-50 - FORNECIMENTO, PREPARO E COLOCAÇÃO</v>
      </c>
      <c r="F128" s="164" t="str">
        <f ca="1">IF(RegimeExecucao="Global","",ORÇAMENTO.Unidade)</f>
        <v>KG</v>
      </c>
      <c r="G128" s="122">
        <f ca="1">IF(RegimeExecucao="Global","",ORÇAMENTO!T128)</f>
        <v>383.05</v>
      </c>
      <c r="H128" s="122">
        <f ca="1">IF(RegimeExecucao="Global","",ORÇAMENTO!W128)</f>
        <v>14.92</v>
      </c>
      <c r="I128" s="125">
        <f ca="1">ORÇAMENTO!X128</f>
        <v>5715.11</v>
      </c>
      <c r="J128" s="333" cm="1">
        <f t="array" aca="1" ref="J128" ca="1">_xlfn.SINGLE(IF($A128="S",IF(CAIXA.Modo,BM.AFAnterior,BM.MEDAnterior),IF(AND(_xlfn.SINGLE(RegimeExecucao)="Global",$I128&gt;0,COUNTIF($AB$13:$AM$13,BM.medicao-1)&gt;0),M128/$I128*100,0)))</f>
        <v>0</v>
      </c>
      <c r="K128" s="122">
        <f t="shared" ca="1" si="10"/>
        <v>0</v>
      </c>
      <c r="L128" s="334" cm="1">
        <f t="array" aca="1" ref="L128" ca="1">_xlfn.SINGLE(IF($A128="S",IF(CAIXA.Modo,BM.AFAcumulado,BM.MEDAcumulado),IF(AND(_xlfn.SINGLE(RegimeExecucao)="Global",$I128&gt;0,COUNTIF($AB$13:$AM$13,BM.medicao)&gt;0),O128/$I128*100,0)))</f>
        <v>0</v>
      </c>
      <c r="M128" s="335">
        <f ca="1">IF($A128="S",VTOTALBM,IF($A128=0,0,ROUND(SomaAgrupBM,15-13*ORÇAMENTO!$AF$11)))</f>
        <v>0</v>
      </c>
      <c r="N128" s="336">
        <f t="shared" ca="1" si="11"/>
        <v>0</v>
      </c>
      <c r="O128" s="125">
        <f ca="1">IF($A128="S",VTOTALBM,IF($A128=0,0,ROUND(SomaAgrupBM,15-13*ORÇAMENTO!$AF$11)))</f>
        <v>0</v>
      </c>
      <c r="Q128" s="337"/>
      <c r="R128" s="338"/>
      <c r="T128" s="117" t="str">
        <f t="shared" ca="1" si="12"/>
        <v/>
      </c>
      <c r="U128" s="163" t="str">
        <f t="shared" ca="1" si="13"/>
        <v/>
      </c>
      <c r="V128" s="164" t="str">
        <f ca="1">IF(AND($W128&gt;0,RegimeExecucao="Unitário"),$F128,"")</f>
        <v/>
      </c>
      <c r="W128" s="454">
        <f ca="1">IF($Y128&gt;0,CHOOSE(MATCH(RegimeExecucao,{"Unitário","Global"},0),IF($A128="S",$Y128/$X128,""),($Y128/$X128)*100),0)</f>
        <v>0</v>
      </c>
      <c r="X128" s="339" t="str">
        <f ca="1">IF($Y128&gt;0,CHOOSE(MATCH(RegimeExecucao,{"Unitário","Global"},0),IF($A128="S",ROUND($H128,ORÇAMENTO!$AF$10),""),ROUND($I128,ORÇAMENTO!$AF$11)),"")</f>
        <v/>
      </c>
      <c r="Y128" s="339">
        <f t="shared" ca="1" si="14"/>
        <v>0</v>
      </c>
      <c r="Z128" s="473"/>
      <c r="AB128" s="337"/>
      <c r="AC128" s="437"/>
      <c r="AD128" s="437"/>
      <c r="AE128" s="437"/>
      <c r="AF128" s="437"/>
      <c r="AG128" s="437"/>
      <c r="AH128" s="437"/>
      <c r="AI128" s="437"/>
      <c r="AJ128" s="437"/>
      <c r="AK128" s="437"/>
      <c r="AL128" s="437"/>
      <c r="AM128" s="338"/>
      <c r="AO128">
        <f ca="1">IF($A128="S",IF(BM!$I128=0,0,CHOOSE(MATCH(RegimeExecucao,{"Global","Unitário"},0),ROUND(ROUND(BM.MEDAcumulado,15-13*BM!$A$9)/100*BM!$I128,15-13*ORÇAMENTO!$AF$11),ROUND(ROUND(BM.MEDAcumulado,15-13*BM!$A$9)*ROUND(BM!$H128,15-13*ORÇAMENTO!$AF$10),15-13*ORÇAMENTO!$AF$11))),IF($A128=0,0,ROUND(SomaAgrupBM,15-13*ORÇAMENTO!$AF$11)))</f>
        <v>0</v>
      </c>
    </row>
    <row r="129" spans="1:41" x14ac:dyDescent="0.2">
      <c r="A129">
        <f ca="1">ORÇAMENTO!C129</f>
        <v>4</v>
      </c>
      <c r="B129">
        <f ca="1">ORÇAMENTO!D129</f>
        <v>5</v>
      </c>
      <c r="C129" s="114" t="str">
        <f t="shared" ca="1" si="8"/>
        <v>F</v>
      </c>
      <c r="D129" s="117" t="str">
        <f ca="1">ORÇAMENTO!O129</f>
        <v>1.5.2.4.</v>
      </c>
      <c r="E129" s="163" t="str">
        <f t="shared" si="9"/>
        <v>LEITO DE SECAGEM DE ESCUMA</v>
      </c>
      <c r="F129" s="164" t="str">
        <f ca="1">IF(RegimeExecucao="Global","",ORÇAMENTO.Unidade)</f>
        <v>-</v>
      </c>
      <c r="G129" s="122">
        <f ca="1">IF(RegimeExecucao="Global","",ORÇAMENTO!T129)</f>
        <v>0</v>
      </c>
      <c r="H129" s="122">
        <f ca="1">IF(RegimeExecucao="Global","",ORÇAMENTO!W129)</f>
        <v>0</v>
      </c>
      <c r="I129" s="125">
        <f ca="1">ORÇAMENTO!X129</f>
        <v>174303.95</v>
      </c>
      <c r="J129" s="333" cm="1">
        <f t="array" aca="1" ref="J129" ca="1">_xlfn.SINGLE(IF($A129="S",IF(CAIXA.Modo,BM.AFAnterior,BM.MEDAnterior),IF(AND(_xlfn.SINGLE(RegimeExecucao)="Global",$I129&gt;0,COUNTIF($AB$13:$AM$13,BM.medicao-1)&gt;0),M129/$I129*100,0)))</f>
        <v>0</v>
      </c>
      <c r="K129" s="122">
        <f t="shared" ca="1" si="10"/>
        <v>0</v>
      </c>
      <c r="L129" s="334" cm="1">
        <f t="array" aca="1" ref="L129" ca="1">_xlfn.SINGLE(IF($A129="S",IF(CAIXA.Modo,BM.AFAcumulado,BM.MEDAcumulado),IF(AND(_xlfn.SINGLE(RegimeExecucao)="Global",$I129&gt;0,COUNTIF($AB$13:$AM$13,BM.medicao)&gt;0),O129/$I129*100,0)))</f>
        <v>0</v>
      </c>
      <c r="M129" s="335">
        <f ca="1">IF($A129="S",VTOTALBM,IF($A129=0,0,ROUND(SomaAgrupBM,15-13*ORÇAMENTO!$AF$11)))</f>
        <v>0</v>
      </c>
      <c r="N129" s="336">
        <f t="shared" ca="1" si="11"/>
        <v>0</v>
      </c>
      <c r="O129" s="125">
        <f ca="1">IF($A129="S",VTOTALBM,IF($A129=0,0,ROUND(SomaAgrupBM,15-13*ORÇAMENTO!$AF$11)))</f>
        <v>0</v>
      </c>
      <c r="Q129" s="337"/>
      <c r="R129" s="338"/>
      <c r="T129" s="117" t="str">
        <f t="shared" ca="1" si="12"/>
        <v/>
      </c>
      <c r="U129" s="163" t="str">
        <f t="shared" ca="1" si="13"/>
        <v/>
      </c>
      <c r="V129" s="164" t="str">
        <f ca="1">IF(AND($W129&gt;0,RegimeExecucao="Unitário"),$F129,"")</f>
        <v/>
      </c>
      <c r="W129" s="454">
        <f ca="1">IF($Y129&gt;0,CHOOSE(MATCH(RegimeExecucao,{"Unitário","Global"},0),IF($A129="S",$Y129/$X129,""),($Y129/$X129)*100),0)</f>
        <v>0</v>
      </c>
      <c r="X129" s="339" t="str">
        <f ca="1">IF($Y129&gt;0,CHOOSE(MATCH(RegimeExecucao,{"Unitário","Global"},0),IF($A129="S",ROUND($H129,ORÇAMENTO!$AF$10),""),ROUND($I129,ORÇAMENTO!$AF$11)),"")</f>
        <v/>
      </c>
      <c r="Y129" s="339">
        <f t="shared" ca="1" si="14"/>
        <v>0</v>
      </c>
      <c r="Z129" s="473"/>
      <c r="AB129" s="337"/>
      <c r="AC129" s="437"/>
      <c r="AD129" s="437"/>
      <c r="AE129" s="437"/>
      <c r="AF129" s="437"/>
      <c r="AG129" s="437"/>
      <c r="AH129" s="437"/>
      <c r="AI129" s="437"/>
      <c r="AJ129" s="437"/>
      <c r="AK129" s="437"/>
      <c r="AL129" s="437"/>
      <c r="AM129" s="338"/>
      <c r="AO129">
        <f ca="1">IF($A129="S",IF(BM!$I129=0,0,CHOOSE(MATCH(RegimeExecucao,{"Global","Unitário"},0),ROUND(ROUND(BM.MEDAcumulado,15-13*BM!$A$9)/100*BM!$I129,15-13*ORÇAMENTO!$AF$11),ROUND(ROUND(BM.MEDAcumulado,15-13*BM!$A$9)*ROUND(BM!$H129,15-13*ORÇAMENTO!$AF$10),15-13*ORÇAMENTO!$AF$11))),IF($A129=0,0,ROUND(SomaAgrupBM,15-13*ORÇAMENTO!$AF$11)))</f>
        <v>0</v>
      </c>
    </row>
    <row r="130" spans="1:41" ht="38.25" x14ac:dyDescent="0.2">
      <c r="A130" t="str">
        <f ca="1">ORÇAMENTO!C130</f>
        <v>S</v>
      </c>
      <c r="B130">
        <f ca="1">ORÇAMENTO!D130</f>
        <v>0</v>
      </c>
      <c r="C130" s="114" t="str">
        <f t="shared" ca="1" si="8"/>
        <v>F</v>
      </c>
      <c r="D130" s="117" t="str">
        <f ca="1">ORÇAMENTO!O130</f>
        <v>1.5.2.4.1.</v>
      </c>
      <c r="E130" s="163" t="str">
        <f t="shared" ca="1" si="9"/>
        <v>CONCRETO FCK = 40MPA, TRAÇO 1:1,6:1,9 (EM MASSA SECA DE CIMENTO/ AREIA MÉDIA/ BRITA 1) - PREPARO MECÂNICO COM BETONEIRA 600 L. AF_05/2021</v>
      </c>
      <c r="F130" s="164" t="str">
        <f ca="1">IF(RegimeExecucao="Global","",ORÇAMENTO.Unidade)</f>
        <v>M3</v>
      </c>
      <c r="G130" s="122">
        <f ca="1">IF(RegimeExecucao="Global","",ORÇAMENTO!T130)</f>
        <v>47.87</v>
      </c>
      <c r="H130" s="122">
        <f ca="1">IF(RegimeExecucao="Global","",ORÇAMENTO!W130)</f>
        <v>775.96</v>
      </c>
      <c r="I130" s="125">
        <f ca="1">ORÇAMENTO!X130</f>
        <v>37145.21</v>
      </c>
      <c r="J130" s="333" cm="1">
        <f t="array" aca="1" ref="J130" ca="1">_xlfn.SINGLE(IF($A130="S",IF(CAIXA.Modo,BM.AFAnterior,BM.MEDAnterior),IF(AND(_xlfn.SINGLE(RegimeExecucao)="Global",$I130&gt;0,COUNTIF($AB$13:$AM$13,BM.medicao-1)&gt;0),M130/$I130*100,0)))</f>
        <v>0</v>
      </c>
      <c r="K130" s="122">
        <f t="shared" ca="1" si="10"/>
        <v>0</v>
      </c>
      <c r="L130" s="334" cm="1">
        <f t="array" aca="1" ref="L130" ca="1">_xlfn.SINGLE(IF($A130="S",IF(CAIXA.Modo,BM.AFAcumulado,BM.MEDAcumulado),IF(AND(_xlfn.SINGLE(RegimeExecucao)="Global",$I130&gt;0,COUNTIF($AB$13:$AM$13,BM.medicao)&gt;0),O130/$I130*100,0)))</f>
        <v>0</v>
      </c>
      <c r="M130" s="335">
        <f ca="1">IF($A130="S",VTOTALBM,IF($A130=0,0,ROUND(SomaAgrupBM,15-13*ORÇAMENTO!$AF$11)))</f>
        <v>0</v>
      </c>
      <c r="N130" s="336">
        <f t="shared" ca="1" si="11"/>
        <v>0</v>
      </c>
      <c r="O130" s="125">
        <f ca="1">IF($A130="S",VTOTALBM,IF($A130=0,0,ROUND(SomaAgrupBM,15-13*ORÇAMENTO!$AF$11)))</f>
        <v>0</v>
      </c>
      <c r="Q130" s="337"/>
      <c r="R130" s="338"/>
      <c r="T130" s="117" t="str">
        <f t="shared" ca="1" si="12"/>
        <v/>
      </c>
      <c r="U130" s="163" t="str">
        <f t="shared" ca="1" si="13"/>
        <v/>
      </c>
      <c r="V130" s="164" t="str">
        <f ca="1">IF(AND($W130&gt;0,RegimeExecucao="Unitário"),$F130,"")</f>
        <v/>
      </c>
      <c r="W130" s="454">
        <f ca="1">IF($Y130&gt;0,CHOOSE(MATCH(RegimeExecucao,{"Unitário","Global"},0),IF($A130="S",$Y130/$X130,""),($Y130/$X130)*100),0)</f>
        <v>0</v>
      </c>
      <c r="X130" s="339" t="str">
        <f ca="1">IF($Y130&gt;0,CHOOSE(MATCH(RegimeExecucao,{"Unitário","Global"},0),IF($A130="S",ROUND($H130,ORÇAMENTO!$AF$10),""),ROUND($I130,ORÇAMENTO!$AF$11)),"")</f>
        <v/>
      </c>
      <c r="Y130" s="339">
        <f t="shared" ca="1" si="14"/>
        <v>0</v>
      </c>
      <c r="Z130" s="473"/>
      <c r="AB130" s="337"/>
      <c r="AC130" s="437"/>
      <c r="AD130" s="437"/>
      <c r="AE130" s="437"/>
      <c r="AF130" s="437"/>
      <c r="AG130" s="437"/>
      <c r="AH130" s="437"/>
      <c r="AI130" s="437"/>
      <c r="AJ130" s="437"/>
      <c r="AK130" s="437"/>
      <c r="AL130" s="437"/>
      <c r="AM130" s="338"/>
      <c r="AO130">
        <f ca="1">IF($A130="S",IF(BM!$I130=0,0,CHOOSE(MATCH(RegimeExecucao,{"Global","Unitário"},0),ROUND(ROUND(BM.MEDAcumulado,15-13*BM!$A$9)/100*BM!$I130,15-13*ORÇAMENTO!$AF$11),ROUND(ROUND(BM.MEDAcumulado,15-13*BM!$A$9)*ROUND(BM!$H130,15-13*ORÇAMENTO!$AF$10),15-13*ORÇAMENTO!$AF$11))),IF($A130=0,0,ROUND(SomaAgrupBM,15-13*ORÇAMENTO!$AF$11)))</f>
        <v>0</v>
      </c>
    </row>
    <row r="131" spans="1:41" ht="25.5" x14ac:dyDescent="0.2">
      <c r="A131" t="str">
        <f ca="1">ORÇAMENTO!C131</f>
        <v>S</v>
      </c>
      <c r="B131">
        <f ca="1">ORÇAMENTO!D131</f>
        <v>0</v>
      </c>
      <c r="C131" s="114" t="str">
        <f t="shared" ca="1" si="8"/>
        <v>F</v>
      </c>
      <c r="D131" s="117" t="str">
        <f ca="1">ORÇAMENTO!O131</f>
        <v>1.5.2.4.2.</v>
      </c>
      <c r="E131" s="163" t="str">
        <f t="shared" ca="1" si="9"/>
        <v>LANÇAMENTO COM USO DE BOMBA, ADENSAMENTO E ACABAMENTO DE CONCRETO EM ESTRUTURAS. AF_02/2022</v>
      </c>
      <c r="F131" s="164" t="str">
        <f ca="1">IF(RegimeExecucao="Global","",ORÇAMENTO.Unidade)</f>
        <v>M3</v>
      </c>
      <c r="G131" s="122">
        <f ca="1">IF(RegimeExecucao="Global","",ORÇAMENTO!T131)</f>
        <v>47.87</v>
      </c>
      <c r="H131" s="122">
        <f ca="1">IF(RegimeExecucao="Global","",ORÇAMENTO!W131)</f>
        <v>54.96</v>
      </c>
      <c r="I131" s="125">
        <f ca="1">ORÇAMENTO!X131</f>
        <v>2630.94</v>
      </c>
      <c r="J131" s="333" cm="1">
        <f t="array" aca="1" ref="J131" ca="1">_xlfn.SINGLE(IF($A131="S",IF(CAIXA.Modo,BM.AFAnterior,BM.MEDAnterior),IF(AND(_xlfn.SINGLE(RegimeExecucao)="Global",$I131&gt;0,COUNTIF($AB$13:$AM$13,BM.medicao-1)&gt;0),M131/$I131*100,0)))</f>
        <v>0</v>
      </c>
      <c r="K131" s="122">
        <f t="shared" ca="1" si="10"/>
        <v>0</v>
      </c>
      <c r="L131" s="334" cm="1">
        <f t="array" aca="1" ref="L131" ca="1">_xlfn.SINGLE(IF($A131="S",IF(CAIXA.Modo,BM.AFAcumulado,BM.MEDAcumulado),IF(AND(_xlfn.SINGLE(RegimeExecucao)="Global",$I131&gt;0,COUNTIF($AB$13:$AM$13,BM.medicao)&gt;0),O131/$I131*100,0)))</f>
        <v>0</v>
      </c>
      <c r="M131" s="335">
        <f ca="1">IF($A131="S",VTOTALBM,IF($A131=0,0,ROUND(SomaAgrupBM,15-13*ORÇAMENTO!$AF$11)))</f>
        <v>0</v>
      </c>
      <c r="N131" s="336">
        <f t="shared" ca="1" si="11"/>
        <v>0</v>
      </c>
      <c r="O131" s="125">
        <f ca="1">IF($A131="S",VTOTALBM,IF($A131=0,0,ROUND(SomaAgrupBM,15-13*ORÇAMENTO!$AF$11)))</f>
        <v>0</v>
      </c>
      <c r="Q131" s="337"/>
      <c r="R131" s="338"/>
      <c r="T131" s="117" t="str">
        <f t="shared" ca="1" si="12"/>
        <v/>
      </c>
      <c r="U131" s="163" t="str">
        <f t="shared" ca="1" si="13"/>
        <v/>
      </c>
      <c r="V131" s="164" t="str">
        <f ca="1">IF(AND($W131&gt;0,RegimeExecucao="Unitário"),$F131,"")</f>
        <v/>
      </c>
      <c r="W131" s="454">
        <f ca="1">IF($Y131&gt;0,CHOOSE(MATCH(RegimeExecucao,{"Unitário","Global"},0),IF($A131="S",$Y131/$X131,""),($Y131/$X131)*100),0)</f>
        <v>0</v>
      </c>
      <c r="X131" s="339" t="str">
        <f ca="1">IF($Y131&gt;0,CHOOSE(MATCH(RegimeExecucao,{"Unitário","Global"},0),IF($A131="S",ROUND($H131,ORÇAMENTO!$AF$10),""),ROUND($I131,ORÇAMENTO!$AF$11)),"")</f>
        <v/>
      </c>
      <c r="Y131" s="339">
        <f t="shared" ca="1" si="14"/>
        <v>0</v>
      </c>
      <c r="Z131" s="473"/>
      <c r="AB131" s="337"/>
      <c r="AC131" s="437"/>
      <c r="AD131" s="437"/>
      <c r="AE131" s="437"/>
      <c r="AF131" s="437"/>
      <c r="AG131" s="437"/>
      <c r="AH131" s="437"/>
      <c r="AI131" s="437"/>
      <c r="AJ131" s="437"/>
      <c r="AK131" s="437"/>
      <c r="AL131" s="437"/>
      <c r="AM131" s="338"/>
      <c r="AO131">
        <f ca="1">IF($A131="S",IF(BM!$I131=0,0,CHOOSE(MATCH(RegimeExecucao,{"Global","Unitário"},0),ROUND(ROUND(BM.MEDAcumulado,15-13*BM!$A$9)/100*BM!$I131,15-13*ORÇAMENTO!$AF$11),ROUND(ROUND(BM.MEDAcumulado,15-13*BM!$A$9)*ROUND(BM!$H131,15-13*ORÇAMENTO!$AF$10),15-13*ORÇAMENTO!$AF$11))),IF($A131=0,0,ROUND(SomaAgrupBM,15-13*ORÇAMENTO!$AF$11)))</f>
        <v>0</v>
      </c>
    </row>
    <row r="132" spans="1:41" ht="25.5" x14ac:dyDescent="0.2">
      <c r="A132" t="str">
        <f ca="1">ORÇAMENTO!C132</f>
        <v>S</v>
      </c>
      <c r="B132">
        <f ca="1">ORÇAMENTO!D132</f>
        <v>0</v>
      </c>
      <c r="C132" s="114" t="str">
        <f t="shared" ca="1" si="8"/>
        <v>F</v>
      </c>
      <c r="D132" s="117" t="str">
        <f ca="1">ORÇAMENTO!O132</f>
        <v>1.5.2.4.3.</v>
      </c>
      <c r="E132" s="163" t="str">
        <f t="shared" ca="1" si="9"/>
        <v>FÔRMAS DE COMPENSADO RESINADO 10 MM - USO GERAL - UTILIZAÇÃO DE 3 VEZES - CONFECÇÃO, INSTALAÇÃO E RETIRADA</v>
      </c>
      <c r="F132" s="164" t="str">
        <f ca="1">IF(RegimeExecucao="Global","",ORÇAMENTO.Unidade)</f>
        <v>M2</v>
      </c>
      <c r="G132" s="122">
        <f ca="1">IF(RegimeExecucao="Global","",ORÇAMENTO!T132)</f>
        <v>450.4</v>
      </c>
      <c r="H132" s="122">
        <f ca="1">IF(RegimeExecucao="Global","",ORÇAMENTO!W132)</f>
        <v>88.5</v>
      </c>
      <c r="I132" s="125">
        <f ca="1">ORÇAMENTO!X132</f>
        <v>39860.400000000001</v>
      </c>
      <c r="J132" s="333" cm="1">
        <f t="array" aca="1" ref="J132" ca="1">_xlfn.SINGLE(IF($A132="S",IF(CAIXA.Modo,BM.AFAnterior,BM.MEDAnterior),IF(AND(_xlfn.SINGLE(RegimeExecucao)="Global",$I132&gt;0,COUNTIF($AB$13:$AM$13,BM.medicao-1)&gt;0),M132/$I132*100,0)))</f>
        <v>0</v>
      </c>
      <c r="K132" s="122">
        <f t="shared" ca="1" si="10"/>
        <v>0</v>
      </c>
      <c r="L132" s="334" cm="1">
        <f t="array" aca="1" ref="L132" ca="1">_xlfn.SINGLE(IF($A132="S",IF(CAIXA.Modo,BM.AFAcumulado,BM.MEDAcumulado),IF(AND(_xlfn.SINGLE(RegimeExecucao)="Global",$I132&gt;0,COUNTIF($AB$13:$AM$13,BM.medicao)&gt;0),O132/$I132*100,0)))</f>
        <v>0</v>
      </c>
      <c r="M132" s="335">
        <f ca="1">IF($A132="S",VTOTALBM,IF($A132=0,0,ROUND(SomaAgrupBM,15-13*ORÇAMENTO!$AF$11)))</f>
        <v>0</v>
      </c>
      <c r="N132" s="336">
        <f t="shared" ca="1" si="11"/>
        <v>0</v>
      </c>
      <c r="O132" s="125">
        <f ca="1">IF($A132="S",VTOTALBM,IF($A132=0,0,ROUND(SomaAgrupBM,15-13*ORÇAMENTO!$AF$11)))</f>
        <v>0</v>
      </c>
      <c r="Q132" s="337"/>
      <c r="R132" s="338"/>
      <c r="T132" s="117" t="str">
        <f t="shared" ca="1" si="12"/>
        <v/>
      </c>
      <c r="U132" s="163" t="str">
        <f t="shared" ca="1" si="13"/>
        <v/>
      </c>
      <c r="V132" s="164" t="str">
        <f ca="1">IF(AND($W132&gt;0,RegimeExecucao="Unitário"),$F132,"")</f>
        <v/>
      </c>
      <c r="W132" s="454">
        <f ca="1">IF($Y132&gt;0,CHOOSE(MATCH(RegimeExecucao,{"Unitário","Global"},0),IF($A132="S",$Y132/$X132,""),($Y132/$X132)*100),0)</f>
        <v>0</v>
      </c>
      <c r="X132" s="339" t="str">
        <f ca="1">IF($Y132&gt;0,CHOOSE(MATCH(RegimeExecucao,{"Unitário","Global"},0),IF($A132="S",ROUND($H132,ORÇAMENTO!$AF$10),""),ROUND($I132,ORÇAMENTO!$AF$11)),"")</f>
        <v/>
      </c>
      <c r="Y132" s="339">
        <f t="shared" ca="1" si="14"/>
        <v>0</v>
      </c>
      <c r="Z132" s="473"/>
      <c r="AB132" s="337"/>
      <c r="AC132" s="437"/>
      <c r="AD132" s="437"/>
      <c r="AE132" s="437"/>
      <c r="AF132" s="437"/>
      <c r="AG132" s="437"/>
      <c r="AH132" s="437"/>
      <c r="AI132" s="437"/>
      <c r="AJ132" s="437"/>
      <c r="AK132" s="437"/>
      <c r="AL132" s="437"/>
      <c r="AM132" s="338"/>
      <c r="AO132">
        <f ca="1">IF($A132="S",IF(BM!$I132=0,0,CHOOSE(MATCH(RegimeExecucao,{"Global","Unitário"},0),ROUND(ROUND(BM.MEDAcumulado,15-13*BM!$A$9)/100*BM!$I132,15-13*ORÇAMENTO!$AF$11),ROUND(ROUND(BM.MEDAcumulado,15-13*BM!$A$9)*ROUND(BM!$H132,15-13*ORÇAMENTO!$AF$10),15-13*ORÇAMENTO!$AF$11))),IF($A132=0,0,ROUND(SomaAgrupBM,15-13*ORÇAMENTO!$AF$11)))</f>
        <v>0</v>
      </c>
    </row>
    <row r="133" spans="1:41" ht="25.5" x14ac:dyDescent="0.2">
      <c r="A133" t="str">
        <f ca="1">ORÇAMENTO!C133</f>
        <v>S</v>
      </c>
      <c r="B133">
        <f ca="1">ORÇAMENTO!D133</f>
        <v>0</v>
      </c>
      <c r="C133" s="114" t="str">
        <f t="shared" ca="1" si="8"/>
        <v>F</v>
      </c>
      <c r="D133" s="117" t="str">
        <f ca="1">ORÇAMENTO!O133</f>
        <v>1.5.2.4.4.</v>
      </c>
      <c r="E133" s="163" t="str">
        <f t="shared" ca="1" si="9"/>
        <v>ARMAÇÃO EM AÇO CA-50 - FORNECIMENTO, PREPARO E COLOCAÇÃO</v>
      </c>
      <c r="F133" s="164" t="str">
        <f ca="1">IF(RegimeExecucao="Global","",ORÇAMENTO.Unidade)</f>
        <v>KG</v>
      </c>
      <c r="G133" s="122">
        <f ca="1">IF(RegimeExecucao="Global","",ORÇAMENTO!T133)</f>
        <v>6345</v>
      </c>
      <c r="H133" s="122">
        <f ca="1">IF(RegimeExecucao="Global","",ORÇAMENTO!W133)</f>
        <v>14.92</v>
      </c>
      <c r="I133" s="125">
        <f ca="1">ORÇAMENTO!X133</f>
        <v>94667.4</v>
      </c>
      <c r="J133" s="333" cm="1">
        <f t="array" aca="1" ref="J133" ca="1">_xlfn.SINGLE(IF($A133="S",IF(CAIXA.Modo,BM.AFAnterior,BM.MEDAnterior),IF(AND(_xlfn.SINGLE(RegimeExecucao)="Global",$I133&gt;0,COUNTIF($AB$13:$AM$13,BM.medicao-1)&gt;0),M133/$I133*100,0)))</f>
        <v>0</v>
      </c>
      <c r="K133" s="122">
        <f t="shared" ca="1" si="10"/>
        <v>0</v>
      </c>
      <c r="L133" s="334" cm="1">
        <f t="array" aca="1" ref="L133" ca="1">_xlfn.SINGLE(IF($A133="S",IF(CAIXA.Modo,BM.AFAcumulado,BM.MEDAcumulado),IF(AND(_xlfn.SINGLE(RegimeExecucao)="Global",$I133&gt;0,COUNTIF($AB$13:$AM$13,BM.medicao)&gt;0),O133/$I133*100,0)))</f>
        <v>0</v>
      </c>
      <c r="M133" s="335">
        <f ca="1">IF($A133="S",VTOTALBM,IF($A133=0,0,ROUND(SomaAgrupBM,15-13*ORÇAMENTO!$AF$11)))</f>
        <v>0</v>
      </c>
      <c r="N133" s="336">
        <f t="shared" ca="1" si="11"/>
        <v>0</v>
      </c>
      <c r="O133" s="125">
        <f ca="1">IF($A133="S",VTOTALBM,IF($A133=0,0,ROUND(SomaAgrupBM,15-13*ORÇAMENTO!$AF$11)))</f>
        <v>0</v>
      </c>
      <c r="Q133" s="337"/>
      <c r="R133" s="338"/>
      <c r="T133" s="117" t="str">
        <f t="shared" ca="1" si="12"/>
        <v/>
      </c>
      <c r="U133" s="163" t="str">
        <f t="shared" ca="1" si="13"/>
        <v/>
      </c>
      <c r="V133" s="164" t="str">
        <f ca="1">IF(AND($W133&gt;0,RegimeExecucao="Unitário"),$F133,"")</f>
        <v/>
      </c>
      <c r="W133" s="454">
        <f ca="1">IF($Y133&gt;0,CHOOSE(MATCH(RegimeExecucao,{"Unitário","Global"},0),IF($A133="S",$Y133/$X133,""),($Y133/$X133)*100),0)</f>
        <v>0</v>
      </c>
      <c r="X133" s="339" t="str">
        <f ca="1">IF($Y133&gt;0,CHOOSE(MATCH(RegimeExecucao,{"Unitário","Global"},0),IF($A133="S",ROUND($H133,ORÇAMENTO!$AF$10),""),ROUND($I133,ORÇAMENTO!$AF$11)),"")</f>
        <v/>
      </c>
      <c r="Y133" s="339">
        <f t="shared" ca="1" si="14"/>
        <v>0</v>
      </c>
      <c r="Z133" s="473"/>
      <c r="AB133" s="337"/>
      <c r="AC133" s="437"/>
      <c r="AD133" s="437"/>
      <c r="AE133" s="437"/>
      <c r="AF133" s="437"/>
      <c r="AG133" s="437"/>
      <c r="AH133" s="437"/>
      <c r="AI133" s="437"/>
      <c r="AJ133" s="437"/>
      <c r="AK133" s="437"/>
      <c r="AL133" s="437"/>
      <c r="AM133" s="338"/>
      <c r="AO133">
        <f ca="1">IF($A133="S",IF(BM!$I133=0,0,CHOOSE(MATCH(RegimeExecucao,{"Global","Unitário"},0),ROUND(ROUND(BM.MEDAcumulado,15-13*BM!$A$9)/100*BM!$I133,15-13*ORÇAMENTO!$AF$11),ROUND(ROUND(BM.MEDAcumulado,15-13*BM!$A$9)*ROUND(BM!$H133,15-13*ORÇAMENTO!$AF$10),15-13*ORÇAMENTO!$AF$11))),IF($A133=0,0,ROUND(SomaAgrupBM,15-13*ORÇAMENTO!$AF$11)))</f>
        <v>0</v>
      </c>
    </row>
    <row r="134" spans="1:41" x14ac:dyDescent="0.2">
      <c r="A134">
        <f ca="1">ORÇAMENTO!C134</f>
        <v>3</v>
      </c>
      <c r="B134">
        <f ca="1">ORÇAMENTO!D134</f>
        <v>6</v>
      </c>
      <c r="C134" s="114" t="str">
        <f t="shared" ca="1" si="8"/>
        <v>F</v>
      </c>
      <c r="D134" s="117" t="str">
        <f ca="1">ORÇAMENTO!O134</f>
        <v>1.5.3.</v>
      </c>
      <c r="E134" s="163" t="str">
        <f t="shared" si="9"/>
        <v>LEITOS DE SECAGEM</v>
      </c>
      <c r="F134" s="164" t="str">
        <f ca="1">IF(RegimeExecucao="Global","",ORÇAMENTO.Unidade)</f>
        <v>-</v>
      </c>
      <c r="G134" s="122">
        <f ca="1">IF(RegimeExecucao="Global","",ORÇAMENTO!T134)</f>
        <v>0</v>
      </c>
      <c r="H134" s="122">
        <f ca="1">IF(RegimeExecucao="Global","",ORÇAMENTO!W134)</f>
        <v>0</v>
      </c>
      <c r="I134" s="125">
        <f ca="1">ORÇAMENTO!X134</f>
        <v>214442.29</v>
      </c>
      <c r="J134" s="333" cm="1">
        <f t="array" aca="1" ref="J134" ca="1">_xlfn.SINGLE(IF($A134="S",IF(CAIXA.Modo,BM.AFAnterior,BM.MEDAnterior),IF(AND(_xlfn.SINGLE(RegimeExecucao)="Global",$I134&gt;0,COUNTIF($AB$13:$AM$13,BM.medicao-1)&gt;0),M134/$I134*100,0)))</f>
        <v>0</v>
      </c>
      <c r="K134" s="122">
        <f t="shared" ca="1" si="10"/>
        <v>0</v>
      </c>
      <c r="L134" s="334" cm="1">
        <f t="array" aca="1" ref="L134" ca="1">_xlfn.SINGLE(IF($A134="S",IF(CAIXA.Modo,BM.AFAcumulado,BM.MEDAcumulado),IF(AND(_xlfn.SINGLE(RegimeExecucao)="Global",$I134&gt;0,COUNTIF($AB$13:$AM$13,BM.medicao)&gt;0),O134/$I134*100,0)))</f>
        <v>0</v>
      </c>
      <c r="M134" s="335">
        <f ca="1">IF($A134="S",VTOTALBM,IF($A134=0,0,ROUND(SomaAgrupBM,15-13*ORÇAMENTO!$AF$11)))</f>
        <v>0</v>
      </c>
      <c r="N134" s="336">
        <f t="shared" ca="1" si="11"/>
        <v>0</v>
      </c>
      <c r="O134" s="125">
        <f ca="1">IF($A134="S",VTOTALBM,IF($A134=0,0,ROUND(SomaAgrupBM,15-13*ORÇAMENTO!$AF$11)))</f>
        <v>0</v>
      </c>
      <c r="Q134" s="337"/>
      <c r="R134" s="338"/>
      <c r="T134" s="117" t="str">
        <f t="shared" ca="1" si="12"/>
        <v/>
      </c>
      <c r="U134" s="163" t="str">
        <f t="shared" ca="1" si="13"/>
        <v/>
      </c>
      <c r="V134" s="164" t="str">
        <f ca="1">IF(AND($W134&gt;0,RegimeExecucao="Unitário"),$F134,"")</f>
        <v/>
      </c>
      <c r="W134" s="454">
        <f ca="1">IF($Y134&gt;0,CHOOSE(MATCH(RegimeExecucao,{"Unitário","Global"},0),IF($A134="S",$Y134/$X134,""),($Y134/$X134)*100),0)</f>
        <v>0</v>
      </c>
      <c r="X134" s="339" t="str">
        <f ca="1">IF($Y134&gt;0,CHOOSE(MATCH(RegimeExecucao,{"Unitário","Global"},0),IF($A134="S",ROUND($H134,ORÇAMENTO!$AF$10),""),ROUND($I134,ORÇAMENTO!$AF$11)),"")</f>
        <v/>
      </c>
      <c r="Y134" s="339">
        <f t="shared" ca="1" si="14"/>
        <v>0</v>
      </c>
      <c r="Z134" s="473"/>
      <c r="AB134" s="337"/>
      <c r="AC134" s="437"/>
      <c r="AD134" s="437"/>
      <c r="AE134" s="437"/>
      <c r="AF134" s="437"/>
      <c r="AG134" s="437"/>
      <c r="AH134" s="437"/>
      <c r="AI134" s="437"/>
      <c r="AJ134" s="437"/>
      <c r="AK134" s="437"/>
      <c r="AL134" s="437"/>
      <c r="AM134" s="338"/>
      <c r="AO134">
        <f ca="1">IF($A134="S",IF(BM!$I134=0,0,CHOOSE(MATCH(RegimeExecucao,{"Global","Unitário"},0),ROUND(ROUND(BM.MEDAcumulado,15-13*BM!$A$9)/100*BM!$I134,15-13*ORÇAMENTO!$AF$11),ROUND(ROUND(BM.MEDAcumulado,15-13*BM!$A$9)*ROUND(BM!$H134,15-13*ORÇAMENTO!$AF$10),15-13*ORÇAMENTO!$AF$11))),IF($A134=0,0,ROUND(SomaAgrupBM,15-13*ORÇAMENTO!$AF$11)))</f>
        <v>0</v>
      </c>
    </row>
    <row r="135" spans="1:41" ht="38.25" x14ac:dyDescent="0.2">
      <c r="A135" t="str">
        <f ca="1">ORÇAMENTO!C135</f>
        <v>S</v>
      </c>
      <c r="B135">
        <f ca="1">ORÇAMENTO!D135</f>
        <v>0</v>
      </c>
      <c r="C135" s="114" t="str">
        <f t="shared" ca="1" si="8"/>
        <v>F</v>
      </c>
      <c r="D135" s="117" t="str">
        <f ca="1">ORÇAMENTO!O135</f>
        <v>1.5.3.0.1.</v>
      </c>
      <c r="E135" s="163" t="str">
        <f t="shared" ca="1" si="9"/>
        <v>CONCRETO FCK = 40MPA, TRAÇO 1:1,6:1,9 (EM MASSA SECA DE CIMENTO/ AREIA MÉDIA/ BRITA 1) - PREPARO MECÂNICO COM BETONEIRA 600 L. AF_05/2021</v>
      </c>
      <c r="F135" s="164" t="str">
        <f ca="1">IF(RegimeExecucao="Global","",ORÇAMENTO.Unidade)</f>
        <v>M3</v>
      </c>
      <c r="G135" s="122">
        <f ca="1">IF(RegimeExecucao="Global","",ORÇAMENTO!T135)</f>
        <v>62.5</v>
      </c>
      <c r="H135" s="122">
        <f ca="1">IF(RegimeExecucao="Global","",ORÇAMENTO!W135)</f>
        <v>775.96</v>
      </c>
      <c r="I135" s="125">
        <f ca="1">ORÇAMENTO!X135</f>
        <v>48497.5</v>
      </c>
      <c r="J135" s="333" cm="1">
        <f t="array" aca="1" ref="J135" ca="1">_xlfn.SINGLE(IF($A135="S",IF(CAIXA.Modo,BM.AFAnterior,BM.MEDAnterior),IF(AND(_xlfn.SINGLE(RegimeExecucao)="Global",$I135&gt;0,COUNTIF($AB$13:$AM$13,BM.medicao-1)&gt;0),M135/$I135*100,0)))</f>
        <v>0</v>
      </c>
      <c r="K135" s="122">
        <f t="shared" ca="1" si="10"/>
        <v>0</v>
      </c>
      <c r="L135" s="334" cm="1">
        <f t="array" aca="1" ref="L135" ca="1">_xlfn.SINGLE(IF($A135="S",IF(CAIXA.Modo,BM.AFAcumulado,BM.MEDAcumulado),IF(AND(_xlfn.SINGLE(RegimeExecucao)="Global",$I135&gt;0,COUNTIF($AB$13:$AM$13,BM.medicao)&gt;0),O135/$I135*100,0)))</f>
        <v>0</v>
      </c>
      <c r="M135" s="335">
        <f ca="1">IF($A135="S",VTOTALBM,IF($A135=0,0,ROUND(SomaAgrupBM,15-13*ORÇAMENTO!$AF$11)))</f>
        <v>0</v>
      </c>
      <c r="N135" s="336">
        <f t="shared" ca="1" si="11"/>
        <v>0</v>
      </c>
      <c r="O135" s="125">
        <f ca="1">IF($A135="S",VTOTALBM,IF($A135=0,0,ROUND(SomaAgrupBM,15-13*ORÇAMENTO!$AF$11)))</f>
        <v>0</v>
      </c>
      <c r="Q135" s="337"/>
      <c r="R135" s="338"/>
      <c r="T135" s="117" t="str">
        <f t="shared" ca="1" si="12"/>
        <v/>
      </c>
      <c r="U135" s="163" t="str">
        <f t="shared" ca="1" si="13"/>
        <v/>
      </c>
      <c r="V135" s="164" t="str">
        <f ca="1">IF(AND($W135&gt;0,RegimeExecucao="Unitário"),$F135,"")</f>
        <v/>
      </c>
      <c r="W135" s="454">
        <f ca="1">IF($Y135&gt;0,CHOOSE(MATCH(RegimeExecucao,{"Unitário","Global"},0),IF($A135="S",$Y135/$X135,""),($Y135/$X135)*100),0)</f>
        <v>0</v>
      </c>
      <c r="X135" s="339" t="str">
        <f ca="1">IF($Y135&gt;0,CHOOSE(MATCH(RegimeExecucao,{"Unitário","Global"},0),IF($A135="S",ROUND($H135,ORÇAMENTO!$AF$10),""),ROUND($I135,ORÇAMENTO!$AF$11)),"")</f>
        <v/>
      </c>
      <c r="Y135" s="339">
        <f t="shared" ca="1" si="14"/>
        <v>0</v>
      </c>
      <c r="Z135" s="473"/>
      <c r="AB135" s="337"/>
      <c r="AC135" s="437"/>
      <c r="AD135" s="437"/>
      <c r="AE135" s="437"/>
      <c r="AF135" s="437"/>
      <c r="AG135" s="437"/>
      <c r="AH135" s="437"/>
      <c r="AI135" s="437"/>
      <c r="AJ135" s="437"/>
      <c r="AK135" s="437"/>
      <c r="AL135" s="437"/>
      <c r="AM135" s="338"/>
      <c r="AO135">
        <f ca="1">IF($A135="S",IF(BM!$I135=0,0,CHOOSE(MATCH(RegimeExecucao,{"Global","Unitário"},0),ROUND(ROUND(BM.MEDAcumulado,15-13*BM!$A$9)/100*BM!$I135,15-13*ORÇAMENTO!$AF$11),ROUND(ROUND(BM.MEDAcumulado,15-13*BM!$A$9)*ROUND(BM!$H135,15-13*ORÇAMENTO!$AF$10),15-13*ORÇAMENTO!$AF$11))),IF($A135=0,0,ROUND(SomaAgrupBM,15-13*ORÇAMENTO!$AF$11)))</f>
        <v>0</v>
      </c>
    </row>
    <row r="136" spans="1:41" ht="25.5" x14ac:dyDescent="0.2">
      <c r="A136" t="str">
        <f ca="1">ORÇAMENTO!C136</f>
        <v>S</v>
      </c>
      <c r="B136">
        <f ca="1">ORÇAMENTO!D136</f>
        <v>0</v>
      </c>
      <c r="C136" s="114" t="str">
        <f t="shared" ca="1" si="8"/>
        <v>F</v>
      </c>
      <c r="D136" s="117" t="str">
        <f ca="1">ORÇAMENTO!O136</f>
        <v>1.5.3.0.2.</v>
      </c>
      <c r="E136" s="163" t="str">
        <f t="shared" ca="1" si="9"/>
        <v>LANÇAMENTO COM USO DE BOMBA, ADENSAMENTO E ACABAMENTO DE CONCRETO EM ESTRUTURAS. AF_02/2022</v>
      </c>
      <c r="F136" s="164" t="str">
        <f ca="1">IF(RegimeExecucao="Global","",ORÇAMENTO.Unidade)</f>
        <v>M3</v>
      </c>
      <c r="G136" s="122">
        <f ca="1">IF(RegimeExecucao="Global","",ORÇAMENTO!T136)</f>
        <v>62.5</v>
      </c>
      <c r="H136" s="122">
        <f ca="1">IF(RegimeExecucao="Global","",ORÇAMENTO!W136)</f>
        <v>54.96</v>
      </c>
      <c r="I136" s="125">
        <f ca="1">ORÇAMENTO!X136</f>
        <v>3435</v>
      </c>
      <c r="J136" s="333" cm="1">
        <f t="array" aca="1" ref="J136" ca="1">_xlfn.SINGLE(IF($A136="S",IF(CAIXA.Modo,BM.AFAnterior,BM.MEDAnterior),IF(AND(_xlfn.SINGLE(RegimeExecucao)="Global",$I136&gt;0,COUNTIF($AB$13:$AM$13,BM.medicao-1)&gt;0),M136/$I136*100,0)))</f>
        <v>0</v>
      </c>
      <c r="K136" s="122">
        <f t="shared" ca="1" si="10"/>
        <v>0</v>
      </c>
      <c r="L136" s="334" cm="1">
        <f t="array" aca="1" ref="L136" ca="1">_xlfn.SINGLE(IF($A136="S",IF(CAIXA.Modo,BM.AFAcumulado,BM.MEDAcumulado),IF(AND(_xlfn.SINGLE(RegimeExecucao)="Global",$I136&gt;0,COUNTIF($AB$13:$AM$13,BM.medicao)&gt;0),O136/$I136*100,0)))</f>
        <v>0</v>
      </c>
      <c r="M136" s="335">
        <f ca="1">IF($A136="S",VTOTALBM,IF($A136=0,0,ROUND(SomaAgrupBM,15-13*ORÇAMENTO!$AF$11)))</f>
        <v>0</v>
      </c>
      <c r="N136" s="336">
        <f t="shared" ca="1" si="11"/>
        <v>0</v>
      </c>
      <c r="O136" s="125">
        <f ca="1">IF($A136="S",VTOTALBM,IF($A136=0,0,ROUND(SomaAgrupBM,15-13*ORÇAMENTO!$AF$11)))</f>
        <v>0</v>
      </c>
      <c r="Q136" s="337"/>
      <c r="R136" s="338"/>
      <c r="T136" s="117" t="str">
        <f t="shared" ca="1" si="12"/>
        <v/>
      </c>
      <c r="U136" s="163" t="str">
        <f t="shared" ca="1" si="13"/>
        <v/>
      </c>
      <c r="V136" s="164" t="str">
        <f ca="1">IF(AND($W136&gt;0,RegimeExecucao="Unitário"),$F136,"")</f>
        <v/>
      </c>
      <c r="W136" s="454">
        <f ca="1">IF($Y136&gt;0,CHOOSE(MATCH(RegimeExecucao,{"Unitário","Global"},0),IF($A136="S",$Y136/$X136,""),($Y136/$X136)*100),0)</f>
        <v>0</v>
      </c>
      <c r="X136" s="339" t="str">
        <f ca="1">IF($Y136&gt;0,CHOOSE(MATCH(RegimeExecucao,{"Unitário","Global"},0),IF($A136="S",ROUND($H136,ORÇAMENTO!$AF$10),""),ROUND($I136,ORÇAMENTO!$AF$11)),"")</f>
        <v/>
      </c>
      <c r="Y136" s="339">
        <f t="shared" ca="1" si="14"/>
        <v>0</v>
      </c>
      <c r="Z136" s="473"/>
      <c r="AB136" s="337"/>
      <c r="AC136" s="437"/>
      <c r="AD136" s="437"/>
      <c r="AE136" s="437"/>
      <c r="AF136" s="437"/>
      <c r="AG136" s="437"/>
      <c r="AH136" s="437"/>
      <c r="AI136" s="437"/>
      <c r="AJ136" s="437"/>
      <c r="AK136" s="437"/>
      <c r="AL136" s="437"/>
      <c r="AM136" s="338"/>
      <c r="AO136">
        <f ca="1">IF($A136="S",IF(BM!$I136=0,0,CHOOSE(MATCH(RegimeExecucao,{"Global","Unitário"},0),ROUND(ROUND(BM.MEDAcumulado,15-13*BM!$A$9)/100*BM!$I136,15-13*ORÇAMENTO!$AF$11),ROUND(ROUND(BM.MEDAcumulado,15-13*BM!$A$9)*ROUND(BM!$H136,15-13*ORÇAMENTO!$AF$10),15-13*ORÇAMENTO!$AF$11))),IF($A136=0,0,ROUND(SomaAgrupBM,15-13*ORÇAMENTO!$AF$11)))</f>
        <v>0</v>
      </c>
    </row>
    <row r="137" spans="1:41" ht="25.5" x14ac:dyDescent="0.2">
      <c r="A137" t="str">
        <f ca="1">ORÇAMENTO!C137</f>
        <v>S</v>
      </c>
      <c r="B137">
        <f ca="1">ORÇAMENTO!D137</f>
        <v>0</v>
      </c>
      <c r="C137" s="114" t="str">
        <f t="shared" ca="1" si="8"/>
        <v>F</v>
      </c>
      <c r="D137" s="117" t="str">
        <f ca="1">ORÇAMENTO!O137</f>
        <v>1.5.3.0.3.</v>
      </c>
      <c r="E137" s="163" t="str">
        <f t="shared" ca="1" si="9"/>
        <v>FÔRMAS DE COMPENSADO RESINADO 10 MM - USO GERAL - UTILIZAÇÃO DE 3 VEZES - CONFECÇÃO, INSTALAÇÃO E RETIRADA</v>
      </c>
      <c r="F137" s="164" t="str">
        <f ca="1">IF(RegimeExecucao="Global","",ORÇAMENTO.Unidade)</f>
        <v>M2</v>
      </c>
      <c r="G137" s="122">
        <f ca="1">IF(RegimeExecucao="Global","",ORÇAMENTO!T137)</f>
        <v>449.12</v>
      </c>
      <c r="H137" s="122">
        <f ca="1">IF(RegimeExecucao="Global","",ORÇAMENTO!W137)</f>
        <v>88.5</v>
      </c>
      <c r="I137" s="125">
        <f ca="1">ORÇAMENTO!X137</f>
        <v>39747.120000000003</v>
      </c>
      <c r="J137" s="333" cm="1">
        <f t="array" aca="1" ref="J137" ca="1">_xlfn.SINGLE(IF($A137="S",IF(CAIXA.Modo,BM.AFAnterior,BM.MEDAnterior),IF(AND(_xlfn.SINGLE(RegimeExecucao)="Global",$I137&gt;0,COUNTIF($AB$13:$AM$13,BM.medicao-1)&gt;0),M137/$I137*100,0)))</f>
        <v>0</v>
      </c>
      <c r="K137" s="122">
        <f t="shared" ca="1" si="10"/>
        <v>0</v>
      </c>
      <c r="L137" s="334" cm="1">
        <f t="array" aca="1" ref="L137" ca="1">_xlfn.SINGLE(IF($A137="S",IF(CAIXA.Modo,BM.AFAcumulado,BM.MEDAcumulado),IF(AND(_xlfn.SINGLE(RegimeExecucao)="Global",$I137&gt;0,COUNTIF($AB$13:$AM$13,BM.medicao)&gt;0),O137/$I137*100,0)))</f>
        <v>0</v>
      </c>
      <c r="M137" s="335">
        <f ca="1">IF($A137="S",VTOTALBM,IF($A137=0,0,ROUND(SomaAgrupBM,15-13*ORÇAMENTO!$AF$11)))</f>
        <v>0</v>
      </c>
      <c r="N137" s="336">
        <f t="shared" ca="1" si="11"/>
        <v>0</v>
      </c>
      <c r="O137" s="125">
        <f ca="1">IF($A137="S",VTOTALBM,IF($A137=0,0,ROUND(SomaAgrupBM,15-13*ORÇAMENTO!$AF$11)))</f>
        <v>0</v>
      </c>
      <c r="Q137" s="337"/>
      <c r="R137" s="338"/>
      <c r="T137" s="117" t="str">
        <f t="shared" ca="1" si="12"/>
        <v/>
      </c>
      <c r="U137" s="163" t="str">
        <f t="shared" ca="1" si="13"/>
        <v/>
      </c>
      <c r="V137" s="164" t="str">
        <f ca="1">IF(AND($W137&gt;0,RegimeExecucao="Unitário"),$F137,"")</f>
        <v/>
      </c>
      <c r="W137" s="454">
        <f ca="1">IF($Y137&gt;0,CHOOSE(MATCH(RegimeExecucao,{"Unitário","Global"},0),IF($A137="S",$Y137/$X137,""),($Y137/$X137)*100),0)</f>
        <v>0</v>
      </c>
      <c r="X137" s="339" t="str">
        <f ca="1">IF($Y137&gt;0,CHOOSE(MATCH(RegimeExecucao,{"Unitário","Global"},0),IF($A137="S",ROUND($H137,ORÇAMENTO!$AF$10),""),ROUND($I137,ORÇAMENTO!$AF$11)),"")</f>
        <v/>
      </c>
      <c r="Y137" s="339">
        <f t="shared" ca="1" si="14"/>
        <v>0</v>
      </c>
      <c r="Z137" s="473"/>
      <c r="AB137" s="337"/>
      <c r="AC137" s="437"/>
      <c r="AD137" s="437"/>
      <c r="AE137" s="437"/>
      <c r="AF137" s="437"/>
      <c r="AG137" s="437"/>
      <c r="AH137" s="437"/>
      <c r="AI137" s="437"/>
      <c r="AJ137" s="437"/>
      <c r="AK137" s="437"/>
      <c r="AL137" s="437"/>
      <c r="AM137" s="338"/>
      <c r="AO137">
        <f ca="1">IF($A137="S",IF(BM!$I137=0,0,CHOOSE(MATCH(RegimeExecucao,{"Global","Unitário"},0),ROUND(ROUND(BM.MEDAcumulado,15-13*BM!$A$9)/100*BM!$I137,15-13*ORÇAMENTO!$AF$11),ROUND(ROUND(BM.MEDAcumulado,15-13*BM!$A$9)*ROUND(BM!$H137,15-13*ORÇAMENTO!$AF$10),15-13*ORÇAMENTO!$AF$11))),IF($A137=0,0,ROUND(SomaAgrupBM,15-13*ORÇAMENTO!$AF$11)))</f>
        <v>0</v>
      </c>
    </row>
    <row r="138" spans="1:41" ht="25.5" x14ac:dyDescent="0.2">
      <c r="A138" t="str">
        <f ca="1">ORÇAMENTO!C138</f>
        <v>S</v>
      </c>
      <c r="B138">
        <f ca="1">ORÇAMENTO!D138</f>
        <v>0</v>
      </c>
      <c r="C138" s="114" t="str">
        <f t="shared" ca="1" si="8"/>
        <v>F</v>
      </c>
      <c r="D138" s="117" t="str">
        <f ca="1">ORÇAMENTO!O138</f>
        <v>1.5.3.0.4.</v>
      </c>
      <c r="E138" s="163" t="str">
        <f t="shared" ca="1" si="9"/>
        <v>ARMAÇÃO EM AÇO CA-50 - FORNECIMENTO, PREPARO E COLOCAÇÃO</v>
      </c>
      <c r="F138" s="164" t="str">
        <f ca="1">IF(RegimeExecucao="Global","",ORÇAMENTO.Unidade)</f>
        <v>KG</v>
      </c>
      <c r="G138" s="122">
        <f ca="1">IF(RegimeExecucao="Global","",ORÇAMENTO!T138)</f>
        <v>7036</v>
      </c>
      <c r="H138" s="122">
        <f ca="1">IF(RegimeExecucao="Global","",ORÇAMENTO!W138)</f>
        <v>14.92</v>
      </c>
      <c r="I138" s="125">
        <f ca="1">ORÇAMENTO!X138</f>
        <v>104977.12</v>
      </c>
      <c r="J138" s="333" cm="1">
        <f t="array" aca="1" ref="J138" ca="1">_xlfn.SINGLE(IF($A138="S",IF(CAIXA.Modo,BM.AFAnterior,BM.MEDAnterior),IF(AND(_xlfn.SINGLE(RegimeExecucao)="Global",$I138&gt;0,COUNTIF($AB$13:$AM$13,BM.medicao-1)&gt;0),M138/$I138*100,0)))</f>
        <v>0</v>
      </c>
      <c r="K138" s="122">
        <f t="shared" ca="1" si="10"/>
        <v>0</v>
      </c>
      <c r="L138" s="334" cm="1">
        <f t="array" aca="1" ref="L138" ca="1">_xlfn.SINGLE(IF($A138="S",IF(CAIXA.Modo,BM.AFAcumulado,BM.MEDAcumulado),IF(AND(_xlfn.SINGLE(RegimeExecucao)="Global",$I138&gt;0,COUNTIF($AB$13:$AM$13,BM.medicao)&gt;0),O138/$I138*100,0)))</f>
        <v>0</v>
      </c>
      <c r="M138" s="335">
        <f ca="1">IF($A138="S",VTOTALBM,IF($A138=0,0,ROUND(SomaAgrupBM,15-13*ORÇAMENTO!$AF$11)))</f>
        <v>0</v>
      </c>
      <c r="N138" s="336">
        <f t="shared" ca="1" si="11"/>
        <v>0</v>
      </c>
      <c r="O138" s="125">
        <f ca="1">IF($A138="S",VTOTALBM,IF($A138=0,0,ROUND(SomaAgrupBM,15-13*ORÇAMENTO!$AF$11)))</f>
        <v>0</v>
      </c>
      <c r="Q138" s="337"/>
      <c r="R138" s="338"/>
      <c r="T138" s="117" t="str">
        <f t="shared" ca="1" si="12"/>
        <v/>
      </c>
      <c r="U138" s="163" t="str">
        <f t="shared" ca="1" si="13"/>
        <v/>
      </c>
      <c r="V138" s="164" t="str">
        <f ca="1">IF(AND($W138&gt;0,RegimeExecucao="Unitário"),$F138,"")</f>
        <v/>
      </c>
      <c r="W138" s="454">
        <f ca="1">IF($Y138&gt;0,CHOOSE(MATCH(RegimeExecucao,{"Unitário","Global"},0),IF($A138="S",$Y138/$X138,""),($Y138/$X138)*100),0)</f>
        <v>0</v>
      </c>
      <c r="X138" s="339" t="str">
        <f ca="1">IF($Y138&gt;0,CHOOSE(MATCH(RegimeExecucao,{"Unitário","Global"},0),IF($A138="S",ROUND($H138,ORÇAMENTO!$AF$10),""),ROUND($I138,ORÇAMENTO!$AF$11)),"")</f>
        <v/>
      </c>
      <c r="Y138" s="339">
        <f t="shared" ca="1" si="14"/>
        <v>0</v>
      </c>
      <c r="Z138" s="473"/>
      <c r="AB138" s="337"/>
      <c r="AC138" s="437"/>
      <c r="AD138" s="437"/>
      <c r="AE138" s="437"/>
      <c r="AF138" s="437"/>
      <c r="AG138" s="437"/>
      <c r="AH138" s="437"/>
      <c r="AI138" s="437"/>
      <c r="AJ138" s="437"/>
      <c r="AK138" s="437"/>
      <c r="AL138" s="437"/>
      <c r="AM138" s="338"/>
      <c r="AO138">
        <f ca="1">IF($A138="S",IF(BM!$I138=0,0,CHOOSE(MATCH(RegimeExecucao,{"Global","Unitário"},0),ROUND(ROUND(BM.MEDAcumulado,15-13*BM!$A$9)/100*BM!$I138,15-13*ORÇAMENTO!$AF$11),ROUND(ROUND(BM.MEDAcumulado,15-13*BM!$A$9)*ROUND(BM!$H138,15-13*ORÇAMENTO!$AF$10),15-13*ORÇAMENTO!$AF$11))),IF($A138=0,0,ROUND(SomaAgrupBM,15-13*ORÇAMENTO!$AF$11)))</f>
        <v>0</v>
      </c>
    </row>
    <row r="139" spans="1:41" ht="25.5" x14ac:dyDescent="0.2">
      <c r="A139" t="str">
        <f ca="1">ORÇAMENTO!C139</f>
        <v>S</v>
      </c>
      <c r="B139">
        <f ca="1">ORÇAMENTO!D139</f>
        <v>0</v>
      </c>
      <c r="C139" s="114" t="str">
        <f t="shared" ca="1" si="8"/>
        <v>F</v>
      </c>
      <c r="D139" s="117" t="str">
        <f ca="1">ORÇAMENTO!O139</f>
        <v>1.5.3.0.5.</v>
      </c>
      <c r="E139" s="163" t="str">
        <f t="shared" ca="1" si="9"/>
        <v>ARMAÇÃO DO SISTEMA DE PAREDES DE CONCRETO, EXECUTADA COMO ARMADURA POSITIVA DE LAJES, TELA Q-113. AF_12/2024</v>
      </c>
      <c r="F139" s="164" t="str">
        <f ca="1">IF(RegimeExecucao="Global","",ORÇAMENTO.Unidade)</f>
        <v>KG</v>
      </c>
      <c r="G139" s="122">
        <f ca="1">IF(RegimeExecucao="Global","",ORÇAMENTO!T139)</f>
        <v>1306.8</v>
      </c>
      <c r="H139" s="122">
        <f ca="1">IF(RegimeExecucao="Global","",ORÇAMENTO!W139)</f>
        <v>13.61</v>
      </c>
      <c r="I139" s="125">
        <f ca="1">ORÇAMENTO!X139</f>
        <v>17785.55</v>
      </c>
      <c r="J139" s="333" cm="1">
        <f t="array" aca="1" ref="J139" ca="1">_xlfn.SINGLE(IF($A139="S",IF(CAIXA.Modo,BM.AFAnterior,BM.MEDAnterior),IF(AND(_xlfn.SINGLE(RegimeExecucao)="Global",$I139&gt;0,COUNTIF($AB$13:$AM$13,BM.medicao-1)&gt;0),M139/$I139*100,0)))</f>
        <v>0</v>
      </c>
      <c r="K139" s="122">
        <f t="shared" ca="1" si="10"/>
        <v>0</v>
      </c>
      <c r="L139" s="334" cm="1">
        <f t="array" aca="1" ref="L139" ca="1">_xlfn.SINGLE(IF($A139="S",IF(CAIXA.Modo,BM.AFAcumulado,BM.MEDAcumulado),IF(AND(_xlfn.SINGLE(RegimeExecucao)="Global",$I139&gt;0,COUNTIF($AB$13:$AM$13,BM.medicao)&gt;0),O139/$I139*100,0)))</f>
        <v>0</v>
      </c>
      <c r="M139" s="335">
        <f ca="1">IF($A139="S",VTOTALBM,IF($A139=0,0,ROUND(SomaAgrupBM,15-13*ORÇAMENTO!$AF$11)))</f>
        <v>0</v>
      </c>
      <c r="N139" s="336">
        <f t="shared" ca="1" si="11"/>
        <v>0</v>
      </c>
      <c r="O139" s="125">
        <f ca="1">IF($A139="S",VTOTALBM,IF($A139=0,0,ROUND(SomaAgrupBM,15-13*ORÇAMENTO!$AF$11)))</f>
        <v>0</v>
      </c>
      <c r="Q139" s="337"/>
      <c r="R139" s="338"/>
      <c r="T139" s="117" t="str">
        <f t="shared" ca="1" si="12"/>
        <v/>
      </c>
      <c r="U139" s="163" t="str">
        <f t="shared" ca="1" si="13"/>
        <v/>
      </c>
      <c r="V139" s="164" t="str">
        <f ca="1">IF(AND($W139&gt;0,RegimeExecucao="Unitário"),$F139,"")</f>
        <v/>
      </c>
      <c r="W139" s="454">
        <f ca="1">IF($Y139&gt;0,CHOOSE(MATCH(RegimeExecucao,{"Unitário","Global"},0),IF($A139="S",$Y139/$X139,""),($Y139/$X139)*100),0)</f>
        <v>0</v>
      </c>
      <c r="X139" s="339" t="str">
        <f ca="1">IF($Y139&gt;0,CHOOSE(MATCH(RegimeExecucao,{"Unitário","Global"},0),IF($A139="S",ROUND($H139,ORÇAMENTO!$AF$10),""),ROUND($I139,ORÇAMENTO!$AF$11)),"")</f>
        <v/>
      </c>
      <c r="Y139" s="339">
        <f t="shared" ca="1" si="14"/>
        <v>0</v>
      </c>
      <c r="Z139" s="473"/>
      <c r="AB139" s="337"/>
      <c r="AC139" s="437"/>
      <c r="AD139" s="437"/>
      <c r="AE139" s="437"/>
      <c r="AF139" s="437"/>
      <c r="AG139" s="437"/>
      <c r="AH139" s="437"/>
      <c r="AI139" s="437"/>
      <c r="AJ139" s="437"/>
      <c r="AK139" s="437"/>
      <c r="AL139" s="437"/>
      <c r="AM139" s="338"/>
      <c r="AO139">
        <f ca="1">IF($A139="S",IF(BM!$I139=0,0,CHOOSE(MATCH(RegimeExecucao,{"Global","Unitário"},0),ROUND(ROUND(BM.MEDAcumulado,15-13*BM!$A$9)/100*BM!$I139,15-13*ORÇAMENTO!$AF$11),ROUND(ROUND(BM.MEDAcumulado,15-13*BM!$A$9)*ROUND(BM!$H139,15-13*ORÇAMENTO!$AF$10),15-13*ORÇAMENTO!$AF$11))),IF($A139=0,0,ROUND(SomaAgrupBM,15-13*ORÇAMENTO!$AF$11)))</f>
        <v>0</v>
      </c>
    </row>
    <row r="140" spans="1:41" x14ac:dyDescent="0.2">
      <c r="A140">
        <f ca="1">ORÇAMENTO!C140</f>
        <v>3</v>
      </c>
      <c r="B140">
        <f ca="1">ORÇAMENTO!D140</f>
        <v>7</v>
      </c>
      <c r="C140" s="114" t="str">
        <f t="shared" ca="1" si="8"/>
        <v>F</v>
      </c>
      <c r="D140" s="117" t="str">
        <f ca="1">ORÇAMENTO!O140</f>
        <v>1.5.4.</v>
      </c>
      <c r="E140" s="163" t="str">
        <f t="shared" si="9"/>
        <v>DESINFECÇÃO POR ULTRAVIOLETA</v>
      </c>
      <c r="F140" s="164" t="str">
        <f ca="1">IF(RegimeExecucao="Global","",ORÇAMENTO.Unidade)</f>
        <v>-</v>
      </c>
      <c r="G140" s="122">
        <f ca="1">IF(RegimeExecucao="Global","",ORÇAMENTO!T140)</f>
        <v>0</v>
      </c>
      <c r="H140" s="122">
        <f ca="1">IF(RegimeExecucao="Global","",ORÇAMENTO!W140)</f>
        <v>0</v>
      </c>
      <c r="I140" s="125">
        <f ca="1">ORÇAMENTO!X140</f>
        <v>71280.740000000005</v>
      </c>
      <c r="J140" s="333" cm="1">
        <f t="array" aca="1" ref="J140" ca="1">_xlfn.SINGLE(IF($A140="S",IF(CAIXA.Modo,BM.AFAnterior,BM.MEDAnterior),IF(AND(_xlfn.SINGLE(RegimeExecucao)="Global",$I140&gt;0,COUNTIF($AB$13:$AM$13,BM.medicao-1)&gt;0),M140/$I140*100,0)))</f>
        <v>0</v>
      </c>
      <c r="K140" s="122">
        <f t="shared" ca="1" si="10"/>
        <v>0</v>
      </c>
      <c r="L140" s="334" cm="1">
        <f t="array" aca="1" ref="L140" ca="1">_xlfn.SINGLE(IF($A140="S",IF(CAIXA.Modo,BM.AFAcumulado,BM.MEDAcumulado),IF(AND(_xlfn.SINGLE(RegimeExecucao)="Global",$I140&gt;0,COUNTIF($AB$13:$AM$13,BM.medicao)&gt;0),O140/$I140*100,0)))</f>
        <v>0</v>
      </c>
      <c r="M140" s="335">
        <f ca="1">IF($A140="S",VTOTALBM,IF($A140=0,0,ROUND(SomaAgrupBM,15-13*ORÇAMENTO!$AF$11)))</f>
        <v>0</v>
      </c>
      <c r="N140" s="336">
        <f t="shared" ca="1" si="11"/>
        <v>0</v>
      </c>
      <c r="O140" s="125">
        <f ca="1">IF($A140="S",VTOTALBM,IF($A140=0,0,ROUND(SomaAgrupBM,15-13*ORÇAMENTO!$AF$11)))</f>
        <v>0</v>
      </c>
      <c r="Q140" s="337"/>
      <c r="R140" s="338"/>
      <c r="T140" s="117" t="str">
        <f t="shared" ca="1" si="12"/>
        <v/>
      </c>
      <c r="U140" s="163" t="str">
        <f t="shared" ca="1" si="13"/>
        <v/>
      </c>
      <c r="V140" s="164" t="str">
        <f ca="1">IF(AND($W140&gt;0,RegimeExecucao="Unitário"),$F140,"")</f>
        <v/>
      </c>
      <c r="W140" s="454">
        <f ca="1">IF($Y140&gt;0,CHOOSE(MATCH(RegimeExecucao,{"Unitário","Global"},0),IF($A140="S",$Y140/$X140,""),($Y140/$X140)*100),0)</f>
        <v>0</v>
      </c>
      <c r="X140" s="339" t="str">
        <f ca="1">IF($Y140&gt;0,CHOOSE(MATCH(RegimeExecucao,{"Unitário","Global"},0),IF($A140="S",ROUND($H140,ORÇAMENTO!$AF$10),""),ROUND($I140,ORÇAMENTO!$AF$11)),"")</f>
        <v/>
      </c>
      <c r="Y140" s="339">
        <f t="shared" ca="1" si="14"/>
        <v>0</v>
      </c>
      <c r="Z140" s="473"/>
      <c r="AB140" s="337"/>
      <c r="AC140" s="437"/>
      <c r="AD140" s="437"/>
      <c r="AE140" s="437"/>
      <c r="AF140" s="437"/>
      <c r="AG140" s="437"/>
      <c r="AH140" s="437"/>
      <c r="AI140" s="437"/>
      <c r="AJ140" s="437"/>
      <c r="AK140" s="437"/>
      <c r="AL140" s="437"/>
      <c r="AM140" s="338"/>
      <c r="AO140">
        <f ca="1">IF($A140="S",IF(BM!$I140=0,0,CHOOSE(MATCH(RegimeExecucao,{"Global","Unitário"},0),ROUND(ROUND(BM.MEDAcumulado,15-13*BM!$A$9)/100*BM!$I140,15-13*ORÇAMENTO!$AF$11),ROUND(ROUND(BM.MEDAcumulado,15-13*BM!$A$9)*ROUND(BM!$H140,15-13*ORÇAMENTO!$AF$10),15-13*ORÇAMENTO!$AF$11))),IF($A140=0,0,ROUND(SomaAgrupBM,15-13*ORÇAMENTO!$AF$11)))</f>
        <v>0</v>
      </c>
    </row>
    <row r="141" spans="1:41" ht="38.25" x14ac:dyDescent="0.2">
      <c r="A141" t="str">
        <f ca="1">ORÇAMENTO!C141</f>
        <v>S</v>
      </c>
      <c r="B141">
        <f ca="1">ORÇAMENTO!D141</f>
        <v>0</v>
      </c>
      <c r="C141" s="114" t="str">
        <f t="shared" ca="1" si="8"/>
        <v>F</v>
      </c>
      <c r="D141" s="117" t="str">
        <f ca="1">ORÇAMENTO!O141</f>
        <v>1.5.4.0.1.</v>
      </c>
      <c r="E141" s="163" t="str">
        <f t="shared" ca="1" si="9"/>
        <v>CONCRETO FCK = 40MPA, TRAÇO 1:1,6:1,9 (EM MASSA SECA DE CIMENTO/ AREIA MÉDIA/ BRITA 1) - PREPARO MECÂNICO COM BETONEIRA 600 L. AF_05/2021</v>
      </c>
      <c r="F141" s="164" t="str">
        <f ca="1">IF(RegimeExecucao="Global","",ORÇAMENTO.Unidade)</f>
        <v>M3</v>
      </c>
      <c r="G141" s="122">
        <f ca="1">IF(RegimeExecucao="Global","",ORÇAMENTO!T141)</f>
        <v>21.82</v>
      </c>
      <c r="H141" s="122">
        <f ca="1">IF(RegimeExecucao="Global","",ORÇAMENTO!W141)</f>
        <v>775.96</v>
      </c>
      <c r="I141" s="125">
        <f ca="1">ORÇAMENTO!X141</f>
        <v>16931.45</v>
      </c>
      <c r="J141" s="333" cm="1">
        <f t="array" aca="1" ref="J141" ca="1">_xlfn.SINGLE(IF($A141="S",IF(CAIXA.Modo,BM.AFAnterior,BM.MEDAnterior),IF(AND(_xlfn.SINGLE(RegimeExecucao)="Global",$I141&gt;0,COUNTIF($AB$13:$AM$13,BM.medicao-1)&gt;0),M141/$I141*100,0)))</f>
        <v>0</v>
      </c>
      <c r="K141" s="122">
        <f t="shared" ca="1" si="10"/>
        <v>0</v>
      </c>
      <c r="L141" s="334" cm="1">
        <f t="array" aca="1" ref="L141" ca="1">_xlfn.SINGLE(IF($A141="S",IF(CAIXA.Modo,BM.AFAcumulado,BM.MEDAcumulado),IF(AND(_xlfn.SINGLE(RegimeExecucao)="Global",$I141&gt;0,COUNTIF($AB$13:$AM$13,BM.medicao)&gt;0),O141/$I141*100,0)))</f>
        <v>0</v>
      </c>
      <c r="M141" s="335">
        <f ca="1">IF($A141="S",VTOTALBM,IF($A141=0,0,ROUND(SomaAgrupBM,15-13*ORÇAMENTO!$AF$11)))</f>
        <v>0</v>
      </c>
      <c r="N141" s="336">
        <f t="shared" ca="1" si="11"/>
        <v>0</v>
      </c>
      <c r="O141" s="125">
        <f ca="1">IF($A141="S",VTOTALBM,IF($A141=0,0,ROUND(SomaAgrupBM,15-13*ORÇAMENTO!$AF$11)))</f>
        <v>0</v>
      </c>
      <c r="Q141" s="337"/>
      <c r="R141" s="338"/>
      <c r="T141" s="117" t="str">
        <f t="shared" ca="1" si="12"/>
        <v/>
      </c>
      <c r="U141" s="163" t="str">
        <f t="shared" ca="1" si="13"/>
        <v/>
      </c>
      <c r="V141" s="164" t="str">
        <f ca="1">IF(AND($W141&gt;0,RegimeExecucao="Unitário"),$F141,"")</f>
        <v/>
      </c>
      <c r="W141" s="454">
        <f ca="1">IF($Y141&gt;0,CHOOSE(MATCH(RegimeExecucao,{"Unitário","Global"},0),IF($A141="S",$Y141/$X141,""),($Y141/$X141)*100),0)</f>
        <v>0</v>
      </c>
      <c r="X141" s="339" t="str">
        <f ca="1">IF($Y141&gt;0,CHOOSE(MATCH(RegimeExecucao,{"Unitário","Global"},0),IF($A141="S",ROUND($H141,ORÇAMENTO!$AF$10),""),ROUND($I141,ORÇAMENTO!$AF$11)),"")</f>
        <v/>
      </c>
      <c r="Y141" s="339">
        <f t="shared" ca="1" si="14"/>
        <v>0</v>
      </c>
      <c r="Z141" s="473"/>
      <c r="AB141" s="337"/>
      <c r="AC141" s="437"/>
      <c r="AD141" s="437"/>
      <c r="AE141" s="437"/>
      <c r="AF141" s="437"/>
      <c r="AG141" s="437"/>
      <c r="AH141" s="437"/>
      <c r="AI141" s="437"/>
      <c r="AJ141" s="437"/>
      <c r="AK141" s="437"/>
      <c r="AL141" s="437"/>
      <c r="AM141" s="338"/>
      <c r="AO141">
        <f ca="1">IF($A141="S",IF(BM!$I141=0,0,CHOOSE(MATCH(RegimeExecucao,{"Global","Unitário"},0),ROUND(ROUND(BM.MEDAcumulado,15-13*BM!$A$9)/100*BM!$I141,15-13*ORÇAMENTO!$AF$11),ROUND(ROUND(BM.MEDAcumulado,15-13*BM!$A$9)*ROUND(BM!$H141,15-13*ORÇAMENTO!$AF$10),15-13*ORÇAMENTO!$AF$11))),IF($A141=0,0,ROUND(SomaAgrupBM,15-13*ORÇAMENTO!$AF$11)))</f>
        <v>0</v>
      </c>
    </row>
    <row r="142" spans="1:41" ht="25.5" x14ac:dyDescent="0.2">
      <c r="A142" t="str">
        <f ca="1">ORÇAMENTO!C142</f>
        <v>S</v>
      </c>
      <c r="B142">
        <f ca="1">ORÇAMENTO!D142</f>
        <v>0</v>
      </c>
      <c r="C142" s="114" t="str">
        <f t="shared" ca="1" si="8"/>
        <v>F</v>
      </c>
      <c r="D142" s="117" t="str">
        <f ca="1">ORÇAMENTO!O142</f>
        <v>1.5.4.0.2.</v>
      </c>
      <c r="E142" s="163" t="str">
        <f t="shared" ca="1" si="9"/>
        <v>LANÇAMENTO COM USO DE BOMBA, ADENSAMENTO E ACABAMENTO DE CONCRETO EM ESTRUTURAS. AF_02/2022</v>
      </c>
      <c r="F142" s="164" t="str">
        <f ca="1">IF(RegimeExecucao="Global","",ORÇAMENTO.Unidade)</f>
        <v>M3</v>
      </c>
      <c r="G142" s="122">
        <f ca="1">IF(RegimeExecucao="Global","",ORÇAMENTO!T142)</f>
        <v>21.82</v>
      </c>
      <c r="H142" s="122">
        <f ca="1">IF(RegimeExecucao="Global","",ORÇAMENTO!W142)</f>
        <v>54.96</v>
      </c>
      <c r="I142" s="125">
        <f ca="1">ORÇAMENTO!X142</f>
        <v>1199.23</v>
      </c>
      <c r="J142" s="333" cm="1">
        <f t="array" aca="1" ref="J142" ca="1">_xlfn.SINGLE(IF($A142="S",IF(CAIXA.Modo,BM.AFAnterior,BM.MEDAnterior),IF(AND(_xlfn.SINGLE(RegimeExecucao)="Global",$I142&gt;0,COUNTIF($AB$13:$AM$13,BM.medicao-1)&gt;0),M142/$I142*100,0)))</f>
        <v>0</v>
      </c>
      <c r="K142" s="122">
        <f t="shared" ca="1" si="10"/>
        <v>0</v>
      </c>
      <c r="L142" s="334" cm="1">
        <f t="array" aca="1" ref="L142" ca="1">_xlfn.SINGLE(IF($A142="S",IF(CAIXA.Modo,BM.AFAcumulado,BM.MEDAcumulado),IF(AND(_xlfn.SINGLE(RegimeExecucao)="Global",$I142&gt;0,COUNTIF($AB$13:$AM$13,BM.medicao)&gt;0),O142/$I142*100,0)))</f>
        <v>0</v>
      </c>
      <c r="M142" s="335">
        <f ca="1">IF($A142="S",VTOTALBM,IF($A142=0,0,ROUND(SomaAgrupBM,15-13*ORÇAMENTO!$AF$11)))</f>
        <v>0</v>
      </c>
      <c r="N142" s="336">
        <f t="shared" ca="1" si="11"/>
        <v>0</v>
      </c>
      <c r="O142" s="125">
        <f ca="1">IF($A142="S",VTOTALBM,IF($A142=0,0,ROUND(SomaAgrupBM,15-13*ORÇAMENTO!$AF$11)))</f>
        <v>0</v>
      </c>
      <c r="Q142" s="337"/>
      <c r="R142" s="338"/>
      <c r="T142" s="117" t="str">
        <f t="shared" ca="1" si="12"/>
        <v/>
      </c>
      <c r="U142" s="163" t="str">
        <f t="shared" ca="1" si="13"/>
        <v/>
      </c>
      <c r="V142" s="164" t="str">
        <f ca="1">IF(AND($W142&gt;0,RegimeExecucao="Unitário"),$F142,"")</f>
        <v/>
      </c>
      <c r="W142" s="454">
        <f ca="1">IF($Y142&gt;0,CHOOSE(MATCH(RegimeExecucao,{"Unitário","Global"},0),IF($A142="S",$Y142/$X142,""),($Y142/$X142)*100),0)</f>
        <v>0</v>
      </c>
      <c r="X142" s="339" t="str">
        <f ca="1">IF($Y142&gt;0,CHOOSE(MATCH(RegimeExecucao,{"Unitário","Global"},0),IF($A142="S",ROUND($H142,ORÇAMENTO!$AF$10),""),ROUND($I142,ORÇAMENTO!$AF$11)),"")</f>
        <v/>
      </c>
      <c r="Y142" s="339">
        <f t="shared" ca="1" si="14"/>
        <v>0</v>
      </c>
      <c r="Z142" s="473"/>
      <c r="AB142" s="337"/>
      <c r="AC142" s="437"/>
      <c r="AD142" s="437"/>
      <c r="AE142" s="437"/>
      <c r="AF142" s="437"/>
      <c r="AG142" s="437"/>
      <c r="AH142" s="437"/>
      <c r="AI142" s="437"/>
      <c r="AJ142" s="437"/>
      <c r="AK142" s="437"/>
      <c r="AL142" s="437"/>
      <c r="AM142" s="338"/>
      <c r="AO142">
        <f ca="1">IF($A142="S",IF(BM!$I142=0,0,CHOOSE(MATCH(RegimeExecucao,{"Global","Unitário"},0),ROUND(ROUND(BM.MEDAcumulado,15-13*BM!$A$9)/100*BM!$I142,15-13*ORÇAMENTO!$AF$11),ROUND(ROUND(BM.MEDAcumulado,15-13*BM!$A$9)*ROUND(BM!$H142,15-13*ORÇAMENTO!$AF$10),15-13*ORÇAMENTO!$AF$11))),IF($A142=0,0,ROUND(SomaAgrupBM,15-13*ORÇAMENTO!$AF$11)))</f>
        <v>0</v>
      </c>
    </row>
    <row r="143" spans="1:41" ht="25.5" x14ac:dyDescent="0.2">
      <c r="A143" t="str">
        <f ca="1">ORÇAMENTO!C143</f>
        <v>S</v>
      </c>
      <c r="B143">
        <f ca="1">ORÇAMENTO!D143</f>
        <v>0</v>
      </c>
      <c r="C143" s="114" t="str">
        <f t="shared" ca="1" si="8"/>
        <v>F</v>
      </c>
      <c r="D143" s="117" t="str">
        <f ca="1">ORÇAMENTO!O143</f>
        <v>1.5.4.0.3.</v>
      </c>
      <c r="E143" s="163" t="str">
        <f t="shared" ca="1" si="9"/>
        <v>FÔRMAS DE COMPENSADO RESINADO 10 MM - USO GERAL - UTILIZAÇÃO DE 3 VEZES - CONFECÇÃO, INSTALAÇÃO E RETIRADA</v>
      </c>
      <c r="F143" s="164" t="str">
        <f ca="1">IF(RegimeExecucao="Global","",ORÇAMENTO.Unidade)</f>
        <v>M2</v>
      </c>
      <c r="G143" s="122">
        <f ca="1">IF(RegimeExecucao="Global","",ORÇAMENTO!T143)</f>
        <v>201.39</v>
      </c>
      <c r="H143" s="122">
        <f ca="1">IF(RegimeExecucao="Global","",ORÇAMENTO!W143)</f>
        <v>88.5</v>
      </c>
      <c r="I143" s="125">
        <f ca="1">ORÇAMENTO!X143</f>
        <v>17823.02</v>
      </c>
      <c r="J143" s="333" cm="1">
        <f t="array" aca="1" ref="J143" ca="1">_xlfn.SINGLE(IF($A143="S",IF(CAIXA.Modo,BM.AFAnterior,BM.MEDAnterior),IF(AND(_xlfn.SINGLE(RegimeExecucao)="Global",$I143&gt;0,COUNTIF($AB$13:$AM$13,BM.medicao-1)&gt;0),M143/$I143*100,0)))</f>
        <v>0</v>
      </c>
      <c r="K143" s="122">
        <f t="shared" ca="1" si="10"/>
        <v>0</v>
      </c>
      <c r="L143" s="334" cm="1">
        <f t="array" aca="1" ref="L143" ca="1">_xlfn.SINGLE(IF($A143="S",IF(CAIXA.Modo,BM.AFAcumulado,BM.MEDAcumulado),IF(AND(_xlfn.SINGLE(RegimeExecucao)="Global",$I143&gt;0,COUNTIF($AB$13:$AM$13,BM.medicao)&gt;0),O143/$I143*100,0)))</f>
        <v>0</v>
      </c>
      <c r="M143" s="335">
        <f ca="1">IF($A143="S",VTOTALBM,IF($A143=0,0,ROUND(SomaAgrupBM,15-13*ORÇAMENTO!$AF$11)))</f>
        <v>0</v>
      </c>
      <c r="N143" s="336">
        <f t="shared" ca="1" si="11"/>
        <v>0</v>
      </c>
      <c r="O143" s="125">
        <f ca="1">IF($A143="S",VTOTALBM,IF($A143=0,0,ROUND(SomaAgrupBM,15-13*ORÇAMENTO!$AF$11)))</f>
        <v>0</v>
      </c>
      <c r="Q143" s="337"/>
      <c r="R143" s="338"/>
      <c r="T143" s="117" t="str">
        <f t="shared" ca="1" si="12"/>
        <v/>
      </c>
      <c r="U143" s="163" t="str">
        <f t="shared" ca="1" si="13"/>
        <v/>
      </c>
      <c r="V143" s="164" t="str">
        <f ca="1">IF(AND($W143&gt;0,RegimeExecucao="Unitário"),$F143,"")</f>
        <v/>
      </c>
      <c r="W143" s="454">
        <f ca="1">IF($Y143&gt;0,CHOOSE(MATCH(RegimeExecucao,{"Unitário","Global"},0),IF($A143="S",$Y143/$X143,""),($Y143/$X143)*100),0)</f>
        <v>0</v>
      </c>
      <c r="X143" s="339" t="str">
        <f ca="1">IF($Y143&gt;0,CHOOSE(MATCH(RegimeExecucao,{"Unitário","Global"},0),IF($A143="S",ROUND($H143,ORÇAMENTO!$AF$10),""),ROUND($I143,ORÇAMENTO!$AF$11)),"")</f>
        <v/>
      </c>
      <c r="Y143" s="339">
        <f t="shared" ca="1" si="14"/>
        <v>0</v>
      </c>
      <c r="Z143" s="473"/>
      <c r="AB143" s="337"/>
      <c r="AC143" s="437"/>
      <c r="AD143" s="437"/>
      <c r="AE143" s="437"/>
      <c r="AF143" s="437"/>
      <c r="AG143" s="437"/>
      <c r="AH143" s="437"/>
      <c r="AI143" s="437"/>
      <c r="AJ143" s="437"/>
      <c r="AK143" s="437"/>
      <c r="AL143" s="437"/>
      <c r="AM143" s="338"/>
      <c r="AO143">
        <f ca="1">IF($A143="S",IF(BM!$I143=0,0,CHOOSE(MATCH(RegimeExecucao,{"Global","Unitário"},0),ROUND(ROUND(BM.MEDAcumulado,15-13*BM!$A$9)/100*BM!$I143,15-13*ORÇAMENTO!$AF$11),ROUND(ROUND(BM.MEDAcumulado,15-13*BM!$A$9)*ROUND(BM!$H143,15-13*ORÇAMENTO!$AF$10),15-13*ORÇAMENTO!$AF$11))),IF($A143=0,0,ROUND(SomaAgrupBM,15-13*ORÇAMENTO!$AF$11)))</f>
        <v>0</v>
      </c>
    </row>
    <row r="144" spans="1:41" ht="25.5" x14ac:dyDescent="0.2">
      <c r="A144" t="str">
        <f ca="1">ORÇAMENTO!C144</f>
        <v>S</v>
      </c>
      <c r="B144">
        <f ca="1">ORÇAMENTO!D144</f>
        <v>0</v>
      </c>
      <c r="C144" s="114" t="str">
        <f t="shared" ca="1" si="8"/>
        <v>F</v>
      </c>
      <c r="D144" s="117" t="str">
        <f ca="1">ORÇAMENTO!O144</f>
        <v>1.5.4.0.4.</v>
      </c>
      <c r="E144" s="163" t="str">
        <f t="shared" ca="1" si="9"/>
        <v>ARMAÇÃO EM AÇO CA-50 - FORNECIMENTO, PREPARO E COLOCAÇÃO</v>
      </c>
      <c r="F144" s="164" t="str">
        <f ca="1">IF(RegimeExecucao="Global","",ORÇAMENTO.Unidade)</f>
        <v>KG</v>
      </c>
      <c r="G144" s="122">
        <f ca="1">IF(RegimeExecucao="Global","",ORÇAMENTO!T144)</f>
        <v>2150.5</v>
      </c>
      <c r="H144" s="122">
        <f ca="1">IF(RegimeExecucao="Global","",ORÇAMENTO!W144)</f>
        <v>14.92</v>
      </c>
      <c r="I144" s="125">
        <f ca="1">ORÇAMENTO!X144</f>
        <v>32085.46</v>
      </c>
      <c r="J144" s="333" cm="1">
        <f t="array" aca="1" ref="J144" ca="1">_xlfn.SINGLE(IF($A144="S",IF(CAIXA.Modo,BM.AFAnterior,BM.MEDAnterior),IF(AND(_xlfn.SINGLE(RegimeExecucao)="Global",$I144&gt;0,COUNTIF($AB$13:$AM$13,BM.medicao-1)&gt;0),M144/$I144*100,0)))</f>
        <v>0</v>
      </c>
      <c r="K144" s="122">
        <f t="shared" ca="1" si="10"/>
        <v>0</v>
      </c>
      <c r="L144" s="334" cm="1">
        <f t="array" aca="1" ref="L144" ca="1">_xlfn.SINGLE(IF($A144="S",IF(CAIXA.Modo,BM.AFAcumulado,BM.MEDAcumulado),IF(AND(_xlfn.SINGLE(RegimeExecucao)="Global",$I144&gt;0,COUNTIF($AB$13:$AM$13,BM.medicao)&gt;0),O144/$I144*100,0)))</f>
        <v>0</v>
      </c>
      <c r="M144" s="335">
        <f ca="1">IF($A144="S",VTOTALBM,IF($A144=0,0,ROUND(SomaAgrupBM,15-13*ORÇAMENTO!$AF$11)))</f>
        <v>0</v>
      </c>
      <c r="N144" s="336">
        <f t="shared" ca="1" si="11"/>
        <v>0</v>
      </c>
      <c r="O144" s="125">
        <f ca="1">IF($A144="S",VTOTALBM,IF($A144=0,0,ROUND(SomaAgrupBM,15-13*ORÇAMENTO!$AF$11)))</f>
        <v>0</v>
      </c>
      <c r="Q144" s="337"/>
      <c r="R144" s="338"/>
      <c r="T144" s="117" t="str">
        <f t="shared" ca="1" si="12"/>
        <v/>
      </c>
      <c r="U144" s="163" t="str">
        <f t="shared" ca="1" si="13"/>
        <v/>
      </c>
      <c r="V144" s="164" t="str">
        <f ca="1">IF(AND($W144&gt;0,RegimeExecucao="Unitário"),$F144,"")</f>
        <v/>
      </c>
      <c r="W144" s="454">
        <f ca="1">IF($Y144&gt;0,CHOOSE(MATCH(RegimeExecucao,{"Unitário","Global"},0),IF($A144="S",$Y144/$X144,""),($Y144/$X144)*100),0)</f>
        <v>0</v>
      </c>
      <c r="X144" s="339" t="str">
        <f ca="1">IF($Y144&gt;0,CHOOSE(MATCH(RegimeExecucao,{"Unitário","Global"},0),IF($A144="S",ROUND($H144,ORÇAMENTO!$AF$10),""),ROUND($I144,ORÇAMENTO!$AF$11)),"")</f>
        <v/>
      </c>
      <c r="Y144" s="339">
        <f t="shared" ca="1" si="14"/>
        <v>0</v>
      </c>
      <c r="Z144" s="473"/>
      <c r="AB144" s="337"/>
      <c r="AC144" s="437"/>
      <c r="AD144" s="437"/>
      <c r="AE144" s="437"/>
      <c r="AF144" s="437"/>
      <c r="AG144" s="437"/>
      <c r="AH144" s="437"/>
      <c r="AI144" s="437"/>
      <c r="AJ144" s="437"/>
      <c r="AK144" s="437"/>
      <c r="AL144" s="437"/>
      <c r="AM144" s="338"/>
      <c r="AO144">
        <f ca="1">IF($A144="S",IF(BM!$I144=0,0,CHOOSE(MATCH(RegimeExecucao,{"Global","Unitário"},0),ROUND(ROUND(BM.MEDAcumulado,15-13*BM!$A$9)/100*BM!$I144,15-13*ORÇAMENTO!$AF$11),ROUND(ROUND(BM.MEDAcumulado,15-13*BM!$A$9)*ROUND(BM!$H144,15-13*ORÇAMENTO!$AF$10),15-13*ORÇAMENTO!$AF$11))),IF($A144=0,0,ROUND(SomaAgrupBM,15-13*ORÇAMENTO!$AF$11)))</f>
        <v>0</v>
      </c>
    </row>
    <row r="145" spans="1:41" ht="25.5" x14ac:dyDescent="0.2">
      <c r="A145" t="str">
        <f ca="1">ORÇAMENTO!C145</f>
        <v>S</v>
      </c>
      <c r="B145">
        <f ca="1">ORÇAMENTO!D145</f>
        <v>0</v>
      </c>
      <c r="C145" s="114" t="str">
        <f t="shared" ca="1" si="8"/>
        <v>F</v>
      </c>
      <c r="D145" s="117" t="str">
        <f ca="1">ORÇAMENTO!O145</f>
        <v>1.5.4.0.5.</v>
      </c>
      <c r="E145" s="163" t="str">
        <f t="shared" ca="1" si="9"/>
        <v>ARMAÇÃO EM AÇO CA-60 - FORNECIMENTO, PREPARO E COLOCAÇÃO</v>
      </c>
      <c r="F145" s="164" t="str">
        <f ca="1">IF(RegimeExecucao="Global","",ORÇAMENTO.Unidade)</f>
        <v>KG</v>
      </c>
      <c r="G145" s="122">
        <f ca="1">IF(RegimeExecucao="Global","",ORÇAMENTO!T145)</f>
        <v>12.8</v>
      </c>
      <c r="H145" s="122">
        <f ca="1">IF(RegimeExecucao="Global","",ORÇAMENTO!W145)</f>
        <v>16.13</v>
      </c>
      <c r="I145" s="125">
        <f ca="1">ORÇAMENTO!X145</f>
        <v>206.46</v>
      </c>
      <c r="J145" s="333" cm="1">
        <f t="array" aca="1" ref="J145" ca="1">_xlfn.SINGLE(IF($A145="S",IF(CAIXA.Modo,BM.AFAnterior,BM.MEDAnterior),IF(AND(_xlfn.SINGLE(RegimeExecucao)="Global",$I145&gt;0,COUNTIF($AB$13:$AM$13,BM.medicao-1)&gt;0),M145/$I145*100,0)))</f>
        <v>0</v>
      </c>
      <c r="K145" s="122">
        <f t="shared" ca="1" si="10"/>
        <v>0</v>
      </c>
      <c r="L145" s="334" cm="1">
        <f t="array" aca="1" ref="L145" ca="1">_xlfn.SINGLE(IF($A145="S",IF(CAIXA.Modo,BM.AFAcumulado,BM.MEDAcumulado),IF(AND(_xlfn.SINGLE(RegimeExecucao)="Global",$I145&gt;0,COUNTIF($AB$13:$AM$13,BM.medicao)&gt;0),O145/$I145*100,0)))</f>
        <v>0</v>
      </c>
      <c r="M145" s="335">
        <f ca="1">IF($A145="S",VTOTALBM,IF($A145=0,0,ROUND(SomaAgrupBM,15-13*ORÇAMENTO!$AF$11)))</f>
        <v>0</v>
      </c>
      <c r="N145" s="336">
        <f t="shared" ca="1" si="11"/>
        <v>0</v>
      </c>
      <c r="O145" s="125">
        <f ca="1">IF($A145="S",VTOTALBM,IF($A145=0,0,ROUND(SomaAgrupBM,15-13*ORÇAMENTO!$AF$11)))</f>
        <v>0</v>
      </c>
      <c r="Q145" s="337"/>
      <c r="R145" s="338"/>
      <c r="T145" s="117" t="str">
        <f t="shared" ca="1" si="12"/>
        <v/>
      </c>
      <c r="U145" s="163" t="str">
        <f t="shared" ca="1" si="13"/>
        <v/>
      </c>
      <c r="V145" s="164" t="str">
        <f ca="1">IF(AND($W145&gt;0,RegimeExecucao="Unitário"),$F145,"")</f>
        <v/>
      </c>
      <c r="W145" s="454">
        <f ca="1">IF($Y145&gt;0,CHOOSE(MATCH(RegimeExecucao,{"Unitário","Global"},0),IF($A145="S",$Y145/$X145,""),($Y145/$X145)*100),0)</f>
        <v>0</v>
      </c>
      <c r="X145" s="339" t="str">
        <f ca="1">IF($Y145&gt;0,CHOOSE(MATCH(RegimeExecucao,{"Unitário","Global"},0),IF($A145="S",ROUND($H145,ORÇAMENTO!$AF$10),""),ROUND($I145,ORÇAMENTO!$AF$11)),"")</f>
        <v/>
      </c>
      <c r="Y145" s="339">
        <f t="shared" ca="1" si="14"/>
        <v>0</v>
      </c>
      <c r="Z145" s="473"/>
      <c r="AB145" s="337"/>
      <c r="AC145" s="437"/>
      <c r="AD145" s="437"/>
      <c r="AE145" s="437"/>
      <c r="AF145" s="437"/>
      <c r="AG145" s="437"/>
      <c r="AH145" s="437"/>
      <c r="AI145" s="437"/>
      <c r="AJ145" s="437"/>
      <c r="AK145" s="437"/>
      <c r="AL145" s="437"/>
      <c r="AM145" s="338"/>
      <c r="AO145">
        <f ca="1">IF($A145="S",IF(BM!$I145=0,0,CHOOSE(MATCH(RegimeExecucao,{"Global","Unitário"},0),ROUND(ROUND(BM.MEDAcumulado,15-13*BM!$A$9)/100*BM!$I145,15-13*ORÇAMENTO!$AF$11),ROUND(ROUND(BM.MEDAcumulado,15-13*BM!$A$9)*ROUND(BM!$H145,15-13*ORÇAMENTO!$AF$10),15-13*ORÇAMENTO!$AF$11))),IF($A145=0,0,ROUND(SomaAgrupBM,15-13*ORÇAMENTO!$AF$11)))</f>
        <v>0</v>
      </c>
    </row>
    <row r="146" spans="1:41" ht="25.5" x14ac:dyDescent="0.2">
      <c r="A146" t="str">
        <f ca="1">ORÇAMENTO!C146</f>
        <v>S</v>
      </c>
      <c r="B146">
        <f ca="1">ORÇAMENTO!D146</f>
        <v>0</v>
      </c>
      <c r="C146" s="114" t="str">
        <f t="shared" ca="1" si="8"/>
        <v>F</v>
      </c>
      <c r="D146" s="117" t="str">
        <f ca="1">ORÇAMENTO!O146</f>
        <v>1.5.4.0.6.</v>
      </c>
      <c r="E146" s="163" t="str">
        <f t="shared" ca="1" si="9"/>
        <v>IMPERMEABILIZAÇÃO COM EMULSÃO ASFÁLTICA, DUAS (2) DEMÃOS</v>
      </c>
      <c r="F146" s="164" t="str">
        <f ca="1">IF(RegimeExecucao="Global","",ORÇAMENTO.Unidade)</f>
        <v>M2</v>
      </c>
      <c r="G146" s="122">
        <f ca="1">IF(RegimeExecucao="Global","",ORÇAMENTO!T146)</f>
        <v>70.16</v>
      </c>
      <c r="H146" s="122">
        <f ca="1">IF(RegimeExecucao="Global","",ORÇAMENTO!W146)</f>
        <v>43.26</v>
      </c>
      <c r="I146" s="125">
        <f ca="1">ORÇAMENTO!X146</f>
        <v>3035.12</v>
      </c>
      <c r="J146" s="333" cm="1">
        <f t="array" aca="1" ref="J146" ca="1">_xlfn.SINGLE(IF($A146="S",IF(CAIXA.Modo,BM.AFAnterior,BM.MEDAnterior),IF(AND(_xlfn.SINGLE(RegimeExecucao)="Global",$I146&gt;0,COUNTIF($AB$13:$AM$13,BM.medicao-1)&gt;0),M146/$I146*100,0)))</f>
        <v>0</v>
      </c>
      <c r="K146" s="122">
        <f t="shared" ca="1" si="10"/>
        <v>0</v>
      </c>
      <c r="L146" s="334" cm="1">
        <f t="array" aca="1" ref="L146" ca="1">_xlfn.SINGLE(IF($A146="S",IF(CAIXA.Modo,BM.AFAcumulado,BM.MEDAcumulado),IF(AND(_xlfn.SINGLE(RegimeExecucao)="Global",$I146&gt;0,COUNTIF($AB$13:$AM$13,BM.medicao)&gt;0),O146/$I146*100,0)))</f>
        <v>0</v>
      </c>
      <c r="M146" s="335">
        <f ca="1">IF($A146="S",VTOTALBM,IF($A146=0,0,ROUND(SomaAgrupBM,15-13*ORÇAMENTO!$AF$11)))</f>
        <v>0</v>
      </c>
      <c r="N146" s="336">
        <f t="shared" ca="1" si="11"/>
        <v>0</v>
      </c>
      <c r="O146" s="125">
        <f ca="1">IF($A146="S",VTOTALBM,IF($A146=0,0,ROUND(SomaAgrupBM,15-13*ORÇAMENTO!$AF$11)))</f>
        <v>0</v>
      </c>
      <c r="Q146" s="337"/>
      <c r="R146" s="338"/>
      <c r="T146" s="117" t="str">
        <f t="shared" ca="1" si="12"/>
        <v/>
      </c>
      <c r="U146" s="163" t="str">
        <f t="shared" ca="1" si="13"/>
        <v/>
      </c>
      <c r="V146" s="164" t="str">
        <f ca="1">IF(AND($W146&gt;0,RegimeExecucao="Unitário"),$F146,"")</f>
        <v/>
      </c>
      <c r="W146" s="454">
        <f ca="1">IF($Y146&gt;0,CHOOSE(MATCH(RegimeExecucao,{"Unitário","Global"},0),IF($A146="S",$Y146/$X146,""),($Y146/$X146)*100),0)</f>
        <v>0</v>
      </c>
      <c r="X146" s="339" t="str">
        <f ca="1">IF($Y146&gt;0,CHOOSE(MATCH(RegimeExecucao,{"Unitário","Global"},0),IF($A146="S",ROUND($H146,ORÇAMENTO!$AF$10),""),ROUND($I146,ORÇAMENTO!$AF$11)),"")</f>
        <v/>
      </c>
      <c r="Y146" s="339">
        <f t="shared" ca="1" si="14"/>
        <v>0</v>
      </c>
      <c r="Z146" s="473"/>
      <c r="AB146" s="337"/>
      <c r="AC146" s="437"/>
      <c r="AD146" s="437"/>
      <c r="AE146" s="437"/>
      <c r="AF146" s="437"/>
      <c r="AG146" s="437"/>
      <c r="AH146" s="437"/>
      <c r="AI146" s="437"/>
      <c r="AJ146" s="437"/>
      <c r="AK146" s="437"/>
      <c r="AL146" s="437"/>
      <c r="AM146" s="338"/>
      <c r="AO146">
        <f ca="1">IF($A146="S",IF(BM!$I146=0,0,CHOOSE(MATCH(RegimeExecucao,{"Global","Unitário"},0),ROUND(ROUND(BM.MEDAcumulado,15-13*BM!$A$9)/100*BM!$I146,15-13*ORÇAMENTO!$AF$11),ROUND(ROUND(BM.MEDAcumulado,15-13*BM!$A$9)*ROUND(BM!$H146,15-13*ORÇAMENTO!$AF$10),15-13*ORÇAMENTO!$AF$11))),IF($A146=0,0,ROUND(SomaAgrupBM,15-13*ORÇAMENTO!$AF$11)))</f>
        <v>0</v>
      </c>
    </row>
    <row r="147" spans="1:41" x14ac:dyDescent="0.2">
      <c r="A147">
        <f ca="1">ORÇAMENTO!C147</f>
        <v>3</v>
      </c>
      <c r="B147">
        <f ca="1">ORÇAMENTO!D147</f>
        <v>60</v>
      </c>
      <c r="C147" s="114" t="str">
        <f t="shared" ca="1" si="8"/>
        <v>F</v>
      </c>
      <c r="D147" s="117" t="str">
        <f ca="1">ORÇAMENTO!O147</f>
        <v>1.5.5.</v>
      </c>
      <c r="E147" s="163" t="str">
        <f t="shared" si="9"/>
        <v>SALA ELÉTRICA E MONOVIA</v>
      </c>
      <c r="F147" s="164" t="str">
        <f ca="1">IF(RegimeExecucao="Global","",ORÇAMENTO.Unidade)</f>
        <v>-</v>
      </c>
      <c r="G147" s="122">
        <f ca="1">IF(RegimeExecucao="Global","",ORÇAMENTO!T147)</f>
        <v>0</v>
      </c>
      <c r="H147" s="122">
        <f ca="1">IF(RegimeExecucao="Global","",ORÇAMENTO!W147)</f>
        <v>0</v>
      </c>
      <c r="I147" s="125">
        <f ca="1">ORÇAMENTO!X147</f>
        <v>51930.61</v>
      </c>
      <c r="J147" s="333" cm="1">
        <f t="array" aca="1" ref="J147" ca="1">_xlfn.SINGLE(IF($A147="S",IF(CAIXA.Modo,BM.AFAnterior,BM.MEDAnterior),IF(AND(_xlfn.SINGLE(RegimeExecucao)="Global",$I147&gt;0,COUNTIF($AB$13:$AM$13,BM.medicao-1)&gt;0),M147/$I147*100,0)))</f>
        <v>0</v>
      </c>
      <c r="K147" s="122">
        <f t="shared" ca="1" si="10"/>
        <v>0</v>
      </c>
      <c r="L147" s="334" cm="1">
        <f t="array" aca="1" ref="L147" ca="1">_xlfn.SINGLE(IF($A147="S",IF(CAIXA.Modo,BM.AFAcumulado,BM.MEDAcumulado),IF(AND(_xlfn.SINGLE(RegimeExecucao)="Global",$I147&gt;0,COUNTIF($AB$13:$AM$13,BM.medicao)&gt;0),O147/$I147*100,0)))</f>
        <v>0</v>
      </c>
      <c r="M147" s="335">
        <f ca="1">IF($A147="S",VTOTALBM,IF($A147=0,0,ROUND(SomaAgrupBM,15-13*ORÇAMENTO!$AF$11)))</f>
        <v>0</v>
      </c>
      <c r="N147" s="336">
        <f t="shared" ca="1" si="11"/>
        <v>0</v>
      </c>
      <c r="O147" s="125">
        <f ca="1">IF($A147="S",VTOTALBM,IF($A147=0,0,ROUND(SomaAgrupBM,15-13*ORÇAMENTO!$AF$11)))</f>
        <v>0</v>
      </c>
      <c r="Q147" s="337"/>
      <c r="R147" s="338"/>
      <c r="T147" s="117" t="str">
        <f t="shared" ca="1" si="12"/>
        <v/>
      </c>
      <c r="U147" s="163" t="str">
        <f t="shared" ca="1" si="13"/>
        <v/>
      </c>
      <c r="V147" s="164" t="str">
        <f ca="1">IF(AND($W147&gt;0,RegimeExecucao="Unitário"),$F147,"")</f>
        <v/>
      </c>
      <c r="W147" s="454">
        <f ca="1">IF($Y147&gt;0,CHOOSE(MATCH(RegimeExecucao,{"Unitário","Global"},0),IF($A147="S",$Y147/$X147,""),($Y147/$X147)*100),0)</f>
        <v>0</v>
      </c>
      <c r="X147" s="339" t="str">
        <f ca="1">IF($Y147&gt;0,CHOOSE(MATCH(RegimeExecucao,{"Unitário","Global"},0),IF($A147="S",ROUND($H147,ORÇAMENTO!$AF$10),""),ROUND($I147,ORÇAMENTO!$AF$11)),"")</f>
        <v/>
      </c>
      <c r="Y147" s="339">
        <f t="shared" ca="1" si="14"/>
        <v>0</v>
      </c>
      <c r="Z147" s="473"/>
      <c r="AB147" s="337"/>
      <c r="AC147" s="437"/>
      <c r="AD147" s="437"/>
      <c r="AE147" s="437"/>
      <c r="AF147" s="437"/>
      <c r="AG147" s="437"/>
      <c r="AH147" s="437"/>
      <c r="AI147" s="437"/>
      <c r="AJ147" s="437"/>
      <c r="AK147" s="437"/>
      <c r="AL147" s="437"/>
      <c r="AM147" s="338"/>
      <c r="AO147">
        <f ca="1">IF($A147="S",IF(BM!$I147=0,0,CHOOSE(MATCH(RegimeExecucao,{"Global","Unitário"},0),ROUND(ROUND(BM.MEDAcumulado,15-13*BM!$A$9)/100*BM!$I147,15-13*ORÇAMENTO!$AF$11),ROUND(ROUND(BM.MEDAcumulado,15-13*BM!$A$9)*ROUND(BM!$H147,15-13*ORÇAMENTO!$AF$10),15-13*ORÇAMENTO!$AF$11))),IF($A147=0,0,ROUND(SomaAgrupBM,15-13*ORÇAMENTO!$AF$11)))</f>
        <v>0</v>
      </c>
    </row>
    <row r="148" spans="1:41" x14ac:dyDescent="0.2">
      <c r="A148">
        <f ca="1">ORÇAMENTO!C148</f>
        <v>4</v>
      </c>
      <c r="B148">
        <f ca="1">ORÇAMENTO!D148</f>
        <v>11</v>
      </c>
      <c r="C148" s="114" t="str">
        <f t="shared" ca="1" si="8"/>
        <v>F</v>
      </c>
      <c r="D148" s="117" t="str">
        <f ca="1">ORÇAMENTO!O148</f>
        <v>1.5.5.1.</v>
      </c>
      <c r="E148" s="163" t="str">
        <f t="shared" si="9"/>
        <v>ESTACAS</v>
      </c>
      <c r="F148" s="164" t="str">
        <f ca="1">IF(RegimeExecucao="Global","",ORÇAMENTO.Unidade)</f>
        <v>-</v>
      </c>
      <c r="G148" s="122">
        <f ca="1">IF(RegimeExecucao="Global","",ORÇAMENTO!T148)</f>
        <v>0</v>
      </c>
      <c r="H148" s="122">
        <f ca="1">IF(RegimeExecucao="Global","",ORÇAMENTO!W148)</f>
        <v>0</v>
      </c>
      <c r="I148" s="125">
        <f ca="1">ORÇAMENTO!X148</f>
        <v>18936.419999999998</v>
      </c>
      <c r="J148" s="333" cm="1">
        <f t="array" aca="1" ref="J148" ca="1">_xlfn.SINGLE(IF($A148="S",IF(CAIXA.Modo,BM.AFAnterior,BM.MEDAnterior),IF(AND(_xlfn.SINGLE(RegimeExecucao)="Global",$I148&gt;0,COUNTIF($AB$13:$AM$13,BM.medicao-1)&gt;0),M148/$I148*100,0)))</f>
        <v>0</v>
      </c>
      <c r="K148" s="122">
        <f t="shared" ca="1" si="10"/>
        <v>0</v>
      </c>
      <c r="L148" s="334" cm="1">
        <f t="array" aca="1" ref="L148" ca="1">_xlfn.SINGLE(IF($A148="S",IF(CAIXA.Modo,BM.AFAcumulado,BM.MEDAcumulado),IF(AND(_xlfn.SINGLE(RegimeExecucao)="Global",$I148&gt;0,COUNTIF($AB$13:$AM$13,BM.medicao)&gt;0),O148/$I148*100,0)))</f>
        <v>0</v>
      </c>
      <c r="M148" s="335">
        <f ca="1">IF($A148="S",VTOTALBM,IF($A148=0,0,ROUND(SomaAgrupBM,15-13*ORÇAMENTO!$AF$11)))</f>
        <v>0</v>
      </c>
      <c r="N148" s="336">
        <f t="shared" ca="1" si="11"/>
        <v>0</v>
      </c>
      <c r="O148" s="125">
        <f ca="1">IF($A148="S",VTOTALBM,IF($A148=0,0,ROUND(SomaAgrupBM,15-13*ORÇAMENTO!$AF$11)))</f>
        <v>0</v>
      </c>
      <c r="Q148" s="337"/>
      <c r="R148" s="338"/>
      <c r="T148" s="117" t="str">
        <f t="shared" ca="1" si="12"/>
        <v/>
      </c>
      <c r="U148" s="163" t="str">
        <f t="shared" ca="1" si="13"/>
        <v/>
      </c>
      <c r="V148" s="164" t="str">
        <f ca="1">IF(AND($W148&gt;0,RegimeExecucao="Unitário"),$F148,"")</f>
        <v/>
      </c>
      <c r="W148" s="454">
        <f ca="1">IF($Y148&gt;0,CHOOSE(MATCH(RegimeExecucao,{"Unitário","Global"},0),IF($A148="S",$Y148/$X148,""),($Y148/$X148)*100),0)</f>
        <v>0</v>
      </c>
      <c r="X148" s="339" t="str">
        <f ca="1">IF($Y148&gt;0,CHOOSE(MATCH(RegimeExecucao,{"Unitário","Global"},0),IF($A148="S",ROUND($H148,ORÇAMENTO!$AF$10),""),ROUND($I148,ORÇAMENTO!$AF$11)),"")</f>
        <v/>
      </c>
      <c r="Y148" s="339">
        <f t="shared" ca="1" si="14"/>
        <v>0</v>
      </c>
      <c r="Z148" s="473"/>
      <c r="AB148" s="337"/>
      <c r="AC148" s="437"/>
      <c r="AD148" s="437"/>
      <c r="AE148" s="437"/>
      <c r="AF148" s="437"/>
      <c r="AG148" s="437"/>
      <c r="AH148" s="437"/>
      <c r="AI148" s="437"/>
      <c r="AJ148" s="437"/>
      <c r="AK148" s="437"/>
      <c r="AL148" s="437"/>
      <c r="AM148" s="338"/>
      <c r="AO148">
        <f ca="1">IF($A148="S",IF(BM!$I148=0,0,CHOOSE(MATCH(RegimeExecucao,{"Global","Unitário"},0),ROUND(ROUND(BM.MEDAcumulado,15-13*BM!$A$9)/100*BM!$I148,15-13*ORÇAMENTO!$AF$11),ROUND(ROUND(BM.MEDAcumulado,15-13*BM!$A$9)*ROUND(BM!$H148,15-13*ORÇAMENTO!$AF$10),15-13*ORÇAMENTO!$AF$11))),IF($A148=0,0,ROUND(SomaAgrupBM,15-13*ORÇAMENTO!$AF$11)))</f>
        <v>0</v>
      </c>
    </row>
    <row r="149" spans="1:41" x14ac:dyDescent="0.2">
      <c r="A149" t="str">
        <f ca="1">ORÇAMENTO!C149</f>
        <v>S</v>
      </c>
      <c r="B149">
        <f ca="1">ORÇAMENTO!D149</f>
        <v>0</v>
      </c>
      <c r="C149" s="114" t="str">
        <f t="shared" ref="C149:C212" ca="1" si="15">IF(OR($I149&gt;0,$A149=1,$A149=2,$A149=3,$A149=4),"F","")</f>
        <v>F</v>
      </c>
      <c r="D149" s="117" t="str">
        <f ca="1">ORÇAMENTO!O149</f>
        <v>1.5.5.1.1.</v>
      </c>
      <c r="E149" s="163" t="str">
        <f t="shared" ref="E149:E212" ca="1" si="16">ORÇAMENTO.Descricao</f>
        <v>ESTACA BROCA MANUAL D = 30 CM - CONFECÇÃO</v>
      </c>
      <c r="F149" s="164" t="str">
        <f ca="1">IF(RegimeExecucao="Global","",ORÇAMENTO.Unidade)</f>
        <v>M</v>
      </c>
      <c r="G149" s="122">
        <f ca="1">IF(RegimeExecucao="Global","",ORÇAMENTO!T149)</f>
        <v>6.2</v>
      </c>
      <c r="H149" s="122">
        <f ca="1">IF(RegimeExecucao="Global","",ORÇAMENTO!W149)</f>
        <v>68.900000000000006</v>
      </c>
      <c r="I149" s="125">
        <f ca="1">ORÇAMENTO!X149</f>
        <v>427.18</v>
      </c>
      <c r="J149" s="333" cm="1">
        <f t="array" aca="1" ref="J149" ca="1">_xlfn.SINGLE(IF($A149="S",IF(CAIXA.Modo,BM.AFAnterior,BM.MEDAnterior),IF(AND(_xlfn.SINGLE(RegimeExecucao)="Global",$I149&gt;0,COUNTIF($AB$13:$AM$13,BM.medicao-1)&gt;0),M149/$I149*100,0)))</f>
        <v>0</v>
      </c>
      <c r="K149" s="122">
        <f t="shared" ref="K149:K212" ca="1" si="17">L149-J149</f>
        <v>0</v>
      </c>
      <c r="L149" s="334" cm="1">
        <f t="array" aca="1" ref="L149" ca="1">_xlfn.SINGLE(IF($A149="S",IF(CAIXA.Modo,BM.AFAcumulado,BM.MEDAcumulado),IF(AND(_xlfn.SINGLE(RegimeExecucao)="Global",$I149&gt;0,COUNTIF($AB$13:$AM$13,BM.medicao)&gt;0),O149/$I149*100,0)))</f>
        <v>0</v>
      </c>
      <c r="M149" s="335">
        <f ca="1">IF($A149="S",VTOTALBM,IF($A149=0,0,ROUND(SomaAgrupBM,15-13*ORÇAMENTO!$AF$11)))</f>
        <v>0</v>
      </c>
      <c r="N149" s="336">
        <f t="shared" ref="N149:N212" ca="1" si="18">O149-M149</f>
        <v>0</v>
      </c>
      <c r="O149" s="125">
        <f ca="1">IF($A149="S",VTOTALBM,IF($A149=0,0,ROUND(SomaAgrupBM,15-13*ORÇAMENTO!$AF$11)))</f>
        <v>0</v>
      </c>
      <c r="Q149" s="337"/>
      <c r="R149" s="338"/>
      <c r="T149" s="117" t="str">
        <f t="shared" ref="T149:T212" ca="1" si="19">IF($W149&gt;0,$D149,"")</f>
        <v/>
      </c>
      <c r="U149" s="163" t="str">
        <f t="shared" ref="U149:U212" ca="1" si="20">IF($W149&gt;0,$E149,"")</f>
        <v/>
      </c>
      <c r="V149" s="164" t="str">
        <f ca="1">IF(AND($W149&gt;0,RegimeExecucao="Unitário"),$F149,"")</f>
        <v/>
      </c>
      <c r="W149" s="454">
        <f ca="1">IF($Y149&gt;0,CHOOSE(MATCH(RegimeExecucao,{"Unitário","Global"},0),IF($A149="S",$Y149/$X149,""),($Y149/$X149)*100),0)</f>
        <v>0</v>
      </c>
      <c r="X149" s="339" t="str">
        <f ca="1">IF($Y149&gt;0,CHOOSE(MATCH(RegimeExecucao,{"Unitário","Global"},0),IF($A149="S",ROUND($H149,ORÇAMENTO!$AF$10),""),ROUND($I149,ORÇAMENTO!$AF$11)),"")</f>
        <v/>
      </c>
      <c r="Y149" s="339">
        <f t="shared" ref="Y149:Y212" ca="1" si="21">AO149-O149</f>
        <v>0</v>
      </c>
      <c r="Z149" s="473"/>
      <c r="AB149" s="337"/>
      <c r="AC149" s="437"/>
      <c r="AD149" s="437"/>
      <c r="AE149" s="437"/>
      <c r="AF149" s="437"/>
      <c r="AG149" s="437"/>
      <c r="AH149" s="437"/>
      <c r="AI149" s="437"/>
      <c r="AJ149" s="437"/>
      <c r="AK149" s="437"/>
      <c r="AL149" s="437"/>
      <c r="AM149" s="338"/>
      <c r="AO149">
        <f ca="1">IF($A149="S",IF(BM!$I149=0,0,CHOOSE(MATCH(RegimeExecucao,{"Global","Unitário"},0),ROUND(ROUND(BM.MEDAcumulado,15-13*BM!$A$9)/100*BM!$I149,15-13*ORÇAMENTO!$AF$11),ROUND(ROUND(BM.MEDAcumulado,15-13*BM!$A$9)*ROUND(BM!$H149,15-13*ORÇAMENTO!$AF$10),15-13*ORÇAMENTO!$AF$11))),IF($A149=0,0,ROUND(SomaAgrupBM,15-13*ORÇAMENTO!$AF$11)))</f>
        <v>0</v>
      </c>
    </row>
    <row r="150" spans="1:41" ht="25.5" x14ac:dyDescent="0.2">
      <c r="A150" t="str">
        <f ca="1">ORÇAMENTO!C150</f>
        <v>S</v>
      </c>
      <c r="B150">
        <f ca="1">ORÇAMENTO!D150</f>
        <v>0</v>
      </c>
      <c r="C150" s="114" t="str">
        <f t="shared" ca="1" si="15"/>
        <v>F</v>
      </c>
      <c r="D150" s="117" t="str">
        <f ca="1">ORÇAMENTO!O150</f>
        <v>1.5.5.1.2.</v>
      </c>
      <c r="E150" s="163" t="str">
        <f t="shared" ca="1" si="16"/>
        <v>ESTACA ESCAVADA COM TRADO MANUAL, D=30CM, INCLUSIVE CONCRETO EXCLUSIVE ARMAÇÃO</v>
      </c>
      <c r="F150" s="164" t="str">
        <f ca="1">IF(RegimeExecucao="Global","",ORÇAMENTO.Unidade)</f>
        <v>M</v>
      </c>
      <c r="G150" s="122">
        <f ca="1">IF(RegimeExecucao="Global","",ORÇAMENTO!T150)</f>
        <v>52.7</v>
      </c>
      <c r="H150" s="122">
        <f ca="1">IF(RegimeExecucao="Global","",ORÇAMENTO!W150)</f>
        <v>137.71</v>
      </c>
      <c r="I150" s="125">
        <f ca="1">ORÇAMENTO!X150</f>
        <v>7257.32</v>
      </c>
      <c r="J150" s="333" cm="1">
        <f t="array" aca="1" ref="J150" ca="1">_xlfn.SINGLE(IF($A150="S",IF(CAIXA.Modo,BM.AFAnterior,BM.MEDAnterior),IF(AND(_xlfn.SINGLE(RegimeExecucao)="Global",$I150&gt;0,COUNTIF($AB$13:$AM$13,BM.medicao-1)&gt;0),M150/$I150*100,0)))</f>
        <v>0</v>
      </c>
      <c r="K150" s="122">
        <f t="shared" ca="1" si="17"/>
        <v>0</v>
      </c>
      <c r="L150" s="334" cm="1">
        <f t="array" aca="1" ref="L150" ca="1">_xlfn.SINGLE(IF($A150="S",IF(CAIXA.Modo,BM.AFAcumulado,BM.MEDAcumulado),IF(AND(_xlfn.SINGLE(RegimeExecucao)="Global",$I150&gt;0,COUNTIF($AB$13:$AM$13,BM.medicao)&gt;0),O150/$I150*100,0)))</f>
        <v>0</v>
      </c>
      <c r="M150" s="335">
        <f ca="1">IF($A150="S",VTOTALBM,IF($A150=0,0,ROUND(SomaAgrupBM,15-13*ORÇAMENTO!$AF$11)))</f>
        <v>0</v>
      </c>
      <c r="N150" s="336">
        <f t="shared" ca="1" si="18"/>
        <v>0</v>
      </c>
      <c r="O150" s="125">
        <f ca="1">IF($A150="S",VTOTALBM,IF($A150=0,0,ROUND(SomaAgrupBM,15-13*ORÇAMENTO!$AF$11)))</f>
        <v>0</v>
      </c>
      <c r="Q150" s="337"/>
      <c r="R150" s="338"/>
      <c r="T150" s="117" t="str">
        <f t="shared" ca="1" si="19"/>
        <v/>
      </c>
      <c r="U150" s="163" t="str">
        <f t="shared" ca="1" si="20"/>
        <v/>
      </c>
      <c r="V150" s="164" t="str">
        <f ca="1">IF(AND($W150&gt;0,RegimeExecucao="Unitário"),$F150,"")</f>
        <v/>
      </c>
      <c r="W150" s="454">
        <f ca="1">IF($Y150&gt;0,CHOOSE(MATCH(RegimeExecucao,{"Unitário","Global"},0),IF($A150="S",$Y150/$X150,""),($Y150/$X150)*100),0)</f>
        <v>0</v>
      </c>
      <c r="X150" s="339" t="str">
        <f ca="1">IF($Y150&gt;0,CHOOSE(MATCH(RegimeExecucao,{"Unitário","Global"},0),IF($A150="S",ROUND($H150,ORÇAMENTO!$AF$10),""),ROUND($I150,ORÇAMENTO!$AF$11)),"")</f>
        <v/>
      </c>
      <c r="Y150" s="339">
        <f t="shared" ca="1" si="21"/>
        <v>0</v>
      </c>
      <c r="Z150" s="473"/>
      <c r="AB150" s="337"/>
      <c r="AC150" s="437"/>
      <c r="AD150" s="437"/>
      <c r="AE150" s="437"/>
      <c r="AF150" s="437"/>
      <c r="AG150" s="437"/>
      <c r="AH150" s="437"/>
      <c r="AI150" s="437"/>
      <c r="AJ150" s="437"/>
      <c r="AK150" s="437"/>
      <c r="AL150" s="437"/>
      <c r="AM150" s="338"/>
      <c r="AO150">
        <f ca="1">IF($A150="S",IF(BM!$I150=0,0,CHOOSE(MATCH(RegimeExecucao,{"Global","Unitário"},0),ROUND(ROUND(BM.MEDAcumulado,15-13*BM!$A$9)/100*BM!$I150,15-13*ORÇAMENTO!$AF$11),ROUND(ROUND(BM.MEDAcumulado,15-13*BM!$A$9)*ROUND(BM!$H150,15-13*ORÇAMENTO!$AF$10),15-13*ORÇAMENTO!$AF$11))),IF($A150=0,0,ROUND(SomaAgrupBM,15-13*ORÇAMENTO!$AF$11)))</f>
        <v>0</v>
      </c>
    </row>
    <row r="151" spans="1:41" ht="38.25" x14ac:dyDescent="0.2">
      <c r="A151" t="str">
        <f ca="1">ORÇAMENTO!C151</f>
        <v>S</v>
      </c>
      <c r="B151">
        <f ca="1">ORÇAMENTO!D151</f>
        <v>0</v>
      </c>
      <c r="C151" s="114" t="str">
        <f t="shared" ca="1" si="15"/>
        <v>F</v>
      </c>
      <c r="D151" s="117" t="str">
        <f ca="1">ORÇAMENTO!O151</f>
        <v>1.5.5.1.3.</v>
      </c>
      <c r="E151" s="163" t="str">
        <f t="shared" ca="1" si="16"/>
        <v>CONCRETO FCK = 40MPA, TRAÇO 1:1,6:1,9 (EM MASSA SECA DE CIMENTO/ AREIA MÉDIA/ BRITA 1) - PREPARO MECÂNICO COM BETONEIRA 600 L. AF_05/2021</v>
      </c>
      <c r="F151" s="164" t="str">
        <f ca="1">IF(RegimeExecucao="Global","",ORÇAMENTO.Unidade)</f>
        <v>M3</v>
      </c>
      <c r="G151" s="122">
        <f ca="1">IF(RegimeExecucao="Global","",ORÇAMENTO!T151)</f>
        <v>4.17</v>
      </c>
      <c r="H151" s="122">
        <f ca="1">IF(RegimeExecucao="Global","",ORÇAMENTO!W151)</f>
        <v>775.96</v>
      </c>
      <c r="I151" s="125">
        <f ca="1">ORÇAMENTO!X151</f>
        <v>3235.75</v>
      </c>
      <c r="J151" s="333" cm="1">
        <f t="array" aca="1" ref="J151" ca="1">_xlfn.SINGLE(IF($A151="S",IF(CAIXA.Modo,BM.AFAnterior,BM.MEDAnterior),IF(AND(_xlfn.SINGLE(RegimeExecucao)="Global",$I151&gt;0,COUNTIF($AB$13:$AM$13,BM.medicao-1)&gt;0),M151/$I151*100,0)))</f>
        <v>0</v>
      </c>
      <c r="K151" s="122">
        <f t="shared" ca="1" si="17"/>
        <v>0</v>
      </c>
      <c r="L151" s="334" cm="1">
        <f t="array" aca="1" ref="L151" ca="1">_xlfn.SINGLE(IF($A151="S",IF(CAIXA.Modo,BM.AFAcumulado,BM.MEDAcumulado),IF(AND(_xlfn.SINGLE(RegimeExecucao)="Global",$I151&gt;0,COUNTIF($AB$13:$AM$13,BM.medicao)&gt;0),O151/$I151*100,0)))</f>
        <v>0</v>
      </c>
      <c r="M151" s="335">
        <f ca="1">IF($A151="S",VTOTALBM,IF($A151=0,0,ROUND(SomaAgrupBM,15-13*ORÇAMENTO!$AF$11)))</f>
        <v>0</v>
      </c>
      <c r="N151" s="336">
        <f t="shared" ca="1" si="18"/>
        <v>0</v>
      </c>
      <c r="O151" s="125">
        <f ca="1">IF($A151="S",VTOTALBM,IF($A151=0,0,ROUND(SomaAgrupBM,15-13*ORÇAMENTO!$AF$11)))</f>
        <v>0</v>
      </c>
      <c r="Q151" s="337"/>
      <c r="R151" s="338"/>
      <c r="T151" s="117" t="str">
        <f t="shared" ca="1" si="19"/>
        <v/>
      </c>
      <c r="U151" s="163" t="str">
        <f t="shared" ca="1" si="20"/>
        <v/>
      </c>
      <c r="V151" s="164" t="str">
        <f ca="1">IF(AND($W151&gt;0,RegimeExecucao="Unitário"),$F151,"")</f>
        <v/>
      </c>
      <c r="W151" s="454">
        <f ca="1">IF($Y151&gt;0,CHOOSE(MATCH(RegimeExecucao,{"Unitário","Global"},0),IF($A151="S",$Y151/$X151,""),($Y151/$X151)*100),0)</f>
        <v>0</v>
      </c>
      <c r="X151" s="339" t="str">
        <f ca="1">IF($Y151&gt;0,CHOOSE(MATCH(RegimeExecucao,{"Unitário","Global"},0),IF($A151="S",ROUND($H151,ORÇAMENTO!$AF$10),""),ROUND($I151,ORÇAMENTO!$AF$11)),"")</f>
        <v/>
      </c>
      <c r="Y151" s="339">
        <f t="shared" ca="1" si="21"/>
        <v>0</v>
      </c>
      <c r="Z151" s="473"/>
      <c r="AB151" s="337"/>
      <c r="AC151" s="437"/>
      <c r="AD151" s="437"/>
      <c r="AE151" s="437"/>
      <c r="AF151" s="437"/>
      <c r="AG151" s="437"/>
      <c r="AH151" s="437"/>
      <c r="AI151" s="437"/>
      <c r="AJ151" s="437"/>
      <c r="AK151" s="437"/>
      <c r="AL151" s="437"/>
      <c r="AM151" s="338"/>
      <c r="AO151">
        <f ca="1">IF($A151="S",IF(BM!$I151=0,0,CHOOSE(MATCH(RegimeExecucao,{"Global","Unitário"},0),ROUND(ROUND(BM.MEDAcumulado,15-13*BM!$A$9)/100*BM!$I151,15-13*ORÇAMENTO!$AF$11),ROUND(ROUND(BM.MEDAcumulado,15-13*BM!$A$9)*ROUND(BM!$H151,15-13*ORÇAMENTO!$AF$10),15-13*ORÇAMENTO!$AF$11))),IF($A151=0,0,ROUND(SomaAgrupBM,15-13*ORÇAMENTO!$AF$11)))</f>
        <v>0</v>
      </c>
    </row>
    <row r="152" spans="1:41" ht="25.5" x14ac:dyDescent="0.2">
      <c r="A152" t="str">
        <f ca="1">ORÇAMENTO!C152</f>
        <v>S</v>
      </c>
      <c r="B152">
        <f ca="1">ORÇAMENTO!D152</f>
        <v>0</v>
      </c>
      <c r="C152" s="114" t="str">
        <f t="shared" ca="1" si="15"/>
        <v>F</v>
      </c>
      <c r="D152" s="117" t="str">
        <f ca="1">ORÇAMENTO!O152</f>
        <v>1.5.5.1.4.</v>
      </c>
      <c r="E152" s="163" t="str">
        <f t="shared" ca="1" si="16"/>
        <v>LANÇAMENTO COM USO DE BOMBA, ADENSAMENTO E ACABAMENTO DE CONCRETO EM ESTRUTURAS. AF_02/2022</v>
      </c>
      <c r="F152" s="164" t="str">
        <f ca="1">IF(RegimeExecucao="Global","",ORÇAMENTO.Unidade)</f>
        <v>M3</v>
      </c>
      <c r="G152" s="122">
        <f ca="1">IF(RegimeExecucao="Global","",ORÇAMENTO!T152)</f>
        <v>4.17</v>
      </c>
      <c r="H152" s="122">
        <f ca="1">IF(RegimeExecucao="Global","",ORÇAMENTO!W152)</f>
        <v>54.96</v>
      </c>
      <c r="I152" s="125">
        <f ca="1">ORÇAMENTO!X152</f>
        <v>229.18</v>
      </c>
      <c r="J152" s="333" cm="1">
        <f t="array" aca="1" ref="J152" ca="1">_xlfn.SINGLE(IF($A152="S",IF(CAIXA.Modo,BM.AFAnterior,BM.MEDAnterior),IF(AND(_xlfn.SINGLE(RegimeExecucao)="Global",$I152&gt;0,COUNTIF($AB$13:$AM$13,BM.medicao-1)&gt;0),M152/$I152*100,0)))</f>
        <v>0</v>
      </c>
      <c r="K152" s="122">
        <f t="shared" ca="1" si="17"/>
        <v>0</v>
      </c>
      <c r="L152" s="334" cm="1">
        <f t="array" aca="1" ref="L152" ca="1">_xlfn.SINGLE(IF($A152="S",IF(CAIXA.Modo,BM.AFAcumulado,BM.MEDAcumulado),IF(AND(_xlfn.SINGLE(RegimeExecucao)="Global",$I152&gt;0,COUNTIF($AB$13:$AM$13,BM.medicao)&gt;0),O152/$I152*100,0)))</f>
        <v>0</v>
      </c>
      <c r="M152" s="335">
        <f ca="1">IF($A152="S",VTOTALBM,IF($A152=0,0,ROUND(SomaAgrupBM,15-13*ORÇAMENTO!$AF$11)))</f>
        <v>0</v>
      </c>
      <c r="N152" s="336">
        <f t="shared" ca="1" si="18"/>
        <v>0</v>
      </c>
      <c r="O152" s="125">
        <f ca="1">IF($A152="S",VTOTALBM,IF($A152=0,0,ROUND(SomaAgrupBM,15-13*ORÇAMENTO!$AF$11)))</f>
        <v>0</v>
      </c>
      <c r="Q152" s="337"/>
      <c r="R152" s="338"/>
      <c r="T152" s="117" t="str">
        <f t="shared" ca="1" si="19"/>
        <v/>
      </c>
      <c r="U152" s="163" t="str">
        <f t="shared" ca="1" si="20"/>
        <v/>
      </c>
      <c r="V152" s="164" t="str">
        <f ca="1">IF(AND($W152&gt;0,RegimeExecucao="Unitário"),$F152,"")</f>
        <v/>
      </c>
      <c r="W152" s="454">
        <f ca="1">IF($Y152&gt;0,CHOOSE(MATCH(RegimeExecucao,{"Unitário","Global"},0),IF($A152="S",$Y152/$X152,""),($Y152/$X152)*100),0)</f>
        <v>0</v>
      </c>
      <c r="X152" s="339" t="str">
        <f ca="1">IF($Y152&gt;0,CHOOSE(MATCH(RegimeExecucao,{"Unitário","Global"},0),IF($A152="S",ROUND($H152,ORÇAMENTO!$AF$10),""),ROUND($I152,ORÇAMENTO!$AF$11)),"")</f>
        <v/>
      </c>
      <c r="Y152" s="339">
        <f t="shared" ca="1" si="21"/>
        <v>0</v>
      </c>
      <c r="Z152" s="473"/>
      <c r="AB152" s="337"/>
      <c r="AC152" s="437"/>
      <c r="AD152" s="437"/>
      <c r="AE152" s="437"/>
      <c r="AF152" s="437"/>
      <c r="AG152" s="437"/>
      <c r="AH152" s="437"/>
      <c r="AI152" s="437"/>
      <c r="AJ152" s="437"/>
      <c r="AK152" s="437"/>
      <c r="AL152" s="437"/>
      <c r="AM152" s="338"/>
      <c r="AO152">
        <f ca="1">IF($A152="S",IF(BM!$I152=0,0,CHOOSE(MATCH(RegimeExecucao,{"Global","Unitário"},0),ROUND(ROUND(BM.MEDAcumulado,15-13*BM!$A$9)/100*BM!$I152,15-13*ORÇAMENTO!$AF$11),ROUND(ROUND(BM.MEDAcumulado,15-13*BM!$A$9)*ROUND(BM!$H152,15-13*ORÇAMENTO!$AF$10),15-13*ORÇAMENTO!$AF$11))),IF($A152=0,0,ROUND(SomaAgrupBM,15-13*ORÇAMENTO!$AF$11)))</f>
        <v>0</v>
      </c>
    </row>
    <row r="153" spans="1:41" ht="25.5" x14ac:dyDescent="0.2">
      <c r="A153" t="str">
        <f ca="1">ORÇAMENTO!C153</f>
        <v>S</v>
      </c>
      <c r="B153">
        <f ca="1">ORÇAMENTO!D153</f>
        <v>0</v>
      </c>
      <c r="C153" s="114" t="str">
        <f t="shared" ca="1" si="15"/>
        <v>F</v>
      </c>
      <c r="D153" s="117" t="str">
        <f ca="1">ORÇAMENTO!O153</f>
        <v>1.5.5.1.5.</v>
      </c>
      <c r="E153" s="163" t="str">
        <f t="shared" ca="1" si="16"/>
        <v>ARMAÇÃO EM AÇO CA-50 - FORNECIMENTO, PREPARO E COLOCAÇÃO</v>
      </c>
      <c r="F153" s="164" t="str">
        <f ca="1">IF(RegimeExecucao="Global","",ORÇAMENTO.Unidade)</f>
        <v>KG</v>
      </c>
      <c r="G153" s="122">
        <f ca="1">IF(RegimeExecucao="Global","",ORÇAMENTO!T153)</f>
        <v>433.51</v>
      </c>
      <c r="H153" s="122">
        <f ca="1">IF(RegimeExecucao="Global","",ORÇAMENTO!W153)</f>
        <v>14.92</v>
      </c>
      <c r="I153" s="125">
        <f ca="1">ORÇAMENTO!X153</f>
        <v>6467.97</v>
      </c>
      <c r="J153" s="333" cm="1">
        <f t="array" aca="1" ref="J153" ca="1">_xlfn.SINGLE(IF($A153="S",IF(CAIXA.Modo,BM.AFAnterior,BM.MEDAnterior),IF(AND(_xlfn.SINGLE(RegimeExecucao)="Global",$I153&gt;0,COUNTIF($AB$13:$AM$13,BM.medicao-1)&gt;0),M153/$I153*100,0)))</f>
        <v>0</v>
      </c>
      <c r="K153" s="122">
        <f t="shared" ca="1" si="17"/>
        <v>0</v>
      </c>
      <c r="L153" s="334" cm="1">
        <f t="array" aca="1" ref="L153" ca="1">_xlfn.SINGLE(IF($A153="S",IF(CAIXA.Modo,BM.AFAcumulado,BM.MEDAcumulado),IF(AND(_xlfn.SINGLE(RegimeExecucao)="Global",$I153&gt;0,COUNTIF($AB$13:$AM$13,BM.medicao)&gt;0),O153/$I153*100,0)))</f>
        <v>0</v>
      </c>
      <c r="M153" s="335">
        <f ca="1">IF($A153="S",VTOTALBM,IF($A153=0,0,ROUND(SomaAgrupBM,15-13*ORÇAMENTO!$AF$11)))</f>
        <v>0</v>
      </c>
      <c r="N153" s="336">
        <f t="shared" ca="1" si="18"/>
        <v>0</v>
      </c>
      <c r="O153" s="125">
        <f ca="1">IF($A153="S",VTOTALBM,IF($A153=0,0,ROUND(SomaAgrupBM,15-13*ORÇAMENTO!$AF$11)))</f>
        <v>0</v>
      </c>
      <c r="Q153" s="337"/>
      <c r="R153" s="338"/>
      <c r="T153" s="117" t="str">
        <f t="shared" ca="1" si="19"/>
        <v/>
      </c>
      <c r="U153" s="163" t="str">
        <f t="shared" ca="1" si="20"/>
        <v/>
      </c>
      <c r="V153" s="164" t="str">
        <f ca="1">IF(AND($W153&gt;0,RegimeExecucao="Unitário"),$F153,"")</f>
        <v/>
      </c>
      <c r="W153" s="454">
        <f ca="1">IF($Y153&gt;0,CHOOSE(MATCH(RegimeExecucao,{"Unitário","Global"},0),IF($A153="S",$Y153/$X153,""),($Y153/$X153)*100),0)</f>
        <v>0</v>
      </c>
      <c r="X153" s="339" t="str">
        <f ca="1">IF($Y153&gt;0,CHOOSE(MATCH(RegimeExecucao,{"Unitário","Global"},0),IF($A153="S",ROUND($H153,ORÇAMENTO!$AF$10),""),ROUND($I153,ORÇAMENTO!$AF$11)),"")</f>
        <v/>
      </c>
      <c r="Y153" s="339">
        <f t="shared" ca="1" si="21"/>
        <v>0</v>
      </c>
      <c r="Z153" s="473"/>
      <c r="AB153" s="337"/>
      <c r="AC153" s="437"/>
      <c r="AD153" s="437"/>
      <c r="AE153" s="437"/>
      <c r="AF153" s="437"/>
      <c r="AG153" s="437"/>
      <c r="AH153" s="437"/>
      <c r="AI153" s="437"/>
      <c r="AJ153" s="437"/>
      <c r="AK153" s="437"/>
      <c r="AL153" s="437"/>
      <c r="AM153" s="338"/>
      <c r="AO153">
        <f ca="1">IF($A153="S",IF(BM!$I153=0,0,CHOOSE(MATCH(RegimeExecucao,{"Global","Unitário"},0),ROUND(ROUND(BM.MEDAcumulado,15-13*BM!$A$9)/100*BM!$I153,15-13*ORÇAMENTO!$AF$11),ROUND(ROUND(BM.MEDAcumulado,15-13*BM!$A$9)*ROUND(BM!$H153,15-13*ORÇAMENTO!$AF$10),15-13*ORÇAMENTO!$AF$11))),IF($A153=0,0,ROUND(SomaAgrupBM,15-13*ORÇAMENTO!$AF$11)))</f>
        <v>0</v>
      </c>
    </row>
    <row r="154" spans="1:41" ht="51" x14ac:dyDescent="0.2">
      <c r="A154" t="str">
        <f ca="1">ORÇAMENTO!C154</f>
        <v>S</v>
      </c>
      <c r="B154">
        <f ca="1">ORÇAMENTO!D154</f>
        <v>0</v>
      </c>
      <c r="C154" s="114" t="str">
        <f t="shared" ca="1" si="15"/>
        <v>F</v>
      </c>
      <c r="D154" s="117" t="str">
        <f ca="1">ORÇAMENTO!O154</f>
        <v>1.5.5.1.6.</v>
      </c>
      <c r="E154" s="163" t="str">
        <f t="shared" ca="1" si="16"/>
        <v>CARGA, MANOBRA E DESCARGA DE SOLOS E MATERIAIS GRANULARES EM CAMINHÃO BASCULANTE 18 M³ - CARGA COM ESCAVADEIRA HIDRÁULICA (CAÇAMBA DE 1,20 M³ / 155 HP) E DESCARGA LIVRE (UNIDADE: M3). AF_07/2020</v>
      </c>
      <c r="F154" s="164" t="str">
        <f ca="1">IF(RegimeExecucao="Global","",ORÇAMENTO.Unidade)</f>
        <v>M3</v>
      </c>
      <c r="G154" s="122">
        <f ca="1">IF(RegimeExecucao="Global","",ORÇAMENTO!T154)</f>
        <v>6.4</v>
      </c>
      <c r="H154" s="122">
        <f ca="1">IF(RegimeExecucao="Global","",ORÇAMENTO!W154)</f>
        <v>8.0500000000000007</v>
      </c>
      <c r="I154" s="125">
        <f ca="1">ORÇAMENTO!X154</f>
        <v>51.52</v>
      </c>
      <c r="J154" s="333" cm="1">
        <f t="array" aca="1" ref="J154" ca="1">_xlfn.SINGLE(IF($A154="S",IF(CAIXA.Modo,BM.AFAnterior,BM.MEDAnterior),IF(AND(_xlfn.SINGLE(RegimeExecucao)="Global",$I154&gt;0,COUNTIF($AB$13:$AM$13,BM.medicao-1)&gt;0),M154/$I154*100,0)))</f>
        <v>0</v>
      </c>
      <c r="K154" s="122">
        <f t="shared" ca="1" si="17"/>
        <v>0</v>
      </c>
      <c r="L154" s="334" cm="1">
        <f t="array" aca="1" ref="L154" ca="1">_xlfn.SINGLE(IF($A154="S",IF(CAIXA.Modo,BM.AFAcumulado,BM.MEDAcumulado),IF(AND(_xlfn.SINGLE(RegimeExecucao)="Global",$I154&gt;0,COUNTIF($AB$13:$AM$13,BM.medicao)&gt;0),O154/$I154*100,0)))</f>
        <v>0</v>
      </c>
      <c r="M154" s="335">
        <f ca="1">IF($A154="S",VTOTALBM,IF($A154=0,0,ROUND(SomaAgrupBM,15-13*ORÇAMENTO!$AF$11)))</f>
        <v>0</v>
      </c>
      <c r="N154" s="336">
        <f t="shared" ca="1" si="18"/>
        <v>0</v>
      </c>
      <c r="O154" s="125">
        <f ca="1">IF($A154="S",VTOTALBM,IF($A154=0,0,ROUND(SomaAgrupBM,15-13*ORÇAMENTO!$AF$11)))</f>
        <v>0</v>
      </c>
      <c r="Q154" s="337"/>
      <c r="R154" s="338"/>
      <c r="T154" s="117" t="str">
        <f t="shared" ca="1" si="19"/>
        <v/>
      </c>
      <c r="U154" s="163" t="str">
        <f t="shared" ca="1" si="20"/>
        <v/>
      </c>
      <c r="V154" s="164" t="str">
        <f ca="1">IF(AND($W154&gt;0,RegimeExecucao="Unitário"),$F154,"")</f>
        <v/>
      </c>
      <c r="W154" s="454">
        <f ca="1">IF($Y154&gt;0,CHOOSE(MATCH(RegimeExecucao,{"Unitário","Global"},0),IF($A154="S",$Y154/$X154,""),($Y154/$X154)*100),0)</f>
        <v>0</v>
      </c>
      <c r="X154" s="339" t="str">
        <f ca="1">IF($Y154&gt;0,CHOOSE(MATCH(RegimeExecucao,{"Unitário","Global"},0),IF($A154="S",ROUND($H154,ORÇAMENTO!$AF$10),""),ROUND($I154,ORÇAMENTO!$AF$11)),"")</f>
        <v/>
      </c>
      <c r="Y154" s="339">
        <f t="shared" ca="1" si="21"/>
        <v>0</v>
      </c>
      <c r="Z154" s="473"/>
      <c r="AB154" s="337"/>
      <c r="AC154" s="437"/>
      <c r="AD154" s="437"/>
      <c r="AE154" s="437"/>
      <c r="AF154" s="437"/>
      <c r="AG154" s="437"/>
      <c r="AH154" s="437"/>
      <c r="AI154" s="437"/>
      <c r="AJ154" s="437"/>
      <c r="AK154" s="437"/>
      <c r="AL154" s="437"/>
      <c r="AM154" s="338"/>
      <c r="AO154">
        <f ca="1">IF($A154="S",IF(BM!$I154=0,0,CHOOSE(MATCH(RegimeExecucao,{"Global","Unitário"},0),ROUND(ROUND(BM.MEDAcumulado,15-13*BM!$A$9)/100*BM!$I154,15-13*ORÇAMENTO!$AF$11),ROUND(ROUND(BM.MEDAcumulado,15-13*BM!$A$9)*ROUND(BM!$H154,15-13*ORÇAMENTO!$AF$10),15-13*ORÇAMENTO!$AF$11))),IF($A154=0,0,ROUND(SomaAgrupBM,15-13*ORÇAMENTO!$AF$11)))</f>
        <v>0</v>
      </c>
    </row>
    <row r="155" spans="1:41" ht="38.25" x14ac:dyDescent="0.2">
      <c r="A155" t="str">
        <f ca="1">ORÇAMENTO!C155</f>
        <v>S</v>
      </c>
      <c r="B155">
        <f ca="1">ORÇAMENTO!D155</f>
        <v>0</v>
      </c>
      <c r="C155" s="114" t="str">
        <f t="shared" ca="1" si="15"/>
        <v>F</v>
      </c>
      <c r="D155" s="117" t="str">
        <f ca="1">ORÇAMENTO!O155</f>
        <v>1.5.5.1.7.</v>
      </c>
      <c r="E155" s="163" t="str">
        <f t="shared" ca="1" si="16"/>
        <v>TRANSPORTE COM CAMINHÃO BASCULANTE DE 18 M³, EM VIA URBANA PAVIMENTADA, DMT ATÉ 30 KM (UNIDADE: M3XKM). AF_07/2020</v>
      </c>
      <c r="F155" s="164" t="str">
        <f ca="1">IF(RegimeExecucao="Global","",ORÇAMENTO.Unidade)</f>
        <v>M3XKM</v>
      </c>
      <c r="G155" s="122">
        <f ca="1">IF(RegimeExecucao="Global","",ORÇAMENTO!T155)</f>
        <v>49.28</v>
      </c>
      <c r="H155" s="122">
        <f ca="1">IF(RegimeExecucao="Global","",ORÇAMENTO!W155)</f>
        <v>2.35</v>
      </c>
      <c r="I155" s="125">
        <f ca="1">ORÇAMENTO!X155</f>
        <v>115.81</v>
      </c>
      <c r="J155" s="333" cm="1">
        <f t="array" aca="1" ref="J155" ca="1">_xlfn.SINGLE(IF($A155="S",IF(CAIXA.Modo,BM.AFAnterior,BM.MEDAnterior),IF(AND(_xlfn.SINGLE(RegimeExecucao)="Global",$I155&gt;0,COUNTIF($AB$13:$AM$13,BM.medicao-1)&gt;0),M155/$I155*100,0)))</f>
        <v>0</v>
      </c>
      <c r="K155" s="122">
        <f t="shared" ca="1" si="17"/>
        <v>0</v>
      </c>
      <c r="L155" s="334" cm="1">
        <f t="array" aca="1" ref="L155" ca="1">_xlfn.SINGLE(IF($A155="S",IF(CAIXA.Modo,BM.AFAcumulado,BM.MEDAcumulado),IF(AND(_xlfn.SINGLE(RegimeExecucao)="Global",$I155&gt;0,COUNTIF($AB$13:$AM$13,BM.medicao)&gt;0),O155/$I155*100,0)))</f>
        <v>0</v>
      </c>
      <c r="M155" s="335">
        <f ca="1">IF($A155="S",VTOTALBM,IF($A155=0,0,ROUND(SomaAgrupBM,15-13*ORÇAMENTO!$AF$11)))</f>
        <v>0</v>
      </c>
      <c r="N155" s="336">
        <f t="shared" ca="1" si="18"/>
        <v>0</v>
      </c>
      <c r="O155" s="125">
        <f ca="1">IF($A155="S",VTOTALBM,IF($A155=0,0,ROUND(SomaAgrupBM,15-13*ORÇAMENTO!$AF$11)))</f>
        <v>0</v>
      </c>
      <c r="Q155" s="337"/>
      <c r="R155" s="338"/>
      <c r="T155" s="117" t="str">
        <f t="shared" ca="1" si="19"/>
        <v/>
      </c>
      <c r="U155" s="163" t="str">
        <f t="shared" ca="1" si="20"/>
        <v/>
      </c>
      <c r="V155" s="164" t="str">
        <f ca="1">IF(AND($W155&gt;0,RegimeExecucao="Unitário"),$F155,"")</f>
        <v/>
      </c>
      <c r="W155" s="454">
        <f ca="1">IF($Y155&gt;0,CHOOSE(MATCH(RegimeExecucao,{"Unitário","Global"},0),IF($A155="S",$Y155/$X155,""),($Y155/$X155)*100),0)</f>
        <v>0</v>
      </c>
      <c r="X155" s="339" t="str">
        <f ca="1">IF($Y155&gt;0,CHOOSE(MATCH(RegimeExecucao,{"Unitário","Global"},0),IF($A155="S",ROUND($H155,ORÇAMENTO!$AF$10),""),ROUND($I155,ORÇAMENTO!$AF$11)),"")</f>
        <v/>
      </c>
      <c r="Y155" s="339">
        <f t="shared" ca="1" si="21"/>
        <v>0</v>
      </c>
      <c r="Z155" s="473"/>
      <c r="AB155" s="337"/>
      <c r="AC155" s="437"/>
      <c r="AD155" s="437"/>
      <c r="AE155" s="437"/>
      <c r="AF155" s="437"/>
      <c r="AG155" s="437"/>
      <c r="AH155" s="437"/>
      <c r="AI155" s="437"/>
      <c r="AJ155" s="437"/>
      <c r="AK155" s="437"/>
      <c r="AL155" s="437"/>
      <c r="AM155" s="338"/>
      <c r="AO155">
        <f ca="1">IF($A155="S",IF(BM!$I155=0,0,CHOOSE(MATCH(RegimeExecucao,{"Global","Unitário"},0),ROUND(ROUND(BM.MEDAcumulado,15-13*BM!$A$9)/100*BM!$I155,15-13*ORÇAMENTO!$AF$11),ROUND(ROUND(BM.MEDAcumulado,15-13*BM!$A$9)*ROUND(BM!$H155,15-13*ORÇAMENTO!$AF$10),15-13*ORÇAMENTO!$AF$11))),IF($A155=0,0,ROUND(SomaAgrupBM,15-13*ORÇAMENTO!$AF$11)))</f>
        <v>0</v>
      </c>
    </row>
    <row r="156" spans="1:41" x14ac:dyDescent="0.2">
      <c r="A156" t="str">
        <f ca="1">ORÇAMENTO!C156</f>
        <v>S</v>
      </c>
      <c r="B156">
        <f ca="1">ORÇAMENTO!D156</f>
        <v>0</v>
      </c>
      <c r="C156" s="114" t="str">
        <f t="shared" ca="1" si="15"/>
        <v>F</v>
      </c>
      <c r="D156" s="117" t="str">
        <f ca="1">ORÇAMENTO!O156</f>
        <v>1.5.5.1.8.</v>
      </c>
      <c r="E156" s="163" t="str">
        <f t="shared" ca="1" si="16"/>
        <v>TAXA ATERRO SANITÁRIO</v>
      </c>
      <c r="F156" s="164" t="str">
        <f ca="1">IF(RegimeExecucao="Global","",ORÇAMENTO.Unidade)</f>
        <v>T</v>
      </c>
      <c r="G156" s="122">
        <f ca="1">IF(RegimeExecucao="Global","",ORÇAMENTO!T156)</f>
        <v>8.6999999999999993</v>
      </c>
      <c r="H156" s="122">
        <f ca="1">IF(RegimeExecucao="Global","",ORÇAMENTO!W156)</f>
        <v>80.510000000000005</v>
      </c>
      <c r="I156" s="125">
        <f ca="1">ORÇAMENTO!X156</f>
        <v>700.44</v>
      </c>
      <c r="J156" s="333" cm="1">
        <f t="array" aca="1" ref="J156" ca="1">_xlfn.SINGLE(IF($A156="S",IF(CAIXA.Modo,BM.AFAnterior,BM.MEDAnterior),IF(AND(_xlfn.SINGLE(RegimeExecucao)="Global",$I156&gt;0,COUNTIF($AB$13:$AM$13,BM.medicao-1)&gt;0),M156/$I156*100,0)))</f>
        <v>0</v>
      </c>
      <c r="K156" s="122">
        <f t="shared" ca="1" si="17"/>
        <v>0</v>
      </c>
      <c r="L156" s="334" cm="1">
        <f t="array" aca="1" ref="L156" ca="1">_xlfn.SINGLE(IF($A156="S",IF(CAIXA.Modo,BM.AFAcumulado,BM.MEDAcumulado),IF(AND(_xlfn.SINGLE(RegimeExecucao)="Global",$I156&gt;0,COUNTIF($AB$13:$AM$13,BM.medicao)&gt;0),O156/$I156*100,0)))</f>
        <v>0</v>
      </c>
      <c r="M156" s="335">
        <f ca="1">IF($A156="S",VTOTALBM,IF($A156=0,0,ROUND(SomaAgrupBM,15-13*ORÇAMENTO!$AF$11)))</f>
        <v>0</v>
      </c>
      <c r="N156" s="336">
        <f t="shared" ca="1" si="18"/>
        <v>0</v>
      </c>
      <c r="O156" s="125">
        <f ca="1">IF($A156="S",VTOTALBM,IF($A156=0,0,ROUND(SomaAgrupBM,15-13*ORÇAMENTO!$AF$11)))</f>
        <v>0</v>
      </c>
      <c r="Q156" s="337"/>
      <c r="R156" s="338"/>
      <c r="T156" s="117" t="str">
        <f t="shared" ca="1" si="19"/>
        <v/>
      </c>
      <c r="U156" s="163" t="str">
        <f t="shared" ca="1" si="20"/>
        <v/>
      </c>
      <c r="V156" s="164" t="str">
        <f ca="1">IF(AND($W156&gt;0,RegimeExecucao="Unitário"),$F156,"")</f>
        <v/>
      </c>
      <c r="W156" s="454">
        <f ca="1">IF($Y156&gt;0,CHOOSE(MATCH(RegimeExecucao,{"Unitário","Global"},0),IF($A156="S",$Y156/$X156,""),($Y156/$X156)*100),0)</f>
        <v>0</v>
      </c>
      <c r="X156" s="339" t="str">
        <f ca="1">IF($Y156&gt;0,CHOOSE(MATCH(RegimeExecucao,{"Unitário","Global"},0),IF($A156="S",ROUND($H156,ORÇAMENTO!$AF$10),""),ROUND($I156,ORÇAMENTO!$AF$11)),"")</f>
        <v/>
      </c>
      <c r="Y156" s="339">
        <f t="shared" ca="1" si="21"/>
        <v>0</v>
      </c>
      <c r="Z156" s="473"/>
      <c r="AB156" s="337"/>
      <c r="AC156" s="437"/>
      <c r="AD156" s="437"/>
      <c r="AE156" s="437"/>
      <c r="AF156" s="437"/>
      <c r="AG156" s="437"/>
      <c r="AH156" s="437"/>
      <c r="AI156" s="437"/>
      <c r="AJ156" s="437"/>
      <c r="AK156" s="437"/>
      <c r="AL156" s="437"/>
      <c r="AM156" s="338"/>
      <c r="AO156">
        <f ca="1">IF($A156="S",IF(BM!$I156=0,0,CHOOSE(MATCH(RegimeExecucao,{"Global","Unitário"},0),ROUND(ROUND(BM.MEDAcumulado,15-13*BM!$A$9)/100*BM!$I156,15-13*ORÇAMENTO!$AF$11),ROUND(ROUND(BM.MEDAcumulado,15-13*BM!$A$9)*ROUND(BM!$H156,15-13*ORÇAMENTO!$AF$10),15-13*ORÇAMENTO!$AF$11))),IF($A156=0,0,ROUND(SomaAgrupBM,15-13*ORÇAMENTO!$AF$11)))</f>
        <v>0</v>
      </c>
    </row>
    <row r="157" spans="1:41" ht="25.5" x14ac:dyDescent="0.2">
      <c r="A157" t="str">
        <f ca="1">ORÇAMENTO!C157</f>
        <v>S</v>
      </c>
      <c r="B157">
        <f ca="1">ORÇAMENTO!D157</f>
        <v>0</v>
      </c>
      <c r="C157" s="114" t="str">
        <f t="shared" ca="1" si="15"/>
        <v>F</v>
      </c>
      <c r="D157" s="117" t="str">
        <f ca="1">ORÇAMENTO!O157</f>
        <v>1.5.5.1.9.</v>
      </c>
      <c r="E157" s="163" t="str">
        <f t="shared" ca="1" si="16"/>
        <v>ESPALHAMENTO DE MATERIAL COM TRATOR DE ESTEIRAS. AF_09/2024</v>
      </c>
      <c r="F157" s="164" t="str">
        <f ca="1">IF(RegimeExecucao="Global","",ORÇAMENTO.Unidade)</f>
        <v>M3</v>
      </c>
      <c r="G157" s="122">
        <f ca="1">IF(RegimeExecucao="Global","",ORÇAMENTO!T157)</f>
        <v>6.4</v>
      </c>
      <c r="H157" s="122">
        <f ca="1">IF(RegimeExecucao="Global","",ORÇAMENTO!W157)</f>
        <v>1.84</v>
      </c>
      <c r="I157" s="125">
        <f ca="1">ORÇAMENTO!X157</f>
        <v>11.78</v>
      </c>
      <c r="J157" s="333" cm="1">
        <f t="array" aca="1" ref="J157" ca="1">_xlfn.SINGLE(IF($A157="S",IF(CAIXA.Modo,BM.AFAnterior,BM.MEDAnterior),IF(AND(_xlfn.SINGLE(RegimeExecucao)="Global",$I157&gt;0,COUNTIF($AB$13:$AM$13,BM.medicao-1)&gt;0),M157/$I157*100,0)))</f>
        <v>0</v>
      </c>
      <c r="K157" s="122">
        <f t="shared" ca="1" si="17"/>
        <v>0</v>
      </c>
      <c r="L157" s="334" cm="1">
        <f t="array" aca="1" ref="L157" ca="1">_xlfn.SINGLE(IF($A157="S",IF(CAIXA.Modo,BM.AFAcumulado,BM.MEDAcumulado),IF(AND(_xlfn.SINGLE(RegimeExecucao)="Global",$I157&gt;0,COUNTIF($AB$13:$AM$13,BM.medicao)&gt;0),O157/$I157*100,0)))</f>
        <v>0</v>
      </c>
      <c r="M157" s="335">
        <f ca="1">IF($A157="S",VTOTALBM,IF($A157=0,0,ROUND(SomaAgrupBM,15-13*ORÇAMENTO!$AF$11)))</f>
        <v>0</v>
      </c>
      <c r="N157" s="336">
        <f t="shared" ca="1" si="18"/>
        <v>0</v>
      </c>
      <c r="O157" s="125">
        <f ca="1">IF($A157="S",VTOTALBM,IF($A157=0,0,ROUND(SomaAgrupBM,15-13*ORÇAMENTO!$AF$11)))</f>
        <v>0</v>
      </c>
      <c r="Q157" s="337"/>
      <c r="R157" s="338"/>
      <c r="T157" s="117" t="str">
        <f t="shared" ca="1" si="19"/>
        <v/>
      </c>
      <c r="U157" s="163" t="str">
        <f t="shared" ca="1" si="20"/>
        <v/>
      </c>
      <c r="V157" s="164" t="str">
        <f ca="1">IF(AND($W157&gt;0,RegimeExecucao="Unitário"),$F157,"")</f>
        <v/>
      </c>
      <c r="W157" s="454">
        <f ca="1">IF($Y157&gt;0,CHOOSE(MATCH(RegimeExecucao,{"Unitário","Global"},0),IF($A157="S",$Y157/$X157,""),($Y157/$X157)*100),0)</f>
        <v>0</v>
      </c>
      <c r="X157" s="339" t="str">
        <f ca="1">IF($Y157&gt;0,CHOOSE(MATCH(RegimeExecucao,{"Unitário","Global"},0),IF($A157="S",ROUND($H157,ORÇAMENTO!$AF$10),""),ROUND($I157,ORÇAMENTO!$AF$11)),"")</f>
        <v/>
      </c>
      <c r="Y157" s="339">
        <f t="shared" ca="1" si="21"/>
        <v>0</v>
      </c>
      <c r="Z157" s="473"/>
      <c r="AB157" s="337"/>
      <c r="AC157" s="437"/>
      <c r="AD157" s="437"/>
      <c r="AE157" s="437"/>
      <c r="AF157" s="437"/>
      <c r="AG157" s="437"/>
      <c r="AH157" s="437"/>
      <c r="AI157" s="437"/>
      <c r="AJ157" s="437"/>
      <c r="AK157" s="437"/>
      <c r="AL157" s="437"/>
      <c r="AM157" s="338"/>
      <c r="AO157">
        <f ca="1">IF($A157="S",IF(BM!$I157=0,0,CHOOSE(MATCH(RegimeExecucao,{"Global","Unitário"},0),ROUND(ROUND(BM.MEDAcumulado,15-13*BM!$A$9)/100*BM!$I157,15-13*ORÇAMENTO!$AF$11),ROUND(ROUND(BM.MEDAcumulado,15-13*BM!$A$9)*ROUND(BM!$H157,15-13*ORÇAMENTO!$AF$10),15-13*ORÇAMENTO!$AF$11))),IF($A157=0,0,ROUND(SomaAgrupBM,15-13*ORÇAMENTO!$AF$11)))</f>
        <v>0</v>
      </c>
    </row>
    <row r="158" spans="1:41" ht="25.5" x14ac:dyDescent="0.2">
      <c r="A158" t="str">
        <f ca="1">ORÇAMENTO!C158</f>
        <v>S</v>
      </c>
      <c r="B158">
        <f ca="1">ORÇAMENTO!D158</f>
        <v>0</v>
      </c>
      <c r="C158" s="114" t="str">
        <f t="shared" ca="1" si="15"/>
        <v>F</v>
      </c>
      <c r="D158" s="117" t="str">
        <f ca="1">ORÇAMENTO!O158</f>
        <v>1.5.5.1.10.</v>
      </c>
      <c r="E158" s="163" t="str">
        <f t="shared" ca="1" si="16"/>
        <v>ARRASAMENTO MECANICO DE ESTACA DE CONCRETO ARMADO, DIAMETROS DE ATÉ 40 CM. AF_05/2021</v>
      </c>
      <c r="F158" s="164" t="str">
        <f ca="1">IF(RegimeExecucao="Global","",ORÇAMENTO.Unidade)</f>
        <v>UN</v>
      </c>
      <c r="G158" s="122">
        <f ca="1">IF(RegimeExecucao="Global","",ORÇAMENTO!T158)</f>
        <v>19</v>
      </c>
      <c r="H158" s="122">
        <f ca="1">IF(RegimeExecucao="Global","",ORÇAMENTO!W158)</f>
        <v>23.13</v>
      </c>
      <c r="I158" s="125">
        <f ca="1">ORÇAMENTO!X158</f>
        <v>439.47</v>
      </c>
      <c r="J158" s="333" cm="1">
        <f t="array" aca="1" ref="J158" ca="1">_xlfn.SINGLE(IF($A158="S",IF(CAIXA.Modo,BM.AFAnterior,BM.MEDAnterior),IF(AND(_xlfn.SINGLE(RegimeExecucao)="Global",$I158&gt;0,COUNTIF($AB$13:$AM$13,BM.medicao-1)&gt;0),M158/$I158*100,0)))</f>
        <v>0</v>
      </c>
      <c r="K158" s="122">
        <f t="shared" ca="1" si="17"/>
        <v>0</v>
      </c>
      <c r="L158" s="334" cm="1">
        <f t="array" aca="1" ref="L158" ca="1">_xlfn.SINGLE(IF($A158="S",IF(CAIXA.Modo,BM.AFAcumulado,BM.MEDAcumulado),IF(AND(_xlfn.SINGLE(RegimeExecucao)="Global",$I158&gt;0,COUNTIF($AB$13:$AM$13,BM.medicao)&gt;0),O158/$I158*100,0)))</f>
        <v>0</v>
      </c>
      <c r="M158" s="335">
        <f ca="1">IF($A158="S",VTOTALBM,IF($A158=0,0,ROUND(SomaAgrupBM,15-13*ORÇAMENTO!$AF$11)))</f>
        <v>0</v>
      </c>
      <c r="N158" s="336">
        <f t="shared" ca="1" si="18"/>
        <v>0</v>
      </c>
      <c r="O158" s="125">
        <f ca="1">IF($A158="S",VTOTALBM,IF($A158=0,0,ROUND(SomaAgrupBM,15-13*ORÇAMENTO!$AF$11)))</f>
        <v>0</v>
      </c>
      <c r="Q158" s="337"/>
      <c r="R158" s="338"/>
      <c r="T158" s="117" t="str">
        <f t="shared" ca="1" si="19"/>
        <v/>
      </c>
      <c r="U158" s="163" t="str">
        <f t="shared" ca="1" si="20"/>
        <v/>
      </c>
      <c r="V158" s="164" t="str">
        <f ca="1">IF(AND($W158&gt;0,RegimeExecucao="Unitário"),$F158,"")</f>
        <v/>
      </c>
      <c r="W158" s="454">
        <f ca="1">IF($Y158&gt;0,CHOOSE(MATCH(RegimeExecucao,{"Unitário","Global"},0),IF($A158="S",$Y158/$X158,""),($Y158/$X158)*100),0)</f>
        <v>0</v>
      </c>
      <c r="X158" s="339" t="str">
        <f ca="1">IF($Y158&gt;0,CHOOSE(MATCH(RegimeExecucao,{"Unitário","Global"},0),IF($A158="S",ROUND($H158,ORÇAMENTO!$AF$10),""),ROUND($I158,ORÇAMENTO!$AF$11)),"")</f>
        <v/>
      </c>
      <c r="Y158" s="339">
        <f t="shared" ca="1" si="21"/>
        <v>0</v>
      </c>
      <c r="Z158" s="473"/>
      <c r="AB158" s="337"/>
      <c r="AC158" s="437"/>
      <c r="AD158" s="437"/>
      <c r="AE158" s="437"/>
      <c r="AF158" s="437"/>
      <c r="AG158" s="437"/>
      <c r="AH158" s="437"/>
      <c r="AI158" s="437"/>
      <c r="AJ158" s="437"/>
      <c r="AK158" s="437"/>
      <c r="AL158" s="437"/>
      <c r="AM158" s="338"/>
      <c r="AO158">
        <f ca="1">IF($A158="S",IF(BM!$I158=0,0,CHOOSE(MATCH(RegimeExecucao,{"Global","Unitário"},0),ROUND(ROUND(BM.MEDAcumulado,15-13*BM!$A$9)/100*BM!$I158,15-13*ORÇAMENTO!$AF$11),ROUND(ROUND(BM.MEDAcumulado,15-13*BM!$A$9)*ROUND(BM!$H158,15-13*ORÇAMENTO!$AF$10),15-13*ORÇAMENTO!$AF$11))),IF($A158=0,0,ROUND(SomaAgrupBM,15-13*ORÇAMENTO!$AF$11)))</f>
        <v>0</v>
      </c>
    </row>
    <row r="159" spans="1:41" x14ac:dyDescent="0.2">
      <c r="A159">
        <f ca="1">ORÇAMENTO!C159</f>
        <v>4</v>
      </c>
      <c r="B159">
        <f ca="1">ORÇAMENTO!D159</f>
        <v>14</v>
      </c>
      <c r="C159" s="114" t="str">
        <f t="shared" ca="1" si="15"/>
        <v>F</v>
      </c>
      <c r="D159" s="117" t="str">
        <f ca="1">ORÇAMENTO!O159</f>
        <v>1.5.5.2.</v>
      </c>
      <c r="E159" s="163" t="str">
        <f t="shared" si="16"/>
        <v>BLOCOS</v>
      </c>
      <c r="F159" s="164" t="str">
        <f ca="1">IF(RegimeExecucao="Global","",ORÇAMENTO.Unidade)</f>
        <v>-</v>
      </c>
      <c r="G159" s="122">
        <f ca="1">IF(RegimeExecucao="Global","",ORÇAMENTO!T159)</f>
        <v>0</v>
      </c>
      <c r="H159" s="122">
        <f ca="1">IF(RegimeExecucao="Global","",ORÇAMENTO!W159)</f>
        <v>0</v>
      </c>
      <c r="I159" s="125">
        <f ca="1">ORÇAMENTO!X159</f>
        <v>12789.16</v>
      </c>
      <c r="J159" s="333" cm="1">
        <f t="array" aca="1" ref="J159" ca="1">_xlfn.SINGLE(IF($A159="S",IF(CAIXA.Modo,BM.AFAnterior,BM.MEDAnterior),IF(AND(_xlfn.SINGLE(RegimeExecucao)="Global",$I159&gt;0,COUNTIF($AB$13:$AM$13,BM.medicao-1)&gt;0),M159/$I159*100,0)))</f>
        <v>0</v>
      </c>
      <c r="K159" s="122">
        <f t="shared" ca="1" si="17"/>
        <v>0</v>
      </c>
      <c r="L159" s="334" cm="1">
        <f t="array" aca="1" ref="L159" ca="1">_xlfn.SINGLE(IF($A159="S",IF(CAIXA.Modo,BM.AFAcumulado,BM.MEDAcumulado),IF(AND(_xlfn.SINGLE(RegimeExecucao)="Global",$I159&gt;0,COUNTIF($AB$13:$AM$13,BM.medicao)&gt;0),O159/$I159*100,0)))</f>
        <v>0</v>
      </c>
      <c r="M159" s="335">
        <f ca="1">IF($A159="S",VTOTALBM,IF($A159=0,0,ROUND(SomaAgrupBM,15-13*ORÇAMENTO!$AF$11)))</f>
        <v>0</v>
      </c>
      <c r="N159" s="336">
        <f t="shared" ca="1" si="18"/>
        <v>0</v>
      </c>
      <c r="O159" s="125">
        <f ca="1">IF($A159="S",VTOTALBM,IF($A159=0,0,ROUND(SomaAgrupBM,15-13*ORÇAMENTO!$AF$11)))</f>
        <v>0</v>
      </c>
      <c r="Q159" s="337"/>
      <c r="R159" s="338"/>
      <c r="T159" s="117" t="str">
        <f t="shared" ca="1" si="19"/>
        <v/>
      </c>
      <c r="U159" s="163" t="str">
        <f t="shared" ca="1" si="20"/>
        <v/>
      </c>
      <c r="V159" s="164" t="str">
        <f ca="1">IF(AND($W159&gt;0,RegimeExecucao="Unitário"),$F159,"")</f>
        <v/>
      </c>
      <c r="W159" s="454">
        <f ca="1">IF($Y159&gt;0,CHOOSE(MATCH(RegimeExecucao,{"Unitário","Global"},0),IF($A159="S",$Y159/$X159,""),($Y159/$X159)*100),0)</f>
        <v>0</v>
      </c>
      <c r="X159" s="339" t="str">
        <f ca="1">IF($Y159&gt;0,CHOOSE(MATCH(RegimeExecucao,{"Unitário","Global"},0),IF($A159="S",ROUND($H159,ORÇAMENTO!$AF$10),""),ROUND($I159,ORÇAMENTO!$AF$11)),"")</f>
        <v/>
      </c>
      <c r="Y159" s="339">
        <f t="shared" ca="1" si="21"/>
        <v>0</v>
      </c>
      <c r="Z159" s="473"/>
      <c r="AB159" s="337"/>
      <c r="AC159" s="437"/>
      <c r="AD159" s="437"/>
      <c r="AE159" s="437"/>
      <c r="AF159" s="437"/>
      <c r="AG159" s="437"/>
      <c r="AH159" s="437"/>
      <c r="AI159" s="437"/>
      <c r="AJ159" s="437"/>
      <c r="AK159" s="437"/>
      <c r="AL159" s="437"/>
      <c r="AM159" s="338"/>
      <c r="AO159">
        <f ca="1">IF($A159="S",IF(BM!$I159=0,0,CHOOSE(MATCH(RegimeExecucao,{"Global","Unitário"},0),ROUND(ROUND(BM.MEDAcumulado,15-13*BM!$A$9)/100*BM!$I159,15-13*ORÇAMENTO!$AF$11),ROUND(ROUND(BM.MEDAcumulado,15-13*BM!$A$9)*ROUND(BM!$H159,15-13*ORÇAMENTO!$AF$10),15-13*ORÇAMENTO!$AF$11))),IF($A159=0,0,ROUND(SomaAgrupBM,15-13*ORÇAMENTO!$AF$11)))</f>
        <v>0</v>
      </c>
    </row>
    <row r="160" spans="1:41" ht="38.25" x14ac:dyDescent="0.2">
      <c r="A160" t="str">
        <f ca="1">ORÇAMENTO!C160</f>
        <v>S</v>
      </c>
      <c r="B160">
        <f ca="1">ORÇAMENTO!D160</f>
        <v>0</v>
      </c>
      <c r="C160" s="114" t="str">
        <f t="shared" ca="1" si="15"/>
        <v>F</v>
      </c>
      <c r="D160" s="117" t="str">
        <f ca="1">ORÇAMENTO!O160</f>
        <v>1.5.5.2.1.</v>
      </c>
      <c r="E160" s="163" t="str">
        <f t="shared" ca="1" si="16"/>
        <v>ESCAVAÇÃO MANUAL PARA BLOCO DE COROAMENTO OU SAPATA (INCLUINDO ESCAVAÇÃO PARA COLOCAÇÃO DE FÔRMAS). AF_01/2024</v>
      </c>
      <c r="F160" s="164" t="str">
        <f ca="1">IF(RegimeExecucao="Global","",ORÇAMENTO.Unidade)</f>
        <v>M3</v>
      </c>
      <c r="G160" s="122">
        <f ca="1">IF(RegimeExecucao="Global","",ORÇAMENTO!T160)</f>
        <v>24.99</v>
      </c>
      <c r="H160" s="122">
        <f ca="1">IF(RegimeExecucao="Global","",ORÇAMENTO!W160)</f>
        <v>124.62</v>
      </c>
      <c r="I160" s="125">
        <f ca="1">ORÇAMENTO!X160</f>
        <v>3114.25</v>
      </c>
      <c r="J160" s="333" cm="1">
        <f t="array" aca="1" ref="J160" ca="1">_xlfn.SINGLE(IF($A160="S",IF(CAIXA.Modo,BM.AFAnterior,BM.MEDAnterior),IF(AND(_xlfn.SINGLE(RegimeExecucao)="Global",$I160&gt;0,COUNTIF($AB$13:$AM$13,BM.medicao-1)&gt;0),M160/$I160*100,0)))</f>
        <v>0</v>
      </c>
      <c r="K160" s="122">
        <f t="shared" ca="1" si="17"/>
        <v>0</v>
      </c>
      <c r="L160" s="334" cm="1">
        <f t="array" aca="1" ref="L160" ca="1">_xlfn.SINGLE(IF($A160="S",IF(CAIXA.Modo,BM.AFAcumulado,BM.MEDAcumulado),IF(AND(_xlfn.SINGLE(RegimeExecucao)="Global",$I160&gt;0,COUNTIF($AB$13:$AM$13,BM.medicao)&gt;0),O160/$I160*100,0)))</f>
        <v>0</v>
      </c>
      <c r="M160" s="335">
        <f ca="1">IF($A160="S",VTOTALBM,IF($A160=0,0,ROUND(SomaAgrupBM,15-13*ORÇAMENTO!$AF$11)))</f>
        <v>0</v>
      </c>
      <c r="N160" s="336">
        <f t="shared" ca="1" si="18"/>
        <v>0</v>
      </c>
      <c r="O160" s="125">
        <f ca="1">IF($A160="S",VTOTALBM,IF($A160=0,0,ROUND(SomaAgrupBM,15-13*ORÇAMENTO!$AF$11)))</f>
        <v>0</v>
      </c>
      <c r="Q160" s="337"/>
      <c r="R160" s="338"/>
      <c r="T160" s="117" t="str">
        <f t="shared" ca="1" si="19"/>
        <v/>
      </c>
      <c r="U160" s="163" t="str">
        <f t="shared" ca="1" si="20"/>
        <v/>
      </c>
      <c r="V160" s="164" t="str">
        <f ca="1">IF(AND($W160&gt;0,RegimeExecucao="Unitário"),$F160,"")</f>
        <v/>
      </c>
      <c r="W160" s="454">
        <f ca="1">IF($Y160&gt;0,CHOOSE(MATCH(RegimeExecucao,{"Unitário","Global"},0),IF($A160="S",$Y160/$X160,""),($Y160/$X160)*100),0)</f>
        <v>0</v>
      </c>
      <c r="X160" s="339" t="str">
        <f ca="1">IF($Y160&gt;0,CHOOSE(MATCH(RegimeExecucao,{"Unitário","Global"},0),IF($A160="S",ROUND($H160,ORÇAMENTO!$AF$10),""),ROUND($I160,ORÇAMENTO!$AF$11)),"")</f>
        <v/>
      </c>
      <c r="Y160" s="339">
        <f t="shared" ca="1" si="21"/>
        <v>0</v>
      </c>
      <c r="Z160" s="473"/>
      <c r="AB160" s="337"/>
      <c r="AC160" s="437"/>
      <c r="AD160" s="437"/>
      <c r="AE160" s="437"/>
      <c r="AF160" s="437"/>
      <c r="AG160" s="437"/>
      <c r="AH160" s="437"/>
      <c r="AI160" s="437"/>
      <c r="AJ160" s="437"/>
      <c r="AK160" s="437"/>
      <c r="AL160" s="437"/>
      <c r="AM160" s="338"/>
      <c r="AO160">
        <f ca="1">IF($A160="S",IF(BM!$I160=0,0,CHOOSE(MATCH(RegimeExecucao,{"Global","Unitário"},0),ROUND(ROUND(BM.MEDAcumulado,15-13*BM!$A$9)/100*BM!$I160,15-13*ORÇAMENTO!$AF$11),ROUND(ROUND(BM.MEDAcumulado,15-13*BM!$A$9)*ROUND(BM!$H160,15-13*ORÇAMENTO!$AF$10),15-13*ORÇAMENTO!$AF$11))),IF($A160=0,0,ROUND(SomaAgrupBM,15-13*ORÇAMENTO!$AF$11)))</f>
        <v>0</v>
      </c>
    </row>
    <row r="161" spans="1:41" ht="25.5" x14ac:dyDescent="0.2">
      <c r="A161" t="str">
        <f ca="1">ORÇAMENTO!C161</f>
        <v>S</v>
      </c>
      <c r="B161">
        <f ca="1">ORÇAMENTO!D161</f>
        <v>0</v>
      </c>
      <c r="C161" s="114" t="str">
        <f t="shared" ca="1" si="15"/>
        <v>F</v>
      </c>
      <c r="D161" s="117" t="str">
        <f ca="1">ORÇAMENTO!O161</f>
        <v>1.5.5.2.2.</v>
      </c>
      <c r="E161" s="163" t="str">
        <f t="shared" ca="1" si="16"/>
        <v>PREPARO DE FUNDO DE VALA COM LARGURA MENOR QUE 1,5 M (ACERTO DO SOLO NATURAL). AF_08/2020</v>
      </c>
      <c r="F161" s="164" t="str">
        <f ca="1">IF(RegimeExecucao="Global","",ORÇAMENTO.Unidade)</f>
        <v>M2</v>
      </c>
      <c r="G161" s="122">
        <f ca="1">IF(RegimeExecucao="Global","",ORÇAMENTO!T161)</f>
        <v>17</v>
      </c>
      <c r="H161" s="122">
        <f ca="1">IF(RegimeExecucao="Global","",ORÇAMENTO!W161)</f>
        <v>8.56</v>
      </c>
      <c r="I161" s="125">
        <f ca="1">ORÇAMENTO!X161</f>
        <v>145.52000000000001</v>
      </c>
      <c r="J161" s="333" cm="1">
        <f t="array" aca="1" ref="J161" ca="1">_xlfn.SINGLE(IF($A161="S",IF(CAIXA.Modo,BM.AFAnterior,BM.MEDAnterior),IF(AND(_xlfn.SINGLE(RegimeExecucao)="Global",$I161&gt;0,COUNTIF($AB$13:$AM$13,BM.medicao-1)&gt;0),M161/$I161*100,0)))</f>
        <v>0</v>
      </c>
      <c r="K161" s="122">
        <f t="shared" ca="1" si="17"/>
        <v>0</v>
      </c>
      <c r="L161" s="334" cm="1">
        <f t="array" aca="1" ref="L161" ca="1">_xlfn.SINGLE(IF($A161="S",IF(CAIXA.Modo,BM.AFAcumulado,BM.MEDAcumulado),IF(AND(_xlfn.SINGLE(RegimeExecucao)="Global",$I161&gt;0,COUNTIF($AB$13:$AM$13,BM.medicao)&gt;0),O161/$I161*100,0)))</f>
        <v>0</v>
      </c>
      <c r="M161" s="335">
        <f ca="1">IF($A161="S",VTOTALBM,IF($A161=0,0,ROUND(SomaAgrupBM,15-13*ORÇAMENTO!$AF$11)))</f>
        <v>0</v>
      </c>
      <c r="N161" s="336">
        <f t="shared" ca="1" si="18"/>
        <v>0</v>
      </c>
      <c r="O161" s="125">
        <f ca="1">IF($A161="S",VTOTALBM,IF($A161=0,0,ROUND(SomaAgrupBM,15-13*ORÇAMENTO!$AF$11)))</f>
        <v>0</v>
      </c>
      <c r="Q161" s="337"/>
      <c r="R161" s="338"/>
      <c r="T161" s="117" t="str">
        <f t="shared" ca="1" si="19"/>
        <v/>
      </c>
      <c r="U161" s="163" t="str">
        <f t="shared" ca="1" si="20"/>
        <v/>
      </c>
      <c r="V161" s="164" t="str">
        <f ca="1">IF(AND($W161&gt;0,RegimeExecucao="Unitário"),$F161,"")</f>
        <v/>
      </c>
      <c r="W161" s="454">
        <f ca="1">IF($Y161&gt;0,CHOOSE(MATCH(RegimeExecucao,{"Unitário","Global"},0),IF($A161="S",$Y161/$X161,""),($Y161/$X161)*100),0)</f>
        <v>0</v>
      </c>
      <c r="X161" s="339" t="str">
        <f ca="1">IF($Y161&gt;0,CHOOSE(MATCH(RegimeExecucao,{"Unitário","Global"},0),IF($A161="S",ROUND($H161,ORÇAMENTO!$AF$10),""),ROUND($I161,ORÇAMENTO!$AF$11)),"")</f>
        <v/>
      </c>
      <c r="Y161" s="339">
        <f t="shared" ca="1" si="21"/>
        <v>0</v>
      </c>
      <c r="Z161" s="473"/>
      <c r="AB161" s="337"/>
      <c r="AC161" s="437"/>
      <c r="AD161" s="437"/>
      <c r="AE161" s="437"/>
      <c r="AF161" s="437"/>
      <c r="AG161" s="437"/>
      <c r="AH161" s="437"/>
      <c r="AI161" s="437"/>
      <c r="AJ161" s="437"/>
      <c r="AK161" s="437"/>
      <c r="AL161" s="437"/>
      <c r="AM161" s="338"/>
      <c r="AO161">
        <f ca="1">IF($A161="S",IF(BM!$I161=0,0,CHOOSE(MATCH(RegimeExecucao,{"Global","Unitário"},0),ROUND(ROUND(BM.MEDAcumulado,15-13*BM!$A$9)/100*BM!$I161,15-13*ORÇAMENTO!$AF$11),ROUND(ROUND(BM.MEDAcumulado,15-13*BM!$A$9)*ROUND(BM!$H161,15-13*ORÇAMENTO!$AF$10),15-13*ORÇAMENTO!$AF$11))),IF($A161=0,0,ROUND(SomaAgrupBM,15-13*ORÇAMENTO!$AF$11)))</f>
        <v>0</v>
      </c>
    </row>
    <row r="162" spans="1:41" ht="25.5" x14ac:dyDescent="0.2">
      <c r="A162" t="str">
        <f ca="1">ORÇAMENTO!C162</f>
        <v>S</v>
      </c>
      <c r="B162">
        <f ca="1">ORÇAMENTO!D162</f>
        <v>0</v>
      </c>
      <c r="C162" s="114" t="str">
        <f t="shared" ca="1" si="15"/>
        <v>F</v>
      </c>
      <c r="D162" s="117" t="str">
        <f ca="1">ORÇAMENTO!O162</f>
        <v>1.5.5.2.3.</v>
      </c>
      <c r="E162" s="163" t="str">
        <f t="shared" ca="1" si="16"/>
        <v>ARMAÇÃO EM AÇO CA-50 - FORNECIMENTO, PREPARO E COLOCAÇÃO</v>
      </c>
      <c r="F162" s="164" t="str">
        <f ca="1">IF(RegimeExecucao="Global","",ORÇAMENTO.Unidade)</f>
        <v>KG</v>
      </c>
      <c r="G162" s="122">
        <f ca="1">IF(RegimeExecucao="Global","",ORÇAMENTO!T162)</f>
        <v>83.7</v>
      </c>
      <c r="H162" s="122">
        <f ca="1">IF(RegimeExecucao="Global","",ORÇAMENTO!W162)</f>
        <v>14.92</v>
      </c>
      <c r="I162" s="125">
        <f ca="1">ORÇAMENTO!X162</f>
        <v>1248.8</v>
      </c>
      <c r="J162" s="333" cm="1">
        <f t="array" aca="1" ref="J162" ca="1">_xlfn.SINGLE(IF($A162="S",IF(CAIXA.Modo,BM.AFAnterior,BM.MEDAnterior),IF(AND(_xlfn.SINGLE(RegimeExecucao)="Global",$I162&gt;0,COUNTIF($AB$13:$AM$13,BM.medicao-1)&gt;0),M162/$I162*100,0)))</f>
        <v>0</v>
      </c>
      <c r="K162" s="122">
        <f t="shared" ca="1" si="17"/>
        <v>0</v>
      </c>
      <c r="L162" s="334" cm="1">
        <f t="array" aca="1" ref="L162" ca="1">_xlfn.SINGLE(IF($A162="S",IF(CAIXA.Modo,BM.AFAcumulado,BM.MEDAcumulado),IF(AND(_xlfn.SINGLE(RegimeExecucao)="Global",$I162&gt;0,COUNTIF($AB$13:$AM$13,BM.medicao)&gt;0),O162/$I162*100,0)))</f>
        <v>0</v>
      </c>
      <c r="M162" s="335">
        <f ca="1">IF($A162="S",VTOTALBM,IF($A162=0,0,ROUND(SomaAgrupBM,15-13*ORÇAMENTO!$AF$11)))</f>
        <v>0</v>
      </c>
      <c r="N162" s="336">
        <f t="shared" ca="1" si="18"/>
        <v>0</v>
      </c>
      <c r="O162" s="125">
        <f ca="1">IF($A162="S",VTOTALBM,IF($A162=0,0,ROUND(SomaAgrupBM,15-13*ORÇAMENTO!$AF$11)))</f>
        <v>0</v>
      </c>
      <c r="Q162" s="337"/>
      <c r="R162" s="338"/>
      <c r="T162" s="117" t="str">
        <f t="shared" ca="1" si="19"/>
        <v/>
      </c>
      <c r="U162" s="163" t="str">
        <f t="shared" ca="1" si="20"/>
        <v/>
      </c>
      <c r="V162" s="164" t="str">
        <f ca="1">IF(AND($W162&gt;0,RegimeExecucao="Unitário"),$F162,"")</f>
        <v/>
      </c>
      <c r="W162" s="454">
        <f ca="1">IF($Y162&gt;0,CHOOSE(MATCH(RegimeExecucao,{"Unitário","Global"},0),IF($A162="S",$Y162/$X162,""),($Y162/$X162)*100),0)</f>
        <v>0</v>
      </c>
      <c r="X162" s="339" t="str">
        <f ca="1">IF($Y162&gt;0,CHOOSE(MATCH(RegimeExecucao,{"Unitário","Global"},0),IF($A162="S",ROUND($H162,ORÇAMENTO!$AF$10),""),ROUND($I162,ORÇAMENTO!$AF$11)),"")</f>
        <v/>
      </c>
      <c r="Y162" s="339">
        <f t="shared" ca="1" si="21"/>
        <v>0</v>
      </c>
      <c r="Z162" s="473"/>
      <c r="AB162" s="337"/>
      <c r="AC162" s="437"/>
      <c r="AD162" s="437"/>
      <c r="AE162" s="437"/>
      <c r="AF162" s="437"/>
      <c r="AG162" s="437"/>
      <c r="AH162" s="437"/>
      <c r="AI162" s="437"/>
      <c r="AJ162" s="437"/>
      <c r="AK162" s="437"/>
      <c r="AL162" s="437"/>
      <c r="AM162" s="338"/>
      <c r="AO162">
        <f ca="1">IF($A162="S",IF(BM!$I162=0,0,CHOOSE(MATCH(RegimeExecucao,{"Global","Unitário"},0),ROUND(ROUND(BM.MEDAcumulado,15-13*BM!$A$9)/100*BM!$I162,15-13*ORÇAMENTO!$AF$11),ROUND(ROUND(BM.MEDAcumulado,15-13*BM!$A$9)*ROUND(BM!$H162,15-13*ORÇAMENTO!$AF$10),15-13*ORÇAMENTO!$AF$11))),IF($A162=0,0,ROUND(SomaAgrupBM,15-13*ORÇAMENTO!$AF$11)))</f>
        <v>0</v>
      </c>
    </row>
    <row r="163" spans="1:41" ht="25.5" x14ac:dyDescent="0.2">
      <c r="A163" t="str">
        <f ca="1">ORÇAMENTO!C163</f>
        <v>S</v>
      </c>
      <c r="B163">
        <f ca="1">ORÇAMENTO!D163</f>
        <v>0</v>
      </c>
      <c r="C163" s="114" t="str">
        <f t="shared" ca="1" si="15"/>
        <v>F</v>
      </c>
      <c r="D163" s="117" t="str">
        <f ca="1">ORÇAMENTO!O163</f>
        <v>1.5.5.2.4.</v>
      </c>
      <c r="E163" s="163" t="str">
        <f t="shared" ca="1" si="16"/>
        <v>FÔRMAS DE COMPENSADO RESINADO 10 MM - USO GERAL - UTILIZAÇÃO DE 3 VEZES - CONFECÇÃO, INSTALAÇÃO E RETIRADA</v>
      </c>
      <c r="F163" s="164" t="str">
        <f ca="1">IF(RegimeExecucao="Global","",ORÇAMENTO.Unidade)</f>
        <v>M2</v>
      </c>
      <c r="G163" s="122">
        <f ca="1">IF(RegimeExecucao="Global","",ORÇAMENTO!T163)</f>
        <v>24.48</v>
      </c>
      <c r="H163" s="122">
        <f ca="1">IF(RegimeExecucao="Global","",ORÇAMENTO!W163)</f>
        <v>88.5</v>
      </c>
      <c r="I163" s="125">
        <f ca="1">ORÇAMENTO!X163</f>
        <v>2166.48</v>
      </c>
      <c r="J163" s="333" cm="1">
        <f t="array" aca="1" ref="J163" ca="1">_xlfn.SINGLE(IF($A163="S",IF(CAIXA.Modo,BM.AFAnterior,BM.MEDAnterior),IF(AND(_xlfn.SINGLE(RegimeExecucao)="Global",$I163&gt;0,COUNTIF($AB$13:$AM$13,BM.medicao-1)&gt;0),M163/$I163*100,0)))</f>
        <v>0</v>
      </c>
      <c r="K163" s="122">
        <f t="shared" ca="1" si="17"/>
        <v>0</v>
      </c>
      <c r="L163" s="334" cm="1">
        <f t="array" aca="1" ref="L163" ca="1">_xlfn.SINGLE(IF($A163="S",IF(CAIXA.Modo,BM.AFAcumulado,BM.MEDAcumulado),IF(AND(_xlfn.SINGLE(RegimeExecucao)="Global",$I163&gt;0,COUNTIF($AB$13:$AM$13,BM.medicao)&gt;0),O163/$I163*100,0)))</f>
        <v>0</v>
      </c>
      <c r="M163" s="335">
        <f ca="1">IF($A163="S",VTOTALBM,IF($A163=0,0,ROUND(SomaAgrupBM,15-13*ORÇAMENTO!$AF$11)))</f>
        <v>0</v>
      </c>
      <c r="N163" s="336">
        <f t="shared" ca="1" si="18"/>
        <v>0</v>
      </c>
      <c r="O163" s="125">
        <f ca="1">IF($A163="S",VTOTALBM,IF($A163=0,0,ROUND(SomaAgrupBM,15-13*ORÇAMENTO!$AF$11)))</f>
        <v>0</v>
      </c>
      <c r="Q163" s="337"/>
      <c r="R163" s="338"/>
      <c r="T163" s="117" t="str">
        <f t="shared" ca="1" si="19"/>
        <v/>
      </c>
      <c r="U163" s="163" t="str">
        <f t="shared" ca="1" si="20"/>
        <v/>
      </c>
      <c r="V163" s="164" t="str">
        <f ca="1">IF(AND($W163&gt;0,RegimeExecucao="Unitário"),$F163,"")</f>
        <v/>
      </c>
      <c r="W163" s="454">
        <f ca="1">IF($Y163&gt;0,CHOOSE(MATCH(RegimeExecucao,{"Unitário","Global"},0),IF($A163="S",$Y163/$X163,""),($Y163/$X163)*100),0)</f>
        <v>0</v>
      </c>
      <c r="X163" s="339" t="str">
        <f ca="1">IF($Y163&gt;0,CHOOSE(MATCH(RegimeExecucao,{"Unitário","Global"},0),IF($A163="S",ROUND($H163,ORÇAMENTO!$AF$10),""),ROUND($I163,ORÇAMENTO!$AF$11)),"")</f>
        <v/>
      </c>
      <c r="Y163" s="339">
        <f t="shared" ca="1" si="21"/>
        <v>0</v>
      </c>
      <c r="Z163" s="473"/>
      <c r="AB163" s="337"/>
      <c r="AC163" s="437"/>
      <c r="AD163" s="437"/>
      <c r="AE163" s="437"/>
      <c r="AF163" s="437"/>
      <c r="AG163" s="437"/>
      <c r="AH163" s="437"/>
      <c r="AI163" s="437"/>
      <c r="AJ163" s="437"/>
      <c r="AK163" s="437"/>
      <c r="AL163" s="437"/>
      <c r="AM163" s="338"/>
      <c r="AO163">
        <f ca="1">IF($A163="S",IF(BM!$I163=0,0,CHOOSE(MATCH(RegimeExecucao,{"Global","Unitário"},0),ROUND(ROUND(BM.MEDAcumulado,15-13*BM!$A$9)/100*BM!$I163,15-13*ORÇAMENTO!$AF$11),ROUND(ROUND(BM.MEDAcumulado,15-13*BM!$A$9)*ROUND(BM!$H163,15-13*ORÇAMENTO!$AF$10),15-13*ORÇAMENTO!$AF$11))),IF($A163=0,0,ROUND(SomaAgrupBM,15-13*ORÇAMENTO!$AF$11)))</f>
        <v>0</v>
      </c>
    </row>
    <row r="164" spans="1:41" ht="25.5" x14ac:dyDescent="0.2">
      <c r="A164" t="str">
        <f ca="1">ORÇAMENTO!C164</f>
        <v>S</v>
      </c>
      <c r="B164">
        <f ca="1">ORÇAMENTO!D164</f>
        <v>0</v>
      </c>
      <c r="C164" s="114" t="str">
        <f t="shared" ca="1" si="15"/>
        <v>F</v>
      </c>
      <c r="D164" s="117" t="str">
        <f ca="1">ORÇAMENTO!O164</f>
        <v>1.5.5.2.5.</v>
      </c>
      <c r="E164" s="163" t="str">
        <f t="shared" ca="1" si="16"/>
        <v xml:space="preserve">LASTRO DE CONCRETO MAGRO, INCLUSIVE TRANSPORTE, LANÇAMENTO E ADENSAMENTO </v>
      </c>
      <c r="F164" s="164" t="str">
        <f ca="1">IF(RegimeExecucao="Global","",ORÇAMENTO.Unidade)</f>
        <v>M3</v>
      </c>
      <c r="G164" s="122">
        <f ca="1">IF(RegimeExecucao="Global","",ORÇAMENTO!T164)</f>
        <v>0.85</v>
      </c>
      <c r="H164" s="122">
        <f ca="1">IF(RegimeExecucao="Global","",ORÇAMENTO!W164)</f>
        <v>727.7</v>
      </c>
      <c r="I164" s="125">
        <f ca="1">ORÇAMENTO!X164</f>
        <v>618.54999999999995</v>
      </c>
      <c r="J164" s="333" cm="1">
        <f t="array" aca="1" ref="J164" ca="1">_xlfn.SINGLE(IF($A164="S",IF(CAIXA.Modo,BM.AFAnterior,BM.MEDAnterior),IF(AND(_xlfn.SINGLE(RegimeExecucao)="Global",$I164&gt;0,COUNTIF($AB$13:$AM$13,BM.medicao-1)&gt;0),M164/$I164*100,0)))</f>
        <v>0</v>
      </c>
      <c r="K164" s="122">
        <f t="shared" ca="1" si="17"/>
        <v>0</v>
      </c>
      <c r="L164" s="334" cm="1">
        <f t="array" aca="1" ref="L164" ca="1">_xlfn.SINGLE(IF($A164="S",IF(CAIXA.Modo,BM.AFAcumulado,BM.MEDAcumulado),IF(AND(_xlfn.SINGLE(RegimeExecucao)="Global",$I164&gt;0,COUNTIF($AB$13:$AM$13,BM.medicao)&gt;0),O164/$I164*100,0)))</f>
        <v>0</v>
      </c>
      <c r="M164" s="335">
        <f ca="1">IF($A164="S",VTOTALBM,IF($A164=0,0,ROUND(SomaAgrupBM,15-13*ORÇAMENTO!$AF$11)))</f>
        <v>0</v>
      </c>
      <c r="N164" s="336">
        <f t="shared" ca="1" si="18"/>
        <v>0</v>
      </c>
      <c r="O164" s="125">
        <f ca="1">IF($A164="S",VTOTALBM,IF($A164=0,0,ROUND(SomaAgrupBM,15-13*ORÇAMENTO!$AF$11)))</f>
        <v>0</v>
      </c>
      <c r="Q164" s="337"/>
      <c r="R164" s="338"/>
      <c r="T164" s="117" t="str">
        <f t="shared" ca="1" si="19"/>
        <v/>
      </c>
      <c r="U164" s="163" t="str">
        <f t="shared" ca="1" si="20"/>
        <v/>
      </c>
      <c r="V164" s="164" t="str">
        <f ca="1">IF(AND($W164&gt;0,RegimeExecucao="Unitário"),$F164,"")</f>
        <v/>
      </c>
      <c r="W164" s="454">
        <f ca="1">IF($Y164&gt;0,CHOOSE(MATCH(RegimeExecucao,{"Unitário","Global"},0),IF($A164="S",$Y164/$X164,""),($Y164/$X164)*100),0)</f>
        <v>0</v>
      </c>
      <c r="X164" s="339" t="str">
        <f ca="1">IF($Y164&gt;0,CHOOSE(MATCH(RegimeExecucao,{"Unitário","Global"},0),IF($A164="S",ROUND($H164,ORÇAMENTO!$AF$10),""),ROUND($I164,ORÇAMENTO!$AF$11)),"")</f>
        <v/>
      </c>
      <c r="Y164" s="339">
        <f t="shared" ca="1" si="21"/>
        <v>0</v>
      </c>
      <c r="Z164" s="473"/>
      <c r="AB164" s="337"/>
      <c r="AC164" s="437"/>
      <c r="AD164" s="437"/>
      <c r="AE164" s="437"/>
      <c r="AF164" s="437"/>
      <c r="AG164" s="437"/>
      <c r="AH164" s="437"/>
      <c r="AI164" s="437"/>
      <c r="AJ164" s="437"/>
      <c r="AK164" s="437"/>
      <c r="AL164" s="437"/>
      <c r="AM164" s="338"/>
      <c r="AO164">
        <f ca="1">IF($A164="S",IF(BM!$I164=0,0,CHOOSE(MATCH(RegimeExecucao,{"Global","Unitário"},0),ROUND(ROUND(BM.MEDAcumulado,15-13*BM!$A$9)/100*BM!$I164,15-13*ORÇAMENTO!$AF$11),ROUND(ROUND(BM.MEDAcumulado,15-13*BM!$A$9)*ROUND(BM!$H164,15-13*ORÇAMENTO!$AF$10),15-13*ORÇAMENTO!$AF$11))),IF($A164=0,0,ROUND(SomaAgrupBM,15-13*ORÇAMENTO!$AF$11)))</f>
        <v>0</v>
      </c>
    </row>
    <row r="165" spans="1:41" ht="25.5" x14ac:dyDescent="0.2">
      <c r="A165" t="str">
        <f ca="1">ORÇAMENTO!C165</f>
        <v>S</v>
      </c>
      <c r="B165">
        <f ca="1">ORÇAMENTO!D165</f>
        <v>0</v>
      </c>
      <c r="C165" s="114" t="str">
        <f t="shared" ca="1" si="15"/>
        <v>F</v>
      </c>
      <c r="D165" s="117" t="str">
        <f ca="1">ORÇAMENTO!O165</f>
        <v>1.5.5.2.6.</v>
      </c>
      <c r="E165" s="163" t="str">
        <f t="shared" ca="1" si="16"/>
        <v>IMPERMEABILIZAÇÃO COM EMULSÃO ASFÁLTICA, DUAS (2) DEMÃOS</v>
      </c>
      <c r="F165" s="164" t="str">
        <f ca="1">IF(RegimeExecucao="Global","",ORÇAMENTO.Unidade)</f>
        <v>M2</v>
      </c>
      <c r="G165" s="122">
        <f ca="1">IF(RegimeExecucao="Global","",ORÇAMENTO!T165)</f>
        <v>24.84</v>
      </c>
      <c r="H165" s="122">
        <f ca="1">IF(RegimeExecucao="Global","",ORÇAMENTO!W165)</f>
        <v>43.26</v>
      </c>
      <c r="I165" s="125">
        <f ca="1">ORÇAMENTO!X165</f>
        <v>1074.58</v>
      </c>
      <c r="J165" s="333" cm="1">
        <f t="array" aca="1" ref="J165" ca="1">_xlfn.SINGLE(IF($A165="S",IF(CAIXA.Modo,BM.AFAnterior,BM.MEDAnterior),IF(AND(_xlfn.SINGLE(RegimeExecucao)="Global",$I165&gt;0,COUNTIF($AB$13:$AM$13,BM.medicao-1)&gt;0),M165/$I165*100,0)))</f>
        <v>0</v>
      </c>
      <c r="K165" s="122">
        <f t="shared" ca="1" si="17"/>
        <v>0</v>
      </c>
      <c r="L165" s="334" cm="1">
        <f t="array" aca="1" ref="L165" ca="1">_xlfn.SINGLE(IF($A165="S",IF(CAIXA.Modo,BM.AFAcumulado,BM.MEDAcumulado),IF(AND(_xlfn.SINGLE(RegimeExecucao)="Global",$I165&gt;0,COUNTIF($AB$13:$AM$13,BM.medicao)&gt;0),O165/$I165*100,0)))</f>
        <v>0</v>
      </c>
      <c r="M165" s="335">
        <f ca="1">IF($A165="S",VTOTALBM,IF($A165=0,0,ROUND(SomaAgrupBM,15-13*ORÇAMENTO!$AF$11)))</f>
        <v>0</v>
      </c>
      <c r="N165" s="336">
        <f t="shared" ca="1" si="18"/>
        <v>0</v>
      </c>
      <c r="O165" s="125">
        <f ca="1">IF($A165="S",VTOTALBM,IF($A165=0,0,ROUND(SomaAgrupBM,15-13*ORÇAMENTO!$AF$11)))</f>
        <v>0</v>
      </c>
      <c r="Q165" s="337"/>
      <c r="R165" s="338"/>
      <c r="T165" s="117" t="str">
        <f t="shared" ca="1" si="19"/>
        <v/>
      </c>
      <c r="U165" s="163" t="str">
        <f t="shared" ca="1" si="20"/>
        <v/>
      </c>
      <c r="V165" s="164" t="str">
        <f ca="1">IF(AND($W165&gt;0,RegimeExecucao="Unitário"),$F165,"")</f>
        <v/>
      </c>
      <c r="W165" s="454">
        <f ca="1">IF($Y165&gt;0,CHOOSE(MATCH(RegimeExecucao,{"Unitário","Global"},0),IF($A165="S",$Y165/$X165,""),($Y165/$X165)*100),0)</f>
        <v>0</v>
      </c>
      <c r="X165" s="339" t="str">
        <f ca="1">IF($Y165&gt;0,CHOOSE(MATCH(RegimeExecucao,{"Unitário","Global"},0),IF($A165="S",ROUND($H165,ORÇAMENTO!$AF$10),""),ROUND($I165,ORÇAMENTO!$AF$11)),"")</f>
        <v/>
      </c>
      <c r="Y165" s="339">
        <f t="shared" ca="1" si="21"/>
        <v>0</v>
      </c>
      <c r="Z165" s="473"/>
      <c r="AB165" s="337"/>
      <c r="AC165" s="437"/>
      <c r="AD165" s="437"/>
      <c r="AE165" s="437"/>
      <c r="AF165" s="437"/>
      <c r="AG165" s="437"/>
      <c r="AH165" s="437"/>
      <c r="AI165" s="437"/>
      <c r="AJ165" s="437"/>
      <c r="AK165" s="437"/>
      <c r="AL165" s="437"/>
      <c r="AM165" s="338"/>
      <c r="AO165">
        <f ca="1">IF($A165="S",IF(BM!$I165=0,0,CHOOSE(MATCH(RegimeExecucao,{"Global","Unitário"},0),ROUND(ROUND(BM.MEDAcumulado,15-13*BM!$A$9)/100*BM!$I165,15-13*ORÇAMENTO!$AF$11),ROUND(ROUND(BM.MEDAcumulado,15-13*BM!$A$9)*ROUND(BM!$H165,15-13*ORÇAMENTO!$AF$10),15-13*ORÇAMENTO!$AF$11))),IF($A165=0,0,ROUND(SomaAgrupBM,15-13*ORÇAMENTO!$AF$11)))</f>
        <v>0</v>
      </c>
    </row>
    <row r="166" spans="1:41" ht="38.25" x14ac:dyDescent="0.2">
      <c r="A166" t="str">
        <f ca="1">ORÇAMENTO!C166</f>
        <v>S</v>
      </c>
      <c r="B166">
        <f ca="1">ORÇAMENTO!D166</f>
        <v>0</v>
      </c>
      <c r="C166" s="114" t="str">
        <f t="shared" ca="1" si="15"/>
        <v>F</v>
      </c>
      <c r="D166" s="117" t="str">
        <f ca="1">ORÇAMENTO!O166</f>
        <v>1.5.5.2.7.</v>
      </c>
      <c r="E166" s="163" t="str">
        <f t="shared" ca="1" si="16"/>
        <v>CONCRETO FCK = 40MPA, TRAÇO 1:1,6:1,9 (EM MASSA SECA DE CIMENTO/ AREIA MÉDIA/ BRITA 1) - PREPARO MECÂNICO COM BETONEIRA 600 L. AF_05/2021</v>
      </c>
      <c r="F166" s="164" t="str">
        <f ca="1">IF(RegimeExecucao="Global","",ORÇAMENTO.Unidade)</f>
        <v>M3</v>
      </c>
      <c r="G166" s="122">
        <f ca="1">IF(RegimeExecucao="Global","",ORÇAMENTO!T166)</f>
        <v>3.55</v>
      </c>
      <c r="H166" s="122">
        <f ca="1">IF(RegimeExecucao="Global","",ORÇAMENTO!W166)</f>
        <v>775.96</v>
      </c>
      <c r="I166" s="125">
        <f ca="1">ORÇAMENTO!X166</f>
        <v>2754.66</v>
      </c>
      <c r="J166" s="333" cm="1">
        <f t="array" aca="1" ref="J166" ca="1">_xlfn.SINGLE(IF($A166="S",IF(CAIXA.Modo,BM.AFAnterior,BM.MEDAnterior),IF(AND(_xlfn.SINGLE(RegimeExecucao)="Global",$I166&gt;0,COUNTIF($AB$13:$AM$13,BM.medicao-1)&gt;0),M166/$I166*100,0)))</f>
        <v>0</v>
      </c>
      <c r="K166" s="122">
        <f t="shared" ca="1" si="17"/>
        <v>0</v>
      </c>
      <c r="L166" s="334" cm="1">
        <f t="array" aca="1" ref="L166" ca="1">_xlfn.SINGLE(IF($A166="S",IF(CAIXA.Modo,BM.AFAcumulado,BM.MEDAcumulado),IF(AND(_xlfn.SINGLE(RegimeExecucao)="Global",$I166&gt;0,COUNTIF($AB$13:$AM$13,BM.medicao)&gt;0),O166/$I166*100,0)))</f>
        <v>0</v>
      </c>
      <c r="M166" s="335">
        <f ca="1">IF($A166="S",VTOTALBM,IF($A166=0,0,ROUND(SomaAgrupBM,15-13*ORÇAMENTO!$AF$11)))</f>
        <v>0</v>
      </c>
      <c r="N166" s="336">
        <f t="shared" ca="1" si="18"/>
        <v>0</v>
      </c>
      <c r="O166" s="125">
        <f ca="1">IF($A166="S",VTOTALBM,IF($A166=0,0,ROUND(SomaAgrupBM,15-13*ORÇAMENTO!$AF$11)))</f>
        <v>0</v>
      </c>
      <c r="Q166" s="337"/>
      <c r="R166" s="338"/>
      <c r="T166" s="117" t="str">
        <f t="shared" ca="1" si="19"/>
        <v/>
      </c>
      <c r="U166" s="163" t="str">
        <f t="shared" ca="1" si="20"/>
        <v/>
      </c>
      <c r="V166" s="164" t="str">
        <f ca="1">IF(AND($W166&gt;0,RegimeExecucao="Unitário"),$F166,"")</f>
        <v/>
      </c>
      <c r="W166" s="454">
        <f ca="1">IF($Y166&gt;0,CHOOSE(MATCH(RegimeExecucao,{"Unitário","Global"},0),IF($A166="S",$Y166/$X166,""),($Y166/$X166)*100),0)</f>
        <v>0</v>
      </c>
      <c r="X166" s="339" t="str">
        <f ca="1">IF($Y166&gt;0,CHOOSE(MATCH(RegimeExecucao,{"Unitário","Global"},0),IF($A166="S",ROUND($H166,ORÇAMENTO!$AF$10),""),ROUND($I166,ORÇAMENTO!$AF$11)),"")</f>
        <v/>
      </c>
      <c r="Y166" s="339">
        <f t="shared" ca="1" si="21"/>
        <v>0</v>
      </c>
      <c r="Z166" s="473"/>
      <c r="AB166" s="337"/>
      <c r="AC166" s="437"/>
      <c r="AD166" s="437"/>
      <c r="AE166" s="437"/>
      <c r="AF166" s="437"/>
      <c r="AG166" s="437"/>
      <c r="AH166" s="437"/>
      <c r="AI166" s="437"/>
      <c r="AJ166" s="437"/>
      <c r="AK166" s="437"/>
      <c r="AL166" s="437"/>
      <c r="AM166" s="338"/>
      <c r="AO166">
        <f ca="1">IF($A166="S",IF(BM!$I166=0,0,CHOOSE(MATCH(RegimeExecucao,{"Global","Unitário"},0),ROUND(ROUND(BM.MEDAcumulado,15-13*BM!$A$9)/100*BM!$I166,15-13*ORÇAMENTO!$AF$11),ROUND(ROUND(BM.MEDAcumulado,15-13*BM!$A$9)*ROUND(BM!$H166,15-13*ORÇAMENTO!$AF$10),15-13*ORÇAMENTO!$AF$11))),IF($A166=0,0,ROUND(SomaAgrupBM,15-13*ORÇAMENTO!$AF$11)))</f>
        <v>0</v>
      </c>
    </row>
    <row r="167" spans="1:41" ht="25.5" x14ac:dyDescent="0.2">
      <c r="A167" t="str">
        <f ca="1">ORÇAMENTO!C167</f>
        <v>S</v>
      </c>
      <c r="B167">
        <f ca="1">ORÇAMENTO!D167</f>
        <v>0</v>
      </c>
      <c r="C167" s="114" t="str">
        <f t="shared" ca="1" si="15"/>
        <v>F</v>
      </c>
      <c r="D167" s="117" t="str">
        <f ca="1">ORÇAMENTO!O167</f>
        <v>1.5.5.2.8.</v>
      </c>
      <c r="E167" s="163" t="str">
        <f t="shared" ca="1" si="16"/>
        <v>LANÇAMENTO COM USO DE BOMBA, ADENSAMENTO E ACABAMENTO DE CONCRETO EM ESTRUTURAS. AF_02/2022</v>
      </c>
      <c r="F167" s="164" t="str">
        <f ca="1">IF(RegimeExecucao="Global","",ORÇAMENTO.Unidade)</f>
        <v>M3</v>
      </c>
      <c r="G167" s="122">
        <f ca="1">IF(RegimeExecucao="Global","",ORÇAMENTO!T167)</f>
        <v>3.55</v>
      </c>
      <c r="H167" s="122">
        <f ca="1">IF(RegimeExecucao="Global","",ORÇAMENTO!W167)</f>
        <v>54.96</v>
      </c>
      <c r="I167" s="125">
        <f ca="1">ORÇAMENTO!X167</f>
        <v>195.11</v>
      </c>
      <c r="J167" s="333" cm="1">
        <f t="array" aca="1" ref="J167" ca="1">_xlfn.SINGLE(IF($A167="S",IF(CAIXA.Modo,BM.AFAnterior,BM.MEDAnterior),IF(AND(_xlfn.SINGLE(RegimeExecucao)="Global",$I167&gt;0,COUNTIF($AB$13:$AM$13,BM.medicao-1)&gt;0),M167/$I167*100,0)))</f>
        <v>0</v>
      </c>
      <c r="K167" s="122">
        <f t="shared" ca="1" si="17"/>
        <v>0</v>
      </c>
      <c r="L167" s="334" cm="1">
        <f t="array" aca="1" ref="L167" ca="1">_xlfn.SINGLE(IF($A167="S",IF(CAIXA.Modo,BM.AFAcumulado,BM.MEDAcumulado),IF(AND(_xlfn.SINGLE(RegimeExecucao)="Global",$I167&gt;0,COUNTIF($AB$13:$AM$13,BM.medicao)&gt;0),O167/$I167*100,0)))</f>
        <v>0</v>
      </c>
      <c r="M167" s="335">
        <f ca="1">IF($A167="S",VTOTALBM,IF($A167=0,0,ROUND(SomaAgrupBM,15-13*ORÇAMENTO!$AF$11)))</f>
        <v>0</v>
      </c>
      <c r="N167" s="336">
        <f t="shared" ca="1" si="18"/>
        <v>0</v>
      </c>
      <c r="O167" s="125">
        <f ca="1">IF($A167="S",VTOTALBM,IF($A167=0,0,ROUND(SomaAgrupBM,15-13*ORÇAMENTO!$AF$11)))</f>
        <v>0</v>
      </c>
      <c r="Q167" s="337"/>
      <c r="R167" s="338"/>
      <c r="T167" s="117" t="str">
        <f t="shared" ca="1" si="19"/>
        <v/>
      </c>
      <c r="U167" s="163" t="str">
        <f t="shared" ca="1" si="20"/>
        <v/>
      </c>
      <c r="V167" s="164" t="str">
        <f ca="1">IF(AND($W167&gt;0,RegimeExecucao="Unitário"),$F167,"")</f>
        <v/>
      </c>
      <c r="W167" s="454">
        <f ca="1">IF($Y167&gt;0,CHOOSE(MATCH(RegimeExecucao,{"Unitário","Global"},0),IF($A167="S",$Y167/$X167,""),($Y167/$X167)*100),0)</f>
        <v>0</v>
      </c>
      <c r="X167" s="339" t="str">
        <f ca="1">IF($Y167&gt;0,CHOOSE(MATCH(RegimeExecucao,{"Unitário","Global"},0),IF($A167="S",ROUND($H167,ORÇAMENTO!$AF$10),""),ROUND($I167,ORÇAMENTO!$AF$11)),"")</f>
        <v/>
      </c>
      <c r="Y167" s="339">
        <f t="shared" ca="1" si="21"/>
        <v>0</v>
      </c>
      <c r="Z167" s="473"/>
      <c r="AB167" s="337"/>
      <c r="AC167" s="437"/>
      <c r="AD167" s="437"/>
      <c r="AE167" s="437"/>
      <c r="AF167" s="437"/>
      <c r="AG167" s="437"/>
      <c r="AH167" s="437"/>
      <c r="AI167" s="437"/>
      <c r="AJ167" s="437"/>
      <c r="AK167" s="437"/>
      <c r="AL167" s="437"/>
      <c r="AM167" s="338"/>
      <c r="AO167">
        <f ca="1">IF($A167="S",IF(BM!$I167=0,0,CHOOSE(MATCH(RegimeExecucao,{"Global","Unitário"},0),ROUND(ROUND(BM.MEDAcumulado,15-13*BM!$A$9)/100*BM!$I167,15-13*ORÇAMENTO!$AF$11),ROUND(ROUND(BM.MEDAcumulado,15-13*BM!$A$9)*ROUND(BM!$H167,15-13*ORÇAMENTO!$AF$10),15-13*ORÇAMENTO!$AF$11))),IF($A167=0,0,ROUND(SomaAgrupBM,15-13*ORÇAMENTO!$AF$11)))</f>
        <v>0</v>
      </c>
    </row>
    <row r="168" spans="1:41" ht="25.5" x14ac:dyDescent="0.2">
      <c r="A168" t="str">
        <f ca="1">ORÇAMENTO!C168</f>
        <v>S</v>
      </c>
      <c r="B168">
        <f ca="1">ORÇAMENTO!D168</f>
        <v>0</v>
      </c>
      <c r="C168" s="114" t="str">
        <f t="shared" ca="1" si="15"/>
        <v>F</v>
      </c>
      <c r="D168" s="117" t="str">
        <f ca="1">ORÇAMENTO!O168</f>
        <v>1.5.5.2.9.</v>
      </c>
      <c r="E168" s="163" t="str">
        <f t="shared" ca="1" si="16"/>
        <v>REATERRO MANUAL DE VALAS, COM COMPACTADOR DE SOLOS DE PERCUSSÃO. AF_08/2023</v>
      </c>
      <c r="F168" s="164" t="str">
        <f ca="1">IF(RegimeExecucao="Global","",ORÇAMENTO.Unidade)</f>
        <v>M3</v>
      </c>
      <c r="G168" s="122">
        <f ca="1">IF(RegimeExecucao="Global","",ORÇAMENTO!T168)</f>
        <v>20.59</v>
      </c>
      <c r="H168" s="122">
        <f ca="1">IF(RegimeExecucao="Global","",ORÇAMENTO!W168)</f>
        <v>35.020000000000003</v>
      </c>
      <c r="I168" s="125">
        <f ca="1">ORÇAMENTO!X168</f>
        <v>721.06</v>
      </c>
      <c r="J168" s="333" cm="1">
        <f t="array" aca="1" ref="J168" ca="1">_xlfn.SINGLE(IF($A168="S",IF(CAIXA.Modo,BM.AFAnterior,BM.MEDAnterior),IF(AND(_xlfn.SINGLE(RegimeExecucao)="Global",$I168&gt;0,COUNTIF($AB$13:$AM$13,BM.medicao-1)&gt;0),M168/$I168*100,0)))</f>
        <v>0</v>
      </c>
      <c r="K168" s="122">
        <f t="shared" ca="1" si="17"/>
        <v>0</v>
      </c>
      <c r="L168" s="334" cm="1">
        <f t="array" aca="1" ref="L168" ca="1">_xlfn.SINGLE(IF($A168="S",IF(CAIXA.Modo,BM.AFAcumulado,BM.MEDAcumulado),IF(AND(_xlfn.SINGLE(RegimeExecucao)="Global",$I168&gt;0,COUNTIF($AB$13:$AM$13,BM.medicao)&gt;0),O168/$I168*100,0)))</f>
        <v>0</v>
      </c>
      <c r="M168" s="335">
        <f ca="1">IF($A168="S",VTOTALBM,IF($A168=0,0,ROUND(SomaAgrupBM,15-13*ORÇAMENTO!$AF$11)))</f>
        <v>0</v>
      </c>
      <c r="N168" s="336">
        <f t="shared" ca="1" si="18"/>
        <v>0</v>
      </c>
      <c r="O168" s="125">
        <f ca="1">IF($A168="S",VTOTALBM,IF($A168=0,0,ROUND(SomaAgrupBM,15-13*ORÇAMENTO!$AF$11)))</f>
        <v>0</v>
      </c>
      <c r="Q168" s="337"/>
      <c r="R168" s="338"/>
      <c r="T168" s="117" t="str">
        <f t="shared" ca="1" si="19"/>
        <v/>
      </c>
      <c r="U168" s="163" t="str">
        <f t="shared" ca="1" si="20"/>
        <v/>
      </c>
      <c r="V168" s="164" t="str">
        <f ca="1">IF(AND($W168&gt;0,RegimeExecucao="Unitário"),$F168,"")</f>
        <v/>
      </c>
      <c r="W168" s="454">
        <f ca="1">IF($Y168&gt;0,CHOOSE(MATCH(RegimeExecucao,{"Unitário","Global"},0),IF($A168="S",$Y168/$X168,""),($Y168/$X168)*100),0)</f>
        <v>0</v>
      </c>
      <c r="X168" s="339" t="str">
        <f ca="1">IF($Y168&gt;0,CHOOSE(MATCH(RegimeExecucao,{"Unitário","Global"},0),IF($A168="S",ROUND($H168,ORÇAMENTO!$AF$10),""),ROUND($I168,ORÇAMENTO!$AF$11)),"")</f>
        <v/>
      </c>
      <c r="Y168" s="339">
        <f t="shared" ca="1" si="21"/>
        <v>0</v>
      </c>
      <c r="Z168" s="473"/>
      <c r="AB168" s="337"/>
      <c r="AC168" s="437"/>
      <c r="AD168" s="437"/>
      <c r="AE168" s="437"/>
      <c r="AF168" s="437"/>
      <c r="AG168" s="437"/>
      <c r="AH168" s="437"/>
      <c r="AI168" s="437"/>
      <c r="AJ168" s="437"/>
      <c r="AK168" s="437"/>
      <c r="AL168" s="437"/>
      <c r="AM168" s="338"/>
      <c r="AO168">
        <f ca="1">IF($A168="S",IF(BM!$I168=0,0,CHOOSE(MATCH(RegimeExecucao,{"Global","Unitário"},0),ROUND(ROUND(BM.MEDAcumulado,15-13*BM!$A$9)/100*BM!$I168,15-13*ORÇAMENTO!$AF$11),ROUND(ROUND(BM.MEDAcumulado,15-13*BM!$A$9)*ROUND(BM!$H168,15-13*ORÇAMENTO!$AF$10),15-13*ORÇAMENTO!$AF$11))),IF($A168=0,0,ROUND(SomaAgrupBM,15-13*ORÇAMENTO!$AF$11)))</f>
        <v>0</v>
      </c>
    </row>
    <row r="169" spans="1:41" ht="51" x14ac:dyDescent="0.2">
      <c r="A169" t="str">
        <f ca="1">ORÇAMENTO!C169</f>
        <v>S</v>
      </c>
      <c r="B169">
        <f ca="1">ORÇAMENTO!D169</f>
        <v>0</v>
      </c>
      <c r="C169" s="114" t="str">
        <f t="shared" ca="1" si="15"/>
        <v>F</v>
      </c>
      <c r="D169" s="117" t="str">
        <f ca="1">ORÇAMENTO!O169</f>
        <v>1.5.5.2.10.</v>
      </c>
      <c r="E169" s="163" t="str">
        <f t="shared" ca="1" si="16"/>
        <v>CARGA, MANOBRA E DESCARGA DE SOLOS E MATERIAIS GRANULARES EM CAMINHÃO BASCULANTE 18 M³ - CARGA COM ESCAVADEIRA HIDRÁULICA (CAÇAMBA DE 1,20 M³ / 155 HP) E DESCARGA LIVRE (UNIDADE: M3). AF_07/2020</v>
      </c>
      <c r="F169" s="164" t="str">
        <f ca="1">IF(RegimeExecucao="Global","",ORÇAMENTO.Unidade)</f>
        <v>M3</v>
      </c>
      <c r="G169" s="122">
        <f ca="1">IF(RegimeExecucao="Global","",ORÇAMENTO!T169)</f>
        <v>5.72</v>
      </c>
      <c r="H169" s="122">
        <f ca="1">IF(RegimeExecucao="Global","",ORÇAMENTO!W169)</f>
        <v>8.0500000000000007</v>
      </c>
      <c r="I169" s="125">
        <f ca="1">ORÇAMENTO!X169</f>
        <v>46.05</v>
      </c>
      <c r="J169" s="333" cm="1">
        <f t="array" aca="1" ref="J169" ca="1">_xlfn.SINGLE(IF($A169="S",IF(CAIXA.Modo,BM.AFAnterior,BM.MEDAnterior),IF(AND(_xlfn.SINGLE(RegimeExecucao)="Global",$I169&gt;0,COUNTIF($AB$13:$AM$13,BM.medicao-1)&gt;0),M169/$I169*100,0)))</f>
        <v>0</v>
      </c>
      <c r="K169" s="122">
        <f t="shared" ca="1" si="17"/>
        <v>0</v>
      </c>
      <c r="L169" s="334" cm="1">
        <f t="array" aca="1" ref="L169" ca="1">_xlfn.SINGLE(IF($A169="S",IF(CAIXA.Modo,BM.AFAcumulado,BM.MEDAcumulado),IF(AND(_xlfn.SINGLE(RegimeExecucao)="Global",$I169&gt;0,COUNTIF($AB$13:$AM$13,BM.medicao)&gt;0),O169/$I169*100,0)))</f>
        <v>0</v>
      </c>
      <c r="M169" s="335">
        <f ca="1">IF($A169="S",VTOTALBM,IF($A169=0,0,ROUND(SomaAgrupBM,15-13*ORÇAMENTO!$AF$11)))</f>
        <v>0</v>
      </c>
      <c r="N169" s="336">
        <f t="shared" ca="1" si="18"/>
        <v>0</v>
      </c>
      <c r="O169" s="125">
        <f ca="1">IF($A169="S",VTOTALBM,IF($A169=0,0,ROUND(SomaAgrupBM,15-13*ORÇAMENTO!$AF$11)))</f>
        <v>0</v>
      </c>
      <c r="Q169" s="337"/>
      <c r="R169" s="338"/>
      <c r="T169" s="117" t="str">
        <f t="shared" ca="1" si="19"/>
        <v/>
      </c>
      <c r="U169" s="163" t="str">
        <f t="shared" ca="1" si="20"/>
        <v/>
      </c>
      <c r="V169" s="164" t="str">
        <f ca="1">IF(AND($W169&gt;0,RegimeExecucao="Unitário"),$F169,"")</f>
        <v/>
      </c>
      <c r="W169" s="454">
        <f ca="1">IF($Y169&gt;0,CHOOSE(MATCH(RegimeExecucao,{"Unitário","Global"},0),IF($A169="S",$Y169/$X169,""),($Y169/$X169)*100),0)</f>
        <v>0</v>
      </c>
      <c r="X169" s="339" t="str">
        <f ca="1">IF($Y169&gt;0,CHOOSE(MATCH(RegimeExecucao,{"Unitário","Global"},0),IF($A169="S",ROUND($H169,ORÇAMENTO!$AF$10),""),ROUND($I169,ORÇAMENTO!$AF$11)),"")</f>
        <v/>
      </c>
      <c r="Y169" s="339">
        <f t="shared" ca="1" si="21"/>
        <v>0</v>
      </c>
      <c r="Z169" s="473"/>
      <c r="AB169" s="337"/>
      <c r="AC169" s="437"/>
      <c r="AD169" s="437"/>
      <c r="AE169" s="437"/>
      <c r="AF169" s="437"/>
      <c r="AG169" s="437"/>
      <c r="AH169" s="437"/>
      <c r="AI169" s="437"/>
      <c r="AJ169" s="437"/>
      <c r="AK169" s="437"/>
      <c r="AL169" s="437"/>
      <c r="AM169" s="338"/>
      <c r="AO169">
        <f ca="1">IF($A169="S",IF(BM!$I169=0,0,CHOOSE(MATCH(RegimeExecucao,{"Global","Unitário"},0),ROUND(ROUND(BM.MEDAcumulado,15-13*BM!$A$9)/100*BM!$I169,15-13*ORÇAMENTO!$AF$11),ROUND(ROUND(BM.MEDAcumulado,15-13*BM!$A$9)*ROUND(BM!$H169,15-13*ORÇAMENTO!$AF$10),15-13*ORÇAMENTO!$AF$11))),IF($A169=0,0,ROUND(SomaAgrupBM,15-13*ORÇAMENTO!$AF$11)))</f>
        <v>0</v>
      </c>
    </row>
    <row r="170" spans="1:41" ht="38.25" x14ac:dyDescent="0.2">
      <c r="A170" t="str">
        <f ca="1">ORÇAMENTO!C170</f>
        <v>S</v>
      </c>
      <c r="B170">
        <f ca="1">ORÇAMENTO!D170</f>
        <v>0</v>
      </c>
      <c r="C170" s="114" t="str">
        <f t="shared" ca="1" si="15"/>
        <v>F</v>
      </c>
      <c r="D170" s="117" t="str">
        <f ca="1">ORÇAMENTO!O170</f>
        <v>1.5.5.2.11.</v>
      </c>
      <c r="E170" s="163" t="str">
        <f t="shared" ca="1" si="16"/>
        <v>TRANSPORTE COM CAMINHÃO BASCULANTE DE 18 M³, EM VIA URBANA PAVIMENTADA, DMT ATÉ 30 KM (UNIDADE: M3XKM). AF_07/2020</v>
      </c>
      <c r="F170" s="164" t="str">
        <f ca="1">IF(RegimeExecucao="Global","",ORÇAMENTO.Unidade)</f>
        <v>M3XKM</v>
      </c>
      <c r="G170" s="122">
        <f ca="1">IF(RegimeExecucao="Global","",ORÇAMENTO!T170)</f>
        <v>28.6</v>
      </c>
      <c r="H170" s="122">
        <f ca="1">IF(RegimeExecucao="Global","",ORÇAMENTO!W170)</f>
        <v>2.35</v>
      </c>
      <c r="I170" s="125">
        <f ca="1">ORÇAMENTO!X170</f>
        <v>67.209999999999994</v>
      </c>
      <c r="J170" s="333" cm="1">
        <f t="array" aca="1" ref="J170" ca="1">_xlfn.SINGLE(IF($A170="S",IF(CAIXA.Modo,BM.AFAnterior,BM.MEDAnterior),IF(AND(_xlfn.SINGLE(RegimeExecucao)="Global",$I170&gt;0,COUNTIF($AB$13:$AM$13,BM.medicao-1)&gt;0),M170/$I170*100,0)))</f>
        <v>0</v>
      </c>
      <c r="K170" s="122">
        <f t="shared" ca="1" si="17"/>
        <v>0</v>
      </c>
      <c r="L170" s="334" cm="1">
        <f t="array" aca="1" ref="L170" ca="1">_xlfn.SINGLE(IF($A170="S",IF(CAIXA.Modo,BM.AFAcumulado,BM.MEDAcumulado),IF(AND(_xlfn.SINGLE(RegimeExecucao)="Global",$I170&gt;0,COUNTIF($AB$13:$AM$13,BM.medicao)&gt;0),O170/$I170*100,0)))</f>
        <v>0</v>
      </c>
      <c r="M170" s="335">
        <f ca="1">IF($A170="S",VTOTALBM,IF($A170=0,0,ROUND(SomaAgrupBM,15-13*ORÇAMENTO!$AF$11)))</f>
        <v>0</v>
      </c>
      <c r="N170" s="336">
        <f t="shared" ca="1" si="18"/>
        <v>0</v>
      </c>
      <c r="O170" s="125">
        <f ca="1">IF($A170="S",VTOTALBM,IF($A170=0,0,ROUND(SomaAgrupBM,15-13*ORÇAMENTO!$AF$11)))</f>
        <v>0</v>
      </c>
      <c r="Q170" s="337"/>
      <c r="R170" s="338"/>
      <c r="T170" s="117" t="str">
        <f t="shared" ca="1" si="19"/>
        <v/>
      </c>
      <c r="U170" s="163" t="str">
        <f t="shared" ca="1" si="20"/>
        <v/>
      </c>
      <c r="V170" s="164" t="str">
        <f ca="1">IF(AND($W170&gt;0,RegimeExecucao="Unitário"),$F170,"")</f>
        <v/>
      </c>
      <c r="W170" s="454">
        <f ca="1">IF($Y170&gt;0,CHOOSE(MATCH(RegimeExecucao,{"Unitário","Global"},0),IF($A170="S",$Y170/$X170,""),($Y170/$X170)*100),0)</f>
        <v>0</v>
      </c>
      <c r="X170" s="339" t="str">
        <f ca="1">IF($Y170&gt;0,CHOOSE(MATCH(RegimeExecucao,{"Unitário","Global"},0),IF($A170="S",ROUND($H170,ORÇAMENTO!$AF$10),""),ROUND($I170,ORÇAMENTO!$AF$11)),"")</f>
        <v/>
      </c>
      <c r="Y170" s="339">
        <f t="shared" ca="1" si="21"/>
        <v>0</v>
      </c>
      <c r="Z170" s="473"/>
      <c r="AB170" s="337"/>
      <c r="AC170" s="437"/>
      <c r="AD170" s="437"/>
      <c r="AE170" s="437"/>
      <c r="AF170" s="437"/>
      <c r="AG170" s="437"/>
      <c r="AH170" s="437"/>
      <c r="AI170" s="437"/>
      <c r="AJ170" s="437"/>
      <c r="AK170" s="437"/>
      <c r="AL170" s="437"/>
      <c r="AM170" s="338"/>
      <c r="AO170">
        <f ca="1">IF($A170="S",IF(BM!$I170=0,0,CHOOSE(MATCH(RegimeExecucao,{"Global","Unitário"},0),ROUND(ROUND(BM.MEDAcumulado,15-13*BM!$A$9)/100*BM!$I170,15-13*ORÇAMENTO!$AF$11),ROUND(ROUND(BM.MEDAcumulado,15-13*BM!$A$9)*ROUND(BM!$H170,15-13*ORÇAMENTO!$AF$10),15-13*ORÇAMENTO!$AF$11))),IF($A170=0,0,ROUND(SomaAgrupBM,15-13*ORÇAMENTO!$AF$11)))</f>
        <v>0</v>
      </c>
    </row>
    <row r="171" spans="1:41" x14ac:dyDescent="0.2">
      <c r="A171" t="str">
        <f ca="1">ORÇAMENTO!C171</f>
        <v>S</v>
      </c>
      <c r="B171">
        <f ca="1">ORÇAMENTO!D171</f>
        <v>0</v>
      </c>
      <c r="C171" s="114" t="str">
        <f t="shared" ca="1" si="15"/>
        <v>F</v>
      </c>
      <c r="D171" s="117" t="str">
        <f ca="1">ORÇAMENTO!O171</f>
        <v>1.5.5.2.12.</v>
      </c>
      <c r="E171" s="163" t="str">
        <f t="shared" ca="1" si="16"/>
        <v>TAXA ATERRO SANITÁRIO</v>
      </c>
      <c r="F171" s="164" t="str">
        <f ca="1">IF(RegimeExecucao="Global","",ORÇAMENTO.Unidade)</f>
        <v>T</v>
      </c>
      <c r="G171" s="122">
        <f ca="1">IF(RegimeExecucao="Global","",ORÇAMENTO!T171)</f>
        <v>7.78</v>
      </c>
      <c r="H171" s="122">
        <f ca="1">IF(RegimeExecucao="Global","",ORÇAMENTO!W171)</f>
        <v>80.510000000000005</v>
      </c>
      <c r="I171" s="125">
        <f ca="1">ORÇAMENTO!X171</f>
        <v>626.37</v>
      </c>
      <c r="J171" s="333" cm="1">
        <f t="array" aca="1" ref="J171" ca="1">_xlfn.SINGLE(IF($A171="S",IF(CAIXA.Modo,BM.AFAnterior,BM.MEDAnterior),IF(AND(_xlfn.SINGLE(RegimeExecucao)="Global",$I171&gt;0,COUNTIF($AB$13:$AM$13,BM.medicao-1)&gt;0),M171/$I171*100,0)))</f>
        <v>0</v>
      </c>
      <c r="K171" s="122">
        <f t="shared" ca="1" si="17"/>
        <v>0</v>
      </c>
      <c r="L171" s="334" cm="1">
        <f t="array" aca="1" ref="L171" ca="1">_xlfn.SINGLE(IF($A171="S",IF(CAIXA.Modo,BM.AFAcumulado,BM.MEDAcumulado),IF(AND(_xlfn.SINGLE(RegimeExecucao)="Global",$I171&gt;0,COUNTIF($AB$13:$AM$13,BM.medicao)&gt;0),O171/$I171*100,0)))</f>
        <v>0</v>
      </c>
      <c r="M171" s="335">
        <f ca="1">IF($A171="S",VTOTALBM,IF($A171=0,0,ROUND(SomaAgrupBM,15-13*ORÇAMENTO!$AF$11)))</f>
        <v>0</v>
      </c>
      <c r="N171" s="336">
        <f t="shared" ca="1" si="18"/>
        <v>0</v>
      </c>
      <c r="O171" s="125">
        <f ca="1">IF($A171="S",VTOTALBM,IF($A171=0,0,ROUND(SomaAgrupBM,15-13*ORÇAMENTO!$AF$11)))</f>
        <v>0</v>
      </c>
      <c r="Q171" s="337"/>
      <c r="R171" s="338"/>
      <c r="T171" s="117" t="str">
        <f t="shared" ca="1" si="19"/>
        <v/>
      </c>
      <c r="U171" s="163" t="str">
        <f t="shared" ca="1" si="20"/>
        <v/>
      </c>
      <c r="V171" s="164" t="str">
        <f ca="1">IF(AND($W171&gt;0,RegimeExecucao="Unitário"),$F171,"")</f>
        <v/>
      </c>
      <c r="W171" s="454">
        <f ca="1">IF($Y171&gt;0,CHOOSE(MATCH(RegimeExecucao,{"Unitário","Global"},0),IF($A171="S",$Y171/$X171,""),($Y171/$X171)*100),0)</f>
        <v>0</v>
      </c>
      <c r="X171" s="339" t="str">
        <f ca="1">IF($Y171&gt;0,CHOOSE(MATCH(RegimeExecucao,{"Unitário","Global"},0),IF($A171="S",ROUND($H171,ORÇAMENTO!$AF$10),""),ROUND($I171,ORÇAMENTO!$AF$11)),"")</f>
        <v/>
      </c>
      <c r="Y171" s="339">
        <f t="shared" ca="1" si="21"/>
        <v>0</v>
      </c>
      <c r="Z171" s="473"/>
      <c r="AB171" s="337"/>
      <c r="AC171" s="437"/>
      <c r="AD171" s="437"/>
      <c r="AE171" s="437"/>
      <c r="AF171" s="437"/>
      <c r="AG171" s="437"/>
      <c r="AH171" s="437"/>
      <c r="AI171" s="437"/>
      <c r="AJ171" s="437"/>
      <c r="AK171" s="437"/>
      <c r="AL171" s="437"/>
      <c r="AM171" s="338"/>
      <c r="AO171">
        <f ca="1">IF($A171="S",IF(BM!$I171=0,0,CHOOSE(MATCH(RegimeExecucao,{"Global","Unitário"},0),ROUND(ROUND(BM.MEDAcumulado,15-13*BM!$A$9)/100*BM!$I171,15-13*ORÇAMENTO!$AF$11),ROUND(ROUND(BM.MEDAcumulado,15-13*BM!$A$9)*ROUND(BM!$H171,15-13*ORÇAMENTO!$AF$10),15-13*ORÇAMENTO!$AF$11))),IF($A171=0,0,ROUND(SomaAgrupBM,15-13*ORÇAMENTO!$AF$11)))</f>
        <v>0</v>
      </c>
    </row>
    <row r="172" spans="1:41" ht="25.5" x14ac:dyDescent="0.2">
      <c r="A172" t="str">
        <f ca="1">ORÇAMENTO!C172</f>
        <v>S</v>
      </c>
      <c r="B172">
        <f ca="1">ORÇAMENTO!D172</f>
        <v>0</v>
      </c>
      <c r="C172" s="114" t="str">
        <f t="shared" ca="1" si="15"/>
        <v>F</v>
      </c>
      <c r="D172" s="117" t="str">
        <f ca="1">ORÇAMENTO!O172</f>
        <v>1.5.5.2.13.</v>
      </c>
      <c r="E172" s="163" t="str">
        <f t="shared" ca="1" si="16"/>
        <v>ESPALHAMENTO DE MATERIAL COM TRATOR DE ESTEIRAS. AF_09/2024</v>
      </c>
      <c r="F172" s="164" t="str">
        <f ca="1">IF(RegimeExecucao="Global","",ORÇAMENTO.Unidade)</f>
        <v>M3</v>
      </c>
      <c r="G172" s="122">
        <f ca="1">IF(RegimeExecucao="Global","",ORÇAMENTO!T172)</f>
        <v>5.72</v>
      </c>
      <c r="H172" s="122">
        <f ca="1">IF(RegimeExecucao="Global","",ORÇAMENTO!W172)</f>
        <v>1.84</v>
      </c>
      <c r="I172" s="125">
        <f ca="1">ORÇAMENTO!X172</f>
        <v>10.52</v>
      </c>
      <c r="J172" s="333" cm="1">
        <f t="array" aca="1" ref="J172" ca="1">_xlfn.SINGLE(IF($A172="S",IF(CAIXA.Modo,BM.AFAnterior,BM.MEDAnterior),IF(AND(_xlfn.SINGLE(RegimeExecucao)="Global",$I172&gt;0,COUNTIF($AB$13:$AM$13,BM.medicao-1)&gt;0),M172/$I172*100,0)))</f>
        <v>0</v>
      </c>
      <c r="K172" s="122">
        <f t="shared" ca="1" si="17"/>
        <v>0</v>
      </c>
      <c r="L172" s="334" cm="1">
        <f t="array" aca="1" ref="L172" ca="1">_xlfn.SINGLE(IF($A172="S",IF(CAIXA.Modo,BM.AFAcumulado,BM.MEDAcumulado),IF(AND(_xlfn.SINGLE(RegimeExecucao)="Global",$I172&gt;0,COUNTIF($AB$13:$AM$13,BM.medicao)&gt;0),O172/$I172*100,0)))</f>
        <v>0</v>
      </c>
      <c r="M172" s="335">
        <f ca="1">IF($A172="S",VTOTALBM,IF($A172=0,0,ROUND(SomaAgrupBM,15-13*ORÇAMENTO!$AF$11)))</f>
        <v>0</v>
      </c>
      <c r="N172" s="336">
        <f t="shared" ca="1" si="18"/>
        <v>0</v>
      </c>
      <c r="O172" s="125">
        <f ca="1">IF($A172="S",VTOTALBM,IF($A172=0,0,ROUND(SomaAgrupBM,15-13*ORÇAMENTO!$AF$11)))</f>
        <v>0</v>
      </c>
      <c r="Q172" s="337"/>
      <c r="R172" s="338"/>
      <c r="T172" s="117" t="str">
        <f t="shared" ca="1" si="19"/>
        <v/>
      </c>
      <c r="U172" s="163" t="str">
        <f t="shared" ca="1" si="20"/>
        <v/>
      </c>
      <c r="V172" s="164" t="str">
        <f ca="1">IF(AND($W172&gt;0,RegimeExecucao="Unitário"),$F172,"")</f>
        <v/>
      </c>
      <c r="W172" s="454">
        <f ca="1">IF($Y172&gt;0,CHOOSE(MATCH(RegimeExecucao,{"Unitário","Global"},0),IF($A172="S",$Y172/$X172,""),($Y172/$X172)*100),0)</f>
        <v>0</v>
      </c>
      <c r="X172" s="339" t="str">
        <f ca="1">IF($Y172&gt;0,CHOOSE(MATCH(RegimeExecucao,{"Unitário","Global"},0),IF($A172="S",ROUND($H172,ORÇAMENTO!$AF$10),""),ROUND($I172,ORÇAMENTO!$AF$11)),"")</f>
        <v/>
      </c>
      <c r="Y172" s="339">
        <f t="shared" ca="1" si="21"/>
        <v>0</v>
      </c>
      <c r="Z172" s="473"/>
      <c r="AB172" s="337"/>
      <c r="AC172" s="437"/>
      <c r="AD172" s="437"/>
      <c r="AE172" s="437"/>
      <c r="AF172" s="437"/>
      <c r="AG172" s="437"/>
      <c r="AH172" s="437"/>
      <c r="AI172" s="437"/>
      <c r="AJ172" s="437"/>
      <c r="AK172" s="437"/>
      <c r="AL172" s="437"/>
      <c r="AM172" s="338"/>
      <c r="AO172">
        <f ca="1">IF($A172="S",IF(BM!$I172=0,0,CHOOSE(MATCH(RegimeExecucao,{"Global","Unitário"},0),ROUND(ROUND(BM.MEDAcumulado,15-13*BM!$A$9)/100*BM!$I172,15-13*ORÇAMENTO!$AF$11),ROUND(ROUND(BM.MEDAcumulado,15-13*BM!$A$9)*ROUND(BM!$H172,15-13*ORÇAMENTO!$AF$10),15-13*ORÇAMENTO!$AF$11))),IF($A172=0,0,ROUND(SomaAgrupBM,15-13*ORÇAMENTO!$AF$11)))</f>
        <v>0</v>
      </c>
    </row>
    <row r="173" spans="1:41" x14ac:dyDescent="0.2">
      <c r="A173">
        <f ca="1">ORÇAMENTO!C173</f>
        <v>4</v>
      </c>
      <c r="B173">
        <f ca="1">ORÇAMENTO!D173</f>
        <v>15</v>
      </c>
      <c r="C173" s="114" t="str">
        <f t="shared" ca="1" si="15"/>
        <v>F</v>
      </c>
      <c r="D173" s="117" t="str">
        <f ca="1">ORÇAMENTO!O173</f>
        <v>1.5.5.3.</v>
      </c>
      <c r="E173" s="163" t="str">
        <f t="shared" si="16"/>
        <v>VIGAS BALDRAMES</v>
      </c>
      <c r="F173" s="164" t="str">
        <f ca="1">IF(RegimeExecucao="Global","",ORÇAMENTO.Unidade)</f>
        <v>-</v>
      </c>
      <c r="G173" s="122">
        <f ca="1">IF(RegimeExecucao="Global","",ORÇAMENTO!T173)</f>
        <v>0</v>
      </c>
      <c r="H173" s="122">
        <f ca="1">IF(RegimeExecucao="Global","",ORÇAMENTO!W173)</f>
        <v>0</v>
      </c>
      <c r="I173" s="125">
        <f ca="1">ORÇAMENTO!X173</f>
        <v>3708.06</v>
      </c>
      <c r="J173" s="333" cm="1">
        <f t="array" aca="1" ref="J173" ca="1">_xlfn.SINGLE(IF($A173="S",IF(CAIXA.Modo,BM.AFAnterior,BM.MEDAnterior),IF(AND(_xlfn.SINGLE(RegimeExecucao)="Global",$I173&gt;0,COUNTIF($AB$13:$AM$13,BM.medicao-1)&gt;0),M173/$I173*100,0)))</f>
        <v>0</v>
      </c>
      <c r="K173" s="122">
        <f t="shared" ca="1" si="17"/>
        <v>0</v>
      </c>
      <c r="L173" s="334" cm="1">
        <f t="array" aca="1" ref="L173" ca="1">_xlfn.SINGLE(IF($A173="S",IF(CAIXA.Modo,BM.AFAcumulado,BM.MEDAcumulado),IF(AND(_xlfn.SINGLE(RegimeExecucao)="Global",$I173&gt;0,COUNTIF($AB$13:$AM$13,BM.medicao)&gt;0),O173/$I173*100,0)))</f>
        <v>0</v>
      </c>
      <c r="M173" s="335">
        <f ca="1">IF($A173="S",VTOTALBM,IF($A173=0,0,ROUND(SomaAgrupBM,15-13*ORÇAMENTO!$AF$11)))</f>
        <v>0</v>
      </c>
      <c r="N173" s="336">
        <f t="shared" ca="1" si="18"/>
        <v>0</v>
      </c>
      <c r="O173" s="125">
        <f ca="1">IF($A173="S",VTOTALBM,IF($A173=0,0,ROUND(SomaAgrupBM,15-13*ORÇAMENTO!$AF$11)))</f>
        <v>0</v>
      </c>
      <c r="Q173" s="337"/>
      <c r="R173" s="338"/>
      <c r="T173" s="117" t="str">
        <f t="shared" ca="1" si="19"/>
        <v/>
      </c>
      <c r="U173" s="163" t="str">
        <f t="shared" ca="1" si="20"/>
        <v/>
      </c>
      <c r="V173" s="164" t="str">
        <f ca="1">IF(AND($W173&gt;0,RegimeExecucao="Unitário"),$F173,"")</f>
        <v/>
      </c>
      <c r="W173" s="454">
        <f ca="1">IF($Y173&gt;0,CHOOSE(MATCH(RegimeExecucao,{"Unitário","Global"},0),IF($A173="S",$Y173/$X173,""),($Y173/$X173)*100),0)</f>
        <v>0</v>
      </c>
      <c r="X173" s="339" t="str">
        <f ca="1">IF($Y173&gt;0,CHOOSE(MATCH(RegimeExecucao,{"Unitário","Global"},0),IF($A173="S",ROUND($H173,ORÇAMENTO!$AF$10),""),ROUND($I173,ORÇAMENTO!$AF$11)),"")</f>
        <v/>
      </c>
      <c r="Y173" s="339">
        <f t="shared" ca="1" si="21"/>
        <v>0</v>
      </c>
      <c r="Z173" s="473"/>
      <c r="AB173" s="337"/>
      <c r="AC173" s="437"/>
      <c r="AD173" s="437"/>
      <c r="AE173" s="437"/>
      <c r="AF173" s="437"/>
      <c r="AG173" s="437"/>
      <c r="AH173" s="437"/>
      <c r="AI173" s="437"/>
      <c r="AJ173" s="437"/>
      <c r="AK173" s="437"/>
      <c r="AL173" s="437"/>
      <c r="AM173" s="338"/>
      <c r="AO173">
        <f ca="1">IF($A173="S",IF(BM!$I173=0,0,CHOOSE(MATCH(RegimeExecucao,{"Global","Unitário"},0),ROUND(ROUND(BM.MEDAcumulado,15-13*BM!$A$9)/100*BM!$I173,15-13*ORÇAMENTO!$AF$11),ROUND(ROUND(BM.MEDAcumulado,15-13*BM!$A$9)*ROUND(BM!$H173,15-13*ORÇAMENTO!$AF$10),15-13*ORÇAMENTO!$AF$11))),IF($A173=0,0,ROUND(SomaAgrupBM,15-13*ORÇAMENTO!$AF$11)))</f>
        <v>0</v>
      </c>
    </row>
    <row r="174" spans="1:41" ht="25.5" x14ac:dyDescent="0.2">
      <c r="A174" t="str">
        <f ca="1">ORÇAMENTO!C174</f>
        <v>S</v>
      </c>
      <c r="B174">
        <f ca="1">ORÇAMENTO!D174</f>
        <v>0</v>
      </c>
      <c r="C174" s="114" t="str">
        <f t="shared" ca="1" si="15"/>
        <v>F</v>
      </c>
      <c r="D174" s="117" t="str">
        <f ca="1">ORÇAMENTO!O174</f>
        <v>1.5.5.3.1.</v>
      </c>
      <c r="E174" s="163" t="str">
        <f t="shared" ca="1" si="16"/>
        <v>ESCAVAÇÃO MANUAL DE VALA COM PROFUNDIDADE MENOR OU IGUAL A 1,5M, INCLUSIVE DESCARGA LATERAL</v>
      </c>
      <c r="F174" s="164" t="str">
        <f ca="1">IF(RegimeExecucao="Global","",ORÇAMENTO.Unidade)</f>
        <v>M3</v>
      </c>
      <c r="G174" s="122">
        <f ca="1">IF(RegimeExecucao="Global","",ORÇAMENTO!T174)</f>
        <v>5.72</v>
      </c>
      <c r="H174" s="122">
        <f ca="1">IF(RegimeExecucao="Global","",ORÇAMENTO!W174)</f>
        <v>95.45</v>
      </c>
      <c r="I174" s="125">
        <f ca="1">ORÇAMENTO!X174</f>
        <v>545.97</v>
      </c>
      <c r="J174" s="333" cm="1">
        <f t="array" aca="1" ref="J174" ca="1">_xlfn.SINGLE(IF($A174="S",IF(CAIXA.Modo,BM.AFAnterior,BM.MEDAnterior),IF(AND(_xlfn.SINGLE(RegimeExecucao)="Global",$I174&gt;0,COUNTIF($AB$13:$AM$13,BM.medicao-1)&gt;0),M174/$I174*100,0)))</f>
        <v>0</v>
      </c>
      <c r="K174" s="122">
        <f t="shared" ca="1" si="17"/>
        <v>0</v>
      </c>
      <c r="L174" s="334" cm="1">
        <f t="array" aca="1" ref="L174" ca="1">_xlfn.SINGLE(IF($A174="S",IF(CAIXA.Modo,BM.AFAcumulado,BM.MEDAcumulado),IF(AND(_xlfn.SINGLE(RegimeExecucao)="Global",$I174&gt;0,COUNTIF($AB$13:$AM$13,BM.medicao)&gt;0),O174/$I174*100,0)))</f>
        <v>0</v>
      </c>
      <c r="M174" s="335">
        <f ca="1">IF($A174="S",VTOTALBM,IF($A174=0,0,ROUND(SomaAgrupBM,15-13*ORÇAMENTO!$AF$11)))</f>
        <v>0</v>
      </c>
      <c r="N174" s="336">
        <f t="shared" ca="1" si="18"/>
        <v>0</v>
      </c>
      <c r="O174" s="125">
        <f ca="1">IF($A174="S",VTOTALBM,IF($A174=0,0,ROUND(SomaAgrupBM,15-13*ORÇAMENTO!$AF$11)))</f>
        <v>0</v>
      </c>
      <c r="Q174" s="337"/>
      <c r="R174" s="338"/>
      <c r="T174" s="117" t="str">
        <f t="shared" ca="1" si="19"/>
        <v/>
      </c>
      <c r="U174" s="163" t="str">
        <f t="shared" ca="1" si="20"/>
        <v/>
      </c>
      <c r="V174" s="164" t="str">
        <f ca="1">IF(AND($W174&gt;0,RegimeExecucao="Unitário"),$F174,"")</f>
        <v/>
      </c>
      <c r="W174" s="454">
        <f ca="1">IF($Y174&gt;0,CHOOSE(MATCH(RegimeExecucao,{"Unitário","Global"},0),IF($A174="S",$Y174/$X174,""),($Y174/$X174)*100),0)</f>
        <v>0</v>
      </c>
      <c r="X174" s="339" t="str">
        <f ca="1">IF($Y174&gt;0,CHOOSE(MATCH(RegimeExecucao,{"Unitário","Global"},0),IF($A174="S",ROUND($H174,ORÇAMENTO!$AF$10),""),ROUND($I174,ORÇAMENTO!$AF$11)),"")</f>
        <v/>
      </c>
      <c r="Y174" s="339">
        <f t="shared" ca="1" si="21"/>
        <v>0</v>
      </c>
      <c r="Z174" s="473"/>
      <c r="AB174" s="337"/>
      <c r="AC174" s="437"/>
      <c r="AD174" s="437"/>
      <c r="AE174" s="437"/>
      <c r="AF174" s="437"/>
      <c r="AG174" s="437"/>
      <c r="AH174" s="437"/>
      <c r="AI174" s="437"/>
      <c r="AJ174" s="437"/>
      <c r="AK174" s="437"/>
      <c r="AL174" s="437"/>
      <c r="AM174" s="338"/>
      <c r="AO174">
        <f ca="1">IF($A174="S",IF(BM!$I174=0,0,CHOOSE(MATCH(RegimeExecucao,{"Global","Unitário"},0),ROUND(ROUND(BM.MEDAcumulado,15-13*BM!$A$9)/100*BM!$I174,15-13*ORÇAMENTO!$AF$11),ROUND(ROUND(BM.MEDAcumulado,15-13*BM!$A$9)*ROUND(BM!$H174,15-13*ORÇAMENTO!$AF$10),15-13*ORÇAMENTO!$AF$11))),IF($A174=0,0,ROUND(SomaAgrupBM,15-13*ORÇAMENTO!$AF$11)))</f>
        <v>0</v>
      </c>
    </row>
    <row r="175" spans="1:41" ht="25.5" x14ac:dyDescent="0.2">
      <c r="A175" t="str">
        <f ca="1">ORÇAMENTO!C175</f>
        <v>S</v>
      </c>
      <c r="B175">
        <f ca="1">ORÇAMENTO!D175</f>
        <v>0</v>
      </c>
      <c r="C175" s="114" t="str">
        <f t="shared" ca="1" si="15"/>
        <v>F</v>
      </c>
      <c r="D175" s="117" t="str">
        <f ca="1">ORÇAMENTO!O175</f>
        <v>1.5.5.3.2.</v>
      </c>
      <c r="E175" s="163" t="str">
        <f t="shared" ca="1" si="16"/>
        <v>PREPARO DE FUNDO DE VALA COM LARGURA MENOR QUE 1,5 M (ACERTO DO SOLO NATURAL). AF_08/2020</v>
      </c>
      <c r="F175" s="164" t="str">
        <f ca="1">IF(RegimeExecucao="Global","",ORÇAMENTO.Unidade)</f>
        <v>M2</v>
      </c>
      <c r="G175" s="122">
        <f ca="1">IF(RegimeExecucao="Global","",ORÇAMENTO!T175)</f>
        <v>8.17</v>
      </c>
      <c r="H175" s="122">
        <f ca="1">IF(RegimeExecucao="Global","",ORÇAMENTO!W175)</f>
        <v>8.56</v>
      </c>
      <c r="I175" s="125">
        <f ca="1">ORÇAMENTO!X175</f>
        <v>69.94</v>
      </c>
      <c r="J175" s="333" cm="1">
        <f t="array" aca="1" ref="J175" ca="1">_xlfn.SINGLE(IF($A175="S",IF(CAIXA.Modo,BM.AFAnterior,BM.MEDAnterior),IF(AND(_xlfn.SINGLE(RegimeExecucao)="Global",$I175&gt;0,COUNTIF($AB$13:$AM$13,BM.medicao-1)&gt;0),M175/$I175*100,0)))</f>
        <v>0</v>
      </c>
      <c r="K175" s="122">
        <f t="shared" ca="1" si="17"/>
        <v>0</v>
      </c>
      <c r="L175" s="334" cm="1">
        <f t="array" aca="1" ref="L175" ca="1">_xlfn.SINGLE(IF($A175="S",IF(CAIXA.Modo,BM.AFAcumulado,BM.MEDAcumulado),IF(AND(_xlfn.SINGLE(RegimeExecucao)="Global",$I175&gt;0,COUNTIF($AB$13:$AM$13,BM.medicao)&gt;0),O175/$I175*100,0)))</f>
        <v>0</v>
      </c>
      <c r="M175" s="335">
        <f ca="1">IF($A175="S",VTOTALBM,IF($A175=0,0,ROUND(SomaAgrupBM,15-13*ORÇAMENTO!$AF$11)))</f>
        <v>0</v>
      </c>
      <c r="N175" s="336">
        <f t="shared" ca="1" si="18"/>
        <v>0</v>
      </c>
      <c r="O175" s="125">
        <f ca="1">IF($A175="S",VTOTALBM,IF($A175=0,0,ROUND(SomaAgrupBM,15-13*ORÇAMENTO!$AF$11)))</f>
        <v>0</v>
      </c>
      <c r="Q175" s="337"/>
      <c r="R175" s="338"/>
      <c r="T175" s="117" t="str">
        <f t="shared" ca="1" si="19"/>
        <v/>
      </c>
      <c r="U175" s="163" t="str">
        <f t="shared" ca="1" si="20"/>
        <v/>
      </c>
      <c r="V175" s="164" t="str">
        <f ca="1">IF(AND($W175&gt;0,RegimeExecucao="Unitário"),$F175,"")</f>
        <v/>
      </c>
      <c r="W175" s="454">
        <f ca="1">IF($Y175&gt;0,CHOOSE(MATCH(RegimeExecucao,{"Unitário","Global"},0),IF($A175="S",$Y175/$X175,""),($Y175/$X175)*100),0)</f>
        <v>0</v>
      </c>
      <c r="X175" s="339" t="str">
        <f ca="1">IF($Y175&gt;0,CHOOSE(MATCH(RegimeExecucao,{"Unitário","Global"},0),IF($A175="S",ROUND($H175,ORÇAMENTO!$AF$10),""),ROUND($I175,ORÇAMENTO!$AF$11)),"")</f>
        <v/>
      </c>
      <c r="Y175" s="339">
        <f t="shared" ca="1" si="21"/>
        <v>0</v>
      </c>
      <c r="Z175" s="473"/>
      <c r="AB175" s="337"/>
      <c r="AC175" s="437"/>
      <c r="AD175" s="437"/>
      <c r="AE175" s="437"/>
      <c r="AF175" s="437"/>
      <c r="AG175" s="437"/>
      <c r="AH175" s="437"/>
      <c r="AI175" s="437"/>
      <c r="AJ175" s="437"/>
      <c r="AK175" s="437"/>
      <c r="AL175" s="437"/>
      <c r="AM175" s="338"/>
      <c r="AO175">
        <f ca="1">IF($A175="S",IF(BM!$I175=0,0,CHOOSE(MATCH(RegimeExecucao,{"Global","Unitário"},0),ROUND(ROUND(BM.MEDAcumulado,15-13*BM!$A$9)/100*BM!$I175,15-13*ORÇAMENTO!$AF$11),ROUND(ROUND(BM.MEDAcumulado,15-13*BM!$A$9)*ROUND(BM!$H175,15-13*ORÇAMENTO!$AF$10),15-13*ORÇAMENTO!$AF$11))),IF($A175=0,0,ROUND(SomaAgrupBM,15-13*ORÇAMENTO!$AF$11)))</f>
        <v>0</v>
      </c>
    </row>
    <row r="176" spans="1:41" ht="25.5" x14ac:dyDescent="0.2">
      <c r="A176" t="str">
        <f ca="1">ORÇAMENTO!C176</f>
        <v>S</v>
      </c>
      <c r="B176">
        <f ca="1">ORÇAMENTO!D176</f>
        <v>0</v>
      </c>
      <c r="C176" s="114" t="str">
        <f t="shared" ca="1" si="15"/>
        <v>F</v>
      </c>
      <c r="D176" s="117" t="str">
        <f ca="1">ORÇAMENTO!O176</f>
        <v>1.5.5.3.3.</v>
      </c>
      <c r="E176" s="163" t="str">
        <f t="shared" ca="1" si="16"/>
        <v>FÔRMAS DE COMPENSADO RESINADO 10 MM - USO GERAL - UTILIZAÇÃO DE 3 VEZES - CONFECÇÃO, INSTALAÇÃO E RETIRADA</v>
      </c>
      <c r="F176" s="164" t="str">
        <f ca="1">IF(RegimeExecucao="Global","",ORÇAMENTO.Unidade)</f>
        <v>M2</v>
      </c>
      <c r="G176" s="122">
        <f ca="1">IF(RegimeExecucao="Global","",ORÇAMENTO!T176)</f>
        <v>9.61</v>
      </c>
      <c r="H176" s="122">
        <f ca="1">IF(RegimeExecucao="Global","",ORÇAMENTO!W176)</f>
        <v>88.5</v>
      </c>
      <c r="I176" s="125">
        <f ca="1">ORÇAMENTO!X176</f>
        <v>850.49</v>
      </c>
      <c r="J176" s="333" cm="1">
        <f t="array" aca="1" ref="J176" ca="1">_xlfn.SINGLE(IF($A176="S",IF(CAIXA.Modo,BM.AFAnterior,BM.MEDAnterior),IF(AND(_xlfn.SINGLE(RegimeExecucao)="Global",$I176&gt;0,COUNTIF($AB$13:$AM$13,BM.medicao-1)&gt;0),M176/$I176*100,0)))</f>
        <v>0</v>
      </c>
      <c r="K176" s="122">
        <f t="shared" ca="1" si="17"/>
        <v>0</v>
      </c>
      <c r="L176" s="334" cm="1">
        <f t="array" aca="1" ref="L176" ca="1">_xlfn.SINGLE(IF($A176="S",IF(CAIXA.Modo,BM.AFAcumulado,BM.MEDAcumulado),IF(AND(_xlfn.SINGLE(RegimeExecucao)="Global",$I176&gt;0,COUNTIF($AB$13:$AM$13,BM.medicao)&gt;0),O176/$I176*100,0)))</f>
        <v>0</v>
      </c>
      <c r="M176" s="335">
        <f ca="1">IF($A176="S",VTOTALBM,IF($A176=0,0,ROUND(SomaAgrupBM,15-13*ORÇAMENTO!$AF$11)))</f>
        <v>0</v>
      </c>
      <c r="N176" s="336">
        <f t="shared" ca="1" si="18"/>
        <v>0</v>
      </c>
      <c r="O176" s="125">
        <f ca="1">IF($A176="S",VTOTALBM,IF($A176=0,0,ROUND(SomaAgrupBM,15-13*ORÇAMENTO!$AF$11)))</f>
        <v>0</v>
      </c>
      <c r="Q176" s="337"/>
      <c r="R176" s="338"/>
      <c r="T176" s="117" t="str">
        <f t="shared" ca="1" si="19"/>
        <v/>
      </c>
      <c r="U176" s="163" t="str">
        <f t="shared" ca="1" si="20"/>
        <v/>
      </c>
      <c r="V176" s="164" t="str">
        <f ca="1">IF(AND($W176&gt;0,RegimeExecucao="Unitário"),$F176,"")</f>
        <v/>
      </c>
      <c r="W176" s="454">
        <f ca="1">IF($Y176&gt;0,CHOOSE(MATCH(RegimeExecucao,{"Unitário","Global"},0),IF($A176="S",$Y176/$X176,""),($Y176/$X176)*100),0)</f>
        <v>0</v>
      </c>
      <c r="X176" s="339" t="str">
        <f ca="1">IF($Y176&gt;0,CHOOSE(MATCH(RegimeExecucao,{"Unitário","Global"},0),IF($A176="S",ROUND($H176,ORÇAMENTO!$AF$10),""),ROUND($I176,ORÇAMENTO!$AF$11)),"")</f>
        <v/>
      </c>
      <c r="Y176" s="339">
        <f t="shared" ca="1" si="21"/>
        <v>0</v>
      </c>
      <c r="Z176" s="473"/>
      <c r="AB176" s="337"/>
      <c r="AC176" s="437"/>
      <c r="AD176" s="437"/>
      <c r="AE176" s="437"/>
      <c r="AF176" s="437"/>
      <c r="AG176" s="437"/>
      <c r="AH176" s="437"/>
      <c r="AI176" s="437"/>
      <c r="AJ176" s="437"/>
      <c r="AK176" s="437"/>
      <c r="AL176" s="437"/>
      <c r="AM176" s="338"/>
      <c r="AO176">
        <f ca="1">IF($A176="S",IF(BM!$I176=0,0,CHOOSE(MATCH(RegimeExecucao,{"Global","Unitário"},0),ROUND(ROUND(BM.MEDAcumulado,15-13*BM!$A$9)/100*BM!$I176,15-13*ORÇAMENTO!$AF$11),ROUND(ROUND(BM.MEDAcumulado,15-13*BM!$A$9)*ROUND(BM!$H176,15-13*ORÇAMENTO!$AF$10),15-13*ORÇAMENTO!$AF$11))),IF($A176=0,0,ROUND(SomaAgrupBM,15-13*ORÇAMENTO!$AF$11)))</f>
        <v>0</v>
      </c>
    </row>
    <row r="177" spans="1:41" ht="25.5" x14ac:dyDescent="0.2">
      <c r="A177" t="str">
        <f ca="1">ORÇAMENTO!C177</f>
        <v>S</v>
      </c>
      <c r="B177">
        <f ca="1">ORÇAMENTO!D177</f>
        <v>0</v>
      </c>
      <c r="C177" s="114" t="str">
        <f t="shared" ca="1" si="15"/>
        <v>F</v>
      </c>
      <c r="D177" s="117" t="str">
        <f ca="1">ORÇAMENTO!O177</f>
        <v>1.5.5.3.4.</v>
      </c>
      <c r="E177" s="163" t="str">
        <f t="shared" ca="1" si="16"/>
        <v xml:space="preserve">LASTRO DE CONCRETO MAGRO, INCLUSIVE TRANSPORTE, LANÇAMENTO E ADENSAMENTO </v>
      </c>
      <c r="F177" s="164" t="str">
        <f ca="1">IF(RegimeExecucao="Global","",ORÇAMENTO.Unidade)</f>
        <v>M3</v>
      </c>
      <c r="G177" s="122">
        <f ca="1">IF(RegimeExecucao="Global","",ORÇAMENTO!T177)</f>
        <v>0.41</v>
      </c>
      <c r="H177" s="122">
        <f ca="1">IF(RegimeExecucao="Global","",ORÇAMENTO!W177)</f>
        <v>727.7</v>
      </c>
      <c r="I177" s="125">
        <f ca="1">ORÇAMENTO!X177</f>
        <v>298.36</v>
      </c>
      <c r="J177" s="333" cm="1">
        <f t="array" aca="1" ref="J177" ca="1">_xlfn.SINGLE(IF($A177="S",IF(CAIXA.Modo,BM.AFAnterior,BM.MEDAnterior),IF(AND(_xlfn.SINGLE(RegimeExecucao)="Global",$I177&gt;0,COUNTIF($AB$13:$AM$13,BM.medicao-1)&gt;0),M177/$I177*100,0)))</f>
        <v>0</v>
      </c>
      <c r="K177" s="122">
        <f t="shared" ca="1" si="17"/>
        <v>0</v>
      </c>
      <c r="L177" s="334" cm="1">
        <f t="array" aca="1" ref="L177" ca="1">_xlfn.SINGLE(IF($A177="S",IF(CAIXA.Modo,BM.AFAcumulado,BM.MEDAcumulado),IF(AND(_xlfn.SINGLE(RegimeExecucao)="Global",$I177&gt;0,COUNTIF($AB$13:$AM$13,BM.medicao)&gt;0),O177/$I177*100,0)))</f>
        <v>0</v>
      </c>
      <c r="M177" s="335">
        <f ca="1">IF($A177="S",VTOTALBM,IF($A177=0,0,ROUND(SomaAgrupBM,15-13*ORÇAMENTO!$AF$11)))</f>
        <v>0</v>
      </c>
      <c r="N177" s="336">
        <f t="shared" ca="1" si="18"/>
        <v>0</v>
      </c>
      <c r="O177" s="125">
        <f ca="1">IF($A177="S",VTOTALBM,IF($A177=0,0,ROUND(SomaAgrupBM,15-13*ORÇAMENTO!$AF$11)))</f>
        <v>0</v>
      </c>
      <c r="Q177" s="337"/>
      <c r="R177" s="338"/>
      <c r="T177" s="117" t="str">
        <f t="shared" ca="1" si="19"/>
        <v/>
      </c>
      <c r="U177" s="163" t="str">
        <f t="shared" ca="1" si="20"/>
        <v/>
      </c>
      <c r="V177" s="164" t="str">
        <f ca="1">IF(AND($W177&gt;0,RegimeExecucao="Unitário"),$F177,"")</f>
        <v/>
      </c>
      <c r="W177" s="454">
        <f ca="1">IF($Y177&gt;0,CHOOSE(MATCH(RegimeExecucao,{"Unitário","Global"},0),IF($A177="S",$Y177/$X177,""),($Y177/$X177)*100),0)</f>
        <v>0</v>
      </c>
      <c r="X177" s="339" t="str">
        <f ca="1">IF($Y177&gt;0,CHOOSE(MATCH(RegimeExecucao,{"Unitário","Global"},0),IF($A177="S",ROUND($H177,ORÇAMENTO!$AF$10),""),ROUND($I177,ORÇAMENTO!$AF$11)),"")</f>
        <v/>
      </c>
      <c r="Y177" s="339">
        <f t="shared" ca="1" si="21"/>
        <v>0</v>
      </c>
      <c r="Z177" s="473"/>
      <c r="AB177" s="337"/>
      <c r="AC177" s="437"/>
      <c r="AD177" s="437"/>
      <c r="AE177" s="437"/>
      <c r="AF177" s="437"/>
      <c r="AG177" s="437"/>
      <c r="AH177" s="437"/>
      <c r="AI177" s="437"/>
      <c r="AJ177" s="437"/>
      <c r="AK177" s="437"/>
      <c r="AL177" s="437"/>
      <c r="AM177" s="338"/>
      <c r="AO177">
        <f ca="1">IF($A177="S",IF(BM!$I177=0,0,CHOOSE(MATCH(RegimeExecucao,{"Global","Unitário"},0),ROUND(ROUND(BM.MEDAcumulado,15-13*BM!$A$9)/100*BM!$I177,15-13*ORÇAMENTO!$AF$11),ROUND(ROUND(BM.MEDAcumulado,15-13*BM!$A$9)*ROUND(BM!$H177,15-13*ORÇAMENTO!$AF$10),15-13*ORÇAMENTO!$AF$11))),IF($A177=0,0,ROUND(SomaAgrupBM,15-13*ORÇAMENTO!$AF$11)))</f>
        <v>0</v>
      </c>
    </row>
    <row r="178" spans="1:41" ht="25.5" x14ac:dyDescent="0.2">
      <c r="A178" t="str">
        <f ca="1">ORÇAMENTO!C178</f>
        <v>S</v>
      </c>
      <c r="B178">
        <f ca="1">ORÇAMENTO!D178</f>
        <v>0</v>
      </c>
      <c r="C178" s="114" t="str">
        <f t="shared" ca="1" si="15"/>
        <v>F</v>
      </c>
      <c r="D178" s="117" t="str">
        <f ca="1">ORÇAMENTO!O178</f>
        <v>1.5.5.3.5.</v>
      </c>
      <c r="E178" s="163" t="str">
        <f t="shared" ca="1" si="16"/>
        <v>IMPERMEABILIZAÇÃO COM EMULSÃO ASFÁLTICA, DUAS (2) DEMÃOS</v>
      </c>
      <c r="F178" s="164" t="str">
        <f ca="1">IF(RegimeExecucao="Global","",ORÇAMENTO.Unidade)</f>
        <v>M2</v>
      </c>
      <c r="G178" s="122">
        <f ca="1">IF(RegimeExecucao="Global","",ORÇAMENTO!T178)</f>
        <v>10.81</v>
      </c>
      <c r="H178" s="122">
        <f ca="1">IF(RegimeExecucao="Global","",ORÇAMENTO!W178)</f>
        <v>43.26</v>
      </c>
      <c r="I178" s="125">
        <f ca="1">ORÇAMENTO!X178</f>
        <v>467.64</v>
      </c>
      <c r="J178" s="333" cm="1">
        <f t="array" aca="1" ref="J178" ca="1">_xlfn.SINGLE(IF($A178="S",IF(CAIXA.Modo,BM.AFAnterior,BM.MEDAnterior),IF(AND(_xlfn.SINGLE(RegimeExecucao)="Global",$I178&gt;0,COUNTIF($AB$13:$AM$13,BM.medicao-1)&gt;0),M178/$I178*100,0)))</f>
        <v>0</v>
      </c>
      <c r="K178" s="122">
        <f t="shared" ca="1" si="17"/>
        <v>0</v>
      </c>
      <c r="L178" s="334" cm="1">
        <f t="array" aca="1" ref="L178" ca="1">_xlfn.SINGLE(IF($A178="S",IF(CAIXA.Modo,BM.AFAcumulado,BM.MEDAcumulado),IF(AND(_xlfn.SINGLE(RegimeExecucao)="Global",$I178&gt;0,COUNTIF($AB$13:$AM$13,BM.medicao)&gt;0),O178/$I178*100,0)))</f>
        <v>0</v>
      </c>
      <c r="M178" s="335">
        <f ca="1">IF($A178="S",VTOTALBM,IF($A178=0,0,ROUND(SomaAgrupBM,15-13*ORÇAMENTO!$AF$11)))</f>
        <v>0</v>
      </c>
      <c r="N178" s="336">
        <f t="shared" ca="1" si="18"/>
        <v>0</v>
      </c>
      <c r="O178" s="125">
        <f ca="1">IF($A178="S",VTOTALBM,IF($A178=0,0,ROUND(SomaAgrupBM,15-13*ORÇAMENTO!$AF$11)))</f>
        <v>0</v>
      </c>
      <c r="Q178" s="337"/>
      <c r="R178" s="338"/>
      <c r="T178" s="117" t="str">
        <f t="shared" ca="1" si="19"/>
        <v/>
      </c>
      <c r="U178" s="163" t="str">
        <f t="shared" ca="1" si="20"/>
        <v/>
      </c>
      <c r="V178" s="164" t="str">
        <f ca="1">IF(AND($W178&gt;0,RegimeExecucao="Unitário"),$F178,"")</f>
        <v/>
      </c>
      <c r="W178" s="454">
        <f ca="1">IF($Y178&gt;0,CHOOSE(MATCH(RegimeExecucao,{"Unitário","Global"},0),IF($A178="S",$Y178/$X178,""),($Y178/$X178)*100),0)</f>
        <v>0</v>
      </c>
      <c r="X178" s="339" t="str">
        <f ca="1">IF($Y178&gt;0,CHOOSE(MATCH(RegimeExecucao,{"Unitário","Global"},0),IF($A178="S",ROUND($H178,ORÇAMENTO!$AF$10),""),ROUND($I178,ORÇAMENTO!$AF$11)),"")</f>
        <v/>
      </c>
      <c r="Y178" s="339">
        <f t="shared" ca="1" si="21"/>
        <v>0</v>
      </c>
      <c r="Z178" s="473"/>
      <c r="AB178" s="337"/>
      <c r="AC178" s="437"/>
      <c r="AD178" s="437"/>
      <c r="AE178" s="437"/>
      <c r="AF178" s="437"/>
      <c r="AG178" s="437"/>
      <c r="AH178" s="437"/>
      <c r="AI178" s="437"/>
      <c r="AJ178" s="437"/>
      <c r="AK178" s="437"/>
      <c r="AL178" s="437"/>
      <c r="AM178" s="338"/>
      <c r="AO178">
        <f ca="1">IF($A178="S",IF(BM!$I178=0,0,CHOOSE(MATCH(RegimeExecucao,{"Global","Unitário"},0),ROUND(ROUND(BM.MEDAcumulado,15-13*BM!$A$9)/100*BM!$I178,15-13*ORÇAMENTO!$AF$11),ROUND(ROUND(BM.MEDAcumulado,15-13*BM!$A$9)*ROUND(BM!$H178,15-13*ORÇAMENTO!$AF$10),15-13*ORÇAMENTO!$AF$11))),IF($A178=0,0,ROUND(SomaAgrupBM,15-13*ORÇAMENTO!$AF$11)))</f>
        <v>0</v>
      </c>
    </row>
    <row r="179" spans="1:41" ht="25.5" x14ac:dyDescent="0.2">
      <c r="A179" t="str">
        <f ca="1">ORÇAMENTO!C179</f>
        <v>S</v>
      </c>
      <c r="B179">
        <f ca="1">ORÇAMENTO!D179</f>
        <v>0</v>
      </c>
      <c r="C179" s="114" t="str">
        <f t="shared" ca="1" si="15"/>
        <v>F</v>
      </c>
      <c r="D179" s="117" t="str">
        <f ca="1">ORÇAMENTO!O179</f>
        <v>1.5.5.3.6.</v>
      </c>
      <c r="E179" s="163" t="str">
        <f t="shared" ca="1" si="16"/>
        <v>ARMAÇÃO EM AÇO CA-50 - FORNECIMENTO, PREPARO E COLOCAÇÃO</v>
      </c>
      <c r="F179" s="164" t="str">
        <f ca="1">IF(RegimeExecucao="Global","",ORÇAMENTO.Unidade)</f>
        <v>KG</v>
      </c>
      <c r="G179" s="122">
        <f ca="1">IF(RegimeExecucao="Global","",ORÇAMENTO!T179)</f>
        <v>24.6</v>
      </c>
      <c r="H179" s="122">
        <f ca="1">IF(RegimeExecucao="Global","",ORÇAMENTO!W179)</f>
        <v>14.92</v>
      </c>
      <c r="I179" s="125">
        <f ca="1">ORÇAMENTO!X179</f>
        <v>367.03</v>
      </c>
      <c r="J179" s="333" cm="1">
        <f t="array" aca="1" ref="J179" ca="1">_xlfn.SINGLE(IF($A179="S",IF(CAIXA.Modo,BM.AFAnterior,BM.MEDAnterior),IF(AND(_xlfn.SINGLE(RegimeExecucao)="Global",$I179&gt;0,COUNTIF($AB$13:$AM$13,BM.medicao-1)&gt;0),M179/$I179*100,0)))</f>
        <v>0</v>
      </c>
      <c r="K179" s="122">
        <f t="shared" ca="1" si="17"/>
        <v>0</v>
      </c>
      <c r="L179" s="334" cm="1">
        <f t="array" aca="1" ref="L179" ca="1">_xlfn.SINGLE(IF($A179="S",IF(CAIXA.Modo,BM.AFAcumulado,BM.MEDAcumulado),IF(AND(_xlfn.SINGLE(RegimeExecucao)="Global",$I179&gt;0,COUNTIF($AB$13:$AM$13,BM.medicao)&gt;0),O179/$I179*100,0)))</f>
        <v>0</v>
      </c>
      <c r="M179" s="335">
        <f ca="1">IF($A179="S",VTOTALBM,IF($A179=0,0,ROUND(SomaAgrupBM,15-13*ORÇAMENTO!$AF$11)))</f>
        <v>0</v>
      </c>
      <c r="N179" s="336">
        <f t="shared" ca="1" si="18"/>
        <v>0</v>
      </c>
      <c r="O179" s="125">
        <f ca="1">IF($A179="S",VTOTALBM,IF($A179=0,0,ROUND(SomaAgrupBM,15-13*ORÇAMENTO!$AF$11)))</f>
        <v>0</v>
      </c>
      <c r="Q179" s="337"/>
      <c r="R179" s="338"/>
      <c r="T179" s="117" t="str">
        <f t="shared" ca="1" si="19"/>
        <v/>
      </c>
      <c r="U179" s="163" t="str">
        <f t="shared" ca="1" si="20"/>
        <v/>
      </c>
      <c r="V179" s="164" t="str">
        <f ca="1">IF(AND($W179&gt;0,RegimeExecucao="Unitário"),$F179,"")</f>
        <v/>
      </c>
      <c r="W179" s="454">
        <f ca="1">IF($Y179&gt;0,CHOOSE(MATCH(RegimeExecucao,{"Unitário","Global"},0),IF($A179="S",$Y179/$X179,""),($Y179/$X179)*100),0)</f>
        <v>0</v>
      </c>
      <c r="X179" s="339" t="str">
        <f ca="1">IF($Y179&gt;0,CHOOSE(MATCH(RegimeExecucao,{"Unitário","Global"},0),IF($A179="S",ROUND($H179,ORÇAMENTO!$AF$10),""),ROUND($I179,ORÇAMENTO!$AF$11)),"")</f>
        <v/>
      </c>
      <c r="Y179" s="339">
        <f t="shared" ca="1" si="21"/>
        <v>0</v>
      </c>
      <c r="Z179" s="473"/>
      <c r="AB179" s="337"/>
      <c r="AC179" s="437"/>
      <c r="AD179" s="437"/>
      <c r="AE179" s="437"/>
      <c r="AF179" s="437"/>
      <c r="AG179" s="437"/>
      <c r="AH179" s="437"/>
      <c r="AI179" s="437"/>
      <c r="AJ179" s="437"/>
      <c r="AK179" s="437"/>
      <c r="AL179" s="437"/>
      <c r="AM179" s="338"/>
      <c r="AO179">
        <f ca="1">IF($A179="S",IF(BM!$I179=0,0,CHOOSE(MATCH(RegimeExecucao,{"Global","Unitário"},0),ROUND(ROUND(BM.MEDAcumulado,15-13*BM!$A$9)/100*BM!$I179,15-13*ORÇAMENTO!$AF$11),ROUND(ROUND(BM.MEDAcumulado,15-13*BM!$A$9)*ROUND(BM!$H179,15-13*ORÇAMENTO!$AF$10),15-13*ORÇAMENTO!$AF$11))),IF($A179=0,0,ROUND(SomaAgrupBM,15-13*ORÇAMENTO!$AF$11)))</f>
        <v>0</v>
      </c>
    </row>
    <row r="180" spans="1:41" ht="25.5" x14ac:dyDescent="0.2">
      <c r="A180" t="str">
        <f ca="1">ORÇAMENTO!C180</f>
        <v>S</v>
      </c>
      <c r="B180">
        <f ca="1">ORÇAMENTO!D180</f>
        <v>0</v>
      </c>
      <c r="C180" s="114" t="str">
        <f t="shared" ca="1" si="15"/>
        <v>F</v>
      </c>
      <c r="D180" s="117" t="str">
        <f ca="1">ORÇAMENTO!O180</f>
        <v>1.5.5.3.7.</v>
      </c>
      <c r="E180" s="163" t="str">
        <f t="shared" ca="1" si="16"/>
        <v>ARMAÇÃO EM AÇO CA-60 - FORNECIMENTO, PREPARO E COLOCAÇÃO</v>
      </c>
      <c r="F180" s="164" t="str">
        <f ca="1">IF(RegimeExecucao="Global","",ORÇAMENTO.Unidade)</f>
        <v>KG</v>
      </c>
      <c r="G180" s="122">
        <f ca="1">IF(RegimeExecucao="Global","",ORÇAMENTO!T180)</f>
        <v>9.8000000000000007</v>
      </c>
      <c r="H180" s="122">
        <f ca="1">IF(RegimeExecucao="Global","",ORÇAMENTO!W180)</f>
        <v>16.13</v>
      </c>
      <c r="I180" s="125">
        <f ca="1">ORÇAMENTO!X180</f>
        <v>158.07</v>
      </c>
      <c r="J180" s="333" cm="1">
        <f t="array" aca="1" ref="J180" ca="1">_xlfn.SINGLE(IF($A180="S",IF(CAIXA.Modo,BM.AFAnterior,BM.MEDAnterior),IF(AND(_xlfn.SINGLE(RegimeExecucao)="Global",$I180&gt;0,COUNTIF($AB$13:$AM$13,BM.medicao-1)&gt;0),M180/$I180*100,0)))</f>
        <v>0</v>
      </c>
      <c r="K180" s="122">
        <f t="shared" ca="1" si="17"/>
        <v>0</v>
      </c>
      <c r="L180" s="334" cm="1">
        <f t="array" aca="1" ref="L180" ca="1">_xlfn.SINGLE(IF($A180="S",IF(CAIXA.Modo,BM.AFAcumulado,BM.MEDAcumulado),IF(AND(_xlfn.SINGLE(RegimeExecucao)="Global",$I180&gt;0,COUNTIF($AB$13:$AM$13,BM.medicao)&gt;0),O180/$I180*100,0)))</f>
        <v>0</v>
      </c>
      <c r="M180" s="335">
        <f ca="1">IF($A180="S",VTOTALBM,IF($A180=0,0,ROUND(SomaAgrupBM,15-13*ORÇAMENTO!$AF$11)))</f>
        <v>0</v>
      </c>
      <c r="N180" s="336">
        <f t="shared" ca="1" si="18"/>
        <v>0</v>
      </c>
      <c r="O180" s="125">
        <f ca="1">IF($A180="S",VTOTALBM,IF($A180=0,0,ROUND(SomaAgrupBM,15-13*ORÇAMENTO!$AF$11)))</f>
        <v>0</v>
      </c>
      <c r="Q180" s="337"/>
      <c r="R180" s="338"/>
      <c r="T180" s="117" t="str">
        <f t="shared" ca="1" si="19"/>
        <v/>
      </c>
      <c r="U180" s="163" t="str">
        <f t="shared" ca="1" si="20"/>
        <v/>
      </c>
      <c r="V180" s="164" t="str">
        <f ca="1">IF(AND($W180&gt;0,RegimeExecucao="Unitário"),$F180,"")</f>
        <v/>
      </c>
      <c r="W180" s="454">
        <f ca="1">IF($Y180&gt;0,CHOOSE(MATCH(RegimeExecucao,{"Unitário","Global"},0),IF($A180="S",$Y180/$X180,""),($Y180/$X180)*100),0)</f>
        <v>0</v>
      </c>
      <c r="X180" s="339" t="str">
        <f ca="1">IF($Y180&gt;0,CHOOSE(MATCH(RegimeExecucao,{"Unitário","Global"},0),IF($A180="S",ROUND($H180,ORÇAMENTO!$AF$10),""),ROUND($I180,ORÇAMENTO!$AF$11)),"")</f>
        <v/>
      </c>
      <c r="Y180" s="339">
        <f t="shared" ca="1" si="21"/>
        <v>0</v>
      </c>
      <c r="Z180" s="473"/>
      <c r="AB180" s="337"/>
      <c r="AC180" s="437"/>
      <c r="AD180" s="437"/>
      <c r="AE180" s="437"/>
      <c r="AF180" s="437"/>
      <c r="AG180" s="437"/>
      <c r="AH180" s="437"/>
      <c r="AI180" s="437"/>
      <c r="AJ180" s="437"/>
      <c r="AK180" s="437"/>
      <c r="AL180" s="437"/>
      <c r="AM180" s="338"/>
      <c r="AO180">
        <f ca="1">IF($A180="S",IF(BM!$I180=0,0,CHOOSE(MATCH(RegimeExecucao,{"Global","Unitário"},0),ROUND(ROUND(BM.MEDAcumulado,15-13*BM!$A$9)/100*BM!$I180,15-13*ORÇAMENTO!$AF$11),ROUND(ROUND(BM.MEDAcumulado,15-13*BM!$A$9)*ROUND(BM!$H180,15-13*ORÇAMENTO!$AF$10),15-13*ORÇAMENTO!$AF$11))),IF($A180=0,0,ROUND(SomaAgrupBM,15-13*ORÇAMENTO!$AF$11)))</f>
        <v>0</v>
      </c>
    </row>
    <row r="181" spans="1:41" ht="38.25" x14ac:dyDescent="0.2">
      <c r="A181" t="str">
        <f ca="1">ORÇAMENTO!C181</f>
        <v>S</v>
      </c>
      <c r="B181">
        <f ca="1">ORÇAMENTO!D181</f>
        <v>0</v>
      </c>
      <c r="C181" s="114" t="str">
        <f t="shared" ca="1" si="15"/>
        <v>F</v>
      </c>
      <c r="D181" s="117" t="str">
        <f ca="1">ORÇAMENTO!O181</f>
        <v>1.5.5.3.8.</v>
      </c>
      <c r="E181" s="163" t="str">
        <f t="shared" ca="1" si="16"/>
        <v>CONCRETO FCK = 40MPA, TRAÇO 1:1,6:1,9 (EM MASSA SECA DE CIMENTO/ AREIA MÉDIA/ BRITA 1) - PREPARO MECÂNICO COM BETONEIRA 600 L. AF_05/2021</v>
      </c>
      <c r="F181" s="164" t="str">
        <f ca="1">IF(RegimeExecucao="Global","",ORÇAMENTO.Unidade)</f>
        <v>M3</v>
      </c>
      <c r="G181" s="122">
        <f ca="1">IF(RegimeExecucao="Global","",ORÇAMENTO!T181)</f>
        <v>0.72</v>
      </c>
      <c r="H181" s="122">
        <f ca="1">IF(RegimeExecucao="Global","",ORÇAMENTO!W181)</f>
        <v>775.96</v>
      </c>
      <c r="I181" s="125">
        <f ca="1">ORÇAMENTO!X181</f>
        <v>558.69000000000005</v>
      </c>
      <c r="J181" s="333" cm="1">
        <f t="array" aca="1" ref="J181" ca="1">_xlfn.SINGLE(IF($A181="S",IF(CAIXA.Modo,BM.AFAnterior,BM.MEDAnterior),IF(AND(_xlfn.SINGLE(RegimeExecucao)="Global",$I181&gt;0,COUNTIF($AB$13:$AM$13,BM.medicao-1)&gt;0),M181/$I181*100,0)))</f>
        <v>0</v>
      </c>
      <c r="K181" s="122">
        <f t="shared" ca="1" si="17"/>
        <v>0</v>
      </c>
      <c r="L181" s="334" cm="1">
        <f t="array" aca="1" ref="L181" ca="1">_xlfn.SINGLE(IF($A181="S",IF(CAIXA.Modo,BM.AFAcumulado,BM.MEDAcumulado),IF(AND(_xlfn.SINGLE(RegimeExecucao)="Global",$I181&gt;0,COUNTIF($AB$13:$AM$13,BM.medicao)&gt;0),O181/$I181*100,0)))</f>
        <v>0</v>
      </c>
      <c r="M181" s="335">
        <f ca="1">IF($A181="S",VTOTALBM,IF($A181=0,0,ROUND(SomaAgrupBM,15-13*ORÇAMENTO!$AF$11)))</f>
        <v>0</v>
      </c>
      <c r="N181" s="336">
        <f t="shared" ca="1" si="18"/>
        <v>0</v>
      </c>
      <c r="O181" s="125">
        <f ca="1">IF($A181="S",VTOTALBM,IF($A181=0,0,ROUND(SomaAgrupBM,15-13*ORÇAMENTO!$AF$11)))</f>
        <v>0</v>
      </c>
      <c r="Q181" s="337"/>
      <c r="R181" s="338"/>
      <c r="T181" s="117" t="str">
        <f t="shared" ca="1" si="19"/>
        <v/>
      </c>
      <c r="U181" s="163" t="str">
        <f t="shared" ca="1" si="20"/>
        <v/>
      </c>
      <c r="V181" s="164" t="str">
        <f ca="1">IF(AND($W181&gt;0,RegimeExecucao="Unitário"),$F181,"")</f>
        <v/>
      </c>
      <c r="W181" s="454">
        <f ca="1">IF($Y181&gt;0,CHOOSE(MATCH(RegimeExecucao,{"Unitário","Global"},0),IF($A181="S",$Y181/$X181,""),($Y181/$X181)*100),0)</f>
        <v>0</v>
      </c>
      <c r="X181" s="339" t="str">
        <f ca="1">IF($Y181&gt;0,CHOOSE(MATCH(RegimeExecucao,{"Unitário","Global"},0),IF($A181="S",ROUND($H181,ORÇAMENTO!$AF$10),""),ROUND($I181,ORÇAMENTO!$AF$11)),"")</f>
        <v/>
      </c>
      <c r="Y181" s="339">
        <f t="shared" ca="1" si="21"/>
        <v>0</v>
      </c>
      <c r="Z181" s="473"/>
      <c r="AB181" s="337"/>
      <c r="AC181" s="437"/>
      <c r="AD181" s="437"/>
      <c r="AE181" s="437"/>
      <c r="AF181" s="437"/>
      <c r="AG181" s="437"/>
      <c r="AH181" s="437"/>
      <c r="AI181" s="437"/>
      <c r="AJ181" s="437"/>
      <c r="AK181" s="437"/>
      <c r="AL181" s="437"/>
      <c r="AM181" s="338"/>
      <c r="AO181">
        <f ca="1">IF($A181="S",IF(BM!$I181=0,0,CHOOSE(MATCH(RegimeExecucao,{"Global","Unitário"},0),ROUND(ROUND(BM.MEDAcumulado,15-13*BM!$A$9)/100*BM!$I181,15-13*ORÇAMENTO!$AF$11),ROUND(ROUND(BM.MEDAcumulado,15-13*BM!$A$9)*ROUND(BM!$H181,15-13*ORÇAMENTO!$AF$10),15-13*ORÇAMENTO!$AF$11))),IF($A181=0,0,ROUND(SomaAgrupBM,15-13*ORÇAMENTO!$AF$11)))</f>
        <v>0</v>
      </c>
    </row>
    <row r="182" spans="1:41" ht="25.5" x14ac:dyDescent="0.2">
      <c r="A182" t="str">
        <f ca="1">ORÇAMENTO!C182</f>
        <v>S</v>
      </c>
      <c r="B182">
        <f ca="1">ORÇAMENTO!D182</f>
        <v>0</v>
      </c>
      <c r="C182" s="114" t="str">
        <f t="shared" ca="1" si="15"/>
        <v>F</v>
      </c>
      <c r="D182" s="117" t="str">
        <f ca="1">ORÇAMENTO!O182</f>
        <v>1.5.5.3.9.</v>
      </c>
      <c r="E182" s="163" t="str">
        <f t="shared" ca="1" si="16"/>
        <v>LANÇAMENTO COM USO DE BOMBA, ADENSAMENTO E ACABAMENTO DE CONCRETO EM ESTRUTURAS. AF_02/2022</v>
      </c>
      <c r="F182" s="164" t="str">
        <f ca="1">IF(RegimeExecucao="Global","",ORÇAMENTO.Unidade)</f>
        <v>M3</v>
      </c>
      <c r="G182" s="122">
        <f ca="1">IF(RegimeExecucao="Global","",ORÇAMENTO!T182)</f>
        <v>0.72</v>
      </c>
      <c r="H182" s="122">
        <f ca="1">IF(RegimeExecucao="Global","",ORÇAMENTO!W182)</f>
        <v>54.96</v>
      </c>
      <c r="I182" s="125">
        <f ca="1">ORÇAMENTO!X182</f>
        <v>39.57</v>
      </c>
      <c r="J182" s="333" cm="1">
        <f t="array" aca="1" ref="J182" ca="1">_xlfn.SINGLE(IF($A182="S",IF(CAIXA.Modo,BM.AFAnterior,BM.MEDAnterior),IF(AND(_xlfn.SINGLE(RegimeExecucao)="Global",$I182&gt;0,COUNTIF($AB$13:$AM$13,BM.medicao-1)&gt;0),M182/$I182*100,0)))</f>
        <v>0</v>
      </c>
      <c r="K182" s="122">
        <f t="shared" ca="1" si="17"/>
        <v>0</v>
      </c>
      <c r="L182" s="334" cm="1">
        <f t="array" aca="1" ref="L182" ca="1">_xlfn.SINGLE(IF($A182="S",IF(CAIXA.Modo,BM.AFAcumulado,BM.MEDAcumulado),IF(AND(_xlfn.SINGLE(RegimeExecucao)="Global",$I182&gt;0,COUNTIF($AB$13:$AM$13,BM.medicao)&gt;0),O182/$I182*100,0)))</f>
        <v>0</v>
      </c>
      <c r="M182" s="335">
        <f ca="1">IF($A182="S",VTOTALBM,IF($A182=0,0,ROUND(SomaAgrupBM,15-13*ORÇAMENTO!$AF$11)))</f>
        <v>0</v>
      </c>
      <c r="N182" s="336">
        <f t="shared" ca="1" si="18"/>
        <v>0</v>
      </c>
      <c r="O182" s="125">
        <f ca="1">IF($A182="S",VTOTALBM,IF($A182=0,0,ROUND(SomaAgrupBM,15-13*ORÇAMENTO!$AF$11)))</f>
        <v>0</v>
      </c>
      <c r="Q182" s="337"/>
      <c r="R182" s="338"/>
      <c r="T182" s="117" t="str">
        <f t="shared" ca="1" si="19"/>
        <v/>
      </c>
      <c r="U182" s="163" t="str">
        <f t="shared" ca="1" si="20"/>
        <v/>
      </c>
      <c r="V182" s="164" t="str">
        <f ca="1">IF(AND($W182&gt;0,RegimeExecucao="Unitário"),$F182,"")</f>
        <v/>
      </c>
      <c r="W182" s="454">
        <f ca="1">IF($Y182&gt;0,CHOOSE(MATCH(RegimeExecucao,{"Unitário","Global"},0),IF($A182="S",$Y182/$X182,""),($Y182/$X182)*100),0)</f>
        <v>0</v>
      </c>
      <c r="X182" s="339" t="str">
        <f ca="1">IF($Y182&gt;0,CHOOSE(MATCH(RegimeExecucao,{"Unitário","Global"},0),IF($A182="S",ROUND($H182,ORÇAMENTO!$AF$10),""),ROUND($I182,ORÇAMENTO!$AF$11)),"")</f>
        <v/>
      </c>
      <c r="Y182" s="339">
        <f t="shared" ca="1" si="21"/>
        <v>0</v>
      </c>
      <c r="Z182" s="473"/>
      <c r="AB182" s="337"/>
      <c r="AC182" s="437"/>
      <c r="AD182" s="437"/>
      <c r="AE182" s="437"/>
      <c r="AF182" s="437"/>
      <c r="AG182" s="437"/>
      <c r="AH182" s="437"/>
      <c r="AI182" s="437"/>
      <c r="AJ182" s="437"/>
      <c r="AK182" s="437"/>
      <c r="AL182" s="437"/>
      <c r="AM182" s="338"/>
      <c r="AO182">
        <f ca="1">IF($A182="S",IF(BM!$I182=0,0,CHOOSE(MATCH(RegimeExecucao,{"Global","Unitário"},0),ROUND(ROUND(BM.MEDAcumulado,15-13*BM!$A$9)/100*BM!$I182,15-13*ORÇAMENTO!$AF$11),ROUND(ROUND(BM.MEDAcumulado,15-13*BM!$A$9)*ROUND(BM!$H182,15-13*ORÇAMENTO!$AF$10),15-13*ORÇAMENTO!$AF$11))),IF($A182=0,0,ROUND(SomaAgrupBM,15-13*ORÇAMENTO!$AF$11)))</f>
        <v>0</v>
      </c>
    </row>
    <row r="183" spans="1:41" ht="25.5" x14ac:dyDescent="0.2">
      <c r="A183" t="str">
        <f ca="1">ORÇAMENTO!C183</f>
        <v>S</v>
      </c>
      <c r="B183">
        <f ca="1">ORÇAMENTO!D183</f>
        <v>0</v>
      </c>
      <c r="C183" s="114" t="str">
        <f t="shared" ca="1" si="15"/>
        <v>F</v>
      </c>
      <c r="D183" s="117" t="str">
        <f ca="1">ORÇAMENTO!O183</f>
        <v>1.5.5.3.10.</v>
      </c>
      <c r="E183" s="163" t="str">
        <f t="shared" ca="1" si="16"/>
        <v>REATERRO MANUAL DE VALAS, COM COMPACTADOR DE SOLOS DE PERCUSSÃO. AF_08/2023</v>
      </c>
      <c r="F183" s="164" t="str">
        <f ca="1">IF(RegimeExecucao="Global","",ORÇAMENTO.Unidade)</f>
        <v>M3</v>
      </c>
      <c r="G183" s="122">
        <f ca="1">IF(RegimeExecucao="Global","",ORÇAMENTO!T183)</f>
        <v>4.59</v>
      </c>
      <c r="H183" s="122">
        <f ca="1">IF(RegimeExecucao="Global","",ORÇAMENTO!W183)</f>
        <v>35.020000000000003</v>
      </c>
      <c r="I183" s="125">
        <f ca="1">ORÇAMENTO!X183</f>
        <v>160.74</v>
      </c>
      <c r="J183" s="333" cm="1">
        <f t="array" aca="1" ref="J183" ca="1">_xlfn.SINGLE(IF($A183="S",IF(CAIXA.Modo,BM.AFAnterior,BM.MEDAnterior),IF(AND(_xlfn.SINGLE(RegimeExecucao)="Global",$I183&gt;0,COUNTIF($AB$13:$AM$13,BM.medicao-1)&gt;0),M183/$I183*100,0)))</f>
        <v>0</v>
      </c>
      <c r="K183" s="122">
        <f t="shared" ca="1" si="17"/>
        <v>0</v>
      </c>
      <c r="L183" s="334" cm="1">
        <f t="array" aca="1" ref="L183" ca="1">_xlfn.SINGLE(IF($A183="S",IF(CAIXA.Modo,BM.AFAcumulado,BM.MEDAcumulado),IF(AND(_xlfn.SINGLE(RegimeExecucao)="Global",$I183&gt;0,COUNTIF($AB$13:$AM$13,BM.medicao)&gt;0),O183/$I183*100,0)))</f>
        <v>0</v>
      </c>
      <c r="M183" s="335">
        <f ca="1">IF($A183="S",VTOTALBM,IF($A183=0,0,ROUND(SomaAgrupBM,15-13*ORÇAMENTO!$AF$11)))</f>
        <v>0</v>
      </c>
      <c r="N183" s="336">
        <f t="shared" ca="1" si="18"/>
        <v>0</v>
      </c>
      <c r="O183" s="125">
        <f ca="1">IF($A183="S",VTOTALBM,IF($A183=0,0,ROUND(SomaAgrupBM,15-13*ORÇAMENTO!$AF$11)))</f>
        <v>0</v>
      </c>
      <c r="Q183" s="337"/>
      <c r="R183" s="338"/>
      <c r="T183" s="117" t="str">
        <f t="shared" ca="1" si="19"/>
        <v/>
      </c>
      <c r="U183" s="163" t="str">
        <f t="shared" ca="1" si="20"/>
        <v/>
      </c>
      <c r="V183" s="164" t="str">
        <f ca="1">IF(AND($W183&gt;0,RegimeExecucao="Unitário"),$F183,"")</f>
        <v/>
      </c>
      <c r="W183" s="454">
        <f ca="1">IF($Y183&gt;0,CHOOSE(MATCH(RegimeExecucao,{"Unitário","Global"},0),IF($A183="S",$Y183/$X183,""),($Y183/$X183)*100),0)</f>
        <v>0</v>
      </c>
      <c r="X183" s="339" t="str">
        <f ca="1">IF($Y183&gt;0,CHOOSE(MATCH(RegimeExecucao,{"Unitário","Global"},0),IF($A183="S",ROUND($H183,ORÇAMENTO!$AF$10),""),ROUND($I183,ORÇAMENTO!$AF$11)),"")</f>
        <v/>
      </c>
      <c r="Y183" s="339">
        <f t="shared" ca="1" si="21"/>
        <v>0</v>
      </c>
      <c r="Z183" s="473"/>
      <c r="AB183" s="337"/>
      <c r="AC183" s="437"/>
      <c r="AD183" s="437"/>
      <c r="AE183" s="437"/>
      <c r="AF183" s="437"/>
      <c r="AG183" s="437"/>
      <c r="AH183" s="437"/>
      <c r="AI183" s="437"/>
      <c r="AJ183" s="437"/>
      <c r="AK183" s="437"/>
      <c r="AL183" s="437"/>
      <c r="AM183" s="338"/>
      <c r="AO183">
        <f ca="1">IF($A183="S",IF(BM!$I183=0,0,CHOOSE(MATCH(RegimeExecucao,{"Global","Unitário"},0),ROUND(ROUND(BM.MEDAcumulado,15-13*BM!$A$9)/100*BM!$I183,15-13*ORÇAMENTO!$AF$11),ROUND(ROUND(BM.MEDAcumulado,15-13*BM!$A$9)*ROUND(BM!$H183,15-13*ORÇAMENTO!$AF$10),15-13*ORÇAMENTO!$AF$11))),IF($A183=0,0,ROUND(SomaAgrupBM,15-13*ORÇAMENTO!$AF$11)))</f>
        <v>0</v>
      </c>
    </row>
    <row r="184" spans="1:41" ht="51" x14ac:dyDescent="0.2">
      <c r="A184" t="str">
        <f ca="1">ORÇAMENTO!C184</f>
        <v>S</v>
      </c>
      <c r="B184">
        <f ca="1">ORÇAMENTO!D184</f>
        <v>0</v>
      </c>
      <c r="C184" s="114" t="str">
        <f t="shared" ca="1" si="15"/>
        <v>F</v>
      </c>
      <c r="D184" s="117" t="str">
        <f ca="1">ORÇAMENTO!O184</f>
        <v>1.5.5.3.11.</v>
      </c>
      <c r="E184" s="163" t="str">
        <f t="shared" ca="1" si="16"/>
        <v>CARGA, MANOBRA E DESCARGA DE SOLOS E MATERIAIS GRANULARES EM CAMINHÃO BASCULANTE 18 M³ - CARGA COM ESCAVADEIRA HIDRÁULICA (CAÇAMBA DE 1,20 M³ / 155 HP) E DESCARGA LIVRE (UNIDADE: M3). AF_07/2020</v>
      </c>
      <c r="F184" s="164" t="str">
        <f ca="1">IF(RegimeExecucao="Global","",ORÇAMENTO.Unidade)</f>
        <v>M3</v>
      </c>
      <c r="G184" s="122">
        <f ca="1">IF(RegimeExecucao="Global","",ORÇAMENTO!T184)</f>
        <v>1.47</v>
      </c>
      <c r="H184" s="122">
        <f ca="1">IF(RegimeExecucao="Global","",ORÇAMENTO!W184)</f>
        <v>8.0500000000000007</v>
      </c>
      <c r="I184" s="125">
        <f ca="1">ORÇAMENTO!X184</f>
        <v>11.83</v>
      </c>
      <c r="J184" s="333" cm="1">
        <f t="array" aca="1" ref="J184" ca="1">_xlfn.SINGLE(IF($A184="S",IF(CAIXA.Modo,BM.AFAnterior,BM.MEDAnterior),IF(AND(_xlfn.SINGLE(RegimeExecucao)="Global",$I184&gt;0,COUNTIF($AB$13:$AM$13,BM.medicao-1)&gt;0),M184/$I184*100,0)))</f>
        <v>0</v>
      </c>
      <c r="K184" s="122">
        <f t="shared" ca="1" si="17"/>
        <v>0</v>
      </c>
      <c r="L184" s="334" cm="1">
        <f t="array" aca="1" ref="L184" ca="1">_xlfn.SINGLE(IF($A184="S",IF(CAIXA.Modo,BM.AFAcumulado,BM.MEDAcumulado),IF(AND(_xlfn.SINGLE(RegimeExecucao)="Global",$I184&gt;0,COUNTIF($AB$13:$AM$13,BM.medicao)&gt;0),O184/$I184*100,0)))</f>
        <v>0</v>
      </c>
      <c r="M184" s="335">
        <f ca="1">IF($A184="S",VTOTALBM,IF($A184=0,0,ROUND(SomaAgrupBM,15-13*ORÇAMENTO!$AF$11)))</f>
        <v>0</v>
      </c>
      <c r="N184" s="336">
        <f t="shared" ca="1" si="18"/>
        <v>0</v>
      </c>
      <c r="O184" s="125">
        <f ca="1">IF($A184="S",VTOTALBM,IF($A184=0,0,ROUND(SomaAgrupBM,15-13*ORÇAMENTO!$AF$11)))</f>
        <v>0</v>
      </c>
      <c r="Q184" s="337"/>
      <c r="R184" s="338"/>
      <c r="T184" s="117" t="str">
        <f t="shared" ca="1" si="19"/>
        <v/>
      </c>
      <c r="U184" s="163" t="str">
        <f t="shared" ca="1" si="20"/>
        <v/>
      </c>
      <c r="V184" s="164" t="str">
        <f ca="1">IF(AND($W184&gt;0,RegimeExecucao="Unitário"),$F184,"")</f>
        <v/>
      </c>
      <c r="W184" s="454">
        <f ca="1">IF($Y184&gt;0,CHOOSE(MATCH(RegimeExecucao,{"Unitário","Global"},0),IF($A184="S",$Y184/$X184,""),($Y184/$X184)*100),0)</f>
        <v>0</v>
      </c>
      <c r="X184" s="339" t="str">
        <f ca="1">IF($Y184&gt;0,CHOOSE(MATCH(RegimeExecucao,{"Unitário","Global"},0),IF($A184="S",ROUND($H184,ORÇAMENTO!$AF$10),""),ROUND($I184,ORÇAMENTO!$AF$11)),"")</f>
        <v/>
      </c>
      <c r="Y184" s="339">
        <f t="shared" ca="1" si="21"/>
        <v>0</v>
      </c>
      <c r="Z184" s="473"/>
      <c r="AB184" s="337"/>
      <c r="AC184" s="437"/>
      <c r="AD184" s="437"/>
      <c r="AE184" s="437"/>
      <c r="AF184" s="437"/>
      <c r="AG184" s="437"/>
      <c r="AH184" s="437"/>
      <c r="AI184" s="437"/>
      <c r="AJ184" s="437"/>
      <c r="AK184" s="437"/>
      <c r="AL184" s="437"/>
      <c r="AM184" s="338"/>
      <c r="AO184">
        <f ca="1">IF($A184="S",IF(BM!$I184=0,0,CHOOSE(MATCH(RegimeExecucao,{"Global","Unitário"},0),ROUND(ROUND(BM.MEDAcumulado,15-13*BM!$A$9)/100*BM!$I184,15-13*ORÇAMENTO!$AF$11),ROUND(ROUND(BM.MEDAcumulado,15-13*BM!$A$9)*ROUND(BM!$H184,15-13*ORÇAMENTO!$AF$10),15-13*ORÇAMENTO!$AF$11))),IF($A184=0,0,ROUND(SomaAgrupBM,15-13*ORÇAMENTO!$AF$11)))</f>
        <v>0</v>
      </c>
    </row>
    <row r="185" spans="1:41" ht="38.25" x14ac:dyDescent="0.2">
      <c r="A185" t="str">
        <f ca="1">ORÇAMENTO!C185</f>
        <v>S</v>
      </c>
      <c r="B185">
        <f ca="1">ORÇAMENTO!D185</f>
        <v>0</v>
      </c>
      <c r="C185" s="114" t="str">
        <f t="shared" ca="1" si="15"/>
        <v>F</v>
      </c>
      <c r="D185" s="117" t="str">
        <f ca="1">ORÇAMENTO!O185</f>
        <v>1.5.5.3.12.</v>
      </c>
      <c r="E185" s="163" t="str">
        <f t="shared" ca="1" si="16"/>
        <v>TRANSPORTE COM CAMINHÃO BASCULANTE DE 18 M³, EM VIA URBANA PAVIMENTADA, DMT ATÉ 30 KM (UNIDADE: M3XKM). AF_07/2020</v>
      </c>
      <c r="F185" s="164" t="str">
        <f ca="1">IF(RegimeExecucao="Global","",ORÇAMENTO.Unidade)</f>
        <v>M3XKM</v>
      </c>
      <c r="G185" s="122">
        <f ca="1">IF(RegimeExecucao="Global","",ORÇAMENTO!T185)</f>
        <v>7.35</v>
      </c>
      <c r="H185" s="122">
        <f ca="1">IF(RegimeExecucao="Global","",ORÇAMENTO!W185)</f>
        <v>2.35</v>
      </c>
      <c r="I185" s="125">
        <f ca="1">ORÇAMENTO!X185</f>
        <v>17.27</v>
      </c>
      <c r="J185" s="333" cm="1">
        <f t="array" aca="1" ref="J185" ca="1">_xlfn.SINGLE(IF($A185="S",IF(CAIXA.Modo,BM.AFAnterior,BM.MEDAnterior),IF(AND(_xlfn.SINGLE(RegimeExecucao)="Global",$I185&gt;0,COUNTIF($AB$13:$AM$13,BM.medicao-1)&gt;0),M185/$I185*100,0)))</f>
        <v>0</v>
      </c>
      <c r="K185" s="122">
        <f t="shared" ca="1" si="17"/>
        <v>0</v>
      </c>
      <c r="L185" s="334" cm="1">
        <f t="array" aca="1" ref="L185" ca="1">_xlfn.SINGLE(IF($A185="S",IF(CAIXA.Modo,BM.AFAcumulado,BM.MEDAcumulado),IF(AND(_xlfn.SINGLE(RegimeExecucao)="Global",$I185&gt;0,COUNTIF($AB$13:$AM$13,BM.medicao)&gt;0),O185/$I185*100,0)))</f>
        <v>0</v>
      </c>
      <c r="M185" s="335">
        <f ca="1">IF($A185="S",VTOTALBM,IF($A185=0,0,ROUND(SomaAgrupBM,15-13*ORÇAMENTO!$AF$11)))</f>
        <v>0</v>
      </c>
      <c r="N185" s="336">
        <f t="shared" ca="1" si="18"/>
        <v>0</v>
      </c>
      <c r="O185" s="125">
        <f ca="1">IF($A185="S",VTOTALBM,IF($A185=0,0,ROUND(SomaAgrupBM,15-13*ORÇAMENTO!$AF$11)))</f>
        <v>0</v>
      </c>
      <c r="Q185" s="337"/>
      <c r="R185" s="338"/>
      <c r="T185" s="117" t="str">
        <f t="shared" ca="1" si="19"/>
        <v/>
      </c>
      <c r="U185" s="163" t="str">
        <f t="shared" ca="1" si="20"/>
        <v/>
      </c>
      <c r="V185" s="164" t="str">
        <f ca="1">IF(AND($W185&gt;0,RegimeExecucao="Unitário"),$F185,"")</f>
        <v/>
      </c>
      <c r="W185" s="454">
        <f ca="1">IF($Y185&gt;0,CHOOSE(MATCH(RegimeExecucao,{"Unitário","Global"},0),IF($A185="S",$Y185/$X185,""),($Y185/$X185)*100),0)</f>
        <v>0</v>
      </c>
      <c r="X185" s="339" t="str">
        <f ca="1">IF($Y185&gt;0,CHOOSE(MATCH(RegimeExecucao,{"Unitário","Global"},0),IF($A185="S",ROUND($H185,ORÇAMENTO!$AF$10),""),ROUND($I185,ORÇAMENTO!$AF$11)),"")</f>
        <v/>
      </c>
      <c r="Y185" s="339">
        <f t="shared" ca="1" si="21"/>
        <v>0</v>
      </c>
      <c r="Z185" s="473"/>
      <c r="AB185" s="337"/>
      <c r="AC185" s="437"/>
      <c r="AD185" s="437"/>
      <c r="AE185" s="437"/>
      <c r="AF185" s="437"/>
      <c r="AG185" s="437"/>
      <c r="AH185" s="437"/>
      <c r="AI185" s="437"/>
      <c r="AJ185" s="437"/>
      <c r="AK185" s="437"/>
      <c r="AL185" s="437"/>
      <c r="AM185" s="338"/>
      <c r="AO185">
        <f ca="1">IF($A185="S",IF(BM!$I185=0,0,CHOOSE(MATCH(RegimeExecucao,{"Global","Unitário"},0),ROUND(ROUND(BM.MEDAcumulado,15-13*BM!$A$9)/100*BM!$I185,15-13*ORÇAMENTO!$AF$11),ROUND(ROUND(BM.MEDAcumulado,15-13*BM!$A$9)*ROUND(BM!$H185,15-13*ORÇAMENTO!$AF$10),15-13*ORÇAMENTO!$AF$11))),IF($A185=0,0,ROUND(SomaAgrupBM,15-13*ORÇAMENTO!$AF$11)))</f>
        <v>0</v>
      </c>
    </row>
    <row r="186" spans="1:41" x14ac:dyDescent="0.2">
      <c r="A186" t="str">
        <f ca="1">ORÇAMENTO!C186</f>
        <v>S</v>
      </c>
      <c r="B186">
        <f ca="1">ORÇAMENTO!D186</f>
        <v>0</v>
      </c>
      <c r="C186" s="114" t="str">
        <f t="shared" ca="1" si="15"/>
        <v>F</v>
      </c>
      <c r="D186" s="117" t="str">
        <f ca="1">ORÇAMENTO!O186</f>
        <v>1.5.5.3.13.</v>
      </c>
      <c r="E186" s="163" t="str">
        <f t="shared" ca="1" si="16"/>
        <v>TAXA ATERRO SANITÁRIO</v>
      </c>
      <c r="F186" s="164" t="str">
        <f ca="1">IF(RegimeExecucao="Global","",ORÇAMENTO.Unidade)</f>
        <v>T</v>
      </c>
      <c r="G186" s="122">
        <f ca="1">IF(RegimeExecucao="Global","",ORÇAMENTO!T186)</f>
        <v>2</v>
      </c>
      <c r="H186" s="122">
        <f ca="1">IF(RegimeExecucao="Global","",ORÇAMENTO!W186)</f>
        <v>80.510000000000005</v>
      </c>
      <c r="I186" s="125">
        <f ca="1">ORÇAMENTO!X186</f>
        <v>161.02000000000001</v>
      </c>
      <c r="J186" s="333" cm="1">
        <f t="array" aca="1" ref="J186" ca="1">_xlfn.SINGLE(IF($A186="S",IF(CAIXA.Modo,BM.AFAnterior,BM.MEDAnterior),IF(AND(_xlfn.SINGLE(RegimeExecucao)="Global",$I186&gt;0,COUNTIF($AB$13:$AM$13,BM.medicao-1)&gt;0),M186/$I186*100,0)))</f>
        <v>0</v>
      </c>
      <c r="K186" s="122">
        <f t="shared" ca="1" si="17"/>
        <v>0</v>
      </c>
      <c r="L186" s="334" cm="1">
        <f t="array" aca="1" ref="L186" ca="1">_xlfn.SINGLE(IF($A186="S",IF(CAIXA.Modo,BM.AFAcumulado,BM.MEDAcumulado),IF(AND(_xlfn.SINGLE(RegimeExecucao)="Global",$I186&gt;0,COUNTIF($AB$13:$AM$13,BM.medicao)&gt;0),O186/$I186*100,0)))</f>
        <v>0</v>
      </c>
      <c r="M186" s="335">
        <f ca="1">IF($A186="S",VTOTALBM,IF($A186=0,0,ROUND(SomaAgrupBM,15-13*ORÇAMENTO!$AF$11)))</f>
        <v>0</v>
      </c>
      <c r="N186" s="336">
        <f t="shared" ca="1" si="18"/>
        <v>0</v>
      </c>
      <c r="O186" s="125">
        <f ca="1">IF($A186="S",VTOTALBM,IF($A186=0,0,ROUND(SomaAgrupBM,15-13*ORÇAMENTO!$AF$11)))</f>
        <v>0</v>
      </c>
      <c r="Q186" s="337"/>
      <c r="R186" s="338"/>
      <c r="T186" s="117" t="str">
        <f t="shared" ca="1" si="19"/>
        <v/>
      </c>
      <c r="U186" s="163" t="str">
        <f t="shared" ca="1" si="20"/>
        <v/>
      </c>
      <c r="V186" s="164" t="str">
        <f ca="1">IF(AND($W186&gt;0,RegimeExecucao="Unitário"),$F186,"")</f>
        <v/>
      </c>
      <c r="W186" s="454">
        <f ca="1">IF($Y186&gt;0,CHOOSE(MATCH(RegimeExecucao,{"Unitário","Global"},0),IF($A186="S",$Y186/$X186,""),($Y186/$X186)*100),0)</f>
        <v>0</v>
      </c>
      <c r="X186" s="339" t="str">
        <f ca="1">IF($Y186&gt;0,CHOOSE(MATCH(RegimeExecucao,{"Unitário","Global"},0),IF($A186="S",ROUND($H186,ORÇAMENTO!$AF$10),""),ROUND($I186,ORÇAMENTO!$AF$11)),"")</f>
        <v/>
      </c>
      <c r="Y186" s="339">
        <f t="shared" ca="1" si="21"/>
        <v>0</v>
      </c>
      <c r="Z186" s="473"/>
      <c r="AB186" s="337"/>
      <c r="AC186" s="437"/>
      <c r="AD186" s="437"/>
      <c r="AE186" s="437"/>
      <c r="AF186" s="437"/>
      <c r="AG186" s="437"/>
      <c r="AH186" s="437"/>
      <c r="AI186" s="437"/>
      <c r="AJ186" s="437"/>
      <c r="AK186" s="437"/>
      <c r="AL186" s="437"/>
      <c r="AM186" s="338"/>
      <c r="AO186">
        <f ca="1">IF($A186="S",IF(BM!$I186=0,0,CHOOSE(MATCH(RegimeExecucao,{"Global","Unitário"},0),ROUND(ROUND(BM.MEDAcumulado,15-13*BM!$A$9)/100*BM!$I186,15-13*ORÇAMENTO!$AF$11),ROUND(ROUND(BM.MEDAcumulado,15-13*BM!$A$9)*ROUND(BM!$H186,15-13*ORÇAMENTO!$AF$10),15-13*ORÇAMENTO!$AF$11))),IF($A186=0,0,ROUND(SomaAgrupBM,15-13*ORÇAMENTO!$AF$11)))</f>
        <v>0</v>
      </c>
    </row>
    <row r="187" spans="1:41" ht="25.5" x14ac:dyDescent="0.2">
      <c r="A187" t="str">
        <f ca="1">ORÇAMENTO!C187</f>
        <v>S</v>
      </c>
      <c r="B187">
        <f ca="1">ORÇAMENTO!D187</f>
        <v>0</v>
      </c>
      <c r="C187" s="114" t="str">
        <f t="shared" ca="1" si="15"/>
        <v>F</v>
      </c>
      <c r="D187" s="117" t="str">
        <f ca="1">ORÇAMENTO!O187</f>
        <v>1.5.5.3.14.</v>
      </c>
      <c r="E187" s="163" t="str">
        <f t="shared" ca="1" si="16"/>
        <v>ESPALHAMENTO DE MATERIAL COM TRATOR DE ESTEIRAS. AF_09/2024</v>
      </c>
      <c r="F187" s="164" t="str">
        <f ca="1">IF(RegimeExecucao="Global","",ORÇAMENTO.Unidade)</f>
        <v>M3</v>
      </c>
      <c r="G187" s="122">
        <f ca="1">IF(RegimeExecucao="Global","",ORÇAMENTO!T187)</f>
        <v>0.78</v>
      </c>
      <c r="H187" s="122">
        <f ca="1">IF(RegimeExecucao="Global","",ORÇAMENTO!W187)</f>
        <v>1.84</v>
      </c>
      <c r="I187" s="125">
        <f ca="1">ORÇAMENTO!X187</f>
        <v>1.44</v>
      </c>
      <c r="J187" s="333" cm="1">
        <f t="array" aca="1" ref="J187" ca="1">_xlfn.SINGLE(IF($A187="S",IF(CAIXA.Modo,BM.AFAnterior,BM.MEDAnterior),IF(AND(_xlfn.SINGLE(RegimeExecucao)="Global",$I187&gt;0,COUNTIF($AB$13:$AM$13,BM.medicao-1)&gt;0),M187/$I187*100,0)))</f>
        <v>0</v>
      </c>
      <c r="K187" s="122">
        <f t="shared" ca="1" si="17"/>
        <v>0</v>
      </c>
      <c r="L187" s="334" cm="1">
        <f t="array" aca="1" ref="L187" ca="1">_xlfn.SINGLE(IF($A187="S",IF(CAIXA.Modo,BM.AFAcumulado,BM.MEDAcumulado),IF(AND(_xlfn.SINGLE(RegimeExecucao)="Global",$I187&gt;0,COUNTIF($AB$13:$AM$13,BM.medicao)&gt;0),O187/$I187*100,0)))</f>
        <v>0</v>
      </c>
      <c r="M187" s="335">
        <f ca="1">IF($A187="S",VTOTALBM,IF($A187=0,0,ROUND(SomaAgrupBM,15-13*ORÇAMENTO!$AF$11)))</f>
        <v>0</v>
      </c>
      <c r="N187" s="336">
        <f t="shared" ca="1" si="18"/>
        <v>0</v>
      </c>
      <c r="O187" s="125">
        <f ca="1">IF($A187="S",VTOTALBM,IF($A187=0,0,ROUND(SomaAgrupBM,15-13*ORÇAMENTO!$AF$11)))</f>
        <v>0</v>
      </c>
      <c r="Q187" s="337"/>
      <c r="R187" s="338"/>
      <c r="T187" s="117" t="str">
        <f t="shared" ca="1" si="19"/>
        <v/>
      </c>
      <c r="U187" s="163" t="str">
        <f t="shared" ca="1" si="20"/>
        <v/>
      </c>
      <c r="V187" s="164" t="str">
        <f ca="1">IF(AND($W187&gt;0,RegimeExecucao="Unitário"),$F187,"")</f>
        <v/>
      </c>
      <c r="W187" s="454">
        <f ca="1">IF($Y187&gt;0,CHOOSE(MATCH(RegimeExecucao,{"Unitário","Global"},0),IF($A187="S",$Y187/$X187,""),($Y187/$X187)*100),0)</f>
        <v>0</v>
      </c>
      <c r="X187" s="339" t="str">
        <f ca="1">IF($Y187&gt;0,CHOOSE(MATCH(RegimeExecucao,{"Unitário","Global"},0),IF($A187="S",ROUND($H187,ORÇAMENTO!$AF$10),""),ROUND($I187,ORÇAMENTO!$AF$11)),"")</f>
        <v/>
      </c>
      <c r="Y187" s="339">
        <f t="shared" ca="1" si="21"/>
        <v>0</v>
      </c>
      <c r="Z187" s="473"/>
      <c r="AB187" s="337"/>
      <c r="AC187" s="437"/>
      <c r="AD187" s="437"/>
      <c r="AE187" s="437"/>
      <c r="AF187" s="437"/>
      <c r="AG187" s="437"/>
      <c r="AH187" s="437"/>
      <c r="AI187" s="437"/>
      <c r="AJ187" s="437"/>
      <c r="AK187" s="437"/>
      <c r="AL187" s="437"/>
      <c r="AM187" s="338"/>
      <c r="AO187">
        <f ca="1">IF($A187="S",IF(BM!$I187=0,0,CHOOSE(MATCH(RegimeExecucao,{"Global","Unitário"},0),ROUND(ROUND(BM.MEDAcumulado,15-13*BM!$A$9)/100*BM!$I187,15-13*ORÇAMENTO!$AF$11),ROUND(ROUND(BM.MEDAcumulado,15-13*BM!$A$9)*ROUND(BM!$H187,15-13*ORÇAMENTO!$AF$10),15-13*ORÇAMENTO!$AF$11))),IF($A187=0,0,ROUND(SomaAgrupBM,15-13*ORÇAMENTO!$AF$11)))</f>
        <v>0</v>
      </c>
    </row>
    <row r="188" spans="1:41" x14ac:dyDescent="0.2">
      <c r="A188">
        <f ca="1">ORÇAMENTO!C188</f>
        <v>4</v>
      </c>
      <c r="B188">
        <f ca="1">ORÇAMENTO!D188</f>
        <v>6</v>
      </c>
      <c r="C188" s="114" t="str">
        <f t="shared" ca="1" si="15"/>
        <v>F</v>
      </c>
      <c r="D188" s="117" t="str">
        <f ca="1">ORÇAMENTO!O188</f>
        <v>1.5.5.4.</v>
      </c>
      <c r="E188" s="163" t="str">
        <f t="shared" si="16"/>
        <v>PILARES E VIGAS</v>
      </c>
      <c r="F188" s="164" t="str">
        <f ca="1">IF(RegimeExecucao="Global","",ORÇAMENTO.Unidade)</f>
        <v>-</v>
      </c>
      <c r="G188" s="122">
        <f ca="1">IF(RegimeExecucao="Global","",ORÇAMENTO!T188)</f>
        <v>0</v>
      </c>
      <c r="H188" s="122">
        <f ca="1">IF(RegimeExecucao="Global","",ORÇAMENTO!W188)</f>
        <v>0</v>
      </c>
      <c r="I188" s="125">
        <f ca="1">ORÇAMENTO!X188</f>
        <v>6977.62</v>
      </c>
      <c r="J188" s="333" cm="1">
        <f t="array" aca="1" ref="J188" ca="1">_xlfn.SINGLE(IF($A188="S",IF(CAIXA.Modo,BM.AFAnterior,BM.MEDAnterior),IF(AND(_xlfn.SINGLE(RegimeExecucao)="Global",$I188&gt;0,COUNTIF($AB$13:$AM$13,BM.medicao-1)&gt;0),M188/$I188*100,0)))</f>
        <v>0</v>
      </c>
      <c r="K188" s="122">
        <f t="shared" ca="1" si="17"/>
        <v>0</v>
      </c>
      <c r="L188" s="334" cm="1">
        <f t="array" aca="1" ref="L188" ca="1">_xlfn.SINGLE(IF($A188="S",IF(CAIXA.Modo,BM.AFAcumulado,BM.MEDAcumulado),IF(AND(_xlfn.SINGLE(RegimeExecucao)="Global",$I188&gt;0,COUNTIF($AB$13:$AM$13,BM.medicao)&gt;0),O188/$I188*100,0)))</f>
        <v>0</v>
      </c>
      <c r="M188" s="335">
        <f ca="1">IF($A188="S",VTOTALBM,IF($A188=0,0,ROUND(SomaAgrupBM,15-13*ORÇAMENTO!$AF$11)))</f>
        <v>0</v>
      </c>
      <c r="N188" s="336">
        <f t="shared" ca="1" si="18"/>
        <v>0</v>
      </c>
      <c r="O188" s="125">
        <f ca="1">IF($A188="S",VTOTALBM,IF($A188=0,0,ROUND(SomaAgrupBM,15-13*ORÇAMENTO!$AF$11)))</f>
        <v>0</v>
      </c>
      <c r="Q188" s="337"/>
      <c r="R188" s="338"/>
      <c r="T188" s="117" t="str">
        <f t="shared" ca="1" si="19"/>
        <v/>
      </c>
      <c r="U188" s="163" t="str">
        <f t="shared" ca="1" si="20"/>
        <v/>
      </c>
      <c r="V188" s="164" t="str">
        <f ca="1">IF(AND($W188&gt;0,RegimeExecucao="Unitário"),$F188,"")</f>
        <v/>
      </c>
      <c r="W188" s="454">
        <f ca="1">IF($Y188&gt;0,CHOOSE(MATCH(RegimeExecucao,{"Unitário","Global"},0),IF($A188="S",$Y188/$X188,""),($Y188/$X188)*100),0)</f>
        <v>0</v>
      </c>
      <c r="X188" s="339" t="str">
        <f ca="1">IF($Y188&gt;0,CHOOSE(MATCH(RegimeExecucao,{"Unitário","Global"},0),IF($A188="S",ROUND($H188,ORÇAMENTO!$AF$10),""),ROUND($I188,ORÇAMENTO!$AF$11)),"")</f>
        <v/>
      </c>
      <c r="Y188" s="339">
        <f t="shared" ca="1" si="21"/>
        <v>0</v>
      </c>
      <c r="Z188" s="473"/>
      <c r="AB188" s="337"/>
      <c r="AC188" s="437"/>
      <c r="AD188" s="437"/>
      <c r="AE188" s="437"/>
      <c r="AF188" s="437"/>
      <c r="AG188" s="437"/>
      <c r="AH188" s="437"/>
      <c r="AI188" s="437"/>
      <c r="AJ188" s="437"/>
      <c r="AK188" s="437"/>
      <c r="AL188" s="437"/>
      <c r="AM188" s="338"/>
      <c r="AO188">
        <f ca="1">IF($A188="S",IF(BM!$I188=0,0,CHOOSE(MATCH(RegimeExecucao,{"Global","Unitário"},0),ROUND(ROUND(BM.MEDAcumulado,15-13*BM!$A$9)/100*BM!$I188,15-13*ORÇAMENTO!$AF$11),ROUND(ROUND(BM.MEDAcumulado,15-13*BM!$A$9)*ROUND(BM!$H188,15-13*ORÇAMENTO!$AF$10),15-13*ORÇAMENTO!$AF$11))),IF($A188=0,0,ROUND(SomaAgrupBM,15-13*ORÇAMENTO!$AF$11)))</f>
        <v>0</v>
      </c>
    </row>
    <row r="189" spans="1:41" ht="38.25" x14ac:dyDescent="0.2">
      <c r="A189" t="str">
        <f ca="1">ORÇAMENTO!C189</f>
        <v>S</v>
      </c>
      <c r="B189">
        <f ca="1">ORÇAMENTO!D189</f>
        <v>0</v>
      </c>
      <c r="C189" s="114" t="str">
        <f t="shared" ca="1" si="15"/>
        <v>F</v>
      </c>
      <c r="D189" s="117" t="str">
        <f ca="1">ORÇAMENTO!O189</f>
        <v>1.5.5.4.1.</v>
      </c>
      <c r="E189" s="163" t="str">
        <f t="shared" ca="1" si="16"/>
        <v>CONCRETO FCK = 40MPA, TRAÇO 1:1,6:1,9 (EM MASSA SECA DE CIMENTO/ AREIA MÉDIA/ BRITA 1) - PREPARO MECÂNICO COM BETONEIRA 600 L. AF_05/2021</v>
      </c>
      <c r="F189" s="164" t="str">
        <f ca="1">IF(RegimeExecucao="Global","",ORÇAMENTO.Unidade)</f>
        <v>M3</v>
      </c>
      <c r="G189" s="122">
        <f ca="1">IF(RegimeExecucao="Global","",ORÇAMENTO!T189)</f>
        <v>1.4</v>
      </c>
      <c r="H189" s="122">
        <f ca="1">IF(RegimeExecucao="Global","",ORÇAMENTO!W189)</f>
        <v>775.96</v>
      </c>
      <c r="I189" s="125">
        <f ca="1">ORÇAMENTO!X189</f>
        <v>1086.3399999999999</v>
      </c>
      <c r="J189" s="333" cm="1">
        <f t="array" aca="1" ref="J189" ca="1">_xlfn.SINGLE(IF($A189="S",IF(CAIXA.Modo,BM.AFAnterior,BM.MEDAnterior),IF(AND(_xlfn.SINGLE(RegimeExecucao)="Global",$I189&gt;0,COUNTIF($AB$13:$AM$13,BM.medicao-1)&gt;0),M189/$I189*100,0)))</f>
        <v>0</v>
      </c>
      <c r="K189" s="122">
        <f t="shared" ca="1" si="17"/>
        <v>0</v>
      </c>
      <c r="L189" s="334" cm="1">
        <f t="array" aca="1" ref="L189" ca="1">_xlfn.SINGLE(IF($A189="S",IF(CAIXA.Modo,BM.AFAcumulado,BM.MEDAcumulado),IF(AND(_xlfn.SINGLE(RegimeExecucao)="Global",$I189&gt;0,COUNTIF($AB$13:$AM$13,BM.medicao)&gt;0),O189/$I189*100,0)))</f>
        <v>0</v>
      </c>
      <c r="M189" s="335">
        <f ca="1">IF($A189="S",VTOTALBM,IF($A189=0,0,ROUND(SomaAgrupBM,15-13*ORÇAMENTO!$AF$11)))</f>
        <v>0</v>
      </c>
      <c r="N189" s="336">
        <f t="shared" ca="1" si="18"/>
        <v>0</v>
      </c>
      <c r="O189" s="125">
        <f ca="1">IF($A189="S",VTOTALBM,IF($A189=0,0,ROUND(SomaAgrupBM,15-13*ORÇAMENTO!$AF$11)))</f>
        <v>0</v>
      </c>
      <c r="Q189" s="337"/>
      <c r="R189" s="338"/>
      <c r="T189" s="117" t="str">
        <f t="shared" ca="1" si="19"/>
        <v/>
      </c>
      <c r="U189" s="163" t="str">
        <f t="shared" ca="1" si="20"/>
        <v/>
      </c>
      <c r="V189" s="164" t="str">
        <f ca="1">IF(AND($W189&gt;0,RegimeExecucao="Unitário"),$F189,"")</f>
        <v/>
      </c>
      <c r="W189" s="454">
        <f ca="1">IF($Y189&gt;0,CHOOSE(MATCH(RegimeExecucao,{"Unitário","Global"},0),IF($A189="S",$Y189/$X189,""),($Y189/$X189)*100),0)</f>
        <v>0</v>
      </c>
      <c r="X189" s="339" t="str">
        <f ca="1">IF($Y189&gt;0,CHOOSE(MATCH(RegimeExecucao,{"Unitário","Global"},0),IF($A189="S",ROUND($H189,ORÇAMENTO!$AF$10),""),ROUND($I189,ORÇAMENTO!$AF$11)),"")</f>
        <v/>
      </c>
      <c r="Y189" s="339">
        <f t="shared" ca="1" si="21"/>
        <v>0</v>
      </c>
      <c r="Z189" s="473"/>
      <c r="AB189" s="337"/>
      <c r="AC189" s="437"/>
      <c r="AD189" s="437"/>
      <c r="AE189" s="437"/>
      <c r="AF189" s="437"/>
      <c r="AG189" s="437"/>
      <c r="AH189" s="437"/>
      <c r="AI189" s="437"/>
      <c r="AJ189" s="437"/>
      <c r="AK189" s="437"/>
      <c r="AL189" s="437"/>
      <c r="AM189" s="338"/>
      <c r="AO189">
        <f ca="1">IF($A189="S",IF(BM!$I189=0,0,CHOOSE(MATCH(RegimeExecucao,{"Global","Unitário"},0),ROUND(ROUND(BM.MEDAcumulado,15-13*BM!$A$9)/100*BM!$I189,15-13*ORÇAMENTO!$AF$11),ROUND(ROUND(BM.MEDAcumulado,15-13*BM!$A$9)*ROUND(BM!$H189,15-13*ORÇAMENTO!$AF$10),15-13*ORÇAMENTO!$AF$11))),IF($A189=0,0,ROUND(SomaAgrupBM,15-13*ORÇAMENTO!$AF$11)))</f>
        <v>0</v>
      </c>
    </row>
    <row r="190" spans="1:41" ht="25.5" x14ac:dyDescent="0.2">
      <c r="A190" t="str">
        <f ca="1">ORÇAMENTO!C190</f>
        <v>S</v>
      </c>
      <c r="B190">
        <f ca="1">ORÇAMENTO!D190</f>
        <v>0</v>
      </c>
      <c r="C190" s="114" t="str">
        <f t="shared" ca="1" si="15"/>
        <v>F</v>
      </c>
      <c r="D190" s="117" t="str">
        <f ca="1">ORÇAMENTO!O190</f>
        <v>1.5.5.4.2.</v>
      </c>
      <c r="E190" s="163" t="str">
        <f t="shared" ca="1" si="16"/>
        <v>LANÇAMENTO COM USO DE BOMBA, ADENSAMENTO E ACABAMENTO DE CONCRETO EM ESTRUTURAS. AF_02/2022</v>
      </c>
      <c r="F190" s="164" t="str">
        <f ca="1">IF(RegimeExecucao="Global","",ORÇAMENTO.Unidade)</f>
        <v>M3</v>
      </c>
      <c r="G190" s="122">
        <f ca="1">IF(RegimeExecucao="Global","",ORÇAMENTO!T190)</f>
        <v>1.4</v>
      </c>
      <c r="H190" s="122">
        <f ca="1">IF(RegimeExecucao="Global","",ORÇAMENTO!W190)</f>
        <v>54.96</v>
      </c>
      <c r="I190" s="125">
        <f ca="1">ORÇAMENTO!X190</f>
        <v>76.94</v>
      </c>
      <c r="J190" s="333" cm="1">
        <f t="array" aca="1" ref="J190" ca="1">_xlfn.SINGLE(IF($A190="S",IF(CAIXA.Modo,BM.AFAnterior,BM.MEDAnterior),IF(AND(_xlfn.SINGLE(RegimeExecucao)="Global",$I190&gt;0,COUNTIF($AB$13:$AM$13,BM.medicao-1)&gt;0),M190/$I190*100,0)))</f>
        <v>0</v>
      </c>
      <c r="K190" s="122">
        <f t="shared" ca="1" si="17"/>
        <v>0</v>
      </c>
      <c r="L190" s="334" cm="1">
        <f t="array" aca="1" ref="L190" ca="1">_xlfn.SINGLE(IF($A190="S",IF(CAIXA.Modo,BM.AFAcumulado,BM.MEDAcumulado),IF(AND(_xlfn.SINGLE(RegimeExecucao)="Global",$I190&gt;0,COUNTIF($AB$13:$AM$13,BM.medicao)&gt;0),O190/$I190*100,0)))</f>
        <v>0</v>
      </c>
      <c r="M190" s="335">
        <f ca="1">IF($A190="S",VTOTALBM,IF($A190=0,0,ROUND(SomaAgrupBM,15-13*ORÇAMENTO!$AF$11)))</f>
        <v>0</v>
      </c>
      <c r="N190" s="336">
        <f t="shared" ca="1" si="18"/>
        <v>0</v>
      </c>
      <c r="O190" s="125">
        <f ca="1">IF($A190="S",VTOTALBM,IF($A190=0,0,ROUND(SomaAgrupBM,15-13*ORÇAMENTO!$AF$11)))</f>
        <v>0</v>
      </c>
      <c r="Q190" s="337"/>
      <c r="R190" s="338"/>
      <c r="T190" s="117" t="str">
        <f t="shared" ca="1" si="19"/>
        <v/>
      </c>
      <c r="U190" s="163" t="str">
        <f t="shared" ca="1" si="20"/>
        <v/>
      </c>
      <c r="V190" s="164" t="str">
        <f ca="1">IF(AND($W190&gt;0,RegimeExecucao="Unitário"),$F190,"")</f>
        <v/>
      </c>
      <c r="W190" s="454">
        <f ca="1">IF($Y190&gt;0,CHOOSE(MATCH(RegimeExecucao,{"Unitário","Global"},0),IF($A190="S",$Y190/$X190,""),($Y190/$X190)*100),0)</f>
        <v>0</v>
      </c>
      <c r="X190" s="339" t="str">
        <f ca="1">IF($Y190&gt;0,CHOOSE(MATCH(RegimeExecucao,{"Unitário","Global"},0),IF($A190="S",ROUND($H190,ORÇAMENTO!$AF$10),""),ROUND($I190,ORÇAMENTO!$AF$11)),"")</f>
        <v/>
      </c>
      <c r="Y190" s="339">
        <f t="shared" ca="1" si="21"/>
        <v>0</v>
      </c>
      <c r="Z190" s="473"/>
      <c r="AB190" s="337"/>
      <c r="AC190" s="437"/>
      <c r="AD190" s="437"/>
      <c r="AE190" s="437"/>
      <c r="AF190" s="437"/>
      <c r="AG190" s="437"/>
      <c r="AH190" s="437"/>
      <c r="AI190" s="437"/>
      <c r="AJ190" s="437"/>
      <c r="AK190" s="437"/>
      <c r="AL190" s="437"/>
      <c r="AM190" s="338"/>
      <c r="AO190">
        <f ca="1">IF($A190="S",IF(BM!$I190=0,0,CHOOSE(MATCH(RegimeExecucao,{"Global","Unitário"},0),ROUND(ROUND(BM.MEDAcumulado,15-13*BM!$A$9)/100*BM!$I190,15-13*ORÇAMENTO!$AF$11),ROUND(ROUND(BM.MEDAcumulado,15-13*BM!$A$9)*ROUND(BM!$H190,15-13*ORÇAMENTO!$AF$10),15-13*ORÇAMENTO!$AF$11))),IF($A190=0,0,ROUND(SomaAgrupBM,15-13*ORÇAMENTO!$AF$11)))</f>
        <v>0</v>
      </c>
    </row>
    <row r="191" spans="1:41" ht="25.5" x14ac:dyDescent="0.2">
      <c r="A191" t="str">
        <f ca="1">ORÇAMENTO!C191</f>
        <v>S</v>
      </c>
      <c r="B191">
        <f ca="1">ORÇAMENTO!D191</f>
        <v>0</v>
      </c>
      <c r="C191" s="114" t="str">
        <f t="shared" ca="1" si="15"/>
        <v>F</v>
      </c>
      <c r="D191" s="117" t="str">
        <f ca="1">ORÇAMENTO!O191</f>
        <v>1.5.5.4.3.</v>
      </c>
      <c r="E191" s="163" t="str">
        <f t="shared" ca="1" si="16"/>
        <v>FÔRMAS DE COMPENSADO RESINADO 10 MM - USO GERAL - UTILIZAÇÃO DE 3 VEZES - CONFECÇÃO, INSTALAÇÃO E RETIRADA</v>
      </c>
      <c r="F191" s="164" t="str">
        <f ca="1">IF(RegimeExecucao="Global","",ORÇAMENTO.Unidade)</f>
        <v>M2</v>
      </c>
      <c r="G191" s="122">
        <f ca="1">IF(RegimeExecucao="Global","",ORÇAMENTO!T191)</f>
        <v>21.01</v>
      </c>
      <c r="H191" s="122">
        <f ca="1">IF(RegimeExecucao="Global","",ORÇAMENTO!W191)</f>
        <v>88.5</v>
      </c>
      <c r="I191" s="125">
        <f ca="1">ORÇAMENTO!X191</f>
        <v>1859.39</v>
      </c>
      <c r="J191" s="333" cm="1">
        <f t="array" aca="1" ref="J191" ca="1">_xlfn.SINGLE(IF($A191="S",IF(CAIXA.Modo,BM.AFAnterior,BM.MEDAnterior),IF(AND(_xlfn.SINGLE(RegimeExecucao)="Global",$I191&gt;0,COUNTIF($AB$13:$AM$13,BM.medicao-1)&gt;0),M191/$I191*100,0)))</f>
        <v>0</v>
      </c>
      <c r="K191" s="122">
        <f t="shared" ca="1" si="17"/>
        <v>0</v>
      </c>
      <c r="L191" s="334" cm="1">
        <f t="array" aca="1" ref="L191" ca="1">_xlfn.SINGLE(IF($A191="S",IF(CAIXA.Modo,BM.AFAcumulado,BM.MEDAcumulado),IF(AND(_xlfn.SINGLE(RegimeExecucao)="Global",$I191&gt;0,COUNTIF($AB$13:$AM$13,BM.medicao)&gt;0),O191/$I191*100,0)))</f>
        <v>0</v>
      </c>
      <c r="M191" s="335">
        <f ca="1">IF($A191="S",VTOTALBM,IF($A191=0,0,ROUND(SomaAgrupBM,15-13*ORÇAMENTO!$AF$11)))</f>
        <v>0</v>
      </c>
      <c r="N191" s="336">
        <f t="shared" ca="1" si="18"/>
        <v>0</v>
      </c>
      <c r="O191" s="125">
        <f ca="1">IF($A191="S",VTOTALBM,IF($A191=0,0,ROUND(SomaAgrupBM,15-13*ORÇAMENTO!$AF$11)))</f>
        <v>0</v>
      </c>
      <c r="Q191" s="337"/>
      <c r="R191" s="338"/>
      <c r="T191" s="117" t="str">
        <f t="shared" ca="1" si="19"/>
        <v/>
      </c>
      <c r="U191" s="163" t="str">
        <f t="shared" ca="1" si="20"/>
        <v/>
      </c>
      <c r="V191" s="164" t="str">
        <f ca="1">IF(AND($W191&gt;0,RegimeExecucao="Unitário"),$F191,"")</f>
        <v/>
      </c>
      <c r="W191" s="454">
        <f ca="1">IF($Y191&gt;0,CHOOSE(MATCH(RegimeExecucao,{"Unitário","Global"},0),IF($A191="S",$Y191/$X191,""),($Y191/$X191)*100),0)</f>
        <v>0</v>
      </c>
      <c r="X191" s="339" t="str">
        <f ca="1">IF($Y191&gt;0,CHOOSE(MATCH(RegimeExecucao,{"Unitário","Global"},0),IF($A191="S",ROUND($H191,ORÇAMENTO!$AF$10),""),ROUND($I191,ORÇAMENTO!$AF$11)),"")</f>
        <v/>
      </c>
      <c r="Y191" s="339">
        <f t="shared" ca="1" si="21"/>
        <v>0</v>
      </c>
      <c r="Z191" s="473"/>
      <c r="AB191" s="337"/>
      <c r="AC191" s="437"/>
      <c r="AD191" s="437"/>
      <c r="AE191" s="437"/>
      <c r="AF191" s="437"/>
      <c r="AG191" s="437"/>
      <c r="AH191" s="437"/>
      <c r="AI191" s="437"/>
      <c r="AJ191" s="437"/>
      <c r="AK191" s="437"/>
      <c r="AL191" s="437"/>
      <c r="AM191" s="338"/>
      <c r="AO191">
        <f ca="1">IF($A191="S",IF(BM!$I191=0,0,CHOOSE(MATCH(RegimeExecucao,{"Global","Unitário"},0),ROUND(ROUND(BM.MEDAcumulado,15-13*BM!$A$9)/100*BM!$I191,15-13*ORÇAMENTO!$AF$11),ROUND(ROUND(BM.MEDAcumulado,15-13*BM!$A$9)*ROUND(BM!$H191,15-13*ORÇAMENTO!$AF$10),15-13*ORÇAMENTO!$AF$11))),IF($A191=0,0,ROUND(SomaAgrupBM,15-13*ORÇAMENTO!$AF$11)))</f>
        <v>0</v>
      </c>
    </row>
    <row r="192" spans="1:41" ht="25.5" x14ac:dyDescent="0.2">
      <c r="A192" t="str">
        <f ca="1">ORÇAMENTO!C192</f>
        <v>S</v>
      </c>
      <c r="B192">
        <f ca="1">ORÇAMENTO!D192</f>
        <v>0</v>
      </c>
      <c r="C192" s="114" t="str">
        <f t="shared" ca="1" si="15"/>
        <v>F</v>
      </c>
      <c r="D192" s="117" t="str">
        <f ca="1">ORÇAMENTO!O192</f>
        <v>1.5.5.4.4.</v>
      </c>
      <c r="E192" s="163" t="str">
        <f t="shared" ca="1" si="16"/>
        <v>ARMAÇÃO EM AÇO CA-50 - FORNECIMENTO, PREPARO E COLOCAÇÃO</v>
      </c>
      <c r="F192" s="164" t="str">
        <f ca="1">IF(RegimeExecucao="Global","",ORÇAMENTO.Unidade)</f>
        <v>KG</v>
      </c>
      <c r="G192" s="122">
        <f ca="1">IF(RegimeExecucao="Global","",ORÇAMENTO!T192)</f>
        <v>177.4</v>
      </c>
      <c r="H192" s="122">
        <f ca="1">IF(RegimeExecucao="Global","",ORÇAMENTO!W192)</f>
        <v>14.92</v>
      </c>
      <c r="I192" s="125">
        <f ca="1">ORÇAMENTO!X192</f>
        <v>2646.81</v>
      </c>
      <c r="J192" s="333" cm="1">
        <f t="array" aca="1" ref="J192" ca="1">_xlfn.SINGLE(IF($A192="S",IF(CAIXA.Modo,BM.AFAnterior,BM.MEDAnterior),IF(AND(_xlfn.SINGLE(RegimeExecucao)="Global",$I192&gt;0,COUNTIF($AB$13:$AM$13,BM.medicao-1)&gt;0),M192/$I192*100,0)))</f>
        <v>0</v>
      </c>
      <c r="K192" s="122">
        <f t="shared" ca="1" si="17"/>
        <v>0</v>
      </c>
      <c r="L192" s="334" cm="1">
        <f t="array" aca="1" ref="L192" ca="1">_xlfn.SINGLE(IF($A192="S",IF(CAIXA.Modo,BM.AFAcumulado,BM.MEDAcumulado),IF(AND(_xlfn.SINGLE(RegimeExecucao)="Global",$I192&gt;0,COUNTIF($AB$13:$AM$13,BM.medicao)&gt;0),O192/$I192*100,0)))</f>
        <v>0</v>
      </c>
      <c r="M192" s="335">
        <f ca="1">IF($A192="S",VTOTALBM,IF($A192=0,0,ROUND(SomaAgrupBM,15-13*ORÇAMENTO!$AF$11)))</f>
        <v>0</v>
      </c>
      <c r="N192" s="336">
        <f t="shared" ca="1" si="18"/>
        <v>0</v>
      </c>
      <c r="O192" s="125">
        <f ca="1">IF($A192="S",VTOTALBM,IF($A192=0,0,ROUND(SomaAgrupBM,15-13*ORÇAMENTO!$AF$11)))</f>
        <v>0</v>
      </c>
      <c r="Q192" s="337"/>
      <c r="R192" s="338"/>
      <c r="T192" s="117" t="str">
        <f t="shared" ca="1" si="19"/>
        <v/>
      </c>
      <c r="U192" s="163" t="str">
        <f t="shared" ca="1" si="20"/>
        <v/>
      </c>
      <c r="V192" s="164" t="str">
        <f ca="1">IF(AND($W192&gt;0,RegimeExecucao="Unitário"),$F192,"")</f>
        <v/>
      </c>
      <c r="W192" s="454">
        <f ca="1">IF($Y192&gt;0,CHOOSE(MATCH(RegimeExecucao,{"Unitário","Global"},0),IF($A192="S",$Y192/$X192,""),($Y192/$X192)*100),0)</f>
        <v>0</v>
      </c>
      <c r="X192" s="339" t="str">
        <f ca="1">IF($Y192&gt;0,CHOOSE(MATCH(RegimeExecucao,{"Unitário","Global"},0),IF($A192="S",ROUND($H192,ORÇAMENTO!$AF$10),""),ROUND($I192,ORÇAMENTO!$AF$11)),"")</f>
        <v/>
      </c>
      <c r="Y192" s="339">
        <f t="shared" ca="1" si="21"/>
        <v>0</v>
      </c>
      <c r="Z192" s="473"/>
      <c r="AB192" s="337"/>
      <c r="AC192" s="437"/>
      <c r="AD192" s="437"/>
      <c r="AE192" s="437"/>
      <c r="AF192" s="437"/>
      <c r="AG192" s="437"/>
      <c r="AH192" s="437"/>
      <c r="AI192" s="437"/>
      <c r="AJ192" s="437"/>
      <c r="AK192" s="437"/>
      <c r="AL192" s="437"/>
      <c r="AM192" s="338"/>
      <c r="AO192">
        <f ca="1">IF($A192="S",IF(BM!$I192=0,0,CHOOSE(MATCH(RegimeExecucao,{"Global","Unitário"},0),ROUND(ROUND(BM.MEDAcumulado,15-13*BM!$A$9)/100*BM!$I192,15-13*ORÇAMENTO!$AF$11),ROUND(ROUND(BM.MEDAcumulado,15-13*BM!$A$9)*ROUND(BM!$H192,15-13*ORÇAMENTO!$AF$10),15-13*ORÇAMENTO!$AF$11))),IF($A192=0,0,ROUND(SomaAgrupBM,15-13*ORÇAMENTO!$AF$11)))</f>
        <v>0</v>
      </c>
    </row>
    <row r="193" spans="1:41" ht="25.5" x14ac:dyDescent="0.2">
      <c r="A193" t="str">
        <f ca="1">ORÇAMENTO!C193</f>
        <v>S</v>
      </c>
      <c r="B193">
        <f ca="1">ORÇAMENTO!D193</f>
        <v>0</v>
      </c>
      <c r="C193" s="114" t="str">
        <f t="shared" ca="1" si="15"/>
        <v>F</v>
      </c>
      <c r="D193" s="117" t="str">
        <f ca="1">ORÇAMENTO!O193</f>
        <v>1.5.5.4.5.</v>
      </c>
      <c r="E193" s="163" t="str">
        <f t="shared" ca="1" si="16"/>
        <v>ARMAÇÃO EM AÇO CA-60 - FORNECIMENTO, PREPARO E COLOCAÇÃO</v>
      </c>
      <c r="F193" s="164" t="str">
        <f ca="1">IF(RegimeExecucao="Global","",ORÇAMENTO.Unidade)</f>
        <v>KG</v>
      </c>
      <c r="G193" s="122">
        <f ca="1">IF(RegimeExecucao="Global","",ORÇAMENTO!T193)</f>
        <v>81.099999999999994</v>
      </c>
      <c r="H193" s="122">
        <f ca="1">IF(RegimeExecucao="Global","",ORÇAMENTO!W193)</f>
        <v>16.13</v>
      </c>
      <c r="I193" s="125">
        <f ca="1">ORÇAMENTO!X193</f>
        <v>1308.1400000000001</v>
      </c>
      <c r="J193" s="333" cm="1">
        <f t="array" aca="1" ref="J193" ca="1">_xlfn.SINGLE(IF($A193="S",IF(CAIXA.Modo,BM.AFAnterior,BM.MEDAnterior),IF(AND(_xlfn.SINGLE(RegimeExecucao)="Global",$I193&gt;0,COUNTIF($AB$13:$AM$13,BM.medicao-1)&gt;0),M193/$I193*100,0)))</f>
        <v>0</v>
      </c>
      <c r="K193" s="122">
        <f t="shared" ca="1" si="17"/>
        <v>0</v>
      </c>
      <c r="L193" s="334" cm="1">
        <f t="array" aca="1" ref="L193" ca="1">_xlfn.SINGLE(IF($A193="S",IF(CAIXA.Modo,BM.AFAcumulado,BM.MEDAcumulado),IF(AND(_xlfn.SINGLE(RegimeExecucao)="Global",$I193&gt;0,COUNTIF($AB$13:$AM$13,BM.medicao)&gt;0),O193/$I193*100,0)))</f>
        <v>0</v>
      </c>
      <c r="M193" s="335">
        <f ca="1">IF($A193="S",VTOTALBM,IF($A193=0,0,ROUND(SomaAgrupBM,15-13*ORÇAMENTO!$AF$11)))</f>
        <v>0</v>
      </c>
      <c r="N193" s="336">
        <f t="shared" ca="1" si="18"/>
        <v>0</v>
      </c>
      <c r="O193" s="125">
        <f ca="1">IF($A193="S",VTOTALBM,IF($A193=0,0,ROUND(SomaAgrupBM,15-13*ORÇAMENTO!$AF$11)))</f>
        <v>0</v>
      </c>
      <c r="Q193" s="337"/>
      <c r="R193" s="338"/>
      <c r="T193" s="117" t="str">
        <f t="shared" ca="1" si="19"/>
        <v/>
      </c>
      <c r="U193" s="163" t="str">
        <f t="shared" ca="1" si="20"/>
        <v/>
      </c>
      <c r="V193" s="164" t="str">
        <f ca="1">IF(AND($W193&gt;0,RegimeExecucao="Unitário"),$F193,"")</f>
        <v/>
      </c>
      <c r="W193" s="454">
        <f ca="1">IF($Y193&gt;0,CHOOSE(MATCH(RegimeExecucao,{"Unitário","Global"},0),IF($A193="S",$Y193/$X193,""),($Y193/$X193)*100),0)</f>
        <v>0</v>
      </c>
      <c r="X193" s="339" t="str">
        <f ca="1">IF($Y193&gt;0,CHOOSE(MATCH(RegimeExecucao,{"Unitário","Global"},0),IF($A193="S",ROUND($H193,ORÇAMENTO!$AF$10),""),ROUND($I193,ORÇAMENTO!$AF$11)),"")</f>
        <v/>
      </c>
      <c r="Y193" s="339">
        <f t="shared" ca="1" si="21"/>
        <v>0</v>
      </c>
      <c r="Z193" s="473"/>
      <c r="AB193" s="337"/>
      <c r="AC193" s="437"/>
      <c r="AD193" s="437"/>
      <c r="AE193" s="437"/>
      <c r="AF193" s="437"/>
      <c r="AG193" s="437"/>
      <c r="AH193" s="437"/>
      <c r="AI193" s="437"/>
      <c r="AJ193" s="437"/>
      <c r="AK193" s="437"/>
      <c r="AL193" s="437"/>
      <c r="AM193" s="338"/>
      <c r="AO193">
        <f ca="1">IF($A193="S",IF(BM!$I193=0,0,CHOOSE(MATCH(RegimeExecucao,{"Global","Unitário"},0),ROUND(ROUND(BM.MEDAcumulado,15-13*BM!$A$9)/100*BM!$I193,15-13*ORÇAMENTO!$AF$11),ROUND(ROUND(BM.MEDAcumulado,15-13*BM!$A$9)*ROUND(BM!$H193,15-13*ORÇAMENTO!$AF$10),15-13*ORÇAMENTO!$AF$11))),IF($A193=0,0,ROUND(SomaAgrupBM,15-13*ORÇAMENTO!$AF$11)))</f>
        <v>0</v>
      </c>
    </row>
    <row r="194" spans="1:41" x14ac:dyDescent="0.2">
      <c r="A194">
        <f ca="1">ORÇAMENTO!C194</f>
        <v>4</v>
      </c>
      <c r="B194">
        <f ca="1">ORÇAMENTO!D194</f>
        <v>7</v>
      </c>
      <c r="C194" s="114" t="str">
        <f t="shared" ca="1" si="15"/>
        <v>F</v>
      </c>
      <c r="D194" s="117" t="str">
        <f ca="1">ORÇAMENTO!O194</f>
        <v>1.5.5.5.</v>
      </c>
      <c r="E194" s="163" t="str">
        <f t="shared" si="16"/>
        <v>PISO ARMADO</v>
      </c>
      <c r="F194" s="164" t="str">
        <f ca="1">IF(RegimeExecucao="Global","",ORÇAMENTO.Unidade)</f>
        <v>-</v>
      </c>
      <c r="G194" s="122">
        <f ca="1">IF(RegimeExecucao="Global","",ORÇAMENTO!T194)</f>
        <v>0</v>
      </c>
      <c r="H194" s="122">
        <f ca="1">IF(RegimeExecucao="Global","",ORÇAMENTO!W194)</f>
        <v>0</v>
      </c>
      <c r="I194" s="125">
        <f ca="1">ORÇAMENTO!X194</f>
        <v>5929.47</v>
      </c>
      <c r="J194" s="333" cm="1">
        <f t="array" aca="1" ref="J194" ca="1">_xlfn.SINGLE(IF($A194="S",IF(CAIXA.Modo,BM.AFAnterior,BM.MEDAnterior),IF(AND(_xlfn.SINGLE(RegimeExecucao)="Global",$I194&gt;0,COUNTIF($AB$13:$AM$13,BM.medicao-1)&gt;0),M194/$I194*100,0)))</f>
        <v>0</v>
      </c>
      <c r="K194" s="122">
        <f t="shared" ca="1" si="17"/>
        <v>0</v>
      </c>
      <c r="L194" s="334" cm="1">
        <f t="array" aca="1" ref="L194" ca="1">_xlfn.SINGLE(IF($A194="S",IF(CAIXA.Modo,BM.AFAcumulado,BM.MEDAcumulado),IF(AND(_xlfn.SINGLE(RegimeExecucao)="Global",$I194&gt;0,COUNTIF($AB$13:$AM$13,BM.medicao)&gt;0),O194/$I194*100,0)))</f>
        <v>0</v>
      </c>
      <c r="M194" s="335">
        <f ca="1">IF($A194="S",VTOTALBM,IF($A194=0,0,ROUND(SomaAgrupBM,15-13*ORÇAMENTO!$AF$11)))</f>
        <v>0</v>
      </c>
      <c r="N194" s="336">
        <f t="shared" ca="1" si="18"/>
        <v>0</v>
      </c>
      <c r="O194" s="125">
        <f ca="1">IF($A194="S",VTOTALBM,IF($A194=0,0,ROUND(SomaAgrupBM,15-13*ORÇAMENTO!$AF$11)))</f>
        <v>0</v>
      </c>
      <c r="Q194" s="337"/>
      <c r="R194" s="338"/>
      <c r="T194" s="117" t="str">
        <f t="shared" ca="1" si="19"/>
        <v/>
      </c>
      <c r="U194" s="163" t="str">
        <f t="shared" ca="1" si="20"/>
        <v/>
      </c>
      <c r="V194" s="164" t="str">
        <f ca="1">IF(AND($W194&gt;0,RegimeExecucao="Unitário"),$F194,"")</f>
        <v/>
      </c>
      <c r="W194" s="454">
        <f ca="1">IF($Y194&gt;0,CHOOSE(MATCH(RegimeExecucao,{"Unitário","Global"},0),IF($A194="S",$Y194/$X194,""),($Y194/$X194)*100),0)</f>
        <v>0</v>
      </c>
      <c r="X194" s="339" t="str">
        <f ca="1">IF($Y194&gt;0,CHOOSE(MATCH(RegimeExecucao,{"Unitário","Global"},0),IF($A194="S",ROUND($H194,ORÇAMENTO!$AF$10),""),ROUND($I194,ORÇAMENTO!$AF$11)),"")</f>
        <v/>
      </c>
      <c r="Y194" s="339">
        <f t="shared" ca="1" si="21"/>
        <v>0</v>
      </c>
      <c r="Z194" s="473"/>
      <c r="AB194" s="337"/>
      <c r="AC194" s="437"/>
      <c r="AD194" s="437"/>
      <c r="AE194" s="437"/>
      <c r="AF194" s="437"/>
      <c r="AG194" s="437"/>
      <c r="AH194" s="437"/>
      <c r="AI194" s="437"/>
      <c r="AJ194" s="437"/>
      <c r="AK194" s="437"/>
      <c r="AL194" s="437"/>
      <c r="AM194" s="338"/>
      <c r="AO194">
        <f ca="1">IF($A194="S",IF(BM!$I194=0,0,CHOOSE(MATCH(RegimeExecucao,{"Global","Unitário"},0),ROUND(ROUND(BM.MEDAcumulado,15-13*BM!$A$9)/100*BM!$I194,15-13*ORÇAMENTO!$AF$11),ROUND(ROUND(BM.MEDAcumulado,15-13*BM!$A$9)*ROUND(BM!$H194,15-13*ORÇAMENTO!$AF$10),15-13*ORÇAMENTO!$AF$11))),IF($A194=0,0,ROUND(SomaAgrupBM,15-13*ORÇAMENTO!$AF$11)))</f>
        <v>0</v>
      </c>
    </row>
    <row r="195" spans="1:41" ht="38.25" x14ac:dyDescent="0.2">
      <c r="A195" t="str">
        <f ca="1">ORÇAMENTO!C195</f>
        <v>S</v>
      </c>
      <c r="B195">
        <f ca="1">ORÇAMENTO!D195</f>
        <v>0</v>
      </c>
      <c r="C195" s="114" t="str">
        <f t="shared" ca="1" si="15"/>
        <v>F</v>
      </c>
      <c r="D195" s="117" t="str">
        <f ca="1">ORÇAMENTO!O195</f>
        <v>1.5.5.5.1.</v>
      </c>
      <c r="E195" s="163" t="str">
        <f t="shared" ca="1" si="16"/>
        <v>CONCRETO FCK = 40MPA, TRAÇO 1:1,6:1,9 (EM MASSA SECA DE CIMENTO/ AREIA MÉDIA/ BRITA 1) - PREPARO MECÂNICO COM BETONEIRA 600 L. AF_05/2021</v>
      </c>
      <c r="F195" s="164" t="str">
        <f ca="1">IF(RegimeExecucao="Global","",ORÇAMENTO.Unidade)</f>
        <v>M3</v>
      </c>
      <c r="G195" s="122">
        <f ca="1">IF(RegimeExecucao="Global","",ORÇAMENTO!T195)</f>
        <v>3.4</v>
      </c>
      <c r="H195" s="122">
        <f ca="1">IF(RegimeExecucao="Global","",ORÇAMENTO!W195)</f>
        <v>775.96</v>
      </c>
      <c r="I195" s="125">
        <f ca="1">ORÇAMENTO!X195</f>
        <v>2638.26</v>
      </c>
      <c r="J195" s="333" cm="1">
        <f t="array" aca="1" ref="J195" ca="1">_xlfn.SINGLE(IF($A195="S",IF(CAIXA.Modo,BM.AFAnterior,BM.MEDAnterior),IF(AND(_xlfn.SINGLE(RegimeExecucao)="Global",$I195&gt;0,COUNTIF($AB$13:$AM$13,BM.medicao-1)&gt;0),M195/$I195*100,0)))</f>
        <v>0</v>
      </c>
      <c r="K195" s="122">
        <f t="shared" ca="1" si="17"/>
        <v>0</v>
      </c>
      <c r="L195" s="334" cm="1">
        <f t="array" aca="1" ref="L195" ca="1">_xlfn.SINGLE(IF($A195="S",IF(CAIXA.Modo,BM.AFAcumulado,BM.MEDAcumulado),IF(AND(_xlfn.SINGLE(RegimeExecucao)="Global",$I195&gt;0,COUNTIF($AB$13:$AM$13,BM.medicao)&gt;0),O195/$I195*100,0)))</f>
        <v>0</v>
      </c>
      <c r="M195" s="335">
        <f ca="1">IF($A195="S",VTOTALBM,IF($A195=0,0,ROUND(SomaAgrupBM,15-13*ORÇAMENTO!$AF$11)))</f>
        <v>0</v>
      </c>
      <c r="N195" s="336">
        <f t="shared" ca="1" si="18"/>
        <v>0</v>
      </c>
      <c r="O195" s="125">
        <f ca="1">IF($A195="S",VTOTALBM,IF($A195=0,0,ROUND(SomaAgrupBM,15-13*ORÇAMENTO!$AF$11)))</f>
        <v>0</v>
      </c>
      <c r="Q195" s="337"/>
      <c r="R195" s="338"/>
      <c r="T195" s="117" t="str">
        <f t="shared" ca="1" si="19"/>
        <v/>
      </c>
      <c r="U195" s="163" t="str">
        <f t="shared" ca="1" si="20"/>
        <v/>
      </c>
      <c r="V195" s="164" t="str">
        <f ca="1">IF(AND($W195&gt;0,RegimeExecucao="Unitário"),$F195,"")</f>
        <v/>
      </c>
      <c r="W195" s="454">
        <f ca="1">IF($Y195&gt;0,CHOOSE(MATCH(RegimeExecucao,{"Unitário","Global"},0),IF($A195="S",$Y195/$X195,""),($Y195/$X195)*100),0)</f>
        <v>0</v>
      </c>
      <c r="X195" s="339" t="str">
        <f ca="1">IF($Y195&gt;0,CHOOSE(MATCH(RegimeExecucao,{"Unitário","Global"},0),IF($A195="S",ROUND($H195,ORÇAMENTO!$AF$10),""),ROUND($I195,ORÇAMENTO!$AF$11)),"")</f>
        <v/>
      </c>
      <c r="Y195" s="339">
        <f t="shared" ca="1" si="21"/>
        <v>0</v>
      </c>
      <c r="Z195" s="473"/>
      <c r="AB195" s="337"/>
      <c r="AC195" s="437"/>
      <c r="AD195" s="437"/>
      <c r="AE195" s="437"/>
      <c r="AF195" s="437"/>
      <c r="AG195" s="437"/>
      <c r="AH195" s="437"/>
      <c r="AI195" s="437"/>
      <c r="AJ195" s="437"/>
      <c r="AK195" s="437"/>
      <c r="AL195" s="437"/>
      <c r="AM195" s="338"/>
      <c r="AO195">
        <f ca="1">IF($A195="S",IF(BM!$I195=0,0,CHOOSE(MATCH(RegimeExecucao,{"Global","Unitário"},0),ROUND(ROUND(BM.MEDAcumulado,15-13*BM!$A$9)/100*BM!$I195,15-13*ORÇAMENTO!$AF$11),ROUND(ROUND(BM.MEDAcumulado,15-13*BM!$A$9)*ROUND(BM!$H195,15-13*ORÇAMENTO!$AF$10),15-13*ORÇAMENTO!$AF$11))),IF($A195=0,0,ROUND(SomaAgrupBM,15-13*ORÇAMENTO!$AF$11)))</f>
        <v>0</v>
      </c>
    </row>
    <row r="196" spans="1:41" ht="25.5" x14ac:dyDescent="0.2">
      <c r="A196" t="str">
        <f ca="1">ORÇAMENTO!C196</f>
        <v>S</v>
      </c>
      <c r="B196">
        <f ca="1">ORÇAMENTO!D196</f>
        <v>0</v>
      </c>
      <c r="C196" s="114" t="str">
        <f t="shared" ca="1" si="15"/>
        <v>F</v>
      </c>
      <c r="D196" s="117" t="str">
        <f ca="1">ORÇAMENTO!O196</f>
        <v>1.5.5.5.2.</v>
      </c>
      <c r="E196" s="163" t="str">
        <f t="shared" ca="1" si="16"/>
        <v>LANÇAMENTO COM USO DE BOMBA, ADENSAMENTO E ACABAMENTO DE CONCRETO EM ESTRUTURAS. AF_02/2022</v>
      </c>
      <c r="F196" s="164" t="str">
        <f ca="1">IF(RegimeExecucao="Global","",ORÇAMENTO.Unidade)</f>
        <v>M3</v>
      </c>
      <c r="G196" s="122">
        <f ca="1">IF(RegimeExecucao="Global","",ORÇAMENTO!T196)</f>
        <v>3.4</v>
      </c>
      <c r="H196" s="122">
        <f ca="1">IF(RegimeExecucao="Global","",ORÇAMENTO!W196)</f>
        <v>54.96</v>
      </c>
      <c r="I196" s="125">
        <f ca="1">ORÇAMENTO!X196</f>
        <v>186.86</v>
      </c>
      <c r="J196" s="333" cm="1">
        <f t="array" aca="1" ref="J196" ca="1">_xlfn.SINGLE(IF($A196="S",IF(CAIXA.Modo,BM.AFAnterior,BM.MEDAnterior),IF(AND(_xlfn.SINGLE(RegimeExecucao)="Global",$I196&gt;0,COUNTIF($AB$13:$AM$13,BM.medicao-1)&gt;0),M196/$I196*100,0)))</f>
        <v>0</v>
      </c>
      <c r="K196" s="122">
        <f t="shared" ca="1" si="17"/>
        <v>0</v>
      </c>
      <c r="L196" s="334" cm="1">
        <f t="array" aca="1" ref="L196" ca="1">_xlfn.SINGLE(IF($A196="S",IF(CAIXA.Modo,BM.AFAcumulado,BM.MEDAcumulado),IF(AND(_xlfn.SINGLE(RegimeExecucao)="Global",$I196&gt;0,COUNTIF($AB$13:$AM$13,BM.medicao)&gt;0),O196/$I196*100,0)))</f>
        <v>0</v>
      </c>
      <c r="M196" s="335">
        <f ca="1">IF($A196="S",VTOTALBM,IF($A196=0,0,ROUND(SomaAgrupBM,15-13*ORÇAMENTO!$AF$11)))</f>
        <v>0</v>
      </c>
      <c r="N196" s="336">
        <f t="shared" ca="1" si="18"/>
        <v>0</v>
      </c>
      <c r="O196" s="125">
        <f ca="1">IF($A196="S",VTOTALBM,IF($A196=0,0,ROUND(SomaAgrupBM,15-13*ORÇAMENTO!$AF$11)))</f>
        <v>0</v>
      </c>
      <c r="Q196" s="337"/>
      <c r="R196" s="338"/>
      <c r="T196" s="117" t="str">
        <f t="shared" ca="1" si="19"/>
        <v/>
      </c>
      <c r="U196" s="163" t="str">
        <f t="shared" ca="1" si="20"/>
        <v/>
      </c>
      <c r="V196" s="164" t="str">
        <f ca="1">IF(AND($W196&gt;0,RegimeExecucao="Unitário"),$F196,"")</f>
        <v/>
      </c>
      <c r="W196" s="454">
        <f ca="1">IF($Y196&gt;0,CHOOSE(MATCH(RegimeExecucao,{"Unitário","Global"},0),IF($A196="S",$Y196/$X196,""),($Y196/$X196)*100),0)</f>
        <v>0</v>
      </c>
      <c r="X196" s="339" t="str">
        <f ca="1">IF($Y196&gt;0,CHOOSE(MATCH(RegimeExecucao,{"Unitário","Global"},0),IF($A196="S",ROUND($H196,ORÇAMENTO!$AF$10),""),ROUND($I196,ORÇAMENTO!$AF$11)),"")</f>
        <v/>
      </c>
      <c r="Y196" s="339">
        <f t="shared" ca="1" si="21"/>
        <v>0</v>
      </c>
      <c r="Z196" s="473"/>
      <c r="AB196" s="337"/>
      <c r="AC196" s="437"/>
      <c r="AD196" s="437"/>
      <c r="AE196" s="437"/>
      <c r="AF196" s="437"/>
      <c r="AG196" s="437"/>
      <c r="AH196" s="437"/>
      <c r="AI196" s="437"/>
      <c r="AJ196" s="437"/>
      <c r="AK196" s="437"/>
      <c r="AL196" s="437"/>
      <c r="AM196" s="338"/>
      <c r="AO196">
        <f ca="1">IF($A196="S",IF(BM!$I196=0,0,CHOOSE(MATCH(RegimeExecucao,{"Global","Unitário"},0),ROUND(ROUND(BM.MEDAcumulado,15-13*BM!$A$9)/100*BM!$I196,15-13*ORÇAMENTO!$AF$11),ROUND(ROUND(BM.MEDAcumulado,15-13*BM!$A$9)*ROUND(BM!$H196,15-13*ORÇAMENTO!$AF$10),15-13*ORÇAMENTO!$AF$11))),IF($A196=0,0,ROUND(SomaAgrupBM,15-13*ORÇAMENTO!$AF$11)))</f>
        <v>0</v>
      </c>
    </row>
    <row r="197" spans="1:41" ht="25.5" x14ac:dyDescent="0.2">
      <c r="A197" t="str">
        <f ca="1">ORÇAMENTO!C197</f>
        <v>S</v>
      </c>
      <c r="B197">
        <f ca="1">ORÇAMENTO!D197</f>
        <v>0</v>
      </c>
      <c r="C197" s="114" t="str">
        <f t="shared" ca="1" si="15"/>
        <v>F</v>
      </c>
      <c r="D197" s="117" t="str">
        <f ca="1">ORÇAMENTO!O197</f>
        <v>1.5.5.5.3.</v>
      </c>
      <c r="E197" s="163" t="str">
        <f t="shared" ca="1" si="16"/>
        <v>ARMAÇÃO PARA EXECUÇÃO DE RADIER, PISO DE CONCRETO OU LAJE SOBRE SOLO, COM USO DE TELA Q-92. AF_09/2021</v>
      </c>
      <c r="F197" s="164" t="str">
        <f ca="1">IF(RegimeExecucao="Global","",ORÇAMENTO.Unidade)</f>
        <v>KG</v>
      </c>
      <c r="G197" s="122">
        <f ca="1">IF(RegimeExecucao="Global","",ORÇAMENTO!T197)</f>
        <v>100.5</v>
      </c>
      <c r="H197" s="122">
        <f ca="1">IF(RegimeExecucao="Global","",ORÇAMENTO!W197)</f>
        <v>21.55</v>
      </c>
      <c r="I197" s="125">
        <f ca="1">ORÇAMENTO!X197</f>
        <v>2165.7800000000002</v>
      </c>
      <c r="J197" s="333" cm="1">
        <f t="array" aca="1" ref="J197" ca="1">_xlfn.SINGLE(IF($A197="S",IF(CAIXA.Modo,BM.AFAnterior,BM.MEDAnterior),IF(AND(_xlfn.SINGLE(RegimeExecucao)="Global",$I197&gt;0,COUNTIF($AB$13:$AM$13,BM.medicao-1)&gt;0),M197/$I197*100,0)))</f>
        <v>0</v>
      </c>
      <c r="K197" s="122">
        <f t="shared" ca="1" si="17"/>
        <v>0</v>
      </c>
      <c r="L197" s="334" cm="1">
        <f t="array" aca="1" ref="L197" ca="1">_xlfn.SINGLE(IF($A197="S",IF(CAIXA.Modo,BM.AFAcumulado,BM.MEDAcumulado),IF(AND(_xlfn.SINGLE(RegimeExecucao)="Global",$I197&gt;0,COUNTIF($AB$13:$AM$13,BM.medicao)&gt;0),O197/$I197*100,0)))</f>
        <v>0</v>
      </c>
      <c r="M197" s="335">
        <f ca="1">IF($A197="S",VTOTALBM,IF($A197=0,0,ROUND(SomaAgrupBM,15-13*ORÇAMENTO!$AF$11)))</f>
        <v>0</v>
      </c>
      <c r="N197" s="336">
        <f t="shared" ca="1" si="18"/>
        <v>0</v>
      </c>
      <c r="O197" s="125">
        <f ca="1">IF($A197="S",VTOTALBM,IF($A197=0,0,ROUND(SomaAgrupBM,15-13*ORÇAMENTO!$AF$11)))</f>
        <v>0</v>
      </c>
      <c r="Q197" s="337"/>
      <c r="R197" s="338"/>
      <c r="T197" s="117" t="str">
        <f t="shared" ca="1" si="19"/>
        <v/>
      </c>
      <c r="U197" s="163" t="str">
        <f t="shared" ca="1" si="20"/>
        <v/>
      </c>
      <c r="V197" s="164" t="str">
        <f ca="1">IF(AND($W197&gt;0,RegimeExecucao="Unitário"),$F197,"")</f>
        <v/>
      </c>
      <c r="W197" s="454">
        <f ca="1">IF($Y197&gt;0,CHOOSE(MATCH(RegimeExecucao,{"Unitário","Global"},0),IF($A197="S",$Y197/$X197,""),($Y197/$X197)*100),0)</f>
        <v>0</v>
      </c>
      <c r="X197" s="339" t="str">
        <f ca="1">IF($Y197&gt;0,CHOOSE(MATCH(RegimeExecucao,{"Unitário","Global"},0),IF($A197="S",ROUND($H197,ORÇAMENTO!$AF$10),""),ROUND($I197,ORÇAMENTO!$AF$11)),"")</f>
        <v/>
      </c>
      <c r="Y197" s="339">
        <f t="shared" ca="1" si="21"/>
        <v>0</v>
      </c>
      <c r="Z197" s="473"/>
      <c r="AB197" s="337"/>
      <c r="AC197" s="437"/>
      <c r="AD197" s="437"/>
      <c r="AE197" s="437"/>
      <c r="AF197" s="437"/>
      <c r="AG197" s="437"/>
      <c r="AH197" s="437"/>
      <c r="AI197" s="437"/>
      <c r="AJ197" s="437"/>
      <c r="AK197" s="437"/>
      <c r="AL197" s="437"/>
      <c r="AM197" s="338"/>
      <c r="AO197">
        <f ca="1">IF($A197="S",IF(BM!$I197=0,0,CHOOSE(MATCH(RegimeExecucao,{"Global","Unitário"},0),ROUND(ROUND(BM.MEDAcumulado,15-13*BM!$A$9)/100*BM!$I197,15-13*ORÇAMENTO!$AF$11),ROUND(ROUND(BM.MEDAcumulado,15-13*BM!$A$9)*ROUND(BM!$H197,15-13*ORÇAMENTO!$AF$10),15-13*ORÇAMENTO!$AF$11))),IF($A197=0,0,ROUND(SomaAgrupBM,15-13*ORÇAMENTO!$AF$11)))</f>
        <v>0</v>
      </c>
    </row>
    <row r="198" spans="1:41" ht="25.5" x14ac:dyDescent="0.2">
      <c r="A198" t="str">
        <f ca="1">ORÇAMENTO!C198</f>
        <v>S</v>
      </c>
      <c r="B198">
        <f ca="1">ORÇAMENTO!D198</f>
        <v>0</v>
      </c>
      <c r="C198" s="114" t="str">
        <f t="shared" ca="1" si="15"/>
        <v>F</v>
      </c>
      <c r="D198" s="117" t="str">
        <f ca="1">ORÇAMENTO!O198</f>
        <v>1.5.5.5.4.</v>
      </c>
      <c r="E198" s="163" t="str">
        <f t="shared" ca="1" si="16"/>
        <v>FÔRMAS DE COMPENSADO RESINADO 10 MM - USO GERAL - UTILIZAÇÃO DE 3 VEZES - CONFECÇÃO, INSTALAÇÃO E RETIRADA</v>
      </c>
      <c r="F198" s="164" t="str">
        <f ca="1">IF(RegimeExecucao="Global","",ORÇAMENTO.Unidade)</f>
        <v>M2</v>
      </c>
      <c r="G198" s="122">
        <f ca="1">IF(RegimeExecucao="Global","",ORÇAMENTO!T198)</f>
        <v>2.61</v>
      </c>
      <c r="H198" s="122">
        <f ca="1">IF(RegimeExecucao="Global","",ORÇAMENTO!W198)</f>
        <v>88.5</v>
      </c>
      <c r="I198" s="125">
        <f ca="1">ORÇAMENTO!X198</f>
        <v>230.99</v>
      </c>
      <c r="J198" s="333" cm="1">
        <f t="array" aca="1" ref="J198" ca="1">_xlfn.SINGLE(IF($A198="S",IF(CAIXA.Modo,BM.AFAnterior,BM.MEDAnterior),IF(AND(_xlfn.SINGLE(RegimeExecucao)="Global",$I198&gt;0,COUNTIF($AB$13:$AM$13,BM.medicao-1)&gt;0),M198/$I198*100,0)))</f>
        <v>0</v>
      </c>
      <c r="K198" s="122">
        <f t="shared" ca="1" si="17"/>
        <v>0</v>
      </c>
      <c r="L198" s="334" cm="1">
        <f t="array" aca="1" ref="L198" ca="1">_xlfn.SINGLE(IF($A198="S",IF(CAIXA.Modo,BM.AFAcumulado,BM.MEDAcumulado),IF(AND(_xlfn.SINGLE(RegimeExecucao)="Global",$I198&gt;0,COUNTIF($AB$13:$AM$13,BM.medicao)&gt;0),O198/$I198*100,0)))</f>
        <v>0</v>
      </c>
      <c r="M198" s="335">
        <f ca="1">IF($A198="S",VTOTALBM,IF($A198=0,0,ROUND(SomaAgrupBM,15-13*ORÇAMENTO!$AF$11)))</f>
        <v>0</v>
      </c>
      <c r="N198" s="336">
        <f t="shared" ca="1" si="18"/>
        <v>0</v>
      </c>
      <c r="O198" s="125">
        <f ca="1">IF($A198="S",VTOTALBM,IF($A198=0,0,ROUND(SomaAgrupBM,15-13*ORÇAMENTO!$AF$11)))</f>
        <v>0</v>
      </c>
      <c r="Q198" s="337"/>
      <c r="R198" s="338"/>
      <c r="T198" s="117" t="str">
        <f t="shared" ca="1" si="19"/>
        <v/>
      </c>
      <c r="U198" s="163" t="str">
        <f t="shared" ca="1" si="20"/>
        <v/>
      </c>
      <c r="V198" s="164" t="str">
        <f ca="1">IF(AND($W198&gt;0,RegimeExecucao="Unitário"),$F198,"")</f>
        <v/>
      </c>
      <c r="W198" s="454">
        <f ca="1">IF($Y198&gt;0,CHOOSE(MATCH(RegimeExecucao,{"Unitário","Global"},0),IF($A198="S",$Y198/$X198,""),($Y198/$X198)*100),0)</f>
        <v>0</v>
      </c>
      <c r="X198" s="339" t="str">
        <f ca="1">IF($Y198&gt;0,CHOOSE(MATCH(RegimeExecucao,{"Unitário","Global"},0),IF($A198="S",ROUND($H198,ORÇAMENTO!$AF$10),""),ROUND($I198,ORÇAMENTO!$AF$11)),"")</f>
        <v/>
      </c>
      <c r="Y198" s="339">
        <f t="shared" ca="1" si="21"/>
        <v>0</v>
      </c>
      <c r="Z198" s="473"/>
      <c r="AB198" s="337"/>
      <c r="AC198" s="437"/>
      <c r="AD198" s="437"/>
      <c r="AE198" s="437"/>
      <c r="AF198" s="437"/>
      <c r="AG198" s="437"/>
      <c r="AH198" s="437"/>
      <c r="AI198" s="437"/>
      <c r="AJ198" s="437"/>
      <c r="AK198" s="437"/>
      <c r="AL198" s="437"/>
      <c r="AM198" s="338"/>
      <c r="AO198">
        <f ca="1">IF($A198="S",IF(BM!$I198=0,0,CHOOSE(MATCH(RegimeExecucao,{"Global","Unitário"},0),ROUND(ROUND(BM.MEDAcumulado,15-13*BM!$A$9)/100*BM!$I198,15-13*ORÇAMENTO!$AF$11),ROUND(ROUND(BM.MEDAcumulado,15-13*BM!$A$9)*ROUND(BM!$H198,15-13*ORÇAMENTO!$AF$10),15-13*ORÇAMENTO!$AF$11))),IF($A198=0,0,ROUND(SomaAgrupBM,15-13*ORÇAMENTO!$AF$11)))</f>
        <v>0</v>
      </c>
    </row>
    <row r="199" spans="1:41" ht="25.5" x14ac:dyDescent="0.2">
      <c r="A199" t="str">
        <f ca="1">ORÇAMENTO!C199</f>
        <v>S</v>
      </c>
      <c r="B199">
        <f ca="1">ORÇAMENTO!D199</f>
        <v>0</v>
      </c>
      <c r="C199" s="114" t="str">
        <f t="shared" ca="1" si="15"/>
        <v>F</v>
      </c>
      <c r="D199" s="117" t="str">
        <f ca="1">ORÇAMENTO!O199</f>
        <v>1.5.5.5.5.</v>
      </c>
      <c r="E199" s="163" t="str">
        <f t="shared" ca="1" si="16"/>
        <v>APLICAÇÃO DE LONA PLÁSTICA PARA EXECUÇÃO DE PAVIMENTOS DE CONCRETO. AF_04/2022</v>
      </c>
      <c r="F199" s="164" t="str">
        <f ca="1">IF(RegimeExecucao="Global","",ORÇAMENTO.Unidade)</f>
        <v>M2</v>
      </c>
      <c r="G199" s="122">
        <f ca="1">IF(RegimeExecucao="Global","",ORÇAMENTO!T199)</f>
        <v>33.950000000000003</v>
      </c>
      <c r="H199" s="122">
        <f ca="1">IF(RegimeExecucao="Global","",ORÇAMENTO!W199)</f>
        <v>3.14</v>
      </c>
      <c r="I199" s="125">
        <f ca="1">ORÇAMENTO!X199</f>
        <v>106.6</v>
      </c>
      <c r="J199" s="333" cm="1">
        <f t="array" aca="1" ref="J199" ca="1">_xlfn.SINGLE(IF($A199="S",IF(CAIXA.Modo,BM.AFAnterior,BM.MEDAnterior),IF(AND(_xlfn.SINGLE(RegimeExecucao)="Global",$I199&gt;0,COUNTIF($AB$13:$AM$13,BM.medicao-1)&gt;0),M199/$I199*100,0)))</f>
        <v>0</v>
      </c>
      <c r="K199" s="122">
        <f t="shared" ca="1" si="17"/>
        <v>0</v>
      </c>
      <c r="L199" s="334" cm="1">
        <f t="array" aca="1" ref="L199" ca="1">_xlfn.SINGLE(IF($A199="S",IF(CAIXA.Modo,BM.AFAcumulado,BM.MEDAcumulado),IF(AND(_xlfn.SINGLE(RegimeExecucao)="Global",$I199&gt;0,COUNTIF($AB$13:$AM$13,BM.medicao)&gt;0),O199/$I199*100,0)))</f>
        <v>0</v>
      </c>
      <c r="M199" s="335">
        <f ca="1">IF($A199="S",VTOTALBM,IF($A199=0,0,ROUND(SomaAgrupBM,15-13*ORÇAMENTO!$AF$11)))</f>
        <v>0</v>
      </c>
      <c r="N199" s="336">
        <f t="shared" ca="1" si="18"/>
        <v>0</v>
      </c>
      <c r="O199" s="125">
        <f ca="1">IF($A199="S",VTOTALBM,IF($A199=0,0,ROUND(SomaAgrupBM,15-13*ORÇAMENTO!$AF$11)))</f>
        <v>0</v>
      </c>
      <c r="Q199" s="337"/>
      <c r="R199" s="338"/>
      <c r="T199" s="117" t="str">
        <f t="shared" ca="1" si="19"/>
        <v/>
      </c>
      <c r="U199" s="163" t="str">
        <f t="shared" ca="1" si="20"/>
        <v/>
      </c>
      <c r="V199" s="164" t="str">
        <f ca="1">IF(AND($W199&gt;0,RegimeExecucao="Unitário"),$F199,"")</f>
        <v/>
      </c>
      <c r="W199" s="454">
        <f ca="1">IF($Y199&gt;0,CHOOSE(MATCH(RegimeExecucao,{"Unitário","Global"},0),IF($A199="S",$Y199/$X199,""),($Y199/$X199)*100),0)</f>
        <v>0</v>
      </c>
      <c r="X199" s="339" t="str">
        <f ca="1">IF($Y199&gt;0,CHOOSE(MATCH(RegimeExecucao,{"Unitário","Global"},0),IF($A199="S",ROUND($H199,ORÇAMENTO!$AF$10),""),ROUND($I199,ORÇAMENTO!$AF$11)),"")</f>
        <v/>
      </c>
      <c r="Y199" s="339">
        <f t="shared" ca="1" si="21"/>
        <v>0</v>
      </c>
      <c r="Z199" s="473"/>
      <c r="AB199" s="337"/>
      <c r="AC199" s="437"/>
      <c r="AD199" s="437"/>
      <c r="AE199" s="437"/>
      <c r="AF199" s="437"/>
      <c r="AG199" s="437"/>
      <c r="AH199" s="437"/>
      <c r="AI199" s="437"/>
      <c r="AJ199" s="437"/>
      <c r="AK199" s="437"/>
      <c r="AL199" s="437"/>
      <c r="AM199" s="338"/>
      <c r="AO199">
        <f ca="1">IF($A199="S",IF(BM!$I199=0,0,CHOOSE(MATCH(RegimeExecucao,{"Global","Unitário"},0),ROUND(ROUND(BM.MEDAcumulado,15-13*BM!$A$9)/100*BM!$I199,15-13*ORÇAMENTO!$AF$11),ROUND(ROUND(BM.MEDAcumulado,15-13*BM!$A$9)*ROUND(BM!$H199,15-13*ORÇAMENTO!$AF$10),15-13*ORÇAMENTO!$AF$11))),IF($A199=0,0,ROUND(SomaAgrupBM,15-13*ORÇAMENTO!$AF$11)))</f>
        <v>0</v>
      </c>
    </row>
    <row r="200" spans="1:41" ht="51" x14ac:dyDescent="0.2">
      <c r="A200" t="str">
        <f ca="1">ORÇAMENTO!C200</f>
        <v>S</v>
      </c>
      <c r="B200">
        <f ca="1">ORÇAMENTO!D200</f>
        <v>0</v>
      </c>
      <c r="C200" s="114" t="str">
        <f t="shared" ca="1" si="15"/>
        <v>F</v>
      </c>
      <c r="D200" s="117" t="str">
        <f ca="1">ORÇAMENTO!O200</f>
        <v>1.5.5.5.6.</v>
      </c>
      <c r="E200" s="163" t="str">
        <f t="shared" ca="1" si="16"/>
        <v>CONSTRUÇÃO DE BASE E SUB-BASE PARA PAVIMENTAÇÃO DE BRITA GRADUADA SIMPLES TRATADA COM CIMENTO, COM ESPESSURA DE 15 CM - EXCLUSIVE CARGA E TRANSPORTE. AF_09/2024</v>
      </c>
      <c r="F200" s="164" t="str">
        <f ca="1">IF(RegimeExecucao="Global","",ORÇAMENTO.Unidade)</f>
        <v>M3</v>
      </c>
      <c r="G200" s="122">
        <f ca="1">IF(RegimeExecucao="Global","",ORÇAMENTO!T200)</f>
        <v>1.7</v>
      </c>
      <c r="H200" s="122">
        <f ca="1">IF(RegimeExecucao="Global","",ORÇAMENTO!W200)</f>
        <v>353.52</v>
      </c>
      <c r="I200" s="125">
        <f ca="1">ORÇAMENTO!X200</f>
        <v>600.98</v>
      </c>
      <c r="J200" s="333" cm="1">
        <f t="array" aca="1" ref="J200" ca="1">_xlfn.SINGLE(IF($A200="S",IF(CAIXA.Modo,BM.AFAnterior,BM.MEDAnterior),IF(AND(_xlfn.SINGLE(RegimeExecucao)="Global",$I200&gt;0,COUNTIF($AB$13:$AM$13,BM.medicao-1)&gt;0),M200/$I200*100,0)))</f>
        <v>0</v>
      </c>
      <c r="K200" s="122">
        <f t="shared" ca="1" si="17"/>
        <v>0</v>
      </c>
      <c r="L200" s="334" cm="1">
        <f t="array" aca="1" ref="L200" ca="1">_xlfn.SINGLE(IF($A200="S",IF(CAIXA.Modo,BM.AFAcumulado,BM.MEDAcumulado),IF(AND(_xlfn.SINGLE(RegimeExecucao)="Global",$I200&gt;0,COUNTIF($AB$13:$AM$13,BM.medicao)&gt;0),O200/$I200*100,0)))</f>
        <v>0</v>
      </c>
      <c r="M200" s="335">
        <f ca="1">IF($A200="S",VTOTALBM,IF($A200=0,0,ROUND(SomaAgrupBM,15-13*ORÇAMENTO!$AF$11)))</f>
        <v>0</v>
      </c>
      <c r="N200" s="336">
        <f t="shared" ca="1" si="18"/>
        <v>0</v>
      </c>
      <c r="O200" s="125">
        <f ca="1">IF($A200="S",VTOTALBM,IF($A200=0,0,ROUND(SomaAgrupBM,15-13*ORÇAMENTO!$AF$11)))</f>
        <v>0</v>
      </c>
      <c r="Q200" s="337"/>
      <c r="R200" s="338"/>
      <c r="T200" s="117" t="str">
        <f t="shared" ca="1" si="19"/>
        <v/>
      </c>
      <c r="U200" s="163" t="str">
        <f t="shared" ca="1" si="20"/>
        <v/>
      </c>
      <c r="V200" s="164" t="str">
        <f ca="1">IF(AND($W200&gt;0,RegimeExecucao="Unitário"),$F200,"")</f>
        <v/>
      </c>
      <c r="W200" s="454">
        <f ca="1">IF($Y200&gt;0,CHOOSE(MATCH(RegimeExecucao,{"Unitário","Global"},0),IF($A200="S",$Y200/$X200,""),($Y200/$X200)*100),0)</f>
        <v>0</v>
      </c>
      <c r="X200" s="339" t="str">
        <f ca="1">IF($Y200&gt;0,CHOOSE(MATCH(RegimeExecucao,{"Unitário","Global"},0),IF($A200="S",ROUND($H200,ORÇAMENTO!$AF$10),""),ROUND($I200,ORÇAMENTO!$AF$11)),"")</f>
        <v/>
      </c>
      <c r="Y200" s="339">
        <f t="shared" ca="1" si="21"/>
        <v>0</v>
      </c>
      <c r="Z200" s="473"/>
      <c r="AB200" s="337"/>
      <c r="AC200" s="437"/>
      <c r="AD200" s="437"/>
      <c r="AE200" s="437"/>
      <c r="AF200" s="437"/>
      <c r="AG200" s="437"/>
      <c r="AH200" s="437"/>
      <c r="AI200" s="437"/>
      <c r="AJ200" s="437"/>
      <c r="AK200" s="437"/>
      <c r="AL200" s="437"/>
      <c r="AM200" s="338"/>
      <c r="AO200">
        <f ca="1">IF($A200="S",IF(BM!$I200=0,0,CHOOSE(MATCH(RegimeExecucao,{"Global","Unitário"},0),ROUND(ROUND(BM.MEDAcumulado,15-13*BM!$A$9)/100*BM!$I200,15-13*ORÇAMENTO!$AF$11),ROUND(ROUND(BM.MEDAcumulado,15-13*BM!$A$9)*ROUND(BM!$H200,15-13*ORÇAMENTO!$AF$10),15-13*ORÇAMENTO!$AF$11))),IF($A200=0,0,ROUND(SomaAgrupBM,15-13*ORÇAMENTO!$AF$11)))</f>
        <v>0</v>
      </c>
    </row>
    <row r="201" spans="1:41" x14ac:dyDescent="0.2">
      <c r="A201">
        <f ca="1">ORÇAMENTO!C201</f>
        <v>4</v>
      </c>
      <c r="B201">
        <f ca="1">ORÇAMENTO!D201</f>
        <v>6</v>
      </c>
      <c r="C201" s="114" t="str">
        <f t="shared" ca="1" si="15"/>
        <v>F</v>
      </c>
      <c r="D201" s="117" t="str">
        <f ca="1">ORÇAMENTO!O201</f>
        <v>1.5.5.6.</v>
      </c>
      <c r="E201" s="163" t="str">
        <f t="shared" si="16"/>
        <v>PISO DE CONCRETO</v>
      </c>
      <c r="F201" s="164" t="str">
        <f ca="1">IF(RegimeExecucao="Global","",ORÇAMENTO.Unidade)</f>
        <v>-</v>
      </c>
      <c r="G201" s="122">
        <f ca="1">IF(RegimeExecucao="Global","",ORÇAMENTO!T201)</f>
        <v>0</v>
      </c>
      <c r="H201" s="122">
        <f ca="1">IF(RegimeExecucao="Global","",ORÇAMENTO!W201)</f>
        <v>0</v>
      </c>
      <c r="I201" s="125">
        <f ca="1">ORÇAMENTO!X201</f>
        <v>3589.88</v>
      </c>
      <c r="J201" s="333" cm="1">
        <f t="array" aca="1" ref="J201" ca="1">_xlfn.SINGLE(IF($A201="S",IF(CAIXA.Modo,BM.AFAnterior,BM.MEDAnterior),IF(AND(_xlfn.SINGLE(RegimeExecucao)="Global",$I201&gt;0,COUNTIF($AB$13:$AM$13,BM.medicao-1)&gt;0),M201/$I201*100,0)))</f>
        <v>0</v>
      </c>
      <c r="K201" s="122">
        <f t="shared" ca="1" si="17"/>
        <v>0</v>
      </c>
      <c r="L201" s="334" cm="1">
        <f t="array" aca="1" ref="L201" ca="1">_xlfn.SINGLE(IF($A201="S",IF(CAIXA.Modo,BM.AFAcumulado,BM.MEDAcumulado),IF(AND(_xlfn.SINGLE(RegimeExecucao)="Global",$I201&gt;0,COUNTIF($AB$13:$AM$13,BM.medicao)&gt;0),O201/$I201*100,0)))</f>
        <v>0</v>
      </c>
      <c r="M201" s="335">
        <f ca="1">IF($A201="S",VTOTALBM,IF($A201=0,0,ROUND(SomaAgrupBM,15-13*ORÇAMENTO!$AF$11)))</f>
        <v>0</v>
      </c>
      <c r="N201" s="336">
        <f t="shared" ca="1" si="18"/>
        <v>0</v>
      </c>
      <c r="O201" s="125">
        <f ca="1">IF($A201="S",VTOTALBM,IF($A201=0,0,ROUND(SomaAgrupBM,15-13*ORÇAMENTO!$AF$11)))</f>
        <v>0</v>
      </c>
      <c r="Q201" s="337"/>
      <c r="R201" s="338"/>
      <c r="T201" s="117" t="str">
        <f t="shared" ca="1" si="19"/>
        <v/>
      </c>
      <c r="U201" s="163" t="str">
        <f t="shared" ca="1" si="20"/>
        <v/>
      </c>
      <c r="V201" s="164" t="str">
        <f ca="1">IF(AND($W201&gt;0,RegimeExecucao="Unitário"),$F201,"")</f>
        <v/>
      </c>
      <c r="W201" s="454">
        <f ca="1">IF($Y201&gt;0,CHOOSE(MATCH(RegimeExecucao,{"Unitário","Global"},0),IF($A201="S",$Y201/$X201,""),($Y201/$X201)*100),0)</f>
        <v>0</v>
      </c>
      <c r="X201" s="339" t="str">
        <f ca="1">IF($Y201&gt;0,CHOOSE(MATCH(RegimeExecucao,{"Unitário","Global"},0),IF($A201="S",ROUND($H201,ORÇAMENTO!$AF$10),""),ROUND($I201,ORÇAMENTO!$AF$11)),"")</f>
        <v/>
      </c>
      <c r="Y201" s="339">
        <f t="shared" ca="1" si="21"/>
        <v>0</v>
      </c>
      <c r="Z201" s="473"/>
      <c r="AB201" s="337"/>
      <c r="AC201" s="437"/>
      <c r="AD201" s="437"/>
      <c r="AE201" s="437"/>
      <c r="AF201" s="437"/>
      <c r="AG201" s="437"/>
      <c r="AH201" s="437"/>
      <c r="AI201" s="437"/>
      <c r="AJ201" s="437"/>
      <c r="AK201" s="437"/>
      <c r="AL201" s="437"/>
      <c r="AM201" s="338"/>
      <c r="AO201">
        <f ca="1">IF($A201="S",IF(BM!$I201=0,0,CHOOSE(MATCH(RegimeExecucao,{"Global","Unitário"},0),ROUND(ROUND(BM.MEDAcumulado,15-13*BM!$A$9)/100*BM!$I201,15-13*ORÇAMENTO!$AF$11),ROUND(ROUND(BM.MEDAcumulado,15-13*BM!$A$9)*ROUND(BM!$H201,15-13*ORÇAMENTO!$AF$10),15-13*ORÇAMENTO!$AF$11))),IF($A201=0,0,ROUND(SomaAgrupBM,15-13*ORÇAMENTO!$AF$11)))</f>
        <v>0</v>
      </c>
    </row>
    <row r="202" spans="1:41" ht="38.25" x14ac:dyDescent="0.2">
      <c r="A202" t="str">
        <f ca="1">ORÇAMENTO!C202</f>
        <v>S</v>
      </c>
      <c r="B202">
        <f ca="1">ORÇAMENTO!D202</f>
        <v>0</v>
      </c>
      <c r="C202" s="114" t="str">
        <f t="shared" ca="1" si="15"/>
        <v>F</v>
      </c>
      <c r="D202" s="117" t="str">
        <f ca="1">ORÇAMENTO!O202</f>
        <v>1.5.5.6.1.</v>
      </c>
      <c r="E202" s="163" t="str">
        <f t="shared" ca="1" si="16"/>
        <v>CONCRETO FCK = 40MPA, TRAÇO 1:1,6:1,9 (EM MASSA SECA DE CIMENTO/ AREIA MÉDIA/ BRITA 1) - PREPARO MECÂNICO COM BETONEIRA 600 L. AF_05/2021</v>
      </c>
      <c r="F202" s="164" t="str">
        <f ca="1">IF(RegimeExecucao="Global","",ORÇAMENTO.Unidade)</f>
        <v>M3</v>
      </c>
      <c r="G202" s="122">
        <f ca="1">IF(RegimeExecucao="Global","",ORÇAMENTO!T202)</f>
        <v>3</v>
      </c>
      <c r="H202" s="122">
        <f ca="1">IF(RegimeExecucao="Global","",ORÇAMENTO!W202)</f>
        <v>775.96</v>
      </c>
      <c r="I202" s="125">
        <f ca="1">ORÇAMENTO!X202</f>
        <v>2327.88</v>
      </c>
      <c r="J202" s="333" cm="1">
        <f t="array" aca="1" ref="J202" ca="1">_xlfn.SINGLE(IF($A202="S",IF(CAIXA.Modo,BM.AFAnterior,BM.MEDAnterior),IF(AND(_xlfn.SINGLE(RegimeExecucao)="Global",$I202&gt;0,COUNTIF($AB$13:$AM$13,BM.medicao-1)&gt;0),M202/$I202*100,0)))</f>
        <v>0</v>
      </c>
      <c r="K202" s="122">
        <f t="shared" ca="1" si="17"/>
        <v>0</v>
      </c>
      <c r="L202" s="334" cm="1">
        <f t="array" aca="1" ref="L202" ca="1">_xlfn.SINGLE(IF($A202="S",IF(CAIXA.Modo,BM.AFAcumulado,BM.MEDAcumulado),IF(AND(_xlfn.SINGLE(RegimeExecucao)="Global",$I202&gt;0,COUNTIF($AB$13:$AM$13,BM.medicao)&gt;0),O202/$I202*100,0)))</f>
        <v>0</v>
      </c>
      <c r="M202" s="335">
        <f ca="1">IF($A202="S",VTOTALBM,IF($A202=0,0,ROUND(SomaAgrupBM,15-13*ORÇAMENTO!$AF$11)))</f>
        <v>0</v>
      </c>
      <c r="N202" s="336">
        <f t="shared" ca="1" si="18"/>
        <v>0</v>
      </c>
      <c r="O202" s="125">
        <f ca="1">IF($A202="S",VTOTALBM,IF($A202=0,0,ROUND(SomaAgrupBM,15-13*ORÇAMENTO!$AF$11)))</f>
        <v>0</v>
      </c>
      <c r="Q202" s="337"/>
      <c r="R202" s="338"/>
      <c r="T202" s="117" t="str">
        <f t="shared" ca="1" si="19"/>
        <v/>
      </c>
      <c r="U202" s="163" t="str">
        <f t="shared" ca="1" si="20"/>
        <v/>
      </c>
      <c r="V202" s="164" t="str">
        <f ca="1">IF(AND($W202&gt;0,RegimeExecucao="Unitário"),$F202,"")</f>
        <v/>
      </c>
      <c r="W202" s="454">
        <f ca="1">IF($Y202&gt;0,CHOOSE(MATCH(RegimeExecucao,{"Unitário","Global"},0),IF($A202="S",$Y202/$X202,""),($Y202/$X202)*100),0)</f>
        <v>0</v>
      </c>
      <c r="X202" s="339" t="str">
        <f ca="1">IF($Y202&gt;0,CHOOSE(MATCH(RegimeExecucao,{"Unitário","Global"},0),IF($A202="S",ROUND($H202,ORÇAMENTO!$AF$10),""),ROUND($I202,ORÇAMENTO!$AF$11)),"")</f>
        <v/>
      </c>
      <c r="Y202" s="339">
        <f t="shared" ca="1" si="21"/>
        <v>0</v>
      </c>
      <c r="Z202" s="473"/>
      <c r="AB202" s="337"/>
      <c r="AC202" s="437"/>
      <c r="AD202" s="437"/>
      <c r="AE202" s="437"/>
      <c r="AF202" s="437"/>
      <c r="AG202" s="437"/>
      <c r="AH202" s="437"/>
      <c r="AI202" s="437"/>
      <c r="AJ202" s="437"/>
      <c r="AK202" s="437"/>
      <c r="AL202" s="437"/>
      <c r="AM202" s="338"/>
      <c r="AO202">
        <f ca="1">IF($A202="S",IF(BM!$I202=0,0,CHOOSE(MATCH(RegimeExecucao,{"Global","Unitário"},0),ROUND(ROUND(BM.MEDAcumulado,15-13*BM!$A$9)/100*BM!$I202,15-13*ORÇAMENTO!$AF$11),ROUND(ROUND(BM.MEDAcumulado,15-13*BM!$A$9)*ROUND(BM!$H202,15-13*ORÇAMENTO!$AF$10),15-13*ORÇAMENTO!$AF$11))),IF($A202=0,0,ROUND(SomaAgrupBM,15-13*ORÇAMENTO!$AF$11)))</f>
        <v>0</v>
      </c>
    </row>
    <row r="203" spans="1:41" ht="25.5" x14ac:dyDescent="0.2">
      <c r="A203" t="str">
        <f ca="1">ORÇAMENTO!C203</f>
        <v>S</v>
      </c>
      <c r="B203">
        <f ca="1">ORÇAMENTO!D203</f>
        <v>0</v>
      </c>
      <c r="C203" s="114" t="str">
        <f t="shared" ca="1" si="15"/>
        <v>F</v>
      </c>
      <c r="D203" s="117" t="str">
        <f ca="1">ORÇAMENTO!O203</f>
        <v>1.5.5.6.2.</v>
      </c>
      <c r="E203" s="163" t="str">
        <f t="shared" ca="1" si="16"/>
        <v>LANÇAMENTO COM USO DE BOMBA, ADENSAMENTO E ACABAMENTO DE CONCRETO EM ESTRUTURAS. AF_02/2022</v>
      </c>
      <c r="F203" s="164" t="str">
        <f ca="1">IF(RegimeExecucao="Global","",ORÇAMENTO.Unidade)</f>
        <v>M3</v>
      </c>
      <c r="G203" s="122">
        <f ca="1">IF(RegimeExecucao="Global","",ORÇAMENTO!T203)</f>
        <v>3</v>
      </c>
      <c r="H203" s="122">
        <f ca="1">IF(RegimeExecucao="Global","",ORÇAMENTO!W203)</f>
        <v>54.96</v>
      </c>
      <c r="I203" s="125">
        <f ca="1">ORÇAMENTO!X203</f>
        <v>164.88</v>
      </c>
      <c r="J203" s="333" cm="1">
        <f t="array" aca="1" ref="J203" ca="1">_xlfn.SINGLE(IF($A203="S",IF(CAIXA.Modo,BM.AFAnterior,BM.MEDAnterior),IF(AND(_xlfn.SINGLE(RegimeExecucao)="Global",$I203&gt;0,COUNTIF($AB$13:$AM$13,BM.medicao-1)&gt;0),M203/$I203*100,0)))</f>
        <v>0</v>
      </c>
      <c r="K203" s="122">
        <f t="shared" ca="1" si="17"/>
        <v>0</v>
      </c>
      <c r="L203" s="334" cm="1">
        <f t="array" aca="1" ref="L203" ca="1">_xlfn.SINGLE(IF($A203="S",IF(CAIXA.Modo,BM.AFAcumulado,BM.MEDAcumulado),IF(AND(_xlfn.SINGLE(RegimeExecucao)="Global",$I203&gt;0,COUNTIF($AB$13:$AM$13,BM.medicao)&gt;0),O203/$I203*100,0)))</f>
        <v>0</v>
      </c>
      <c r="M203" s="335">
        <f ca="1">IF($A203="S",VTOTALBM,IF($A203=0,0,ROUND(SomaAgrupBM,15-13*ORÇAMENTO!$AF$11)))</f>
        <v>0</v>
      </c>
      <c r="N203" s="336">
        <f t="shared" ca="1" si="18"/>
        <v>0</v>
      </c>
      <c r="O203" s="125">
        <f ca="1">IF($A203="S",VTOTALBM,IF($A203=0,0,ROUND(SomaAgrupBM,15-13*ORÇAMENTO!$AF$11)))</f>
        <v>0</v>
      </c>
      <c r="Q203" s="337"/>
      <c r="R203" s="338"/>
      <c r="T203" s="117" t="str">
        <f t="shared" ca="1" si="19"/>
        <v/>
      </c>
      <c r="U203" s="163" t="str">
        <f t="shared" ca="1" si="20"/>
        <v/>
      </c>
      <c r="V203" s="164" t="str">
        <f ca="1">IF(AND($W203&gt;0,RegimeExecucao="Unitário"),$F203,"")</f>
        <v/>
      </c>
      <c r="W203" s="454">
        <f ca="1">IF($Y203&gt;0,CHOOSE(MATCH(RegimeExecucao,{"Unitário","Global"},0),IF($A203="S",$Y203/$X203,""),($Y203/$X203)*100),0)</f>
        <v>0</v>
      </c>
      <c r="X203" s="339" t="str">
        <f ca="1">IF($Y203&gt;0,CHOOSE(MATCH(RegimeExecucao,{"Unitário","Global"},0),IF($A203="S",ROUND($H203,ORÇAMENTO!$AF$10),""),ROUND($I203,ORÇAMENTO!$AF$11)),"")</f>
        <v/>
      </c>
      <c r="Y203" s="339">
        <f t="shared" ca="1" si="21"/>
        <v>0</v>
      </c>
      <c r="Z203" s="473"/>
      <c r="AB203" s="337"/>
      <c r="AC203" s="437"/>
      <c r="AD203" s="437"/>
      <c r="AE203" s="437"/>
      <c r="AF203" s="437"/>
      <c r="AG203" s="437"/>
      <c r="AH203" s="437"/>
      <c r="AI203" s="437"/>
      <c r="AJ203" s="437"/>
      <c r="AK203" s="437"/>
      <c r="AL203" s="437"/>
      <c r="AM203" s="338"/>
      <c r="AO203">
        <f ca="1">IF($A203="S",IF(BM!$I203=0,0,CHOOSE(MATCH(RegimeExecucao,{"Global","Unitário"},0),ROUND(ROUND(BM.MEDAcumulado,15-13*BM!$A$9)/100*BM!$I203,15-13*ORÇAMENTO!$AF$11),ROUND(ROUND(BM.MEDAcumulado,15-13*BM!$A$9)*ROUND(BM!$H203,15-13*ORÇAMENTO!$AF$10),15-13*ORÇAMENTO!$AF$11))),IF($A203=0,0,ROUND(SomaAgrupBM,15-13*ORÇAMENTO!$AF$11)))</f>
        <v>0</v>
      </c>
    </row>
    <row r="204" spans="1:41" ht="25.5" x14ac:dyDescent="0.2">
      <c r="A204" t="str">
        <f ca="1">ORÇAMENTO!C204</f>
        <v>S</v>
      </c>
      <c r="B204">
        <f ca="1">ORÇAMENTO!D204</f>
        <v>0</v>
      </c>
      <c r="C204" s="114" t="str">
        <f t="shared" ca="1" si="15"/>
        <v>F</v>
      </c>
      <c r="D204" s="117" t="str">
        <f ca="1">ORÇAMENTO!O204</f>
        <v>1.5.5.6.3.</v>
      </c>
      <c r="E204" s="163" t="str">
        <f t="shared" ca="1" si="16"/>
        <v>FÔRMAS DE COMPENSADO RESINADO 10 MM - USO GERAL - UTILIZAÇÃO DE 3 VEZES - CONFECÇÃO, INSTALAÇÃO E RETIRADA</v>
      </c>
      <c r="F204" s="164" t="str">
        <f ca="1">IF(RegimeExecucao="Global","",ORÇAMENTO.Unidade)</f>
        <v>M2</v>
      </c>
      <c r="G204" s="122">
        <f ca="1">IF(RegimeExecucao="Global","",ORÇAMENTO!T204)</f>
        <v>3.6</v>
      </c>
      <c r="H204" s="122">
        <f ca="1">IF(RegimeExecucao="Global","",ORÇAMENTO!W204)</f>
        <v>88.5</v>
      </c>
      <c r="I204" s="125">
        <f ca="1">ORÇAMENTO!X204</f>
        <v>318.60000000000002</v>
      </c>
      <c r="J204" s="333" cm="1">
        <f t="array" aca="1" ref="J204" ca="1">_xlfn.SINGLE(IF($A204="S",IF(CAIXA.Modo,BM.AFAnterior,BM.MEDAnterior),IF(AND(_xlfn.SINGLE(RegimeExecucao)="Global",$I204&gt;0,COUNTIF($AB$13:$AM$13,BM.medicao-1)&gt;0),M204/$I204*100,0)))</f>
        <v>0</v>
      </c>
      <c r="K204" s="122">
        <f t="shared" ca="1" si="17"/>
        <v>0</v>
      </c>
      <c r="L204" s="334" cm="1">
        <f t="array" aca="1" ref="L204" ca="1">_xlfn.SINGLE(IF($A204="S",IF(CAIXA.Modo,BM.AFAcumulado,BM.MEDAcumulado),IF(AND(_xlfn.SINGLE(RegimeExecucao)="Global",$I204&gt;0,COUNTIF($AB$13:$AM$13,BM.medicao)&gt;0),O204/$I204*100,0)))</f>
        <v>0</v>
      </c>
      <c r="M204" s="335">
        <f ca="1">IF($A204="S",VTOTALBM,IF($A204=0,0,ROUND(SomaAgrupBM,15-13*ORÇAMENTO!$AF$11)))</f>
        <v>0</v>
      </c>
      <c r="N204" s="336">
        <f t="shared" ca="1" si="18"/>
        <v>0</v>
      </c>
      <c r="O204" s="125">
        <f ca="1">IF($A204="S",VTOTALBM,IF($A204=0,0,ROUND(SomaAgrupBM,15-13*ORÇAMENTO!$AF$11)))</f>
        <v>0</v>
      </c>
      <c r="Q204" s="337"/>
      <c r="R204" s="338"/>
      <c r="T204" s="117" t="str">
        <f t="shared" ca="1" si="19"/>
        <v/>
      </c>
      <c r="U204" s="163" t="str">
        <f t="shared" ca="1" si="20"/>
        <v/>
      </c>
      <c r="V204" s="164" t="str">
        <f ca="1">IF(AND($W204&gt;0,RegimeExecucao="Unitário"),$F204,"")</f>
        <v/>
      </c>
      <c r="W204" s="454">
        <f ca="1">IF($Y204&gt;0,CHOOSE(MATCH(RegimeExecucao,{"Unitário","Global"},0),IF($A204="S",$Y204/$X204,""),($Y204/$X204)*100),0)</f>
        <v>0</v>
      </c>
      <c r="X204" s="339" t="str">
        <f ca="1">IF($Y204&gt;0,CHOOSE(MATCH(RegimeExecucao,{"Unitário","Global"},0),IF($A204="S",ROUND($H204,ORÇAMENTO!$AF$10),""),ROUND($I204,ORÇAMENTO!$AF$11)),"")</f>
        <v/>
      </c>
      <c r="Y204" s="339">
        <f t="shared" ca="1" si="21"/>
        <v>0</v>
      </c>
      <c r="Z204" s="473"/>
      <c r="AB204" s="337"/>
      <c r="AC204" s="437"/>
      <c r="AD204" s="437"/>
      <c r="AE204" s="437"/>
      <c r="AF204" s="437"/>
      <c r="AG204" s="437"/>
      <c r="AH204" s="437"/>
      <c r="AI204" s="437"/>
      <c r="AJ204" s="437"/>
      <c r="AK204" s="437"/>
      <c r="AL204" s="437"/>
      <c r="AM204" s="338"/>
      <c r="AO204">
        <f ca="1">IF($A204="S",IF(BM!$I204=0,0,CHOOSE(MATCH(RegimeExecucao,{"Global","Unitário"},0),ROUND(ROUND(BM.MEDAcumulado,15-13*BM!$A$9)/100*BM!$I204,15-13*ORÇAMENTO!$AF$11),ROUND(ROUND(BM.MEDAcumulado,15-13*BM!$A$9)*ROUND(BM!$H204,15-13*ORÇAMENTO!$AF$10),15-13*ORÇAMENTO!$AF$11))),IF($A204=0,0,ROUND(SomaAgrupBM,15-13*ORÇAMENTO!$AF$11)))</f>
        <v>0</v>
      </c>
    </row>
    <row r="205" spans="1:41" ht="25.5" x14ac:dyDescent="0.2">
      <c r="A205" t="str">
        <f ca="1">ORÇAMENTO!C205</f>
        <v>S</v>
      </c>
      <c r="B205">
        <f ca="1">ORÇAMENTO!D205</f>
        <v>0</v>
      </c>
      <c r="C205" s="114" t="str">
        <f t="shared" ca="1" si="15"/>
        <v>F</v>
      </c>
      <c r="D205" s="117" t="str">
        <f ca="1">ORÇAMENTO!O205</f>
        <v>1.5.5.6.4.</v>
      </c>
      <c r="E205" s="163" t="str">
        <f t="shared" ca="1" si="16"/>
        <v>APLICAÇÃO DE LONA PLÁSTICA PARA EXECUÇÃO DE PAVIMENTOS DE CONCRETO. AF_04/2022</v>
      </c>
      <c r="F205" s="164" t="str">
        <f ca="1">IF(RegimeExecucao="Global","",ORÇAMENTO.Unidade)</f>
        <v>M2</v>
      </c>
      <c r="G205" s="122">
        <f ca="1">IF(RegimeExecucao="Global","",ORÇAMENTO!T205)</f>
        <v>37.4</v>
      </c>
      <c r="H205" s="122">
        <f ca="1">IF(RegimeExecucao="Global","",ORÇAMENTO!W205)</f>
        <v>3.14</v>
      </c>
      <c r="I205" s="125">
        <f ca="1">ORÇAMENTO!X205</f>
        <v>117.44</v>
      </c>
      <c r="J205" s="333" cm="1">
        <f t="array" aca="1" ref="J205" ca="1">_xlfn.SINGLE(IF($A205="S",IF(CAIXA.Modo,BM.AFAnterior,BM.MEDAnterior),IF(AND(_xlfn.SINGLE(RegimeExecucao)="Global",$I205&gt;0,COUNTIF($AB$13:$AM$13,BM.medicao-1)&gt;0),M205/$I205*100,0)))</f>
        <v>0</v>
      </c>
      <c r="K205" s="122">
        <f t="shared" ca="1" si="17"/>
        <v>0</v>
      </c>
      <c r="L205" s="334" cm="1">
        <f t="array" aca="1" ref="L205" ca="1">_xlfn.SINGLE(IF($A205="S",IF(CAIXA.Modo,BM.AFAcumulado,BM.MEDAcumulado),IF(AND(_xlfn.SINGLE(RegimeExecucao)="Global",$I205&gt;0,COUNTIF($AB$13:$AM$13,BM.medicao)&gt;0),O205/$I205*100,0)))</f>
        <v>0</v>
      </c>
      <c r="M205" s="335">
        <f ca="1">IF($A205="S",VTOTALBM,IF($A205=0,0,ROUND(SomaAgrupBM,15-13*ORÇAMENTO!$AF$11)))</f>
        <v>0</v>
      </c>
      <c r="N205" s="336">
        <f t="shared" ca="1" si="18"/>
        <v>0</v>
      </c>
      <c r="O205" s="125">
        <f ca="1">IF($A205="S",VTOTALBM,IF($A205=0,0,ROUND(SomaAgrupBM,15-13*ORÇAMENTO!$AF$11)))</f>
        <v>0</v>
      </c>
      <c r="Q205" s="337"/>
      <c r="R205" s="338"/>
      <c r="T205" s="117" t="str">
        <f t="shared" ca="1" si="19"/>
        <v/>
      </c>
      <c r="U205" s="163" t="str">
        <f t="shared" ca="1" si="20"/>
        <v/>
      </c>
      <c r="V205" s="164" t="str">
        <f ca="1">IF(AND($W205&gt;0,RegimeExecucao="Unitário"),$F205,"")</f>
        <v/>
      </c>
      <c r="W205" s="454">
        <f ca="1">IF($Y205&gt;0,CHOOSE(MATCH(RegimeExecucao,{"Unitário","Global"},0),IF($A205="S",$Y205/$X205,""),($Y205/$X205)*100),0)</f>
        <v>0</v>
      </c>
      <c r="X205" s="339" t="str">
        <f ca="1">IF($Y205&gt;0,CHOOSE(MATCH(RegimeExecucao,{"Unitário","Global"},0),IF($A205="S",ROUND($H205,ORÇAMENTO!$AF$10),""),ROUND($I205,ORÇAMENTO!$AF$11)),"")</f>
        <v/>
      </c>
      <c r="Y205" s="339">
        <f t="shared" ca="1" si="21"/>
        <v>0</v>
      </c>
      <c r="Z205" s="473"/>
      <c r="AB205" s="337"/>
      <c r="AC205" s="437"/>
      <c r="AD205" s="437"/>
      <c r="AE205" s="437"/>
      <c r="AF205" s="437"/>
      <c r="AG205" s="437"/>
      <c r="AH205" s="437"/>
      <c r="AI205" s="437"/>
      <c r="AJ205" s="437"/>
      <c r="AK205" s="437"/>
      <c r="AL205" s="437"/>
      <c r="AM205" s="338"/>
      <c r="AO205">
        <f ca="1">IF($A205="S",IF(BM!$I205=0,0,CHOOSE(MATCH(RegimeExecucao,{"Global","Unitário"},0),ROUND(ROUND(BM.MEDAcumulado,15-13*BM!$A$9)/100*BM!$I205,15-13*ORÇAMENTO!$AF$11),ROUND(ROUND(BM.MEDAcumulado,15-13*BM!$A$9)*ROUND(BM!$H205,15-13*ORÇAMENTO!$AF$10),15-13*ORÇAMENTO!$AF$11))),IF($A205=0,0,ROUND(SomaAgrupBM,15-13*ORÇAMENTO!$AF$11)))</f>
        <v>0</v>
      </c>
    </row>
    <row r="206" spans="1:41" ht="51" x14ac:dyDescent="0.2">
      <c r="A206" t="str">
        <f ca="1">ORÇAMENTO!C206</f>
        <v>S</v>
      </c>
      <c r="B206">
        <f ca="1">ORÇAMENTO!D206</f>
        <v>0</v>
      </c>
      <c r="C206" s="114" t="str">
        <f t="shared" ca="1" si="15"/>
        <v>F</v>
      </c>
      <c r="D206" s="117" t="str">
        <f ca="1">ORÇAMENTO!O206</f>
        <v>1.5.5.6.5.</v>
      </c>
      <c r="E206" s="163" t="str">
        <f t="shared" ca="1" si="16"/>
        <v>CONSTRUÇÃO DE BASE E SUB-BASE PARA PAVIMENTAÇÃO DE BRITA GRADUADA SIMPLES TRATADA COM CIMENTO, COM ESPESSURA DE 15 CM - EXCLUSIVE CARGA E TRANSPORTE. AF_09/2024</v>
      </c>
      <c r="F206" s="164" t="str">
        <f ca="1">IF(RegimeExecucao="Global","",ORÇAMENTO.Unidade)</f>
        <v>M3</v>
      </c>
      <c r="G206" s="122">
        <f ca="1">IF(RegimeExecucao="Global","",ORÇAMENTO!T206)</f>
        <v>1.87</v>
      </c>
      <c r="H206" s="122">
        <f ca="1">IF(RegimeExecucao="Global","",ORÇAMENTO!W206)</f>
        <v>353.52</v>
      </c>
      <c r="I206" s="125">
        <f ca="1">ORÇAMENTO!X206</f>
        <v>661.08</v>
      </c>
      <c r="J206" s="333" cm="1">
        <f t="array" aca="1" ref="J206" ca="1">_xlfn.SINGLE(IF($A206="S",IF(CAIXA.Modo,BM.AFAnterior,BM.MEDAnterior),IF(AND(_xlfn.SINGLE(RegimeExecucao)="Global",$I206&gt;0,COUNTIF($AB$13:$AM$13,BM.medicao-1)&gt;0),M206/$I206*100,0)))</f>
        <v>0</v>
      </c>
      <c r="K206" s="122">
        <f t="shared" ca="1" si="17"/>
        <v>0</v>
      </c>
      <c r="L206" s="334" cm="1">
        <f t="array" aca="1" ref="L206" ca="1">_xlfn.SINGLE(IF($A206="S",IF(CAIXA.Modo,BM.AFAcumulado,BM.MEDAcumulado),IF(AND(_xlfn.SINGLE(RegimeExecucao)="Global",$I206&gt;0,COUNTIF($AB$13:$AM$13,BM.medicao)&gt;0),O206/$I206*100,0)))</f>
        <v>0</v>
      </c>
      <c r="M206" s="335">
        <f ca="1">IF($A206="S",VTOTALBM,IF($A206=0,0,ROUND(SomaAgrupBM,15-13*ORÇAMENTO!$AF$11)))</f>
        <v>0</v>
      </c>
      <c r="N206" s="336">
        <f t="shared" ca="1" si="18"/>
        <v>0</v>
      </c>
      <c r="O206" s="125">
        <f ca="1">IF($A206="S",VTOTALBM,IF($A206=0,0,ROUND(SomaAgrupBM,15-13*ORÇAMENTO!$AF$11)))</f>
        <v>0</v>
      </c>
      <c r="Q206" s="337"/>
      <c r="R206" s="338"/>
      <c r="T206" s="117" t="str">
        <f t="shared" ca="1" si="19"/>
        <v/>
      </c>
      <c r="U206" s="163" t="str">
        <f t="shared" ca="1" si="20"/>
        <v/>
      </c>
      <c r="V206" s="164" t="str">
        <f ca="1">IF(AND($W206&gt;0,RegimeExecucao="Unitário"),$F206,"")</f>
        <v/>
      </c>
      <c r="W206" s="454">
        <f ca="1">IF($Y206&gt;0,CHOOSE(MATCH(RegimeExecucao,{"Unitário","Global"},0),IF($A206="S",$Y206/$X206,""),($Y206/$X206)*100),0)</f>
        <v>0</v>
      </c>
      <c r="X206" s="339" t="str">
        <f ca="1">IF($Y206&gt;0,CHOOSE(MATCH(RegimeExecucao,{"Unitário","Global"},0),IF($A206="S",ROUND($H206,ORÇAMENTO!$AF$10),""),ROUND($I206,ORÇAMENTO!$AF$11)),"")</f>
        <v/>
      </c>
      <c r="Y206" s="339">
        <f t="shared" ca="1" si="21"/>
        <v>0</v>
      </c>
      <c r="Z206" s="473"/>
      <c r="AB206" s="337"/>
      <c r="AC206" s="437"/>
      <c r="AD206" s="437"/>
      <c r="AE206" s="437"/>
      <c r="AF206" s="437"/>
      <c r="AG206" s="437"/>
      <c r="AH206" s="437"/>
      <c r="AI206" s="437"/>
      <c r="AJ206" s="437"/>
      <c r="AK206" s="437"/>
      <c r="AL206" s="437"/>
      <c r="AM206" s="338"/>
      <c r="AO206">
        <f ca="1">IF($A206="S",IF(BM!$I206=0,0,CHOOSE(MATCH(RegimeExecucao,{"Global","Unitário"},0),ROUND(ROUND(BM.MEDAcumulado,15-13*BM!$A$9)/100*BM!$I206,15-13*ORÇAMENTO!$AF$11),ROUND(ROUND(BM.MEDAcumulado,15-13*BM!$A$9)*ROUND(BM!$H206,15-13*ORÇAMENTO!$AF$10),15-13*ORÇAMENTO!$AF$11))),IF($A206=0,0,ROUND(SomaAgrupBM,15-13*ORÇAMENTO!$AF$11)))</f>
        <v>0</v>
      </c>
    </row>
    <row r="207" spans="1:41" x14ac:dyDescent="0.2">
      <c r="A207">
        <f ca="1">ORÇAMENTO!C207</f>
        <v>3</v>
      </c>
      <c r="B207">
        <f ca="1">ORÇAMENTO!D207</f>
        <v>8</v>
      </c>
      <c r="C207" s="114" t="str">
        <f t="shared" ca="1" si="15"/>
        <v>F</v>
      </c>
      <c r="D207" s="117" t="str">
        <f ca="1">ORÇAMENTO!O207</f>
        <v>1.5.6.</v>
      </c>
      <c r="E207" s="163" t="str">
        <f t="shared" si="16"/>
        <v>COBERTURA 03</v>
      </c>
      <c r="F207" s="164" t="str">
        <f ca="1">IF(RegimeExecucao="Global","",ORÇAMENTO.Unidade)</f>
        <v>-</v>
      </c>
      <c r="G207" s="122">
        <f ca="1">IF(RegimeExecucao="Global","",ORÇAMENTO!T207)</f>
        <v>0</v>
      </c>
      <c r="H207" s="122">
        <f ca="1">IF(RegimeExecucao="Global","",ORÇAMENTO!W207)</f>
        <v>0</v>
      </c>
      <c r="I207" s="125">
        <f ca="1">ORÇAMENTO!X207</f>
        <v>6960.17</v>
      </c>
      <c r="J207" s="333" cm="1">
        <f t="array" aca="1" ref="J207" ca="1">_xlfn.SINGLE(IF($A207="S",IF(CAIXA.Modo,BM.AFAnterior,BM.MEDAnterior),IF(AND(_xlfn.SINGLE(RegimeExecucao)="Global",$I207&gt;0,COUNTIF($AB$13:$AM$13,BM.medicao-1)&gt;0),M207/$I207*100,0)))</f>
        <v>0</v>
      </c>
      <c r="K207" s="122">
        <f t="shared" ca="1" si="17"/>
        <v>0</v>
      </c>
      <c r="L207" s="334" cm="1">
        <f t="array" aca="1" ref="L207" ca="1">_xlfn.SINGLE(IF($A207="S",IF(CAIXA.Modo,BM.AFAcumulado,BM.MEDAcumulado),IF(AND(_xlfn.SINGLE(RegimeExecucao)="Global",$I207&gt;0,COUNTIF($AB$13:$AM$13,BM.medicao)&gt;0),O207/$I207*100,0)))</f>
        <v>0</v>
      </c>
      <c r="M207" s="335">
        <f ca="1">IF($A207="S",VTOTALBM,IF($A207=0,0,ROUND(SomaAgrupBM,15-13*ORÇAMENTO!$AF$11)))</f>
        <v>0</v>
      </c>
      <c r="N207" s="336">
        <f t="shared" ca="1" si="18"/>
        <v>0</v>
      </c>
      <c r="O207" s="125">
        <f ca="1">IF($A207="S",VTOTALBM,IF($A207=0,0,ROUND(SomaAgrupBM,15-13*ORÇAMENTO!$AF$11)))</f>
        <v>0</v>
      </c>
      <c r="Q207" s="337"/>
      <c r="R207" s="338"/>
      <c r="T207" s="117" t="str">
        <f t="shared" ca="1" si="19"/>
        <v/>
      </c>
      <c r="U207" s="163" t="str">
        <f t="shared" ca="1" si="20"/>
        <v/>
      </c>
      <c r="V207" s="164" t="str">
        <f ca="1">IF(AND($W207&gt;0,RegimeExecucao="Unitário"),$F207,"")</f>
        <v/>
      </c>
      <c r="W207" s="454">
        <f ca="1">IF($Y207&gt;0,CHOOSE(MATCH(RegimeExecucao,{"Unitário","Global"},0),IF($A207="S",$Y207/$X207,""),($Y207/$X207)*100),0)</f>
        <v>0</v>
      </c>
      <c r="X207" s="339" t="str">
        <f ca="1">IF($Y207&gt;0,CHOOSE(MATCH(RegimeExecucao,{"Unitário","Global"},0),IF($A207="S",ROUND($H207,ORÇAMENTO!$AF$10),""),ROUND($I207,ORÇAMENTO!$AF$11)),"")</f>
        <v/>
      </c>
      <c r="Y207" s="339">
        <f t="shared" ca="1" si="21"/>
        <v>0</v>
      </c>
      <c r="Z207" s="473"/>
      <c r="AB207" s="337"/>
      <c r="AC207" s="437"/>
      <c r="AD207" s="437"/>
      <c r="AE207" s="437"/>
      <c r="AF207" s="437"/>
      <c r="AG207" s="437"/>
      <c r="AH207" s="437"/>
      <c r="AI207" s="437"/>
      <c r="AJ207" s="437"/>
      <c r="AK207" s="437"/>
      <c r="AL207" s="437"/>
      <c r="AM207" s="338"/>
      <c r="AO207">
        <f ca="1">IF($A207="S",IF(BM!$I207=0,0,CHOOSE(MATCH(RegimeExecucao,{"Global","Unitário"},0),ROUND(ROUND(BM.MEDAcumulado,15-13*BM!$A$9)/100*BM!$I207,15-13*ORÇAMENTO!$AF$11),ROUND(ROUND(BM.MEDAcumulado,15-13*BM!$A$9)*ROUND(BM!$H207,15-13*ORÇAMENTO!$AF$10),15-13*ORÇAMENTO!$AF$11))),IF($A207=0,0,ROUND(SomaAgrupBM,15-13*ORÇAMENTO!$AF$11)))</f>
        <v>0</v>
      </c>
    </row>
    <row r="208" spans="1:41" x14ac:dyDescent="0.2">
      <c r="A208">
        <f ca="1">ORÇAMENTO!C208</f>
        <v>4</v>
      </c>
      <c r="B208">
        <f ca="1">ORÇAMENTO!D208</f>
        <v>7</v>
      </c>
      <c r="C208" s="114" t="str">
        <f t="shared" ca="1" si="15"/>
        <v>F</v>
      </c>
      <c r="D208" s="117" t="str">
        <f ca="1">ORÇAMENTO!O208</f>
        <v>1.5.6.1.</v>
      </c>
      <c r="E208" s="163" t="str">
        <f t="shared" si="16"/>
        <v>PISO ARMADO</v>
      </c>
      <c r="F208" s="164" t="str">
        <f ca="1">IF(RegimeExecucao="Global","",ORÇAMENTO.Unidade)</f>
        <v>-</v>
      </c>
      <c r="G208" s="122">
        <f ca="1">IF(RegimeExecucao="Global","",ORÇAMENTO!T208)</f>
        <v>0</v>
      </c>
      <c r="H208" s="122">
        <f ca="1">IF(RegimeExecucao="Global","",ORÇAMENTO!W208)</f>
        <v>0</v>
      </c>
      <c r="I208" s="125">
        <f ca="1">ORÇAMENTO!X208</f>
        <v>6960.17</v>
      </c>
      <c r="J208" s="333" cm="1">
        <f t="array" aca="1" ref="J208" ca="1">_xlfn.SINGLE(IF($A208="S",IF(CAIXA.Modo,BM.AFAnterior,BM.MEDAnterior),IF(AND(_xlfn.SINGLE(RegimeExecucao)="Global",$I208&gt;0,COUNTIF($AB$13:$AM$13,BM.medicao-1)&gt;0),M208/$I208*100,0)))</f>
        <v>0</v>
      </c>
      <c r="K208" s="122">
        <f t="shared" ca="1" si="17"/>
        <v>0</v>
      </c>
      <c r="L208" s="334" cm="1">
        <f t="array" aca="1" ref="L208" ca="1">_xlfn.SINGLE(IF($A208="S",IF(CAIXA.Modo,BM.AFAcumulado,BM.MEDAcumulado),IF(AND(_xlfn.SINGLE(RegimeExecucao)="Global",$I208&gt;0,COUNTIF($AB$13:$AM$13,BM.medicao)&gt;0),O208/$I208*100,0)))</f>
        <v>0</v>
      </c>
      <c r="M208" s="335">
        <f ca="1">IF($A208="S",VTOTALBM,IF($A208=0,0,ROUND(SomaAgrupBM,15-13*ORÇAMENTO!$AF$11)))</f>
        <v>0</v>
      </c>
      <c r="N208" s="336">
        <f t="shared" ca="1" si="18"/>
        <v>0</v>
      </c>
      <c r="O208" s="125">
        <f ca="1">IF($A208="S",VTOTALBM,IF($A208=0,0,ROUND(SomaAgrupBM,15-13*ORÇAMENTO!$AF$11)))</f>
        <v>0</v>
      </c>
      <c r="Q208" s="337"/>
      <c r="R208" s="338"/>
      <c r="T208" s="117" t="str">
        <f t="shared" ca="1" si="19"/>
        <v/>
      </c>
      <c r="U208" s="163" t="str">
        <f t="shared" ca="1" si="20"/>
        <v/>
      </c>
      <c r="V208" s="164" t="str">
        <f ca="1">IF(AND($W208&gt;0,RegimeExecucao="Unitário"),$F208,"")</f>
        <v/>
      </c>
      <c r="W208" s="454">
        <f ca="1">IF($Y208&gt;0,CHOOSE(MATCH(RegimeExecucao,{"Unitário","Global"},0),IF($A208="S",$Y208/$X208,""),($Y208/$X208)*100),0)</f>
        <v>0</v>
      </c>
      <c r="X208" s="339" t="str">
        <f ca="1">IF($Y208&gt;0,CHOOSE(MATCH(RegimeExecucao,{"Unitário","Global"},0),IF($A208="S",ROUND($H208,ORÇAMENTO!$AF$10),""),ROUND($I208,ORÇAMENTO!$AF$11)),"")</f>
        <v/>
      </c>
      <c r="Y208" s="339">
        <f t="shared" ca="1" si="21"/>
        <v>0</v>
      </c>
      <c r="Z208" s="473"/>
      <c r="AB208" s="337"/>
      <c r="AC208" s="437"/>
      <c r="AD208" s="437"/>
      <c r="AE208" s="437"/>
      <c r="AF208" s="437"/>
      <c r="AG208" s="437"/>
      <c r="AH208" s="437"/>
      <c r="AI208" s="437"/>
      <c r="AJ208" s="437"/>
      <c r="AK208" s="437"/>
      <c r="AL208" s="437"/>
      <c r="AM208" s="338"/>
      <c r="AO208">
        <f ca="1">IF($A208="S",IF(BM!$I208=0,0,CHOOSE(MATCH(RegimeExecucao,{"Global","Unitário"},0),ROUND(ROUND(BM.MEDAcumulado,15-13*BM!$A$9)/100*BM!$I208,15-13*ORÇAMENTO!$AF$11),ROUND(ROUND(BM.MEDAcumulado,15-13*BM!$A$9)*ROUND(BM!$H208,15-13*ORÇAMENTO!$AF$10),15-13*ORÇAMENTO!$AF$11))),IF($A208=0,0,ROUND(SomaAgrupBM,15-13*ORÇAMENTO!$AF$11)))</f>
        <v>0</v>
      </c>
    </row>
    <row r="209" spans="1:41" ht="38.25" x14ac:dyDescent="0.2">
      <c r="A209" t="str">
        <f ca="1">ORÇAMENTO!C209</f>
        <v>S</v>
      </c>
      <c r="B209">
        <f ca="1">ORÇAMENTO!D209</f>
        <v>0</v>
      </c>
      <c r="C209" s="114" t="str">
        <f t="shared" ca="1" si="15"/>
        <v>F</v>
      </c>
      <c r="D209" s="117" t="str">
        <f ca="1">ORÇAMENTO!O209</f>
        <v>1.5.6.1.1.</v>
      </c>
      <c r="E209" s="163" t="str">
        <f t="shared" ca="1" si="16"/>
        <v>CONCRETO FCK = 40MPA, TRAÇO 1:1,6:1,9 (EM MASSA SECA DE CIMENTO/ AREIA MÉDIA/ BRITA 1) - PREPARO MECÂNICO COM BETONEIRA 600 L. AF_05/2021</v>
      </c>
      <c r="F209" s="164" t="str">
        <f ca="1">IF(RegimeExecucao="Global","",ORÇAMENTO.Unidade)</f>
        <v>M3</v>
      </c>
      <c r="G209" s="122">
        <f ca="1">IF(RegimeExecucao="Global","",ORÇAMENTO!T209)</f>
        <v>4.7300000000000004</v>
      </c>
      <c r="H209" s="122">
        <f ca="1">IF(RegimeExecucao="Global","",ORÇAMENTO!W209)</f>
        <v>775.96</v>
      </c>
      <c r="I209" s="125">
        <f ca="1">ORÇAMENTO!X209</f>
        <v>3670.29</v>
      </c>
      <c r="J209" s="333" cm="1">
        <f t="array" aca="1" ref="J209" ca="1">_xlfn.SINGLE(IF($A209="S",IF(CAIXA.Modo,BM.AFAnterior,BM.MEDAnterior),IF(AND(_xlfn.SINGLE(RegimeExecucao)="Global",$I209&gt;0,COUNTIF($AB$13:$AM$13,BM.medicao-1)&gt;0),M209/$I209*100,0)))</f>
        <v>0</v>
      </c>
      <c r="K209" s="122">
        <f t="shared" ca="1" si="17"/>
        <v>0</v>
      </c>
      <c r="L209" s="334" cm="1">
        <f t="array" aca="1" ref="L209" ca="1">_xlfn.SINGLE(IF($A209="S",IF(CAIXA.Modo,BM.AFAcumulado,BM.MEDAcumulado),IF(AND(_xlfn.SINGLE(RegimeExecucao)="Global",$I209&gt;0,COUNTIF($AB$13:$AM$13,BM.medicao)&gt;0),O209/$I209*100,0)))</f>
        <v>0</v>
      </c>
      <c r="M209" s="335">
        <f ca="1">IF($A209="S",VTOTALBM,IF($A209=0,0,ROUND(SomaAgrupBM,15-13*ORÇAMENTO!$AF$11)))</f>
        <v>0</v>
      </c>
      <c r="N209" s="336">
        <f t="shared" ca="1" si="18"/>
        <v>0</v>
      </c>
      <c r="O209" s="125">
        <f ca="1">IF($A209="S",VTOTALBM,IF($A209=0,0,ROUND(SomaAgrupBM,15-13*ORÇAMENTO!$AF$11)))</f>
        <v>0</v>
      </c>
      <c r="Q209" s="337"/>
      <c r="R209" s="338"/>
      <c r="T209" s="117" t="str">
        <f t="shared" ca="1" si="19"/>
        <v/>
      </c>
      <c r="U209" s="163" t="str">
        <f t="shared" ca="1" si="20"/>
        <v/>
      </c>
      <c r="V209" s="164" t="str">
        <f ca="1">IF(AND($W209&gt;0,RegimeExecucao="Unitário"),$F209,"")</f>
        <v/>
      </c>
      <c r="W209" s="454">
        <f ca="1">IF($Y209&gt;0,CHOOSE(MATCH(RegimeExecucao,{"Unitário","Global"},0),IF($A209="S",$Y209/$X209,""),($Y209/$X209)*100),0)</f>
        <v>0</v>
      </c>
      <c r="X209" s="339" t="str">
        <f ca="1">IF($Y209&gt;0,CHOOSE(MATCH(RegimeExecucao,{"Unitário","Global"},0),IF($A209="S",ROUND($H209,ORÇAMENTO!$AF$10),""),ROUND($I209,ORÇAMENTO!$AF$11)),"")</f>
        <v/>
      </c>
      <c r="Y209" s="339">
        <f t="shared" ca="1" si="21"/>
        <v>0</v>
      </c>
      <c r="Z209" s="473"/>
      <c r="AB209" s="337"/>
      <c r="AC209" s="437"/>
      <c r="AD209" s="437"/>
      <c r="AE209" s="437"/>
      <c r="AF209" s="437"/>
      <c r="AG209" s="437"/>
      <c r="AH209" s="437"/>
      <c r="AI209" s="437"/>
      <c r="AJ209" s="437"/>
      <c r="AK209" s="437"/>
      <c r="AL209" s="437"/>
      <c r="AM209" s="338"/>
      <c r="AO209">
        <f ca="1">IF($A209="S",IF(BM!$I209=0,0,CHOOSE(MATCH(RegimeExecucao,{"Global","Unitário"},0),ROUND(ROUND(BM.MEDAcumulado,15-13*BM!$A$9)/100*BM!$I209,15-13*ORÇAMENTO!$AF$11),ROUND(ROUND(BM.MEDAcumulado,15-13*BM!$A$9)*ROUND(BM!$H209,15-13*ORÇAMENTO!$AF$10),15-13*ORÇAMENTO!$AF$11))),IF($A209=0,0,ROUND(SomaAgrupBM,15-13*ORÇAMENTO!$AF$11)))</f>
        <v>0</v>
      </c>
    </row>
    <row r="210" spans="1:41" ht="25.5" x14ac:dyDescent="0.2">
      <c r="A210" t="str">
        <f ca="1">ORÇAMENTO!C210</f>
        <v>S</v>
      </c>
      <c r="B210">
        <f ca="1">ORÇAMENTO!D210</f>
        <v>0</v>
      </c>
      <c r="C210" s="114" t="str">
        <f t="shared" ca="1" si="15"/>
        <v>F</v>
      </c>
      <c r="D210" s="117" t="str">
        <f ca="1">ORÇAMENTO!O210</f>
        <v>1.5.6.1.2.</v>
      </c>
      <c r="E210" s="163" t="str">
        <f t="shared" ca="1" si="16"/>
        <v>LANÇAMENTO COM USO DE BOMBA, ADENSAMENTO E ACABAMENTO DE CONCRETO EM ESTRUTURAS. AF_02/2022</v>
      </c>
      <c r="F210" s="164" t="str">
        <f ca="1">IF(RegimeExecucao="Global","",ORÇAMENTO.Unidade)</f>
        <v>M3</v>
      </c>
      <c r="G210" s="122">
        <f ca="1">IF(RegimeExecucao="Global","",ORÇAMENTO!T210)</f>
        <v>4.7300000000000004</v>
      </c>
      <c r="H210" s="122">
        <f ca="1">IF(RegimeExecucao="Global","",ORÇAMENTO!W210)</f>
        <v>54.96</v>
      </c>
      <c r="I210" s="125">
        <f ca="1">ORÇAMENTO!X210</f>
        <v>259.95999999999998</v>
      </c>
      <c r="J210" s="333" cm="1">
        <f t="array" aca="1" ref="J210" ca="1">_xlfn.SINGLE(IF($A210="S",IF(CAIXA.Modo,BM.AFAnterior,BM.MEDAnterior),IF(AND(_xlfn.SINGLE(RegimeExecucao)="Global",$I210&gt;0,COUNTIF($AB$13:$AM$13,BM.medicao-1)&gt;0),M210/$I210*100,0)))</f>
        <v>0</v>
      </c>
      <c r="K210" s="122">
        <f t="shared" ca="1" si="17"/>
        <v>0</v>
      </c>
      <c r="L210" s="334" cm="1">
        <f t="array" aca="1" ref="L210" ca="1">_xlfn.SINGLE(IF($A210="S",IF(CAIXA.Modo,BM.AFAcumulado,BM.MEDAcumulado),IF(AND(_xlfn.SINGLE(RegimeExecucao)="Global",$I210&gt;0,COUNTIF($AB$13:$AM$13,BM.medicao)&gt;0),O210/$I210*100,0)))</f>
        <v>0</v>
      </c>
      <c r="M210" s="335">
        <f ca="1">IF($A210="S",VTOTALBM,IF($A210=0,0,ROUND(SomaAgrupBM,15-13*ORÇAMENTO!$AF$11)))</f>
        <v>0</v>
      </c>
      <c r="N210" s="336">
        <f t="shared" ca="1" si="18"/>
        <v>0</v>
      </c>
      <c r="O210" s="125">
        <f ca="1">IF($A210="S",VTOTALBM,IF($A210=0,0,ROUND(SomaAgrupBM,15-13*ORÇAMENTO!$AF$11)))</f>
        <v>0</v>
      </c>
      <c r="Q210" s="337"/>
      <c r="R210" s="338"/>
      <c r="T210" s="117" t="str">
        <f t="shared" ca="1" si="19"/>
        <v/>
      </c>
      <c r="U210" s="163" t="str">
        <f t="shared" ca="1" si="20"/>
        <v/>
      </c>
      <c r="V210" s="164" t="str">
        <f ca="1">IF(AND($W210&gt;0,RegimeExecucao="Unitário"),$F210,"")</f>
        <v/>
      </c>
      <c r="W210" s="454">
        <f ca="1">IF($Y210&gt;0,CHOOSE(MATCH(RegimeExecucao,{"Unitário","Global"},0),IF($A210="S",$Y210/$X210,""),($Y210/$X210)*100),0)</f>
        <v>0</v>
      </c>
      <c r="X210" s="339" t="str">
        <f ca="1">IF($Y210&gt;0,CHOOSE(MATCH(RegimeExecucao,{"Unitário","Global"},0),IF($A210="S",ROUND($H210,ORÇAMENTO!$AF$10),""),ROUND($I210,ORÇAMENTO!$AF$11)),"")</f>
        <v/>
      </c>
      <c r="Y210" s="339">
        <f t="shared" ca="1" si="21"/>
        <v>0</v>
      </c>
      <c r="Z210" s="473"/>
      <c r="AB210" s="337"/>
      <c r="AC210" s="437"/>
      <c r="AD210" s="437"/>
      <c r="AE210" s="437"/>
      <c r="AF210" s="437"/>
      <c r="AG210" s="437"/>
      <c r="AH210" s="437"/>
      <c r="AI210" s="437"/>
      <c r="AJ210" s="437"/>
      <c r="AK210" s="437"/>
      <c r="AL210" s="437"/>
      <c r="AM210" s="338"/>
      <c r="AO210">
        <f ca="1">IF($A210="S",IF(BM!$I210=0,0,CHOOSE(MATCH(RegimeExecucao,{"Global","Unitário"},0),ROUND(ROUND(BM.MEDAcumulado,15-13*BM!$A$9)/100*BM!$I210,15-13*ORÇAMENTO!$AF$11),ROUND(ROUND(BM.MEDAcumulado,15-13*BM!$A$9)*ROUND(BM!$H210,15-13*ORÇAMENTO!$AF$10),15-13*ORÇAMENTO!$AF$11))),IF($A210=0,0,ROUND(SomaAgrupBM,15-13*ORÇAMENTO!$AF$11)))</f>
        <v>0</v>
      </c>
    </row>
    <row r="211" spans="1:41" ht="25.5" x14ac:dyDescent="0.2">
      <c r="A211" t="str">
        <f ca="1">ORÇAMENTO!C211</f>
        <v>S</v>
      </c>
      <c r="B211">
        <f ca="1">ORÇAMENTO!D211</f>
        <v>0</v>
      </c>
      <c r="C211" s="114" t="str">
        <f t="shared" ca="1" si="15"/>
        <v>F</v>
      </c>
      <c r="D211" s="117" t="str">
        <f ca="1">ORÇAMENTO!O211</f>
        <v>1.5.6.1.3.</v>
      </c>
      <c r="E211" s="163" t="str">
        <f t="shared" ca="1" si="16"/>
        <v>ARMAÇÃO PARA EXECUÇÃO DE RADIER, PISO DE CONCRETO OU LAJE SOBRE SOLO, COM USO DE TELA Q-92. AF_09/2021</v>
      </c>
      <c r="F211" s="164" t="str">
        <f ca="1">IF(RegimeExecucao="Global","",ORÇAMENTO.Unidade)</f>
        <v>KG</v>
      </c>
      <c r="G211" s="122">
        <f ca="1">IF(RegimeExecucao="Global","",ORÇAMENTO!T211)</f>
        <v>94.69</v>
      </c>
      <c r="H211" s="122">
        <f ca="1">IF(RegimeExecucao="Global","",ORÇAMENTO!W211)</f>
        <v>21.55</v>
      </c>
      <c r="I211" s="125">
        <f ca="1">ORÇAMENTO!X211</f>
        <v>2040.57</v>
      </c>
      <c r="J211" s="333" cm="1">
        <f t="array" aca="1" ref="J211" ca="1">_xlfn.SINGLE(IF($A211="S",IF(CAIXA.Modo,BM.AFAnterior,BM.MEDAnterior),IF(AND(_xlfn.SINGLE(RegimeExecucao)="Global",$I211&gt;0,COUNTIF($AB$13:$AM$13,BM.medicao-1)&gt;0),M211/$I211*100,0)))</f>
        <v>0</v>
      </c>
      <c r="K211" s="122">
        <f t="shared" ca="1" si="17"/>
        <v>0</v>
      </c>
      <c r="L211" s="334" cm="1">
        <f t="array" aca="1" ref="L211" ca="1">_xlfn.SINGLE(IF($A211="S",IF(CAIXA.Modo,BM.AFAcumulado,BM.MEDAcumulado),IF(AND(_xlfn.SINGLE(RegimeExecucao)="Global",$I211&gt;0,COUNTIF($AB$13:$AM$13,BM.medicao)&gt;0),O211/$I211*100,0)))</f>
        <v>0</v>
      </c>
      <c r="M211" s="335">
        <f ca="1">IF($A211="S",VTOTALBM,IF($A211=0,0,ROUND(SomaAgrupBM,15-13*ORÇAMENTO!$AF$11)))</f>
        <v>0</v>
      </c>
      <c r="N211" s="336">
        <f t="shared" ca="1" si="18"/>
        <v>0</v>
      </c>
      <c r="O211" s="125">
        <f ca="1">IF($A211="S",VTOTALBM,IF($A211=0,0,ROUND(SomaAgrupBM,15-13*ORÇAMENTO!$AF$11)))</f>
        <v>0</v>
      </c>
      <c r="Q211" s="337"/>
      <c r="R211" s="338"/>
      <c r="T211" s="117" t="str">
        <f t="shared" ca="1" si="19"/>
        <v/>
      </c>
      <c r="U211" s="163" t="str">
        <f t="shared" ca="1" si="20"/>
        <v/>
      </c>
      <c r="V211" s="164" t="str">
        <f ca="1">IF(AND($W211&gt;0,RegimeExecucao="Unitário"),$F211,"")</f>
        <v/>
      </c>
      <c r="W211" s="454">
        <f ca="1">IF($Y211&gt;0,CHOOSE(MATCH(RegimeExecucao,{"Unitário","Global"},0),IF($A211="S",$Y211/$X211,""),($Y211/$X211)*100),0)</f>
        <v>0</v>
      </c>
      <c r="X211" s="339" t="str">
        <f ca="1">IF($Y211&gt;0,CHOOSE(MATCH(RegimeExecucao,{"Unitário","Global"},0),IF($A211="S",ROUND($H211,ORÇAMENTO!$AF$10),""),ROUND($I211,ORÇAMENTO!$AF$11)),"")</f>
        <v/>
      </c>
      <c r="Y211" s="339">
        <f t="shared" ca="1" si="21"/>
        <v>0</v>
      </c>
      <c r="Z211" s="473"/>
      <c r="AB211" s="337"/>
      <c r="AC211" s="437"/>
      <c r="AD211" s="437"/>
      <c r="AE211" s="437"/>
      <c r="AF211" s="437"/>
      <c r="AG211" s="437"/>
      <c r="AH211" s="437"/>
      <c r="AI211" s="437"/>
      <c r="AJ211" s="437"/>
      <c r="AK211" s="437"/>
      <c r="AL211" s="437"/>
      <c r="AM211" s="338"/>
      <c r="AO211">
        <f ca="1">IF($A211="S",IF(BM!$I211=0,0,CHOOSE(MATCH(RegimeExecucao,{"Global","Unitário"},0),ROUND(ROUND(BM.MEDAcumulado,15-13*BM!$A$9)/100*BM!$I211,15-13*ORÇAMENTO!$AF$11),ROUND(ROUND(BM.MEDAcumulado,15-13*BM!$A$9)*ROUND(BM!$H211,15-13*ORÇAMENTO!$AF$10),15-13*ORÇAMENTO!$AF$11))),IF($A211=0,0,ROUND(SomaAgrupBM,15-13*ORÇAMENTO!$AF$11)))</f>
        <v>0</v>
      </c>
    </row>
    <row r="212" spans="1:41" ht="25.5" x14ac:dyDescent="0.2">
      <c r="A212" t="str">
        <f ca="1">ORÇAMENTO!C212</f>
        <v>S</v>
      </c>
      <c r="B212">
        <f ca="1">ORÇAMENTO!D212</f>
        <v>0</v>
      </c>
      <c r="C212" s="114" t="str">
        <f t="shared" ca="1" si="15"/>
        <v>F</v>
      </c>
      <c r="D212" s="117" t="str">
        <f ca="1">ORÇAMENTO!O212</f>
        <v>1.5.6.1.4.</v>
      </c>
      <c r="E212" s="163" t="str">
        <f t="shared" ca="1" si="16"/>
        <v>FÔRMAS DE COMPENSADO RESINADO 10 MM - USO GERAL - UTILIZAÇÃO DE 3 VEZES - CONFECÇÃO, INSTALAÇÃO E RETIRADA</v>
      </c>
      <c r="F212" s="164" t="str">
        <f ca="1">IF(RegimeExecucao="Global","",ORÇAMENTO.Unidade)</f>
        <v>M2</v>
      </c>
      <c r="G212" s="122">
        <f ca="1">IF(RegimeExecucao="Global","",ORÇAMENTO!T212)</f>
        <v>3.75</v>
      </c>
      <c r="H212" s="122">
        <f ca="1">IF(RegimeExecucao="Global","",ORÇAMENTO!W212)</f>
        <v>88.5</v>
      </c>
      <c r="I212" s="125">
        <f ca="1">ORÇAMENTO!X212</f>
        <v>331.88</v>
      </c>
      <c r="J212" s="333" cm="1">
        <f t="array" aca="1" ref="J212" ca="1">_xlfn.SINGLE(IF($A212="S",IF(CAIXA.Modo,BM.AFAnterior,BM.MEDAnterior),IF(AND(_xlfn.SINGLE(RegimeExecucao)="Global",$I212&gt;0,COUNTIF($AB$13:$AM$13,BM.medicao-1)&gt;0),M212/$I212*100,0)))</f>
        <v>0</v>
      </c>
      <c r="K212" s="122">
        <f t="shared" ca="1" si="17"/>
        <v>0</v>
      </c>
      <c r="L212" s="334" cm="1">
        <f t="array" aca="1" ref="L212" ca="1">_xlfn.SINGLE(IF($A212="S",IF(CAIXA.Modo,BM.AFAcumulado,BM.MEDAcumulado),IF(AND(_xlfn.SINGLE(RegimeExecucao)="Global",$I212&gt;0,COUNTIF($AB$13:$AM$13,BM.medicao)&gt;0),O212/$I212*100,0)))</f>
        <v>0</v>
      </c>
      <c r="M212" s="335">
        <f ca="1">IF($A212="S",VTOTALBM,IF($A212=0,0,ROUND(SomaAgrupBM,15-13*ORÇAMENTO!$AF$11)))</f>
        <v>0</v>
      </c>
      <c r="N212" s="336">
        <f t="shared" ca="1" si="18"/>
        <v>0</v>
      </c>
      <c r="O212" s="125">
        <f ca="1">IF($A212="S",VTOTALBM,IF($A212=0,0,ROUND(SomaAgrupBM,15-13*ORÇAMENTO!$AF$11)))</f>
        <v>0</v>
      </c>
      <c r="Q212" s="337"/>
      <c r="R212" s="338"/>
      <c r="T212" s="117" t="str">
        <f t="shared" ca="1" si="19"/>
        <v/>
      </c>
      <c r="U212" s="163" t="str">
        <f t="shared" ca="1" si="20"/>
        <v/>
      </c>
      <c r="V212" s="164" t="str">
        <f ca="1">IF(AND($W212&gt;0,RegimeExecucao="Unitário"),$F212,"")</f>
        <v/>
      </c>
      <c r="W212" s="454">
        <f ca="1">IF($Y212&gt;0,CHOOSE(MATCH(RegimeExecucao,{"Unitário","Global"},0),IF($A212="S",$Y212/$X212,""),($Y212/$X212)*100),0)</f>
        <v>0</v>
      </c>
      <c r="X212" s="339" t="str">
        <f ca="1">IF($Y212&gt;0,CHOOSE(MATCH(RegimeExecucao,{"Unitário","Global"},0),IF($A212="S",ROUND($H212,ORÇAMENTO!$AF$10),""),ROUND($I212,ORÇAMENTO!$AF$11)),"")</f>
        <v/>
      </c>
      <c r="Y212" s="339">
        <f t="shared" ca="1" si="21"/>
        <v>0</v>
      </c>
      <c r="Z212" s="473"/>
      <c r="AB212" s="337"/>
      <c r="AC212" s="437"/>
      <c r="AD212" s="437"/>
      <c r="AE212" s="437"/>
      <c r="AF212" s="437"/>
      <c r="AG212" s="437"/>
      <c r="AH212" s="437"/>
      <c r="AI212" s="437"/>
      <c r="AJ212" s="437"/>
      <c r="AK212" s="437"/>
      <c r="AL212" s="437"/>
      <c r="AM212" s="338"/>
      <c r="AO212">
        <f ca="1">IF($A212="S",IF(BM!$I212=0,0,CHOOSE(MATCH(RegimeExecucao,{"Global","Unitário"},0),ROUND(ROUND(BM.MEDAcumulado,15-13*BM!$A$9)/100*BM!$I212,15-13*ORÇAMENTO!$AF$11),ROUND(ROUND(BM.MEDAcumulado,15-13*BM!$A$9)*ROUND(BM!$H212,15-13*ORÇAMENTO!$AF$10),15-13*ORÇAMENTO!$AF$11))),IF($A212=0,0,ROUND(SomaAgrupBM,15-13*ORÇAMENTO!$AF$11)))</f>
        <v>0</v>
      </c>
    </row>
    <row r="213" spans="1:41" ht="25.5" x14ac:dyDescent="0.2">
      <c r="A213" t="str">
        <f ca="1">ORÇAMENTO!C213</f>
        <v>S</v>
      </c>
      <c r="B213">
        <f ca="1">ORÇAMENTO!D213</f>
        <v>0</v>
      </c>
      <c r="C213" s="114" t="str">
        <f t="shared" ref="C213:C276" ca="1" si="22">IF(OR($I213&gt;0,$A213=1,$A213=2,$A213=3,$A213=4),"F","")</f>
        <v>F</v>
      </c>
      <c r="D213" s="117" t="str">
        <f ca="1">ORÇAMENTO!O213</f>
        <v>1.5.6.1.5.</v>
      </c>
      <c r="E213" s="163" t="str">
        <f t="shared" ref="E213:E276" ca="1" si="23">ORÇAMENTO.Descricao</f>
        <v>APLICAÇÃO DE LONA PLÁSTICA PARA EXECUÇÃO DE PAVIMENTOS DE CONCRETO. AF_04/2022</v>
      </c>
      <c r="F213" s="164" t="str">
        <f ca="1">IF(RegimeExecucao="Global","",ORÇAMENTO.Unidade)</f>
        <v>M2</v>
      </c>
      <c r="G213" s="122">
        <f ca="1">IF(RegimeExecucao="Global","",ORÇAMENTO!T213)</f>
        <v>31.5</v>
      </c>
      <c r="H213" s="122">
        <f ca="1">IF(RegimeExecucao="Global","",ORÇAMENTO!W213)</f>
        <v>3.14</v>
      </c>
      <c r="I213" s="125">
        <f ca="1">ORÇAMENTO!X213</f>
        <v>98.91</v>
      </c>
      <c r="J213" s="333" cm="1">
        <f t="array" aca="1" ref="J213" ca="1">_xlfn.SINGLE(IF($A213="S",IF(CAIXA.Modo,BM.AFAnterior,BM.MEDAnterior),IF(AND(_xlfn.SINGLE(RegimeExecucao)="Global",$I213&gt;0,COUNTIF($AB$13:$AM$13,BM.medicao-1)&gt;0),M213/$I213*100,0)))</f>
        <v>0</v>
      </c>
      <c r="K213" s="122">
        <f t="shared" ref="K213:K276" ca="1" si="24">L213-J213</f>
        <v>0</v>
      </c>
      <c r="L213" s="334" cm="1">
        <f t="array" aca="1" ref="L213" ca="1">_xlfn.SINGLE(IF($A213="S",IF(CAIXA.Modo,BM.AFAcumulado,BM.MEDAcumulado),IF(AND(_xlfn.SINGLE(RegimeExecucao)="Global",$I213&gt;0,COUNTIF($AB$13:$AM$13,BM.medicao)&gt;0),O213/$I213*100,0)))</f>
        <v>0</v>
      </c>
      <c r="M213" s="335">
        <f ca="1">IF($A213="S",VTOTALBM,IF($A213=0,0,ROUND(SomaAgrupBM,15-13*ORÇAMENTO!$AF$11)))</f>
        <v>0</v>
      </c>
      <c r="N213" s="336">
        <f t="shared" ref="N213:N276" ca="1" si="25">O213-M213</f>
        <v>0</v>
      </c>
      <c r="O213" s="125">
        <f ca="1">IF($A213="S",VTOTALBM,IF($A213=0,0,ROUND(SomaAgrupBM,15-13*ORÇAMENTO!$AF$11)))</f>
        <v>0</v>
      </c>
      <c r="Q213" s="337"/>
      <c r="R213" s="338"/>
      <c r="T213" s="117" t="str">
        <f t="shared" ref="T213:T276" ca="1" si="26">IF($W213&gt;0,$D213,"")</f>
        <v/>
      </c>
      <c r="U213" s="163" t="str">
        <f t="shared" ref="U213:U276" ca="1" si="27">IF($W213&gt;0,$E213,"")</f>
        <v/>
      </c>
      <c r="V213" s="164" t="str">
        <f ca="1">IF(AND($W213&gt;0,RegimeExecucao="Unitário"),$F213,"")</f>
        <v/>
      </c>
      <c r="W213" s="454">
        <f ca="1">IF($Y213&gt;0,CHOOSE(MATCH(RegimeExecucao,{"Unitário","Global"},0),IF($A213="S",$Y213/$X213,""),($Y213/$X213)*100),0)</f>
        <v>0</v>
      </c>
      <c r="X213" s="339" t="str">
        <f ca="1">IF($Y213&gt;0,CHOOSE(MATCH(RegimeExecucao,{"Unitário","Global"},0),IF($A213="S",ROUND($H213,ORÇAMENTO!$AF$10),""),ROUND($I213,ORÇAMENTO!$AF$11)),"")</f>
        <v/>
      </c>
      <c r="Y213" s="339">
        <f t="shared" ref="Y213:Y276" ca="1" si="28">AO213-O213</f>
        <v>0</v>
      </c>
      <c r="Z213" s="473"/>
      <c r="AB213" s="337"/>
      <c r="AC213" s="437"/>
      <c r="AD213" s="437"/>
      <c r="AE213" s="437"/>
      <c r="AF213" s="437"/>
      <c r="AG213" s="437"/>
      <c r="AH213" s="437"/>
      <c r="AI213" s="437"/>
      <c r="AJ213" s="437"/>
      <c r="AK213" s="437"/>
      <c r="AL213" s="437"/>
      <c r="AM213" s="338"/>
      <c r="AO213">
        <f ca="1">IF($A213="S",IF(BM!$I213=0,0,CHOOSE(MATCH(RegimeExecucao,{"Global","Unitário"},0),ROUND(ROUND(BM.MEDAcumulado,15-13*BM!$A$9)/100*BM!$I213,15-13*ORÇAMENTO!$AF$11),ROUND(ROUND(BM.MEDAcumulado,15-13*BM!$A$9)*ROUND(BM!$H213,15-13*ORÇAMENTO!$AF$10),15-13*ORÇAMENTO!$AF$11))),IF($A213=0,0,ROUND(SomaAgrupBM,15-13*ORÇAMENTO!$AF$11)))</f>
        <v>0</v>
      </c>
    </row>
    <row r="214" spans="1:41" ht="51" x14ac:dyDescent="0.2">
      <c r="A214" t="str">
        <f ca="1">ORÇAMENTO!C214</f>
        <v>S</v>
      </c>
      <c r="B214">
        <f ca="1">ORÇAMENTO!D214</f>
        <v>0</v>
      </c>
      <c r="C214" s="114" t="str">
        <f t="shared" ca="1" si="22"/>
        <v>F</v>
      </c>
      <c r="D214" s="117" t="str">
        <f ca="1">ORÇAMENTO!O214</f>
        <v>1.5.6.1.6.</v>
      </c>
      <c r="E214" s="163" t="str">
        <f t="shared" ca="1" si="23"/>
        <v>CONSTRUÇÃO DE BASE E SUB-BASE PARA PAVIMENTAÇÃO DE BRITA GRADUADA SIMPLES TRATADA COM CIMENTO, COM ESPESSURA DE 15 CM - EXCLUSIVE CARGA E TRANSPORTE. AF_09/2024</v>
      </c>
      <c r="F214" s="164" t="str">
        <f ca="1">IF(RegimeExecucao="Global","",ORÇAMENTO.Unidade)</f>
        <v>M3</v>
      </c>
      <c r="G214" s="122">
        <f ca="1">IF(RegimeExecucao="Global","",ORÇAMENTO!T214)</f>
        <v>1.58</v>
      </c>
      <c r="H214" s="122">
        <f ca="1">IF(RegimeExecucao="Global","",ORÇAMENTO!W214)</f>
        <v>353.52</v>
      </c>
      <c r="I214" s="125">
        <f ca="1">ORÇAMENTO!X214</f>
        <v>558.55999999999995</v>
      </c>
      <c r="J214" s="333" cm="1">
        <f t="array" aca="1" ref="J214" ca="1">_xlfn.SINGLE(IF($A214="S",IF(CAIXA.Modo,BM.AFAnterior,BM.MEDAnterior),IF(AND(_xlfn.SINGLE(RegimeExecucao)="Global",$I214&gt;0,COUNTIF($AB$13:$AM$13,BM.medicao-1)&gt;0),M214/$I214*100,0)))</f>
        <v>0</v>
      </c>
      <c r="K214" s="122">
        <f t="shared" ca="1" si="24"/>
        <v>0</v>
      </c>
      <c r="L214" s="334" cm="1">
        <f t="array" aca="1" ref="L214" ca="1">_xlfn.SINGLE(IF($A214="S",IF(CAIXA.Modo,BM.AFAcumulado,BM.MEDAcumulado),IF(AND(_xlfn.SINGLE(RegimeExecucao)="Global",$I214&gt;0,COUNTIF($AB$13:$AM$13,BM.medicao)&gt;0),O214/$I214*100,0)))</f>
        <v>0</v>
      </c>
      <c r="M214" s="335">
        <f ca="1">IF($A214="S",VTOTALBM,IF($A214=0,0,ROUND(SomaAgrupBM,15-13*ORÇAMENTO!$AF$11)))</f>
        <v>0</v>
      </c>
      <c r="N214" s="336">
        <f t="shared" ca="1" si="25"/>
        <v>0</v>
      </c>
      <c r="O214" s="125">
        <f ca="1">IF($A214="S",VTOTALBM,IF($A214=0,0,ROUND(SomaAgrupBM,15-13*ORÇAMENTO!$AF$11)))</f>
        <v>0</v>
      </c>
      <c r="Q214" s="337"/>
      <c r="R214" s="338"/>
      <c r="T214" s="117" t="str">
        <f t="shared" ca="1" si="26"/>
        <v/>
      </c>
      <c r="U214" s="163" t="str">
        <f t="shared" ca="1" si="27"/>
        <v/>
      </c>
      <c r="V214" s="164" t="str">
        <f ca="1">IF(AND($W214&gt;0,RegimeExecucao="Unitário"),$F214,"")</f>
        <v/>
      </c>
      <c r="W214" s="454">
        <f ca="1">IF($Y214&gt;0,CHOOSE(MATCH(RegimeExecucao,{"Unitário","Global"},0),IF($A214="S",$Y214/$X214,""),($Y214/$X214)*100),0)</f>
        <v>0</v>
      </c>
      <c r="X214" s="339" t="str">
        <f ca="1">IF($Y214&gt;0,CHOOSE(MATCH(RegimeExecucao,{"Unitário","Global"},0),IF($A214="S",ROUND($H214,ORÇAMENTO!$AF$10),""),ROUND($I214,ORÇAMENTO!$AF$11)),"")</f>
        <v/>
      </c>
      <c r="Y214" s="339">
        <f t="shared" ca="1" si="28"/>
        <v>0</v>
      </c>
      <c r="Z214" s="473"/>
      <c r="AB214" s="337"/>
      <c r="AC214" s="437"/>
      <c r="AD214" s="437"/>
      <c r="AE214" s="437"/>
      <c r="AF214" s="437"/>
      <c r="AG214" s="437"/>
      <c r="AH214" s="437"/>
      <c r="AI214" s="437"/>
      <c r="AJ214" s="437"/>
      <c r="AK214" s="437"/>
      <c r="AL214" s="437"/>
      <c r="AM214" s="338"/>
      <c r="AO214">
        <f ca="1">IF($A214="S",IF(BM!$I214=0,0,CHOOSE(MATCH(RegimeExecucao,{"Global","Unitário"},0),ROUND(ROUND(BM.MEDAcumulado,15-13*BM!$A$9)/100*BM!$I214,15-13*ORÇAMENTO!$AF$11),ROUND(ROUND(BM.MEDAcumulado,15-13*BM!$A$9)*ROUND(BM!$H214,15-13*ORÇAMENTO!$AF$10),15-13*ORÇAMENTO!$AF$11))),IF($A214=0,0,ROUND(SomaAgrupBM,15-13*ORÇAMENTO!$AF$11)))</f>
        <v>0</v>
      </c>
    </row>
    <row r="215" spans="1:41" x14ac:dyDescent="0.2">
      <c r="A215">
        <f ca="1">ORÇAMENTO!C215</f>
        <v>2</v>
      </c>
      <c r="B215">
        <f ca="1">ORÇAMENTO!D215</f>
        <v>29</v>
      </c>
      <c r="C215" s="114" t="str">
        <f t="shared" ca="1" si="22"/>
        <v>F</v>
      </c>
      <c r="D215" s="117" t="str">
        <f ca="1">ORÇAMENTO!O215</f>
        <v>1.6.</v>
      </c>
      <c r="E215" s="163" t="str">
        <f t="shared" si="23"/>
        <v>ESTRUTURA METÁLICA</v>
      </c>
      <c r="F215" s="164" t="str">
        <f ca="1">IF(RegimeExecucao="Global","",ORÇAMENTO.Unidade)</f>
        <v>-</v>
      </c>
      <c r="G215" s="122">
        <f ca="1">IF(RegimeExecucao="Global","",ORÇAMENTO!T215)</f>
        <v>0</v>
      </c>
      <c r="H215" s="122">
        <f ca="1">IF(RegimeExecucao="Global","",ORÇAMENTO!W215)</f>
        <v>0</v>
      </c>
      <c r="I215" s="125">
        <f ca="1">ORÇAMENTO!X215</f>
        <v>207925.22</v>
      </c>
      <c r="J215" s="333" cm="1">
        <f t="array" aca="1" ref="J215" ca="1">_xlfn.SINGLE(IF($A215="S",IF(CAIXA.Modo,BM.AFAnterior,BM.MEDAnterior),IF(AND(_xlfn.SINGLE(RegimeExecucao)="Global",$I215&gt;0,COUNTIF($AB$13:$AM$13,BM.medicao-1)&gt;0),M215/$I215*100,0)))</f>
        <v>0</v>
      </c>
      <c r="K215" s="122">
        <f t="shared" ca="1" si="24"/>
        <v>0</v>
      </c>
      <c r="L215" s="334" cm="1">
        <f t="array" aca="1" ref="L215" ca="1">_xlfn.SINGLE(IF($A215="S",IF(CAIXA.Modo,BM.AFAcumulado,BM.MEDAcumulado),IF(AND(_xlfn.SINGLE(RegimeExecucao)="Global",$I215&gt;0,COUNTIF($AB$13:$AM$13,BM.medicao)&gt;0),O215/$I215*100,0)))</f>
        <v>0</v>
      </c>
      <c r="M215" s="335">
        <f ca="1">IF($A215="S",VTOTALBM,IF($A215=0,0,ROUND(SomaAgrupBM,15-13*ORÇAMENTO!$AF$11)))</f>
        <v>0</v>
      </c>
      <c r="N215" s="336">
        <f t="shared" ca="1" si="25"/>
        <v>0</v>
      </c>
      <c r="O215" s="125">
        <f ca="1">IF($A215="S",VTOTALBM,IF($A215=0,0,ROUND(SomaAgrupBM,15-13*ORÇAMENTO!$AF$11)))</f>
        <v>0</v>
      </c>
      <c r="Q215" s="337"/>
      <c r="R215" s="338"/>
      <c r="T215" s="117" t="str">
        <f t="shared" ca="1" si="26"/>
        <v/>
      </c>
      <c r="U215" s="163" t="str">
        <f t="shared" ca="1" si="27"/>
        <v/>
      </c>
      <c r="V215" s="164" t="str">
        <f ca="1">IF(AND($W215&gt;0,RegimeExecucao="Unitário"),$F215,"")</f>
        <v/>
      </c>
      <c r="W215" s="454">
        <f ca="1">IF($Y215&gt;0,CHOOSE(MATCH(RegimeExecucao,{"Unitário","Global"},0),IF($A215="S",$Y215/$X215,""),($Y215/$X215)*100),0)</f>
        <v>0</v>
      </c>
      <c r="X215" s="339" t="str">
        <f ca="1">IF($Y215&gt;0,CHOOSE(MATCH(RegimeExecucao,{"Unitário","Global"},0),IF($A215="S",ROUND($H215,ORÇAMENTO!$AF$10),""),ROUND($I215,ORÇAMENTO!$AF$11)),"")</f>
        <v/>
      </c>
      <c r="Y215" s="339">
        <f t="shared" ca="1" si="28"/>
        <v>0</v>
      </c>
      <c r="Z215" s="473"/>
      <c r="AB215" s="337"/>
      <c r="AC215" s="437"/>
      <c r="AD215" s="437"/>
      <c r="AE215" s="437"/>
      <c r="AF215" s="437"/>
      <c r="AG215" s="437"/>
      <c r="AH215" s="437"/>
      <c r="AI215" s="437"/>
      <c r="AJ215" s="437"/>
      <c r="AK215" s="437"/>
      <c r="AL215" s="437"/>
      <c r="AM215" s="338"/>
      <c r="AO215">
        <f ca="1">IF($A215="S",IF(BM!$I215=0,0,CHOOSE(MATCH(RegimeExecucao,{"Global","Unitário"},0),ROUND(ROUND(BM.MEDAcumulado,15-13*BM!$A$9)/100*BM!$I215,15-13*ORÇAMENTO!$AF$11),ROUND(ROUND(BM.MEDAcumulado,15-13*BM!$A$9)*ROUND(BM!$H215,15-13*ORÇAMENTO!$AF$10),15-13*ORÇAMENTO!$AF$11))),IF($A215=0,0,ROUND(SomaAgrupBM,15-13*ORÇAMENTO!$AF$11)))</f>
        <v>0</v>
      </c>
    </row>
    <row r="216" spans="1:41" x14ac:dyDescent="0.2">
      <c r="A216">
        <f ca="1">ORÇAMENTO!C216</f>
        <v>3</v>
      </c>
      <c r="B216">
        <f ca="1">ORÇAMENTO!D216</f>
        <v>8</v>
      </c>
      <c r="C216" s="114" t="str">
        <f t="shared" ca="1" si="22"/>
        <v>F</v>
      </c>
      <c r="D216" s="117" t="str">
        <f ca="1">ORÇAMENTO!O216</f>
        <v>1.6.1.</v>
      </c>
      <c r="E216" s="163" t="str">
        <f t="shared" si="23"/>
        <v>COBERTURA</v>
      </c>
      <c r="F216" s="164" t="str">
        <f ca="1">IF(RegimeExecucao="Global","",ORÇAMENTO.Unidade)</f>
        <v>-</v>
      </c>
      <c r="G216" s="122">
        <f ca="1">IF(RegimeExecucao="Global","",ORÇAMENTO!T216)</f>
        <v>0</v>
      </c>
      <c r="H216" s="122">
        <f ca="1">IF(RegimeExecucao="Global","",ORÇAMENTO!W216)</f>
        <v>0</v>
      </c>
      <c r="I216" s="125">
        <f ca="1">ORÇAMENTO!X216</f>
        <v>11986.5</v>
      </c>
      <c r="J216" s="333" cm="1">
        <f t="array" aca="1" ref="J216" ca="1">_xlfn.SINGLE(IF($A216="S",IF(CAIXA.Modo,BM.AFAnterior,BM.MEDAnterior),IF(AND(_xlfn.SINGLE(RegimeExecucao)="Global",$I216&gt;0,COUNTIF($AB$13:$AM$13,BM.medicao-1)&gt;0),M216/$I216*100,0)))</f>
        <v>0</v>
      </c>
      <c r="K216" s="122">
        <f t="shared" ca="1" si="24"/>
        <v>0</v>
      </c>
      <c r="L216" s="334" cm="1">
        <f t="array" aca="1" ref="L216" ca="1">_xlfn.SINGLE(IF($A216="S",IF(CAIXA.Modo,BM.AFAcumulado,BM.MEDAcumulado),IF(AND(_xlfn.SINGLE(RegimeExecucao)="Global",$I216&gt;0,COUNTIF($AB$13:$AM$13,BM.medicao)&gt;0),O216/$I216*100,0)))</f>
        <v>0</v>
      </c>
      <c r="M216" s="335">
        <f ca="1">IF($A216="S",VTOTALBM,IF($A216=0,0,ROUND(SomaAgrupBM,15-13*ORÇAMENTO!$AF$11)))</f>
        <v>0</v>
      </c>
      <c r="N216" s="336">
        <f t="shared" ca="1" si="25"/>
        <v>0</v>
      </c>
      <c r="O216" s="125">
        <f ca="1">IF($A216="S",VTOTALBM,IF($A216=0,0,ROUND(SomaAgrupBM,15-13*ORÇAMENTO!$AF$11)))</f>
        <v>0</v>
      </c>
      <c r="Q216" s="337"/>
      <c r="R216" s="338"/>
      <c r="T216" s="117" t="str">
        <f t="shared" ca="1" si="26"/>
        <v/>
      </c>
      <c r="U216" s="163" t="str">
        <f t="shared" ca="1" si="27"/>
        <v/>
      </c>
      <c r="V216" s="164" t="str">
        <f ca="1">IF(AND($W216&gt;0,RegimeExecucao="Unitário"),$F216,"")</f>
        <v/>
      </c>
      <c r="W216" s="454">
        <f ca="1">IF($Y216&gt;0,CHOOSE(MATCH(RegimeExecucao,{"Unitário","Global"},0),IF($A216="S",$Y216/$X216,""),($Y216/$X216)*100),0)</f>
        <v>0</v>
      </c>
      <c r="X216" s="339" t="str">
        <f ca="1">IF($Y216&gt;0,CHOOSE(MATCH(RegimeExecucao,{"Unitário","Global"},0),IF($A216="S",ROUND($H216,ORÇAMENTO!$AF$10),""),ROUND($I216,ORÇAMENTO!$AF$11)),"")</f>
        <v/>
      </c>
      <c r="Y216" s="339">
        <f t="shared" ca="1" si="28"/>
        <v>0</v>
      </c>
      <c r="Z216" s="473"/>
      <c r="AB216" s="337"/>
      <c r="AC216" s="437"/>
      <c r="AD216" s="437"/>
      <c r="AE216" s="437"/>
      <c r="AF216" s="437"/>
      <c r="AG216" s="437"/>
      <c r="AH216" s="437"/>
      <c r="AI216" s="437"/>
      <c r="AJ216" s="437"/>
      <c r="AK216" s="437"/>
      <c r="AL216" s="437"/>
      <c r="AM216" s="338"/>
      <c r="AO216">
        <f ca="1">IF($A216="S",IF(BM!$I216=0,0,CHOOSE(MATCH(RegimeExecucao,{"Global","Unitário"},0),ROUND(ROUND(BM.MEDAcumulado,15-13*BM!$A$9)/100*BM!$I216,15-13*ORÇAMENTO!$AF$11),ROUND(ROUND(BM.MEDAcumulado,15-13*BM!$A$9)*ROUND(BM!$H216,15-13*ORÇAMENTO!$AF$10),15-13*ORÇAMENTO!$AF$11))),IF($A216=0,0,ROUND(SomaAgrupBM,15-13*ORÇAMENTO!$AF$11)))</f>
        <v>0</v>
      </c>
    </row>
    <row r="217" spans="1:41" ht="51" x14ac:dyDescent="0.2">
      <c r="A217" t="str">
        <f ca="1">ORÇAMENTO!C217</f>
        <v>S</v>
      </c>
      <c r="B217">
        <f ca="1">ORÇAMENTO!D217</f>
        <v>0</v>
      </c>
      <c r="C217" s="114" t="str">
        <f t="shared" ca="1" si="22"/>
        <v>F</v>
      </c>
      <c r="D217" s="117" t="str">
        <f ca="1">ORÇAMENTO!O217</f>
        <v>1.6.1.0.1.</v>
      </c>
      <c r="E217" s="163" t="str">
        <f t="shared" ca="1" si="23"/>
        <v>FORNECIMENTO DE ESTRUTURA METÁLICA EM PERFIL LAMINADO, INCLUSIVE FABRICAÇÃO, TRANSPORTE, MONTAGEM E APLICAÇÃO DE FUNDO PREPARADOR ANTICORROSIVO EM SUPERFÍCIE METÁLICA, UMA (1) DEMÃO</v>
      </c>
      <c r="F217" s="164" t="str">
        <f ca="1">IF(RegimeExecucao="Global","",ORÇAMENTO.Unidade)</f>
        <v>KG</v>
      </c>
      <c r="G217" s="122">
        <f ca="1">IF(RegimeExecucao="Global","",ORÇAMENTO!T217)</f>
        <v>249.2</v>
      </c>
      <c r="H217" s="122">
        <f ca="1">IF(RegimeExecucao="Global","",ORÇAMENTO!W217)</f>
        <v>31.21</v>
      </c>
      <c r="I217" s="125">
        <f ca="1">ORÇAMENTO!X217</f>
        <v>7777.53</v>
      </c>
      <c r="J217" s="333" cm="1">
        <f t="array" aca="1" ref="J217" ca="1">_xlfn.SINGLE(IF($A217="S",IF(CAIXA.Modo,BM.AFAnterior,BM.MEDAnterior),IF(AND(_xlfn.SINGLE(RegimeExecucao)="Global",$I217&gt;0,COUNTIF($AB$13:$AM$13,BM.medicao-1)&gt;0),M217/$I217*100,0)))</f>
        <v>0</v>
      </c>
      <c r="K217" s="122">
        <f t="shared" ca="1" si="24"/>
        <v>0</v>
      </c>
      <c r="L217" s="334" cm="1">
        <f t="array" aca="1" ref="L217" ca="1">_xlfn.SINGLE(IF($A217="S",IF(CAIXA.Modo,BM.AFAcumulado,BM.MEDAcumulado),IF(AND(_xlfn.SINGLE(RegimeExecucao)="Global",$I217&gt;0,COUNTIF($AB$13:$AM$13,BM.medicao)&gt;0),O217/$I217*100,0)))</f>
        <v>0</v>
      </c>
      <c r="M217" s="335">
        <f ca="1">IF($A217="S",VTOTALBM,IF($A217=0,0,ROUND(SomaAgrupBM,15-13*ORÇAMENTO!$AF$11)))</f>
        <v>0</v>
      </c>
      <c r="N217" s="336">
        <f t="shared" ca="1" si="25"/>
        <v>0</v>
      </c>
      <c r="O217" s="125">
        <f ca="1">IF($A217="S",VTOTALBM,IF($A217=0,0,ROUND(SomaAgrupBM,15-13*ORÇAMENTO!$AF$11)))</f>
        <v>0</v>
      </c>
      <c r="Q217" s="337"/>
      <c r="R217" s="338"/>
      <c r="T217" s="117" t="str">
        <f t="shared" ca="1" si="26"/>
        <v/>
      </c>
      <c r="U217" s="163" t="str">
        <f t="shared" ca="1" si="27"/>
        <v/>
      </c>
      <c r="V217" s="164" t="str">
        <f ca="1">IF(AND($W217&gt;0,RegimeExecucao="Unitário"),$F217,"")</f>
        <v/>
      </c>
      <c r="W217" s="454">
        <f ca="1">IF($Y217&gt;0,CHOOSE(MATCH(RegimeExecucao,{"Unitário","Global"},0),IF($A217="S",$Y217/$X217,""),($Y217/$X217)*100),0)</f>
        <v>0</v>
      </c>
      <c r="X217" s="339" t="str">
        <f ca="1">IF($Y217&gt;0,CHOOSE(MATCH(RegimeExecucao,{"Unitário","Global"},0),IF($A217="S",ROUND($H217,ORÇAMENTO!$AF$10),""),ROUND($I217,ORÇAMENTO!$AF$11)),"")</f>
        <v/>
      </c>
      <c r="Y217" s="339">
        <f t="shared" ca="1" si="28"/>
        <v>0</v>
      </c>
      <c r="Z217" s="473"/>
      <c r="AB217" s="337"/>
      <c r="AC217" s="437"/>
      <c r="AD217" s="437"/>
      <c r="AE217" s="437"/>
      <c r="AF217" s="437"/>
      <c r="AG217" s="437"/>
      <c r="AH217" s="437"/>
      <c r="AI217" s="437"/>
      <c r="AJ217" s="437"/>
      <c r="AK217" s="437"/>
      <c r="AL217" s="437"/>
      <c r="AM217" s="338"/>
      <c r="AO217">
        <f ca="1">IF($A217="S",IF(BM!$I217=0,0,CHOOSE(MATCH(RegimeExecucao,{"Global","Unitário"},0),ROUND(ROUND(BM.MEDAcumulado,15-13*BM!$A$9)/100*BM!$I217,15-13*ORÇAMENTO!$AF$11),ROUND(ROUND(BM.MEDAcumulado,15-13*BM!$A$9)*ROUND(BM!$H217,15-13*ORÇAMENTO!$AF$10),15-13*ORÇAMENTO!$AF$11))),IF($A217=0,0,ROUND(SomaAgrupBM,15-13*ORÇAMENTO!$AF$11)))</f>
        <v>0</v>
      </c>
    </row>
    <row r="218" spans="1:41" ht="25.5" x14ac:dyDescent="0.2">
      <c r="A218" t="str">
        <f ca="1">ORÇAMENTO!C218</f>
        <v>S</v>
      </c>
      <c r="B218">
        <f ca="1">ORÇAMENTO!D218</f>
        <v>0</v>
      </c>
      <c r="C218" s="114" t="str">
        <f t="shared" ca="1" si="22"/>
        <v>F</v>
      </c>
      <c r="D218" s="117" t="str">
        <f ca="1">ORÇAMENTO!O218</f>
        <v>1.6.1.0.2.</v>
      </c>
      <c r="E218" s="163" t="str">
        <f t="shared" ca="1" si="23"/>
        <v>PARAFUSO AUTO-BROCANTE 12-14X3.1/2, FORNECIMENTO E INSTALAÇÃO - BASEADO EM ORSE (11035)</v>
      </c>
      <c r="F218" s="164" t="str">
        <f ca="1">IF(RegimeExecucao="Global","",ORÇAMENTO.Unidade)</f>
        <v>UN</v>
      </c>
      <c r="G218" s="122">
        <f ca="1">IF(RegimeExecucao="Global","",ORÇAMENTO!T218)</f>
        <v>40</v>
      </c>
      <c r="H218" s="122">
        <f ca="1">IF(RegimeExecucao="Global","",ORÇAMENTO!W218)</f>
        <v>2.17</v>
      </c>
      <c r="I218" s="125">
        <f ca="1">ORÇAMENTO!X218</f>
        <v>86.8</v>
      </c>
      <c r="J218" s="333" cm="1">
        <f t="array" aca="1" ref="J218" ca="1">_xlfn.SINGLE(IF($A218="S",IF(CAIXA.Modo,BM.AFAnterior,BM.MEDAnterior),IF(AND(_xlfn.SINGLE(RegimeExecucao)="Global",$I218&gt;0,COUNTIF($AB$13:$AM$13,BM.medicao-1)&gt;0),M218/$I218*100,0)))</f>
        <v>0</v>
      </c>
      <c r="K218" s="122">
        <f t="shared" ca="1" si="24"/>
        <v>0</v>
      </c>
      <c r="L218" s="334" cm="1">
        <f t="array" aca="1" ref="L218" ca="1">_xlfn.SINGLE(IF($A218="S",IF(CAIXA.Modo,BM.AFAcumulado,BM.MEDAcumulado),IF(AND(_xlfn.SINGLE(RegimeExecucao)="Global",$I218&gt;0,COUNTIF($AB$13:$AM$13,BM.medicao)&gt;0),O218/$I218*100,0)))</f>
        <v>0</v>
      </c>
      <c r="M218" s="335">
        <f ca="1">IF($A218="S",VTOTALBM,IF($A218=0,0,ROUND(SomaAgrupBM,15-13*ORÇAMENTO!$AF$11)))</f>
        <v>0</v>
      </c>
      <c r="N218" s="336">
        <f t="shared" ca="1" si="25"/>
        <v>0</v>
      </c>
      <c r="O218" s="125">
        <f ca="1">IF($A218="S",VTOTALBM,IF($A218=0,0,ROUND(SomaAgrupBM,15-13*ORÇAMENTO!$AF$11)))</f>
        <v>0</v>
      </c>
      <c r="Q218" s="337"/>
      <c r="R218" s="338"/>
      <c r="T218" s="117" t="str">
        <f t="shared" ca="1" si="26"/>
        <v/>
      </c>
      <c r="U218" s="163" t="str">
        <f t="shared" ca="1" si="27"/>
        <v/>
      </c>
      <c r="V218" s="164" t="str">
        <f ca="1">IF(AND($W218&gt;0,RegimeExecucao="Unitário"),$F218,"")</f>
        <v/>
      </c>
      <c r="W218" s="454">
        <f ca="1">IF($Y218&gt;0,CHOOSE(MATCH(RegimeExecucao,{"Unitário","Global"},0),IF($A218="S",$Y218/$X218,""),($Y218/$X218)*100),0)</f>
        <v>0</v>
      </c>
      <c r="X218" s="339" t="str">
        <f ca="1">IF($Y218&gt;0,CHOOSE(MATCH(RegimeExecucao,{"Unitário","Global"},0),IF($A218="S",ROUND($H218,ORÇAMENTO!$AF$10),""),ROUND($I218,ORÇAMENTO!$AF$11)),"")</f>
        <v/>
      </c>
      <c r="Y218" s="339">
        <f t="shared" ca="1" si="28"/>
        <v>0</v>
      </c>
      <c r="Z218" s="473"/>
      <c r="AB218" s="337"/>
      <c r="AC218" s="437"/>
      <c r="AD218" s="437"/>
      <c r="AE218" s="437"/>
      <c r="AF218" s="437"/>
      <c r="AG218" s="437"/>
      <c r="AH218" s="437"/>
      <c r="AI218" s="437"/>
      <c r="AJ218" s="437"/>
      <c r="AK218" s="437"/>
      <c r="AL218" s="437"/>
      <c r="AM218" s="338"/>
      <c r="AO218">
        <f ca="1">IF($A218="S",IF(BM!$I218=0,0,CHOOSE(MATCH(RegimeExecucao,{"Global","Unitário"},0),ROUND(ROUND(BM.MEDAcumulado,15-13*BM!$A$9)/100*BM!$I218,15-13*ORÇAMENTO!$AF$11),ROUND(ROUND(BM.MEDAcumulado,15-13*BM!$A$9)*ROUND(BM!$H218,15-13*ORÇAMENTO!$AF$10),15-13*ORÇAMENTO!$AF$11))),IF($A218=0,0,ROUND(SomaAgrupBM,15-13*ORÇAMENTO!$AF$11)))</f>
        <v>0</v>
      </c>
    </row>
    <row r="219" spans="1:41" ht="25.5" x14ac:dyDescent="0.2">
      <c r="A219" t="str">
        <f ca="1">ORÇAMENTO!C219</f>
        <v>S</v>
      </c>
      <c r="B219">
        <f ca="1">ORÇAMENTO!D219</f>
        <v>0</v>
      </c>
      <c r="C219" s="114" t="str">
        <f t="shared" ca="1" si="22"/>
        <v>F</v>
      </c>
      <c r="D219" s="117" t="str">
        <f ca="1">ORÇAMENTO!O219</f>
        <v>1.6.1.0.3.</v>
      </c>
      <c r="E219" s="163" t="str">
        <f t="shared" ca="1" si="23"/>
        <v>PARAFUSO AUTO-BROCANTE 12-14X3/4, FORNECIMENTO E INSTALAÇÃO - BASEADO EM ORSE (11035)</v>
      </c>
      <c r="F219" s="164" t="str">
        <f ca="1">IF(RegimeExecucao="Global","",ORÇAMENTO.Unidade)</f>
        <v>UN</v>
      </c>
      <c r="G219" s="122">
        <f ca="1">IF(RegimeExecucao="Global","",ORÇAMENTO!T219)</f>
        <v>25</v>
      </c>
      <c r="H219" s="122">
        <f ca="1">IF(RegimeExecucao="Global","",ORÇAMENTO!W219)</f>
        <v>1.27</v>
      </c>
      <c r="I219" s="125">
        <f ca="1">ORÇAMENTO!X219</f>
        <v>31.75</v>
      </c>
      <c r="J219" s="333" cm="1">
        <f t="array" aca="1" ref="J219" ca="1">_xlfn.SINGLE(IF($A219="S",IF(CAIXA.Modo,BM.AFAnterior,BM.MEDAnterior),IF(AND(_xlfn.SINGLE(RegimeExecucao)="Global",$I219&gt;0,COUNTIF($AB$13:$AM$13,BM.medicao-1)&gt;0),M219/$I219*100,0)))</f>
        <v>0</v>
      </c>
      <c r="K219" s="122">
        <f t="shared" ca="1" si="24"/>
        <v>0</v>
      </c>
      <c r="L219" s="334" cm="1">
        <f t="array" aca="1" ref="L219" ca="1">_xlfn.SINGLE(IF($A219="S",IF(CAIXA.Modo,BM.AFAcumulado,BM.MEDAcumulado),IF(AND(_xlfn.SINGLE(RegimeExecucao)="Global",$I219&gt;0,COUNTIF($AB$13:$AM$13,BM.medicao)&gt;0),O219/$I219*100,0)))</f>
        <v>0</v>
      </c>
      <c r="M219" s="335">
        <f ca="1">IF($A219="S",VTOTALBM,IF($A219=0,0,ROUND(SomaAgrupBM,15-13*ORÇAMENTO!$AF$11)))</f>
        <v>0</v>
      </c>
      <c r="N219" s="336">
        <f t="shared" ca="1" si="25"/>
        <v>0</v>
      </c>
      <c r="O219" s="125">
        <f ca="1">IF($A219="S",VTOTALBM,IF($A219=0,0,ROUND(SomaAgrupBM,15-13*ORÇAMENTO!$AF$11)))</f>
        <v>0</v>
      </c>
      <c r="Q219" s="337"/>
      <c r="R219" s="338"/>
      <c r="T219" s="117" t="str">
        <f t="shared" ca="1" si="26"/>
        <v/>
      </c>
      <c r="U219" s="163" t="str">
        <f t="shared" ca="1" si="27"/>
        <v/>
      </c>
      <c r="V219" s="164" t="str">
        <f ca="1">IF(AND($W219&gt;0,RegimeExecucao="Unitário"),$F219,"")</f>
        <v/>
      </c>
      <c r="W219" s="454">
        <f ca="1">IF($Y219&gt;0,CHOOSE(MATCH(RegimeExecucao,{"Unitário","Global"},0),IF($A219="S",$Y219/$X219,""),($Y219/$X219)*100),0)</f>
        <v>0</v>
      </c>
      <c r="X219" s="339" t="str">
        <f ca="1">IF($Y219&gt;0,CHOOSE(MATCH(RegimeExecucao,{"Unitário","Global"},0),IF($A219="S",ROUND($H219,ORÇAMENTO!$AF$10),""),ROUND($I219,ORÇAMENTO!$AF$11)),"")</f>
        <v/>
      </c>
      <c r="Y219" s="339">
        <f t="shared" ca="1" si="28"/>
        <v>0</v>
      </c>
      <c r="Z219" s="473"/>
      <c r="AB219" s="337"/>
      <c r="AC219" s="437"/>
      <c r="AD219" s="437"/>
      <c r="AE219" s="437"/>
      <c r="AF219" s="437"/>
      <c r="AG219" s="437"/>
      <c r="AH219" s="437"/>
      <c r="AI219" s="437"/>
      <c r="AJ219" s="437"/>
      <c r="AK219" s="437"/>
      <c r="AL219" s="437"/>
      <c r="AM219" s="338"/>
      <c r="AO219">
        <f ca="1">IF($A219="S",IF(BM!$I219=0,0,CHOOSE(MATCH(RegimeExecucao,{"Global","Unitário"},0),ROUND(ROUND(BM.MEDAcumulado,15-13*BM!$A$9)/100*BM!$I219,15-13*ORÇAMENTO!$AF$11),ROUND(ROUND(BM.MEDAcumulado,15-13*BM!$A$9)*ROUND(BM!$H219,15-13*ORÇAMENTO!$AF$10),15-13*ORÇAMENTO!$AF$11))),IF($A219=0,0,ROUND(SomaAgrupBM,15-13*ORÇAMENTO!$AF$11)))</f>
        <v>0</v>
      </c>
    </row>
    <row r="220" spans="1:41" ht="25.5" x14ac:dyDescent="0.2">
      <c r="A220" t="str">
        <f ca="1">ORÇAMENTO!C220</f>
        <v>S</v>
      </c>
      <c r="B220">
        <f ca="1">ORÇAMENTO!D220</f>
        <v>0</v>
      </c>
      <c r="C220" s="114" t="str">
        <f t="shared" ca="1" si="22"/>
        <v>F</v>
      </c>
      <c r="D220" s="117" t="str">
        <f ca="1">ORÇAMENTO!O220</f>
        <v>1.6.1.0.4.</v>
      </c>
      <c r="E220" s="163" t="str">
        <f t="shared" ca="1" si="23"/>
        <v>CONJUNTO PARAFUSO, PORCA E ARRUELA 3/4 - C = 1.3/4" - BASEADO EM AGESUL (1201008354)</v>
      </c>
      <c r="F220" s="164" t="str">
        <f ca="1">IF(RegimeExecucao="Global","",ORÇAMENTO.Unidade)</f>
        <v>CJ</v>
      </c>
      <c r="G220" s="122">
        <f ca="1">IF(RegimeExecucao="Global","",ORÇAMENTO!T220)</f>
        <v>40</v>
      </c>
      <c r="H220" s="122">
        <f ca="1">IF(RegimeExecucao="Global","",ORÇAMENTO!W220)</f>
        <v>17.54</v>
      </c>
      <c r="I220" s="125">
        <f ca="1">ORÇAMENTO!X220</f>
        <v>701.6</v>
      </c>
      <c r="J220" s="333" cm="1">
        <f t="array" aca="1" ref="J220" ca="1">_xlfn.SINGLE(IF($A220="S",IF(CAIXA.Modo,BM.AFAnterior,BM.MEDAnterior),IF(AND(_xlfn.SINGLE(RegimeExecucao)="Global",$I220&gt;0,COUNTIF($AB$13:$AM$13,BM.medicao-1)&gt;0),M220/$I220*100,0)))</f>
        <v>0</v>
      </c>
      <c r="K220" s="122">
        <f t="shared" ca="1" si="24"/>
        <v>0</v>
      </c>
      <c r="L220" s="334" cm="1">
        <f t="array" aca="1" ref="L220" ca="1">_xlfn.SINGLE(IF($A220="S",IF(CAIXA.Modo,BM.AFAcumulado,BM.MEDAcumulado),IF(AND(_xlfn.SINGLE(RegimeExecucao)="Global",$I220&gt;0,COUNTIF($AB$13:$AM$13,BM.medicao)&gt;0),O220/$I220*100,0)))</f>
        <v>0</v>
      </c>
      <c r="M220" s="335">
        <f ca="1">IF($A220="S",VTOTALBM,IF($A220=0,0,ROUND(SomaAgrupBM,15-13*ORÇAMENTO!$AF$11)))</f>
        <v>0</v>
      </c>
      <c r="N220" s="336">
        <f t="shared" ca="1" si="25"/>
        <v>0</v>
      </c>
      <c r="O220" s="125">
        <f ca="1">IF($A220="S",VTOTALBM,IF($A220=0,0,ROUND(SomaAgrupBM,15-13*ORÇAMENTO!$AF$11)))</f>
        <v>0</v>
      </c>
      <c r="Q220" s="337"/>
      <c r="R220" s="338"/>
      <c r="T220" s="117" t="str">
        <f t="shared" ca="1" si="26"/>
        <v/>
      </c>
      <c r="U220" s="163" t="str">
        <f t="shared" ca="1" si="27"/>
        <v/>
      </c>
      <c r="V220" s="164" t="str">
        <f ca="1">IF(AND($W220&gt;0,RegimeExecucao="Unitário"),$F220,"")</f>
        <v/>
      </c>
      <c r="W220" s="454">
        <f ca="1">IF($Y220&gt;0,CHOOSE(MATCH(RegimeExecucao,{"Unitário","Global"},0),IF($A220="S",$Y220/$X220,""),($Y220/$X220)*100),0)</f>
        <v>0</v>
      </c>
      <c r="X220" s="339" t="str">
        <f ca="1">IF($Y220&gt;0,CHOOSE(MATCH(RegimeExecucao,{"Unitário","Global"},0),IF($A220="S",ROUND($H220,ORÇAMENTO!$AF$10),""),ROUND($I220,ORÇAMENTO!$AF$11)),"")</f>
        <v/>
      </c>
      <c r="Y220" s="339">
        <f t="shared" ca="1" si="28"/>
        <v>0</v>
      </c>
      <c r="Z220" s="473"/>
      <c r="AB220" s="337"/>
      <c r="AC220" s="437"/>
      <c r="AD220" s="437"/>
      <c r="AE220" s="437"/>
      <c r="AF220" s="437"/>
      <c r="AG220" s="437"/>
      <c r="AH220" s="437"/>
      <c r="AI220" s="437"/>
      <c r="AJ220" s="437"/>
      <c r="AK220" s="437"/>
      <c r="AL220" s="437"/>
      <c r="AM220" s="338"/>
      <c r="AO220">
        <f ca="1">IF($A220="S",IF(BM!$I220=0,0,CHOOSE(MATCH(RegimeExecucao,{"Global","Unitário"},0),ROUND(ROUND(BM.MEDAcumulado,15-13*BM!$A$9)/100*BM!$I220,15-13*ORÇAMENTO!$AF$11),ROUND(ROUND(BM.MEDAcumulado,15-13*BM!$A$9)*ROUND(BM!$H220,15-13*ORÇAMENTO!$AF$10),15-13*ORÇAMENTO!$AF$11))),IF($A220=0,0,ROUND(SomaAgrupBM,15-13*ORÇAMENTO!$AF$11)))</f>
        <v>0</v>
      </c>
    </row>
    <row r="221" spans="1:41" ht="38.25" x14ac:dyDescent="0.2">
      <c r="A221" t="str">
        <f ca="1">ORÇAMENTO!C221</f>
        <v>S</v>
      </c>
      <c r="B221">
        <f ca="1">ORÇAMENTO!D221</f>
        <v>0</v>
      </c>
      <c r="C221" s="114" t="str">
        <f t="shared" ca="1" si="22"/>
        <v>F</v>
      </c>
      <c r="D221" s="117" t="str">
        <f ca="1">ORÇAMENTO!O221</f>
        <v>1.6.1.0.5.</v>
      </c>
      <c r="E221" s="163" t="str">
        <f t="shared" ca="1" si="23"/>
        <v>CHUMBADOR MECÂNICO CB 14200 1/4" X 50MM, COM PORCA E ARRUELA ZINCADOS, FORNECIMENTO E INSTALAÇÃO - BASEADO EM ORSE (9819)</v>
      </c>
      <c r="F221" s="164" t="str">
        <f ca="1">IF(RegimeExecucao="Global","",ORÇAMENTO.Unidade)</f>
        <v>UN</v>
      </c>
      <c r="G221" s="122">
        <f ca="1">IF(RegimeExecucao="Global","",ORÇAMENTO!T221)</f>
        <v>24</v>
      </c>
      <c r="H221" s="122">
        <f ca="1">IF(RegimeExecucao="Global","",ORÇAMENTO!W221)</f>
        <v>2.8</v>
      </c>
      <c r="I221" s="125">
        <f ca="1">ORÇAMENTO!X221</f>
        <v>67.2</v>
      </c>
      <c r="J221" s="333" cm="1">
        <f t="array" aca="1" ref="J221" ca="1">_xlfn.SINGLE(IF($A221="S",IF(CAIXA.Modo,BM.AFAnterior,BM.MEDAnterior),IF(AND(_xlfn.SINGLE(RegimeExecucao)="Global",$I221&gt;0,COUNTIF($AB$13:$AM$13,BM.medicao-1)&gt;0),M221/$I221*100,0)))</f>
        <v>0</v>
      </c>
      <c r="K221" s="122">
        <f t="shared" ca="1" si="24"/>
        <v>0</v>
      </c>
      <c r="L221" s="334" cm="1">
        <f t="array" aca="1" ref="L221" ca="1">_xlfn.SINGLE(IF($A221="S",IF(CAIXA.Modo,BM.AFAcumulado,BM.MEDAcumulado),IF(AND(_xlfn.SINGLE(RegimeExecucao)="Global",$I221&gt;0,COUNTIF($AB$13:$AM$13,BM.medicao)&gt;0),O221/$I221*100,0)))</f>
        <v>0</v>
      </c>
      <c r="M221" s="335">
        <f ca="1">IF($A221="S",VTOTALBM,IF($A221=0,0,ROUND(SomaAgrupBM,15-13*ORÇAMENTO!$AF$11)))</f>
        <v>0</v>
      </c>
      <c r="N221" s="336">
        <f t="shared" ca="1" si="25"/>
        <v>0</v>
      </c>
      <c r="O221" s="125">
        <f ca="1">IF($A221="S",VTOTALBM,IF($A221=0,0,ROUND(SomaAgrupBM,15-13*ORÇAMENTO!$AF$11)))</f>
        <v>0</v>
      </c>
      <c r="Q221" s="337"/>
      <c r="R221" s="338"/>
      <c r="T221" s="117" t="str">
        <f t="shared" ca="1" si="26"/>
        <v/>
      </c>
      <c r="U221" s="163" t="str">
        <f t="shared" ca="1" si="27"/>
        <v/>
      </c>
      <c r="V221" s="164" t="str">
        <f ca="1">IF(AND($W221&gt;0,RegimeExecucao="Unitário"),$F221,"")</f>
        <v/>
      </c>
      <c r="W221" s="454">
        <f ca="1">IF($Y221&gt;0,CHOOSE(MATCH(RegimeExecucao,{"Unitário","Global"},0),IF($A221="S",$Y221/$X221,""),($Y221/$X221)*100),0)</f>
        <v>0</v>
      </c>
      <c r="X221" s="339" t="str">
        <f ca="1">IF($Y221&gt;0,CHOOSE(MATCH(RegimeExecucao,{"Unitário","Global"},0),IF($A221="S",ROUND($H221,ORÇAMENTO!$AF$10),""),ROUND($I221,ORÇAMENTO!$AF$11)),"")</f>
        <v/>
      </c>
      <c r="Y221" s="339">
        <f t="shared" ca="1" si="28"/>
        <v>0</v>
      </c>
      <c r="Z221" s="473"/>
      <c r="AB221" s="337"/>
      <c r="AC221" s="437"/>
      <c r="AD221" s="437"/>
      <c r="AE221" s="437"/>
      <c r="AF221" s="437"/>
      <c r="AG221" s="437"/>
      <c r="AH221" s="437"/>
      <c r="AI221" s="437"/>
      <c r="AJ221" s="437"/>
      <c r="AK221" s="437"/>
      <c r="AL221" s="437"/>
      <c r="AM221" s="338"/>
      <c r="AO221">
        <f ca="1">IF($A221="S",IF(BM!$I221=0,0,CHOOSE(MATCH(RegimeExecucao,{"Global","Unitário"},0),ROUND(ROUND(BM.MEDAcumulado,15-13*BM!$A$9)/100*BM!$I221,15-13*ORÇAMENTO!$AF$11),ROUND(ROUND(BM.MEDAcumulado,15-13*BM!$A$9)*ROUND(BM!$H221,15-13*ORÇAMENTO!$AF$10),15-13*ORÇAMENTO!$AF$11))),IF($A221=0,0,ROUND(SomaAgrupBM,15-13*ORÇAMENTO!$AF$11)))</f>
        <v>0</v>
      </c>
    </row>
    <row r="222" spans="1:41" ht="38.25" x14ac:dyDescent="0.2">
      <c r="A222" t="str">
        <f ca="1">ORÇAMENTO!C222</f>
        <v>S</v>
      </c>
      <c r="B222">
        <f ca="1">ORÇAMENTO!D222</f>
        <v>0</v>
      </c>
      <c r="C222" s="114" t="str">
        <f t="shared" ca="1" si="22"/>
        <v>F</v>
      </c>
      <c r="D222" s="117" t="str">
        <f ca="1">ORÇAMENTO!O222</f>
        <v>1.6.1.0.6.</v>
      </c>
      <c r="E222" s="163" t="str">
        <f t="shared" ca="1" si="23"/>
        <v>PINTURA ESMALTE BASE SOLVENTE EM ESTRUTURA METÁLICA, DUAS (2) DEMÃOS, COM APLICAÇÃO MANUAL, INCLUSIVE UMA (1) DEMÃO FUNDO GALVANIZADO</v>
      </c>
      <c r="F222" s="164" t="str">
        <f ca="1">IF(RegimeExecucao="Global","",ORÇAMENTO.Unidade)</f>
        <v>M2</v>
      </c>
      <c r="G222" s="122">
        <f ca="1">IF(RegimeExecucao="Global","",ORÇAMENTO!T222)</f>
        <v>12.05</v>
      </c>
      <c r="H222" s="122">
        <f ca="1">IF(RegimeExecucao="Global","",ORÇAMENTO!W222)</f>
        <v>44.31</v>
      </c>
      <c r="I222" s="125">
        <f ca="1">ORÇAMENTO!X222</f>
        <v>533.94000000000005</v>
      </c>
      <c r="J222" s="333" cm="1">
        <f t="array" aca="1" ref="J222" ca="1">_xlfn.SINGLE(IF($A222="S",IF(CAIXA.Modo,BM.AFAnterior,BM.MEDAnterior),IF(AND(_xlfn.SINGLE(RegimeExecucao)="Global",$I222&gt;0,COUNTIF($AB$13:$AM$13,BM.medicao-1)&gt;0),M222/$I222*100,0)))</f>
        <v>0</v>
      </c>
      <c r="K222" s="122">
        <f t="shared" ca="1" si="24"/>
        <v>0</v>
      </c>
      <c r="L222" s="334" cm="1">
        <f t="array" aca="1" ref="L222" ca="1">_xlfn.SINGLE(IF($A222="S",IF(CAIXA.Modo,BM.AFAcumulado,BM.MEDAcumulado),IF(AND(_xlfn.SINGLE(RegimeExecucao)="Global",$I222&gt;0,COUNTIF($AB$13:$AM$13,BM.medicao)&gt;0),O222/$I222*100,0)))</f>
        <v>0</v>
      </c>
      <c r="M222" s="335">
        <f ca="1">IF($A222="S",VTOTALBM,IF($A222=0,0,ROUND(SomaAgrupBM,15-13*ORÇAMENTO!$AF$11)))</f>
        <v>0</v>
      </c>
      <c r="N222" s="336">
        <f t="shared" ca="1" si="25"/>
        <v>0</v>
      </c>
      <c r="O222" s="125">
        <f ca="1">IF($A222="S",VTOTALBM,IF($A222=0,0,ROUND(SomaAgrupBM,15-13*ORÇAMENTO!$AF$11)))</f>
        <v>0</v>
      </c>
      <c r="Q222" s="337"/>
      <c r="R222" s="338"/>
      <c r="T222" s="117" t="str">
        <f t="shared" ca="1" si="26"/>
        <v/>
      </c>
      <c r="U222" s="163" t="str">
        <f t="shared" ca="1" si="27"/>
        <v/>
      </c>
      <c r="V222" s="164" t="str">
        <f ca="1">IF(AND($W222&gt;0,RegimeExecucao="Unitário"),$F222,"")</f>
        <v/>
      </c>
      <c r="W222" s="454">
        <f ca="1">IF($Y222&gt;0,CHOOSE(MATCH(RegimeExecucao,{"Unitário","Global"},0),IF($A222="S",$Y222/$X222,""),($Y222/$X222)*100),0)</f>
        <v>0</v>
      </c>
      <c r="X222" s="339" t="str">
        <f ca="1">IF($Y222&gt;0,CHOOSE(MATCH(RegimeExecucao,{"Unitário","Global"},0),IF($A222="S",ROUND($H222,ORÇAMENTO!$AF$10),""),ROUND($I222,ORÇAMENTO!$AF$11)),"")</f>
        <v/>
      </c>
      <c r="Y222" s="339">
        <f t="shared" ca="1" si="28"/>
        <v>0</v>
      </c>
      <c r="Z222" s="473"/>
      <c r="AB222" s="337"/>
      <c r="AC222" s="437"/>
      <c r="AD222" s="437"/>
      <c r="AE222" s="437"/>
      <c r="AF222" s="437"/>
      <c r="AG222" s="437"/>
      <c r="AH222" s="437"/>
      <c r="AI222" s="437"/>
      <c r="AJ222" s="437"/>
      <c r="AK222" s="437"/>
      <c r="AL222" s="437"/>
      <c r="AM222" s="338"/>
      <c r="AO222">
        <f ca="1">IF($A222="S",IF(BM!$I222=0,0,CHOOSE(MATCH(RegimeExecucao,{"Global","Unitário"},0),ROUND(ROUND(BM.MEDAcumulado,15-13*BM!$A$9)/100*BM!$I222,15-13*ORÇAMENTO!$AF$11),ROUND(ROUND(BM.MEDAcumulado,15-13*BM!$A$9)*ROUND(BM!$H222,15-13*ORÇAMENTO!$AF$10),15-13*ORÇAMENTO!$AF$11))),IF($A222=0,0,ROUND(SomaAgrupBM,15-13*ORÇAMENTO!$AF$11)))</f>
        <v>0</v>
      </c>
    </row>
    <row r="223" spans="1:41" ht="25.5" x14ac:dyDescent="0.2">
      <c r="A223" t="str">
        <f ca="1">ORÇAMENTO!C223</f>
        <v>S</v>
      </c>
      <c r="B223">
        <f ca="1">ORÇAMENTO!D223</f>
        <v>0</v>
      </c>
      <c r="C223" s="114" t="str">
        <f t="shared" ca="1" si="22"/>
        <v>F</v>
      </c>
      <c r="D223" s="117" t="str">
        <f ca="1">ORÇAMENTO!O223</f>
        <v>1.6.1.0.7.</v>
      </c>
      <c r="E223" s="163" t="str">
        <f t="shared" ca="1" si="23"/>
        <v>TELHAMENTO COM TELHA METÁLICA TERMOACÚSTICA E = 30 MM, COM ATÉ 2 ÁGUAS, INCLUSO IÇAMENTO. AF_07/2019</v>
      </c>
      <c r="F223" s="164" t="str">
        <f ca="1">IF(RegimeExecucao="Global","",ORÇAMENTO.Unidade)</f>
        <v>M2</v>
      </c>
      <c r="G223" s="122">
        <f ca="1">IF(RegimeExecucao="Global","",ORÇAMENTO!T223)</f>
        <v>13.75</v>
      </c>
      <c r="H223" s="122">
        <f ca="1">IF(RegimeExecucao="Global","",ORÇAMENTO!W223)</f>
        <v>202.74</v>
      </c>
      <c r="I223" s="125">
        <f ca="1">ORÇAMENTO!X223</f>
        <v>2787.68</v>
      </c>
      <c r="J223" s="333" cm="1">
        <f t="array" aca="1" ref="J223" ca="1">_xlfn.SINGLE(IF($A223="S",IF(CAIXA.Modo,BM.AFAnterior,BM.MEDAnterior),IF(AND(_xlfn.SINGLE(RegimeExecucao)="Global",$I223&gt;0,COUNTIF($AB$13:$AM$13,BM.medicao-1)&gt;0),M223/$I223*100,0)))</f>
        <v>0</v>
      </c>
      <c r="K223" s="122">
        <f t="shared" ca="1" si="24"/>
        <v>0</v>
      </c>
      <c r="L223" s="334" cm="1">
        <f t="array" aca="1" ref="L223" ca="1">_xlfn.SINGLE(IF($A223="S",IF(CAIXA.Modo,BM.AFAcumulado,BM.MEDAcumulado),IF(AND(_xlfn.SINGLE(RegimeExecucao)="Global",$I223&gt;0,COUNTIF($AB$13:$AM$13,BM.medicao)&gt;0),O223/$I223*100,0)))</f>
        <v>0</v>
      </c>
      <c r="M223" s="335">
        <f ca="1">IF($A223="S",VTOTALBM,IF($A223=0,0,ROUND(SomaAgrupBM,15-13*ORÇAMENTO!$AF$11)))</f>
        <v>0</v>
      </c>
      <c r="N223" s="336">
        <f t="shared" ca="1" si="25"/>
        <v>0</v>
      </c>
      <c r="O223" s="125">
        <f ca="1">IF($A223="S",VTOTALBM,IF($A223=0,0,ROUND(SomaAgrupBM,15-13*ORÇAMENTO!$AF$11)))</f>
        <v>0</v>
      </c>
      <c r="Q223" s="337"/>
      <c r="R223" s="338"/>
      <c r="T223" s="117" t="str">
        <f t="shared" ca="1" si="26"/>
        <v/>
      </c>
      <c r="U223" s="163" t="str">
        <f t="shared" ca="1" si="27"/>
        <v/>
      </c>
      <c r="V223" s="164" t="str">
        <f ca="1">IF(AND($W223&gt;0,RegimeExecucao="Unitário"),$F223,"")</f>
        <v/>
      </c>
      <c r="W223" s="454">
        <f ca="1">IF($Y223&gt;0,CHOOSE(MATCH(RegimeExecucao,{"Unitário","Global"},0),IF($A223="S",$Y223/$X223,""),($Y223/$X223)*100),0)</f>
        <v>0</v>
      </c>
      <c r="X223" s="339" t="str">
        <f ca="1">IF($Y223&gt;0,CHOOSE(MATCH(RegimeExecucao,{"Unitário","Global"},0),IF($A223="S",ROUND($H223,ORÇAMENTO!$AF$10),""),ROUND($I223,ORÇAMENTO!$AF$11)),"")</f>
        <v/>
      </c>
      <c r="Y223" s="339">
        <f t="shared" ca="1" si="28"/>
        <v>0</v>
      </c>
      <c r="Z223" s="473"/>
      <c r="AB223" s="337"/>
      <c r="AC223" s="437"/>
      <c r="AD223" s="437"/>
      <c r="AE223" s="437"/>
      <c r="AF223" s="437"/>
      <c r="AG223" s="437"/>
      <c r="AH223" s="437"/>
      <c r="AI223" s="437"/>
      <c r="AJ223" s="437"/>
      <c r="AK223" s="437"/>
      <c r="AL223" s="437"/>
      <c r="AM223" s="338"/>
      <c r="AO223">
        <f ca="1">IF($A223="S",IF(BM!$I223=0,0,CHOOSE(MATCH(RegimeExecucao,{"Global","Unitário"},0),ROUND(ROUND(BM.MEDAcumulado,15-13*BM!$A$9)/100*BM!$I223,15-13*ORÇAMENTO!$AF$11),ROUND(ROUND(BM.MEDAcumulado,15-13*BM!$A$9)*ROUND(BM!$H223,15-13*ORÇAMENTO!$AF$10),15-13*ORÇAMENTO!$AF$11))),IF($A223=0,0,ROUND(SomaAgrupBM,15-13*ORÇAMENTO!$AF$11)))</f>
        <v>0</v>
      </c>
    </row>
    <row r="224" spans="1:41" x14ac:dyDescent="0.2">
      <c r="A224">
        <f ca="1">ORÇAMENTO!C224</f>
        <v>3</v>
      </c>
      <c r="B224">
        <f ca="1">ORÇAMENTO!D224</f>
        <v>11</v>
      </c>
      <c r="C224" s="114" t="str">
        <f t="shared" ca="1" si="22"/>
        <v>F</v>
      </c>
      <c r="D224" s="117" t="str">
        <f ca="1">ORÇAMENTO!O224</f>
        <v>1.6.2.</v>
      </c>
      <c r="E224" s="163" t="str">
        <f t="shared" si="23"/>
        <v>MONOVIA E COBERTURA</v>
      </c>
      <c r="F224" s="164" t="str">
        <f ca="1">IF(RegimeExecucao="Global","",ORÇAMENTO.Unidade)</f>
        <v>-</v>
      </c>
      <c r="G224" s="122">
        <f ca="1">IF(RegimeExecucao="Global","",ORÇAMENTO!T224)</f>
        <v>0</v>
      </c>
      <c r="H224" s="122">
        <f ca="1">IF(RegimeExecucao="Global","",ORÇAMENTO!W224)</f>
        <v>0</v>
      </c>
      <c r="I224" s="125">
        <f ca="1">ORÇAMENTO!X224</f>
        <v>168721.94</v>
      </c>
      <c r="J224" s="333" cm="1">
        <f t="array" aca="1" ref="J224" ca="1">_xlfn.SINGLE(IF($A224="S",IF(CAIXA.Modo,BM.AFAnterior,BM.MEDAnterior),IF(AND(_xlfn.SINGLE(RegimeExecucao)="Global",$I224&gt;0,COUNTIF($AB$13:$AM$13,BM.medicao-1)&gt;0),M224/$I224*100,0)))</f>
        <v>0</v>
      </c>
      <c r="K224" s="122">
        <f t="shared" ca="1" si="24"/>
        <v>0</v>
      </c>
      <c r="L224" s="334" cm="1">
        <f t="array" aca="1" ref="L224" ca="1">_xlfn.SINGLE(IF($A224="S",IF(CAIXA.Modo,BM.AFAcumulado,BM.MEDAcumulado),IF(AND(_xlfn.SINGLE(RegimeExecucao)="Global",$I224&gt;0,COUNTIF($AB$13:$AM$13,BM.medicao)&gt;0),O224/$I224*100,0)))</f>
        <v>0</v>
      </c>
      <c r="M224" s="335">
        <f ca="1">IF($A224="S",VTOTALBM,IF($A224=0,0,ROUND(SomaAgrupBM,15-13*ORÇAMENTO!$AF$11)))</f>
        <v>0</v>
      </c>
      <c r="N224" s="336">
        <f t="shared" ca="1" si="25"/>
        <v>0</v>
      </c>
      <c r="O224" s="125">
        <f ca="1">IF($A224="S",VTOTALBM,IF($A224=0,0,ROUND(SomaAgrupBM,15-13*ORÇAMENTO!$AF$11)))</f>
        <v>0</v>
      </c>
      <c r="Q224" s="337"/>
      <c r="R224" s="338"/>
      <c r="T224" s="117" t="str">
        <f t="shared" ca="1" si="26"/>
        <v/>
      </c>
      <c r="U224" s="163" t="str">
        <f t="shared" ca="1" si="27"/>
        <v/>
      </c>
      <c r="V224" s="164" t="str">
        <f ca="1">IF(AND($W224&gt;0,RegimeExecucao="Unitário"),$F224,"")</f>
        <v/>
      </c>
      <c r="W224" s="454">
        <f ca="1">IF($Y224&gt;0,CHOOSE(MATCH(RegimeExecucao,{"Unitário","Global"},0),IF($A224="S",$Y224/$X224,""),($Y224/$X224)*100),0)</f>
        <v>0</v>
      </c>
      <c r="X224" s="339" t="str">
        <f ca="1">IF($Y224&gt;0,CHOOSE(MATCH(RegimeExecucao,{"Unitário","Global"},0),IF($A224="S",ROUND($H224,ORÇAMENTO!$AF$10),""),ROUND($I224,ORÇAMENTO!$AF$11)),"")</f>
        <v/>
      </c>
      <c r="Y224" s="339">
        <f t="shared" ca="1" si="28"/>
        <v>0</v>
      </c>
      <c r="Z224" s="473"/>
      <c r="AB224" s="337"/>
      <c r="AC224" s="437"/>
      <c r="AD224" s="437"/>
      <c r="AE224" s="437"/>
      <c r="AF224" s="437"/>
      <c r="AG224" s="437"/>
      <c r="AH224" s="437"/>
      <c r="AI224" s="437"/>
      <c r="AJ224" s="437"/>
      <c r="AK224" s="437"/>
      <c r="AL224" s="437"/>
      <c r="AM224" s="338"/>
      <c r="AO224">
        <f ca="1">IF($A224="S",IF(BM!$I224=0,0,CHOOSE(MATCH(RegimeExecucao,{"Global","Unitário"},0),ROUND(ROUND(BM.MEDAcumulado,15-13*BM!$A$9)/100*BM!$I224,15-13*ORÇAMENTO!$AF$11),ROUND(ROUND(BM.MEDAcumulado,15-13*BM!$A$9)*ROUND(BM!$H224,15-13*ORÇAMENTO!$AF$10),15-13*ORÇAMENTO!$AF$11))),IF($A224=0,0,ROUND(SomaAgrupBM,15-13*ORÇAMENTO!$AF$11)))</f>
        <v>0</v>
      </c>
    </row>
    <row r="225" spans="1:41" ht="51" x14ac:dyDescent="0.2">
      <c r="A225" t="str">
        <f ca="1">ORÇAMENTO!C225</f>
        <v>S</v>
      </c>
      <c r="B225">
        <f ca="1">ORÇAMENTO!D225</f>
        <v>0</v>
      </c>
      <c r="C225" s="114" t="str">
        <f t="shared" ca="1" si="22"/>
        <v>F</v>
      </c>
      <c r="D225" s="117" t="str">
        <f ca="1">ORÇAMENTO!O225</f>
        <v>1.6.2.0.1.</v>
      </c>
      <c r="E225" s="163" t="str">
        <f t="shared" ca="1" si="23"/>
        <v>FORNECIMENTO DE ESTRUTURA METÁLICA EM PERFIL LAMINADO, INCLUSIVE FABRICAÇÃO, TRANSPORTE, MONTAGEM E APLICAÇÃO DE FUNDO PREPARADOR ANTICORROSIVO EM SUPERFÍCIE METÁLICA, UMA (1) DEMÃO</v>
      </c>
      <c r="F225" s="164" t="str">
        <f ca="1">IF(RegimeExecucao="Global","",ORÇAMENTO.Unidade)</f>
        <v>KG</v>
      </c>
      <c r="G225" s="122">
        <f ca="1">IF(RegimeExecucao="Global","",ORÇAMENTO!T225)</f>
        <v>4736.3500000000004</v>
      </c>
      <c r="H225" s="122">
        <f ca="1">IF(RegimeExecucao="Global","",ORÇAMENTO!W225)</f>
        <v>31.21</v>
      </c>
      <c r="I225" s="125">
        <f ca="1">ORÇAMENTO!X225</f>
        <v>147821.48000000001</v>
      </c>
      <c r="J225" s="333" cm="1">
        <f t="array" aca="1" ref="J225" ca="1">_xlfn.SINGLE(IF($A225="S",IF(CAIXA.Modo,BM.AFAnterior,BM.MEDAnterior),IF(AND(_xlfn.SINGLE(RegimeExecucao)="Global",$I225&gt;0,COUNTIF($AB$13:$AM$13,BM.medicao-1)&gt;0),M225/$I225*100,0)))</f>
        <v>0</v>
      </c>
      <c r="K225" s="122">
        <f t="shared" ca="1" si="24"/>
        <v>0</v>
      </c>
      <c r="L225" s="334" cm="1">
        <f t="array" aca="1" ref="L225" ca="1">_xlfn.SINGLE(IF($A225="S",IF(CAIXA.Modo,BM.AFAcumulado,BM.MEDAcumulado),IF(AND(_xlfn.SINGLE(RegimeExecucao)="Global",$I225&gt;0,COUNTIF($AB$13:$AM$13,BM.medicao)&gt;0),O225/$I225*100,0)))</f>
        <v>0</v>
      </c>
      <c r="M225" s="335">
        <f ca="1">IF($A225="S",VTOTALBM,IF($A225=0,0,ROUND(SomaAgrupBM,15-13*ORÇAMENTO!$AF$11)))</f>
        <v>0</v>
      </c>
      <c r="N225" s="336">
        <f t="shared" ca="1" si="25"/>
        <v>0</v>
      </c>
      <c r="O225" s="125">
        <f ca="1">IF($A225="S",VTOTALBM,IF($A225=0,0,ROUND(SomaAgrupBM,15-13*ORÇAMENTO!$AF$11)))</f>
        <v>0</v>
      </c>
      <c r="Q225" s="337"/>
      <c r="R225" s="338"/>
      <c r="T225" s="117" t="str">
        <f t="shared" ca="1" si="26"/>
        <v/>
      </c>
      <c r="U225" s="163" t="str">
        <f t="shared" ca="1" si="27"/>
        <v/>
      </c>
      <c r="V225" s="164" t="str">
        <f ca="1">IF(AND($W225&gt;0,RegimeExecucao="Unitário"),$F225,"")</f>
        <v/>
      </c>
      <c r="W225" s="454">
        <f ca="1">IF($Y225&gt;0,CHOOSE(MATCH(RegimeExecucao,{"Unitário","Global"},0),IF($A225="S",$Y225/$X225,""),($Y225/$X225)*100),0)</f>
        <v>0</v>
      </c>
      <c r="X225" s="339" t="str">
        <f ca="1">IF($Y225&gt;0,CHOOSE(MATCH(RegimeExecucao,{"Unitário","Global"},0),IF($A225="S",ROUND($H225,ORÇAMENTO!$AF$10),""),ROUND($I225,ORÇAMENTO!$AF$11)),"")</f>
        <v/>
      </c>
      <c r="Y225" s="339">
        <f t="shared" ca="1" si="28"/>
        <v>0</v>
      </c>
      <c r="Z225" s="473"/>
      <c r="AB225" s="337"/>
      <c r="AC225" s="437"/>
      <c r="AD225" s="437"/>
      <c r="AE225" s="437"/>
      <c r="AF225" s="437"/>
      <c r="AG225" s="437"/>
      <c r="AH225" s="437"/>
      <c r="AI225" s="437"/>
      <c r="AJ225" s="437"/>
      <c r="AK225" s="437"/>
      <c r="AL225" s="437"/>
      <c r="AM225" s="338"/>
      <c r="AO225">
        <f ca="1">IF($A225="S",IF(BM!$I225=0,0,CHOOSE(MATCH(RegimeExecucao,{"Global","Unitário"},0),ROUND(ROUND(BM.MEDAcumulado,15-13*BM!$A$9)/100*BM!$I225,15-13*ORÇAMENTO!$AF$11),ROUND(ROUND(BM.MEDAcumulado,15-13*BM!$A$9)*ROUND(BM!$H225,15-13*ORÇAMENTO!$AF$10),15-13*ORÇAMENTO!$AF$11))),IF($A225=0,0,ROUND(SomaAgrupBM,15-13*ORÇAMENTO!$AF$11)))</f>
        <v>0</v>
      </c>
    </row>
    <row r="226" spans="1:41" ht="25.5" x14ac:dyDescent="0.2">
      <c r="A226" t="str">
        <f ca="1">ORÇAMENTO!C226</f>
        <v>S</v>
      </c>
      <c r="B226">
        <f ca="1">ORÇAMENTO!D226</f>
        <v>0</v>
      </c>
      <c r="C226" s="114" t="str">
        <f t="shared" ca="1" si="22"/>
        <v>F</v>
      </c>
      <c r="D226" s="117" t="str">
        <f ca="1">ORÇAMENTO!O226</f>
        <v>1.6.2.0.2.</v>
      </c>
      <c r="E226" s="163" t="str">
        <f t="shared" ca="1" si="23"/>
        <v>PARAFUSO AUTO-BROCANTE 12-14X3.1/2, FORNECIMENTO E INSTALAÇÃO - BASEADO EM ORSE (11035)</v>
      </c>
      <c r="F226" s="164" t="str">
        <f ca="1">IF(RegimeExecucao="Global","",ORÇAMENTO.Unidade)</f>
        <v>UN</v>
      </c>
      <c r="G226" s="122">
        <f ca="1">IF(RegimeExecucao="Global","",ORÇAMENTO!T226)</f>
        <v>130</v>
      </c>
      <c r="H226" s="122">
        <f ca="1">IF(RegimeExecucao="Global","",ORÇAMENTO!W226)</f>
        <v>2.17</v>
      </c>
      <c r="I226" s="125">
        <f ca="1">ORÇAMENTO!X226</f>
        <v>282.10000000000002</v>
      </c>
      <c r="J226" s="333" cm="1">
        <f t="array" aca="1" ref="J226" ca="1">_xlfn.SINGLE(IF($A226="S",IF(CAIXA.Modo,BM.AFAnterior,BM.MEDAnterior),IF(AND(_xlfn.SINGLE(RegimeExecucao)="Global",$I226&gt;0,COUNTIF($AB$13:$AM$13,BM.medicao-1)&gt;0),M226/$I226*100,0)))</f>
        <v>0</v>
      </c>
      <c r="K226" s="122">
        <f t="shared" ca="1" si="24"/>
        <v>0</v>
      </c>
      <c r="L226" s="334" cm="1">
        <f t="array" aca="1" ref="L226" ca="1">_xlfn.SINGLE(IF($A226="S",IF(CAIXA.Modo,BM.AFAcumulado,BM.MEDAcumulado),IF(AND(_xlfn.SINGLE(RegimeExecucao)="Global",$I226&gt;0,COUNTIF($AB$13:$AM$13,BM.medicao)&gt;0),O226/$I226*100,0)))</f>
        <v>0</v>
      </c>
      <c r="M226" s="335">
        <f ca="1">IF($A226="S",VTOTALBM,IF($A226=0,0,ROUND(SomaAgrupBM,15-13*ORÇAMENTO!$AF$11)))</f>
        <v>0</v>
      </c>
      <c r="N226" s="336">
        <f t="shared" ca="1" si="25"/>
        <v>0</v>
      </c>
      <c r="O226" s="125">
        <f ca="1">IF($A226="S",VTOTALBM,IF($A226=0,0,ROUND(SomaAgrupBM,15-13*ORÇAMENTO!$AF$11)))</f>
        <v>0</v>
      </c>
      <c r="Q226" s="337"/>
      <c r="R226" s="338"/>
      <c r="T226" s="117" t="str">
        <f t="shared" ca="1" si="26"/>
        <v/>
      </c>
      <c r="U226" s="163" t="str">
        <f t="shared" ca="1" si="27"/>
        <v/>
      </c>
      <c r="V226" s="164" t="str">
        <f ca="1">IF(AND($W226&gt;0,RegimeExecucao="Unitário"),$F226,"")</f>
        <v/>
      </c>
      <c r="W226" s="454">
        <f ca="1">IF($Y226&gt;0,CHOOSE(MATCH(RegimeExecucao,{"Unitário","Global"},0),IF($A226="S",$Y226/$X226,""),($Y226/$X226)*100),0)</f>
        <v>0</v>
      </c>
      <c r="X226" s="339" t="str">
        <f ca="1">IF($Y226&gt;0,CHOOSE(MATCH(RegimeExecucao,{"Unitário","Global"},0),IF($A226="S",ROUND($H226,ORÇAMENTO!$AF$10),""),ROUND($I226,ORÇAMENTO!$AF$11)),"")</f>
        <v/>
      </c>
      <c r="Y226" s="339">
        <f t="shared" ca="1" si="28"/>
        <v>0</v>
      </c>
      <c r="Z226" s="473"/>
      <c r="AB226" s="337"/>
      <c r="AC226" s="437"/>
      <c r="AD226" s="437"/>
      <c r="AE226" s="437"/>
      <c r="AF226" s="437"/>
      <c r="AG226" s="437"/>
      <c r="AH226" s="437"/>
      <c r="AI226" s="437"/>
      <c r="AJ226" s="437"/>
      <c r="AK226" s="437"/>
      <c r="AL226" s="437"/>
      <c r="AM226" s="338"/>
      <c r="AO226">
        <f ca="1">IF($A226="S",IF(BM!$I226=0,0,CHOOSE(MATCH(RegimeExecucao,{"Global","Unitário"},0),ROUND(ROUND(BM.MEDAcumulado,15-13*BM!$A$9)/100*BM!$I226,15-13*ORÇAMENTO!$AF$11),ROUND(ROUND(BM.MEDAcumulado,15-13*BM!$A$9)*ROUND(BM!$H226,15-13*ORÇAMENTO!$AF$10),15-13*ORÇAMENTO!$AF$11))),IF($A226=0,0,ROUND(SomaAgrupBM,15-13*ORÇAMENTO!$AF$11)))</f>
        <v>0</v>
      </c>
    </row>
    <row r="227" spans="1:41" ht="25.5" x14ac:dyDescent="0.2">
      <c r="A227" t="str">
        <f ca="1">ORÇAMENTO!C227</f>
        <v>S</v>
      </c>
      <c r="B227">
        <f ca="1">ORÇAMENTO!D227</f>
        <v>0</v>
      </c>
      <c r="C227" s="114" t="str">
        <f t="shared" ca="1" si="22"/>
        <v>F</v>
      </c>
      <c r="D227" s="117" t="str">
        <f ca="1">ORÇAMENTO!O227</f>
        <v>1.6.2.0.3.</v>
      </c>
      <c r="E227" s="163" t="str">
        <f t="shared" ca="1" si="23"/>
        <v>PARAFUSO AUTO-BROCANTE 12-14X3/4, FORNECIMENTO E INSTALAÇÃO - BASEADO EM ORSE (11035)</v>
      </c>
      <c r="F227" s="164" t="str">
        <f ca="1">IF(RegimeExecucao="Global","",ORÇAMENTO.Unidade)</f>
        <v>UN</v>
      </c>
      <c r="G227" s="122">
        <f ca="1">IF(RegimeExecucao="Global","",ORÇAMENTO!T227)</f>
        <v>90</v>
      </c>
      <c r="H227" s="122">
        <f ca="1">IF(RegimeExecucao="Global","",ORÇAMENTO!W227)</f>
        <v>1.27</v>
      </c>
      <c r="I227" s="125">
        <f ca="1">ORÇAMENTO!X227</f>
        <v>114.3</v>
      </c>
      <c r="J227" s="333" cm="1">
        <f t="array" aca="1" ref="J227" ca="1">_xlfn.SINGLE(IF($A227="S",IF(CAIXA.Modo,BM.AFAnterior,BM.MEDAnterior),IF(AND(_xlfn.SINGLE(RegimeExecucao)="Global",$I227&gt;0,COUNTIF($AB$13:$AM$13,BM.medicao-1)&gt;0),M227/$I227*100,0)))</f>
        <v>0</v>
      </c>
      <c r="K227" s="122">
        <f t="shared" ca="1" si="24"/>
        <v>0</v>
      </c>
      <c r="L227" s="334" cm="1">
        <f t="array" aca="1" ref="L227" ca="1">_xlfn.SINGLE(IF($A227="S",IF(CAIXA.Modo,BM.AFAcumulado,BM.MEDAcumulado),IF(AND(_xlfn.SINGLE(RegimeExecucao)="Global",$I227&gt;0,COUNTIF($AB$13:$AM$13,BM.medicao)&gt;0),O227/$I227*100,0)))</f>
        <v>0</v>
      </c>
      <c r="M227" s="335">
        <f ca="1">IF($A227="S",VTOTALBM,IF($A227=0,0,ROUND(SomaAgrupBM,15-13*ORÇAMENTO!$AF$11)))</f>
        <v>0</v>
      </c>
      <c r="N227" s="336">
        <f t="shared" ca="1" si="25"/>
        <v>0</v>
      </c>
      <c r="O227" s="125">
        <f ca="1">IF($A227="S",VTOTALBM,IF($A227=0,0,ROUND(SomaAgrupBM,15-13*ORÇAMENTO!$AF$11)))</f>
        <v>0</v>
      </c>
      <c r="Q227" s="337"/>
      <c r="R227" s="338"/>
      <c r="T227" s="117" t="str">
        <f t="shared" ca="1" si="26"/>
        <v/>
      </c>
      <c r="U227" s="163" t="str">
        <f t="shared" ca="1" si="27"/>
        <v/>
      </c>
      <c r="V227" s="164" t="str">
        <f ca="1">IF(AND($W227&gt;0,RegimeExecucao="Unitário"),$F227,"")</f>
        <v/>
      </c>
      <c r="W227" s="454">
        <f ca="1">IF($Y227&gt;0,CHOOSE(MATCH(RegimeExecucao,{"Unitário","Global"},0),IF($A227="S",$Y227/$X227,""),($Y227/$X227)*100),0)</f>
        <v>0</v>
      </c>
      <c r="X227" s="339" t="str">
        <f ca="1">IF($Y227&gt;0,CHOOSE(MATCH(RegimeExecucao,{"Unitário","Global"},0),IF($A227="S",ROUND($H227,ORÇAMENTO!$AF$10),""),ROUND($I227,ORÇAMENTO!$AF$11)),"")</f>
        <v/>
      </c>
      <c r="Y227" s="339">
        <f t="shared" ca="1" si="28"/>
        <v>0</v>
      </c>
      <c r="Z227" s="473"/>
      <c r="AB227" s="337"/>
      <c r="AC227" s="437"/>
      <c r="AD227" s="437"/>
      <c r="AE227" s="437"/>
      <c r="AF227" s="437"/>
      <c r="AG227" s="437"/>
      <c r="AH227" s="437"/>
      <c r="AI227" s="437"/>
      <c r="AJ227" s="437"/>
      <c r="AK227" s="437"/>
      <c r="AL227" s="437"/>
      <c r="AM227" s="338"/>
      <c r="AO227">
        <f ca="1">IF($A227="S",IF(BM!$I227=0,0,CHOOSE(MATCH(RegimeExecucao,{"Global","Unitário"},0),ROUND(ROUND(BM.MEDAcumulado,15-13*BM!$A$9)/100*BM!$I227,15-13*ORÇAMENTO!$AF$11),ROUND(ROUND(BM.MEDAcumulado,15-13*BM!$A$9)*ROUND(BM!$H227,15-13*ORÇAMENTO!$AF$10),15-13*ORÇAMENTO!$AF$11))),IF($A227=0,0,ROUND(SomaAgrupBM,15-13*ORÇAMENTO!$AF$11)))</f>
        <v>0</v>
      </c>
    </row>
    <row r="228" spans="1:41" ht="25.5" x14ac:dyDescent="0.2">
      <c r="A228" t="str">
        <f ca="1">ORÇAMENTO!C228</f>
        <v>S</v>
      </c>
      <c r="B228">
        <f ca="1">ORÇAMENTO!D228</f>
        <v>0</v>
      </c>
      <c r="C228" s="114" t="str">
        <f t="shared" ca="1" si="22"/>
        <v>F</v>
      </c>
      <c r="D228" s="117" t="str">
        <f ca="1">ORÇAMENTO!O228</f>
        <v>1.6.2.0.4.</v>
      </c>
      <c r="E228" s="163" t="str">
        <f t="shared" ca="1" si="23"/>
        <v>CONJUNTO PARAFUSO, PORCA E ARRUELA 3/4 - C = 1.3/4" - BASEADO EM AGESUL (1201008354)</v>
      </c>
      <c r="F228" s="164" t="str">
        <f ca="1">IF(RegimeExecucao="Global","",ORÇAMENTO.Unidade)</f>
        <v>CJ</v>
      </c>
      <c r="G228" s="122">
        <f ca="1">IF(RegimeExecucao="Global","",ORÇAMENTO!T228)</f>
        <v>75</v>
      </c>
      <c r="H228" s="122">
        <f ca="1">IF(RegimeExecucao="Global","",ORÇAMENTO!W228)</f>
        <v>17.54</v>
      </c>
      <c r="I228" s="125">
        <f ca="1">ORÇAMENTO!X228</f>
        <v>1315.5</v>
      </c>
      <c r="J228" s="333" cm="1">
        <f t="array" aca="1" ref="J228" ca="1">_xlfn.SINGLE(IF($A228="S",IF(CAIXA.Modo,BM.AFAnterior,BM.MEDAnterior),IF(AND(_xlfn.SINGLE(RegimeExecucao)="Global",$I228&gt;0,COUNTIF($AB$13:$AM$13,BM.medicao-1)&gt;0),M228/$I228*100,0)))</f>
        <v>0</v>
      </c>
      <c r="K228" s="122">
        <f t="shared" ca="1" si="24"/>
        <v>0</v>
      </c>
      <c r="L228" s="334" cm="1">
        <f t="array" aca="1" ref="L228" ca="1">_xlfn.SINGLE(IF($A228="S",IF(CAIXA.Modo,BM.AFAcumulado,BM.MEDAcumulado),IF(AND(_xlfn.SINGLE(RegimeExecucao)="Global",$I228&gt;0,COUNTIF($AB$13:$AM$13,BM.medicao)&gt;0),O228/$I228*100,0)))</f>
        <v>0</v>
      </c>
      <c r="M228" s="335">
        <f ca="1">IF($A228="S",VTOTALBM,IF($A228=0,0,ROUND(SomaAgrupBM,15-13*ORÇAMENTO!$AF$11)))</f>
        <v>0</v>
      </c>
      <c r="N228" s="336">
        <f t="shared" ca="1" si="25"/>
        <v>0</v>
      </c>
      <c r="O228" s="125">
        <f ca="1">IF($A228="S",VTOTALBM,IF($A228=0,0,ROUND(SomaAgrupBM,15-13*ORÇAMENTO!$AF$11)))</f>
        <v>0</v>
      </c>
      <c r="Q228" s="337"/>
      <c r="R228" s="338"/>
      <c r="T228" s="117" t="str">
        <f t="shared" ca="1" si="26"/>
        <v/>
      </c>
      <c r="U228" s="163" t="str">
        <f t="shared" ca="1" si="27"/>
        <v/>
      </c>
      <c r="V228" s="164" t="str">
        <f ca="1">IF(AND($W228&gt;0,RegimeExecucao="Unitário"),$F228,"")</f>
        <v/>
      </c>
      <c r="W228" s="454">
        <f ca="1">IF($Y228&gt;0,CHOOSE(MATCH(RegimeExecucao,{"Unitário","Global"},0),IF($A228="S",$Y228/$X228,""),($Y228/$X228)*100),0)</f>
        <v>0</v>
      </c>
      <c r="X228" s="339" t="str">
        <f ca="1">IF($Y228&gt;0,CHOOSE(MATCH(RegimeExecucao,{"Unitário","Global"},0),IF($A228="S",ROUND($H228,ORÇAMENTO!$AF$10),""),ROUND($I228,ORÇAMENTO!$AF$11)),"")</f>
        <v/>
      </c>
      <c r="Y228" s="339">
        <f t="shared" ca="1" si="28"/>
        <v>0</v>
      </c>
      <c r="Z228" s="473"/>
      <c r="AB228" s="337"/>
      <c r="AC228" s="437"/>
      <c r="AD228" s="437"/>
      <c r="AE228" s="437"/>
      <c r="AF228" s="437"/>
      <c r="AG228" s="437"/>
      <c r="AH228" s="437"/>
      <c r="AI228" s="437"/>
      <c r="AJ228" s="437"/>
      <c r="AK228" s="437"/>
      <c r="AL228" s="437"/>
      <c r="AM228" s="338"/>
      <c r="AO228">
        <f ca="1">IF($A228="S",IF(BM!$I228=0,0,CHOOSE(MATCH(RegimeExecucao,{"Global","Unitário"},0),ROUND(ROUND(BM.MEDAcumulado,15-13*BM!$A$9)/100*BM!$I228,15-13*ORÇAMENTO!$AF$11),ROUND(ROUND(BM.MEDAcumulado,15-13*BM!$A$9)*ROUND(BM!$H228,15-13*ORÇAMENTO!$AF$10),15-13*ORÇAMENTO!$AF$11))),IF($A228=0,0,ROUND(SomaAgrupBM,15-13*ORÇAMENTO!$AF$11)))</f>
        <v>0</v>
      </c>
    </row>
    <row r="229" spans="1:41" ht="25.5" x14ac:dyDescent="0.2">
      <c r="A229" t="str">
        <f ca="1">ORÇAMENTO!C229</f>
        <v>S</v>
      </c>
      <c r="B229">
        <f ca="1">ORÇAMENTO!D229</f>
        <v>0</v>
      </c>
      <c r="C229" s="114" t="str">
        <f t="shared" ca="1" si="22"/>
        <v>F</v>
      </c>
      <c r="D229" s="117" t="str">
        <f ca="1">ORÇAMENTO!O229</f>
        <v>1.6.2.0.5.</v>
      </c>
      <c r="E229" s="163" t="str">
        <f t="shared" ca="1" si="23"/>
        <v>CONJUNTO PARAFUSO, PORCA E ARRUELA 1/2 - C = 3" - BASEADO EM AGESUL (1201008354)</v>
      </c>
      <c r="F229" s="164" t="str">
        <f ca="1">IF(RegimeExecucao="Global","",ORÇAMENTO.Unidade)</f>
        <v>CJ</v>
      </c>
      <c r="G229" s="122">
        <f ca="1">IF(RegimeExecucao="Global","",ORÇAMENTO!T229)</f>
        <v>25</v>
      </c>
      <c r="H229" s="122">
        <f ca="1">IF(RegimeExecucao="Global","",ORÇAMENTO!W229)</f>
        <v>12.67</v>
      </c>
      <c r="I229" s="125">
        <f ca="1">ORÇAMENTO!X229</f>
        <v>316.75</v>
      </c>
      <c r="J229" s="333" cm="1">
        <f t="array" aca="1" ref="J229" ca="1">_xlfn.SINGLE(IF($A229="S",IF(CAIXA.Modo,BM.AFAnterior,BM.MEDAnterior),IF(AND(_xlfn.SINGLE(RegimeExecucao)="Global",$I229&gt;0,COUNTIF($AB$13:$AM$13,BM.medicao-1)&gt;0),M229/$I229*100,0)))</f>
        <v>0</v>
      </c>
      <c r="K229" s="122">
        <f t="shared" ca="1" si="24"/>
        <v>0</v>
      </c>
      <c r="L229" s="334" cm="1">
        <f t="array" aca="1" ref="L229" ca="1">_xlfn.SINGLE(IF($A229="S",IF(CAIXA.Modo,BM.AFAcumulado,BM.MEDAcumulado),IF(AND(_xlfn.SINGLE(RegimeExecucao)="Global",$I229&gt;0,COUNTIF($AB$13:$AM$13,BM.medicao)&gt;0),O229/$I229*100,0)))</f>
        <v>0</v>
      </c>
      <c r="M229" s="335">
        <f ca="1">IF($A229="S",VTOTALBM,IF($A229=0,0,ROUND(SomaAgrupBM,15-13*ORÇAMENTO!$AF$11)))</f>
        <v>0</v>
      </c>
      <c r="N229" s="336">
        <f t="shared" ca="1" si="25"/>
        <v>0</v>
      </c>
      <c r="O229" s="125">
        <f ca="1">IF($A229="S",VTOTALBM,IF($A229=0,0,ROUND(SomaAgrupBM,15-13*ORÇAMENTO!$AF$11)))</f>
        <v>0</v>
      </c>
      <c r="Q229" s="337"/>
      <c r="R229" s="338"/>
      <c r="T229" s="117" t="str">
        <f t="shared" ca="1" si="26"/>
        <v/>
      </c>
      <c r="U229" s="163" t="str">
        <f t="shared" ca="1" si="27"/>
        <v/>
      </c>
      <c r="V229" s="164" t="str">
        <f ca="1">IF(AND($W229&gt;0,RegimeExecucao="Unitário"),$F229,"")</f>
        <v/>
      </c>
      <c r="W229" s="454">
        <f ca="1">IF($Y229&gt;0,CHOOSE(MATCH(RegimeExecucao,{"Unitário","Global"},0),IF($A229="S",$Y229/$X229,""),($Y229/$X229)*100),0)</f>
        <v>0</v>
      </c>
      <c r="X229" s="339" t="str">
        <f ca="1">IF($Y229&gt;0,CHOOSE(MATCH(RegimeExecucao,{"Unitário","Global"},0),IF($A229="S",ROUND($H229,ORÇAMENTO!$AF$10),""),ROUND($I229,ORÇAMENTO!$AF$11)),"")</f>
        <v/>
      </c>
      <c r="Y229" s="339">
        <f t="shared" ca="1" si="28"/>
        <v>0</v>
      </c>
      <c r="Z229" s="473"/>
      <c r="AB229" s="337"/>
      <c r="AC229" s="437"/>
      <c r="AD229" s="437"/>
      <c r="AE229" s="437"/>
      <c r="AF229" s="437"/>
      <c r="AG229" s="437"/>
      <c r="AH229" s="437"/>
      <c r="AI229" s="437"/>
      <c r="AJ229" s="437"/>
      <c r="AK229" s="437"/>
      <c r="AL229" s="437"/>
      <c r="AM229" s="338"/>
      <c r="AO229">
        <f ca="1">IF($A229="S",IF(BM!$I229=0,0,CHOOSE(MATCH(RegimeExecucao,{"Global","Unitário"},0),ROUND(ROUND(BM.MEDAcumulado,15-13*BM!$A$9)/100*BM!$I229,15-13*ORÇAMENTO!$AF$11),ROUND(ROUND(BM.MEDAcumulado,15-13*BM!$A$9)*ROUND(BM!$H229,15-13*ORÇAMENTO!$AF$10),15-13*ORÇAMENTO!$AF$11))),IF($A229=0,0,ROUND(SomaAgrupBM,15-13*ORÇAMENTO!$AF$11)))</f>
        <v>0</v>
      </c>
    </row>
    <row r="230" spans="1:41" ht="25.5" x14ac:dyDescent="0.2">
      <c r="A230" t="str">
        <f ca="1">ORÇAMENTO!C230</f>
        <v>S</v>
      </c>
      <c r="B230">
        <f ca="1">ORÇAMENTO!D230</f>
        <v>0</v>
      </c>
      <c r="C230" s="114" t="str">
        <f t="shared" ca="1" si="22"/>
        <v>F</v>
      </c>
      <c r="D230" s="117" t="str">
        <f ca="1">ORÇAMENTO!O230</f>
        <v>1.6.2.0.6.</v>
      </c>
      <c r="E230" s="163" t="str">
        <f t="shared" ca="1" si="23"/>
        <v>CONJUNTO PARAFUSO, PORCA E ARRUELA 1/2 - C = 2" - BASEADO EM AGESUL (1201008354)</v>
      </c>
      <c r="F230" s="164" t="str">
        <f ca="1">IF(RegimeExecucao="Global","",ORÇAMENTO.Unidade)</f>
        <v>CJ</v>
      </c>
      <c r="G230" s="122">
        <f ca="1">IF(RegimeExecucao="Global","",ORÇAMENTO!T230)</f>
        <v>185</v>
      </c>
      <c r="H230" s="122">
        <f ca="1">IF(RegimeExecucao="Global","",ORÇAMENTO!W230)</f>
        <v>11.56</v>
      </c>
      <c r="I230" s="125">
        <f ca="1">ORÇAMENTO!X230</f>
        <v>2138.6</v>
      </c>
      <c r="J230" s="333" cm="1">
        <f t="array" aca="1" ref="J230" ca="1">_xlfn.SINGLE(IF($A230="S",IF(CAIXA.Modo,BM.AFAnterior,BM.MEDAnterior),IF(AND(_xlfn.SINGLE(RegimeExecucao)="Global",$I230&gt;0,COUNTIF($AB$13:$AM$13,BM.medicao-1)&gt;0),M230/$I230*100,0)))</f>
        <v>0</v>
      </c>
      <c r="K230" s="122">
        <f t="shared" ca="1" si="24"/>
        <v>0</v>
      </c>
      <c r="L230" s="334" cm="1">
        <f t="array" aca="1" ref="L230" ca="1">_xlfn.SINGLE(IF($A230="S",IF(CAIXA.Modo,BM.AFAcumulado,BM.MEDAcumulado),IF(AND(_xlfn.SINGLE(RegimeExecucao)="Global",$I230&gt;0,COUNTIF($AB$13:$AM$13,BM.medicao)&gt;0),O230/$I230*100,0)))</f>
        <v>0</v>
      </c>
      <c r="M230" s="335">
        <f ca="1">IF($A230="S",VTOTALBM,IF($A230=0,0,ROUND(SomaAgrupBM,15-13*ORÇAMENTO!$AF$11)))</f>
        <v>0</v>
      </c>
      <c r="N230" s="336">
        <f t="shared" ca="1" si="25"/>
        <v>0</v>
      </c>
      <c r="O230" s="125">
        <f ca="1">IF($A230="S",VTOTALBM,IF($A230=0,0,ROUND(SomaAgrupBM,15-13*ORÇAMENTO!$AF$11)))</f>
        <v>0</v>
      </c>
      <c r="Q230" s="337"/>
      <c r="R230" s="338"/>
      <c r="T230" s="117" t="str">
        <f t="shared" ca="1" si="26"/>
        <v/>
      </c>
      <c r="U230" s="163" t="str">
        <f t="shared" ca="1" si="27"/>
        <v/>
      </c>
      <c r="V230" s="164" t="str">
        <f ca="1">IF(AND($W230&gt;0,RegimeExecucao="Unitário"),$F230,"")</f>
        <v/>
      </c>
      <c r="W230" s="454">
        <f ca="1">IF($Y230&gt;0,CHOOSE(MATCH(RegimeExecucao,{"Unitário","Global"},0),IF($A230="S",$Y230/$X230,""),($Y230/$X230)*100),0)</f>
        <v>0</v>
      </c>
      <c r="X230" s="339" t="str">
        <f ca="1">IF($Y230&gt;0,CHOOSE(MATCH(RegimeExecucao,{"Unitário","Global"},0),IF($A230="S",ROUND($H230,ORÇAMENTO!$AF$10),""),ROUND($I230,ORÇAMENTO!$AF$11)),"")</f>
        <v/>
      </c>
      <c r="Y230" s="339">
        <f t="shared" ca="1" si="28"/>
        <v>0</v>
      </c>
      <c r="Z230" s="473"/>
      <c r="AB230" s="337"/>
      <c r="AC230" s="437"/>
      <c r="AD230" s="437"/>
      <c r="AE230" s="437"/>
      <c r="AF230" s="437"/>
      <c r="AG230" s="437"/>
      <c r="AH230" s="437"/>
      <c r="AI230" s="437"/>
      <c r="AJ230" s="437"/>
      <c r="AK230" s="437"/>
      <c r="AL230" s="437"/>
      <c r="AM230" s="338"/>
      <c r="AO230">
        <f ca="1">IF($A230="S",IF(BM!$I230=0,0,CHOOSE(MATCH(RegimeExecucao,{"Global","Unitário"},0),ROUND(ROUND(BM.MEDAcumulado,15-13*BM!$A$9)/100*BM!$I230,15-13*ORÇAMENTO!$AF$11),ROUND(ROUND(BM.MEDAcumulado,15-13*BM!$A$9)*ROUND(BM!$H230,15-13*ORÇAMENTO!$AF$10),15-13*ORÇAMENTO!$AF$11))),IF($A230=0,0,ROUND(SomaAgrupBM,15-13*ORÇAMENTO!$AF$11)))</f>
        <v>0</v>
      </c>
    </row>
    <row r="231" spans="1:41" ht="25.5" x14ac:dyDescent="0.2">
      <c r="A231" t="str">
        <f ca="1">ORÇAMENTO!C231</f>
        <v>S</v>
      </c>
      <c r="B231">
        <f ca="1">ORÇAMENTO!D231</f>
        <v>0</v>
      </c>
      <c r="C231" s="114" t="str">
        <f t="shared" ca="1" si="22"/>
        <v>F</v>
      </c>
      <c r="D231" s="117" t="str">
        <f ca="1">ORÇAMENTO!O231</f>
        <v>1.6.2.0.7.</v>
      </c>
      <c r="E231" s="163" t="str">
        <f t="shared" ca="1" si="23"/>
        <v>CONJUNTO PARAFUSO, PORCA E ARRUELA 1/2 - C = 1.3/4" - BASEADO EM AGESUL (1201008354)</v>
      </c>
      <c r="F231" s="164" t="str">
        <f ca="1">IF(RegimeExecucao="Global","",ORÇAMENTO.Unidade)</f>
        <v>CJ</v>
      </c>
      <c r="G231" s="122">
        <f ca="1">IF(RegimeExecucao="Global","",ORÇAMENTO!T231)</f>
        <v>15</v>
      </c>
      <c r="H231" s="122">
        <f ca="1">IF(RegimeExecucao="Global","",ORÇAMENTO!W231)</f>
        <v>11.25</v>
      </c>
      <c r="I231" s="125">
        <f ca="1">ORÇAMENTO!X231</f>
        <v>168.75</v>
      </c>
      <c r="J231" s="333" cm="1">
        <f t="array" aca="1" ref="J231" ca="1">_xlfn.SINGLE(IF($A231="S",IF(CAIXA.Modo,BM.AFAnterior,BM.MEDAnterior),IF(AND(_xlfn.SINGLE(RegimeExecucao)="Global",$I231&gt;0,COUNTIF($AB$13:$AM$13,BM.medicao-1)&gt;0),M231/$I231*100,0)))</f>
        <v>0</v>
      </c>
      <c r="K231" s="122">
        <f t="shared" ca="1" si="24"/>
        <v>0</v>
      </c>
      <c r="L231" s="334" cm="1">
        <f t="array" aca="1" ref="L231" ca="1">_xlfn.SINGLE(IF($A231="S",IF(CAIXA.Modo,BM.AFAcumulado,BM.MEDAcumulado),IF(AND(_xlfn.SINGLE(RegimeExecucao)="Global",$I231&gt;0,COUNTIF($AB$13:$AM$13,BM.medicao)&gt;0),O231/$I231*100,0)))</f>
        <v>0</v>
      </c>
      <c r="M231" s="335">
        <f ca="1">IF($A231="S",VTOTALBM,IF($A231=0,0,ROUND(SomaAgrupBM,15-13*ORÇAMENTO!$AF$11)))</f>
        <v>0</v>
      </c>
      <c r="N231" s="336">
        <f t="shared" ca="1" si="25"/>
        <v>0</v>
      </c>
      <c r="O231" s="125">
        <f ca="1">IF($A231="S",VTOTALBM,IF($A231=0,0,ROUND(SomaAgrupBM,15-13*ORÇAMENTO!$AF$11)))</f>
        <v>0</v>
      </c>
      <c r="Q231" s="337"/>
      <c r="R231" s="338"/>
      <c r="T231" s="117" t="str">
        <f t="shared" ca="1" si="26"/>
        <v/>
      </c>
      <c r="U231" s="163" t="str">
        <f t="shared" ca="1" si="27"/>
        <v/>
      </c>
      <c r="V231" s="164" t="str">
        <f ca="1">IF(AND($W231&gt;0,RegimeExecucao="Unitário"),$F231,"")</f>
        <v/>
      </c>
      <c r="W231" s="454">
        <f ca="1">IF($Y231&gt;0,CHOOSE(MATCH(RegimeExecucao,{"Unitário","Global"},0),IF($A231="S",$Y231/$X231,""),($Y231/$X231)*100),0)</f>
        <v>0</v>
      </c>
      <c r="X231" s="339" t="str">
        <f ca="1">IF($Y231&gt;0,CHOOSE(MATCH(RegimeExecucao,{"Unitário","Global"},0),IF($A231="S",ROUND($H231,ORÇAMENTO!$AF$10),""),ROUND($I231,ORÇAMENTO!$AF$11)),"")</f>
        <v/>
      </c>
      <c r="Y231" s="339">
        <f t="shared" ca="1" si="28"/>
        <v>0</v>
      </c>
      <c r="Z231" s="473"/>
      <c r="AB231" s="337"/>
      <c r="AC231" s="437"/>
      <c r="AD231" s="437"/>
      <c r="AE231" s="437"/>
      <c r="AF231" s="437"/>
      <c r="AG231" s="437"/>
      <c r="AH231" s="437"/>
      <c r="AI231" s="437"/>
      <c r="AJ231" s="437"/>
      <c r="AK231" s="437"/>
      <c r="AL231" s="437"/>
      <c r="AM231" s="338"/>
      <c r="AO231">
        <f ca="1">IF($A231="S",IF(BM!$I231=0,0,CHOOSE(MATCH(RegimeExecucao,{"Global","Unitário"},0),ROUND(ROUND(BM.MEDAcumulado,15-13*BM!$A$9)/100*BM!$I231,15-13*ORÇAMENTO!$AF$11),ROUND(ROUND(BM.MEDAcumulado,15-13*BM!$A$9)*ROUND(BM!$H231,15-13*ORÇAMENTO!$AF$10),15-13*ORÇAMENTO!$AF$11))),IF($A231=0,0,ROUND(SomaAgrupBM,15-13*ORÇAMENTO!$AF$11)))</f>
        <v>0</v>
      </c>
    </row>
    <row r="232" spans="1:41" ht="25.5" x14ac:dyDescent="0.2">
      <c r="A232" t="str">
        <f ca="1">ORÇAMENTO!C232</f>
        <v>S</v>
      </c>
      <c r="B232">
        <f ca="1">ORÇAMENTO!D232</f>
        <v>0</v>
      </c>
      <c r="C232" s="114" t="str">
        <f t="shared" ca="1" si="22"/>
        <v>F</v>
      </c>
      <c r="D232" s="117" t="str">
        <f ca="1">ORÇAMENTO!O232</f>
        <v>1.6.2.0.8.</v>
      </c>
      <c r="E232" s="163" t="str">
        <f t="shared" ca="1" si="23"/>
        <v>CONJUNTO PORCA E ARRUELA 5/8 - BASEADO EM AGESUL (1201008354)</v>
      </c>
      <c r="F232" s="164" t="str">
        <f ca="1">IF(RegimeExecucao="Global","",ORÇAMENTO.Unidade)</f>
        <v>CJ</v>
      </c>
      <c r="G232" s="122">
        <f ca="1">IF(RegimeExecucao="Global","",ORÇAMENTO!T232)</f>
        <v>52</v>
      </c>
      <c r="H232" s="122">
        <f ca="1">IF(RegimeExecucao="Global","",ORÇAMENTO!W232)</f>
        <v>9.16</v>
      </c>
      <c r="I232" s="125">
        <f ca="1">ORÇAMENTO!X232</f>
        <v>476.32</v>
      </c>
      <c r="J232" s="333" cm="1">
        <f t="array" aca="1" ref="J232" ca="1">_xlfn.SINGLE(IF($A232="S",IF(CAIXA.Modo,BM.AFAnterior,BM.MEDAnterior),IF(AND(_xlfn.SINGLE(RegimeExecucao)="Global",$I232&gt;0,COUNTIF($AB$13:$AM$13,BM.medicao-1)&gt;0),M232/$I232*100,0)))</f>
        <v>0</v>
      </c>
      <c r="K232" s="122">
        <f t="shared" ca="1" si="24"/>
        <v>0</v>
      </c>
      <c r="L232" s="334" cm="1">
        <f t="array" aca="1" ref="L232" ca="1">_xlfn.SINGLE(IF($A232="S",IF(CAIXA.Modo,BM.AFAcumulado,BM.MEDAcumulado),IF(AND(_xlfn.SINGLE(RegimeExecucao)="Global",$I232&gt;0,COUNTIF($AB$13:$AM$13,BM.medicao)&gt;0),O232/$I232*100,0)))</f>
        <v>0</v>
      </c>
      <c r="M232" s="335">
        <f ca="1">IF($A232="S",VTOTALBM,IF($A232=0,0,ROUND(SomaAgrupBM,15-13*ORÇAMENTO!$AF$11)))</f>
        <v>0</v>
      </c>
      <c r="N232" s="336">
        <f t="shared" ca="1" si="25"/>
        <v>0</v>
      </c>
      <c r="O232" s="125">
        <f ca="1">IF($A232="S",VTOTALBM,IF($A232=0,0,ROUND(SomaAgrupBM,15-13*ORÇAMENTO!$AF$11)))</f>
        <v>0</v>
      </c>
      <c r="Q232" s="337"/>
      <c r="R232" s="338"/>
      <c r="T232" s="117" t="str">
        <f t="shared" ca="1" si="26"/>
        <v/>
      </c>
      <c r="U232" s="163" t="str">
        <f t="shared" ca="1" si="27"/>
        <v/>
      </c>
      <c r="V232" s="164" t="str">
        <f ca="1">IF(AND($W232&gt;0,RegimeExecucao="Unitário"),$F232,"")</f>
        <v/>
      </c>
      <c r="W232" s="454">
        <f ca="1">IF($Y232&gt;0,CHOOSE(MATCH(RegimeExecucao,{"Unitário","Global"},0),IF($A232="S",$Y232/$X232,""),($Y232/$X232)*100),0)</f>
        <v>0</v>
      </c>
      <c r="X232" s="339" t="str">
        <f ca="1">IF($Y232&gt;0,CHOOSE(MATCH(RegimeExecucao,{"Unitário","Global"},0),IF($A232="S",ROUND($H232,ORÇAMENTO!$AF$10),""),ROUND($I232,ORÇAMENTO!$AF$11)),"")</f>
        <v/>
      </c>
      <c r="Y232" s="339">
        <f t="shared" ca="1" si="28"/>
        <v>0</v>
      </c>
      <c r="Z232" s="473"/>
      <c r="AB232" s="337"/>
      <c r="AC232" s="437"/>
      <c r="AD232" s="437"/>
      <c r="AE232" s="437"/>
      <c r="AF232" s="437"/>
      <c r="AG232" s="437"/>
      <c r="AH232" s="437"/>
      <c r="AI232" s="437"/>
      <c r="AJ232" s="437"/>
      <c r="AK232" s="437"/>
      <c r="AL232" s="437"/>
      <c r="AM232" s="338"/>
      <c r="AO232">
        <f ca="1">IF($A232="S",IF(BM!$I232=0,0,CHOOSE(MATCH(RegimeExecucao,{"Global","Unitário"},0),ROUND(ROUND(BM.MEDAcumulado,15-13*BM!$A$9)/100*BM!$I232,15-13*ORÇAMENTO!$AF$11),ROUND(ROUND(BM.MEDAcumulado,15-13*BM!$A$9)*ROUND(BM!$H232,15-13*ORÇAMENTO!$AF$10),15-13*ORÇAMENTO!$AF$11))),IF($A232=0,0,ROUND(SomaAgrupBM,15-13*ORÇAMENTO!$AF$11)))</f>
        <v>0</v>
      </c>
    </row>
    <row r="233" spans="1:41" ht="38.25" x14ac:dyDescent="0.2">
      <c r="A233" t="str">
        <f ca="1">ORÇAMENTO!C233</f>
        <v>S</v>
      </c>
      <c r="B233">
        <f ca="1">ORÇAMENTO!D233</f>
        <v>0</v>
      </c>
      <c r="C233" s="114" t="str">
        <f t="shared" ca="1" si="22"/>
        <v>F</v>
      </c>
      <c r="D233" s="117" t="str">
        <f ca="1">ORÇAMENTO!O233</f>
        <v>1.6.2.0.9.</v>
      </c>
      <c r="E233" s="163" t="str">
        <f t="shared" ca="1" si="23"/>
        <v>PINTURA ESMALTE BASE SOLVENTE EM ESTRUTURA METÁLICA, DUAS (2) DEMÃOS, COM APLICAÇÃO MANUAL, INCLUSIVE UMA (1) DEMÃO FUNDO GALVANIZADO</v>
      </c>
      <c r="F233" s="164" t="str">
        <f ca="1">IF(RegimeExecucao="Global","",ORÇAMENTO.Unidade)</f>
        <v>M2</v>
      </c>
      <c r="G233" s="122">
        <f ca="1">IF(RegimeExecucao="Global","",ORÇAMENTO!T233)</f>
        <v>169.95</v>
      </c>
      <c r="H233" s="122">
        <f ca="1">IF(RegimeExecucao="Global","",ORÇAMENTO!W233)</f>
        <v>44.31</v>
      </c>
      <c r="I233" s="125">
        <f ca="1">ORÇAMENTO!X233</f>
        <v>7530.48</v>
      </c>
      <c r="J233" s="333" cm="1">
        <f t="array" aca="1" ref="J233" ca="1">_xlfn.SINGLE(IF($A233="S",IF(CAIXA.Modo,BM.AFAnterior,BM.MEDAnterior),IF(AND(_xlfn.SINGLE(RegimeExecucao)="Global",$I233&gt;0,COUNTIF($AB$13:$AM$13,BM.medicao-1)&gt;0),M233/$I233*100,0)))</f>
        <v>0</v>
      </c>
      <c r="K233" s="122">
        <f t="shared" ca="1" si="24"/>
        <v>0</v>
      </c>
      <c r="L233" s="334" cm="1">
        <f t="array" aca="1" ref="L233" ca="1">_xlfn.SINGLE(IF($A233="S",IF(CAIXA.Modo,BM.AFAcumulado,BM.MEDAcumulado),IF(AND(_xlfn.SINGLE(RegimeExecucao)="Global",$I233&gt;0,COUNTIF($AB$13:$AM$13,BM.medicao)&gt;0),O233/$I233*100,0)))</f>
        <v>0</v>
      </c>
      <c r="M233" s="335">
        <f ca="1">IF($A233="S",VTOTALBM,IF($A233=0,0,ROUND(SomaAgrupBM,15-13*ORÇAMENTO!$AF$11)))</f>
        <v>0</v>
      </c>
      <c r="N233" s="336">
        <f t="shared" ca="1" si="25"/>
        <v>0</v>
      </c>
      <c r="O233" s="125">
        <f ca="1">IF($A233="S",VTOTALBM,IF($A233=0,0,ROUND(SomaAgrupBM,15-13*ORÇAMENTO!$AF$11)))</f>
        <v>0</v>
      </c>
      <c r="Q233" s="337"/>
      <c r="R233" s="338"/>
      <c r="T233" s="117" t="str">
        <f t="shared" ca="1" si="26"/>
        <v/>
      </c>
      <c r="U233" s="163" t="str">
        <f t="shared" ca="1" si="27"/>
        <v/>
      </c>
      <c r="V233" s="164" t="str">
        <f ca="1">IF(AND($W233&gt;0,RegimeExecucao="Unitário"),$F233,"")</f>
        <v/>
      </c>
      <c r="W233" s="454">
        <f ca="1">IF($Y233&gt;0,CHOOSE(MATCH(RegimeExecucao,{"Unitário","Global"},0),IF($A233="S",$Y233/$X233,""),($Y233/$X233)*100),0)</f>
        <v>0</v>
      </c>
      <c r="X233" s="339" t="str">
        <f ca="1">IF($Y233&gt;0,CHOOSE(MATCH(RegimeExecucao,{"Unitário","Global"},0),IF($A233="S",ROUND($H233,ORÇAMENTO!$AF$10),""),ROUND($I233,ORÇAMENTO!$AF$11)),"")</f>
        <v/>
      </c>
      <c r="Y233" s="339">
        <f t="shared" ca="1" si="28"/>
        <v>0</v>
      </c>
      <c r="Z233" s="473"/>
      <c r="AB233" s="337"/>
      <c r="AC233" s="437"/>
      <c r="AD233" s="437"/>
      <c r="AE233" s="437"/>
      <c r="AF233" s="437"/>
      <c r="AG233" s="437"/>
      <c r="AH233" s="437"/>
      <c r="AI233" s="437"/>
      <c r="AJ233" s="437"/>
      <c r="AK233" s="437"/>
      <c r="AL233" s="437"/>
      <c r="AM233" s="338"/>
      <c r="AO233">
        <f ca="1">IF($A233="S",IF(BM!$I233=0,0,CHOOSE(MATCH(RegimeExecucao,{"Global","Unitário"},0),ROUND(ROUND(BM.MEDAcumulado,15-13*BM!$A$9)/100*BM!$I233,15-13*ORÇAMENTO!$AF$11),ROUND(ROUND(BM.MEDAcumulado,15-13*BM!$A$9)*ROUND(BM!$H233,15-13*ORÇAMENTO!$AF$10),15-13*ORÇAMENTO!$AF$11))),IF($A233=0,0,ROUND(SomaAgrupBM,15-13*ORÇAMENTO!$AF$11)))</f>
        <v>0</v>
      </c>
    </row>
    <row r="234" spans="1:41" ht="25.5" x14ac:dyDescent="0.2">
      <c r="A234" t="str">
        <f ca="1">ORÇAMENTO!C234</f>
        <v>S</v>
      </c>
      <c r="B234">
        <f ca="1">ORÇAMENTO!D234</f>
        <v>0</v>
      </c>
      <c r="C234" s="114" t="str">
        <f t="shared" ca="1" si="22"/>
        <v>F</v>
      </c>
      <c r="D234" s="117" t="str">
        <f ca="1">ORÇAMENTO!O234</f>
        <v>1.6.2.0.10.</v>
      </c>
      <c r="E234" s="163" t="str">
        <f t="shared" ca="1" si="23"/>
        <v>TELHAMENTO COM TELHA METÁLICA TERMOACÚSTICA E = 30 MM, COM ATÉ 2 ÁGUAS, INCLUSO IÇAMENTO. AF_07/2019</v>
      </c>
      <c r="F234" s="164" t="str">
        <f ca="1">IF(RegimeExecucao="Global","",ORÇAMENTO.Unidade)</f>
        <v>M2</v>
      </c>
      <c r="G234" s="122">
        <f ca="1">IF(RegimeExecucao="Global","",ORÇAMENTO!T234)</f>
        <v>42.21</v>
      </c>
      <c r="H234" s="122">
        <f ca="1">IF(RegimeExecucao="Global","",ORÇAMENTO!W234)</f>
        <v>202.74</v>
      </c>
      <c r="I234" s="125">
        <f ca="1">ORÇAMENTO!X234</f>
        <v>8557.66</v>
      </c>
      <c r="J234" s="333" cm="1">
        <f t="array" aca="1" ref="J234" ca="1">_xlfn.SINGLE(IF($A234="S",IF(CAIXA.Modo,BM.AFAnterior,BM.MEDAnterior),IF(AND(_xlfn.SINGLE(RegimeExecucao)="Global",$I234&gt;0,COUNTIF($AB$13:$AM$13,BM.medicao-1)&gt;0),M234/$I234*100,0)))</f>
        <v>0</v>
      </c>
      <c r="K234" s="122">
        <f t="shared" ca="1" si="24"/>
        <v>0</v>
      </c>
      <c r="L234" s="334" cm="1">
        <f t="array" aca="1" ref="L234" ca="1">_xlfn.SINGLE(IF($A234="S",IF(CAIXA.Modo,BM.AFAcumulado,BM.MEDAcumulado),IF(AND(_xlfn.SINGLE(RegimeExecucao)="Global",$I234&gt;0,COUNTIF($AB$13:$AM$13,BM.medicao)&gt;0),O234/$I234*100,0)))</f>
        <v>0</v>
      </c>
      <c r="M234" s="335">
        <f ca="1">IF($A234="S",VTOTALBM,IF($A234=0,0,ROUND(SomaAgrupBM,15-13*ORÇAMENTO!$AF$11)))</f>
        <v>0</v>
      </c>
      <c r="N234" s="336">
        <f t="shared" ca="1" si="25"/>
        <v>0</v>
      </c>
      <c r="O234" s="125">
        <f ca="1">IF($A234="S",VTOTALBM,IF($A234=0,0,ROUND(SomaAgrupBM,15-13*ORÇAMENTO!$AF$11)))</f>
        <v>0</v>
      </c>
      <c r="Q234" s="337"/>
      <c r="R234" s="338"/>
      <c r="T234" s="117" t="str">
        <f t="shared" ca="1" si="26"/>
        <v/>
      </c>
      <c r="U234" s="163" t="str">
        <f t="shared" ca="1" si="27"/>
        <v/>
      </c>
      <c r="V234" s="164" t="str">
        <f ca="1">IF(AND($W234&gt;0,RegimeExecucao="Unitário"),$F234,"")</f>
        <v/>
      </c>
      <c r="W234" s="454">
        <f ca="1">IF($Y234&gt;0,CHOOSE(MATCH(RegimeExecucao,{"Unitário","Global"},0),IF($A234="S",$Y234/$X234,""),($Y234/$X234)*100),0)</f>
        <v>0</v>
      </c>
      <c r="X234" s="339" t="str">
        <f ca="1">IF($Y234&gt;0,CHOOSE(MATCH(RegimeExecucao,{"Unitário","Global"},0),IF($A234="S",ROUND($H234,ORÇAMENTO!$AF$10),""),ROUND($I234,ORÇAMENTO!$AF$11)),"")</f>
        <v/>
      </c>
      <c r="Y234" s="339">
        <f t="shared" ca="1" si="28"/>
        <v>0</v>
      </c>
      <c r="Z234" s="473"/>
      <c r="AB234" s="337"/>
      <c r="AC234" s="437"/>
      <c r="AD234" s="437"/>
      <c r="AE234" s="437"/>
      <c r="AF234" s="437"/>
      <c r="AG234" s="437"/>
      <c r="AH234" s="437"/>
      <c r="AI234" s="437"/>
      <c r="AJ234" s="437"/>
      <c r="AK234" s="437"/>
      <c r="AL234" s="437"/>
      <c r="AM234" s="338"/>
      <c r="AO234">
        <f ca="1">IF($A234="S",IF(BM!$I234=0,0,CHOOSE(MATCH(RegimeExecucao,{"Global","Unitário"},0),ROUND(ROUND(BM.MEDAcumulado,15-13*BM!$A$9)/100*BM!$I234,15-13*ORÇAMENTO!$AF$11),ROUND(ROUND(BM.MEDAcumulado,15-13*BM!$A$9)*ROUND(BM!$H234,15-13*ORÇAMENTO!$AF$10),15-13*ORÇAMENTO!$AF$11))),IF($A234=0,0,ROUND(SomaAgrupBM,15-13*ORÇAMENTO!$AF$11)))</f>
        <v>0</v>
      </c>
    </row>
    <row r="235" spans="1:41" x14ac:dyDescent="0.2">
      <c r="A235">
        <f ca="1">ORÇAMENTO!C235</f>
        <v>3</v>
      </c>
      <c r="B235">
        <f ca="1">ORÇAMENTO!D235</f>
        <v>9</v>
      </c>
      <c r="C235" s="114" t="str">
        <f t="shared" ca="1" si="22"/>
        <v>F</v>
      </c>
      <c r="D235" s="117" t="str">
        <f ca="1">ORÇAMENTO!O235</f>
        <v>1.6.3.</v>
      </c>
      <c r="E235" s="163" t="str">
        <f t="shared" si="23"/>
        <v>COBERTURA 03</v>
      </c>
      <c r="F235" s="164" t="str">
        <f ca="1">IF(RegimeExecucao="Global","",ORÇAMENTO.Unidade)</f>
        <v>-</v>
      </c>
      <c r="G235" s="122">
        <f ca="1">IF(RegimeExecucao="Global","",ORÇAMENTO!T235)</f>
        <v>0</v>
      </c>
      <c r="H235" s="122">
        <f ca="1">IF(RegimeExecucao="Global","",ORÇAMENTO!W235)</f>
        <v>0</v>
      </c>
      <c r="I235" s="125">
        <f ca="1">ORÇAMENTO!X235</f>
        <v>27216.78</v>
      </c>
      <c r="J235" s="333" cm="1">
        <f t="array" aca="1" ref="J235" ca="1">_xlfn.SINGLE(IF($A235="S",IF(CAIXA.Modo,BM.AFAnterior,BM.MEDAnterior),IF(AND(_xlfn.SINGLE(RegimeExecucao)="Global",$I235&gt;0,COUNTIF($AB$13:$AM$13,BM.medicao-1)&gt;0),M235/$I235*100,0)))</f>
        <v>0</v>
      </c>
      <c r="K235" s="122">
        <f t="shared" ca="1" si="24"/>
        <v>0</v>
      </c>
      <c r="L235" s="334" cm="1">
        <f t="array" aca="1" ref="L235" ca="1">_xlfn.SINGLE(IF($A235="S",IF(CAIXA.Modo,BM.AFAcumulado,BM.MEDAcumulado),IF(AND(_xlfn.SINGLE(RegimeExecucao)="Global",$I235&gt;0,COUNTIF($AB$13:$AM$13,BM.medicao)&gt;0),O235/$I235*100,0)))</f>
        <v>0</v>
      </c>
      <c r="M235" s="335">
        <f ca="1">IF($A235="S",VTOTALBM,IF($A235=0,0,ROUND(SomaAgrupBM,15-13*ORÇAMENTO!$AF$11)))</f>
        <v>0</v>
      </c>
      <c r="N235" s="336">
        <f t="shared" ca="1" si="25"/>
        <v>0</v>
      </c>
      <c r="O235" s="125">
        <f ca="1">IF($A235="S",VTOTALBM,IF($A235=0,0,ROUND(SomaAgrupBM,15-13*ORÇAMENTO!$AF$11)))</f>
        <v>0</v>
      </c>
      <c r="Q235" s="337"/>
      <c r="R235" s="338"/>
      <c r="T235" s="117" t="str">
        <f t="shared" ca="1" si="26"/>
        <v/>
      </c>
      <c r="U235" s="163" t="str">
        <f t="shared" ca="1" si="27"/>
        <v/>
      </c>
      <c r="V235" s="164" t="str">
        <f ca="1">IF(AND($W235&gt;0,RegimeExecucao="Unitário"),$F235,"")</f>
        <v/>
      </c>
      <c r="W235" s="454">
        <f ca="1">IF($Y235&gt;0,CHOOSE(MATCH(RegimeExecucao,{"Unitário","Global"},0),IF($A235="S",$Y235/$X235,""),($Y235/$X235)*100),0)</f>
        <v>0</v>
      </c>
      <c r="X235" s="339" t="str">
        <f ca="1">IF($Y235&gt;0,CHOOSE(MATCH(RegimeExecucao,{"Unitário","Global"},0),IF($A235="S",ROUND($H235,ORÇAMENTO!$AF$10),""),ROUND($I235,ORÇAMENTO!$AF$11)),"")</f>
        <v/>
      </c>
      <c r="Y235" s="339">
        <f t="shared" ca="1" si="28"/>
        <v>0</v>
      </c>
      <c r="Z235" s="473"/>
      <c r="AB235" s="337"/>
      <c r="AC235" s="437"/>
      <c r="AD235" s="437"/>
      <c r="AE235" s="437"/>
      <c r="AF235" s="437"/>
      <c r="AG235" s="437"/>
      <c r="AH235" s="437"/>
      <c r="AI235" s="437"/>
      <c r="AJ235" s="437"/>
      <c r="AK235" s="437"/>
      <c r="AL235" s="437"/>
      <c r="AM235" s="338"/>
      <c r="AO235">
        <f ca="1">IF($A235="S",IF(BM!$I235=0,0,CHOOSE(MATCH(RegimeExecucao,{"Global","Unitário"},0),ROUND(ROUND(BM.MEDAcumulado,15-13*BM!$A$9)/100*BM!$I235,15-13*ORÇAMENTO!$AF$11),ROUND(ROUND(BM.MEDAcumulado,15-13*BM!$A$9)*ROUND(BM!$H235,15-13*ORÇAMENTO!$AF$10),15-13*ORÇAMENTO!$AF$11))),IF($A235=0,0,ROUND(SomaAgrupBM,15-13*ORÇAMENTO!$AF$11)))</f>
        <v>0</v>
      </c>
    </row>
    <row r="236" spans="1:41" ht="51" x14ac:dyDescent="0.2">
      <c r="A236" t="str">
        <f ca="1">ORÇAMENTO!C236</f>
        <v>S</v>
      </c>
      <c r="B236">
        <f ca="1">ORÇAMENTO!D236</f>
        <v>0</v>
      </c>
      <c r="C236" s="114" t="str">
        <f t="shared" ca="1" si="22"/>
        <v>F</v>
      </c>
      <c r="D236" s="117" t="str">
        <f ca="1">ORÇAMENTO!O236</f>
        <v>1.6.3.0.1.</v>
      </c>
      <c r="E236" s="163" t="str">
        <f t="shared" ca="1" si="23"/>
        <v>FORNECIMENTO DE ESTRUTURA METÁLICA EM PERFIL LAMINADO, INCLUSIVE FABRICAÇÃO, TRANSPORTE, MONTAGEM E APLICAÇÃO DE FUNDO PREPARADOR ANTICORROSIVO EM SUPERFÍCIE METÁLICA, UMA (1) DEMÃO</v>
      </c>
      <c r="F236" s="164" t="str">
        <f ca="1">IF(RegimeExecucao="Global","",ORÇAMENTO.Unidade)</f>
        <v>KG</v>
      </c>
      <c r="G236" s="122">
        <f ca="1">IF(RegimeExecucao="Global","",ORÇAMENTO!T236)</f>
        <v>517.79999999999995</v>
      </c>
      <c r="H236" s="122">
        <f ca="1">IF(RegimeExecucao="Global","",ORÇAMENTO!W236)</f>
        <v>31.21</v>
      </c>
      <c r="I236" s="125">
        <f ca="1">ORÇAMENTO!X236</f>
        <v>16160.54</v>
      </c>
      <c r="J236" s="333" cm="1">
        <f t="array" aca="1" ref="J236" ca="1">_xlfn.SINGLE(IF($A236="S",IF(CAIXA.Modo,BM.AFAnterior,BM.MEDAnterior),IF(AND(_xlfn.SINGLE(RegimeExecucao)="Global",$I236&gt;0,COUNTIF($AB$13:$AM$13,BM.medicao-1)&gt;0),M236/$I236*100,0)))</f>
        <v>0</v>
      </c>
      <c r="K236" s="122">
        <f t="shared" ca="1" si="24"/>
        <v>0</v>
      </c>
      <c r="L236" s="334" cm="1">
        <f t="array" aca="1" ref="L236" ca="1">_xlfn.SINGLE(IF($A236="S",IF(CAIXA.Modo,BM.AFAcumulado,BM.MEDAcumulado),IF(AND(_xlfn.SINGLE(RegimeExecucao)="Global",$I236&gt;0,COUNTIF($AB$13:$AM$13,BM.medicao)&gt;0),O236/$I236*100,0)))</f>
        <v>0</v>
      </c>
      <c r="M236" s="335">
        <f ca="1">IF($A236="S",VTOTALBM,IF($A236=0,0,ROUND(SomaAgrupBM,15-13*ORÇAMENTO!$AF$11)))</f>
        <v>0</v>
      </c>
      <c r="N236" s="336">
        <f t="shared" ca="1" si="25"/>
        <v>0</v>
      </c>
      <c r="O236" s="125">
        <f ca="1">IF($A236="S",VTOTALBM,IF($A236=0,0,ROUND(SomaAgrupBM,15-13*ORÇAMENTO!$AF$11)))</f>
        <v>0</v>
      </c>
      <c r="Q236" s="337"/>
      <c r="R236" s="338"/>
      <c r="T236" s="117" t="str">
        <f t="shared" ca="1" si="26"/>
        <v/>
      </c>
      <c r="U236" s="163" t="str">
        <f t="shared" ca="1" si="27"/>
        <v/>
      </c>
      <c r="V236" s="164" t="str">
        <f ca="1">IF(AND($W236&gt;0,RegimeExecucao="Unitário"),$F236,"")</f>
        <v/>
      </c>
      <c r="W236" s="454">
        <f ca="1">IF($Y236&gt;0,CHOOSE(MATCH(RegimeExecucao,{"Unitário","Global"},0),IF($A236="S",$Y236/$X236,""),($Y236/$X236)*100),0)</f>
        <v>0</v>
      </c>
      <c r="X236" s="339" t="str">
        <f ca="1">IF($Y236&gt;0,CHOOSE(MATCH(RegimeExecucao,{"Unitário","Global"},0),IF($A236="S",ROUND($H236,ORÇAMENTO!$AF$10),""),ROUND($I236,ORÇAMENTO!$AF$11)),"")</f>
        <v/>
      </c>
      <c r="Y236" s="339">
        <f t="shared" ca="1" si="28"/>
        <v>0</v>
      </c>
      <c r="Z236" s="473"/>
      <c r="AB236" s="337"/>
      <c r="AC236" s="437"/>
      <c r="AD236" s="437"/>
      <c r="AE236" s="437"/>
      <c r="AF236" s="437"/>
      <c r="AG236" s="437"/>
      <c r="AH236" s="437"/>
      <c r="AI236" s="437"/>
      <c r="AJ236" s="437"/>
      <c r="AK236" s="437"/>
      <c r="AL236" s="437"/>
      <c r="AM236" s="338"/>
      <c r="AO236">
        <f ca="1">IF($A236="S",IF(BM!$I236=0,0,CHOOSE(MATCH(RegimeExecucao,{"Global","Unitário"},0),ROUND(ROUND(BM.MEDAcumulado,15-13*BM!$A$9)/100*BM!$I236,15-13*ORÇAMENTO!$AF$11),ROUND(ROUND(BM.MEDAcumulado,15-13*BM!$A$9)*ROUND(BM!$H236,15-13*ORÇAMENTO!$AF$10),15-13*ORÇAMENTO!$AF$11))),IF($A236=0,0,ROUND(SomaAgrupBM,15-13*ORÇAMENTO!$AF$11)))</f>
        <v>0</v>
      </c>
    </row>
    <row r="237" spans="1:41" ht="25.5" x14ac:dyDescent="0.2">
      <c r="A237" t="str">
        <f ca="1">ORÇAMENTO!C237</f>
        <v>S</v>
      </c>
      <c r="B237">
        <f ca="1">ORÇAMENTO!D237</f>
        <v>0</v>
      </c>
      <c r="C237" s="114" t="str">
        <f t="shared" ca="1" si="22"/>
        <v>F</v>
      </c>
      <c r="D237" s="117" t="str">
        <f ca="1">ORÇAMENTO!O237</f>
        <v>1.6.3.0.2.</v>
      </c>
      <c r="E237" s="163" t="str">
        <f t="shared" ca="1" si="23"/>
        <v>PARAFUSO AUTO-BROCANTE 12-14X3.1/2, FORNECIMENTO E INSTALAÇÃO - BASEADO EM ORSE (11035)</v>
      </c>
      <c r="F237" s="164" t="str">
        <f ca="1">IF(RegimeExecucao="Global","",ORÇAMENTO.Unidade)</f>
        <v>UN</v>
      </c>
      <c r="G237" s="122">
        <f ca="1">IF(RegimeExecucao="Global","",ORÇAMENTO!T237)</f>
        <v>132</v>
      </c>
      <c r="H237" s="122">
        <f ca="1">IF(RegimeExecucao="Global","",ORÇAMENTO!W237)</f>
        <v>2.17</v>
      </c>
      <c r="I237" s="125">
        <f ca="1">ORÇAMENTO!X237</f>
        <v>286.44</v>
      </c>
      <c r="J237" s="333" cm="1">
        <f t="array" aca="1" ref="J237" ca="1">_xlfn.SINGLE(IF($A237="S",IF(CAIXA.Modo,BM.AFAnterior,BM.MEDAnterior),IF(AND(_xlfn.SINGLE(RegimeExecucao)="Global",$I237&gt;0,COUNTIF($AB$13:$AM$13,BM.medicao-1)&gt;0),M237/$I237*100,0)))</f>
        <v>0</v>
      </c>
      <c r="K237" s="122">
        <f t="shared" ca="1" si="24"/>
        <v>0</v>
      </c>
      <c r="L237" s="334" cm="1">
        <f t="array" aca="1" ref="L237" ca="1">_xlfn.SINGLE(IF($A237="S",IF(CAIXA.Modo,BM.AFAcumulado,BM.MEDAcumulado),IF(AND(_xlfn.SINGLE(RegimeExecucao)="Global",$I237&gt;0,COUNTIF($AB$13:$AM$13,BM.medicao)&gt;0),O237/$I237*100,0)))</f>
        <v>0</v>
      </c>
      <c r="M237" s="335">
        <f ca="1">IF($A237="S",VTOTALBM,IF($A237=0,0,ROUND(SomaAgrupBM,15-13*ORÇAMENTO!$AF$11)))</f>
        <v>0</v>
      </c>
      <c r="N237" s="336">
        <f t="shared" ca="1" si="25"/>
        <v>0</v>
      </c>
      <c r="O237" s="125">
        <f ca="1">IF($A237="S",VTOTALBM,IF($A237=0,0,ROUND(SomaAgrupBM,15-13*ORÇAMENTO!$AF$11)))</f>
        <v>0</v>
      </c>
      <c r="Q237" s="337"/>
      <c r="R237" s="338"/>
      <c r="T237" s="117" t="str">
        <f t="shared" ca="1" si="26"/>
        <v/>
      </c>
      <c r="U237" s="163" t="str">
        <f t="shared" ca="1" si="27"/>
        <v/>
      </c>
      <c r="V237" s="164" t="str">
        <f ca="1">IF(AND($W237&gt;0,RegimeExecucao="Unitário"),$F237,"")</f>
        <v/>
      </c>
      <c r="W237" s="454">
        <f ca="1">IF($Y237&gt;0,CHOOSE(MATCH(RegimeExecucao,{"Unitário","Global"},0),IF($A237="S",$Y237/$X237,""),($Y237/$X237)*100),0)</f>
        <v>0</v>
      </c>
      <c r="X237" s="339" t="str">
        <f ca="1">IF($Y237&gt;0,CHOOSE(MATCH(RegimeExecucao,{"Unitário","Global"},0),IF($A237="S",ROUND($H237,ORÇAMENTO!$AF$10),""),ROUND($I237,ORÇAMENTO!$AF$11)),"")</f>
        <v/>
      </c>
      <c r="Y237" s="339">
        <f t="shared" ca="1" si="28"/>
        <v>0</v>
      </c>
      <c r="Z237" s="473"/>
      <c r="AB237" s="337"/>
      <c r="AC237" s="437"/>
      <c r="AD237" s="437"/>
      <c r="AE237" s="437"/>
      <c r="AF237" s="437"/>
      <c r="AG237" s="437"/>
      <c r="AH237" s="437"/>
      <c r="AI237" s="437"/>
      <c r="AJ237" s="437"/>
      <c r="AK237" s="437"/>
      <c r="AL237" s="437"/>
      <c r="AM237" s="338"/>
      <c r="AO237">
        <f ca="1">IF($A237="S",IF(BM!$I237=0,0,CHOOSE(MATCH(RegimeExecucao,{"Global","Unitário"},0),ROUND(ROUND(BM.MEDAcumulado,15-13*BM!$A$9)/100*BM!$I237,15-13*ORÇAMENTO!$AF$11),ROUND(ROUND(BM.MEDAcumulado,15-13*BM!$A$9)*ROUND(BM!$H237,15-13*ORÇAMENTO!$AF$10),15-13*ORÇAMENTO!$AF$11))),IF($A237=0,0,ROUND(SomaAgrupBM,15-13*ORÇAMENTO!$AF$11)))</f>
        <v>0</v>
      </c>
    </row>
    <row r="238" spans="1:41" ht="25.5" x14ac:dyDescent="0.2">
      <c r="A238" t="str">
        <f ca="1">ORÇAMENTO!C238</f>
        <v>S</v>
      </c>
      <c r="B238">
        <f ca="1">ORÇAMENTO!D238</f>
        <v>0</v>
      </c>
      <c r="C238" s="114" t="str">
        <f t="shared" ca="1" si="22"/>
        <v>F</v>
      </c>
      <c r="D238" s="117" t="str">
        <f ca="1">ORÇAMENTO!O238</f>
        <v>1.6.3.0.3.</v>
      </c>
      <c r="E238" s="163" t="str">
        <f t="shared" ca="1" si="23"/>
        <v>PARAFUSO AUTO-BROCANTE 12-14X3/4, FORNECIMENTO E INSTALAÇÃO - BASEADO EM ORSE (11035)</v>
      </c>
      <c r="F238" s="164" t="str">
        <f ca="1">IF(RegimeExecucao="Global","",ORÇAMENTO.Unidade)</f>
        <v>UN</v>
      </c>
      <c r="G238" s="122">
        <f ca="1">IF(RegimeExecucao="Global","",ORÇAMENTO!T238)</f>
        <v>77</v>
      </c>
      <c r="H238" s="122">
        <f ca="1">IF(RegimeExecucao="Global","",ORÇAMENTO!W238)</f>
        <v>1.27</v>
      </c>
      <c r="I238" s="125">
        <f ca="1">ORÇAMENTO!X238</f>
        <v>97.79</v>
      </c>
      <c r="J238" s="333" cm="1">
        <f t="array" aca="1" ref="J238" ca="1">_xlfn.SINGLE(IF($A238="S",IF(CAIXA.Modo,BM.AFAnterior,BM.MEDAnterior),IF(AND(_xlfn.SINGLE(RegimeExecucao)="Global",$I238&gt;0,COUNTIF($AB$13:$AM$13,BM.medicao-1)&gt;0),M238/$I238*100,0)))</f>
        <v>0</v>
      </c>
      <c r="K238" s="122">
        <f t="shared" ca="1" si="24"/>
        <v>0</v>
      </c>
      <c r="L238" s="334" cm="1">
        <f t="array" aca="1" ref="L238" ca="1">_xlfn.SINGLE(IF($A238="S",IF(CAIXA.Modo,BM.AFAcumulado,BM.MEDAcumulado),IF(AND(_xlfn.SINGLE(RegimeExecucao)="Global",$I238&gt;0,COUNTIF($AB$13:$AM$13,BM.medicao)&gt;0),O238/$I238*100,0)))</f>
        <v>0</v>
      </c>
      <c r="M238" s="335">
        <f ca="1">IF($A238="S",VTOTALBM,IF($A238=0,0,ROUND(SomaAgrupBM,15-13*ORÇAMENTO!$AF$11)))</f>
        <v>0</v>
      </c>
      <c r="N238" s="336">
        <f t="shared" ca="1" si="25"/>
        <v>0</v>
      </c>
      <c r="O238" s="125">
        <f ca="1">IF($A238="S",VTOTALBM,IF($A238=0,0,ROUND(SomaAgrupBM,15-13*ORÇAMENTO!$AF$11)))</f>
        <v>0</v>
      </c>
      <c r="Q238" s="337"/>
      <c r="R238" s="338"/>
      <c r="T238" s="117" t="str">
        <f t="shared" ca="1" si="26"/>
        <v/>
      </c>
      <c r="U238" s="163" t="str">
        <f t="shared" ca="1" si="27"/>
        <v/>
      </c>
      <c r="V238" s="164" t="str">
        <f ca="1">IF(AND($W238&gt;0,RegimeExecucao="Unitário"),$F238,"")</f>
        <v/>
      </c>
      <c r="W238" s="454">
        <f ca="1">IF($Y238&gt;0,CHOOSE(MATCH(RegimeExecucao,{"Unitário","Global"},0),IF($A238="S",$Y238/$X238,""),($Y238/$X238)*100),0)</f>
        <v>0</v>
      </c>
      <c r="X238" s="339" t="str">
        <f ca="1">IF($Y238&gt;0,CHOOSE(MATCH(RegimeExecucao,{"Unitário","Global"},0),IF($A238="S",ROUND($H238,ORÇAMENTO!$AF$10),""),ROUND($I238,ORÇAMENTO!$AF$11)),"")</f>
        <v/>
      </c>
      <c r="Y238" s="339">
        <f t="shared" ca="1" si="28"/>
        <v>0</v>
      </c>
      <c r="Z238" s="473"/>
      <c r="AB238" s="337"/>
      <c r="AC238" s="437"/>
      <c r="AD238" s="437"/>
      <c r="AE238" s="437"/>
      <c r="AF238" s="437"/>
      <c r="AG238" s="437"/>
      <c r="AH238" s="437"/>
      <c r="AI238" s="437"/>
      <c r="AJ238" s="437"/>
      <c r="AK238" s="437"/>
      <c r="AL238" s="437"/>
      <c r="AM238" s="338"/>
      <c r="AO238">
        <f ca="1">IF($A238="S",IF(BM!$I238=0,0,CHOOSE(MATCH(RegimeExecucao,{"Global","Unitário"},0),ROUND(ROUND(BM.MEDAcumulado,15-13*BM!$A$9)/100*BM!$I238,15-13*ORÇAMENTO!$AF$11),ROUND(ROUND(BM.MEDAcumulado,15-13*BM!$A$9)*ROUND(BM!$H238,15-13*ORÇAMENTO!$AF$10),15-13*ORÇAMENTO!$AF$11))),IF($A238=0,0,ROUND(SomaAgrupBM,15-13*ORÇAMENTO!$AF$11)))</f>
        <v>0</v>
      </c>
    </row>
    <row r="239" spans="1:41" ht="38.25" x14ac:dyDescent="0.2">
      <c r="A239" t="str">
        <f ca="1">ORÇAMENTO!C239</f>
        <v>S</v>
      </c>
      <c r="B239">
        <f ca="1">ORÇAMENTO!D239</f>
        <v>0</v>
      </c>
      <c r="C239" s="114" t="str">
        <f t="shared" ca="1" si="22"/>
        <v>F</v>
      </c>
      <c r="D239" s="117" t="str">
        <f ca="1">ORÇAMENTO!O239</f>
        <v>1.6.3.0.4.</v>
      </c>
      <c r="E239" s="163" t="str">
        <f t="shared" ca="1" si="23"/>
        <v>CHUMBADOR MECÂNICO CB 14200 1/4" X 50MM, COM PORCA E ARRUELA ZINCADOS, FORNECIMENTO E INSTALAÇÃO - BASEADO EM ORSE (9819)</v>
      </c>
      <c r="F239" s="164" t="str">
        <f ca="1">IF(RegimeExecucao="Global","",ORÇAMENTO.Unidade)</f>
        <v>UN</v>
      </c>
      <c r="G239" s="122">
        <f ca="1">IF(RegimeExecucao="Global","",ORÇAMENTO!T239)</f>
        <v>24</v>
      </c>
      <c r="H239" s="122">
        <f ca="1">IF(RegimeExecucao="Global","",ORÇAMENTO!W239)</f>
        <v>2.8</v>
      </c>
      <c r="I239" s="125">
        <f ca="1">ORÇAMENTO!X239</f>
        <v>67.2</v>
      </c>
      <c r="J239" s="333" cm="1">
        <f t="array" aca="1" ref="J239" ca="1">_xlfn.SINGLE(IF($A239="S",IF(CAIXA.Modo,BM.AFAnterior,BM.MEDAnterior),IF(AND(_xlfn.SINGLE(RegimeExecucao)="Global",$I239&gt;0,COUNTIF($AB$13:$AM$13,BM.medicao-1)&gt;0),M239/$I239*100,0)))</f>
        <v>0</v>
      </c>
      <c r="K239" s="122">
        <f t="shared" ca="1" si="24"/>
        <v>0</v>
      </c>
      <c r="L239" s="334" cm="1">
        <f t="array" aca="1" ref="L239" ca="1">_xlfn.SINGLE(IF($A239="S",IF(CAIXA.Modo,BM.AFAcumulado,BM.MEDAcumulado),IF(AND(_xlfn.SINGLE(RegimeExecucao)="Global",$I239&gt;0,COUNTIF($AB$13:$AM$13,BM.medicao)&gt;0),O239/$I239*100,0)))</f>
        <v>0</v>
      </c>
      <c r="M239" s="335">
        <f ca="1">IF($A239="S",VTOTALBM,IF($A239=0,0,ROUND(SomaAgrupBM,15-13*ORÇAMENTO!$AF$11)))</f>
        <v>0</v>
      </c>
      <c r="N239" s="336">
        <f t="shared" ca="1" si="25"/>
        <v>0</v>
      </c>
      <c r="O239" s="125">
        <f ca="1">IF($A239="S",VTOTALBM,IF($A239=0,0,ROUND(SomaAgrupBM,15-13*ORÇAMENTO!$AF$11)))</f>
        <v>0</v>
      </c>
      <c r="Q239" s="337"/>
      <c r="R239" s="338"/>
      <c r="T239" s="117" t="str">
        <f t="shared" ca="1" si="26"/>
        <v/>
      </c>
      <c r="U239" s="163" t="str">
        <f t="shared" ca="1" si="27"/>
        <v/>
      </c>
      <c r="V239" s="164" t="str">
        <f ca="1">IF(AND($W239&gt;0,RegimeExecucao="Unitário"),$F239,"")</f>
        <v/>
      </c>
      <c r="W239" s="454">
        <f ca="1">IF($Y239&gt;0,CHOOSE(MATCH(RegimeExecucao,{"Unitário","Global"},0),IF($A239="S",$Y239/$X239,""),($Y239/$X239)*100),0)</f>
        <v>0</v>
      </c>
      <c r="X239" s="339" t="str">
        <f ca="1">IF($Y239&gt;0,CHOOSE(MATCH(RegimeExecucao,{"Unitário","Global"},0),IF($A239="S",ROUND($H239,ORÇAMENTO!$AF$10),""),ROUND($I239,ORÇAMENTO!$AF$11)),"")</f>
        <v/>
      </c>
      <c r="Y239" s="339">
        <f t="shared" ca="1" si="28"/>
        <v>0</v>
      </c>
      <c r="Z239" s="473"/>
      <c r="AB239" s="337"/>
      <c r="AC239" s="437"/>
      <c r="AD239" s="437"/>
      <c r="AE239" s="437"/>
      <c r="AF239" s="437"/>
      <c r="AG239" s="437"/>
      <c r="AH239" s="437"/>
      <c r="AI239" s="437"/>
      <c r="AJ239" s="437"/>
      <c r="AK239" s="437"/>
      <c r="AL239" s="437"/>
      <c r="AM239" s="338"/>
      <c r="AO239">
        <f ca="1">IF($A239="S",IF(BM!$I239=0,0,CHOOSE(MATCH(RegimeExecucao,{"Global","Unitário"},0),ROUND(ROUND(BM.MEDAcumulado,15-13*BM!$A$9)/100*BM!$I239,15-13*ORÇAMENTO!$AF$11),ROUND(ROUND(BM.MEDAcumulado,15-13*BM!$A$9)*ROUND(BM!$H239,15-13*ORÇAMENTO!$AF$10),15-13*ORÇAMENTO!$AF$11))),IF($A239=0,0,ROUND(SomaAgrupBM,15-13*ORÇAMENTO!$AF$11)))</f>
        <v>0</v>
      </c>
    </row>
    <row r="240" spans="1:41" ht="25.5" x14ac:dyDescent="0.2">
      <c r="A240" t="str">
        <f ca="1">ORÇAMENTO!C240</f>
        <v>S</v>
      </c>
      <c r="B240">
        <f ca="1">ORÇAMENTO!D240</f>
        <v>0</v>
      </c>
      <c r="C240" s="114" t="str">
        <f t="shared" ca="1" si="22"/>
        <v>F</v>
      </c>
      <c r="D240" s="117" t="str">
        <f ca="1">ORÇAMENTO!O240</f>
        <v>1.6.3.0.5.</v>
      </c>
      <c r="E240" s="163" t="str">
        <f t="shared" ca="1" si="23"/>
        <v>CONJUNTO PARAFUSO, PORCA E ARRUELA 3/8 - C = 1.1/4" - BASEADO EM AGESUL (1201008354)</v>
      </c>
      <c r="F240" s="164" t="str">
        <f ca="1">IF(RegimeExecucao="Global","",ORÇAMENTO.Unidade)</f>
        <v>CJ</v>
      </c>
      <c r="G240" s="122">
        <f ca="1">IF(RegimeExecucao="Global","",ORÇAMENTO!T240)</f>
        <v>48</v>
      </c>
      <c r="H240" s="122">
        <f ca="1">IF(RegimeExecucao="Global","",ORÇAMENTO!W240)</f>
        <v>8.6300000000000008</v>
      </c>
      <c r="I240" s="125">
        <f ca="1">ORÇAMENTO!X240</f>
        <v>414.24</v>
      </c>
      <c r="J240" s="333" cm="1">
        <f t="array" aca="1" ref="J240" ca="1">_xlfn.SINGLE(IF($A240="S",IF(CAIXA.Modo,BM.AFAnterior,BM.MEDAnterior),IF(AND(_xlfn.SINGLE(RegimeExecucao)="Global",$I240&gt;0,COUNTIF($AB$13:$AM$13,BM.medicao-1)&gt;0),M240/$I240*100,0)))</f>
        <v>0</v>
      </c>
      <c r="K240" s="122">
        <f t="shared" ca="1" si="24"/>
        <v>0</v>
      </c>
      <c r="L240" s="334" cm="1">
        <f t="array" aca="1" ref="L240" ca="1">_xlfn.SINGLE(IF($A240="S",IF(CAIXA.Modo,BM.AFAcumulado,BM.MEDAcumulado),IF(AND(_xlfn.SINGLE(RegimeExecucao)="Global",$I240&gt;0,COUNTIF($AB$13:$AM$13,BM.medicao)&gt;0),O240/$I240*100,0)))</f>
        <v>0</v>
      </c>
      <c r="M240" s="335">
        <f ca="1">IF($A240="S",VTOTALBM,IF($A240=0,0,ROUND(SomaAgrupBM,15-13*ORÇAMENTO!$AF$11)))</f>
        <v>0</v>
      </c>
      <c r="N240" s="336">
        <f t="shared" ca="1" si="25"/>
        <v>0</v>
      </c>
      <c r="O240" s="125">
        <f ca="1">IF($A240="S",VTOTALBM,IF($A240=0,0,ROUND(SomaAgrupBM,15-13*ORÇAMENTO!$AF$11)))</f>
        <v>0</v>
      </c>
      <c r="Q240" s="337"/>
      <c r="R240" s="338"/>
      <c r="T240" s="117" t="str">
        <f t="shared" ca="1" si="26"/>
        <v/>
      </c>
      <c r="U240" s="163" t="str">
        <f t="shared" ca="1" si="27"/>
        <v/>
      </c>
      <c r="V240" s="164" t="str">
        <f ca="1">IF(AND($W240&gt;0,RegimeExecucao="Unitário"),$F240,"")</f>
        <v/>
      </c>
      <c r="W240" s="454">
        <f ca="1">IF($Y240&gt;0,CHOOSE(MATCH(RegimeExecucao,{"Unitário","Global"},0),IF($A240="S",$Y240/$X240,""),($Y240/$X240)*100),0)</f>
        <v>0</v>
      </c>
      <c r="X240" s="339" t="str">
        <f ca="1">IF($Y240&gt;0,CHOOSE(MATCH(RegimeExecucao,{"Unitário","Global"},0),IF($A240="S",ROUND($H240,ORÇAMENTO!$AF$10),""),ROUND($I240,ORÇAMENTO!$AF$11)),"")</f>
        <v/>
      </c>
      <c r="Y240" s="339">
        <f t="shared" ca="1" si="28"/>
        <v>0</v>
      </c>
      <c r="Z240" s="473"/>
      <c r="AB240" s="337"/>
      <c r="AC240" s="437"/>
      <c r="AD240" s="437"/>
      <c r="AE240" s="437"/>
      <c r="AF240" s="437"/>
      <c r="AG240" s="437"/>
      <c r="AH240" s="437"/>
      <c r="AI240" s="437"/>
      <c r="AJ240" s="437"/>
      <c r="AK240" s="437"/>
      <c r="AL240" s="437"/>
      <c r="AM240" s="338"/>
      <c r="AO240">
        <f ca="1">IF($A240="S",IF(BM!$I240=0,0,CHOOSE(MATCH(RegimeExecucao,{"Global","Unitário"},0),ROUND(ROUND(BM.MEDAcumulado,15-13*BM!$A$9)/100*BM!$I240,15-13*ORÇAMENTO!$AF$11),ROUND(ROUND(BM.MEDAcumulado,15-13*BM!$A$9)*ROUND(BM!$H240,15-13*ORÇAMENTO!$AF$10),15-13*ORÇAMENTO!$AF$11))),IF($A240=0,0,ROUND(SomaAgrupBM,15-13*ORÇAMENTO!$AF$11)))</f>
        <v>0</v>
      </c>
    </row>
    <row r="241" spans="1:41" ht="25.5" x14ac:dyDescent="0.2">
      <c r="A241" t="str">
        <f ca="1">ORÇAMENTO!C241</f>
        <v>S</v>
      </c>
      <c r="B241">
        <f ca="1">ORÇAMENTO!D241</f>
        <v>0</v>
      </c>
      <c r="C241" s="114" t="str">
        <f t="shared" ca="1" si="22"/>
        <v>F</v>
      </c>
      <c r="D241" s="117" t="str">
        <f ca="1">ORÇAMENTO!O241</f>
        <v>1.6.3.0.6.</v>
      </c>
      <c r="E241" s="163" t="str">
        <f t="shared" ca="1" si="23"/>
        <v>CONJUNTO PORCA E ARRUELA 3/8 - BASEADO EM AGESUL (1201008354)</v>
      </c>
      <c r="F241" s="164" t="str">
        <f ca="1">IF(RegimeExecucao="Global","",ORÇAMENTO.Unidade)</f>
        <v>CJ</v>
      </c>
      <c r="G241" s="122">
        <f ca="1">IF(RegimeExecucao="Global","",ORÇAMENTO!T241)</f>
        <v>192</v>
      </c>
      <c r="H241" s="122">
        <f ca="1">IF(RegimeExecucao="Global","",ORÇAMENTO!W241)</f>
        <v>7.62</v>
      </c>
      <c r="I241" s="125">
        <f ca="1">ORÇAMENTO!X241</f>
        <v>1463.04</v>
      </c>
      <c r="J241" s="333" cm="1">
        <f t="array" aca="1" ref="J241" ca="1">_xlfn.SINGLE(IF($A241="S",IF(CAIXA.Modo,BM.AFAnterior,BM.MEDAnterior),IF(AND(_xlfn.SINGLE(RegimeExecucao)="Global",$I241&gt;0,COUNTIF($AB$13:$AM$13,BM.medicao-1)&gt;0),M241/$I241*100,0)))</f>
        <v>0</v>
      </c>
      <c r="K241" s="122">
        <f t="shared" ca="1" si="24"/>
        <v>0</v>
      </c>
      <c r="L241" s="334" cm="1">
        <f t="array" aca="1" ref="L241" ca="1">_xlfn.SINGLE(IF($A241="S",IF(CAIXA.Modo,BM.AFAcumulado,BM.MEDAcumulado),IF(AND(_xlfn.SINGLE(RegimeExecucao)="Global",$I241&gt;0,COUNTIF($AB$13:$AM$13,BM.medicao)&gt;0),O241/$I241*100,0)))</f>
        <v>0</v>
      </c>
      <c r="M241" s="335">
        <f ca="1">IF($A241="S",VTOTALBM,IF($A241=0,0,ROUND(SomaAgrupBM,15-13*ORÇAMENTO!$AF$11)))</f>
        <v>0</v>
      </c>
      <c r="N241" s="336">
        <f t="shared" ca="1" si="25"/>
        <v>0</v>
      </c>
      <c r="O241" s="125">
        <f ca="1">IF($A241="S",VTOTALBM,IF($A241=0,0,ROUND(SomaAgrupBM,15-13*ORÇAMENTO!$AF$11)))</f>
        <v>0</v>
      </c>
      <c r="Q241" s="337"/>
      <c r="R241" s="338"/>
      <c r="T241" s="117" t="str">
        <f t="shared" ca="1" si="26"/>
        <v/>
      </c>
      <c r="U241" s="163" t="str">
        <f t="shared" ca="1" si="27"/>
        <v/>
      </c>
      <c r="V241" s="164" t="str">
        <f ca="1">IF(AND($W241&gt;0,RegimeExecucao="Unitário"),$F241,"")</f>
        <v/>
      </c>
      <c r="W241" s="454">
        <f ca="1">IF($Y241&gt;0,CHOOSE(MATCH(RegimeExecucao,{"Unitário","Global"},0),IF($A241="S",$Y241/$X241,""),($Y241/$X241)*100),0)</f>
        <v>0</v>
      </c>
      <c r="X241" s="339" t="str">
        <f ca="1">IF($Y241&gt;0,CHOOSE(MATCH(RegimeExecucao,{"Unitário","Global"},0),IF($A241="S",ROUND($H241,ORÇAMENTO!$AF$10),""),ROUND($I241,ORÇAMENTO!$AF$11)),"")</f>
        <v/>
      </c>
      <c r="Y241" s="339">
        <f t="shared" ca="1" si="28"/>
        <v>0</v>
      </c>
      <c r="Z241" s="473"/>
      <c r="AB241" s="337"/>
      <c r="AC241" s="437"/>
      <c r="AD241" s="437"/>
      <c r="AE241" s="437"/>
      <c r="AF241" s="437"/>
      <c r="AG241" s="437"/>
      <c r="AH241" s="437"/>
      <c r="AI241" s="437"/>
      <c r="AJ241" s="437"/>
      <c r="AK241" s="437"/>
      <c r="AL241" s="437"/>
      <c r="AM241" s="338"/>
      <c r="AO241">
        <f ca="1">IF($A241="S",IF(BM!$I241=0,0,CHOOSE(MATCH(RegimeExecucao,{"Global","Unitário"},0),ROUND(ROUND(BM.MEDAcumulado,15-13*BM!$A$9)/100*BM!$I241,15-13*ORÇAMENTO!$AF$11),ROUND(ROUND(BM.MEDAcumulado,15-13*BM!$A$9)*ROUND(BM!$H241,15-13*ORÇAMENTO!$AF$10),15-13*ORÇAMENTO!$AF$11))),IF($A241=0,0,ROUND(SomaAgrupBM,15-13*ORÇAMENTO!$AF$11)))</f>
        <v>0</v>
      </c>
    </row>
    <row r="242" spans="1:41" ht="38.25" x14ac:dyDescent="0.2">
      <c r="A242" t="str">
        <f ca="1">ORÇAMENTO!C242</f>
        <v>S</v>
      </c>
      <c r="B242">
        <f ca="1">ORÇAMENTO!D242</f>
        <v>0</v>
      </c>
      <c r="C242" s="114" t="str">
        <f t="shared" ca="1" si="22"/>
        <v>F</v>
      </c>
      <c r="D242" s="117" t="str">
        <f ca="1">ORÇAMENTO!O242</f>
        <v>1.6.3.0.7.</v>
      </c>
      <c r="E242" s="163" t="str">
        <f t="shared" ca="1" si="23"/>
        <v>PINTURA ESMALTE BASE SOLVENTE EM ESTRUTURA METÁLICA, DUAS (2) DEMÃOS, COM APLICAÇÃO MANUAL, INCLUSIVE UMA (1) DEMÃO FUNDO GALVANIZADO</v>
      </c>
      <c r="F242" s="164" t="str">
        <f ca="1">IF(RegimeExecucao="Global","",ORÇAMENTO.Unidade)</f>
        <v>M2</v>
      </c>
      <c r="G242" s="122">
        <f ca="1">IF(RegimeExecucao="Global","",ORÇAMENTO!T242)</f>
        <v>36.64</v>
      </c>
      <c r="H242" s="122">
        <f ca="1">IF(RegimeExecucao="Global","",ORÇAMENTO!W242)</f>
        <v>44.31</v>
      </c>
      <c r="I242" s="125">
        <f ca="1">ORÇAMENTO!X242</f>
        <v>1623.52</v>
      </c>
      <c r="J242" s="333" cm="1">
        <f t="array" aca="1" ref="J242" ca="1">_xlfn.SINGLE(IF($A242="S",IF(CAIXA.Modo,BM.AFAnterior,BM.MEDAnterior),IF(AND(_xlfn.SINGLE(RegimeExecucao)="Global",$I242&gt;0,COUNTIF($AB$13:$AM$13,BM.medicao-1)&gt;0),M242/$I242*100,0)))</f>
        <v>0</v>
      </c>
      <c r="K242" s="122">
        <f t="shared" ca="1" si="24"/>
        <v>0</v>
      </c>
      <c r="L242" s="334" cm="1">
        <f t="array" aca="1" ref="L242" ca="1">_xlfn.SINGLE(IF($A242="S",IF(CAIXA.Modo,BM.AFAcumulado,BM.MEDAcumulado),IF(AND(_xlfn.SINGLE(RegimeExecucao)="Global",$I242&gt;0,COUNTIF($AB$13:$AM$13,BM.medicao)&gt;0),O242/$I242*100,0)))</f>
        <v>0</v>
      </c>
      <c r="M242" s="335">
        <f ca="1">IF($A242="S",VTOTALBM,IF($A242=0,0,ROUND(SomaAgrupBM,15-13*ORÇAMENTO!$AF$11)))</f>
        <v>0</v>
      </c>
      <c r="N242" s="336">
        <f t="shared" ca="1" si="25"/>
        <v>0</v>
      </c>
      <c r="O242" s="125">
        <f ca="1">IF($A242="S",VTOTALBM,IF($A242=0,0,ROUND(SomaAgrupBM,15-13*ORÇAMENTO!$AF$11)))</f>
        <v>0</v>
      </c>
      <c r="Q242" s="337"/>
      <c r="R242" s="338"/>
      <c r="T242" s="117" t="str">
        <f t="shared" ca="1" si="26"/>
        <v/>
      </c>
      <c r="U242" s="163" t="str">
        <f t="shared" ca="1" si="27"/>
        <v/>
      </c>
      <c r="V242" s="164" t="str">
        <f ca="1">IF(AND($W242&gt;0,RegimeExecucao="Unitário"),$F242,"")</f>
        <v/>
      </c>
      <c r="W242" s="454">
        <f ca="1">IF($Y242&gt;0,CHOOSE(MATCH(RegimeExecucao,{"Unitário","Global"},0),IF($A242="S",$Y242/$X242,""),($Y242/$X242)*100),0)</f>
        <v>0</v>
      </c>
      <c r="X242" s="339" t="str">
        <f ca="1">IF($Y242&gt;0,CHOOSE(MATCH(RegimeExecucao,{"Unitário","Global"},0),IF($A242="S",ROUND($H242,ORÇAMENTO!$AF$10),""),ROUND($I242,ORÇAMENTO!$AF$11)),"")</f>
        <v/>
      </c>
      <c r="Y242" s="339">
        <f t="shared" ca="1" si="28"/>
        <v>0</v>
      </c>
      <c r="Z242" s="473"/>
      <c r="AB242" s="337"/>
      <c r="AC242" s="437"/>
      <c r="AD242" s="437"/>
      <c r="AE242" s="437"/>
      <c r="AF242" s="437"/>
      <c r="AG242" s="437"/>
      <c r="AH242" s="437"/>
      <c r="AI242" s="437"/>
      <c r="AJ242" s="437"/>
      <c r="AK242" s="437"/>
      <c r="AL242" s="437"/>
      <c r="AM242" s="338"/>
      <c r="AO242">
        <f ca="1">IF($A242="S",IF(BM!$I242=0,0,CHOOSE(MATCH(RegimeExecucao,{"Global","Unitário"},0),ROUND(ROUND(BM.MEDAcumulado,15-13*BM!$A$9)/100*BM!$I242,15-13*ORÇAMENTO!$AF$11),ROUND(ROUND(BM.MEDAcumulado,15-13*BM!$A$9)*ROUND(BM!$H242,15-13*ORÇAMENTO!$AF$10),15-13*ORÇAMENTO!$AF$11))),IF($A242=0,0,ROUND(SomaAgrupBM,15-13*ORÇAMENTO!$AF$11)))</f>
        <v>0</v>
      </c>
    </row>
    <row r="243" spans="1:41" ht="25.5" x14ac:dyDescent="0.2">
      <c r="A243" t="str">
        <f ca="1">ORÇAMENTO!C243</f>
        <v>S</v>
      </c>
      <c r="B243">
        <f ca="1">ORÇAMENTO!D243</f>
        <v>0</v>
      </c>
      <c r="C243" s="114" t="str">
        <f t="shared" ca="1" si="22"/>
        <v>F</v>
      </c>
      <c r="D243" s="117" t="str">
        <f ca="1">ORÇAMENTO!O243</f>
        <v>1.6.3.0.8.</v>
      </c>
      <c r="E243" s="163" t="str">
        <f t="shared" ca="1" si="23"/>
        <v>TELHAMENTO COM TELHA METÁLICA TERMOACÚSTICA E = 30 MM, COM ATÉ 2 ÁGUAS, INCLUSO IÇAMENTO. AF_07/2019</v>
      </c>
      <c r="F243" s="164" t="str">
        <f ca="1">IF(RegimeExecucao="Global","",ORÇAMENTO.Unidade)</f>
        <v>M2</v>
      </c>
      <c r="G243" s="122">
        <f ca="1">IF(RegimeExecucao="Global","",ORÇAMENTO!T243)</f>
        <v>35.04</v>
      </c>
      <c r="H243" s="122">
        <f ca="1">IF(RegimeExecucao="Global","",ORÇAMENTO!W243)</f>
        <v>202.74</v>
      </c>
      <c r="I243" s="125">
        <f ca="1">ORÇAMENTO!X243</f>
        <v>7104.01</v>
      </c>
      <c r="J243" s="333" cm="1">
        <f t="array" aca="1" ref="J243" ca="1">_xlfn.SINGLE(IF($A243="S",IF(CAIXA.Modo,BM.AFAnterior,BM.MEDAnterior),IF(AND(_xlfn.SINGLE(RegimeExecucao)="Global",$I243&gt;0,COUNTIF($AB$13:$AM$13,BM.medicao-1)&gt;0),M243/$I243*100,0)))</f>
        <v>0</v>
      </c>
      <c r="K243" s="122">
        <f t="shared" ca="1" si="24"/>
        <v>0</v>
      </c>
      <c r="L243" s="334" cm="1">
        <f t="array" aca="1" ref="L243" ca="1">_xlfn.SINGLE(IF($A243="S",IF(CAIXA.Modo,BM.AFAcumulado,BM.MEDAcumulado),IF(AND(_xlfn.SINGLE(RegimeExecucao)="Global",$I243&gt;0,COUNTIF($AB$13:$AM$13,BM.medicao)&gt;0),O243/$I243*100,0)))</f>
        <v>0</v>
      </c>
      <c r="M243" s="335">
        <f ca="1">IF($A243="S",VTOTALBM,IF($A243=0,0,ROUND(SomaAgrupBM,15-13*ORÇAMENTO!$AF$11)))</f>
        <v>0</v>
      </c>
      <c r="N243" s="336">
        <f t="shared" ca="1" si="25"/>
        <v>0</v>
      </c>
      <c r="O243" s="125">
        <f ca="1">IF($A243="S",VTOTALBM,IF($A243=0,0,ROUND(SomaAgrupBM,15-13*ORÇAMENTO!$AF$11)))</f>
        <v>0</v>
      </c>
      <c r="Q243" s="337"/>
      <c r="R243" s="338"/>
      <c r="T243" s="117" t="str">
        <f t="shared" ca="1" si="26"/>
        <v/>
      </c>
      <c r="U243" s="163" t="str">
        <f t="shared" ca="1" si="27"/>
        <v/>
      </c>
      <c r="V243" s="164" t="str">
        <f ca="1">IF(AND($W243&gt;0,RegimeExecucao="Unitário"),$F243,"")</f>
        <v/>
      </c>
      <c r="W243" s="454">
        <f ca="1">IF($Y243&gt;0,CHOOSE(MATCH(RegimeExecucao,{"Unitário","Global"},0),IF($A243="S",$Y243/$X243,""),($Y243/$X243)*100),0)</f>
        <v>0</v>
      </c>
      <c r="X243" s="339" t="str">
        <f ca="1">IF($Y243&gt;0,CHOOSE(MATCH(RegimeExecucao,{"Unitário","Global"},0),IF($A243="S",ROUND($H243,ORÇAMENTO!$AF$10),""),ROUND($I243,ORÇAMENTO!$AF$11)),"")</f>
        <v/>
      </c>
      <c r="Y243" s="339">
        <f t="shared" ca="1" si="28"/>
        <v>0</v>
      </c>
      <c r="Z243" s="473"/>
      <c r="AB243" s="337"/>
      <c r="AC243" s="437"/>
      <c r="AD243" s="437"/>
      <c r="AE243" s="437"/>
      <c r="AF243" s="437"/>
      <c r="AG243" s="437"/>
      <c r="AH243" s="437"/>
      <c r="AI243" s="437"/>
      <c r="AJ243" s="437"/>
      <c r="AK243" s="437"/>
      <c r="AL243" s="437"/>
      <c r="AM243" s="338"/>
      <c r="AO243">
        <f ca="1">IF($A243="S",IF(BM!$I243=0,0,CHOOSE(MATCH(RegimeExecucao,{"Global","Unitário"},0),ROUND(ROUND(BM.MEDAcumulado,15-13*BM!$A$9)/100*BM!$I243,15-13*ORÇAMENTO!$AF$11),ROUND(ROUND(BM.MEDAcumulado,15-13*BM!$A$9)*ROUND(BM!$H243,15-13*ORÇAMENTO!$AF$10),15-13*ORÇAMENTO!$AF$11))),IF($A243=0,0,ROUND(SomaAgrupBM,15-13*ORÇAMENTO!$AF$11)))</f>
        <v>0</v>
      </c>
    </row>
    <row r="244" spans="1:41" x14ac:dyDescent="0.2">
      <c r="A244">
        <f ca="1">ORÇAMENTO!C244</f>
        <v>2</v>
      </c>
      <c r="B244">
        <f ca="1">ORÇAMENTO!D244</f>
        <v>116</v>
      </c>
      <c r="C244" s="114" t="str">
        <f t="shared" ca="1" si="22"/>
        <v>F</v>
      </c>
      <c r="D244" s="117" t="str">
        <f ca="1">ORÇAMENTO!O244</f>
        <v>1.7.</v>
      </c>
      <c r="E244" s="163" t="str">
        <f t="shared" si="23"/>
        <v>SANEAMENTO</v>
      </c>
      <c r="F244" s="164" t="str">
        <f ca="1">IF(RegimeExecucao="Global","",ORÇAMENTO.Unidade)</f>
        <v>-</v>
      </c>
      <c r="G244" s="122">
        <f ca="1">IF(RegimeExecucao="Global","",ORÇAMENTO!T244)</f>
        <v>0</v>
      </c>
      <c r="H244" s="122">
        <f ca="1">IF(RegimeExecucao="Global","",ORÇAMENTO!W244)</f>
        <v>0</v>
      </c>
      <c r="I244" s="125">
        <f ca="1">ORÇAMENTO!X244</f>
        <v>3820032.18</v>
      </c>
      <c r="J244" s="333" cm="1">
        <f t="array" aca="1" ref="J244" ca="1">_xlfn.SINGLE(IF($A244="S",IF(CAIXA.Modo,BM.AFAnterior,BM.MEDAnterior),IF(AND(_xlfn.SINGLE(RegimeExecucao)="Global",$I244&gt;0,COUNTIF($AB$13:$AM$13,BM.medicao-1)&gt;0),M244/$I244*100,0)))</f>
        <v>0</v>
      </c>
      <c r="K244" s="122">
        <f t="shared" ca="1" si="24"/>
        <v>0</v>
      </c>
      <c r="L244" s="334" cm="1">
        <f t="array" aca="1" ref="L244" ca="1">_xlfn.SINGLE(IF($A244="S",IF(CAIXA.Modo,BM.AFAcumulado,BM.MEDAcumulado),IF(AND(_xlfn.SINGLE(RegimeExecucao)="Global",$I244&gt;0,COUNTIF($AB$13:$AM$13,BM.medicao)&gt;0),O244/$I244*100,0)))</f>
        <v>0</v>
      </c>
      <c r="M244" s="335">
        <f ca="1">IF($A244="S",VTOTALBM,IF($A244=0,0,ROUND(SomaAgrupBM,15-13*ORÇAMENTO!$AF$11)))</f>
        <v>0</v>
      </c>
      <c r="N244" s="336">
        <f t="shared" ca="1" si="25"/>
        <v>0</v>
      </c>
      <c r="O244" s="125">
        <f ca="1">IF($A244="S",VTOTALBM,IF($A244=0,0,ROUND(SomaAgrupBM,15-13*ORÇAMENTO!$AF$11)))</f>
        <v>0</v>
      </c>
      <c r="Q244" s="337"/>
      <c r="R244" s="338"/>
      <c r="T244" s="117" t="str">
        <f t="shared" ca="1" si="26"/>
        <v/>
      </c>
      <c r="U244" s="163" t="str">
        <f t="shared" ca="1" si="27"/>
        <v/>
      </c>
      <c r="V244" s="164" t="str">
        <f ca="1">IF(AND($W244&gt;0,RegimeExecucao="Unitário"),$F244,"")</f>
        <v/>
      </c>
      <c r="W244" s="454">
        <f ca="1">IF($Y244&gt;0,CHOOSE(MATCH(RegimeExecucao,{"Unitário","Global"},0),IF($A244="S",$Y244/$X244,""),($Y244/$X244)*100),0)</f>
        <v>0</v>
      </c>
      <c r="X244" s="339" t="str">
        <f ca="1">IF($Y244&gt;0,CHOOSE(MATCH(RegimeExecucao,{"Unitário","Global"},0),IF($A244="S",ROUND($H244,ORÇAMENTO!$AF$10),""),ROUND($I244,ORÇAMENTO!$AF$11)),"")</f>
        <v/>
      </c>
      <c r="Y244" s="339">
        <f t="shared" ca="1" si="28"/>
        <v>0</v>
      </c>
      <c r="Z244" s="473"/>
      <c r="AB244" s="337"/>
      <c r="AC244" s="437"/>
      <c r="AD244" s="437"/>
      <c r="AE244" s="437"/>
      <c r="AF244" s="437"/>
      <c r="AG244" s="437"/>
      <c r="AH244" s="437"/>
      <c r="AI244" s="437"/>
      <c r="AJ244" s="437"/>
      <c r="AK244" s="437"/>
      <c r="AL244" s="437"/>
      <c r="AM244" s="338"/>
      <c r="AO244">
        <f ca="1">IF($A244="S",IF(BM!$I244=0,0,CHOOSE(MATCH(RegimeExecucao,{"Global","Unitário"},0),ROUND(ROUND(BM.MEDAcumulado,15-13*BM!$A$9)/100*BM!$I244,15-13*ORÇAMENTO!$AF$11),ROUND(ROUND(BM.MEDAcumulado,15-13*BM!$A$9)*ROUND(BM!$H244,15-13*ORÇAMENTO!$AF$10),15-13*ORÇAMENTO!$AF$11))),IF($A244=0,0,ROUND(SomaAgrupBM,15-13*ORÇAMENTO!$AF$11)))</f>
        <v>0</v>
      </c>
    </row>
    <row r="245" spans="1:41" x14ac:dyDescent="0.2">
      <c r="A245">
        <f ca="1">ORÇAMENTO!C245</f>
        <v>3</v>
      </c>
      <c r="B245">
        <f ca="1">ORÇAMENTO!D245</f>
        <v>18</v>
      </c>
      <c r="C245" s="114" t="str">
        <f t="shared" ca="1" si="22"/>
        <v>F</v>
      </c>
      <c r="D245" s="117" t="str">
        <f ca="1">ORÇAMENTO!O245</f>
        <v>1.7.1.</v>
      </c>
      <c r="E245" s="163" t="str">
        <f t="shared" si="23"/>
        <v>FILTRO BIOLÓGICO</v>
      </c>
      <c r="F245" s="164" t="str">
        <f ca="1">IF(RegimeExecucao="Global","",ORÇAMENTO.Unidade)</f>
        <v>-</v>
      </c>
      <c r="G245" s="122">
        <f ca="1">IF(RegimeExecucao="Global","",ORÇAMENTO!T245)</f>
        <v>0</v>
      </c>
      <c r="H245" s="122">
        <f ca="1">IF(RegimeExecucao="Global","",ORÇAMENTO!W245)</f>
        <v>0</v>
      </c>
      <c r="I245" s="125">
        <f ca="1">ORÇAMENTO!X245</f>
        <v>822972.16</v>
      </c>
      <c r="J245" s="333" cm="1">
        <f t="array" aca="1" ref="J245" ca="1">_xlfn.SINGLE(IF($A245="S",IF(CAIXA.Modo,BM.AFAnterior,BM.MEDAnterior),IF(AND(_xlfn.SINGLE(RegimeExecucao)="Global",$I245&gt;0,COUNTIF($AB$13:$AM$13,BM.medicao-1)&gt;0),M245/$I245*100,0)))</f>
        <v>0</v>
      </c>
      <c r="K245" s="122">
        <f t="shared" ca="1" si="24"/>
        <v>0</v>
      </c>
      <c r="L245" s="334" cm="1">
        <f t="array" aca="1" ref="L245" ca="1">_xlfn.SINGLE(IF($A245="S",IF(CAIXA.Modo,BM.AFAcumulado,BM.MEDAcumulado),IF(AND(_xlfn.SINGLE(RegimeExecucao)="Global",$I245&gt;0,COUNTIF($AB$13:$AM$13,BM.medicao)&gt;0),O245/$I245*100,0)))</f>
        <v>0</v>
      </c>
      <c r="M245" s="335">
        <f ca="1">IF($A245="S",VTOTALBM,IF($A245=0,0,ROUND(SomaAgrupBM,15-13*ORÇAMENTO!$AF$11)))</f>
        <v>0</v>
      </c>
      <c r="N245" s="336">
        <f t="shared" ca="1" si="25"/>
        <v>0</v>
      </c>
      <c r="O245" s="125">
        <f ca="1">IF($A245="S",VTOTALBM,IF($A245=0,0,ROUND(SomaAgrupBM,15-13*ORÇAMENTO!$AF$11)))</f>
        <v>0</v>
      </c>
      <c r="Q245" s="337"/>
      <c r="R245" s="338"/>
      <c r="T245" s="117" t="str">
        <f t="shared" ca="1" si="26"/>
        <v/>
      </c>
      <c r="U245" s="163" t="str">
        <f t="shared" ca="1" si="27"/>
        <v/>
      </c>
      <c r="V245" s="164" t="str">
        <f ca="1">IF(AND($W245&gt;0,RegimeExecucao="Unitário"),$F245,"")</f>
        <v/>
      </c>
      <c r="W245" s="454">
        <f ca="1">IF($Y245&gt;0,CHOOSE(MATCH(RegimeExecucao,{"Unitário","Global"},0),IF($A245="S",$Y245/$X245,""),($Y245/$X245)*100),0)</f>
        <v>0</v>
      </c>
      <c r="X245" s="339" t="str">
        <f ca="1">IF($Y245&gt;0,CHOOSE(MATCH(RegimeExecucao,{"Unitário","Global"},0),IF($A245="S",ROUND($H245,ORÇAMENTO!$AF$10),""),ROUND($I245,ORÇAMENTO!$AF$11)),"")</f>
        <v/>
      </c>
      <c r="Y245" s="339">
        <f t="shared" ca="1" si="28"/>
        <v>0</v>
      </c>
      <c r="Z245" s="473"/>
      <c r="AB245" s="337"/>
      <c r="AC245" s="437"/>
      <c r="AD245" s="437"/>
      <c r="AE245" s="437"/>
      <c r="AF245" s="437"/>
      <c r="AG245" s="437"/>
      <c r="AH245" s="437"/>
      <c r="AI245" s="437"/>
      <c r="AJ245" s="437"/>
      <c r="AK245" s="437"/>
      <c r="AL245" s="437"/>
      <c r="AM245" s="338"/>
      <c r="AO245">
        <f ca="1">IF($A245="S",IF(BM!$I245=0,0,CHOOSE(MATCH(RegimeExecucao,{"Global","Unitário"},0),ROUND(ROUND(BM.MEDAcumulado,15-13*BM!$A$9)/100*BM!$I245,15-13*ORÇAMENTO!$AF$11),ROUND(ROUND(BM.MEDAcumulado,15-13*BM!$A$9)*ROUND(BM!$H245,15-13*ORÇAMENTO!$AF$10),15-13*ORÇAMENTO!$AF$11))),IF($A245=0,0,ROUND(SomaAgrupBM,15-13*ORÇAMENTO!$AF$11)))</f>
        <v>0</v>
      </c>
    </row>
    <row r="246" spans="1:41" x14ac:dyDescent="0.2">
      <c r="A246">
        <f ca="1">ORÇAMENTO!C246</f>
        <v>4</v>
      </c>
      <c r="B246">
        <f ca="1">ORÇAMENTO!D246</f>
        <v>13</v>
      </c>
      <c r="C246" s="114" t="str">
        <f t="shared" ca="1" si="22"/>
        <v>F</v>
      </c>
      <c r="D246" s="117" t="str">
        <f ca="1">ORÇAMENTO!O246</f>
        <v>1.7.1.1.</v>
      </c>
      <c r="E246" s="163" t="str">
        <f t="shared" si="23"/>
        <v>FORNECIMENTO DE MATERIAIS E EQUIPAMENTOS</v>
      </c>
      <c r="F246" s="164" t="str">
        <f ca="1">IF(RegimeExecucao="Global","",ORÇAMENTO.Unidade)</f>
        <v>-</v>
      </c>
      <c r="G246" s="122">
        <f ca="1">IF(RegimeExecucao="Global","",ORÇAMENTO!T246)</f>
        <v>0</v>
      </c>
      <c r="H246" s="122">
        <f ca="1">IF(RegimeExecucao="Global","",ORÇAMENTO!W246)</f>
        <v>0</v>
      </c>
      <c r="I246" s="125">
        <f ca="1">ORÇAMENTO!X246</f>
        <v>731271.29</v>
      </c>
      <c r="J246" s="333" cm="1">
        <f t="array" aca="1" ref="J246" ca="1">_xlfn.SINGLE(IF($A246="S",IF(CAIXA.Modo,BM.AFAnterior,BM.MEDAnterior),IF(AND(_xlfn.SINGLE(RegimeExecucao)="Global",$I246&gt;0,COUNTIF($AB$13:$AM$13,BM.medicao-1)&gt;0),M246/$I246*100,0)))</f>
        <v>0</v>
      </c>
      <c r="K246" s="122">
        <f t="shared" ca="1" si="24"/>
        <v>0</v>
      </c>
      <c r="L246" s="334" cm="1">
        <f t="array" aca="1" ref="L246" ca="1">_xlfn.SINGLE(IF($A246="S",IF(CAIXA.Modo,BM.AFAcumulado,BM.MEDAcumulado),IF(AND(_xlfn.SINGLE(RegimeExecucao)="Global",$I246&gt;0,COUNTIF($AB$13:$AM$13,BM.medicao)&gt;0),O246/$I246*100,0)))</f>
        <v>0</v>
      </c>
      <c r="M246" s="335">
        <f ca="1">IF($A246="S",VTOTALBM,IF($A246=0,0,ROUND(SomaAgrupBM,15-13*ORÇAMENTO!$AF$11)))</f>
        <v>0</v>
      </c>
      <c r="N246" s="336">
        <f t="shared" ca="1" si="25"/>
        <v>0</v>
      </c>
      <c r="O246" s="125">
        <f ca="1">IF($A246="S",VTOTALBM,IF($A246=0,0,ROUND(SomaAgrupBM,15-13*ORÇAMENTO!$AF$11)))</f>
        <v>0</v>
      </c>
      <c r="Q246" s="337"/>
      <c r="R246" s="338"/>
      <c r="T246" s="117" t="str">
        <f t="shared" ca="1" si="26"/>
        <v/>
      </c>
      <c r="U246" s="163" t="str">
        <f t="shared" ca="1" si="27"/>
        <v/>
      </c>
      <c r="V246" s="164" t="str">
        <f ca="1">IF(AND($W246&gt;0,RegimeExecucao="Unitário"),$F246,"")</f>
        <v/>
      </c>
      <c r="W246" s="454">
        <f ca="1">IF($Y246&gt;0,CHOOSE(MATCH(RegimeExecucao,{"Unitário","Global"},0),IF($A246="S",$Y246/$X246,""),($Y246/$X246)*100),0)</f>
        <v>0</v>
      </c>
      <c r="X246" s="339" t="str">
        <f ca="1">IF($Y246&gt;0,CHOOSE(MATCH(RegimeExecucao,{"Unitário","Global"},0),IF($A246="S",ROUND($H246,ORÇAMENTO!$AF$10),""),ROUND($I246,ORÇAMENTO!$AF$11)),"")</f>
        <v/>
      </c>
      <c r="Y246" s="339">
        <f t="shared" ca="1" si="28"/>
        <v>0</v>
      </c>
      <c r="Z246" s="473"/>
      <c r="AB246" s="337"/>
      <c r="AC246" s="437"/>
      <c r="AD246" s="437"/>
      <c r="AE246" s="437"/>
      <c r="AF246" s="437"/>
      <c r="AG246" s="437"/>
      <c r="AH246" s="437"/>
      <c r="AI246" s="437"/>
      <c r="AJ246" s="437"/>
      <c r="AK246" s="437"/>
      <c r="AL246" s="437"/>
      <c r="AM246" s="338"/>
      <c r="AO246">
        <f ca="1">IF($A246="S",IF(BM!$I246=0,0,CHOOSE(MATCH(RegimeExecucao,{"Global","Unitário"},0),ROUND(ROUND(BM.MEDAcumulado,15-13*BM!$A$9)/100*BM!$I246,15-13*ORÇAMENTO!$AF$11),ROUND(ROUND(BM.MEDAcumulado,15-13*BM!$A$9)*ROUND(BM!$H246,15-13*ORÇAMENTO!$AF$10),15-13*ORÇAMENTO!$AF$11))),IF($A246=0,0,ROUND(SomaAgrupBM,15-13*ORÇAMENTO!$AF$11)))</f>
        <v>0</v>
      </c>
    </row>
    <row r="247" spans="1:41" x14ac:dyDescent="0.2">
      <c r="A247" t="str">
        <f ca="1">ORÇAMENTO!C247</f>
        <v>S</v>
      </c>
      <c r="B247">
        <f ca="1">ORÇAMENTO!D247</f>
        <v>0</v>
      </c>
      <c r="C247" s="114" t="str">
        <f t="shared" ca="1" si="22"/>
        <v>F</v>
      </c>
      <c r="D247" s="117" t="str">
        <f ca="1">ORÇAMENTO!O247</f>
        <v>1.7.1.1.1.</v>
      </c>
      <c r="E247" s="163" t="str">
        <f t="shared" ca="1" si="23"/>
        <v>TÊ COM BOLSAS FoFo - DN 350</v>
      </c>
      <c r="F247" s="164" t="str">
        <f ca="1">IF(RegimeExecucao="Global","",ORÇAMENTO.Unidade)</f>
        <v>UN</v>
      </c>
      <c r="G247" s="122">
        <f ca="1">IF(RegimeExecucao="Global","",ORÇAMENTO!T247)</f>
        <v>1</v>
      </c>
      <c r="H247" s="122">
        <f ca="1">IF(RegimeExecucao="Global","",ORÇAMENTO!W247)</f>
        <v>8682.11</v>
      </c>
      <c r="I247" s="125">
        <f ca="1">ORÇAMENTO!X247</f>
        <v>8682.11</v>
      </c>
      <c r="J247" s="333" cm="1">
        <f t="array" aca="1" ref="J247" ca="1">_xlfn.SINGLE(IF($A247="S",IF(CAIXA.Modo,BM.AFAnterior,BM.MEDAnterior),IF(AND(_xlfn.SINGLE(RegimeExecucao)="Global",$I247&gt;0,COUNTIF($AB$13:$AM$13,BM.medicao-1)&gt;0),M247/$I247*100,0)))</f>
        <v>0</v>
      </c>
      <c r="K247" s="122">
        <f t="shared" ca="1" si="24"/>
        <v>0</v>
      </c>
      <c r="L247" s="334" cm="1">
        <f t="array" aca="1" ref="L247" ca="1">_xlfn.SINGLE(IF($A247="S",IF(CAIXA.Modo,BM.AFAcumulado,BM.MEDAcumulado),IF(AND(_xlfn.SINGLE(RegimeExecucao)="Global",$I247&gt;0,COUNTIF($AB$13:$AM$13,BM.medicao)&gt;0),O247/$I247*100,0)))</f>
        <v>0</v>
      </c>
      <c r="M247" s="335">
        <f ca="1">IF($A247="S",VTOTALBM,IF($A247=0,0,ROUND(SomaAgrupBM,15-13*ORÇAMENTO!$AF$11)))</f>
        <v>0</v>
      </c>
      <c r="N247" s="336">
        <f t="shared" ca="1" si="25"/>
        <v>0</v>
      </c>
      <c r="O247" s="125">
        <f ca="1">IF($A247="S",VTOTALBM,IF($A247=0,0,ROUND(SomaAgrupBM,15-13*ORÇAMENTO!$AF$11)))</f>
        <v>0</v>
      </c>
      <c r="Q247" s="337"/>
      <c r="R247" s="338"/>
      <c r="T247" s="117" t="str">
        <f t="shared" ca="1" si="26"/>
        <v/>
      </c>
      <c r="U247" s="163" t="str">
        <f t="shared" ca="1" si="27"/>
        <v/>
      </c>
      <c r="V247" s="164" t="str">
        <f ca="1">IF(AND($W247&gt;0,RegimeExecucao="Unitário"),$F247,"")</f>
        <v/>
      </c>
      <c r="W247" s="454">
        <f ca="1">IF($Y247&gt;0,CHOOSE(MATCH(RegimeExecucao,{"Unitário","Global"},0),IF($A247="S",$Y247/$X247,""),($Y247/$X247)*100),0)</f>
        <v>0</v>
      </c>
      <c r="X247" s="339" t="str">
        <f ca="1">IF($Y247&gt;0,CHOOSE(MATCH(RegimeExecucao,{"Unitário","Global"},0),IF($A247="S",ROUND($H247,ORÇAMENTO!$AF$10),""),ROUND($I247,ORÇAMENTO!$AF$11)),"")</f>
        <v/>
      </c>
      <c r="Y247" s="339">
        <f t="shared" ca="1" si="28"/>
        <v>0</v>
      </c>
      <c r="Z247" s="473"/>
      <c r="AB247" s="337"/>
      <c r="AC247" s="437"/>
      <c r="AD247" s="437"/>
      <c r="AE247" s="437"/>
      <c r="AF247" s="437"/>
      <c r="AG247" s="437"/>
      <c r="AH247" s="437"/>
      <c r="AI247" s="437"/>
      <c r="AJ247" s="437"/>
      <c r="AK247" s="437"/>
      <c r="AL247" s="437"/>
      <c r="AM247" s="338"/>
      <c r="AO247">
        <f ca="1">IF($A247="S",IF(BM!$I247=0,0,CHOOSE(MATCH(RegimeExecucao,{"Global","Unitário"},0),ROUND(ROUND(BM.MEDAcumulado,15-13*BM!$A$9)/100*BM!$I247,15-13*ORÇAMENTO!$AF$11),ROUND(ROUND(BM.MEDAcumulado,15-13*BM!$A$9)*ROUND(BM!$H247,15-13*ORÇAMENTO!$AF$10),15-13*ORÇAMENTO!$AF$11))),IF($A247=0,0,ROUND(SomaAgrupBM,15-13*ORÇAMENTO!$AF$11)))</f>
        <v>0</v>
      </c>
    </row>
    <row r="248" spans="1:41" x14ac:dyDescent="0.2">
      <c r="A248" t="str">
        <f ca="1">ORÇAMENTO!C248</f>
        <v>S</v>
      </c>
      <c r="B248">
        <f ca="1">ORÇAMENTO!D248</f>
        <v>0</v>
      </c>
      <c r="C248" s="114" t="str">
        <f t="shared" ca="1" si="22"/>
        <v>F</v>
      </c>
      <c r="D248" s="117" t="str">
        <f ca="1">ORÇAMENTO!O248</f>
        <v>1.7.1.1.2.</v>
      </c>
      <c r="E248" s="163" t="str">
        <f t="shared" ca="1" si="23"/>
        <v>TUBO CILÍNDRICO FoFo L=4,70 M - DN 350 MM</v>
      </c>
      <c r="F248" s="164" t="str">
        <f ca="1">IF(RegimeExecucao="Global","",ORÇAMENTO.Unidade)</f>
        <v>UN</v>
      </c>
      <c r="G248" s="122">
        <f ca="1">IF(RegimeExecucao="Global","",ORÇAMENTO!T248)</f>
        <v>1</v>
      </c>
      <c r="H248" s="122">
        <f ca="1">IF(RegimeExecucao="Global","",ORÇAMENTO!W248)</f>
        <v>13041.88</v>
      </c>
      <c r="I248" s="125">
        <f ca="1">ORÇAMENTO!X248</f>
        <v>13041.88</v>
      </c>
      <c r="J248" s="333" cm="1">
        <f t="array" aca="1" ref="J248" ca="1">_xlfn.SINGLE(IF($A248="S",IF(CAIXA.Modo,BM.AFAnterior,BM.MEDAnterior),IF(AND(_xlfn.SINGLE(RegimeExecucao)="Global",$I248&gt;0,COUNTIF($AB$13:$AM$13,BM.medicao-1)&gt;0),M248/$I248*100,0)))</f>
        <v>0</v>
      </c>
      <c r="K248" s="122">
        <f t="shared" ca="1" si="24"/>
        <v>0</v>
      </c>
      <c r="L248" s="334" cm="1">
        <f t="array" aca="1" ref="L248" ca="1">_xlfn.SINGLE(IF($A248="S",IF(CAIXA.Modo,BM.AFAcumulado,BM.MEDAcumulado),IF(AND(_xlfn.SINGLE(RegimeExecucao)="Global",$I248&gt;0,COUNTIF($AB$13:$AM$13,BM.medicao)&gt;0),O248/$I248*100,0)))</f>
        <v>0</v>
      </c>
      <c r="M248" s="335">
        <f ca="1">IF($A248="S",VTOTALBM,IF($A248=0,0,ROUND(SomaAgrupBM,15-13*ORÇAMENTO!$AF$11)))</f>
        <v>0</v>
      </c>
      <c r="N248" s="336">
        <f t="shared" ca="1" si="25"/>
        <v>0</v>
      </c>
      <c r="O248" s="125">
        <f ca="1">IF($A248="S",VTOTALBM,IF($A248=0,0,ROUND(SomaAgrupBM,15-13*ORÇAMENTO!$AF$11)))</f>
        <v>0</v>
      </c>
      <c r="Q248" s="337"/>
      <c r="R248" s="338"/>
      <c r="T248" s="117" t="str">
        <f t="shared" ca="1" si="26"/>
        <v/>
      </c>
      <c r="U248" s="163" t="str">
        <f t="shared" ca="1" si="27"/>
        <v/>
      </c>
      <c r="V248" s="164" t="str">
        <f ca="1">IF(AND($W248&gt;0,RegimeExecucao="Unitário"),$F248,"")</f>
        <v/>
      </c>
      <c r="W248" s="454">
        <f ca="1">IF($Y248&gt;0,CHOOSE(MATCH(RegimeExecucao,{"Unitário","Global"},0),IF($A248="S",$Y248/$X248,""),($Y248/$X248)*100),0)</f>
        <v>0</v>
      </c>
      <c r="X248" s="339" t="str">
        <f ca="1">IF($Y248&gt;0,CHOOSE(MATCH(RegimeExecucao,{"Unitário","Global"},0),IF($A248="S",ROUND($H248,ORÇAMENTO!$AF$10),""),ROUND($I248,ORÇAMENTO!$AF$11)),"")</f>
        <v/>
      </c>
      <c r="Y248" s="339">
        <f t="shared" ca="1" si="28"/>
        <v>0</v>
      </c>
      <c r="Z248" s="473"/>
      <c r="AB248" s="337"/>
      <c r="AC248" s="437"/>
      <c r="AD248" s="437"/>
      <c r="AE248" s="437"/>
      <c r="AF248" s="437"/>
      <c r="AG248" s="437"/>
      <c r="AH248" s="437"/>
      <c r="AI248" s="437"/>
      <c r="AJ248" s="437"/>
      <c r="AK248" s="437"/>
      <c r="AL248" s="437"/>
      <c r="AM248" s="338"/>
      <c r="AO248">
        <f ca="1">IF($A248="S",IF(BM!$I248=0,0,CHOOSE(MATCH(RegimeExecucao,{"Global","Unitário"},0),ROUND(ROUND(BM.MEDAcumulado,15-13*BM!$A$9)/100*BM!$I248,15-13*ORÇAMENTO!$AF$11),ROUND(ROUND(BM.MEDAcumulado,15-13*BM!$A$9)*ROUND(BM!$H248,15-13*ORÇAMENTO!$AF$10),15-13*ORÇAMENTO!$AF$11))),IF($A248=0,0,ROUND(SomaAgrupBM,15-13*ORÇAMENTO!$AF$11)))</f>
        <v>0</v>
      </c>
    </row>
    <row r="249" spans="1:41" x14ac:dyDescent="0.2">
      <c r="A249" t="str">
        <f ca="1">ORÇAMENTO!C249</f>
        <v>S</v>
      </c>
      <c r="B249">
        <f ca="1">ORÇAMENTO!D249</f>
        <v>0</v>
      </c>
      <c r="C249" s="114" t="str">
        <f t="shared" ca="1" si="22"/>
        <v>F</v>
      </c>
      <c r="D249" s="117" t="str">
        <f ca="1">ORÇAMENTO!O249</f>
        <v>1.7.1.1.3.</v>
      </c>
      <c r="E249" s="163" t="str">
        <f t="shared" ca="1" si="23"/>
        <v>TUBO PONTA/BOLSA FoFo L=6,00 M - DN 350 MM</v>
      </c>
      <c r="F249" s="164" t="str">
        <f ca="1">IF(RegimeExecucao="Global","",ORÇAMENTO.Unidade)</f>
        <v>UN</v>
      </c>
      <c r="G249" s="122">
        <f ca="1">IF(RegimeExecucao="Global","",ORÇAMENTO!T249)</f>
        <v>1</v>
      </c>
      <c r="H249" s="122">
        <f ca="1">IF(RegimeExecucao="Global","",ORÇAMENTO!W249)</f>
        <v>9577.32</v>
      </c>
      <c r="I249" s="125">
        <f ca="1">ORÇAMENTO!X249</f>
        <v>9577.32</v>
      </c>
      <c r="J249" s="333" cm="1">
        <f t="array" aca="1" ref="J249" ca="1">_xlfn.SINGLE(IF($A249="S",IF(CAIXA.Modo,BM.AFAnterior,BM.MEDAnterior),IF(AND(_xlfn.SINGLE(RegimeExecucao)="Global",$I249&gt;0,COUNTIF($AB$13:$AM$13,BM.medicao-1)&gt;0),M249/$I249*100,0)))</f>
        <v>0</v>
      </c>
      <c r="K249" s="122">
        <f t="shared" ca="1" si="24"/>
        <v>0</v>
      </c>
      <c r="L249" s="334" cm="1">
        <f t="array" aca="1" ref="L249" ca="1">_xlfn.SINGLE(IF($A249="S",IF(CAIXA.Modo,BM.AFAcumulado,BM.MEDAcumulado),IF(AND(_xlfn.SINGLE(RegimeExecucao)="Global",$I249&gt;0,COUNTIF($AB$13:$AM$13,BM.medicao)&gt;0),O249/$I249*100,0)))</f>
        <v>0</v>
      </c>
      <c r="M249" s="335">
        <f ca="1">IF($A249="S",VTOTALBM,IF($A249=0,0,ROUND(SomaAgrupBM,15-13*ORÇAMENTO!$AF$11)))</f>
        <v>0</v>
      </c>
      <c r="N249" s="336">
        <f t="shared" ca="1" si="25"/>
        <v>0</v>
      </c>
      <c r="O249" s="125">
        <f ca="1">IF($A249="S",VTOTALBM,IF($A249=0,0,ROUND(SomaAgrupBM,15-13*ORÇAMENTO!$AF$11)))</f>
        <v>0</v>
      </c>
      <c r="Q249" s="337"/>
      <c r="R249" s="338"/>
      <c r="T249" s="117" t="str">
        <f t="shared" ca="1" si="26"/>
        <v/>
      </c>
      <c r="U249" s="163" t="str">
        <f t="shared" ca="1" si="27"/>
        <v/>
      </c>
      <c r="V249" s="164" t="str">
        <f ca="1">IF(AND($W249&gt;0,RegimeExecucao="Unitário"),$F249,"")</f>
        <v/>
      </c>
      <c r="W249" s="454">
        <f ca="1">IF($Y249&gt;0,CHOOSE(MATCH(RegimeExecucao,{"Unitário","Global"},0),IF($A249="S",$Y249/$X249,""),($Y249/$X249)*100),0)</f>
        <v>0</v>
      </c>
      <c r="X249" s="339" t="str">
        <f ca="1">IF($Y249&gt;0,CHOOSE(MATCH(RegimeExecucao,{"Unitário","Global"},0),IF($A249="S",ROUND($H249,ORÇAMENTO!$AF$10),""),ROUND($I249,ORÇAMENTO!$AF$11)),"")</f>
        <v/>
      </c>
      <c r="Y249" s="339">
        <f t="shared" ca="1" si="28"/>
        <v>0</v>
      </c>
      <c r="Z249" s="473"/>
      <c r="AB249" s="337"/>
      <c r="AC249" s="437"/>
      <c r="AD249" s="437"/>
      <c r="AE249" s="437"/>
      <c r="AF249" s="437"/>
      <c r="AG249" s="437"/>
      <c r="AH249" s="437"/>
      <c r="AI249" s="437"/>
      <c r="AJ249" s="437"/>
      <c r="AK249" s="437"/>
      <c r="AL249" s="437"/>
      <c r="AM249" s="338"/>
      <c r="AO249">
        <f ca="1">IF($A249="S",IF(BM!$I249=0,0,CHOOSE(MATCH(RegimeExecucao,{"Global","Unitário"},0),ROUND(ROUND(BM.MEDAcumulado,15-13*BM!$A$9)/100*BM!$I249,15-13*ORÇAMENTO!$AF$11),ROUND(ROUND(BM.MEDAcumulado,15-13*BM!$A$9)*ROUND(BM!$H249,15-13*ORÇAMENTO!$AF$10),15-13*ORÇAMENTO!$AF$11))),IF($A249=0,0,ROUND(SomaAgrupBM,15-13*ORÇAMENTO!$AF$11)))</f>
        <v>0</v>
      </c>
    </row>
    <row r="250" spans="1:41" x14ac:dyDescent="0.2">
      <c r="A250" t="str">
        <f ca="1">ORÇAMENTO!C250</f>
        <v>S</v>
      </c>
      <c r="B250">
        <f ca="1">ORÇAMENTO!D250</f>
        <v>0</v>
      </c>
      <c r="C250" s="114" t="str">
        <f t="shared" ca="1" si="22"/>
        <v>F</v>
      </c>
      <c r="D250" s="117" t="str">
        <f ca="1">ORÇAMENTO!O250</f>
        <v>1.7.1.1.4.</v>
      </c>
      <c r="E250" s="163" t="str">
        <f t="shared" ca="1" si="23"/>
        <v>CURVA 90 BOLSAS FoFo - DN 350 MM</v>
      </c>
      <c r="F250" s="164" t="str">
        <f ca="1">IF(RegimeExecucao="Global","",ORÇAMENTO.Unidade)</f>
        <v>UN</v>
      </c>
      <c r="G250" s="122">
        <f ca="1">IF(RegimeExecucao="Global","",ORÇAMENTO!T250)</f>
        <v>1</v>
      </c>
      <c r="H250" s="122">
        <f ca="1">IF(RegimeExecucao="Global","",ORÇAMENTO!W250)</f>
        <v>7480.43</v>
      </c>
      <c r="I250" s="125">
        <f ca="1">ORÇAMENTO!X250</f>
        <v>7480.43</v>
      </c>
      <c r="J250" s="333" cm="1">
        <f t="array" aca="1" ref="J250" ca="1">_xlfn.SINGLE(IF($A250="S",IF(CAIXA.Modo,BM.AFAnterior,BM.MEDAnterior),IF(AND(_xlfn.SINGLE(RegimeExecucao)="Global",$I250&gt;0,COUNTIF($AB$13:$AM$13,BM.medicao-1)&gt;0),M250/$I250*100,0)))</f>
        <v>0</v>
      </c>
      <c r="K250" s="122">
        <f t="shared" ca="1" si="24"/>
        <v>0</v>
      </c>
      <c r="L250" s="334" cm="1">
        <f t="array" aca="1" ref="L250" ca="1">_xlfn.SINGLE(IF($A250="S",IF(CAIXA.Modo,BM.AFAcumulado,BM.MEDAcumulado),IF(AND(_xlfn.SINGLE(RegimeExecucao)="Global",$I250&gt;0,COUNTIF($AB$13:$AM$13,BM.medicao)&gt;0),O250/$I250*100,0)))</f>
        <v>0</v>
      </c>
      <c r="M250" s="335">
        <f ca="1">IF($A250="S",VTOTALBM,IF($A250=0,0,ROUND(SomaAgrupBM,15-13*ORÇAMENTO!$AF$11)))</f>
        <v>0</v>
      </c>
      <c r="N250" s="336">
        <f t="shared" ca="1" si="25"/>
        <v>0</v>
      </c>
      <c r="O250" s="125">
        <f ca="1">IF($A250="S",VTOTALBM,IF($A250=0,0,ROUND(SomaAgrupBM,15-13*ORÇAMENTO!$AF$11)))</f>
        <v>0</v>
      </c>
      <c r="Q250" s="337"/>
      <c r="R250" s="338"/>
      <c r="T250" s="117" t="str">
        <f t="shared" ca="1" si="26"/>
        <v/>
      </c>
      <c r="U250" s="163" t="str">
        <f t="shared" ca="1" si="27"/>
        <v/>
      </c>
      <c r="V250" s="164" t="str">
        <f ca="1">IF(AND($W250&gt;0,RegimeExecucao="Unitário"),$F250,"")</f>
        <v/>
      </c>
      <c r="W250" s="454">
        <f ca="1">IF($Y250&gt;0,CHOOSE(MATCH(RegimeExecucao,{"Unitário","Global"},0),IF($A250="S",$Y250/$X250,""),($Y250/$X250)*100),0)</f>
        <v>0</v>
      </c>
      <c r="X250" s="339" t="str">
        <f ca="1">IF($Y250&gt;0,CHOOSE(MATCH(RegimeExecucao,{"Unitário","Global"},0),IF($A250="S",ROUND($H250,ORÇAMENTO!$AF$10),""),ROUND($I250,ORÇAMENTO!$AF$11)),"")</f>
        <v/>
      </c>
      <c r="Y250" s="339">
        <f t="shared" ca="1" si="28"/>
        <v>0</v>
      </c>
      <c r="Z250" s="473"/>
      <c r="AB250" s="337"/>
      <c r="AC250" s="437"/>
      <c r="AD250" s="437"/>
      <c r="AE250" s="437"/>
      <c r="AF250" s="437"/>
      <c r="AG250" s="437"/>
      <c r="AH250" s="437"/>
      <c r="AI250" s="437"/>
      <c r="AJ250" s="437"/>
      <c r="AK250" s="437"/>
      <c r="AL250" s="437"/>
      <c r="AM250" s="338"/>
      <c r="AO250">
        <f ca="1">IF($A250="S",IF(BM!$I250=0,0,CHOOSE(MATCH(RegimeExecucao,{"Global","Unitário"},0),ROUND(ROUND(BM.MEDAcumulado,15-13*BM!$A$9)/100*BM!$I250,15-13*ORÇAMENTO!$AF$11),ROUND(ROUND(BM.MEDAcumulado,15-13*BM!$A$9)*ROUND(BM!$H250,15-13*ORÇAMENTO!$AF$10),15-13*ORÇAMENTO!$AF$11))),IF($A250=0,0,ROUND(SomaAgrupBM,15-13*ORÇAMENTO!$AF$11)))</f>
        <v>0</v>
      </c>
    </row>
    <row r="251" spans="1:41" x14ac:dyDescent="0.2">
      <c r="A251" t="str">
        <f ca="1">ORÇAMENTO!C251</f>
        <v>S</v>
      </c>
      <c r="B251">
        <f ca="1">ORÇAMENTO!D251</f>
        <v>0</v>
      </c>
      <c r="C251" s="114" t="str">
        <f t="shared" ca="1" si="22"/>
        <v>F</v>
      </c>
      <c r="D251" s="117" t="str">
        <f ca="1">ORÇAMENTO!O251</f>
        <v>1.7.1.1.5.</v>
      </c>
      <c r="E251" s="163" t="str">
        <f t="shared" ca="1" si="23"/>
        <v>TUBO FLANGE/PONTA FoFo L=3,05 M - DN 350 MM</v>
      </c>
      <c r="F251" s="164" t="str">
        <f ca="1">IF(RegimeExecucao="Global","",ORÇAMENTO.Unidade)</f>
        <v>UN</v>
      </c>
      <c r="G251" s="122">
        <f ca="1">IF(RegimeExecucao="Global","",ORÇAMENTO!T251)</f>
        <v>1</v>
      </c>
      <c r="H251" s="122">
        <f ca="1">IF(RegimeExecucao="Global","",ORÇAMENTO!W251)</f>
        <v>8375.06</v>
      </c>
      <c r="I251" s="125">
        <f ca="1">ORÇAMENTO!X251</f>
        <v>8375.06</v>
      </c>
      <c r="J251" s="333" cm="1">
        <f t="array" aca="1" ref="J251" ca="1">_xlfn.SINGLE(IF($A251="S",IF(CAIXA.Modo,BM.AFAnterior,BM.MEDAnterior),IF(AND(_xlfn.SINGLE(RegimeExecucao)="Global",$I251&gt;0,COUNTIF($AB$13:$AM$13,BM.medicao-1)&gt;0),M251/$I251*100,0)))</f>
        <v>0</v>
      </c>
      <c r="K251" s="122">
        <f t="shared" ca="1" si="24"/>
        <v>0</v>
      </c>
      <c r="L251" s="334" cm="1">
        <f t="array" aca="1" ref="L251" ca="1">_xlfn.SINGLE(IF($A251="S",IF(CAIXA.Modo,BM.AFAcumulado,BM.MEDAcumulado),IF(AND(_xlfn.SINGLE(RegimeExecucao)="Global",$I251&gt;0,COUNTIF($AB$13:$AM$13,BM.medicao)&gt;0),O251/$I251*100,0)))</f>
        <v>0</v>
      </c>
      <c r="M251" s="335">
        <f ca="1">IF($A251="S",VTOTALBM,IF($A251=0,0,ROUND(SomaAgrupBM,15-13*ORÇAMENTO!$AF$11)))</f>
        <v>0</v>
      </c>
      <c r="N251" s="336">
        <f t="shared" ca="1" si="25"/>
        <v>0</v>
      </c>
      <c r="O251" s="125">
        <f ca="1">IF($A251="S",VTOTALBM,IF($A251=0,0,ROUND(SomaAgrupBM,15-13*ORÇAMENTO!$AF$11)))</f>
        <v>0</v>
      </c>
      <c r="Q251" s="337"/>
      <c r="R251" s="338"/>
      <c r="T251" s="117" t="str">
        <f t="shared" ca="1" si="26"/>
        <v/>
      </c>
      <c r="U251" s="163" t="str">
        <f t="shared" ca="1" si="27"/>
        <v/>
      </c>
      <c r="V251" s="164" t="str">
        <f ca="1">IF(AND($W251&gt;0,RegimeExecucao="Unitário"),$F251,"")</f>
        <v/>
      </c>
      <c r="W251" s="454">
        <f ca="1">IF($Y251&gt;0,CHOOSE(MATCH(RegimeExecucao,{"Unitário","Global"},0),IF($A251="S",$Y251/$X251,""),($Y251/$X251)*100),0)</f>
        <v>0</v>
      </c>
      <c r="X251" s="339" t="str">
        <f ca="1">IF($Y251&gt;0,CHOOSE(MATCH(RegimeExecucao,{"Unitário","Global"},0),IF($A251="S",ROUND($H251,ORÇAMENTO!$AF$10),""),ROUND($I251,ORÇAMENTO!$AF$11)),"")</f>
        <v/>
      </c>
      <c r="Y251" s="339">
        <f t="shared" ca="1" si="28"/>
        <v>0</v>
      </c>
      <c r="Z251" s="473"/>
      <c r="AB251" s="337"/>
      <c r="AC251" s="437"/>
      <c r="AD251" s="437"/>
      <c r="AE251" s="437"/>
      <c r="AF251" s="437"/>
      <c r="AG251" s="437"/>
      <c r="AH251" s="437"/>
      <c r="AI251" s="437"/>
      <c r="AJ251" s="437"/>
      <c r="AK251" s="437"/>
      <c r="AL251" s="437"/>
      <c r="AM251" s="338"/>
      <c r="AO251">
        <f ca="1">IF($A251="S",IF(BM!$I251=0,0,CHOOSE(MATCH(RegimeExecucao,{"Global","Unitário"},0),ROUND(ROUND(BM.MEDAcumulado,15-13*BM!$A$9)/100*BM!$I251,15-13*ORÇAMENTO!$AF$11),ROUND(ROUND(BM.MEDAcumulado,15-13*BM!$A$9)*ROUND(BM!$H251,15-13*ORÇAMENTO!$AF$10),15-13*ORÇAMENTO!$AF$11))),IF($A251=0,0,ROUND(SomaAgrupBM,15-13*ORÇAMENTO!$AF$11)))</f>
        <v>0</v>
      </c>
    </row>
    <row r="252" spans="1:41" x14ac:dyDescent="0.2">
      <c r="A252" t="str">
        <f ca="1">ORÇAMENTO!C252</f>
        <v>S</v>
      </c>
      <c r="B252">
        <f ca="1">ORÇAMENTO!D252</f>
        <v>0</v>
      </c>
      <c r="C252" s="114" t="str">
        <f t="shared" ca="1" si="22"/>
        <v>F</v>
      </c>
      <c r="D252" s="117" t="str">
        <f ca="1">ORÇAMENTO!O252</f>
        <v>1.7.1.1.6.</v>
      </c>
      <c r="E252" s="163" t="str">
        <f t="shared" ca="1" si="23"/>
        <v>TUBO FLANGE/PONTA FoFo L=4,10 M - DN 350 MM</v>
      </c>
      <c r="F252" s="164" t="str">
        <f ca="1">IF(RegimeExecucao="Global","",ORÇAMENTO.Unidade)</f>
        <v>UN</v>
      </c>
      <c r="G252" s="122">
        <f ca="1">IF(RegimeExecucao="Global","",ORÇAMENTO!T252)</f>
        <v>2</v>
      </c>
      <c r="H252" s="122">
        <f ca="1">IF(RegimeExecucao="Global","",ORÇAMENTO!W252)</f>
        <v>11546.16</v>
      </c>
      <c r="I252" s="125">
        <f ca="1">ORÇAMENTO!X252</f>
        <v>23092.32</v>
      </c>
      <c r="J252" s="333" cm="1">
        <f t="array" aca="1" ref="J252" ca="1">_xlfn.SINGLE(IF($A252="S",IF(CAIXA.Modo,BM.AFAnterior,BM.MEDAnterior),IF(AND(_xlfn.SINGLE(RegimeExecucao)="Global",$I252&gt;0,COUNTIF($AB$13:$AM$13,BM.medicao-1)&gt;0),M252/$I252*100,0)))</f>
        <v>0</v>
      </c>
      <c r="K252" s="122">
        <f t="shared" ca="1" si="24"/>
        <v>0</v>
      </c>
      <c r="L252" s="334" cm="1">
        <f t="array" aca="1" ref="L252" ca="1">_xlfn.SINGLE(IF($A252="S",IF(CAIXA.Modo,BM.AFAcumulado,BM.MEDAcumulado),IF(AND(_xlfn.SINGLE(RegimeExecucao)="Global",$I252&gt;0,COUNTIF($AB$13:$AM$13,BM.medicao)&gt;0),O252/$I252*100,0)))</f>
        <v>0</v>
      </c>
      <c r="M252" s="335">
        <f ca="1">IF($A252="S",VTOTALBM,IF($A252=0,0,ROUND(SomaAgrupBM,15-13*ORÇAMENTO!$AF$11)))</f>
        <v>0</v>
      </c>
      <c r="N252" s="336">
        <f t="shared" ca="1" si="25"/>
        <v>0</v>
      </c>
      <c r="O252" s="125">
        <f ca="1">IF($A252="S",VTOTALBM,IF($A252=0,0,ROUND(SomaAgrupBM,15-13*ORÇAMENTO!$AF$11)))</f>
        <v>0</v>
      </c>
      <c r="Q252" s="337"/>
      <c r="R252" s="338"/>
      <c r="T252" s="117" t="str">
        <f t="shared" ca="1" si="26"/>
        <v/>
      </c>
      <c r="U252" s="163" t="str">
        <f t="shared" ca="1" si="27"/>
        <v/>
      </c>
      <c r="V252" s="164" t="str">
        <f ca="1">IF(AND($W252&gt;0,RegimeExecucao="Unitário"),$F252,"")</f>
        <v/>
      </c>
      <c r="W252" s="454">
        <f ca="1">IF($Y252&gt;0,CHOOSE(MATCH(RegimeExecucao,{"Unitário","Global"},0),IF($A252="S",$Y252/$X252,""),($Y252/$X252)*100),0)</f>
        <v>0</v>
      </c>
      <c r="X252" s="339" t="str">
        <f ca="1">IF($Y252&gt;0,CHOOSE(MATCH(RegimeExecucao,{"Unitário","Global"},0),IF($A252="S",ROUND($H252,ORÇAMENTO!$AF$10),""),ROUND($I252,ORÇAMENTO!$AF$11)),"")</f>
        <v/>
      </c>
      <c r="Y252" s="339">
        <f t="shared" ca="1" si="28"/>
        <v>0</v>
      </c>
      <c r="Z252" s="473"/>
      <c r="AB252" s="337"/>
      <c r="AC252" s="437"/>
      <c r="AD252" s="437"/>
      <c r="AE252" s="437"/>
      <c r="AF252" s="437"/>
      <c r="AG252" s="437"/>
      <c r="AH252" s="437"/>
      <c r="AI252" s="437"/>
      <c r="AJ252" s="437"/>
      <c r="AK252" s="437"/>
      <c r="AL252" s="437"/>
      <c r="AM252" s="338"/>
      <c r="AO252">
        <f ca="1">IF($A252="S",IF(BM!$I252=0,0,CHOOSE(MATCH(RegimeExecucao,{"Global","Unitário"},0),ROUND(ROUND(BM.MEDAcumulado,15-13*BM!$A$9)/100*BM!$I252,15-13*ORÇAMENTO!$AF$11),ROUND(ROUND(BM.MEDAcumulado,15-13*BM!$A$9)*ROUND(BM!$H252,15-13*ORÇAMENTO!$AF$10),15-13*ORÇAMENTO!$AF$11))),IF($A252=0,0,ROUND(SomaAgrupBM,15-13*ORÇAMENTO!$AF$11)))</f>
        <v>0</v>
      </c>
    </row>
    <row r="253" spans="1:41" x14ac:dyDescent="0.2">
      <c r="A253" t="str">
        <f ca="1">ORÇAMENTO!C253</f>
        <v>S</v>
      </c>
      <c r="B253">
        <f ca="1">ORÇAMENTO!D253</f>
        <v>0</v>
      </c>
      <c r="C253" s="114" t="str">
        <f t="shared" ca="1" si="22"/>
        <v>F</v>
      </c>
      <c r="D253" s="117" t="str">
        <f ca="1">ORÇAMENTO!O253</f>
        <v>1.7.1.1.7.</v>
      </c>
      <c r="E253" s="163" t="str">
        <f t="shared" ca="1" si="23"/>
        <v>CURVA 90 FLANGEADA FoFo - DN 350 MM</v>
      </c>
      <c r="F253" s="164" t="str">
        <f ca="1">IF(RegimeExecucao="Global","",ORÇAMENTO.Unidade)</f>
        <v>UN</v>
      </c>
      <c r="G253" s="122">
        <f ca="1">IF(RegimeExecucao="Global","",ORÇAMENTO!T253)</f>
        <v>1</v>
      </c>
      <c r="H253" s="122">
        <f ca="1">IF(RegimeExecucao="Global","",ORÇAMENTO!W253)</f>
        <v>4478.22</v>
      </c>
      <c r="I253" s="125">
        <f ca="1">ORÇAMENTO!X253</f>
        <v>4478.22</v>
      </c>
      <c r="J253" s="333" cm="1">
        <f t="array" aca="1" ref="J253" ca="1">_xlfn.SINGLE(IF($A253="S",IF(CAIXA.Modo,BM.AFAnterior,BM.MEDAnterior),IF(AND(_xlfn.SINGLE(RegimeExecucao)="Global",$I253&gt;0,COUNTIF($AB$13:$AM$13,BM.medicao-1)&gt;0),M253/$I253*100,0)))</f>
        <v>0</v>
      </c>
      <c r="K253" s="122">
        <f t="shared" ca="1" si="24"/>
        <v>0</v>
      </c>
      <c r="L253" s="334" cm="1">
        <f t="array" aca="1" ref="L253" ca="1">_xlfn.SINGLE(IF($A253="S",IF(CAIXA.Modo,BM.AFAcumulado,BM.MEDAcumulado),IF(AND(_xlfn.SINGLE(RegimeExecucao)="Global",$I253&gt;0,COUNTIF($AB$13:$AM$13,BM.medicao)&gt;0),O253/$I253*100,0)))</f>
        <v>0</v>
      </c>
      <c r="M253" s="335">
        <f ca="1">IF($A253="S",VTOTALBM,IF($A253=0,0,ROUND(SomaAgrupBM,15-13*ORÇAMENTO!$AF$11)))</f>
        <v>0</v>
      </c>
      <c r="N253" s="336">
        <f t="shared" ca="1" si="25"/>
        <v>0</v>
      </c>
      <c r="O253" s="125">
        <f ca="1">IF($A253="S",VTOTALBM,IF($A253=0,0,ROUND(SomaAgrupBM,15-13*ORÇAMENTO!$AF$11)))</f>
        <v>0</v>
      </c>
      <c r="Q253" s="337"/>
      <c r="R253" s="338"/>
      <c r="T253" s="117" t="str">
        <f t="shared" ca="1" si="26"/>
        <v/>
      </c>
      <c r="U253" s="163" t="str">
        <f t="shared" ca="1" si="27"/>
        <v/>
      </c>
      <c r="V253" s="164" t="str">
        <f ca="1">IF(AND($W253&gt;0,RegimeExecucao="Unitário"),$F253,"")</f>
        <v/>
      </c>
      <c r="W253" s="454">
        <f ca="1">IF($Y253&gt;0,CHOOSE(MATCH(RegimeExecucao,{"Unitário","Global"},0),IF($A253="S",$Y253/$X253,""),($Y253/$X253)*100),0)</f>
        <v>0</v>
      </c>
      <c r="X253" s="339" t="str">
        <f ca="1">IF($Y253&gt;0,CHOOSE(MATCH(RegimeExecucao,{"Unitário","Global"},0),IF($A253="S",ROUND($H253,ORÇAMENTO!$AF$10),""),ROUND($I253,ORÇAMENTO!$AF$11)),"")</f>
        <v/>
      </c>
      <c r="Y253" s="339">
        <f t="shared" ca="1" si="28"/>
        <v>0</v>
      </c>
      <c r="Z253" s="473"/>
      <c r="AB253" s="337"/>
      <c r="AC253" s="437"/>
      <c r="AD253" s="437"/>
      <c r="AE253" s="437"/>
      <c r="AF253" s="437"/>
      <c r="AG253" s="437"/>
      <c r="AH253" s="437"/>
      <c r="AI253" s="437"/>
      <c r="AJ253" s="437"/>
      <c r="AK253" s="437"/>
      <c r="AL253" s="437"/>
      <c r="AM253" s="338"/>
      <c r="AO253">
        <f ca="1">IF($A253="S",IF(BM!$I253=0,0,CHOOSE(MATCH(RegimeExecucao,{"Global","Unitário"},0),ROUND(ROUND(BM.MEDAcumulado,15-13*BM!$A$9)/100*BM!$I253,15-13*ORÇAMENTO!$AF$11),ROUND(ROUND(BM.MEDAcumulado,15-13*BM!$A$9)*ROUND(BM!$H253,15-13*ORÇAMENTO!$AF$10),15-13*ORÇAMENTO!$AF$11))),IF($A253=0,0,ROUND(SomaAgrupBM,15-13*ORÇAMENTO!$AF$11)))</f>
        <v>0</v>
      </c>
    </row>
    <row r="254" spans="1:41" ht="38.25" x14ac:dyDescent="0.2">
      <c r="A254" t="str">
        <f ca="1">ORÇAMENTO!C254</f>
        <v>S</v>
      </c>
      <c r="B254">
        <f ca="1">ORÇAMENTO!D254</f>
        <v>0</v>
      </c>
      <c r="C254" s="114" t="str">
        <f t="shared" ca="1" si="22"/>
        <v>F</v>
      </c>
      <c r="D254" s="117" t="str">
        <f ca="1">ORÇAMENTO!O254</f>
        <v>1.7.1.1.8.</v>
      </c>
      <c r="E254" s="163" t="str">
        <f t="shared" ca="1" si="23"/>
        <v>DISTRIBUIDOR ROTATIVO PARA LEITO FILTRANTE (INCLUINDO ACESSÓRIOS: PEDESTAL DE SUSPENSÃO, HASTE DE PROLONGAMENTO E MANCAL)</v>
      </c>
      <c r="F254" s="164" t="str">
        <f ca="1">IF(RegimeExecucao="Global","",ORÇAMENTO.Unidade)</f>
        <v>CJ</v>
      </c>
      <c r="G254" s="122">
        <f ca="1">IF(RegimeExecucao="Global","",ORÇAMENTO!T254)</f>
        <v>1</v>
      </c>
      <c r="H254" s="122">
        <f ca="1">IF(RegimeExecucao="Global","",ORÇAMENTO!W254)</f>
        <v>447991.2</v>
      </c>
      <c r="I254" s="125">
        <f ca="1">ORÇAMENTO!X254</f>
        <v>447991.2</v>
      </c>
      <c r="J254" s="333" cm="1">
        <f t="array" aca="1" ref="J254" ca="1">_xlfn.SINGLE(IF($A254="S",IF(CAIXA.Modo,BM.AFAnterior,BM.MEDAnterior),IF(AND(_xlfn.SINGLE(RegimeExecucao)="Global",$I254&gt;0,COUNTIF($AB$13:$AM$13,BM.medicao-1)&gt;0),M254/$I254*100,0)))</f>
        <v>0</v>
      </c>
      <c r="K254" s="122">
        <f t="shared" ca="1" si="24"/>
        <v>0</v>
      </c>
      <c r="L254" s="334" cm="1">
        <f t="array" aca="1" ref="L254" ca="1">_xlfn.SINGLE(IF($A254="S",IF(CAIXA.Modo,BM.AFAcumulado,BM.MEDAcumulado),IF(AND(_xlfn.SINGLE(RegimeExecucao)="Global",$I254&gt;0,COUNTIF($AB$13:$AM$13,BM.medicao)&gt;0),O254/$I254*100,0)))</f>
        <v>0</v>
      </c>
      <c r="M254" s="335">
        <f ca="1">IF($A254="S",VTOTALBM,IF($A254=0,0,ROUND(SomaAgrupBM,15-13*ORÇAMENTO!$AF$11)))</f>
        <v>0</v>
      </c>
      <c r="N254" s="336">
        <f t="shared" ca="1" si="25"/>
        <v>0</v>
      </c>
      <c r="O254" s="125">
        <f ca="1">IF($A254="S",VTOTALBM,IF($A254=0,0,ROUND(SomaAgrupBM,15-13*ORÇAMENTO!$AF$11)))</f>
        <v>0</v>
      </c>
      <c r="Q254" s="337"/>
      <c r="R254" s="338"/>
      <c r="T254" s="117" t="str">
        <f t="shared" ca="1" si="26"/>
        <v/>
      </c>
      <c r="U254" s="163" t="str">
        <f t="shared" ca="1" si="27"/>
        <v/>
      </c>
      <c r="V254" s="164" t="str">
        <f ca="1">IF(AND($W254&gt;0,RegimeExecucao="Unitário"),$F254,"")</f>
        <v/>
      </c>
      <c r="W254" s="454">
        <f ca="1">IF($Y254&gt;0,CHOOSE(MATCH(RegimeExecucao,{"Unitário","Global"},0),IF($A254="S",$Y254/$X254,""),($Y254/$X254)*100),0)</f>
        <v>0</v>
      </c>
      <c r="X254" s="339" t="str">
        <f ca="1">IF($Y254&gt;0,CHOOSE(MATCH(RegimeExecucao,{"Unitário","Global"},0),IF($A254="S",ROUND($H254,ORÇAMENTO!$AF$10),""),ROUND($I254,ORÇAMENTO!$AF$11)),"")</f>
        <v/>
      </c>
      <c r="Y254" s="339">
        <f t="shared" ca="1" si="28"/>
        <v>0</v>
      </c>
      <c r="Z254" s="473"/>
      <c r="AB254" s="337"/>
      <c r="AC254" s="437"/>
      <c r="AD254" s="437"/>
      <c r="AE254" s="437"/>
      <c r="AF254" s="437"/>
      <c r="AG254" s="437"/>
      <c r="AH254" s="437"/>
      <c r="AI254" s="437"/>
      <c r="AJ254" s="437"/>
      <c r="AK254" s="437"/>
      <c r="AL254" s="437"/>
      <c r="AM254" s="338"/>
      <c r="AO254">
        <f ca="1">IF($A254="S",IF(BM!$I254=0,0,CHOOSE(MATCH(RegimeExecucao,{"Global","Unitário"},0),ROUND(ROUND(BM.MEDAcumulado,15-13*BM!$A$9)/100*BM!$I254,15-13*ORÇAMENTO!$AF$11),ROUND(ROUND(BM.MEDAcumulado,15-13*BM!$A$9)*ROUND(BM!$H254,15-13*ORÇAMENTO!$AF$10),15-13*ORÇAMENTO!$AF$11))),IF($A254=0,0,ROUND(SomaAgrupBM,15-13*ORÇAMENTO!$AF$11)))</f>
        <v>0</v>
      </c>
    </row>
    <row r="255" spans="1:41" ht="25.5" x14ac:dyDescent="0.2">
      <c r="A255" t="str">
        <f ca="1">ORÇAMENTO!C255</f>
        <v>S</v>
      </c>
      <c r="B255">
        <f ca="1">ORÇAMENTO!D255</f>
        <v>0</v>
      </c>
      <c r="C255" s="114" t="str">
        <f t="shared" ca="1" si="22"/>
        <v>F</v>
      </c>
      <c r="D255" s="117" t="str">
        <f ca="1">ORÇAMENTO!O255</f>
        <v>1.7.1.1.9.</v>
      </c>
      <c r="E255" s="163" t="str">
        <f t="shared" ca="1" si="23"/>
        <v>COMPORTA QUADRADA DE SENTIDO DUPLO (CONFORME PROJETO) - FORNECIMENTO E INSTALAÇÃO</v>
      </c>
      <c r="F255" s="164" t="str">
        <f ca="1">IF(RegimeExecucao="Global","",ORÇAMENTO.Unidade)</f>
        <v>UN</v>
      </c>
      <c r="G255" s="122">
        <f ca="1">IF(RegimeExecucao="Global","",ORÇAMENTO!T255)</f>
        <v>1</v>
      </c>
      <c r="H255" s="122">
        <f ca="1">IF(RegimeExecucao="Global","",ORÇAMENTO!W255)</f>
        <v>39788.61</v>
      </c>
      <c r="I255" s="125">
        <f ca="1">ORÇAMENTO!X255</f>
        <v>39788.61</v>
      </c>
      <c r="J255" s="333" cm="1">
        <f t="array" aca="1" ref="J255" ca="1">_xlfn.SINGLE(IF($A255="S",IF(CAIXA.Modo,BM.AFAnterior,BM.MEDAnterior),IF(AND(_xlfn.SINGLE(RegimeExecucao)="Global",$I255&gt;0,COUNTIF($AB$13:$AM$13,BM.medicao-1)&gt;0),M255/$I255*100,0)))</f>
        <v>0</v>
      </c>
      <c r="K255" s="122">
        <f t="shared" ca="1" si="24"/>
        <v>0</v>
      </c>
      <c r="L255" s="334" cm="1">
        <f t="array" aca="1" ref="L255" ca="1">_xlfn.SINGLE(IF($A255="S",IF(CAIXA.Modo,BM.AFAcumulado,BM.MEDAcumulado),IF(AND(_xlfn.SINGLE(RegimeExecucao)="Global",$I255&gt;0,COUNTIF($AB$13:$AM$13,BM.medicao)&gt;0),O255/$I255*100,0)))</f>
        <v>0</v>
      </c>
      <c r="M255" s="335">
        <f ca="1">IF($A255="S",VTOTALBM,IF($A255=0,0,ROUND(SomaAgrupBM,15-13*ORÇAMENTO!$AF$11)))</f>
        <v>0</v>
      </c>
      <c r="N255" s="336">
        <f t="shared" ca="1" si="25"/>
        <v>0</v>
      </c>
      <c r="O255" s="125">
        <f ca="1">IF($A255="S",VTOTALBM,IF($A255=0,0,ROUND(SomaAgrupBM,15-13*ORÇAMENTO!$AF$11)))</f>
        <v>0</v>
      </c>
      <c r="Q255" s="337"/>
      <c r="R255" s="338"/>
      <c r="T255" s="117" t="str">
        <f t="shared" ca="1" si="26"/>
        <v/>
      </c>
      <c r="U255" s="163" t="str">
        <f t="shared" ca="1" si="27"/>
        <v/>
      </c>
      <c r="V255" s="164" t="str">
        <f ca="1">IF(AND($W255&gt;0,RegimeExecucao="Unitário"),$F255,"")</f>
        <v/>
      </c>
      <c r="W255" s="454">
        <f ca="1">IF($Y255&gt;0,CHOOSE(MATCH(RegimeExecucao,{"Unitário","Global"},0),IF($A255="S",$Y255/$X255,""),($Y255/$X255)*100),0)</f>
        <v>0</v>
      </c>
      <c r="X255" s="339" t="str">
        <f ca="1">IF($Y255&gt;0,CHOOSE(MATCH(RegimeExecucao,{"Unitário","Global"},0),IF($A255="S",ROUND($H255,ORÇAMENTO!$AF$10),""),ROUND($I255,ORÇAMENTO!$AF$11)),"")</f>
        <v/>
      </c>
      <c r="Y255" s="339">
        <f t="shared" ca="1" si="28"/>
        <v>0</v>
      </c>
      <c r="Z255" s="473"/>
      <c r="AB255" s="337"/>
      <c r="AC255" s="437"/>
      <c r="AD255" s="437"/>
      <c r="AE255" s="437"/>
      <c r="AF255" s="437"/>
      <c r="AG255" s="437"/>
      <c r="AH255" s="437"/>
      <c r="AI255" s="437"/>
      <c r="AJ255" s="437"/>
      <c r="AK255" s="437"/>
      <c r="AL255" s="437"/>
      <c r="AM255" s="338"/>
      <c r="AO255">
        <f ca="1">IF($A255="S",IF(BM!$I255=0,0,CHOOSE(MATCH(RegimeExecucao,{"Global","Unitário"},0),ROUND(ROUND(BM.MEDAcumulado,15-13*BM!$A$9)/100*BM!$I255,15-13*ORÇAMENTO!$AF$11),ROUND(ROUND(BM.MEDAcumulado,15-13*BM!$A$9)*ROUND(BM!$H255,15-13*ORÇAMENTO!$AF$10),15-13*ORÇAMENTO!$AF$11))),IF($A255=0,0,ROUND(SomaAgrupBM,15-13*ORÇAMENTO!$AF$11)))</f>
        <v>0</v>
      </c>
    </row>
    <row r="256" spans="1:41" ht="25.5" x14ac:dyDescent="0.2">
      <c r="A256" t="str">
        <f ca="1">ORÇAMENTO!C256</f>
        <v>S</v>
      </c>
      <c r="B256">
        <f ca="1">ORÇAMENTO!D256</f>
        <v>0</v>
      </c>
      <c r="C256" s="114" t="str">
        <f t="shared" ca="1" si="22"/>
        <v>F</v>
      </c>
      <c r="D256" s="117" t="str">
        <f ca="1">ORÇAMENTO!O256</f>
        <v>1.7.1.1.10.</v>
      </c>
      <c r="E256" s="163" t="str">
        <f t="shared" ca="1" si="23"/>
        <v>FORNECIMENTO E COLOCAÇÃO DE MATERIAL PARA O LEITO FILTRANTE - BASEADO EM SEINFRA (C3401)</v>
      </c>
      <c r="F256" s="164" t="str">
        <f ca="1">IF(RegimeExecucao="Global","",ORÇAMENTO.Unidade)</f>
        <v>M3</v>
      </c>
      <c r="G256" s="122">
        <f ca="1">IF(RegimeExecucao="Global","",ORÇAMENTO!T256)</f>
        <v>454</v>
      </c>
      <c r="H256" s="122">
        <f ca="1">IF(RegimeExecucao="Global","",ORÇAMENTO!W256)</f>
        <v>369.23</v>
      </c>
      <c r="I256" s="125">
        <f ca="1">ORÇAMENTO!X256</f>
        <v>167630.42000000001</v>
      </c>
      <c r="J256" s="333" cm="1">
        <f t="array" aca="1" ref="J256" ca="1">_xlfn.SINGLE(IF($A256="S",IF(CAIXA.Modo,BM.AFAnterior,BM.MEDAnterior),IF(AND(_xlfn.SINGLE(RegimeExecucao)="Global",$I256&gt;0,COUNTIF($AB$13:$AM$13,BM.medicao-1)&gt;0),M256/$I256*100,0)))</f>
        <v>0</v>
      </c>
      <c r="K256" s="122">
        <f t="shared" ca="1" si="24"/>
        <v>0</v>
      </c>
      <c r="L256" s="334" cm="1">
        <f t="array" aca="1" ref="L256" ca="1">_xlfn.SINGLE(IF($A256="S",IF(CAIXA.Modo,BM.AFAcumulado,BM.MEDAcumulado),IF(AND(_xlfn.SINGLE(RegimeExecucao)="Global",$I256&gt;0,COUNTIF($AB$13:$AM$13,BM.medicao)&gt;0),O256/$I256*100,0)))</f>
        <v>0</v>
      </c>
      <c r="M256" s="335">
        <f ca="1">IF($A256="S",VTOTALBM,IF($A256=0,0,ROUND(SomaAgrupBM,15-13*ORÇAMENTO!$AF$11)))</f>
        <v>0</v>
      </c>
      <c r="N256" s="336">
        <f t="shared" ca="1" si="25"/>
        <v>0</v>
      </c>
      <c r="O256" s="125">
        <f ca="1">IF($A256="S",VTOTALBM,IF($A256=0,0,ROUND(SomaAgrupBM,15-13*ORÇAMENTO!$AF$11)))</f>
        <v>0</v>
      </c>
      <c r="Q256" s="337"/>
      <c r="R256" s="338"/>
      <c r="T256" s="117" t="str">
        <f t="shared" ca="1" si="26"/>
        <v/>
      </c>
      <c r="U256" s="163" t="str">
        <f t="shared" ca="1" si="27"/>
        <v/>
      </c>
      <c r="V256" s="164" t="str">
        <f ca="1">IF(AND($W256&gt;0,RegimeExecucao="Unitário"),$F256,"")</f>
        <v/>
      </c>
      <c r="W256" s="454">
        <f ca="1">IF($Y256&gt;0,CHOOSE(MATCH(RegimeExecucao,{"Unitário","Global"},0),IF($A256="S",$Y256/$X256,""),($Y256/$X256)*100),0)</f>
        <v>0</v>
      </c>
      <c r="X256" s="339" t="str">
        <f ca="1">IF($Y256&gt;0,CHOOSE(MATCH(RegimeExecucao,{"Unitário","Global"},0),IF($A256="S",ROUND($H256,ORÇAMENTO!$AF$10),""),ROUND($I256,ORÇAMENTO!$AF$11)),"")</f>
        <v/>
      </c>
      <c r="Y256" s="339">
        <f t="shared" ca="1" si="28"/>
        <v>0</v>
      </c>
      <c r="Z256" s="473"/>
      <c r="AB256" s="337"/>
      <c r="AC256" s="437"/>
      <c r="AD256" s="437"/>
      <c r="AE256" s="437"/>
      <c r="AF256" s="437"/>
      <c r="AG256" s="437"/>
      <c r="AH256" s="437"/>
      <c r="AI256" s="437"/>
      <c r="AJ256" s="437"/>
      <c r="AK256" s="437"/>
      <c r="AL256" s="437"/>
      <c r="AM256" s="338"/>
      <c r="AO256">
        <f ca="1">IF($A256="S",IF(BM!$I256=0,0,CHOOSE(MATCH(RegimeExecucao,{"Global","Unitário"},0),ROUND(ROUND(BM.MEDAcumulado,15-13*BM!$A$9)/100*BM!$I256,15-13*ORÇAMENTO!$AF$11),ROUND(ROUND(BM.MEDAcumulado,15-13*BM!$A$9)*ROUND(BM!$H256,15-13*ORÇAMENTO!$AF$10),15-13*ORÇAMENTO!$AF$11))),IF($A256=0,0,ROUND(SomaAgrupBM,15-13*ORÇAMENTO!$AF$11)))</f>
        <v>0</v>
      </c>
    </row>
    <row r="257" spans="1:41" x14ac:dyDescent="0.2">
      <c r="A257" t="str">
        <f ca="1">ORÇAMENTO!C257</f>
        <v>S</v>
      </c>
      <c r="B257">
        <f ca="1">ORÇAMENTO!D257</f>
        <v>0</v>
      </c>
      <c r="C257" s="114" t="str">
        <f t="shared" ca="1" si="22"/>
        <v>F</v>
      </c>
      <c r="D257" s="117" t="str">
        <f ca="1">ORÇAMENTO!O257</f>
        <v>1.7.1.1.11.</v>
      </c>
      <c r="E257" s="163" t="str">
        <f t="shared" ca="1" si="23"/>
        <v>ARRUELA BORRACHA PARA FLANGE - DN 350 MM</v>
      </c>
      <c r="F257" s="164" t="str">
        <f ca="1">IF(RegimeExecucao="Global","",ORÇAMENTO.Unidade)</f>
        <v>UN</v>
      </c>
      <c r="G257" s="122">
        <f ca="1">IF(RegimeExecucao="Global","",ORÇAMENTO!T257)</f>
        <v>2</v>
      </c>
      <c r="H257" s="122">
        <f ca="1">IF(RegimeExecucao="Global","",ORÇAMENTO!W257)</f>
        <v>39.979999999999997</v>
      </c>
      <c r="I257" s="125">
        <f ca="1">ORÇAMENTO!X257</f>
        <v>79.959999999999994</v>
      </c>
      <c r="J257" s="333" cm="1">
        <f t="array" aca="1" ref="J257" ca="1">_xlfn.SINGLE(IF($A257="S",IF(CAIXA.Modo,BM.AFAnterior,BM.MEDAnterior),IF(AND(_xlfn.SINGLE(RegimeExecucao)="Global",$I257&gt;0,COUNTIF($AB$13:$AM$13,BM.medicao-1)&gt;0),M257/$I257*100,0)))</f>
        <v>0</v>
      </c>
      <c r="K257" s="122">
        <f t="shared" ca="1" si="24"/>
        <v>0</v>
      </c>
      <c r="L257" s="334" cm="1">
        <f t="array" aca="1" ref="L257" ca="1">_xlfn.SINGLE(IF($A257="S",IF(CAIXA.Modo,BM.AFAcumulado,BM.MEDAcumulado),IF(AND(_xlfn.SINGLE(RegimeExecucao)="Global",$I257&gt;0,COUNTIF($AB$13:$AM$13,BM.medicao)&gt;0),O257/$I257*100,0)))</f>
        <v>0</v>
      </c>
      <c r="M257" s="335">
        <f ca="1">IF($A257="S",VTOTALBM,IF($A257=0,0,ROUND(SomaAgrupBM,15-13*ORÇAMENTO!$AF$11)))</f>
        <v>0</v>
      </c>
      <c r="N257" s="336">
        <f t="shared" ca="1" si="25"/>
        <v>0</v>
      </c>
      <c r="O257" s="125">
        <f ca="1">IF($A257="S",VTOTALBM,IF($A257=0,0,ROUND(SomaAgrupBM,15-13*ORÇAMENTO!$AF$11)))</f>
        <v>0</v>
      </c>
      <c r="Q257" s="337"/>
      <c r="R257" s="338"/>
      <c r="T257" s="117" t="str">
        <f t="shared" ca="1" si="26"/>
        <v/>
      </c>
      <c r="U257" s="163" t="str">
        <f t="shared" ca="1" si="27"/>
        <v/>
      </c>
      <c r="V257" s="164" t="str">
        <f ca="1">IF(AND($W257&gt;0,RegimeExecucao="Unitário"),$F257,"")</f>
        <v/>
      </c>
      <c r="W257" s="454">
        <f ca="1">IF($Y257&gt;0,CHOOSE(MATCH(RegimeExecucao,{"Unitário","Global"},0),IF($A257="S",$Y257/$X257,""),($Y257/$X257)*100),0)</f>
        <v>0</v>
      </c>
      <c r="X257" s="339" t="str">
        <f ca="1">IF($Y257&gt;0,CHOOSE(MATCH(RegimeExecucao,{"Unitário","Global"},0),IF($A257="S",ROUND($H257,ORÇAMENTO!$AF$10),""),ROUND($I257,ORÇAMENTO!$AF$11)),"")</f>
        <v/>
      </c>
      <c r="Y257" s="339">
        <f t="shared" ca="1" si="28"/>
        <v>0</v>
      </c>
      <c r="Z257" s="473"/>
      <c r="AB257" s="337"/>
      <c r="AC257" s="437"/>
      <c r="AD257" s="437"/>
      <c r="AE257" s="437"/>
      <c r="AF257" s="437"/>
      <c r="AG257" s="437"/>
      <c r="AH257" s="437"/>
      <c r="AI257" s="437"/>
      <c r="AJ257" s="437"/>
      <c r="AK257" s="437"/>
      <c r="AL257" s="437"/>
      <c r="AM257" s="338"/>
      <c r="AO257">
        <f ca="1">IF($A257="S",IF(BM!$I257=0,0,CHOOSE(MATCH(RegimeExecucao,{"Global","Unitário"},0),ROUND(ROUND(BM.MEDAcumulado,15-13*BM!$A$9)/100*BM!$I257,15-13*ORÇAMENTO!$AF$11),ROUND(ROUND(BM.MEDAcumulado,15-13*BM!$A$9)*ROUND(BM!$H257,15-13*ORÇAMENTO!$AF$10),15-13*ORÇAMENTO!$AF$11))),IF($A257=0,0,ROUND(SomaAgrupBM,15-13*ORÇAMENTO!$AF$11)))</f>
        <v>0</v>
      </c>
    </row>
    <row r="258" spans="1:41" x14ac:dyDescent="0.2">
      <c r="A258" t="str">
        <f ca="1">ORÇAMENTO!C258</f>
        <v>S</v>
      </c>
      <c r="B258">
        <f ca="1">ORÇAMENTO!D258</f>
        <v>0</v>
      </c>
      <c r="C258" s="114" t="str">
        <f t="shared" ca="1" si="22"/>
        <v>F</v>
      </c>
      <c r="D258" s="117" t="str">
        <f ca="1">ORÇAMENTO!O258</f>
        <v>1.7.1.1.12.</v>
      </c>
      <c r="E258" s="163" t="str">
        <f t="shared" ca="1" si="23"/>
        <v>PARAFUSO PARA FLANGE - 20 X 90 MM</v>
      </c>
      <c r="F258" s="164" t="str">
        <f ca="1">IF(RegimeExecucao="Global","",ORÇAMENTO.Unidade)</f>
        <v>UN</v>
      </c>
      <c r="G258" s="122">
        <f ca="1">IF(RegimeExecucao="Global","",ORÇAMENTO!T258)</f>
        <v>32</v>
      </c>
      <c r="H258" s="122">
        <f ca="1">IF(RegimeExecucao="Global","",ORÇAMENTO!W258)</f>
        <v>32.93</v>
      </c>
      <c r="I258" s="125">
        <f ca="1">ORÇAMENTO!X258</f>
        <v>1053.76</v>
      </c>
      <c r="J258" s="333" cm="1">
        <f t="array" aca="1" ref="J258" ca="1">_xlfn.SINGLE(IF($A258="S",IF(CAIXA.Modo,BM.AFAnterior,BM.MEDAnterior),IF(AND(_xlfn.SINGLE(RegimeExecucao)="Global",$I258&gt;0,COUNTIF($AB$13:$AM$13,BM.medicao-1)&gt;0),M258/$I258*100,0)))</f>
        <v>0</v>
      </c>
      <c r="K258" s="122">
        <f t="shared" ca="1" si="24"/>
        <v>0</v>
      </c>
      <c r="L258" s="334" cm="1">
        <f t="array" aca="1" ref="L258" ca="1">_xlfn.SINGLE(IF($A258="S",IF(CAIXA.Modo,BM.AFAcumulado,BM.MEDAcumulado),IF(AND(_xlfn.SINGLE(RegimeExecucao)="Global",$I258&gt;0,COUNTIF($AB$13:$AM$13,BM.medicao)&gt;0),O258/$I258*100,0)))</f>
        <v>0</v>
      </c>
      <c r="M258" s="335">
        <f ca="1">IF($A258="S",VTOTALBM,IF($A258=0,0,ROUND(SomaAgrupBM,15-13*ORÇAMENTO!$AF$11)))</f>
        <v>0</v>
      </c>
      <c r="N258" s="336">
        <f t="shared" ca="1" si="25"/>
        <v>0</v>
      </c>
      <c r="O258" s="125">
        <f ca="1">IF($A258="S",VTOTALBM,IF($A258=0,0,ROUND(SomaAgrupBM,15-13*ORÇAMENTO!$AF$11)))</f>
        <v>0</v>
      </c>
      <c r="Q258" s="337"/>
      <c r="R258" s="338"/>
      <c r="T258" s="117" t="str">
        <f t="shared" ca="1" si="26"/>
        <v/>
      </c>
      <c r="U258" s="163" t="str">
        <f t="shared" ca="1" si="27"/>
        <v/>
      </c>
      <c r="V258" s="164" t="str">
        <f ca="1">IF(AND($W258&gt;0,RegimeExecucao="Unitário"),$F258,"")</f>
        <v/>
      </c>
      <c r="W258" s="454">
        <f ca="1">IF($Y258&gt;0,CHOOSE(MATCH(RegimeExecucao,{"Unitário","Global"},0),IF($A258="S",$Y258/$X258,""),($Y258/$X258)*100),0)</f>
        <v>0</v>
      </c>
      <c r="X258" s="339" t="str">
        <f ca="1">IF($Y258&gt;0,CHOOSE(MATCH(RegimeExecucao,{"Unitário","Global"},0),IF($A258="S",ROUND($H258,ORÇAMENTO!$AF$10),""),ROUND($I258,ORÇAMENTO!$AF$11)),"")</f>
        <v/>
      </c>
      <c r="Y258" s="339">
        <f t="shared" ca="1" si="28"/>
        <v>0</v>
      </c>
      <c r="Z258" s="473"/>
      <c r="AB258" s="337"/>
      <c r="AC258" s="437"/>
      <c r="AD258" s="437"/>
      <c r="AE258" s="437"/>
      <c r="AF258" s="437"/>
      <c r="AG258" s="437"/>
      <c r="AH258" s="437"/>
      <c r="AI258" s="437"/>
      <c r="AJ258" s="437"/>
      <c r="AK258" s="437"/>
      <c r="AL258" s="437"/>
      <c r="AM258" s="338"/>
      <c r="AO258">
        <f ca="1">IF($A258="S",IF(BM!$I258=0,0,CHOOSE(MATCH(RegimeExecucao,{"Global","Unitário"},0),ROUND(ROUND(BM.MEDAcumulado,15-13*BM!$A$9)/100*BM!$I258,15-13*ORÇAMENTO!$AF$11),ROUND(ROUND(BM.MEDAcumulado,15-13*BM!$A$9)*ROUND(BM!$H258,15-13*ORÇAMENTO!$AF$10),15-13*ORÇAMENTO!$AF$11))),IF($A258=0,0,ROUND(SomaAgrupBM,15-13*ORÇAMENTO!$AF$11)))</f>
        <v>0</v>
      </c>
    </row>
    <row r="259" spans="1:41" x14ac:dyDescent="0.2">
      <c r="A259">
        <f ca="1">ORÇAMENTO!C259</f>
        <v>4</v>
      </c>
      <c r="B259">
        <f ca="1">ORÇAMENTO!D259</f>
        <v>4</v>
      </c>
      <c r="C259" s="114" t="str">
        <f t="shared" ca="1" si="22"/>
        <v>F</v>
      </c>
      <c r="D259" s="117" t="str">
        <f ca="1">ORÇAMENTO!O259</f>
        <v>1.7.1.2.</v>
      </c>
      <c r="E259" s="163" t="str">
        <f t="shared" si="23"/>
        <v>INSTALAÇÃO DE MATERIAIS E EQUIPAMENTOS</v>
      </c>
      <c r="F259" s="164" t="str">
        <f ca="1">IF(RegimeExecucao="Global","",ORÇAMENTO.Unidade)</f>
        <v>-</v>
      </c>
      <c r="G259" s="122">
        <f ca="1">IF(RegimeExecucao="Global","",ORÇAMENTO!T259)</f>
        <v>0</v>
      </c>
      <c r="H259" s="122">
        <f ca="1">IF(RegimeExecucao="Global","",ORÇAMENTO!W259)</f>
        <v>0</v>
      </c>
      <c r="I259" s="125">
        <f ca="1">ORÇAMENTO!X259</f>
        <v>91700.87</v>
      </c>
      <c r="J259" s="333" cm="1">
        <f t="array" aca="1" ref="J259" ca="1">_xlfn.SINGLE(IF($A259="S",IF(CAIXA.Modo,BM.AFAnterior,BM.MEDAnterior),IF(AND(_xlfn.SINGLE(RegimeExecucao)="Global",$I259&gt;0,COUNTIF($AB$13:$AM$13,BM.medicao-1)&gt;0),M259/$I259*100,0)))</f>
        <v>0</v>
      </c>
      <c r="K259" s="122">
        <f t="shared" ca="1" si="24"/>
        <v>0</v>
      </c>
      <c r="L259" s="334" cm="1">
        <f t="array" aca="1" ref="L259" ca="1">_xlfn.SINGLE(IF($A259="S",IF(CAIXA.Modo,BM.AFAcumulado,BM.MEDAcumulado),IF(AND(_xlfn.SINGLE(RegimeExecucao)="Global",$I259&gt;0,COUNTIF($AB$13:$AM$13,BM.medicao)&gt;0),O259/$I259*100,0)))</f>
        <v>0</v>
      </c>
      <c r="M259" s="335">
        <f ca="1">IF($A259="S",VTOTALBM,IF($A259=0,0,ROUND(SomaAgrupBM,15-13*ORÇAMENTO!$AF$11)))</f>
        <v>0</v>
      </c>
      <c r="N259" s="336">
        <f t="shared" ca="1" si="25"/>
        <v>0</v>
      </c>
      <c r="O259" s="125">
        <f ca="1">IF($A259="S",VTOTALBM,IF($A259=0,0,ROUND(SomaAgrupBM,15-13*ORÇAMENTO!$AF$11)))</f>
        <v>0</v>
      </c>
      <c r="Q259" s="337"/>
      <c r="R259" s="338"/>
      <c r="T259" s="117" t="str">
        <f t="shared" ca="1" si="26"/>
        <v/>
      </c>
      <c r="U259" s="163" t="str">
        <f t="shared" ca="1" si="27"/>
        <v/>
      </c>
      <c r="V259" s="164" t="str">
        <f ca="1">IF(AND($W259&gt;0,RegimeExecucao="Unitário"),$F259,"")</f>
        <v/>
      </c>
      <c r="W259" s="454">
        <f ca="1">IF($Y259&gt;0,CHOOSE(MATCH(RegimeExecucao,{"Unitário","Global"},0),IF($A259="S",$Y259/$X259,""),($Y259/$X259)*100),0)</f>
        <v>0</v>
      </c>
      <c r="X259" s="339" t="str">
        <f ca="1">IF($Y259&gt;0,CHOOSE(MATCH(RegimeExecucao,{"Unitário","Global"},0),IF($A259="S",ROUND($H259,ORÇAMENTO!$AF$10),""),ROUND($I259,ORÇAMENTO!$AF$11)),"")</f>
        <v/>
      </c>
      <c r="Y259" s="339">
        <f t="shared" ca="1" si="28"/>
        <v>0</v>
      </c>
      <c r="Z259" s="473"/>
      <c r="AB259" s="337"/>
      <c r="AC259" s="437"/>
      <c r="AD259" s="437"/>
      <c r="AE259" s="437"/>
      <c r="AF259" s="437"/>
      <c r="AG259" s="437"/>
      <c r="AH259" s="437"/>
      <c r="AI259" s="437"/>
      <c r="AJ259" s="437"/>
      <c r="AK259" s="437"/>
      <c r="AL259" s="437"/>
      <c r="AM259" s="338"/>
      <c r="AO259">
        <f ca="1">IF($A259="S",IF(BM!$I259=0,0,CHOOSE(MATCH(RegimeExecucao,{"Global","Unitário"},0),ROUND(ROUND(BM.MEDAcumulado,15-13*BM!$A$9)/100*BM!$I259,15-13*ORÇAMENTO!$AF$11),ROUND(ROUND(BM.MEDAcumulado,15-13*BM!$A$9)*ROUND(BM!$H259,15-13*ORÇAMENTO!$AF$10),15-13*ORÇAMENTO!$AF$11))),IF($A259=0,0,ROUND(SomaAgrupBM,15-13*ORÇAMENTO!$AF$11)))</f>
        <v>0</v>
      </c>
    </row>
    <row r="260" spans="1:41" ht="25.5" x14ac:dyDescent="0.2">
      <c r="A260" t="str">
        <f ca="1">ORÇAMENTO!C260</f>
        <v>S</v>
      </c>
      <c r="B260">
        <f ca="1">ORÇAMENTO!D260</f>
        <v>0</v>
      </c>
      <c r="C260" s="114" t="str">
        <f t="shared" ca="1" si="22"/>
        <v>F</v>
      </c>
      <c r="D260" s="117" t="str">
        <f ca="1">ORÇAMENTO!O260</f>
        <v>1.7.1.2.1.</v>
      </c>
      <c r="E260" s="163" t="str">
        <f t="shared" ca="1" si="23"/>
        <v>ASSENTAMENTO DE CONEXÕES EM FERRO FUNDIDO, JUNTA ELÁSTICA, DN = 350 MM - BASEADO EM ORSE (5287)</v>
      </c>
      <c r="F260" s="164" t="str">
        <f ca="1">IF(RegimeExecucao="Global","",ORÇAMENTO.Unidade)</f>
        <v>UN</v>
      </c>
      <c r="G260" s="122">
        <f ca="1">IF(RegimeExecucao="Global","",ORÇAMENTO!T260)</f>
        <v>3</v>
      </c>
      <c r="H260" s="122">
        <f ca="1">IF(RegimeExecucao="Global","",ORÇAMENTO!W260)</f>
        <v>26.81</v>
      </c>
      <c r="I260" s="125">
        <f ca="1">ORÇAMENTO!X260</f>
        <v>80.430000000000007</v>
      </c>
      <c r="J260" s="333" cm="1">
        <f t="array" aca="1" ref="J260" ca="1">_xlfn.SINGLE(IF($A260="S",IF(CAIXA.Modo,BM.AFAnterior,BM.MEDAnterior),IF(AND(_xlfn.SINGLE(RegimeExecucao)="Global",$I260&gt;0,COUNTIF($AB$13:$AM$13,BM.medicao-1)&gt;0),M260/$I260*100,0)))</f>
        <v>0</v>
      </c>
      <c r="K260" s="122">
        <f t="shared" ca="1" si="24"/>
        <v>0</v>
      </c>
      <c r="L260" s="334" cm="1">
        <f t="array" aca="1" ref="L260" ca="1">_xlfn.SINGLE(IF($A260="S",IF(CAIXA.Modo,BM.AFAcumulado,BM.MEDAcumulado),IF(AND(_xlfn.SINGLE(RegimeExecucao)="Global",$I260&gt;0,COUNTIF($AB$13:$AM$13,BM.medicao)&gt;0),O260/$I260*100,0)))</f>
        <v>0</v>
      </c>
      <c r="M260" s="335">
        <f ca="1">IF($A260="S",VTOTALBM,IF($A260=0,0,ROUND(SomaAgrupBM,15-13*ORÇAMENTO!$AF$11)))</f>
        <v>0</v>
      </c>
      <c r="N260" s="336">
        <f t="shared" ca="1" si="25"/>
        <v>0</v>
      </c>
      <c r="O260" s="125">
        <f ca="1">IF($A260="S",VTOTALBM,IF($A260=0,0,ROUND(SomaAgrupBM,15-13*ORÇAMENTO!$AF$11)))</f>
        <v>0</v>
      </c>
      <c r="Q260" s="337"/>
      <c r="R260" s="338"/>
      <c r="T260" s="117" t="str">
        <f t="shared" ca="1" si="26"/>
        <v/>
      </c>
      <c r="U260" s="163" t="str">
        <f t="shared" ca="1" si="27"/>
        <v/>
      </c>
      <c r="V260" s="164" t="str">
        <f ca="1">IF(AND($W260&gt;0,RegimeExecucao="Unitário"),$F260,"")</f>
        <v/>
      </c>
      <c r="W260" s="454">
        <f ca="1">IF($Y260&gt;0,CHOOSE(MATCH(RegimeExecucao,{"Unitário","Global"},0),IF($A260="S",$Y260/$X260,""),($Y260/$X260)*100),0)</f>
        <v>0</v>
      </c>
      <c r="X260" s="339" t="str">
        <f ca="1">IF($Y260&gt;0,CHOOSE(MATCH(RegimeExecucao,{"Unitário","Global"},0),IF($A260="S",ROUND($H260,ORÇAMENTO!$AF$10),""),ROUND($I260,ORÇAMENTO!$AF$11)),"")</f>
        <v/>
      </c>
      <c r="Y260" s="339">
        <f t="shared" ca="1" si="28"/>
        <v>0</v>
      </c>
      <c r="Z260" s="473"/>
      <c r="AB260" s="337"/>
      <c r="AC260" s="437"/>
      <c r="AD260" s="437"/>
      <c r="AE260" s="437"/>
      <c r="AF260" s="437"/>
      <c r="AG260" s="437"/>
      <c r="AH260" s="437"/>
      <c r="AI260" s="437"/>
      <c r="AJ260" s="437"/>
      <c r="AK260" s="437"/>
      <c r="AL260" s="437"/>
      <c r="AM260" s="338"/>
      <c r="AO260">
        <f ca="1">IF($A260="S",IF(BM!$I260=0,0,CHOOSE(MATCH(RegimeExecucao,{"Global","Unitário"},0),ROUND(ROUND(BM.MEDAcumulado,15-13*BM!$A$9)/100*BM!$I260,15-13*ORÇAMENTO!$AF$11),ROUND(ROUND(BM.MEDAcumulado,15-13*BM!$A$9)*ROUND(BM!$H260,15-13*ORÇAMENTO!$AF$10),15-13*ORÇAMENTO!$AF$11))),IF($A260=0,0,ROUND(SomaAgrupBM,15-13*ORÇAMENTO!$AF$11)))</f>
        <v>0</v>
      </c>
    </row>
    <row r="261" spans="1:41" ht="51" x14ac:dyDescent="0.2">
      <c r="A261" t="str">
        <f ca="1">ORÇAMENTO!C261</f>
        <v>S</v>
      </c>
      <c r="B261">
        <f ca="1">ORÇAMENTO!D261</f>
        <v>0</v>
      </c>
      <c r="C261" s="114" t="str">
        <f t="shared" ca="1" si="22"/>
        <v>F</v>
      </c>
      <c r="D261" s="117" t="str">
        <f ca="1">ORÇAMENTO!O261</f>
        <v>1.7.1.2.2.</v>
      </c>
      <c r="E261" s="163" t="str">
        <f t="shared" ca="1" si="23"/>
        <v>ASSENTAMENTO DE TUBO DE FERRO FUNDIDO PARA REDE DE ÁGUA, DN 350 MM, JUNTA ELÁSTICA, INSTALADO EM LOCAL COM NÍVEL BAIXO DE INTERFERÊNCIAS (NÃO INCLUI FORNECIMENTO). AF_05/2024</v>
      </c>
      <c r="F261" s="164" t="str">
        <f ca="1">IF(RegimeExecucao="Global","",ORÇAMENTO.Unidade)</f>
        <v>M</v>
      </c>
      <c r="G261" s="122">
        <f ca="1">IF(RegimeExecucao="Global","",ORÇAMENTO!T261)</f>
        <v>21.95</v>
      </c>
      <c r="H261" s="122">
        <f ca="1">IF(RegimeExecucao="Global","",ORÇAMENTO!W261)</f>
        <v>15.51</v>
      </c>
      <c r="I261" s="125">
        <f ca="1">ORÇAMENTO!X261</f>
        <v>340.44</v>
      </c>
      <c r="J261" s="333" cm="1">
        <f t="array" aca="1" ref="J261" ca="1">_xlfn.SINGLE(IF($A261="S",IF(CAIXA.Modo,BM.AFAnterior,BM.MEDAnterior),IF(AND(_xlfn.SINGLE(RegimeExecucao)="Global",$I261&gt;0,COUNTIF($AB$13:$AM$13,BM.medicao-1)&gt;0),M261/$I261*100,0)))</f>
        <v>0</v>
      </c>
      <c r="K261" s="122">
        <f t="shared" ca="1" si="24"/>
        <v>0</v>
      </c>
      <c r="L261" s="334" cm="1">
        <f t="array" aca="1" ref="L261" ca="1">_xlfn.SINGLE(IF($A261="S",IF(CAIXA.Modo,BM.AFAcumulado,BM.MEDAcumulado),IF(AND(_xlfn.SINGLE(RegimeExecucao)="Global",$I261&gt;0,COUNTIF($AB$13:$AM$13,BM.medicao)&gt;0),O261/$I261*100,0)))</f>
        <v>0</v>
      </c>
      <c r="M261" s="335">
        <f ca="1">IF($A261="S",VTOTALBM,IF($A261=0,0,ROUND(SomaAgrupBM,15-13*ORÇAMENTO!$AF$11)))</f>
        <v>0</v>
      </c>
      <c r="N261" s="336">
        <f t="shared" ca="1" si="25"/>
        <v>0</v>
      </c>
      <c r="O261" s="125">
        <f ca="1">IF($A261="S",VTOTALBM,IF($A261=0,0,ROUND(SomaAgrupBM,15-13*ORÇAMENTO!$AF$11)))</f>
        <v>0</v>
      </c>
      <c r="Q261" s="337"/>
      <c r="R261" s="338"/>
      <c r="T261" s="117" t="str">
        <f t="shared" ca="1" si="26"/>
        <v/>
      </c>
      <c r="U261" s="163" t="str">
        <f t="shared" ca="1" si="27"/>
        <v/>
      </c>
      <c r="V261" s="164" t="str">
        <f ca="1">IF(AND($W261&gt;0,RegimeExecucao="Unitário"),$F261,"")</f>
        <v/>
      </c>
      <c r="W261" s="454">
        <f ca="1">IF($Y261&gt;0,CHOOSE(MATCH(RegimeExecucao,{"Unitário","Global"},0),IF($A261="S",$Y261/$X261,""),($Y261/$X261)*100),0)</f>
        <v>0</v>
      </c>
      <c r="X261" s="339" t="str">
        <f ca="1">IF($Y261&gt;0,CHOOSE(MATCH(RegimeExecucao,{"Unitário","Global"},0),IF($A261="S",ROUND($H261,ORÇAMENTO!$AF$10),""),ROUND($I261,ORÇAMENTO!$AF$11)),"")</f>
        <v/>
      </c>
      <c r="Y261" s="339">
        <f t="shared" ca="1" si="28"/>
        <v>0</v>
      </c>
      <c r="Z261" s="473"/>
      <c r="AB261" s="337"/>
      <c r="AC261" s="437"/>
      <c r="AD261" s="437"/>
      <c r="AE261" s="437"/>
      <c r="AF261" s="437"/>
      <c r="AG261" s="437"/>
      <c r="AH261" s="437"/>
      <c r="AI261" s="437"/>
      <c r="AJ261" s="437"/>
      <c r="AK261" s="437"/>
      <c r="AL261" s="437"/>
      <c r="AM261" s="338"/>
      <c r="AO261">
        <f ca="1">IF($A261="S",IF(BM!$I261=0,0,CHOOSE(MATCH(RegimeExecucao,{"Global","Unitário"},0),ROUND(ROUND(BM.MEDAcumulado,15-13*BM!$A$9)/100*BM!$I261,15-13*ORÇAMENTO!$AF$11),ROUND(ROUND(BM.MEDAcumulado,15-13*BM!$A$9)*ROUND(BM!$H261,15-13*ORÇAMENTO!$AF$10),15-13*ORÇAMENTO!$AF$11))),IF($A261=0,0,ROUND(SomaAgrupBM,15-13*ORÇAMENTO!$AF$11)))</f>
        <v>0</v>
      </c>
    </row>
    <row r="262" spans="1:41" ht="25.5" x14ac:dyDescent="0.2">
      <c r="A262" t="str">
        <f ca="1">ORÇAMENTO!C262</f>
        <v>S</v>
      </c>
      <c r="B262">
        <f ca="1">ORÇAMENTO!D262</f>
        <v>0</v>
      </c>
      <c r="C262" s="114" t="str">
        <f t="shared" ca="1" si="22"/>
        <v>F</v>
      </c>
      <c r="D262" s="117" t="str">
        <f ca="1">ORÇAMENTO!O262</f>
        <v>1.7.1.2.3.</v>
      </c>
      <c r="E262" s="163" t="str">
        <f t="shared" ca="1" si="23"/>
        <v>DISTRIBUIDOR ROTATIVO - MONTAGEM - BASEADO EM SETOP (ED-20568)</v>
      </c>
      <c r="F262" s="164" t="str">
        <f ca="1">IF(RegimeExecucao="Global","",ORÇAMENTO.Unidade)</f>
        <v>KG</v>
      </c>
      <c r="G262" s="122">
        <f ca="1">IF(RegimeExecucao="Global","",ORÇAMENTO!T262)</f>
        <v>7000</v>
      </c>
      <c r="H262" s="122">
        <f ca="1">IF(RegimeExecucao="Global","",ORÇAMENTO!W262)</f>
        <v>13.04</v>
      </c>
      <c r="I262" s="125">
        <f ca="1">ORÇAMENTO!X262</f>
        <v>91280</v>
      </c>
      <c r="J262" s="333" cm="1">
        <f t="array" aca="1" ref="J262" ca="1">_xlfn.SINGLE(IF($A262="S",IF(CAIXA.Modo,BM.AFAnterior,BM.MEDAnterior),IF(AND(_xlfn.SINGLE(RegimeExecucao)="Global",$I262&gt;0,COUNTIF($AB$13:$AM$13,BM.medicao-1)&gt;0),M262/$I262*100,0)))</f>
        <v>0</v>
      </c>
      <c r="K262" s="122">
        <f t="shared" ca="1" si="24"/>
        <v>0</v>
      </c>
      <c r="L262" s="334" cm="1">
        <f t="array" aca="1" ref="L262" ca="1">_xlfn.SINGLE(IF($A262="S",IF(CAIXA.Modo,BM.AFAcumulado,BM.MEDAcumulado),IF(AND(_xlfn.SINGLE(RegimeExecucao)="Global",$I262&gt;0,COUNTIF($AB$13:$AM$13,BM.medicao)&gt;0),O262/$I262*100,0)))</f>
        <v>0</v>
      </c>
      <c r="M262" s="335">
        <f ca="1">IF($A262="S",VTOTALBM,IF($A262=0,0,ROUND(SomaAgrupBM,15-13*ORÇAMENTO!$AF$11)))</f>
        <v>0</v>
      </c>
      <c r="N262" s="336">
        <f t="shared" ca="1" si="25"/>
        <v>0</v>
      </c>
      <c r="O262" s="125">
        <f ca="1">IF($A262="S",VTOTALBM,IF($A262=0,0,ROUND(SomaAgrupBM,15-13*ORÇAMENTO!$AF$11)))</f>
        <v>0</v>
      </c>
      <c r="Q262" s="337"/>
      <c r="R262" s="338"/>
      <c r="T262" s="117" t="str">
        <f t="shared" ca="1" si="26"/>
        <v/>
      </c>
      <c r="U262" s="163" t="str">
        <f t="shared" ca="1" si="27"/>
        <v/>
      </c>
      <c r="V262" s="164" t="str">
        <f ca="1">IF(AND($W262&gt;0,RegimeExecucao="Unitário"),$F262,"")</f>
        <v/>
      </c>
      <c r="W262" s="454">
        <f ca="1">IF($Y262&gt;0,CHOOSE(MATCH(RegimeExecucao,{"Unitário","Global"},0),IF($A262="S",$Y262/$X262,""),($Y262/$X262)*100),0)</f>
        <v>0</v>
      </c>
      <c r="X262" s="339" t="str">
        <f ca="1">IF($Y262&gt;0,CHOOSE(MATCH(RegimeExecucao,{"Unitário","Global"},0),IF($A262="S",ROUND($H262,ORÇAMENTO!$AF$10),""),ROUND($I262,ORÇAMENTO!$AF$11)),"")</f>
        <v/>
      </c>
      <c r="Y262" s="339">
        <f t="shared" ca="1" si="28"/>
        <v>0</v>
      </c>
      <c r="Z262" s="473"/>
      <c r="AB262" s="337"/>
      <c r="AC262" s="437"/>
      <c r="AD262" s="437"/>
      <c r="AE262" s="437"/>
      <c r="AF262" s="437"/>
      <c r="AG262" s="437"/>
      <c r="AH262" s="437"/>
      <c r="AI262" s="437"/>
      <c r="AJ262" s="437"/>
      <c r="AK262" s="437"/>
      <c r="AL262" s="437"/>
      <c r="AM262" s="338"/>
      <c r="AO262">
        <f ca="1">IF($A262="S",IF(BM!$I262=0,0,CHOOSE(MATCH(RegimeExecucao,{"Global","Unitário"},0),ROUND(ROUND(BM.MEDAcumulado,15-13*BM!$A$9)/100*BM!$I262,15-13*ORÇAMENTO!$AF$11),ROUND(ROUND(BM.MEDAcumulado,15-13*BM!$A$9)*ROUND(BM!$H262,15-13*ORÇAMENTO!$AF$10),15-13*ORÇAMENTO!$AF$11))),IF($A262=0,0,ROUND(SomaAgrupBM,15-13*ORÇAMENTO!$AF$11)))</f>
        <v>0</v>
      </c>
    </row>
    <row r="263" spans="1:41" x14ac:dyDescent="0.2">
      <c r="A263">
        <f ca="1">ORÇAMENTO!C263</f>
        <v>3</v>
      </c>
      <c r="B263">
        <f ca="1">ORÇAMENTO!D263</f>
        <v>14</v>
      </c>
      <c r="C263" s="114" t="str">
        <f t="shared" ca="1" si="22"/>
        <v>F</v>
      </c>
      <c r="D263" s="117" t="str">
        <f ca="1">ORÇAMENTO!O263</f>
        <v>1.7.2.</v>
      </c>
      <c r="E263" s="163" t="str">
        <f t="shared" si="23"/>
        <v>DECANTADOR SECUNDÁRIO</v>
      </c>
      <c r="F263" s="164" t="str">
        <f ca="1">IF(RegimeExecucao="Global","",ORÇAMENTO.Unidade)</f>
        <v>-</v>
      </c>
      <c r="G263" s="122">
        <f ca="1">IF(RegimeExecucao="Global","",ORÇAMENTO!T263)</f>
        <v>0</v>
      </c>
      <c r="H263" s="122">
        <f ca="1">IF(RegimeExecucao="Global","",ORÇAMENTO!W263)</f>
        <v>0</v>
      </c>
      <c r="I263" s="125">
        <f ca="1">ORÇAMENTO!X263</f>
        <v>650262.06000000006</v>
      </c>
      <c r="J263" s="333" cm="1">
        <f t="array" aca="1" ref="J263" ca="1">_xlfn.SINGLE(IF($A263="S",IF(CAIXA.Modo,BM.AFAnterior,BM.MEDAnterior),IF(AND(_xlfn.SINGLE(RegimeExecucao)="Global",$I263&gt;0,COUNTIF($AB$13:$AM$13,BM.medicao-1)&gt;0),M263/$I263*100,0)))</f>
        <v>0</v>
      </c>
      <c r="K263" s="122">
        <f t="shared" ca="1" si="24"/>
        <v>0</v>
      </c>
      <c r="L263" s="334" cm="1">
        <f t="array" aca="1" ref="L263" ca="1">_xlfn.SINGLE(IF($A263="S",IF(CAIXA.Modo,BM.AFAcumulado,BM.MEDAcumulado),IF(AND(_xlfn.SINGLE(RegimeExecucao)="Global",$I263&gt;0,COUNTIF($AB$13:$AM$13,BM.medicao)&gt;0),O263/$I263*100,0)))</f>
        <v>0</v>
      </c>
      <c r="M263" s="335">
        <f ca="1">IF($A263="S",VTOTALBM,IF($A263=0,0,ROUND(SomaAgrupBM,15-13*ORÇAMENTO!$AF$11)))</f>
        <v>0</v>
      </c>
      <c r="N263" s="336">
        <f t="shared" ca="1" si="25"/>
        <v>0</v>
      </c>
      <c r="O263" s="125">
        <f ca="1">IF($A263="S",VTOTALBM,IF($A263=0,0,ROUND(SomaAgrupBM,15-13*ORÇAMENTO!$AF$11)))</f>
        <v>0</v>
      </c>
      <c r="Q263" s="337"/>
      <c r="R263" s="338"/>
      <c r="T263" s="117" t="str">
        <f t="shared" ca="1" si="26"/>
        <v/>
      </c>
      <c r="U263" s="163" t="str">
        <f t="shared" ca="1" si="27"/>
        <v/>
      </c>
      <c r="V263" s="164" t="str">
        <f ca="1">IF(AND($W263&gt;0,RegimeExecucao="Unitário"),$F263,"")</f>
        <v/>
      </c>
      <c r="W263" s="454">
        <f ca="1">IF($Y263&gt;0,CHOOSE(MATCH(RegimeExecucao,{"Unitário","Global"},0),IF($A263="S",$Y263/$X263,""),($Y263/$X263)*100),0)</f>
        <v>0</v>
      </c>
      <c r="X263" s="339" t="str">
        <f ca="1">IF($Y263&gt;0,CHOOSE(MATCH(RegimeExecucao,{"Unitário","Global"},0),IF($A263="S",ROUND($H263,ORÇAMENTO!$AF$10),""),ROUND($I263,ORÇAMENTO!$AF$11)),"")</f>
        <v/>
      </c>
      <c r="Y263" s="339">
        <f t="shared" ca="1" si="28"/>
        <v>0</v>
      </c>
      <c r="Z263" s="473"/>
      <c r="AB263" s="337"/>
      <c r="AC263" s="437"/>
      <c r="AD263" s="437"/>
      <c r="AE263" s="437"/>
      <c r="AF263" s="437"/>
      <c r="AG263" s="437"/>
      <c r="AH263" s="437"/>
      <c r="AI263" s="437"/>
      <c r="AJ263" s="437"/>
      <c r="AK263" s="437"/>
      <c r="AL263" s="437"/>
      <c r="AM263" s="338"/>
      <c r="AO263">
        <f ca="1">IF($A263="S",IF(BM!$I263=0,0,CHOOSE(MATCH(RegimeExecucao,{"Global","Unitário"},0),ROUND(ROUND(BM.MEDAcumulado,15-13*BM!$A$9)/100*BM!$I263,15-13*ORÇAMENTO!$AF$11),ROUND(ROUND(BM.MEDAcumulado,15-13*BM!$A$9)*ROUND(BM!$H263,15-13*ORÇAMENTO!$AF$10),15-13*ORÇAMENTO!$AF$11))),IF($A263=0,0,ROUND(SomaAgrupBM,15-13*ORÇAMENTO!$AF$11)))</f>
        <v>0</v>
      </c>
    </row>
    <row r="264" spans="1:41" x14ac:dyDescent="0.2">
      <c r="A264">
        <f ca="1">ORÇAMENTO!C264</f>
        <v>4</v>
      </c>
      <c r="B264">
        <f ca="1">ORÇAMENTO!D264</f>
        <v>8</v>
      </c>
      <c r="C264" s="114" t="str">
        <f t="shared" ca="1" si="22"/>
        <v>F</v>
      </c>
      <c r="D264" s="117" t="str">
        <f ca="1">ORÇAMENTO!O264</f>
        <v>1.7.2.1.</v>
      </c>
      <c r="E264" s="163" t="str">
        <f t="shared" si="23"/>
        <v>FORNECIMENTO DE MATERIAIS E EQUIPAMENTOS</v>
      </c>
      <c r="F264" s="164" t="str">
        <f ca="1">IF(RegimeExecucao="Global","",ORÇAMENTO.Unidade)</f>
        <v>-</v>
      </c>
      <c r="G264" s="122">
        <f ca="1">IF(RegimeExecucao="Global","",ORÇAMENTO!T264)</f>
        <v>0</v>
      </c>
      <c r="H264" s="122">
        <f ca="1">IF(RegimeExecucao="Global","",ORÇAMENTO!W264)</f>
        <v>0</v>
      </c>
      <c r="I264" s="125">
        <f ca="1">ORÇAMENTO!X264</f>
        <v>532702.84</v>
      </c>
      <c r="J264" s="333" cm="1">
        <f t="array" aca="1" ref="J264" ca="1">_xlfn.SINGLE(IF($A264="S",IF(CAIXA.Modo,BM.AFAnterior,BM.MEDAnterior),IF(AND(_xlfn.SINGLE(RegimeExecucao)="Global",$I264&gt;0,COUNTIF($AB$13:$AM$13,BM.medicao-1)&gt;0),M264/$I264*100,0)))</f>
        <v>0</v>
      </c>
      <c r="K264" s="122">
        <f t="shared" ca="1" si="24"/>
        <v>0</v>
      </c>
      <c r="L264" s="334" cm="1">
        <f t="array" aca="1" ref="L264" ca="1">_xlfn.SINGLE(IF($A264="S",IF(CAIXA.Modo,BM.AFAcumulado,BM.MEDAcumulado),IF(AND(_xlfn.SINGLE(RegimeExecucao)="Global",$I264&gt;0,COUNTIF($AB$13:$AM$13,BM.medicao)&gt;0),O264/$I264*100,0)))</f>
        <v>0</v>
      </c>
      <c r="M264" s="335">
        <f ca="1">IF($A264="S",VTOTALBM,IF($A264=0,0,ROUND(SomaAgrupBM,15-13*ORÇAMENTO!$AF$11)))</f>
        <v>0</v>
      </c>
      <c r="N264" s="336">
        <f t="shared" ca="1" si="25"/>
        <v>0</v>
      </c>
      <c r="O264" s="125">
        <f ca="1">IF($A264="S",VTOTALBM,IF($A264=0,0,ROUND(SomaAgrupBM,15-13*ORÇAMENTO!$AF$11)))</f>
        <v>0</v>
      </c>
      <c r="Q264" s="337"/>
      <c r="R264" s="338"/>
      <c r="T264" s="117" t="str">
        <f t="shared" ca="1" si="26"/>
        <v/>
      </c>
      <c r="U264" s="163" t="str">
        <f t="shared" ca="1" si="27"/>
        <v/>
      </c>
      <c r="V264" s="164" t="str">
        <f ca="1">IF(AND($W264&gt;0,RegimeExecucao="Unitário"),$F264,"")</f>
        <v/>
      </c>
      <c r="W264" s="454">
        <f ca="1">IF($Y264&gt;0,CHOOSE(MATCH(RegimeExecucao,{"Unitário","Global"},0),IF($A264="S",$Y264/$X264,""),($Y264/$X264)*100),0)</f>
        <v>0</v>
      </c>
      <c r="X264" s="339" t="str">
        <f ca="1">IF($Y264&gt;0,CHOOSE(MATCH(RegimeExecucao,{"Unitário","Global"},0),IF($A264="S",ROUND($H264,ORÇAMENTO!$AF$10),""),ROUND($I264,ORÇAMENTO!$AF$11)),"")</f>
        <v/>
      </c>
      <c r="Y264" s="339">
        <f t="shared" ca="1" si="28"/>
        <v>0</v>
      </c>
      <c r="Z264" s="473"/>
      <c r="AB264" s="337"/>
      <c r="AC264" s="437"/>
      <c r="AD264" s="437"/>
      <c r="AE264" s="437"/>
      <c r="AF264" s="437"/>
      <c r="AG264" s="437"/>
      <c r="AH264" s="437"/>
      <c r="AI264" s="437"/>
      <c r="AJ264" s="437"/>
      <c r="AK264" s="437"/>
      <c r="AL264" s="437"/>
      <c r="AM264" s="338"/>
      <c r="AO264">
        <f ca="1">IF($A264="S",IF(BM!$I264=0,0,CHOOSE(MATCH(RegimeExecucao,{"Global","Unitário"},0),ROUND(ROUND(BM.MEDAcumulado,15-13*BM!$A$9)/100*BM!$I264,15-13*ORÇAMENTO!$AF$11),ROUND(ROUND(BM.MEDAcumulado,15-13*BM!$A$9)*ROUND(BM!$H264,15-13*ORÇAMENTO!$AF$10),15-13*ORÇAMENTO!$AF$11))),IF($A264=0,0,ROUND(SomaAgrupBM,15-13*ORÇAMENTO!$AF$11)))</f>
        <v>0</v>
      </c>
    </row>
    <row r="265" spans="1:41" x14ac:dyDescent="0.2">
      <c r="A265" t="str">
        <f ca="1">ORÇAMENTO!C265</f>
        <v>S</v>
      </c>
      <c r="B265">
        <f ca="1">ORÇAMENTO!D265</f>
        <v>0</v>
      </c>
      <c r="C265" s="114" t="str">
        <f t="shared" ca="1" si="22"/>
        <v>F</v>
      </c>
      <c r="D265" s="117" t="str">
        <f ca="1">ORÇAMENTO!O265</f>
        <v>1.7.2.1.1.</v>
      </c>
      <c r="E265" s="163" t="str">
        <f t="shared" ca="1" si="23"/>
        <v>MECANISMO PRA REMOÇÃO DE LODO - FORNECIMENTO</v>
      </c>
      <c r="F265" s="164" t="str">
        <f ca="1">IF(RegimeExecucao="Global","",ORÇAMENTO.Unidade)</f>
        <v>CJ</v>
      </c>
      <c r="G265" s="122">
        <f ca="1">IF(RegimeExecucao="Global","",ORÇAMENTO!T265)</f>
        <v>1</v>
      </c>
      <c r="H265" s="122">
        <f ca="1">IF(RegimeExecucao="Global","",ORÇAMENTO!W265)</f>
        <v>512293.75</v>
      </c>
      <c r="I265" s="125">
        <f ca="1">ORÇAMENTO!X265</f>
        <v>512293.75</v>
      </c>
      <c r="J265" s="333" cm="1">
        <f t="array" aca="1" ref="J265" ca="1">_xlfn.SINGLE(IF($A265="S",IF(CAIXA.Modo,BM.AFAnterior,BM.MEDAnterior),IF(AND(_xlfn.SINGLE(RegimeExecucao)="Global",$I265&gt;0,COUNTIF($AB$13:$AM$13,BM.medicao-1)&gt;0),M265/$I265*100,0)))</f>
        <v>0</v>
      </c>
      <c r="K265" s="122">
        <f t="shared" ca="1" si="24"/>
        <v>0</v>
      </c>
      <c r="L265" s="334" cm="1">
        <f t="array" aca="1" ref="L265" ca="1">_xlfn.SINGLE(IF($A265="S",IF(CAIXA.Modo,BM.AFAcumulado,BM.MEDAcumulado),IF(AND(_xlfn.SINGLE(RegimeExecucao)="Global",$I265&gt;0,COUNTIF($AB$13:$AM$13,BM.medicao)&gt;0),O265/$I265*100,0)))</f>
        <v>0</v>
      </c>
      <c r="M265" s="335">
        <f ca="1">IF($A265="S",VTOTALBM,IF($A265=0,0,ROUND(SomaAgrupBM,15-13*ORÇAMENTO!$AF$11)))</f>
        <v>0</v>
      </c>
      <c r="N265" s="336">
        <f t="shared" ca="1" si="25"/>
        <v>0</v>
      </c>
      <c r="O265" s="125">
        <f ca="1">IF($A265="S",VTOTALBM,IF($A265=0,0,ROUND(SomaAgrupBM,15-13*ORÇAMENTO!$AF$11)))</f>
        <v>0</v>
      </c>
      <c r="Q265" s="337"/>
      <c r="R265" s="338"/>
      <c r="T265" s="117" t="str">
        <f t="shared" ca="1" si="26"/>
        <v/>
      </c>
      <c r="U265" s="163" t="str">
        <f t="shared" ca="1" si="27"/>
        <v/>
      </c>
      <c r="V265" s="164" t="str">
        <f ca="1">IF(AND($W265&gt;0,RegimeExecucao="Unitário"),$F265,"")</f>
        <v/>
      </c>
      <c r="W265" s="454">
        <f ca="1">IF($Y265&gt;0,CHOOSE(MATCH(RegimeExecucao,{"Unitário","Global"},0),IF($A265="S",$Y265/$X265,""),($Y265/$X265)*100),0)</f>
        <v>0</v>
      </c>
      <c r="X265" s="339" t="str">
        <f ca="1">IF($Y265&gt;0,CHOOSE(MATCH(RegimeExecucao,{"Unitário","Global"},0),IF($A265="S",ROUND($H265,ORÇAMENTO!$AF$10),""),ROUND($I265,ORÇAMENTO!$AF$11)),"")</f>
        <v/>
      </c>
      <c r="Y265" s="339">
        <f t="shared" ca="1" si="28"/>
        <v>0</v>
      </c>
      <c r="Z265" s="473"/>
      <c r="AB265" s="337"/>
      <c r="AC265" s="437"/>
      <c r="AD265" s="437"/>
      <c r="AE265" s="437"/>
      <c r="AF265" s="437"/>
      <c r="AG265" s="437"/>
      <c r="AH265" s="437"/>
      <c r="AI265" s="437"/>
      <c r="AJ265" s="437"/>
      <c r="AK265" s="437"/>
      <c r="AL265" s="437"/>
      <c r="AM265" s="338"/>
      <c r="AO265">
        <f ca="1">IF($A265="S",IF(BM!$I265=0,0,CHOOSE(MATCH(RegimeExecucao,{"Global","Unitário"},0),ROUND(ROUND(BM.MEDAcumulado,15-13*BM!$A$9)/100*BM!$I265,15-13*ORÇAMENTO!$AF$11),ROUND(ROUND(BM.MEDAcumulado,15-13*BM!$A$9)*ROUND(BM!$H265,15-13*ORÇAMENTO!$AF$10),15-13*ORÇAMENTO!$AF$11))),IF($A265=0,0,ROUND(SomaAgrupBM,15-13*ORÇAMENTO!$AF$11)))</f>
        <v>0</v>
      </c>
    </row>
    <row r="266" spans="1:41" x14ac:dyDescent="0.2">
      <c r="A266" t="str">
        <f ca="1">ORÇAMENTO!C266</f>
        <v>S</v>
      </c>
      <c r="B266">
        <f ca="1">ORÇAMENTO!D266</f>
        <v>0</v>
      </c>
      <c r="C266" s="114" t="str">
        <f t="shared" ca="1" si="22"/>
        <v>F</v>
      </c>
      <c r="D266" s="117" t="str">
        <f ca="1">ORÇAMENTO!O266</f>
        <v>1.7.2.1.2.</v>
      </c>
      <c r="E266" s="163" t="str">
        <f t="shared" ca="1" si="23"/>
        <v>EXTREMIDADE PONTA/FLANGE FoFo - DN 400 MM</v>
      </c>
      <c r="F266" s="164" t="str">
        <f ca="1">IF(RegimeExecucao="Global","",ORÇAMENTO.Unidade)</f>
        <v>UN</v>
      </c>
      <c r="G266" s="122">
        <f ca="1">IF(RegimeExecucao="Global","",ORÇAMENTO!T266)</f>
        <v>1</v>
      </c>
      <c r="H266" s="122">
        <f ca="1">IF(RegimeExecucao="Global","",ORÇAMENTO!W266)</f>
        <v>5183.71</v>
      </c>
      <c r="I266" s="125">
        <f ca="1">ORÇAMENTO!X266</f>
        <v>5183.71</v>
      </c>
      <c r="J266" s="333" cm="1">
        <f t="array" aca="1" ref="J266" ca="1">_xlfn.SINGLE(IF($A266="S",IF(CAIXA.Modo,BM.AFAnterior,BM.MEDAnterior),IF(AND(_xlfn.SINGLE(RegimeExecucao)="Global",$I266&gt;0,COUNTIF($AB$13:$AM$13,BM.medicao-1)&gt;0),M266/$I266*100,0)))</f>
        <v>0</v>
      </c>
      <c r="K266" s="122">
        <f t="shared" ca="1" si="24"/>
        <v>0</v>
      </c>
      <c r="L266" s="334" cm="1">
        <f t="array" aca="1" ref="L266" ca="1">_xlfn.SINGLE(IF($A266="S",IF(CAIXA.Modo,BM.AFAcumulado,BM.MEDAcumulado),IF(AND(_xlfn.SINGLE(RegimeExecucao)="Global",$I266&gt;0,COUNTIF($AB$13:$AM$13,BM.medicao)&gt;0),O266/$I266*100,0)))</f>
        <v>0</v>
      </c>
      <c r="M266" s="335">
        <f ca="1">IF($A266="S",VTOTALBM,IF($A266=0,0,ROUND(SomaAgrupBM,15-13*ORÇAMENTO!$AF$11)))</f>
        <v>0</v>
      </c>
      <c r="N266" s="336">
        <f t="shared" ca="1" si="25"/>
        <v>0</v>
      </c>
      <c r="O266" s="125">
        <f ca="1">IF($A266="S",VTOTALBM,IF($A266=0,0,ROUND(SomaAgrupBM,15-13*ORÇAMENTO!$AF$11)))</f>
        <v>0</v>
      </c>
      <c r="Q266" s="337"/>
      <c r="R266" s="338"/>
      <c r="T266" s="117" t="str">
        <f t="shared" ca="1" si="26"/>
        <v/>
      </c>
      <c r="U266" s="163" t="str">
        <f t="shared" ca="1" si="27"/>
        <v/>
      </c>
      <c r="V266" s="164" t="str">
        <f ca="1">IF(AND($W266&gt;0,RegimeExecucao="Unitário"),$F266,"")</f>
        <v/>
      </c>
      <c r="W266" s="454">
        <f ca="1">IF($Y266&gt;0,CHOOSE(MATCH(RegimeExecucao,{"Unitário","Global"},0),IF($A266="S",$Y266/$X266,""),($Y266/$X266)*100),0)</f>
        <v>0</v>
      </c>
      <c r="X266" s="339" t="str">
        <f ca="1">IF($Y266&gt;0,CHOOSE(MATCH(RegimeExecucao,{"Unitário","Global"},0),IF($A266="S",ROUND($H266,ORÇAMENTO!$AF$10),""),ROUND($I266,ORÇAMENTO!$AF$11)),"")</f>
        <v/>
      </c>
      <c r="Y266" s="339">
        <f t="shared" ca="1" si="28"/>
        <v>0</v>
      </c>
      <c r="Z266" s="473"/>
      <c r="AB266" s="337"/>
      <c r="AC266" s="437"/>
      <c r="AD266" s="437"/>
      <c r="AE266" s="437"/>
      <c r="AF266" s="437"/>
      <c r="AG266" s="437"/>
      <c r="AH266" s="437"/>
      <c r="AI266" s="437"/>
      <c r="AJ266" s="437"/>
      <c r="AK266" s="437"/>
      <c r="AL266" s="437"/>
      <c r="AM266" s="338"/>
      <c r="AO266">
        <f ca="1">IF($A266="S",IF(BM!$I266=0,0,CHOOSE(MATCH(RegimeExecucao,{"Global","Unitário"},0),ROUND(ROUND(BM.MEDAcumulado,15-13*BM!$A$9)/100*BM!$I266,15-13*ORÇAMENTO!$AF$11),ROUND(ROUND(BM.MEDAcumulado,15-13*BM!$A$9)*ROUND(BM!$H266,15-13*ORÇAMENTO!$AF$10),15-13*ORÇAMENTO!$AF$11))),IF($A266=0,0,ROUND(SomaAgrupBM,15-13*ORÇAMENTO!$AF$11)))</f>
        <v>0</v>
      </c>
    </row>
    <row r="267" spans="1:41" x14ac:dyDescent="0.2">
      <c r="A267" t="str">
        <f ca="1">ORÇAMENTO!C267</f>
        <v>S</v>
      </c>
      <c r="B267">
        <f ca="1">ORÇAMENTO!D267</f>
        <v>0</v>
      </c>
      <c r="C267" s="114" t="str">
        <f t="shared" ca="1" si="22"/>
        <v>F</v>
      </c>
      <c r="D267" s="117" t="str">
        <f ca="1">ORÇAMENTO!O267</f>
        <v>1.7.2.1.3.</v>
      </c>
      <c r="E267" s="163" t="str">
        <f t="shared" ca="1" si="23"/>
        <v>LUVA COM BOLSAS FoFo - DN 400 MM</v>
      </c>
      <c r="F267" s="164" t="str">
        <f ca="1">IF(RegimeExecucao="Global","",ORÇAMENTO.Unidade)</f>
        <v>UN</v>
      </c>
      <c r="G267" s="122">
        <f ca="1">IF(RegimeExecucao="Global","",ORÇAMENTO!T267)</f>
        <v>1</v>
      </c>
      <c r="H267" s="122">
        <f ca="1">IF(RegimeExecucao="Global","",ORÇAMENTO!W267)</f>
        <v>5430.56</v>
      </c>
      <c r="I267" s="125">
        <f ca="1">ORÇAMENTO!X267</f>
        <v>5430.56</v>
      </c>
      <c r="J267" s="333" cm="1">
        <f t="array" aca="1" ref="J267" ca="1">_xlfn.SINGLE(IF($A267="S",IF(CAIXA.Modo,BM.AFAnterior,BM.MEDAnterior),IF(AND(_xlfn.SINGLE(RegimeExecucao)="Global",$I267&gt;0,COUNTIF($AB$13:$AM$13,BM.medicao-1)&gt;0),M267/$I267*100,0)))</f>
        <v>0</v>
      </c>
      <c r="K267" s="122">
        <f t="shared" ca="1" si="24"/>
        <v>0</v>
      </c>
      <c r="L267" s="334" cm="1">
        <f t="array" aca="1" ref="L267" ca="1">_xlfn.SINGLE(IF($A267="S",IF(CAIXA.Modo,BM.AFAcumulado,BM.MEDAcumulado),IF(AND(_xlfn.SINGLE(RegimeExecucao)="Global",$I267&gt;0,COUNTIF($AB$13:$AM$13,BM.medicao)&gt;0),O267/$I267*100,0)))</f>
        <v>0</v>
      </c>
      <c r="M267" s="335">
        <f ca="1">IF($A267="S",VTOTALBM,IF($A267=0,0,ROUND(SomaAgrupBM,15-13*ORÇAMENTO!$AF$11)))</f>
        <v>0</v>
      </c>
      <c r="N267" s="336">
        <f t="shared" ca="1" si="25"/>
        <v>0</v>
      </c>
      <c r="O267" s="125">
        <f ca="1">IF($A267="S",VTOTALBM,IF($A267=0,0,ROUND(SomaAgrupBM,15-13*ORÇAMENTO!$AF$11)))</f>
        <v>0</v>
      </c>
      <c r="Q267" s="337"/>
      <c r="R267" s="338"/>
      <c r="T267" s="117" t="str">
        <f t="shared" ca="1" si="26"/>
        <v/>
      </c>
      <c r="U267" s="163" t="str">
        <f t="shared" ca="1" si="27"/>
        <v/>
      </c>
      <c r="V267" s="164" t="str">
        <f ca="1">IF(AND($W267&gt;0,RegimeExecucao="Unitário"),$F267,"")</f>
        <v/>
      </c>
      <c r="W267" s="454">
        <f ca="1">IF($Y267&gt;0,CHOOSE(MATCH(RegimeExecucao,{"Unitário","Global"},0),IF($A267="S",$Y267/$X267,""),($Y267/$X267)*100),0)</f>
        <v>0</v>
      </c>
      <c r="X267" s="339" t="str">
        <f ca="1">IF($Y267&gt;0,CHOOSE(MATCH(RegimeExecucao,{"Unitário","Global"},0),IF($A267="S",ROUND($H267,ORÇAMENTO!$AF$10),""),ROUND($I267,ORÇAMENTO!$AF$11)),"")</f>
        <v/>
      </c>
      <c r="Y267" s="339">
        <f t="shared" ca="1" si="28"/>
        <v>0</v>
      </c>
      <c r="Z267" s="473"/>
      <c r="AB267" s="337"/>
      <c r="AC267" s="437"/>
      <c r="AD267" s="437"/>
      <c r="AE267" s="437"/>
      <c r="AF267" s="437"/>
      <c r="AG267" s="437"/>
      <c r="AH267" s="437"/>
      <c r="AI267" s="437"/>
      <c r="AJ267" s="437"/>
      <c r="AK267" s="437"/>
      <c r="AL267" s="437"/>
      <c r="AM267" s="338"/>
      <c r="AO267">
        <f ca="1">IF($A267="S",IF(BM!$I267=0,0,CHOOSE(MATCH(RegimeExecucao,{"Global","Unitário"},0),ROUND(ROUND(BM.MEDAcumulado,15-13*BM!$A$9)/100*BM!$I267,15-13*ORÇAMENTO!$AF$11),ROUND(ROUND(BM.MEDAcumulado,15-13*BM!$A$9)*ROUND(BM!$H267,15-13*ORÇAMENTO!$AF$10),15-13*ORÇAMENTO!$AF$11))),IF($A267=0,0,ROUND(SomaAgrupBM,15-13*ORÇAMENTO!$AF$11)))</f>
        <v>0</v>
      </c>
    </row>
    <row r="268" spans="1:41" x14ac:dyDescent="0.2">
      <c r="A268" t="str">
        <f ca="1">ORÇAMENTO!C268</f>
        <v>S</v>
      </c>
      <c r="B268">
        <f ca="1">ORÇAMENTO!D268</f>
        <v>0</v>
      </c>
      <c r="C268" s="114" t="str">
        <f t="shared" ca="1" si="22"/>
        <v>F</v>
      </c>
      <c r="D268" s="117" t="str">
        <f ca="1">ORÇAMENTO!O268</f>
        <v>1.7.2.1.4.</v>
      </c>
      <c r="E268" s="163" t="str">
        <f t="shared" ca="1" si="23"/>
        <v>TUBO PONTA/BOLSA FoFo - DN 150 MM</v>
      </c>
      <c r="F268" s="164" t="str">
        <f ca="1">IF(RegimeExecucao="Global","",ORÇAMENTO.Unidade)</f>
        <v>M</v>
      </c>
      <c r="G268" s="122">
        <f ca="1">IF(RegimeExecucao="Global","",ORÇAMENTO!T268)</f>
        <v>9.25</v>
      </c>
      <c r="H268" s="122">
        <f ca="1">IF(RegimeExecucao="Global","",ORÇAMENTO!W268)</f>
        <v>583.09</v>
      </c>
      <c r="I268" s="125">
        <f ca="1">ORÇAMENTO!X268</f>
        <v>5393.58</v>
      </c>
      <c r="J268" s="333" cm="1">
        <f t="array" aca="1" ref="J268" ca="1">_xlfn.SINGLE(IF($A268="S",IF(CAIXA.Modo,BM.AFAnterior,BM.MEDAnterior),IF(AND(_xlfn.SINGLE(RegimeExecucao)="Global",$I268&gt;0,COUNTIF($AB$13:$AM$13,BM.medicao-1)&gt;0),M268/$I268*100,0)))</f>
        <v>0</v>
      </c>
      <c r="K268" s="122">
        <f t="shared" ca="1" si="24"/>
        <v>0</v>
      </c>
      <c r="L268" s="334" cm="1">
        <f t="array" aca="1" ref="L268" ca="1">_xlfn.SINGLE(IF($A268="S",IF(CAIXA.Modo,BM.AFAcumulado,BM.MEDAcumulado),IF(AND(_xlfn.SINGLE(RegimeExecucao)="Global",$I268&gt;0,COUNTIF($AB$13:$AM$13,BM.medicao)&gt;0),O268/$I268*100,0)))</f>
        <v>0</v>
      </c>
      <c r="M268" s="335">
        <f ca="1">IF($A268="S",VTOTALBM,IF($A268=0,0,ROUND(SomaAgrupBM,15-13*ORÇAMENTO!$AF$11)))</f>
        <v>0</v>
      </c>
      <c r="N268" s="336">
        <f t="shared" ca="1" si="25"/>
        <v>0</v>
      </c>
      <c r="O268" s="125">
        <f ca="1">IF($A268="S",VTOTALBM,IF($A268=0,0,ROUND(SomaAgrupBM,15-13*ORÇAMENTO!$AF$11)))</f>
        <v>0</v>
      </c>
      <c r="Q268" s="337"/>
      <c r="R268" s="338"/>
      <c r="T268" s="117" t="str">
        <f t="shared" ca="1" si="26"/>
        <v/>
      </c>
      <c r="U268" s="163" t="str">
        <f t="shared" ca="1" si="27"/>
        <v/>
      </c>
      <c r="V268" s="164" t="str">
        <f ca="1">IF(AND($W268&gt;0,RegimeExecucao="Unitário"),$F268,"")</f>
        <v/>
      </c>
      <c r="W268" s="454">
        <f ca="1">IF($Y268&gt;0,CHOOSE(MATCH(RegimeExecucao,{"Unitário","Global"},0),IF($A268="S",$Y268/$X268,""),($Y268/$X268)*100),0)</f>
        <v>0</v>
      </c>
      <c r="X268" s="339" t="str">
        <f ca="1">IF($Y268&gt;0,CHOOSE(MATCH(RegimeExecucao,{"Unitário","Global"},0),IF($A268="S",ROUND($H268,ORÇAMENTO!$AF$10),""),ROUND($I268,ORÇAMENTO!$AF$11)),"")</f>
        <v/>
      </c>
      <c r="Y268" s="339">
        <f t="shared" ca="1" si="28"/>
        <v>0</v>
      </c>
      <c r="Z268" s="473"/>
      <c r="AB268" s="337"/>
      <c r="AC268" s="437"/>
      <c r="AD268" s="437"/>
      <c r="AE268" s="437"/>
      <c r="AF268" s="437"/>
      <c r="AG268" s="437"/>
      <c r="AH268" s="437"/>
      <c r="AI268" s="437"/>
      <c r="AJ268" s="437"/>
      <c r="AK268" s="437"/>
      <c r="AL268" s="437"/>
      <c r="AM268" s="338"/>
      <c r="AO268">
        <f ca="1">IF($A268="S",IF(BM!$I268=0,0,CHOOSE(MATCH(RegimeExecucao,{"Global","Unitário"},0),ROUND(ROUND(BM.MEDAcumulado,15-13*BM!$A$9)/100*BM!$I268,15-13*ORÇAMENTO!$AF$11),ROUND(ROUND(BM.MEDAcumulado,15-13*BM!$A$9)*ROUND(BM!$H268,15-13*ORÇAMENTO!$AF$10),15-13*ORÇAMENTO!$AF$11))),IF($A268=0,0,ROUND(SomaAgrupBM,15-13*ORÇAMENTO!$AF$11)))</f>
        <v>0</v>
      </c>
    </row>
    <row r="269" spans="1:41" x14ac:dyDescent="0.2">
      <c r="A269" t="str">
        <f ca="1">ORÇAMENTO!C269</f>
        <v>S</v>
      </c>
      <c r="B269">
        <f ca="1">ORÇAMENTO!D269</f>
        <v>0</v>
      </c>
      <c r="C269" s="114" t="str">
        <f t="shared" ca="1" si="22"/>
        <v>F</v>
      </c>
      <c r="D269" s="117" t="str">
        <f ca="1">ORÇAMENTO!O269</f>
        <v>1.7.2.1.5.</v>
      </c>
      <c r="E269" s="163" t="str">
        <f t="shared" ca="1" si="23"/>
        <v>CURVA 45 BOLSAS FoFo - DN 150 MM</v>
      </c>
      <c r="F269" s="164" t="str">
        <f ca="1">IF(RegimeExecucao="Global","",ORÇAMENTO.Unidade)</f>
        <v>UN</v>
      </c>
      <c r="G269" s="122">
        <f ca="1">IF(RegimeExecucao="Global","",ORÇAMENTO!T269)</f>
        <v>2</v>
      </c>
      <c r="H269" s="122">
        <f ca="1">IF(RegimeExecucao="Global","",ORÇAMENTO!W269)</f>
        <v>453.88</v>
      </c>
      <c r="I269" s="125">
        <f ca="1">ORÇAMENTO!X269</f>
        <v>907.76</v>
      </c>
      <c r="J269" s="333" cm="1">
        <f t="array" aca="1" ref="J269" ca="1">_xlfn.SINGLE(IF($A269="S",IF(CAIXA.Modo,BM.AFAnterior,BM.MEDAnterior),IF(AND(_xlfn.SINGLE(RegimeExecucao)="Global",$I269&gt;0,COUNTIF($AB$13:$AM$13,BM.medicao-1)&gt;0),M269/$I269*100,0)))</f>
        <v>0</v>
      </c>
      <c r="K269" s="122">
        <f t="shared" ca="1" si="24"/>
        <v>0</v>
      </c>
      <c r="L269" s="334" cm="1">
        <f t="array" aca="1" ref="L269" ca="1">_xlfn.SINGLE(IF($A269="S",IF(CAIXA.Modo,BM.AFAcumulado,BM.MEDAcumulado),IF(AND(_xlfn.SINGLE(RegimeExecucao)="Global",$I269&gt;0,COUNTIF($AB$13:$AM$13,BM.medicao)&gt;0),O269/$I269*100,0)))</f>
        <v>0</v>
      </c>
      <c r="M269" s="335">
        <f ca="1">IF($A269="S",VTOTALBM,IF($A269=0,0,ROUND(SomaAgrupBM,15-13*ORÇAMENTO!$AF$11)))</f>
        <v>0</v>
      </c>
      <c r="N269" s="336">
        <f t="shared" ca="1" si="25"/>
        <v>0</v>
      </c>
      <c r="O269" s="125">
        <f ca="1">IF($A269="S",VTOTALBM,IF($A269=0,0,ROUND(SomaAgrupBM,15-13*ORÇAMENTO!$AF$11)))</f>
        <v>0</v>
      </c>
      <c r="Q269" s="337"/>
      <c r="R269" s="338"/>
      <c r="T269" s="117" t="str">
        <f t="shared" ca="1" si="26"/>
        <v/>
      </c>
      <c r="U269" s="163" t="str">
        <f t="shared" ca="1" si="27"/>
        <v/>
      </c>
      <c r="V269" s="164" t="str">
        <f ca="1">IF(AND($W269&gt;0,RegimeExecucao="Unitário"),$F269,"")</f>
        <v/>
      </c>
      <c r="W269" s="454">
        <f ca="1">IF($Y269&gt;0,CHOOSE(MATCH(RegimeExecucao,{"Unitário","Global"},0),IF($A269="S",$Y269/$X269,""),($Y269/$X269)*100),0)</f>
        <v>0</v>
      </c>
      <c r="X269" s="339" t="str">
        <f ca="1">IF($Y269&gt;0,CHOOSE(MATCH(RegimeExecucao,{"Unitário","Global"},0),IF($A269="S",ROUND($H269,ORÇAMENTO!$AF$10),""),ROUND($I269,ORÇAMENTO!$AF$11)),"")</f>
        <v/>
      </c>
      <c r="Y269" s="339">
        <f t="shared" ca="1" si="28"/>
        <v>0</v>
      </c>
      <c r="Z269" s="473"/>
      <c r="AB269" s="337"/>
      <c r="AC269" s="437"/>
      <c r="AD269" s="437"/>
      <c r="AE269" s="437"/>
      <c r="AF269" s="437"/>
      <c r="AG269" s="437"/>
      <c r="AH269" s="437"/>
      <c r="AI269" s="437"/>
      <c r="AJ269" s="437"/>
      <c r="AK269" s="437"/>
      <c r="AL269" s="437"/>
      <c r="AM269" s="338"/>
      <c r="AO269">
        <f ca="1">IF($A269="S",IF(BM!$I269=0,0,CHOOSE(MATCH(RegimeExecucao,{"Global","Unitário"},0),ROUND(ROUND(BM.MEDAcumulado,15-13*BM!$A$9)/100*BM!$I269,15-13*ORÇAMENTO!$AF$11),ROUND(ROUND(BM.MEDAcumulado,15-13*BM!$A$9)*ROUND(BM!$H269,15-13*ORÇAMENTO!$AF$10),15-13*ORÇAMENTO!$AF$11))),IF($A269=0,0,ROUND(SomaAgrupBM,15-13*ORÇAMENTO!$AF$11)))</f>
        <v>0</v>
      </c>
    </row>
    <row r="270" spans="1:41" x14ac:dyDescent="0.2">
      <c r="A270" t="str">
        <f ca="1">ORÇAMENTO!C270</f>
        <v>S</v>
      </c>
      <c r="B270">
        <f ca="1">ORÇAMENTO!D270</f>
        <v>0</v>
      </c>
      <c r="C270" s="114" t="str">
        <f t="shared" ca="1" si="22"/>
        <v>F</v>
      </c>
      <c r="D270" s="117" t="str">
        <f ca="1">ORÇAMENTO!O270</f>
        <v>1.7.2.1.6.</v>
      </c>
      <c r="E270" s="163" t="str">
        <f t="shared" ca="1" si="23"/>
        <v>TUBO PONTA/FLANGE FoFo L = 0,80 M - DN 150 MM</v>
      </c>
      <c r="F270" s="164" t="str">
        <f ca="1">IF(RegimeExecucao="Global","",ORÇAMENTO.Unidade)</f>
        <v>UN</v>
      </c>
      <c r="G270" s="122">
        <f ca="1">IF(RegimeExecucao="Global","",ORÇAMENTO!T270)</f>
        <v>1</v>
      </c>
      <c r="H270" s="122">
        <f ca="1">IF(RegimeExecucao="Global","",ORÇAMENTO!W270)</f>
        <v>1576.68</v>
      </c>
      <c r="I270" s="125">
        <f ca="1">ORÇAMENTO!X270</f>
        <v>1576.68</v>
      </c>
      <c r="J270" s="333" cm="1">
        <f t="array" aca="1" ref="J270" ca="1">_xlfn.SINGLE(IF($A270="S",IF(CAIXA.Modo,BM.AFAnterior,BM.MEDAnterior),IF(AND(_xlfn.SINGLE(RegimeExecucao)="Global",$I270&gt;0,COUNTIF($AB$13:$AM$13,BM.medicao-1)&gt;0),M270/$I270*100,0)))</f>
        <v>0</v>
      </c>
      <c r="K270" s="122">
        <f t="shared" ca="1" si="24"/>
        <v>0</v>
      </c>
      <c r="L270" s="334" cm="1">
        <f t="array" aca="1" ref="L270" ca="1">_xlfn.SINGLE(IF($A270="S",IF(CAIXA.Modo,BM.AFAcumulado,BM.MEDAcumulado),IF(AND(_xlfn.SINGLE(RegimeExecucao)="Global",$I270&gt;0,COUNTIF($AB$13:$AM$13,BM.medicao)&gt;0),O270/$I270*100,0)))</f>
        <v>0</v>
      </c>
      <c r="M270" s="335">
        <f ca="1">IF($A270="S",VTOTALBM,IF($A270=0,0,ROUND(SomaAgrupBM,15-13*ORÇAMENTO!$AF$11)))</f>
        <v>0</v>
      </c>
      <c r="N270" s="336">
        <f t="shared" ca="1" si="25"/>
        <v>0</v>
      </c>
      <c r="O270" s="125">
        <f ca="1">IF($A270="S",VTOTALBM,IF($A270=0,0,ROUND(SomaAgrupBM,15-13*ORÇAMENTO!$AF$11)))</f>
        <v>0</v>
      </c>
      <c r="Q270" s="337"/>
      <c r="R270" s="338"/>
      <c r="T270" s="117" t="str">
        <f t="shared" ca="1" si="26"/>
        <v/>
      </c>
      <c r="U270" s="163" t="str">
        <f t="shared" ca="1" si="27"/>
        <v/>
      </c>
      <c r="V270" s="164" t="str">
        <f ca="1">IF(AND($W270&gt;0,RegimeExecucao="Unitário"),$F270,"")</f>
        <v/>
      </c>
      <c r="W270" s="454">
        <f ca="1">IF($Y270&gt;0,CHOOSE(MATCH(RegimeExecucao,{"Unitário","Global"},0),IF($A270="S",$Y270/$X270,""),($Y270/$X270)*100),0)</f>
        <v>0</v>
      </c>
      <c r="X270" s="339" t="str">
        <f ca="1">IF($Y270&gt;0,CHOOSE(MATCH(RegimeExecucao,{"Unitário","Global"},0),IF($A270="S",ROUND($H270,ORÇAMENTO!$AF$10),""),ROUND($I270,ORÇAMENTO!$AF$11)),"")</f>
        <v/>
      </c>
      <c r="Y270" s="339">
        <f t="shared" ca="1" si="28"/>
        <v>0</v>
      </c>
      <c r="Z270" s="473"/>
      <c r="AB270" s="337"/>
      <c r="AC270" s="437"/>
      <c r="AD270" s="437"/>
      <c r="AE270" s="437"/>
      <c r="AF270" s="437"/>
      <c r="AG270" s="437"/>
      <c r="AH270" s="437"/>
      <c r="AI270" s="437"/>
      <c r="AJ270" s="437"/>
      <c r="AK270" s="437"/>
      <c r="AL270" s="437"/>
      <c r="AM270" s="338"/>
      <c r="AO270">
        <f ca="1">IF($A270="S",IF(BM!$I270=0,0,CHOOSE(MATCH(RegimeExecucao,{"Global","Unitário"},0),ROUND(ROUND(BM.MEDAcumulado,15-13*BM!$A$9)/100*BM!$I270,15-13*ORÇAMENTO!$AF$11),ROUND(ROUND(BM.MEDAcumulado,15-13*BM!$A$9)*ROUND(BM!$H270,15-13*ORÇAMENTO!$AF$10),15-13*ORÇAMENTO!$AF$11))),IF($A270=0,0,ROUND(SomaAgrupBM,15-13*ORÇAMENTO!$AF$11)))</f>
        <v>0</v>
      </c>
    </row>
    <row r="271" spans="1:41" x14ac:dyDescent="0.2">
      <c r="A271" t="str">
        <f ca="1">ORÇAMENTO!C271</f>
        <v>S</v>
      </c>
      <c r="B271">
        <f ca="1">ORÇAMENTO!D271</f>
        <v>0</v>
      </c>
      <c r="C271" s="114" t="str">
        <f t="shared" ca="1" si="22"/>
        <v>F</v>
      </c>
      <c r="D271" s="117" t="str">
        <f ca="1">ORÇAMENTO!O271</f>
        <v>1.7.2.1.7.</v>
      </c>
      <c r="E271" s="163" t="str">
        <f t="shared" ca="1" si="23"/>
        <v>REGISTRO GAVETA FLANGE E CABEÇOTE PN10 DN150MM</v>
      </c>
      <c r="F271" s="164" t="str">
        <f ca="1">IF(RegimeExecucao="Global","",ORÇAMENTO.Unidade)</f>
        <v>UN</v>
      </c>
      <c r="G271" s="122">
        <f ca="1">IF(RegimeExecucao="Global","",ORÇAMENTO!T271)</f>
        <v>1</v>
      </c>
      <c r="H271" s="122">
        <f ca="1">IF(RegimeExecucao="Global","",ORÇAMENTO!W271)</f>
        <v>1916.8</v>
      </c>
      <c r="I271" s="125">
        <f ca="1">ORÇAMENTO!X271</f>
        <v>1916.8</v>
      </c>
      <c r="J271" s="333" cm="1">
        <f t="array" aca="1" ref="J271" ca="1">_xlfn.SINGLE(IF($A271="S",IF(CAIXA.Modo,BM.AFAnterior,BM.MEDAnterior),IF(AND(_xlfn.SINGLE(RegimeExecucao)="Global",$I271&gt;0,COUNTIF($AB$13:$AM$13,BM.medicao-1)&gt;0),M271/$I271*100,0)))</f>
        <v>0</v>
      </c>
      <c r="K271" s="122">
        <f t="shared" ca="1" si="24"/>
        <v>0</v>
      </c>
      <c r="L271" s="334" cm="1">
        <f t="array" aca="1" ref="L271" ca="1">_xlfn.SINGLE(IF($A271="S",IF(CAIXA.Modo,BM.AFAcumulado,BM.MEDAcumulado),IF(AND(_xlfn.SINGLE(RegimeExecucao)="Global",$I271&gt;0,COUNTIF($AB$13:$AM$13,BM.medicao)&gt;0),O271/$I271*100,0)))</f>
        <v>0</v>
      </c>
      <c r="M271" s="335">
        <f ca="1">IF($A271="S",VTOTALBM,IF($A271=0,0,ROUND(SomaAgrupBM,15-13*ORÇAMENTO!$AF$11)))</f>
        <v>0</v>
      </c>
      <c r="N271" s="336">
        <f t="shared" ca="1" si="25"/>
        <v>0</v>
      </c>
      <c r="O271" s="125">
        <f ca="1">IF($A271="S",VTOTALBM,IF($A271=0,0,ROUND(SomaAgrupBM,15-13*ORÇAMENTO!$AF$11)))</f>
        <v>0</v>
      </c>
      <c r="Q271" s="337"/>
      <c r="R271" s="338"/>
      <c r="T271" s="117" t="str">
        <f t="shared" ca="1" si="26"/>
        <v/>
      </c>
      <c r="U271" s="163" t="str">
        <f t="shared" ca="1" si="27"/>
        <v/>
      </c>
      <c r="V271" s="164" t="str">
        <f ca="1">IF(AND($W271&gt;0,RegimeExecucao="Unitário"),$F271,"")</f>
        <v/>
      </c>
      <c r="W271" s="454">
        <f ca="1">IF($Y271&gt;0,CHOOSE(MATCH(RegimeExecucao,{"Unitário","Global"},0),IF($A271="S",$Y271/$X271,""),($Y271/$X271)*100),0)</f>
        <v>0</v>
      </c>
      <c r="X271" s="339" t="str">
        <f ca="1">IF($Y271&gt;0,CHOOSE(MATCH(RegimeExecucao,{"Unitário","Global"},0),IF($A271="S",ROUND($H271,ORÇAMENTO!$AF$10),""),ROUND($I271,ORÇAMENTO!$AF$11)),"")</f>
        <v/>
      </c>
      <c r="Y271" s="339">
        <f t="shared" ca="1" si="28"/>
        <v>0</v>
      </c>
      <c r="Z271" s="473"/>
      <c r="AB271" s="337"/>
      <c r="AC271" s="437"/>
      <c r="AD271" s="437"/>
      <c r="AE271" s="437"/>
      <c r="AF271" s="437"/>
      <c r="AG271" s="437"/>
      <c r="AH271" s="437"/>
      <c r="AI271" s="437"/>
      <c r="AJ271" s="437"/>
      <c r="AK271" s="437"/>
      <c r="AL271" s="437"/>
      <c r="AM271" s="338"/>
      <c r="AO271">
        <f ca="1">IF($A271="S",IF(BM!$I271=0,0,CHOOSE(MATCH(RegimeExecucao,{"Global","Unitário"},0),ROUND(ROUND(BM.MEDAcumulado,15-13*BM!$A$9)/100*BM!$I271,15-13*ORÇAMENTO!$AF$11),ROUND(ROUND(BM.MEDAcumulado,15-13*BM!$A$9)*ROUND(BM!$H271,15-13*ORÇAMENTO!$AF$10),15-13*ORÇAMENTO!$AF$11))),IF($A271=0,0,ROUND(SomaAgrupBM,15-13*ORÇAMENTO!$AF$11)))</f>
        <v>0</v>
      </c>
    </row>
    <row r="272" spans="1:41" x14ac:dyDescent="0.2">
      <c r="A272">
        <f ca="1">ORÇAMENTO!C272</f>
        <v>4</v>
      </c>
      <c r="B272">
        <f ca="1">ORÇAMENTO!D272</f>
        <v>5</v>
      </c>
      <c r="C272" s="114" t="str">
        <f t="shared" ca="1" si="22"/>
        <v>F</v>
      </c>
      <c r="D272" s="117" t="str">
        <f ca="1">ORÇAMENTO!O272</f>
        <v>1.7.2.2.</v>
      </c>
      <c r="E272" s="163" t="str">
        <f t="shared" si="23"/>
        <v>INSTALAÇÃO DE MATERIAIS E EQUIPAMENTOS</v>
      </c>
      <c r="F272" s="164" t="str">
        <f ca="1">IF(RegimeExecucao="Global","",ORÇAMENTO.Unidade)</f>
        <v>-</v>
      </c>
      <c r="G272" s="122">
        <f ca="1">IF(RegimeExecucao="Global","",ORÇAMENTO!T272)</f>
        <v>0</v>
      </c>
      <c r="H272" s="122">
        <f ca="1">IF(RegimeExecucao="Global","",ORÇAMENTO!W272)</f>
        <v>0</v>
      </c>
      <c r="I272" s="125">
        <f ca="1">ORÇAMENTO!X272</f>
        <v>117559.22</v>
      </c>
      <c r="J272" s="333" cm="1">
        <f t="array" aca="1" ref="J272" ca="1">_xlfn.SINGLE(IF($A272="S",IF(CAIXA.Modo,BM.AFAnterior,BM.MEDAnterior),IF(AND(_xlfn.SINGLE(RegimeExecucao)="Global",$I272&gt;0,COUNTIF($AB$13:$AM$13,BM.medicao-1)&gt;0),M272/$I272*100,0)))</f>
        <v>0</v>
      </c>
      <c r="K272" s="122">
        <f t="shared" ca="1" si="24"/>
        <v>0</v>
      </c>
      <c r="L272" s="334" cm="1">
        <f t="array" aca="1" ref="L272" ca="1">_xlfn.SINGLE(IF($A272="S",IF(CAIXA.Modo,BM.AFAcumulado,BM.MEDAcumulado),IF(AND(_xlfn.SINGLE(RegimeExecucao)="Global",$I272&gt;0,COUNTIF($AB$13:$AM$13,BM.medicao)&gt;0),O272/$I272*100,0)))</f>
        <v>0</v>
      </c>
      <c r="M272" s="335">
        <f ca="1">IF($A272="S",VTOTALBM,IF($A272=0,0,ROUND(SomaAgrupBM,15-13*ORÇAMENTO!$AF$11)))</f>
        <v>0</v>
      </c>
      <c r="N272" s="336">
        <f t="shared" ca="1" si="25"/>
        <v>0</v>
      </c>
      <c r="O272" s="125">
        <f ca="1">IF($A272="S",VTOTALBM,IF($A272=0,0,ROUND(SomaAgrupBM,15-13*ORÇAMENTO!$AF$11)))</f>
        <v>0</v>
      </c>
      <c r="Q272" s="337"/>
      <c r="R272" s="338"/>
      <c r="T272" s="117" t="str">
        <f t="shared" ca="1" si="26"/>
        <v/>
      </c>
      <c r="U272" s="163" t="str">
        <f t="shared" ca="1" si="27"/>
        <v/>
      </c>
      <c r="V272" s="164" t="str">
        <f ca="1">IF(AND($W272&gt;0,RegimeExecucao="Unitário"),$F272,"")</f>
        <v/>
      </c>
      <c r="W272" s="454">
        <f ca="1">IF($Y272&gt;0,CHOOSE(MATCH(RegimeExecucao,{"Unitário","Global"},0),IF($A272="S",$Y272/$X272,""),($Y272/$X272)*100),0)</f>
        <v>0</v>
      </c>
      <c r="X272" s="339" t="str">
        <f ca="1">IF($Y272&gt;0,CHOOSE(MATCH(RegimeExecucao,{"Unitário","Global"},0),IF($A272="S",ROUND($H272,ORÇAMENTO!$AF$10),""),ROUND($I272,ORÇAMENTO!$AF$11)),"")</f>
        <v/>
      </c>
      <c r="Y272" s="339">
        <f t="shared" ca="1" si="28"/>
        <v>0</v>
      </c>
      <c r="Z272" s="473"/>
      <c r="AB272" s="337"/>
      <c r="AC272" s="437"/>
      <c r="AD272" s="437"/>
      <c r="AE272" s="437"/>
      <c r="AF272" s="437"/>
      <c r="AG272" s="437"/>
      <c r="AH272" s="437"/>
      <c r="AI272" s="437"/>
      <c r="AJ272" s="437"/>
      <c r="AK272" s="437"/>
      <c r="AL272" s="437"/>
      <c r="AM272" s="338"/>
      <c r="AO272">
        <f ca="1">IF($A272="S",IF(BM!$I272=0,0,CHOOSE(MATCH(RegimeExecucao,{"Global","Unitário"},0),ROUND(ROUND(BM.MEDAcumulado,15-13*BM!$A$9)/100*BM!$I272,15-13*ORÇAMENTO!$AF$11),ROUND(ROUND(BM.MEDAcumulado,15-13*BM!$A$9)*ROUND(BM!$H272,15-13*ORÇAMENTO!$AF$10),15-13*ORÇAMENTO!$AF$11))),IF($A272=0,0,ROUND(SomaAgrupBM,15-13*ORÇAMENTO!$AF$11)))</f>
        <v>0</v>
      </c>
    </row>
    <row r="273" spans="1:41" ht="25.5" x14ac:dyDescent="0.2">
      <c r="A273" t="str">
        <f ca="1">ORÇAMENTO!C273</f>
        <v>S</v>
      </c>
      <c r="B273">
        <f ca="1">ORÇAMENTO!D273</f>
        <v>0</v>
      </c>
      <c r="C273" s="114" t="str">
        <f t="shared" ca="1" si="22"/>
        <v>F</v>
      </c>
      <c r="D273" s="117" t="str">
        <f ca="1">ORÇAMENTO!O273</f>
        <v>1.7.2.2.1.</v>
      </c>
      <c r="E273" s="163" t="str">
        <f t="shared" ca="1" si="23"/>
        <v>MECANISMO PRA REMOÇÃO DE LODO - MONTAGEM - BASEADO EM SETOP (ED-20568)</v>
      </c>
      <c r="F273" s="164" t="str">
        <f ca="1">IF(RegimeExecucao="Global","",ORÇAMENTO.Unidade)</f>
        <v>KG</v>
      </c>
      <c r="G273" s="122">
        <f ca="1">IF(RegimeExecucao="Global","",ORÇAMENTO!T273)</f>
        <v>9000</v>
      </c>
      <c r="H273" s="122">
        <f ca="1">IF(RegimeExecucao="Global","",ORÇAMENTO!W273)</f>
        <v>13.04</v>
      </c>
      <c r="I273" s="125">
        <f ca="1">ORÇAMENTO!X273</f>
        <v>117360</v>
      </c>
      <c r="J273" s="333" cm="1">
        <f t="array" aca="1" ref="J273" ca="1">_xlfn.SINGLE(IF($A273="S",IF(CAIXA.Modo,BM.AFAnterior,BM.MEDAnterior),IF(AND(_xlfn.SINGLE(RegimeExecucao)="Global",$I273&gt;0,COUNTIF($AB$13:$AM$13,BM.medicao-1)&gt;0),M273/$I273*100,0)))</f>
        <v>0</v>
      </c>
      <c r="K273" s="122">
        <f t="shared" ca="1" si="24"/>
        <v>0</v>
      </c>
      <c r="L273" s="334" cm="1">
        <f t="array" aca="1" ref="L273" ca="1">_xlfn.SINGLE(IF($A273="S",IF(CAIXA.Modo,BM.AFAcumulado,BM.MEDAcumulado),IF(AND(_xlfn.SINGLE(RegimeExecucao)="Global",$I273&gt;0,COUNTIF($AB$13:$AM$13,BM.medicao)&gt;0),O273/$I273*100,0)))</f>
        <v>0</v>
      </c>
      <c r="M273" s="335">
        <f ca="1">IF($A273="S",VTOTALBM,IF($A273=0,0,ROUND(SomaAgrupBM,15-13*ORÇAMENTO!$AF$11)))</f>
        <v>0</v>
      </c>
      <c r="N273" s="336">
        <f t="shared" ca="1" si="25"/>
        <v>0</v>
      </c>
      <c r="O273" s="125">
        <f ca="1">IF($A273="S",VTOTALBM,IF($A273=0,0,ROUND(SomaAgrupBM,15-13*ORÇAMENTO!$AF$11)))</f>
        <v>0</v>
      </c>
      <c r="Q273" s="337"/>
      <c r="R273" s="338"/>
      <c r="T273" s="117" t="str">
        <f t="shared" ca="1" si="26"/>
        <v/>
      </c>
      <c r="U273" s="163" t="str">
        <f t="shared" ca="1" si="27"/>
        <v/>
      </c>
      <c r="V273" s="164" t="str">
        <f ca="1">IF(AND($W273&gt;0,RegimeExecucao="Unitário"),$F273,"")</f>
        <v/>
      </c>
      <c r="W273" s="454">
        <f ca="1">IF($Y273&gt;0,CHOOSE(MATCH(RegimeExecucao,{"Unitário","Global"},0),IF($A273="S",$Y273/$X273,""),($Y273/$X273)*100),0)</f>
        <v>0</v>
      </c>
      <c r="X273" s="339" t="str">
        <f ca="1">IF($Y273&gt;0,CHOOSE(MATCH(RegimeExecucao,{"Unitário","Global"},0),IF($A273="S",ROUND($H273,ORÇAMENTO!$AF$10),""),ROUND($I273,ORÇAMENTO!$AF$11)),"")</f>
        <v/>
      </c>
      <c r="Y273" s="339">
        <f t="shared" ca="1" si="28"/>
        <v>0</v>
      </c>
      <c r="Z273" s="473"/>
      <c r="AB273" s="337"/>
      <c r="AC273" s="437"/>
      <c r="AD273" s="437"/>
      <c r="AE273" s="437"/>
      <c r="AF273" s="437"/>
      <c r="AG273" s="437"/>
      <c r="AH273" s="437"/>
      <c r="AI273" s="437"/>
      <c r="AJ273" s="437"/>
      <c r="AK273" s="437"/>
      <c r="AL273" s="437"/>
      <c r="AM273" s="338"/>
      <c r="AO273">
        <f ca="1">IF($A273="S",IF(BM!$I273=0,0,CHOOSE(MATCH(RegimeExecucao,{"Global","Unitário"},0),ROUND(ROUND(BM.MEDAcumulado,15-13*BM!$A$9)/100*BM!$I273,15-13*ORÇAMENTO!$AF$11),ROUND(ROUND(BM.MEDAcumulado,15-13*BM!$A$9)*ROUND(BM!$H273,15-13*ORÇAMENTO!$AF$10),15-13*ORÇAMENTO!$AF$11))),IF($A273=0,0,ROUND(SomaAgrupBM,15-13*ORÇAMENTO!$AF$11)))</f>
        <v>0</v>
      </c>
    </row>
    <row r="274" spans="1:41" ht="25.5" x14ac:dyDescent="0.2">
      <c r="A274" t="str">
        <f ca="1">ORÇAMENTO!C274</f>
        <v>S</v>
      </c>
      <c r="B274">
        <f ca="1">ORÇAMENTO!D274</f>
        <v>0</v>
      </c>
      <c r="C274" s="114" t="str">
        <f t="shared" ca="1" si="22"/>
        <v>F</v>
      </c>
      <c r="D274" s="117" t="str">
        <f ca="1">ORÇAMENTO!O274</f>
        <v>1.7.2.2.2.</v>
      </c>
      <c r="E274" s="163" t="str">
        <f t="shared" ca="1" si="23"/>
        <v>ASSENTAMENTO DE CONEXÕES EM FERRO FUNDIDO, JUNTA ELÁSTICA, DN = 400 MM - BASEADO EM ORSE (5288)</v>
      </c>
      <c r="F274" s="164" t="str">
        <f ca="1">IF(RegimeExecucao="Global","",ORÇAMENTO.Unidade)</f>
        <v>UN</v>
      </c>
      <c r="G274" s="122">
        <f ca="1">IF(RegimeExecucao="Global","",ORÇAMENTO!T274)</f>
        <v>2</v>
      </c>
      <c r="H274" s="122">
        <f ca="1">IF(RegimeExecucao="Global","",ORÇAMENTO!W274)</f>
        <v>29.12</v>
      </c>
      <c r="I274" s="125">
        <f ca="1">ORÇAMENTO!X274</f>
        <v>58.24</v>
      </c>
      <c r="J274" s="333" cm="1">
        <f t="array" aca="1" ref="J274" ca="1">_xlfn.SINGLE(IF($A274="S",IF(CAIXA.Modo,BM.AFAnterior,BM.MEDAnterior),IF(AND(_xlfn.SINGLE(RegimeExecucao)="Global",$I274&gt;0,COUNTIF($AB$13:$AM$13,BM.medicao-1)&gt;0),M274/$I274*100,0)))</f>
        <v>0</v>
      </c>
      <c r="K274" s="122">
        <f t="shared" ca="1" si="24"/>
        <v>0</v>
      </c>
      <c r="L274" s="334" cm="1">
        <f t="array" aca="1" ref="L274" ca="1">_xlfn.SINGLE(IF($A274="S",IF(CAIXA.Modo,BM.AFAcumulado,BM.MEDAcumulado),IF(AND(_xlfn.SINGLE(RegimeExecucao)="Global",$I274&gt;0,COUNTIF($AB$13:$AM$13,BM.medicao)&gt;0),O274/$I274*100,0)))</f>
        <v>0</v>
      </c>
      <c r="M274" s="335">
        <f ca="1">IF($A274="S",VTOTALBM,IF($A274=0,0,ROUND(SomaAgrupBM,15-13*ORÇAMENTO!$AF$11)))</f>
        <v>0</v>
      </c>
      <c r="N274" s="336">
        <f t="shared" ca="1" si="25"/>
        <v>0</v>
      </c>
      <c r="O274" s="125">
        <f ca="1">IF($A274="S",VTOTALBM,IF($A274=0,0,ROUND(SomaAgrupBM,15-13*ORÇAMENTO!$AF$11)))</f>
        <v>0</v>
      </c>
      <c r="Q274" s="337"/>
      <c r="R274" s="338"/>
      <c r="T274" s="117" t="str">
        <f t="shared" ca="1" si="26"/>
        <v/>
      </c>
      <c r="U274" s="163" t="str">
        <f t="shared" ca="1" si="27"/>
        <v/>
      </c>
      <c r="V274" s="164" t="str">
        <f ca="1">IF(AND($W274&gt;0,RegimeExecucao="Unitário"),$F274,"")</f>
        <v/>
      </c>
      <c r="W274" s="454">
        <f ca="1">IF($Y274&gt;0,CHOOSE(MATCH(RegimeExecucao,{"Unitário","Global"},0),IF($A274="S",$Y274/$X274,""),($Y274/$X274)*100),0)</f>
        <v>0</v>
      </c>
      <c r="X274" s="339" t="str">
        <f ca="1">IF($Y274&gt;0,CHOOSE(MATCH(RegimeExecucao,{"Unitário","Global"},0),IF($A274="S",ROUND($H274,ORÇAMENTO!$AF$10),""),ROUND($I274,ORÇAMENTO!$AF$11)),"")</f>
        <v/>
      </c>
      <c r="Y274" s="339">
        <f t="shared" ca="1" si="28"/>
        <v>0</v>
      </c>
      <c r="Z274" s="473"/>
      <c r="AB274" s="337"/>
      <c r="AC274" s="437"/>
      <c r="AD274" s="437"/>
      <c r="AE274" s="437"/>
      <c r="AF274" s="437"/>
      <c r="AG274" s="437"/>
      <c r="AH274" s="437"/>
      <c r="AI274" s="437"/>
      <c r="AJ274" s="437"/>
      <c r="AK274" s="437"/>
      <c r="AL274" s="437"/>
      <c r="AM274" s="338"/>
      <c r="AO274">
        <f ca="1">IF($A274="S",IF(BM!$I274=0,0,CHOOSE(MATCH(RegimeExecucao,{"Global","Unitário"},0),ROUND(ROUND(BM.MEDAcumulado,15-13*BM!$A$9)/100*BM!$I274,15-13*ORÇAMENTO!$AF$11),ROUND(ROUND(BM.MEDAcumulado,15-13*BM!$A$9)*ROUND(BM!$H274,15-13*ORÇAMENTO!$AF$10),15-13*ORÇAMENTO!$AF$11))),IF($A274=0,0,ROUND(SomaAgrupBM,15-13*ORÇAMENTO!$AF$11)))</f>
        <v>0</v>
      </c>
    </row>
    <row r="275" spans="1:41" ht="25.5" x14ac:dyDescent="0.2">
      <c r="A275" t="str">
        <f ca="1">ORÇAMENTO!C275</f>
        <v>S</v>
      </c>
      <c r="B275">
        <f ca="1">ORÇAMENTO!D275</f>
        <v>0</v>
      </c>
      <c r="C275" s="114" t="str">
        <f t="shared" ca="1" si="22"/>
        <v>F</v>
      </c>
      <c r="D275" s="117" t="str">
        <f ca="1">ORÇAMENTO!O275</f>
        <v>1.7.2.2.3.</v>
      </c>
      <c r="E275" s="163" t="str">
        <f t="shared" ca="1" si="23"/>
        <v>ASSENTAMENTO DE CONEXÕES EM FERRO FUNDIDO, JUNTA ELÁSTICA, DN = 150 MM - BASEADO EM ORSE (5283)</v>
      </c>
      <c r="F275" s="164" t="str">
        <f ca="1">IF(RegimeExecucao="Global","",ORÇAMENTO.Unidade)</f>
        <v>UN</v>
      </c>
      <c r="G275" s="122">
        <f ca="1">IF(RegimeExecucao="Global","",ORÇAMENTO!T275)</f>
        <v>3</v>
      </c>
      <c r="H275" s="122">
        <f ca="1">IF(RegimeExecucao="Global","",ORÇAMENTO!W275)</f>
        <v>21.6</v>
      </c>
      <c r="I275" s="125">
        <f ca="1">ORÇAMENTO!X275</f>
        <v>64.8</v>
      </c>
      <c r="J275" s="333" cm="1">
        <f t="array" aca="1" ref="J275" ca="1">_xlfn.SINGLE(IF($A275="S",IF(CAIXA.Modo,BM.AFAnterior,BM.MEDAnterior),IF(AND(_xlfn.SINGLE(RegimeExecucao)="Global",$I275&gt;0,COUNTIF($AB$13:$AM$13,BM.medicao-1)&gt;0),M275/$I275*100,0)))</f>
        <v>0</v>
      </c>
      <c r="K275" s="122">
        <f t="shared" ca="1" si="24"/>
        <v>0</v>
      </c>
      <c r="L275" s="334" cm="1">
        <f t="array" aca="1" ref="L275" ca="1">_xlfn.SINGLE(IF($A275="S",IF(CAIXA.Modo,BM.AFAcumulado,BM.MEDAcumulado),IF(AND(_xlfn.SINGLE(RegimeExecucao)="Global",$I275&gt;0,COUNTIF($AB$13:$AM$13,BM.medicao)&gt;0),O275/$I275*100,0)))</f>
        <v>0</v>
      </c>
      <c r="M275" s="335">
        <f ca="1">IF($A275="S",VTOTALBM,IF($A275=0,0,ROUND(SomaAgrupBM,15-13*ORÇAMENTO!$AF$11)))</f>
        <v>0</v>
      </c>
      <c r="N275" s="336">
        <f t="shared" ca="1" si="25"/>
        <v>0</v>
      </c>
      <c r="O275" s="125">
        <f ca="1">IF($A275="S",VTOTALBM,IF($A275=0,0,ROUND(SomaAgrupBM,15-13*ORÇAMENTO!$AF$11)))</f>
        <v>0</v>
      </c>
      <c r="Q275" s="337"/>
      <c r="R275" s="338"/>
      <c r="T275" s="117" t="str">
        <f t="shared" ca="1" si="26"/>
        <v/>
      </c>
      <c r="U275" s="163" t="str">
        <f t="shared" ca="1" si="27"/>
        <v/>
      </c>
      <c r="V275" s="164" t="str">
        <f ca="1">IF(AND($W275&gt;0,RegimeExecucao="Unitário"),$F275,"")</f>
        <v/>
      </c>
      <c r="W275" s="454">
        <f ca="1">IF($Y275&gt;0,CHOOSE(MATCH(RegimeExecucao,{"Unitário","Global"},0),IF($A275="S",$Y275/$X275,""),($Y275/$X275)*100),0)</f>
        <v>0</v>
      </c>
      <c r="X275" s="339" t="str">
        <f ca="1">IF($Y275&gt;0,CHOOSE(MATCH(RegimeExecucao,{"Unitário","Global"},0),IF($A275="S",ROUND($H275,ORÇAMENTO!$AF$10),""),ROUND($I275,ORÇAMENTO!$AF$11)),"")</f>
        <v/>
      </c>
      <c r="Y275" s="339">
        <f t="shared" ca="1" si="28"/>
        <v>0</v>
      </c>
      <c r="Z275" s="473"/>
      <c r="AB275" s="337"/>
      <c r="AC275" s="437"/>
      <c r="AD275" s="437"/>
      <c r="AE275" s="437"/>
      <c r="AF275" s="437"/>
      <c r="AG275" s="437"/>
      <c r="AH275" s="437"/>
      <c r="AI275" s="437"/>
      <c r="AJ275" s="437"/>
      <c r="AK275" s="437"/>
      <c r="AL275" s="437"/>
      <c r="AM275" s="338"/>
      <c r="AO275">
        <f ca="1">IF($A275="S",IF(BM!$I275=0,0,CHOOSE(MATCH(RegimeExecucao,{"Global","Unitário"},0),ROUND(ROUND(BM.MEDAcumulado,15-13*BM!$A$9)/100*BM!$I275,15-13*ORÇAMENTO!$AF$11),ROUND(ROUND(BM.MEDAcumulado,15-13*BM!$A$9)*ROUND(BM!$H275,15-13*ORÇAMENTO!$AF$10),15-13*ORÇAMENTO!$AF$11))),IF($A275=0,0,ROUND(SomaAgrupBM,15-13*ORÇAMENTO!$AF$11)))</f>
        <v>0</v>
      </c>
    </row>
    <row r="276" spans="1:41" ht="51" x14ac:dyDescent="0.2">
      <c r="A276" t="str">
        <f ca="1">ORÇAMENTO!C276</f>
        <v>S</v>
      </c>
      <c r="B276">
        <f ca="1">ORÇAMENTO!D276</f>
        <v>0</v>
      </c>
      <c r="C276" s="114" t="str">
        <f t="shared" ca="1" si="22"/>
        <v>F</v>
      </c>
      <c r="D276" s="117" t="str">
        <f ca="1">ORÇAMENTO!O276</f>
        <v>1.7.2.2.4.</v>
      </c>
      <c r="E276" s="163" t="str">
        <f t="shared" ca="1" si="23"/>
        <v>ASSENTAMENTO DE TUBO DE FERRO FUNDIDO PARA REDE DE ÁGUA, DN 150 MM, JUNTA ELÁSTICA, INSTALADO EM LOCAL COM NÍVEL BAIXO DE INTERFERÊNCIAS (NÃO INCLUI FORNECIMENTO). AF_05/2024</v>
      </c>
      <c r="F276" s="164" t="str">
        <f ca="1">IF(RegimeExecucao="Global","",ORÇAMENTO.Unidade)</f>
        <v>M</v>
      </c>
      <c r="G276" s="122">
        <f ca="1">IF(RegimeExecucao="Global","",ORÇAMENTO!T276)</f>
        <v>10.050000000000001</v>
      </c>
      <c r="H276" s="122">
        <f ca="1">IF(RegimeExecucao="Global","",ORÇAMENTO!W276)</f>
        <v>7.58</v>
      </c>
      <c r="I276" s="125">
        <f ca="1">ORÇAMENTO!X276</f>
        <v>76.180000000000007</v>
      </c>
      <c r="J276" s="333" cm="1">
        <f t="array" aca="1" ref="J276" ca="1">_xlfn.SINGLE(IF($A276="S",IF(CAIXA.Modo,BM.AFAnterior,BM.MEDAnterior),IF(AND(_xlfn.SINGLE(RegimeExecucao)="Global",$I276&gt;0,COUNTIF($AB$13:$AM$13,BM.medicao-1)&gt;0),M276/$I276*100,0)))</f>
        <v>0</v>
      </c>
      <c r="K276" s="122">
        <f t="shared" ca="1" si="24"/>
        <v>0</v>
      </c>
      <c r="L276" s="334" cm="1">
        <f t="array" aca="1" ref="L276" ca="1">_xlfn.SINGLE(IF($A276="S",IF(CAIXA.Modo,BM.AFAcumulado,BM.MEDAcumulado),IF(AND(_xlfn.SINGLE(RegimeExecucao)="Global",$I276&gt;0,COUNTIF($AB$13:$AM$13,BM.medicao)&gt;0),O276/$I276*100,0)))</f>
        <v>0</v>
      </c>
      <c r="M276" s="335">
        <f ca="1">IF($A276="S",VTOTALBM,IF($A276=0,0,ROUND(SomaAgrupBM,15-13*ORÇAMENTO!$AF$11)))</f>
        <v>0</v>
      </c>
      <c r="N276" s="336">
        <f t="shared" ca="1" si="25"/>
        <v>0</v>
      </c>
      <c r="O276" s="125">
        <f ca="1">IF($A276="S",VTOTALBM,IF($A276=0,0,ROUND(SomaAgrupBM,15-13*ORÇAMENTO!$AF$11)))</f>
        <v>0</v>
      </c>
      <c r="Q276" s="337"/>
      <c r="R276" s="338"/>
      <c r="T276" s="117" t="str">
        <f t="shared" ca="1" si="26"/>
        <v/>
      </c>
      <c r="U276" s="163" t="str">
        <f t="shared" ca="1" si="27"/>
        <v/>
      </c>
      <c r="V276" s="164" t="str">
        <f ca="1">IF(AND($W276&gt;0,RegimeExecucao="Unitário"),$F276,"")</f>
        <v/>
      </c>
      <c r="W276" s="454">
        <f ca="1">IF($Y276&gt;0,CHOOSE(MATCH(RegimeExecucao,{"Unitário","Global"},0),IF($A276="S",$Y276/$X276,""),($Y276/$X276)*100),0)</f>
        <v>0</v>
      </c>
      <c r="X276" s="339" t="str">
        <f ca="1">IF($Y276&gt;0,CHOOSE(MATCH(RegimeExecucao,{"Unitário","Global"},0),IF($A276="S",ROUND($H276,ORÇAMENTO!$AF$10),""),ROUND($I276,ORÇAMENTO!$AF$11)),"")</f>
        <v/>
      </c>
      <c r="Y276" s="339">
        <f t="shared" ca="1" si="28"/>
        <v>0</v>
      </c>
      <c r="Z276" s="473"/>
      <c r="AB276" s="337"/>
      <c r="AC276" s="437"/>
      <c r="AD276" s="437"/>
      <c r="AE276" s="437"/>
      <c r="AF276" s="437"/>
      <c r="AG276" s="437"/>
      <c r="AH276" s="437"/>
      <c r="AI276" s="437"/>
      <c r="AJ276" s="437"/>
      <c r="AK276" s="437"/>
      <c r="AL276" s="437"/>
      <c r="AM276" s="338"/>
      <c r="AO276">
        <f ca="1">IF($A276="S",IF(BM!$I276=0,0,CHOOSE(MATCH(RegimeExecucao,{"Global","Unitário"},0),ROUND(ROUND(BM.MEDAcumulado,15-13*BM!$A$9)/100*BM!$I276,15-13*ORÇAMENTO!$AF$11),ROUND(ROUND(BM.MEDAcumulado,15-13*BM!$A$9)*ROUND(BM!$H276,15-13*ORÇAMENTO!$AF$10),15-13*ORÇAMENTO!$AF$11))),IF($A276=0,0,ROUND(SomaAgrupBM,15-13*ORÇAMENTO!$AF$11)))</f>
        <v>0</v>
      </c>
    </row>
    <row r="277" spans="1:41" x14ac:dyDescent="0.2">
      <c r="A277">
        <f ca="1">ORÇAMENTO!C277</f>
        <v>3</v>
      </c>
      <c r="B277">
        <f ca="1">ORÇAMENTO!D277</f>
        <v>25</v>
      </c>
      <c r="C277" s="114" t="str">
        <f t="shared" ref="C277:C338" ca="1" si="29">IF(OR($I277&gt;0,$A277=1,$A277=2,$A277=3,$A277=4),"F","")</f>
        <v>F</v>
      </c>
      <c r="D277" s="117" t="str">
        <f ca="1">ORÇAMENTO!O277</f>
        <v>1.7.3.</v>
      </c>
      <c r="E277" s="163" t="str">
        <f t="shared" ref="E277:E338" si="30">ORÇAMENTO.Descricao</f>
        <v>LEITO DE SECAGEM DE ESCUMA</v>
      </c>
      <c r="F277" s="164" t="str">
        <f ca="1">IF(RegimeExecucao="Global","",ORÇAMENTO.Unidade)</f>
        <v>-</v>
      </c>
      <c r="G277" s="122">
        <f ca="1">IF(RegimeExecucao="Global","",ORÇAMENTO!T277)</f>
        <v>0</v>
      </c>
      <c r="H277" s="122">
        <f ca="1">IF(RegimeExecucao="Global","",ORÇAMENTO!W277)</f>
        <v>0</v>
      </c>
      <c r="I277" s="125">
        <f ca="1">ORÇAMENTO!X277</f>
        <v>145363.71</v>
      </c>
      <c r="J277" s="333" cm="1">
        <f t="array" aca="1" ref="J277" ca="1">_xlfn.SINGLE(IF($A277="S",IF(CAIXA.Modo,BM.AFAnterior,BM.MEDAnterior),IF(AND(_xlfn.SINGLE(RegimeExecucao)="Global",$I277&gt;0,COUNTIF($AB$13:$AM$13,BM.medicao-1)&gt;0),M277/$I277*100,0)))</f>
        <v>0</v>
      </c>
      <c r="K277" s="122">
        <f t="shared" ref="K277:K338" ca="1" si="31">L277-J277</f>
        <v>0</v>
      </c>
      <c r="L277" s="334" cm="1">
        <f t="array" aca="1" ref="L277" ca="1">_xlfn.SINGLE(IF($A277="S",IF(CAIXA.Modo,BM.AFAcumulado,BM.MEDAcumulado),IF(AND(_xlfn.SINGLE(RegimeExecucao)="Global",$I277&gt;0,COUNTIF($AB$13:$AM$13,BM.medicao)&gt;0),O277/$I277*100,0)))</f>
        <v>0</v>
      </c>
      <c r="M277" s="335">
        <f ca="1">IF($A277="S",VTOTALBM,IF($A277=0,0,ROUND(SomaAgrupBM,15-13*ORÇAMENTO!$AF$11)))</f>
        <v>0</v>
      </c>
      <c r="N277" s="336">
        <f t="shared" ref="N277:N338" ca="1" si="32">O277-M277</f>
        <v>0</v>
      </c>
      <c r="O277" s="125">
        <f ca="1">IF($A277="S",VTOTALBM,IF($A277=0,0,ROUND(SomaAgrupBM,15-13*ORÇAMENTO!$AF$11)))</f>
        <v>0</v>
      </c>
      <c r="Q277" s="337"/>
      <c r="R277" s="338"/>
      <c r="T277" s="117" t="str">
        <f t="shared" ref="T277:T338" ca="1" si="33">IF($W277&gt;0,$D277,"")</f>
        <v/>
      </c>
      <c r="U277" s="163" t="str">
        <f t="shared" ref="U277:U338" ca="1" si="34">IF($W277&gt;0,$E277,"")</f>
        <v/>
      </c>
      <c r="V277" s="164" t="str">
        <f ca="1">IF(AND($W277&gt;0,RegimeExecucao="Unitário"),$F277,"")</f>
        <v/>
      </c>
      <c r="W277" s="454">
        <f ca="1">IF($Y277&gt;0,CHOOSE(MATCH(RegimeExecucao,{"Unitário","Global"},0),IF($A277="S",$Y277/$X277,""),($Y277/$X277)*100),0)</f>
        <v>0</v>
      </c>
      <c r="X277" s="339" t="str">
        <f ca="1">IF($Y277&gt;0,CHOOSE(MATCH(RegimeExecucao,{"Unitário","Global"},0),IF($A277="S",ROUND($H277,ORÇAMENTO!$AF$10),""),ROUND($I277,ORÇAMENTO!$AF$11)),"")</f>
        <v/>
      </c>
      <c r="Y277" s="339">
        <f t="shared" ref="Y277:Y338" ca="1" si="35">AO277-O277</f>
        <v>0</v>
      </c>
      <c r="Z277" s="473"/>
      <c r="AB277" s="337"/>
      <c r="AC277" s="437"/>
      <c r="AD277" s="437"/>
      <c r="AE277" s="437"/>
      <c r="AF277" s="437"/>
      <c r="AG277" s="437"/>
      <c r="AH277" s="437"/>
      <c r="AI277" s="437"/>
      <c r="AJ277" s="437"/>
      <c r="AK277" s="437"/>
      <c r="AL277" s="437"/>
      <c r="AM277" s="338"/>
      <c r="AO277">
        <f ca="1">IF($A277="S",IF(BM!$I277=0,0,CHOOSE(MATCH(RegimeExecucao,{"Global","Unitário"},0),ROUND(ROUND(BM.MEDAcumulado,15-13*BM!$A$9)/100*BM!$I277,15-13*ORÇAMENTO!$AF$11),ROUND(ROUND(BM.MEDAcumulado,15-13*BM!$A$9)*ROUND(BM!$H277,15-13*ORÇAMENTO!$AF$10),15-13*ORÇAMENTO!$AF$11))),IF($A277=0,0,ROUND(SomaAgrupBM,15-13*ORÇAMENTO!$AF$11)))</f>
        <v>0</v>
      </c>
    </row>
    <row r="278" spans="1:41" x14ac:dyDescent="0.2">
      <c r="A278">
        <f ca="1">ORÇAMENTO!C278</f>
        <v>4</v>
      </c>
      <c r="B278">
        <f ca="1">ORÇAMENTO!D278</f>
        <v>8</v>
      </c>
      <c r="C278" s="114" t="str">
        <f t="shared" ca="1" si="29"/>
        <v>F</v>
      </c>
      <c r="D278" s="117" t="str">
        <f ca="1">ORÇAMENTO!O278</f>
        <v>1.7.3.1.</v>
      </c>
      <c r="E278" s="163" t="str">
        <f t="shared" si="30"/>
        <v>FORNECIMENTO DE MATERIAIS</v>
      </c>
      <c r="F278" s="164" t="str">
        <f ca="1">IF(RegimeExecucao="Global","",ORÇAMENTO.Unidade)</f>
        <v>-</v>
      </c>
      <c r="G278" s="122">
        <f ca="1">IF(RegimeExecucao="Global","",ORÇAMENTO!T278)</f>
        <v>0</v>
      </c>
      <c r="H278" s="122">
        <f ca="1">IF(RegimeExecucao="Global","",ORÇAMENTO!W278)</f>
        <v>0</v>
      </c>
      <c r="I278" s="125">
        <f ca="1">ORÇAMENTO!X278</f>
        <v>76531.199999999997</v>
      </c>
      <c r="J278" s="333" cm="1">
        <f t="array" aca="1" ref="J278" ca="1">_xlfn.SINGLE(IF($A278="S",IF(CAIXA.Modo,BM.AFAnterior,BM.MEDAnterior),IF(AND(_xlfn.SINGLE(RegimeExecucao)="Global",$I278&gt;0,COUNTIF($AB$13:$AM$13,BM.medicao-1)&gt;0),M278/$I278*100,0)))</f>
        <v>0</v>
      </c>
      <c r="K278" s="122">
        <f t="shared" ca="1" si="31"/>
        <v>0</v>
      </c>
      <c r="L278" s="334" cm="1">
        <f t="array" aca="1" ref="L278" ca="1">_xlfn.SINGLE(IF($A278="S",IF(CAIXA.Modo,BM.AFAcumulado,BM.MEDAcumulado),IF(AND(_xlfn.SINGLE(RegimeExecucao)="Global",$I278&gt;0,COUNTIF($AB$13:$AM$13,BM.medicao)&gt;0),O278/$I278*100,0)))</f>
        <v>0</v>
      </c>
      <c r="M278" s="335">
        <f ca="1">IF($A278="S",VTOTALBM,IF($A278=0,0,ROUND(SomaAgrupBM,15-13*ORÇAMENTO!$AF$11)))</f>
        <v>0</v>
      </c>
      <c r="N278" s="336">
        <f t="shared" ca="1" si="32"/>
        <v>0</v>
      </c>
      <c r="O278" s="125">
        <f ca="1">IF($A278="S",VTOTALBM,IF($A278=0,0,ROUND(SomaAgrupBM,15-13*ORÇAMENTO!$AF$11)))</f>
        <v>0</v>
      </c>
      <c r="Q278" s="337"/>
      <c r="R278" s="338"/>
      <c r="T278" s="117" t="str">
        <f t="shared" ca="1" si="33"/>
        <v/>
      </c>
      <c r="U278" s="163" t="str">
        <f t="shared" ca="1" si="34"/>
        <v/>
      </c>
      <c r="V278" s="164" t="str">
        <f ca="1">IF(AND($W278&gt;0,RegimeExecucao="Unitário"),$F278,"")</f>
        <v/>
      </c>
      <c r="W278" s="454">
        <f ca="1">IF($Y278&gt;0,CHOOSE(MATCH(RegimeExecucao,{"Unitário","Global"},0),IF($A278="S",$Y278/$X278,""),($Y278/$X278)*100),0)</f>
        <v>0</v>
      </c>
      <c r="X278" s="339" t="str">
        <f ca="1">IF($Y278&gt;0,CHOOSE(MATCH(RegimeExecucao,{"Unitário","Global"},0),IF($A278="S",ROUND($H278,ORÇAMENTO!$AF$10),""),ROUND($I278,ORÇAMENTO!$AF$11)),"")</f>
        <v/>
      </c>
      <c r="Y278" s="339">
        <f t="shared" ca="1" si="35"/>
        <v>0</v>
      </c>
      <c r="Z278" s="473"/>
      <c r="AB278" s="337"/>
      <c r="AC278" s="437"/>
      <c r="AD278" s="437"/>
      <c r="AE278" s="437"/>
      <c r="AF278" s="437"/>
      <c r="AG278" s="437"/>
      <c r="AH278" s="437"/>
      <c r="AI278" s="437"/>
      <c r="AJ278" s="437"/>
      <c r="AK278" s="437"/>
      <c r="AL278" s="437"/>
      <c r="AM278" s="338"/>
      <c r="AO278">
        <f ca="1">IF($A278="S",IF(BM!$I278=0,0,CHOOSE(MATCH(RegimeExecucao,{"Global","Unitário"},0),ROUND(ROUND(BM.MEDAcumulado,15-13*BM!$A$9)/100*BM!$I278,15-13*ORÇAMENTO!$AF$11),ROUND(ROUND(BM.MEDAcumulado,15-13*BM!$A$9)*ROUND(BM!$H278,15-13*ORÇAMENTO!$AF$10),15-13*ORÇAMENTO!$AF$11))),IF($A278=0,0,ROUND(SomaAgrupBM,15-13*ORÇAMENTO!$AF$11)))</f>
        <v>0</v>
      </c>
    </row>
    <row r="279" spans="1:41" x14ac:dyDescent="0.2">
      <c r="A279" t="str">
        <f ca="1">ORÇAMENTO!C279</f>
        <v>S</v>
      </c>
      <c r="B279">
        <f ca="1">ORÇAMENTO!D279</f>
        <v>0</v>
      </c>
      <c r="C279" s="114" t="str">
        <f t="shared" ca="1" si="29"/>
        <v>F</v>
      </c>
      <c r="D279" s="117" t="str">
        <f ca="1">ORÇAMENTO!O279</f>
        <v>1.7.3.1.1.</v>
      </c>
      <c r="E279" s="163" t="str">
        <f t="shared" ca="1" si="30"/>
        <v>TÊ COM BOLSAS FoFo - DN 150 MM</v>
      </c>
      <c r="F279" s="164" t="str">
        <f ca="1">IF(RegimeExecucao="Global","",ORÇAMENTO.Unidade)</f>
        <v>UN</v>
      </c>
      <c r="G279" s="122">
        <f ca="1">IF(RegimeExecucao="Global","",ORÇAMENTO!T279)</f>
        <v>10</v>
      </c>
      <c r="H279" s="122">
        <f ca="1">IF(RegimeExecucao="Global","",ORÇAMENTO!W279)</f>
        <v>718.25</v>
      </c>
      <c r="I279" s="125">
        <f ca="1">ORÇAMENTO!X279</f>
        <v>7182.5</v>
      </c>
      <c r="J279" s="333" cm="1">
        <f t="array" aca="1" ref="J279" ca="1">_xlfn.SINGLE(IF($A279="S",IF(CAIXA.Modo,BM.AFAnterior,BM.MEDAnterior),IF(AND(_xlfn.SINGLE(RegimeExecucao)="Global",$I279&gt;0,COUNTIF($AB$13:$AM$13,BM.medicao-1)&gt;0),M279/$I279*100,0)))</f>
        <v>0</v>
      </c>
      <c r="K279" s="122">
        <f t="shared" ca="1" si="31"/>
        <v>0</v>
      </c>
      <c r="L279" s="334" cm="1">
        <f t="array" aca="1" ref="L279" ca="1">_xlfn.SINGLE(IF($A279="S",IF(CAIXA.Modo,BM.AFAcumulado,BM.MEDAcumulado),IF(AND(_xlfn.SINGLE(RegimeExecucao)="Global",$I279&gt;0,COUNTIF($AB$13:$AM$13,BM.medicao)&gt;0),O279/$I279*100,0)))</f>
        <v>0</v>
      </c>
      <c r="M279" s="335">
        <f ca="1">IF($A279="S",VTOTALBM,IF($A279=0,0,ROUND(SomaAgrupBM,15-13*ORÇAMENTO!$AF$11)))</f>
        <v>0</v>
      </c>
      <c r="N279" s="336">
        <f t="shared" ca="1" si="32"/>
        <v>0</v>
      </c>
      <c r="O279" s="125">
        <f ca="1">IF($A279="S",VTOTALBM,IF($A279=0,0,ROUND(SomaAgrupBM,15-13*ORÇAMENTO!$AF$11)))</f>
        <v>0</v>
      </c>
      <c r="Q279" s="337"/>
      <c r="R279" s="338"/>
      <c r="T279" s="117" t="str">
        <f t="shared" ca="1" si="33"/>
        <v/>
      </c>
      <c r="U279" s="163" t="str">
        <f t="shared" ca="1" si="34"/>
        <v/>
      </c>
      <c r="V279" s="164" t="str">
        <f ca="1">IF(AND($W279&gt;0,RegimeExecucao="Unitário"),$F279,"")</f>
        <v/>
      </c>
      <c r="W279" s="454">
        <f ca="1">IF($Y279&gt;0,CHOOSE(MATCH(RegimeExecucao,{"Unitário","Global"},0),IF($A279="S",$Y279/$X279,""),($Y279/$X279)*100),0)</f>
        <v>0</v>
      </c>
      <c r="X279" s="339" t="str">
        <f ca="1">IF($Y279&gt;0,CHOOSE(MATCH(RegimeExecucao,{"Unitário","Global"},0),IF($A279="S",ROUND($H279,ORÇAMENTO!$AF$10),""),ROUND($I279,ORÇAMENTO!$AF$11)),"")</f>
        <v/>
      </c>
      <c r="Y279" s="339">
        <f t="shared" ca="1" si="35"/>
        <v>0</v>
      </c>
      <c r="Z279" s="473"/>
      <c r="AB279" s="337"/>
      <c r="AC279" s="437"/>
      <c r="AD279" s="437"/>
      <c r="AE279" s="437"/>
      <c r="AF279" s="437"/>
      <c r="AG279" s="437"/>
      <c r="AH279" s="437"/>
      <c r="AI279" s="437"/>
      <c r="AJ279" s="437"/>
      <c r="AK279" s="437"/>
      <c r="AL279" s="437"/>
      <c r="AM279" s="338"/>
      <c r="AO279">
        <f ca="1">IF($A279="S",IF(BM!$I279=0,0,CHOOSE(MATCH(RegimeExecucao,{"Global","Unitário"},0),ROUND(ROUND(BM.MEDAcumulado,15-13*BM!$A$9)/100*BM!$I279,15-13*ORÇAMENTO!$AF$11),ROUND(ROUND(BM.MEDAcumulado,15-13*BM!$A$9)*ROUND(BM!$H279,15-13*ORÇAMENTO!$AF$10),15-13*ORÇAMENTO!$AF$11))),IF($A279=0,0,ROUND(SomaAgrupBM,15-13*ORÇAMENTO!$AF$11)))</f>
        <v>0</v>
      </c>
    </row>
    <row r="280" spans="1:41" ht="25.5" x14ac:dyDescent="0.2">
      <c r="A280" t="str">
        <f ca="1">ORÇAMENTO!C280</f>
        <v>S</v>
      </c>
      <c r="B280">
        <f ca="1">ORÇAMENTO!D280</f>
        <v>0</v>
      </c>
      <c r="C280" s="114" t="str">
        <f t="shared" ca="1" si="29"/>
        <v>F</v>
      </c>
      <c r="D280" s="117" t="str">
        <f ca="1">ORÇAMENTO!O280</f>
        <v>1.7.3.1.2.</v>
      </c>
      <c r="E280" s="163" t="str">
        <f t="shared" ca="1" si="30"/>
        <v>TUBO PONTA/FLANGE FoFo L = 1,00 M - DN 150 MM - FORNECIMENTO</v>
      </c>
      <c r="F280" s="164" t="str">
        <f ca="1">IF(RegimeExecucao="Global","",ORÇAMENTO.Unidade)</f>
        <v>UN</v>
      </c>
      <c r="G280" s="122">
        <f ca="1">IF(RegimeExecucao="Global","",ORÇAMENTO!T280)</f>
        <v>10</v>
      </c>
      <c r="H280" s="122">
        <f ca="1">IF(RegimeExecucao="Global","",ORÇAMENTO!W280)</f>
        <v>1817.51</v>
      </c>
      <c r="I280" s="125">
        <f ca="1">ORÇAMENTO!X280</f>
        <v>18175.099999999999</v>
      </c>
      <c r="J280" s="333" cm="1">
        <f t="array" aca="1" ref="J280" ca="1">_xlfn.SINGLE(IF($A280="S",IF(CAIXA.Modo,BM.AFAnterior,BM.MEDAnterior),IF(AND(_xlfn.SINGLE(RegimeExecucao)="Global",$I280&gt;0,COUNTIF($AB$13:$AM$13,BM.medicao-1)&gt;0),M280/$I280*100,0)))</f>
        <v>0</v>
      </c>
      <c r="K280" s="122">
        <f t="shared" ca="1" si="31"/>
        <v>0</v>
      </c>
      <c r="L280" s="334" cm="1">
        <f t="array" aca="1" ref="L280" ca="1">_xlfn.SINGLE(IF($A280="S",IF(CAIXA.Modo,BM.AFAcumulado,BM.MEDAcumulado),IF(AND(_xlfn.SINGLE(RegimeExecucao)="Global",$I280&gt;0,COUNTIF($AB$13:$AM$13,BM.medicao)&gt;0),O280/$I280*100,0)))</f>
        <v>0</v>
      </c>
      <c r="M280" s="335">
        <f ca="1">IF($A280="S",VTOTALBM,IF($A280=0,0,ROUND(SomaAgrupBM,15-13*ORÇAMENTO!$AF$11)))</f>
        <v>0</v>
      </c>
      <c r="N280" s="336">
        <f t="shared" ca="1" si="32"/>
        <v>0</v>
      </c>
      <c r="O280" s="125">
        <f ca="1">IF($A280="S",VTOTALBM,IF($A280=0,0,ROUND(SomaAgrupBM,15-13*ORÇAMENTO!$AF$11)))</f>
        <v>0</v>
      </c>
      <c r="Q280" s="337"/>
      <c r="R280" s="338"/>
      <c r="T280" s="117" t="str">
        <f t="shared" ca="1" si="33"/>
        <v/>
      </c>
      <c r="U280" s="163" t="str">
        <f t="shared" ca="1" si="34"/>
        <v/>
      </c>
      <c r="V280" s="164" t="str">
        <f ca="1">IF(AND($W280&gt;0,RegimeExecucao="Unitário"),$F280,"")</f>
        <v/>
      </c>
      <c r="W280" s="454">
        <f ca="1">IF($Y280&gt;0,CHOOSE(MATCH(RegimeExecucao,{"Unitário","Global"},0),IF($A280="S",$Y280/$X280,""),($Y280/$X280)*100),0)</f>
        <v>0</v>
      </c>
      <c r="X280" s="339" t="str">
        <f ca="1">IF($Y280&gt;0,CHOOSE(MATCH(RegimeExecucao,{"Unitário","Global"},0),IF($A280="S",ROUND($H280,ORÇAMENTO!$AF$10),""),ROUND($I280,ORÇAMENTO!$AF$11)),"")</f>
        <v/>
      </c>
      <c r="Y280" s="339">
        <f t="shared" ca="1" si="35"/>
        <v>0</v>
      </c>
      <c r="Z280" s="473"/>
      <c r="AB280" s="337"/>
      <c r="AC280" s="437"/>
      <c r="AD280" s="437"/>
      <c r="AE280" s="437"/>
      <c r="AF280" s="437"/>
      <c r="AG280" s="437"/>
      <c r="AH280" s="437"/>
      <c r="AI280" s="437"/>
      <c r="AJ280" s="437"/>
      <c r="AK280" s="437"/>
      <c r="AL280" s="437"/>
      <c r="AM280" s="338"/>
      <c r="AO280">
        <f ca="1">IF($A280="S",IF(BM!$I280=0,0,CHOOSE(MATCH(RegimeExecucao,{"Global","Unitário"},0),ROUND(ROUND(BM.MEDAcumulado,15-13*BM!$A$9)/100*BM!$I280,15-13*ORÇAMENTO!$AF$11),ROUND(ROUND(BM.MEDAcumulado,15-13*BM!$A$9)*ROUND(BM!$H280,15-13*ORÇAMENTO!$AF$10),15-13*ORÇAMENTO!$AF$11))),IF($A280=0,0,ROUND(SomaAgrupBM,15-13*ORÇAMENTO!$AF$11)))</f>
        <v>0</v>
      </c>
    </row>
    <row r="281" spans="1:41" x14ac:dyDescent="0.2">
      <c r="A281" t="str">
        <f ca="1">ORÇAMENTO!C281</f>
        <v>S</v>
      </c>
      <c r="B281">
        <f ca="1">ORÇAMENTO!D281</f>
        <v>0</v>
      </c>
      <c r="C281" s="114" t="str">
        <f t="shared" ca="1" si="29"/>
        <v>F</v>
      </c>
      <c r="D281" s="117" t="str">
        <f ca="1">ORÇAMENTO!O281</f>
        <v>1.7.3.1.3.</v>
      </c>
      <c r="E281" s="163" t="str">
        <f t="shared" ca="1" si="30"/>
        <v>CURVA 90 FLANGEADA FoFo - DN 150 MM - FORNECIMENTO</v>
      </c>
      <c r="F281" s="164" t="str">
        <f ca="1">IF(RegimeExecucao="Global","",ORÇAMENTO.Unidade)</f>
        <v>UN</v>
      </c>
      <c r="G281" s="122">
        <f ca="1">IF(RegimeExecucao="Global","",ORÇAMENTO!T281)</f>
        <v>10</v>
      </c>
      <c r="H281" s="122">
        <f ca="1">IF(RegimeExecucao="Global","",ORÇAMENTO!W281)</f>
        <v>746.32</v>
      </c>
      <c r="I281" s="125">
        <f ca="1">ORÇAMENTO!X281</f>
        <v>7463.2</v>
      </c>
      <c r="J281" s="333" cm="1">
        <f t="array" aca="1" ref="J281" ca="1">_xlfn.SINGLE(IF($A281="S",IF(CAIXA.Modo,BM.AFAnterior,BM.MEDAnterior),IF(AND(_xlfn.SINGLE(RegimeExecucao)="Global",$I281&gt;0,COUNTIF($AB$13:$AM$13,BM.medicao-1)&gt;0),M281/$I281*100,0)))</f>
        <v>0</v>
      </c>
      <c r="K281" s="122">
        <f t="shared" ca="1" si="31"/>
        <v>0</v>
      </c>
      <c r="L281" s="334" cm="1">
        <f t="array" aca="1" ref="L281" ca="1">_xlfn.SINGLE(IF($A281="S",IF(CAIXA.Modo,BM.AFAcumulado,BM.MEDAcumulado),IF(AND(_xlfn.SINGLE(RegimeExecucao)="Global",$I281&gt;0,COUNTIF($AB$13:$AM$13,BM.medicao)&gt;0),O281/$I281*100,0)))</f>
        <v>0</v>
      </c>
      <c r="M281" s="335">
        <f ca="1">IF($A281="S",VTOTALBM,IF($A281=0,0,ROUND(SomaAgrupBM,15-13*ORÇAMENTO!$AF$11)))</f>
        <v>0</v>
      </c>
      <c r="N281" s="336">
        <f t="shared" ca="1" si="32"/>
        <v>0</v>
      </c>
      <c r="O281" s="125">
        <f ca="1">IF($A281="S",VTOTALBM,IF($A281=0,0,ROUND(SomaAgrupBM,15-13*ORÇAMENTO!$AF$11)))</f>
        <v>0</v>
      </c>
      <c r="Q281" s="337"/>
      <c r="R281" s="338"/>
      <c r="T281" s="117" t="str">
        <f t="shared" ca="1" si="33"/>
        <v/>
      </c>
      <c r="U281" s="163" t="str">
        <f t="shared" ca="1" si="34"/>
        <v/>
      </c>
      <c r="V281" s="164" t="str">
        <f ca="1">IF(AND($W281&gt;0,RegimeExecucao="Unitário"),$F281,"")</f>
        <v/>
      </c>
      <c r="W281" s="454">
        <f ca="1">IF($Y281&gt;0,CHOOSE(MATCH(RegimeExecucao,{"Unitário","Global"},0),IF($A281="S",$Y281/$X281,""),($Y281/$X281)*100),0)</f>
        <v>0</v>
      </c>
      <c r="X281" s="339" t="str">
        <f ca="1">IF($Y281&gt;0,CHOOSE(MATCH(RegimeExecucao,{"Unitário","Global"},0),IF($A281="S",ROUND($H281,ORÇAMENTO!$AF$10),""),ROUND($I281,ORÇAMENTO!$AF$11)),"")</f>
        <v/>
      </c>
      <c r="Y281" s="339">
        <f t="shared" ca="1" si="35"/>
        <v>0</v>
      </c>
      <c r="Z281" s="473"/>
      <c r="AB281" s="337"/>
      <c r="AC281" s="437"/>
      <c r="AD281" s="437"/>
      <c r="AE281" s="437"/>
      <c r="AF281" s="437"/>
      <c r="AG281" s="437"/>
      <c r="AH281" s="437"/>
      <c r="AI281" s="437"/>
      <c r="AJ281" s="437"/>
      <c r="AK281" s="437"/>
      <c r="AL281" s="437"/>
      <c r="AM281" s="338"/>
      <c r="AO281">
        <f ca="1">IF($A281="S",IF(BM!$I281=0,0,CHOOSE(MATCH(RegimeExecucao,{"Global","Unitário"},0),ROUND(ROUND(BM.MEDAcumulado,15-13*BM!$A$9)/100*BM!$I281,15-13*ORÇAMENTO!$AF$11),ROUND(ROUND(BM.MEDAcumulado,15-13*BM!$A$9)*ROUND(BM!$H281,15-13*ORÇAMENTO!$AF$10),15-13*ORÇAMENTO!$AF$11))),IF($A281=0,0,ROUND(SomaAgrupBM,15-13*ORÇAMENTO!$AF$11)))</f>
        <v>0</v>
      </c>
    </row>
    <row r="282" spans="1:41" x14ac:dyDescent="0.2">
      <c r="A282" t="str">
        <f ca="1">ORÇAMENTO!C282</f>
        <v>S</v>
      </c>
      <c r="B282">
        <f ca="1">ORÇAMENTO!D282</f>
        <v>0</v>
      </c>
      <c r="C282" s="114" t="str">
        <f t="shared" ca="1" si="29"/>
        <v>F</v>
      </c>
      <c r="D282" s="117" t="str">
        <f ca="1">ORÇAMENTO!O282</f>
        <v>1.7.3.1.4.</v>
      </c>
      <c r="E282" s="163" t="str">
        <f t="shared" ca="1" si="30"/>
        <v>REGISTRO GAVETA FLANGE E CABEÇOTE PN10 DN150MM</v>
      </c>
      <c r="F282" s="164" t="str">
        <f ca="1">IF(RegimeExecucao="Global","",ORÇAMENTO.Unidade)</f>
        <v>UN</v>
      </c>
      <c r="G282" s="122">
        <f ca="1">IF(RegimeExecucao="Global","",ORÇAMENTO!T282)</f>
        <v>10</v>
      </c>
      <c r="H282" s="122">
        <f ca="1">IF(RegimeExecucao="Global","",ORÇAMENTO!W282)</f>
        <v>1916.8</v>
      </c>
      <c r="I282" s="125">
        <f ca="1">ORÇAMENTO!X282</f>
        <v>19168</v>
      </c>
      <c r="J282" s="333" cm="1">
        <f t="array" aca="1" ref="J282" ca="1">_xlfn.SINGLE(IF($A282="S",IF(CAIXA.Modo,BM.AFAnterior,BM.MEDAnterior),IF(AND(_xlfn.SINGLE(RegimeExecucao)="Global",$I282&gt;0,COUNTIF($AB$13:$AM$13,BM.medicao-1)&gt;0),M282/$I282*100,0)))</f>
        <v>0</v>
      </c>
      <c r="K282" s="122">
        <f t="shared" ca="1" si="31"/>
        <v>0</v>
      </c>
      <c r="L282" s="334" cm="1">
        <f t="array" aca="1" ref="L282" ca="1">_xlfn.SINGLE(IF($A282="S",IF(CAIXA.Modo,BM.AFAcumulado,BM.MEDAcumulado),IF(AND(_xlfn.SINGLE(RegimeExecucao)="Global",$I282&gt;0,COUNTIF($AB$13:$AM$13,BM.medicao)&gt;0),O282/$I282*100,0)))</f>
        <v>0</v>
      </c>
      <c r="M282" s="335">
        <f ca="1">IF($A282="S",VTOTALBM,IF($A282=0,0,ROUND(SomaAgrupBM,15-13*ORÇAMENTO!$AF$11)))</f>
        <v>0</v>
      </c>
      <c r="N282" s="336">
        <f t="shared" ca="1" si="32"/>
        <v>0</v>
      </c>
      <c r="O282" s="125">
        <f ca="1">IF($A282="S",VTOTALBM,IF($A282=0,0,ROUND(SomaAgrupBM,15-13*ORÇAMENTO!$AF$11)))</f>
        <v>0</v>
      </c>
      <c r="Q282" s="337"/>
      <c r="R282" s="338"/>
      <c r="T282" s="117" t="str">
        <f t="shared" ca="1" si="33"/>
        <v/>
      </c>
      <c r="U282" s="163" t="str">
        <f t="shared" ca="1" si="34"/>
        <v/>
      </c>
      <c r="V282" s="164" t="str">
        <f ca="1">IF(AND($W282&gt;0,RegimeExecucao="Unitário"),$F282,"")</f>
        <v/>
      </c>
      <c r="W282" s="454">
        <f ca="1">IF($Y282&gt;0,CHOOSE(MATCH(RegimeExecucao,{"Unitário","Global"},0),IF($A282="S",$Y282/$X282,""),($Y282/$X282)*100),0)</f>
        <v>0</v>
      </c>
      <c r="X282" s="339" t="str">
        <f ca="1">IF($Y282&gt;0,CHOOSE(MATCH(RegimeExecucao,{"Unitário","Global"},0),IF($A282="S",ROUND($H282,ORÇAMENTO!$AF$10),""),ROUND($I282,ORÇAMENTO!$AF$11)),"")</f>
        <v/>
      </c>
      <c r="Y282" s="339">
        <f t="shared" ca="1" si="35"/>
        <v>0</v>
      </c>
      <c r="Z282" s="473"/>
      <c r="AB282" s="337"/>
      <c r="AC282" s="437"/>
      <c r="AD282" s="437"/>
      <c r="AE282" s="437"/>
      <c r="AF282" s="437"/>
      <c r="AG282" s="437"/>
      <c r="AH282" s="437"/>
      <c r="AI282" s="437"/>
      <c r="AJ282" s="437"/>
      <c r="AK282" s="437"/>
      <c r="AL282" s="437"/>
      <c r="AM282" s="338"/>
      <c r="AO282">
        <f ca="1">IF($A282="S",IF(BM!$I282=0,0,CHOOSE(MATCH(RegimeExecucao,{"Global","Unitário"},0),ROUND(ROUND(BM.MEDAcumulado,15-13*BM!$A$9)/100*BM!$I282,15-13*ORÇAMENTO!$AF$11),ROUND(ROUND(BM.MEDAcumulado,15-13*BM!$A$9)*ROUND(BM!$H282,15-13*ORÇAMENTO!$AF$10),15-13*ORÇAMENTO!$AF$11))),IF($A282=0,0,ROUND(SomaAgrupBM,15-13*ORÇAMENTO!$AF$11)))</f>
        <v>0</v>
      </c>
    </row>
    <row r="283" spans="1:41" x14ac:dyDescent="0.2">
      <c r="A283" t="str">
        <f ca="1">ORÇAMENTO!C283</f>
        <v>S</v>
      </c>
      <c r="B283">
        <f ca="1">ORÇAMENTO!D283</f>
        <v>0</v>
      </c>
      <c r="C283" s="114" t="str">
        <f t="shared" ca="1" si="29"/>
        <v>F</v>
      </c>
      <c r="D283" s="117" t="str">
        <f ca="1">ORÇAMENTO!O283</f>
        <v>1.7.3.1.5.</v>
      </c>
      <c r="E283" s="163" t="str">
        <f t="shared" ca="1" si="30"/>
        <v>TUBO FLANGEADO FoFo L = 0,75 M - DN 150 MM - FORNECIMENTO</v>
      </c>
      <c r="F283" s="164" t="str">
        <f ca="1">IF(RegimeExecucao="Global","",ORÇAMENTO.Unidade)</f>
        <v>UN</v>
      </c>
      <c r="G283" s="122">
        <f ca="1">IF(RegimeExecucao="Global","",ORÇAMENTO!T283)</f>
        <v>10</v>
      </c>
      <c r="H283" s="122">
        <f ca="1">IF(RegimeExecucao="Global","",ORÇAMENTO!W283)</f>
        <v>1576.68</v>
      </c>
      <c r="I283" s="125">
        <f ca="1">ORÇAMENTO!X283</f>
        <v>15766.8</v>
      </c>
      <c r="J283" s="333" cm="1">
        <f t="array" aca="1" ref="J283" ca="1">_xlfn.SINGLE(IF($A283="S",IF(CAIXA.Modo,BM.AFAnterior,BM.MEDAnterior),IF(AND(_xlfn.SINGLE(RegimeExecucao)="Global",$I283&gt;0,COUNTIF($AB$13:$AM$13,BM.medicao-1)&gt;0),M283/$I283*100,0)))</f>
        <v>0</v>
      </c>
      <c r="K283" s="122">
        <f t="shared" ca="1" si="31"/>
        <v>0</v>
      </c>
      <c r="L283" s="334" cm="1">
        <f t="array" aca="1" ref="L283" ca="1">_xlfn.SINGLE(IF($A283="S",IF(CAIXA.Modo,BM.AFAcumulado,BM.MEDAcumulado),IF(AND(_xlfn.SINGLE(RegimeExecucao)="Global",$I283&gt;0,COUNTIF($AB$13:$AM$13,BM.medicao)&gt;0),O283/$I283*100,0)))</f>
        <v>0</v>
      </c>
      <c r="M283" s="335">
        <f ca="1">IF($A283="S",VTOTALBM,IF($A283=0,0,ROUND(SomaAgrupBM,15-13*ORÇAMENTO!$AF$11)))</f>
        <v>0</v>
      </c>
      <c r="N283" s="336">
        <f t="shared" ca="1" si="32"/>
        <v>0</v>
      </c>
      <c r="O283" s="125">
        <f ca="1">IF($A283="S",VTOTALBM,IF($A283=0,0,ROUND(SomaAgrupBM,15-13*ORÇAMENTO!$AF$11)))</f>
        <v>0</v>
      </c>
      <c r="Q283" s="337"/>
      <c r="R283" s="338"/>
      <c r="T283" s="117" t="str">
        <f t="shared" ca="1" si="33"/>
        <v/>
      </c>
      <c r="U283" s="163" t="str">
        <f t="shared" ca="1" si="34"/>
        <v/>
      </c>
      <c r="V283" s="164" t="str">
        <f ca="1">IF(AND($W283&gt;0,RegimeExecucao="Unitário"),$F283,"")</f>
        <v/>
      </c>
      <c r="W283" s="454">
        <f ca="1">IF($Y283&gt;0,CHOOSE(MATCH(RegimeExecucao,{"Unitário","Global"},0),IF($A283="S",$Y283/$X283,""),($Y283/$X283)*100),0)</f>
        <v>0</v>
      </c>
      <c r="X283" s="339" t="str">
        <f ca="1">IF($Y283&gt;0,CHOOSE(MATCH(RegimeExecucao,{"Unitário","Global"},0),IF($A283="S",ROUND($H283,ORÇAMENTO!$AF$10),""),ROUND($I283,ORÇAMENTO!$AF$11)),"")</f>
        <v/>
      </c>
      <c r="Y283" s="339">
        <f t="shared" ca="1" si="35"/>
        <v>0</v>
      </c>
      <c r="Z283" s="473"/>
      <c r="AB283" s="337"/>
      <c r="AC283" s="437"/>
      <c r="AD283" s="437"/>
      <c r="AE283" s="437"/>
      <c r="AF283" s="437"/>
      <c r="AG283" s="437"/>
      <c r="AH283" s="437"/>
      <c r="AI283" s="437"/>
      <c r="AJ283" s="437"/>
      <c r="AK283" s="437"/>
      <c r="AL283" s="437"/>
      <c r="AM283" s="338"/>
      <c r="AO283">
        <f ca="1">IF($A283="S",IF(BM!$I283=0,0,CHOOSE(MATCH(RegimeExecucao,{"Global","Unitário"},0),ROUND(ROUND(BM.MEDAcumulado,15-13*BM!$A$9)/100*BM!$I283,15-13*ORÇAMENTO!$AF$11),ROUND(ROUND(BM.MEDAcumulado,15-13*BM!$A$9)*ROUND(BM!$H283,15-13*ORÇAMENTO!$AF$10),15-13*ORÇAMENTO!$AF$11))),IF($A283=0,0,ROUND(SomaAgrupBM,15-13*ORÇAMENTO!$AF$11)))</f>
        <v>0</v>
      </c>
    </row>
    <row r="284" spans="1:41" x14ac:dyDescent="0.2">
      <c r="A284" t="str">
        <f ca="1">ORÇAMENTO!C284</f>
        <v>S</v>
      </c>
      <c r="B284">
        <f ca="1">ORÇAMENTO!D284</f>
        <v>0</v>
      </c>
      <c r="C284" s="114" t="str">
        <f t="shared" ca="1" si="29"/>
        <v>F</v>
      </c>
      <c r="D284" s="117" t="str">
        <f ca="1">ORÇAMENTO!O284</f>
        <v>1.7.3.1.6.</v>
      </c>
      <c r="E284" s="163" t="str">
        <f t="shared" ca="1" si="30"/>
        <v>ARRUELA BORRACHA PARA FLANGE - DN 150 MM</v>
      </c>
      <c r="F284" s="164" t="str">
        <f ca="1">IF(RegimeExecucao="Global","",ORÇAMENTO.Unidade)</f>
        <v>UN</v>
      </c>
      <c r="G284" s="122">
        <f ca="1">IF(RegimeExecucao="Global","",ORÇAMENTO!T284)</f>
        <v>40</v>
      </c>
      <c r="H284" s="122">
        <f ca="1">IF(RegimeExecucao="Global","",ORÇAMENTO!W284)</f>
        <v>8.67</v>
      </c>
      <c r="I284" s="125">
        <f ca="1">ORÇAMENTO!X284</f>
        <v>346.8</v>
      </c>
      <c r="J284" s="333" cm="1">
        <f t="array" aca="1" ref="J284" ca="1">_xlfn.SINGLE(IF($A284="S",IF(CAIXA.Modo,BM.AFAnterior,BM.MEDAnterior),IF(AND(_xlfn.SINGLE(RegimeExecucao)="Global",$I284&gt;0,COUNTIF($AB$13:$AM$13,BM.medicao-1)&gt;0),M284/$I284*100,0)))</f>
        <v>0</v>
      </c>
      <c r="K284" s="122">
        <f t="shared" ca="1" si="31"/>
        <v>0</v>
      </c>
      <c r="L284" s="334" cm="1">
        <f t="array" aca="1" ref="L284" ca="1">_xlfn.SINGLE(IF($A284="S",IF(CAIXA.Modo,BM.AFAcumulado,BM.MEDAcumulado),IF(AND(_xlfn.SINGLE(RegimeExecucao)="Global",$I284&gt;0,COUNTIF($AB$13:$AM$13,BM.medicao)&gt;0),O284/$I284*100,0)))</f>
        <v>0</v>
      </c>
      <c r="M284" s="335">
        <f ca="1">IF($A284="S",VTOTALBM,IF($A284=0,0,ROUND(SomaAgrupBM,15-13*ORÇAMENTO!$AF$11)))</f>
        <v>0</v>
      </c>
      <c r="N284" s="336">
        <f t="shared" ca="1" si="32"/>
        <v>0</v>
      </c>
      <c r="O284" s="125">
        <f ca="1">IF($A284="S",VTOTALBM,IF($A284=0,0,ROUND(SomaAgrupBM,15-13*ORÇAMENTO!$AF$11)))</f>
        <v>0</v>
      </c>
      <c r="Q284" s="337"/>
      <c r="R284" s="338"/>
      <c r="T284" s="117" t="str">
        <f t="shared" ca="1" si="33"/>
        <v/>
      </c>
      <c r="U284" s="163" t="str">
        <f t="shared" ca="1" si="34"/>
        <v/>
      </c>
      <c r="V284" s="164" t="str">
        <f ca="1">IF(AND($W284&gt;0,RegimeExecucao="Unitário"),$F284,"")</f>
        <v/>
      </c>
      <c r="W284" s="454">
        <f ca="1">IF($Y284&gt;0,CHOOSE(MATCH(RegimeExecucao,{"Unitário","Global"},0),IF($A284="S",$Y284/$X284,""),($Y284/$X284)*100),0)</f>
        <v>0</v>
      </c>
      <c r="X284" s="339" t="str">
        <f ca="1">IF($Y284&gt;0,CHOOSE(MATCH(RegimeExecucao,{"Unitário","Global"},0),IF($A284="S",ROUND($H284,ORÇAMENTO!$AF$10),""),ROUND($I284,ORÇAMENTO!$AF$11)),"")</f>
        <v/>
      </c>
      <c r="Y284" s="339">
        <f t="shared" ca="1" si="35"/>
        <v>0</v>
      </c>
      <c r="Z284" s="473"/>
      <c r="AB284" s="337"/>
      <c r="AC284" s="437"/>
      <c r="AD284" s="437"/>
      <c r="AE284" s="437"/>
      <c r="AF284" s="437"/>
      <c r="AG284" s="437"/>
      <c r="AH284" s="437"/>
      <c r="AI284" s="437"/>
      <c r="AJ284" s="437"/>
      <c r="AK284" s="437"/>
      <c r="AL284" s="437"/>
      <c r="AM284" s="338"/>
      <c r="AO284">
        <f ca="1">IF($A284="S",IF(BM!$I284=0,0,CHOOSE(MATCH(RegimeExecucao,{"Global","Unitário"},0),ROUND(ROUND(BM.MEDAcumulado,15-13*BM!$A$9)/100*BM!$I284,15-13*ORÇAMENTO!$AF$11),ROUND(ROUND(BM.MEDAcumulado,15-13*BM!$A$9)*ROUND(BM!$H284,15-13*ORÇAMENTO!$AF$10),15-13*ORÇAMENTO!$AF$11))),IF($A284=0,0,ROUND(SomaAgrupBM,15-13*ORÇAMENTO!$AF$11)))</f>
        <v>0</v>
      </c>
    </row>
    <row r="285" spans="1:41" x14ac:dyDescent="0.2">
      <c r="A285" t="str">
        <f ca="1">ORÇAMENTO!C285</f>
        <v>S</v>
      </c>
      <c r="B285">
        <f ca="1">ORÇAMENTO!D285</f>
        <v>0</v>
      </c>
      <c r="C285" s="114" t="str">
        <f t="shared" ca="1" si="29"/>
        <v>F</v>
      </c>
      <c r="D285" s="117" t="str">
        <f ca="1">ORÇAMENTO!O285</f>
        <v>1.7.3.1.7.</v>
      </c>
      <c r="E285" s="163" t="str">
        <f t="shared" ca="1" si="30"/>
        <v>PARAFUSO PARA FLANGE - 16 X 80 MM</v>
      </c>
      <c r="F285" s="164" t="str">
        <f ca="1">IF(RegimeExecucao="Global","",ORÇAMENTO.Unidade)</f>
        <v>UN</v>
      </c>
      <c r="G285" s="122">
        <f ca="1">IF(RegimeExecucao="Global","",ORÇAMENTO!T285)</f>
        <v>320</v>
      </c>
      <c r="H285" s="122">
        <f ca="1">IF(RegimeExecucao="Global","",ORÇAMENTO!W285)</f>
        <v>26.34</v>
      </c>
      <c r="I285" s="125">
        <f ca="1">ORÇAMENTO!X285</f>
        <v>8428.7999999999993</v>
      </c>
      <c r="J285" s="333" cm="1">
        <f t="array" aca="1" ref="J285" ca="1">_xlfn.SINGLE(IF($A285="S",IF(CAIXA.Modo,BM.AFAnterior,BM.MEDAnterior),IF(AND(_xlfn.SINGLE(RegimeExecucao)="Global",$I285&gt;0,COUNTIF($AB$13:$AM$13,BM.medicao-1)&gt;0),M285/$I285*100,0)))</f>
        <v>0</v>
      </c>
      <c r="K285" s="122">
        <f t="shared" ca="1" si="31"/>
        <v>0</v>
      </c>
      <c r="L285" s="334" cm="1">
        <f t="array" aca="1" ref="L285" ca="1">_xlfn.SINGLE(IF($A285="S",IF(CAIXA.Modo,BM.AFAcumulado,BM.MEDAcumulado),IF(AND(_xlfn.SINGLE(RegimeExecucao)="Global",$I285&gt;0,COUNTIF($AB$13:$AM$13,BM.medicao)&gt;0),O285/$I285*100,0)))</f>
        <v>0</v>
      </c>
      <c r="M285" s="335">
        <f ca="1">IF($A285="S",VTOTALBM,IF($A285=0,0,ROUND(SomaAgrupBM,15-13*ORÇAMENTO!$AF$11)))</f>
        <v>0</v>
      </c>
      <c r="N285" s="336">
        <f t="shared" ca="1" si="32"/>
        <v>0</v>
      </c>
      <c r="O285" s="125">
        <f ca="1">IF($A285="S",VTOTALBM,IF($A285=0,0,ROUND(SomaAgrupBM,15-13*ORÇAMENTO!$AF$11)))</f>
        <v>0</v>
      </c>
      <c r="Q285" s="337"/>
      <c r="R285" s="338"/>
      <c r="T285" s="117" t="str">
        <f t="shared" ca="1" si="33"/>
        <v/>
      </c>
      <c r="U285" s="163" t="str">
        <f t="shared" ca="1" si="34"/>
        <v/>
      </c>
      <c r="V285" s="164" t="str">
        <f ca="1">IF(AND($W285&gt;0,RegimeExecucao="Unitário"),$F285,"")</f>
        <v/>
      </c>
      <c r="W285" s="454">
        <f ca="1">IF($Y285&gt;0,CHOOSE(MATCH(RegimeExecucao,{"Unitário","Global"},0),IF($A285="S",$Y285/$X285,""),($Y285/$X285)*100),0)</f>
        <v>0</v>
      </c>
      <c r="X285" s="339" t="str">
        <f ca="1">IF($Y285&gt;0,CHOOSE(MATCH(RegimeExecucao,{"Unitário","Global"},0),IF($A285="S",ROUND($H285,ORÇAMENTO!$AF$10),""),ROUND($I285,ORÇAMENTO!$AF$11)),"")</f>
        <v/>
      </c>
      <c r="Y285" s="339">
        <f t="shared" ca="1" si="35"/>
        <v>0</v>
      </c>
      <c r="Z285" s="473"/>
      <c r="AB285" s="337"/>
      <c r="AC285" s="437"/>
      <c r="AD285" s="437"/>
      <c r="AE285" s="437"/>
      <c r="AF285" s="437"/>
      <c r="AG285" s="437"/>
      <c r="AH285" s="437"/>
      <c r="AI285" s="437"/>
      <c r="AJ285" s="437"/>
      <c r="AK285" s="437"/>
      <c r="AL285" s="437"/>
      <c r="AM285" s="338"/>
      <c r="AO285">
        <f ca="1">IF($A285="S",IF(BM!$I285=0,0,CHOOSE(MATCH(RegimeExecucao,{"Global","Unitário"},0),ROUND(ROUND(BM.MEDAcumulado,15-13*BM!$A$9)/100*BM!$I285,15-13*ORÇAMENTO!$AF$11),ROUND(ROUND(BM.MEDAcumulado,15-13*BM!$A$9)*ROUND(BM!$H285,15-13*ORÇAMENTO!$AF$10),15-13*ORÇAMENTO!$AF$11))),IF($A285=0,0,ROUND(SomaAgrupBM,15-13*ORÇAMENTO!$AF$11)))</f>
        <v>0</v>
      </c>
    </row>
    <row r="286" spans="1:41" x14ac:dyDescent="0.2">
      <c r="A286">
        <f ca="1">ORÇAMENTO!C286</f>
        <v>4</v>
      </c>
      <c r="B286">
        <f ca="1">ORÇAMENTO!D286</f>
        <v>3</v>
      </c>
      <c r="C286" s="114" t="str">
        <f t="shared" ca="1" si="29"/>
        <v>F</v>
      </c>
      <c r="D286" s="117" t="str">
        <f ca="1">ORÇAMENTO!O286</f>
        <v>1.7.3.2.</v>
      </c>
      <c r="E286" s="163" t="str">
        <f t="shared" si="30"/>
        <v>INSTALAÇÃO DE MATERIAIS</v>
      </c>
      <c r="F286" s="164" t="str">
        <f ca="1">IF(RegimeExecucao="Global","",ORÇAMENTO.Unidade)</f>
        <v>-</v>
      </c>
      <c r="G286" s="122">
        <f ca="1">IF(RegimeExecucao="Global","",ORÇAMENTO!T286)</f>
        <v>0</v>
      </c>
      <c r="H286" s="122">
        <f ca="1">IF(RegimeExecucao="Global","",ORÇAMENTO!W286)</f>
        <v>0</v>
      </c>
      <c r="I286" s="125">
        <f ca="1">ORÇAMENTO!X286</f>
        <v>780.65</v>
      </c>
      <c r="J286" s="333" cm="1">
        <f t="array" aca="1" ref="J286" ca="1">_xlfn.SINGLE(IF($A286="S",IF(CAIXA.Modo,BM.AFAnterior,BM.MEDAnterior),IF(AND(_xlfn.SINGLE(RegimeExecucao)="Global",$I286&gt;0,COUNTIF($AB$13:$AM$13,BM.medicao-1)&gt;0),M286/$I286*100,0)))</f>
        <v>0</v>
      </c>
      <c r="K286" s="122">
        <f t="shared" ca="1" si="31"/>
        <v>0</v>
      </c>
      <c r="L286" s="334" cm="1">
        <f t="array" aca="1" ref="L286" ca="1">_xlfn.SINGLE(IF($A286="S",IF(CAIXA.Modo,BM.AFAcumulado,BM.MEDAcumulado),IF(AND(_xlfn.SINGLE(RegimeExecucao)="Global",$I286&gt;0,COUNTIF($AB$13:$AM$13,BM.medicao)&gt;0),O286/$I286*100,0)))</f>
        <v>0</v>
      </c>
      <c r="M286" s="335">
        <f ca="1">IF($A286="S",VTOTALBM,IF($A286=0,0,ROUND(SomaAgrupBM,15-13*ORÇAMENTO!$AF$11)))</f>
        <v>0</v>
      </c>
      <c r="N286" s="336">
        <f t="shared" ca="1" si="32"/>
        <v>0</v>
      </c>
      <c r="O286" s="125">
        <f ca="1">IF($A286="S",VTOTALBM,IF($A286=0,0,ROUND(SomaAgrupBM,15-13*ORÇAMENTO!$AF$11)))</f>
        <v>0</v>
      </c>
      <c r="Q286" s="337"/>
      <c r="R286" s="338"/>
      <c r="T286" s="117" t="str">
        <f t="shared" ca="1" si="33"/>
        <v/>
      </c>
      <c r="U286" s="163" t="str">
        <f t="shared" ca="1" si="34"/>
        <v/>
      </c>
      <c r="V286" s="164" t="str">
        <f ca="1">IF(AND($W286&gt;0,RegimeExecucao="Unitário"),$F286,"")</f>
        <v/>
      </c>
      <c r="W286" s="454">
        <f ca="1">IF($Y286&gt;0,CHOOSE(MATCH(RegimeExecucao,{"Unitário","Global"},0),IF($A286="S",$Y286/$X286,""),($Y286/$X286)*100),0)</f>
        <v>0</v>
      </c>
      <c r="X286" s="339" t="str">
        <f ca="1">IF($Y286&gt;0,CHOOSE(MATCH(RegimeExecucao,{"Unitário","Global"},0),IF($A286="S",ROUND($H286,ORÇAMENTO!$AF$10),""),ROUND($I286,ORÇAMENTO!$AF$11)),"")</f>
        <v/>
      </c>
      <c r="Y286" s="339">
        <f t="shared" ca="1" si="35"/>
        <v>0</v>
      </c>
      <c r="Z286" s="473"/>
      <c r="AB286" s="337"/>
      <c r="AC286" s="437"/>
      <c r="AD286" s="437"/>
      <c r="AE286" s="437"/>
      <c r="AF286" s="437"/>
      <c r="AG286" s="437"/>
      <c r="AH286" s="437"/>
      <c r="AI286" s="437"/>
      <c r="AJ286" s="437"/>
      <c r="AK286" s="437"/>
      <c r="AL286" s="437"/>
      <c r="AM286" s="338"/>
      <c r="AO286">
        <f ca="1">IF($A286="S",IF(BM!$I286=0,0,CHOOSE(MATCH(RegimeExecucao,{"Global","Unitário"},0),ROUND(ROUND(BM.MEDAcumulado,15-13*BM!$A$9)/100*BM!$I286,15-13*ORÇAMENTO!$AF$11),ROUND(ROUND(BM.MEDAcumulado,15-13*BM!$A$9)*ROUND(BM!$H286,15-13*ORÇAMENTO!$AF$10),15-13*ORÇAMENTO!$AF$11))),IF($A286=0,0,ROUND(SomaAgrupBM,15-13*ORÇAMENTO!$AF$11)))</f>
        <v>0</v>
      </c>
    </row>
    <row r="287" spans="1:41" ht="25.5" x14ac:dyDescent="0.2">
      <c r="A287" t="str">
        <f ca="1">ORÇAMENTO!C287</f>
        <v>S</v>
      </c>
      <c r="B287">
        <f ca="1">ORÇAMENTO!D287</f>
        <v>0</v>
      </c>
      <c r="C287" s="114" t="str">
        <f t="shared" ca="1" si="29"/>
        <v>F</v>
      </c>
      <c r="D287" s="117" t="str">
        <f ca="1">ORÇAMENTO!O287</f>
        <v>1.7.3.2.1.</v>
      </c>
      <c r="E287" s="163" t="str">
        <f t="shared" ca="1" si="30"/>
        <v>ASSENTAMENTO DE CONEXÕES EM FERRO FUNDIDO, JUNTA ELÁSTICA, DN = 150 MM - BASEADO EM ORSE (5283)</v>
      </c>
      <c r="F287" s="164" t="str">
        <f ca="1">IF(RegimeExecucao="Global","",ORÇAMENTO.Unidade)</f>
        <v>UN</v>
      </c>
      <c r="G287" s="122">
        <f ca="1">IF(RegimeExecucao="Global","",ORÇAMENTO!T287)</f>
        <v>30</v>
      </c>
      <c r="H287" s="122">
        <f ca="1">IF(RegimeExecucao="Global","",ORÇAMENTO!W287)</f>
        <v>21.6</v>
      </c>
      <c r="I287" s="125">
        <f ca="1">ORÇAMENTO!X287</f>
        <v>648</v>
      </c>
      <c r="J287" s="333" cm="1">
        <f t="array" aca="1" ref="J287" ca="1">_xlfn.SINGLE(IF($A287="S",IF(CAIXA.Modo,BM.AFAnterior,BM.MEDAnterior),IF(AND(_xlfn.SINGLE(RegimeExecucao)="Global",$I287&gt;0,COUNTIF($AB$13:$AM$13,BM.medicao-1)&gt;0),M287/$I287*100,0)))</f>
        <v>0</v>
      </c>
      <c r="K287" s="122">
        <f t="shared" ca="1" si="31"/>
        <v>0</v>
      </c>
      <c r="L287" s="334" cm="1">
        <f t="array" aca="1" ref="L287" ca="1">_xlfn.SINGLE(IF($A287="S",IF(CAIXA.Modo,BM.AFAcumulado,BM.MEDAcumulado),IF(AND(_xlfn.SINGLE(RegimeExecucao)="Global",$I287&gt;0,COUNTIF($AB$13:$AM$13,BM.medicao)&gt;0),O287/$I287*100,0)))</f>
        <v>0</v>
      </c>
      <c r="M287" s="335">
        <f ca="1">IF($A287="S",VTOTALBM,IF($A287=0,0,ROUND(SomaAgrupBM,15-13*ORÇAMENTO!$AF$11)))</f>
        <v>0</v>
      </c>
      <c r="N287" s="336">
        <f t="shared" ca="1" si="32"/>
        <v>0</v>
      </c>
      <c r="O287" s="125">
        <f ca="1">IF($A287="S",VTOTALBM,IF($A287=0,0,ROUND(SomaAgrupBM,15-13*ORÇAMENTO!$AF$11)))</f>
        <v>0</v>
      </c>
      <c r="Q287" s="337"/>
      <c r="R287" s="338"/>
      <c r="T287" s="117" t="str">
        <f t="shared" ca="1" si="33"/>
        <v/>
      </c>
      <c r="U287" s="163" t="str">
        <f t="shared" ca="1" si="34"/>
        <v/>
      </c>
      <c r="V287" s="164" t="str">
        <f ca="1">IF(AND($W287&gt;0,RegimeExecucao="Unitário"),$F287,"")</f>
        <v/>
      </c>
      <c r="W287" s="454">
        <f ca="1">IF($Y287&gt;0,CHOOSE(MATCH(RegimeExecucao,{"Unitário","Global"},0),IF($A287="S",$Y287/$X287,""),($Y287/$X287)*100),0)</f>
        <v>0</v>
      </c>
      <c r="X287" s="339" t="str">
        <f ca="1">IF($Y287&gt;0,CHOOSE(MATCH(RegimeExecucao,{"Unitário","Global"},0),IF($A287="S",ROUND($H287,ORÇAMENTO!$AF$10),""),ROUND($I287,ORÇAMENTO!$AF$11)),"")</f>
        <v/>
      </c>
      <c r="Y287" s="339">
        <f t="shared" ca="1" si="35"/>
        <v>0</v>
      </c>
      <c r="Z287" s="473"/>
      <c r="AB287" s="337"/>
      <c r="AC287" s="437"/>
      <c r="AD287" s="437"/>
      <c r="AE287" s="437"/>
      <c r="AF287" s="437"/>
      <c r="AG287" s="437"/>
      <c r="AH287" s="437"/>
      <c r="AI287" s="437"/>
      <c r="AJ287" s="437"/>
      <c r="AK287" s="437"/>
      <c r="AL287" s="437"/>
      <c r="AM287" s="338"/>
      <c r="AO287">
        <f ca="1">IF($A287="S",IF(BM!$I287=0,0,CHOOSE(MATCH(RegimeExecucao,{"Global","Unitário"},0),ROUND(ROUND(BM.MEDAcumulado,15-13*BM!$A$9)/100*BM!$I287,15-13*ORÇAMENTO!$AF$11),ROUND(ROUND(BM.MEDAcumulado,15-13*BM!$A$9)*ROUND(BM!$H287,15-13*ORÇAMENTO!$AF$10),15-13*ORÇAMENTO!$AF$11))),IF($A287=0,0,ROUND(SomaAgrupBM,15-13*ORÇAMENTO!$AF$11)))</f>
        <v>0</v>
      </c>
    </row>
    <row r="288" spans="1:41" ht="51" x14ac:dyDescent="0.2">
      <c r="A288" t="str">
        <f ca="1">ORÇAMENTO!C288</f>
        <v>S</v>
      </c>
      <c r="B288">
        <f ca="1">ORÇAMENTO!D288</f>
        <v>0</v>
      </c>
      <c r="C288" s="114" t="str">
        <f t="shared" ca="1" si="29"/>
        <v>F</v>
      </c>
      <c r="D288" s="117" t="str">
        <f ca="1">ORÇAMENTO!O288</f>
        <v>1.7.3.2.2.</v>
      </c>
      <c r="E288" s="163" t="str">
        <f t="shared" ca="1" si="30"/>
        <v>ASSENTAMENTO DE TUBO DE FERRO FUNDIDO PARA REDE DE ÁGUA, DN 150 MM, JUNTA ELÁSTICA, INSTALADO EM LOCAL COM NÍVEL BAIXO DE INTERFERÊNCIAS (NÃO INCLUI FORNECIMENTO). AF_05/2024</v>
      </c>
      <c r="F288" s="164" t="str">
        <f ca="1">IF(RegimeExecucao="Global","",ORÇAMENTO.Unidade)</f>
        <v>M</v>
      </c>
      <c r="G288" s="122">
        <f ca="1">IF(RegimeExecucao="Global","",ORÇAMENTO!T288)</f>
        <v>17.5</v>
      </c>
      <c r="H288" s="122">
        <f ca="1">IF(RegimeExecucao="Global","",ORÇAMENTO!W288)</f>
        <v>7.58</v>
      </c>
      <c r="I288" s="125">
        <f ca="1">ORÇAMENTO!X288</f>
        <v>132.65</v>
      </c>
      <c r="J288" s="333" cm="1">
        <f t="array" aca="1" ref="J288" ca="1">_xlfn.SINGLE(IF($A288="S",IF(CAIXA.Modo,BM.AFAnterior,BM.MEDAnterior),IF(AND(_xlfn.SINGLE(RegimeExecucao)="Global",$I288&gt;0,COUNTIF($AB$13:$AM$13,BM.medicao-1)&gt;0),M288/$I288*100,0)))</f>
        <v>0</v>
      </c>
      <c r="K288" s="122">
        <f t="shared" ca="1" si="31"/>
        <v>0</v>
      </c>
      <c r="L288" s="334" cm="1">
        <f t="array" aca="1" ref="L288" ca="1">_xlfn.SINGLE(IF($A288="S",IF(CAIXA.Modo,BM.AFAcumulado,BM.MEDAcumulado),IF(AND(_xlfn.SINGLE(RegimeExecucao)="Global",$I288&gt;0,COUNTIF($AB$13:$AM$13,BM.medicao)&gt;0),O288/$I288*100,0)))</f>
        <v>0</v>
      </c>
      <c r="M288" s="335">
        <f ca="1">IF($A288="S",VTOTALBM,IF($A288=0,0,ROUND(SomaAgrupBM,15-13*ORÇAMENTO!$AF$11)))</f>
        <v>0</v>
      </c>
      <c r="N288" s="336">
        <f t="shared" ca="1" si="32"/>
        <v>0</v>
      </c>
      <c r="O288" s="125">
        <f ca="1">IF($A288="S",VTOTALBM,IF($A288=0,0,ROUND(SomaAgrupBM,15-13*ORÇAMENTO!$AF$11)))</f>
        <v>0</v>
      </c>
      <c r="Q288" s="337"/>
      <c r="R288" s="338"/>
      <c r="T288" s="117" t="str">
        <f t="shared" ca="1" si="33"/>
        <v/>
      </c>
      <c r="U288" s="163" t="str">
        <f t="shared" ca="1" si="34"/>
        <v/>
      </c>
      <c r="V288" s="164" t="str">
        <f ca="1">IF(AND($W288&gt;0,RegimeExecucao="Unitário"),$F288,"")</f>
        <v/>
      </c>
      <c r="W288" s="454">
        <f ca="1">IF($Y288&gt;0,CHOOSE(MATCH(RegimeExecucao,{"Unitário","Global"},0),IF($A288="S",$Y288/$X288,""),($Y288/$X288)*100),0)</f>
        <v>0</v>
      </c>
      <c r="X288" s="339" t="str">
        <f ca="1">IF($Y288&gt;0,CHOOSE(MATCH(RegimeExecucao,{"Unitário","Global"},0),IF($A288="S",ROUND($H288,ORÇAMENTO!$AF$10),""),ROUND($I288,ORÇAMENTO!$AF$11)),"")</f>
        <v/>
      </c>
      <c r="Y288" s="339">
        <f t="shared" ca="1" si="35"/>
        <v>0</v>
      </c>
      <c r="Z288" s="473"/>
      <c r="AB288" s="337"/>
      <c r="AC288" s="437"/>
      <c r="AD288" s="437"/>
      <c r="AE288" s="437"/>
      <c r="AF288" s="437"/>
      <c r="AG288" s="437"/>
      <c r="AH288" s="437"/>
      <c r="AI288" s="437"/>
      <c r="AJ288" s="437"/>
      <c r="AK288" s="437"/>
      <c r="AL288" s="437"/>
      <c r="AM288" s="338"/>
      <c r="AO288">
        <f ca="1">IF($A288="S",IF(BM!$I288=0,0,CHOOSE(MATCH(RegimeExecucao,{"Global","Unitário"},0),ROUND(ROUND(BM.MEDAcumulado,15-13*BM!$A$9)/100*BM!$I288,15-13*ORÇAMENTO!$AF$11),ROUND(ROUND(BM.MEDAcumulado,15-13*BM!$A$9)*ROUND(BM!$H288,15-13*ORÇAMENTO!$AF$10),15-13*ORÇAMENTO!$AF$11))),IF($A288=0,0,ROUND(SomaAgrupBM,15-13*ORÇAMENTO!$AF$11)))</f>
        <v>0</v>
      </c>
    </row>
    <row r="289" spans="1:41" x14ac:dyDescent="0.2">
      <c r="A289">
        <f ca="1">ORÇAMENTO!C289</f>
        <v>4</v>
      </c>
      <c r="B289">
        <f ca="1">ORÇAMENTO!D289</f>
        <v>4</v>
      </c>
      <c r="C289" s="114" t="str">
        <f t="shared" ca="1" si="29"/>
        <v>F</v>
      </c>
      <c r="D289" s="117" t="str">
        <f ca="1">ORÇAMENTO!O289</f>
        <v>1.7.3.3.</v>
      </c>
      <c r="E289" s="163" t="str">
        <f t="shared" si="30"/>
        <v>ESGOTAMENTO</v>
      </c>
      <c r="F289" s="164" t="str">
        <f ca="1">IF(RegimeExecucao="Global","",ORÇAMENTO.Unidade)</f>
        <v>-</v>
      </c>
      <c r="G289" s="122">
        <f ca="1">IF(RegimeExecucao="Global","",ORÇAMENTO!T289)</f>
        <v>0</v>
      </c>
      <c r="H289" s="122">
        <f ca="1">IF(RegimeExecucao="Global","",ORÇAMENTO!W289)</f>
        <v>0</v>
      </c>
      <c r="I289" s="125">
        <f ca="1">ORÇAMENTO!X289</f>
        <v>5860.27</v>
      </c>
      <c r="J289" s="333" cm="1">
        <f t="array" aca="1" ref="J289" ca="1">_xlfn.SINGLE(IF($A289="S",IF(CAIXA.Modo,BM.AFAnterior,BM.MEDAnterior),IF(AND(_xlfn.SINGLE(RegimeExecucao)="Global",$I289&gt;0,COUNTIF($AB$13:$AM$13,BM.medicao-1)&gt;0),M289/$I289*100,0)))</f>
        <v>0</v>
      </c>
      <c r="K289" s="122">
        <f t="shared" ca="1" si="31"/>
        <v>0</v>
      </c>
      <c r="L289" s="334" cm="1">
        <f t="array" aca="1" ref="L289" ca="1">_xlfn.SINGLE(IF($A289="S",IF(CAIXA.Modo,BM.AFAcumulado,BM.MEDAcumulado),IF(AND(_xlfn.SINGLE(RegimeExecucao)="Global",$I289&gt;0,COUNTIF($AB$13:$AM$13,BM.medicao)&gt;0),O289/$I289*100,0)))</f>
        <v>0</v>
      </c>
      <c r="M289" s="335">
        <f ca="1">IF($A289="S",VTOTALBM,IF($A289=0,0,ROUND(SomaAgrupBM,15-13*ORÇAMENTO!$AF$11)))</f>
        <v>0</v>
      </c>
      <c r="N289" s="336">
        <f t="shared" ca="1" si="32"/>
        <v>0</v>
      </c>
      <c r="O289" s="125">
        <f ca="1">IF($A289="S",VTOTALBM,IF($A289=0,0,ROUND(SomaAgrupBM,15-13*ORÇAMENTO!$AF$11)))</f>
        <v>0</v>
      </c>
      <c r="Q289" s="337"/>
      <c r="R289" s="338"/>
      <c r="T289" s="117" t="str">
        <f t="shared" ca="1" si="33"/>
        <v/>
      </c>
      <c r="U289" s="163" t="str">
        <f t="shared" ca="1" si="34"/>
        <v/>
      </c>
      <c r="V289" s="164" t="str">
        <f ca="1">IF(AND($W289&gt;0,RegimeExecucao="Unitário"),$F289,"")</f>
        <v/>
      </c>
      <c r="W289" s="454">
        <f ca="1">IF($Y289&gt;0,CHOOSE(MATCH(RegimeExecucao,{"Unitário","Global"},0),IF($A289="S",$Y289/$X289,""),($Y289/$X289)*100),0)</f>
        <v>0</v>
      </c>
      <c r="X289" s="339" t="str">
        <f ca="1">IF($Y289&gt;0,CHOOSE(MATCH(RegimeExecucao,{"Unitário","Global"},0),IF($A289="S",ROUND($H289,ORÇAMENTO!$AF$10),""),ROUND($I289,ORÇAMENTO!$AF$11)),"")</f>
        <v/>
      </c>
      <c r="Y289" s="339">
        <f t="shared" ca="1" si="35"/>
        <v>0</v>
      </c>
      <c r="Z289" s="473"/>
      <c r="AB289" s="337"/>
      <c r="AC289" s="437"/>
      <c r="AD289" s="437"/>
      <c r="AE289" s="437"/>
      <c r="AF289" s="437"/>
      <c r="AG289" s="437"/>
      <c r="AH289" s="437"/>
      <c r="AI289" s="437"/>
      <c r="AJ289" s="437"/>
      <c r="AK289" s="437"/>
      <c r="AL289" s="437"/>
      <c r="AM289" s="338"/>
      <c r="AO289">
        <f ca="1">IF($A289="S",IF(BM!$I289=0,0,CHOOSE(MATCH(RegimeExecucao,{"Global","Unitário"},0),ROUND(ROUND(BM.MEDAcumulado,15-13*BM!$A$9)/100*BM!$I289,15-13*ORÇAMENTO!$AF$11),ROUND(ROUND(BM.MEDAcumulado,15-13*BM!$A$9)*ROUND(BM!$H289,15-13*ORÇAMENTO!$AF$10),15-13*ORÇAMENTO!$AF$11))),IF($A289=0,0,ROUND(SomaAgrupBM,15-13*ORÇAMENTO!$AF$11)))</f>
        <v>0</v>
      </c>
    </row>
    <row r="290" spans="1:41" ht="38.25" x14ac:dyDescent="0.2">
      <c r="A290" t="str">
        <f ca="1">ORÇAMENTO!C290</f>
        <v>S</v>
      </c>
      <c r="B290">
        <f ca="1">ORÇAMENTO!D290</f>
        <v>0</v>
      </c>
      <c r="C290" s="114" t="str">
        <f t="shared" ca="1" si="29"/>
        <v>F</v>
      </c>
      <c r="D290" s="117" t="str">
        <f ca="1">ORÇAMENTO!O290</f>
        <v>1.7.3.3.1.</v>
      </c>
      <c r="E290" s="163" t="str">
        <f t="shared" ca="1" si="30"/>
        <v>TUBO DE PVC CORRUGADO DE DUPLA PAREDE PARA REDE COLETORA DE ESGOTO, DN 150 MM, JUNTA ELÁSTICA - FORNECIMENTO E ASSENTAMENTO. AF_01/2021</v>
      </c>
      <c r="F290" s="164" t="str">
        <f ca="1">IF(RegimeExecucao="Global","",ORÇAMENTO.Unidade)</f>
        <v>M</v>
      </c>
      <c r="G290" s="122">
        <f ca="1">IF(RegimeExecucao="Global","",ORÇAMENTO!T290)</f>
        <v>55</v>
      </c>
      <c r="H290" s="122">
        <f ca="1">IF(RegimeExecucao="Global","",ORÇAMENTO!W290)</f>
        <v>79.150000000000006</v>
      </c>
      <c r="I290" s="125">
        <f ca="1">ORÇAMENTO!X290</f>
        <v>4353.25</v>
      </c>
      <c r="J290" s="333" cm="1">
        <f t="array" aca="1" ref="J290" ca="1">_xlfn.SINGLE(IF($A290="S",IF(CAIXA.Modo,BM.AFAnterior,BM.MEDAnterior),IF(AND(_xlfn.SINGLE(RegimeExecucao)="Global",$I290&gt;0,COUNTIF($AB$13:$AM$13,BM.medicao-1)&gt;0),M290/$I290*100,0)))</f>
        <v>0</v>
      </c>
      <c r="K290" s="122">
        <f t="shared" ca="1" si="31"/>
        <v>0</v>
      </c>
      <c r="L290" s="334" cm="1">
        <f t="array" aca="1" ref="L290" ca="1">_xlfn.SINGLE(IF($A290="S",IF(CAIXA.Modo,BM.AFAcumulado,BM.MEDAcumulado),IF(AND(_xlfn.SINGLE(RegimeExecucao)="Global",$I290&gt;0,COUNTIF($AB$13:$AM$13,BM.medicao)&gt;0),O290/$I290*100,0)))</f>
        <v>0</v>
      </c>
      <c r="M290" s="335">
        <f ca="1">IF($A290="S",VTOTALBM,IF($A290=0,0,ROUND(SomaAgrupBM,15-13*ORÇAMENTO!$AF$11)))</f>
        <v>0</v>
      </c>
      <c r="N290" s="336">
        <f t="shared" ca="1" si="32"/>
        <v>0</v>
      </c>
      <c r="O290" s="125">
        <f ca="1">IF($A290="S",VTOTALBM,IF($A290=0,0,ROUND(SomaAgrupBM,15-13*ORÇAMENTO!$AF$11)))</f>
        <v>0</v>
      </c>
      <c r="Q290" s="337"/>
      <c r="R290" s="338"/>
      <c r="T290" s="117" t="str">
        <f t="shared" ca="1" si="33"/>
        <v/>
      </c>
      <c r="U290" s="163" t="str">
        <f t="shared" ca="1" si="34"/>
        <v/>
      </c>
      <c r="V290" s="164" t="str">
        <f ca="1">IF(AND($W290&gt;0,RegimeExecucao="Unitário"),$F290,"")</f>
        <v/>
      </c>
      <c r="W290" s="454">
        <f ca="1">IF($Y290&gt;0,CHOOSE(MATCH(RegimeExecucao,{"Unitário","Global"},0),IF($A290="S",$Y290/$X290,""),($Y290/$X290)*100),0)</f>
        <v>0</v>
      </c>
      <c r="X290" s="339" t="str">
        <f ca="1">IF($Y290&gt;0,CHOOSE(MATCH(RegimeExecucao,{"Unitário","Global"},0),IF($A290="S",ROUND($H290,ORÇAMENTO!$AF$10),""),ROUND($I290,ORÇAMENTO!$AF$11)),"")</f>
        <v/>
      </c>
      <c r="Y290" s="339">
        <f t="shared" ca="1" si="35"/>
        <v>0</v>
      </c>
      <c r="Z290" s="473"/>
      <c r="AB290" s="337"/>
      <c r="AC290" s="437"/>
      <c r="AD290" s="437"/>
      <c r="AE290" s="437"/>
      <c r="AF290" s="437"/>
      <c r="AG290" s="437"/>
      <c r="AH290" s="437"/>
      <c r="AI290" s="437"/>
      <c r="AJ290" s="437"/>
      <c r="AK290" s="437"/>
      <c r="AL290" s="437"/>
      <c r="AM290" s="338"/>
      <c r="AO290">
        <f ca="1">IF($A290="S",IF(BM!$I290=0,0,CHOOSE(MATCH(RegimeExecucao,{"Global","Unitário"},0),ROUND(ROUND(BM.MEDAcumulado,15-13*BM!$A$9)/100*BM!$I290,15-13*ORÇAMENTO!$AF$11),ROUND(ROUND(BM.MEDAcumulado,15-13*BM!$A$9)*ROUND(BM!$H290,15-13*ORÇAMENTO!$AF$10),15-13*ORÇAMENTO!$AF$11))),IF($A290=0,0,ROUND(SomaAgrupBM,15-13*ORÇAMENTO!$AF$11)))</f>
        <v>0</v>
      </c>
    </row>
    <row r="291" spans="1:41" ht="38.25" x14ac:dyDescent="0.2">
      <c r="A291" t="str">
        <f ca="1">ORÇAMENTO!C291</f>
        <v>S</v>
      </c>
      <c r="B291">
        <f ca="1">ORÇAMENTO!D291</f>
        <v>0</v>
      </c>
      <c r="C291" s="114" t="str">
        <f t="shared" ca="1" si="29"/>
        <v>F</v>
      </c>
      <c r="D291" s="117" t="str">
        <f ca="1">ORÇAMENTO!O291</f>
        <v>1.7.3.3.2.</v>
      </c>
      <c r="E291" s="163" t="str">
        <f t="shared" ca="1" si="30"/>
        <v>LUVA DE CORRER, PVC, SERIE R, ÁGUA PLUVIAL, DN 150 MM, JUNTA ELÁSTICA, FORNECIDO E INSTALADO EM RAMAL DE ENCAMINHAMENTO. AF_06/2022</v>
      </c>
      <c r="F291" s="164" t="str">
        <f ca="1">IF(RegimeExecucao="Global","",ORÇAMENTO.Unidade)</f>
        <v>UN</v>
      </c>
      <c r="G291" s="122">
        <f ca="1">IF(RegimeExecucao="Global","",ORÇAMENTO!T291)</f>
        <v>10</v>
      </c>
      <c r="H291" s="122">
        <f ca="1">IF(RegimeExecucao="Global","",ORÇAMENTO!W291)</f>
        <v>109.71</v>
      </c>
      <c r="I291" s="125">
        <f ca="1">ORÇAMENTO!X291</f>
        <v>1097.0999999999999</v>
      </c>
      <c r="J291" s="333" cm="1">
        <f t="array" aca="1" ref="J291" ca="1">_xlfn.SINGLE(IF($A291="S",IF(CAIXA.Modo,BM.AFAnterior,BM.MEDAnterior),IF(AND(_xlfn.SINGLE(RegimeExecucao)="Global",$I291&gt;0,COUNTIF($AB$13:$AM$13,BM.medicao-1)&gt;0),M291/$I291*100,0)))</f>
        <v>0</v>
      </c>
      <c r="K291" s="122">
        <f t="shared" ca="1" si="31"/>
        <v>0</v>
      </c>
      <c r="L291" s="334" cm="1">
        <f t="array" aca="1" ref="L291" ca="1">_xlfn.SINGLE(IF($A291="S",IF(CAIXA.Modo,BM.AFAcumulado,BM.MEDAcumulado),IF(AND(_xlfn.SINGLE(RegimeExecucao)="Global",$I291&gt;0,COUNTIF($AB$13:$AM$13,BM.medicao)&gt;0),O291/$I291*100,0)))</f>
        <v>0</v>
      </c>
      <c r="M291" s="335">
        <f ca="1">IF($A291="S",VTOTALBM,IF($A291=0,0,ROUND(SomaAgrupBM,15-13*ORÇAMENTO!$AF$11)))</f>
        <v>0</v>
      </c>
      <c r="N291" s="336">
        <f t="shared" ca="1" si="32"/>
        <v>0</v>
      </c>
      <c r="O291" s="125">
        <f ca="1">IF($A291="S",VTOTALBM,IF($A291=0,0,ROUND(SomaAgrupBM,15-13*ORÇAMENTO!$AF$11)))</f>
        <v>0</v>
      </c>
      <c r="Q291" s="337"/>
      <c r="R291" s="338"/>
      <c r="T291" s="117" t="str">
        <f t="shared" ca="1" si="33"/>
        <v/>
      </c>
      <c r="U291" s="163" t="str">
        <f t="shared" ca="1" si="34"/>
        <v/>
      </c>
      <c r="V291" s="164" t="str">
        <f ca="1">IF(AND($W291&gt;0,RegimeExecucao="Unitário"),$F291,"")</f>
        <v/>
      </c>
      <c r="W291" s="454">
        <f ca="1">IF($Y291&gt;0,CHOOSE(MATCH(RegimeExecucao,{"Unitário","Global"},0),IF($A291="S",$Y291/$X291,""),($Y291/$X291)*100),0)</f>
        <v>0</v>
      </c>
      <c r="X291" s="339" t="str">
        <f ca="1">IF($Y291&gt;0,CHOOSE(MATCH(RegimeExecucao,{"Unitário","Global"},0),IF($A291="S",ROUND($H291,ORÇAMENTO!$AF$10),""),ROUND($I291,ORÇAMENTO!$AF$11)),"")</f>
        <v/>
      </c>
      <c r="Y291" s="339">
        <f t="shared" ca="1" si="35"/>
        <v>0</v>
      </c>
      <c r="Z291" s="473"/>
      <c r="AB291" s="337"/>
      <c r="AC291" s="437"/>
      <c r="AD291" s="437"/>
      <c r="AE291" s="437"/>
      <c r="AF291" s="437"/>
      <c r="AG291" s="437"/>
      <c r="AH291" s="437"/>
      <c r="AI291" s="437"/>
      <c r="AJ291" s="437"/>
      <c r="AK291" s="437"/>
      <c r="AL291" s="437"/>
      <c r="AM291" s="338"/>
      <c r="AO291">
        <f ca="1">IF($A291="S",IF(BM!$I291=0,0,CHOOSE(MATCH(RegimeExecucao,{"Global","Unitário"},0),ROUND(ROUND(BM.MEDAcumulado,15-13*BM!$A$9)/100*BM!$I291,15-13*ORÇAMENTO!$AF$11),ROUND(ROUND(BM.MEDAcumulado,15-13*BM!$A$9)*ROUND(BM!$H291,15-13*ORÇAMENTO!$AF$10),15-13*ORÇAMENTO!$AF$11))),IF($A291=0,0,ROUND(SomaAgrupBM,15-13*ORÇAMENTO!$AF$11)))</f>
        <v>0</v>
      </c>
    </row>
    <row r="292" spans="1:41" ht="38.25" x14ac:dyDescent="0.2">
      <c r="A292" t="str">
        <f ca="1">ORÇAMENTO!C292</f>
        <v>S</v>
      </c>
      <c r="B292">
        <f ca="1">ORÇAMENTO!D292</f>
        <v>0</v>
      </c>
      <c r="C292" s="114" t="str">
        <f t="shared" ca="1" si="29"/>
        <v>F</v>
      </c>
      <c r="D292" s="117" t="str">
        <f ca="1">ORÇAMENTO!O292</f>
        <v>1.7.3.3.3.</v>
      </c>
      <c r="E292" s="163" t="str">
        <f t="shared" ca="1" si="30"/>
        <v>TUBO PVC, SERIE NORMAL, ESGOTO PREDIAL, DN 150 MM, FORNECIDO E INSTALADO EM SUBCOLETOR AÉREO DE ESGOTO SANITÁRIO. AF_08/2022</v>
      </c>
      <c r="F292" s="164" t="str">
        <f ca="1">IF(RegimeExecucao="Global","",ORÇAMENTO.Unidade)</f>
        <v>M</v>
      </c>
      <c r="G292" s="122">
        <f ca="1">IF(RegimeExecucao="Global","",ORÇAMENTO!T292)</f>
        <v>6</v>
      </c>
      <c r="H292" s="122">
        <f ca="1">IF(RegimeExecucao="Global","",ORÇAMENTO!W292)</f>
        <v>68.319999999999993</v>
      </c>
      <c r="I292" s="125">
        <f ca="1">ORÇAMENTO!X292</f>
        <v>409.92</v>
      </c>
      <c r="J292" s="333" cm="1">
        <f t="array" aca="1" ref="J292" ca="1">_xlfn.SINGLE(IF($A292="S",IF(CAIXA.Modo,BM.AFAnterior,BM.MEDAnterior),IF(AND(_xlfn.SINGLE(RegimeExecucao)="Global",$I292&gt;0,COUNTIF($AB$13:$AM$13,BM.medicao-1)&gt;0),M292/$I292*100,0)))</f>
        <v>0</v>
      </c>
      <c r="K292" s="122">
        <f t="shared" ca="1" si="31"/>
        <v>0</v>
      </c>
      <c r="L292" s="334" cm="1">
        <f t="array" aca="1" ref="L292" ca="1">_xlfn.SINGLE(IF($A292="S",IF(CAIXA.Modo,BM.AFAcumulado,BM.MEDAcumulado),IF(AND(_xlfn.SINGLE(RegimeExecucao)="Global",$I292&gt;0,COUNTIF($AB$13:$AM$13,BM.medicao)&gt;0),O292/$I292*100,0)))</f>
        <v>0</v>
      </c>
      <c r="M292" s="335">
        <f ca="1">IF($A292="S",VTOTALBM,IF($A292=0,0,ROUND(SomaAgrupBM,15-13*ORÇAMENTO!$AF$11)))</f>
        <v>0</v>
      </c>
      <c r="N292" s="336">
        <f t="shared" ca="1" si="32"/>
        <v>0</v>
      </c>
      <c r="O292" s="125">
        <f ca="1">IF($A292="S",VTOTALBM,IF($A292=0,0,ROUND(SomaAgrupBM,15-13*ORÇAMENTO!$AF$11)))</f>
        <v>0</v>
      </c>
      <c r="Q292" s="337"/>
      <c r="R292" s="338"/>
      <c r="T292" s="117" t="str">
        <f t="shared" ca="1" si="33"/>
        <v/>
      </c>
      <c r="U292" s="163" t="str">
        <f t="shared" ca="1" si="34"/>
        <v/>
      </c>
      <c r="V292" s="164" t="str">
        <f ca="1">IF(AND($W292&gt;0,RegimeExecucao="Unitário"),$F292,"")</f>
        <v/>
      </c>
      <c r="W292" s="454">
        <f ca="1">IF($Y292&gt;0,CHOOSE(MATCH(RegimeExecucao,{"Unitário","Global"},0),IF($A292="S",$Y292/$X292,""),($Y292/$X292)*100),0)</f>
        <v>0</v>
      </c>
      <c r="X292" s="339" t="str">
        <f ca="1">IF($Y292&gt;0,CHOOSE(MATCH(RegimeExecucao,{"Unitário","Global"},0),IF($A292="S",ROUND($H292,ORÇAMENTO!$AF$10),""),ROUND($I292,ORÇAMENTO!$AF$11)),"")</f>
        <v/>
      </c>
      <c r="Y292" s="339">
        <f t="shared" ca="1" si="35"/>
        <v>0</v>
      </c>
      <c r="Z292" s="473"/>
      <c r="AB292" s="337"/>
      <c r="AC292" s="437"/>
      <c r="AD292" s="437"/>
      <c r="AE292" s="437"/>
      <c r="AF292" s="437"/>
      <c r="AG292" s="437"/>
      <c r="AH292" s="437"/>
      <c r="AI292" s="437"/>
      <c r="AJ292" s="437"/>
      <c r="AK292" s="437"/>
      <c r="AL292" s="437"/>
      <c r="AM292" s="338"/>
      <c r="AO292">
        <f ca="1">IF($A292="S",IF(BM!$I292=0,0,CHOOSE(MATCH(RegimeExecucao,{"Global","Unitário"},0),ROUND(ROUND(BM.MEDAcumulado,15-13*BM!$A$9)/100*BM!$I292,15-13*ORÇAMENTO!$AF$11),ROUND(ROUND(BM.MEDAcumulado,15-13*BM!$A$9)*ROUND(BM!$H292,15-13*ORÇAMENTO!$AF$10),15-13*ORÇAMENTO!$AF$11))),IF($A292=0,0,ROUND(SomaAgrupBM,15-13*ORÇAMENTO!$AF$11)))</f>
        <v>0</v>
      </c>
    </row>
    <row r="293" spans="1:41" x14ac:dyDescent="0.2">
      <c r="A293">
        <f ca="1">ORÇAMENTO!C293</f>
        <v>4</v>
      </c>
      <c r="B293">
        <f ca="1">ORÇAMENTO!D293</f>
        <v>6</v>
      </c>
      <c r="C293" s="114" t="str">
        <f t="shared" ca="1" si="29"/>
        <v>F</v>
      </c>
      <c r="D293" s="117" t="str">
        <f ca="1">ORÇAMENTO!O293</f>
        <v>1.7.3.4.</v>
      </c>
      <c r="E293" s="163" t="str">
        <f t="shared" si="30"/>
        <v>MATERIAIS</v>
      </c>
      <c r="F293" s="164" t="str">
        <f ca="1">IF(RegimeExecucao="Global","",ORÇAMENTO.Unidade)</f>
        <v>-</v>
      </c>
      <c r="G293" s="122">
        <f ca="1">IF(RegimeExecucao="Global","",ORÇAMENTO!T293)</f>
        <v>0</v>
      </c>
      <c r="H293" s="122">
        <f ca="1">IF(RegimeExecucao="Global","",ORÇAMENTO!W293)</f>
        <v>0</v>
      </c>
      <c r="I293" s="125">
        <f ca="1">ORÇAMENTO!X293</f>
        <v>57725.04</v>
      </c>
      <c r="J293" s="333" cm="1">
        <f t="array" aca="1" ref="J293" ca="1">_xlfn.SINGLE(IF($A293="S",IF(CAIXA.Modo,BM.AFAnterior,BM.MEDAnterior),IF(AND(_xlfn.SINGLE(RegimeExecucao)="Global",$I293&gt;0,COUNTIF($AB$13:$AM$13,BM.medicao-1)&gt;0),M293/$I293*100,0)))</f>
        <v>0</v>
      </c>
      <c r="K293" s="122">
        <f t="shared" ca="1" si="31"/>
        <v>0</v>
      </c>
      <c r="L293" s="334" cm="1">
        <f t="array" aca="1" ref="L293" ca="1">_xlfn.SINGLE(IF($A293="S",IF(CAIXA.Modo,BM.AFAcumulado,BM.MEDAcumulado),IF(AND(_xlfn.SINGLE(RegimeExecucao)="Global",$I293&gt;0,COUNTIF($AB$13:$AM$13,BM.medicao)&gt;0),O293/$I293*100,0)))</f>
        <v>0</v>
      </c>
      <c r="M293" s="335">
        <f ca="1">IF($A293="S",VTOTALBM,IF($A293=0,0,ROUND(SomaAgrupBM,15-13*ORÇAMENTO!$AF$11)))</f>
        <v>0</v>
      </c>
      <c r="N293" s="336">
        <f t="shared" ca="1" si="32"/>
        <v>0</v>
      </c>
      <c r="O293" s="125">
        <f ca="1">IF($A293="S",VTOTALBM,IF($A293=0,0,ROUND(SomaAgrupBM,15-13*ORÇAMENTO!$AF$11)))</f>
        <v>0</v>
      </c>
      <c r="Q293" s="337"/>
      <c r="R293" s="338"/>
      <c r="T293" s="117" t="str">
        <f t="shared" ca="1" si="33"/>
        <v/>
      </c>
      <c r="U293" s="163" t="str">
        <f t="shared" ca="1" si="34"/>
        <v/>
      </c>
      <c r="V293" s="164" t="str">
        <f ca="1">IF(AND($W293&gt;0,RegimeExecucao="Unitário"),$F293,"")</f>
        <v/>
      </c>
      <c r="W293" s="454">
        <f ca="1">IF($Y293&gt;0,CHOOSE(MATCH(RegimeExecucao,{"Unitário","Global"},0),IF($A293="S",$Y293/$X293,""),($Y293/$X293)*100),0)</f>
        <v>0</v>
      </c>
      <c r="X293" s="339" t="str">
        <f ca="1">IF($Y293&gt;0,CHOOSE(MATCH(RegimeExecucao,{"Unitário","Global"},0),IF($A293="S",ROUND($H293,ORÇAMENTO!$AF$10),""),ROUND($I293,ORÇAMENTO!$AF$11)),"")</f>
        <v/>
      </c>
      <c r="Y293" s="339">
        <f t="shared" ca="1" si="35"/>
        <v>0</v>
      </c>
      <c r="Z293" s="473"/>
      <c r="AB293" s="337"/>
      <c r="AC293" s="437"/>
      <c r="AD293" s="437"/>
      <c r="AE293" s="437"/>
      <c r="AF293" s="437"/>
      <c r="AG293" s="437"/>
      <c r="AH293" s="437"/>
      <c r="AI293" s="437"/>
      <c r="AJ293" s="437"/>
      <c r="AK293" s="437"/>
      <c r="AL293" s="437"/>
      <c r="AM293" s="338"/>
      <c r="AO293">
        <f ca="1">IF($A293="S",IF(BM!$I293=0,0,CHOOSE(MATCH(RegimeExecucao,{"Global","Unitário"},0),ROUND(ROUND(BM.MEDAcumulado,15-13*BM!$A$9)/100*BM!$I293,15-13*ORÇAMENTO!$AF$11),ROUND(ROUND(BM.MEDAcumulado,15-13*BM!$A$9)*ROUND(BM!$H293,15-13*ORÇAMENTO!$AF$10),15-13*ORÇAMENTO!$AF$11))),IF($A293=0,0,ROUND(SomaAgrupBM,15-13*ORÇAMENTO!$AF$11)))</f>
        <v>0</v>
      </c>
    </row>
    <row r="294" spans="1:41" ht="38.25" x14ac:dyDescent="0.2">
      <c r="A294" t="str">
        <f ca="1">ORÇAMENTO!C294</f>
        <v>S</v>
      </c>
      <c r="B294">
        <f ca="1">ORÇAMENTO!D294</f>
        <v>0</v>
      </c>
      <c r="C294" s="114" t="str">
        <f t="shared" ca="1" si="29"/>
        <v>F</v>
      </c>
      <c r="D294" s="117" t="str">
        <f ca="1">ORÇAMENTO!O294</f>
        <v>1.7.3.4.1.</v>
      </c>
      <c r="E294" s="163" t="str">
        <f t="shared" ca="1" si="30"/>
        <v>ALVENARIA DE VEDAÇÃO DE BLOCOS CERÂMICOS MACIÇOS DE 5X10X20CM (ESPESSURA 10CM) E ARGAMASSA DE ASSENTAMENTO COM PREPARO EM BETONEIRA. AF_05/2020</v>
      </c>
      <c r="F294" s="164" t="str">
        <f ca="1">IF(RegimeExecucao="Global","",ORÇAMENTO.Unidade)</f>
        <v>M2</v>
      </c>
      <c r="G294" s="122">
        <f ca="1">IF(RegimeExecucao="Global","",ORÇAMENTO!T294)</f>
        <v>210</v>
      </c>
      <c r="H294" s="122">
        <f ca="1">IF(RegimeExecucao="Global","",ORÇAMENTO!W294)</f>
        <v>173.1</v>
      </c>
      <c r="I294" s="125">
        <f ca="1">ORÇAMENTO!X294</f>
        <v>36351</v>
      </c>
      <c r="J294" s="333" cm="1">
        <f t="array" aca="1" ref="J294" ca="1">_xlfn.SINGLE(IF($A294="S",IF(CAIXA.Modo,BM.AFAnterior,BM.MEDAnterior),IF(AND(_xlfn.SINGLE(RegimeExecucao)="Global",$I294&gt;0,COUNTIF($AB$13:$AM$13,BM.medicao-1)&gt;0),M294/$I294*100,0)))</f>
        <v>0</v>
      </c>
      <c r="K294" s="122">
        <f t="shared" ca="1" si="31"/>
        <v>0</v>
      </c>
      <c r="L294" s="334" cm="1">
        <f t="array" aca="1" ref="L294" ca="1">_xlfn.SINGLE(IF($A294="S",IF(CAIXA.Modo,BM.AFAcumulado,BM.MEDAcumulado),IF(AND(_xlfn.SINGLE(RegimeExecucao)="Global",$I294&gt;0,COUNTIF($AB$13:$AM$13,BM.medicao)&gt;0),O294/$I294*100,0)))</f>
        <v>0</v>
      </c>
      <c r="M294" s="335">
        <f ca="1">IF($A294="S",VTOTALBM,IF($A294=0,0,ROUND(SomaAgrupBM,15-13*ORÇAMENTO!$AF$11)))</f>
        <v>0</v>
      </c>
      <c r="N294" s="336">
        <f t="shared" ca="1" si="32"/>
        <v>0</v>
      </c>
      <c r="O294" s="125">
        <f ca="1">IF($A294="S",VTOTALBM,IF($A294=0,0,ROUND(SomaAgrupBM,15-13*ORÇAMENTO!$AF$11)))</f>
        <v>0</v>
      </c>
      <c r="Q294" s="337"/>
      <c r="R294" s="338"/>
      <c r="T294" s="117" t="str">
        <f t="shared" ca="1" si="33"/>
        <v/>
      </c>
      <c r="U294" s="163" t="str">
        <f t="shared" ca="1" si="34"/>
        <v/>
      </c>
      <c r="V294" s="164" t="str">
        <f ca="1">IF(AND($W294&gt;0,RegimeExecucao="Unitário"),$F294,"")</f>
        <v/>
      </c>
      <c r="W294" s="454">
        <f ca="1">IF($Y294&gt;0,CHOOSE(MATCH(RegimeExecucao,{"Unitário","Global"},0),IF($A294="S",$Y294/$X294,""),($Y294/$X294)*100),0)</f>
        <v>0</v>
      </c>
      <c r="X294" s="339" t="str">
        <f ca="1">IF($Y294&gt;0,CHOOSE(MATCH(RegimeExecucao,{"Unitário","Global"},0),IF($A294="S",ROUND($H294,ORÇAMENTO!$AF$10),""),ROUND($I294,ORÇAMENTO!$AF$11)),"")</f>
        <v/>
      </c>
      <c r="Y294" s="339">
        <f t="shared" ca="1" si="35"/>
        <v>0</v>
      </c>
      <c r="Z294" s="473"/>
      <c r="AB294" s="337"/>
      <c r="AC294" s="437"/>
      <c r="AD294" s="437"/>
      <c r="AE294" s="437"/>
      <c r="AF294" s="437"/>
      <c r="AG294" s="437"/>
      <c r="AH294" s="437"/>
      <c r="AI294" s="437"/>
      <c r="AJ294" s="437"/>
      <c r="AK294" s="437"/>
      <c r="AL294" s="437"/>
      <c r="AM294" s="338"/>
      <c r="AO294">
        <f ca="1">IF($A294="S",IF(BM!$I294=0,0,CHOOSE(MATCH(RegimeExecucao,{"Global","Unitário"},0),ROUND(ROUND(BM.MEDAcumulado,15-13*BM!$A$9)/100*BM!$I294,15-13*ORÇAMENTO!$AF$11),ROUND(ROUND(BM.MEDAcumulado,15-13*BM!$A$9)*ROUND(BM!$H294,15-13*ORÇAMENTO!$AF$10),15-13*ORÇAMENTO!$AF$11))),IF($A294=0,0,ROUND(SomaAgrupBM,15-13*ORÇAMENTO!$AF$11)))</f>
        <v>0</v>
      </c>
    </row>
    <row r="295" spans="1:41" x14ac:dyDescent="0.2">
      <c r="A295" t="str">
        <f ca="1">ORÇAMENTO!C295</f>
        <v>S</v>
      </c>
      <c r="B295">
        <f ca="1">ORÇAMENTO!D295</f>
        <v>0</v>
      </c>
      <c r="C295" s="114" t="str">
        <f t="shared" ca="1" si="29"/>
        <v>F</v>
      </c>
      <c r="D295" s="117" t="str">
        <f ca="1">ORÇAMENTO!O295</f>
        <v>1.7.3.4.2.</v>
      </c>
      <c r="E295" s="163" t="str">
        <f t="shared" ca="1" si="30"/>
        <v>FORNECIMENTO E LANÇAMENTO DE AREIA EM DRENO E PÁTIO</v>
      </c>
      <c r="F295" s="164" t="str">
        <f ca="1">IF(RegimeExecucao="Global","",ORÇAMENTO.Unidade)</f>
        <v>M3</v>
      </c>
      <c r="G295" s="122">
        <f ca="1">IF(RegimeExecucao="Global","",ORÇAMENTO!T295)</f>
        <v>19.95</v>
      </c>
      <c r="H295" s="122">
        <f ca="1">IF(RegimeExecucao="Global","",ORÇAMENTO!W295)</f>
        <v>325.13</v>
      </c>
      <c r="I295" s="125">
        <f ca="1">ORÇAMENTO!X295</f>
        <v>6486.34</v>
      </c>
      <c r="J295" s="333" cm="1">
        <f t="array" aca="1" ref="J295" ca="1">_xlfn.SINGLE(IF($A295="S",IF(CAIXA.Modo,BM.AFAnterior,BM.MEDAnterior),IF(AND(_xlfn.SINGLE(RegimeExecucao)="Global",$I295&gt;0,COUNTIF($AB$13:$AM$13,BM.medicao-1)&gt;0),M295/$I295*100,0)))</f>
        <v>0</v>
      </c>
      <c r="K295" s="122">
        <f t="shared" ca="1" si="31"/>
        <v>0</v>
      </c>
      <c r="L295" s="334" cm="1">
        <f t="array" aca="1" ref="L295" ca="1">_xlfn.SINGLE(IF($A295="S",IF(CAIXA.Modo,BM.AFAcumulado,BM.MEDAcumulado),IF(AND(_xlfn.SINGLE(RegimeExecucao)="Global",$I295&gt;0,COUNTIF($AB$13:$AM$13,BM.medicao)&gt;0),O295/$I295*100,0)))</f>
        <v>0</v>
      </c>
      <c r="M295" s="335">
        <f ca="1">IF($A295="S",VTOTALBM,IF($A295=0,0,ROUND(SomaAgrupBM,15-13*ORÇAMENTO!$AF$11)))</f>
        <v>0</v>
      </c>
      <c r="N295" s="336">
        <f t="shared" ca="1" si="32"/>
        <v>0</v>
      </c>
      <c r="O295" s="125">
        <f ca="1">IF($A295="S",VTOTALBM,IF($A295=0,0,ROUND(SomaAgrupBM,15-13*ORÇAMENTO!$AF$11)))</f>
        <v>0</v>
      </c>
      <c r="Q295" s="337"/>
      <c r="R295" s="338"/>
      <c r="T295" s="117" t="str">
        <f t="shared" ca="1" si="33"/>
        <v/>
      </c>
      <c r="U295" s="163" t="str">
        <f t="shared" ca="1" si="34"/>
        <v/>
      </c>
      <c r="V295" s="164" t="str">
        <f ca="1">IF(AND($W295&gt;0,RegimeExecucao="Unitário"),$F295,"")</f>
        <v/>
      </c>
      <c r="W295" s="454">
        <f ca="1">IF($Y295&gt;0,CHOOSE(MATCH(RegimeExecucao,{"Unitário","Global"},0),IF($A295="S",$Y295/$X295,""),($Y295/$X295)*100),0)</f>
        <v>0</v>
      </c>
      <c r="X295" s="339" t="str">
        <f ca="1">IF($Y295&gt;0,CHOOSE(MATCH(RegimeExecucao,{"Unitário","Global"},0),IF($A295="S",ROUND($H295,ORÇAMENTO!$AF$10),""),ROUND($I295,ORÇAMENTO!$AF$11)),"")</f>
        <v/>
      </c>
      <c r="Y295" s="339">
        <f t="shared" ca="1" si="35"/>
        <v>0</v>
      </c>
      <c r="Z295" s="473"/>
      <c r="AB295" s="337"/>
      <c r="AC295" s="437"/>
      <c r="AD295" s="437"/>
      <c r="AE295" s="437"/>
      <c r="AF295" s="437"/>
      <c r="AG295" s="437"/>
      <c r="AH295" s="437"/>
      <c r="AI295" s="437"/>
      <c r="AJ295" s="437"/>
      <c r="AK295" s="437"/>
      <c r="AL295" s="437"/>
      <c r="AM295" s="338"/>
      <c r="AO295">
        <f ca="1">IF($A295="S",IF(BM!$I295=0,0,CHOOSE(MATCH(RegimeExecucao,{"Global","Unitário"},0),ROUND(ROUND(BM.MEDAcumulado,15-13*BM!$A$9)/100*BM!$I295,15-13*ORÇAMENTO!$AF$11),ROUND(ROUND(BM.MEDAcumulado,15-13*BM!$A$9)*ROUND(BM!$H295,15-13*ORÇAMENTO!$AF$10),15-13*ORÇAMENTO!$AF$11))),IF($A295=0,0,ROUND(SomaAgrupBM,15-13*ORÇAMENTO!$AF$11)))</f>
        <v>0</v>
      </c>
    </row>
    <row r="296" spans="1:41" ht="25.5" x14ac:dyDescent="0.2">
      <c r="A296" t="str">
        <f ca="1">ORÇAMENTO!C296</f>
        <v>S</v>
      </c>
      <c r="B296">
        <f ca="1">ORÇAMENTO!D296</f>
        <v>0</v>
      </c>
      <c r="C296" s="114" t="str">
        <f t="shared" ca="1" si="29"/>
        <v>F</v>
      </c>
      <c r="D296" s="117" t="str">
        <f ca="1">ORÇAMENTO!O296</f>
        <v>1.7.3.4.3.</v>
      </c>
      <c r="E296" s="163" t="str">
        <f t="shared" ca="1" si="30"/>
        <v>ENCHIMENTO DE BRITA Nº 0 PARA DRENO, LANÇAMENTO MECANIZADO - BASEADO EM SINAPI (102717)</v>
      </c>
      <c r="F296" s="164" t="str">
        <f ca="1">IF(RegimeExecucao="Global","",ORÇAMENTO.Unidade)</f>
        <v>M3</v>
      </c>
      <c r="G296" s="122">
        <f ca="1">IF(RegimeExecucao="Global","",ORÇAMENTO!T296)</f>
        <v>15.75</v>
      </c>
      <c r="H296" s="122">
        <f ca="1">IF(RegimeExecucao="Global","",ORÇAMENTO!W296)</f>
        <v>240.58</v>
      </c>
      <c r="I296" s="125">
        <f ca="1">ORÇAMENTO!X296</f>
        <v>3789.14</v>
      </c>
      <c r="J296" s="333" cm="1">
        <f t="array" aca="1" ref="J296" ca="1">_xlfn.SINGLE(IF($A296="S",IF(CAIXA.Modo,BM.AFAnterior,BM.MEDAnterior),IF(AND(_xlfn.SINGLE(RegimeExecucao)="Global",$I296&gt;0,COUNTIF($AB$13:$AM$13,BM.medicao-1)&gt;0),M296/$I296*100,0)))</f>
        <v>0</v>
      </c>
      <c r="K296" s="122">
        <f t="shared" ca="1" si="31"/>
        <v>0</v>
      </c>
      <c r="L296" s="334" cm="1">
        <f t="array" aca="1" ref="L296" ca="1">_xlfn.SINGLE(IF($A296="S",IF(CAIXA.Modo,BM.AFAcumulado,BM.MEDAcumulado),IF(AND(_xlfn.SINGLE(RegimeExecucao)="Global",$I296&gt;0,COUNTIF($AB$13:$AM$13,BM.medicao)&gt;0),O296/$I296*100,0)))</f>
        <v>0</v>
      </c>
      <c r="M296" s="335">
        <f ca="1">IF($A296="S",VTOTALBM,IF($A296=0,0,ROUND(SomaAgrupBM,15-13*ORÇAMENTO!$AF$11)))</f>
        <v>0</v>
      </c>
      <c r="N296" s="336">
        <f t="shared" ca="1" si="32"/>
        <v>0</v>
      </c>
      <c r="O296" s="125">
        <f ca="1">IF($A296="S",VTOTALBM,IF($A296=0,0,ROUND(SomaAgrupBM,15-13*ORÇAMENTO!$AF$11)))</f>
        <v>0</v>
      </c>
      <c r="Q296" s="337"/>
      <c r="R296" s="338"/>
      <c r="T296" s="117" t="str">
        <f t="shared" ca="1" si="33"/>
        <v/>
      </c>
      <c r="U296" s="163" t="str">
        <f t="shared" ca="1" si="34"/>
        <v/>
      </c>
      <c r="V296" s="164" t="str">
        <f ca="1">IF(AND($W296&gt;0,RegimeExecucao="Unitário"),$F296,"")</f>
        <v/>
      </c>
      <c r="W296" s="454">
        <f ca="1">IF($Y296&gt;0,CHOOSE(MATCH(RegimeExecucao,{"Unitário","Global"},0),IF($A296="S",$Y296/$X296,""),($Y296/$X296)*100),0)</f>
        <v>0</v>
      </c>
      <c r="X296" s="339" t="str">
        <f ca="1">IF($Y296&gt;0,CHOOSE(MATCH(RegimeExecucao,{"Unitário","Global"},0),IF($A296="S",ROUND($H296,ORÇAMENTO!$AF$10),""),ROUND($I296,ORÇAMENTO!$AF$11)),"")</f>
        <v/>
      </c>
      <c r="Y296" s="339">
        <f t="shared" ca="1" si="35"/>
        <v>0</v>
      </c>
      <c r="Z296" s="473"/>
      <c r="AB296" s="337"/>
      <c r="AC296" s="437"/>
      <c r="AD296" s="437"/>
      <c r="AE296" s="437"/>
      <c r="AF296" s="437"/>
      <c r="AG296" s="437"/>
      <c r="AH296" s="437"/>
      <c r="AI296" s="437"/>
      <c r="AJ296" s="437"/>
      <c r="AK296" s="437"/>
      <c r="AL296" s="437"/>
      <c r="AM296" s="338"/>
      <c r="AO296">
        <f ca="1">IF($A296="S",IF(BM!$I296=0,0,CHOOSE(MATCH(RegimeExecucao,{"Global","Unitário"},0),ROUND(ROUND(BM.MEDAcumulado,15-13*BM!$A$9)/100*BM!$I296,15-13*ORÇAMENTO!$AF$11),ROUND(ROUND(BM.MEDAcumulado,15-13*BM!$A$9)*ROUND(BM!$H296,15-13*ORÇAMENTO!$AF$10),15-13*ORÇAMENTO!$AF$11))),IF($A296=0,0,ROUND(SomaAgrupBM,15-13*ORÇAMENTO!$AF$11)))</f>
        <v>0</v>
      </c>
    </row>
    <row r="297" spans="1:41" ht="25.5" x14ac:dyDescent="0.2">
      <c r="A297" t="str">
        <f ca="1">ORÇAMENTO!C297</f>
        <v>S</v>
      </c>
      <c r="B297">
        <f ca="1">ORÇAMENTO!D297</f>
        <v>0</v>
      </c>
      <c r="C297" s="114" t="str">
        <f t="shared" ca="1" si="29"/>
        <v>F</v>
      </c>
      <c r="D297" s="117" t="str">
        <f ca="1">ORÇAMENTO!O297</f>
        <v>1.7.3.4.4.</v>
      </c>
      <c r="E297" s="163" t="str">
        <f t="shared" ca="1" si="30"/>
        <v>ENCHIMENTO DE BRITA Nº 1 PARA DRENO, LANÇAMENTO MECANIZADO - BASEADO EM SINAPI (102717)</v>
      </c>
      <c r="F297" s="164" t="str">
        <f ca="1">IF(RegimeExecucao="Global","",ORÇAMENTO.Unidade)</f>
        <v>M3</v>
      </c>
      <c r="G297" s="122">
        <f ca="1">IF(RegimeExecucao="Global","",ORÇAMENTO!T297)</f>
        <v>10.5</v>
      </c>
      <c r="H297" s="122">
        <f ca="1">IF(RegimeExecucao="Global","",ORÇAMENTO!W297)</f>
        <v>212.96</v>
      </c>
      <c r="I297" s="125">
        <f ca="1">ORÇAMENTO!X297</f>
        <v>2236.08</v>
      </c>
      <c r="J297" s="333" cm="1">
        <f t="array" aca="1" ref="J297" ca="1">_xlfn.SINGLE(IF($A297="S",IF(CAIXA.Modo,BM.AFAnterior,BM.MEDAnterior),IF(AND(_xlfn.SINGLE(RegimeExecucao)="Global",$I297&gt;0,COUNTIF($AB$13:$AM$13,BM.medicao-1)&gt;0),M297/$I297*100,0)))</f>
        <v>0</v>
      </c>
      <c r="K297" s="122">
        <f t="shared" ca="1" si="31"/>
        <v>0</v>
      </c>
      <c r="L297" s="334" cm="1">
        <f t="array" aca="1" ref="L297" ca="1">_xlfn.SINGLE(IF($A297="S",IF(CAIXA.Modo,BM.AFAcumulado,BM.MEDAcumulado),IF(AND(_xlfn.SINGLE(RegimeExecucao)="Global",$I297&gt;0,COUNTIF($AB$13:$AM$13,BM.medicao)&gt;0),O297/$I297*100,0)))</f>
        <v>0</v>
      </c>
      <c r="M297" s="335">
        <f ca="1">IF($A297="S",VTOTALBM,IF($A297=0,0,ROUND(SomaAgrupBM,15-13*ORÇAMENTO!$AF$11)))</f>
        <v>0</v>
      </c>
      <c r="N297" s="336">
        <f t="shared" ca="1" si="32"/>
        <v>0</v>
      </c>
      <c r="O297" s="125">
        <f ca="1">IF($A297="S",VTOTALBM,IF($A297=0,0,ROUND(SomaAgrupBM,15-13*ORÇAMENTO!$AF$11)))</f>
        <v>0</v>
      </c>
      <c r="Q297" s="337"/>
      <c r="R297" s="338"/>
      <c r="T297" s="117" t="str">
        <f t="shared" ca="1" si="33"/>
        <v/>
      </c>
      <c r="U297" s="163" t="str">
        <f t="shared" ca="1" si="34"/>
        <v/>
      </c>
      <c r="V297" s="164" t="str">
        <f ca="1">IF(AND($W297&gt;0,RegimeExecucao="Unitário"),$F297,"")</f>
        <v/>
      </c>
      <c r="W297" s="454">
        <f ca="1">IF($Y297&gt;0,CHOOSE(MATCH(RegimeExecucao,{"Unitário","Global"},0),IF($A297="S",$Y297/$X297,""),($Y297/$X297)*100),0)</f>
        <v>0</v>
      </c>
      <c r="X297" s="339" t="str">
        <f ca="1">IF($Y297&gt;0,CHOOSE(MATCH(RegimeExecucao,{"Unitário","Global"},0),IF($A297="S",ROUND($H297,ORÇAMENTO!$AF$10),""),ROUND($I297,ORÇAMENTO!$AF$11)),"")</f>
        <v/>
      </c>
      <c r="Y297" s="339">
        <f t="shared" ca="1" si="35"/>
        <v>0</v>
      </c>
      <c r="Z297" s="473"/>
      <c r="AB297" s="337"/>
      <c r="AC297" s="437"/>
      <c r="AD297" s="437"/>
      <c r="AE297" s="437"/>
      <c r="AF297" s="437"/>
      <c r="AG297" s="437"/>
      <c r="AH297" s="437"/>
      <c r="AI297" s="437"/>
      <c r="AJ297" s="437"/>
      <c r="AK297" s="437"/>
      <c r="AL297" s="437"/>
      <c r="AM297" s="338"/>
      <c r="AO297">
        <f ca="1">IF($A297="S",IF(BM!$I297=0,0,CHOOSE(MATCH(RegimeExecucao,{"Global","Unitário"},0),ROUND(ROUND(BM.MEDAcumulado,15-13*BM!$A$9)/100*BM!$I297,15-13*ORÇAMENTO!$AF$11),ROUND(ROUND(BM.MEDAcumulado,15-13*BM!$A$9)*ROUND(BM!$H297,15-13*ORÇAMENTO!$AF$10),15-13*ORÇAMENTO!$AF$11))),IF($A297=0,0,ROUND(SomaAgrupBM,15-13*ORÇAMENTO!$AF$11)))</f>
        <v>0</v>
      </c>
    </row>
    <row r="298" spans="1:41" ht="25.5" x14ac:dyDescent="0.2">
      <c r="A298" t="str">
        <f ca="1">ORÇAMENTO!C298</f>
        <v>S</v>
      </c>
      <c r="B298">
        <f ca="1">ORÇAMENTO!D298</f>
        <v>0</v>
      </c>
      <c r="C298" s="114" t="str">
        <f t="shared" ca="1" si="29"/>
        <v>F</v>
      </c>
      <c r="D298" s="117" t="str">
        <f ca="1">ORÇAMENTO!O298</f>
        <v>1.7.3.4.5.</v>
      </c>
      <c r="E298" s="163" t="str">
        <f t="shared" ca="1" si="30"/>
        <v>ENCHIMENTO DE BRITA Nº 2 E 3 PARA DRENO, LANÇAMENTO MECANIZADO - BASEADO EM SINAPI (102717)</v>
      </c>
      <c r="F298" s="164" t="str">
        <f ca="1">IF(RegimeExecucao="Global","",ORÇAMENTO.Unidade)</f>
        <v>M3</v>
      </c>
      <c r="G298" s="122">
        <f ca="1">IF(RegimeExecucao="Global","",ORÇAMENTO!T298)</f>
        <v>42.51</v>
      </c>
      <c r="H298" s="122">
        <f ca="1">IF(RegimeExecucao="Global","",ORÇAMENTO!W298)</f>
        <v>208.48</v>
      </c>
      <c r="I298" s="125">
        <f ca="1">ORÇAMENTO!X298</f>
        <v>8862.48</v>
      </c>
      <c r="J298" s="333" cm="1">
        <f t="array" aca="1" ref="J298" ca="1">_xlfn.SINGLE(IF($A298="S",IF(CAIXA.Modo,BM.AFAnterior,BM.MEDAnterior),IF(AND(_xlfn.SINGLE(RegimeExecucao)="Global",$I298&gt;0,COUNTIF($AB$13:$AM$13,BM.medicao-1)&gt;0),M298/$I298*100,0)))</f>
        <v>0</v>
      </c>
      <c r="K298" s="122">
        <f t="shared" ca="1" si="31"/>
        <v>0</v>
      </c>
      <c r="L298" s="334" cm="1">
        <f t="array" aca="1" ref="L298" ca="1">_xlfn.SINGLE(IF($A298="S",IF(CAIXA.Modo,BM.AFAcumulado,BM.MEDAcumulado),IF(AND(_xlfn.SINGLE(RegimeExecucao)="Global",$I298&gt;0,COUNTIF($AB$13:$AM$13,BM.medicao)&gt;0),O298/$I298*100,0)))</f>
        <v>0</v>
      </c>
      <c r="M298" s="335">
        <f ca="1">IF($A298="S",VTOTALBM,IF($A298=0,0,ROUND(SomaAgrupBM,15-13*ORÇAMENTO!$AF$11)))</f>
        <v>0</v>
      </c>
      <c r="N298" s="336">
        <f t="shared" ca="1" si="32"/>
        <v>0</v>
      </c>
      <c r="O298" s="125">
        <f ca="1">IF($A298="S",VTOTALBM,IF($A298=0,0,ROUND(SomaAgrupBM,15-13*ORÇAMENTO!$AF$11)))</f>
        <v>0</v>
      </c>
      <c r="Q298" s="337"/>
      <c r="R298" s="338"/>
      <c r="T298" s="117" t="str">
        <f t="shared" ca="1" si="33"/>
        <v/>
      </c>
      <c r="U298" s="163" t="str">
        <f t="shared" ca="1" si="34"/>
        <v/>
      </c>
      <c r="V298" s="164" t="str">
        <f ca="1">IF(AND($W298&gt;0,RegimeExecucao="Unitário"),$F298,"")</f>
        <v/>
      </c>
      <c r="W298" s="454">
        <f ca="1">IF($Y298&gt;0,CHOOSE(MATCH(RegimeExecucao,{"Unitário","Global"},0),IF($A298="S",$Y298/$X298,""),($Y298/$X298)*100),0)</f>
        <v>0</v>
      </c>
      <c r="X298" s="339" t="str">
        <f ca="1">IF($Y298&gt;0,CHOOSE(MATCH(RegimeExecucao,{"Unitário","Global"},0),IF($A298="S",ROUND($H298,ORÇAMENTO!$AF$10),""),ROUND($I298,ORÇAMENTO!$AF$11)),"")</f>
        <v/>
      </c>
      <c r="Y298" s="339">
        <f t="shared" ca="1" si="35"/>
        <v>0</v>
      </c>
      <c r="Z298" s="473"/>
      <c r="AB298" s="337"/>
      <c r="AC298" s="437"/>
      <c r="AD298" s="437"/>
      <c r="AE298" s="437"/>
      <c r="AF298" s="437"/>
      <c r="AG298" s="437"/>
      <c r="AH298" s="437"/>
      <c r="AI298" s="437"/>
      <c r="AJ298" s="437"/>
      <c r="AK298" s="437"/>
      <c r="AL298" s="437"/>
      <c r="AM298" s="338"/>
      <c r="AO298">
        <f ca="1">IF($A298="S",IF(BM!$I298=0,0,CHOOSE(MATCH(RegimeExecucao,{"Global","Unitário"},0),ROUND(ROUND(BM.MEDAcumulado,15-13*BM!$A$9)/100*BM!$I298,15-13*ORÇAMENTO!$AF$11),ROUND(ROUND(BM.MEDAcumulado,15-13*BM!$A$9)*ROUND(BM!$H298,15-13*ORÇAMENTO!$AF$10),15-13*ORÇAMENTO!$AF$11))),IF($A298=0,0,ROUND(SomaAgrupBM,15-13*ORÇAMENTO!$AF$11)))</f>
        <v>0</v>
      </c>
    </row>
    <row r="299" spans="1:41" x14ac:dyDescent="0.2">
      <c r="A299">
        <f ca="1">ORÇAMENTO!C299</f>
        <v>4</v>
      </c>
      <c r="B299">
        <f ca="1">ORÇAMENTO!D299</f>
        <v>3</v>
      </c>
      <c r="C299" s="114" t="str">
        <f t="shared" ca="1" si="29"/>
        <v>F</v>
      </c>
      <c r="D299" s="117" t="str">
        <f ca="1">ORÇAMENTO!O299</f>
        <v>1.7.3.5.</v>
      </c>
      <c r="E299" s="163" t="str">
        <f t="shared" si="30"/>
        <v>CARGA E TRANSPORTE</v>
      </c>
      <c r="F299" s="164" t="str">
        <f ca="1">IF(RegimeExecucao="Global","",ORÇAMENTO.Unidade)</f>
        <v>-</v>
      </c>
      <c r="G299" s="122">
        <f ca="1">IF(RegimeExecucao="Global","",ORÇAMENTO!T299)</f>
        <v>0</v>
      </c>
      <c r="H299" s="122">
        <f ca="1">IF(RegimeExecucao="Global","",ORÇAMENTO!W299)</f>
        <v>0</v>
      </c>
      <c r="I299" s="125">
        <f ca="1">ORÇAMENTO!X299</f>
        <v>4466.55</v>
      </c>
      <c r="J299" s="333" cm="1">
        <f t="array" aca="1" ref="J299" ca="1">_xlfn.SINGLE(IF($A299="S",IF(CAIXA.Modo,BM.AFAnterior,BM.MEDAnterior),IF(AND(_xlfn.SINGLE(RegimeExecucao)="Global",$I299&gt;0,COUNTIF($AB$13:$AM$13,BM.medicao-1)&gt;0),M299/$I299*100,0)))</f>
        <v>0</v>
      </c>
      <c r="K299" s="122">
        <f t="shared" ca="1" si="31"/>
        <v>0</v>
      </c>
      <c r="L299" s="334" cm="1">
        <f t="array" aca="1" ref="L299" ca="1">_xlfn.SINGLE(IF($A299="S",IF(CAIXA.Modo,BM.AFAcumulado,BM.MEDAcumulado),IF(AND(_xlfn.SINGLE(RegimeExecucao)="Global",$I299&gt;0,COUNTIF($AB$13:$AM$13,BM.medicao)&gt;0),O299/$I299*100,0)))</f>
        <v>0</v>
      </c>
      <c r="M299" s="335">
        <f ca="1">IF($A299="S",VTOTALBM,IF($A299=0,0,ROUND(SomaAgrupBM,15-13*ORÇAMENTO!$AF$11)))</f>
        <v>0</v>
      </c>
      <c r="N299" s="336">
        <f t="shared" ca="1" si="32"/>
        <v>0</v>
      </c>
      <c r="O299" s="125">
        <f ca="1">IF($A299="S",VTOTALBM,IF($A299=0,0,ROUND(SomaAgrupBM,15-13*ORÇAMENTO!$AF$11)))</f>
        <v>0</v>
      </c>
      <c r="Q299" s="337"/>
      <c r="R299" s="338"/>
      <c r="T299" s="117" t="str">
        <f t="shared" ca="1" si="33"/>
        <v/>
      </c>
      <c r="U299" s="163" t="str">
        <f t="shared" ca="1" si="34"/>
        <v/>
      </c>
      <c r="V299" s="164" t="str">
        <f ca="1">IF(AND($W299&gt;0,RegimeExecucao="Unitário"),$F299,"")</f>
        <v/>
      </c>
      <c r="W299" s="454">
        <f ca="1">IF($Y299&gt;0,CHOOSE(MATCH(RegimeExecucao,{"Unitário","Global"},0),IF($A299="S",$Y299/$X299,""),($Y299/$X299)*100),0)</f>
        <v>0</v>
      </c>
      <c r="X299" s="339" t="str">
        <f ca="1">IF($Y299&gt;0,CHOOSE(MATCH(RegimeExecucao,{"Unitário","Global"},0),IF($A299="S",ROUND($H299,ORÇAMENTO!$AF$10),""),ROUND($I299,ORÇAMENTO!$AF$11)),"")</f>
        <v/>
      </c>
      <c r="Y299" s="339">
        <f t="shared" ca="1" si="35"/>
        <v>0</v>
      </c>
      <c r="Z299" s="473"/>
      <c r="AB299" s="337"/>
      <c r="AC299" s="437"/>
      <c r="AD299" s="437"/>
      <c r="AE299" s="437"/>
      <c r="AF299" s="437"/>
      <c r="AG299" s="437"/>
      <c r="AH299" s="437"/>
      <c r="AI299" s="437"/>
      <c r="AJ299" s="437"/>
      <c r="AK299" s="437"/>
      <c r="AL299" s="437"/>
      <c r="AM299" s="338"/>
      <c r="AO299">
        <f ca="1">IF($A299="S",IF(BM!$I299=0,0,CHOOSE(MATCH(RegimeExecucao,{"Global","Unitário"},0),ROUND(ROUND(BM.MEDAcumulado,15-13*BM!$A$9)/100*BM!$I299,15-13*ORÇAMENTO!$AF$11),ROUND(ROUND(BM.MEDAcumulado,15-13*BM!$A$9)*ROUND(BM!$H299,15-13*ORÇAMENTO!$AF$10),15-13*ORÇAMENTO!$AF$11))),IF($A299=0,0,ROUND(SomaAgrupBM,15-13*ORÇAMENTO!$AF$11)))</f>
        <v>0</v>
      </c>
    </row>
    <row r="300" spans="1:41" ht="51" x14ac:dyDescent="0.2">
      <c r="A300" t="str">
        <f ca="1">ORÇAMENTO!C300</f>
        <v>S</v>
      </c>
      <c r="B300">
        <f ca="1">ORÇAMENTO!D300</f>
        <v>0</v>
      </c>
      <c r="C300" s="114" t="str">
        <f t="shared" ca="1" si="29"/>
        <v>F</v>
      </c>
      <c r="D300" s="117" t="str">
        <f ca="1">ORÇAMENTO!O300</f>
        <v>1.7.3.5.1.</v>
      </c>
      <c r="E300" s="163" t="str">
        <f t="shared" ca="1" si="30"/>
        <v>CARGA, MANOBRA E DESCARGA DE SOLOS E MATERIAIS GRANULARES EM CAMINHÃO BASCULANTE 18 M³ - CARGA COM ESCAVADEIRA HIDRÁULICA (CAÇAMBA DE 1,20 M³ / 155 HP) E DESCARGA LIVRE (UNIDADE: M3). AF_07/2020</v>
      </c>
      <c r="F300" s="164" t="str">
        <f ca="1">IF(RegimeExecucao="Global","",ORÇAMENTO.Unidade)</f>
        <v>M3</v>
      </c>
      <c r="G300" s="122">
        <f ca="1">IF(RegimeExecucao="Global","",ORÇAMENTO!T300)</f>
        <v>88.71</v>
      </c>
      <c r="H300" s="122">
        <f ca="1">IF(RegimeExecucao="Global","",ORÇAMENTO!W300)</f>
        <v>8.0500000000000007</v>
      </c>
      <c r="I300" s="125">
        <f ca="1">ORÇAMENTO!X300</f>
        <v>714.12</v>
      </c>
      <c r="J300" s="333" cm="1">
        <f t="array" aca="1" ref="J300" ca="1">_xlfn.SINGLE(IF($A300="S",IF(CAIXA.Modo,BM.AFAnterior,BM.MEDAnterior),IF(AND(_xlfn.SINGLE(RegimeExecucao)="Global",$I300&gt;0,COUNTIF($AB$13:$AM$13,BM.medicao-1)&gt;0),M300/$I300*100,0)))</f>
        <v>0</v>
      </c>
      <c r="K300" s="122">
        <f t="shared" ca="1" si="31"/>
        <v>0</v>
      </c>
      <c r="L300" s="334" cm="1">
        <f t="array" aca="1" ref="L300" ca="1">_xlfn.SINGLE(IF($A300="S",IF(CAIXA.Modo,BM.AFAcumulado,BM.MEDAcumulado),IF(AND(_xlfn.SINGLE(RegimeExecucao)="Global",$I300&gt;0,COUNTIF($AB$13:$AM$13,BM.medicao)&gt;0),O300/$I300*100,0)))</f>
        <v>0</v>
      </c>
      <c r="M300" s="335">
        <f ca="1">IF($A300="S",VTOTALBM,IF($A300=0,0,ROUND(SomaAgrupBM,15-13*ORÇAMENTO!$AF$11)))</f>
        <v>0</v>
      </c>
      <c r="N300" s="336">
        <f t="shared" ca="1" si="32"/>
        <v>0</v>
      </c>
      <c r="O300" s="125">
        <f ca="1">IF($A300="S",VTOTALBM,IF($A300=0,0,ROUND(SomaAgrupBM,15-13*ORÇAMENTO!$AF$11)))</f>
        <v>0</v>
      </c>
      <c r="Q300" s="337"/>
      <c r="R300" s="338"/>
      <c r="T300" s="117" t="str">
        <f t="shared" ca="1" si="33"/>
        <v/>
      </c>
      <c r="U300" s="163" t="str">
        <f t="shared" ca="1" si="34"/>
        <v/>
      </c>
      <c r="V300" s="164" t="str">
        <f ca="1">IF(AND($W300&gt;0,RegimeExecucao="Unitário"),$F300,"")</f>
        <v/>
      </c>
      <c r="W300" s="454">
        <f ca="1">IF($Y300&gt;0,CHOOSE(MATCH(RegimeExecucao,{"Unitário","Global"},0),IF($A300="S",$Y300/$X300,""),($Y300/$X300)*100),0)</f>
        <v>0</v>
      </c>
      <c r="X300" s="339" t="str">
        <f ca="1">IF($Y300&gt;0,CHOOSE(MATCH(RegimeExecucao,{"Unitário","Global"},0),IF($A300="S",ROUND($H300,ORÇAMENTO!$AF$10),""),ROUND($I300,ORÇAMENTO!$AF$11)),"")</f>
        <v/>
      </c>
      <c r="Y300" s="339">
        <f t="shared" ca="1" si="35"/>
        <v>0</v>
      </c>
      <c r="Z300" s="473"/>
      <c r="AB300" s="337"/>
      <c r="AC300" s="437"/>
      <c r="AD300" s="437"/>
      <c r="AE300" s="437"/>
      <c r="AF300" s="437"/>
      <c r="AG300" s="437"/>
      <c r="AH300" s="437"/>
      <c r="AI300" s="437"/>
      <c r="AJ300" s="437"/>
      <c r="AK300" s="437"/>
      <c r="AL300" s="437"/>
      <c r="AM300" s="338"/>
      <c r="AO300">
        <f ca="1">IF($A300="S",IF(BM!$I300=0,0,CHOOSE(MATCH(RegimeExecucao,{"Global","Unitário"},0),ROUND(ROUND(BM.MEDAcumulado,15-13*BM!$A$9)/100*BM!$I300,15-13*ORÇAMENTO!$AF$11),ROUND(ROUND(BM.MEDAcumulado,15-13*BM!$A$9)*ROUND(BM!$H300,15-13*ORÇAMENTO!$AF$10),15-13*ORÇAMENTO!$AF$11))),IF($A300=0,0,ROUND(SomaAgrupBM,15-13*ORÇAMENTO!$AF$11)))</f>
        <v>0</v>
      </c>
    </row>
    <row r="301" spans="1:41" ht="38.25" x14ac:dyDescent="0.2">
      <c r="A301" t="str">
        <f ca="1">ORÇAMENTO!C301</f>
        <v>S</v>
      </c>
      <c r="B301">
        <f ca="1">ORÇAMENTO!D301</f>
        <v>0</v>
      </c>
      <c r="C301" s="114" t="str">
        <f t="shared" ca="1" si="29"/>
        <v>F</v>
      </c>
      <c r="D301" s="117" t="str">
        <f ca="1">ORÇAMENTO!O301</f>
        <v>1.7.3.5.2.</v>
      </c>
      <c r="E301" s="163" t="str">
        <f t="shared" ca="1" si="30"/>
        <v>TRANSPORTE COM CAMINHÃO BASCULANTE DE 18 M³, EM VIA URBANA PAVIMENTADA, DMT ATÉ 30 KM (UNIDADE: M3XKM). AF_07/2020</v>
      </c>
      <c r="F301" s="164" t="str">
        <f ca="1">IF(RegimeExecucao="Global","",ORÇAMENTO.Unidade)</f>
        <v>M3XKM</v>
      </c>
      <c r="G301" s="122">
        <f ca="1">IF(RegimeExecucao="Global","",ORÇAMENTO!T301)</f>
        <v>1596.78</v>
      </c>
      <c r="H301" s="122">
        <f ca="1">IF(RegimeExecucao="Global","",ORÇAMENTO!W301)</f>
        <v>2.35</v>
      </c>
      <c r="I301" s="125">
        <f ca="1">ORÇAMENTO!X301</f>
        <v>3752.43</v>
      </c>
      <c r="J301" s="333" cm="1">
        <f t="array" aca="1" ref="J301" ca="1">_xlfn.SINGLE(IF($A301="S",IF(CAIXA.Modo,BM.AFAnterior,BM.MEDAnterior),IF(AND(_xlfn.SINGLE(RegimeExecucao)="Global",$I301&gt;0,COUNTIF($AB$13:$AM$13,BM.medicao-1)&gt;0),M301/$I301*100,0)))</f>
        <v>0</v>
      </c>
      <c r="K301" s="122">
        <f t="shared" ca="1" si="31"/>
        <v>0</v>
      </c>
      <c r="L301" s="334" cm="1">
        <f t="array" aca="1" ref="L301" ca="1">_xlfn.SINGLE(IF($A301="S",IF(CAIXA.Modo,BM.AFAcumulado,BM.MEDAcumulado),IF(AND(_xlfn.SINGLE(RegimeExecucao)="Global",$I301&gt;0,COUNTIF($AB$13:$AM$13,BM.medicao)&gt;0),O301/$I301*100,0)))</f>
        <v>0</v>
      </c>
      <c r="M301" s="335">
        <f ca="1">IF($A301="S",VTOTALBM,IF($A301=0,0,ROUND(SomaAgrupBM,15-13*ORÇAMENTO!$AF$11)))</f>
        <v>0</v>
      </c>
      <c r="N301" s="336">
        <f t="shared" ca="1" si="32"/>
        <v>0</v>
      </c>
      <c r="O301" s="125">
        <f ca="1">IF($A301="S",VTOTALBM,IF($A301=0,0,ROUND(SomaAgrupBM,15-13*ORÇAMENTO!$AF$11)))</f>
        <v>0</v>
      </c>
      <c r="Q301" s="337"/>
      <c r="R301" s="338"/>
      <c r="T301" s="117" t="str">
        <f t="shared" ca="1" si="33"/>
        <v/>
      </c>
      <c r="U301" s="163" t="str">
        <f t="shared" ca="1" si="34"/>
        <v/>
      </c>
      <c r="V301" s="164" t="str">
        <f ca="1">IF(AND($W301&gt;0,RegimeExecucao="Unitário"),$F301,"")</f>
        <v/>
      </c>
      <c r="W301" s="454">
        <f ca="1">IF($Y301&gt;0,CHOOSE(MATCH(RegimeExecucao,{"Unitário","Global"},0),IF($A301="S",$Y301/$X301,""),($Y301/$X301)*100),0)</f>
        <v>0</v>
      </c>
      <c r="X301" s="339" t="str">
        <f ca="1">IF($Y301&gt;0,CHOOSE(MATCH(RegimeExecucao,{"Unitário","Global"},0),IF($A301="S",ROUND($H301,ORÇAMENTO!$AF$10),""),ROUND($I301,ORÇAMENTO!$AF$11)),"")</f>
        <v/>
      </c>
      <c r="Y301" s="339">
        <f t="shared" ca="1" si="35"/>
        <v>0</v>
      </c>
      <c r="Z301" s="473"/>
      <c r="AB301" s="337"/>
      <c r="AC301" s="437"/>
      <c r="AD301" s="437"/>
      <c r="AE301" s="437"/>
      <c r="AF301" s="437"/>
      <c r="AG301" s="437"/>
      <c r="AH301" s="437"/>
      <c r="AI301" s="437"/>
      <c r="AJ301" s="437"/>
      <c r="AK301" s="437"/>
      <c r="AL301" s="437"/>
      <c r="AM301" s="338"/>
      <c r="AO301">
        <f ca="1">IF($A301="S",IF(BM!$I301=0,0,CHOOSE(MATCH(RegimeExecucao,{"Global","Unitário"},0),ROUND(ROUND(BM.MEDAcumulado,15-13*BM!$A$9)/100*BM!$I301,15-13*ORÇAMENTO!$AF$11),ROUND(ROUND(BM.MEDAcumulado,15-13*BM!$A$9)*ROUND(BM!$H301,15-13*ORÇAMENTO!$AF$10),15-13*ORÇAMENTO!$AF$11))),IF($A301=0,0,ROUND(SomaAgrupBM,15-13*ORÇAMENTO!$AF$11)))</f>
        <v>0</v>
      </c>
    </row>
    <row r="302" spans="1:41" x14ac:dyDescent="0.2">
      <c r="A302">
        <f ca="1">ORÇAMENTO!C302</f>
        <v>3</v>
      </c>
      <c r="B302">
        <f ca="1">ORÇAMENTO!D302</f>
        <v>24</v>
      </c>
      <c r="C302" s="114" t="str">
        <f t="shared" ca="1" si="29"/>
        <v>F</v>
      </c>
      <c r="D302" s="117" t="str">
        <f ca="1">ORÇAMENTO!O302</f>
        <v>1.7.4.</v>
      </c>
      <c r="E302" s="163" t="str">
        <f t="shared" si="30"/>
        <v>LEITOS DE SECAGEM</v>
      </c>
      <c r="F302" s="164" t="str">
        <f ca="1">IF(RegimeExecucao="Global","",ORÇAMENTO.Unidade)</f>
        <v>-</v>
      </c>
      <c r="G302" s="122">
        <f ca="1">IF(RegimeExecucao="Global","",ORÇAMENTO!T302)</f>
        <v>0</v>
      </c>
      <c r="H302" s="122">
        <f ca="1">IF(RegimeExecucao="Global","",ORÇAMENTO!W302)</f>
        <v>0</v>
      </c>
      <c r="I302" s="125">
        <f ca="1">ORÇAMENTO!X302</f>
        <v>170544.01</v>
      </c>
      <c r="J302" s="333" cm="1">
        <f t="array" aca="1" ref="J302" ca="1">_xlfn.SINGLE(IF($A302="S",IF(CAIXA.Modo,BM.AFAnterior,BM.MEDAnterior),IF(AND(_xlfn.SINGLE(RegimeExecucao)="Global",$I302&gt;0,COUNTIF($AB$13:$AM$13,BM.medicao-1)&gt;0),M302/$I302*100,0)))</f>
        <v>0</v>
      </c>
      <c r="K302" s="122">
        <f t="shared" ca="1" si="31"/>
        <v>0</v>
      </c>
      <c r="L302" s="334" cm="1">
        <f t="array" aca="1" ref="L302" ca="1">_xlfn.SINGLE(IF($A302="S",IF(CAIXA.Modo,BM.AFAcumulado,BM.MEDAcumulado),IF(AND(_xlfn.SINGLE(RegimeExecucao)="Global",$I302&gt;0,COUNTIF($AB$13:$AM$13,BM.medicao)&gt;0),O302/$I302*100,0)))</f>
        <v>0</v>
      </c>
      <c r="M302" s="335">
        <f ca="1">IF($A302="S",VTOTALBM,IF($A302=0,0,ROUND(SomaAgrupBM,15-13*ORÇAMENTO!$AF$11)))</f>
        <v>0</v>
      </c>
      <c r="N302" s="336">
        <f t="shared" ca="1" si="32"/>
        <v>0</v>
      </c>
      <c r="O302" s="125">
        <f ca="1">IF($A302="S",VTOTALBM,IF($A302=0,0,ROUND(SomaAgrupBM,15-13*ORÇAMENTO!$AF$11)))</f>
        <v>0</v>
      </c>
      <c r="Q302" s="337"/>
      <c r="R302" s="338"/>
      <c r="T302" s="117" t="str">
        <f t="shared" ca="1" si="33"/>
        <v/>
      </c>
      <c r="U302" s="163" t="str">
        <f t="shared" ca="1" si="34"/>
        <v/>
      </c>
      <c r="V302" s="164" t="str">
        <f ca="1">IF(AND($W302&gt;0,RegimeExecucao="Unitário"),$F302,"")</f>
        <v/>
      </c>
      <c r="W302" s="454">
        <f ca="1">IF($Y302&gt;0,CHOOSE(MATCH(RegimeExecucao,{"Unitário","Global"},0),IF($A302="S",$Y302/$X302,""),($Y302/$X302)*100),0)</f>
        <v>0</v>
      </c>
      <c r="X302" s="339" t="str">
        <f ca="1">IF($Y302&gt;0,CHOOSE(MATCH(RegimeExecucao,{"Unitário","Global"},0),IF($A302="S",ROUND($H302,ORÇAMENTO!$AF$10),""),ROUND($I302,ORÇAMENTO!$AF$11)),"")</f>
        <v/>
      </c>
      <c r="Y302" s="339">
        <f t="shared" ca="1" si="35"/>
        <v>0</v>
      </c>
      <c r="Z302" s="473"/>
      <c r="AB302" s="337"/>
      <c r="AC302" s="437"/>
      <c r="AD302" s="437"/>
      <c r="AE302" s="437"/>
      <c r="AF302" s="437"/>
      <c r="AG302" s="437"/>
      <c r="AH302" s="437"/>
      <c r="AI302" s="437"/>
      <c r="AJ302" s="437"/>
      <c r="AK302" s="437"/>
      <c r="AL302" s="437"/>
      <c r="AM302" s="338"/>
      <c r="AO302">
        <f ca="1">IF($A302="S",IF(BM!$I302=0,0,CHOOSE(MATCH(RegimeExecucao,{"Global","Unitário"},0),ROUND(ROUND(BM.MEDAcumulado,15-13*BM!$A$9)/100*BM!$I302,15-13*ORÇAMENTO!$AF$11),ROUND(ROUND(BM.MEDAcumulado,15-13*BM!$A$9)*ROUND(BM!$H302,15-13*ORÇAMENTO!$AF$10),15-13*ORÇAMENTO!$AF$11))),IF($A302=0,0,ROUND(SomaAgrupBM,15-13*ORÇAMENTO!$AF$11)))</f>
        <v>0</v>
      </c>
    </row>
    <row r="303" spans="1:41" x14ac:dyDescent="0.2">
      <c r="A303">
        <f ca="1">ORÇAMENTO!C303</f>
        <v>4</v>
      </c>
      <c r="B303">
        <f ca="1">ORÇAMENTO!D303</f>
        <v>9</v>
      </c>
      <c r="C303" s="114" t="str">
        <f t="shared" ca="1" si="29"/>
        <v>F</v>
      </c>
      <c r="D303" s="117" t="str">
        <f ca="1">ORÇAMENTO!O303</f>
        <v>1.7.4.1.</v>
      </c>
      <c r="E303" s="163" t="str">
        <f t="shared" si="30"/>
        <v>FORNECIMENTO DE MATERIAIS</v>
      </c>
      <c r="F303" s="164" t="str">
        <f ca="1">IF(RegimeExecucao="Global","",ORÇAMENTO.Unidade)</f>
        <v>-</v>
      </c>
      <c r="G303" s="122">
        <f ca="1">IF(RegimeExecucao="Global","",ORÇAMENTO!T303)</f>
        <v>0</v>
      </c>
      <c r="H303" s="122">
        <f ca="1">IF(RegimeExecucao="Global","",ORÇAMENTO!W303)</f>
        <v>0</v>
      </c>
      <c r="I303" s="125">
        <f ca="1">ORÇAMENTO!X303</f>
        <v>44818.51</v>
      </c>
      <c r="J303" s="333" cm="1">
        <f t="array" aca="1" ref="J303" ca="1">_xlfn.SINGLE(IF($A303="S",IF(CAIXA.Modo,BM.AFAnterior,BM.MEDAnterior),IF(AND(_xlfn.SINGLE(RegimeExecucao)="Global",$I303&gt;0,COUNTIF($AB$13:$AM$13,BM.medicao-1)&gt;0),M303/$I303*100,0)))</f>
        <v>0</v>
      </c>
      <c r="K303" s="122">
        <f t="shared" ca="1" si="31"/>
        <v>0</v>
      </c>
      <c r="L303" s="334" cm="1">
        <f t="array" aca="1" ref="L303" ca="1">_xlfn.SINGLE(IF($A303="S",IF(CAIXA.Modo,BM.AFAcumulado,BM.MEDAcumulado),IF(AND(_xlfn.SINGLE(RegimeExecucao)="Global",$I303&gt;0,COUNTIF($AB$13:$AM$13,BM.medicao)&gt;0),O303/$I303*100,0)))</f>
        <v>0</v>
      </c>
      <c r="M303" s="335">
        <f ca="1">IF($A303="S",VTOTALBM,IF($A303=0,0,ROUND(SomaAgrupBM,15-13*ORÇAMENTO!$AF$11)))</f>
        <v>0</v>
      </c>
      <c r="N303" s="336">
        <f t="shared" ca="1" si="32"/>
        <v>0</v>
      </c>
      <c r="O303" s="125">
        <f ca="1">IF($A303="S",VTOTALBM,IF($A303=0,0,ROUND(SomaAgrupBM,15-13*ORÇAMENTO!$AF$11)))</f>
        <v>0</v>
      </c>
      <c r="Q303" s="337"/>
      <c r="R303" s="338"/>
      <c r="T303" s="117" t="str">
        <f t="shared" ca="1" si="33"/>
        <v/>
      </c>
      <c r="U303" s="163" t="str">
        <f t="shared" ca="1" si="34"/>
        <v/>
      </c>
      <c r="V303" s="164" t="str">
        <f ca="1">IF(AND($W303&gt;0,RegimeExecucao="Unitário"),$F303,"")</f>
        <v/>
      </c>
      <c r="W303" s="454">
        <f ca="1">IF($Y303&gt;0,CHOOSE(MATCH(RegimeExecucao,{"Unitário","Global"},0),IF($A303="S",$Y303/$X303,""),($Y303/$X303)*100),0)</f>
        <v>0</v>
      </c>
      <c r="X303" s="339" t="str">
        <f ca="1">IF($Y303&gt;0,CHOOSE(MATCH(RegimeExecucao,{"Unitário","Global"},0),IF($A303="S",ROUND($H303,ORÇAMENTO!$AF$10),""),ROUND($I303,ORÇAMENTO!$AF$11)),"")</f>
        <v/>
      </c>
      <c r="Y303" s="339">
        <f t="shared" ca="1" si="35"/>
        <v>0</v>
      </c>
      <c r="Z303" s="473"/>
      <c r="AB303" s="337"/>
      <c r="AC303" s="437"/>
      <c r="AD303" s="437"/>
      <c r="AE303" s="437"/>
      <c r="AF303" s="437"/>
      <c r="AG303" s="437"/>
      <c r="AH303" s="437"/>
      <c r="AI303" s="437"/>
      <c r="AJ303" s="437"/>
      <c r="AK303" s="437"/>
      <c r="AL303" s="437"/>
      <c r="AM303" s="338"/>
      <c r="AO303">
        <f ca="1">IF($A303="S",IF(BM!$I303=0,0,CHOOSE(MATCH(RegimeExecucao,{"Global","Unitário"},0),ROUND(ROUND(BM.MEDAcumulado,15-13*BM!$A$9)/100*BM!$I303,15-13*ORÇAMENTO!$AF$11),ROUND(ROUND(BM.MEDAcumulado,15-13*BM!$A$9)*ROUND(BM!$H303,15-13*ORÇAMENTO!$AF$10),15-13*ORÇAMENTO!$AF$11))),IF($A303=0,0,ROUND(SomaAgrupBM,15-13*ORÇAMENTO!$AF$11)))</f>
        <v>0</v>
      </c>
    </row>
    <row r="304" spans="1:41" x14ac:dyDescent="0.2">
      <c r="A304" t="str">
        <f ca="1">ORÇAMENTO!C304</f>
        <v>S</v>
      </c>
      <c r="B304">
        <f ca="1">ORÇAMENTO!D304</f>
        <v>0</v>
      </c>
      <c r="C304" s="114" t="str">
        <f t="shared" ca="1" si="29"/>
        <v>F</v>
      </c>
      <c r="D304" s="117" t="str">
        <f ca="1">ORÇAMENTO!O304</f>
        <v>1.7.4.1.1.</v>
      </c>
      <c r="E304" s="163" t="str">
        <f t="shared" ca="1" si="30"/>
        <v>CURVA 90 BOLSAS FoFo - DN 150 MM</v>
      </c>
      <c r="F304" s="164" t="str">
        <f ca="1">IF(RegimeExecucao="Global","",ORÇAMENTO.Unidade)</f>
        <v>UN</v>
      </c>
      <c r="G304" s="122">
        <f ca="1">IF(RegimeExecucao="Global","",ORÇAMENTO!T304)</f>
        <v>7</v>
      </c>
      <c r="H304" s="122">
        <f ca="1">IF(RegimeExecucao="Global","",ORÇAMENTO!W304)</f>
        <v>600.25</v>
      </c>
      <c r="I304" s="125">
        <f ca="1">ORÇAMENTO!X304</f>
        <v>4201.75</v>
      </c>
      <c r="J304" s="333" cm="1">
        <f t="array" aca="1" ref="J304" ca="1">_xlfn.SINGLE(IF($A304="S",IF(CAIXA.Modo,BM.AFAnterior,BM.MEDAnterior),IF(AND(_xlfn.SINGLE(RegimeExecucao)="Global",$I304&gt;0,COUNTIF($AB$13:$AM$13,BM.medicao-1)&gt;0),M304/$I304*100,0)))</f>
        <v>0</v>
      </c>
      <c r="K304" s="122">
        <f t="shared" ca="1" si="31"/>
        <v>0</v>
      </c>
      <c r="L304" s="334" cm="1">
        <f t="array" aca="1" ref="L304" ca="1">_xlfn.SINGLE(IF($A304="S",IF(CAIXA.Modo,BM.AFAcumulado,BM.MEDAcumulado),IF(AND(_xlfn.SINGLE(RegimeExecucao)="Global",$I304&gt;0,COUNTIF($AB$13:$AM$13,BM.medicao)&gt;0),O304/$I304*100,0)))</f>
        <v>0</v>
      </c>
      <c r="M304" s="335">
        <f ca="1">IF($A304="S",VTOTALBM,IF($A304=0,0,ROUND(SomaAgrupBM,15-13*ORÇAMENTO!$AF$11)))</f>
        <v>0</v>
      </c>
      <c r="N304" s="336">
        <f t="shared" ca="1" si="32"/>
        <v>0</v>
      </c>
      <c r="O304" s="125">
        <f ca="1">IF($A304="S",VTOTALBM,IF($A304=0,0,ROUND(SomaAgrupBM,15-13*ORÇAMENTO!$AF$11)))</f>
        <v>0</v>
      </c>
      <c r="Q304" s="337"/>
      <c r="R304" s="338"/>
      <c r="T304" s="117" t="str">
        <f t="shared" ca="1" si="33"/>
        <v/>
      </c>
      <c r="U304" s="163" t="str">
        <f t="shared" ca="1" si="34"/>
        <v/>
      </c>
      <c r="V304" s="164" t="str">
        <f ca="1">IF(AND($W304&gt;0,RegimeExecucao="Unitário"),$F304,"")</f>
        <v/>
      </c>
      <c r="W304" s="454">
        <f ca="1">IF($Y304&gt;0,CHOOSE(MATCH(RegimeExecucao,{"Unitário","Global"},0),IF($A304="S",$Y304/$X304,""),($Y304/$X304)*100),0)</f>
        <v>0</v>
      </c>
      <c r="X304" s="339" t="str">
        <f ca="1">IF($Y304&gt;0,CHOOSE(MATCH(RegimeExecucao,{"Unitário","Global"},0),IF($A304="S",ROUND($H304,ORÇAMENTO!$AF$10),""),ROUND($I304,ORÇAMENTO!$AF$11)),"")</f>
        <v/>
      </c>
      <c r="Y304" s="339">
        <f t="shared" ca="1" si="35"/>
        <v>0</v>
      </c>
      <c r="Z304" s="473"/>
      <c r="AB304" s="337"/>
      <c r="AC304" s="437"/>
      <c r="AD304" s="437"/>
      <c r="AE304" s="437"/>
      <c r="AF304" s="437"/>
      <c r="AG304" s="437"/>
      <c r="AH304" s="437"/>
      <c r="AI304" s="437"/>
      <c r="AJ304" s="437"/>
      <c r="AK304" s="437"/>
      <c r="AL304" s="437"/>
      <c r="AM304" s="338"/>
      <c r="AO304">
        <f ca="1">IF($A304="S",IF(BM!$I304=0,0,CHOOSE(MATCH(RegimeExecucao,{"Global","Unitário"},0),ROUND(ROUND(BM.MEDAcumulado,15-13*BM!$A$9)/100*BM!$I304,15-13*ORÇAMENTO!$AF$11),ROUND(ROUND(BM.MEDAcumulado,15-13*BM!$A$9)*ROUND(BM!$H304,15-13*ORÇAMENTO!$AF$10),15-13*ORÇAMENTO!$AF$11))),IF($A304=0,0,ROUND(SomaAgrupBM,15-13*ORÇAMENTO!$AF$11)))</f>
        <v>0</v>
      </c>
    </row>
    <row r="305" spans="1:41" x14ac:dyDescent="0.2">
      <c r="A305" t="str">
        <f ca="1">ORÇAMENTO!C305</f>
        <v>S</v>
      </c>
      <c r="B305">
        <f ca="1">ORÇAMENTO!D305</f>
        <v>0</v>
      </c>
      <c r="C305" s="114" t="str">
        <f t="shared" ca="1" si="29"/>
        <v>F</v>
      </c>
      <c r="D305" s="117" t="str">
        <f ca="1">ORÇAMENTO!O305</f>
        <v>1.7.4.1.2.</v>
      </c>
      <c r="E305" s="163" t="str">
        <f t="shared" ca="1" si="30"/>
        <v>TUBO PONTA/FLANGE FoFo L = 0,90 M - DN 150 MM</v>
      </c>
      <c r="F305" s="164" t="str">
        <f ca="1">IF(RegimeExecucao="Global","",ORÇAMENTO.Unidade)</f>
        <v>UN</v>
      </c>
      <c r="G305" s="122">
        <f ca="1">IF(RegimeExecucao="Global","",ORÇAMENTO!T305)</f>
        <v>6</v>
      </c>
      <c r="H305" s="122">
        <f ca="1">IF(RegimeExecucao="Global","",ORÇAMENTO!W305)</f>
        <v>1348.42</v>
      </c>
      <c r="I305" s="125">
        <f ca="1">ORÇAMENTO!X305</f>
        <v>8090.52</v>
      </c>
      <c r="J305" s="333" cm="1">
        <f t="array" aca="1" ref="J305" ca="1">_xlfn.SINGLE(IF($A305="S",IF(CAIXA.Modo,BM.AFAnterior,BM.MEDAnterior),IF(AND(_xlfn.SINGLE(RegimeExecucao)="Global",$I305&gt;0,COUNTIF($AB$13:$AM$13,BM.medicao-1)&gt;0),M305/$I305*100,0)))</f>
        <v>0</v>
      </c>
      <c r="K305" s="122">
        <f t="shared" ca="1" si="31"/>
        <v>0</v>
      </c>
      <c r="L305" s="334" cm="1">
        <f t="array" aca="1" ref="L305" ca="1">_xlfn.SINGLE(IF($A305="S",IF(CAIXA.Modo,BM.AFAcumulado,BM.MEDAcumulado),IF(AND(_xlfn.SINGLE(RegimeExecucao)="Global",$I305&gt;0,COUNTIF($AB$13:$AM$13,BM.medicao)&gt;0),O305/$I305*100,0)))</f>
        <v>0</v>
      </c>
      <c r="M305" s="335">
        <f ca="1">IF($A305="S",VTOTALBM,IF($A305=0,0,ROUND(SomaAgrupBM,15-13*ORÇAMENTO!$AF$11)))</f>
        <v>0</v>
      </c>
      <c r="N305" s="336">
        <f t="shared" ca="1" si="32"/>
        <v>0</v>
      </c>
      <c r="O305" s="125">
        <f ca="1">IF($A305="S",VTOTALBM,IF($A305=0,0,ROUND(SomaAgrupBM,15-13*ORÇAMENTO!$AF$11)))</f>
        <v>0</v>
      </c>
      <c r="Q305" s="337"/>
      <c r="R305" s="338"/>
      <c r="T305" s="117" t="str">
        <f t="shared" ca="1" si="33"/>
        <v/>
      </c>
      <c r="U305" s="163" t="str">
        <f t="shared" ca="1" si="34"/>
        <v/>
      </c>
      <c r="V305" s="164" t="str">
        <f ca="1">IF(AND($W305&gt;0,RegimeExecucao="Unitário"),$F305,"")</f>
        <v/>
      </c>
      <c r="W305" s="454">
        <f ca="1">IF($Y305&gt;0,CHOOSE(MATCH(RegimeExecucao,{"Unitário","Global"},0),IF($A305="S",$Y305/$X305,""),($Y305/$X305)*100),0)</f>
        <v>0</v>
      </c>
      <c r="X305" s="339" t="str">
        <f ca="1">IF($Y305&gt;0,CHOOSE(MATCH(RegimeExecucao,{"Unitário","Global"},0),IF($A305="S",ROUND($H305,ORÇAMENTO!$AF$10),""),ROUND($I305,ORÇAMENTO!$AF$11)),"")</f>
        <v/>
      </c>
      <c r="Y305" s="339">
        <f t="shared" ca="1" si="35"/>
        <v>0</v>
      </c>
      <c r="Z305" s="473"/>
      <c r="AB305" s="337"/>
      <c r="AC305" s="437"/>
      <c r="AD305" s="437"/>
      <c r="AE305" s="437"/>
      <c r="AF305" s="437"/>
      <c r="AG305" s="437"/>
      <c r="AH305" s="437"/>
      <c r="AI305" s="437"/>
      <c r="AJ305" s="437"/>
      <c r="AK305" s="437"/>
      <c r="AL305" s="437"/>
      <c r="AM305" s="338"/>
      <c r="AO305">
        <f ca="1">IF($A305="S",IF(BM!$I305=0,0,CHOOSE(MATCH(RegimeExecucao,{"Global","Unitário"},0),ROUND(ROUND(BM.MEDAcumulado,15-13*BM!$A$9)/100*BM!$I305,15-13*ORÇAMENTO!$AF$11),ROUND(ROUND(BM.MEDAcumulado,15-13*BM!$A$9)*ROUND(BM!$H305,15-13*ORÇAMENTO!$AF$10),15-13*ORÇAMENTO!$AF$11))),IF($A305=0,0,ROUND(SomaAgrupBM,15-13*ORÇAMENTO!$AF$11)))</f>
        <v>0</v>
      </c>
    </row>
    <row r="306" spans="1:41" x14ac:dyDescent="0.2">
      <c r="A306" t="str">
        <f ca="1">ORÇAMENTO!C306</f>
        <v>S</v>
      </c>
      <c r="B306">
        <f ca="1">ORÇAMENTO!D306</f>
        <v>0</v>
      </c>
      <c r="C306" s="114" t="str">
        <f t="shared" ca="1" si="29"/>
        <v>F</v>
      </c>
      <c r="D306" s="117" t="str">
        <f ca="1">ORÇAMENTO!O306</f>
        <v>1.7.4.1.3.</v>
      </c>
      <c r="E306" s="163" t="str">
        <f t="shared" ca="1" si="30"/>
        <v>CURVA 90 FLANGEADA FoFo - DN 150 MM - FORNECIMENTO</v>
      </c>
      <c r="F306" s="164" t="str">
        <f ca="1">IF(RegimeExecucao="Global","",ORÇAMENTO.Unidade)</f>
        <v>UN</v>
      </c>
      <c r="G306" s="122">
        <f ca="1">IF(RegimeExecucao="Global","",ORÇAMENTO!T306)</f>
        <v>12</v>
      </c>
      <c r="H306" s="122">
        <f ca="1">IF(RegimeExecucao="Global","",ORÇAMENTO!W306)</f>
        <v>746.32</v>
      </c>
      <c r="I306" s="125">
        <f ca="1">ORÇAMENTO!X306</f>
        <v>8955.84</v>
      </c>
      <c r="J306" s="333" cm="1">
        <f t="array" aca="1" ref="J306" ca="1">_xlfn.SINGLE(IF($A306="S",IF(CAIXA.Modo,BM.AFAnterior,BM.MEDAnterior),IF(AND(_xlfn.SINGLE(RegimeExecucao)="Global",$I306&gt;0,COUNTIF($AB$13:$AM$13,BM.medicao-1)&gt;0),M306/$I306*100,0)))</f>
        <v>0</v>
      </c>
      <c r="K306" s="122">
        <f t="shared" ca="1" si="31"/>
        <v>0</v>
      </c>
      <c r="L306" s="334" cm="1">
        <f t="array" aca="1" ref="L306" ca="1">_xlfn.SINGLE(IF($A306="S",IF(CAIXA.Modo,BM.AFAcumulado,BM.MEDAcumulado),IF(AND(_xlfn.SINGLE(RegimeExecucao)="Global",$I306&gt;0,COUNTIF($AB$13:$AM$13,BM.medicao)&gt;0),O306/$I306*100,0)))</f>
        <v>0</v>
      </c>
      <c r="M306" s="335">
        <f ca="1">IF($A306="S",VTOTALBM,IF($A306=0,0,ROUND(SomaAgrupBM,15-13*ORÇAMENTO!$AF$11)))</f>
        <v>0</v>
      </c>
      <c r="N306" s="336">
        <f t="shared" ca="1" si="32"/>
        <v>0</v>
      </c>
      <c r="O306" s="125">
        <f ca="1">IF($A306="S",VTOTALBM,IF($A306=0,0,ROUND(SomaAgrupBM,15-13*ORÇAMENTO!$AF$11)))</f>
        <v>0</v>
      </c>
      <c r="Q306" s="337"/>
      <c r="R306" s="338"/>
      <c r="T306" s="117" t="str">
        <f t="shared" ca="1" si="33"/>
        <v/>
      </c>
      <c r="U306" s="163" t="str">
        <f t="shared" ca="1" si="34"/>
        <v/>
      </c>
      <c r="V306" s="164" t="str">
        <f ca="1">IF(AND($W306&gt;0,RegimeExecucao="Unitário"),$F306,"")</f>
        <v/>
      </c>
      <c r="W306" s="454">
        <f ca="1">IF($Y306&gt;0,CHOOSE(MATCH(RegimeExecucao,{"Unitário","Global"},0),IF($A306="S",$Y306/$X306,""),($Y306/$X306)*100),0)</f>
        <v>0</v>
      </c>
      <c r="X306" s="339" t="str">
        <f ca="1">IF($Y306&gt;0,CHOOSE(MATCH(RegimeExecucao,{"Unitário","Global"},0),IF($A306="S",ROUND($H306,ORÇAMENTO!$AF$10),""),ROUND($I306,ORÇAMENTO!$AF$11)),"")</f>
        <v/>
      </c>
      <c r="Y306" s="339">
        <f t="shared" ca="1" si="35"/>
        <v>0</v>
      </c>
      <c r="Z306" s="473"/>
      <c r="AB306" s="337"/>
      <c r="AC306" s="437"/>
      <c r="AD306" s="437"/>
      <c r="AE306" s="437"/>
      <c r="AF306" s="437"/>
      <c r="AG306" s="437"/>
      <c r="AH306" s="437"/>
      <c r="AI306" s="437"/>
      <c r="AJ306" s="437"/>
      <c r="AK306" s="437"/>
      <c r="AL306" s="437"/>
      <c r="AM306" s="338"/>
      <c r="AO306">
        <f ca="1">IF($A306="S",IF(BM!$I306=0,0,CHOOSE(MATCH(RegimeExecucao,{"Global","Unitário"},0),ROUND(ROUND(BM.MEDAcumulado,15-13*BM!$A$9)/100*BM!$I306,15-13*ORÇAMENTO!$AF$11),ROUND(ROUND(BM.MEDAcumulado,15-13*BM!$A$9)*ROUND(BM!$H306,15-13*ORÇAMENTO!$AF$10),15-13*ORÇAMENTO!$AF$11))),IF($A306=0,0,ROUND(SomaAgrupBM,15-13*ORÇAMENTO!$AF$11)))</f>
        <v>0</v>
      </c>
    </row>
    <row r="307" spans="1:41" x14ac:dyDescent="0.2">
      <c r="A307" t="str">
        <f ca="1">ORÇAMENTO!C307</f>
        <v>S</v>
      </c>
      <c r="B307">
        <f ca="1">ORÇAMENTO!D307</f>
        <v>0</v>
      </c>
      <c r="C307" s="114" t="str">
        <f t="shared" ca="1" si="29"/>
        <v>F</v>
      </c>
      <c r="D307" s="117" t="str">
        <f ca="1">ORÇAMENTO!O307</f>
        <v>1.7.4.1.4.</v>
      </c>
      <c r="E307" s="163" t="str">
        <f t="shared" ca="1" si="30"/>
        <v>REGISTRO GAVETA FLANGE E CABEÇOTE PN10 DN150MM</v>
      </c>
      <c r="F307" s="164" t="str">
        <f ca="1">IF(RegimeExecucao="Global","",ORÇAMENTO.Unidade)</f>
        <v>UN</v>
      </c>
      <c r="G307" s="122">
        <f ca="1">IF(RegimeExecucao="Global","",ORÇAMENTO!T307)</f>
        <v>6</v>
      </c>
      <c r="H307" s="122">
        <f ca="1">IF(RegimeExecucao="Global","",ORÇAMENTO!W307)</f>
        <v>1916.8</v>
      </c>
      <c r="I307" s="125">
        <f ca="1">ORÇAMENTO!X307</f>
        <v>11500.8</v>
      </c>
      <c r="J307" s="333" cm="1">
        <f t="array" aca="1" ref="J307" ca="1">_xlfn.SINGLE(IF($A307="S",IF(CAIXA.Modo,BM.AFAnterior,BM.MEDAnterior),IF(AND(_xlfn.SINGLE(RegimeExecucao)="Global",$I307&gt;0,COUNTIF($AB$13:$AM$13,BM.medicao-1)&gt;0),M307/$I307*100,0)))</f>
        <v>0</v>
      </c>
      <c r="K307" s="122">
        <f t="shared" ca="1" si="31"/>
        <v>0</v>
      </c>
      <c r="L307" s="334" cm="1">
        <f t="array" aca="1" ref="L307" ca="1">_xlfn.SINGLE(IF($A307="S",IF(CAIXA.Modo,BM.AFAcumulado,BM.MEDAcumulado),IF(AND(_xlfn.SINGLE(RegimeExecucao)="Global",$I307&gt;0,COUNTIF($AB$13:$AM$13,BM.medicao)&gt;0),O307/$I307*100,0)))</f>
        <v>0</v>
      </c>
      <c r="M307" s="335">
        <f ca="1">IF($A307="S",VTOTALBM,IF($A307=0,0,ROUND(SomaAgrupBM,15-13*ORÇAMENTO!$AF$11)))</f>
        <v>0</v>
      </c>
      <c r="N307" s="336">
        <f t="shared" ca="1" si="32"/>
        <v>0</v>
      </c>
      <c r="O307" s="125">
        <f ca="1">IF($A307="S",VTOTALBM,IF($A307=0,0,ROUND(SomaAgrupBM,15-13*ORÇAMENTO!$AF$11)))</f>
        <v>0</v>
      </c>
      <c r="Q307" s="337"/>
      <c r="R307" s="338"/>
      <c r="T307" s="117" t="str">
        <f t="shared" ca="1" si="33"/>
        <v/>
      </c>
      <c r="U307" s="163" t="str">
        <f t="shared" ca="1" si="34"/>
        <v/>
      </c>
      <c r="V307" s="164" t="str">
        <f ca="1">IF(AND($W307&gt;0,RegimeExecucao="Unitário"),$F307,"")</f>
        <v/>
      </c>
      <c r="W307" s="454">
        <f ca="1">IF($Y307&gt;0,CHOOSE(MATCH(RegimeExecucao,{"Unitário","Global"},0),IF($A307="S",$Y307/$X307,""),($Y307/$X307)*100),0)</f>
        <v>0</v>
      </c>
      <c r="X307" s="339" t="str">
        <f ca="1">IF($Y307&gt;0,CHOOSE(MATCH(RegimeExecucao,{"Unitário","Global"},0),IF($A307="S",ROUND($H307,ORÇAMENTO!$AF$10),""),ROUND($I307,ORÇAMENTO!$AF$11)),"")</f>
        <v/>
      </c>
      <c r="Y307" s="339">
        <f t="shared" ca="1" si="35"/>
        <v>0</v>
      </c>
      <c r="Z307" s="473"/>
      <c r="AB307" s="337"/>
      <c r="AC307" s="437"/>
      <c r="AD307" s="437"/>
      <c r="AE307" s="437"/>
      <c r="AF307" s="437"/>
      <c r="AG307" s="437"/>
      <c r="AH307" s="437"/>
      <c r="AI307" s="437"/>
      <c r="AJ307" s="437"/>
      <c r="AK307" s="437"/>
      <c r="AL307" s="437"/>
      <c r="AM307" s="338"/>
      <c r="AO307">
        <f ca="1">IF($A307="S",IF(BM!$I307=0,0,CHOOSE(MATCH(RegimeExecucao,{"Global","Unitário"},0),ROUND(ROUND(BM.MEDAcumulado,15-13*BM!$A$9)/100*BM!$I307,15-13*ORÇAMENTO!$AF$11),ROUND(ROUND(BM.MEDAcumulado,15-13*BM!$A$9)*ROUND(BM!$H307,15-13*ORÇAMENTO!$AF$10),15-13*ORÇAMENTO!$AF$11))),IF($A307=0,0,ROUND(SomaAgrupBM,15-13*ORÇAMENTO!$AF$11)))</f>
        <v>0</v>
      </c>
    </row>
    <row r="308" spans="1:41" x14ac:dyDescent="0.2">
      <c r="A308" t="str">
        <f ca="1">ORÇAMENTO!C308</f>
        <v>S</v>
      </c>
      <c r="B308">
        <f ca="1">ORÇAMENTO!D308</f>
        <v>0</v>
      </c>
      <c r="C308" s="114" t="str">
        <f t="shared" ca="1" si="29"/>
        <v>F</v>
      </c>
      <c r="D308" s="117" t="str">
        <f ca="1">ORÇAMENTO!O308</f>
        <v>1.7.4.1.5.</v>
      </c>
      <c r="E308" s="163" t="str">
        <f t="shared" ca="1" si="30"/>
        <v>TOCO FoFo L = 0,50 M - DN 150 MM</v>
      </c>
      <c r="F308" s="164" t="str">
        <f ca="1">IF(RegimeExecucao="Global","",ORÇAMENTO.Unidade)</f>
        <v>UN</v>
      </c>
      <c r="G308" s="122">
        <f ca="1">IF(RegimeExecucao="Global","",ORÇAMENTO!T308)</f>
        <v>6</v>
      </c>
      <c r="H308" s="122">
        <f ca="1">IF(RegimeExecucao="Global","",ORÇAMENTO!W308)</f>
        <v>1021.24</v>
      </c>
      <c r="I308" s="125">
        <f ca="1">ORÇAMENTO!X308</f>
        <v>6127.44</v>
      </c>
      <c r="J308" s="333" cm="1">
        <f t="array" aca="1" ref="J308" ca="1">_xlfn.SINGLE(IF($A308="S",IF(CAIXA.Modo,BM.AFAnterior,BM.MEDAnterior),IF(AND(_xlfn.SINGLE(RegimeExecucao)="Global",$I308&gt;0,COUNTIF($AB$13:$AM$13,BM.medicao-1)&gt;0),M308/$I308*100,0)))</f>
        <v>0</v>
      </c>
      <c r="K308" s="122">
        <f t="shared" ca="1" si="31"/>
        <v>0</v>
      </c>
      <c r="L308" s="334" cm="1">
        <f t="array" aca="1" ref="L308" ca="1">_xlfn.SINGLE(IF($A308="S",IF(CAIXA.Modo,BM.AFAcumulado,BM.MEDAcumulado),IF(AND(_xlfn.SINGLE(RegimeExecucao)="Global",$I308&gt;0,COUNTIF($AB$13:$AM$13,BM.medicao)&gt;0),O308/$I308*100,0)))</f>
        <v>0</v>
      </c>
      <c r="M308" s="335">
        <f ca="1">IF($A308="S",VTOTALBM,IF($A308=0,0,ROUND(SomaAgrupBM,15-13*ORÇAMENTO!$AF$11)))</f>
        <v>0</v>
      </c>
      <c r="N308" s="336">
        <f t="shared" ca="1" si="32"/>
        <v>0</v>
      </c>
      <c r="O308" s="125">
        <f ca="1">IF($A308="S",VTOTALBM,IF($A308=0,0,ROUND(SomaAgrupBM,15-13*ORÇAMENTO!$AF$11)))</f>
        <v>0</v>
      </c>
      <c r="Q308" s="337"/>
      <c r="R308" s="338"/>
      <c r="T308" s="117" t="str">
        <f t="shared" ca="1" si="33"/>
        <v/>
      </c>
      <c r="U308" s="163" t="str">
        <f t="shared" ca="1" si="34"/>
        <v/>
      </c>
      <c r="V308" s="164" t="str">
        <f ca="1">IF(AND($W308&gt;0,RegimeExecucao="Unitário"),$F308,"")</f>
        <v/>
      </c>
      <c r="W308" s="454">
        <f ca="1">IF($Y308&gt;0,CHOOSE(MATCH(RegimeExecucao,{"Unitário","Global"},0),IF($A308="S",$Y308/$X308,""),($Y308/$X308)*100),0)</f>
        <v>0</v>
      </c>
      <c r="X308" s="339" t="str">
        <f ca="1">IF($Y308&gt;0,CHOOSE(MATCH(RegimeExecucao,{"Unitário","Global"},0),IF($A308="S",ROUND($H308,ORÇAMENTO!$AF$10),""),ROUND($I308,ORÇAMENTO!$AF$11)),"")</f>
        <v/>
      </c>
      <c r="Y308" s="339">
        <f t="shared" ca="1" si="35"/>
        <v>0</v>
      </c>
      <c r="Z308" s="473"/>
      <c r="AB308" s="337"/>
      <c r="AC308" s="437"/>
      <c r="AD308" s="437"/>
      <c r="AE308" s="437"/>
      <c r="AF308" s="437"/>
      <c r="AG308" s="437"/>
      <c r="AH308" s="437"/>
      <c r="AI308" s="437"/>
      <c r="AJ308" s="437"/>
      <c r="AK308" s="437"/>
      <c r="AL308" s="437"/>
      <c r="AM308" s="338"/>
      <c r="AO308">
        <f ca="1">IF($A308="S",IF(BM!$I308=0,0,CHOOSE(MATCH(RegimeExecucao,{"Global","Unitário"},0),ROUND(ROUND(BM.MEDAcumulado,15-13*BM!$A$9)/100*BM!$I308,15-13*ORÇAMENTO!$AF$11),ROUND(ROUND(BM.MEDAcumulado,15-13*BM!$A$9)*ROUND(BM!$H308,15-13*ORÇAMENTO!$AF$10),15-13*ORÇAMENTO!$AF$11))),IF($A308=0,0,ROUND(SomaAgrupBM,15-13*ORÇAMENTO!$AF$11)))</f>
        <v>0</v>
      </c>
    </row>
    <row r="309" spans="1:41" x14ac:dyDescent="0.2">
      <c r="A309" t="str">
        <f ca="1">ORÇAMENTO!C309</f>
        <v>S</v>
      </c>
      <c r="B309">
        <f ca="1">ORÇAMENTO!D309</f>
        <v>0</v>
      </c>
      <c r="C309" s="114" t="str">
        <f t="shared" ca="1" si="29"/>
        <v>F</v>
      </c>
      <c r="D309" s="117" t="str">
        <f ca="1">ORÇAMENTO!O309</f>
        <v>1.7.4.1.6.</v>
      </c>
      <c r="E309" s="163" t="str">
        <f t="shared" ca="1" si="30"/>
        <v>TÊ COM BOLSAS FoFo - DN 150 MM</v>
      </c>
      <c r="F309" s="164" t="str">
        <f ca="1">IF(RegimeExecucao="Global","",ORÇAMENTO.Unidade)</f>
        <v>UN</v>
      </c>
      <c r="G309" s="122">
        <f ca="1">IF(RegimeExecucao="Global","",ORÇAMENTO!T309)</f>
        <v>6</v>
      </c>
      <c r="H309" s="122">
        <f ca="1">IF(RegimeExecucao="Global","",ORÇAMENTO!W309)</f>
        <v>718.25</v>
      </c>
      <c r="I309" s="125">
        <f ca="1">ORÇAMENTO!X309</f>
        <v>4309.5</v>
      </c>
      <c r="J309" s="333" cm="1">
        <f t="array" aca="1" ref="J309" ca="1">_xlfn.SINGLE(IF($A309="S",IF(CAIXA.Modo,BM.AFAnterior,BM.MEDAnterior),IF(AND(_xlfn.SINGLE(RegimeExecucao)="Global",$I309&gt;0,COUNTIF($AB$13:$AM$13,BM.medicao-1)&gt;0),M309/$I309*100,0)))</f>
        <v>0</v>
      </c>
      <c r="K309" s="122">
        <f t="shared" ca="1" si="31"/>
        <v>0</v>
      </c>
      <c r="L309" s="334" cm="1">
        <f t="array" aca="1" ref="L309" ca="1">_xlfn.SINGLE(IF($A309="S",IF(CAIXA.Modo,BM.AFAcumulado,BM.MEDAcumulado),IF(AND(_xlfn.SINGLE(RegimeExecucao)="Global",$I309&gt;0,COUNTIF($AB$13:$AM$13,BM.medicao)&gt;0),O309/$I309*100,0)))</f>
        <v>0</v>
      </c>
      <c r="M309" s="335">
        <f ca="1">IF($A309="S",VTOTALBM,IF($A309=0,0,ROUND(SomaAgrupBM,15-13*ORÇAMENTO!$AF$11)))</f>
        <v>0</v>
      </c>
      <c r="N309" s="336">
        <f t="shared" ca="1" si="32"/>
        <v>0</v>
      </c>
      <c r="O309" s="125">
        <f ca="1">IF($A309="S",VTOTALBM,IF($A309=0,0,ROUND(SomaAgrupBM,15-13*ORÇAMENTO!$AF$11)))</f>
        <v>0</v>
      </c>
      <c r="Q309" s="337"/>
      <c r="R309" s="338"/>
      <c r="T309" s="117" t="str">
        <f t="shared" ca="1" si="33"/>
        <v/>
      </c>
      <c r="U309" s="163" t="str">
        <f t="shared" ca="1" si="34"/>
        <v/>
      </c>
      <c r="V309" s="164" t="str">
        <f ca="1">IF(AND($W309&gt;0,RegimeExecucao="Unitário"),$F309,"")</f>
        <v/>
      </c>
      <c r="W309" s="454">
        <f ca="1">IF($Y309&gt;0,CHOOSE(MATCH(RegimeExecucao,{"Unitário","Global"},0),IF($A309="S",$Y309/$X309,""),($Y309/$X309)*100),0)</f>
        <v>0</v>
      </c>
      <c r="X309" s="339" t="str">
        <f ca="1">IF($Y309&gt;0,CHOOSE(MATCH(RegimeExecucao,{"Unitário","Global"},0),IF($A309="S",ROUND($H309,ORÇAMENTO!$AF$10),""),ROUND($I309,ORÇAMENTO!$AF$11)),"")</f>
        <v/>
      </c>
      <c r="Y309" s="339">
        <f t="shared" ca="1" si="35"/>
        <v>0</v>
      </c>
      <c r="Z309" s="473"/>
      <c r="AB309" s="337"/>
      <c r="AC309" s="437"/>
      <c r="AD309" s="437"/>
      <c r="AE309" s="437"/>
      <c r="AF309" s="437"/>
      <c r="AG309" s="437"/>
      <c r="AH309" s="437"/>
      <c r="AI309" s="437"/>
      <c r="AJ309" s="437"/>
      <c r="AK309" s="437"/>
      <c r="AL309" s="437"/>
      <c r="AM309" s="338"/>
      <c r="AO309">
        <f ca="1">IF($A309="S",IF(BM!$I309=0,0,CHOOSE(MATCH(RegimeExecucao,{"Global","Unitário"},0),ROUND(ROUND(BM.MEDAcumulado,15-13*BM!$A$9)/100*BM!$I309,15-13*ORÇAMENTO!$AF$11),ROUND(ROUND(BM.MEDAcumulado,15-13*BM!$A$9)*ROUND(BM!$H309,15-13*ORÇAMENTO!$AF$10),15-13*ORÇAMENTO!$AF$11))),IF($A309=0,0,ROUND(SomaAgrupBM,15-13*ORÇAMENTO!$AF$11)))</f>
        <v>0</v>
      </c>
    </row>
    <row r="310" spans="1:41" x14ac:dyDescent="0.2">
      <c r="A310" t="str">
        <f ca="1">ORÇAMENTO!C310</f>
        <v>S</v>
      </c>
      <c r="B310">
        <f ca="1">ORÇAMENTO!D310</f>
        <v>0</v>
      </c>
      <c r="C310" s="114" t="str">
        <f t="shared" ca="1" si="29"/>
        <v>F</v>
      </c>
      <c r="D310" s="117" t="str">
        <f ca="1">ORÇAMENTO!O310</f>
        <v>1.7.4.1.7.</v>
      </c>
      <c r="E310" s="163" t="str">
        <f t="shared" ca="1" si="30"/>
        <v>ARRUELA BORRACHA PARA FLANGE - DN 150 MM</v>
      </c>
      <c r="F310" s="164" t="str">
        <f ca="1">IF(RegimeExecucao="Global","",ORÇAMENTO.Unidade)</f>
        <v>UN</v>
      </c>
      <c r="G310" s="122">
        <f ca="1">IF(RegimeExecucao="Global","",ORÇAMENTO!T310)</f>
        <v>6</v>
      </c>
      <c r="H310" s="122">
        <f ca="1">IF(RegimeExecucao="Global","",ORÇAMENTO!W310)</f>
        <v>8.67</v>
      </c>
      <c r="I310" s="125">
        <f ca="1">ORÇAMENTO!X310</f>
        <v>52.02</v>
      </c>
      <c r="J310" s="333" cm="1">
        <f t="array" aca="1" ref="J310" ca="1">_xlfn.SINGLE(IF($A310="S",IF(CAIXA.Modo,BM.AFAnterior,BM.MEDAnterior),IF(AND(_xlfn.SINGLE(RegimeExecucao)="Global",$I310&gt;0,COUNTIF($AB$13:$AM$13,BM.medicao-1)&gt;0),M310/$I310*100,0)))</f>
        <v>0</v>
      </c>
      <c r="K310" s="122">
        <f t="shared" ca="1" si="31"/>
        <v>0</v>
      </c>
      <c r="L310" s="334" cm="1">
        <f t="array" aca="1" ref="L310" ca="1">_xlfn.SINGLE(IF($A310="S",IF(CAIXA.Modo,BM.AFAcumulado,BM.MEDAcumulado),IF(AND(_xlfn.SINGLE(RegimeExecucao)="Global",$I310&gt;0,COUNTIF($AB$13:$AM$13,BM.medicao)&gt;0),O310/$I310*100,0)))</f>
        <v>0</v>
      </c>
      <c r="M310" s="335">
        <f ca="1">IF($A310="S",VTOTALBM,IF($A310=0,0,ROUND(SomaAgrupBM,15-13*ORÇAMENTO!$AF$11)))</f>
        <v>0</v>
      </c>
      <c r="N310" s="336">
        <f t="shared" ca="1" si="32"/>
        <v>0</v>
      </c>
      <c r="O310" s="125">
        <f ca="1">IF($A310="S",VTOTALBM,IF($A310=0,0,ROUND(SomaAgrupBM,15-13*ORÇAMENTO!$AF$11)))</f>
        <v>0</v>
      </c>
      <c r="Q310" s="337"/>
      <c r="R310" s="338"/>
      <c r="T310" s="117" t="str">
        <f t="shared" ca="1" si="33"/>
        <v/>
      </c>
      <c r="U310" s="163" t="str">
        <f t="shared" ca="1" si="34"/>
        <v/>
      </c>
      <c r="V310" s="164" t="str">
        <f ca="1">IF(AND($W310&gt;0,RegimeExecucao="Unitário"),$F310,"")</f>
        <v/>
      </c>
      <c r="W310" s="454">
        <f ca="1">IF($Y310&gt;0,CHOOSE(MATCH(RegimeExecucao,{"Unitário","Global"},0),IF($A310="S",$Y310/$X310,""),($Y310/$X310)*100),0)</f>
        <v>0</v>
      </c>
      <c r="X310" s="339" t="str">
        <f ca="1">IF($Y310&gt;0,CHOOSE(MATCH(RegimeExecucao,{"Unitário","Global"},0),IF($A310="S",ROUND($H310,ORÇAMENTO!$AF$10),""),ROUND($I310,ORÇAMENTO!$AF$11)),"")</f>
        <v/>
      </c>
      <c r="Y310" s="339">
        <f t="shared" ca="1" si="35"/>
        <v>0</v>
      </c>
      <c r="Z310" s="473"/>
      <c r="AB310" s="337"/>
      <c r="AC310" s="437"/>
      <c r="AD310" s="437"/>
      <c r="AE310" s="437"/>
      <c r="AF310" s="437"/>
      <c r="AG310" s="437"/>
      <c r="AH310" s="437"/>
      <c r="AI310" s="437"/>
      <c r="AJ310" s="437"/>
      <c r="AK310" s="437"/>
      <c r="AL310" s="437"/>
      <c r="AM310" s="338"/>
      <c r="AO310">
        <f ca="1">IF($A310="S",IF(BM!$I310=0,0,CHOOSE(MATCH(RegimeExecucao,{"Global","Unitário"},0),ROUND(ROUND(BM.MEDAcumulado,15-13*BM!$A$9)/100*BM!$I310,15-13*ORÇAMENTO!$AF$11),ROUND(ROUND(BM.MEDAcumulado,15-13*BM!$A$9)*ROUND(BM!$H310,15-13*ORÇAMENTO!$AF$10),15-13*ORÇAMENTO!$AF$11))),IF($A310=0,0,ROUND(SomaAgrupBM,15-13*ORÇAMENTO!$AF$11)))</f>
        <v>0</v>
      </c>
    </row>
    <row r="311" spans="1:41" x14ac:dyDescent="0.2">
      <c r="A311" t="str">
        <f ca="1">ORÇAMENTO!C311</f>
        <v>S</v>
      </c>
      <c r="B311">
        <f ca="1">ORÇAMENTO!D311</f>
        <v>0</v>
      </c>
      <c r="C311" s="114" t="str">
        <f t="shared" ca="1" si="29"/>
        <v>F</v>
      </c>
      <c r="D311" s="117" t="str">
        <f ca="1">ORÇAMENTO!O311</f>
        <v>1.7.4.1.8.</v>
      </c>
      <c r="E311" s="163" t="str">
        <f t="shared" ca="1" si="30"/>
        <v>PARAFUSO PARA FLANGE - 20 X 90 MM</v>
      </c>
      <c r="F311" s="164" t="str">
        <f ca="1">IF(RegimeExecucao="Global","",ORÇAMENTO.Unidade)</f>
        <v>UN</v>
      </c>
      <c r="G311" s="122">
        <f ca="1">IF(RegimeExecucao="Global","",ORÇAMENTO!T311)</f>
        <v>48</v>
      </c>
      <c r="H311" s="122">
        <f ca="1">IF(RegimeExecucao="Global","",ORÇAMENTO!W311)</f>
        <v>32.93</v>
      </c>
      <c r="I311" s="125">
        <f ca="1">ORÇAMENTO!X311</f>
        <v>1580.64</v>
      </c>
      <c r="J311" s="333" cm="1">
        <f t="array" aca="1" ref="J311" ca="1">_xlfn.SINGLE(IF($A311="S",IF(CAIXA.Modo,BM.AFAnterior,BM.MEDAnterior),IF(AND(_xlfn.SINGLE(RegimeExecucao)="Global",$I311&gt;0,COUNTIF($AB$13:$AM$13,BM.medicao-1)&gt;0),M311/$I311*100,0)))</f>
        <v>0</v>
      </c>
      <c r="K311" s="122">
        <f t="shared" ca="1" si="31"/>
        <v>0</v>
      </c>
      <c r="L311" s="334" cm="1">
        <f t="array" aca="1" ref="L311" ca="1">_xlfn.SINGLE(IF($A311="S",IF(CAIXA.Modo,BM.AFAcumulado,BM.MEDAcumulado),IF(AND(_xlfn.SINGLE(RegimeExecucao)="Global",$I311&gt;0,COUNTIF($AB$13:$AM$13,BM.medicao)&gt;0),O311/$I311*100,0)))</f>
        <v>0</v>
      </c>
      <c r="M311" s="335">
        <f ca="1">IF($A311="S",VTOTALBM,IF($A311=0,0,ROUND(SomaAgrupBM,15-13*ORÇAMENTO!$AF$11)))</f>
        <v>0</v>
      </c>
      <c r="N311" s="336">
        <f t="shared" ca="1" si="32"/>
        <v>0</v>
      </c>
      <c r="O311" s="125">
        <f ca="1">IF($A311="S",VTOTALBM,IF($A311=0,0,ROUND(SomaAgrupBM,15-13*ORÇAMENTO!$AF$11)))</f>
        <v>0</v>
      </c>
      <c r="Q311" s="337"/>
      <c r="R311" s="338"/>
      <c r="T311" s="117" t="str">
        <f t="shared" ca="1" si="33"/>
        <v/>
      </c>
      <c r="U311" s="163" t="str">
        <f t="shared" ca="1" si="34"/>
        <v/>
      </c>
      <c r="V311" s="164" t="str">
        <f ca="1">IF(AND($W311&gt;0,RegimeExecucao="Unitário"),$F311,"")</f>
        <v/>
      </c>
      <c r="W311" s="454">
        <f ca="1">IF($Y311&gt;0,CHOOSE(MATCH(RegimeExecucao,{"Unitário","Global"},0),IF($A311="S",$Y311/$X311,""),($Y311/$X311)*100),0)</f>
        <v>0</v>
      </c>
      <c r="X311" s="339" t="str">
        <f ca="1">IF($Y311&gt;0,CHOOSE(MATCH(RegimeExecucao,{"Unitário","Global"},0),IF($A311="S",ROUND($H311,ORÇAMENTO!$AF$10),""),ROUND($I311,ORÇAMENTO!$AF$11)),"")</f>
        <v/>
      </c>
      <c r="Y311" s="339">
        <f t="shared" ca="1" si="35"/>
        <v>0</v>
      </c>
      <c r="Z311" s="473"/>
      <c r="AB311" s="337"/>
      <c r="AC311" s="437"/>
      <c r="AD311" s="437"/>
      <c r="AE311" s="437"/>
      <c r="AF311" s="437"/>
      <c r="AG311" s="437"/>
      <c r="AH311" s="437"/>
      <c r="AI311" s="437"/>
      <c r="AJ311" s="437"/>
      <c r="AK311" s="437"/>
      <c r="AL311" s="437"/>
      <c r="AM311" s="338"/>
      <c r="AO311">
        <f ca="1">IF($A311="S",IF(BM!$I311=0,0,CHOOSE(MATCH(RegimeExecucao,{"Global","Unitário"},0),ROUND(ROUND(BM.MEDAcumulado,15-13*BM!$A$9)/100*BM!$I311,15-13*ORÇAMENTO!$AF$11),ROUND(ROUND(BM.MEDAcumulado,15-13*BM!$A$9)*ROUND(BM!$H311,15-13*ORÇAMENTO!$AF$10),15-13*ORÇAMENTO!$AF$11))),IF($A311=0,0,ROUND(SomaAgrupBM,15-13*ORÇAMENTO!$AF$11)))</f>
        <v>0</v>
      </c>
    </row>
    <row r="312" spans="1:41" x14ac:dyDescent="0.2">
      <c r="A312">
        <f ca="1">ORÇAMENTO!C312</f>
        <v>4</v>
      </c>
      <c r="B312">
        <f ca="1">ORÇAMENTO!D312</f>
        <v>2</v>
      </c>
      <c r="C312" s="114" t="str">
        <f t="shared" ca="1" si="29"/>
        <v>F</v>
      </c>
      <c r="D312" s="117" t="str">
        <f ca="1">ORÇAMENTO!O312</f>
        <v>1.7.4.2.</v>
      </c>
      <c r="E312" s="163" t="str">
        <f t="shared" si="30"/>
        <v>ESGOTAMENTO</v>
      </c>
      <c r="F312" s="164" t="str">
        <f ca="1">IF(RegimeExecucao="Global","",ORÇAMENTO.Unidade)</f>
        <v>-</v>
      </c>
      <c r="G312" s="122">
        <f ca="1">IF(RegimeExecucao="Global","",ORÇAMENTO!T312)</f>
        <v>0</v>
      </c>
      <c r="H312" s="122">
        <f ca="1">IF(RegimeExecucao="Global","",ORÇAMENTO!W312)</f>
        <v>0</v>
      </c>
      <c r="I312" s="125">
        <f ca="1">ORÇAMENTO!X312</f>
        <v>12454.5</v>
      </c>
      <c r="J312" s="333" cm="1">
        <f t="array" aca="1" ref="J312" ca="1">_xlfn.SINGLE(IF($A312="S",IF(CAIXA.Modo,BM.AFAnterior,BM.MEDAnterior),IF(AND(_xlfn.SINGLE(RegimeExecucao)="Global",$I312&gt;0,COUNTIF($AB$13:$AM$13,BM.medicao-1)&gt;0),M312/$I312*100,0)))</f>
        <v>0</v>
      </c>
      <c r="K312" s="122">
        <f t="shared" ca="1" si="31"/>
        <v>0</v>
      </c>
      <c r="L312" s="334" cm="1">
        <f t="array" aca="1" ref="L312" ca="1">_xlfn.SINGLE(IF($A312="S",IF(CAIXA.Modo,BM.AFAcumulado,BM.MEDAcumulado),IF(AND(_xlfn.SINGLE(RegimeExecucao)="Global",$I312&gt;0,COUNTIF($AB$13:$AM$13,BM.medicao)&gt;0),O312/$I312*100,0)))</f>
        <v>0</v>
      </c>
      <c r="M312" s="335">
        <f ca="1">IF($A312="S",VTOTALBM,IF($A312=0,0,ROUND(SomaAgrupBM,15-13*ORÇAMENTO!$AF$11)))</f>
        <v>0</v>
      </c>
      <c r="N312" s="336">
        <f t="shared" ca="1" si="32"/>
        <v>0</v>
      </c>
      <c r="O312" s="125">
        <f ca="1">IF($A312="S",VTOTALBM,IF($A312=0,0,ROUND(SomaAgrupBM,15-13*ORÇAMENTO!$AF$11)))</f>
        <v>0</v>
      </c>
      <c r="Q312" s="337"/>
      <c r="R312" s="338"/>
      <c r="T312" s="117" t="str">
        <f t="shared" ca="1" si="33"/>
        <v/>
      </c>
      <c r="U312" s="163" t="str">
        <f t="shared" ca="1" si="34"/>
        <v/>
      </c>
      <c r="V312" s="164" t="str">
        <f ca="1">IF(AND($W312&gt;0,RegimeExecucao="Unitário"),$F312,"")</f>
        <v/>
      </c>
      <c r="W312" s="454">
        <f ca="1">IF($Y312&gt;0,CHOOSE(MATCH(RegimeExecucao,{"Unitário","Global"},0),IF($A312="S",$Y312/$X312,""),($Y312/$X312)*100),0)</f>
        <v>0</v>
      </c>
      <c r="X312" s="339" t="str">
        <f ca="1">IF($Y312&gt;0,CHOOSE(MATCH(RegimeExecucao,{"Unitário","Global"},0),IF($A312="S",ROUND($H312,ORÇAMENTO!$AF$10),""),ROUND($I312,ORÇAMENTO!$AF$11)),"")</f>
        <v/>
      </c>
      <c r="Y312" s="339">
        <f t="shared" ca="1" si="35"/>
        <v>0</v>
      </c>
      <c r="Z312" s="473"/>
      <c r="AB312" s="337"/>
      <c r="AC312" s="437"/>
      <c r="AD312" s="437"/>
      <c r="AE312" s="437"/>
      <c r="AF312" s="437"/>
      <c r="AG312" s="437"/>
      <c r="AH312" s="437"/>
      <c r="AI312" s="437"/>
      <c r="AJ312" s="437"/>
      <c r="AK312" s="437"/>
      <c r="AL312" s="437"/>
      <c r="AM312" s="338"/>
      <c r="AO312">
        <f ca="1">IF($A312="S",IF(BM!$I312=0,0,CHOOSE(MATCH(RegimeExecucao,{"Global","Unitário"},0),ROUND(ROUND(BM.MEDAcumulado,15-13*BM!$A$9)/100*BM!$I312,15-13*ORÇAMENTO!$AF$11),ROUND(ROUND(BM.MEDAcumulado,15-13*BM!$A$9)*ROUND(BM!$H312,15-13*ORÇAMENTO!$AF$10),15-13*ORÇAMENTO!$AF$11))),IF($A312=0,0,ROUND(SomaAgrupBM,15-13*ORÇAMENTO!$AF$11)))</f>
        <v>0</v>
      </c>
    </row>
    <row r="313" spans="1:41" ht="25.5" x14ac:dyDescent="0.2">
      <c r="A313" t="str">
        <f ca="1">ORÇAMENTO!C313</f>
        <v>S</v>
      </c>
      <c r="B313">
        <f ca="1">ORÇAMENTO!D313</f>
        <v>0</v>
      </c>
      <c r="C313" s="114" t="str">
        <f t="shared" ca="1" si="29"/>
        <v>F</v>
      </c>
      <c r="D313" s="117" t="str">
        <f ca="1">ORÇAMENTO!O313</f>
        <v>1.7.4.2.1.</v>
      </c>
      <c r="E313" s="163" t="str">
        <f t="shared" ca="1" si="30"/>
        <v>TUBO, PPR, DN 110, CLASSE PN 12, INSTALADO EM PRUMADA DE ÁGUA FORNECIMENTO E INSTALAÇÃO. AF_08/2022</v>
      </c>
      <c r="F313" s="164" t="str">
        <f ca="1">IF(RegimeExecucao="Global","",ORÇAMENTO.Unidade)</f>
        <v>M</v>
      </c>
      <c r="G313" s="122">
        <f ca="1">IF(RegimeExecucao="Global","",ORÇAMENTO!T313)</f>
        <v>69</v>
      </c>
      <c r="H313" s="122">
        <f ca="1">IF(RegimeExecucao="Global","",ORÇAMENTO!W313)</f>
        <v>180.5</v>
      </c>
      <c r="I313" s="125">
        <f ca="1">ORÇAMENTO!X313</f>
        <v>12454.5</v>
      </c>
      <c r="J313" s="333" cm="1">
        <f t="array" aca="1" ref="J313" ca="1">_xlfn.SINGLE(IF($A313="S",IF(CAIXA.Modo,BM.AFAnterior,BM.MEDAnterior),IF(AND(_xlfn.SINGLE(RegimeExecucao)="Global",$I313&gt;0,COUNTIF($AB$13:$AM$13,BM.medicao-1)&gt;0),M313/$I313*100,0)))</f>
        <v>0</v>
      </c>
      <c r="K313" s="122">
        <f t="shared" ca="1" si="31"/>
        <v>0</v>
      </c>
      <c r="L313" s="334" cm="1">
        <f t="array" aca="1" ref="L313" ca="1">_xlfn.SINGLE(IF($A313="S",IF(CAIXA.Modo,BM.AFAcumulado,BM.MEDAcumulado),IF(AND(_xlfn.SINGLE(RegimeExecucao)="Global",$I313&gt;0,COUNTIF($AB$13:$AM$13,BM.medicao)&gt;0),O313/$I313*100,0)))</f>
        <v>0</v>
      </c>
      <c r="M313" s="335">
        <f ca="1">IF($A313="S",VTOTALBM,IF($A313=0,0,ROUND(SomaAgrupBM,15-13*ORÇAMENTO!$AF$11)))</f>
        <v>0</v>
      </c>
      <c r="N313" s="336">
        <f t="shared" ca="1" si="32"/>
        <v>0</v>
      </c>
      <c r="O313" s="125">
        <f ca="1">IF($A313="S",VTOTALBM,IF($A313=0,0,ROUND(SomaAgrupBM,15-13*ORÇAMENTO!$AF$11)))</f>
        <v>0</v>
      </c>
      <c r="Q313" s="337"/>
      <c r="R313" s="338"/>
      <c r="T313" s="117" t="str">
        <f t="shared" ca="1" si="33"/>
        <v/>
      </c>
      <c r="U313" s="163" t="str">
        <f t="shared" ca="1" si="34"/>
        <v/>
      </c>
      <c r="V313" s="164" t="str">
        <f ca="1">IF(AND($W313&gt;0,RegimeExecucao="Unitário"),$F313,"")</f>
        <v/>
      </c>
      <c r="W313" s="454">
        <f ca="1">IF($Y313&gt;0,CHOOSE(MATCH(RegimeExecucao,{"Unitário","Global"},0),IF($A313="S",$Y313/$X313,""),($Y313/$X313)*100),0)</f>
        <v>0</v>
      </c>
      <c r="X313" s="339" t="str">
        <f ca="1">IF($Y313&gt;0,CHOOSE(MATCH(RegimeExecucao,{"Unitário","Global"},0),IF($A313="S",ROUND($H313,ORÇAMENTO!$AF$10),""),ROUND($I313,ORÇAMENTO!$AF$11)),"")</f>
        <v/>
      </c>
      <c r="Y313" s="339">
        <f t="shared" ca="1" si="35"/>
        <v>0</v>
      </c>
      <c r="Z313" s="473"/>
      <c r="AB313" s="337"/>
      <c r="AC313" s="437"/>
      <c r="AD313" s="437"/>
      <c r="AE313" s="437"/>
      <c r="AF313" s="437"/>
      <c r="AG313" s="437"/>
      <c r="AH313" s="437"/>
      <c r="AI313" s="437"/>
      <c r="AJ313" s="437"/>
      <c r="AK313" s="437"/>
      <c r="AL313" s="437"/>
      <c r="AM313" s="338"/>
      <c r="AO313">
        <f ca="1">IF($A313="S",IF(BM!$I313=0,0,CHOOSE(MATCH(RegimeExecucao,{"Global","Unitário"},0),ROUND(ROUND(BM.MEDAcumulado,15-13*BM!$A$9)/100*BM!$I313,15-13*ORÇAMENTO!$AF$11),ROUND(ROUND(BM.MEDAcumulado,15-13*BM!$A$9)*ROUND(BM!$H313,15-13*ORÇAMENTO!$AF$10),15-13*ORÇAMENTO!$AF$11))),IF($A313=0,0,ROUND(SomaAgrupBM,15-13*ORÇAMENTO!$AF$11)))</f>
        <v>0</v>
      </c>
    </row>
    <row r="314" spans="1:41" x14ac:dyDescent="0.2">
      <c r="A314">
        <f ca="1">ORÇAMENTO!C314</f>
        <v>4</v>
      </c>
      <c r="B314">
        <f ca="1">ORÇAMENTO!D314</f>
        <v>3</v>
      </c>
      <c r="C314" s="114" t="str">
        <f t="shared" ca="1" si="29"/>
        <v>F</v>
      </c>
      <c r="D314" s="117" t="str">
        <f ca="1">ORÇAMENTO!O314</f>
        <v>1.7.4.3.</v>
      </c>
      <c r="E314" s="163" t="str">
        <f t="shared" si="30"/>
        <v>INSTALAÇÃO DE MATERIAIS</v>
      </c>
      <c r="F314" s="164" t="str">
        <f ca="1">IF(RegimeExecucao="Global","",ORÇAMENTO.Unidade)</f>
        <v>-</v>
      </c>
      <c r="G314" s="122">
        <f ca="1">IF(RegimeExecucao="Global","",ORÇAMENTO!T314)</f>
        <v>0</v>
      </c>
      <c r="H314" s="122">
        <f ca="1">IF(RegimeExecucao="Global","",ORÇAMENTO!W314)</f>
        <v>0</v>
      </c>
      <c r="I314" s="125">
        <f ca="1">ORÇAMENTO!X314</f>
        <v>733.27</v>
      </c>
      <c r="J314" s="333" cm="1">
        <f t="array" aca="1" ref="J314" ca="1">_xlfn.SINGLE(IF($A314="S",IF(CAIXA.Modo,BM.AFAnterior,BM.MEDAnterior),IF(AND(_xlfn.SINGLE(RegimeExecucao)="Global",$I314&gt;0,COUNTIF($AB$13:$AM$13,BM.medicao-1)&gt;0),M314/$I314*100,0)))</f>
        <v>0</v>
      </c>
      <c r="K314" s="122">
        <f t="shared" ca="1" si="31"/>
        <v>0</v>
      </c>
      <c r="L314" s="334" cm="1">
        <f t="array" aca="1" ref="L314" ca="1">_xlfn.SINGLE(IF($A314="S",IF(CAIXA.Modo,BM.AFAcumulado,BM.MEDAcumulado),IF(AND(_xlfn.SINGLE(RegimeExecucao)="Global",$I314&gt;0,COUNTIF($AB$13:$AM$13,BM.medicao)&gt;0),O314/$I314*100,0)))</f>
        <v>0</v>
      </c>
      <c r="M314" s="335">
        <f ca="1">IF($A314="S",VTOTALBM,IF($A314=0,0,ROUND(SomaAgrupBM,15-13*ORÇAMENTO!$AF$11)))</f>
        <v>0</v>
      </c>
      <c r="N314" s="336">
        <f t="shared" ca="1" si="32"/>
        <v>0</v>
      </c>
      <c r="O314" s="125">
        <f ca="1">IF($A314="S",VTOTALBM,IF($A314=0,0,ROUND(SomaAgrupBM,15-13*ORÇAMENTO!$AF$11)))</f>
        <v>0</v>
      </c>
      <c r="Q314" s="337"/>
      <c r="R314" s="338"/>
      <c r="T314" s="117" t="str">
        <f t="shared" ca="1" si="33"/>
        <v/>
      </c>
      <c r="U314" s="163" t="str">
        <f t="shared" ca="1" si="34"/>
        <v/>
      </c>
      <c r="V314" s="164" t="str">
        <f ca="1">IF(AND($W314&gt;0,RegimeExecucao="Unitário"),$F314,"")</f>
        <v/>
      </c>
      <c r="W314" s="454">
        <f ca="1">IF($Y314&gt;0,CHOOSE(MATCH(RegimeExecucao,{"Unitário","Global"},0),IF($A314="S",$Y314/$X314,""),($Y314/$X314)*100),0)</f>
        <v>0</v>
      </c>
      <c r="X314" s="339" t="str">
        <f ca="1">IF($Y314&gt;0,CHOOSE(MATCH(RegimeExecucao,{"Unitário","Global"},0),IF($A314="S",ROUND($H314,ORÇAMENTO!$AF$10),""),ROUND($I314,ORÇAMENTO!$AF$11)),"")</f>
        <v/>
      </c>
      <c r="Y314" s="339">
        <f t="shared" ca="1" si="35"/>
        <v>0</v>
      </c>
      <c r="Z314" s="473"/>
      <c r="AB314" s="337"/>
      <c r="AC314" s="437"/>
      <c r="AD314" s="437"/>
      <c r="AE314" s="437"/>
      <c r="AF314" s="437"/>
      <c r="AG314" s="437"/>
      <c r="AH314" s="437"/>
      <c r="AI314" s="437"/>
      <c r="AJ314" s="437"/>
      <c r="AK314" s="437"/>
      <c r="AL314" s="437"/>
      <c r="AM314" s="338"/>
      <c r="AO314">
        <f ca="1">IF($A314="S",IF(BM!$I314=0,0,CHOOSE(MATCH(RegimeExecucao,{"Global","Unitário"},0),ROUND(ROUND(BM.MEDAcumulado,15-13*BM!$A$9)/100*BM!$I314,15-13*ORÇAMENTO!$AF$11),ROUND(ROUND(BM.MEDAcumulado,15-13*BM!$A$9)*ROUND(BM!$H314,15-13*ORÇAMENTO!$AF$10),15-13*ORÇAMENTO!$AF$11))),IF($A314=0,0,ROUND(SomaAgrupBM,15-13*ORÇAMENTO!$AF$11)))</f>
        <v>0</v>
      </c>
    </row>
    <row r="315" spans="1:41" ht="25.5" x14ac:dyDescent="0.2">
      <c r="A315" t="str">
        <f ca="1">ORÇAMENTO!C315</f>
        <v>S</v>
      </c>
      <c r="B315">
        <f ca="1">ORÇAMENTO!D315</f>
        <v>0</v>
      </c>
      <c r="C315" s="114" t="str">
        <f t="shared" ca="1" si="29"/>
        <v>F</v>
      </c>
      <c r="D315" s="117" t="str">
        <f ca="1">ORÇAMENTO!O315</f>
        <v>1.7.4.3.1.</v>
      </c>
      <c r="E315" s="163" t="str">
        <f t="shared" ca="1" si="30"/>
        <v>ASSENTAMENTO DE CONEXÕES EM FERRO FUNDIDO, JUNTA ELÁSTICA, DN = 150 MM - BASEADO EM ORSE (5283)</v>
      </c>
      <c r="F315" s="164" t="str">
        <f ca="1">IF(RegimeExecucao="Global","",ORÇAMENTO.Unidade)</f>
        <v>UN</v>
      </c>
      <c r="G315" s="122">
        <f ca="1">IF(RegimeExecucao="Global","",ORÇAMENTO!T315)</f>
        <v>31</v>
      </c>
      <c r="H315" s="122">
        <f ca="1">IF(RegimeExecucao="Global","",ORÇAMENTO!W315)</f>
        <v>21.6</v>
      </c>
      <c r="I315" s="125">
        <f ca="1">ORÇAMENTO!X315</f>
        <v>669.6</v>
      </c>
      <c r="J315" s="333" cm="1">
        <f t="array" aca="1" ref="J315" ca="1">_xlfn.SINGLE(IF($A315="S",IF(CAIXA.Modo,BM.AFAnterior,BM.MEDAnterior),IF(AND(_xlfn.SINGLE(RegimeExecucao)="Global",$I315&gt;0,COUNTIF($AB$13:$AM$13,BM.medicao-1)&gt;0),M315/$I315*100,0)))</f>
        <v>0</v>
      </c>
      <c r="K315" s="122">
        <f t="shared" ca="1" si="31"/>
        <v>0</v>
      </c>
      <c r="L315" s="334" cm="1">
        <f t="array" aca="1" ref="L315" ca="1">_xlfn.SINGLE(IF($A315="S",IF(CAIXA.Modo,BM.AFAcumulado,BM.MEDAcumulado),IF(AND(_xlfn.SINGLE(RegimeExecucao)="Global",$I315&gt;0,COUNTIF($AB$13:$AM$13,BM.medicao)&gt;0),O315/$I315*100,0)))</f>
        <v>0</v>
      </c>
      <c r="M315" s="335">
        <f ca="1">IF($A315="S",VTOTALBM,IF($A315=0,0,ROUND(SomaAgrupBM,15-13*ORÇAMENTO!$AF$11)))</f>
        <v>0</v>
      </c>
      <c r="N315" s="336">
        <f t="shared" ca="1" si="32"/>
        <v>0</v>
      </c>
      <c r="O315" s="125">
        <f ca="1">IF($A315="S",VTOTALBM,IF($A315=0,0,ROUND(SomaAgrupBM,15-13*ORÇAMENTO!$AF$11)))</f>
        <v>0</v>
      </c>
      <c r="Q315" s="337"/>
      <c r="R315" s="338"/>
      <c r="T315" s="117" t="str">
        <f t="shared" ca="1" si="33"/>
        <v/>
      </c>
      <c r="U315" s="163" t="str">
        <f t="shared" ca="1" si="34"/>
        <v/>
      </c>
      <c r="V315" s="164" t="str">
        <f ca="1">IF(AND($W315&gt;0,RegimeExecucao="Unitário"),$F315,"")</f>
        <v/>
      </c>
      <c r="W315" s="454">
        <f ca="1">IF($Y315&gt;0,CHOOSE(MATCH(RegimeExecucao,{"Unitário","Global"},0),IF($A315="S",$Y315/$X315,""),($Y315/$X315)*100),0)</f>
        <v>0</v>
      </c>
      <c r="X315" s="339" t="str">
        <f ca="1">IF($Y315&gt;0,CHOOSE(MATCH(RegimeExecucao,{"Unitário","Global"},0),IF($A315="S",ROUND($H315,ORÇAMENTO!$AF$10),""),ROUND($I315,ORÇAMENTO!$AF$11)),"")</f>
        <v/>
      </c>
      <c r="Y315" s="339">
        <f t="shared" ca="1" si="35"/>
        <v>0</v>
      </c>
      <c r="Z315" s="473"/>
      <c r="AB315" s="337"/>
      <c r="AC315" s="437"/>
      <c r="AD315" s="437"/>
      <c r="AE315" s="437"/>
      <c r="AF315" s="437"/>
      <c r="AG315" s="437"/>
      <c r="AH315" s="437"/>
      <c r="AI315" s="437"/>
      <c r="AJ315" s="437"/>
      <c r="AK315" s="437"/>
      <c r="AL315" s="437"/>
      <c r="AM315" s="338"/>
      <c r="AO315">
        <f ca="1">IF($A315="S",IF(BM!$I315=0,0,CHOOSE(MATCH(RegimeExecucao,{"Global","Unitário"},0),ROUND(ROUND(BM.MEDAcumulado,15-13*BM!$A$9)/100*BM!$I315,15-13*ORÇAMENTO!$AF$11),ROUND(ROUND(BM.MEDAcumulado,15-13*BM!$A$9)*ROUND(BM!$H315,15-13*ORÇAMENTO!$AF$10),15-13*ORÇAMENTO!$AF$11))),IF($A315=0,0,ROUND(SomaAgrupBM,15-13*ORÇAMENTO!$AF$11)))</f>
        <v>0</v>
      </c>
    </row>
    <row r="316" spans="1:41" ht="51" x14ac:dyDescent="0.2">
      <c r="A316" t="str">
        <f ca="1">ORÇAMENTO!C316</f>
        <v>S</v>
      </c>
      <c r="B316">
        <f ca="1">ORÇAMENTO!D316</f>
        <v>0</v>
      </c>
      <c r="C316" s="114" t="str">
        <f t="shared" ca="1" si="29"/>
        <v>F</v>
      </c>
      <c r="D316" s="117" t="str">
        <f ca="1">ORÇAMENTO!O316</f>
        <v>1.7.4.3.2.</v>
      </c>
      <c r="E316" s="163" t="str">
        <f t="shared" ca="1" si="30"/>
        <v>ASSENTAMENTO DE TUBO DE FERRO FUNDIDO PARA REDE DE ÁGUA, DN 150 MM, JUNTA ELÁSTICA, INSTALADO EM LOCAL COM NÍVEL BAIXO DE INTERFERÊNCIAS (NÃO INCLUI FORNECIMENTO). AF_05/2024</v>
      </c>
      <c r="F316" s="164" t="str">
        <f ca="1">IF(RegimeExecucao="Global","",ORÇAMENTO.Unidade)</f>
        <v>M</v>
      </c>
      <c r="G316" s="122">
        <f ca="1">IF(RegimeExecucao="Global","",ORÇAMENTO!T316)</f>
        <v>8.4</v>
      </c>
      <c r="H316" s="122">
        <f ca="1">IF(RegimeExecucao="Global","",ORÇAMENTO!W316)</f>
        <v>7.58</v>
      </c>
      <c r="I316" s="125">
        <f ca="1">ORÇAMENTO!X316</f>
        <v>63.67</v>
      </c>
      <c r="J316" s="333" cm="1">
        <f t="array" aca="1" ref="J316" ca="1">_xlfn.SINGLE(IF($A316="S",IF(CAIXA.Modo,BM.AFAnterior,BM.MEDAnterior),IF(AND(_xlfn.SINGLE(RegimeExecucao)="Global",$I316&gt;0,COUNTIF($AB$13:$AM$13,BM.medicao-1)&gt;0),M316/$I316*100,0)))</f>
        <v>0</v>
      </c>
      <c r="K316" s="122">
        <f t="shared" ca="1" si="31"/>
        <v>0</v>
      </c>
      <c r="L316" s="334" cm="1">
        <f t="array" aca="1" ref="L316" ca="1">_xlfn.SINGLE(IF($A316="S",IF(CAIXA.Modo,BM.AFAcumulado,BM.MEDAcumulado),IF(AND(_xlfn.SINGLE(RegimeExecucao)="Global",$I316&gt;0,COUNTIF($AB$13:$AM$13,BM.medicao)&gt;0),O316/$I316*100,0)))</f>
        <v>0</v>
      </c>
      <c r="M316" s="335">
        <f ca="1">IF($A316="S",VTOTALBM,IF($A316=0,0,ROUND(SomaAgrupBM,15-13*ORÇAMENTO!$AF$11)))</f>
        <v>0</v>
      </c>
      <c r="N316" s="336">
        <f t="shared" ca="1" si="32"/>
        <v>0</v>
      </c>
      <c r="O316" s="125">
        <f ca="1">IF($A316="S",VTOTALBM,IF($A316=0,0,ROUND(SomaAgrupBM,15-13*ORÇAMENTO!$AF$11)))</f>
        <v>0</v>
      </c>
      <c r="Q316" s="337"/>
      <c r="R316" s="338"/>
      <c r="T316" s="117" t="str">
        <f t="shared" ca="1" si="33"/>
        <v/>
      </c>
      <c r="U316" s="163" t="str">
        <f t="shared" ca="1" si="34"/>
        <v/>
      </c>
      <c r="V316" s="164" t="str">
        <f ca="1">IF(AND($W316&gt;0,RegimeExecucao="Unitário"),$F316,"")</f>
        <v/>
      </c>
      <c r="W316" s="454">
        <f ca="1">IF($Y316&gt;0,CHOOSE(MATCH(RegimeExecucao,{"Unitário","Global"},0),IF($A316="S",$Y316/$X316,""),($Y316/$X316)*100),0)</f>
        <v>0</v>
      </c>
      <c r="X316" s="339" t="str">
        <f ca="1">IF($Y316&gt;0,CHOOSE(MATCH(RegimeExecucao,{"Unitário","Global"},0),IF($A316="S",ROUND($H316,ORÇAMENTO!$AF$10),""),ROUND($I316,ORÇAMENTO!$AF$11)),"")</f>
        <v/>
      </c>
      <c r="Y316" s="339">
        <f t="shared" ca="1" si="35"/>
        <v>0</v>
      </c>
      <c r="Z316" s="473"/>
      <c r="AB316" s="337"/>
      <c r="AC316" s="437"/>
      <c r="AD316" s="437"/>
      <c r="AE316" s="437"/>
      <c r="AF316" s="437"/>
      <c r="AG316" s="437"/>
      <c r="AH316" s="437"/>
      <c r="AI316" s="437"/>
      <c r="AJ316" s="437"/>
      <c r="AK316" s="437"/>
      <c r="AL316" s="437"/>
      <c r="AM316" s="338"/>
      <c r="AO316">
        <f ca="1">IF($A316="S",IF(BM!$I316=0,0,CHOOSE(MATCH(RegimeExecucao,{"Global","Unitário"},0),ROUND(ROUND(BM.MEDAcumulado,15-13*BM!$A$9)/100*BM!$I316,15-13*ORÇAMENTO!$AF$11),ROUND(ROUND(BM.MEDAcumulado,15-13*BM!$A$9)*ROUND(BM!$H316,15-13*ORÇAMENTO!$AF$10),15-13*ORÇAMENTO!$AF$11))),IF($A316=0,0,ROUND(SomaAgrupBM,15-13*ORÇAMENTO!$AF$11)))</f>
        <v>0</v>
      </c>
    </row>
    <row r="317" spans="1:41" x14ac:dyDescent="0.2">
      <c r="A317">
        <f ca="1">ORÇAMENTO!C317</f>
        <v>4</v>
      </c>
      <c r="B317">
        <f ca="1">ORÇAMENTO!D317</f>
        <v>6</v>
      </c>
      <c r="C317" s="114" t="str">
        <f t="shared" ca="1" si="29"/>
        <v>F</v>
      </c>
      <c r="D317" s="117" t="str">
        <f ca="1">ORÇAMENTO!O317</f>
        <v>1.7.4.4.</v>
      </c>
      <c r="E317" s="163" t="str">
        <f t="shared" si="30"/>
        <v>MATERIAIS</v>
      </c>
      <c r="F317" s="164" t="str">
        <f ca="1">IF(RegimeExecucao="Global","",ORÇAMENTO.Unidade)</f>
        <v>-</v>
      </c>
      <c r="G317" s="122">
        <f ca="1">IF(RegimeExecucao="Global","",ORÇAMENTO!T317)</f>
        <v>0</v>
      </c>
      <c r="H317" s="122">
        <f ca="1">IF(RegimeExecucao="Global","",ORÇAMENTO!W317)</f>
        <v>0</v>
      </c>
      <c r="I317" s="125">
        <f ca="1">ORÇAMENTO!X317</f>
        <v>103801.5</v>
      </c>
      <c r="J317" s="333" cm="1">
        <f t="array" aca="1" ref="J317" ca="1">_xlfn.SINGLE(IF($A317="S",IF(CAIXA.Modo,BM.AFAnterior,BM.MEDAnterior),IF(AND(_xlfn.SINGLE(RegimeExecucao)="Global",$I317&gt;0,COUNTIF($AB$13:$AM$13,BM.medicao-1)&gt;0),M317/$I317*100,0)))</f>
        <v>0</v>
      </c>
      <c r="K317" s="122">
        <f t="shared" ca="1" si="31"/>
        <v>0</v>
      </c>
      <c r="L317" s="334" cm="1">
        <f t="array" aca="1" ref="L317" ca="1">_xlfn.SINGLE(IF($A317="S",IF(CAIXA.Modo,BM.AFAcumulado,BM.MEDAcumulado),IF(AND(_xlfn.SINGLE(RegimeExecucao)="Global",$I317&gt;0,COUNTIF($AB$13:$AM$13,BM.medicao)&gt;0),O317/$I317*100,0)))</f>
        <v>0</v>
      </c>
      <c r="M317" s="335">
        <f ca="1">IF($A317="S",VTOTALBM,IF($A317=0,0,ROUND(SomaAgrupBM,15-13*ORÇAMENTO!$AF$11)))</f>
        <v>0</v>
      </c>
      <c r="N317" s="336">
        <f t="shared" ca="1" si="32"/>
        <v>0</v>
      </c>
      <c r="O317" s="125">
        <f ca="1">IF($A317="S",VTOTALBM,IF($A317=0,0,ROUND(SomaAgrupBM,15-13*ORÇAMENTO!$AF$11)))</f>
        <v>0</v>
      </c>
      <c r="Q317" s="337"/>
      <c r="R317" s="338"/>
      <c r="T317" s="117" t="str">
        <f t="shared" ca="1" si="33"/>
        <v/>
      </c>
      <c r="U317" s="163" t="str">
        <f t="shared" ca="1" si="34"/>
        <v/>
      </c>
      <c r="V317" s="164" t="str">
        <f ca="1">IF(AND($W317&gt;0,RegimeExecucao="Unitário"),$F317,"")</f>
        <v/>
      </c>
      <c r="W317" s="454">
        <f ca="1">IF($Y317&gt;0,CHOOSE(MATCH(RegimeExecucao,{"Unitário","Global"},0),IF($A317="S",$Y317/$X317,""),($Y317/$X317)*100),0)</f>
        <v>0</v>
      </c>
      <c r="X317" s="339" t="str">
        <f ca="1">IF($Y317&gt;0,CHOOSE(MATCH(RegimeExecucao,{"Unitário","Global"},0),IF($A317="S",ROUND($H317,ORÇAMENTO!$AF$10),""),ROUND($I317,ORÇAMENTO!$AF$11)),"")</f>
        <v/>
      </c>
      <c r="Y317" s="339">
        <f t="shared" ca="1" si="35"/>
        <v>0</v>
      </c>
      <c r="Z317" s="473"/>
      <c r="AB317" s="337"/>
      <c r="AC317" s="437"/>
      <c r="AD317" s="437"/>
      <c r="AE317" s="437"/>
      <c r="AF317" s="437"/>
      <c r="AG317" s="437"/>
      <c r="AH317" s="437"/>
      <c r="AI317" s="437"/>
      <c r="AJ317" s="437"/>
      <c r="AK317" s="437"/>
      <c r="AL317" s="437"/>
      <c r="AM317" s="338"/>
      <c r="AO317">
        <f ca="1">IF($A317="S",IF(BM!$I317=0,0,CHOOSE(MATCH(RegimeExecucao,{"Global","Unitário"},0),ROUND(ROUND(BM.MEDAcumulado,15-13*BM!$A$9)/100*BM!$I317,15-13*ORÇAMENTO!$AF$11),ROUND(ROUND(BM.MEDAcumulado,15-13*BM!$A$9)*ROUND(BM!$H317,15-13*ORÇAMENTO!$AF$10),15-13*ORÇAMENTO!$AF$11))),IF($A317=0,0,ROUND(SomaAgrupBM,15-13*ORÇAMENTO!$AF$11)))</f>
        <v>0</v>
      </c>
    </row>
    <row r="318" spans="1:41" ht="38.25" x14ac:dyDescent="0.2">
      <c r="A318" t="str">
        <f ca="1">ORÇAMENTO!C318</f>
        <v>S</v>
      </c>
      <c r="B318">
        <f ca="1">ORÇAMENTO!D318</f>
        <v>0</v>
      </c>
      <c r="C318" s="114" t="str">
        <f t="shared" ca="1" si="29"/>
        <v>F</v>
      </c>
      <c r="D318" s="117" t="str">
        <f ca="1">ORÇAMENTO!O318</f>
        <v>1.7.4.4.1.</v>
      </c>
      <c r="E318" s="163" t="str">
        <f t="shared" ca="1" si="30"/>
        <v>ALVENARIA DE VEDAÇÃO DE BLOCOS CERÂMICOS MACIÇOS DE 5X10X20CM (ESPESSURA 10CM) E ARGAMASSA DE ASSENTAMENTO COM PREPARO EM BETONEIRA. AF_05/2020</v>
      </c>
      <c r="F318" s="164" t="str">
        <f ca="1">IF(RegimeExecucao="Global","",ORÇAMENTO.Unidade)</f>
        <v>M2</v>
      </c>
      <c r="G318" s="122">
        <f ca="1">IF(RegimeExecucao="Global","",ORÇAMENTO!T318)</f>
        <v>363</v>
      </c>
      <c r="H318" s="122">
        <f ca="1">IF(RegimeExecucao="Global","",ORÇAMENTO!W318)</f>
        <v>173.1</v>
      </c>
      <c r="I318" s="125">
        <f ca="1">ORÇAMENTO!X318</f>
        <v>62835.3</v>
      </c>
      <c r="J318" s="333" cm="1">
        <f t="array" aca="1" ref="J318" ca="1">_xlfn.SINGLE(IF($A318="S",IF(CAIXA.Modo,BM.AFAnterior,BM.MEDAnterior),IF(AND(_xlfn.SINGLE(RegimeExecucao)="Global",$I318&gt;0,COUNTIF($AB$13:$AM$13,BM.medicao-1)&gt;0),M318/$I318*100,0)))</f>
        <v>0</v>
      </c>
      <c r="K318" s="122">
        <f t="shared" ca="1" si="31"/>
        <v>0</v>
      </c>
      <c r="L318" s="334" cm="1">
        <f t="array" aca="1" ref="L318" ca="1">_xlfn.SINGLE(IF($A318="S",IF(CAIXA.Modo,BM.AFAcumulado,BM.MEDAcumulado),IF(AND(_xlfn.SINGLE(RegimeExecucao)="Global",$I318&gt;0,COUNTIF($AB$13:$AM$13,BM.medicao)&gt;0),O318/$I318*100,0)))</f>
        <v>0</v>
      </c>
      <c r="M318" s="335">
        <f ca="1">IF($A318="S",VTOTALBM,IF($A318=0,0,ROUND(SomaAgrupBM,15-13*ORÇAMENTO!$AF$11)))</f>
        <v>0</v>
      </c>
      <c r="N318" s="336">
        <f t="shared" ca="1" si="32"/>
        <v>0</v>
      </c>
      <c r="O318" s="125">
        <f ca="1">IF($A318="S",VTOTALBM,IF($A318=0,0,ROUND(SomaAgrupBM,15-13*ORÇAMENTO!$AF$11)))</f>
        <v>0</v>
      </c>
      <c r="Q318" s="337"/>
      <c r="R318" s="338"/>
      <c r="T318" s="117" t="str">
        <f t="shared" ca="1" si="33"/>
        <v/>
      </c>
      <c r="U318" s="163" t="str">
        <f t="shared" ca="1" si="34"/>
        <v/>
      </c>
      <c r="V318" s="164" t="str">
        <f ca="1">IF(AND($W318&gt;0,RegimeExecucao="Unitário"),$F318,"")</f>
        <v/>
      </c>
      <c r="W318" s="454">
        <f ca="1">IF($Y318&gt;0,CHOOSE(MATCH(RegimeExecucao,{"Unitário","Global"},0),IF($A318="S",$Y318/$X318,""),($Y318/$X318)*100),0)</f>
        <v>0</v>
      </c>
      <c r="X318" s="339" t="str">
        <f ca="1">IF($Y318&gt;0,CHOOSE(MATCH(RegimeExecucao,{"Unitário","Global"},0),IF($A318="S",ROUND($H318,ORÇAMENTO!$AF$10),""),ROUND($I318,ORÇAMENTO!$AF$11)),"")</f>
        <v/>
      </c>
      <c r="Y318" s="339">
        <f t="shared" ca="1" si="35"/>
        <v>0</v>
      </c>
      <c r="Z318" s="473"/>
      <c r="AB318" s="337"/>
      <c r="AC318" s="437"/>
      <c r="AD318" s="437"/>
      <c r="AE318" s="437"/>
      <c r="AF318" s="437"/>
      <c r="AG318" s="437"/>
      <c r="AH318" s="437"/>
      <c r="AI318" s="437"/>
      <c r="AJ318" s="437"/>
      <c r="AK318" s="437"/>
      <c r="AL318" s="437"/>
      <c r="AM318" s="338"/>
      <c r="AO318">
        <f ca="1">IF($A318="S",IF(BM!$I318=0,0,CHOOSE(MATCH(RegimeExecucao,{"Global","Unitário"},0),ROUND(ROUND(BM.MEDAcumulado,15-13*BM!$A$9)/100*BM!$I318,15-13*ORÇAMENTO!$AF$11),ROUND(ROUND(BM.MEDAcumulado,15-13*BM!$A$9)*ROUND(BM!$H318,15-13*ORÇAMENTO!$AF$10),15-13*ORÇAMENTO!$AF$11))),IF($A318=0,0,ROUND(SomaAgrupBM,15-13*ORÇAMENTO!$AF$11)))</f>
        <v>0</v>
      </c>
    </row>
    <row r="319" spans="1:41" x14ac:dyDescent="0.2">
      <c r="A319" t="str">
        <f ca="1">ORÇAMENTO!C319</f>
        <v>S</v>
      </c>
      <c r="B319">
        <f ca="1">ORÇAMENTO!D319</f>
        <v>0</v>
      </c>
      <c r="C319" s="114" t="str">
        <f t="shared" ca="1" si="29"/>
        <v>F</v>
      </c>
      <c r="D319" s="117" t="str">
        <f ca="1">ORÇAMENTO!O319</f>
        <v>1.7.4.4.2.</v>
      </c>
      <c r="E319" s="163" t="str">
        <f t="shared" ca="1" si="30"/>
        <v>FORNECIMENTO E LANÇAMENTO DE AREIA EM DRENO E PÁTIO</v>
      </c>
      <c r="F319" s="164" t="str">
        <f ca="1">IF(RegimeExecucao="Global","",ORÇAMENTO.Unidade)</f>
        <v>M3</v>
      </c>
      <c r="G319" s="122">
        <f ca="1">IF(RegimeExecucao="Global","",ORÇAMENTO!T319)</f>
        <v>28.31</v>
      </c>
      <c r="H319" s="122">
        <f ca="1">IF(RegimeExecucao="Global","",ORÇAMENTO!W319)</f>
        <v>325.13</v>
      </c>
      <c r="I319" s="125">
        <f ca="1">ORÇAMENTO!X319</f>
        <v>9204.43</v>
      </c>
      <c r="J319" s="333" cm="1">
        <f t="array" aca="1" ref="J319" ca="1">_xlfn.SINGLE(IF($A319="S",IF(CAIXA.Modo,BM.AFAnterior,BM.MEDAnterior),IF(AND(_xlfn.SINGLE(RegimeExecucao)="Global",$I319&gt;0,COUNTIF($AB$13:$AM$13,BM.medicao-1)&gt;0),M319/$I319*100,0)))</f>
        <v>0</v>
      </c>
      <c r="K319" s="122">
        <f t="shared" ca="1" si="31"/>
        <v>0</v>
      </c>
      <c r="L319" s="334" cm="1">
        <f t="array" aca="1" ref="L319" ca="1">_xlfn.SINGLE(IF($A319="S",IF(CAIXA.Modo,BM.AFAcumulado,BM.MEDAcumulado),IF(AND(_xlfn.SINGLE(RegimeExecucao)="Global",$I319&gt;0,COUNTIF($AB$13:$AM$13,BM.medicao)&gt;0),O319/$I319*100,0)))</f>
        <v>0</v>
      </c>
      <c r="M319" s="335">
        <f ca="1">IF($A319="S",VTOTALBM,IF($A319=0,0,ROUND(SomaAgrupBM,15-13*ORÇAMENTO!$AF$11)))</f>
        <v>0</v>
      </c>
      <c r="N319" s="336">
        <f t="shared" ca="1" si="32"/>
        <v>0</v>
      </c>
      <c r="O319" s="125">
        <f ca="1">IF($A319="S",VTOTALBM,IF($A319=0,0,ROUND(SomaAgrupBM,15-13*ORÇAMENTO!$AF$11)))</f>
        <v>0</v>
      </c>
      <c r="Q319" s="337"/>
      <c r="R319" s="338"/>
      <c r="T319" s="117" t="str">
        <f t="shared" ca="1" si="33"/>
        <v/>
      </c>
      <c r="U319" s="163" t="str">
        <f t="shared" ca="1" si="34"/>
        <v/>
      </c>
      <c r="V319" s="164" t="str">
        <f ca="1">IF(AND($W319&gt;0,RegimeExecucao="Unitário"),$F319,"")</f>
        <v/>
      </c>
      <c r="W319" s="454">
        <f ca="1">IF($Y319&gt;0,CHOOSE(MATCH(RegimeExecucao,{"Unitário","Global"},0),IF($A319="S",$Y319/$X319,""),($Y319/$X319)*100),0)</f>
        <v>0</v>
      </c>
      <c r="X319" s="339" t="str">
        <f ca="1">IF($Y319&gt;0,CHOOSE(MATCH(RegimeExecucao,{"Unitário","Global"},0),IF($A319="S",ROUND($H319,ORÇAMENTO!$AF$10),""),ROUND($I319,ORÇAMENTO!$AF$11)),"")</f>
        <v/>
      </c>
      <c r="Y319" s="339">
        <f t="shared" ca="1" si="35"/>
        <v>0</v>
      </c>
      <c r="Z319" s="473"/>
      <c r="AB319" s="337"/>
      <c r="AC319" s="437"/>
      <c r="AD319" s="437"/>
      <c r="AE319" s="437"/>
      <c r="AF319" s="437"/>
      <c r="AG319" s="437"/>
      <c r="AH319" s="437"/>
      <c r="AI319" s="437"/>
      <c r="AJ319" s="437"/>
      <c r="AK319" s="437"/>
      <c r="AL319" s="437"/>
      <c r="AM319" s="338"/>
      <c r="AO319">
        <f ca="1">IF($A319="S",IF(BM!$I319=0,0,CHOOSE(MATCH(RegimeExecucao,{"Global","Unitário"},0),ROUND(ROUND(BM.MEDAcumulado,15-13*BM!$A$9)/100*BM!$I319,15-13*ORÇAMENTO!$AF$11),ROUND(ROUND(BM.MEDAcumulado,15-13*BM!$A$9)*ROUND(BM!$H319,15-13*ORÇAMENTO!$AF$10),15-13*ORÇAMENTO!$AF$11))),IF($A319=0,0,ROUND(SomaAgrupBM,15-13*ORÇAMENTO!$AF$11)))</f>
        <v>0</v>
      </c>
    </row>
    <row r="320" spans="1:41" ht="25.5" x14ac:dyDescent="0.2">
      <c r="A320" t="str">
        <f ca="1">ORÇAMENTO!C320</f>
        <v>S</v>
      </c>
      <c r="B320">
        <f ca="1">ORÇAMENTO!D320</f>
        <v>0</v>
      </c>
      <c r="C320" s="114" t="str">
        <f t="shared" ca="1" si="29"/>
        <v>F</v>
      </c>
      <c r="D320" s="117" t="str">
        <f ca="1">ORÇAMENTO!O320</f>
        <v>1.7.4.4.3.</v>
      </c>
      <c r="E320" s="163" t="str">
        <f t="shared" ca="1" si="30"/>
        <v>ENCHIMENTO DE BRITA Nº 0 PARA DRENO, LANÇAMENTO MECANIZADO - BASEADO EM SINAPI (102717)</v>
      </c>
      <c r="F320" s="164" t="str">
        <f ca="1">IF(RegimeExecucao="Global","",ORÇAMENTO.Unidade)</f>
        <v>M3</v>
      </c>
      <c r="G320" s="122">
        <f ca="1">IF(RegimeExecucao="Global","",ORÇAMENTO!T320)</f>
        <v>36.299999999999997</v>
      </c>
      <c r="H320" s="122">
        <f ca="1">IF(RegimeExecucao="Global","",ORÇAMENTO!W320)</f>
        <v>240.58</v>
      </c>
      <c r="I320" s="125">
        <f ca="1">ORÇAMENTO!X320</f>
        <v>8733.0499999999993</v>
      </c>
      <c r="J320" s="333" cm="1">
        <f t="array" aca="1" ref="J320" ca="1">_xlfn.SINGLE(IF($A320="S",IF(CAIXA.Modo,BM.AFAnterior,BM.MEDAnterior),IF(AND(_xlfn.SINGLE(RegimeExecucao)="Global",$I320&gt;0,COUNTIF($AB$13:$AM$13,BM.medicao-1)&gt;0),M320/$I320*100,0)))</f>
        <v>0</v>
      </c>
      <c r="K320" s="122">
        <f t="shared" ca="1" si="31"/>
        <v>0</v>
      </c>
      <c r="L320" s="334" cm="1">
        <f t="array" aca="1" ref="L320" ca="1">_xlfn.SINGLE(IF($A320="S",IF(CAIXA.Modo,BM.AFAcumulado,BM.MEDAcumulado),IF(AND(_xlfn.SINGLE(RegimeExecucao)="Global",$I320&gt;0,COUNTIF($AB$13:$AM$13,BM.medicao)&gt;0),O320/$I320*100,0)))</f>
        <v>0</v>
      </c>
      <c r="M320" s="335">
        <f ca="1">IF($A320="S",VTOTALBM,IF($A320=0,0,ROUND(SomaAgrupBM,15-13*ORÇAMENTO!$AF$11)))</f>
        <v>0</v>
      </c>
      <c r="N320" s="336">
        <f t="shared" ca="1" si="32"/>
        <v>0</v>
      </c>
      <c r="O320" s="125">
        <f ca="1">IF($A320="S",VTOTALBM,IF($A320=0,0,ROUND(SomaAgrupBM,15-13*ORÇAMENTO!$AF$11)))</f>
        <v>0</v>
      </c>
      <c r="Q320" s="337"/>
      <c r="R320" s="338"/>
      <c r="T320" s="117" t="str">
        <f t="shared" ca="1" si="33"/>
        <v/>
      </c>
      <c r="U320" s="163" t="str">
        <f t="shared" ca="1" si="34"/>
        <v/>
      </c>
      <c r="V320" s="164" t="str">
        <f ca="1">IF(AND($W320&gt;0,RegimeExecucao="Unitário"),$F320,"")</f>
        <v/>
      </c>
      <c r="W320" s="454">
        <f ca="1">IF($Y320&gt;0,CHOOSE(MATCH(RegimeExecucao,{"Unitário","Global"},0),IF($A320="S",$Y320/$X320,""),($Y320/$X320)*100),0)</f>
        <v>0</v>
      </c>
      <c r="X320" s="339" t="str">
        <f ca="1">IF($Y320&gt;0,CHOOSE(MATCH(RegimeExecucao,{"Unitário","Global"},0),IF($A320="S",ROUND($H320,ORÇAMENTO!$AF$10),""),ROUND($I320,ORÇAMENTO!$AF$11)),"")</f>
        <v/>
      </c>
      <c r="Y320" s="339">
        <f t="shared" ca="1" si="35"/>
        <v>0</v>
      </c>
      <c r="Z320" s="473"/>
      <c r="AB320" s="337"/>
      <c r="AC320" s="437"/>
      <c r="AD320" s="437"/>
      <c r="AE320" s="437"/>
      <c r="AF320" s="437"/>
      <c r="AG320" s="437"/>
      <c r="AH320" s="437"/>
      <c r="AI320" s="437"/>
      <c r="AJ320" s="437"/>
      <c r="AK320" s="437"/>
      <c r="AL320" s="437"/>
      <c r="AM320" s="338"/>
      <c r="AO320">
        <f ca="1">IF($A320="S",IF(BM!$I320=0,0,CHOOSE(MATCH(RegimeExecucao,{"Global","Unitário"},0),ROUND(ROUND(BM.MEDAcumulado,15-13*BM!$A$9)/100*BM!$I320,15-13*ORÇAMENTO!$AF$11),ROUND(ROUND(BM.MEDAcumulado,15-13*BM!$A$9)*ROUND(BM!$H320,15-13*ORÇAMENTO!$AF$10),15-13*ORÇAMENTO!$AF$11))),IF($A320=0,0,ROUND(SomaAgrupBM,15-13*ORÇAMENTO!$AF$11)))</f>
        <v>0</v>
      </c>
    </row>
    <row r="321" spans="1:41" ht="25.5" x14ac:dyDescent="0.2">
      <c r="A321" t="str">
        <f ca="1">ORÇAMENTO!C321</f>
        <v>S</v>
      </c>
      <c r="B321">
        <f ca="1">ORÇAMENTO!D321</f>
        <v>0</v>
      </c>
      <c r="C321" s="114" t="str">
        <f t="shared" ca="1" si="29"/>
        <v>F</v>
      </c>
      <c r="D321" s="117" t="str">
        <f ca="1">ORÇAMENTO!O321</f>
        <v>1.7.4.4.4.</v>
      </c>
      <c r="E321" s="163" t="str">
        <f t="shared" ca="1" si="30"/>
        <v>ENCHIMENTO DE BRITA Nº 1 PARA DRENO, LANÇAMENTO MECANIZADO - BASEADO EM SINAPI (102717)</v>
      </c>
      <c r="F321" s="164" t="str">
        <f ca="1">IF(RegimeExecucao="Global","",ORÇAMENTO.Unidade)</f>
        <v>M3</v>
      </c>
      <c r="G321" s="122">
        <f ca="1">IF(RegimeExecucao="Global","",ORÇAMENTO!T321)</f>
        <v>72.599999999999994</v>
      </c>
      <c r="H321" s="122">
        <f ca="1">IF(RegimeExecucao="Global","",ORÇAMENTO!W321)</f>
        <v>212.96</v>
      </c>
      <c r="I321" s="125">
        <f ca="1">ORÇAMENTO!X321</f>
        <v>15460.9</v>
      </c>
      <c r="J321" s="333" cm="1">
        <f t="array" aca="1" ref="J321" ca="1">_xlfn.SINGLE(IF($A321="S",IF(CAIXA.Modo,BM.AFAnterior,BM.MEDAnterior),IF(AND(_xlfn.SINGLE(RegimeExecucao)="Global",$I321&gt;0,COUNTIF($AB$13:$AM$13,BM.medicao-1)&gt;0),M321/$I321*100,0)))</f>
        <v>0</v>
      </c>
      <c r="K321" s="122">
        <f t="shared" ca="1" si="31"/>
        <v>0</v>
      </c>
      <c r="L321" s="334" cm="1">
        <f t="array" aca="1" ref="L321" ca="1">_xlfn.SINGLE(IF($A321="S",IF(CAIXA.Modo,BM.AFAcumulado,BM.MEDAcumulado),IF(AND(_xlfn.SINGLE(RegimeExecucao)="Global",$I321&gt;0,COUNTIF($AB$13:$AM$13,BM.medicao)&gt;0),O321/$I321*100,0)))</f>
        <v>0</v>
      </c>
      <c r="M321" s="335">
        <f ca="1">IF($A321="S",VTOTALBM,IF($A321=0,0,ROUND(SomaAgrupBM,15-13*ORÇAMENTO!$AF$11)))</f>
        <v>0</v>
      </c>
      <c r="N321" s="336">
        <f t="shared" ca="1" si="32"/>
        <v>0</v>
      </c>
      <c r="O321" s="125">
        <f ca="1">IF($A321="S",VTOTALBM,IF($A321=0,0,ROUND(SomaAgrupBM,15-13*ORÇAMENTO!$AF$11)))</f>
        <v>0</v>
      </c>
      <c r="Q321" s="337"/>
      <c r="R321" s="338"/>
      <c r="T321" s="117" t="str">
        <f t="shared" ca="1" si="33"/>
        <v/>
      </c>
      <c r="U321" s="163" t="str">
        <f t="shared" ca="1" si="34"/>
        <v/>
      </c>
      <c r="V321" s="164" t="str">
        <f ca="1">IF(AND($W321&gt;0,RegimeExecucao="Unitário"),$F321,"")</f>
        <v/>
      </c>
      <c r="W321" s="454">
        <f ca="1">IF($Y321&gt;0,CHOOSE(MATCH(RegimeExecucao,{"Unitário","Global"},0),IF($A321="S",$Y321/$X321,""),($Y321/$X321)*100),0)</f>
        <v>0</v>
      </c>
      <c r="X321" s="339" t="str">
        <f ca="1">IF($Y321&gt;0,CHOOSE(MATCH(RegimeExecucao,{"Unitário","Global"},0),IF($A321="S",ROUND($H321,ORÇAMENTO!$AF$10),""),ROUND($I321,ORÇAMENTO!$AF$11)),"")</f>
        <v/>
      </c>
      <c r="Y321" s="339">
        <f t="shared" ca="1" si="35"/>
        <v>0</v>
      </c>
      <c r="Z321" s="473"/>
      <c r="AB321" s="337"/>
      <c r="AC321" s="437"/>
      <c r="AD321" s="437"/>
      <c r="AE321" s="437"/>
      <c r="AF321" s="437"/>
      <c r="AG321" s="437"/>
      <c r="AH321" s="437"/>
      <c r="AI321" s="437"/>
      <c r="AJ321" s="437"/>
      <c r="AK321" s="437"/>
      <c r="AL321" s="437"/>
      <c r="AM321" s="338"/>
      <c r="AO321">
        <f ca="1">IF($A321="S",IF(BM!$I321=0,0,CHOOSE(MATCH(RegimeExecucao,{"Global","Unitário"},0),ROUND(ROUND(BM.MEDAcumulado,15-13*BM!$A$9)/100*BM!$I321,15-13*ORÇAMENTO!$AF$11),ROUND(ROUND(BM.MEDAcumulado,15-13*BM!$A$9)*ROUND(BM!$H321,15-13*ORÇAMENTO!$AF$10),15-13*ORÇAMENTO!$AF$11))),IF($A321=0,0,ROUND(SomaAgrupBM,15-13*ORÇAMENTO!$AF$11)))</f>
        <v>0</v>
      </c>
    </row>
    <row r="322" spans="1:41" ht="25.5" x14ac:dyDescent="0.2">
      <c r="A322" t="str">
        <f ca="1">ORÇAMENTO!C322</f>
        <v>S</v>
      </c>
      <c r="B322">
        <f ca="1">ORÇAMENTO!D322</f>
        <v>0</v>
      </c>
      <c r="C322" s="114" t="str">
        <f t="shared" ca="1" si="29"/>
        <v>F</v>
      </c>
      <c r="D322" s="117" t="str">
        <f ca="1">ORÇAMENTO!O322</f>
        <v>1.7.4.4.5.</v>
      </c>
      <c r="E322" s="163" t="str">
        <f t="shared" ca="1" si="30"/>
        <v>ENCHIMENTO DE BRITA Nº 2 E 3 PARA DRENO, LANÇAMENTO MECANIZADO - BASEADO EM SINAPI (102717)</v>
      </c>
      <c r="F322" s="164" t="str">
        <f ca="1">IF(RegimeExecucao="Global","",ORÇAMENTO.Unidade)</f>
        <v>M3</v>
      </c>
      <c r="G322" s="122">
        <f ca="1">IF(RegimeExecucao="Global","",ORÇAMENTO!T322)</f>
        <v>36.299999999999997</v>
      </c>
      <c r="H322" s="122">
        <f ca="1">IF(RegimeExecucao="Global","",ORÇAMENTO!W322)</f>
        <v>208.48</v>
      </c>
      <c r="I322" s="125">
        <f ca="1">ORÇAMENTO!X322</f>
        <v>7567.82</v>
      </c>
      <c r="J322" s="333" cm="1">
        <f t="array" aca="1" ref="J322" ca="1">_xlfn.SINGLE(IF($A322="S",IF(CAIXA.Modo,BM.AFAnterior,BM.MEDAnterior),IF(AND(_xlfn.SINGLE(RegimeExecucao)="Global",$I322&gt;0,COUNTIF($AB$13:$AM$13,BM.medicao-1)&gt;0),M322/$I322*100,0)))</f>
        <v>0</v>
      </c>
      <c r="K322" s="122">
        <f t="shared" ca="1" si="31"/>
        <v>0</v>
      </c>
      <c r="L322" s="334" cm="1">
        <f t="array" aca="1" ref="L322" ca="1">_xlfn.SINGLE(IF($A322="S",IF(CAIXA.Modo,BM.AFAcumulado,BM.MEDAcumulado),IF(AND(_xlfn.SINGLE(RegimeExecucao)="Global",$I322&gt;0,COUNTIF($AB$13:$AM$13,BM.medicao)&gt;0),O322/$I322*100,0)))</f>
        <v>0</v>
      </c>
      <c r="M322" s="335">
        <f ca="1">IF($A322="S",VTOTALBM,IF($A322=0,0,ROUND(SomaAgrupBM,15-13*ORÇAMENTO!$AF$11)))</f>
        <v>0</v>
      </c>
      <c r="N322" s="336">
        <f t="shared" ca="1" si="32"/>
        <v>0</v>
      </c>
      <c r="O322" s="125">
        <f ca="1">IF($A322="S",VTOTALBM,IF($A322=0,0,ROUND(SomaAgrupBM,15-13*ORÇAMENTO!$AF$11)))</f>
        <v>0</v>
      </c>
      <c r="Q322" s="337"/>
      <c r="R322" s="338"/>
      <c r="T322" s="117" t="str">
        <f t="shared" ca="1" si="33"/>
        <v/>
      </c>
      <c r="U322" s="163" t="str">
        <f t="shared" ca="1" si="34"/>
        <v/>
      </c>
      <c r="V322" s="164" t="str">
        <f ca="1">IF(AND($W322&gt;0,RegimeExecucao="Unitário"),$F322,"")</f>
        <v/>
      </c>
      <c r="W322" s="454">
        <f ca="1">IF($Y322&gt;0,CHOOSE(MATCH(RegimeExecucao,{"Unitário","Global"},0),IF($A322="S",$Y322/$X322,""),($Y322/$X322)*100),0)</f>
        <v>0</v>
      </c>
      <c r="X322" s="339" t="str">
        <f ca="1">IF($Y322&gt;0,CHOOSE(MATCH(RegimeExecucao,{"Unitário","Global"},0),IF($A322="S",ROUND($H322,ORÇAMENTO!$AF$10),""),ROUND($I322,ORÇAMENTO!$AF$11)),"")</f>
        <v/>
      </c>
      <c r="Y322" s="339">
        <f t="shared" ca="1" si="35"/>
        <v>0</v>
      </c>
      <c r="Z322" s="473"/>
      <c r="AB322" s="337"/>
      <c r="AC322" s="437"/>
      <c r="AD322" s="437"/>
      <c r="AE322" s="437"/>
      <c r="AF322" s="437"/>
      <c r="AG322" s="437"/>
      <c r="AH322" s="437"/>
      <c r="AI322" s="437"/>
      <c r="AJ322" s="437"/>
      <c r="AK322" s="437"/>
      <c r="AL322" s="437"/>
      <c r="AM322" s="338"/>
      <c r="AO322">
        <f ca="1">IF($A322="S",IF(BM!$I322=0,0,CHOOSE(MATCH(RegimeExecucao,{"Global","Unitário"},0),ROUND(ROUND(BM.MEDAcumulado,15-13*BM!$A$9)/100*BM!$I322,15-13*ORÇAMENTO!$AF$11),ROUND(ROUND(BM.MEDAcumulado,15-13*BM!$A$9)*ROUND(BM!$H322,15-13*ORÇAMENTO!$AF$10),15-13*ORÇAMENTO!$AF$11))),IF($A322=0,0,ROUND(SomaAgrupBM,15-13*ORÇAMENTO!$AF$11)))</f>
        <v>0</v>
      </c>
    </row>
    <row r="323" spans="1:41" x14ac:dyDescent="0.2">
      <c r="A323">
        <f ca="1">ORÇAMENTO!C323</f>
        <v>4</v>
      </c>
      <c r="B323">
        <f ca="1">ORÇAMENTO!D323</f>
        <v>3</v>
      </c>
      <c r="C323" s="114" t="str">
        <f t="shared" ca="1" si="29"/>
        <v>F</v>
      </c>
      <c r="D323" s="117" t="str">
        <f ca="1">ORÇAMENTO!O323</f>
        <v>1.7.4.5.</v>
      </c>
      <c r="E323" s="163" t="str">
        <f t="shared" si="30"/>
        <v>CARGA E TRANSPORTE</v>
      </c>
      <c r="F323" s="164" t="str">
        <f ca="1">IF(RegimeExecucao="Global","",ORÇAMENTO.Unidade)</f>
        <v>-</v>
      </c>
      <c r="G323" s="122">
        <f ca="1">IF(RegimeExecucao="Global","",ORÇAMENTO!T323)</f>
        <v>0</v>
      </c>
      <c r="H323" s="122">
        <f ca="1">IF(RegimeExecucao="Global","",ORÇAMENTO!W323)</f>
        <v>0</v>
      </c>
      <c r="I323" s="125">
        <f ca="1">ORÇAMENTO!X323</f>
        <v>8736.23</v>
      </c>
      <c r="J323" s="333" cm="1">
        <f t="array" aca="1" ref="J323" ca="1">_xlfn.SINGLE(IF($A323="S",IF(CAIXA.Modo,BM.AFAnterior,BM.MEDAnterior),IF(AND(_xlfn.SINGLE(RegimeExecucao)="Global",$I323&gt;0,COUNTIF($AB$13:$AM$13,BM.medicao-1)&gt;0),M323/$I323*100,0)))</f>
        <v>0</v>
      </c>
      <c r="K323" s="122">
        <f t="shared" ca="1" si="31"/>
        <v>0</v>
      </c>
      <c r="L323" s="334" cm="1">
        <f t="array" aca="1" ref="L323" ca="1">_xlfn.SINGLE(IF($A323="S",IF(CAIXA.Modo,BM.AFAcumulado,BM.MEDAcumulado),IF(AND(_xlfn.SINGLE(RegimeExecucao)="Global",$I323&gt;0,COUNTIF($AB$13:$AM$13,BM.medicao)&gt;0),O323/$I323*100,0)))</f>
        <v>0</v>
      </c>
      <c r="M323" s="335">
        <f ca="1">IF($A323="S",VTOTALBM,IF($A323=0,0,ROUND(SomaAgrupBM,15-13*ORÇAMENTO!$AF$11)))</f>
        <v>0</v>
      </c>
      <c r="N323" s="336">
        <f t="shared" ca="1" si="32"/>
        <v>0</v>
      </c>
      <c r="O323" s="125">
        <f ca="1">IF($A323="S",VTOTALBM,IF($A323=0,0,ROUND(SomaAgrupBM,15-13*ORÇAMENTO!$AF$11)))</f>
        <v>0</v>
      </c>
      <c r="Q323" s="337"/>
      <c r="R323" s="338"/>
      <c r="T323" s="117" t="str">
        <f t="shared" ca="1" si="33"/>
        <v/>
      </c>
      <c r="U323" s="163" t="str">
        <f t="shared" ca="1" si="34"/>
        <v/>
      </c>
      <c r="V323" s="164" t="str">
        <f ca="1">IF(AND($W323&gt;0,RegimeExecucao="Unitário"),$F323,"")</f>
        <v/>
      </c>
      <c r="W323" s="454">
        <f ca="1">IF($Y323&gt;0,CHOOSE(MATCH(RegimeExecucao,{"Unitário","Global"},0),IF($A323="S",$Y323/$X323,""),($Y323/$X323)*100),0)</f>
        <v>0</v>
      </c>
      <c r="X323" s="339" t="str">
        <f ca="1">IF($Y323&gt;0,CHOOSE(MATCH(RegimeExecucao,{"Unitário","Global"},0),IF($A323="S",ROUND($H323,ORÇAMENTO!$AF$10),""),ROUND($I323,ORÇAMENTO!$AF$11)),"")</f>
        <v/>
      </c>
      <c r="Y323" s="339">
        <f t="shared" ca="1" si="35"/>
        <v>0</v>
      </c>
      <c r="Z323" s="473"/>
      <c r="AB323" s="337"/>
      <c r="AC323" s="437"/>
      <c r="AD323" s="437"/>
      <c r="AE323" s="437"/>
      <c r="AF323" s="437"/>
      <c r="AG323" s="437"/>
      <c r="AH323" s="437"/>
      <c r="AI323" s="437"/>
      <c r="AJ323" s="437"/>
      <c r="AK323" s="437"/>
      <c r="AL323" s="437"/>
      <c r="AM323" s="338"/>
      <c r="AO323">
        <f ca="1">IF($A323="S",IF(BM!$I323=0,0,CHOOSE(MATCH(RegimeExecucao,{"Global","Unitário"},0),ROUND(ROUND(BM.MEDAcumulado,15-13*BM!$A$9)/100*BM!$I323,15-13*ORÇAMENTO!$AF$11),ROUND(ROUND(BM.MEDAcumulado,15-13*BM!$A$9)*ROUND(BM!$H323,15-13*ORÇAMENTO!$AF$10),15-13*ORÇAMENTO!$AF$11))),IF($A323=0,0,ROUND(SomaAgrupBM,15-13*ORÇAMENTO!$AF$11)))</f>
        <v>0</v>
      </c>
    </row>
    <row r="324" spans="1:41" ht="51" x14ac:dyDescent="0.2">
      <c r="A324" t="str">
        <f ca="1">ORÇAMENTO!C324</f>
        <v>S</v>
      </c>
      <c r="B324">
        <f ca="1">ORÇAMENTO!D324</f>
        <v>0</v>
      </c>
      <c r="C324" s="114" t="str">
        <f t="shared" ca="1" si="29"/>
        <v>F</v>
      </c>
      <c r="D324" s="117" t="str">
        <f ca="1">ORÇAMENTO!O324</f>
        <v>1.7.4.5.1.</v>
      </c>
      <c r="E324" s="163" t="str">
        <f t="shared" ca="1" si="30"/>
        <v>CARGA, MANOBRA E DESCARGA DE SOLOS E MATERIAIS GRANULARES EM CAMINHÃO BASCULANTE 18 M³ - CARGA COM ESCAVADEIRA HIDRÁULICA (CAÇAMBA DE 1,20 M³ / 155 HP) E DESCARGA LIVRE (UNIDADE: M3). AF_07/2020</v>
      </c>
      <c r="F324" s="164" t="str">
        <f ca="1">IF(RegimeExecucao="Global","",ORÇAMENTO.Unidade)</f>
        <v>M3</v>
      </c>
      <c r="G324" s="122">
        <f ca="1">IF(RegimeExecucao="Global","",ORÇAMENTO!T324)</f>
        <v>173.51</v>
      </c>
      <c r="H324" s="122">
        <f ca="1">IF(RegimeExecucao="Global","",ORÇAMENTO!W324)</f>
        <v>8.0500000000000007</v>
      </c>
      <c r="I324" s="125">
        <f ca="1">ORÇAMENTO!X324</f>
        <v>1396.76</v>
      </c>
      <c r="J324" s="333" cm="1">
        <f t="array" aca="1" ref="J324" ca="1">_xlfn.SINGLE(IF($A324="S",IF(CAIXA.Modo,BM.AFAnterior,BM.MEDAnterior),IF(AND(_xlfn.SINGLE(RegimeExecucao)="Global",$I324&gt;0,COUNTIF($AB$13:$AM$13,BM.medicao-1)&gt;0),M324/$I324*100,0)))</f>
        <v>0</v>
      </c>
      <c r="K324" s="122">
        <f t="shared" ca="1" si="31"/>
        <v>0</v>
      </c>
      <c r="L324" s="334" cm="1">
        <f t="array" aca="1" ref="L324" ca="1">_xlfn.SINGLE(IF($A324="S",IF(CAIXA.Modo,BM.AFAcumulado,BM.MEDAcumulado),IF(AND(_xlfn.SINGLE(RegimeExecucao)="Global",$I324&gt;0,COUNTIF($AB$13:$AM$13,BM.medicao)&gt;0),O324/$I324*100,0)))</f>
        <v>0</v>
      </c>
      <c r="M324" s="335">
        <f ca="1">IF($A324="S",VTOTALBM,IF($A324=0,0,ROUND(SomaAgrupBM,15-13*ORÇAMENTO!$AF$11)))</f>
        <v>0</v>
      </c>
      <c r="N324" s="336">
        <f t="shared" ca="1" si="32"/>
        <v>0</v>
      </c>
      <c r="O324" s="125">
        <f ca="1">IF($A324="S",VTOTALBM,IF($A324=0,0,ROUND(SomaAgrupBM,15-13*ORÇAMENTO!$AF$11)))</f>
        <v>0</v>
      </c>
      <c r="Q324" s="337"/>
      <c r="R324" s="338"/>
      <c r="T324" s="117" t="str">
        <f t="shared" ca="1" si="33"/>
        <v/>
      </c>
      <c r="U324" s="163" t="str">
        <f t="shared" ca="1" si="34"/>
        <v/>
      </c>
      <c r="V324" s="164" t="str">
        <f ca="1">IF(AND($W324&gt;0,RegimeExecucao="Unitário"),$F324,"")</f>
        <v/>
      </c>
      <c r="W324" s="454">
        <f ca="1">IF($Y324&gt;0,CHOOSE(MATCH(RegimeExecucao,{"Unitário","Global"},0),IF($A324="S",$Y324/$X324,""),($Y324/$X324)*100),0)</f>
        <v>0</v>
      </c>
      <c r="X324" s="339" t="str">
        <f ca="1">IF($Y324&gt;0,CHOOSE(MATCH(RegimeExecucao,{"Unitário","Global"},0),IF($A324="S",ROUND($H324,ORÇAMENTO!$AF$10),""),ROUND($I324,ORÇAMENTO!$AF$11)),"")</f>
        <v/>
      </c>
      <c r="Y324" s="339">
        <f t="shared" ca="1" si="35"/>
        <v>0</v>
      </c>
      <c r="Z324" s="473"/>
      <c r="AB324" s="337"/>
      <c r="AC324" s="437"/>
      <c r="AD324" s="437"/>
      <c r="AE324" s="437"/>
      <c r="AF324" s="437"/>
      <c r="AG324" s="437"/>
      <c r="AH324" s="437"/>
      <c r="AI324" s="437"/>
      <c r="AJ324" s="437"/>
      <c r="AK324" s="437"/>
      <c r="AL324" s="437"/>
      <c r="AM324" s="338"/>
      <c r="AO324">
        <f ca="1">IF($A324="S",IF(BM!$I324=0,0,CHOOSE(MATCH(RegimeExecucao,{"Global","Unitário"},0),ROUND(ROUND(BM.MEDAcumulado,15-13*BM!$A$9)/100*BM!$I324,15-13*ORÇAMENTO!$AF$11),ROUND(ROUND(BM.MEDAcumulado,15-13*BM!$A$9)*ROUND(BM!$H324,15-13*ORÇAMENTO!$AF$10),15-13*ORÇAMENTO!$AF$11))),IF($A324=0,0,ROUND(SomaAgrupBM,15-13*ORÇAMENTO!$AF$11)))</f>
        <v>0</v>
      </c>
    </row>
    <row r="325" spans="1:41" ht="38.25" x14ac:dyDescent="0.2">
      <c r="A325" t="str">
        <f ca="1">ORÇAMENTO!C325</f>
        <v>S</v>
      </c>
      <c r="B325">
        <f ca="1">ORÇAMENTO!D325</f>
        <v>0</v>
      </c>
      <c r="C325" s="114" t="str">
        <f t="shared" ca="1" si="29"/>
        <v>F</v>
      </c>
      <c r="D325" s="117" t="str">
        <f ca="1">ORÇAMENTO!O325</f>
        <v>1.7.4.5.2.</v>
      </c>
      <c r="E325" s="163" t="str">
        <f t="shared" ca="1" si="30"/>
        <v>TRANSPORTE COM CAMINHÃO BASCULANTE DE 18 M³, EM VIA URBANA PAVIMENTADA, DMT ATÉ 30 KM (UNIDADE: M3XKM). AF_07/2020</v>
      </c>
      <c r="F325" s="164" t="str">
        <f ca="1">IF(RegimeExecucao="Global","",ORÇAMENTO.Unidade)</f>
        <v>M3XKM</v>
      </c>
      <c r="G325" s="122">
        <f ca="1">IF(RegimeExecucao="Global","",ORÇAMENTO!T325)</f>
        <v>3123.18</v>
      </c>
      <c r="H325" s="122">
        <f ca="1">IF(RegimeExecucao="Global","",ORÇAMENTO!W325)</f>
        <v>2.35</v>
      </c>
      <c r="I325" s="125">
        <f ca="1">ORÇAMENTO!X325</f>
        <v>7339.47</v>
      </c>
      <c r="J325" s="333" cm="1">
        <f t="array" aca="1" ref="J325" ca="1">_xlfn.SINGLE(IF($A325="S",IF(CAIXA.Modo,BM.AFAnterior,BM.MEDAnterior),IF(AND(_xlfn.SINGLE(RegimeExecucao)="Global",$I325&gt;0,COUNTIF($AB$13:$AM$13,BM.medicao-1)&gt;0),M325/$I325*100,0)))</f>
        <v>0</v>
      </c>
      <c r="K325" s="122">
        <f t="shared" ca="1" si="31"/>
        <v>0</v>
      </c>
      <c r="L325" s="334" cm="1">
        <f t="array" aca="1" ref="L325" ca="1">_xlfn.SINGLE(IF($A325="S",IF(CAIXA.Modo,BM.AFAcumulado,BM.MEDAcumulado),IF(AND(_xlfn.SINGLE(RegimeExecucao)="Global",$I325&gt;0,COUNTIF($AB$13:$AM$13,BM.medicao)&gt;0),O325/$I325*100,0)))</f>
        <v>0</v>
      </c>
      <c r="M325" s="335">
        <f ca="1">IF($A325="S",VTOTALBM,IF($A325=0,0,ROUND(SomaAgrupBM,15-13*ORÇAMENTO!$AF$11)))</f>
        <v>0</v>
      </c>
      <c r="N325" s="336">
        <f t="shared" ca="1" si="32"/>
        <v>0</v>
      </c>
      <c r="O325" s="125">
        <f ca="1">IF($A325="S",VTOTALBM,IF($A325=0,0,ROUND(SomaAgrupBM,15-13*ORÇAMENTO!$AF$11)))</f>
        <v>0</v>
      </c>
      <c r="Q325" s="337"/>
      <c r="R325" s="338"/>
      <c r="T325" s="117" t="str">
        <f t="shared" ca="1" si="33"/>
        <v/>
      </c>
      <c r="U325" s="163" t="str">
        <f t="shared" ca="1" si="34"/>
        <v/>
      </c>
      <c r="V325" s="164" t="str">
        <f ca="1">IF(AND($W325&gt;0,RegimeExecucao="Unitário"),$F325,"")</f>
        <v/>
      </c>
      <c r="W325" s="454">
        <f ca="1">IF($Y325&gt;0,CHOOSE(MATCH(RegimeExecucao,{"Unitário","Global"},0),IF($A325="S",$Y325/$X325,""),($Y325/$X325)*100),0)</f>
        <v>0</v>
      </c>
      <c r="X325" s="339" t="str">
        <f ca="1">IF($Y325&gt;0,CHOOSE(MATCH(RegimeExecucao,{"Unitário","Global"},0),IF($A325="S",ROUND($H325,ORÇAMENTO!$AF$10),""),ROUND($I325,ORÇAMENTO!$AF$11)),"")</f>
        <v/>
      </c>
      <c r="Y325" s="339">
        <f t="shared" ca="1" si="35"/>
        <v>0</v>
      </c>
      <c r="Z325" s="473"/>
      <c r="AB325" s="337"/>
      <c r="AC325" s="437"/>
      <c r="AD325" s="437"/>
      <c r="AE325" s="437"/>
      <c r="AF325" s="437"/>
      <c r="AG325" s="437"/>
      <c r="AH325" s="437"/>
      <c r="AI325" s="437"/>
      <c r="AJ325" s="437"/>
      <c r="AK325" s="437"/>
      <c r="AL325" s="437"/>
      <c r="AM325" s="338"/>
      <c r="AO325">
        <f ca="1">IF($A325="S",IF(BM!$I325=0,0,CHOOSE(MATCH(RegimeExecucao,{"Global","Unitário"},0),ROUND(ROUND(BM.MEDAcumulado,15-13*BM!$A$9)/100*BM!$I325,15-13*ORÇAMENTO!$AF$11),ROUND(ROUND(BM.MEDAcumulado,15-13*BM!$A$9)*ROUND(BM!$H325,15-13*ORÇAMENTO!$AF$10),15-13*ORÇAMENTO!$AF$11))),IF($A325=0,0,ROUND(SomaAgrupBM,15-13*ORÇAMENTO!$AF$11)))</f>
        <v>0</v>
      </c>
    </row>
    <row r="326" spans="1:41" x14ac:dyDescent="0.2">
      <c r="A326">
        <f ca="1">ORÇAMENTO!C326</f>
        <v>3</v>
      </c>
      <c r="B326">
        <f ca="1">ORÇAMENTO!D326</f>
        <v>14</v>
      </c>
      <c r="C326" s="114" t="str">
        <f t="shared" ca="1" si="29"/>
        <v>F</v>
      </c>
      <c r="D326" s="117" t="str">
        <f ca="1">ORÇAMENTO!O326</f>
        <v>1.7.5.</v>
      </c>
      <c r="E326" s="163" t="str">
        <f t="shared" si="30"/>
        <v>DESINFECÇÃO POR ULTRAVIOLETA</v>
      </c>
      <c r="F326" s="164" t="str">
        <f ca="1">IF(RegimeExecucao="Global","",ORÇAMENTO.Unidade)</f>
        <v>-</v>
      </c>
      <c r="G326" s="122">
        <f ca="1">IF(RegimeExecucao="Global","",ORÇAMENTO!T326)</f>
        <v>0</v>
      </c>
      <c r="H326" s="122">
        <f ca="1">IF(RegimeExecucao="Global","",ORÇAMENTO!W326)</f>
        <v>0</v>
      </c>
      <c r="I326" s="125">
        <f ca="1">ORÇAMENTO!X326</f>
        <v>1748053.83</v>
      </c>
      <c r="J326" s="333" cm="1">
        <f t="array" aca="1" ref="J326" ca="1">_xlfn.SINGLE(IF($A326="S",IF(CAIXA.Modo,BM.AFAnterior,BM.MEDAnterior),IF(AND(_xlfn.SINGLE(RegimeExecucao)="Global",$I326&gt;0,COUNTIF($AB$13:$AM$13,BM.medicao-1)&gt;0),M326/$I326*100,0)))</f>
        <v>0</v>
      </c>
      <c r="K326" s="122">
        <f t="shared" ca="1" si="31"/>
        <v>0</v>
      </c>
      <c r="L326" s="334" cm="1">
        <f t="array" aca="1" ref="L326" ca="1">_xlfn.SINGLE(IF($A326="S",IF(CAIXA.Modo,BM.AFAcumulado,BM.MEDAcumulado),IF(AND(_xlfn.SINGLE(RegimeExecucao)="Global",$I326&gt;0,COUNTIF($AB$13:$AM$13,BM.medicao)&gt;0),O326/$I326*100,0)))</f>
        <v>0</v>
      </c>
      <c r="M326" s="335">
        <f ca="1">IF($A326="S",VTOTALBM,IF($A326=0,0,ROUND(SomaAgrupBM,15-13*ORÇAMENTO!$AF$11)))</f>
        <v>0</v>
      </c>
      <c r="N326" s="336">
        <f t="shared" ca="1" si="32"/>
        <v>0</v>
      </c>
      <c r="O326" s="125">
        <f ca="1">IF($A326="S",VTOTALBM,IF($A326=0,0,ROUND(SomaAgrupBM,15-13*ORÇAMENTO!$AF$11)))</f>
        <v>0</v>
      </c>
      <c r="Q326" s="337"/>
      <c r="R326" s="338"/>
      <c r="T326" s="117" t="str">
        <f t="shared" ca="1" si="33"/>
        <v/>
      </c>
      <c r="U326" s="163" t="str">
        <f t="shared" ca="1" si="34"/>
        <v/>
      </c>
      <c r="V326" s="164" t="str">
        <f ca="1">IF(AND($W326&gt;0,RegimeExecucao="Unitário"),$F326,"")</f>
        <v/>
      </c>
      <c r="W326" s="454">
        <f ca="1">IF($Y326&gt;0,CHOOSE(MATCH(RegimeExecucao,{"Unitário","Global"},0),IF($A326="S",$Y326/$X326,""),($Y326/$X326)*100),0)</f>
        <v>0</v>
      </c>
      <c r="X326" s="339" t="str">
        <f ca="1">IF($Y326&gt;0,CHOOSE(MATCH(RegimeExecucao,{"Unitário","Global"},0),IF($A326="S",ROUND($H326,ORÇAMENTO!$AF$10),""),ROUND($I326,ORÇAMENTO!$AF$11)),"")</f>
        <v/>
      </c>
      <c r="Y326" s="339">
        <f t="shared" ca="1" si="35"/>
        <v>0</v>
      </c>
      <c r="Z326" s="473"/>
      <c r="AB326" s="337"/>
      <c r="AC326" s="437"/>
      <c r="AD326" s="437"/>
      <c r="AE326" s="437"/>
      <c r="AF326" s="437"/>
      <c r="AG326" s="437"/>
      <c r="AH326" s="437"/>
      <c r="AI326" s="437"/>
      <c r="AJ326" s="437"/>
      <c r="AK326" s="437"/>
      <c r="AL326" s="437"/>
      <c r="AM326" s="338"/>
      <c r="AO326">
        <f ca="1">IF($A326="S",IF(BM!$I326=0,0,CHOOSE(MATCH(RegimeExecucao,{"Global","Unitário"},0),ROUND(ROUND(BM.MEDAcumulado,15-13*BM!$A$9)/100*BM!$I326,15-13*ORÇAMENTO!$AF$11),ROUND(ROUND(BM.MEDAcumulado,15-13*BM!$A$9)*ROUND(BM!$H326,15-13*ORÇAMENTO!$AF$10),15-13*ORÇAMENTO!$AF$11))),IF($A326=0,0,ROUND(SomaAgrupBM,15-13*ORÇAMENTO!$AF$11)))</f>
        <v>0</v>
      </c>
    </row>
    <row r="327" spans="1:41" x14ac:dyDescent="0.2">
      <c r="A327">
        <f ca="1">ORÇAMENTO!C327</f>
        <v>4</v>
      </c>
      <c r="B327">
        <f ca="1">ORÇAMENTO!D327</f>
        <v>10</v>
      </c>
      <c r="C327" s="114" t="str">
        <f t="shared" ca="1" si="29"/>
        <v>F</v>
      </c>
      <c r="D327" s="117" t="str">
        <f ca="1">ORÇAMENTO!O327</f>
        <v>1.7.5.1.</v>
      </c>
      <c r="E327" s="163" t="str">
        <f t="shared" si="30"/>
        <v>FORNECIMENTO DE MATERIAIS E EQUIPAMENTOS</v>
      </c>
      <c r="F327" s="164" t="str">
        <f ca="1">IF(RegimeExecucao="Global","",ORÇAMENTO.Unidade)</f>
        <v>-</v>
      </c>
      <c r="G327" s="122">
        <f ca="1">IF(RegimeExecucao="Global","",ORÇAMENTO!T327)</f>
        <v>0</v>
      </c>
      <c r="H327" s="122">
        <f ca="1">IF(RegimeExecucao="Global","",ORÇAMENTO!W327)</f>
        <v>0</v>
      </c>
      <c r="I327" s="125">
        <f ca="1">ORÇAMENTO!X327</f>
        <v>1747298.72</v>
      </c>
      <c r="J327" s="333" cm="1">
        <f t="array" aca="1" ref="J327" ca="1">_xlfn.SINGLE(IF($A327="S",IF(CAIXA.Modo,BM.AFAnterior,BM.MEDAnterior),IF(AND(_xlfn.SINGLE(RegimeExecucao)="Global",$I327&gt;0,COUNTIF($AB$13:$AM$13,BM.medicao-1)&gt;0),M327/$I327*100,0)))</f>
        <v>0</v>
      </c>
      <c r="K327" s="122">
        <f t="shared" ca="1" si="31"/>
        <v>0</v>
      </c>
      <c r="L327" s="334" cm="1">
        <f t="array" aca="1" ref="L327" ca="1">_xlfn.SINGLE(IF($A327="S",IF(CAIXA.Modo,BM.AFAcumulado,BM.MEDAcumulado),IF(AND(_xlfn.SINGLE(RegimeExecucao)="Global",$I327&gt;0,COUNTIF($AB$13:$AM$13,BM.medicao)&gt;0),O327/$I327*100,0)))</f>
        <v>0</v>
      </c>
      <c r="M327" s="335">
        <f ca="1">IF($A327="S",VTOTALBM,IF($A327=0,0,ROUND(SomaAgrupBM,15-13*ORÇAMENTO!$AF$11)))</f>
        <v>0</v>
      </c>
      <c r="N327" s="336">
        <f t="shared" ca="1" si="32"/>
        <v>0</v>
      </c>
      <c r="O327" s="125">
        <f ca="1">IF($A327="S",VTOTALBM,IF($A327=0,0,ROUND(SomaAgrupBM,15-13*ORÇAMENTO!$AF$11)))</f>
        <v>0</v>
      </c>
      <c r="Q327" s="337"/>
      <c r="R327" s="338"/>
      <c r="T327" s="117" t="str">
        <f t="shared" ca="1" si="33"/>
        <v/>
      </c>
      <c r="U327" s="163" t="str">
        <f t="shared" ca="1" si="34"/>
        <v/>
      </c>
      <c r="V327" s="164" t="str">
        <f ca="1">IF(AND($W327&gt;0,RegimeExecucao="Unitário"),$F327,"")</f>
        <v/>
      </c>
      <c r="W327" s="454">
        <f ca="1">IF($Y327&gt;0,CHOOSE(MATCH(RegimeExecucao,{"Unitário","Global"},0),IF($A327="S",$Y327/$X327,""),($Y327/$X327)*100),0)</f>
        <v>0</v>
      </c>
      <c r="X327" s="339" t="str">
        <f ca="1">IF($Y327&gt;0,CHOOSE(MATCH(RegimeExecucao,{"Unitário","Global"},0),IF($A327="S",ROUND($H327,ORÇAMENTO!$AF$10),""),ROUND($I327,ORÇAMENTO!$AF$11)),"")</f>
        <v/>
      </c>
      <c r="Y327" s="339">
        <f t="shared" ca="1" si="35"/>
        <v>0</v>
      </c>
      <c r="Z327" s="473"/>
      <c r="AB327" s="337"/>
      <c r="AC327" s="437"/>
      <c r="AD327" s="437"/>
      <c r="AE327" s="437"/>
      <c r="AF327" s="437"/>
      <c r="AG327" s="437"/>
      <c r="AH327" s="437"/>
      <c r="AI327" s="437"/>
      <c r="AJ327" s="437"/>
      <c r="AK327" s="437"/>
      <c r="AL327" s="437"/>
      <c r="AM327" s="338"/>
      <c r="AO327">
        <f ca="1">IF($A327="S",IF(BM!$I327=0,0,CHOOSE(MATCH(RegimeExecucao,{"Global","Unitário"},0),ROUND(ROUND(BM.MEDAcumulado,15-13*BM!$A$9)/100*BM!$I327,15-13*ORÇAMENTO!$AF$11),ROUND(ROUND(BM.MEDAcumulado,15-13*BM!$A$9)*ROUND(BM!$H327,15-13*ORÇAMENTO!$AF$10),15-13*ORÇAMENTO!$AF$11))),IF($A327=0,0,ROUND(SomaAgrupBM,15-13*ORÇAMENTO!$AF$11)))</f>
        <v>0</v>
      </c>
    </row>
    <row r="328" spans="1:41" ht="51" x14ac:dyDescent="0.2">
      <c r="A328" t="str">
        <f ca="1">ORÇAMENTO!C328</f>
        <v>S</v>
      </c>
      <c r="B328">
        <f ca="1">ORÇAMENTO!D328</f>
        <v>0</v>
      </c>
      <c r="C328" s="114" t="str">
        <f t="shared" ca="1" si="29"/>
        <v>F</v>
      </c>
      <c r="D328" s="117" t="str">
        <f ca="1">ORÇAMENTO!O328</f>
        <v>1.7.5.1.1.</v>
      </c>
      <c r="E328" s="163" t="str">
        <f t="shared" ca="1" si="30"/>
        <v>SISTEMA DE DESINFECÇÃO POR RADIAÇÃO UV (INCLUSO 02 MÓDULOS DE BAIXA PRESSÃO E ALTA INTENSIDADE, DISPOSITIVO DE LIMPEZA, TEMPORIZADO, COMPORTA EM AÇO INOX E MEDIDOR PARA CONTROLE DE NÍVEL  - FORNECIMENTO E INSTALAÇÃO</v>
      </c>
      <c r="F328" s="164" t="str">
        <f ca="1">IF(RegimeExecucao="Global","",ORÇAMENTO.Unidade)</f>
        <v>CJ</v>
      </c>
      <c r="G328" s="122">
        <f ca="1">IF(RegimeExecucao="Global","",ORÇAMENTO!T328)</f>
        <v>1</v>
      </c>
      <c r="H328" s="122">
        <f ca="1">IF(RegimeExecucao="Global","",ORÇAMENTO!W328)</f>
        <v>1625381.94</v>
      </c>
      <c r="I328" s="125">
        <f ca="1">ORÇAMENTO!X328</f>
        <v>1625381.94</v>
      </c>
      <c r="J328" s="333" cm="1">
        <f t="array" aca="1" ref="J328" ca="1">_xlfn.SINGLE(IF($A328="S",IF(CAIXA.Modo,BM.AFAnterior,BM.MEDAnterior),IF(AND(_xlfn.SINGLE(RegimeExecucao)="Global",$I328&gt;0,COUNTIF($AB$13:$AM$13,BM.medicao-1)&gt;0),M328/$I328*100,0)))</f>
        <v>0</v>
      </c>
      <c r="K328" s="122">
        <f t="shared" ca="1" si="31"/>
        <v>0</v>
      </c>
      <c r="L328" s="334" cm="1">
        <f t="array" aca="1" ref="L328" ca="1">_xlfn.SINGLE(IF($A328="S",IF(CAIXA.Modo,BM.AFAcumulado,BM.MEDAcumulado),IF(AND(_xlfn.SINGLE(RegimeExecucao)="Global",$I328&gt;0,COUNTIF($AB$13:$AM$13,BM.medicao)&gt;0),O328/$I328*100,0)))</f>
        <v>0</v>
      </c>
      <c r="M328" s="335">
        <f ca="1">IF($A328="S",VTOTALBM,IF($A328=0,0,ROUND(SomaAgrupBM,15-13*ORÇAMENTO!$AF$11)))</f>
        <v>0</v>
      </c>
      <c r="N328" s="336">
        <f t="shared" ca="1" si="32"/>
        <v>0</v>
      </c>
      <c r="O328" s="125">
        <f ca="1">IF($A328="S",VTOTALBM,IF($A328=0,0,ROUND(SomaAgrupBM,15-13*ORÇAMENTO!$AF$11)))</f>
        <v>0</v>
      </c>
      <c r="Q328" s="337"/>
      <c r="R328" s="338"/>
      <c r="T328" s="117" t="str">
        <f t="shared" ca="1" si="33"/>
        <v/>
      </c>
      <c r="U328" s="163" t="str">
        <f t="shared" ca="1" si="34"/>
        <v/>
      </c>
      <c r="V328" s="164" t="str">
        <f ca="1">IF(AND($W328&gt;0,RegimeExecucao="Unitário"),$F328,"")</f>
        <v/>
      </c>
      <c r="W328" s="454">
        <f ca="1">IF($Y328&gt;0,CHOOSE(MATCH(RegimeExecucao,{"Unitário","Global"},0),IF($A328="S",$Y328/$X328,""),($Y328/$X328)*100),0)</f>
        <v>0</v>
      </c>
      <c r="X328" s="339" t="str">
        <f ca="1">IF($Y328&gt;0,CHOOSE(MATCH(RegimeExecucao,{"Unitário","Global"},0),IF($A328="S",ROUND($H328,ORÇAMENTO!$AF$10),""),ROUND($I328,ORÇAMENTO!$AF$11)),"")</f>
        <v/>
      </c>
      <c r="Y328" s="339">
        <f t="shared" ca="1" si="35"/>
        <v>0</v>
      </c>
      <c r="Z328" s="473"/>
      <c r="AB328" s="337"/>
      <c r="AC328" s="437"/>
      <c r="AD328" s="437"/>
      <c r="AE328" s="437"/>
      <c r="AF328" s="437"/>
      <c r="AG328" s="437"/>
      <c r="AH328" s="437"/>
      <c r="AI328" s="437"/>
      <c r="AJ328" s="437"/>
      <c r="AK328" s="437"/>
      <c r="AL328" s="437"/>
      <c r="AM328" s="338"/>
      <c r="AO328">
        <f ca="1">IF($A328="S",IF(BM!$I328=0,0,CHOOSE(MATCH(RegimeExecucao,{"Global","Unitário"},0),ROUND(ROUND(BM.MEDAcumulado,15-13*BM!$A$9)/100*BM!$I328,15-13*ORÇAMENTO!$AF$11),ROUND(ROUND(BM.MEDAcumulado,15-13*BM!$A$9)*ROUND(BM!$H328,15-13*ORÇAMENTO!$AF$10),15-13*ORÇAMENTO!$AF$11))),IF($A328=0,0,ROUND(SomaAgrupBM,15-13*ORÇAMENTO!$AF$11)))</f>
        <v>0</v>
      </c>
    </row>
    <row r="329" spans="1:41" x14ac:dyDescent="0.2">
      <c r="A329" t="str">
        <f ca="1">ORÇAMENTO!C329</f>
        <v>S</v>
      </c>
      <c r="B329">
        <f ca="1">ORÇAMENTO!D329</f>
        <v>0</v>
      </c>
      <c r="C329" s="114" t="str">
        <f t="shared" ca="1" si="29"/>
        <v>F</v>
      </c>
      <c r="D329" s="117" t="str">
        <f ca="1">ORÇAMENTO!O329</f>
        <v>1.7.5.1.2.</v>
      </c>
      <c r="E329" s="163" t="str">
        <f t="shared" ca="1" si="30"/>
        <v>EXTREMIDADE PONTA/FLANGE FoFo - DN 600 MM</v>
      </c>
      <c r="F329" s="164" t="str">
        <f ca="1">IF(RegimeExecucao="Global","",ORÇAMENTO.Unidade)</f>
        <v>UN</v>
      </c>
      <c r="G329" s="122">
        <f ca="1">IF(RegimeExecucao="Global","",ORÇAMENTO!T329)</f>
        <v>2</v>
      </c>
      <c r="H329" s="122">
        <f ca="1">IF(RegimeExecucao="Global","",ORÇAMENTO!W329)</f>
        <v>15501.17</v>
      </c>
      <c r="I329" s="125">
        <f ca="1">ORÇAMENTO!X329</f>
        <v>31002.34</v>
      </c>
      <c r="J329" s="333" cm="1">
        <f t="array" aca="1" ref="J329" ca="1">_xlfn.SINGLE(IF($A329="S",IF(CAIXA.Modo,BM.AFAnterior,BM.MEDAnterior),IF(AND(_xlfn.SINGLE(RegimeExecucao)="Global",$I329&gt;0,COUNTIF($AB$13:$AM$13,BM.medicao-1)&gt;0),M329/$I329*100,0)))</f>
        <v>0</v>
      </c>
      <c r="K329" s="122">
        <f t="shared" ca="1" si="31"/>
        <v>0</v>
      </c>
      <c r="L329" s="334" cm="1">
        <f t="array" aca="1" ref="L329" ca="1">_xlfn.SINGLE(IF($A329="S",IF(CAIXA.Modo,BM.AFAcumulado,BM.MEDAcumulado),IF(AND(_xlfn.SINGLE(RegimeExecucao)="Global",$I329&gt;0,COUNTIF($AB$13:$AM$13,BM.medicao)&gt;0),O329/$I329*100,0)))</f>
        <v>0</v>
      </c>
      <c r="M329" s="335">
        <f ca="1">IF($A329="S",VTOTALBM,IF($A329=0,0,ROUND(SomaAgrupBM,15-13*ORÇAMENTO!$AF$11)))</f>
        <v>0</v>
      </c>
      <c r="N329" s="336">
        <f t="shared" ca="1" si="32"/>
        <v>0</v>
      </c>
      <c r="O329" s="125">
        <f ca="1">IF($A329="S",VTOTALBM,IF($A329=0,0,ROUND(SomaAgrupBM,15-13*ORÇAMENTO!$AF$11)))</f>
        <v>0</v>
      </c>
      <c r="Q329" s="337"/>
      <c r="R329" s="338"/>
      <c r="T329" s="117" t="str">
        <f t="shared" ca="1" si="33"/>
        <v/>
      </c>
      <c r="U329" s="163" t="str">
        <f t="shared" ca="1" si="34"/>
        <v/>
      </c>
      <c r="V329" s="164" t="str">
        <f ca="1">IF(AND($W329&gt;0,RegimeExecucao="Unitário"),$F329,"")</f>
        <v/>
      </c>
      <c r="W329" s="454">
        <f ca="1">IF($Y329&gt;0,CHOOSE(MATCH(RegimeExecucao,{"Unitário","Global"},0),IF($A329="S",$Y329/$X329,""),($Y329/$X329)*100),0)</f>
        <v>0</v>
      </c>
      <c r="X329" s="339" t="str">
        <f ca="1">IF($Y329&gt;0,CHOOSE(MATCH(RegimeExecucao,{"Unitário","Global"},0),IF($A329="S",ROUND($H329,ORÇAMENTO!$AF$10),""),ROUND($I329,ORÇAMENTO!$AF$11)),"")</f>
        <v/>
      </c>
      <c r="Y329" s="339">
        <f t="shared" ca="1" si="35"/>
        <v>0</v>
      </c>
      <c r="Z329" s="473"/>
      <c r="AB329" s="337"/>
      <c r="AC329" s="437"/>
      <c r="AD329" s="437"/>
      <c r="AE329" s="437"/>
      <c r="AF329" s="437"/>
      <c r="AG329" s="437"/>
      <c r="AH329" s="437"/>
      <c r="AI329" s="437"/>
      <c r="AJ329" s="437"/>
      <c r="AK329" s="437"/>
      <c r="AL329" s="437"/>
      <c r="AM329" s="338"/>
      <c r="AO329">
        <f ca="1">IF($A329="S",IF(BM!$I329=0,0,CHOOSE(MATCH(RegimeExecucao,{"Global","Unitário"},0),ROUND(ROUND(BM.MEDAcumulado,15-13*BM!$A$9)/100*BM!$I329,15-13*ORÇAMENTO!$AF$11),ROUND(ROUND(BM.MEDAcumulado,15-13*BM!$A$9)*ROUND(BM!$H329,15-13*ORÇAMENTO!$AF$10),15-13*ORÇAMENTO!$AF$11))),IF($A329=0,0,ROUND(SomaAgrupBM,15-13*ORÇAMENTO!$AF$11)))</f>
        <v>0</v>
      </c>
    </row>
    <row r="330" spans="1:41" x14ac:dyDescent="0.2">
      <c r="A330" t="str">
        <f ca="1">ORÇAMENTO!C330</f>
        <v>S</v>
      </c>
      <c r="B330">
        <f ca="1">ORÇAMENTO!D330</f>
        <v>0</v>
      </c>
      <c r="C330" s="114" t="str">
        <f t="shared" ca="1" si="29"/>
        <v>F</v>
      </c>
      <c r="D330" s="117" t="str">
        <f ca="1">ORÇAMENTO!O330</f>
        <v>1.7.5.1.3.</v>
      </c>
      <c r="E330" s="163" t="str">
        <f t="shared" ca="1" si="30"/>
        <v>LUVA COM BOLSAS FoFo - DN 600 MM</v>
      </c>
      <c r="F330" s="164" t="str">
        <f ca="1">IF(RegimeExecucao="Global","",ORÇAMENTO.Unidade)</f>
        <v>UN</v>
      </c>
      <c r="G330" s="122">
        <f ca="1">IF(RegimeExecucao="Global","",ORÇAMENTO!T330)</f>
        <v>1</v>
      </c>
      <c r="H330" s="122">
        <f ca="1">IF(RegimeExecucao="Global","",ORÇAMENTO!W330)</f>
        <v>8228.1299999999992</v>
      </c>
      <c r="I330" s="125">
        <f ca="1">ORÇAMENTO!X330</f>
        <v>8228.1299999999992</v>
      </c>
      <c r="J330" s="333" cm="1">
        <f t="array" aca="1" ref="J330" ca="1">_xlfn.SINGLE(IF($A330="S",IF(CAIXA.Modo,BM.AFAnterior,BM.MEDAnterior),IF(AND(_xlfn.SINGLE(RegimeExecucao)="Global",$I330&gt;0,COUNTIF($AB$13:$AM$13,BM.medicao-1)&gt;0),M330/$I330*100,0)))</f>
        <v>0</v>
      </c>
      <c r="K330" s="122">
        <f t="shared" ca="1" si="31"/>
        <v>0</v>
      </c>
      <c r="L330" s="334" cm="1">
        <f t="array" aca="1" ref="L330" ca="1">_xlfn.SINGLE(IF($A330="S",IF(CAIXA.Modo,BM.AFAcumulado,BM.MEDAcumulado),IF(AND(_xlfn.SINGLE(RegimeExecucao)="Global",$I330&gt;0,COUNTIF($AB$13:$AM$13,BM.medicao)&gt;0),O330/$I330*100,0)))</f>
        <v>0</v>
      </c>
      <c r="M330" s="335">
        <f ca="1">IF($A330="S",VTOTALBM,IF($A330=0,0,ROUND(SomaAgrupBM,15-13*ORÇAMENTO!$AF$11)))</f>
        <v>0</v>
      </c>
      <c r="N330" s="336">
        <f t="shared" ca="1" si="32"/>
        <v>0</v>
      </c>
      <c r="O330" s="125">
        <f ca="1">IF($A330="S",VTOTALBM,IF($A330=0,0,ROUND(SomaAgrupBM,15-13*ORÇAMENTO!$AF$11)))</f>
        <v>0</v>
      </c>
      <c r="Q330" s="337"/>
      <c r="R330" s="338"/>
      <c r="T330" s="117" t="str">
        <f t="shared" ca="1" si="33"/>
        <v/>
      </c>
      <c r="U330" s="163" t="str">
        <f t="shared" ca="1" si="34"/>
        <v/>
      </c>
      <c r="V330" s="164" t="str">
        <f ca="1">IF(AND($W330&gt;0,RegimeExecucao="Unitário"),$F330,"")</f>
        <v/>
      </c>
      <c r="W330" s="454">
        <f ca="1">IF($Y330&gt;0,CHOOSE(MATCH(RegimeExecucao,{"Unitário","Global"},0),IF($A330="S",$Y330/$X330,""),($Y330/$X330)*100),0)</f>
        <v>0</v>
      </c>
      <c r="X330" s="339" t="str">
        <f ca="1">IF($Y330&gt;0,CHOOSE(MATCH(RegimeExecucao,{"Unitário","Global"},0),IF($A330="S",ROUND($H330,ORÇAMENTO!$AF$10),""),ROUND($I330,ORÇAMENTO!$AF$11)),"")</f>
        <v/>
      </c>
      <c r="Y330" s="339">
        <f t="shared" ca="1" si="35"/>
        <v>0</v>
      </c>
      <c r="Z330" s="473"/>
      <c r="AB330" s="337"/>
      <c r="AC330" s="437"/>
      <c r="AD330" s="437"/>
      <c r="AE330" s="437"/>
      <c r="AF330" s="437"/>
      <c r="AG330" s="437"/>
      <c r="AH330" s="437"/>
      <c r="AI330" s="437"/>
      <c r="AJ330" s="437"/>
      <c r="AK330" s="437"/>
      <c r="AL330" s="437"/>
      <c r="AM330" s="338"/>
      <c r="AO330">
        <f ca="1">IF($A330="S",IF(BM!$I330=0,0,CHOOSE(MATCH(RegimeExecucao,{"Global","Unitário"},0),ROUND(ROUND(BM.MEDAcumulado,15-13*BM!$A$9)/100*BM!$I330,15-13*ORÇAMENTO!$AF$11),ROUND(ROUND(BM.MEDAcumulado,15-13*BM!$A$9)*ROUND(BM!$H330,15-13*ORÇAMENTO!$AF$10),15-13*ORÇAMENTO!$AF$11))),IF($A330=0,0,ROUND(SomaAgrupBM,15-13*ORÇAMENTO!$AF$11)))</f>
        <v>0</v>
      </c>
    </row>
    <row r="331" spans="1:41" x14ac:dyDescent="0.2">
      <c r="A331" t="str">
        <f ca="1">ORÇAMENTO!C331</f>
        <v>S</v>
      </c>
      <c r="B331">
        <f ca="1">ORÇAMENTO!D331</f>
        <v>0</v>
      </c>
      <c r="C331" s="114" t="str">
        <f t="shared" ca="1" si="29"/>
        <v>F</v>
      </c>
      <c r="D331" s="117" t="str">
        <f ca="1">ORÇAMENTO!O331</f>
        <v>1.7.5.1.4.</v>
      </c>
      <c r="E331" s="163" t="str">
        <f t="shared" ca="1" si="30"/>
        <v>TUBO CILÍNDRICO FoFo L=1,20 M - DN 600 MM</v>
      </c>
      <c r="F331" s="164" t="str">
        <f ca="1">IF(RegimeExecucao="Global","",ORÇAMENTO.Unidade)</f>
        <v>UN</v>
      </c>
      <c r="G331" s="122">
        <f ca="1">IF(RegimeExecucao="Global","",ORÇAMENTO!T331)</f>
        <v>2</v>
      </c>
      <c r="H331" s="122">
        <f ca="1">IF(RegimeExecucao="Global","",ORÇAMENTO!W331)</f>
        <v>3175.03</v>
      </c>
      <c r="I331" s="125">
        <f ca="1">ORÇAMENTO!X331</f>
        <v>6350.06</v>
      </c>
      <c r="J331" s="333" cm="1">
        <f t="array" aca="1" ref="J331" ca="1">_xlfn.SINGLE(IF($A331="S",IF(CAIXA.Modo,BM.AFAnterior,BM.MEDAnterior),IF(AND(_xlfn.SINGLE(RegimeExecucao)="Global",$I331&gt;0,COUNTIF($AB$13:$AM$13,BM.medicao-1)&gt;0),M331/$I331*100,0)))</f>
        <v>0</v>
      </c>
      <c r="K331" s="122">
        <f t="shared" ca="1" si="31"/>
        <v>0</v>
      </c>
      <c r="L331" s="334" cm="1">
        <f t="array" aca="1" ref="L331" ca="1">_xlfn.SINGLE(IF($A331="S",IF(CAIXA.Modo,BM.AFAcumulado,BM.MEDAcumulado),IF(AND(_xlfn.SINGLE(RegimeExecucao)="Global",$I331&gt;0,COUNTIF($AB$13:$AM$13,BM.medicao)&gt;0),O331/$I331*100,0)))</f>
        <v>0</v>
      </c>
      <c r="M331" s="335">
        <f ca="1">IF($A331="S",VTOTALBM,IF($A331=0,0,ROUND(SomaAgrupBM,15-13*ORÇAMENTO!$AF$11)))</f>
        <v>0</v>
      </c>
      <c r="N331" s="336">
        <f t="shared" ca="1" si="32"/>
        <v>0</v>
      </c>
      <c r="O331" s="125">
        <f ca="1">IF($A331="S",VTOTALBM,IF($A331=0,0,ROUND(SomaAgrupBM,15-13*ORÇAMENTO!$AF$11)))</f>
        <v>0</v>
      </c>
      <c r="Q331" s="337"/>
      <c r="R331" s="338"/>
      <c r="T331" s="117" t="str">
        <f t="shared" ca="1" si="33"/>
        <v/>
      </c>
      <c r="U331" s="163" t="str">
        <f t="shared" ca="1" si="34"/>
        <v/>
      </c>
      <c r="V331" s="164" t="str">
        <f ca="1">IF(AND($W331&gt;0,RegimeExecucao="Unitário"),$F331,"")</f>
        <v/>
      </c>
      <c r="W331" s="454">
        <f ca="1">IF($Y331&gt;0,CHOOSE(MATCH(RegimeExecucao,{"Unitário","Global"},0),IF($A331="S",$Y331/$X331,""),($Y331/$X331)*100),0)</f>
        <v>0</v>
      </c>
      <c r="X331" s="339" t="str">
        <f ca="1">IF($Y331&gt;0,CHOOSE(MATCH(RegimeExecucao,{"Unitário","Global"},0),IF($A331="S",ROUND($H331,ORÇAMENTO!$AF$10),""),ROUND($I331,ORÇAMENTO!$AF$11)),"")</f>
        <v/>
      </c>
      <c r="Y331" s="339">
        <f t="shared" ca="1" si="35"/>
        <v>0</v>
      </c>
      <c r="Z331" s="473"/>
      <c r="AB331" s="337"/>
      <c r="AC331" s="437"/>
      <c r="AD331" s="437"/>
      <c r="AE331" s="437"/>
      <c r="AF331" s="437"/>
      <c r="AG331" s="437"/>
      <c r="AH331" s="437"/>
      <c r="AI331" s="437"/>
      <c r="AJ331" s="437"/>
      <c r="AK331" s="437"/>
      <c r="AL331" s="437"/>
      <c r="AM331" s="338"/>
      <c r="AO331">
        <f ca="1">IF($A331="S",IF(BM!$I331=0,0,CHOOSE(MATCH(RegimeExecucao,{"Global","Unitário"},0),ROUND(ROUND(BM.MEDAcumulado,15-13*BM!$A$9)/100*BM!$I331,15-13*ORÇAMENTO!$AF$11),ROUND(ROUND(BM.MEDAcumulado,15-13*BM!$A$9)*ROUND(BM!$H331,15-13*ORÇAMENTO!$AF$10),15-13*ORÇAMENTO!$AF$11))),IF($A331=0,0,ROUND(SomaAgrupBM,15-13*ORÇAMENTO!$AF$11)))</f>
        <v>0</v>
      </c>
    </row>
    <row r="332" spans="1:41" x14ac:dyDescent="0.2">
      <c r="A332" t="str">
        <f ca="1">ORÇAMENTO!C332</f>
        <v>S</v>
      </c>
      <c r="B332">
        <f ca="1">ORÇAMENTO!D332</f>
        <v>0</v>
      </c>
      <c r="C332" s="114" t="str">
        <f t="shared" ca="1" si="29"/>
        <v>F</v>
      </c>
      <c r="D332" s="117" t="str">
        <f ca="1">ORÇAMENTO!O332</f>
        <v>1.7.5.1.5.</v>
      </c>
      <c r="E332" s="163" t="str">
        <f t="shared" ca="1" si="30"/>
        <v>CURVA 90 BOLSAS FoFo - DN 600 MM</v>
      </c>
      <c r="F332" s="164" t="str">
        <f ca="1">IF(RegimeExecucao="Global","",ORÇAMENTO.Unidade)</f>
        <v>UN</v>
      </c>
      <c r="G332" s="122">
        <f ca="1">IF(RegimeExecucao="Global","",ORÇAMENTO!T332)</f>
        <v>2</v>
      </c>
      <c r="H332" s="122">
        <f ca="1">IF(RegimeExecucao="Global","",ORÇAMENTO!W332)</f>
        <v>18280.73</v>
      </c>
      <c r="I332" s="125">
        <f ca="1">ORÇAMENTO!X332</f>
        <v>36561.46</v>
      </c>
      <c r="J332" s="333" cm="1">
        <f t="array" aca="1" ref="J332" ca="1">_xlfn.SINGLE(IF($A332="S",IF(CAIXA.Modo,BM.AFAnterior,BM.MEDAnterior),IF(AND(_xlfn.SINGLE(RegimeExecucao)="Global",$I332&gt;0,COUNTIF($AB$13:$AM$13,BM.medicao-1)&gt;0),M332/$I332*100,0)))</f>
        <v>0</v>
      </c>
      <c r="K332" s="122">
        <f t="shared" ca="1" si="31"/>
        <v>0</v>
      </c>
      <c r="L332" s="334" cm="1">
        <f t="array" aca="1" ref="L332" ca="1">_xlfn.SINGLE(IF($A332="S",IF(CAIXA.Modo,BM.AFAcumulado,BM.MEDAcumulado),IF(AND(_xlfn.SINGLE(RegimeExecucao)="Global",$I332&gt;0,COUNTIF($AB$13:$AM$13,BM.medicao)&gt;0),O332/$I332*100,0)))</f>
        <v>0</v>
      </c>
      <c r="M332" s="335">
        <f ca="1">IF($A332="S",VTOTALBM,IF($A332=0,0,ROUND(SomaAgrupBM,15-13*ORÇAMENTO!$AF$11)))</f>
        <v>0</v>
      </c>
      <c r="N332" s="336">
        <f t="shared" ca="1" si="32"/>
        <v>0</v>
      </c>
      <c r="O332" s="125">
        <f ca="1">IF($A332="S",VTOTALBM,IF($A332=0,0,ROUND(SomaAgrupBM,15-13*ORÇAMENTO!$AF$11)))</f>
        <v>0</v>
      </c>
      <c r="Q332" s="337"/>
      <c r="R332" s="338"/>
      <c r="T332" s="117" t="str">
        <f t="shared" ca="1" si="33"/>
        <v/>
      </c>
      <c r="U332" s="163" t="str">
        <f t="shared" ca="1" si="34"/>
        <v/>
      </c>
      <c r="V332" s="164" t="str">
        <f ca="1">IF(AND($W332&gt;0,RegimeExecucao="Unitário"),$F332,"")</f>
        <v/>
      </c>
      <c r="W332" s="454">
        <f ca="1">IF($Y332&gt;0,CHOOSE(MATCH(RegimeExecucao,{"Unitário","Global"},0),IF($A332="S",$Y332/$X332,""),($Y332/$X332)*100),0)</f>
        <v>0</v>
      </c>
      <c r="X332" s="339" t="str">
        <f ca="1">IF($Y332&gt;0,CHOOSE(MATCH(RegimeExecucao,{"Unitário","Global"},0),IF($A332="S",ROUND($H332,ORÇAMENTO!$AF$10),""),ROUND($I332,ORÇAMENTO!$AF$11)),"")</f>
        <v/>
      </c>
      <c r="Y332" s="339">
        <f t="shared" ca="1" si="35"/>
        <v>0</v>
      </c>
      <c r="Z332" s="473"/>
      <c r="AB332" s="337"/>
      <c r="AC332" s="437"/>
      <c r="AD332" s="437"/>
      <c r="AE332" s="437"/>
      <c r="AF332" s="437"/>
      <c r="AG332" s="437"/>
      <c r="AH332" s="437"/>
      <c r="AI332" s="437"/>
      <c r="AJ332" s="437"/>
      <c r="AK332" s="437"/>
      <c r="AL332" s="437"/>
      <c r="AM332" s="338"/>
      <c r="AO332">
        <f ca="1">IF($A332="S",IF(BM!$I332=0,0,CHOOSE(MATCH(RegimeExecucao,{"Global","Unitário"},0),ROUND(ROUND(BM.MEDAcumulado,15-13*BM!$A$9)/100*BM!$I332,15-13*ORÇAMENTO!$AF$11),ROUND(ROUND(BM.MEDAcumulado,15-13*BM!$A$9)*ROUND(BM!$H332,15-13*ORÇAMENTO!$AF$10),15-13*ORÇAMENTO!$AF$11))),IF($A332=0,0,ROUND(SomaAgrupBM,15-13*ORÇAMENTO!$AF$11)))</f>
        <v>0</v>
      </c>
    </row>
    <row r="333" spans="1:41" x14ac:dyDescent="0.2">
      <c r="A333" t="str">
        <f ca="1">ORÇAMENTO!C333</f>
        <v>S</v>
      </c>
      <c r="B333">
        <f ca="1">ORÇAMENTO!D333</f>
        <v>0</v>
      </c>
      <c r="C333" s="114" t="str">
        <f t="shared" ca="1" si="29"/>
        <v>F</v>
      </c>
      <c r="D333" s="117" t="str">
        <f ca="1">ORÇAMENTO!O333</f>
        <v>1.7.5.1.6.</v>
      </c>
      <c r="E333" s="163" t="str">
        <f t="shared" ca="1" si="30"/>
        <v>TUBO CILÍNDRICO FoFo L=0,40 M - DN 600 MM</v>
      </c>
      <c r="F333" s="164" t="str">
        <f ca="1">IF(RegimeExecucao="Global","",ORÇAMENTO.Unidade)</f>
        <v>UN</v>
      </c>
      <c r="G333" s="122">
        <f ca="1">IF(RegimeExecucao="Global","",ORÇAMENTO!T333)</f>
        <v>1</v>
      </c>
      <c r="H333" s="122">
        <f ca="1">IF(RegimeExecucao="Global","",ORÇAMENTO!W333)</f>
        <v>1598.15</v>
      </c>
      <c r="I333" s="125">
        <f ca="1">ORÇAMENTO!X333</f>
        <v>1598.15</v>
      </c>
      <c r="J333" s="333" cm="1">
        <f t="array" aca="1" ref="J333" ca="1">_xlfn.SINGLE(IF($A333="S",IF(CAIXA.Modo,BM.AFAnterior,BM.MEDAnterior),IF(AND(_xlfn.SINGLE(RegimeExecucao)="Global",$I333&gt;0,COUNTIF($AB$13:$AM$13,BM.medicao-1)&gt;0),M333/$I333*100,0)))</f>
        <v>0</v>
      </c>
      <c r="K333" s="122">
        <f t="shared" ca="1" si="31"/>
        <v>0</v>
      </c>
      <c r="L333" s="334" cm="1">
        <f t="array" aca="1" ref="L333" ca="1">_xlfn.SINGLE(IF($A333="S",IF(CAIXA.Modo,BM.AFAcumulado,BM.MEDAcumulado),IF(AND(_xlfn.SINGLE(RegimeExecucao)="Global",$I333&gt;0,COUNTIF($AB$13:$AM$13,BM.medicao)&gt;0),O333/$I333*100,0)))</f>
        <v>0</v>
      </c>
      <c r="M333" s="335">
        <f ca="1">IF($A333="S",VTOTALBM,IF($A333=0,0,ROUND(SomaAgrupBM,15-13*ORÇAMENTO!$AF$11)))</f>
        <v>0</v>
      </c>
      <c r="N333" s="336">
        <f t="shared" ca="1" si="32"/>
        <v>0</v>
      </c>
      <c r="O333" s="125">
        <f ca="1">IF($A333="S",VTOTALBM,IF($A333=0,0,ROUND(SomaAgrupBM,15-13*ORÇAMENTO!$AF$11)))</f>
        <v>0</v>
      </c>
      <c r="Q333" s="337"/>
      <c r="R333" s="338"/>
      <c r="T333" s="117" t="str">
        <f t="shared" ca="1" si="33"/>
        <v/>
      </c>
      <c r="U333" s="163" t="str">
        <f t="shared" ca="1" si="34"/>
        <v/>
      </c>
      <c r="V333" s="164" t="str">
        <f ca="1">IF(AND($W333&gt;0,RegimeExecucao="Unitário"),$F333,"")</f>
        <v/>
      </c>
      <c r="W333" s="454">
        <f ca="1">IF($Y333&gt;0,CHOOSE(MATCH(RegimeExecucao,{"Unitário","Global"},0),IF($A333="S",$Y333/$X333,""),($Y333/$X333)*100),0)</f>
        <v>0</v>
      </c>
      <c r="X333" s="339" t="str">
        <f ca="1">IF($Y333&gt;0,CHOOSE(MATCH(RegimeExecucao,{"Unitário","Global"},0),IF($A333="S",ROUND($H333,ORÇAMENTO!$AF$10),""),ROUND($I333,ORÇAMENTO!$AF$11)),"")</f>
        <v/>
      </c>
      <c r="Y333" s="339">
        <f t="shared" ca="1" si="35"/>
        <v>0</v>
      </c>
      <c r="Z333" s="473"/>
      <c r="AB333" s="337"/>
      <c r="AC333" s="437"/>
      <c r="AD333" s="437"/>
      <c r="AE333" s="437"/>
      <c r="AF333" s="437"/>
      <c r="AG333" s="437"/>
      <c r="AH333" s="437"/>
      <c r="AI333" s="437"/>
      <c r="AJ333" s="437"/>
      <c r="AK333" s="437"/>
      <c r="AL333" s="437"/>
      <c r="AM333" s="338"/>
      <c r="AO333">
        <f ca="1">IF($A333="S",IF(BM!$I333=0,0,CHOOSE(MATCH(RegimeExecucao,{"Global","Unitário"},0),ROUND(ROUND(BM.MEDAcumulado,15-13*BM!$A$9)/100*BM!$I333,15-13*ORÇAMENTO!$AF$11),ROUND(ROUND(BM.MEDAcumulado,15-13*BM!$A$9)*ROUND(BM!$H333,15-13*ORÇAMENTO!$AF$10),15-13*ORÇAMENTO!$AF$11))),IF($A333=0,0,ROUND(SomaAgrupBM,15-13*ORÇAMENTO!$AF$11)))</f>
        <v>0</v>
      </c>
    </row>
    <row r="334" spans="1:41" x14ac:dyDescent="0.2">
      <c r="A334" t="str">
        <f ca="1">ORÇAMENTO!C334</f>
        <v>S</v>
      </c>
      <c r="B334">
        <f ca="1">ORÇAMENTO!D334</f>
        <v>0</v>
      </c>
      <c r="C334" s="114" t="str">
        <f t="shared" ca="1" si="29"/>
        <v>F</v>
      </c>
      <c r="D334" s="117" t="str">
        <f ca="1">ORÇAMENTO!O334</f>
        <v>1.7.5.1.7.</v>
      </c>
      <c r="E334" s="163" t="str">
        <f t="shared" ca="1" si="30"/>
        <v>TUBO PONTA/BOLSA FoFo L=6,00 M - DN 600 MM</v>
      </c>
      <c r="F334" s="164" t="str">
        <f ca="1">IF(RegimeExecucao="Global","",ORÇAMENTO.Unidade)</f>
        <v>UN</v>
      </c>
      <c r="G334" s="122">
        <f ca="1">IF(RegimeExecucao="Global","",ORÇAMENTO!T334)</f>
        <v>2</v>
      </c>
      <c r="H334" s="122">
        <f ca="1">IF(RegimeExecucao="Global","",ORÇAMENTO!W334)</f>
        <v>15992.77</v>
      </c>
      <c r="I334" s="125">
        <f ca="1">ORÇAMENTO!X334</f>
        <v>31985.54</v>
      </c>
      <c r="J334" s="333" cm="1">
        <f t="array" aca="1" ref="J334" ca="1">_xlfn.SINGLE(IF($A334="S",IF(CAIXA.Modo,BM.AFAnterior,BM.MEDAnterior),IF(AND(_xlfn.SINGLE(RegimeExecucao)="Global",$I334&gt;0,COUNTIF($AB$13:$AM$13,BM.medicao-1)&gt;0),M334/$I334*100,0)))</f>
        <v>0</v>
      </c>
      <c r="K334" s="122">
        <f t="shared" ca="1" si="31"/>
        <v>0</v>
      </c>
      <c r="L334" s="334" cm="1">
        <f t="array" aca="1" ref="L334" ca="1">_xlfn.SINGLE(IF($A334="S",IF(CAIXA.Modo,BM.AFAcumulado,BM.MEDAcumulado),IF(AND(_xlfn.SINGLE(RegimeExecucao)="Global",$I334&gt;0,COUNTIF($AB$13:$AM$13,BM.medicao)&gt;0),O334/$I334*100,0)))</f>
        <v>0</v>
      </c>
      <c r="M334" s="335">
        <f ca="1">IF($A334="S",VTOTALBM,IF($A334=0,0,ROUND(SomaAgrupBM,15-13*ORÇAMENTO!$AF$11)))</f>
        <v>0</v>
      </c>
      <c r="N334" s="336">
        <f t="shared" ca="1" si="32"/>
        <v>0</v>
      </c>
      <c r="O334" s="125">
        <f ca="1">IF($A334="S",VTOTALBM,IF($A334=0,0,ROUND(SomaAgrupBM,15-13*ORÇAMENTO!$AF$11)))</f>
        <v>0</v>
      </c>
      <c r="Q334" s="337"/>
      <c r="R334" s="338"/>
      <c r="T334" s="117" t="str">
        <f t="shared" ca="1" si="33"/>
        <v/>
      </c>
      <c r="U334" s="163" t="str">
        <f t="shared" ca="1" si="34"/>
        <v/>
      </c>
      <c r="V334" s="164" t="str">
        <f ca="1">IF(AND($W334&gt;0,RegimeExecucao="Unitário"),$F334,"")</f>
        <v/>
      </c>
      <c r="W334" s="454">
        <f ca="1">IF($Y334&gt;0,CHOOSE(MATCH(RegimeExecucao,{"Unitário","Global"},0),IF($A334="S",$Y334/$X334,""),($Y334/$X334)*100),0)</f>
        <v>0</v>
      </c>
      <c r="X334" s="339" t="str">
        <f ca="1">IF($Y334&gt;0,CHOOSE(MATCH(RegimeExecucao,{"Unitário","Global"},0),IF($A334="S",ROUND($H334,ORÇAMENTO!$AF$10),""),ROUND($I334,ORÇAMENTO!$AF$11)),"")</f>
        <v/>
      </c>
      <c r="Y334" s="339">
        <f t="shared" ca="1" si="35"/>
        <v>0</v>
      </c>
      <c r="Z334" s="473"/>
      <c r="AB334" s="337"/>
      <c r="AC334" s="437"/>
      <c r="AD334" s="437"/>
      <c r="AE334" s="437"/>
      <c r="AF334" s="437"/>
      <c r="AG334" s="437"/>
      <c r="AH334" s="437"/>
      <c r="AI334" s="437"/>
      <c r="AJ334" s="437"/>
      <c r="AK334" s="437"/>
      <c r="AL334" s="437"/>
      <c r="AM334" s="338"/>
      <c r="AO334">
        <f ca="1">IF($A334="S",IF(BM!$I334=0,0,CHOOSE(MATCH(RegimeExecucao,{"Global","Unitário"},0),ROUND(ROUND(BM.MEDAcumulado,15-13*BM!$A$9)/100*BM!$I334,15-13*ORÇAMENTO!$AF$11),ROUND(ROUND(BM.MEDAcumulado,15-13*BM!$A$9)*ROUND(BM!$H334,15-13*ORÇAMENTO!$AF$10),15-13*ORÇAMENTO!$AF$11))),IF($A334=0,0,ROUND(SomaAgrupBM,15-13*ORÇAMENTO!$AF$11)))</f>
        <v>0</v>
      </c>
    </row>
    <row r="335" spans="1:41" ht="25.5" x14ac:dyDescent="0.2">
      <c r="A335" t="str">
        <f ca="1">ORÇAMENTO!C335</f>
        <v>S</v>
      </c>
      <c r="B335">
        <f ca="1">ORÇAMENTO!D335</f>
        <v>0</v>
      </c>
      <c r="C335" s="114" t="str">
        <f t="shared" ca="1" si="29"/>
        <v>F</v>
      </c>
      <c r="D335" s="117" t="str">
        <f ca="1">ORÇAMENTO!O335</f>
        <v>1.7.5.1.8.</v>
      </c>
      <c r="E335" s="163" t="str">
        <f t="shared" ca="1" si="30"/>
        <v>TUBO DE CONCRETO PA2 COMERCIAL PARA DRENAGEM - D = 0,80 M - FORNECIMENTO E INSTALAÇÃO</v>
      </c>
      <c r="F335" s="164" t="str">
        <f ca="1">IF(RegimeExecucao="Global","",ORÇAMENTO.Unidade)</f>
        <v>M</v>
      </c>
      <c r="G335" s="122">
        <f ca="1">IF(RegimeExecucao="Global","",ORÇAMENTO!T335)</f>
        <v>1.2</v>
      </c>
      <c r="H335" s="122">
        <f ca="1">IF(RegimeExecucao="Global","",ORÇAMENTO!W335)</f>
        <v>602.48</v>
      </c>
      <c r="I335" s="125">
        <f ca="1">ORÇAMENTO!X335</f>
        <v>722.98</v>
      </c>
      <c r="J335" s="333" cm="1">
        <f t="array" aca="1" ref="J335" ca="1">_xlfn.SINGLE(IF($A335="S",IF(CAIXA.Modo,BM.AFAnterior,BM.MEDAnterior),IF(AND(_xlfn.SINGLE(RegimeExecucao)="Global",$I335&gt;0,COUNTIF($AB$13:$AM$13,BM.medicao-1)&gt;0),M335/$I335*100,0)))</f>
        <v>0</v>
      </c>
      <c r="K335" s="122">
        <f t="shared" ca="1" si="31"/>
        <v>0</v>
      </c>
      <c r="L335" s="334" cm="1">
        <f t="array" aca="1" ref="L335" ca="1">_xlfn.SINGLE(IF($A335="S",IF(CAIXA.Modo,BM.AFAcumulado,BM.MEDAcumulado),IF(AND(_xlfn.SINGLE(RegimeExecucao)="Global",$I335&gt;0,COUNTIF($AB$13:$AM$13,BM.medicao)&gt;0),O335/$I335*100,0)))</f>
        <v>0</v>
      </c>
      <c r="M335" s="335">
        <f ca="1">IF($A335="S",VTOTALBM,IF($A335=0,0,ROUND(SomaAgrupBM,15-13*ORÇAMENTO!$AF$11)))</f>
        <v>0</v>
      </c>
      <c r="N335" s="336">
        <f t="shared" ca="1" si="32"/>
        <v>0</v>
      </c>
      <c r="O335" s="125">
        <f ca="1">IF($A335="S",VTOTALBM,IF($A335=0,0,ROUND(SomaAgrupBM,15-13*ORÇAMENTO!$AF$11)))</f>
        <v>0</v>
      </c>
      <c r="Q335" s="337"/>
      <c r="R335" s="338"/>
      <c r="T335" s="117" t="str">
        <f t="shared" ca="1" si="33"/>
        <v/>
      </c>
      <c r="U335" s="163" t="str">
        <f t="shared" ca="1" si="34"/>
        <v/>
      </c>
      <c r="V335" s="164" t="str">
        <f ca="1">IF(AND($W335&gt;0,RegimeExecucao="Unitário"),$F335,"")</f>
        <v/>
      </c>
      <c r="W335" s="454">
        <f ca="1">IF($Y335&gt;0,CHOOSE(MATCH(RegimeExecucao,{"Unitário","Global"},0),IF($A335="S",$Y335/$X335,""),($Y335/$X335)*100),0)</f>
        <v>0</v>
      </c>
      <c r="X335" s="339" t="str">
        <f ca="1">IF($Y335&gt;0,CHOOSE(MATCH(RegimeExecucao,{"Unitário","Global"},0),IF($A335="S",ROUND($H335,ORÇAMENTO!$AF$10),""),ROUND($I335,ORÇAMENTO!$AF$11)),"")</f>
        <v/>
      </c>
      <c r="Y335" s="339">
        <f t="shared" ca="1" si="35"/>
        <v>0</v>
      </c>
      <c r="Z335" s="473"/>
      <c r="AB335" s="337"/>
      <c r="AC335" s="437"/>
      <c r="AD335" s="437"/>
      <c r="AE335" s="437"/>
      <c r="AF335" s="437"/>
      <c r="AG335" s="437"/>
      <c r="AH335" s="437"/>
      <c r="AI335" s="437"/>
      <c r="AJ335" s="437"/>
      <c r="AK335" s="437"/>
      <c r="AL335" s="437"/>
      <c r="AM335" s="338"/>
      <c r="AO335">
        <f ca="1">IF($A335="S",IF(BM!$I335=0,0,CHOOSE(MATCH(RegimeExecucao,{"Global","Unitário"},0),ROUND(ROUND(BM.MEDAcumulado,15-13*BM!$A$9)/100*BM!$I335,15-13*ORÇAMENTO!$AF$11),ROUND(ROUND(BM.MEDAcumulado,15-13*BM!$A$9)*ROUND(BM!$H335,15-13*ORÇAMENTO!$AF$10),15-13*ORÇAMENTO!$AF$11))),IF($A335=0,0,ROUND(SomaAgrupBM,15-13*ORÇAMENTO!$AF$11)))</f>
        <v>0</v>
      </c>
    </row>
    <row r="336" spans="1:41" x14ac:dyDescent="0.2">
      <c r="A336" t="str">
        <f ca="1">ORÇAMENTO!C336</f>
        <v>S</v>
      </c>
      <c r="B336">
        <f ca="1">ORÇAMENTO!D336</f>
        <v>0</v>
      </c>
      <c r="C336" s="114" t="str">
        <f t="shared" ca="1" si="29"/>
        <v>F</v>
      </c>
      <c r="D336" s="117" t="str">
        <f ca="1">ORÇAMENTO!O336</f>
        <v>1.7.5.1.9.</v>
      </c>
      <c r="E336" s="163" t="str">
        <f t="shared" ca="1" si="30"/>
        <v>TUBO PONTA/BOLSA FoFo L=2,00 M - DN 600 MM</v>
      </c>
      <c r="F336" s="164" t="str">
        <f ca="1">IF(RegimeExecucao="Global","",ORÇAMENTO.Unidade)</f>
        <v>UN</v>
      </c>
      <c r="G336" s="122">
        <f ca="1">IF(RegimeExecucao="Global","",ORÇAMENTO!T336)</f>
        <v>1</v>
      </c>
      <c r="H336" s="122">
        <f ca="1">IF(RegimeExecucao="Global","",ORÇAMENTO!W336)</f>
        <v>5468.12</v>
      </c>
      <c r="I336" s="125">
        <f ca="1">ORÇAMENTO!X336</f>
        <v>5468.12</v>
      </c>
      <c r="J336" s="333" cm="1">
        <f t="array" aca="1" ref="J336" ca="1">_xlfn.SINGLE(IF($A336="S",IF(CAIXA.Modo,BM.AFAnterior,BM.MEDAnterior),IF(AND(_xlfn.SINGLE(RegimeExecucao)="Global",$I336&gt;0,COUNTIF($AB$13:$AM$13,BM.medicao-1)&gt;0),M336/$I336*100,0)))</f>
        <v>0</v>
      </c>
      <c r="K336" s="122">
        <f t="shared" ca="1" si="31"/>
        <v>0</v>
      </c>
      <c r="L336" s="334" cm="1">
        <f t="array" aca="1" ref="L336" ca="1">_xlfn.SINGLE(IF($A336="S",IF(CAIXA.Modo,BM.AFAcumulado,BM.MEDAcumulado),IF(AND(_xlfn.SINGLE(RegimeExecucao)="Global",$I336&gt;0,COUNTIF($AB$13:$AM$13,BM.medicao)&gt;0),O336/$I336*100,0)))</f>
        <v>0</v>
      </c>
      <c r="M336" s="335">
        <f ca="1">IF($A336="S",VTOTALBM,IF($A336=0,0,ROUND(SomaAgrupBM,15-13*ORÇAMENTO!$AF$11)))</f>
        <v>0</v>
      </c>
      <c r="N336" s="336">
        <f t="shared" ca="1" si="32"/>
        <v>0</v>
      </c>
      <c r="O336" s="125">
        <f ca="1">IF($A336="S",VTOTALBM,IF($A336=0,0,ROUND(SomaAgrupBM,15-13*ORÇAMENTO!$AF$11)))</f>
        <v>0</v>
      </c>
      <c r="Q336" s="337"/>
      <c r="R336" s="338"/>
      <c r="T336" s="117" t="str">
        <f t="shared" ca="1" si="33"/>
        <v/>
      </c>
      <c r="U336" s="163" t="str">
        <f t="shared" ca="1" si="34"/>
        <v/>
      </c>
      <c r="V336" s="164" t="str">
        <f ca="1">IF(AND($W336&gt;0,RegimeExecucao="Unitário"),$F336,"")</f>
        <v/>
      </c>
      <c r="W336" s="454">
        <f ca="1">IF($Y336&gt;0,CHOOSE(MATCH(RegimeExecucao,{"Unitário","Global"},0),IF($A336="S",$Y336/$X336,""),($Y336/$X336)*100),0)</f>
        <v>0</v>
      </c>
      <c r="X336" s="339" t="str">
        <f ca="1">IF($Y336&gt;0,CHOOSE(MATCH(RegimeExecucao,{"Unitário","Global"},0),IF($A336="S",ROUND($H336,ORÇAMENTO!$AF$10),""),ROUND($I336,ORÇAMENTO!$AF$11)),"")</f>
        <v/>
      </c>
      <c r="Y336" s="339">
        <f t="shared" ca="1" si="35"/>
        <v>0</v>
      </c>
      <c r="Z336" s="473"/>
      <c r="AB336" s="337"/>
      <c r="AC336" s="437"/>
      <c r="AD336" s="437"/>
      <c r="AE336" s="437"/>
      <c r="AF336" s="437"/>
      <c r="AG336" s="437"/>
      <c r="AH336" s="437"/>
      <c r="AI336" s="437"/>
      <c r="AJ336" s="437"/>
      <c r="AK336" s="437"/>
      <c r="AL336" s="437"/>
      <c r="AM336" s="338"/>
      <c r="AO336">
        <f ca="1">IF($A336="S",IF(BM!$I336=0,0,CHOOSE(MATCH(RegimeExecucao,{"Global","Unitário"},0),ROUND(ROUND(BM.MEDAcumulado,15-13*BM!$A$9)/100*BM!$I336,15-13*ORÇAMENTO!$AF$11),ROUND(ROUND(BM.MEDAcumulado,15-13*BM!$A$9)*ROUND(BM!$H336,15-13*ORÇAMENTO!$AF$10),15-13*ORÇAMENTO!$AF$11))),IF($A336=0,0,ROUND(SomaAgrupBM,15-13*ORÇAMENTO!$AF$11)))</f>
        <v>0</v>
      </c>
    </row>
    <row r="337" spans="1:41" x14ac:dyDescent="0.2">
      <c r="A337">
        <f ca="1">ORÇAMENTO!C337</f>
        <v>4</v>
      </c>
      <c r="B337">
        <f ca="1">ORÇAMENTO!D337</f>
        <v>3</v>
      </c>
      <c r="C337" s="114" t="str">
        <f t="shared" ca="1" si="29"/>
        <v>F</v>
      </c>
      <c r="D337" s="117" t="str">
        <f ca="1">ORÇAMENTO!O337</f>
        <v>1.7.5.2.</v>
      </c>
      <c r="E337" s="163" t="str">
        <f t="shared" si="30"/>
        <v>INSTALAÇÃO DE MATERIAIS</v>
      </c>
      <c r="F337" s="164" t="str">
        <f ca="1">IF(RegimeExecucao="Global","",ORÇAMENTO.Unidade)</f>
        <v>-</v>
      </c>
      <c r="G337" s="122">
        <f ca="1">IF(RegimeExecucao="Global","",ORÇAMENTO!T337)</f>
        <v>0</v>
      </c>
      <c r="H337" s="122">
        <f ca="1">IF(RegimeExecucao="Global","",ORÇAMENTO!W337)</f>
        <v>0</v>
      </c>
      <c r="I337" s="125">
        <f ca="1">ORÇAMENTO!X337</f>
        <v>755.11</v>
      </c>
      <c r="J337" s="333" cm="1">
        <f t="array" aca="1" ref="J337" ca="1">_xlfn.SINGLE(IF($A337="S",IF(CAIXA.Modo,BM.AFAnterior,BM.MEDAnterior),IF(AND(_xlfn.SINGLE(RegimeExecucao)="Global",$I337&gt;0,COUNTIF($AB$13:$AM$13,BM.medicao-1)&gt;0),M337/$I337*100,0)))</f>
        <v>0</v>
      </c>
      <c r="K337" s="122">
        <f t="shared" ca="1" si="31"/>
        <v>0</v>
      </c>
      <c r="L337" s="334" cm="1">
        <f t="array" aca="1" ref="L337" ca="1">_xlfn.SINGLE(IF($A337="S",IF(CAIXA.Modo,BM.AFAcumulado,BM.MEDAcumulado),IF(AND(_xlfn.SINGLE(RegimeExecucao)="Global",$I337&gt;0,COUNTIF($AB$13:$AM$13,BM.medicao)&gt;0),O337/$I337*100,0)))</f>
        <v>0</v>
      </c>
      <c r="M337" s="335">
        <f ca="1">IF($A337="S",VTOTALBM,IF($A337=0,0,ROUND(SomaAgrupBM,15-13*ORÇAMENTO!$AF$11)))</f>
        <v>0</v>
      </c>
      <c r="N337" s="336">
        <f t="shared" ca="1" si="32"/>
        <v>0</v>
      </c>
      <c r="O337" s="125">
        <f ca="1">IF($A337="S",VTOTALBM,IF($A337=0,0,ROUND(SomaAgrupBM,15-13*ORÇAMENTO!$AF$11)))</f>
        <v>0</v>
      </c>
      <c r="Q337" s="337"/>
      <c r="R337" s="338"/>
      <c r="T337" s="117" t="str">
        <f t="shared" ca="1" si="33"/>
        <v/>
      </c>
      <c r="U337" s="163" t="str">
        <f t="shared" ca="1" si="34"/>
        <v/>
      </c>
      <c r="V337" s="164" t="str">
        <f ca="1">IF(AND($W337&gt;0,RegimeExecucao="Unitário"),$F337,"")</f>
        <v/>
      </c>
      <c r="W337" s="454">
        <f ca="1">IF($Y337&gt;0,CHOOSE(MATCH(RegimeExecucao,{"Unitário","Global"},0),IF($A337="S",$Y337/$X337,""),($Y337/$X337)*100),0)</f>
        <v>0</v>
      </c>
      <c r="X337" s="339" t="str">
        <f ca="1">IF($Y337&gt;0,CHOOSE(MATCH(RegimeExecucao,{"Unitário","Global"},0),IF($A337="S",ROUND($H337,ORÇAMENTO!$AF$10),""),ROUND($I337,ORÇAMENTO!$AF$11)),"")</f>
        <v/>
      </c>
      <c r="Y337" s="339">
        <f t="shared" ca="1" si="35"/>
        <v>0</v>
      </c>
      <c r="Z337" s="473"/>
      <c r="AB337" s="337"/>
      <c r="AC337" s="437"/>
      <c r="AD337" s="437"/>
      <c r="AE337" s="437"/>
      <c r="AF337" s="437"/>
      <c r="AG337" s="437"/>
      <c r="AH337" s="437"/>
      <c r="AI337" s="437"/>
      <c r="AJ337" s="437"/>
      <c r="AK337" s="437"/>
      <c r="AL337" s="437"/>
      <c r="AM337" s="338"/>
      <c r="AO337">
        <f ca="1">IF($A337="S",IF(BM!$I337=0,0,CHOOSE(MATCH(RegimeExecucao,{"Global","Unitário"},0),ROUND(ROUND(BM.MEDAcumulado,15-13*BM!$A$9)/100*BM!$I337,15-13*ORÇAMENTO!$AF$11),ROUND(ROUND(BM.MEDAcumulado,15-13*BM!$A$9)*ROUND(BM!$H337,15-13*ORÇAMENTO!$AF$10),15-13*ORÇAMENTO!$AF$11))),IF($A337=0,0,ROUND(SomaAgrupBM,15-13*ORÇAMENTO!$AF$11)))</f>
        <v>0</v>
      </c>
    </row>
    <row r="338" spans="1:41" ht="25.5" x14ac:dyDescent="0.2">
      <c r="A338" t="str">
        <f ca="1">ORÇAMENTO!C338</f>
        <v>S</v>
      </c>
      <c r="B338">
        <f ca="1">ORÇAMENTO!D338</f>
        <v>0</v>
      </c>
      <c r="C338" s="114" t="str">
        <f t="shared" ca="1" si="29"/>
        <v>F</v>
      </c>
      <c r="D338" s="117" t="str">
        <f ca="1">ORÇAMENTO!O338</f>
        <v>1.7.5.2.1.</v>
      </c>
      <c r="E338" s="163" t="str">
        <f t="shared" ca="1" si="30"/>
        <v>ASSENTAMENTO DE CONEXÕES EM FERRO FUNDIDO, JUNTA ELÁSTICA, DN = 600 MM - BASEADO EM ORSE (5291)</v>
      </c>
      <c r="F338" s="164" t="str">
        <f ca="1">IF(RegimeExecucao="Global","",ORÇAMENTO.Unidade)</f>
        <v>UN</v>
      </c>
      <c r="G338" s="122">
        <f ca="1">IF(RegimeExecucao="Global","",ORÇAMENTO!T338)</f>
        <v>5</v>
      </c>
      <c r="H338" s="122">
        <f ca="1">IF(RegimeExecucao="Global","",ORÇAMENTO!W338)</f>
        <v>56.17</v>
      </c>
      <c r="I338" s="125">
        <f ca="1">ORÇAMENTO!X338</f>
        <v>280.85000000000002</v>
      </c>
      <c r="J338" s="333" cm="1">
        <f t="array" aca="1" ref="J338" ca="1">_xlfn.SINGLE(IF($A338="S",IF(CAIXA.Modo,BM.AFAnterior,BM.MEDAnterior),IF(AND(_xlfn.SINGLE(RegimeExecucao)="Global",$I338&gt;0,COUNTIF($AB$13:$AM$13,BM.medicao-1)&gt;0),M338/$I338*100,0)))</f>
        <v>0</v>
      </c>
      <c r="K338" s="122">
        <f t="shared" ca="1" si="31"/>
        <v>0</v>
      </c>
      <c r="L338" s="334" cm="1">
        <f t="array" aca="1" ref="L338" ca="1">_xlfn.SINGLE(IF($A338="S",IF(CAIXA.Modo,BM.AFAcumulado,BM.MEDAcumulado),IF(AND(_xlfn.SINGLE(RegimeExecucao)="Global",$I338&gt;0,COUNTIF($AB$13:$AM$13,BM.medicao)&gt;0),O338/$I338*100,0)))</f>
        <v>0</v>
      </c>
      <c r="M338" s="335">
        <f ca="1">IF($A338="S",VTOTALBM,IF($A338=0,0,ROUND(SomaAgrupBM,15-13*ORÇAMENTO!$AF$11)))</f>
        <v>0</v>
      </c>
      <c r="N338" s="336">
        <f t="shared" ca="1" si="32"/>
        <v>0</v>
      </c>
      <c r="O338" s="125">
        <f ca="1">IF($A338="S",VTOTALBM,IF($A338=0,0,ROUND(SomaAgrupBM,15-13*ORÇAMENTO!$AF$11)))</f>
        <v>0</v>
      </c>
      <c r="Q338" s="337"/>
      <c r="R338" s="338"/>
      <c r="T338" s="117" t="str">
        <f t="shared" ca="1" si="33"/>
        <v/>
      </c>
      <c r="U338" s="163" t="str">
        <f t="shared" ca="1" si="34"/>
        <v/>
      </c>
      <c r="V338" s="164" t="str">
        <f ca="1">IF(AND($W338&gt;0,RegimeExecucao="Unitário"),$F338,"")</f>
        <v/>
      </c>
      <c r="W338" s="454">
        <f ca="1">IF($Y338&gt;0,CHOOSE(MATCH(RegimeExecucao,{"Unitário","Global"},0),IF($A338="S",$Y338/$X338,""),($Y338/$X338)*100),0)</f>
        <v>0</v>
      </c>
      <c r="X338" s="339" t="str">
        <f ca="1">IF($Y338&gt;0,CHOOSE(MATCH(RegimeExecucao,{"Unitário","Global"},0),IF($A338="S",ROUND($H338,ORÇAMENTO!$AF$10),""),ROUND($I338,ORÇAMENTO!$AF$11)),"")</f>
        <v/>
      </c>
      <c r="Y338" s="339">
        <f t="shared" ca="1" si="35"/>
        <v>0</v>
      </c>
      <c r="Z338" s="473"/>
      <c r="AB338" s="337"/>
      <c r="AC338" s="437"/>
      <c r="AD338" s="437"/>
      <c r="AE338" s="437"/>
      <c r="AF338" s="437"/>
      <c r="AG338" s="437"/>
      <c r="AH338" s="437"/>
      <c r="AI338" s="437"/>
      <c r="AJ338" s="437"/>
      <c r="AK338" s="437"/>
      <c r="AL338" s="437"/>
      <c r="AM338" s="338"/>
      <c r="AO338">
        <f ca="1">IF($A338="S",IF(BM!$I338=0,0,CHOOSE(MATCH(RegimeExecucao,{"Global","Unitário"},0),ROUND(ROUND(BM.MEDAcumulado,15-13*BM!$A$9)/100*BM!$I338,15-13*ORÇAMENTO!$AF$11),ROUND(ROUND(BM.MEDAcumulado,15-13*BM!$A$9)*ROUND(BM!$H338,15-13*ORÇAMENTO!$AF$10),15-13*ORÇAMENTO!$AF$11))),IF($A338=0,0,ROUND(SomaAgrupBM,15-13*ORÇAMENTO!$AF$11)))</f>
        <v>0</v>
      </c>
    </row>
    <row r="339" spans="1:41" ht="51" x14ac:dyDescent="0.2">
      <c r="A339" t="str">
        <f ca="1">ORÇAMENTO!C339</f>
        <v>S</v>
      </c>
      <c r="B339">
        <f ca="1">ORÇAMENTO!D339</f>
        <v>0</v>
      </c>
      <c r="C339" s="114" t="str">
        <f t="shared" ref="C339:C401" ca="1" si="36">IF(OR($I339&gt;0,$A339=1,$A339=2,$A339=3,$A339=4),"F","")</f>
        <v>F</v>
      </c>
      <c r="D339" s="117" t="str">
        <f ca="1">ORÇAMENTO!O339</f>
        <v>1.7.5.2.2.</v>
      </c>
      <c r="E339" s="163" t="str">
        <f t="shared" ref="E339:E401" ca="1" si="37">ORÇAMENTO.Descricao</f>
        <v>ASSENTAMENTO DE TUBO DE FERRO FUNDIDO PARA REDE DE ÁGUA, DN 600 MM, JUNTA ELÁSTICA, INSTALADO EM LOCAL COM NÍVEL BAIXO DE INTERFERÊNCIAS (NÃO INCLUI FORNECIMENTO). AF_05/2024</v>
      </c>
      <c r="F339" s="164" t="str">
        <f ca="1">IF(RegimeExecucao="Global","",ORÇAMENTO.Unidade)</f>
        <v>M</v>
      </c>
      <c r="G339" s="122">
        <f ca="1">IF(RegimeExecucao="Global","",ORÇAMENTO!T339)</f>
        <v>16.8</v>
      </c>
      <c r="H339" s="122">
        <f ca="1">IF(RegimeExecucao="Global","",ORÇAMENTO!W339)</f>
        <v>28.23</v>
      </c>
      <c r="I339" s="125">
        <f ca="1">ORÇAMENTO!X339</f>
        <v>474.26</v>
      </c>
      <c r="J339" s="333" cm="1">
        <f t="array" aca="1" ref="J339" ca="1">_xlfn.SINGLE(IF($A339="S",IF(CAIXA.Modo,BM.AFAnterior,BM.MEDAnterior),IF(AND(_xlfn.SINGLE(RegimeExecucao)="Global",$I339&gt;0,COUNTIF($AB$13:$AM$13,BM.medicao-1)&gt;0),M339/$I339*100,0)))</f>
        <v>0</v>
      </c>
      <c r="K339" s="122">
        <f t="shared" ref="K339:K401" ca="1" si="38">L339-J339</f>
        <v>0</v>
      </c>
      <c r="L339" s="334" cm="1">
        <f t="array" aca="1" ref="L339" ca="1">_xlfn.SINGLE(IF($A339="S",IF(CAIXA.Modo,BM.AFAcumulado,BM.MEDAcumulado),IF(AND(_xlfn.SINGLE(RegimeExecucao)="Global",$I339&gt;0,COUNTIF($AB$13:$AM$13,BM.medicao)&gt;0),O339/$I339*100,0)))</f>
        <v>0</v>
      </c>
      <c r="M339" s="335">
        <f ca="1">IF($A339="S",VTOTALBM,IF($A339=0,0,ROUND(SomaAgrupBM,15-13*ORÇAMENTO!$AF$11)))</f>
        <v>0</v>
      </c>
      <c r="N339" s="336">
        <f t="shared" ref="N339:N401" ca="1" si="39">O339-M339</f>
        <v>0</v>
      </c>
      <c r="O339" s="125">
        <f ca="1">IF($A339="S",VTOTALBM,IF($A339=0,0,ROUND(SomaAgrupBM,15-13*ORÇAMENTO!$AF$11)))</f>
        <v>0</v>
      </c>
      <c r="Q339" s="337"/>
      <c r="R339" s="338"/>
      <c r="T339" s="117" t="str">
        <f t="shared" ref="T339:T401" ca="1" si="40">IF($W339&gt;0,$D339,"")</f>
        <v/>
      </c>
      <c r="U339" s="163" t="str">
        <f t="shared" ref="U339:U401" ca="1" si="41">IF($W339&gt;0,$E339,"")</f>
        <v/>
      </c>
      <c r="V339" s="164" t="str">
        <f ca="1">IF(AND($W339&gt;0,RegimeExecucao="Unitário"),$F339,"")</f>
        <v/>
      </c>
      <c r="W339" s="454">
        <f ca="1">IF($Y339&gt;0,CHOOSE(MATCH(RegimeExecucao,{"Unitário","Global"},0),IF($A339="S",$Y339/$X339,""),($Y339/$X339)*100),0)</f>
        <v>0</v>
      </c>
      <c r="X339" s="339" t="str">
        <f ca="1">IF($Y339&gt;0,CHOOSE(MATCH(RegimeExecucao,{"Unitário","Global"},0),IF($A339="S",ROUND($H339,ORÇAMENTO!$AF$10),""),ROUND($I339,ORÇAMENTO!$AF$11)),"")</f>
        <v/>
      </c>
      <c r="Y339" s="339">
        <f t="shared" ref="Y339:Y401" ca="1" si="42">AO339-O339</f>
        <v>0</v>
      </c>
      <c r="Z339" s="473"/>
      <c r="AB339" s="337"/>
      <c r="AC339" s="437"/>
      <c r="AD339" s="437"/>
      <c r="AE339" s="437"/>
      <c r="AF339" s="437"/>
      <c r="AG339" s="437"/>
      <c r="AH339" s="437"/>
      <c r="AI339" s="437"/>
      <c r="AJ339" s="437"/>
      <c r="AK339" s="437"/>
      <c r="AL339" s="437"/>
      <c r="AM339" s="338"/>
      <c r="AO339">
        <f ca="1">IF($A339="S",IF(BM!$I339=0,0,CHOOSE(MATCH(RegimeExecucao,{"Global","Unitário"},0),ROUND(ROUND(BM.MEDAcumulado,15-13*BM!$A$9)/100*BM!$I339,15-13*ORÇAMENTO!$AF$11),ROUND(ROUND(BM.MEDAcumulado,15-13*BM!$A$9)*ROUND(BM!$H339,15-13*ORÇAMENTO!$AF$10),15-13*ORÇAMENTO!$AF$11))),IF($A339=0,0,ROUND(SomaAgrupBM,15-13*ORÇAMENTO!$AF$11)))</f>
        <v>0</v>
      </c>
    </row>
    <row r="340" spans="1:41" x14ac:dyDescent="0.2">
      <c r="A340">
        <f ca="1">ORÇAMENTO!C340</f>
        <v>3</v>
      </c>
      <c r="B340">
        <f ca="1">ORÇAMENTO!D340</f>
        <v>20</v>
      </c>
      <c r="C340" s="114" t="str">
        <f t="shared" ca="1" si="36"/>
        <v>F</v>
      </c>
      <c r="D340" s="117" t="str">
        <f ca="1">ORÇAMENTO!O340</f>
        <v>1.7.6.</v>
      </c>
      <c r="E340" s="163" t="str">
        <f t="shared" si="37"/>
        <v>INTERLIGAÇÕES</v>
      </c>
      <c r="F340" s="164" t="str">
        <f ca="1">IF(RegimeExecucao="Global","",ORÇAMENTO.Unidade)</f>
        <v>-</v>
      </c>
      <c r="G340" s="122">
        <f ca="1">IF(RegimeExecucao="Global","",ORÇAMENTO!T340)</f>
        <v>0</v>
      </c>
      <c r="H340" s="122">
        <f ca="1">IF(RegimeExecucao="Global","",ORÇAMENTO!W340)</f>
        <v>0</v>
      </c>
      <c r="I340" s="125">
        <f ca="1">ORÇAMENTO!X340</f>
        <v>282836.40999999997</v>
      </c>
      <c r="J340" s="333" cm="1">
        <f t="array" aca="1" ref="J340" ca="1">_xlfn.SINGLE(IF($A340="S",IF(CAIXA.Modo,BM.AFAnterior,BM.MEDAnterior),IF(AND(_xlfn.SINGLE(RegimeExecucao)="Global",$I340&gt;0,COUNTIF($AB$13:$AM$13,BM.medicao-1)&gt;0),M340/$I340*100,0)))</f>
        <v>0</v>
      </c>
      <c r="K340" s="122">
        <f t="shared" ca="1" si="38"/>
        <v>0</v>
      </c>
      <c r="L340" s="334" cm="1">
        <f t="array" aca="1" ref="L340" ca="1">_xlfn.SINGLE(IF($A340="S",IF(CAIXA.Modo,BM.AFAcumulado,BM.MEDAcumulado),IF(AND(_xlfn.SINGLE(RegimeExecucao)="Global",$I340&gt;0,COUNTIF($AB$13:$AM$13,BM.medicao)&gt;0),O340/$I340*100,0)))</f>
        <v>0</v>
      </c>
      <c r="M340" s="335">
        <f ca="1">IF($A340="S",VTOTALBM,IF($A340=0,0,ROUND(SomaAgrupBM,15-13*ORÇAMENTO!$AF$11)))</f>
        <v>0</v>
      </c>
      <c r="N340" s="336">
        <f t="shared" ca="1" si="39"/>
        <v>0</v>
      </c>
      <c r="O340" s="125">
        <f ca="1">IF($A340="S",VTOTALBM,IF($A340=0,0,ROUND(SomaAgrupBM,15-13*ORÇAMENTO!$AF$11)))</f>
        <v>0</v>
      </c>
      <c r="Q340" s="337"/>
      <c r="R340" s="338"/>
      <c r="T340" s="117" t="str">
        <f t="shared" ca="1" si="40"/>
        <v/>
      </c>
      <c r="U340" s="163" t="str">
        <f t="shared" ca="1" si="41"/>
        <v/>
      </c>
      <c r="V340" s="164" t="str">
        <f ca="1">IF(AND($W340&gt;0,RegimeExecucao="Unitário"),$F340,"")</f>
        <v/>
      </c>
      <c r="W340" s="454">
        <f ca="1">IF($Y340&gt;0,CHOOSE(MATCH(RegimeExecucao,{"Unitário","Global"},0),IF($A340="S",$Y340/$X340,""),($Y340/$X340)*100),0)</f>
        <v>0</v>
      </c>
      <c r="X340" s="339" t="str">
        <f ca="1">IF($Y340&gt;0,CHOOSE(MATCH(RegimeExecucao,{"Unitário","Global"},0),IF($A340="S",ROUND($H340,ORÇAMENTO!$AF$10),""),ROUND($I340,ORÇAMENTO!$AF$11)),"")</f>
        <v/>
      </c>
      <c r="Y340" s="339">
        <f t="shared" ca="1" si="42"/>
        <v>0</v>
      </c>
      <c r="Z340" s="473"/>
      <c r="AB340" s="337"/>
      <c r="AC340" s="437"/>
      <c r="AD340" s="437"/>
      <c r="AE340" s="437"/>
      <c r="AF340" s="437"/>
      <c r="AG340" s="437"/>
      <c r="AH340" s="437"/>
      <c r="AI340" s="437"/>
      <c r="AJ340" s="437"/>
      <c r="AK340" s="437"/>
      <c r="AL340" s="437"/>
      <c r="AM340" s="338"/>
      <c r="AO340">
        <f ca="1">IF($A340="S",IF(BM!$I340=0,0,CHOOSE(MATCH(RegimeExecucao,{"Global","Unitário"},0),ROUND(ROUND(BM.MEDAcumulado,15-13*BM!$A$9)/100*BM!$I340,15-13*ORÇAMENTO!$AF$11),ROUND(ROUND(BM.MEDAcumulado,15-13*BM!$A$9)*ROUND(BM!$H340,15-13*ORÇAMENTO!$AF$10),15-13*ORÇAMENTO!$AF$11))),IF($A340=0,0,ROUND(SomaAgrupBM,15-13*ORÇAMENTO!$AF$11)))</f>
        <v>0</v>
      </c>
    </row>
    <row r="341" spans="1:41" x14ac:dyDescent="0.2">
      <c r="A341">
        <f ca="1">ORÇAMENTO!C341</f>
        <v>4</v>
      </c>
      <c r="B341">
        <f ca="1">ORÇAMENTO!D341</f>
        <v>13</v>
      </c>
      <c r="C341" s="114" t="str">
        <f t="shared" ca="1" si="36"/>
        <v>F</v>
      </c>
      <c r="D341" s="117" t="str">
        <f ca="1">ORÇAMENTO!O341</f>
        <v>1.7.6.1.</v>
      </c>
      <c r="E341" s="163" t="str">
        <f t="shared" si="37"/>
        <v>FORNECIMENTO DE MATERIAIS</v>
      </c>
      <c r="F341" s="164" t="str">
        <f ca="1">IF(RegimeExecucao="Global","",ORÇAMENTO.Unidade)</f>
        <v>-</v>
      </c>
      <c r="G341" s="122">
        <f ca="1">IF(RegimeExecucao="Global","",ORÇAMENTO!T341)</f>
        <v>0</v>
      </c>
      <c r="H341" s="122">
        <f ca="1">IF(RegimeExecucao="Global","",ORÇAMENTO!W341)</f>
        <v>0</v>
      </c>
      <c r="I341" s="125">
        <f ca="1">ORÇAMENTO!X341</f>
        <v>231464.13</v>
      </c>
      <c r="J341" s="333" cm="1">
        <f t="array" aca="1" ref="J341" ca="1">_xlfn.SINGLE(IF($A341="S",IF(CAIXA.Modo,BM.AFAnterior,BM.MEDAnterior),IF(AND(_xlfn.SINGLE(RegimeExecucao)="Global",$I341&gt;0,COUNTIF($AB$13:$AM$13,BM.medicao-1)&gt;0),M341/$I341*100,0)))</f>
        <v>0</v>
      </c>
      <c r="K341" s="122">
        <f t="shared" ca="1" si="38"/>
        <v>0</v>
      </c>
      <c r="L341" s="334" cm="1">
        <f t="array" aca="1" ref="L341" ca="1">_xlfn.SINGLE(IF($A341="S",IF(CAIXA.Modo,BM.AFAcumulado,BM.MEDAcumulado),IF(AND(_xlfn.SINGLE(RegimeExecucao)="Global",$I341&gt;0,COUNTIF($AB$13:$AM$13,BM.medicao)&gt;0),O341/$I341*100,0)))</f>
        <v>0</v>
      </c>
      <c r="M341" s="335">
        <f ca="1">IF($A341="S",VTOTALBM,IF($A341=0,0,ROUND(SomaAgrupBM,15-13*ORÇAMENTO!$AF$11)))</f>
        <v>0</v>
      </c>
      <c r="N341" s="336">
        <f t="shared" ca="1" si="39"/>
        <v>0</v>
      </c>
      <c r="O341" s="125">
        <f ca="1">IF($A341="S",VTOTALBM,IF($A341=0,0,ROUND(SomaAgrupBM,15-13*ORÇAMENTO!$AF$11)))</f>
        <v>0</v>
      </c>
      <c r="Q341" s="337"/>
      <c r="R341" s="338"/>
      <c r="T341" s="117" t="str">
        <f t="shared" ca="1" si="40"/>
        <v/>
      </c>
      <c r="U341" s="163" t="str">
        <f t="shared" ca="1" si="41"/>
        <v/>
      </c>
      <c r="V341" s="164" t="str">
        <f ca="1">IF(AND($W341&gt;0,RegimeExecucao="Unitário"),$F341,"")</f>
        <v/>
      </c>
      <c r="W341" s="454">
        <f ca="1">IF($Y341&gt;0,CHOOSE(MATCH(RegimeExecucao,{"Unitário","Global"},0),IF($A341="S",$Y341/$X341,""),($Y341/$X341)*100),0)</f>
        <v>0</v>
      </c>
      <c r="X341" s="339" t="str">
        <f ca="1">IF($Y341&gt;0,CHOOSE(MATCH(RegimeExecucao,{"Unitário","Global"},0),IF($A341="S",ROUND($H341,ORÇAMENTO!$AF$10),""),ROUND($I341,ORÇAMENTO!$AF$11)),"")</f>
        <v/>
      </c>
      <c r="Y341" s="339">
        <f t="shared" ca="1" si="42"/>
        <v>0</v>
      </c>
      <c r="Z341" s="473"/>
      <c r="AB341" s="337"/>
      <c r="AC341" s="437"/>
      <c r="AD341" s="437"/>
      <c r="AE341" s="437"/>
      <c r="AF341" s="437"/>
      <c r="AG341" s="437"/>
      <c r="AH341" s="437"/>
      <c r="AI341" s="437"/>
      <c r="AJ341" s="437"/>
      <c r="AK341" s="437"/>
      <c r="AL341" s="437"/>
      <c r="AM341" s="338"/>
      <c r="AO341">
        <f ca="1">IF($A341="S",IF(BM!$I341=0,0,CHOOSE(MATCH(RegimeExecucao,{"Global","Unitário"},0),ROUND(ROUND(BM.MEDAcumulado,15-13*BM!$A$9)/100*BM!$I341,15-13*ORÇAMENTO!$AF$11),ROUND(ROUND(BM.MEDAcumulado,15-13*BM!$A$9)*ROUND(BM!$H341,15-13*ORÇAMENTO!$AF$10),15-13*ORÇAMENTO!$AF$11))),IF($A341=0,0,ROUND(SomaAgrupBM,15-13*ORÇAMENTO!$AF$11)))</f>
        <v>0</v>
      </c>
    </row>
    <row r="342" spans="1:41" ht="25.5" x14ac:dyDescent="0.2">
      <c r="A342" t="str">
        <f ca="1">ORÇAMENTO!C342</f>
        <v>S</v>
      </c>
      <c r="B342">
        <f ca="1">ORÇAMENTO!D342</f>
        <v>0</v>
      </c>
      <c r="C342" s="114" t="str">
        <f t="shared" ca="1" si="36"/>
        <v>F</v>
      </c>
      <c r="D342" s="117" t="str">
        <f ca="1">ORÇAMENTO!O342</f>
        <v>1.7.6.1.1.</v>
      </c>
      <c r="E342" s="163" t="str">
        <f t="shared" ca="1" si="37"/>
        <v>FORNECIMENTO E ASSENTAMENTO DE TUBO DE PVC DEFOFO, DN 150 MM, JUNTA ELÁSTICA INTEGRADA - BASEADO EM SINAPI (97134)</v>
      </c>
      <c r="F342" s="164" t="str">
        <f ca="1">IF(RegimeExecucao="Global","",ORÇAMENTO.Unidade)</f>
        <v>M</v>
      </c>
      <c r="G342" s="122">
        <f ca="1">IF(RegimeExecucao="Global","",ORÇAMENTO!T342)</f>
        <v>498.13</v>
      </c>
      <c r="H342" s="122">
        <f ca="1">IF(RegimeExecucao="Global","",ORÇAMENTO!W342)</f>
        <v>203.12</v>
      </c>
      <c r="I342" s="125">
        <f ca="1">ORÇAMENTO!X342</f>
        <v>101180.17</v>
      </c>
      <c r="J342" s="333" cm="1">
        <f t="array" aca="1" ref="J342" ca="1">_xlfn.SINGLE(IF($A342="S",IF(CAIXA.Modo,BM.AFAnterior,BM.MEDAnterior),IF(AND(_xlfn.SINGLE(RegimeExecucao)="Global",$I342&gt;0,COUNTIF($AB$13:$AM$13,BM.medicao-1)&gt;0),M342/$I342*100,0)))</f>
        <v>0</v>
      </c>
      <c r="K342" s="122">
        <f t="shared" ca="1" si="38"/>
        <v>0</v>
      </c>
      <c r="L342" s="334" cm="1">
        <f t="array" aca="1" ref="L342" ca="1">_xlfn.SINGLE(IF($A342="S",IF(CAIXA.Modo,BM.AFAcumulado,BM.MEDAcumulado),IF(AND(_xlfn.SINGLE(RegimeExecucao)="Global",$I342&gt;0,COUNTIF($AB$13:$AM$13,BM.medicao)&gt;0),O342/$I342*100,0)))</f>
        <v>0</v>
      </c>
      <c r="M342" s="335">
        <f ca="1">IF($A342="S",VTOTALBM,IF($A342=0,0,ROUND(SomaAgrupBM,15-13*ORÇAMENTO!$AF$11)))</f>
        <v>0</v>
      </c>
      <c r="N342" s="336">
        <f t="shared" ca="1" si="39"/>
        <v>0</v>
      </c>
      <c r="O342" s="125">
        <f ca="1">IF($A342="S",VTOTALBM,IF($A342=0,0,ROUND(SomaAgrupBM,15-13*ORÇAMENTO!$AF$11)))</f>
        <v>0</v>
      </c>
      <c r="Q342" s="337"/>
      <c r="R342" s="338"/>
      <c r="T342" s="117" t="str">
        <f t="shared" ca="1" si="40"/>
        <v/>
      </c>
      <c r="U342" s="163" t="str">
        <f t="shared" ca="1" si="41"/>
        <v/>
      </c>
      <c r="V342" s="164" t="str">
        <f ca="1">IF(AND($W342&gt;0,RegimeExecucao="Unitário"),$F342,"")</f>
        <v/>
      </c>
      <c r="W342" s="454">
        <f ca="1">IF($Y342&gt;0,CHOOSE(MATCH(RegimeExecucao,{"Unitário","Global"},0),IF($A342="S",$Y342/$X342,""),($Y342/$X342)*100),0)</f>
        <v>0</v>
      </c>
      <c r="X342" s="339" t="str">
        <f ca="1">IF($Y342&gt;0,CHOOSE(MATCH(RegimeExecucao,{"Unitário","Global"},0),IF($A342="S",ROUND($H342,ORÇAMENTO!$AF$10),""),ROUND($I342,ORÇAMENTO!$AF$11)),"")</f>
        <v/>
      </c>
      <c r="Y342" s="339">
        <f t="shared" ca="1" si="42"/>
        <v>0</v>
      </c>
      <c r="Z342" s="473"/>
      <c r="AB342" s="337"/>
      <c r="AC342" s="437"/>
      <c r="AD342" s="437"/>
      <c r="AE342" s="437"/>
      <c r="AF342" s="437"/>
      <c r="AG342" s="437"/>
      <c r="AH342" s="437"/>
      <c r="AI342" s="437"/>
      <c r="AJ342" s="437"/>
      <c r="AK342" s="437"/>
      <c r="AL342" s="437"/>
      <c r="AM342" s="338"/>
      <c r="AO342">
        <f ca="1">IF($A342="S",IF(BM!$I342=0,0,CHOOSE(MATCH(RegimeExecucao,{"Global","Unitário"},0),ROUND(ROUND(BM.MEDAcumulado,15-13*BM!$A$9)/100*BM!$I342,15-13*ORÇAMENTO!$AF$11),ROUND(ROUND(BM.MEDAcumulado,15-13*BM!$A$9)*ROUND(BM!$H342,15-13*ORÇAMENTO!$AF$10),15-13*ORÇAMENTO!$AF$11))),IF($A342=0,0,ROUND(SomaAgrupBM,15-13*ORÇAMENTO!$AF$11)))</f>
        <v>0</v>
      </c>
    </row>
    <row r="343" spans="1:41" x14ac:dyDescent="0.2">
      <c r="A343" t="str">
        <f ca="1">ORÇAMENTO!C343</f>
        <v>S</v>
      </c>
      <c r="B343">
        <f ca="1">ORÇAMENTO!D343</f>
        <v>0</v>
      </c>
      <c r="C343" s="114" t="str">
        <f t="shared" ca="1" si="36"/>
        <v>F</v>
      </c>
      <c r="D343" s="117" t="str">
        <f ca="1">ORÇAMENTO!O343</f>
        <v>1.7.6.1.2.</v>
      </c>
      <c r="E343" s="163" t="str">
        <f t="shared" ca="1" si="37"/>
        <v>CURVA 90 BOLSAS FoFo - DN 150 MM</v>
      </c>
      <c r="F343" s="164" t="str">
        <f ca="1">IF(RegimeExecucao="Global","",ORÇAMENTO.Unidade)</f>
        <v>UN</v>
      </c>
      <c r="G343" s="122">
        <f ca="1">IF(RegimeExecucao="Global","",ORÇAMENTO!T343)</f>
        <v>8</v>
      </c>
      <c r="H343" s="122">
        <f ca="1">IF(RegimeExecucao="Global","",ORÇAMENTO!W343)</f>
        <v>600.25</v>
      </c>
      <c r="I343" s="125">
        <f ca="1">ORÇAMENTO!X343</f>
        <v>4802</v>
      </c>
      <c r="J343" s="333" cm="1">
        <f t="array" aca="1" ref="J343" ca="1">_xlfn.SINGLE(IF($A343="S",IF(CAIXA.Modo,BM.AFAnterior,BM.MEDAnterior),IF(AND(_xlfn.SINGLE(RegimeExecucao)="Global",$I343&gt;0,COUNTIF($AB$13:$AM$13,BM.medicao-1)&gt;0),M343/$I343*100,0)))</f>
        <v>0</v>
      </c>
      <c r="K343" s="122">
        <f t="shared" ca="1" si="38"/>
        <v>0</v>
      </c>
      <c r="L343" s="334" cm="1">
        <f t="array" aca="1" ref="L343" ca="1">_xlfn.SINGLE(IF($A343="S",IF(CAIXA.Modo,BM.AFAcumulado,BM.MEDAcumulado),IF(AND(_xlfn.SINGLE(RegimeExecucao)="Global",$I343&gt;0,COUNTIF($AB$13:$AM$13,BM.medicao)&gt;0),O343/$I343*100,0)))</f>
        <v>0</v>
      </c>
      <c r="M343" s="335">
        <f ca="1">IF($A343="S",VTOTALBM,IF($A343=0,0,ROUND(SomaAgrupBM,15-13*ORÇAMENTO!$AF$11)))</f>
        <v>0</v>
      </c>
      <c r="N343" s="336">
        <f t="shared" ca="1" si="39"/>
        <v>0</v>
      </c>
      <c r="O343" s="125">
        <f ca="1">IF($A343="S",VTOTALBM,IF($A343=0,0,ROUND(SomaAgrupBM,15-13*ORÇAMENTO!$AF$11)))</f>
        <v>0</v>
      </c>
      <c r="Q343" s="337"/>
      <c r="R343" s="338"/>
      <c r="T343" s="117" t="str">
        <f t="shared" ca="1" si="40"/>
        <v/>
      </c>
      <c r="U343" s="163" t="str">
        <f t="shared" ca="1" si="41"/>
        <v/>
      </c>
      <c r="V343" s="164" t="str">
        <f ca="1">IF(AND($W343&gt;0,RegimeExecucao="Unitário"),$F343,"")</f>
        <v/>
      </c>
      <c r="W343" s="454">
        <f ca="1">IF($Y343&gt;0,CHOOSE(MATCH(RegimeExecucao,{"Unitário","Global"},0),IF($A343="S",$Y343/$X343,""),($Y343/$X343)*100),0)</f>
        <v>0</v>
      </c>
      <c r="X343" s="339" t="str">
        <f ca="1">IF($Y343&gt;0,CHOOSE(MATCH(RegimeExecucao,{"Unitário","Global"},0),IF($A343="S",ROUND($H343,ORÇAMENTO!$AF$10),""),ROUND($I343,ORÇAMENTO!$AF$11)),"")</f>
        <v/>
      </c>
      <c r="Y343" s="339">
        <f t="shared" ca="1" si="42"/>
        <v>0</v>
      </c>
      <c r="Z343" s="473"/>
      <c r="AB343" s="337"/>
      <c r="AC343" s="437"/>
      <c r="AD343" s="437"/>
      <c r="AE343" s="437"/>
      <c r="AF343" s="437"/>
      <c r="AG343" s="437"/>
      <c r="AH343" s="437"/>
      <c r="AI343" s="437"/>
      <c r="AJ343" s="437"/>
      <c r="AK343" s="437"/>
      <c r="AL343" s="437"/>
      <c r="AM343" s="338"/>
      <c r="AO343">
        <f ca="1">IF($A343="S",IF(BM!$I343=0,0,CHOOSE(MATCH(RegimeExecucao,{"Global","Unitário"},0),ROUND(ROUND(BM.MEDAcumulado,15-13*BM!$A$9)/100*BM!$I343,15-13*ORÇAMENTO!$AF$11),ROUND(ROUND(BM.MEDAcumulado,15-13*BM!$A$9)*ROUND(BM!$H343,15-13*ORÇAMENTO!$AF$10),15-13*ORÇAMENTO!$AF$11))),IF($A343=0,0,ROUND(SomaAgrupBM,15-13*ORÇAMENTO!$AF$11)))</f>
        <v>0</v>
      </c>
    </row>
    <row r="344" spans="1:41" x14ac:dyDescent="0.2">
      <c r="A344" t="str">
        <f ca="1">ORÇAMENTO!C344</f>
        <v>S</v>
      </c>
      <c r="B344">
        <f ca="1">ORÇAMENTO!D344</f>
        <v>0</v>
      </c>
      <c r="C344" s="114" t="str">
        <f t="shared" ca="1" si="36"/>
        <v>F</v>
      </c>
      <c r="D344" s="117" t="str">
        <f ca="1">ORÇAMENTO!O344</f>
        <v>1.7.6.1.3.</v>
      </c>
      <c r="E344" s="163" t="str">
        <f t="shared" ca="1" si="37"/>
        <v>TÊ COM BOLSAS FoFo - DN 150 MM</v>
      </c>
      <c r="F344" s="164" t="str">
        <f ca="1">IF(RegimeExecucao="Global","",ORÇAMENTO.Unidade)</f>
        <v>UN</v>
      </c>
      <c r="G344" s="122">
        <f ca="1">IF(RegimeExecucao="Global","",ORÇAMENTO!T344)</f>
        <v>18</v>
      </c>
      <c r="H344" s="122">
        <f ca="1">IF(RegimeExecucao="Global","",ORÇAMENTO!W344)</f>
        <v>718.25</v>
      </c>
      <c r="I344" s="125">
        <f ca="1">ORÇAMENTO!X344</f>
        <v>12928.5</v>
      </c>
      <c r="J344" s="333" cm="1">
        <f t="array" aca="1" ref="J344" ca="1">_xlfn.SINGLE(IF($A344="S",IF(CAIXA.Modo,BM.AFAnterior,BM.MEDAnterior),IF(AND(_xlfn.SINGLE(RegimeExecucao)="Global",$I344&gt;0,COUNTIF($AB$13:$AM$13,BM.medicao-1)&gt;0),M344/$I344*100,0)))</f>
        <v>0</v>
      </c>
      <c r="K344" s="122">
        <f t="shared" ca="1" si="38"/>
        <v>0</v>
      </c>
      <c r="L344" s="334" cm="1">
        <f t="array" aca="1" ref="L344" ca="1">_xlfn.SINGLE(IF($A344="S",IF(CAIXA.Modo,BM.AFAcumulado,BM.MEDAcumulado),IF(AND(_xlfn.SINGLE(RegimeExecucao)="Global",$I344&gt;0,COUNTIF($AB$13:$AM$13,BM.medicao)&gt;0),O344/$I344*100,0)))</f>
        <v>0</v>
      </c>
      <c r="M344" s="335">
        <f ca="1">IF($A344="S",VTOTALBM,IF($A344=0,0,ROUND(SomaAgrupBM,15-13*ORÇAMENTO!$AF$11)))</f>
        <v>0</v>
      </c>
      <c r="N344" s="336">
        <f t="shared" ca="1" si="39"/>
        <v>0</v>
      </c>
      <c r="O344" s="125">
        <f ca="1">IF($A344="S",VTOTALBM,IF($A344=0,0,ROUND(SomaAgrupBM,15-13*ORÇAMENTO!$AF$11)))</f>
        <v>0</v>
      </c>
      <c r="Q344" s="337"/>
      <c r="R344" s="338"/>
      <c r="T344" s="117" t="str">
        <f t="shared" ca="1" si="40"/>
        <v/>
      </c>
      <c r="U344" s="163" t="str">
        <f t="shared" ca="1" si="41"/>
        <v/>
      </c>
      <c r="V344" s="164" t="str">
        <f ca="1">IF(AND($W344&gt;0,RegimeExecucao="Unitário"),$F344,"")</f>
        <v/>
      </c>
      <c r="W344" s="454">
        <f ca="1">IF($Y344&gt;0,CHOOSE(MATCH(RegimeExecucao,{"Unitário","Global"},0),IF($A344="S",$Y344/$X344,""),($Y344/$X344)*100),0)</f>
        <v>0</v>
      </c>
      <c r="X344" s="339" t="str">
        <f ca="1">IF($Y344&gt;0,CHOOSE(MATCH(RegimeExecucao,{"Unitário","Global"},0),IF($A344="S",ROUND($H344,ORÇAMENTO!$AF$10),""),ROUND($I344,ORÇAMENTO!$AF$11)),"")</f>
        <v/>
      </c>
      <c r="Y344" s="339">
        <f t="shared" ca="1" si="42"/>
        <v>0</v>
      </c>
      <c r="Z344" s="473"/>
      <c r="AB344" s="337"/>
      <c r="AC344" s="437"/>
      <c r="AD344" s="437"/>
      <c r="AE344" s="437"/>
      <c r="AF344" s="437"/>
      <c r="AG344" s="437"/>
      <c r="AH344" s="437"/>
      <c r="AI344" s="437"/>
      <c r="AJ344" s="437"/>
      <c r="AK344" s="437"/>
      <c r="AL344" s="437"/>
      <c r="AM344" s="338"/>
      <c r="AO344">
        <f ca="1">IF($A344="S",IF(BM!$I344=0,0,CHOOSE(MATCH(RegimeExecucao,{"Global","Unitário"},0),ROUND(ROUND(BM.MEDAcumulado,15-13*BM!$A$9)/100*BM!$I344,15-13*ORÇAMENTO!$AF$11),ROUND(ROUND(BM.MEDAcumulado,15-13*BM!$A$9)*ROUND(BM!$H344,15-13*ORÇAMENTO!$AF$10),15-13*ORÇAMENTO!$AF$11))),IF($A344=0,0,ROUND(SomaAgrupBM,15-13*ORÇAMENTO!$AF$11)))</f>
        <v>0</v>
      </c>
    </row>
    <row r="345" spans="1:41" x14ac:dyDescent="0.2">
      <c r="A345" t="str">
        <f ca="1">ORÇAMENTO!C345</f>
        <v>S</v>
      </c>
      <c r="B345">
        <f ca="1">ORÇAMENTO!D345</f>
        <v>0</v>
      </c>
      <c r="C345" s="114" t="str">
        <f t="shared" ca="1" si="36"/>
        <v>F</v>
      </c>
      <c r="D345" s="117" t="str">
        <f ca="1">ORÇAMENTO!O345</f>
        <v>1.7.6.1.4.</v>
      </c>
      <c r="E345" s="163" t="str">
        <f t="shared" ca="1" si="37"/>
        <v>CRUZETA FoFo - DN 150 MM</v>
      </c>
      <c r="F345" s="164" t="str">
        <f ca="1">IF(RegimeExecucao="Global","",ORÇAMENTO.Unidade)</f>
        <v>UN</v>
      </c>
      <c r="G345" s="122">
        <f ca="1">IF(RegimeExecucao="Global","",ORÇAMENTO!T345)</f>
        <v>7</v>
      </c>
      <c r="H345" s="122">
        <f ca="1">IF(RegimeExecucao="Global","",ORÇAMENTO!W345)</f>
        <v>1515.85</v>
      </c>
      <c r="I345" s="125">
        <f ca="1">ORÇAMENTO!X345</f>
        <v>10610.95</v>
      </c>
      <c r="J345" s="333" cm="1">
        <f t="array" aca="1" ref="J345" ca="1">_xlfn.SINGLE(IF($A345="S",IF(CAIXA.Modo,BM.AFAnterior,BM.MEDAnterior),IF(AND(_xlfn.SINGLE(RegimeExecucao)="Global",$I345&gt;0,COUNTIF($AB$13:$AM$13,BM.medicao-1)&gt;0),M345/$I345*100,0)))</f>
        <v>0</v>
      </c>
      <c r="K345" s="122">
        <f t="shared" ca="1" si="38"/>
        <v>0</v>
      </c>
      <c r="L345" s="334" cm="1">
        <f t="array" aca="1" ref="L345" ca="1">_xlfn.SINGLE(IF($A345="S",IF(CAIXA.Modo,BM.AFAcumulado,BM.MEDAcumulado),IF(AND(_xlfn.SINGLE(RegimeExecucao)="Global",$I345&gt;0,COUNTIF($AB$13:$AM$13,BM.medicao)&gt;0),O345/$I345*100,0)))</f>
        <v>0</v>
      </c>
      <c r="M345" s="335">
        <f ca="1">IF($A345="S",VTOTALBM,IF($A345=0,0,ROUND(SomaAgrupBM,15-13*ORÇAMENTO!$AF$11)))</f>
        <v>0</v>
      </c>
      <c r="N345" s="336">
        <f t="shared" ca="1" si="39"/>
        <v>0</v>
      </c>
      <c r="O345" s="125">
        <f ca="1">IF($A345="S",VTOTALBM,IF($A345=0,0,ROUND(SomaAgrupBM,15-13*ORÇAMENTO!$AF$11)))</f>
        <v>0</v>
      </c>
      <c r="Q345" s="337"/>
      <c r="R345" s="338"/>
      <c r="T345" s="117" t="str">
        <f t="shared" ca="1" si="40"/>
        <v/>
      </c>
      <c r="U345" s="163" t="str">
        <f t="shared" ca="1" si="41"/>
        <v/>
      </c>
      <c r="V345" s="164" t="str">
        <f ca="1">IF(AND($W345&gt;0,RegimeExecucao="Unitário"),$F345,"")</f>
        <v/>
      </c>
      <c r="W345" s="454">
        <f ca="1">IF($Y345&gt;0,CHOOSE(MATCH(RegimeExecucao,{"Unitário","Global"},0),IF($A345="S",$Y345/$X345,""),($Y345/$X345)*100),0)</f>
        <v>0</v>
      </c>
      <c r="X345" s="339" t="str">
        <f ca="1">IF($Y345&gt;0,CHOOSE(MATCH(RegimeExecucao,{"Unitário","Global"},0),IF($A345="S",ROUND($H345,ORÇAMENTO!$AF$10),""),ROUND($I345,ORÇAMENTO!$AF$11)),"")</f>
        <v/>
      </c>
      <c r="Y345" s="339">
        <f t="shared" ca="1" si="42"/>
        <v>0</v>
      </c>
      <c r="Z345" s="473"/>
      <c r="AB345" s="337"/>
      <c r="AC345" s="437"/>
      <c r="AD345" s="437"/>
      <c r="AE345" s="437"/>
      <c r="AF345" s="437"/>
      <c r="AG345" s="437"/>
      <c r="AH345" s="437"/>
      <c r="AI345" s="437"/>
      <c r="AJ345" s="437"/>
      <c r="AK345" s="437"/>
      <c r="AL345" s="437"/>
      <c r="AM345" s="338"/>
      <c r="AO345">
        <f ca="1">IF($A345="S",IF(BM!$I345=0,0,CHOOSE(MATCH(RegimeExecucao,{"Global","Unitário"},0),ROUND(ROUND(BM.MEDAcumulado,15-13*BM!$A$9)/100*BM!$I345,15-13*ORÇAMENTO!$AF$11),ROUND(ROUND(BM.MEDAcumulado,15-13*BM!$A$9)*ROUND(BM!$H345,15-13*ORÇAMENTO!$AF$10),15-13*ORÇAMENTO!$AF$11))),IF($A345=0,0,ROUND(SomaAgrupBM,15-13*ORÇAMENTO!$AF$11)))</f>
        <v>0</v>
      </c>
    </row>
    <row r="346" spans="1:41" x14ac:dyDescent="0.2">
      <c r="A346" t="str">
        <f ca="1">ORÇAMENTO!C346</f>
        <v>S</v>
      </c>
      <c r="B346">
        <f ca="1">ORÇAMENTO!D346</f>
        <v>0</v>
      </c>
      <c r="C346" s="114" t="str">
        <f t="shared" ca="1" si="36"/>
        <v>F</v>
      </c>
      <c r="D346" s="117" t="str">
        <f ca="1">ORÇAMENTO!O346</f>
        <v>1.7.6.1.5.</v>
      </c>
      <c r="E346" s="163" t="str">
        <f t="shared" ca="1" si="37"/>
        <v>LUVA COM BOLSAS FoFo - DN 150 MM</v>
      </c>
      <c r="F346" s="164" t="str">
        <f ca="1">IF(RegimeExecucao="Global","",ORÇAMENTO.Unidade)</f>
        <v>UN</v>
      </c>
      <c r="G346" s="122">
        <f ca="1">IF(RegimeExecucao="Global","",ORÇAMENTO!T346)</f>
        <v>4</v>
      </c>
      <c r="H346" s="122">
        <f ca="1">IF(RegimeExecucao="Global","",ORÇAMENTO!W346)</f>
        <v>555.01</v>
      </c>
      <c r="I346" s="125">
        <f ca="1">ORÇAMENTO!X346</f>
        <v>2220.04</v>
      </c>
      <c r="J346" s="333" cm="1">
        <f t="array" aca="1" ref="J346" ca="1">_xlfn.SINGLE(IF($A346="S",IF(CAIXA.Modo,BM.AFAnterior,BM.MEDAnterior),IF(AND(_xlfn.SINGLE(RegimeExecucao)="Global",$I346&gt;0,COUNTIF($AB$13:$AM$13,BM.medicao-1)&gt;0),M346/$I346*100,0)))</f>
        <v>0</v>
      </c>
      <c r="K346" s="122">
        <f t="shared" ca="1" si="38"/>
        <v>0</v>
      </c>
      <c r="L346" s="334" cm="1">
        <f t="array" aca="1" ref="L346" ca="1">_xlfn.SINGLE(IF($A346="S",IF(CAIXA.Modo,BM.AFAcumulado,BM.MEDAcumulado),IF(AND(_xlfn.SINGLE(RegimeExecucao)="Global",$I346&gt;0,COUNTIF($AB$13:$AM$13,BM.medicao)&gt;0),O346/$I346*100,0)))</f>
        <v>0</v>
      </c>
      <c r="M346" s="335">
        <f ca="1">IF($A346="S",VTOTALBM,IF($A346=0,0,ROUND(SomaAgrupBM,15-13*ORÇAMENTO!$AF$11)))</f>
        <v>0</v>
      </c>
      <c r="N346" s="336">
        <f t="shared" ca="1" si="39"/>
        <v>0</v>
      </c>
      <c r="O346" s="125">
        <f ca="1">IF($A346="S",VTOTALBM,IF($A346=0,0,ROUND(SomaAgrupBM,15-13*ORÇAMENTO!$AF$11)))</f>
        <v>0</v>
      </c>
      <c r="Q346" s="337"/>
      <c r="R346" s="338"/>
      <c r="T346" s="117" t="str">
        <f t="shared" ca="1" si="40"/>
        <v/>
      </c>
      <c r="U346" s="163" t="str">
        <f t="shared" ca="1" si="41"/>
        <v/>
      </c>
      <c r="V346" s="164" t="str">
        <f ca="1">IF(AND($W346&gt;0,RegimeExecucao="Unitário"),$F346,"")</f>
        <v/>
      </c>
      <c r="W346" s="454">
        <f ca="1">IF($Y346&gt;0,CHOOSE(MATCH(RegimeExecucao,{"Unitário","Global"},0),IF($A346="S",$Y346/$X346,""),($Y346/$X346)*100),0)</f>
        <v>0</v>
      </c>
      <c r="X346" s="339" t="str">
        <f ca="1">IF($Y346&gt;0,CHOOSE(MATCH(RegimeExecucao,{"Unitário","Global"},0),IF($A346="S",ROUND($H346,ORÇAMENTO!$AF$10),""),ROUND($I346,ORÇAMENTO!$AF$11)),"")</f>
        <v/>
      </c>
      <c r="Y346" s="339">
        <f t="shared" ca="1" si="42"/>
        <v>0</v>
      </c>
      <c r="Z346" s="473"/>
      <c r="AB346" s="337"/>
      <c r="AC346" s="437"/>
      <c r="AD346" s="437"/>
      <c r="AE346" s="437"/>
      <c r="AF346" s="437"/>
      <c r="AG346" s="437"/>
      <c r="AH346" s="437"/>
      <c r="AI346" s="437"/>
      <c r="AJ346" s="437"/>
      <c r="AK346" s="437"/>
      <c r="AL346" s="437"/>
      <c r="AM346" s="338"/>
      <c r="AO346">
        <f ca="1">IF($A346="S",IF(BM!$I346=0,0,CHOOSE(MATCH(RegimeExecucao,{"Global","Unitário"},0),ROUND(ROUND(BM.MEDAcumulado,15-13*BM!$A$9)/100*BM!$I346,15-13*ORÇAMENTO!$AF$11),ROUND(ROUND(BM.MEDAcumulado,15-13*BM!$A$9)*ROUND(BM!$H346,15-13*ORÇAMENTO!$AF$10),15-13*ORÇAMENTO!$AF$11))),IF($A346=0,0,ROUND(SomaAgrupBM,15-13*ORÇAMENTO!$AF$11)))</f>
        <v>0</v>
      </c>
    </row>
    <row r="347" spans="1:41" x14ac:dyDescent="0.2">
      <c r="A347" t="str">
        <f ca="1">ORÇAMENTO!C347</f>
        <v>S</v>
      </c>
      <c r="B347">
        <f ca="1">ORÇAMENTO!D347</f>
        <v>0</v>
      </c>
      <c r="C347" s="114" t="str">
        <f t="shared" ca="1" si="36"/>
        <v>F</v>
      </c>
      <c r="D347" s="117" t="str">
        <f ca="1">ORÇAMENTO!O347</f>
        <v>1.7.6.1.6.</v>
      </c>
      <c r="E347" s="163" t="str">
        <f t="shared" ca="1" si="37"/>
        <v>EXTREMIDADE PONTA/FLANGE FoFo - DN 150 MM</v>
      </c>
      <c r="F347" s="164" t="str">
        <f ca="1">IF(RegimeExecucao="Global","",ORÇAMENTO.Unidade)</f>
        <v>UN</v>
      </c>
      <c r="G347" s="122">
        <f ca="1">IF(RegimeExecucao="Global","",ORÇAMENTO!T347)</f>
        <v>4</v>
      </c>
      <c r="H347" s="122">
        <f ca="1">IF(RegimeExecucao="Global","",ORÇAMENTO!W347)</f>
        <v>1191.06</v>
      </c>
      <c r="I347" s="125">
        <f ca="1">ORÇAMENTO!X347</f>
        <v>4764.24</v>
      </c>
      <c r="J347" s="333" cm="1">
        <f t="array" aca="1" ref="J347" ca="1">_xlfn.SINGLE(IF($A347="S",IF(CAIXA.Modo,BM.AFAnterior,BM.MEDAnterior),IF(AND(_xlfn.SINGLE(RegimeExecucao)="Global",$I347&gt;0,COUNTIF($AB$13:$AM$13,BM.medicao-1)&gt;0),M347/$I347*100,0)))</f>
        <v>0</v>
      </c>
      <c r="K347" s="122">
        <f t="shared" ca="1" si="38"/>
        <v>0</v>
      </c>
      <c r="L347" s="334" cm="1">
        <f t="array" aca="1" ref="L347" ca="1">_xlfn.SINGLE(IF($A347="S",IF(CAIXA.Modo,BM.AFAcumulado,BM.MEDAcumulado),IF(AND(_xlfn.SINGLE(RegimeExecucao)="Global",$I347&gt;0,COUNTIF($AB$13:$AM$13,BM.medicao)&gt;0),O347/$I347*100,0)))</f>
        <v>0</v>
      </c>
      <c r="M347" s="335">
        <f ca="1">IF($A347="S",VTOTALBM,IF($A347=0,0,ROUND(SomaAgrupBM,15-13*ORÇAMENTO!$AF$11)))</f>
        <v>0</v>
      </c>
      <c r="N347" s="336">
        <f t="shared" ca="1" si="39"/>
        <v>0</v>
      </c>
      <c r="O347" s="125">
        <f ca="1">IF($A347="S",VTOTALBM,IF($A347=0,0,ROUND(SomaAgrupBM,15-13*ORÇAMENTO!$AF$11)))</f>
        <v>0</v>
      </c>
      <c r="Q347" s="337"/>
      <c r="R347" s="338"/>
      <c r="T347" s="117" t="str">
        <f t="shared" ca="1" si="40"/>
        <v/>
      </c>
      <c r="U347" s="163" t="str">
        <f t="shared" ca="1" si="41"/>
        <v/>
      </c>
      <c r="V347" s="164" t="str">
        <f ca="1">IF(AND($W347&gt;0,RegimeExecucao="Unitário"),$F347,"")</f>
        <v/>
      </c>
      <c r="W347" s="454">
        <f ca="1">IF($Y347&gt;0,CHOOSE(MATCH(RegimeExecucao,{"Unitário","Global"},0),IF($A347="S",$Y347/$X347,""),($Y347/$X347)*100),0)</f>
        <v>0</v>
      </c>
      <c r="X347" s="339" t="str">
        <f ca="1">IF($Y347&gt;0,CHOOSE(MATCH(RegimeExecucao,{"Unitário","Global"},0),IF($A347="S",ROUND($H347,ORÇAMENTO!$AF$10),""),ROUND($I347,ORÇAMENTO!$AF$11)),"")</f>
        <v/>
      </c>
      <c r="Y347" s="339">
        <f t="shared" ca="1" si="42"/>
        <v>0</v>
      </c>
      <c r="Z347" s="473"/>
      <c r="AB347" s="337"/>
      <c r="AC347" s="437"/>
      <c r="AD347" s="437"/>
      <c r="AE347" s="437"/>
      <c r="AF347" s="437"/>
      <c r="AG347" s="437"/>
      <c r="AH347" s="437"/>
      <c r="AI347" s="437"/>
      <c r="AJ347" s="437"/>
      <c r="AK347" s="437"/>
      <c r="AL347" s="437"/>
      <c r="AM347" s="338"/>
      <c r="AO347">
        <f ca="1">IF($A347="S",IF(BM!$I347=0,0,CHOOSE(MATCH(RegimeExecucao,{"Global","Unitário"},0),ROUND(ROUND(BM.MEDAcumulado,15-13*BM!$A$9)/100*BM!$I347,15-13*ORÇAMENTO!$AF$11),ROUND(ROUND(BM.MEDAcumulado,15-13*BM!$A$9)*ROUND(BM!$H347,15-13*ORÇAMENTO!$AF$10),15-13*ORÇAMENTO!$AF$11))),IF($A347=0,0,ROUND(SomaAgrupBM,15-13*ORÇAMENTO!$AF$11)))</f>
        <v>0</v>
      </c>
    </row>
    <row r="348" spans="1:41" x14ac:dyDescent="0.2">
      <c r="A348" t="str">
        <f ca="1">ORÇAMENTO!C348</f>
        <v>S</v>
      </c>
      <c r="B348">
        <f ca="1">ORÇAMENTO!D348</f>
        <v>0</v>
      </c>
      <c r="C348" s="114" t="str">
        <f t="shared" ca="1" si="36"/>
        <v>F</v>
      </c>
      <c r="D348" s="117" t="str">
        <f ca="1">ORÇAMENTO!O348</f>
        <v>1.7.6.1.7.</v>
      </c>
      <c r="E348" s="163" t="str">
        <f t="shared" ca="1" si="37"/>
        <v>REGISTRO GAVETA FLANGE E CABEÇOTE PN10 DN150MM</v>
      </c>
      <c r="F348" s="164" t="str">
        <f ca="1">IF(RegimeExecucao="Global","",ORÇAMENTO.Unidade)</f>
        <v>UN</v>
      </c>
      <c r="G348" s="122">
        <f ca="1">IF(RegimeExecucao="Global","",ORÇAMENTO!T348)</f>
        <v>2</v>
      </c>
      <c r="H348" s="122">
        <f ca="1">IF(RegimeExecucao="Global","",ORÇAMENTO!W348)</f>
        <v>1916.8</v>
      </c>
      <c r="I348" s="125">
        <f ca="1">ORÇAMENTO!X348</f>
        <v>3833.6</v>
      </c>
      <c r="J348" s="333" cm="1">
        <f t="array" aca="1" ref="J348" ca="1">_xlfn.SINGLE(IF($A348="S",IF(CAIXA.Modo,BM.AFAnterior,BM.MEDAnterior),IF(AND(_xlfn.SINGLE(RegimeExecucao)="Global",$I348&gt;0,COUNTIF($AB$13:$AM$13,BM.medicao-1)&gt;0),M348/$I348*100,0)))</f>
        <v>0</v>
      </c>
      <c r="K348" s="122">
        <f t="shared" ca="1" si="38"/>
        <v>0</v>
      </c>
      <c r="L348" s="334" cm="1">
        <f t="array" aca="1" ref="L348" ca="1">_xlfn.SINGLE(IF($A348="S",IF(CAIXA.Modo,BM.AFAcumulado,BM.MEDAcumulado),IF(AND(_xlfn.SINGLE(RegimeExecucao)="Global",$I348&gt;0,COUNTIF($AB$13:$AM$13,BM.medicao)&gt;0),O348/$I348*100,0)))</f>
        <v>0</v>
      </c>
      <c r="M348" s="335">
        <f ca="1">IF($A348="S",VTOTALBM,IF($A348=0,0,ROUND(SomaAgrupBM,15-13*ORÇAMENTO!$AF$11)))</f>
        <v>0</v>
      </c>
      <c r="N348" s="336">
        <f t="shared" ca="1" si="39"/>
        <v>0</v>
      </c>
      <c r="O348" s="125">
        <f ca="1">IF($A348="S",VTOTALBM,IF($A348=0,0,ROUND(SomaAgrupBM,15-13*ORÇAMENTO!$AF$11)))</f>
        <v>0</v>
      </c>
      <c r="Q348" s="337"/>
      <c r="R348" s="338"/>
      <c r="T348" s="117" t="str">
        <f t="shared" ca="1" si="40"/>
        <v/>
      </c>
      <c r="U348" s="163" t="str">
        <f t="shared" ca="1" si="41"/>
        <v/>
      </c>
      <c r="V348" s="164" t="str">
        <f ca="1">IF(AND($W348&gt;0,RegimeExecucao="Unitário"),$F348,"")</f>
        <v/>
      </c>
      <c r="W348" s="454">
        <f ca="1">IF($Y348&gt;0,CHOOSE(MATCH(RegimeExecucao,{"Unitário","Global"},0),IF($A348="S",$Y348/$X348,""),($Y348/$X348)*100),0)</f>
        <v>0</v>
      </c>
      <c r="X348" s="339" t="str">
        <f ca="1">IF($Y348&gt;0,CHOOSE(MATCH(RegimeExecucao,{"Unitário","Global"},0),IF($A348="S",ROUND($H348,ORÇAMENTO!$AF$10),""),ROUND($I348,ORÇAMENTO!$AF$11)),"")</f>
        <v/>
      </c>
      <c r="Y348" s="339">
        <f t="shared" ca="1" si="42"/>
        <v>0</v>
      </c>
      <c r="Z348" s="473"/>
      <c r="AB348" s="337"/>
      <c r="AC348" s="437"/>
      <c r="AD348" s="437"/>
      <c r="AE348" s="437"/>
      <c r="AF348" s="437"/>
      <c r="AG348" s="437"/>
      <c r="AH348" s="437"/>
      <c r="AI348" s="437"/>
      <c r="AJ348" s="437"/>
      <c r="AK348" s="437"/>
      <c r="AL348" s="437"/>
      <c r="AM348" s="338"/>
      <c r="AO348">
        <f ca="1">IF($A348="S",IF(BM!$I348=0,0,CHOOSE(MATCH(RegimeExecucao,{"Global","Unitário"},0),ROUND(ROUND(BM.MEDAcumulado,15-13*BM!$A$9)/100*BM!$I348,15-13*ORÇAMENTO!$AF$11),ROUND(ROUND(BM.MEDAcumulado,15-13*BM!$A$9)*ROUND(BM!$H348,15-13*ORÇAMENTO!$AF$10),15-13*ORÇAMENTO!$AF$11))),IF($A348=0,0,ROUND(SomaAgrupBM,15-13*ORÇAMENTO!$AF$11)))</f>
        <v>0</v>
      </c>
    </row>
    <row r="349" spans="1:41" x14ac:dyDescent="0.2">
      <c r="A349" t="str">
        <f ca="1">ORÇAMENTO!C349</f>
        <v>S</v>
      </c>
      <c r="B349">
        <f ca="1">ORÇAMENTO!D349</f>
        <v>0</v>
      </c>
      <c r="C349" s="114" t="str">
        <f t="shared" ca="1" si="36"/>
        <v>F</v>
      </c>
      <c r="D349" s="117" t="str">
        <f ca="1">ORÇAMENTO!O349</f>
        <v>1.7.6.1.8.</v>
      </c>
      <c r="E349" s="163" t="str">
        <f t="shared" ca="1" si="37"/>
        <v>JUNTA DE DESMONTAGEM AXIAL FoFo - DN 150 MM</v>
      </c>
      <c r="F349" s="164" t="str">
        <f ca="1">IF(RegimeExecucao="Global","",ORÇAMENTO.Unidade)</f>
        <v>UN</v>
      </c>
      <c r="G349" s="122">
        <f ca="1">IF(RegimeExecucao="Global","",ORÇAMENTO!T349)</f>
        <v>2</v>
      </c>
      <c r="H349" s="122">
        <f ca="1">IF(RegimeExecucao="Global","",ORÇAMENTO!W349)</f>
        <v>1920.38</v>
      </c>
      <c r="I349" s="125">
        <f ca="1">ORÇAMENTO!X349</f>
        <v>3840.76</v>
      </c>
      <c r="J349" s="333" cm="1">
        <f t="array" aca="1" ref="J349" ca="1">_xlfn.SINGLE(IF($A349="S",IF(CAIXA.Modo,BM.AFAnterior,BM.MEDAnterior),IF(AND(_xlfn.SINGLE(RegimeExecucao)="Global",$I349&gt;0,COUNTIF($AB$13:$AM$13,BM.medicao-1)&gt;0),M349/$I349*100,0)))</f>
        <v>0</v>
      </c>
      <c r="K349" s="122">
        <f t="shared" ca="1" si="38"/>
        <v>0</v>
      </c>
      <c r="L349" s="334" cm="1">
        <f t="array" aca="1" ref="L349" ca="1">_xlfn.SINGLE(IF($A349="S",IF(CAIXA.Modo,BM.AFAcumulado,BM.MEDAcumulado),IF(AND(_xlfn.SINGLE(RegimeExecucao)="Global",$I349&gt;0,COUNTIF($AB$13:$AM$13,BM.medicao)&gt;0),O349/$I349*100,0)))</f>
        <v>0</v>
      </c>
      <c r="M349" s="335">
        <f ca="1">IF($A349="S",VTOTALBM,IF($A349=0,0,ROUND(SomaAgrupBM,15-13*ORÇAMENTO!$AF$11)))</f>
        <v>0</v>
      </c>
      <c r="N349" s="336">
        <f t="shared" ca="1" si="39"/>
        <v>0</v>
      </c>
      <c r="O349" s="125">
        <f ca="1">IF($A349="S",VTOTALBM,IF($A349=0,0,ROUND(SomaAgrupBM,15-13*ORÇAMENTO!$AF$11)))</f>
        <v>0</v>
      </c>
      <c r="Q349" s="337"/>
      <c r="R349" s="338"/>
      <c r="T349" s="117" t="str">
        <f t="shared" ca="1" si="40"/>
        <v/>
      </c>
      <c r="U349" s="163" t="str">
        <f t="shared" ca="1" si="41"/>
        <v/>
      </c>
      <c r="V349" s="164" t="str">
        <f ca="1">IF(AND($W349&gt;0,RegimeExecucao="Unitário"),$F349,"")</f>
        <v/>
      </c>
      <c r="W349" s="454">
        <f ca="1">IF($Y349&gt;0,CHOOSE(MATCH(RegimeExecucao,{"Unitário","Global"},0),IF($A349="S",$Y349/$X349,""),($Y349/$X349)*100),0)</f>
        <v>0</v>
      </c>
      <c r="X349" s="339" t="str">
        <f ca="1">IF($Y349&gt;0,CHOOSE(MATCH(RegimeExecucao,{"Unitário","Global"},0),IF($A349="S",ROUND($H349,ORÇAMENTO!$AF$10),""),ROUND($I349,ORÇAMENTO!$AF$11)),"")</f>
        <v/>
      </c>
      <c r="Y349" s="339">
        <f t="shared" ca="1" si="42"/>
        <v>0</v>
      </c>
      <c r="Z349" s="473"/>
      <c r="AB349" s="337"/>
      <c r="AC349" s="437"/>
      <c r="AD349" s="437"/>
      <c r="AE349" s="437"/>
      <c r="AF349" s="437"/>
      <c r="AG349" s="437"/>
      <c r="AH349" s="437"/>
      <c r="AI349" s="437"/>
      <c r="AJ349" s="437"/>
      <c r="AK349" s="437"/>
      <c r="AL349" s="437"/>
      <c r="AM349" s="338"/>
      <c r="AO349">
        <f ca="1">IF($A349="S",IF(BM!$I349=0,0,CHOOSE(MATCH(RegimeExecucao,{"Global","Unitário"},0),ROUND(ROUND(BM.MEDAcumulado,15-13*BM!$A$9)/100*BM!$I349,15-13*ORÇAMENTO!$AF$11),ROUND(ROUND(BM.MEDAcumulado,15-13*BM!$A$9)*ROUND(BM!$H349,15-13*ORÇAMENTO!$AF$10),15-13*ORÇAMENTO!$AF$11))),IF($A349=0,0,ROUND(SomaAgrupBM,15-13*ORÇAMENTO!$AF$11)))</f>
        <v>0</v>
      </c>
    </row>
    <row r="350" spans="1:41" x14ac:dyDescent="0.2">
      <c r="A350" t="str">
        <f ca="1">ORÇAMENTO!C350</f>
        <v>S</v>
      </c>
      <c r="B350">
        <f ca="1">ORÇAMENTO!D350</f>
        <v>0</v>
      </c>
      <c r="C350" s="114" t="str">
        <f t="shared" ca="1" si="36"/>
        <v>F</v>
      </c>
      <c r="D350" s="117" t="str">
        <f ca="1">ORÇAMENTO!O350</f>
        <v>1.7.6.1.9.</v>
      </c>
      <c r="E350" s="163" t="str">
        <f t="shared" ca="1" si="37"/>
        <v>CURVA 90 BOLSAS FoFo - DN 350 MM</v>
      </c>
      <c r="F350" s="164" t="str">
        <f ca="1">IF(RegimeExecucao="Global","",ORÇAMENTO.Unidade)</f>
        <v>UN</v>
      </c>
      <c r="G350" s="122">
        <f ca="1">IF(RegimeExecucao="Global","",ORÇAMENTO!T350)</f>
        <v>2</v>
      </c>
      <c r="H350" s="122">
        <f ca="1">IF(RegimeExecucao="Global","",ORÇAMENTO!W350)</f>
        <v>7480.43</v>
      </c>
      <c r="I350" s="125">
        <f ca="1">ORÇAMENTO!X350</f>
        <v>14960.86</v>
      </c>
      <c r="J350" s="333" cm="1">
        <f t="array" aca="1" ref="J350" ca="1">_xlfn.SINGLE(IF($A350="S",IF(CAIXA.Modo,BM.AFAnterior,BM.MEDAnterior),IF(AND(_xlfn.SINGLE(RegimeExecucao)="Global",$I350&gt;0,COUNTIF($AB$13:$AM$13,BM.medicao-1)&gt;0),M350/$I350*100,0)))</f>
        <v>0</v>
      </c>
      <c r="K350" s="122">
        <f t="shared" ca="1" si="38"/>
        <v>0</v>
      </c>
      <c r="L350" s="334" cm="1">
        <f t="array" aca="1" ref="L350" ca="1">_xlfn.SINGLE(IF($A350="S",IF(CAIXA.Modo,BM.AFAcumulado,BM.MEDAcumulado),IF(AND(_xlfn.SINGLE(RegimeExecucao)="Global",$I350&gt;0,COUNTIF($AB$13:$AM$13,BM.medicao)&gt;0),O350/$I350*100,0)))</f>
        <v>0</v>
      </c>
      <c r="M350" s="335">
        <f ca="1">IF($A350="S",VTOTALBM,IF($A350=0,0,ROUND(SomaAgrupBM,15-13*ORÇAMENTO!$AF$11)))</f>
        <v>0</v>
      </c>
      <c r="N350" s="336">
        <f t="shared" ca="1" si="39"/>
        <v>0</v>
      </c>
      <c r="O350" s="125">
        <f ca="1">IF($A350="S",VTOTALBM,IF($A350=0,0,ROUND(SomaAgrupBM,15-13*ORÇAMENTO!$AF$11)))</f>
        <v>0</v>
      </c>
      <c r="Q350" s="337"/>
      <c r="R350" s="338"/>
      <c r="T350" s="117" t="str">
        <f t="shared" ca="1" si="40"/>
        <v/>
      </c>
      <c r="U350" s="163" t="str">
        <f t="shared" ca="1" si="41"/>
        <v/>
      </c>
      <c r="V350" s="164" t="str">
        <f ca="1">IF(AND($W350&gt;0,RegimeExecucao="Unitário"),$F350,"")</f>
        <v/>
      </c>
      <c r="W350" s="454">
        <f ca="1">IF($Y350&gt;0,CHOOSE(MATCH(RegimeExecucao,{"Unitário","Global"},0),IF($A350="S",$Y350/$X350,""),($Y350/$X350)*100),0)</f>
        <v>0</v>
      </c>
      <c r="X350" s="339" t="str">
        <f ca="1">IF($Y350&gt;0,CHOOSE(MATCH(RegimeExecucao,{"Unitário","Global"},0),IF($A350="S",ROUND($H350,ORÇAMENTO!$AF$10),""),ROUND($I350,ORÇAMENTO!$AF$11)),"")</f>
        <v/>
      </c>
      <c r="Y350" s="339">
        <f t="shared" ca="1" si="42"/>
        <v>0</v>
      </c>
      <c r="Z350" s="473"/>
      <c r="AB350" s="337"/>
      <c r="AC350" s="437"/>
      <c r="AD350" s="437"/>
      <c r="AE350" s="437"/>
      <c r="AF350" s="437"/>
      <c r="AG350" s="437"/>
      <c r="AH350" s="437"/>
      <c r="AI350" s="437"/>
      <c r="AJ350" s="437"/>
      <c r="AK350" s="437"/>
      <c r="AL350" s="437"/>
      <c r="AM350" s="338"/>
      <c r="AO350">
        <f ca="1">IF($A350="S",IF(BM!$I350=0,0,CHOOSE(MATCH(RegimeExecucao,{"Global","Unitário"},0),ROUND(ROUND(BM.MEDAcumulado,15-13*BM!$A$9)/100*BM!$I350,15-13*ORÇAMENTO!$AF$11),ROUND(ROUND(BM.MEDAcumulado,15-13*BM!$A$9)*ROUND(BM!$H350,15-13*ORÇAMENTO!$AF$10),15-13*ORÇAMENTO!$AF$11))),IF($A350=0,0,ROUND(SomaAgrupBM,15-13*ORÇAMENTO!$AF$11)))</f>
        <v>0</v>
      </c>
    </row>
    <row r="351" spans="1:41" ht="25.5" x14ac:dyDescent="0.2">
      <c r="A351" t="str">
        <f ca="1">ORÇAMENTO!C351</f>
        <v>S</v>
      </c>
      <c r="B351">
        <f ca="1">ORÇAMENTO!D351</f>
        <v>0</v>
      </c>
      <c r="C351" s="114" t="str">
        <f t="shared" ca="1" si="36"/>
        <v>F</v>
      </c>
      <c r="D351" s="117" t="str">
        <f ca="1">ORÇAMENTO!O351</f>
        <v>1.7.6.1.10.</v>
      </c>
      <c r="E351" s="163" t="str">
        <f t="shared" ca="1" si="37"/>
        <v>FORNECIMENTO E ASSENTAMENTO DE TUBO DE PVC DEFOFO, DN 350 MM, JUNTA ELÁSTICA INTEGRADA - BASEADO EM SINAPI (97138)</v>
      </c>
      <c r="F351" s="164" t="str">
        <f ca="1">IF(RegimeExecucao="Global","",ORÇAMENTO.Unidade)</f>
        <v>M</v>
      </c>
      <c r="G351" s="122">
        <f ca="1">IF(RegimeExecucao="Global","",ORÇAMENTO!T351)</f>
        <v>92.5</v>
      </c>
      <c r="H351" s="122">
        <f ca="1">IF(RegimeExecucao="Global","",ORÇAMENTO!W351)</f>
        <v>764.22</v>
      </c>
      <c r="I351" s="125">
        <f ca="1">ORÇAMENTO!X351</f>
        <v>70690.350000000006</v>
      </c>
      <c r="J351" s="333" cm="1">
        <f t="array" aca="1" ref="J351" ca="1">_xlfn.SINGLE(IF($A351="S",IF(CAIXA.Modo,BM.AFAnterior,BM.MEDAnterior),IF(AND(_xlfn.SINGLE(RegimeExecucao)="Global",$I351&gt;0,COUNTIF($AB$13:$AM$13,BM.medicao-1)&gt;0),M351/$I351*100,0)))</f>
        <v>0</v>
      </c>
      <c r="K351" s="122">
        <f t="shared" ca="1" si="38"/>
        <v>0</v>
      </c>
      <c r="L351" s="334" cm="1">
        <f t="array" aca="1" ref="L351" ca="1">_xlfn.SINGLE(IF($A351="S",IF(CAIXA.Modo,BM.AFAcumulado,BM.MEDAcumulado),IF(AND(_xlfn.SINGLE(RegimeExecucao)="Global",$I351&gt;0,COUNTIF($AB$13:$AM$13,BM.medicao)&gt;0),O351/$I351*100,0)))</f>
        <v>0</v>
      </c>
      <c r="M351" s="335">
        <f ca="1">IF($A351="S",VTOTALBM,IF($A351=0,0,ROUND(SomaAgrupBM,15-13*ORÇAMENTO!$AF$11)))</f>
        <v>0</v>
      </c>
      <c r="N351" s="336">
        <f t="shared" ca="1" si="39"/>
        <v>0</v>
      </c>
      <c r="O351" s="125">
        <f ca="1">IF($A351="S",VTOTALBM,IF($A351=0,0,ROUND(SomaAgrupBM,15-13*ORÇAMENTO!$AF$11)))</f>
        <v>0</v>
      </c>
      <c r="Q351" s="337"/>
      <c r="R351" s="338"/>
      <c r="T351" s="117" t="str">
        <f t="shared" ca="1" si="40"/>
        <v/>
      </c>
      <c r="U351" s="163" t="str">
        <f t="shared" ca="1" si="41"/>
        <v/>
      </c>
      <c r="V351" s="164" t="str">
        <f ca="1">IF(AND($W351&gt;0,RegimeExecucao="Unitário"),$F351,"")</f>
        <v/>
      </c>
      <c r="W351" s="454">
        <f ca="1">IF($Y351&gt;0,CHOOSE(MATCH(RegimeExecucao,{"Unitário","Global"},0),IF($A351="S",$Y351/$X351,""),($Y351/$X351)*100),0)</f>
        <v>0</v>
      </c>
      <c r="X351" s="339" t="str">
        <f ca="1">IF($Y351&gt;0,CHOOSE(MATCH(RegimeExecucao,{"Unitário","Global"},0),IF($A351="S",ROUND($H351,ORÇAMENTO!$AF$10),""),ROUND($I351,ORÇAMENTO!$AF$11)),"")</f>
        <v/>
      </c>
      <c r="Y351" s="339">
        <f t="shared" ca="1" si="42"/>
        <v>0</v>
      </c>
      <c r="Z351" s="473"/>
      <c r="AB351" s="337"/>
      <c r="AC351" s="437"/>
      <c r="AD351" s="437"/>
      <c r="AE351" s="437"/>
      <c r="AF351" s="437"/>
      <c r="AG351" s="437"/>
      <c r="AH351" s="437"/>
      <c r="AI351" s="437"/>
      <c r="AJ351" s="437"/>
      <c r="AK351" s="437"/>
      <c r="AL351" s="437"/>
      <c r="AM351" s="338"/>
      <c r="AO351">
        <f ca="1">IF($A351="S",IF(BM!$I351=0,0,CHOOSE(MATCH(RegimeExecucao,{"Global","Unitário"},0),ROUND(ROUND(BM.MEDAcumulado,15-13*BM!$A$9)/100*BM!$I351,15-13*ORÇAMENTO!$AF$11),ROUND(ROUND(BM.MEDAcumulado,15-13*BM!$A$9)*ROUND(BM!$H351,15-13*ORÇAMENTO!$AF$10),15-13*ORÇAMENTO!$AF$11))),IF($A351=0,0,ROUND(SomaAgrupBM,15-13*ORÇAMENTO!$AF$11)))</f>
        <v>0</v>
      </c>
    </row>
    <row r="352" spans="1:41" x14ac:dyDescent="0.2">
      <c r="A352" t="str">
        <f ca="1">ORÇAMENTO!C352</f>
        <v>S</v>
      </c>
      <c r="B352">
        <f ca="1">ORÇAMENTO!D352</f>
        <v>0</v>
      </c>
      <c r="C352" s="114" t="str">
        <f t="shared" ca="1" si="36"/>
        <v>F</v>
      </c>
      <c r="D352" s="117" t="str">
        <f ca="1">ORÇAMENTO!O352</f>
        <v>1.7.6.1.11.</v>
      </c>
      <c r="E352" s="163" t="str">
        <f t="shared" ca="1" si="37"/>
        <v>ARRUELA BORRACHA PARA FLANGE - DN 150 MM</v>
      </c>
      <c r="F352" s="164" t="str">
        <f ca="1">IF(RegimeExecucao="Global","",ORÇAMENTO.Unidade)</f>
        <v>UN</v>
      </c>
      <c r="G352" s="122">
        <f ca="1">IF(RegimeExecucao="Global","",ORÇAMENTO!T352)</f>
        <v>6</v>
      </c>
      <c r="H352" s="122">
        <f ca="1">IF(RegimeExecucao="Global","",ORÇAMENTO!W352)</f>
        <v>8.67</v>
      </c>
      <c r="I352" s="125">
        <f ca="1">ORÇAMENTO!X352</f>
        <v>52.02</v>
      </c>
      <c r="J352" s="333" cm="1">
        <f t="array" aca="1" ref="J352" ca="1">_xlfn.SINGLE(IF($A352="S",IF(CAIXA.Modo,BM.AFAnterior,BM.MEDAnterior),IF(AND(_xlfn.SINGLE(RegimeExecucao)="Global",$I352&gt;0,COUNTIF($AB$13:$AM$13,BM.medicao-1)&gt;0),M352/$I352*100,0)))</f>
        <v>0</v>
      </c>
      <c r="K352" s="122">
        <f t="shared" ca="1" si="38"/>
        <v>0</v>
      </c>
      <c r="L352" s="334" cm="1">
        <f t="array" aca="1" ref="L352" ca="1">_xlfn.SINGLE(IF($A352="S",IF(CAIXA.Modo,BM.AFAcumulado,BM.MEDAcumulado),IF(AND(_xlfn.SINGLE(RegimeExecucao)="Global",$I352&gt;0,COUNTIF($AB$13:$AM$13,BM.medicao)&gt;0),O352/$I352*100,0)))</f>
        <v>0</v>
      </c>
      <c r="M352" s="335">
        <f ca="1">IF($A352="S",VTOTALBM,IF($A352=0,0,ROUND(SomaAgrupBM,15-13*ORÇAMENTO!$AF$11)))</f>
        <v>0</v>
      </c>
      <c r="N352" s="336">
        <f t="shared" ca="1" si="39"/>
        <v>0</v>
      </c>
      <c r="O352" s="125">
        <f ca="1">IF($A352="S",VTOTALBM,IF($A352=0,0,ROUND(SomaAgrupBM,15-13*ORÇAMENTO!$AF$11)))</f>
        <v>0</v>
      </c>
      <c r="Q352" s="337"/>
      <c r="R352" s="338"/>
      <c r="T352" s="117" t="str">
        <f t="shared" ca="1" si="40"/>
        <v/>
      </c>
      <c r="U352" s="163" t="str">
        <f t="shared" ca="1" si="41"/>
        <v/>
      </c>
      <c r="V352" s="164" t="str">
        <f ca="1">IF(AND($W352&gt;0,RegimeExecucao="Unitário"),$F352,"")</f>
        <v/>
      </c>
      <c r="W352" s="454">
        <f ca="1">IF($Y352&gt;0,CHOOSE(MATCH(RegimeExecucao,{"Unitário","Global"},0),IF($A352="S",$Y352/$X352,""),($Y352/$X352)*100),0)</f>
        <v>0</v>
      </c>
      <c r="X352" s="339" t="str">
        <f ca="1">IF($Y352&gt;0,CHOOSE(MATCH(RegimeExecucao,{"Unitário","Global"},0),IF($A352="S",ROUND($H352,ORÇAMENTO!$AF$10),""),ROUND($I352,ORÇAMENTO!$AF$11)),"")</f>
        <v/>
      </c>
      <c r="Y352" s="339">
        <f t="shared" ca="1" si="42"/>
        <v>0</v>
      </c>
      <c r="Z352" s="473"/>
      <c r="AB352" s="337"/>
      <c r="AC352" s="437"/>
      <c r="AD352" s="437"/>
      <c r="AE352" s="437"/>
      <c r="AF352" s="437"/>
      <c r="AG352" s="437"/>
      <c r="AH352" s="437"/>
      <c r="AI352" s="437"/>
      <c r="AJ352" s="437"/>
      <c r="AK352" s="437"/>
      <c r="AL352" s="437"/>
      <c r="AM352" s="338"/>
      <c r="AO352">
        <f ca="1">IF($A352="S",IF(BM!$I352=0,0,CHOOSE(MATCH(RegimeExecucao,{"Global","Unitário"},0),ROUND(ROUND(BM.MEDAcumulado,15-13*BM!$A$9)/100*BM!$I352,15-13*ORÇAMENTO!$AF$11),ROUND(ROUND(BM.MEDAcumulado,15-13*BM!$A$9)*ROUND(BM!$H352,15-13*ORÇAMENTO!$AF$10),15-13*ORÇAMENTO!$AF$11))),IF($A352=0,0,ROUND(SomaAgrupBM,15-13*ORÇAMENTO!$AF$11)))</f>
        <v>0</v>
      </c>
    </row>
    <row r="353" spans="1:41" x14ac:dyDescent="0.2">
      <c r="A353" t="str">
        <f ca="1">ORÇAMENTO!C353</f>
        <v>S</v>
      </c>
      <c r="B353">
        <f ca="1">ORÇAMENTO!D353</f>
        <v>0</v>
      </c>
      <c r="C353" s="114" t="str">
        <f t="shared" ca="1" si="36"/>
        <v>F</v>
      </c>
      <c r="D353" s="117" t="str">
        <f ca="1">ORÇAMENTO!O353</f>
        <v>1.7.6.1.12.</v>
      </c>
      <c r="E353" s="163" t="str">
        <f t="shared" ca="1" si="37"/>
        <v>PARAFUSO PARA FLANGE - 20 X 90 MM</v>
      </c>
      <c r="F353" s="164" t="str">
        <f ca="1">IF(RegimeExecucao="Global","",ORÇAMENTO.Unidade)</f>
        <v>UN</v>
      </c>
      <c r="G353" s="122">
        <f ca="1">IF(RegimeExecucao="Global","",ORÇAMENTO!T353)</f>
        <v>48</v>
      </c>
      <c r="H353" s="122">
        <f ca="1">IF(RegimeExecucao="Global","",ORÇAMENTO!W353)</f>
        <v>32.93</v>
      </c>
      <c r="I353" s="125">
        <f ca="1">ORÇAMENTO!X353</f>
        <v>1580.64</v>
      </c>
      <c r="J353" s="333" cm="1">
        <f t="array" aca="1" ref="J353" ca="1">_xlfn.SINGLE(IF($A353="S",IF(CAIXA.Modo,BM.AFAnterior,BM.MEDAnterior),IF(AND(_xlfn.SINGLE(RegimeExecucao)="Global",$I353&gt;0,COUNTIF($AB$13:$AM$13,BM.medicao-1)&gt;0),M353/$I353*100,0)))</f>
        <v>0</v>
      </c>
      <c r="K353" s="122">
        <f t="shared" ca="1" si="38"/>
        <v>0</v>
      </c>
      <c r="L353" s="334" cm="1">
        <f t="array" aca="1" ref="L353" ca="1">_xlfn.SINGLE(IF($A353="S",IF(CAIXA.Modo,BM.AFAcumulado,BM.MEDAcumulado),IF(AND(_xlfn.SINGLE(RegimeExecucao)="Global",$I353&gt;0,COUNTIF($AB$13:$AM$13,BM.medicao)&gt;0),O353/$I353*100,0)))</f>
        <v>0</v>
      </c>
      <c r="M353" s="335">
        <f ca="1">IF($A353="S",VTOTALBM,IF($A353=0,0,ROUND(SomaAgrupBM,15-13*ORÇAMENTO!$AF$11)))</f>
        <v>0</v>
      </c>
      <c r="N353" s="336">
        <f t="shared" ca="1" si="39"/>
        <v>0</v>
      </c>
      <c r="O353" s="125">
        <f ca="1">IF($A353="S",VTOTALBM,IF($A353=0,0,ROUND(SomaAgrupBM,15-13*ORÇAMENTO!$AF$11)))</f>
        <v>0</v>
      </c>
      <c r="Q353" s="337"/>
      <c r="R353" s="338"/>
      <c r="T353" s="117" t="str">
        <f t="shared" ca="1" si="40"/>
        <v/>
      </c>
      <c r="U353" s="163" t="str">
        <f t="shared" ca="1" si="41"/>
        <v/>
      </c>
      <c r="V353" s="164" t="str">
        <f ca="1">IF(AND($W353&gt;0,RegimeExecucao="Unitário"),$F353,"")</f>
        <v/>
      </c>
      <c r="W353" s="454">
        <f ca="1">IF($Y353&gt;0,CHOOSE(MATCH(RegimeExecucao,{"Unitário","Global"},0),IF($A353="S",$Y353/$X353,""),($Y353/$X353)*100),0)</f>
        <v>0</v>
      </c>
      <c r="X353" s="339" t="str">
        <f ca="1">IF($Y353&gt;0,CHOOSE(MATCH(RegimeExecucao,{"Unitário","Global"},0),IF($A353="S",ROUND($H353,ORÇAMENTO!$AF$10),""),ROUND($I353,ORÇAMENTO!$AF$11)),"")</f>
        <v/>
      </c>
      <c r="Y353" s="339">
        <f t="shared" ca="1" si="42"/>
        <v>0</v>
      </c>
      <c r="Z353" s="473"/>
      <c r="AB353" s="337"/>
      <c r="AC353" s="437"/>
      <c r="AD353" s="437"/>
      <c r="AE353" s="437"/>
      <c r="AF353" s="437"/>
      <c r="AG353" s="437"/>
      <c r="AH353" s="437"/>
      <c r="AI353" s="437"/>
      <c r="AJ353" s="437"/>
      <c r="AK353" s="437"/>
      <c r="AL353" s="437"/>
      <c r="AM353" s="338"/>
      <c r="AO353">
        <f ca="1">IF($A353="S",IF(BM!$I353=0,0,CHOOSE(MATCH(RegimeExecucao,{"Global","Unitário"},0),ROUND(ROUND(BM.MEDAcumulado,15-13*BM!$A$9)/100*BM!$I353,15-13*ORÇAMENTO!$AF$11),ROUND(ROUND(BM.MEDAcumulado,15-13*BM!$A$9)*ROUND(BM!$H353,15-13*ORÇAMENTO!$AF$10),15-13*ORÇAMENTO!$AF$11))),IF($A353=0,0,ROUND(SomaAgrupBM,15-13*ORÇAMENTO!$AF$11)))</f>
        <v>0</v>
      </c>
    </row>
    <row r="354" spans="1:41" x14ac:dyDescent="0.2">
      <c r="A354">
        <f ca="1">ORÇAMENTO!C354</f>
        <v>4</v>
      </c>
      <c r="B354">
        <f ca="1">ORÇAMENTO!D354</f>
        <v>3</v>
      </c>
      <c r="C354" s="114" t="str">
        <f t="shared" ca="1" si="36"/>
        <v>F</v>
      </c>
      <c r="D354" s="117" t="str">
        <f ca="1">ORÇAMENTO!O354</f>
        <v>1.7.6.2.</v>
      </c>
      <c r="E354" s="163" t="str">
        <f t="shared" si="37"/>
        <v>INSTALAÇÃO DE MATERIAIS</v>
      </c>
      <c r="F354" s="164" t="str">
        <f ca="1">IF(RegimeExecucao="Global","",ORÇAMENTO.Unidade)</f>
        <v>-</v>
      </c>
      <c r="G354" s="122">
        <f ca="1">IF(RegimeExecucao="Global","",ORÇAMENTO!T354)</f>
        <v>0</v>
      </c>
      <c r="H354" s="122">
        <f ca="1">IF(RegimeExecucao="Global","",ORÇAMENTO!W354)</f>
        <v>0</v>
      </c>
      <c r="I354" s="125">
        <f ca="1">ORÇAMENTO!X354</f>
        <v>1025.6199999999999</v>
      </c>
      <c r="J354" s="333" cm="1">
        <f t="array" aca="1" ref="J354" ca="1">_xlfn.SINGLE(IF($A354="S",IF(CAIXA.Modo,BM.AFAnterior,BM.MEDAnterior),IF(AND(_xlfn.SINGLE(RegimeExecucao)="Global",$I354&gt;0,COUNTIF($AB$13:$AM$13,BM.medicao-1)&gt;0),M354/$I354*100,0)))</f>
        <v>0</v>
      </c>
      <c r="K354" s="122">
        <f t="shared" ca="1" si="38"/>
        <v>0</v>
      </c>
      <c r="L354" s="334" cm="1">
        <f t="array" aca="1" ref="L354" ca="1">_xlfn.SINGLE(IF($A354="S",IF(CAIXA.Modo,BM.AFAcumulado,BM.MEDAcumulado),IF(AND(_xlfn.SINGLE(RegimeExecucao)="Global",$I354&gt;0,COUNTIF($AB$13:$AM$13,BM.medicao)&gt;0),O354/$I354*100,0)))</f>
        <v>0</v>
      </c>
      <c r="M354" s="335">
        <f ca="1">IF($A354="S",VTOTALBM,IF($A354=0,0,ROUND(SomaAgrupBM,15-13*ORÇAMENTO!$AF$11)))</f>
        <v>0</v>
      </c>
      <c r="N354" s="336">
        <f t="shared" ca="1" si="39"/>
        <v>0</v>
      </c>
      <c r="O354" s="125">
        <f ca="1">IF($A354="S",VTOTALBM,IF($A354=0,0,ROUND(SomaAgrupBM,15-13*ORÇAMENTO!$AF$11)))</f>
        <v>0</v>
      </c>
      <c r="Q354" s="337"/>
      <c r="R354" s="338"/>
      <c r="T354" s="117" t="str">
        <f t="shared" ca="1" si="40"/>
        <v/>
      </c>
      <c r="U354" s="163" t="str">
        <f t="shared" ca="1" si="41"/>
        <v/>
      </c>
      <c r="V354" s="164" t="str">
        <f ca="1">IF(AND($W354&gt;0,RegimeExecucao="Unitário"),$F354,"")</f>
        <v/>
      </c>
      <c r="W354" s="454">
        <f ca="1">IF($Y354&gt;0,CHOOSE(MATCH(RegimeExecucao,{"Unitário","Global"},0),IF($A354="S",$Y354/$X354,""),($Y354/$X354)*100),0)</f>
        <v>0</v>
      </c>
      <c r="X354" s="339" t="str">
        <f ca="1">IF($Y354&gt;0,CHOOSE(MATCH(RegimeExecucao,{"Unitário","Global"},0),IF($A354="S",ROUND($H354,ORÇAMENTO!$AF$10),""),ROUND($I354,ORÇAMENTO!$AF$11)),"")</f>
        <v/>
      </c>
      <c r="Y354" s="339">
        <f t="shared" ca="1" si="42"/>
        <v>0</v>
      </c>
      <c r="Z354" s="473"/>
      <c r="AB354" s="337"/>
      <c r="AC354" s="437"/>
      <c r="AD354" s="437"/>
      <c r="AE354" s="437"/>
      <c r="AF354" s="437"/>
      <c r="AG354" s="437"/>
      <c r="AH354" s="437"/>
      <c r="AI354" s="437"/>
      <c r="AJ354" s="437"/>
      <c r="AK354" s="437"/>
      <c r="AL354" s="437"/>
      <c r="AM354" s="338"/>
      <c r="AO354">
        <f ca="1">IF($A354="S",IF(BM!$I354=0,0,CHOOSE(MATCH(RegimeExecucao,{"Global","Unitário"},0),ROUND(ROUND(BM.MEDAcumulado,15-13*BM!$A$9)/100*BM!$I354,15-13*ORÇAMENTO!$AF$11),ROUND(ROUND(BM.MEDAcumulado,15-13*BM!$A$9)*ROUND(BM!$H354,15-13*ORÇAMENTO!$AF$10),15-13*ORÇAMENTO!$AF$11))),IF($A354=0,0,ROUND(SomaAgrupBM,15-13*ORÇAMENTO!$AF$11)))</f>
        <v>0</v>
      </c>
    </row>
    <row r="355" spans="1:41" ht="25.5" x14ac:dyDescent="0.2">
      <c r="A355" t="str">
        <f ca="1">ORÇAMENTO!C355</f>
        <v>S</v>
      </c>
      <c r="B355">
        <f ca="1">ORÇAMENTO!D355</f>
        <v>0</v>
      </c>
      <c r="C355" s="114" t="str">
        <f t="shared" ca="1" si="36"/>
        <v>F</v>
      </c>
      <c r="D355" s="117" t="str">
        <f ca="1">ORÇAMENTO!O355</f>
        <v>1.7.6.2.1.</v>
      </c>
      <c r="E355" s="163" t="str">
        <f t="shared" ca="1" si="37"/>
        <v>ASSENTAMENTO DE CONEXÕES EM FERRO FUNDIDO, JUNTA ELÁSTICA, DN = 150 MM - BASEADO EM ORSE (5283)</v>
      </c>
      <c r="F355" s="164" t="str">
        <f ca="1">IF(RegimeExecucao="Global","",ORÇAMENTO.Unidade)</f>
        <v>UN</v>
      </c>
      <c r="G355" s="122">
        <f ca="1">IF(RegimeExecucao="Global","",ORÇAMENTO!T355)</f>
        <v>45</v>
      </c>
      <c r="H355" s="122">
        <f ca="1">IF(RegimeExecucao="Global","",ORÇAMENTO!W355)</f>
        <v>21.6</v>
      </c>
      <c r="I355" s="125">
        <f ca="1">ORÇAMENTO!X355</f>
        <v>972</v>
      </c>
      <c r="J355" s="333" cm="1">
        <f t="array" aca="1" ref="J355" ca="1">_xlfn.SINGLE(IF($A355="S",IF(CAIXA.Modo,BM.AFAnterior,BM.MEDAnterior),IF(AND(_xlfn.SINGLE(RegimeExecucao)="Global",$I355&gt;0,COUNTIF($AB$13:$AM$13,BM.medicao-1)&gt;0),M355/$I355*100,0)))</f>
        <v>0</v>
      </c>
      <c r="K355" s="122">
        <f t="shared" ca="1" si="38"/>
        <v>0</v>
      </c>
      <c r="L355" s="334" cm="1">
        <f t="array" aca="1" ref="L355" ca="1">_xlfn.SINGLE(IF($A355="S",IF(CAIXA.Modo,BM.AFAcumulado,BM.MEDAcumulado),IF(AND(_xlfn.SINGLE(RegimeExecucao)="Global",$I355&gt;0,COUNTIF($AB$13:$AM$13,BM.medicao)&gt;0),O355/$I355*100,0)))</f>
        <v>0</v>
      </c>
      <c r="M355" s="335">
        <f ca="1">IF($A355="S",VTOTALBM,IF($A355=0,0,ROUND(SomaAgrupBM,15-13*ORÇAMENTO!$AF$11)))</f>
        <v>0</v>
      </c>
      <c r="N355" s="336">
        <f t="shared" ca="1" si="39"/>
        <v>0</v>
      </c>
      <c r="O355" s="125">
        <f ca="1">IF($A355="S",VTOTALBM,IF($A355=0,0,ROUND(SomaAgrupBM,15-13*ORÇAMENTO!$AF$11)))</f>
        <v>0</v>
      </c>
      <c r="Q355" s="337"/>
      <c r="R355" s="338"/>
      <c r="T355" s="117" t="str">
        <f t="shared" ca="1" si="40"/>
        <v/>
      </c>
      <c r="U355" s="163" t="str">
        <f t="shared" ca="1" si="41"/>
        <v/>
      </c>
      <c r="V355" s="164" t="str">
        <f ca="1">IF(AND($W355&gt;0,RegimeExecucao="Unitário"),$F355,"")</f>
        <v/>
      </c>
      <c r="W355" s="454">
        <f ca="1">IF($Y355&gt;0,CHOOSE(MATCH(RegimeExecucao,{"Unitário","Global"},0),IF($A355="S",$Y355/$X355,""),($Y355/$X355)*100),0)</f>
        <v>0</v>
      </c>
      <c r="X355" s="339" t="str">
        <f ca="1">IF($Y355&gt;0,CHOOSE(MATCH(RegimeExecucao,{"Unitário","Global"},0),IF($A355="S",ROUND($H355,ORÇAMENTO!$AF$10),""),ROUND($I355,ORÇAMENTO!$AF$11)),"")</f>
        <v/>
      </c>
      <c r="Y355" s="339">
        <f t="shared" ca="1" si="42"/>
        <v>0</v>
      </c>
      <c r="Z355" s="473"/>
      <c r="AB355" s="337"/>
      <c r="AC355" s="437"/>
      <c r="AD355" s="437"/>
      <c r="AE355" s="437"/>
      <c r="AF355" s="437"/>
      <c r="AG355" s="437"/>
      <c r="AH355" s="437"/>
      <c r="AI355" s="437"/>
      <c r="AJ355" s="437"/>
      <c r="AK355" s="437"/>
      <c r="AL355" s="437"/>
      <c r="AM355" s="338"/>
      <c r="AO355">
        <f ca="1">IF($A355="S",IF(BM!$I355=0,0,CHOOSE(MATCH(RegimeExecucao,{"Global","Unitário"},0),ROUND(ROUND(BM.MEDAcumulado,15-13*BM!$A$9)/100*BM!$I355,15-13*ORÇAMENTO!$AF$11),ROUND(ROUND(BM.MEDAcumulado,15-13*BM!$A$9)*ROUND(BM!$H355,15-13*ORÇAMENTO!$AF$10),15-13*ORÇAMENTO!$AF$11))),IF($A355=0,0,ROUND(SomaAgrupBM,15-13*ORÇAMENTO!$AF$11)))</f>
        <v>0</v>
      </c>
    </row>
    <row r="356" spans="1:41" ht="25.5" x14ac:dyDescent="0.2">
      <c r="A356" t="str">
        <f ca="1">ORÇAMENTO!C356</f>
        <v>S</v>
      </c>
      <c r="B356">
        <f ca="1">ORÇAMENTO!D356</f>
        <v>0</v>
      </c>
      <c r="C356" s="114" t="str">
        <f t="shared" ca="1" si="36"/>
        <v>F</v>
      </c>
      <c r="D356" s="117" t="str">
        <f ca="1">ORÇAMENTO!O356</f>
        <v>1.7.6.2.2.</v>
      </c>
      <c r="E356" s="163" t="str">
        <f t="shared" ca="1" si="37"/>
        <v>ASSENTAMENTO DE CONEXÕES EM FERRO FUNDIDO, JUNTA ELÁSTICA, DN = 350 MM - BASEADO EM ORSE (5287)</v>
      </c>
      <c r="F356" s="164" t="str">
        <f ca="1">IF(RegimeExecucao="Global","",ORÇAMENTO.Unidade)</f>
        <v>UN</v>
      </c>
      <c r="G356" s="122">
        <f ca="1">IF(RegimeExecucao="Global","",ORÇAMENTO!T356)</f>
        <v>2</v>
      </c>
      <c r="H356" s="122">
        <f ca="1">IF(RegimeExecucao="Global","",ORÇAMENTO!W356)</f>
        <v>26.81</v>
      </c>
      <c r="I356" s="125">
        <f ca="1">ORÇAMENTO!X356</f>
        <v>53.62</v>
      </c>
      <c r="J356" s="333" cm="1">
        <f t="array" aca="1" ref="J356" ca="1">_xlfn.SINGLE(IF($A356="S",IF(CAIXA.Modo,BM.AFAnterior,BM.MEDAnterior),IF(AND(_xlfn.SINGLE(RegimeExecucao)="Global",$I356&gt;0,COUNTIF($AB$13:$AM$13,BM.medicao-1)&gt;0),M356/$I356*100,0)))</f>
        <v>0</v>
      </c>
      <c r="K356" s="122">
        <f t="shared" ca="1" si="38"/>
        <v>0</v>
      </c>
      <c r="L356" s="334" cm="1">
        <f t="array" aca="1" ref="L356" ca="1">_xlfn.SINGLE(IF($A356="S",IF(CAIXA.Modo,BM.AFAcumulado,BM.MEDAcumulado),IF(AND(_xlfn.SINGLE(RegimeExecucao)="Global",$I356&gt;0,COUNTIF($AB$13:$AM$13,BM.medicao)&gt;0),O356/$I356*100,0)))</f>
        <v>0</v>
      </c>
      <c r="M356" s="335">
        <f ca="1">IF($A356="S",VTOTALBM,IF($A356=0,0,ROUND(SomaAgrupBM,15-13*ORÇAMENTO!$AF$11)))</f>
        <v>0</v>
      </c>
      <c r="N356" s="336">
        <f t="shared" ca="1" si="39"/>
        <v>0</v>
      </c>
      <c r="O356" s="125">
        <f ca="1">IF($A356="S",VTOTALBM,IF($A356=0,0,ROUND(SomaAgrupBM,15-13*ORÇAMENTO!$AF$11)))</f>
        <v>0</v>
      </c>
      <c r="Q356" s="337"/>
      <c r="R356" s="338"/>
      <c r="T356" s="117" t="str">
        <f t="shared" ca="1" si="40"/>
        <v/>
      </c>
      <c r="U356" s="163" t="str">
        <f t="shared" ca="1" si="41"/>
        <v/>
      </c>
      <c r="V356" s="164" t="str">
        <f ca="1">IF(AND($W356&gt;0,RegimeExecucao="Unitário"),$F356,"")</f>
        <v/>
      </c>
      <c r="W356" s="454">
        <f ca="1">IF($Y356&gt;0,CHOOSE(MATCH(RegimeExecucao,{"Unitário","Global"},0),IF($A356="S",$Y356/$X356,""),($Y356/$X356)*100),0)</f>
        <v>0</v>
      </c>
      <c r="X356" s="339" t="str">
        <f ca="1">IF($Y356&gt;0,CHOOSE(MATCH(RegimeExecucao,{"Unitário","Global"},0),IF($A356="S",ROUND($H356,ORÇAMENTO!$AF$10),""),ROUND($I356,ORÇAMENTO!$AF$11)),"")</f>
        <v/>
      </c>
      <c r="Y356" s="339">
        <f t="shared" ca="1" si="42"/>
        <v>0</v>
      </c>
      <c r="Z356" s="473"/>
      <c r="AB356" s="337"/>
      <c r="AC356" s="437"/>
      <c r="AD356" s="437"/>
      <c r="AE356" s="437"/>
      <c r="AF356" s="437"/>
      <c r="AG356" s="437"/>
      <c r="AH356" s="437"/>
      <c r="AI356" s="437"/>
      <c r="AJ356" s="437"/>
      <c r="AK356" s="437"/>
      <c r="AL356" s="437"/>
      <c r="AM356" s="338"/>
      <c r="AO356">
        <f ca="1">IF($A356="S",IF(BM!$I356=0,0,CHOOSE(MATCH(RegimeExecucao,{"Global","Unitário"},0),ROUND(ROUND(BM.MEDAcumulado,15-13*BM!$A$9)/100*BM!$I356,15-13*ORÇAMENTO!$AF$11),ROUND(ROUND(BM.MEDAcumulado,15-13*BM!$A$9)*ROUND(BM!$H356,15-13*ORÇAMENTO!$AF$10),15-13*ORÇAMENTO!$AF$11))),IF($A356=0,0,ROUND(SomaAgrupBM,15-13*ORÇAMENTO!$AF$11)))</f>
        <v>0</v>
      </c>
    </row>
    <row r="357" spans="1:41" x14ac:dyDescent="0.2">
      <c r="A357">
        <f ca="1">ORÇAMENTO!C357</f>
        <v>4</v>
      </c>
      <c r="B357">
        <f ca="1">ORÇAMENTO!D357</f>
        <v>3</v>
      </c>
      <c r="C357" s="114" t="str">
        <f t="shared" ca="1" si="36"/>
        <v>F</v>
      </c>
      <c r="D357" s="117" t="str">
        <f ca="1">ORÇAMENTO!O357</f>
        <v>1.7.6.3.</v>
      </c>
      <c r="E357" s="163" t="str">
        <f t="shared" si="37"/>
        <v>LODO SECUNDÁRIO, ESGOTAMENTO E PERCOLADO</v>
      </c>
      <c r="F357" s="164" t="str">
        <f ca="1">IF(RegimeExecucao="Global","",ORÇAMENTO.Unidade)</f>
        <v>-</v>
      </c>
      <c r="G357" s="122">
        <f ca="1">IF(RegimeExecucao="Global","",ORÇAMENTO!T357)</f>
        <v>0</v>
      </c>
      <c r="H357" s="122">
        <f ca="1">IF(RegimeExecucao="Global","",ORÇAMENTO!W357)</f>
        <v>0</v>
      </c>
      <c r="I357" s="125">
        <f ca="1">ORÇAMENTO!X357</f>
        <v>50346.66</v>
      </c>
      <c r="J357" s="333" cm="1">
        <f t="array" aca="1" ref="J357" ca="1">_xlfn.SINGLE(IF($A357="S",IF(CAIXA.Modo,BM.AFAnterior,BM.MEDAnterior),IF(AND(_xlfn.SINGLE(RegimeExecucao)="Global",$I357&gt;0,COUNTIF($AB$13:$AM$13,BM.medicao-1)&gt;0),M357/$I357*100,0)))</f>
        <v>0</v>
      </c>
      <c r="K357" s="122">
        <f t="shared" ca="1" si="38"/>
        <v>0</v>
      </c>
      <c r="L357" s="334" cm="1">
        <f t="array" aca="1" ref="L357" ca="1">_xlfn.SINGLE(IF($A357="S",IF(CAIXA.Modo,BM.AFAcumulado,BM.MEDAcumulado),IF(AND(_xlfn.SINGLE(RegimeExecucao)="Global",$I357&gt;0,COUNTIF($AB$13:$AM$13,BM.medicao)&gt;0),O357/$I357*100,0)))</f>
        <v>0</v>
      </c>
      <c r="M357" s="335">
        <f ca="1">IF($A357="S",VTOTALBM,IF($A357=0,0,ROUND(SomaAgrupBM,15-13*ORÇAMENTO!$AF$11)))</f>
        <v>0</v>
      </c>
      <c r="N357" s="336">
        <f t="shared" ca="1" si="39"/>
        <v>0</v>
      </c>
      <c r="O357" s="125">
        <f ca="1">IF($A357="S",VTOTALBM,IF($A357=0,0,ROUND(SomaAgrupBM,15-13*ORÇAMENTO!$AF$11)))</f>
        <v>0</v>
      </c>
      <c r="Q357" s="337"/>
      <c r="R357" s="338"/>
      <c r="T357" s="117" t="str">
        <f t="shared" ca="1" si="40"/>
        <v/>
      </c>
      <c r="U357" s="163" t="str">
        <f t="shared" ca="1" si="41"/>
        <v/>
      </c>
      <c r="V357" s="164" t="str">
        <f ca="1">IF(AND($W357&gt;0,RegimeExecucao="Unitário"),$F357,"")</f>
        <v/>
      </c>
      <c r="W357" s="454">
        <f ca="1">IF($Y357&gt;0,CHOOSE(MATCH(RegimeExecucao,{"Unitário","Global"},0),IF($A357="S",$Y357/$X357,""),($Y357/$X357)*100),0)</f>
        <v>0</v>
      </c>
      <c r="X357" s="339" t="str">
        <f ca="1">IF($Y357&gt;0,CHOOSE(MATCH(RegimeExecucao,{"Unitário","Global"},0),IF($A357="S",ROUND($H357,ORÇAMENTO!$AF$10),""),ROUND($I357,ORÇAMENTO!$AF$11)),"")</f>
        <v/>
      </c>
      <c r="Y357" s="339">
        <f t="shared" ca="1" si="42"/>
        <v>0</v>
      </c>
      <c r="Z357" s="473"/>
      <c r="AB357" s="337"/>
      <c r="AC357" s="437"/>
      <c r="AD357" s="437"/>
      <c r="AE357" s="437"/>
      <c r="AF357" s="437"/>
      <c r="AG357" s="437"/>
      <c r="AH357" s="437"/>
      <c r="AI357" s="437"/>
      <c r="AJ357" s="437"/>
      <c r="AK357" s="437"/>
      <c r="AL357" s="437"/>
      <c r="AM357" s="338"/>
      <c r="AO357">
        <f ca="1">IF($A357="S",IF(BM!$I357=0,0,CHOOSE(MATCH(RegimeExecucao,{"Global","Unitário"},0),ROUND(ROUND(BM.MEDAcumulado,15-13*BM!$A$9)/100*BM!$I357,15-13*ORÇAMENTO!$AF$11),ROUND(ROUND(BM.MEDAcumulado,15-13*BM!$A$9)*ROUND(BM!$H357,15-13*ORÇAMENTO!$AF$10),15-13*ORÇAMENTO!$AF$11))),IF($A357=0,0,ROUND(SomaAgrupBM,15-13*ORÇAMENTO!$AF$11)))</f>
        <v>0</v>
      </c>
    </row>
    <row r="358" spans="1:41" ht="25.5" x14ac:dyDescent="0.2">
      <c r="A358" t="str">
        <f ca="1">ORÇAMENTO!C358</f>
        <v>S</v>
      </c>
      <c r="B358">
        <f ca="1">ORÇAMENTO!D358</f>
        <v>0</v>
      </c>
      <c r="C358" s="114" t="str">
        <f t="shared" ca="1" si="36"/>
        <v>F</v>
      </c>
      <c r="D358" s="117" t="str">
        <f ca="1">ORÇAMENTO!O358</f>
        <v>1.7.6.3.1.</v>
      </c>
      <c r="E358" s="163" t="str">
        <f t="shared" ca="1" si="37"/>
        <v>POÇO DE VISITA H= 1,0M, (BALÃO 0,60) COPASA 062/1 NA 104 EM ANÉIS</v>
      </c>
      <c r="F358" s="164" t="str">
        <f ca="1">IF(RegimeExecucao="Global","",ORÇAMENTO.Unidade)</f>
        <v>UN</v>
      </c>
      <c r="G358" s="122">
        <f ca="1">IF(RegimeExecucao="Global","",ORÇAMENTO!T358)</f>
        <v>21</v>
      </c>
      <c r="H358" s="122">
        <f ca="1">IF(RegimeExecucao="Global","",ORÇAMENTO!W358)</f>
        <v>1674.3</v>
      </c>
      <c r="I358" s="125">
        <f ca="1">ORÇAMENTO!X358</f>
        <v>35160.300000000003</v>
      </c>
      <c r="J358" s="333" cm="1">
        <f t="array" aca="1" ref="J358" ca="1">_xlfn.SINGLE(IF($A358="S",IF(CAIXA.Modo,BM.AFAnterior,BM.MEDAnterior),IF(AND(_xlfn.SINGLE(RegimeExecucao)="Global",$I358&gt;0,COUNTIF($AB$13:$AM$13,BM.medicao-1)&gt;0),M358/$I358*100,0)))</f>
        <v>0</v>
      </c>
      <c r="K358" s="122">
        <f t="shared" ca="1" si="38"/>
        <v>0</v>
      </c>
      <c r="L358" s="334" cm="1">
        <f t="array" aca="1" ref="L358" ca="1">_xlfn.SINGLE(IF($A358="S",IF(CAIXA.Modo,BM.AFAcumulado,BM.MEDAcumulado),IF(AND(_xlfn.SINGLE(RegimeExecucao)="Global",$I358&gt;0,COUNTIF($AB$13:$AM$13,BM.medicao)&gt;0),O358/$I358*100,0)))</f>
        <v>0</v>
      </c>
      <c r="M358" s="335">
        <f ca="1">IF($A358="S",VTOTALBM,IF($A358=0,0,ROUND(SomaAgrupBM,15-13*ORÇAMENTO!$AF$11)))</f>
        <v>0</v>
      </c>
      <c r="N358" s="336">
        <f t="shared" ca="1" si="39"/>
        <v>0</v>
      </c>
      <c r="O358" s="125">
        <f ca="1">IF($A358="S",VTOTALBM,IF($A358=0,0,ROUND(SomaAgrupBM,15-13*ORÇAMENTO!$AF$11)))</f>
        <v>0</v>
      </c>
      <c r="Q358" s="337"/>
      <c r="R358" s="338"/>
      <c r="T358" s="117" t="str">
        <f t="shared" ca="1" si="40"/>
        <v/>
      </c>
      <c r="U358" s="163" t="str">
        <f t="shared" ca="1" si="41"/>
        <v/>
      </c>
      <c r="V358" s="164" t="str">
        <f ca="1">IF(AND($W358&gt;0,RegimeExecucao="Unitário"),$F358,"")</f>
        <v/>
      </c>
      <c r="W358" s="454">
        <f ca="1">IF($Y358&gt;0,CHOOSE(MATCH(RegimeExecucao,{"Unitário","Global"},0),IF($A358="S",$Y358/$X358,""),($Y358/$X358)*100),0)</f>
        <v>0</v>
      </c>
      <c r="X358" s="339" t="str">
        <f ca="1">IF($Y358&gt;0,CHOOSE(MATCH(RegimeExecucao,{"Unitário","Global"},0),IF($A358="S",ROUND($H358,ORÇAMENTO!$AF$10),""),ROUND($I358,ORÇAMENTO!$AF$11)),"")</f>
        <v/>
      </c>
      <c r="Y358" s="339">
        <f t="shared" ca="1" si="42"/>
        <v>0</v>
      </c>
      <c r="Z358" s="473"/>
      <c r="AB358" s="337"/>
      <c r="AC358" s="437"/>
      <c r="AD358" s="437"/>
      <c r="AE358" s="437"/>
      <c r="AF358" s="437"/>
      <c r="AG358" s="437"/>
      <c r="AH358" s="437"/>
      <c r="AI358" s="437"/>
      <c r="AJ358" s="437"/>
      <c r="AK358" s="437"/>
      <c r="AL358" s="437"/>
      <c r="AM358" s="338"/>
      <c r="AO358">
        <f ca="1">IF($A358="S",IF(BM!$I358=0,0,CHOOSE(MATCH(RegimeExecucao,{"Global","Unitário"},0),ROUND(ROUND(BM.MEDAcumulado,15-13*BM!$A$9)/100*BM!$I358,15-13*ORÇAMENTO!$AF$11),ROUND(ROUND(BM.MEDAcumulado,15-13*BM!$A$9)*ROUND(BM!$H358,15-13*ORÇAMENTO!$AF$10),15-13*ORÇAMENTO!$AF$11))),IF($A358=0,0,ROUND(SomaAgrupBM,15-13*ORÇAMENTO!$AF$11)))</f>
        <v>0</v>
      </c>
    </row>
    <row r="359" spans="1:41" ht="25.5" x14ac:dyDescent="0.2">
      <c r="A359" t="str">
        <f ca="1">ORÇAMENTO!C359</f>
        <v>S</v>
      </c>
      <c r="B359">
        <f ca="1">ORÇAMENTO!D359</f>
        <v>0</v>
      </c>
      <c r="C359" s="114" t="str">
        <f t="shared" ca="1" si="36"/>
        <v>F</v>
      </c>
      <c r="D359" s="117" t="str">
        <f ca="1">ORÇAMENTO!O359</f>
        <v>1.7.6.3.2.</v>
      </c>
      <c r="E359" s="163" t="str">
        <f t="shared" ca="1" si="37"/>
        <v>TUBO, PVC OCRE, JUNTA ELÁSTICA, DN 150 MM, PARA COLETOR PREDIAL DE ESGOTO. AF_06/2022</v>
      </c>
      <c r="F359" s="164" t="str">
        <f ca="1">IF(RegimeExecucao="Global","",ORÇAMENTO.Unidade)</f>
        <v>M</v>
      </c>
      <c r="G359" s="122">
        <f ca="1">IF(RegimeExecucao="Global","",ORÇAMENTO!T359)</f>
        <v>137.16</v>
      </c>
      <c r="H359" s="122">
        <f ca="1">IF(RegimeExecucao="Global","",ORÇAMENTO!W359)</f>
        <v>110.72</v>
      </c>
      <c r="I359" s="125">
        <f ca="1">ORÇAMENTO!X359</f>
        <v>15186.36</v>
      </c>
      <c r="J359" s="333" cm="1">
        <f t="array" aca="1" ref="J359" ca="1">_xlfn.SINGLE(IF($A359="S",IF(CAIXA.Modo,BM.AFAnterior,BM.MEDAnterior),IF(AND(_xlfn.SINGLE(RegimeExecucao)="Global",$I359&gt;0,COUNTIF($AB$13:$AM$13,BM.medicao-1)&gt;0),M359/$I359*100,0)))</f>
        <v>0</v>
      </c>
      <c r="K359" s="122">
        <f t="shared" ca="1" si="38"/>
        <v>0</v>
      </c>
      <c r="L359" s="334" cm="1">
        <f t="array" aca="1" ref="L359" ca="1">_xlfn.SINGLE(IF($A359="S",IF(CAIXA.Modo,BM.AFAcumulado,BM.MEDAcumulado),IF(AND(_xlfn.SINGLE(RegimeExecucao)="Global",$I359&gt;0,COUNTIF($AB$13:$AM$13,BM.medicao)&gt;0),O359/$I359*100,0)))</f>
        <v>0</v>
      </c>
      <c r="M359" s="335">
        <f ca="1">IF($A359="S",VTOTALBM,IF($A359=0,0,ROUND(SomaAgrupBM,15-13*ORÇAMENTO!$AF$11)))</f>
        <v>0</v>
      </c>
      <c r="N359" s="336">
        <f t="shared" ca="1" si="39"/>
        <v>0</v>
      </c>
      <c r="O359" s="125">
        <f ca="1">IF($A359="S",VTOTALBM,IF($A359=0,0,ROUND(SomaAgrupBM,15-13*ORÇAMENTO!$AF$11)))</f>
        <v>0</v>
      </c>
      <c r="Q359" s="337"/>
      <c r="R359" s="338"/>
      <c r="T359" s="117" t="str">
        <f t="shared" ca="1" si="40"/>
        <v/>
      </c>
      <c r="U359" s="163" t="str">
        <f t="shared" ca="1" si="41"/>
        <v/>
      </c>
      <c r="V359" s="164" t="str">
        <f ca="1">IF(AND($W359&gt;0,RegimeExecucao="Unitário"),$F359,"")</f>
        <v/>
      </c>
      <c r="W359" s="454">
        <f ca="1">IF($Y359&gt;0,CHOOSE(MATCH(RegimeExecucao,{"Unitário","Global"},0),IF($A359="S",$Y359/$X359,""),($Y359/$X359)*100),0)</f>
        <v>0</v>
      </c>
      <c r="X359" s="339" t="str">
        <f ca="1">IF($Y359&gt;0,CHOOSE(MATCH(RegimeExecucao,{"Unitário","Global"},0),IF($A359="S",ROUND($H359,ORÇAMENTO!$AF$10),""),ROUND($I359,ORÇAMENTO!$AF$11)),"")</f>
        <v/>
      </c>
      <c r="Y359" s="339">
        <f t="shared" ca="1" si="42"/>
        <v>0</v>
      </c>
      <c r="Z359" s="473"/>
      <c r="AB359" s="337"/>
      <c r="AC359" s="437"/>
      <c r="AD359" s="437"/>
      <c r="AE359" s="437"/>
      <c r="AF359" s="437"/>
      <c r="AG359" s="437"/>
      <c r="AH359" s="437"/>
      <c r="AI359" s="437"/>
      <c r="AJ359" s="437"/>
      <c r="AK359" s="437"/>
      <c r="AL359" s="437"/>
      <c r="AM359" s="338"/>
      <c r="AO359">
        <f ca="1">IF($A359="S",IF(BM!$I359=0,0,CHOOSE(MATCH(RegimeExecucao,{"Global","Unitário"},0),ROUND(ROUND(BM.MEDAcumulado,15-13*BM!$A$9)/100*BM!$I359,15-13*ORÇAMENTO!$AF$11),ROUND(ROUND(BM.MEDAcumulado,15-13*BM!$A$9)*ROUND(BM!$H359,15-13*ORÇAMENTO!$AF$10),15-13*ORÇAMENTO!$AF$11))),IF($A359=0,0,ROUND(SomaAgrupBM,15-13*ORÇAMENTO!$AF$11)))</f>
        <v>0</v>
      </c>
    </row>
    <row r="360" spans="1:41" x14ac:dyDescent="0.2">
      <c r="A360">
        <f ca="1">ORÇAMENTO!C360</f>
        <v>2</v>
      </c>
      <c r="B360">
        <f ca="1">ORÇAMENTO!D360</f>
        <v>81</v>
      </c>
      <c r="C360" s="114" t="str">
        <f t="shared" ca="1" si="36"/>
        <v>F</v>
      </c>
      <c r="D360" s="117" t="str">
        <f ca="1">ORÇAMENTO!O360</f>
        <v>1.8.</v>
      </c>
      <c r="E360" s="163" t="str">
        <f t="shared" si="37"/>
        <v>INSTALAÇÕES ELÉTRICAS</v>
      </c>
      <c r="F360" s="164" t="str">
        <f ca="1">IF(RegimeExecucao="Global","",ORÇAMENTO.Unidade)</f>
        <v>-</v>
      </c>
      <c r="G360" s="122">
        <f ca="1">IF(RegimeExecucao="Global","",ORÇAMENTO!T360)</f>
        <v>0</v>
      </c>
      <c r="H360" s="122">
        <f ca="1">IF(RegimeExecucao="Global","",ORÇAMENTO!W360)</f>
        <v>0</v>
      </c>
      <c r="I360" s="125">
        <f ca="1">ORÇAMENTO!X360</f>
        <v>656759.93000000005</v>
      </c>
      <c r="J360" s="333" cm="1">
        <f t="array" aca="1" ref="J360" ca="1">_xlfn.SINGLE(IF($A360="S",IF(CAIXA.Modo,BM.AFAnterior,BM.MEDAnterior),IF(AND(_xlfn.SINGLE(RegimeExecucao)="Global",$I360&gt;0,COUNTIF($AB$13:$AM$13,BM.medicao-1)&gt;0),M360/$I360*100,0)))</f>
        <v>0</v>
      </c>
      <c r="K360" s="122">
        <f t="shared" ca="1" si="38"/>
        <v>0</v>
      </c>
      <c r="L360" s="334" cm="1">
        <f t="array" aca="1" ref="L360" ca="1">_xlfn.SINGLE(IF($A360="S",IF(CAIXA.Modo,BM.AFAcumulado,BM.MEDAcumulado),IF(AND(_xlfn.SINGLE(RegimeExecucao)="Global",$I360&gt;0,COUNTIF($AB$13:$AM$13,BM.medicao)&gt;0),O360/$I360*100,0)))</f>
        <v>0</v>
      </c>
      <c r="M360" s="335">
        <f ca="1">IF($A360="S",VTOTALBM,IF($A360=0,0,ROUND(SomaAgrupBM,15-13*ORÇAMENTO!$AF$11)))</f>
        <v>0</v>
      </c>
      <c r="N360" s="336">
        <f t="shared" ca="1" si="39"/>
        <v>0</v>
      </c>
      <c r="O360" s="125">
        <f ca="1">IF($A360="S",VTOTALBM,IF($A360=0,0,ROUND(SomaAgrupBM,15-13*ORÇAMENTO!$AF$11)))</f>
        <v>0</v>
      </c>
      <c r="Q360" s="337"/>
      <c r="R360" s="338"/>
      <c r="T360" s="117" t="str">
        <f t="shared" ca="1" si="40"/>
        <v/>
      </c>
      <c r="U360" s="163" t="str">
        <f t="shared" ca="1" si="41"/>
        <v/>
      </c>
      <c r="V360" s="164" t="str">
        <f ca="1">IF(AND($W360&gt;0,RegimeExecucao="Unitário"),$F360,"")</f>
        <v/>
      </c>
      <c r="W360" s="454">
        <f ca="1">IF($Y360&gt;0,CHOOSE(MATCH(RegimeExecucao,{"Unitário","Global"},0),IF($A360="S",$Y360/$X360,""),($Y360/$X360)*100),0)</f>
        <v>0</v>
      </c>
      <c r="X360" s="339" t="str">
        <f ca="1">IF($Y360&gt;0,CHOOSE(MATCH(RegimeExecucao,{"Unitário","Global"},0),IF($A360="S",ROUND($H360,ORÇAMENTO!$AF$10),""),ROUND($I360,ORÇAMENTO!$AF$11)),"")</f>
        <v/>
      </c>
      <c r="Y360" s="339">
        <f t="shared" ca="1" si="42"/>
        <v>0</v>
      </c>
      <c r="Z360" s="473"/>
      <c r="AB360" s="337"/>
      <c r="AC360" s="437"/>
      <c r="AD360" s="437"/>
      <c r="AE360" s="437"/>
      <c r="AF360" s="437"/>
      <c r="AG360" s="437"/>
      <c r="AH360" s="437"/>
      <c r="AI360" s="437"/>
      <c r="AJ360" s="437"/>
      <c r="AK360" s="437"/>
      <c r="AL360" s="437"/>
      <c r="AM360" s="338"/>
      <c r="AO360">
        <f ca="1">IF($A360="S",IF(BM!$I360=0,0,CHOOSE(MATCH(RegimeExecucao,{"Global","Unitário"},0),ROUND(ROUND(BM.MEDAcumulado,15-13*BM!$A$9)/100*BM!$I360,15-13*ORÇAMENTO!$AF$11),ROUND(ROUND(BM.MEDAcumulado,15-13*BM!$A$9)*ROUND(BM!$H360,15-13*ORÇAMENTO!$AF$10),15-13*ORÇAMENTO!$AF$11))),IF($A360=0,0,ROUND(SomaAgrupBM,15-13*ORÇAMENTO!$AF$11)))</f>
        <v>0</v>
      </c>
    </row>
    <row r="361" spans="1:41" x14ac:dyDescent="0.2">
      <c r="A361">
        <f ca="1">ORÇAMENTO!C361</f>
        <v>3</v>
      </c>
      <c r="B361">
        <f ca="1">ORÇAMENTO!D361</f>
        <v>23</v>
      </c>
      <c r="C361" s="114" t="str">
        <f t="shared" ca="1" si="36"/>
        <v>F</v>
      </c>
      <c r="D361" s="117" t="str">
        <f ca="1">ORÇAMENTO!O361</f>
        <v>1.8.1.</v>
      </c>
      <c r="E361" s="163" t="str">
        <f t="shared" si="37"/>
        <v>INSTALAÇÕES ELÉTRICAS - FASE I</v>
      </c>
      <c r="F361" s="164" t="str">
        <f ca="1">IF(RegimeExecucao="Global","",ORÇAMENTO.Unidade)</f>
        <v>-</v>
      </c>
      <c r="G361" s="122">
        <f ca="1">IF(RegimeExecucao="Global","",ORÇAMENTO!T361)</f>
        <v>0</v>
      </c>
      <c r="H361" s="122">
        <f ca="1">IF(RegimeExecucao="Global","",ORÇAMENTO!W361)</f>
        <v>0</v>
      </c>
      <c r="I361" s="125">
        <f ca="1">ORÇAMENTO!X361</f>
        <v>25210.639999999999</v>
      </c>
      <c r="J361" s="333" cm="1">
        <f t="array" aca="1" ref="J361" ca="1">_xlfn.SINGLE(IF($A361="S",IF(CAIXA.Modo,BM.AFAnterior,BM.MEDAnterior),IF(AND(_xlfn.SINGLE(RegimeExecucao)="Global",$I361&gt;0,COUNTIF($AB$13:$AM$13,BM.medicao-1)&gt;0),M361/$I361*100,0)))</f>
        <v>0</v>
      </c>
      <c r="K361" s="122">
        <f t="shared" ca="1" si="38"/>
        <v>0</v>
      </c>
      <c r="L361" s="334" cm="1">
        <f t="array" aca="1" ref="L361" ca="1">_xlfn.SINGLE(IF($A361="S",IF(CAIXA.Modo,BM.AFAcumulado,BM.MEDAcumulado),IF(AND(_xlfn.SINGLE(RegimeExecucao)="Global",$I361&gt;0,COUNTIF($AB$13:$AM$13,BM.medicao)&gt;0),O361/$I361*100,0)))</f>
        <v>0</v>
      </c>
      <c r="M361" s="335">
        <f ca="1">IF($A361="S",VTOTALBM,IF($A361=0,0,ROUND(SomaAgrupBM,15-13*ORÇAMENTO!$AF$11)))</f>
        <v>0</v>
      </c>
      <c r="N361" s="336">
        <f t="shared" ca="1" si="39"/>
        <v>0</v>
      </c>
      <c r="O361" s="125">
        <f ca="1">IF($A361="S",VTOTALBM,IF($A361=0,0,ROUND(SomaAgrupBM,15-13*ORÇAMENTO!$AF$11)))</f>
        <v>0</v>
      </c>
      <c r="Q361" s="337"/>
      <c r="R361" s="338"/>
      <c r="T361" s="117" t="str">
        <f t="shared" ca="1" si="40"/>
        <v/>
      </c>
      <c r="U361" s="163" t="str">
        <f t="shared" ca="1" si="41"/>
        <v/>
      </c>
      <c r="V361" s="164" t="str">
        <f ca="1">IF(AND($W361&gt;0,RegimeExecucao="Unitário"),$F361,"")</f>
        <v/>
      </c>
      <c r="W361" s="454">
        <f ca="1">IF($Y361&gt;0,CHOOSE(MATCH(RegimeExecucao,{"Unitário","Global"},0),IF($A361="S",$Y361/$X361,""),($Y361/$X361)*100),0)</f>
        <v>0</v>
      </c>
      <c r="X361" s="339" t="str">
        <f ca="1">IF($Y361&gt;0,CHOOSE(MATCH(RegimeExecucao,{"Unitário","Global"},0),IF($A361="S",ROUND($H361,ORÇAMENTO!$AF$10),""),ROUND($I361,ORÇAMENTO!$AF$11)),"")</f>
        <v/>
      </c>
      <c r="Y361" s="339">
        <f t="shared" ca="1" si="42"/>
        <v>0</v>
      </c>
      <c r="Z361" s="473"/>
      <c r="AB361" s="337"/>
      <c r="AC361" s="437"/>
      <c r="AD361" s="437"/>
      <c r="AE361" s="437"/>
      <c r="AF361" s="437"/>
      <c r="AG361" s="437"/>
      <c r="AH361" s="437"/>
      <c r="AI361" s="437"/>
      <c r="AJ361" s="437"/>
      <c r="AK361" s="437"/>
      <c r="AL361" s="437"/>
      <c r="AM361" s="338"/>
      <c r="AO361">
        <f ca="1">IF($A361="S",IF(BM!$I361=0,0,CHOOSE(MATCH(RegimeExecucao,{"Global","Unitário"},0),ROUND(ROUND(BM.MEDAcumulado,15-13*BM!$A$9)/100*BM!$I361,15-13*ORÇAMENTO!$AF$11),ROUND(ROUND(BM.MEDAcumulado,15-13*BM!$A$9)*ROUND(BM!$H361,15-13*ORÇAMENTO!$AF$10),15-13*ORÇAMENTO!$AF$11))),IF($A361=0,0,ROUND(SomaAgrupBM,15-13*ORÇAMENTO!$AF$11)))</f>
        <v>0</v>
      </c>
    </row>
    <row r="362" spans="1:41" x14ac:dyDescent="0.2">
      <c r="A362">
        <f ca="1">ORÇAMENTO!C362</f>
        <v>4</v>
      </c>
      <c r="B362">
        <f ca="1">ORÇAMENTO!D362</f>
        <v>4</v>
      </c>
      <c r="C362" s="114" t="str">
        <f t="shared" ca="1" si="36"/>
        <v>F</v>
      </c>
      <c r="D362" s="117" t="str">
        <f ca="1">ORÇAMENTO!O362</f>
        <v>1.8.1.1.</v>
      </c>
      <c r="E362" s="163" t="str">
        <f t="shared" si="37"/>
        <v>QUADRO DE DISTRIBUIÇÃO DE CIRCUITOS (QDC-03)</v>
      </c>
      <c r="F362" s="164" t="str">
        <f ca="1">IF(RegimeExecucao="Global","",ORÇAMENTO.Unidade)</f>
        <v>-</v>
      </c>
      <c r="G362" s="122">
        <f ca="1">IF(RegimeExecucao="Global","",ORÇAMENTO!T362)</f>
        <v>0</v>
      </c>
      <c r="H362" s="122">
        <f ca="1">IF(RegimeExecucao="Global","",ORÇAMENTO!W362)</f>
        <v>0</v>
      </c>
      <c r="I362" s="125">
        <f ca="1">ORÇAMENTO!X362</f>
        <v>1535.41</v>
      </c>
      <c r="J362" s="333" cm="1">
        <f t="array" aca="1" ref="J362" ca="1">_xlfn.SINGLE(IF($A362="S",IF(CAIXA.Modo,BM.AFAnterior,BM.MEDAnterior),IF(AND(_xlfn.SINGLE(RegimeExecucao)="Global",$I362&gt;0,COUNTIF($AB$13:$AM$13,BM.medicao-1)&gt;0),M362/$I362*100,0)))</f>
        <v>0</v>
      </c>
      <c r="K362" s="122">
        <f t="shared" ca="1" si="38"/>
        <v>0</v>
      </c>
      <c r="L362" s="334" cm="1">
        <f t="array" aca="1" ref="L362" ca="1">_xlfn.SINGLE(IF($A362="S",IF(CAIXA.Modo,BM.AFAcumulado,BM.MEDAcumulado),IF(AND(_xlfn.SINGLE(RegimeExecucao)="Global",$I362&gt;0,COUNTIF($AB$13:$AM$13,BM.medicao)&gt;0),O362/$I362*100,0)))</f>
        <v>0</v>
      </c>
      <c r="M362" s="335">
        <f ca="1">IF($A362="S",VTOTALBM,IF($A362=0,0,ROUND(SomaAgrupBM,15-13*ORÇAMENTO!$AF$11)))</f>
        <v>0</v>
      </c>
      <c r="N362" s="336">
        <f t="shared" ca="1" si="39"/>
        <v>0</v>
      </c>
      <c r="O362" s="125">
        <f ca="1">IF($A362="S",VTOTALBM,IF($A362=0,0,ROUND(SomaAgrupBM,15-13*ORÇAMENTO!$AF$11)))</f>
        <v>0</v>
      </c>
      <c r="Q362" s="337"/>
      <c r="R362" s="338"/>
      <c r="T362" s="117" t="str">
        <f t="shared" ca="1" si="40"/>
        <v/>
      </c>
      <c r="U362" s="163" t="str">
        <f t="shared" ca="1" si="41"/>
        <v/>
      </c>
      <c r="V362" s="164" t="str">
        <f ca="1">IF(AND($W362&gt;0,RegimeExecucao="Unitário"),$F362,"")</f>
        <v/>
      </c>
      <c r="W362" s="454">
        <f ca="1">IF($Y362&gt;0,CHOOSE(MATCH(RegimeExecucao,{"Unitário","Global"},0),IF($A362="S",$Y362/$X362,""),($Y362/$X362)*100),0)</f>
        <v>0</v>
      </c>
      <c r="X362" s="339" t="str">
        <f ca="1">IF($Y362&gt;0,CHOOSE(MATCH(RegimeExecucao,{"Unitário","Global"},0),IF($A362="S",ROUND($H362,ORÇAMENTO!$AF$10),""),ROUND($I362,ORÇAMENTO!$AF$11)),"")</f>
        <v/>
      </c>
      <c r="Y362" s="339">
        <f t="shared" ca="1" si="42"/>
        <v>0</v>
      </c>
      <c r="Z362" s="473"/>
      <c r="AB362" s="337"/>
      <c r="AC362" s="437"/>
      <c r="AD362" s="437"/>
      <c r="AE362" s="437"/>
      <c r="AF362" s="437"/>
      <c r="AG362" s="437"/>
      <c r="AH362" s="437"/>
      <c r="AI362" s="437"/>
      <c r="AJ362" s="437"/>
      <c r="AK362" s="437"/>
      <c r="AL362" s="437"/>
      <c r="AM362" s="338"/>
      <c r="AO362">
        <f ca="1">IF($A362="S",IF(BM!$I362=0,0,CHOOSE(MATCH(RegimeExecucao,{"Global","Unitário"},0),ROUND(ROUND(BM.MEDAcumulado,15-13*BM!$A$9)/100*BM!$I362,15-13*ORÇAMENTO!$AF$11),ROUND(ROUND(BM.MEDAcumulado,15-13*BM!$A$9)*ROUND(BM!$H362,15-13*ORÇAMENTO!$AF$10),15-13*ORÇAMENTO!$AF$11))),IF($A362=0,0,ROUND(SomaAgrupBM,15-13*ORÇAMENTO!$AF$11)))</f>
        <v>0</v>
      </c>
    </row>
    <row r="363" spans="1:41" ht="38.25" x14ac:dyDescent="0.2">
      <c r="A363" t="str">
        <f ca="1">ORÇAMENTO!C363</f>
        <v>S</v>
      </c>
      <c r="B363">
        <f ca="1">ORÇAMENTO!D363</f>
        <v>0</v>
      </c>
      <c r="C363" s="114" t="str">
        <f t="shared" ca="1" si="36"/>
        <v>F</v>
      </c>
      <c r="D363" s="117" t="str">
        <f ca="1">ORÇAMENTO!O363</f>
        <v>1.8.1.1.1.</v>
      </c>
      <c r="E363" s="163" t="str">
        <f t="shared" ca="1" si="37"/>
        <v>QUADRO DE DISTRIBUIÇÃO DE SOBREPOR EM CHAPA, PARA 44 DISJUNTORES DIN, INCLUSIVE BARRAMENTOS NEUTRO/TERRA E BARRAMENTO TRIFÁSICO DE 100A</v>
      </c>
      <c r="F363" s="164" t="str">
        <f ca="1">IF(RegimeExecucao="Global","",ORÇAMENTO.Unidade)</f>
        <v>UN</v>
      </c>
      <c r="G363" s="122">
        <f ca="1">IF(RegimeExecucao="Global","",ORÇAMENTO!T363)</f>
        <v>1</v>
      </c>
      <c r="H363" s="122">
        <f ca="1">IF(RegimeExecucao="Global","",ORÇAMENTO!W363)</f>
        <v>1048.17</v>
      </c>
      <c r="I363" s="125">
        <f ca="1">ORÇAMENTO!X363</f>
        <v>1048.17</v>
      </c>
      <c r="J363" s="333" cm="1">
        <f t="array" aca="1" ref="J363" ca="1">_xlfn.SINGLE(IF($A363="S",IF(CAIXA.Modo,BM.AFAnterior,BM.MEDAnterior),IF(AND(_xlfn.SINGLE(RegimeExecucao)="Global",$I363&gt;0,COUNTIF($AB$13:$AM$13,BM.medicao-1)&gt;0),M363/$I363*100,0)))</f>
        <v>0</v>
      </c>
      <c r="K363" s="122">
        <f t="shared" ca="1" si="38"/>
        <v>0</v>
      </c>
      <c r="L363" s="334" cm="1">
        <f t="array" aca="1" ref="L363" ca="1">_xlfn.SINGLE(IF($A363="S",IF(CAIXA.Modo,BM.AFAcumulado,BM.MEDAcumulado),IF(AND(_xlfn.SINGLE(RegimeExecucao)="Global",$I363&gt;0,COUNTIF($AB$13:$AM$13,BM.medicao)&gt;0),O363/$I363*100,0)))</f>
        <v>0</v>
      </c>
      <c r="M363" s="335">
        <f ca="1">IF($A363="S",VTOTALBM,IF($A363=0,0,ROUND(SomaAgrupBM,15-13*ORÇAMENTO!$AF$11)))</f>
        <v>0</v>
      </c>
      <c r="N363" s="336">
        <f t="shared" ca="1" si="39"/>
        <v>0</v>
      </c>
      <c r="O363" s="125">
        <f ca="1">IF($A363="S",VTOTALBM,IF($A363=0,0,ROUND(SomaAgrupBM,15-13*ORÇAMENTO!$AF$11)))</f>
        <v>0</v>
      </c>
      <c r="Q363" s="337"/>
      <c r="R363" s="338"/>
      <c r="T363" s="117" t="str">
        <f t="shared" ca="1" si="40"/>
        <v/>
      </c>
      <c r="U363" s="163" t="str">
        <f t="shared" ca="1" si="41"/>
        <v/>
      </c>
      <c r="V363" s="164" t="str">
        <f ca="1">IF(AND($W363&gt;0,RegimeExecucao="Unitário"),$F363,"")</f>
        <v/>
      </c>
      <c r="W363" s="454">
        <f ca="1">IF($Y363&gt;0,CHOOSE(MATCH(RegimeExecucao,{"Unitário","Global"},0),IF($A363="S",$Y363/$X363,""),($Y363/$X363)*100),0)</f>
        <v>0</v>
      </c>
      <c r="X363" s="339" t="str">
        <f ca="1">IF($Y363&gt;0,CHOOSE(MATCH(RegimeExecucao,{"Unitário","Global"},0),IF($A363="S",ROUND($H363,ORÇAMENTO!$AF$10),""),ROUND($I363,ORÇAMENTO!$AF$11)),"")</f>
        <v/>
      </c>
      <c r="Y363" s="339">
        <f t="shared" ca="1" si="42"/>
        <v>0</v>
      </c>
      <c r="Z363" s="473"/>
      <c r="AB363" s="337"/>
      <c r="AC363" s="437"/>
      <c r="AD363" s="437"/>
      <c r="AE363" s="437"/>
      <c r="AF363" s="437"/>
      <c r="AG363" s="437"/>
      <c r="AH363" s="437"/>
      <c r="AI363" s="437"/>
      <c r="AJ363" s="437"/>
      <c r="AK363" s="437"/>
      <c r="AL363" s="437"/>
      <c r="AM363" s="338"/>
      <c r="AO363">
        <f ca="1">IF($A363="S",IF(BM!$I363=0,0,CHOOSE(MATCH(RegimeExecucao,{"Global","Unitário"},0),ROUND(ROUND(BM.MEDAcumulado,15-13*BM!$A$9)/100*BM!$I363,15-13*ORÇAMENTO!$AF$11),ROUND(ROUND(BM.MEDAcumulado,15-13*BM!$A$9)*ROUND(BM!$H363,15-13*ORÇAMENTO!$AF$10),15-13*ORÇAMENTO!$AF$11))),IF($A363=0,0,ROUND(SomaAgrupBM,15-13*ORÇAMENTO!$AF$11)))</f>
        <v>0</v>
      </c>
    </row>
    <row r="364" spans="1:41" ht="25.5" x14ac:dyDescent="0.2">
      <c r="A364" t="str">
        <f ca="1">ORÇAMENTO!C364</f>
        <v>S</v>
      </c>
      <c r="B364">
        <f ca="1">ORÇAMENTO!D364</f>
        <v>0</v>
      </c>
      <c r="C364" s="114" t="str">
        <f t="shared" ca="1" si="36"/>
        <v>F</v>
      </c>
      <c r="D364" s="117" t="str">
        <f ca="1">ORÇAMENTO!O364</f>
        <v>1.8.1.1.2.</v>
      </c>
      <c r="E364" s="163" t="str">
        <f t="shared" ca="1" si="37"/>
        <v>DISJUNTOR BIPOLAR TIPO DIN, CORRENTE NOMINAL DE 16A - FORNECIMENTO E INSTALAÇÃO. AF_10/2020</v>
      </c>
      <c r="F364" s="164" t="str">
        <f ca="1">IF(RegimeExecucao="Global","",ORÇAMENTO.Unidade)</f>
        <v>UN</v>
      </c>
      <c r="G364" s="122">
        <f ca="1">IF(RegimeExecucao="Global","",ORÇAMENTO!T364)</f>
        <v>4</v>
      </c>
      <c r="H364" s="122">
        <f ca="1">IF(RegimeExecucao="Global","",ORÇAMENTO!W364)</f>
        <v>89.45</v>
      </c>
      <c r="I364" s="125">
        <f ca="1">ORÇAMENTO!X364</f>
        <v>357.8</v>
      </c>
      <c r="J364" s="333" cm="1">
        <f t="array" aca="1" ref="J364" ca="1">_xlfn.SINGLE(IF($A364="S",IF(CAIXA.Modo,BM.AFAnterior,BM.MEDAnterior),IF(AND(_xlfn.SINGLE(RegimeExecucao)="Global",$I364&gt;0,COUNTIF($AB$13:$AM$13,BM.medicao-1)&gt;0),M364/$I364*100,0)))</f>
        <v>0</v>
      </c>
      <c r="K364" s="122">
        <f t="shared" ca="1" si="38"/>
        <v>0</v>
      </c>
      <c r="L364" s="334" cm="1">
        <f t="array" aca="1" ref="L364" ca="1">_xlfn.SINGLE(IF($A364="S",IF(CAIXA.Modo,BM.AFAcumulado,BM.MEDAcumulado),IF(AND(_xlfn.SINGLE(RegimeExecucao)="Global",$I364&gt;0,COUNTIF($AB$13:$AM$13,BM.medicao)&gt;0),O364/$I364*100,0)))</f>
        <v>0</v>
      </c>
      <c r="M364" s="335">
        <f ca="1">IF($A364="S",VTOTALBM,IF($A364=0,0,ROUND(SomaAgrupBM,15-13*ORÇAMENTO!$AF$11)))</f>
        <v>0</v>
      </c>
      <c r="N364" s="336">
        <f t="shared" ca="1" si="39"/>
        <v>0</v>
      </c>
      <c r="O364" s="125">
        <f ca="1">IF($A364="S",VTOTALBM,IF($A364=0,0,ROUND(SomaAgrupBM,15-13*ORÇAMENTO!$AF$11)))</f>
        <v>0</v>
      </c>
      <c r="Q364" s="337"/>
      <c r="R364" s="338"/>
      <c r="T364" s="117" t="str">
        <f t="shared" ca="1" si="40"/>
        <v/>
      </c>
      <c r="U364" s="163" t="str">
        <f t="shared" ca="1" si="41"/>
        <v/>
      </c>
      <c r="V364" s="164" t="str">
        <f ca="1">IF(AND($W364&gt;0,RegimeExecucao="Unitário"),$F364,"")</f>
        <v/>
      </c>
      <c r="W364" s="454">
        <f ca="1">IF($Y364&gt;0,CHOOSE(MATCH(RegimeExecucao,{"Unitário","Global"},0),IF($A364="S",$Y364/$X364,""),($Y364/$X364)*100),0)</f>
        <v>0</v>
      </c>
      <c r="X364" s="339" t="str">
        <f ca="1">IF($Y364&gt;0,CHOOSE(MATCH(RegimeExecucao,{"Unitário","Global"},0),IF($A364="S",ROUND($H364,ORÇAMENTO!$AF$10),""),ROUND($I364,ORÇAMENTO!$AF$11)),"")</f>
        <v/>
      </c>
      <c r="Y364" s="339">
        <f t="shared" ca="1" si="42"/>
        <v>0</v>
      </c>
      <c r="Z364" s="473"/>
      <c r="AB364" s="337"/>
      <c r="AC364" s="437"/>
      <c r="AD364" s="437"/>
      <c r="AE364" s="437"/>
      <c r="AF364" s="437"/>
      <c r="AG364" s="437"/>
      <c r="AH364" s="437"/>
      <c r="AI364" s="437"/>
      <c r="AJ364" s="437"/>
      <c r="AK364" s="437"/>
      <c r="AL364" s="437"/>
      <c r="AM364" s="338"/>
      <c r="AO364">
        <f ca="1">IF($A364="S",IF(BM!$I364=0,0,CHOOSE(MATCH(RegimeExecucao,{"Global","Unitário"},0),ROUND(ROUND(BM.MEDAcumulado,15-13*BM!$A$9)/100*BM!$I364,15-13*ORÇAMENTO!$AF$11),ROUND(ROUND(BM.MEDAcumulado,15-13*BM!$A$9)*ROUND(BM!$H364,15-13*ORÇAMENTO!$AF$10),15-13*ORÇAMENTO!$AF$11))),IF($A364=0,0,ROUND(SomaAgrupBM,15-13*ORÇAMENTO!$AF$11)))</f>
        <v>0</v>
      </c>
    </row>
    <row r="365" spans="1:41" ht="25.5" x14ac:dyDescent="0.2">
      <c r="A365" t="str">
        <f ca="1">ORÇAMENTO!C365</f>
        <v>S</v>
      </c>
      <c r="B365">
        <f ca="1">ORÇAMENTO!D365</f>
        <v>0</v>
      </c>
      <c r="C365" s="114" t="str">
        <f t="shared" ca="1" si="36"/>
        <v>F</v>
      </c>
      <c r="D365" s="117" t="str">
        <f ca="1">ORÇAMENTO!O365</f>
        <v>1.8.1.1.3.</v>
      </c>
      <c r="E365" s="163" t="str">
        <f t="shared" ca="1" si="37"/>
        <v>DISJUNTOR TRIPOLAR TIPO DIN, CORRENTE NOMINAL DE 70A, FORNECIMENTO E INSTALAÇÃO, INCLUSIVE TERMINAL ILHÓS</v>
      </c>
      <c r="F365" s="164" t="str">
        <f ca="1">IF(RegimeExecucao="Global","",ORÇAMENTO.Unidade)</f>
        <v>UN</v>
      </c>
      <c r="G365" s="122">
        <f ca="1">IF(RegimeExecucao="Global","",ORÇAMENTO!T365)</f>
        <v>1</v>
      </c>
      <c r="H365" s="122">
        <f ca="1">IF(RegimeExecucao="Global","",ORÇAMENTO!W365)</f>
        <v>129.44</v>
      </c>
      <c r="I365" s="125">
        <f ca="1">ORÇAMENTO!X365</f>
        <v>129.44</v>
      </c>
      <c r="J365" s="333" cm="1">
        <f t="array" aca="1" ref="J365" ca="1">_xlfn.SINGLE(IF($A365="S",IF(CAIXA.Modo,BM.AFAnterior,BM.MEDAnterior),IF(AND(_xlfn.SINGLE(RegimeExecucao)="Global",$I365&gt;0,COUNTIF($AB$13:$AM$13,BM.medicao-1)&gt;0),M365/$I365*100,0)))</f>
        <v>0</v>
      </c>
      <c r="K365" s="122">
        <f t="shared" ca="1" si="38"/>
        <v>0</v>
      </c>
      <c r="L365" s="334" cm="1">
        <f t="array" aca="1" ref="L365" ca="1">_xlfn.SINGLE(IF($A365="S",IF(CAIXA.Modo,BM.AFAcumulado,BM.MEDAcumulado),IF(AND(_xlfn.SINGLE(RegimeExecucao)="Global",$I365&gt;0,COUNTIF($AB$13:$AM$13,BM.medicao)&gt;0),O365/$I365*100,0)))</f>
        <v>0</v>
      </c>
      <c r="M365" s="335">
        <f ca="1">IF($A365="S",VTOTALBM,IF($A365=0,0,ROUND(SomaAgrupBM,15-13*ORÇAMENTO!$AF$11)))</f>
        <v>0</v>
      </c>
      <c r="N365" s="336">
        <f t="shared" ca="1" si="39"/>
        <v>0</v>
      </c>
      <c r="O365" s="125">
        <f ca="1">IF($A365="S",VTOTALBM,IF($A365=0,0,ROUND(SomaAgrupBM,15-13*ORÇAMENTO!$AF$11)))</f>
        <v>0</v>
      </c>
      <c r="Q365" s="337"/>
      <c r="R365" s="338"/>
      <c r="T365" s="117" t="str">
        <f t="shared" ca="1" si="40"/>
        <v/>
      </c>
      <c r="U365" s="163" t="str">
        <f t="shared" ca="1" si="41"/>
        <v/>
      </c>
      <c r="V365" s="164" t="str">
        <f ca="1">IF(AND($W365&gt;0,RegimeExecucao="Unitário"),$F365,"")</f>
        <v/>
      </c>
      <c r="W365" s="454">
        <f ca="1">IF($Y365&gt;0,CHOOSE(MATCH(RegimeExecucao,{"Unitário","Global"},0),IF($A365="S",$Y365/$X365,""),($Y365/$X365)*100),0)</f>
        <v>0</v>
      </c>
      <c r="X365" s="339" t="str">
        <f ca="1">IF($Y365&gt;0,CHOOSE(MATCH(RegimeExecucao,{"Unitário","Global"},0),IF($A365="S",ROUND($H365,ORÇAMENTO!$AF$10),""),ROUND($I365,ORÇAMENTO!$AF$11)),"")</f>
        <v/>
      </c>
      <c r="Y365" s="339">
        <f t="shared" ca="1" si="42"/>
        <v>0</v>
      </c>
      <c r="Z365" s="473"/>
      <c r="AB365" s="337"/>
      <c r="AC365" s="437"/>
      <c r="AD365" s="437"/>
      <c r="AE365" s="437"/>
      <c r="AF365" s="437"/>
      <c r="AG365" s="437"/>
      <c r="AH365" s="437"/>
      <c r="AI365" s="437"/>
      <c r="AJ365" s="437"/>
      <c r="AK365" s="437"/>
      <c r="AL365" s="437"/>
      <c r="AM365" s="338"/>
      <c r="AO365">
        <f ca="1">IF($A365="S",IF(BM!$I365=0,0,CHOOSE(MATCH(RegimeExecucao,{"Global","Unitário"},0),ROUND(ROUND(BM.MEDAcumulado,15-13*BM!$A$9)/100*BM!$I365,15-13*ORÇAMENTO!$AF$11),ROUND(ROUND(BM.MEDAcumulado,15-13*BM!$A$9)*ROUND(BM!$H365,15-13*ORÇAMENTO!$AF$10),15-13*ORÇAMENTO!$AF$11))),IF($A365=0,0,ROUND(SomaAgrupBM,15-13*ORÇAMENTO!$AF$11)))</f>
        <v>0</v>
      </c>
    </row>
    <row r="366" spans="1:41" x14ac:dyDescent="0.2">
      <c r="A366">
        <f ca="1">ORÇAMENTO!C366</f>
        <v>4</v>
      </c>
      <c r="B366">
        <f ca="1">ORÇAMENTO!D366</f>
        <v>4</v>
      </c>
      <c r="C366" s="114" t="str">
        <f t="shared" ca="1" si="36"/>
        <v>F</v>
      </c>
      <c r="D366" s="117" t="str">
        <f ca="1">ORÇAMENTO!O366</f>
        <v>1.8.1.2.</v>
      </c>
      <c r="E366" s="163" t="str">
        <f t="shared" si="37"/>
        <v>QUADRO DE DISTRIBUIÇÃO DE CIRCUITOS (QDCGERAL)</v>
      </c>
      <c r="F366" s="164" t="str">
        <f ca="1">IF(RegimeExecucao="Global","",ORÇAMENTO.Unidade)</f>
        <v>-</v>
      </c>
      <c r="G366" s="122">
        <f ca="1">IF(RegimeExecucao="Global","",ORÇAMENTO!T366)</f>
        <v>0</v>
      </c>
      <c r="H366" s="122">
        <f ca="1">IF(RegimeExecucao="Global","",ORÇAMENTO!W366)</f>
        <v>0</v>
      </c>
      <c r="I366" s="125">
        <f ca="1">ORÇAMENTO!X366</f>
        <v>16444.09</v>
      </c>
      <c r="J366" s="333" cm="1">
        <f t="array" aca="1" ref="J366" ca="1">_xlfn.SINGLE(IF($A366="S",IF(CAIXA.Modo,BM.AFAnterior,BM.MEDAnterior),IF(AND(_xlfn.SINGLE(RegimeExecucao)="Global",$I366&gt;0,COUNTIF($AB$13:$AM$13,BM.medicao-1)&gt;0),M366/$I366*100,0)))</f>
        <v>0</v>
      </c>
      <c r="K366" s="122">
        <f t="shared" ca="1" si="38"/>
        <v>0</v>
      </c>
      <c r="L366" s="334" cm="1">
        <f t="array" aca="1" ref="L366" ca="1">_xlfn.SINGLE(IF($A366="S",IF(CAIXA.Modo,BM.AFAcumulado,BM.MEDAcumulado),IF(AND(_xlfn.SINGLE(RegimeExecucao)="Global",$I366&gt;0,COUNTIF($AB$13:$AM$13,BM.medicao)&gt;0),O366/$I366*100,0)))</f>
        <v>0</v>
      </c>
      <c r="M366" s="335">
        <f ca="1">IF($A366="S",VTOTALBM,IF($A366=0,0,ROUND(SomaAgrupBM,15-13*ORÇAMENTO!$AF$11)))</f>
        <v>0</v>
      </c>
      <c r="N366" s="336">
        <f t="shared" ca="1" si="39"/>
        <v>0</v>
      </c>
      <c r="O366" s="125">
        <f ca="1">IF($A366="S",VTOTALBM,IF($A366=0,0,ROUND(SomaAgrupBM,15-13*ORÇAMENTO!$AF$11)))</f>
        <v>0</v>
      </c>
      <c r="Q366" s="337"/>
      <c r="R366" s="338"/>
      <c r="T366" s="117" t="str">
        <f t="shared" ca="1" si="40"/>
        <v/>
      </c>
      <c r="U366" s="163" t="str">
        <f t="shared" ca="1" si="41"/>
        <v/>
      </c>
      <c r="V366" s="164" t="str">
        <f ca="1">IF(AND($W366&gt;0,RegimeExecucao="Unitário"),$F366,"")</f>
        <v/>
      </c>
      <c r="W366" s="454">
        <f ca="1">IF($Y366&gt;0,CHOOSE(MATCH(RegimeExecucao,{"Unitário","Global"},0),IF($A366="S",$Y366/$X366,""),($Y366/$X366)*100),0)</f>
        <v>0</v>
      </c>
      <c r="X366" s="339" t="str">
        <f ca="1">IF($Y366&gt;0,CHOOSE(MATCH(RegimeExecucao,{"Unitário","Global"},0),IF($A366="S",ROUND($H366,ORÇAMENTO!$AF$10),""),ROUND($I366,ORÇAMENTO!$AF$11)),"")</f>
        <v/>
      </c>
      <c r="Y366" s="339">
        <f t="shared" ca="1" si="42"/>
        <v>0</v>
      </c>
      <c r="Z366" s="473"/>
      <c r="AB366" s="337"/>
      <c r="AC366" s="437"/>
      <c r="AD366" s="437"/>
      <c r="AE366" s="437"/>
      <c r="AF366" s="437"/>
      <c r="AG366" s="437"/>
      <c r="AH366" s="437"/>
      <c r="AI366" s="437"/>
      <c r="AJ366" s="437"/>
      <c r="AK366" s="437"/>
      <c r="AL366" s="437"/>
      <c r="AM366" s="338"/>
      <c r="AO366">
        <f ca="1">IF($A366="S",IF(BM!$I366=0,0,CHOOSE(MATCH(RegimeExecucao,{"Global","Unitário"},0),ROUND(ROUND(BM.MEDAcumulado,15-13*BM!$A$9)/100*BM!$I366,15-13*ORÇAMENTO!$AF$11),ROUND(ROUND(BM.MEDAcumulado,15-13*BM!$A$9)*ROUND(BM!$H366,15-13*ORÇAMENTO!$AF$10),15-13*ORÇAMENTO!$AF$11))),IF($A366=0,0,ROUND(SomaAgrupBM,15-13*ORÇAMENTO!$AF$11)))</f>
        <v>0</v>
      </c>
    </row>
    <row r="367" spans="1:41" ht="38.25" x14ac:dyDescent="0.2">
      <c r="A367" t="str">
        <f ca="1">ORÇAMENTO!C367</f>
        <v>S</v>
      </c>
      <c r="B367">
        <f ca="1">ORÇAMENTO!D367</f>
        <v>0</v>
      </c>
      <c r="C367" s="114" t="str">
        <f t="shared" ca="1" si="36"/>
        <v>F</v>
      </c>
      <c r="D367" s="117" t="str">
        <f ca="1">ORÇAMENTO!O367</f>
        <v>1.8.1.2.1.</v>
      </c>
      <c r="E367" s="163" t="str">
        <f t="shared" ca="1" si="37"/>
        <v>QUADRO DE DISTRIBUIÇÃO DE SOBREPOR EM CHAPA, PARA 24 DISJUNTORES DIN, INCLUSIVE BARRAMENTOS NEUTRO/TERRA E BARRAMENTO TRIFÁSICO DE 100A</v>
      </c>
      <c r="F367" s="164" t="str">
        <f ca="1">IF(RegimeExecucao="Global","",ORÇAMENTO.Unidade)</f>
        <v>UN</v>
      </c>
      <c r="G367" s="122">
        <f ca="1">IF(RegimeExecucao="Global","",ORÇAMENTO!T367)</f>
        <v>1</v>
      </c>
      <c r="H367" s="122">
        <f ca="1">IF(RegimeExecucao="Global","",ORÇAMENTO!W367)</f>
        <v>644.97</v>
      </c>
      <c r="I367" s="125">
        <f ca="1">ORÇAMENTO!X367</f>
        <v>644.97</v>
      </c>
      <c r="J367" s="333" cm="1">
        <f t="array" aca="1" ref="J367" ca="1">_xlfn.SINGLE(IF($A367="S",IF(CAIXA.Modo,BM.AFAnterior,BM.MEDAnterior),IF(AND(_xlfn.SINGLE(RegimeExecucao)="Global",$I367&gt;0,COUNTIF($AB$13:$AM$13,BM.medicao-1)&gt;0),M367/$I367*100,0)))</f>
        <v>0</v>
      </c>
      <c r="K367" s="122">
        <f t="shared" ca="1" si="38"/>
        <v>0</v>
      </c>
      <c r="L367" s="334" cm="1">
        <f t="array" aca="1" ref="L367" ca="1">_xlfn.SINGLE(IF($A367="S",IF(CAIXA.Modo,BM.AFAcumulado,BM.MEDAcumulado),IF(AND(_xlfn.SINGLE(RegimeExecucao)="Global",$I367&gt;0,COUNTIF($AB$13:$AM$13,BM.medicao)&gt;0),O367/$I367*100,0)))</f>
        <v>0</v>
      </c>
      <c r="M367" s="335">
        <f ca="1">IF($A367="S",VTOTALBM,IF($A367=0,0,ROUND(SomaAgrupBM,15-13*ORÇAMENTO!$AF$11)))</f>
        <v>0</v>
      </c>
      <c r="N367" s="336">
        <f t="shared" ca="1" si="39"/>
        <v>0</v>
      </c>
      <c r="O367" s="125">
        <f ca="1">IF($A367="S",VTOTALBM,IF($A367=0,0,ROUND(SomaAgrupBM,15-13*ORÇAMENTO!$AF$11)))</f>
        <v>0</v>
      </c>
      <c r="Q367" s="337"/>
      <c r="R367" s="338"/>
      <c r="T367" s="117" t="str">
        <f t="shared" ca="1" si="40"/>
        <v/>
      </c>
      <c r="U367" s="163" t="str">
        <f t="shared" ca="1" si="41"/>
        <v/>
      </c>
      <c r="V367" s="164" t="str">
        <f ca="1">IF(AND($W367&gt;0,RegimeExecucao="Unitário"),$F367,"")</f>
        <v/>
      </c>
      <c r="W367" s="454">
        <f ca="1">IF($Y367&gt;0,CHOOSE(MATCH(RegimeExecucao,{"Unitário","Global"},0),IF($A367="S",$Y367/$X367,""),($Y367/$X367)*100),0)</f>
        <v>0</v>
      </c>
      <c r="X367" s="339" t="str">
        <f ca="1">IF($Y367&gt;0,CHOOSE(MATCH(RegimeExecucao,{"Unitário","Global"},0),IF($A367="S",ROUND($H367,ORÇAMENTO!$AF$10),""),ROUND($I367,ORÇAMENTO!$AF$11)),"")</f>
        <v/>
      </c>
      <c r="Y367" s="339">
        <f t="shared" ca="1" si="42"/>
        <v>0</v>
      </c>
      <c r="Z367" s="473"/>
      <c r="AB367" s="337"/>
      <c r="AC367" s="437"/>
      <c r="AD367" s="437"/>
      <c r="AE367" s="437"/>
      <c r="AF367" s="437"/>
      <c r="AG367" s="437"/>
      <c r="AH367" s="437"/>
      <c r="AI367" s="437"/>
      <c r="AJ367" s="437"/>
      <c r="AK367" s="437"/>
      <c r="AL367" s="437"/>
      <c r="AM367" s="338"/>
      <c r="AO367">
        <f ca="1">IF($A367="S",IF(BM!$I367=0,0,CHOOSE(MATCH(RegimeExecucao,{"Global","Unitário"},0),ROUND(ROUND(BM.MEDAcumulado,15-13*BM!$A$9)/100*BM!$I367,15-13*ORÇAMENTO!$AF$11),ROUND(ROUND(BM.MEDAcumulado,15-13*BM!$A$9)*ROUND(BM!$H367,15-13*ORÇAMENTO!$AF$10),15-13*ORÇAMENTO!$AF$11))),IF($A367=0,0,ROUND(SomaAgrupBM,15-13*ORÇAMENTO!$AF$11)))</f>
        <v>0</v>
      </c>
    </row>
    <row r="368" spans="1:41" ht="25.5" x14ac:dyDescent="0.2">
      <c r="A368" t="str">
        <f ca="1">ORÇAMENTO!C368</f>
        <v>S</v>
      </c>
      <c r="B368">
        <f ca="1">ORÇAMENTO!D368</f>
        <v>0</v>
      </c>
      <c r="C368" s="114" t="str">
        <f t="shared" ca="1" si="36"/>
        <v>F</v>
      </c>
      <c r="D368" s="117" t="str">
        <f ca="1">ORÇAMENTO!O368</f>
        <v>1.8.1.2.2.</v>
      </c>
      <c r="E368" s="163" t="str">
        <f t="shared" ca="1" si="37"/>
        <v>DISJUNTOR TRIPOLAR TIPO DIN, CORRENTE NOMINAL DE 70A, FORNECIMENTO E INSTALAÇÃO, INCLUSIVE TERMINAL ILHÓS</v>
      </c>
      <c r="F368" s="164" t="str">
        <f ca="1">IF(RegimeExecucao="Global","",ORÇAMENTO.Unidade)</f>
        <v>UN</v>
      </c>
      <c r="G368" s="122">
        <f ca="1">IF(RegimeExecucao="Global","",ORÇAMENTO!T368)</f>
        <v>1</v>
      </c>
      <c r="H368" s="122">
        <f ca="1">IF(RegimeExecucao="Global","",ORÇAMENTO!W368)</f>
        <v>129.44</v>
      </c>
      <c r="I368" s="125">
        <f ca="1">ORÇAMENTO!X368</f>
        <v>129.44</v>
      </c>
      <c r="J368" s="333" cm="1">
        <f t="array" aca="1" ref="J368" ca="1">_xlfn.SINGLE(IF($A368="S",IF(CAIXA.Modo,BM.AFAnterior,BM.MEDAnterior),IF(AND(_xlfn.SINGLE(RegimeExecucao)="Global",$I368&gt;0,COUNTIF($AB$13:$AM$13,BM.medicao-1)&gt;0),M368/$I368*100,0)))</f>
        <v>0</v>
      </c>
      <c r="K368" s="122">
        <f t="shared" ca="1" si="38"/>
        <v>0</v>
      </c>
      <c r="L368" s="334" cm="1">
        <f t="array" aca="1" ref="L368" ca="1">_xlfn.SINGLE(IF($A368="S",IF(CAIXA.Modo,BM.AFAcumulado,BM.MEDAcumulado),IF(AND(_xlfn.SINGLE(RegimeExecucao)="Global",$I368&gt;0,COUNTIF($AB$13:$AM$13,BM.medicao)&gt;0),O368/$I368*100,0)))</f>
        <v>0</v>
      </c>
      <c r="M368" s="335">
        <f ca="1">IF($A368="S",VTOTALBM,IF($A368=0,0,ROUND(SomaAgrupBM,15-13*ORÇAMENTO!$AF$11)))</f>
        <v>0</v>
      </c>
      <c r="N368" s="336">
        <f t="shared" ca="1" si="39"/>
        <v>0</v>
      </c>
      <c r="O368" s="125">
        <f ca="1">IF($A368="S",VTOTALBM,IF($A368=0,0,ROUND(SomaAgrupBM,15-13*ORÇAMENTO!$AF$11)))</f>
        <v>0</v>
      </c>
      <c r="Q368" s="337"/>
      <c r="R368" s="338"/>
      <c r="T368" s="117" t="str">
        <f t="shared" ca="1" si="40"/>
        <v/>
      </c>
      <c r="U368" s="163" t="str">
        <f t="shared" ca="1" si="41"/>
        <v/>
      </c>
      <c r="V368" s="164" t="str">
        <f ca="1">IF(AND($W368&gt;0,RegimeExecucao="Unitário"),$F368,"")</f>
        <v/>
      </c>
      <c r="W368" s="454">
        <f ca="1">IF($Y368&gt;0,CHOOSE(MATCH(RegimeExecucao,{"Unitário","Global"},0),IF($A368="S",$Y368/$X368,""),($Y368/$X368)*100),0)</f>
        <v>0</v>
      </c>
      <c r="X368" s="339" t="str">
        <f ca="1">IF($Y368&gt;0,CHOOSE(MATCH(RegimeExecucao,{"Unitário","Global"},0),IF($A368="S",ROUND($H368,ORÇAMENTO!$AF$10),""),ROUND($I368,ORÇAMENTO!$AF$11)),"")</f>
        <v/>
      </c>
      <c r="Y368" s="339">
        <f t="shared" ca="1" si="42"/>
        <v>0</v>
      </c>
      <c r="Z368" s="473"/>
      <c r="AB368" s="337"/>
      <c r="AC368" s="437"/>
      <c r="AD368" s="437"/>
      <c r="AE368" s="437"/>
      <c r="AF368" s="437"/>
      <c r="AG368" s="437"/>
      <c r="AH368" s="437"/>
      <c r="AI368" s="437"/>
      <c r="AJ368" s="437"/>
      <c r="AK368" s="437"/>
      <c r="AL368" s="437"/>
      <c r="AM368" s="338"/>
      <c r="AO368">
        <f ca="1">IF($A368="S",IF(BM!$I368=0,0,CHOOSE(MATCH(RegimeExecucao,{"Global","Unitário"},0),ROUND(ROUND(BM.MEDAcumulado,15-13*BM!$A$9)/100*BM!$I368,15-13*ORÇAMENTO!$AF$11),ROUND(ROUND(BM.MEDAcumulado,15-13*BM!$A$9)*ROUND(BM!$H368,15-13*ORÇAMENTO!$AF$10),15-13*ORÇAMENTO!$AF$11))),IF($A368=0,0,ROUND(SomaAgrupBM,15-13*ORÇAMENTO!$AF$11)))</f>
        <v>0</v>
      </c>
    </row>
    <row r="369" spans="1:41" ht="25.5" x14ac:dyDescent="0.2">
      <c r="A369" t="str">
        <f ca="1">ORÇAMENTO!C369</f>
        <v>S</v>
      </c>
      <c r="B369">
        <f ca="1">ORÇAMENTO!D369</f>
        <v>0</v>
      </c>
      <c r="C369" s="114" t="str">
        <f t="shared" ca="1" si="36"/>
        <v>F</v>
      </c>
      <c r="D369" s="117" t="str">
        <f ca="1">ORÇAMENTO!O369</f>
        <v>1.8.1.2.3.</v>
      </c>
      <c r="E369" s="163" t="str">
        <f t="shared" ca="1" si="37"/>
        <v>AUTOTRANSFORMADOR TRIFÁSICO 100kVA 220v / 380v TRIFÁSICO À SECO - REVERSÍVEL - BASEADO EM SBC (065163)</v>
      </c>
      <c r="F369" s="164" t="str">
        <f ca="1">IF(RegimeExecucao="Global","",ORÇAMENTO.Unidade)</f>
        <v>UN</v>
      </c>
      <c r="G369" s="122">
        <f ca="1">IF(RegimeExecucao="Global","",ORÇAMENTO!T369)</f>
        <v>1</v>
      </c>
      <c r="H369" s="122">
        <f ca="1">IF(RegimeExecucao="Global","",ORÇAMENTO!W369)</f>
        <v>15669.68</v>
      </c>
      <c r="I369" s="125">
        <f ca="1">ORÇAMENTO!X369</f>
        <v>15669.68</v>
      </c>
      <c r="J369" s="333" cm="1">
        <f t="array" aca="1" ref="J369" ca="1">_xlfn.SINGLE(IF($A369="S",IF(CAIXA.Modo,BM.AFAnterior,BM.MEDAnterior),IF(AND(_xlfn.SINGLE(RegimeExecucao)="Global",$I369&gt;0,COUNTIF($AB$13:$AM$13,BM.medicao-1)&gt;0),M369/$I369*100,0)))</f>
        <v>0</v>
      </c>
      <c r="K369" s="122">
        <f t="shared" ca="1" si="38"/>
        <v>0</v>
      </c>
      <c r="L369" s="334" cm="1">
        <f t="array" aca="1" ref="L369" ca="1">_xlfn.SINGLE(IF($A369="S",IF(CAIXA.Modo,BM.AFAcumulado,BM.MEDAcumulado),IF(AND(_xlfn.SINGLE(RegimeExecucao)="Global",$I369&gt;0,COUNTIF($AB$13:$AM$13,BM.medicao)&gt;0),O369/$I369*100,0)))</f>
        <v>0</v>
      </c>
      <c r="M369" s="335">
        <f ca="1">IF($A369="S",VTOTALBM,IF($A369=0,0,ROUND(SomaAgrupBM,15-13*ORÇAMENTO!$AF$11)))</f>
        <v>0</v>
      </c>
      <c r="N369" s="336">
        <f t="shared" ca="1" si="39"/>
        <v>0</v>
      </c>
      <c r="O369" s="125">
        <f ca="1">IF($A369="S",VTOTALBM,IF($A369=0,0,ROUND(SomaAgrupBM,15-13*ORÇAMENTO!$AF$11)))</f>
        <v>0</v>
      </c>
      <c r="Q369" s="337"/>
      <c r="R369" s="338"/>
      <c r="T369" s="117" t="str">
        <f t="shared" ca="1" si="40"/>
        <v/>
      </c>
      <c r="U369" s="163" t="str">
        <f t="shared" ca="1" si="41"/>
        <v/>
      </c>
      <c r="V369" s="164" t="str">
        <f ca="1">IF(AND($W369&gt;0,RegimeExecucao="Unitário"),$F369,"")</f>
        <v/>
      </c>
      <c r="W369" s="454">
        <f ca="1">IF($Y369&gt;0,CHOOSE(MATCH(RegimeExecucao,{"Unitário","Global"},0),IF($A369="S",$Y369/$X369,""),($Y369/$X369)*100),0)</f>
        <v>0</v>
      </c>
      <c r="X369" s="339" t="str">
        <f ca="1">IF($Y369&gt;0,CHOOSE(MATCH(RegimeExecucao,{"Unitário","Global"},0),IF($A369="S",ROUND($H369,ORÇAMENTO!$AF$10),""),ROUND($I369,ORÇAMENTO!$AF$11)),"")</f>
        <v/>
      </c>
      <c r="Y369" s="339">
        <f t="shared" ca="1" si="42"/>
        <v>0</v>
      </c>
      <c r="Z369" s="473"/>
      <c r="AB369" s="337"/>
      <c r="AC369" s="437"/>
      <c r="AD369" s="437"/>
      <c r="AE369" s="437"/>
      <c r="AF369" s="437"/>
      <c r="AG369" s="437"/>
      <c r="AH369" s="437"/>
      <c r="AI369" s="437"/>
      <c r="AJ369" s="437"/>
      <c r="AK369" s="437"/>
      <c r="AL369" s="437"/>
      <c r="AM369" s="338"/>
      <c r="AO369">
        <f ca="1">IF($A369="S",IF(BM!$I369=0,0,CHOOSE(MATCH(RegimeExecucao,{"Global","Unitário"},0),ROUND(ROUND(BM.MEDAcumulado,15-13*BM!$A$9)/100*BM!$I369,15-13*ORÇAMENTO!$AF$11),ROUND(ROUND(BM.MEDAcumulado,15-13*BM!$A$9)*ROUND(BM!$H369,15-13*ORÇAMENTO!$AF$10),15-13*ORÇAMENTO!$AF$11))),IF($A369=0,0,ROUND(SomaAgrupBM,15-13*ORÇAMENTO!$AF$11)))</f>
        <v>0</v>
      </c>
    </row>
    <row r="370" spans="1:41" x14ac:dyDescent="0.2">
      <c r="A370">
        <f ca="1">ORÇAMENTO!C370</f>
        <v>4</v>
      </c>
      <c r="B370">
        <f ca="1">ORÇAMENTO!D370</f>
        <v>7</v>
      </c>
      <c r="C370" s="114" t="str">
        <f t="shared" ca="1" si="36"/>
        <v>F</v>
      </c>
      <c r="D370" s="117" t="str">
        <f ca="1">ORÇAMENTO!O370</f>
        <v>1.8.1.3.</v>
      </c>
      <c r="E370" s="163" t="str">
        <f t="shared" si="37"/>
        <v>QUADRO DE DISTRIBUIÇÃO DE CIRCUITOS (QCM 9)</v>
      </c>
      <c r="F370" s="164" t="str">
        <f ca="1">IF(RegimeExecucao="Global","",ORÇAMENTO.Unidade)</f>
        <v>-</v>
      </c>
      <c r="G370" s="122">
        <f ca="1">IF(RegimeExecucao="Global","",ORÇAMENTO!T370)</f>
        <v>0</v>
      </c>
      <c r="H370" s="122">
        <f ca="1">IF(RegimeExecucao="Global","",ORÇAMENTO!W370)</f>
        <v>0</v>
      </c>
      <c r="I370" s="125">
        <f ca="1">ORÇAMENTO!X370</f>
        <v>3615.57</v>
      </c>
      <c r="J370" s="333" cm="1">
        <f t="array" aca="1" ref="J370" ca="1">_xlfn.SINGLE(IF($A370="S",IF(CAIXA.Modo,BM.AFAnterior,BM.MEDAnterior),IF(AND(_xlfn.SINGLE(RegimeExecucao)="Global",$I370&gt;0,COUNTIF($AB$13:$AM$13,BM.medicao-1)&gt;0),M370/$I370*100,0)))</f>
        <v>0</v>
      </c>
      <c r="K370" s="122">
        <f t="shared" ca="1" si="38"/>
        <v>0</v>
      </c>
      <c r="L370" s="334" cm="1">
        <f t="array" aca="1" ref="L370" ca="1">_xlfn.SINGLE(IF($A370="S",IF(CAIXA.Modo,BM.AFAcumulado,BM.MEDAcumulado),IF(AND(_xlfn.SINGLE(RegimeExecucao)="Global",$I370&gt;0,COUNTIF($AB$13:$AM$13,BM.medicao)&gt;0),O370/$I370*100,0)))</f>
        <v>0</v>
      </c>
      <c r="M370" s="335">
        <f ca="1">IF($A370="S",VTOTALBM,IF($A370=0,0,ROUND(SomaAgrupBM,15-13*ORÇAMENTO!$AF$11)))</f>
        <v>0</v>
      </c>
      <c r="N370" s="336">
        <f t="shared" ca="1" si="39"/>
        <v>0</v>
      </c>
      <c r="O370" s="125">
        <f ca="1">IF($A370="S",VTOTALBM,IF($A370=0,0,ROUND(SomaAgrupBM,15-13*ORÇAMENTO!$AF$11)))</f>
        <v>0</v>
      </c>
      <c r="Q370" s="337"/>
      <c r="R370" s="338"/>
      <c r="T370" s="117" t="str">
        <f t="shared" ca="1" si="40"/>
        <v/>
      </c>
      <c r="U370" s="163" t="str">
        <f t="shared" ca="1" si="41"/>
        <v/>
      </c>
      <c r="V370" s="164" t="str">
        <f ca="1">IF(AND($W370&gt;0,RegimeExecucao="Unitário"),$F370,"")</f>
        <v/>
      </c>
      <c r="W370" s="454">
        <f ca="1">IF($Y370&gt;0,CHOOSE(MATCH(RegimeExecucao,{"Unitário","Global"},0),IF($A370="S",$Y370/$X370,""),($Y370/$X370)*100),0)</f>
        <v>0</v>
      </c>
      <c r="X370" s="339" t="str">
        <f ca="1">IF($Y370&gt;0,CHOOSE(MATCH(RegimeExecucao,{"Unitário","Global"},0),IF($A370="S",ROUND($H370,ORÇAMENTO!$AF$10),""),ROUND($I370,ORÇAMENTO!$AF$11)),"")</f>
        <v/>
      </c>
      <c r="Y370" s="339">
        <f t="shared" ca="1" si="42"/>
        <v>0</v>
      </c>
      <c r="Z370" s="473"/>
      <c r="AB370" s="337"/>
      <c r="AC370" s="437"/>
      <c r="AD370" s="437"/>
      <c r="AE370" s="437"/>
      <c r="AF370" s="437"/>
      <c r="AG370" s="437"/>
      <c r="AH370" s="437"/>
      <c r="AI370" s="437"/>
      <c r="AJ370" s="437"/>
      <c r="AK370" s="437"/>
      <c r="AL370" s="437"/>
      <c r="AM370" s="338"/>
      <c r="AO370">
        <f ca="1">IF($A370="S",IF(BM!$I370=0,0,CHOOSE(MATCH(RegimeExecucao,{"Global","Unitário"},0),ROUND(ROUND(BM.MEDAcumulado,15-13*BM!$A$9)/100*BM!$I370,15-13*ORÇAMENTO!$AF$11),ROUND(ROUND(BM.MEDAcumulado,15-13*BM!$A$9)*ROUND(BM!$H370,15-13*ORÇAMENTO!$AF$10),15-13*ORÇAMENTO!$AF$11))),IF($A370=0,0,ROUND(SomaAgrupBM,15-13*ORÇAMENTO!$AF$11)))</f>
        <v>0</v>
      </c>
    </row>
    <row r="371" spans="1:41" ht="38.25" x14ac:dyDescent="0.2">
      <c r="A371" t="str">
        <f ca="1">ORÇAMENTO!C371</f>
        <v>S</v>
      </c>
      <c r="B371">
        <f ca="1">ORÇAMENTO!D371</f>
        <v>0</v>
      </c>
      <c r="C371" s="114" t="str">
        <f t="shared" ca="1" si="36"/>
        <v>F</v>
      </c>
      <c r="D371" s="117" t="str">
        <f ca="1">ORÇAMENTO!O371</f>
        <v>1.8.1.3.1.</v>
      </c>
      <c r="E371" s="163" t="str">
        <f t="shared" ca="1" si="37"/>
        <v>QUADRO DE DISTRIBUIÇÃO DE SOBREPOR EM CHAPA, PARA 24 DISJUNTORES DIN, INCLUSIVE BARRAMENTOS NEUTRO/TERRA E BARRAMENTO TRIFÁSICO DE 100A</v>
      </c>
      <c r="F371" s="164" t="str">
        <f ca="1">IF(RegimeExecucao="Global","",ORÇAMENTO.Unidade)</f>
        <v>UN</v>
      </c>
      <c r="G371" s="122">
        <f ca="1">IF(RegimeExecucao="Global","",ORÇAMENTO!T371)</f>
        <v>1</v>
      </c>
      <c r="H371" s="122">
        <f ca="1">IF(RegimeExecucao="Global","",ORÇAMENTO!W371)</f>
        <v>644.97</v>
      </c>
      <c r="I371" s="125">
        <f ca="1">ORÇAMENTO!X371</f>
        <v>644.97</v>
      </c>
      <c r="J371" s="333" cm="1">
        <f t="array" aca="1" ref="J371" ca="1">_xlfn.SINGLE(IF($A371="S",IF(CAIXA.Modo,BM.AFAnterior,BM.MEDAnterior),IF(AND(_xlfn.SINGLE(RegimeExecucao)="Global",$I371&gt;0,COUNTIF($AB$13:$AM$13,BM.medicao-1)&gt;0),M371/$I371*100,0)))</f>
        <v>0</v>
      </c>
      <c r="K371" s="122">
        <f t="shared" ca="1" si="38"/>
        <v>0</v>
      </c>
      <c r="L371" s="334" cm="1">
        <f t="array" aca="1" ref="L371" ca="1">_xlfn.SINGLE(IF($A371="S",IF(CAIXA.Modo,BM.AFAcumulado,BM.MEDAcumulado),IF(AND(_xlfn.SINGLE(RegimeExecucao)="Global",$I371&gt;0,COUNTIF($AB$13:$AM$13,BM.medicao)&gt;0),O371/$I371*100,0)))</f>
        <v>0</v>
      </c>
      <c r="M371" s="335">
        <f ca="1">IF($A371="S",VTOTALBM,IF($A371=0,0,ROUND(SomaAgrupBM,15-13*ORÇAMENTO!$AF$11)))</f>
        <v>0</v>
      </c>
      <c r="N371" s="336">
        <f t="shared" ca="1" si="39"/>
        <v>0</v>
      </c>
      <c r="O371" s="125">
        <f ca="1">IF($A371="S",VTOTALBM,IF($A371=0,0,ROUND(SomaAgrupBM,15-13*ORÇAMENTO!$AF$11)))</f>
        <v>0</v>
      </c>
      <c r="Q371" s="337"/>
      <c r="R371" s="338"/>
      <c r="T371" s="117" t="str">
        <f t="shared" ca="1" si="40"/>
        <v/>
      </c>
      <c r="U371" s="163" t="str">
        <f t="shared" ca="1" si="41"/>
        <v/>
      </c>
      <c r="V371" s="164" t="str">
        <f ca="1">IF(AND($W371&gt;0,RegimeExecucao="Unitário"),$F371,"")</f>
        <v/>
      </c>
      <c r="W371" s="454">
        <f ca="1">IF($Y371&gt;0,CHOOSE(MATCH(RegimeExecucao,{"Unitário","Global"},0),IF($A371="S",$Y371/$X371,""),($Y371/$X371)*100),0)</f>
        <v>0</v>
      </c>
      <c r="X371" s="339" t="str">
        <f ca="1">IF($Y371&gt;0,CHOOSE(MATCH(RegimeExecucao,{"Unitário","Global"},0),IF($A371="S",ROUND($H371,ORÇAMENTO!$AF$10),""),ROUND($I371,ORÇAMENTO!$AF$11)),"")</f>
        <v/>
      </c>
      <c r="Y371" s="339">
        <f t="shared" ca="1" si="42"/>
        <v>0</v>
      </c>
      <c r="Z371" s="473"/>
      <c r="AB371" s="337"/>
      <c r="AC371" s="437"/>
      <c r="AD371" s="437"/>
      <c r="AE371" s="437"/>
      <c r="AF371" s="437"/>
      <c r="AG371" s="437"/>
      <c r="AH371" s="437"/>
      <c r="AI371" s="437"/>
      <c r="AJ371" s="437"/>
      <c r="AK371" s="437"/>
      <c r="AL371" s="437"/>
      <c r="AM371" s="338"/>
      <c r="AO371">
        <f ca="1">IF($A371="S",IF(BM!$I371=0,0,CHOOSE(MATCH(RegimeExecucao,{"Global","Unitário"},0),ROUND(ROUND(BM.MEDAcumulado,15-13*BM!$A$9)/100*BM!$I371,15-13*ORÇAMENTO!$AF$11),ROUND(ROUND(BM.MEDAcumulado,15-13*BM!$A$9)*ROUND(BM!$H371,15-13*ORÇAMENTO!$AF$10),15-13*ORÇAMENTO!$AF$11))),IF($A371=0,0,ROUND(SomaAgrupBM,15-13*ORÇAMENTO!$AF$11)))</f>
        <v>0</v>
      </c>
    </row>
    <row r="372" spans="1:41" ht="25.5" x14ac:dyDescent="0.2">
      <c r="A372" t="str">
        <f ca="1">ORÇAMENTO!C372</f>
        <v>S</v>
      </c>
      <c r="B372">
        <f ca="1">ORÇAMENTO!D372</f>
        <v>0</v>
      </c>
      <c r="C372" s="114" t="str">
        <f t="shared" ca="1" si="36"/>
        <v>F</v>
      </c>
      <c r="D372" s="117" t="str">
        <f ca="1">ORÇAMENTO!O372</f>
        <v>1.8.1.3.2.</v>
      </c>
      <c r="E372" s="163" t="str">
        <f t="shared" ca="1" si="37"/>
        <v xml:space="preserve">DISPOSITIVO SUPRESSOR DE SURTO - CLASSE I e II -  BASEADO EM SETOP (ED-49527) </v>
      </c>
      <c r="F372" s="164" t="str">
        <f ca="1">IF(RegimeExecucao="Global","",ORÇAMENTO.Unidade)</f>
        <v>UN</v>
      </c>
      <c r="G372" s="122">
        <f ca="1">IF(RegimeExecucao="Global","",ORÇAMENTO!T372)</f>
        <v>3</v>
      </c>
      <c r="H372" s="122">
        <f ca="1">IF(RegimeExecucao="Global","",ORÇAMENTO!W372)</f>
        <v>469.93</v>
      </c>
      <c r="I372" s="125">
        <f ca="1">ORÇAMENTO!X372</f>
        <v>1409.79</v>
      </c>
      <c r="J372" s="333" cm="1">
        <f t="array" aca="1" ref="J372" ca="1">_xlfn.SINGLE(IF($A372="S",IF(CAIXA.Modo,BM.AFAnterior,BM.MEDAnterior),IF(AND(_xlfn.SINGLE(RegimeExecucao)="Global",$I372&gt;0,COUNTIF($AB$13:$AM$13,BM.medicao-1)&gt;0),M372/$I372*100,0)))</f>
        <v>0</v>
      </c>
      <c r="K372" s="122">
        <f t="shared" ca="1" si="38"/>
        <v>0</v>
      </c>
      <c r="L372" s="334" cm="1">
        <f t="array" aca="1" ref="L372" ca="1">_xlfn.SINGLE(IF($A372="S",IF(CAIXA.Modo,BM.AFAcumulado,BM.MEDAcumulado),IF(AND(_xlfn.SINGLE(RegimeExecucao)="Global",$I372&gt;0,COUNTIF($AB$13:$AM$13,BM.medicao)&gt;0),O372/$I372*100,0)))</f>
        <v>0</v>
      </c>
      <c r="M372" s="335">
        <f ca="1">IF($A372="S",VTOTALBM,IF($A372=0,0,ROUND(SomaAgrupBM,15-13*ORÇAMENTO!$AF$11)))</f>
        <v>0</v>
      </c>
      <c r="N372" s="336">
        <f t="shared" ca="1" si="39"/>
        <v>0</v>
      </c>
      <c r="O372" s="125">
        <f ca="1">IF($A372="S",VTOTALBM,IF($A372=0,0,ROUND(SomaAgrupBM,15-13*ORÇAMENTO!$AF$11)))</f>
        <v>0</v>
      </c>
      <c r="Q372" s="337"/>
      <c r="R372" s="338"/>
      <c r="T372" s="117" t="str">
        <f t="shared" ca="1" si="40"/>
        <v/>
      </c>
      <c r="U372" s="163" t="str">
        <f t="shared" ca="1" si="41"/>
        <v/>
      </c>
      <c r="V372" s="164" t="str">
        <f ca="1">IF(AND($W372&gt;0,RegimeExecucao="Unitário"),$F372,"")</f>
        <v/>
      </c>
      <c r="W372" s="454">
        <f ca="1">IF($Y372&gt;0,CHOOSE(MATCH(RegimeExecucao,{"Unitário","Global"},0),IF($A372="S",$Y372/$X372,""),($Y372/$X372)*100),0)</f>
        <v>0</v>
      </c>
      <c r="X372" s="339" t="str">
        <f ca="1">IF($Y372&gt;0,CHOOSE(MATCH(RegimeExecucao,{"Unitário","Global"},0),IF($A372="S",ROUND($H372,ORÇAMENTO!$AF$10),""),ROUND($I372,ORÇAMENTO!$AF$11)),"")</f>
        <v/>
      </c>
      <c r="Y372" s="339">
        <f t="shared" ca="1" si="42"/>
        <v>0</v>
      </c>
      <c r="Z372" s="473"/>
      <c r="AB372" s="337"/>
      <c r="AC372" s="437"/>
      <c r="AD372" s="437"/>
      <c r="AE372" s="437"/>
      <c r="AF372" s="437"/>
      <c r="AG372" s="437"/>
      <c r="AH372" s="437"/>
      <c r="AI372" s="437"/>
      <c r="AJ372" s="437"/>
      <c r="AK372" s="437"/>
      <c r="AL372" s="437"/>
      <c r="AM372" s="338"/>
      <c r="AO372">
        <f ca="1">IF($A372="S",IF(BM!$I372=0,0,CHOOSE(MATCH(RegimeExecucao,{"Global","Unitário"},0),ROUND(ROUND(BM.MEDAcumulado,15-13*BM!$A$9)/100*BM!$I372,15-13*ORÇAMENTO!$AF$11),ROUND(ROUND(BM.MEDAcumulado,15-13*BM!$A$9)*ROUND(BM!$H372,15-13*ORÇAMENTO!$AF$10),15-13*ORÇAMENTO!$AF$11))),IF($A372=0,0,ROUND(SomaAgrupBM,15-13*ORÇAMENTO!$AF$11)))</f>
        <v>0</v>
      </c>
    </row>
    <row r="373" spans="1:41" ht="25.5" x14ac:dyDescent="0.2">
      <c r="A373" t="str">
        <f ca="1">ORÇAMENTO!C373</f>
        <v>S</v>
      </c>
      <c r="B373">
        <f ca="1">ORÇAMENTO!D373</f>
        <v>0</v>
      </c>
      <c r="C373" s="114" t="str">
        <f t="shared" ca="1" si="36"/>
        <v>F</v>
      </c>
      <c r="D373" s="117" t="str">
        <f ca="1">ORÇAMENTO!O373</f>
        <v>1.8.1.3.3.</v>
      </c>
      <c r="E373" s="163" t="str">
        <f t="shared" ca="1" si="37"/>
        <v>DISJUNTOR DIN BIPOLAR 4A - 5KA -  CURVA C - BASEADO EM SINAPI (93660)</v>
      </c>
      <c r="F373" s="164" t="str">
        <f ca="1">IF(RegimeExecucao="Global","",ORÇAMENTO.Unidade)</f>
        <v>UN</v>
      </c>
      <c r="G373" s="122">
        <f ca="1">IF(RegimeExecucao="Global","",ORÇAMENTO!T373)</f>
        <v>3</v>
      </c>
      <c r="H373" s="122">
        <f ca="1">IF(RegimeExecucao="Global","",ORÇAMENTO!W373)</f>
        <v>117.61</v>
      </c>
      <c r="I373" s="125">
        <f ca="1">ORÇAMENTO!X373</f>
        <v>352.83</v>
      </c>
      <c r="J373" s="333" cm="1">
        <f t="array" aca="1" ref="J373" ca="1">_xlfn.SINGLE(IF($A373="S",IF(CAIXA.Modo,BM.AFAnterior,BM.MEDAnterior),IF(AND(_xlfn.SINGLE(RegimeExecucao)="Global",$I373&gt;0,COUNTIF($AB$13:$AM$13,BM.medicao-1)&gt;0),M373/$I373*100,0)))</f>
        <v>0</v>
      </c>
      <c r="K373" s="122">
        <f t="shared" ca="1" si="38"/>
        <v>0</v>
      </c>
      <c r="L373" s="334" cm="1">
        <f t="array" aca="1" ref="L373" ca="1">_xlfn.SINGLE(IF($A373="S",IF(CAIXA.Modo,BM.AFAcumulado,BM.MEDAcumulado),IF(AND(_xlfn.SINGLE(RegimeExecucao)="Global",$I373&gt;0,COUNTIF($AB$13:$AM$13,BM.medicao)&gt;0),O373/$I373*100,0)))</f>
        <v>0</v>
      </c>
      <c r="M373" s="335">
        <f ca="1">IF($A373="S",VTOTALBM,IF($A373=0,0,ROUND(SomaAgrupBM,15-13*ORÇAMENTO!$AF$11)))</f>
        <v>0</v>
      </c>
      <c r="N373" s="336">
        <f t="shared" ca="1" si="39"/>
        <v>0</v>
      </c>
      <c r="O373" s="125">
        <f ca="1">IF($A373="S",VTOTALBM,IF($A373=0,0,ROUND(SomaAgrupBM,15-13*ORÇAMENTO!$AF$11)))</f>
        <v>0</v>
      </c>
      <c r="Q373" s="337"/>
      <c r="R373" s="338"/>
      <c r="T373" s="117" t="str">
        <f t="shared" ca="1" si="40"/>
        <v/>
      </c>
      <c r="U373" s="163" t="str">
        <f t="shared" ca="1" si="41"/>
        <v/>
      </c>
      <c r="V373" s="164" t="str">
        <f ca="1">IF(AND($W373&gt;0,RegimeExecucao="Unitário"),$F373,"")</f>
        <v/>
      </c>
      <c r="W373" s="454">
        <f ca="1">IF($Y373&gt;0,CHOOSE(MATCH(RegimeExecucao,{"Unitário","Global"},0),IF($A373="S",$Y373/$X373,""),($Y373/$X373)*100),0)</f>
        <v>0</v>
      </c>
      <c r="X373" s="339" t="str">
        <f ca="1">IF($Y373&gt;0,CHOOSE(MATCH(RegimeExecucao,{"Unitário","Global"},0),IF($A373="S",ROUND($H373,ORÇAMENTO!$AF$10),""),ROUND($I373,ORÇAMENTO!$AF$11)),"")</f>
        <v/>
      </c>
      <c r="Y373" s="339">
        <f t="shared" ca="1" si="42"/>
        <v>0</v>
      </c>
      <c r="Z373" s="473"/>
      <c r="AB373" s="337"/>
      <c r="AC373" s="437"/>
      <c r="AD373" s="437"/>
      <c r="AE373" s="437"/>
      <c r="AF373" s="437"/>
      <c r="AG373" s="437"/>
      <c r="AH373" s="437"/>
      <c r="AI373" s="437"/>
      <c r="AJ373" s="437"/>
      <c r="AK373" s="437"/>
      <c r="AL373" s="437"/>
      <c r="AM373" s="338"/>
      <c r="AO373">
        <f ca="1">IF($A373="S",IF(BM!$I373=0,0,CHOOSE(MATCH(RegimeExecucao,{"Global","Unitário"},0),ROUND(ROUND(BM.MEDAcumulado,15-13*BM!$A$9)/100*BM!$I373,15-13*ORÇAMENTO!$AF$11),ROUND(ROUND(BM.MEDAcumulado,15-13*BM!$A$9)*ROUND(BM!$H373,15-13*ORÇAMENTO!$AF$10),15-13*ORÇAMENTO!$AF$11))),IF($A373=0,0,ROUND(SomaAgrupBM,15-13*ORÇAMENTO!$AF$11)))</f>
        <v>0</v>
      </c>
    </row>
    <row r="374" spans="1:41" ht="25.5" x14ac:dyDescent="0.2">
      <c r="A374" t="str">
        <f ca="1">ORÇAMENTO!C374</f>
        <v>S</v>
      </c>
      <c r="B374">
        <f ca="1">ORÇAMENTO!D374</f>
        <v>0</v>
      </c>
      <c r="C374" s="114" t="str">
        <f t="shared" ca="1" si="36"/>
        <v>F</v>
      </c>
      <c r="D374" s="117" t="str">
        <f ca="1">ORÇAMENTO!O374</f>
        <v>1.8.1.3.4.</v>
      </c>
      <c r="E374" s="163" t="str">
        <f t="shared" ca="1" si="37"/>
        <v xml:space="preserve">DISJUNTOR MOTOR, FAIXA DE AJUSTE: 4-6,3A, ICU: 50KA EM 380/400V - BASEADO EM </v>
      </c>
      <c r="F374" s="164" t="str">
        <f ca="1">IF(RegimeExecucao="Global","",ORÇAMENTO.Unidade)</f>
        <v>UN</v>
      </c>
      <c r="G374" s="122">
        <f ca="1">IF(RegimeExecucao="Global","",ORÇAMENTO!T374)</f>
        <v>1</v>
      </c>
      <c r="H374" s="122">
        <f ca="1">IF(RegimeExecucao="Global","",ORÇAMENTO!W374)</f>
        <v>348</v>
      </c>
      <c r="I374" s="125">
        <f ca="1">ORÇAMENTO!X374</f>
        <v>348</v>
      </c>
      <c r="J374" s="333" cm="1">
        <f t="array" aca="1" ref="J374" ca="1">_xlfn.SINGLE(IF($A374="S",IF(CAIXA.Modo,BM.AFAnterior,BM.MEDAnterior),IF(AND(_xlfn.SINGLE(RegimeExecucao)="Global",$I374&gt;0,COUNTIF($AB$13:$AM$13,BM.medicao-1)&gt;0),M374/$I374*100,0)))</f>
        <v>0</v>
      </c>
      <c r="K374" s="122">
        <f t="shared" ca="1" si="38"/>
        <v>0</v>
      </c>
      <c r="L374" s="334" cm="1">
        <f t="array" aca="1" ref="L374" ca="1">_xlfn.SINGLE(IF($A374="S",IF(CAIXA.Modo,BM.AFAcumulado,BM.MEDAcumulado),IF(AND(_xlfn.SINGLE(RegimeExecucao)="Global",$I374&gt;0,COUNTIF($AB$13:$AM$13,BM.medicao)&gt;0),O374/$I374*100,0)))</f>
        <v>0</v>
      </c>
      <c r="M374" s="335">
        <f ca="1">IF($A374="S",VTOTALBM,IF($A374=0,0,ROUND(SomaAgrupBM,15-13*ORÇAMENTO!$AF$11)))</f>
        <v>0</v>
      </c>
      <c r="N374" s="336">
        <f t="shared" ca="1" si="39"/>
        <v>0</v>
      </c>
      <c r="O374" s="125">
        <f ca="1">IF($A374="S",VTOTALBM,IF($A374=0,0,ROUND(SomaAgrupBM,15-13*ORÇAMENTO!$AF$11)))</f>
        <v>0</v>
      </c>
      <c r="Q374" s="337"/>
      <c r="R374" s="338"/>
      <c r="T374" s="117" t="str">
        <f t="shared" ca="1" si="40"/>
        <v/>
      </c>
      <c r="U374" s="163" t="str">
        <f t="shared" ca="1" si="41"/>
        <v/>
      </c>
      <c r="V374" s="164" t="str">
        <f ca="1">IF(AND($W374&gt;0,RegimeExecucao="Unitário"),$F374,"")</f>
        <v/>
      </c>
      <c r="W374" s="454">
        <f ca="1">IF($Y374&gt;0,CHOOSE(MATCH(RegimeExecucao,{"Unitário","Global"},0),IF($A374="S",$Y374/$X374,""),($Y374/$X374)*100),0)</f>
        <v>0</v>
      </c>
      <c r="X374" s="339" t="str">
        <f ca="1">IF($Y374&gt;0,CHOOSE(MATCH(RegimeExecucao,{"Unitário","Global"},0),IF($A374="S",ROUND($H374,ORÇAMENTO!$AF$10),""),ROUND($I374,ORÇAMENTO!$AF$11)),"")</f>
        <v/>
      </c>
      <c r="Y374" s="339">
        <f t="shared" ca="1" si="42"/>
        <v>0</v>
      </c>
      <c r="Z374" s="473"/>
      <c r="AB374" s="337"/>
      <c r="AC374" s="437"/>
      <c r="AD374" s="437"/>
      <c r="AE374" s="437"/>
      <c r="AF374" s="437"/>
      <c r="AG374" s="437"/>
      <c r="AH374" s="437"/>
      <c r="AI374" s="437"/>
      <c r="AJ374" s="437"/>
      <c r="AK374" s="437"/>
      <c r="AL374" s="437"/>
      <c r="AM374" s="338"/>
      <c r="AO374">
        <f ca="1">IF($A374="S",IF(BM!$I374=0,0,CHOOSE(MATCH(RegimeExecucao,{"Global","Unitário"},0),ROUND(ROUND(BM.MEDAcumulado,15-13*BM!$A$9)/100*BM!$I374,15-13*ORÇAMENTO!$AF$11),ROUND(ROUND(BM.MEDAcumulado,15-13*BM!$A$9)*ROUND(BM!$H374,15-13*ORÇAMENTO!$AF$10),15-13*ORÇAMENTO!$AF$11))),IF($A374=0,0,ROUND(SomaAgrupBM,15-13*ORÇAMENTO!$AF$11)))</f>
        <v>0</v>
      </c>
    </row>
    <row r="375" spans="1:41" ht="25.5" x14ac:dyDescent="0.2">
      <c r="A375" t="str">
        <f ca="1">ORÇAMENTO!C375</f>
        <v>S</v>
      </c>
      <c r="B375">
        <f ca="1">ORÇAMENTO!D375</f>
        <v>0</v>
      </c>
      <c r="C375" s="114" t="str">
        <f t="shared" ca="1" si="36"/>
        <v>F</v>
      </c>
      <c r="D375" s="117" t="str">
        <f ca="1">ORÇAMENTO!O375</f>
        <v>1.8.1.3.5.</v>
      </c>
      <c r="E375" s="163" t="str">
        <f t="shared" ca="1" si="37"/>
        <v>DISJUNTOR TRIPOLAR TIPO DIN, CORRENTE NOMINAL DE 10A - FORNECIMENTO E INSTALAÇÃO. AF_10/2020</v>
      </c>
      <c r="F375" s="164" t="str">
        <f ca="1">IF(RegimeExecucao="Global","",ORÇAMENTO.Unidade)</f>
        <v>UN</v>
      </c>
      <c r="G375" s="122">
        <f ca="1">IF(RegimeExecucao="Global","",ORÇAMENTO!T375)</f>
        <v>1</v>
      </c>
      <c r="H375" s="122">
        <f ca="1">IF(RegimeExecucao="Global","",ORÇAMENTO!W375)</f>
        <v>109.75</v>
      </c>
      <c r="I375" s="125">
        <f ca="1">ORÇAMENTO!X375</f>
        <v>109.75</v>
      </c>
      <c r="J375" s="333" cm="1">
        <f t="array" aca="1" ref="J375" ca="1">_xlfn.SINGLE(IF($A375="S",IF(CAIXA.Modo,BM.AFAnterior,BM.MEDAnterior),IF(AND(_xlfn.SINGLE(RegimeExecucao)="Global",$I375&gt;0,COUNTIF($AB$13:$AM$13,BM.medicao-1)&gt;0),M375/$I375*100,0)))</f>
        <v>0</v>
      </c>
      <c r="K375" s="122">
        <f t="shared" ca="1" si="38"/>
        <v>0</v>
      </c>
      <c r="L375" s="334" cm="1">
        <f t="array" aca="1" ref="L375" ca="1">_xlfn.SINGLE(IF($A375="S",IF(CAIXA.Modo,BM.AFAcumulado,BM.MEDAcumulado),IF(AND(_xlfn.SINGLE(RegimeExecucao)="Global",$I375&gt;0,COUNTIF($AB$13:$AM$13,BM.medicao)&gt;0),O375/$I375*100,0)))</f>
        <v>0</v>
      </c>
      <c r="M375" s="335">
        <f ca="1">IF($A375="S",VTOTALBM,IF($A375=0,0,ROUND(SomaAgrupBM,15-13*ORÇAMENTO!$AF$11)))</f>
        <v>0</v>
      </c>
      <c r="N375" s="336">
        <f t="shared" ca="1" si="39"/>
        <v>0</v>
      </c>
      <c r="O375" s="125">
        <f ca="1">IF($A375="S",VTOTALBM,IF($A375=0,0,ROUND(SomaAgrupBM,15-13*ORÇAMENTO!$AF$11)))</f>
        <v>0</v>
      </c>
      <c r="Q375" s="337"/>
      <c r="R375" s="338"/>
      <c r="T375" s="117" t="str">
        <f t="shared" ca="1" si="40"/>
        <v/>
      </c>
      <c r="U375" s="163" t="str">
        <f t="shared" ca="1" si="41"/>
        <v/>
      </c>
      <c r="V375" s="164" t="str">
        <f ca="1">IF(AND($W375&gt;0,RegimeExecucao="Unitário"),$F375,"")</f>
        <v/>
      </c>
      <c r="W375" s="454">
        <f ca="1">IF($Y375&gt;0,CHOOSE(MATCH(RegimeExecucao,{"Unitário","Global"},0),IF($A375="S",$Y375/$X375,""),($Y375/$X375)*100),0)</f>
        <v>0</v>
      </c>
      <c r="X375" s="339" t="str">
        <f ca="1">IF($Y375&gt;0,CHOOSE(MATCH(RegimeExecucao,{"Unitário","Global"},0),IF($A375="S",ROUND($H375,ORÇAMENTO!$AF$10),""),ROUND($I375,ORÇAMENTO!$AF$11)),"")</f>
        <v/>
      </c>
      <c r="Y375" s="339">
        <f t="shared" ca="1" si="42"/>
        <v>0</v>
      </c>
      <c r="Z375" s="473"/>
      <c r="AB375" s="337"/>
      <c r="AC375" s="437"/>
      <c r="AD375" s="437"/>
      <c r="AE375" s="437"/>
      <c r="AF375" s="437"/>
      <c r="AG375" s="437"/>
      <c r="AH375" s="437"/>
      <c r="AI375" s="437"/>
      <c r="AJ375" s="437"/>
      <c r="AK375" s="437"/>
      <c r="AL375" s="437"/>
      <c r="AM375" s="338"/>
      <c r="AO375">
        <f ca="1">IF($A375="S",IF(BM!$I375=0,0,CHOOSE(MATCH(RegimeExecucao,{"Global","Unitário"},0),ROUND(ROUND(BM.MEDAcumulado,15-13*BM!$A$9)/100*BM!$I375,15-13*ORÇAMENTO!$AF$11),ROUND(ROUND(BM.MEDAcumulado,15-13*BM!$A$9)*ROUND(BM!$H375,15-13*ORÇAMENTO!$AF$10),15-13*ORÇAMENTO!$AF$11))),IF($A375=0,0,ROUND(SomaAgrupBM,15-13*ORÇAMENTO!$AF$11)))</f>
        <v>0</v>
      </c>
    </row>
    <row r="376" spans="1:41" ht="25.5" x14ac:dyDescent="0.2">
      <c r="A376" t="str">
        <f ca="1">ORÇAMENTO!C376</f>
        <v>S</v>
      </c>
      <c r="B376">
        <f ca="1">ORÇAMENTO!D376</f>
        <v>0</v>
      </c>
      <c r="C376" s="114" t="str">
        <f t="shared" ca="1" si="36"/>
        <v>F</v>
      </c>
      <c r="D376" s="117" t="str">
        <f ca="1">ORÇAMENTO!O376</f>
        <v>1.8.1.3.6.</v>
      </c>
      <c r="E376" s="163" t="str">
        <f t="shared" ca="1" si="37"/>
        <v>AUTOTRANSFORMADOR TRIFÁSICO 1.01kVA E/S 220/440V 60Hz IP00, FORNECIMENTO E INSTALAÇÃO - BASEADO EM SIURB (9014034)</v>
      </c>
      <c r="F376" s="164" t="str">
        <f ca="1">IF(RegimeExecucao="Global","",ORÇAMENTO.Unidade)</f>
        <v>UN</v>
      </c>
      <c r="G376" s="122">
        <f ca="1">IF(RegimeExecucao="Global","",ORÇAMENTO!T376)</f>
        <v>1</v>
      </c>
      <c r="H376" s="122">
        <f ca="1">IF(RegimeExecucao="Global","",ORÇAMENTO!W376)</f>
        <v>750.23</v>
      </c>
      <c r="I376" s="125">
        <f ca="1">ORÇAMENTO!X376</f>
        <v>750.23</v>
      </c>
      <c r="J376" s="333" cm="1">
        <f t="array" aca="1" ref="J376" ca="1">_xlfn.SINGLE(IF($A376="S",IF(CAIXA.Modo,BM.AFAnterior,BM.MEDAnterior),IF(AND(_xlfn.SINGLE(RegimeExecucao)="Global",$I376&gt;0,COUNTIF($AB$13:$AM$13,BM.medicao-1)&gt;0),M376/$I376*100,0)))</f>
        <v>0</v>
      </c>
      <c r="K376" s="122">
        <f t="shared" ca="1" si="38"/>
        <v>0</v>
      </c>
      <c r="L376" s="334" cm="1">
        <f t="array" aca="1" ref="L376" ca="1">_xlfn.SINGLE(IF($A376="S",IF(CAIXA.Modo,BM.AFAcumulado,BM.MEDAcumulado),IF(AND(_xlfn.SINGLE(RegimeExecucao)="Global",$I376&gt;0,COUNTIF($AB$13:$AM$13,BM.medicao)&gt;0),O376/$I376*100,0)))</f>
        <v>0</v>
      </c>
      <c r="M376" s="335">
        <f ca="1">IF($A376="S",VTOTALBM,IF($A376=0,0,ROUND(SomaAgrupBM,15-13*ORÇAMENTO!$AF$11)))</f>
        <v>0</v>
      </c>
      <c r="N376" s="336">
        <f t="shared" ca="1" si="39"/>
        <v>0</v>
      </c>
      <c r="O376" s="125">
        <f ca="1">IF($A376="S",VTOTALBM,IF($A376=0,0,ROUND(SomaAgrupBM,15-13*ORÇAMENTO!$AF$11)))</f>
        <v>0</v>
      </c>
      <c r="Q376" s="337"/>
      <c r="R376" s="338"/>
      <c r="T376" s="117" t="str">
        <f t="shared" ca="1" si="40"/>
        <v/>
      </c>
      <c r="U376" s="163" t="str">
        <f t="shared" ca="1" si="41"/>
        <v/>
      </c>
      <c r="V376" s="164" t="str">
        <f ca="1">IF(AND($W376&gt;0,RegimeExecucao="Unitário"),$F376,"")</f>
        <v/>
      </c>
      <c r="W376" s="454">
        <f ca="1">IF($Y376&gt;0,CHOOSE(MATCH(RegimeExecucao,{"Unitário","Global"},0),IF($A376="S",$Y376/$X376,""),($Y376/$X376)*100),0)</f>
        <v>0</v>
      </c>
      <c r="X376" s="339" t="str">
        <f ca="1">IF($Y376&gt;0,CHOOSE(MATCH(RegimeExecucao,{"Unitário","Global"},0),IF($A376="S",ROUND($H376,ORÇAMENTO!$AF$10),""),ROUND($I376,ORÇAMENTO!$AF$11)),"")</f>
        <v/>
      </c>
      <c r="Y376" s="339">
        <f t="shared" ca="1" si="42"/>
        <v>0</v>
      </c>
      <c r="Z376" s="473"/>
      <c r="AB376" s="337"/>
      <c r="AC376" s="437"/>
      <c r="AD376" s="437"/>
      <c r="AE376" s="437"/>
      <c r="AF376" s="437"/>
      <c r="AG376" s="437"/>
      <c r="AH376" s="437"/>
      <c r="AI376" s="437"/>
      <c r="AJ376" s="437"/>
      <c r="AK376" s="437"/>
      <c r="AL376" s="437"/>
      <c r="AM376" s="338"/>
      <c r="AO376">
        <f ca="1">IF($A376="S",IF(BM!$I376=0,0,CHOOSE(MATCH(RegimeExecucao,{"Global","Unitário"},0),ROUND(ROUND(BM.MEDAcumulado,15-13*BM!$A$9)/100*BM!$I376,15-13*ORÇAMENTO!$AF$11),ROUND(ROUND(BM.MEDAcumulado,15-13*BM!$A$9)*ROUND(BM!$H376,15-13*ORÇAMENTO!$AF$10),15-13*ORÇAMENTO!$AF$11))),IF($A376=0,0,ROUND(SomaAgrupBM,15-13*ORÇAMENTO!$AF$11)))</f>
        <v>0</v>
      </c>
    </row>
    <row r="377" spans="1:41" x14ac:dyDescent="0.2">
      <c r="A377">
        <f ca="1">ORÇAMENTO!C377</f>
        <v>4</v>
      </c>
      <c r="B377">
        <f ca="1">ORÇAMENTO!D377</f>
        <v>7</v>
      </c>
      <c r="C377" s="114" t="str">
        <f t="shared" ca="1" si="36"/>
        <v>F</v>
      </c>
      <c r="D377" s="117" t="str">
        <f ca="1">ORÇAMENTO!O377</f>
        <v>1.8.1.4.</v>
      </c>
      <c r="E377" s="163" t="str">
        <f t="shared" si="37"/>
        <v>QUADRO DE DISTRIBUIÇÃO DE CIRCUITOS (QCM 10)</v>
      </c>
      <c r="F377" s="164" t="str">
        <f ca="1">IF(RegimeExecucao="Global","",ORÇAMENTO.Unidade)</f>
        <v>-</v>
      </c>
      <c r="G377" s="122">
        <f ca="1">IF(RegimeExecucao="Global","",ORÇAMENTO!T377)</f>
        <v>0</v>
      </c>
      <c r="H377" s="122">
        <f ca="1">IF(RegimeExecucao="Global","",ORÇAMENTO!W377)</f>
        <v>0</v>
      </c>
      <c r="I377" s="125">
        <f ca="1">ORÇAMENTO!X377</f>
        <v>3615.57</v>
      </c>
      <c r="J377" s="333" cm="1">
        <f t="array" aca="1" ref="J377" ca="1">_xlfn.SINGLE(IF($A377="S",IF(CAIXA.Modo,BM.AFAnterior,BM.MEDAnterior),IF(AND(_xlfn.SINGLE(RegimeExecucao)="Global",$I377&gt;0,COUNTIF($AB$13:$AM$13,BM.medicao-1)&gt;0),M377/$I377*100,0)))</f>
        <v>0</v>
      </c>
      <c r="K377" s="122">
        <f t="shared" ca="1" si="38"/>
        <v>0</v>
      </c>
      <c r="L377" s="334" cm="1">
        <f t="array" aca="1" ref="L377" ca="1">_xlfn.SINGLE(IF($A377="S",IF(CAIXA.Modo,BM.AFAcumulado,BM.MEDAcumulado),IF(AND(_xlfn.SINGLE(RegimeExecucao)="Global",$I377&gt;0,COUNTIF($AB$13:$AM$13,BM.medicao)&gt;0),O377/$I377*100,0)))</f>
        <v>0</v>
      </c>
      <c r="M377" s="335">
        <f ca="1">IF($A377="S",VTOTALBM,IF($A377=0,0,ROUND(SomaAgrupBM,15-13*ORÇAMENTO!$AF$11)))</f>
        <v>0</v>
      </c>
      <c r="N377" s="336">
        <f t="shared" ca="1" si="39"/>
        <v>0</v>
      </c>
      <c r="O377" s="125">
        <f ca="1">IF($A377="S",VTOTALBM,IF($A377=0,0,ROUND(SomaAgrupBM,15-13*ORÇAMENTO!$AF$11)))</f>
        <v>0</v>
      </c>
      <c r="Q377" s="337"/>
      <c r="R377" s="338"/>
      <c r="T377" s="117" t="str">
        <f t="shared" ca="1" si="40"/>
        <v/>
      </c>
      <c r="U377" s="163" t="str">
        <f t="shared" ca="1" si="41"/>
        <v/>
      </c>
      <c r="V377" s="164" t="str">
        <f ca="1">IF(AND($W377&gt;0,RegimeExecucao="Unitário"),$F377,"")</f>
        <v/>
      </c>
      <c r="W377" s="454">
        <f ca="1">IF($Y377&gt;0,CHOOSE(MATCH(RegimeExecucao,{"Unitário","Global"},0),IF($A377="S",$Y377/$X377,""),($Y377/$X377)*100),0)</f>
        <v>0</v>
      </c>
      <c r="X377" s="339" t="str">
        <f ca="1">IF($Y377&gt;0,CHOOSE(MATCH(RegimeExecucao,{"Unitário","Global"},0),IF($A377="S",ROUND($H377,ORÇAMENTO!$AF$10),""),ROUND($I377,ORÇAMENTO!$AF$11)),"")</f>
        <v/>
      </c>
      <c r="Y377" s="339">
        <f t="shared" ca="1" si="42"/>
        <v>0</v>
      </c>
      <c r="Z377" s="473"/>
      <c r="AB377" s="337"/>
      <c r="AC377" s="437"/>
      <c r="AD377" s="437"/>
      <c r="AE377" s="437"/>
      <c r="AF377" s="437"/>
      <c r="AG377" s="437"/>
      <c r="AH377" s="437"/>
      <c r="AI377" s="437"/>
      <c r="AJ377" s="437"/>
      <c r="AK377" s="437"/>
      <c r="AL377" s="437"/>
      <c r="AM377" s="338"/>
      <c r="AO377">
        <f ca="1">IF($A377="S",IF(BM!$I377=0,0,CHOOSE(MATCH(RegimeExecucao,{"Global","Unitário"},0),ROUND(ROUND(BM.MEDAcumulado,15-13*BM!$A$9)/100*BM!$I377,15-13*ORÇAMENTO!$AF$11),ROUND(ROUND(BM.MEDAcumulado,15-13*BM!$A$9)*ROUND(BM!$H377,15-13*ORÇAMENTO!$AF$10),15-13*ORÇAMENTO!$AF$11))),IF($A377=0,0,ROUND(SomaAgrupBM,15-13*ORÇAMENTO!$AF$11)))</f>
        <v>0</v>
      </c>
    </row>
    <row r="378" spans="1:41" ht="38.25" x14ac:dyDescent="0.2">
      <c r="A378" t="str">
        <f ca="1">ORÇAMENTO!C378</f>
        <v>S</v>
      </c>
      <c r="B378">
        <f ca="1">ORÇAMENTO!D378</f>
        <v>0</v>
      </c>
      <c r="C378" s="114" t="str">
        <f t="shared" ca="1" si="36"/>
        <v>F</v>
      </c>
      <c r="D378" s="117" t="str">
        <f ca="1">ORÇAMENTO!O378</f>
        <v>1.8.1.4.1.</v>
      </c>
      <c r="E378" s="163" t="str">
        <f t="shared" ca="1" si="37"/>
        <v>QUADRO DE DISTRIBUIÇÃO DE SOBREPOR EM CHAPA, PARA 24 DISJUNTORES DIN, INCLUSIVE BARRAMENTOS NEUTRO/TERRA E BARRAMENTO TRIFÁSICO DE 100A</v>
      </c>
      <c r="F378" s="164" t="str">
        <f ca="1">IF(RegimeExecucao="Global","",ORÇAMENTO.Unidade)</f>
        <v>UN</v>
      </c>
      <c r="G378" s="122">
        <f ca="1">IF(RegimeExecucao="Global","",ORÇAMENTO!T378)</f>
        <v>1</v>
      </c>
      <c r="H378" s="122">
        <f ca="1">IF(RegimeExecucao="Global","",ORÇAMENTO!W378)</f>
        <v>644.97</v>
      </c>
      <c r="I378" s="125">
        <f ca="1">ORÇAMENTO!X378</f>
        <v>644.97</v>
      </c>
      <c r="J378" s="333" cm="1">
        <f t="array" aca="1" ref="J378" ca="1">_xlfn.SINGLE(IF($A378="S",IF(CAIXA.Modo,BM.AFAnterior,BM.MEDAnterior),IF(AND(_xlfn.SINGLE(RegimeExecucao)="Global",$I378&gt;0,COUNTIF($AB$13:$AM$13,BM.medicao-1)&gt;0),M378/$I378*100,0)))</f>
        <v>0</v>
      </c>
      <c r="K378" s="122">
        <f t="shared" ca="1" si="38"/>
        <v>0</v>
      </c>
      <c r="L378" s="334" cm="1">
        <f t="array" aca="1" ref="L378" ca="1">_xlfn.SINGLE(IF($A378="S",IF(CAIXA.Modo,BM.AFAcumulado,BM.MEDAcumulado),IF(AND(_xlfn.SINGLE(RegimeExecucao)="Global",$I378&gt;0,COUNTIF($AB$13:$AM$13,BM.medicao)&gt;0),O378/$I378*100,0)))</f>
        <v>0</v>
      </c>
      <c r="M378" s="335">
        <f ca="1">IF($A378="S",VTOTALBM,IF($A378=0,0,ROUND(SomaAgrupBM,15-13*ORÇAMENTO!$AF$11)))</f>
        <v>0</v>
      </c>
      <c r="N378" s="336">
        <f t="shared" ca="1" si="39"/>
        <v>0</v>
      </c>
      <c r="O378" s="125">
        <f ca="1">IF($A378="S",VTOTALBM,IF($A378=0,0,ROUND(SomaAgrupBM,15-13*ORÇAMENTO!$AF$11)))</f>
        <v>0</v>
      </c>
      <c r="Q378" s="337"/>
      <c r="R378" s="338"/>
      <c r="T378" s="117" t="str">
        <f t="shared" ca="1" si="40"/>
        <v/>
      </c>
      <c r="U378" s="163" t="str">
        <f t="shared" ca="1" si="41"/>
        <v/>
      </c>
      <c r="V378" s="164" t="str">
        <f ca="1">IF(AND($W378&gt;0,RegimeExecucao="Unitário"),$F378,"")</f>
        <v/>
      </c>
      <c r="W378" s="454">
        <f ca="1">IF($Y378&gt;0,CHOOSE(MATCH(RegimeExecucao,{"Unitário","Global"},0),IF($A378="S",$Y378/$X378,""),($Y378/$X378)*100),0)</f>
        <v>0</v>
      </c>
      <c r="X378" s="339" t="str">
        <f ca="1">IF($Y378&gt;0,CHOOSE(MATCH(RegimeExecucao,{"Unitário","Global"},0),IF($A378="S",ROUND($H378,ORÇAMENTO!$AF$10),""),ROUND($I378,ORÇAMENTO!$AF$11)),"")</f>
        <v/>
      </c>
      <c r="Y378" s="339">
        <f t="shared" ca="1" si="42"/>
        <v>0</v>
      </c>
      <c r="Z378" s="473"/>
      <c r="AB378" s="337"/>
      <c r="AC378" s="437"/>
      <c r="AD378" s="437"/>
      <c r="AE378" s="437"/>
      <c r="AF378" s="437"/>
      <c r="AG378" s="437"/>
      <c r="AH378" s="437"/>
      <c r="AI378" s="437"/>
      <c r="AJ378" s="437"/>
      <c r="AK378" s="437"/>
      <c r="AL378" s="437"/>
      <c r="AM378" s="338"/>
      <c r="AO378">
        <f ca="1">IF($A378="S",IF(BM!$I378=0,0,CHOOSE(MATCH(RegimeExecucao,{"Global","Unitário"},0),ROUND(ROUND(BM.MEDAcumulado,15-13*BM!$A$9)/100*BM!$I378,15-13*ORÇAMENTO!$AF$11),ROUND(ROUND(BM.MEDAcumulado,15-13*BM!$A$9)*ROUND(BM!$H378,15-13*ORÇAMENTO!$AF$10),15-13*ORÇAMENTO!$AF$11))),IF($A378=0,0,ROUND(SomaAgrupBM,15-13*ORÇAMENTO!$AF$11)))</f>
        <v>0</v>
      </c>
    </row>
    <row r="379" spans="1:41" ht="25.5" x14ac:dyDescent="0.2">
      <c r="A379" t="str">
        <f ca="1">ORÇAMENTO!C379</f>
        <v>S</v>
      </c>
      <c r="B379">
        <f ca="1">ORÇAMENTO!D379</f>
        <v>0</v>
      </c>
      <c r="C379" s="114" t="str">
        <f t="shared" ca="1" si="36"/>
        <v>F</v>
      </c>
      <c r="D379" s="117" t="str">
        <f ca="1">ORÇAMENTO!O379</f>
        <v>1.8.1.4.2.</v>
      </c>
      <c r="E379" s="163" t="str">
        <f t="shared" ca="1" si="37"/>
        <v xml:space="preserve">DISPOSITIVO SUPRESSOR DE SURTO - CLASSE I e II -  BASEADO EM SETOP (ED-49527) </v>
      </c>
      <c r="F379" s="164" t="str">
        <f ca="1">IF(RegimeExecucao="Global","",ORÇAMENTO.Unidade)</f>
        <v>UN</v>
      </c>
      <c r="G379" s="122">
        <f ca="1">IF(RegimeExecucao="Global","",ORÇAMENTO!T379)</f>
        <v>3</v>
      </c>
      <c r="H379" s="122">
        <f ca="1">IF(RegimeExecucao="Global","",ORÇAMENTO!W379)</f>
        <v>469.93</v>
      </c>
      <c r="I379" s="125">
        <f ca="1">ORÇAMENTO!X379</f>
        <v>1409.79</v>
      </c>
      <c r="J379" s="333" cm="1">
        <f t="array" aca="1" ref="J379" ca="1">_xlfn.SINGLE(IF($A379="S",IF(CAIXA.Modo,BM.AFAnterior,BM.MEDAnterior),IF(AND(_xlfn.SINGLE(RegimeExecucao)="Global",$I379&gt;0,COUNTIF($AB$13:$AM$13,BM.medicao-1)&gt;0),M379/$I379*100,0)))</f>
        <v>0</v>
      </c>
      <c r="K379" s="122">
        <f t="shared" ca="1" si="38"/>
        <v>0</v>
      </c>
      <c r="L379" s="334" cm="1">
        <f t="array" aca="1" ref="L379" ca="1">_xlfn.SINGLE(IF($A379="S",IF(CAIXA.Modo,BM.AFAcumulado,BM.MEDAcumulado),IF(AND(_xlfn.SINGLE(RegimeExecucao)="Global",$I379&gt;0,COUNTIF($AB$13:$AM$13,BM.medicao)&gt;0),O379/$I379*100,0)))</f>
        <v>0</v>
      </c>
      <c r="M379" s="335">
        <f ca="1">IF($A379="S",VTOTALBM,IF($A379=0,0,ROUND(SomaAgrupBM,15-13*ORÇAMENTO!$AF$11)))</f>
        <v>0</v>
      </c>
      <c r="N379" s="336">
        <f t="shared" ca="1" si="39"/>
        <v>0</v>
      </c>
      <c r="O379" s="125">
        <f ca="1">IF($A379="S",VTOTALBM,IF($A379=0,0,ROUND(SomaAgrupBM,15-13*ORÇAMENTO!$AF$11)))</f>
        <v>0</v>
      </c>
      <c r="Q379" s="337"/>
      <c r="R379" s="338"/>
      <c r="T379" s="117" t="str">
        <f t="shared" ca="1" si="40"/>
        <v/>
      </c>
      <c r="U379" s="163" t="str">
        <f t="shared" ca="1" si="41"/>
        <v/>
      </c>
      <c r="V379" s="164" t="str">
        <f ca="1">IF(AND($W379&gt;0,RegimeExecucao="Unitário"),$F379,"")</f>
        <v/>
      </c>
      <c r="W379" s="454">
        <f ca="1">IF($Y379&gt;0,CHOOSE(MATCH(RegimeExecucao,{"Unitário","Global"},0),IF($A379="S",$Y379/$X379,""),($Y379/$X379)*100),0)</f>
        <v>0</v>
      </c>
      <c r="X379" s="339" t="str">
        <f ca="1">IF($Y379&gt;0,CHOOSE(MATCH(RegimeExecucao,{"Unitário","Global"},0),IF($A379="S",ROUND($H379,ORÇAMENTO!$AF$10),""),ROUND($I379,ORÇAMENTO!$AF$11)),"")</f>
        <v/>
      </c>
      <c r="Y379" s="339">
        <f t="shared" ca="1" si="42"/>
        <v>0</v>
      </c>
      <c r="Z379" s="473"/>
      <c r="AB379" s="337"/>
      <c r="AC379" s="437"/>
      <c r="AD379" s="437"/>
      <c r="AE379" s="437"/>
      <c r="AF379" s="437"/>
      <c r="AG379" s="437"/>
      <c r="AH379" s="437"/>
      <c r="AI379" s="437"/>
      <c r="AJ379" s="437"/>
      <c r="AK379" s="437"/>
      <c r="AL379" s="437"/>
      <c r="AM379" s="338"/>
      <c r="AO379">
        <f ca="1">IF($A379="S",IF(BM!$I379=0,0,CHOOSE(MATCH(RegimeExecucao,{"Global","Unitário"},0),ROUND(ROUND(BM.MEDAcumulado,15-13*BM!$A$9)/100*BM!$I379,15-13*ORÇAMENTO!$AF$11),ROUND(ROUND(BM.MEDAcumulado,15-13*BM!$A$9)*ROUND(BM!$H379,15-13*ORÇAMENTO!$AF$10),15-13*ORÇAMENTO!$AF$11))),IF($A379=0,0,ROUND(SomaAgrupBM,15-13*ORÇAMENTO!$AF$11)))</f>
        <v>0</v>
      </c>
    </row>
    <row r="380" spans="1:41" ht="25.5" x14ac:dyDescent="0.2">
      <c r="A380" t="str">
        <f ca="1">ORÇAMENTO!C380</f>
        <v>S</v>
      </c>
      <c r="B380">
        <f ca="1">ORÇAMENTO!D380</f>
        <v>0</v>
      </c>
      <c r="C380" s="114" t="str">
        <f t="shared" ca="1" si="36"/>
        <v>F</v>
      </c>
      <c r="D380" s="117" t="str">
        <f ca="1">ORÇAMENTO!O380</f>
        <v>1.8.1.4.3.</v>
      </c>
      <c r="E380" s="163" t="str">
        <f t="shared" ca="1" si="37"/>
        <v>DISJUNTOR DIN BIPOLAR 4A - 5KA -  CURVA C - BASEADO EM SINAPI (93660)</v>
      </c>
      <c r="F380" s="164" t="str">
        <f ca="1">IF(RegimeExecucao="Global","",ORÇAMENTO.Unidade)</f>
        <v>UN</v>
      </c>
      <c r="G380" s="122">
        <f ca="1">IF(RegimeExecucao="Global","",ORÇAMENTO!T380)</f>
        <v>3</v>
      </c>
      <c r="H380" s="122">
        <f ca="1">IF(RegimeExecucao="Global","",ORÇAMENTO!W380)</f>
        <v>117.61</v>
      </c>
      <c r="I380" s="125">
        <f ca="1">ORÇAMENTO!X380</f>
        <v>352.83</v>
      </c>
      <c r="J380" s="333" cm="1">
        <f t="array" aca="1" ref="J380" ca="1">_xlfn.SINGLE(IF($A380="S",IF(CAIXA.Modo,BM.AFAnterior,BM.MEDAnterior),IF(AND(_xlfn.SINGLE(RegimeExecucao)="Global",$I380&gt;0,COUNTIF($AB$13:$AM$13,BM.medicao-1)&gt;0),M380/$I380*100,0)))</f>
        <v>0</v>
      </c>
      <c r="K380" s="122">
        <f t="shared" ca="1" si="38"/>
        <v>0</v>
      </c>
      <c r="L380" s="334" cm="1">
        <f t="array" aca="1" ref="L380" ca="1">_xlfn.SINGLE(IF($A380="S",IF(CAIXA.Modo,BM.AFAcumulado,BM.MEDAcumulado),IF(AND(_xlfn.SINGLE(RegimeExecucao)="Global",$I380&gt;0,COUNTIF($AB$13:$AM$13,BM.medicao)&gt;0),O380/$I380*100,0)))</f>
        <v>0</v>
      </c>
      <c r="M380" s="335">
        <f ca="1">IF($A380="S",VTOTALBM,IF($A380=0,0,ROUND(SomaAgrupBM,15-13*ORÇAMENTO!$AF$11)))</f>
        <v>0</v>
      </c>
      <c r="N380" s="336">
        <f t="shared" ca="1" si="39"/>
        <v>0</v>
      </c>
      <c r="O380" s="125">
        <f ca="1">IF($A380="S",VTOTALBM,IF($A380=0,0,ROUND(SomaAgrupBM,15-13*ORÇAMENTO!$AF$11)))</f>
        <v>0</v>
      </c>
      <c r="Q380" s="337"/>
      <c r="R380" s="338"/>
      <c r="T380" s="117" t="str">
        <f t="shared" ca="1" si="40"/>
        <v/>
      </c>
      <c r="U380" s="163" t="str">
        <f t="shared" ca="1" si="41"/>
        <v/>
      </c>
      <c r="V380" s="164" t="str">
        <f ca="1">IF(AND($W380&gt;0,RegimeExecucao="Unitário"),$F380,"")</f>
        <v/>
      </c>
      <c r="W380" s="454">
        <f ca="1">IF($Y380&gt;0,CHOOSE(MATCH(RegimeExecucao,{"Unitário","Global"},0),IF($A380="S",$Y380/$X380,""),($Y380/$X380)*100),0)</f>
        <v>0</v>
      </c>
      <c r="X380" s="339" t="str">
        <f ca="1">IF($Y380&gt;0,CHOOSE(MATCH(RegimeExecucao,{"Unitário","Global"},0),IF($A380="S",ROUND($H380,ORÇAMENTO!$AF$10),""),ROUND($I380,ORÇAMENTO!$AF$11)),"")</f>
        <v/>
      </c>
      <c r="Y380" s="339">
        <f t="shared" ca="1" si="42"/>
        <v>0</v>
      </c>
      <c r="Z380" s="473"/>
      <c r="AB380" s="337"/>
      <c r="AC380" s="437"/>
      <c r="AD380" s="437"/>
      <c r="AE380" s="437"/>
      <c r="AF380" s="437"/>
      <c r="AG380" s="437"/>
      <c r="AH380" s="437"/>
      <c r="AI380" s="437"/>
      <c r="AJ380" s="437"/>
      <c r="AK380" s="437"/>
      <c r="AL380" s="437"/>
      <c r="AM380" s="338"/>
      <c r="AO380">
        <f ca="1">IF($A380="S",IF(BM!$I380=0,0,CHOOSE(MATCH(RegimeExecucao,{"Global","Unitário"},0),ROUND(ROUND(BM.MEDAcumulado,15-13*BM!$A$9)/100*BM!$I380,15-13*ORÇAMENTO!$AF$11),ROUND(ROUND(BM.MEDAcumulado,15-13*BM!$A$9)*ROUND(BM!$H380,15-13*ORÇAMENTO!$AF$10),15-13*ORÇAMENTO!$AF$11))),IF($A380=0,0,ROUND(SomaAgrupBM,15-13*ORÇAMENTO!$AF$11)))</f>
        <v>0</v>
      </c>
    </row>
    <row r="381" spans="1:41" ht="25.5" x14ac:dyDescent="0.2">
      <c r="A381" t="str">
        <f ca="1">ORÇAMENTO!C381</f>
        <v>S</v>
      </c>
      <c r="B381">
        <f ca="1">ORÇAMENTO!D381</f>
        <v>0</v>
      </c>
      <c r="C381" s="114" t="str">
        <f t="shared" ca="1" si="36"/>
        <v>F</v>
      </c>
      <c r="D381" s="117" t="str">
        <f ca="1">ORÇAMENTO!O381</f>
        <v>1.8.1.4.4.</v>
      </c>
      <c r="E381" s="163" t="str">
        <f t="shared" ca="1" si="37"/>
        <v xml:space="preserve">DISJUNTOR MOTOR, FAIXA DE AJUSTE: 4-6,3A, ICU: 50KA EM 380/400V - BASEADO EM </v>
      </c>
      <c r="F381" s="164" t="str">
        <f ca="1">IF(RegimeExecucao="Global","",ORÇAMENTO.Unidade)</f>
        <v>UN</v>
      </c>
      <c r="G381" s="122">
        <f ca="1">IF(RegimeExecucao="Global","",ORÇAMENTO!T381)</f>
        <v>1</v>
      </c>
      <c r="H381" s="122">
        <f ca="1">IF(RegimeExecucao="Global","",ORÇAMENTO!W381)</f>
        <v>348</v>
      </c>
      <c r="I381" s="125">
        <f ca="1">ORÇAMENTO!X381</f>
        <v>348</v>
      </c>
      <c r="J381" s="333" cm="1">
        <f t="array" aca="1" ref="J381" ca="1">_xlfn.SINGLE(IF($A381="S",IF(CAIXA.Modo,BM.AFAnterior,BM.MEDAnterior),IF(AND(_xlfn.SINGLE(RegimeExecucao)="Global",$I381&gt;0,COUNTIF($AB$13:$AM$13,BM.medicao-1)&gt;0),M381/$I381*100,0)))</f>
        <v>0</v>
      </c>
      <c r="K381" s="122">
        <f t="shared" ca="1" si="38"/>
        <v>0</v>
      </c>
      <c r="L381" s="334" cm="1">
        <f t="array" aca="1" ref="L381" ca="1">_xlfn.SINGLE(IF($A381="S",IF(CAIXA.Modo,BM.AFAcumulado,BM.MEDAcumulado),IF(AND(_xlfn.SINGLE(RegimeExecucao)="Global",$I381&gt;0,COUNTIF($AB$13:$AM$13,BM.medicao)&gt;0),O381/$I381*100,0)))</f>
        <v>0</v>
      </c>
      <c r="M381" s="335">
        <f ca="1">IF($A381="S",VTOTALBM,IF($A381=0,0,ROUND(SomaAgrupBM,15-13*ORÇAMENTO!$AF$11)))</f>
        <v>0</v>
      </c>
      <c r="N381" s="336">
        <f t="shared" ca="1" si="39"/>
        <v>0</v>
      </c>
      <c r="O381" s="125">
        <f ca="1">IF($A381="S",VTOTALBM,IF($A381=0,0,ROUND(SomaAgrupBM,15-13*ORÇAMENTO!$AF$11)))</f>
        <v>0</v>
      </c>
      <c r="Q381" s="337"/>
      <c r="R381" s="338"/>
      <c r="T381" s="117" t="str">
        <f t="shared" ca="1" si="40"/>
        <v/>
      </c>
      <c r="U381" s="163" t="str">
        <f t="shared" ca="1" si="41"/>
        <v/>
      </c>
      <c r="V381" s="164" t="str">
        <f ca="1">IF(AND($W381&gt;0,RegimeExecucao="Unitário"),$F381,"")</f>
        <v/>
      </c>
      <c r="W381" s="454">
        <f ca="1">IF($Y381&gt;0,CHOOSE(MATCH(RegimeExecucao,{"Unitário","Global"},0),IF($A381="S",$Y381/$X381,""),($Y381/$X381)*100),0)</f>
        <v>0</v>
      </c>
      <c r="X381" s="339" t="str">
        <f ca="1">IF($Y381&gt;0,CHOOSE(MATCH(RegimeExecucao,{"Unitário","Global"},0),IF($A381="S",ROUND($H381,ORÇAMENTO!$AF$10),""),ROUND($I381,ORÇAMENTO!$AF$11)),"")</f>
        <v/>
      </c>
      <c r="Y381" s="339">
        <f t="shared" ca="1" si="42"/>
        <v>0</v>
      </c>
      <c r="Z381" s="473"/>
      <c r="AB381" s="337"/>
      <c r="AC381" s="437"/>
      <c r="AD381" s="437"/>
      <c r="AE381" s="437"/>
      <c r="AF381" s="437"/>
      <c r="AG381" s="437"/>
      <c r="AH381" s="437"/>
      <c r="AI381" s="437"/>
      <c r="AJ381" s="437"/>
      <c r="AK381" s="437"/>
      <c r="AL381" s="437"/>
      <c r="AM381" s="338"/>
      <c r="AO381">
        <f ca="1">IF($A381="S",IF(BM!$I381=0,0,CHOOSE(MATCH(RegimeExecucao,{"Global","Unitário"},0),ROUND(ROUND(BM.MEDAcumulado,15-13*BM!$A$9)/100*BM!$I381,15-13*ORÇAMENTO!$AF$11),ROUND(ROUND(BM.MEDAcumulado,15-13*BM!$A$9)*ROUND(BM!$H381,15-13*ORÇAMENTO!$AF$10),15-13*ORÇAMENTO!$AF$11))),IF($A381=0,0,ROUND(SomaAgrupBM,15-13*ORÇAMENTO!$AF$11)))</f>
        <v>0</v>
      </c>
    </row>
    <row r="382" spans="1:41" ht="25.5" x14ac:dyDescent="0.2">
      <c r="A382" t="str">
        <f ca="1">ORÇAMENTO!C382</f>
        <v>S</v>
      </c>
      <c r="B382">
        <f ca="1">ORÇAMENTO!D382</f>
        <v>0</v>
      </c>
      <c r="C382" s="114" t="str">
        <f t="shared" ca="1" si="36"/>
        <v>F</v>
      </c>
      <c r="D382" s="117" t="str">
        <f ca="1">ORÇAMENTO!O382</f>
        <v>1.8.1.4.5.</v>
      </c>
      <c r="E382" s="163" t="str">
        <f t="shared" ca="1" si="37"/>
        <v>DISJUNTOR TRIPOLAR TIPO DIN, CORRENTE NOMINAL DE 10A - FORNECIMENTO E INSTALAÇÃO. AF_10/2020</v>
      </c>
      <c r="F382" s="164" t="str">
        <f ca="1">IF(RegimeExecucao="Global","",ORÇAMENTO.Unidade)</f>
        <v>UN</v>
      </c>
      <c r="G382" s="122">
        <f ca="1">IF(RegimeExecucao="Global","",ORÇAMENTO!T382)</f>
        <v>1</v>
      </c>
      <c r="H382" s="122">
        <f ca="1">IF(RegimeExecucao="Global","",ORÇAMENTO!W382)</f>
        <v>109.75</v>
      </c>
      <c r="I382" s="125">
        <f ca="1">ORÇAMENTO!X382</f>
        <v>109.75</v>
      </c>
      <c r="J382" s="333" cm="1">
        <f t="array" aca="1" ref="J382" ca="1">_xlfn.SINGLE(IF($A382="S",IF(CAIXA.Modo,BM.AFAnterior,BM.MEDAnterior),IF(AND(_xlfn.SINGLE(RegimeExecucao)="Global",$I382&gt;0,COUNTIF($AB$13:$AM$13,BM.medicao-1)&gt;0),M382/$I382*100,0)))</f>
        <v>0</v>
      </c>
      <c r="K382" s="122">
        <f t="shared" ca="1" si="38"/>
        <v>0</v>
      </c>
      <c r="L382" s="334" cm="1">
        <f t="array" aca="1" ref="L382" ca="1">_xlfn.SINGLE(IF($A382="S",IF(CAIXA.Modo,BM.AFAcumulado,BM.MEDAcumulado),IF(AND(_xlfn.SINGLE(RegimeExecucao)="Global",$I382&gt;0,COUNTIF($AB$13:$AM$13,BM.medicao)&gt;0),O382/$I382*100,0)))</f>
        <v>0</v>
      </c>
      <c r="M382" s="335">
        <f ca="1">IF($A382="S",VTOTALBM,IF($A382=0,0,ROUND(SomaAgrupBM,15-13*ORÇAMENTO!$AF$11)))</f>
        <v>0</v>
      </c>
      <c r="N382" s="336">
        <f t="shared" ca="1" si="39"/>
        <v>0</v>
      </c>
      <c r="O382" s="125">
        <f ca="1">IF($A382="S",VTOTALBM,IF($A382=0,0,ROUND(SomaAgrupBM,15-13*ORÇAMENTO!$AF$11)))</f>
        <v>0</v>
      </c>
      <c r="Q382" s="337"/>
      <c r="R382" s="338"/>
      <c r="T382" s="117" t="str">
        <f t="shared" ca="1" si="40"/>
        <v/>
      </c>
      <c r="U382" s="163" t="str">
        <f t="shared" ca="1" si="41"/>
        <v/>
      </c>
      <c r="V382" s="164" t="str">
        <f ca="1">IF(AND($W382&gt;0,RegimeExecucao="Unitário"),$F382,"")</f>
        <v/>
      </c>
      <c r="W382" s="454">
        <f ca="1">IF($Y382&gt;0,CHOOSE(MATCH(RegimeExecucao,{"Unitário","Global"},0),IF($A382="S",$Y382/$X382,""),($Y382/$X382)*100),0)</f>
        <v>0</v>
      </c>
      <c r="X382" s="339" t="str">
        <f ca="1">IF($Y382&gt;0,CHOOSE(MATCH(RegimeExecucao,{"Unitário","Global"},0),IF($A382="S",ROUND($H382,ORÇAMENTO!$AF$10),""),ROUND($I382,ORÇAMENTO!$AF$11)),"")</f>
        <v/>
      </c>
      <c r="Y382" s="339">
        <f t="shared" ca="1" si="42"/>
        <v>0</v>
      </c>
      <c r="Z382" s="473"/>
      <c r="AB382" s="337"/>
      <c r="AC382" s="437"/>
      <c r="AD382" s="437"/>
      <c r="AE382" s="437"/>
      <c r="AF382" s="437"/>
      <c r="AG382" s="437"/>
      <c r="AH382" s="437"/>
      <c r="AI382" s="437"/>
      <c r="AJ382" s="437"/>
      <c r="AK382" s="437"/>
      <c r="AL382" s="437"/>
      <c r="AM382" s="338"/>
      <c r="AO382">
        <f ca="1">IF($A382="S",IF(BM!$I382=0,0,CHOOSE(MATCH(RegimeExecucao,{"Global","Unitário"},0),ROUND(ROUND(BM.MEDAcumulado,15-13*BM!$A$9)/100*BM!$I382,15-13*ORÇAMENTO!$AF$11),ROUND(ROUND(BM.MEDAcumulado,15-13*BM!$A$9)*ROUND(BM!$H382,15-13*ORÇAMENTO!$AF$10),15-13*ORÇAMENTO!$AF$11))),IF($A382=0,0,ROUND(SomaAgrupBM,15-13*ORÇAMENTO!$AF$11)))</f>
        <v>0</v>
      </c>
    </row>
    <row r="383" spans="1:41" ht="25.5" x14ac:dyDescent="0.2">
      <c r="A383" t="str">
        <f ca="1">ORÇAMENTO!C383</f>
        <v>S</v>
      </c>
      <c r="B383">
        <f ca="1">ORÇAMENTO!D383</f>
        <v>0</v>
      </c>
      <c r="C383" s="114" t="str">
        <f t="shared" ca="1" si="36"/>
        <v>F</v>
      </c>
      <c r="D383" s="117" t="str">
        <f ca="1">ORÇAMENTO!O383</f>
        <v>1.8.1.4.6.</v>
      </c>
      <c r="E383" s="163" t="str">
        <f t="shared" ca="1" si="37"/>
        <v>AUTOTRANSFORMADOR TRIFÁSICO 1.01kVA E/S 220/440V 60Hz IP00, FORNECIMENTO E INSTALAÇÃO - BASEADO EM SIURB (9014034)</v>
      </c>
      <c r="F383" s="164" t="str">
        <f ca="1">IF(RegimeExecucao="Global","",ORÇAMENTO.Unidade)</f>
        <v>UN</v>
      </c>
      <c r="G383" s="122">
        <f ca="1">IF(RegimeExecucao="Global","",ORÇAMENTO!T383)</f>
        <v>1</v>
      </c>
      <c r="H383" s="122">
        <f ca="1">IF(RegimeExecucao="Global","",ORÇAMENTO!W383)</f>
        <v>750.23</v>
      </c>
      <c r="I383" s="125">
        <f ca="1">ORÇAMENTO!X383</f>
        <v>750.23</v>
      </c>
      <c r="J383" s="333" cm="1">
        <f t="array" aca="1" ref="J383" ca="1">_xlfn.SINGLE(IF($A383="S",IF(CAIXA.Modo,BM.AFAnterior,BM.MEDAnterior),IF(AND(_xlfn.SINGLE(RegimeExecucao)="Global",$I383&gt;0,COUNTIF($AB$13:$AM$13,BM.medicao-1)&gt;0),M383/$I383*100,0)))</f>
        <v>0</v>
      </c>
      <c r="K383" s="122">
        <f t="shared" ca="1" si="38"/>
        <v>0</v>
      </c>
      <c r="L383" s="334" cm="1">
        <f t="array" aca="1" ref="L383" ca="1">_xlfn.SINGLE(IF($A383="S",IF(CAIXA.Modo,BM.AFAcumulado,BM.MEDAcumulado),IF(AND(_xlfn.SINGLE(RegimeExecucao)="Global",$I383&gt;0,COUNTIF($AB$13:$AM$13,BM.medicao)&gt;0),O383/$I383*100,0)))</f>
        <v>0</v>
      </c>
      <c r="M383" s="335">
        <f ca="1">IF($A383="S",VTOTALBM,IF($A383=0,0,ROUND(SomaAgrupBM,15-13*ORÇAMENTO!$AF$11)))</f>
        <v>0</v>
      </c>
      <c r="N383" s="336">
        <f t="shared" ca="1" si="39"/>
        <v>0</v>
      </c>
      <c r="O383" s="125">
        <f ca="1">IF($A383="S",VTOTALBM,IF($A383=0,0,ROUND(SomaAgrupBM,15-13*ORÇAMENTO!$AF$11)))</f>
        <v>0</v>
      </c>
      <c r="Q383" s="337"/>
      <c r="R383" s="338"/>
      <c r="T383" s="117" t="str">
        <f t="shared" ca="1" si="40"/>
        <v/>
      </c>
      <c r="U383" s="163" t="str">
        <f t="shared" ca="1" si="41"/>
        <v/>
      </c>
      <c r="V383" s="164" t="str">
        <f ca="1">IF(AND($W383&gt;0,RegimeExecucao="Unitário"),$F383,"")</f>
        <v/>
      </c>
      <c r="W383" s="454">
        <f ca="1">IF($Y383&gt;0,CHOOSE(MATCH(RegimeExecucao,{"Unitário","Global"},0),IF($A383="S",$Y383/$X383,""),($Y383/$X383)*100),0)</f>
        <v>0</v>
      </c>
      <c r="X383" s="339" t="str">
        <f ca="1">IF($Y383&gt;0,CHOOSE(MATCH(RegimeExecucao,{"Unitário","Global"},0),IF($A383="S",ROUND($H383,ORÇAMENTO!$AF$10),""),ROUND($I383,ORÇAMENTO!$AF$11)),"")</f>
        <v/>
      </c>
      <c r="Y383" s="339">
        <f t="shared" ca="1" si="42"/>
        <v>0</v>
      </c>
      <c r="Z383" s="473"/>
      <c r="AB383" s="337"/>
      <c r="AC383" s="437"/>
      <c r="AD383" s="437"/>
      <c r="AE383" s="437"/>
      <c r="AF383" s="437"/>
      <c r="AG383" s="437"/>
      <c r="AH383" s="437"/>
      <c r="AI383" s="437"/>
      <c r="AJ383" s="437"/>
      <c r="AK383" s="437"/>
      <c r="AL383" s="437"/>
      <c r="AM383" s="338"/>
      <c r="AO383">
        <f ca="1">IF($A383="S",IF(BM!$I383=0,0,CHOOSE(MATCH(RegimeExecucao,{"Global","Unitário"},0),ROUND(ROUND(BM.MEDAcumulado,15-13*BM!$A$9)/100*BM!$I383,15-13*ORÇAMENTO!$AF$11),ROUND(ROUND(BM.MEDAcumulado,15-13*BM!$A$9)*ROUND(BM!$H383,15-13*ORÇAMENTO!$AF$10),15-13*ORÇAMENTO!$AF$11))),IF($A383=0,0,ROUND(SomaAgrupBM,15-13*ORÇAMENTO!$AF$11)))</f>
        <v>0</v>
      </c>
    </row>
    <row r="384" spans="1:41" x14ac:dyDescent="0.2">
      <c r="A384">
        <f ca="1">ORÇAMENTO!C384</f>
        <v>3</v>
      </c>
      <c r="B384">
        <f ca="1">ORÇAMENTO!D384</f>
        <v>57</v>
      </c>
      <c r="C384" s="114" t="str">
        <f t="shared" ca="1" si="36"/>
        <v>F</v>
      </c>
      <c r="D384" s="117" t="str">
        <f ca="1">ORÇAMENTO!O384</f>
        <v>1.8.2.</v>
      </c>
      <c r="E384" s="163" t="str">
        <f t="shared" si="37"/>
        <v>INSTALAÇÕES ELÉTRICAS - FASE II</v>
      </c>
      <c r="F384" s="164" t="str">
        <f ca="1">IF(RegimeExecucao="Global","",ORÇAMENTO.Unidade)</f>
        <v>-</v>
      </c>
      <c r="G384" s="122">
        <f ca="1">IF(RegimeExecucao="Global","",ORÇAMENTO!T384)</f>
        <v>0</v>
      </c>
      <c r="H384" s="122">
        <f ca="1">IF(RegimeExecucao="Global","",ORÇAMENTO!W384)</f>
        <v>0</v>
      </c>
      <c r="I384" s="125">
        <f ca="1">ORÇAMENTO!X384</f>
        <v>631549.29</v>
      </c>
      <c r="J384" s="333" cm="1">
        <f t="array" aca="1" ref="J384" ca="1">_xlfn.SINGLE(IF($A384="S",IF(CAIXA.Modo,BM.AFAnterior,BM.MEDAnterior),IF(AND(_xlfn.SINGLE(RegimeExecucao)="Global",$I384&gt;0,COUNTIF($AB$13:$AM$13,BM.medicao-1)&gt;0),M384/$I384*100,0)))</f>
        <v>0</v>
      </c>
      <c r="K384" s="122">
        <f t="shared" ca="1" si="38"/>
        <v>0</v>
      </c>
      <c r="L384" s="334" cm="1">
        <f t="array" aca="1" ref="L384" ca="1">_xlfn.SINGLE(IF($A384="S",IF(CAIXA.Modo,BM.AFAcumulado,BM.MEDAcumulado),IF(AND(_xlfn.SINGLE(RegimeExecucao)="Global",$I384&gt;0,COUNTIF($AB$13:$AM$13,BM.medicao)&gt;0),O384/$I384*100,0)))</f>
        <v>0</v>
      </c>
      <c r="M384" s="335">
        <f ca="1">IF($A384="S",VTOTALBM,IF($A384=0,0,ROUND(SomaAgrupBM,15-13*ORÇAMENTO!$AF$11)))</f>
        <v>0</v>
      </c>
      <c r="N384" s="336">
        <f t="shared" ca="1" si="39"/>
        <v>0</v>
      </c>
      <c r="O384" s="125">
        <f ca="1">IF($A384="S",VTOTALBM,IF($A384=0,0,ROUND(SomaAgrupBM,15-13*ORÇAMENTO!$AF$11)))</f>
        <v>0</v>
      </c>
      <c r="Q384" s="337"/>
      <c r="R384" s="338"/>
      <c r="T384" s="117" t="str">
        <f t="shared" ca="1" si="40"/>
        <v/>
      </c>
      <c r="U384" s="163" t="str">
        <f t="shared" ca="1" si="41"/>
        <v/>
      </c>
      <c r="V384" s="164" t="str">
        <f ca="1">IF(AND($W384&gt;0,RegimeExecucao="Unitário"),$F384,"")</f>
        <v/>
      </c>
      <c r="W384" s="454">
        <f ca="1">IF($Y384&gt;0,CHOOSE(MATCH(RegimeExecucao,{"Unitário","Global"},0),IF($A384="S",$Y384/$X384,""),($Y384/$X384)*100),0)</f>
        <v>0</v>
      </c>
      <c r="X384" s="339" t="str">
        <f ca="1">IF($Y384&gt;0,CHOOSE(MATCH(RegimeExecucao,{"Unitário","Global"},0),IF($A384="S",ROUND($H384,ORÇAMENTO!$AF$10),""),ROUND($I384,ORÇAMENTO!$AF$11)),"")</f>
        <v/>
      </c>
      <c r="Y384" s="339">
        <f t="shared" ca="1" si="42"/>
        <v>0</v>
      </c>
      <c r="Z384" s="473"/>
      <c r="AB384" s="337"/>
      <c r="AC384" s="437"/>
      <c r="AD384" s="437"/>
      <c r="AE384" s="437"/>
      <c r="AF384" s="437"/>
      <c r="AG384" s="437"/>
      <c r="AH384" s="437"/>
      <c r="AI384" s="437"/>
      <c r="AJ384" s="437"/>
      <c r="AK384" s="437"/>
      <c r="AL384" s="437"/>
      <c r="AM384" s="338"/>
      <c r="AO384">
        <f ca="1">IF($A384="S",IF(BM!$I384=0,0,CHOOSE(MATCH(RegimeExecucao,{"Global","Unitário"},0),ROUND(ROUND(BM.MEDAcumulado,15-13*BM!$A$9)/100*BM!$I384,15-13*ORÇAMENTO!$AF$11),ROUND(ROUND(BM.MEDAcumulado,15-13*BM!$A$9)*ROUND(BM!$H384,15-13*ORÇAMENTO!$AF$10),15-13*ORÇAMENTO!$AF$11))),IF($A384=0,0,ROUND(SomaAgrupBM,15-13*ORÇAMENTO!$AF$11)))</f>
        <v>0</v>
      </c>
    </row>
    <row r="385" spans="1:41" x14ac:dyDescent="0.2">
      <c r="A385">
        <f ca="1">ORÇAMENTO!C385</f>
        <v>4</v>
      </c>
      <c r="B385">
        <f ca="1">ORÇAMENTO!D385</f>
        <v>10</v>
      </c>
      <c r="C385" s="114" t="str">
        <f t="shared" ca="1" si="36"/>
        <v>F</v>
      </c>
      <c r="D385" s="117" t="str">
        <f ca="1">ORÇAMENTO!O385</f>
        <v>1.8.2.1.</v>
      </c>
      <c r="E385" s="163" t="str">
        <f t="shared" si="37"/>
        <v>INFRAESTRUTURA</v>
      </c>
      <c r="F385" s="164" t="str">
        <f ca="1">IF(RegimeExecucao="Global","",ORÇAMENTO.Unidade)</f>
        <v>-</v>
      </c>
      <c r="G385" s="122">
        <f ca="1">IF(RegimeExecucao="Global","",ORÇAMENTO!T385)</f>
        <v>0</v>
      </c>
      <c r="H385" s="122">
        <f ca="1">IF(RegimeExecucao="Global","",ORÇAMENTO!W385)</f>
        <v>0</v>
      </c>
      <c r="I385" s="125">
        <f ca="1">ORÇAMENTO!X385</f>
        <v>20895.900000000001</v>
      </c>
      <c r="J385" s="333" cm="1">
        <f t="array" aca="1" ref="J385" ca="1">_xlfn.SINGLE(IF($A385="S",IF(CAIXA.Modo,BM.AFAnterior,BM.MEDAnterior),IF(AND(_xlfn.SINGLE(RegimeExecucao)="Global",$I385&gt;0,COUNTIF($AB$13:$AM$13,BM.medicao-1)&gt;0),M385/$I385*100,0)))</f>
        <v>0</v>
      </c>
      <c r="K385" s="122">
        <f t="shared" ca="1" si="38"/>
        <v>0</v>
      </c>
      <c r="L385" s="334" cm="1">
        <f t="array" aca="1" ref="L385" ca="1">_xlfn.SINGLE(IF($A385="S",IF(CAIXA.Modo,BM.AFAcumulado,BM.MEDAcumulado),IF(AND(_xlfn.SINGLE(RegimeExecucao)="Global",$I385&gt;0,COUNTIF($AB$13:$AM$13,BM.medicao)&gt;0),O385/$I385*100,0)))</f>
        <v>0</v>
      </c>
      <c r="M385" s="335">
        <f ca="1">IF($A385="S",VTOTALBM,IF($A385=0,0,ROUND(SomaAgrupBM,15-13*ORÇAMENTO!$AF$11)))</f>
        <v>0</v>
      </c>
      <c r="N385" s="336">
        <f t="shared" ca="1" si="39"/>
        <v>0</v>
      </c>
      <c r="O385" s="125">
        <f ca="1">IF($A385="S",VTOTALBM,IF($A385=0,0,ROUND(SomaAgrupBM,15-13*ORÇAMENTO!$AF$11)))</f>
        <v>0</v>
      </c>
      <c r="Q385" s="337"/>
      <c r="R385" s="338"/>
      <c r="T385" s="117" t="str">
        <f t="shared" ca="1" si="40"/>
        <v/>
      </c>
      <c r="U385" s="163" t="str">
        <f t="shared" ca="1" si="41"/>
        <v/>
      </c>
      <c r="V385" s="164" t="str">
        <f ca="1">IF(AND($W385&gt;0,RegimeExecucao="Unitário"),$F385,"")</f>
        <v/>
      </c>
      <c r="W385" s="454">
        <f ca="1">IF($Y385&gt;0,CHOOSE(MATCH(RegimeExecucao,{"Unitário","Global"},0),IF($A385="S",$Y385/$X385,""),($Y385/$X385)*100),0)</f>
        <v>0</v>
      </c>
      <c r="X385" s="339" t="str">
        <f ca="1">IF($Y385&gt;0,CHOOSE(MATCH(RegimeExecucao,{"Unitário","Global"},0),IF($A385="S",ROUND($H385,ORÇAMENTO!$AF$10),""),ROUND($I385,ORÇAMENTO!$AF$11)),"")</f>
        <v/>
      </c>
      <c r="Y385" s="339">
        <f t="shared" ca="1" si="42"/>
        <v>0</v>
      </c>
      <c r="Z385" s="473"/>
      <c r="AB385" s="337"/>
      <c r="AC385" s="437"/>
      <c r="AD385" s="437"/>
      <c r="AE385" s="437"/>
      <c r="AF385" s="437"/>
      <c r="AG385" s="437"/>
      <c r="AH385" s="437"/>
      <c r="AI385" s="437"/>
      <c r="AJ385" s="437"/>
      <c r="AK385" s="437"/>
      <c r="AL385" s="437"/>
      <c r="AM385" s="338"/>
      <c r="AO385">
        <f ca="1">IF($A385="S",IF(BM!$I385=0,0,CHOOSE(MATCH(RegimeExecucao,{"Global","Unitário"},0),ROUND(ROUND(BM.MEDAcumulado,15-13*BM!$A$9)/100*BM!$I385,15-13*ORÇAMENTO!$AF$11),ROUND(ROUND(BM.MEDAcumulado,15-13*BM!$A$9)*ROUND(BM!$H385,15-13*ORÇAMENTO!$AF$10),15-13*ORÇAMENTO!$AF$11))),IF($A385=0,0,ROUND(SomaAgrupBM,15-13*ORÇAMENTO!$AF$11)))</f>
        <v>0</v>
      </c>
    </row>
    <row r="386" spans="1:41" ht="63.75" x14ac:dyDescent="0.2">
      <c r="A386" t="str">
        <f ca="1">ORÇAMENTO!C386</f>
        <v>S</v>
      </c>
      <c r="B386">
        <f ca="1">ORÇAMENTO!D386</f>
        <v>0</v>
      </c>
      <c r="C386" s="114" t="str">
        <f t="shared" ca="1" si="36"/>
        <v>F</v>
      </c>
      <c r="D386" s="117" t="str">
        <f ca="1">ORÇAMENTO!O386</f>
        <v>1.8.2.1.1.</v>
      </c>
      <c r="E386" s="163" t="str">
        <f t="shared" ca="1" si="37"/>
        <v>CAIXA DE ESGOTO DE INSPEÇÃO/PASSAGEM EM ALVENARIA (30X30X30CM), REVESTIMENTO EM ARGAMASSA COM ADITIVO IMPERMEABILIZANTE, COM TAMPA DE CONCRETO, INCLUSIVE ESCAVAÇÃO, REATERRO E TRANSPORTE COM RETIRADA DO MATERIAL ESCAVADO (EM CAÇAMBA)</v>
      </c>
      <c r="F386" s="164" t="str">
        <f ca="1">IF(RegimeExecucao="Global","",ORÇAMENTO.Unidade)</f>
        <v>UN</v>
      </c>
      <c r="G386" s="122">
        <f ca="1">IF(RegimeExecucao="Global","",ORÇAMENTO!T386)</f>
        <v>18</v>
      </c>
      <c r="H386" s="122">
        <f ca="1">IF(RegimeExecucao="Global","",ORÇAMENTO!W386)</f>
        <v>221.16</v>
      </c>
      <c r="I386" s="125">
        <f ca="1">ORÇAMENTO!X386</f>
        <v>3980.88</v>
      </c>
      <c r="J386" s="333" cm="1">
        <f t="array" aca="1" ref="J386" ca="1">_xlfn.SINGLE(IF($A386="S",IF(CAIXA.Modo,BM.AFAnterior,BM.MEDAnterior),IF(AND(_xlfn.SINGLE(RegimeExecucao)="Global",$I386&gt;0,COUNTIF($AB$13:$AM$13,BM.medicao-1)&gt;0),M386/$I386*100,0)))</f>
        <v>0</v>
      </c>
      <c r="K386" s="122">
        <f t="shared" ca="1" si="38"/>
        <v>0</v>
      </c>
      <c r="L386" s="334" cm="1">
        <f t="array" aca="1" ref="L386" ca="1">_xlfn.SINGLE(IF($A386="S",IF(CAIXA.Modo,BM.AFAcumulado,BM.MEDAcumulado),IF(AND(_xlfn.SINGLE(RegimeExecucao)="Global",$I386&gt;0,COUNTIF($AB$13:$AM$13,BM.medicao)&gt;0),O386/$I386*100,0)))</f>
        <v>0</v>
      </c>
      <c r="M386" s="335">
        <f ca="1">IF($A386="S",VTOTALBM,IF($A386=0,0,ROUND(SomaAgrupBM,15-13*ORÇAMENTO!$AF$11)))</f>
        <v>0</v>
      </c>
      <c r="N386" s="336">
        <f t="shared" ca="1" si="39"/>
        <v>0</v>
      </c>
      <c r="O386" s="125">
        <f ca="1">IF($A386="S",VTOTALBM,IF($A386=0,0,ROUND(SomaAgrupBM,15-13*ORÇAMENTO!$AF$11)))</f>
        <v>0</v>
      </c>
      <c r="Q386" s="337"/>
      <c r="R386" s="338"/>
      <c r="T386" s="117" t="str">
        <f t="shared" ca="1" si="40"/>
        <v/>
      </c>
      <c r="U386" s="163" t="str">
        <f t="shared" ca="1" si="41"/>
        <v/>
      </c>
      <c r="V386" s="164" t="str">
        <f ca="1">IF(AND($W386&gt;0,RegimeExecucao="Unitário"),$F386,"")</f>
        <v/>
      </c>
      <c r="W386" s="454">
        <f ca="1">IF($Y386&gt;0,CHOOSE(MATCH(RegimeExecucao,{"Unitário","Global"},0),IF($A386="S",$Y386/$X386,""),($Y386/$X386)*100),0)</f>
        <v>0</v>
      </c>
      <c r="X386" s="339" t="str">
        <f ca="1">IF($Y386&gt;0,CHOOSE(MATCH(RegimeExecucao,{"Unitário","Global"},0),IF($A386="S",ROUND($H386,ORÇAMENTO!$AF$10),""),ROUND($I386,ORÇAMENTO!$AF$11)),"")</f>
        <v/>
      </c>
      <c r="Y386" s="339">
        <f t="shared" ca="1" si="42"/>
        <v>0</v>
      </c>
      <c r="Z386" s="473"/>
      <c r="AB386" s="337"/>
      <c r="AC386" s="437"/>
      <c r="AD386" s="437"/>
      <c r="AE386" s="437"/>
      <c r="AF386" s="437"/>
      <c r="AG386" s="437"/>
      <c r="AH386" s="437"/>
      <c r="AI386" s="437"/>
      <c r="AJ386" s="437"/>
      <c r="AK386" s="437"/>
      <c r="AL386" s="437"/>
      <c r="AM386" s="338"/>
      <c r="AO386">
        <f ca="1">IF($A386="S",IF(BM!$I386=0,0,CHOOSE(MATCH(RegimeExecucao,{"Global","Unitário"},0),ROUND(ROUND(BM.MEDAcumulado,15-13*BM!$A$9)/100*BM!$I386,15-13*ORÇAMENTO!$AF$11),ROUND(ROUND(BM.MEDAcumulado,15-13*BM!$A$9)*ROUND(BM!$H386,15-13*ORÇAMENTO!$AF$10),15-13*ORÇAMENTO!$AF$11))),IF($A386=0,0,ROUND(SomaAgrupBM,15-13*ORÇAMENTO!$AF$11)))</f>
        <v>0</v>
      </c>
    </row>
    <row r="387" spans="1:41" ht="63.75" x14ac:dyDescent="0.2">
      <c r="A387" t="str">
        <f ca="1">ORÇAMENTO!C387</f>
        <v>S</v>
      </c>
      <c r="B387">
        <f ca="1">ORÇAMENTO!D387</f>
        <v>0</v>
      </c>
      <c r="C387" s="114" t="str">
        <f t="shared" ca="1" si="36"/>
        <v>F</v>
      </c>
      <c r="D387" s="117" t="str">
        <f ca="1">ORÇAMENTO!O387</f>
        <v>1.8.2.1.2.</v>
      </c>
      <c r="E387" s="163" t="str">
        <f t="shared" ca="1" si="37"/>
        <v>CAIXA DE DRENAGEM DE INSPEÇÃO/PASSAGEM EM ALVENARIA (30X30X30CM), REVESTIMENTO EM ARGAMASSA COM ADITIVO IMPERMEABILIZANTE, COM TAMPA EM GRELHA, INCLUSIVE ESCAVAÇÃO, REATERRO E TRANSPORTE COM RETIRADA DO MATERIAL ESCAVADO (EM CAÇAMBA)</v>
      </c>
      <c r="F387" s="164" t="str">
        <f ca="1">IF(RegimeExecucao="Global","",ORÇAMENTO.Unidade)</f>
        <v>UN</v>
      </c>
      <c r="G387" s="122">
        <f ca="1">IF(RegimeExecucao="Global","",ORÇAMENTO!T387)</f>
        <v>4</v>
      </c>
      <c r="H387" s="122">
        <f ca="1">IF(RegimeExecucao="Global","",ORÇAMENTO!W387)</f>
        <v>317.85000000000002</v>
      </c>
      <c r="I387" s="125">
        <f ca="1">ORÇAMENTO!X387</f>
        <v>1271.4000000000001</v>
      </c>
      <c r="J387" s="333" cm="1">
        <f t="array" aca="1" ref="J387" ca="1">_xlfn.SINGLE(IF($A387="S",IF(CAIXA.Modo,BM.AFAnterior,BM.MEDAnterior),IF(AND(_xlfn.SINGLE(RegimeExecucao)="Global",$I387&gt;0,COUNTIF($AB$13:$AM$13,BM.medicao-1)&gt;0),M387/$I387*100,0)))</f>
        <v>0</v>
      </c>
      <c r="K387" s="122">
        <f t="shared" ca="1" si="38"/>
        <v>0</v>
      </c>
      <c r="L387" s="334" cm="1">
        <f t="array" aca="1" ref="L387" ca="1">_xlfn.SINGLE(IF($A387="S",IF(CAIXA.Modo,BM.AFAcumulado,BM.MEDAcumulado),IF(AND(_xlfn.SINGLE(RegimeExecucao)="Global",$I387&gt;0,COUNTIF($AB$13:$AM$13,BM.medicao)&gt;0),O387/$I387*100,0)))</f>
        <v>0</v>
      </c>
      <c r="M387" s="335">
        <f ca="1">IF($A387="S",VTOTALBM,IF($A387=0,0,ROUND(SomaAgrupBM,15-13*ORÇAMENTO!$AF$11)))</f>
        <v>0</v>
      </c>
      <c r="N387" s="336">
        <f t="shared" ca="1" si="39"/>
        <v>0</v>
      </c>
      <c r="O387" s="125">
        <f ca="1">IF($A387="S",VTOTALBM,IF($A387=0,0,ROUND(SomaAgrupBM,15-13*ORÇAMENTO!$AF$11)))</f>
        <v>0</v>
      </c>
      <c r="Q387" s="337"/>
      <c r="R387" s="338"/>
      <c r="T387" s="117" t="str">
        <f t="shared" ca="1" si="40"/>
        <v/>
      </c>
      <c r="U387" s="163" t="str">
        <f t="shared" ca="1" si="41"/>
        <v/>
      </c>
      <c r="V387" s="164" t="str">
        <f ca="1">IF(AND($W387&gt;0,RegimeExecucao="Unitário"),$F387,"")</f>
        <v/>
      </c>
      <c r="W387" s="454">
        <f ca="1">IF($Y387&gt;0,CHOOSE(MATCH(RegimeExecucao,{"Unitário","Global"},0),IF($A387="S",$Y387/$X387,""),($Y387/$X387)*100),0)</f>
        <v>0</v>
      </c>
      <c r="X387" s="339" t="str">
        <f ca="1">IF($Y387&gt;0,CHOOSE(MATCH(RegimeExecucao,{"Unitário","Global"},0),IF($A387="S",ROUND($H387,ORÇAMENTO!$AF$10),""),ROUND($I387,ORÇAMENTO!$AF$11)),"")</f>
        <v/>
      </c>
      <c r="Y387" s="339">
        <f t="shared" ca="1" si="42"/>
        <v>0</v>
      </c>
      <c r="Z387" s="473"/>
      <c r="AB387" s="337"/>
      <c r="AC387" s="437"/>
      <c r="AD387" s="437"/>
      <c r="AE387" s="437"/>
      <c r="AF387" s="437"/>
      <c r="AG387" s="437"/>
      <c r="AH387" s="437"/>
      <c r="AI387" s="437"/>
      <c r="AJ387" s="437"/>
      <c r="AK387" s="437"/>
      <c r="AL387" s="437"/>
      <c r="AM387" s="338"/>
      <c r="AO387">
        <f ca="1">IF($A387="S",IF(BM!$I387=0,0,CHOOSE(MATCH(RegimeExecucao,{"Global","Unitário"},0),ROUND(ROUND(BM.MEDAcumulado,15-13*BM!$A$9)/100*BM!$I387,15-13*ORÇAMENTO!$AF$11),ROUND(ROUND(BM.MEDAcumulado,15-13*BM!$A$9)*ROUND(BM!$H387,15-13*ORÇAMENTO!$AF$10),15-13*ORÇAMENTO!$AF$11))),IF($A387=0,0,ROUND(SomaAgrupBM,15-13*ORÇAMENTO!$AF$11)))</f>
        <v>0</v>
      </c>
    </row>
    <row r="388" spans="1:41" ht="25.5" x14ac:dyDescent="0.2">
      <c r="A388" t="str">
        <f ca="1">ORÇAMENTO!C388</f>
        <v>S</v>
      </c>
      <c r="B388">
        <f ca="1">ORÇAMENTO!D388</f>
        <v>0</v>
      </c>
      <c r="C388" s="114" t="str">
        <f t="shared" ca="1" si="36"/>
        <v>F</v>
      </c>
      <c r="D388" s="117" t="str">
        <f ca="1">ORÇAMENTO!O388</f>
        <v>1.8.2.1.3.</v>
      </c>
      <c r="E388" s="163" t="str">
        <f t="shared" ca="1" si="37"/>
        <v>CAIXA PRÉ MOLDADA PARA ATERRAMENTO COM TAMPA DE CONCRETO 25 X 25 X 50 CM, INCLUSIVE ESCAVAÇÃO E BOTA FORA</v>
      </c>
      <c r="F388" s="164" t="str">
        <f ca="1">IF(RegimeExecucao="Global","",ORÇAMENTO.Unidade)</f>
        <v>UN</v>
      </c>
      <c r="G388" s="122">
        <f ca="1">IF(RegimeExecucao="Global","",ORÇAMENTO!T388)</f>
        <v>7</v>
      </c>
      <c r="H388" s="122">
        <f ca="1">IF(RegimeExecucao="Global","",ORÇAMENTO!W388)</f>
        <v>171.04</v>
      </c>
      <c r="I388" s="125">
        <f ca="1">ORÇAMENTO!X388</f>
        <v>1197.28</v>
      </c>
      <c r="J388" s="333" cm="1">
        <f t="array" aca="1" ref="J388" ca="1">_xlfn.SINGLE(IF($A388="S",IF(CAIXA.Modo,BM.AFAnterior,BM.MEDAnterior),IF(AND(_xlfn.SINGLE(RegimeExecucao)="Global",$I388&gt;0,COUNTIF($AB$13:$AM$13,BM.medicao-1)&gt;0),M388/$I388*100,0)))</f>
        <v>0</v>
      </c>
      <c r="K388" s="122">
        <f t="shared" ca="1" si="38"/>
        <v>0</v>
      </c>
      <c r="L388" s="334" cm="1">
        <f t="array" aca="1" ref="L388" ca="1">_xlfn.SINGLE(IF($A388="S",IF(CAIXA.Modo,BM.AFAcumulado,BM.MEDAcumulado),IF(AND(_xlfn.SINGLE(RegimeExecucao)="Global",$I388&gt;0,COUNTIF($AB$13:$AM$13,BM.medicao)&gt;0),O388/$I388*100,0)))</f>
        <v>0</v>
      </c>
      <c r="M388" s="335">
        <f ca="1">IF($A388="S",VTOTALBM,IF($A388=0,0,ROUND(SomaAgrupBM,15-13*ORÇAMENTO!$AF$11)))</f>
        <v>0</v>
      </c>
      <c r="N388" s="336">
        <f t="shared" ca="1" si="39"/>
        <v>0</v>
      </c>
      <c r="O388" s="125">
        <f ca="1">IF($A388="S",VTOTALBM,IF($A388=0,0,ROUND(SomaAgrupBM,15-13*ORÇAMENTO!$AF$11)))</f>
        <v>0</v>
      </c>
      <c r="Q388" s="337"/>
      <c r="R388" s="338"/>
      <c r="T388" s="117" t="str">
        <f t="shared" ca="1" si="40"/>
        <v/>
      </c>
      <c r="U388" s="163" t="str">
        <f t="shared" ca="1" si="41"/>
        <v/>
      </c>
      <c r="V388" s="164" t="str">
        <f ca="1">IF(AND($W388&gt;0,RegimeExecucao="Unitário"),$F388,"")</f>
        <v/>
      </c>
      <c r="W388" s="454">
        <f ca="1">IF($Y388&gt;0,CHOOSE(MATCH(RegimeExecucao,{"Unitário","Global"},0),IF($A388="S",$Y388/$X388,""),($Y388/$X388)*100),0)</f>
        <v>0</v>
      </c>
      <c r="X388" s="339" t="str">
        <f ca="1">IF($Y388&gt;0,CHOOSE(MATCH(RegimeExecucao,{"Unitário","Global"},0),IF($A388="S",ROUND($H388,ORÇAMENTO!$AF$10),""),ROUND($I388,ORÇAMENTO!$AF$11)),"")</f>
        <v/>
      </c>
      <c r="Y388" s="339">
        <f t="shared" ca="1" si="42"/>
        <v>0</v>
      </c>
      <c r="Z388" s="473"/>
      <c r="AB388" s="337"/>
      <c r="AC388" s="437"/>
      <c r="AD388" s="437"/>
      <c r="AE388" s="437"/>
      <c r="AF388" s="437"/>
      <c r="AG388" s="437"/>
      <c r="AH388" s="437"/>
      <c r="AI388" s="437"/>
      <c r="AJ388" s="437"/>
      <c r="AK388" s="437"/>
      <c r="AL388" s="437"/>
      <c r="AM388" s="338"/>
      <c r="AO388">
        <f ca="1">IF($A388="S",IF(BM!$I388=0,0,CHOOSE(MATCH(RegimeExecucao,{"Global","Unitário"},0),ROUND(ROUND(BM.MEDAcumulado,15-13*BM!$A$9)/100*BM!$I388,15-13*ORÇAMENTO!$AF$11),ROUND(ROUND(BM.MEDAcumulado,15-13*BM!$A$9)*ROUND(BM!$H388,15-13*ORÇAMENTO!$AF$10),15-13*ORÇAMENTO!$AF$11))),IF($A388=0,0,ROUND(SomaAgrupBM,15-13*ORÇAMENTO!$AF$11)))</f>
        <v>0</v>
      </c>
    </row>
    <row r="389" spans="1:41" ht="38.25" x14ac:dyDescent="0.2">
      <c r="A389" t="str">
        <f ca="1">ORÇAMENTO!C389</f>
        <v>S</v>
      </c>
      <c r="B389">
        <f ca="1">ORÇAMENTO!D389</f>
        <v>0</v>
      </c>
      <c r="C389" s="114" t="str">
        <f t="shared" ca="1" si="36"/>
        <v>F</v>
      </c>
      <c r="D389" s="117" t="str">
        <f ca="1">ORÇAMENTO!O389</f>
        <v>1.8.2.1.4.</v>
      </c>
      <c r="E389" s="163" t="str">
        <f t="shared" ca="1" si="37"/>
        <v>CONDULETE DE ALUMÍNIO, TIPO X, PARA ELETRODUTO DE AÇO GALVANIZADO DN 25 MM (1''), APARENTE - FORNECIMENTO E INSTALAÇÃO. AF_10/2022</v>
      </c>
      <c r="F389" s="164" t="str">
        <f ca="1">IF(RegimeExecucao="Global","",ORÇAMENTO.Unidade)</f>
        <v>UN</v>
      </c>
      <c r="G389" s="122">
        <f ca="1">IF(RegimeExecucao="Global","",ORÇAMENTO!T389)</f>
        <v>3</v>
      </c>
      <c r="H389" s="122">
        <f ca="1">IF(RegimeExecucao="Global","",ORÇAMENTO!W389)</f>
        <v>73.28</v>
      </c>
      <c r="I389" s="125">
        <f ca="1">ORÇAMENTO!X389</f>
        <v>219.84</v>
      </c>
      <c r="J389" s="333" cm="1">
        <f t="array" aca="1" ref="J389" ca="1">_xlfn.SINGLE(IF($A389="S",IF(CAIXA.Modo,BM.AFAnterior,BM.MEDAnterior),IF(AND(_xlfn.SINGLE(RegimeExecucao)="Global",$I389&gt;0,COUNTIF($AB$13:$AM$13,BM.medicao-1)&gt;0),M389/$I389*100,0)))</f>
        <v>0</v>
      </c>
      <c r="K389" s="122">
        <f t="shared" ca="1" si="38"/>
        <v>0</v>
      </c>
      <c r="L389" s="334" cm="1">
        <f t="array" aca="1" ref="L389" ca="1">_xlfn.SINGLE(IF($A389="S",IF(CAIXA.Modo,BM.AFAcumulado,BM.MEDAcumulado),IF(AND(_xlfn.SINGLE(RegimeExecucao)="Global",$I389&gt;0,COUNTIF($AB$13:$AM$13,BM.medicao)&gt;0),O389/$I389*100,0)))</f>
        <v>0</v>
      </c>
      <c r="M389" s="335">
        <f ca="1">IF($A389="S",VTOTALBM,IF($A389=0,0,ROUND(SomaAgrupBM,15-13*ORÇAMENTO!$AF$11)))</f>
        <v>0</v>
      </c>
      <c r="N389" s="336">
        <f t="shared" ca="1" si="39"/>
        <v>0</v>
      </c>
      <c r="O389" s="125">
        <f ca="1">IF($A389="S",VTOTALBM,IF($A389=0,0,ROUND(SomaAgrupBM,15-13*ORÇAMENTO!$AF$11)))</f>
        <v>0</v>
      </c>
      <c r="Q389" s="337"/>
      <c r="R389" s="338"/>
      <c r="T389" s="117" t="str">
        <f t="shared" ca="1" si="40"/>
        <v/>
      </c>
      <c r="U389" s="163" t="str">
        <f t="shared" ca="1" si="41"/>
        <v/>
      </c>
      <c r="V389" s="164" t="str">
        <f ca="1">IF(AND($W389&gt;0,RegimeExecucao="Unitário"),$F389,"")</f>
        <v/>
      </c>
      <c r="W389" s="454">
        <f ca="1">IF($Y389&gt;0,CHOOSE(MATCH(RegimeExecucao,{"Unitário","Global"},0),IF($A389="S",$Y389/$X389,""),($Y389/$X389)*100),0)</f>
        <v>0</v>
      </c>
      <c r="X389" s="339" t="str">
        <f ca="1">IF($Y389&gt;0,CHOOSE(MATCH(RegimeExecucao,{"Unitário","Global"},0),IF($A389="S",ROUND($H389,ORÇAMENTO!$AF$10),""),ROUND($I389,ORÇAMENTO!$AF$11)),"")</f>
        <v/>
      </c>
      <c r="Y389" s="339">
        <f t="shared" ca="1" si="42"/>
        <v>0</v>
      </c>
      <c r="Z389" s="473"/>
      <c r="AB389" s="337"/>
      <c r="AC389" s="437"/>
      <c r="AD389" s="437"/>
      <c r="AE389" s="437"/>
      <c r="AF389" s="437"/>
      <c r="AG389" s="437"/>
      <c r="AH389" s="437"/>
      <c r="AI389" s="437"/>
      <c r="AJ389" s="437"/>
      <c r="AK389" s="437"/>
      <c r="AL389" s="437"/>
      <c r="AM389" s="338"/>
      <c r="AO389">
        <f ca="1">IF($A389="S",IF(BM!$I389=0,0,CHOOSE(MATCH(RegimeExecucao,{"Global","Unitário"},0),ROUND(ROUND(BM.MEDAcumulado,15-13*BM!$A$9)/100*BM!$I389,15-13*ORÇAMENTO!$AF$11),ROUND(ROUND(BM.MEDAcumulado,15-13*BM!$A$9)*ROUND(BM!$H389,15-13*ORÇAMENTO!$AF$10),15-13*ORÇAMENTO!$AF$11))),IF($A389=0,0,ROUND(SomaAgrupBM,15-13*ORÇAMENTO!$AF$11)))</f>
        <v>0</v>
      </c>
    </row>
    <row r="390" spans="1:41" ht="38.25" x14ac:dyDescent="0.2">
      <c r="A390" t="str">
        <f ca="1">ORÇAMENTO!C390</f>
        <v>S</v>
      </c>
      <c r="B390">
        <f ca="1">ORÇAMENTO!D390</f>
        <v>0</v>
      </c>
      <c r="C390" s="114" t="str">
        <f t="shared" ca="1" si="36"/>
        <v>F</v>
      </c>
      <c r="D390" s="117" t="str">
        <f ca="1">ORÇAMENTO!O390</f>
        <v>1.8.2.1.5.</v>
      </c>
      <c r="E390" s="163" t="str">
        <f t="shared" ca="1" si="37"/>
        <v>CONDULETE DE ALUMÍNIO, TIPO T, PARA ELETRODUTO DE AÇO GALVANIZADO DN 25 MM (1''), APARENTE - FORNECIMENTO E INSTALAÇÃO. AF_10/2022</v>
      </c>
      <c r="F390" s="164" t="str">
        <f ca="1">IF(RegimeExecucao="Global","",ORÇAMENTO.Unidade)</f>
        <v>UN</v>
      </c>
      <c r="G390" s="122">
        <f ca="1">IF(RegimeExecucao="Global","",ORÇAMENTO!T390)</f>
        <v>1</v>
      </c>
      <c r="H390" s="122">
        <f ca="1">IF(RegimeExecucao="Global","",ORÇAMENTO!W390)</f>
        <v>70.12</v>
      </c>
      <c r="I390" s="125">
        <f ca="1">ORÇAMENTO!X390</f>
        <v>70.12</v>
      </c>
      <c r="J390" s="333" cm="1">
        <f t="array" aca="1" ref="J390" ca="1">_xlfn.SINGLE(IF($A390="S",IF(CAIXA.Modo,BM.AFAnterior,BM.MEDAnterior),IF(AND(_xlfn.SINGLE(RegimeExecucao)="Global",$I390&gt;0,COUNTIF($AB$13:$AM$13,BM.medicao-1)&gt;0),M390/$I390*100,0)))</f>
        <v>0</v>
      </c>
      <c r="K390" s="122">
        <f t="shared" ca="1" si="38"/>
        <v>0</v>
      </c>
      <c r="L390" s="334" cm="1">
        <f t="array" aca="1" ref="L390" ca="1">_xlfn.SINGLE(IF($A390="S",IF(CAIXA.Modo,BM.AFAcumulado,BM.MEDAcumulado),IF(AND(_xlfn.SINGLE(RegimeExecucao)="Global",$I390&gt;0,COUNTIF($AB$13:$AM$13,BM.medicao)&gt;0),O390/$I390*100,0)))</f>
        <v>0</v>
      </c>
      <c r="M390" s="335">
        <f ca="1">IF($A390="S",VTOTALBM,IF($A390=0,0,ROUND(SomaAgrupBM,15-13*ORÇAMENTO!$AF$11)))</f>
        <v>0</v>
      </c>
      <c r="N390" s="336">
        <f t="shared" ca="1" si="39"/>
        <v>0</v>
      </c>
      <c r="O390" s="125">
        <f ca="1">IF($A390="S",VTOTALBM,IF($A390=0,0,ROUND(SomaAgrupBM,15-13*ORÇAMENTO!$AF$11)))</f>
        <v>0</v>
      </c>
      <c r="Q390" s="337"/>
      <c r="R390" s="338"/>
      <c r="T390" s="117" t="str">
        <f t="shared" ca="1" si="40"/>
        <v/>
      </c>
      <c r="U390" s="163" t="str">
        <f t="shared" ca="1" si="41"/>
        <v/>
      </c>
      <c r="V390" s="164" t="str">
        <f ca="1">IF(AND($W390&gt;0,RegimeExecucao="Unitário"),$F390,"")</f>
        <v/>
      </c>
      <c r="W390" s="454">
        <f ca="1">IF($Y390&gt;0,CHOOSE(MATCH(RegimeExecucao,{"Unitário","Global"},0),IF($A390="S",$Y390/$X390,""),($Y390/$X390)*100),0)</f>
        <v>0</v>
      </c>
      <c r="X390" s="339" t="str">
        <f ca="1">IF($Y390&gt;0,CHOOSE(MATCH(RegimeExecucao,{"Unitário","Global"},0),IF($A390="S",ROUND($H390,ORÇAMENTO!$AF$10),""),ROUND($I390,ORÇAMENTO!$AF$11)),"")</f>
        <v/>
      </c>
      <c r="Y390" s="339">
        <f t="shared" ca="1" si="42"/>
        <v>0</v>
      </c>
      <c r="Z390" s="473"/>
      <c r="AB390" s="337"/>
      <c r="AC390" s="437"/>
      <c r="AD390" s="437"/>
      <c r="AE390" s="437"/>
      <c r="AF390" s="437"/>
      <c r="AG390" s="437"/>
      <c r="AH390" s="437"/>
      <c r="AI390" s="437"/>
      <c r="AJ390" s="437"/>
      <c r="AK390" s="437"/>
      <c r="AL390" s="437"/>
      <c r="AM390" s="338"/>
      <c r="AO390">
        <f ca="1">IF($A390="S",IF(BM!$I390=0,0,CHOOSE(MATCH(RegimeExecucao,{"Global","Unitário"},0),ROUND(ROUND(BM.MEDAcumulado,15-13*BM!$A$9)/100*BM!$I390,15-13*ORÇAMENTO!$AF$11),ROUND(ROUND(BM.MEDAcumulado,15-13*BM!$A$9)*ROUND(BM!$H390,15-13*ORÇAMENTO!$AF$10),15-13*ORÇAMENTO!$AF$11))),IF($A390=0,0,ROUND(SomaAgrupBM,15-13*ORÇAMENTO!$AF$11)))</f>
        <v>0</v>
      </c>
    </row>
    <row r="391" spans="1:41" ht="25.5" x14ac:dyDescent="0.2">
      <c r="A391" t="str">
        <f ca="1">ORÇAMENTO!C391</f>
        <v>S</v>
      </c>
      <c r="B391">
        <f ca="1">ORÇAMENTO!D391</f>
        <v>0</v>
      </c>
      <c r="C391" s="114" t="str">
        <f t="shared" ca="1" si="36"/>
        <v>F</v>
      </c>
      <c r="D391" s="117" t="str">
        <f ca="1">ORÇAMENTO!O391</f>
        <v>1.8.2.1.6.</v>
      </c>
      <c r="E391" s="163" t="str">
        <f t="shared" ca="1" si="37"/>
        <v>DUTO CORRUGADO EM PEAD (POLIETILENO DE ALTA DENSIDADE), PARA PROTEÇÃO DE CABOS SUBTERRÂNEOS DN 30 MM (1.1/4")</v>
      </c>
      <c r="F391" s="164" t="str">
        <f ca="1">IF(RegimeExecucao="Global","",ORÇAMENTO.Unidade)</f>
        <v>M</v>
      </c>
      <c r="G391" s="122">
        <f ca="1">IF(RegimeExecucao="Global","",ORÇAMENTO!T391)</f>
        <v>130</v>
      </c>
      <c r="H391" s="122">
        <f ca="1">IF(RegimeExecucao="Global","",ORÇAMENTO!W391)</f>
        <v>36.96</v>
      </c>
      <c r="I391" s="125">
        <f ca="1">ORÇAMENTO!X391</f>
        <v>4804.8</v>
      </c>
      <c r="J391" s="333" cm="1">
        <f t="array" aca="1" ref="J391" ca="1">_xlfn.SINGLE(IF($A391="S",IF(CAIXA.Modo,BM.AFAnterior,BM.MEDAnterior),IF(AND(_xlfn.SINGLE(RegimeExecucao)="Global",$I391&gt;0,COUNTIF($AB$13:$AM$13,BM.medicao-1)&gt;0),M391/$I391*100,0)))</f>
        <v>0</v>
      </c>
      <c r="K391" s="122">
        <f t="shared" ca="1" si="38"/>
        <v>0</v>
      </c>
      <c r="L391" s="334" cm="1">
        <f t="array" aca="1" ref="L391" ca="1">_xlfn.SINGLE(IF($A391="S",IF(CAIXA.Modo,BM.AFAcumulado,BM.MEDAcumulado),IF(AND(_xlfn.SINGLE(RegimeExecucao)="Global",$I391&gt;0,COUNTIF($AB$13:$AM$13,BM.medicao)&gt;0),O391/$I391*100,0)))</f>
        <v>0</v>
      </c>
      <c r="M391" s="335">
        <f ca="1">IF($A391="S",VTOTALBM,IF($A391=0,0,ROUND(SomaAgrupBM,15-13*ORÇAMENTO!$AF$11)))</f>
        <v>0</v>
      </c>
      <c r="N391" s="336">
        <f t="shared" ca="1" si="39"/>
        <v>0</v>
      </c>
      <c r="O391" s="125">
        <f ca="1">IF($A391="S",VTOTALBM,IF($A391=0,0,ROUND(SomaAgrupBM,15-13*ORÇAMENTO!$AF$11)))</f>
        <v>0</v>
      </c>
      <c r="Q391" s="337"/>
      <c r="R391" s="338"/>
      <c r="T391" s="117" t="str">
        <f t="shared" ca="1" si="40"/>
        <v/>
      </c>
      <c r="U391" s="163" t="str">
        <f t="shared" ca="1" si="41"/>
        <v/>
      </c>
      <c r="V391" s="164" t="str">
        <f ca="1">IF(AND($W391&gt;0,RegimeExecucao="Unitário"),$F391,"")</f>
        <v/>
      </c>
      <c r="W391" s="454">
        <f ca="1">IF($Y391&gt;0,CHOOSE(MATCH(RegimeExecucao,{"Unitário","Global"},0),IF($A391="S",$Y391/$X391,""),($Y391/$X391)*100),0)</f>
        <v>0</v>
      </c>
      <c r="X391" s="339" t="str">
        <f ca="1">IF($Y391&gt;0,CHOOSE(MATCH(RegimeExecucao,{"Unitário","Global"},0),IF($A391="S",ROUND($H391,ORÇAMENTO!$AF$10),""),ROUND($I391,ORÇAMENTO!$AF$11)),"")</f>
        <v/>
      </c>
      <c r="Y391" s="339">
        <f t="shared" ca="1" si="42"/>
        <v>0</v>
      </c>
      <c r="Z391" s="473"/>
      <c r="AB391" s="337"/>
      <c r="AC391" s="437"/>
      <c r="AD391" s="437"/>
      <c r="AE391" s="437"/>
      <c r="AF391" s="437"/>
      <c r="AG391" s="437"/>
      <c r="AH391" s="437"/>
      <c r="AI391" s="437"/>
      <c r="AJ391" s="437"/>
      <c r="AK391" s="437"/>
      <c r="AL391" s="437"/>
      <c r="AM391" s="338"/>
      <c r="AO391">
        <f ca="1">IF($A391="S",IF(BM!$I391=0,0,CHOOSE(MATCH(RegimeExecucao,{"Global","Unitário"},0),ROUND(ROUND(BM.MEDAcumulado,15-13*BM!$A$9)/100*BM!$I391,15-13*ORÇAMENTO!$AF$11),ROUND(ROUND(BM.MEDAcumulado,15-13*BM!$A$9)*ROUND(BM!$H391,15-13*ORÇAMENTO!$AF$10),15-13*ORÇAMENTO!$AF$11))),IF($A391=0,0,ROUND(SomaAgrupBM,15-13*ORÇAMENTO!$AF$11)))</f>
        <v>0</v>
      </c>
    </row>
    <row r="392" spans="1:41" ht="25.5" x14ac:dyDescent="0.2">
      <c r="A392" t="str">
        <f ca="1">ORÇAMENTO!C392</f>
        <v>S</v>
      </c>
      <c r="B392">
        <f ca="1">ORÇAMENTO!D392</f>
        <v>0</v>
      </c>
      <c r="C392" s="114" t="str">
        <f t="shared" ca="1" si="36"/>
        <v>F</v>
      </c>
      <c r="D392" s="117" t="str">
        <f ca="1">ORÇAMENTO!O392</f>
        <v>1.8.2.1.7.</v>
      </c>
      <c r="E392" s="163" t="str">
        <f t="shared" ca="1" si="37"/>
        <v>DUTO CORRUGADO EM PEAD (POLIETILENO DE ALTA DENSIDADE), PARA PROTEÇÃO DE CABOS SUBTERRÂNEOS DN 40 MM (1.1/2")</v>
      </c>
      <c r="F392" s="164" t="str">
        <f ca="1">IF(RegimeExecucao="Global","",ORÇAMENTO.Unidade)</f>
        <v>M</v>
      </c>
      <c r="G392" s="122">
        <f ca="1">IF(RegimeExecucao="Global","",ORÇAMENTO!T392)</f>
        <v>30</v>
      </c>
      <c r="H392" s="122">
        <f ca="1">IF(RegimeExecucao="Global","",ORÇAMENTO!W392)</f>
        <v>38.29</v>
      </c>
      <c r="I392" s="125">
        <f ca="1">ORÇAMENTO!X392</f>
        <v>1148.7</v>
      </c>
      <c r="J392" s="333" cm="1">
        <f t="array" aca="1" ref="J392" ca="1">_xlfn.SINGLE(IF($A392="S",IF(CAIXA.Modo,BM.AFAnterior,BM.MEDAnterior),IF(AND(_xlfn.SINGLE(RegimeExecucao)="Global",$I392&gt;0,COUNTIF($AB$13:$AM$13,BM.medicao-1)&gt;0),M392/$I392*100,0)))</f>
        <v>0</v>
      </c>
      <c r="K392" s="122">
        <f t="shared" ca="1" si="38"/>
        <v>0</v>
      </c>
      <c r="L392" s="334" cm="1">
        <f t="array" aca="1" ref="L392" ca="1">_xlfn.SINGLE(IF($A392="S",IF(CAIXA.Modo,BM.AFAcumulado,BM.MEDAcumulado),IF(AND(_xlfn.SINGLE(RegimeExecucao)="Global",$I392&gt;0,COUNTIF($AB$13:$AM$13,BM.medicao)&gt;0),O392/$I392*100,0)))</f>
        <v>0</v>
      </c>
      <c r="M392" s="335">
        <f ca="1">IF($A392="S",VTOTALBM,IF($A392=0,0,ROUND(SomaAgrupBM,15-13*ORÇAMENTO!$AF$11)))</f>
        <v>0</v>
      </c>
      <c r="N392" s="336">
        <f t="shared" ca="1" si="39"/>
        <v>0</v>
      </c>
      <c r="O392" s="125">
        <f ca="1">IF($A392="S",VTOTALBM,IF($A392=0,0,ROUND(SomaAgrupBM,15-13*ORÇAMENTO!$AF$11)))</f>
        <v>0</v>
      </c>
      <c r="Q392" s="337"/>
      <c r="R392" s="338"/>
      <c r="T392" s="117" t="str">
        <f t="shared" ca="1" si="40"/>
        <v/>
      </c>
      <c r="U392" s="163" t="str">
        <f t="shared" ca="1" si="41"/>
        <v/>
      </c>
      <c r="V392" s="164" t="str">
        <f ca="1">IF(AND($W392&gt;0,RegimeExecucao="Unitário"),$F392,"")</f>
        <v/>
      </c>
      <c r="W392" s="454">
        <f ca="1">IF($Y392&gt;0,CHOOSE(MATCH(RegimeExecucao,{"Unitário","Global"},0),IF($A392="S",$Y392/$X392,""),($Y392/$X392)*100),0)</f>
        <v>0</v>
      </c>
      <c r="X392" s="339" t="str">
        <f ca="1">IF($Y392&gt;0,CHOOSE(MATCH(RegimeExecucao,{"Unitário","Global"},0),IF($A392="S",ROUND($H392,ORÇAMENTO!$AF$10),""),ROUND($I392,ORÇAMENTO!$AF$11)),"")</f>
        <v/>
      </c>
      <c r="Y392" s="339">
        <f t="shared" ca="1" si="42"/>
        <v>0</v>
      </c>
      <c r="Z392" s="473"/>
      <c r="AB392" s="337"/>
      <c r="AC392" s="437"/>
      <c r="AD392" s="437"/>
      <c r="AE392" s="437"/>
      <c r="AF392" s="437"/>
      <c r="AG392" s="437"/>
      <c r="AH392" s="437"/>
      <c r="AI392" s="437"/>
      <c r="AJ392" s="437"/>
      <c r="AK392" s="437"/>
      <c r="AL392" s="437"/>
      <c r="AM392" s="338"/>
      <c r="AO392">
        <f ca="1">IF($A392="S",IF(BM!$I392=0,0,CHOOSE(MATCH(RegimeExecucao,{"Global","Unitário"},0),ROUND(ROUND(BM.MEDAcumulado,15-13*BM!$A$9)/100*BM!$I392,15-13*ORÇAMENTO!$AF$11),ROUND(ROUND(BM.MEDAcumulado,15-13*BM!$A$9)*ROUND(BM!$H392,15-13*ORÇAMENTO!$AF$10),15-13*ORÇAMENTO!$AF$11))),IF($A392=0,0,ROUND(SomaAgrupBM,15-13*ORÇAMENTO!$AF$11)))</f>
        <v>0</v>
      </c>
    </row>
    <row r="393" spans="1:41" ht="25.5" x14ac:dyDescent="0.2">
      <c r="A393" t="str">
        <f ca="1">ORÇAMENTO!C393</f>
        <v>S</v>
      </c>
      <c r="B393">
        <f ca="1">ORÇAMENTO!D393</f>
        <v>0</v>
      </c>
      <c r="C393" s="114" t="str">
        <f t="shared" ca="1" si="36"/>
        <v>F</v>
      </c>
      <c r="D393" s="117" t="str">
        <f ca="1">ORÇAMENTO!O393</f>
        <v>1.8.2.1.8.</v>
      </c>
      <c r="E393" s="163" t="str">
        <f t="shared" ca="1" si="37"/>
        <v>DUTO CORRUGADO EM PEAD (POLIETILENO DE ALTA DENSIDADE), PARA PROTEÇÃO DE CABOS SUBTERRÂNEOS DN 75 MM (3")</v>
      </c>
      <c r="F393" s="164" t="str">
        <f ca="1">IF(RegimeExecucao="Global","",ORÇAMENTO.Unidade)</f>
        <v>M</v>
      </c>
      <c r="G393" s="122">
        <f ca="1">IF(RegimeExecucao="Global","",ORÇAMENTO!T393)</f>
        <v>116</v>
      </c>
      <c r="H393" s="122">
        <f ca="1">IF(RegimeExecucao="Global","",ORÇAMENTO!W393)</f>
        <v>62.9</v>
      </c>
      <c r="I393" s="125">
        <f ca="1">ORÇAMENTO!X393</f>
        <v>7296.4</v>
      </c>
      <c r="J393" s="333" cm="1">
        <f t="array" aca="1" ref="J393" ca="1">_xlfn.SINGLE(IF($A393="S",IF(CAIXA.Modo,BM.AFAnterior,BM.MEDAnterior),IF(AND(_xlfn.SINGLE(RegimeExecucao)="Global",$I393&gt;0,COUNTIF($AB$13:$AM$13,BM.medicao-1)&gt;0),M393/$I393*100,0)))</f>
        <v>0</v>
      </c>
      <c r="K393" s="122">
        <f t="shared" ca="1" si="38"/>
        <v>0</v>
      </c>
      <c r="L393" s="334" cm="1">
        <f t="array" aca="1" ref="L393" ca="1">_xlfn.SINGLE(IF($A393="S",IF(CAIXA.Modo,BM.AFAcumulado,BM.MEDAcumulado),IF(AND(_xlfn.SINGLE(RegimeExecucao)="Global",$I393&gt;0,COUNTIF($AB$13:$AM$13,BM.medicao)&gt;0),O393/$I393*100,0)))</f>
        <v>0</v>
      </c>
      <c r="M393" s="335">
        <f ca="1">IF($A393="S",VTOTALBM,IF($A393=0,0,ROUND(SomaAgrupBM,15-13*ORÇAMENTO!$AF$11)))</f>
        <v>0</v>
      </c>
      <c r="N393" s="336">
        <f t="shared" ca="1" si="39"/>
        <v>0</v>
      </c>
      <c r="O393" s="125">
        <f ca="1">IF($A393="S",VTOTALBM,IF($A393=0,0,ROUND(SomaAgrupBM,15-13*ORÇAMENTO!$AF$11)))</f>
        <v>0</v>
      </c>
      <c r="Q393" s="337"/>
      <c r="R393" s="338"/>
      <c r="T393" s="117" t="str">
        <f t="shared" ca="1" si="40"/>
        <v/>
      </c>
      <c r="U393" s="163" t="str">
        <f t="shared" ca="1" si="41"/>
        <v/>
      </c>
      <c r="V393" s="164" t="str">
        <f ca="1">IF(AND($W393&gt;0,RegimeExecucao="Unitário"),$F393,"")</f>
        <v/>
      </c>
      <c r="W393" s="454">
        <f ca="1">IF($Y393&gt;0,CHOOSE(MATCH(RegimeExecucao,{"Unitário","Global"},0),IF($A393="S",$Y393/$X393,""),($Y393/$X393)*100),0)</f>
        <v>0</v>
      </c>
      <c r="X393" s="339" t="str">
        <f ca="1">IF($Y393&gt;0,CHOOSE(MATCH(RegimeExecucao,{"Unitário","Global"},0),IF($A393="S",ROUND($H393,ORÇAMENTO!$AF$10),""),ROUND($I393,ORÇAMENTO!$AF$11)),"")</f>
        <v/>
      </c>
      <c r="Y393" s="339">
        <f t="shared" ca="1" si="42"/>
        <v>0</v>
      </c>
      <c r="Z393" s="473"/>
      <c r="AB393" s="337"/>
      <c r="AC393" s="437"/>
      <c r="AD393" s="437"/>
      <c r="AE393" s="437"/>
      <c r="AF393" s="437"/>
      <c r="AG393" s="437"/>
      <c r="AH393" s="437"/>
      <c r="AI393" s="437"/>
      <c r="AJ393" s="437"/>
      <c r="AK393" s="437"/>
      <c r="AL393" s="437"/>
      <c r="AM393" s="338"/>
      <c r="AO393">
        <f ca="1">IF($A393="S",IF(BM!$I393=0,0,CHOOSE(MATCH(RegimeExecucao,{"Global","Unitário"},0),ROUND(ROUND(BM.MEDAcumulado,15-13*BM!$A$9)/100*BM!$I393,15-13*ORÇAMENTO!$AF$11),ROUND(ROUND(BM.MEDAcumulado,15-13*BM!$A$9)*ROUND(BM!$H393,15-13*ORÇAMENTO!$AF$10),15-13*ORÇAMENTO!$AF$11))),IF($A393=0,0,ROUND(SomaAgrupBM,15-13*ORÇAMENTO!$AF$11)))</f>
        <v>0</v>
      </c>
    </row>
    <row r="394" spans="1:41" ht="25.5" x14ac:dyDescent="0.2">
      <c r="A394" t="str">
        <f ca="1">ORÇAMENTO!C394</f>
        <v>S</v>
      </c>
      <c r="B394">
        <f ca="1">ORÇAMENTO!D394</f>
        <v>0</v>
      </c>
      <c r="C394" s="114" t="str">
        <f t="shared" ca="1" si="36"/>
        <v>F</v>
      </c>
      <c r="D394" s="117" t="str">
        <f ca="1">ORÇAMENTO!O394</f>
        <v>1.8.2.1.9.</v>
      </c>
      <c r="E394" s="163" t="str">
        <f t="shared" ca="1" si="37"/>
        <v>ELETRODUTO DE AÇO GALVANIZADO LEVE, INCLUSIVE CONEXÕES, SUPORTES E FIXAÇÃO DN 25 (1")</v>
      </c>
      <c r="F394" s="164" t="str">
        <f ca="1">IF(RegimeExecucao="Global","",ORÇAMENTO.Unidade)</f>
        <v>M</v>
      </c>
      <c r="G394" s="122">
        <f ca="1">IF(RegimeExecucao="Global","",ORÇAMENTO!T394)</f>
        <v>24</v>
      </c>
      <c r="H394" s="122">
        <f ca="1">IF(RegimeExecucao="Global","",ORÇAMENTO!W394)</f>
        <v>37.770000000000003</v>
      </c>
      <c r="I394" s="125">
        <f ca="1">ORÇAMENTO!X394</f>
        <v>906.48</v>
      </c>
      <c r="J394" s="333" cm="1">
        <f t="array" aca="1" ref="J394" ca="1">_xlfn.SINGLE(IF($A394="S",IF(CAIXA.Modo,BM.AFAnterior,BM.MEDAnterior),IF(AND(_xlfn.SINGLE(RegimeExecucao)="Global",$I394&gt;0,COUNTIF($AB$13:$AM$13,BM.medicao-1)&gt;0),M394/$I394*100,0)))</f>
        <v>0</v>
      </c>
      <c r="K394" s="122">
        <f t="shared" ca="1" si="38"/>
        <v>0</v>
      </c>
      <c r="L394" s="334" cm="1">
        <f t="array" aca="1" ref="L394" ca="1">_xlfn.SINGLE(IF($A394="S",IF(CAIXA.Modo,BM.AFAcumulado,BM.MEDAcumulado),IF(AND(_xlfn.SINGLE(RegimeExecucao)="Global",$I394&gt;0,COUNTIF($AB$13:$AM$13,BM.medicao)&gt;0),O394/$I394*100,0)))</f>
        <v>0</v>
      </c>
      <c r="M394" s="335">
        <f ca="1">IF($A394="S",VTOTALBM,IF($A394=0,0,ROUND(SomaAgrupBM,15-13*ORÇAMENTO!$AF$11)))</f>
        <v>0</v>
      </c>
      <c r="N394" s="336">
        <f t="shared" ca="1" si="39"/>
        <v>0</v>
      </c>
      <c r="O394" s="125">
        <f ca="1">IF($A394="S",VTOTALBM,IF($A394=0,0,ROUND(SomaAgrupBM,15-13*ORÇAMENTO!$AF$11)))</f>
        <v>0</v>
      </c>
      <c r="Q394" s="337"/>
      <c r="R394" s="338"/>
      <c r="T394" s="117" t="str">
        <f t="shared" ca="1" si="40"/>
        <v/>
      </c>
      <c r="U394" s="163" t="str">
        <f t="shared" ca="1" si="41"/>
        <v/>
      </c>
      <c r="V394" s="164" t="str">
        <f ca="1">IF(AND($W394&gt;0,RegimeExecucao="Unitário"),$F394,"")</f>
        <v/>
      </c>
      <c r="W394" s="454">
        <f ca="1">IF($Y394&gt;0,CHOOSE(MATCH(RegimeExecucao,{"Unitário","Global"},0),IF($A394="S",$Y394/$X394,""),($Y394/$X394)*100),0)</f>
        <v>0</v>
      </c>
      <c r="X394" s="339" t="str">
        <f ca="1">IF($Y394&gt;0,CHOOSE(MATCH(RegimeExecucao,{"Unitário","Global"},0),IF($A394="S",ROUND($H394,ORÇAMENTO!$AF$10),""),ROUND($I394,ORÇAMENTO!$AF$11)),"")</f>
        <v/>
      </c>
      <c r="Y394" s="339">
        <f t="shared" ca="1" si="42"/>
        <v>0</v>
      </c>
      <c r="Z394" s="473"/>
      <c r="AB394" s="337"/>
      <c r="AC394" s="437"/>
      <c r="AD394" s="437"/>
      <c r="AE394" s="437"/>
      <c r="AF394" s="437"/>
      <c r="AG394" s="437"/>
      <c r="AH394" s="437"/>
      <c r="AI394" s="437"/>
      <c r="AJ394" s="437"/>
      <c r="AK394" s="437"/>
      <c r="AL394" s="437"/>
      <c r="AM394" s="338"/>
      <c r="AO394">
        <f ca="1">IF($A394="S",IF(BM!$I394=0,0,CHOOSE(MATCH(RegimeExecucao,{"Global","Unitário"},0),ROUND(ROUND(BM.MEDAcumulado,15-13*BM!$A$9)/100*BM!$I394,15-13*ORÇAMENTO!$AF$11),ROUND(ROUND(BM.MEDAcumulado,15-13*BM!$A$9)*ROUND(BM!$H394,15-13*ORÇAMENTO!$AF$10),15-13*ORÇAMENTO!$AF$11))),IF($A394=0,0,ROUND(SomaAgrupBM,15-13*ORÇAMENTO!$AF$11)))</f>
        <v>0</v>
      </c>
    </row>
    <row r="395" spans="1:41" x14ac:dyDescent="0.2">
      <c r="A395">
        <f ca="1">ORÇAMENTO!C395</f>
        <v>4</v>
      </c>
      <c r="B395">
        <f ca="1">ORÇAMENTO!D395</f>
        <v>5</v>
      </c>
      <c r="C395" s="114" t="str">
        <f t="shared" ca="1" si="36"/>
        <v>F</v>
      </c>
      <c r="D395" s="117" t="str">
        <f ca="1">ORÇAMENTO!O395</f>
        <v>1.8.2.2.</v>
      </c>
      <c r="E395" s="163" t="str">
        <f t="shared" si="37"/>
        <v xml:space="preserve">INTERRUPTORES, TOMADAS E LUMINÁRIAS </v>
      </c>
      <c r="F395" s="164" t="str">
        <f ca="1">IF(RegimeExecucao="Global","",ORÇAMENTO.Unidade)</f>
        <v>-</v>
      </c>
      <c r="G395" s="122">
        <f ca="1">IF(RegimeExecucao="Global","",ORÇAMENTO!T395)</f>
        <v>0</v>
      </c>
      <c r="H395" s="122">
        <f ca="1">IF(RegimeExecucao="Global","",ORÇAMENTO!W395)</f>
        <v>0</v>
      </c>
      <c r="I395" s="125">
        <f ca="1">ORÇAMENTO!X395</f>
        <v>434.84</v>
      </c>
      <c r="J395" s="333" cm="1">
        <f t="array" aca="1" ref="J395" ca="1">_xlfn.SINGLE(IF($A395="S",IF(CAIXA.Modo,BM.AFAnterior,BM.MEDAnterior),IF(AND(_xlfn.SINGLE(RegimeExecucao)="Global",$I395&gt;0,COUNTIF($AB$13:$AM$13,BM.medicao-1)&gt;0),M395/$I395*100,0)))</f>
        <v>0</v>
      </c>
      <c r="K395" s="122">
        <f t="shared" ca="1" si="38"/>
        <v>0</v>
      </c>
      <c r="L395" s="334" cm="1">
        <f t="array" aca="1" ref="L395" ca="1">_xlfn.SINGLE(IF($A395="S",IF(CAIXA.Modo,BM.AFAcumulado,BM.MEDAcumulado),IF(AND(_xlfn.SINGLE(RegimeExecucao)="Global",$I395&gt;0,COUNTIF($AB$13:$AM$13,BM.medicao)&gt;0),O395/$I395*100,0)))</f>
        <v>0</v>
      </c>
      <c r="M395" s="335">
        <f ca="1">IF($A395="S",VTOTALBM,IF($A395=0,0,ROUND(SomaAgrupBM,15-13*ORÇAMENTO!$AF$11)))</f>
        <v>0</v>
      </c>
      <c r="N395" s="336">
        <f t="shared" ca="1" si="39"/>
        <v>0</v>
      </c>
      <c r="O395" s="125">
        <f ca="1">IF($A395="S",VTOTALBM,IF($A395=0,0,ROUND(SomaAgrupBM,15-13*ORÇAMENTO!$AF$11)))</f>
        <v>0</v>
      </c>
      <c r="Q395" s="337"/>
      <c r="R395" s="338"/>
      <c r="T395" s="117" t="str">
        <f t="shared" ca="1" si="40"/>
        <v/>
      </c>
      <c r="U395" s="163" t="str">
        <f t="shared" ca="1" si="41"/>
        <v/>
      </c>
      <c r="V395" s="164" t="str">
        <f ca="1">IF(AND($W395&gt;0,RegimeExecucao="Unitário"),$F395,"")</f>
        <v/>
      </c>
      <c r="W395" s="454">
        <f ca="1">IF($Y395&gt;0,CHOOSE(MATCH(RegimeExecucao,{"Unitário","Global"},0),IF($A395="S",$Y395/$X395,""),($Y395/$X395)*100),0)</f>
        <v>0</v>
      </c>
      <c r="X395" s="339" t="str">
        <f ca="1">IF($Y395&gt;0,CHOOSE(MATCH(RegimeExecucao,{"Unitário","Global"},0),IF($A395="S",ROUND($H395,ORÇAMENTO!$AF$10),""),ROUND($I395,ORÇAMENTO!$AF$11)),"")</f>
        <v/>
      </c>
      <c r="Y395" s="339">
        <f t="shared" ca="1" si="42"/>
        <v>0</v>
      </c>
      <c r="Z395" s="473"/>
      <c r="AB395" s="337"/>
      <c r="AC395" s="437"/>
      <c r="AD395" s="437"/>
      <c r="AE395" s="437"/>
      <c r="AF395" s="437"/>
      <c r="AG395" s="437"/>
      <c r="AH395" s="437"/>
      <c r="AI395" s="437"/>
      <c r="AJ395" s="437"/>
      <c r="AK395" s="437"/>
      <c r="AL395" s="437"/>
      <c r="AM395" s="338"/>
      <c r="AO395">
        <f ca="1">IF($A395="S",IF(BM!$I395=0,0,CHOOSE(MATCH(RegimeExecucao,{"Global","Unitário"},0),ROUND(ROUND(BM.MEDAcumulado,15-13*BM!$A$9)/100*BM!$I395,15-13*ORÇAMENTO!$AF$11),ROUND(ROUND(BM.MEDAcumulado,15-13*BM!$A$9)*ROUND(BM!$H395,15-13*ORÇAMENTO!$AF$10),15-13*ORÇAMENTO!$AF$11))),IF($A395=0,0,ROUND(SomaAgrupBM,15-13*ORÇAMENTO!$AF$11)))</f>
        <v>0</v>
      </c>
    </row>
    <row r="396" spans="1:41" ht="38.25" x14ac:dyDescent="0.2">
      <c r="A396" t="str">
        <f ca="1">ORÇAMENTO!C396</f>
        <v>S</v>
      </c>
      <c r="B396">
        <f ca="1">ORÇAMENTO!D396</f>
        <v>0</v>
      </c>
      <c r="C396" s="114" t="str">
        <f t="shared" ca="1" si="36"/>
        <v>F</v>
      </c>
      <c r="D396" s="117" t="str">
        <f ca="1">ORÇAMENTO!O396</f>
        <v>1.8.2.2.1.</v>
      </c>
      <c r="E396" s="163" t="str">
        <f t="shared" ca="1" si="37"/>
        <v>INTERRUPTOR SIMPLES (1 MÓDULO) COM 1 TOMADA DE EMBUTIR 2P+T 10 A, INCLUINDO SUPORTE E PLACA - FORNECIMENTO E INSTALAÇÃO. AF_03/2023</v>
      </c>
      <c r="F396" s="164" t="str">
        <f ca="1">IF(RegimeExecucao="Global","",ORÇAMENTO.Unidade)</f>
        <v>UN</v>
      </c>
      <c r="G396" s="122">
        <f ca="1">IF(RegimeExecucao="Global","",ORÇAMENTO!T396)</f>
        <v>1</v>
      </c>
      <c r="H396" s="122">
        <f ca="1">IF(RegimeExecucao="Global","",ORÇAMENTO!W396)</f>
        <v>65.64</v>
      </c>
      <c r="I396" s="125">
        <f ca="1">ORÇAMENTO!X396</f>
        <v>65.64</v>
      </c>
      <c r="J396" s="333" cm="1">
        <f t="array" aca="1" ref="J396" ca="1">_xlfn.SINGLE(IF($A396="S",IF(CAIXA.Modo,BM.AFAnterior,BM.MEDAnterior),IF(AND(_xlfn.SINGLE(RegimeExecucao)="Global",$I396&gt;0,COUNTIF($AB$13:$AM$13,BM.medicao-1)&gt;0),M396/$I396*100,0)))</f>
        <v>0</v>
      </c>
      <c r="K396" s="122">
        <f t="shared" ca="1" si="38"/>
        <v>0</v>
      </c>
      <c r="L396" s="334" cm="1">
        <f t="array" aca="1" ref="L396" ca="1">_xlfn.SINGLE(IF($A396="S",IF(CAIXA.Modo,BM.AFAcumulado,BM.MEDAcumulado),IF(AND(_xlfn.SINGLE(RegimeExecucao)="Global",$I396&gt;0,COUNTIF($AB$13:$AM$13,BM.medicao)&gt;0),O396/$I396*100,0)))</f>
        <v>0</v>
      </c>
      <c r="M396" s="335">
        <f ca="1">IF($A396="S",VTOTALBM,IF($A396=0,0,ROUND(SomaAgrupBM,15-13*ORÇAMENTO!$AF$11)))</f>
        <v>0</v>
      </c>
      <c r="N396" s="336">
        <f t="shared" ca="1" si="39"/>
        <v>0</v>
      </c>
      <c r="O396" s="125">
        <f ca="1">IF($A396="S",VTOTALBM,IF($A396=0,0,ROUND(SomaAgrupBM,15-13*ORÇAMENTO!$AF$11)))</f>
        <v>0</v>
      </c>
      <c r="Q396" s="337"/>
      <c r="R396" s="338"/>
      <c r="T396" s="117" t="str">
        <f t="shared" ca="1" si="40"/>
        <v/>
      </c>
      <c r="U396" s="163" t="str">
        <f t="shared" ca="1" si="41"/>
        <v/>
      </c>
      <c r="V396" s="164" t="str">
        <f ca="1">IF(AND($W396&gt;0,RegimeExecucao="Unitário"),$F396,"")</f>
        <v/>
      </c>
      <c r="W396" s="454">
        <f ca="1">IF($Y396&gt;0,CHOOSE(MATCH(RegimeExecucao,{"Unitário","Global"},0),IF($A396="S",$Y396/$X396,""),($Y396/$X396)*100),0)</f>
        <v>0</v>
      </c>
      <c r="X396" s="339" t="str">
        <f ca="1">IF($Y396&gt;0,CHOOSE(MATCH(RegimeExecucao,{"Unitário","Global"},0),IF($A396="S",ROUND($H396,ORÇAMENTO!$AF$10),""),ROUND($I396,ORÇAMENTO!$AF$11)),"")</f>
        <v/>
      </c>
      <c r="Y396" s="339">
        <f t="shared" ca="1" si="42"/>
        <v>0</v>
      </c>
      <c r="Z396" s="473"/>
      <c r="AB396" s="337"/>
      <c r="AC396" s="437"/>
      <c r="AD396" s="437"/>
      <c r="AE396" s="437"/>
      <c r="AF396" s="437"/>
      <c r="AG396" s="437"/>
      <c r="AH396" s="437"/>
      <c r="AI396" s="437"/>
      <c r="AJ396" s="437"/>
      <c r="AK396" s="437"/>
      <c r="AL396" s="437"/>
      <c r="AM396" s="338"/>
      <c r="AO396">
        <f ca="1">IF($A396="S",IF(BM!$I396=0,0,CHOOSE(MATCH(RegimeExecucao,{"Global","Unitário"},0),ROUND(ROUND(BM.MEDAcumulado,15-13*BM!$A$9)/100*BM!$I396,15-13*ORÇAMENTO!$AF$11),ROUND(ROUND(BM.MEDAcumulado,15-13*BM!$A$9)*ROUND(BM!$H396,15-13*ORÇAMENTO!$AF$10),15-13*ORÇAMENTO!$AF$11))),IF($A396=0,0,ROUND(SomaAgrupBM,15-13*ORÇAMENTO!$AF$11)))</f>
        <v>0</v>
      </c>
    </row>
    <row r="397" spans="1:41" ht="51" x14ac:dyDescent="0.2">
      <c r="A397" t="str">
        <f ca="1">ORÇAMENTO!C397</f>
        <v>S</v>
      </c>
      <c r="B397">
        <f ca="1">ORÇAMENTO!D397</f>
        <v>0</v>
      </c>
      <c r="C397" s="114" t="str">
        <f t="shared" ca="1" si="36"/>
        <v>F</v>
      </c>
      <c r="D397" s="117" t="str">
        <f ca="1">ORÇAMENTO!O397</f>
        <v>1.8.2.2.2.</v>
      </c>
      <c r="E397" s="163" t="str">
        <f t="shared" ca="1" si="37"/>
        <v>CONJUNTO DE UMA (1) TOMADA PADRÃO, TRÊS (3) POLOS, CORRENTE 10A, TENSÃO 250V, (2P+T/10A-250V), COM PLACA 4"X2" DE UM (1) POSTO, INCLUSIVE FORNECIMENTO, INSTALAÇÃO, SUPORTE, MÓDULO E PLACA</v>
      </c>
      <c r="F397" s="164" t="str">
        <f ca="1">IF(RegimeExecucao="Global","",ORÇAMENTO.Unidade)</f>
        <v>UN</v>
      </c>
      <c r="G397" s="122">
        <f ca="1">IF(RegimeExecucao="Global","",ORÇAMENTO!T397)</f>
        <v>2</v>
      </c>
      <c r="H397" s="122">
        <f ca="1">IF(RegimeExecucao="Global","",ORÇAMENTO!W397)</f>
        <v>35.49</v>
      </c>
      <c r="I397" s="125">
        <f ca="1">ORÇAMENTO!X397</f>
        <v>70.98</v>
      </c>
      <c r="J397" s="333" cm="1">
        <f t="array" aca="1" ref="J397" ca="1">_xlfn.SINGLE(IF($A397="S",IF(CAIXA.Modo,BM.AFAnterior,BM.MEDAnterior),IF(AND(_xlfn.SINGLE(RegimeExecucao)="Global",$I397&gt;0,COUNTIF($AB$13:$AM$13,BM.medicao-1)&gt;0),M397/$I397*100,0)))</f>
        <v>0</v>
      </c>
      <c r="K397" s="122">
        <f t="shared" ca="1" si="38"/>
        <v>0</v>
      </c>
      <c r="L397" s="334" cm="1">
        <f t="array" aca="1" ref="L397" ca="1">_xlfn.SINGLE(IF($A397="S",IF(CAIXA.Modo,BM.AFAcumulado,BM.MEDAcumulado),IF(AND(_xlfn.SINGLE(RegimeExecucao)="Global",$I397&gt;0,COUNTIF($AB$13:$AM$13,BM.medicao)&gt;0),O397/$I397*100,0)))</f>
        <v>0</v>
      </c>
      <c r="M397" s="335">
        <f ca="1">IF($A397="S",VTOTALBM,IF($A397=0,0,ROUND(SomaAgrupBM,15-13*ORÇAMENTO!$AF$11)))</f>
        <v>0</v>
      </c>
      <c r="N397" s="336">
        <f t="shared" ca="1" si="39"/>
        <v>0</v>
      </c>
      <c r="O397" s="125">
        <f ca="1">IF($A397="S",VTOTALBM,IF($A397=0,0,ROUND(SomaAgrupBM,15-13*ORÇAMENTO!$AF$11)))</f>
        <v>0</v>
      </c>
      <c r="Q397" s="337"/>
      <c r="R397" s="338"/>
      <c r="T397" s="117" t="str">
        <f t="shared" ca="1" si="40"/>
        <v/>
      </c>
      <c r="U397" s="163" t="str">
        <f t="shared" ca="1" si="41"/>
        <v/>
      </c>
      <c r="V397" s="164" t="str">
        <f ca="1">IF(AND($W397&gt;0,RegimeExecucao="Unitário"),$F397,"")</f>
        <v/>
      </c>
      <c r="W397" s="454">
        <f ca="1">IF($Y397&gt;0,CHOOSE(MATCH(RegimeExecucao,{"Unitário","Global"},0),IF($A397="S",$Y397/$X397,""),($Y397/$X397)*100),0)</f>
        <v>0</v>
      </c>
      <c r="X397" s="339" t="str">
        <f ca="1">IF($Y397&gt;0,CHOOSE(MATCH(RegimeExecucao,{"Unitário","Global"},0),IF($A397="S",ROUND($H397,ORÇAMENTO!$AF$10),""),ROUND($I397,ORÇAMENTO!$AF$11)),"")</f>
        <v/>
      </c>
      <c r="Y397" s="339">
        <f t="shared" ca="1" si="42"/>
        <v>0</v>
      </c>
      <c r="Z397" s="473"/>
      <c r="AB397" s="337"/>
      <c r="AC397" s="437"/>
      <c r="AD397" s="437"/>
      <c r="AE397" s="437"/>
      <c r="AF397" s="437"/>
      <c r="AG397" s="437"/>
      <c r="AH397" s="437"/>
      <c r="AI397" s="437"/>
      <c r="AJ397" s="437"/>
      <c r="AK397" s="437"/>
      <c r="AL397" s="437"/>
      <c r="AM397" s="338"/>
      <c r="AO397">
        <f ca="1">IF($A397="S",IF(BM!$I397=0,0,CHOOSE(MATCH(RegimeExecucao,{"Global","Unitário"},0),ROUND(ROUND(BM.MEDAcumulado,15-13*BM!$A$9)/100*BM!$I397,15-13*ORÇAMENTO!$AF$11),ROUND(ROUND(BM.MEDAcumulado,15-13*BM!$A$9)*ROUND(BM!$H397,15-13*ORÇAMENTO!$AF$10),15-13*ORÇAMENTO!$AF$11))),IF($A397=0,0,ROUND(SomaAgrupBM,15-13*ORÇAMENTO!$AF$11)))</f>
        <v>0</v>
      </c>
    </row>
    <row r="398" spans="1:41" ht="25.5" x14ac:dyDescent="0.2">
      <c r="A398" t="str">
        <f ca="1">ORÇAMENTO!C398</f>
        <v>S</v>
      </c>
      <c r="B398">
        <f ca="1">ORÇAMENTO!D398</f>
        <v>0</v>
      </c>
      <c r="C398" s="114" t="str">
        <f t="shared" ca="1" si="36"/>
        <v>F</v>
      </c>
      <c r="D398" s="117" t="str">
        <f ca="1">ORÇAMENTO!O398</f>
        <v>1.8.2.2.3.</v>
      </c>
      <c r="E398" s="163" t="str">
        <f t="shared" ca="1" si="37"/>
        <v>TOMADA MÉDIA DE EMBUTIR (2 MÓDULOS), 2P+T 10 A, INCLUINDO SUPORTE E PLACA - FORNECIMENTO E INSTALAÇÃO. AF_03/2023</v>
      </c>
      <c r="F398" s="164" t="str">
        <f ca="1">IF(RegimeExecucao="Global","",ORÇAMENTO.Unidade)</f>
        <v>UN</v>
      </c>
      <c r="G398" s="122">
        <f ca="1">IF(RegimeExecucao="Global","",ORÇAMENTO!T398)</f>
        <v>1</v>
      </c>
      <c r="H398" s="122">
        <f ca="1">IF(RegimeExecucao="Global","",ORÇAMENTO!W398)</f>
        <v>72.819999999999993</v>
      </c>
      <c r="I398" s="125">
        <f ca="1">ORÇAMENTO!X398</f>
        <v>72.819999999999993</v>
      </c>
      <c r="J398" s="333" cm="1">
        <f t="array" aca="1" ref="J398" ca="1">_xlfn.SINGLE(IF($A398="S",IF(CAIXA.Modo,BM.AFAnterior,BM.MEDAnterior),IF(AND(_xlfn.SINGLE(RegimeExecucao)="Global",$I398&gt;0,COUNTIF($AB$13:$AM$13,BM.medicao-1)&gt;0),M398/$I398*100,0)))</f>
        <v>0</v>
      </c>
      <c r="K398" s="122">
        <f t="shared" ca="1" si="38"/>
        <v>0</v>
      </c>
      <c r="L398" s="334" cm="1">
        <f t="array" aca="1" ref="L398" ca="1">_xlfn.SINGLE(IF($A398="S",IF(CAIXA.Modo,BM.AFAcumulado,BM.MEDAcumulado),IF(AND(_xlfn.SINGLE(RegimeExecucao)="Global",$I398&gt;0,COUNTIF($AB$13:$AM$13,BM.medicao)&gt;0),O398/$I398*100,0)))</f>
        <v>0</v>
      </c>
      <c r="M398" s="335">
        <f ca="1">IF($A398="S",VTOTALBM,IF($A398=0,0,ROUND(SomaAgrupBM,15-13*ORÇAMENTO!$AF$11)))</f>
        <v>0</v>
      </c>
      <c r="N398" s="336">
        <f t="shared" ca="1" si="39"/>
        <v>0</v>
      </c>
      <c r="O398" s="125">
        <f ca="1">IF($A398="S",VTOTALBM,IF($A398=0,0,ROUND(SomaAgrupBM,15-13*ORÇAMENTO!$AF$11)))</f>
        <v>0</v>
      </c>
      <c r="Q398" s="337"/>
      <c r="R398" s="338"/>
      <c r="T398" s="117" t="str">
        <f t="shared" ca="1" si="40"/>
        <v/>
      </c>
      <c r="U398" s="163" t="str">
        <f t="shared" ca="1" si="41"/>
        <v/>
      </c>
      <c r="V398" s="164" t="str">
        <f ca="1">IF(AND($W398&gt;0,RegimeExecucao="Unitário"),$F398,"")</f>
        <v/>
      </c>
      <c r="W398" s="454">
        <f ca="1">IF($Y398&gt;0,CHOOSE(MATCH(RegimeExecucao,{"Unitário","Global"},0),IF($A398="S",$Y398/$X398,""),($Y398/$X398)*100),0)</f>
        <v>0</v>
      </c>
      <c r="X398" s="339" t="str">
        <f ca="1">IF($Y398&gt;0,CHOOSE(MATCH(RegimeExecucao,{"Unitário","Global"},0),IF($A398="S",ROUND($H398,ORÇAMENTO!$AF$10),""),ROUND($I398,ORÇAMENTO!$AF$11)),"")</f>
        <v/>
      </c>
      <c r="Y398" s="339">
        <f t="shared" ca="1" si="42"/>
        <v>0</v>
      </c>
      <c r="Z398" s="473"/>
      <c r="AB398" s="337"/>
      <c r="AC398" s="437"/>
      <c r="AD398" s="437"/>
      <c r="AE398" s="437"/>
      <c r="AF398" s="437"/>
      <c r="AG398" s="437"/>
      <c r="AH398" s="437"/>
      <c r="AI398" s="437"/>
      <c r="AJ398" s="437"/>
      <c r="AK398" s="437"/>
      <c r="AL398" s="437"/>
      <c r="AM398" s="338"/>
      <c r="AO398">
        <f ca="1">IF($A398="S",IF(BM!$I398=0,0,CHOOSE(MATCH(RegimeExecucao,{"Global","Unitário"},0),ROUND(ROUND(BM.MEDAcumulado,15-13*BM!$A$9)/100*BM!$I398,15-13*ORÇAMENTO!$AF$11),ROUND(ROUND(BM.MEDAcumulado,15-13*BM!$A$9)*ROUND(BM!$H398,15-13*ORÇAMENTO!$AF$10),15-13*ORÇAMENTO!$AF$11))),IF($A398=0,0,ROUND(SomaAgrupBM,15-13*ORÇAMENTO!$AF$11)))</f>
        <v>0</v>
      </c>
    </row>
    <row r="399" spans="1:41" ht="51" x14ac:dyDescent="0.2">
      <c r="A399" t="str">
        <f ca="1">ORÇAMENTO!C399</f>
        <v>S</v>
      </c>
      <c r="B399">
        <f ca="1">ORÇAMENTO!D399</f>
        <v>0</v>
      </c>
      <c r="C399" s="114" t="str">
        <f t="shared" ca="1" si="36"/>
        <v>F</v>
      </c>
      <c r="D399" s="117" t="str">
        <f ca="1">ORÇAMENTO!O399</f>
        <v>1.8.2.2.4.</v>
      </c>
      <c r="E399" s="163" t="str">
        <f t="shared" ca="1" si="37"/>
        <v>LUMINÁRIA COMERCIAL CHANFRADA DE SOBREPOR COMPLETA, PARA DUAS (2) LÂMPADAS TUBULARES LED 2X18W-ØT8, TEMPERATURA DA COR 6500K, FORNECIMENTO E INSTALAÇÃO, INCLUSIVE BASE E LÂMPADAS</v>
      </c>
      <c r="F399" s="164" t="str">
        <f ca="1">IF(RegimeExecucao="Global","",ORÇAMENTO.Unidade)</f>
        <v>UN</v>
      </c>
      <c r="G399" s="122">
        <f ca="1">IF(RegimeExecucao="Global","",ORÇAMENTO!T399)</f>
        <v>1</v>
      </c>
      <c r="H399" s="122">
        <f ca="1">IF(RegimeExecucao="Global","",ORÇAMENTO!W399)</f>
        <v>225.4</v>
      </c>
      <c r="I399" s="125">
        <f ca="1">ORÇAMENTO!X399</f>
        <v>225.4</v>
      </c>
      <c r="J399" s="333" cm="1">
        <f t="array" aca="1" ref="J399" ca="1">_xlfn.SINGLE(IF($A399="S",IF(CAIXA.Modo,BM.AFAnterior,BM.MEDAnterior),IF(AND(_xlfn.SINGLE(RegimeExecucao)="Global",$I399&gt;0,COUNTIF($AB$13:$AM$13,BM.medicao-1)&gt;0),M399/$I399*100,0)))</f>
        <v>0</v>
      </c>
      <c r="K399" s="122">
        <f t="shared" ca="1" si="38"/>
        <v>0</v>
      </c>
      <c r="L399" s="334" cm="1">
        <f t="array" aca="1" ref="L399" ca="1">_xlfn.SINGLE(IF($A399="S",IF(CAIXA.Modo,BM.AFAcumulado,BM.MEDAcumulado),IF(AND(_xlfn.SINGLE(RegimeExecucao)="Global",$I399&gt;0,COUNTIF($AB$13:$AM$13,BM.medicao)&gt;0),O399/$I399*100,0)))</f>
        <v>0</v>
      </c>
      <c r="M399" s="335">
        <f ca="1">IF($A399="S",VTOTALBM,IF($A399=0,0,ROUND(SomaAgrupBM,15-13*ORÇAMENTO!$AF$11)))</f>
        <v>0</v>
      </c>
      <c r="N399" s="336">
        <f t="shared" ca="1" si="39"/>
        <v>0</v>
      </c>
      <c r="O399" s="125">
        <f ca="1">IF($A399="S",VTOTALBM,IF($A399=0,0,ROUND(SomaAgrupBM,15-13*ORÇAMENTO!$AF$11)))</f>
        <v>0</v>
      </c>
      <c r="Q399" s="337"/>
      <c r="R399" s="338"/>
      <c r="T399" s="117" t="str">
        <f t="shared" ca="1" si="40"/>
        <v/>
      </c>
      <c r="U399" s="163" t="str">
        <f t="shared" ca="1" si="41"/>
        <v/>
      </c>
      <c r="V399" s="164" t="str">
        <f ca="1">IF(AND($W399&gt;0,RegimeExecucao="Unitário"),$F399,"")</f>
        <v/>
      </c>
      <c r="W399" s="454">
        <f ca="1">IF($Y399&gt;0,CHOOSE(MATCH(RegimeExecucao,{"Unitário","Global"},0),IF($A399="S",$Y399/$X399,""),($Y399/$X399)*100),0)</f>
        <v>0</v>
      </c>
      <c r="X399" s="339" t="str">
        <f ca="1">IF($Y399&gt;0,CHOOSE(MATCH(RegimeExecucao,{"Unitário","Global"},0),IF($A399="S",ROUND($H399,ORÇAMENTO!$AF$10),""),ROUND($I399,ORÇAMENTO!$AF$11)),"")</f>
        <v/>
      </c>
      <c r="Y399" s="339">
        <f t="shared" ca="1" si="42"/>
        <v>0</v>
      </c>
      <c r="Z399" s="473"/>
      <c r="AB399" s="337"/>
      <c r="AC399" s="437"/>
      <c r="AD399" s="437"/>
      <c r="AE399" s="437"/>
      <c r="AF399" s="437"/>
      <c r="AG399" s="437"/>
      <c r="AH399" s="437"/>
      <c r="AI399" s="437"/>
      <c r="AJ399" s="437"/>
      <c r="AK399" s="437"/>
      <c r="AL399" s="437"/>
      <c r="AM399" s="338"/>
      <c r="AO399">
        <f ca="1">IF($A399="S",IF(BM!$I399=0,0,CHOOSE(MATCH(RegimeExecucao,{"Global","Unitário"},0),ROUND(ROUND(BM.MEDAcumulado,15-13*BM!$A$9)/100*BM!$I399,15-13*ORÇAMENTO!$AF$11),ROUND(ROUND(BM.MEDAcumulado,15-13*BM!$A$9)*ROUND(BM!$H399,15-13*ORÇAMENTO!$AF$10),15-13*ORÇAMENTO!$AF$11))),IF($A399=0,0,ROUND(SomaAgrupBM,15-13*ORÇAMENTO!$AF$11)))</f>
        <v>0</v>
      </c>
    </row>
    <row r="400" spans="1:41" x14ac:dyDescent="0.2">
      <c r="A400">
        <f ca="1">ORÇAMENTO!C400</f>
        <v>4</v>
      </c>
      <c r="B400">
        <f ca="1">ORÇAMENTO!D400</f>
        <v>10</v>
      </c>
      <c r="C400" s="114" t="str">
        <f t="shared" ca="1" si="36"/>
        <v>F</v>
      </c>
      <c r="D400" s="117" t="str">
        <f ca="1">ORÇAMENTO!O400</f>
        <v>1.8.2.3.</v>
      </c>
      <c r="E400" s="163" t="str">
        <f t="shared" si="37"/>
        <v>CABEAMENTO</v>
      </c>
      <c r="F400" s="164" t="str">
        <f ca="1">IF(RegimeExecucao="Global","",ORÇAMENTO.Unidade)</f>
        <v>-</v>
      </c>
      <c r="G400" s="122">
        <f ca="1">IF(RegimeExecucao="Global","",ORÇAMENTO!T400)</f>
        <v>0</v>
      </c>
      <c r="H400" s="122">
        <f ca="1">IF(RegimeExecucao="Global","",ORÇAMENTO!W400)</f>
        <v>0</v>
      </c>
      <c r="I400" s="125">
        <f ca="1">ORÇAMENTO!X400</f>
        <v>82306.720000000001</v>
      </c>
      <c r="J400" s="333" cm="1">
        <f t="array" aca="1" ref="J400" ca="1">_xlfn.SINGLE(IF($A400="S",IF(CAIXA.Modo,BM.AFAnterior,BM.MEDAnterior),IF(AND(_xlfn.SINGLE(RegimeExecucao)="Global",$I400&gt;0,COUNTIF($AB$13:$AM$13,BM.medicao-1)&gt;0),M400/$I400*100,0)))</f>
        <v>0</v>
      </c>
      <c r="K400" s="122">
        <f t="shared" ca="1" si="38"/>
        <v>0</v>
      </c>
      <c r="L400" s="334" cm="1">
        <f t="array" aca="1" ref="L400" ca="1">_xlfn.SINGLE(IF($A400="S",IF(CAIXA.Modo,BM.AFAcumulado,BM.MEDAcumulado),IF(AND(_xlfn.SINGLE(RegimeExecucao)="Global",$I400&gt;0,COUNTIF($AB$13:$AM$13,BM.medicao)&gt;0),O400/$I400*100,0)))</f>
        <v>0</v>
      </c>
      <c r="M400" s="335">
        <f ca="1">IF($A400="S",VTOTALBM,IF($A400=0,0,ROUND(SomaAgrupBM,15-13*ORÇAMENTO!$AF$11)))</f>
        <v>0</v>
      </c>
      <c r="N400" s="336">
        <f t="shared" ca="1" si="39"/>
        <v>0</v>
      </c>
      <c r="O400" s="125">
        <f ca="1">IF($A400="S",VTOTALBM,IF($A400=0,0,ROUND(SomaAgrupBM,15-13*ORÇAMENTO!$AF$11)))</f>
        <v>0</v>
      </c>
      <c r="Q400" s="337"/>
      <c r="R400" s="338"/>
      <c r="T400" s="117" t="str">
        <f t="shared" ca="1" si="40"/>
        <v/>
      </c>
      <c r="U400" s="163" t="str">
        <f t="shared" ca="1" si="41"/>
        <v/>
      </c>
      <c r="V400" s="164" t="str">
        <f ca="1">IF(AND($W400&gt;0,RegimeExecucao="Unitário"),$F400,"")</f>
        <v/>
      </c>
      <c r="W400" s="454">
        <f ca="1">IF($Y400&gt;0,CHOOSE(MATCH(RegimeExecucao,{"Unitário","Global"},0),IF($A400="S",$Y400/$X400,""),($Y400/$X400)*100),0)</f>
        <v>0</v>
      </c>
      <c r="X400" s="339" t="str">
        <f ca="1">IF($Y400&gt;0,CHOOSE(MATCH(RegimeExecucao,{"Unitário","Global"},0),IF($A400="S",ROUND($H400,ORÇAMENTO!$AF$10),""),ROUND($I400,ORÇAMENTO!$AF$11)),"")</f>
        <v/>
      </c>
      <c r="Y400" s="339">
        <f t="shared" ca="1" si="42"/>
        <v>0</v>
      </c>
      <c r="Z400" s="473"/>
      <c r="AB400" s="337"/>
      <c r="AC400" s="437"/>
      <c r="AD400" s="437"/>
      <c r="AE400" s="437"/>
      <c r="AF400" s="437"/>
      <c r="AG400" s="437"/>
      <c r="AH400" s="437"/>
      <c r="AI400" s="437"/>
      <c r="AJ400" s="437"/>
      <c r="AK400" s="437"/>
      <c r="AL400" s="437"/>
      <c r="AM400" s="338"/>
      <c r="AO400">
        <f ca="1">IF($A400="S",IF(BM!$I400=0,0,CHOOSE(MATCH(RegimeExecucao,{"Global","Unitário"},0),ROUND(ROUND(BM.MEDAcumulado,15-13*BM!$A$9)/100*BM!$I400,15-13*ORÇAMENTO!$AF$11),ROUND(ROUND(BM.MEDAcumulado,15-13*BM!$A$9)*ROUND(BM!$H400,15-13*ORÇAMENTO!$AF$10),15-13*ORÇAMENTO!$AF$11))),IF($A400=0,0,ROUND(SomaAgrupBM,15-13*ORÇAMENTO!$AF$11)))</f>
        <v>0</v>
      </c>
    </row>
    <row r="401" spans="1:41" ht="38.25" x14ac:dyDescent="0.2">
      <c r="A401" t="str">
        <f ca="1">ORÇAMENTO!C401</f>
        <v>S</v>
      </c>
      <c r="B401">
        <f ca="1">ORÇAMENTO!D401</f>
        <v>0</v>
      </c>
      <c r="C401" s="114" t="str">
        <f t="shared" ca="1" si="36"/>
        <v>F</v>
      </c>
      <c r="D401" s="117" t="str">
        <f ca="1">ORÇAMENTO!O401</f>
        <v>1.8.2.3.1.</v>
      </c>
      <c r="E401" s="163" t="str">
        <f t="shared" ca="1" si="37"/>
        <v>CABO DE COBRE FLEXÍVEL ISOLADO, 2,5 MM², ANTI-CHAMA 450/750 V, PARA CIRCUITOS TERMINAIS - FORNECIMENTO E INSTALAÇÃO. AF_03/2023</v>
      </c>
      <c r="F401" s="164" t="str">
        <f ca="1">IF(RegimeExecucao="Global","",ORÇAMENTO.Unidade)</f>
        <v>M</v>
      </c>
      <c r="G401" s="122">
        <f ca="1">IF(RegimeExecucao="Global","",ORÇAMENTO!T401)</f>
        <v>93</v>
      </c>
      <c r="H401" s="122">
        <f ca="1">IF(RegimeExecucao="Global","",ORÇAMENTO!W401)</f>
        <v>5.52</v>
      </c>
      <c r="I401" s="125">
        <f ca="1">ORÇAMENTO!X401</f>
        <v>513.36</v>
      </c>
      <c r="J401" s="333" cm="1">
        <f t="array" aca="1" ref="J401" ca="1">_xlfn.SINGLE(IF($A401="S",IF(CAIXA.Modo,BM.AFAnterior,BM.MEDAnterior),IF(AND(_xlfn.SINGLE(RegimeExecucao)="Global",$I401&gt;0,COUNTIF($AB$13:$AM$13,BM.medicao-1)&gt;0),M401/$I401*100,0)))</f>
        <v>0</v>
      </c>
      <c r="K401" s="122">
        <f t="shared" ca="1" si="38"/>
        <v>0</v>
      </c>
      <c r="L401" s="334" cm="1">
        <f t="array" aca="1" ref="L401" ca="1">_xlfn.SINGLE(IF($A401="S",IF(CAIXA.Modo,BM.AFAcumulado,BM.MEDAcumulado),IF(AND(_xlfn.SINGLE(RegimeExecucao)="Global",$I401&gt;0,COUNTIF($AB$13:$AM$13,BM.medicao)&gt;0),O401/$I401*100,0)))</f>
        <v>0</v>
      </c>
      <c r="M401" s="335">
        <f ca="1">IF($A401="S",VTOTALBM,IF($A401=0,0,ROUND(SomaAgrupBM,15-13*ORÇAMENTO!$AF$11)))</f>
        <v>0</v>
      </c>
      <c r="N401" s="336">
        <f t="shared" ca="1" si="39"/>
        <v>0</v>
      </c>
      <c r="O401" s="125">
        <f ca="1">IF($A401="S",VTOTALBM,IF($A401=0,0,ROUND(SomaAgrupBM,15-13*ORÇAMENTO!$AF$11)))</f>
        <v>0</v>
      </c>
      <c r="Q401" s="337"/>
      <c r="R401" s="338"/>
      <c r="T401" s="117" t="str">
        <f t="shared" ca="1" si="40"/>
        <v/>
      </c>
      <c r="U401" s="163" t="str">
        <f t="shared" ca="1" si="41"/>
        <v/>
      </c>
      <c r="V401" s="164" t="str">
        <f ca="1">IF(AND($W401&gt;0,RegimeExecucao="Unitário"),$F401,"")</f>
        <v/>
      </c>
      <c r="W401" s="454">
        <f ca="1">IF($Y401&gt;0,CHOOSE(MATCH(RegimeExecucao,{"Unitário","Global"},0),IF($A401="S",$Y401/$X401,""),($Y401/$X401)*100),0)</f>
        <v>0</v>
      </c>
      <c r="X401" s="339" t="str">
        <f ca="1">IF($Y401&gt;0,CHOOSE(MATCH(RegimeExecucao,{"Unitário","Global"},0),IF($A401="S",ROUND($H401,ORÇAMENTO!$AF$10),""),ROUND($I401,ORÇAMENTO!$AF$11)),"")</f>
        <v/>
      </c>
      <c r="Y401" s="339">
        <f t="shared" ca="1" si="42"/>
        <v>0</v>
      </c>
      <c r="Z401" s="473"/>
      <c r="AB401" s="337"/>
      <c r="AC401" s="437"/>
      <c r="AD401" s="437"/>
      <c r="AE401" s="437"/>
      <c r="AF401" s="437"/>
      <c r="AG401" s="437"/>
      <c r="AH401" s="437"/>
      <c r="AI401" s="437"/>
      <c r="AJ401" s="437"/>
      <c r="AK401" s="437"/>
      <c r="AL401" s="437"/>
      <c r="AM401" s="338"/>
      <c r="AO401">
        <f ca="1">IF($A401="S",IF(BM!$I401=0,0,CHOOSE(MATCH(RegimeExecucao,{"Global","Unitário"},0),ROUND(ROUND(BM.MEDAcumulado,15-13*BM!$A$9)/100*BM!$I401,15-13*ORÇAMENTO!$AF$11),ROUND(ROUND(BM.MEDAcumulado,15-13*BM!$A$9)*ROUND(BM!$H401,15-13*ORÇAMENTO!$AF$10),15-13*ORÇAMENTO!$AF$11))),IF($A401=0,0,ROUND(SomaAgrupBM,15-13*ORÇAMENTO!$AF$11)))</f>
        <v>0</v>
      </c>
    </row>
    <row r="402" spans="1:41" ht="38.25" x14ac:dyDescent="0.2">
      <c r="A402" t="str">
        <f ca="1">ORÇAMENTO!C402</f>
        <v>S</v>
      </c>
      <c r="B402">
        <f ca="1">ORÇAMENTO!D402</f>
        <v>0</v>
      </c>
      <c r="C402" s="114" t="str">
        <f t="shared" ref="C402:C468" ca="1" si="43">IF(OR($I402&gt;0,$A402=1,$A402=2,$A402=3,$A402=4),"F","")</f>
        <v>F</v>
      </c>
      <c r="D402" s="117" t="str">
        <f ca="1">ORÇAMENTO!O402</f>
        <v>1.8.2.3.2.</v>
      </c>
      <c r="E402" s="163" t="str">
        <f t="shared" ref="E402:E468" ca="1" si="44">ORÇAMENTO.Descricao</f>
        <v>CABO DE COBRE FLEXÍVEL ISOLADO, 4 MM², ANTI-CHAMA 450/750 V, PARA CIRCUITOS TERMINAIS - FORNECIMENTO E INSTALAÇÃO. AF_03/2023</v>
      </c>
      <c r="F402" s="164" t="str">
        <f ca="1">IF(RegimeExecucao="Global","",ORÇAMENTO.Unidade)</f>
        <v>M</v>
      </c>
      <c r="G402" s="122">
        <f ca="1">IF(RegimeExecucao="Global","",ORÇAMENTO!T402)</f>
        <v>93</v>
      </c>
      <c r="H402" s="122">
        <f ca="1">IF(RegimeExecucao="Global","",ORÇAMENTO!W402)</f>
        <v>8.52</v>
      </c>
      <c r="I402" s="125">
        <f ca="1">ORÇAMENTO!X402</f>
        <v>792.36</v>
      </c>
      <c r="J402" s="333" cm="1">
        <f t="array" aca="1" ref="J402" ca="1">_xlfn.SINGLE(IF($A402="S",IF(CAIXA.Modo,BM.AFAnterior,BM.MEDAnterior),IF(AND(_xlfn.SINGLE(RegimeExecucao)="Global",$I402&gt;0,COUNTIF($AB$13:$AM$13,BM.medicao-1)&gt;0),M402/$I402*100,0)))</f>
        <v>0</v>
      </c>
      <c r="K402" s="122">
        <f t="shared" ref="K402:K468" ca="1" si="45">L402-J402</f>
        <v>0</v>
      </c>
      <c r="L402" s="334" cm="1">
        <f t="array" aca="1" ref="L402" ca="1">_xlfn.SINGLE(IF($A402="S",IF(CAIXA.Modo,BM.AFAcumulado,BM.MEDAcumulado),IF(AND(_xlfn.SINGLE(RegimeExecucao)="Global",$I402&gt;0,COUNTIF($AB$13:$AM$13,BM.medicao)&gt;0),O402/$I402*100,0)))</f>
        <v>0</v>
      </c>
      <c r="M402" s="335">
        <f ca="1">IF($A402="S",VTOTALBM,IF($A402=0,0,ROUND(SomaAgrupBM,15-13*ORÇAMENTO!$AF$11)))</f>
        <v>0</v>
      </c>
      <c r="N402" s="336">
        <f t="shared" ref="N402:N468" ca="1" si="46">O402-M402</f>
        <v>0</v>
      </c>
      <c r="O402" s="125">
        <f ca="1">IF($A402="S",VTOTALBM,IF($A402=0,0,ROUND(SomaAgrupBM,15-13*ORÇAMENTO!$AF$11)))</f>
        <v>0</v>
      </c>
      <c r="Q402" s="337"/>
      <c r="R402" s="338"/>
      <c r="T402" s="117" t="str">
        <f t="shared" ref="T402:T468" ca="1" si="47">IF($W402&gt;0,$D402,"")</f>
        <v/>
      </c>
      <c r="U402" s="163" t="str">
        <f t="shared" ref="U402:U468" ca="1" si="48">IF($W402&gt;0,$E402,"")</f>
        <v/>
      </c>
      <c r="V402" s="164" t="str">
        <f ca="1">IF(AND($W402&gt;0,RegimeExecucao="Unitário"),$F402,"")</f>
        <v/>
      </c>
      <c r="W402" s="454">
        <f ca="1">IF($Y402&gt;0,CHOOSE(MATCH(RegimeExecucao,{"Unitário","Global"},0),IF($A402="S",$Y402/$X402,""),($Y402/$X402)*100),0)</f>
        <v>0</v>
      </c>
      <c r="X402" s="339" t="str">
        <f ca="1">IF($Y402&gt;0,CHOOSE(MATCH(RegimeExecucao,{"Unitário","Global"},0),IF($A402="S",ROUND($H402,ORÇAMENTO!$AF$10),""),ROUND($I402,ORÇAMENTO!$AF$11)),"")</f>
        <v/>
      </c>
      <c r="Y402" s="339">
        <f t="shared" ref="Y402:Y468" ca="1" si="49">AO402-O402</f>
        <v>0</v>
      </c>
      <c r="Z402" s="473"/>
      <c r="AB402" s="337"/>
      <c r="AC402" s="437"/>
      <c r="AD402" s="437"/>
      <c r="AE402" s="437"/>
      <c r="AF402" s="437"/>
      <c r="AG402" s="437"/>
      <c r="AH402" s="437"/>
      <c r="AI402" s="437"/>
      <c r="AJ402" s="437"/>
      <c r="AK402" s="437"/>
      <c r="AL402" s="437"/>
      <c r="AM402" s="338"/>
      <c r="AO402">
        <f ca="1">IF($A402="S",IF(BM!$I402=0,0,CHOOSE(MATCH(RegimeExecucao,{"Global","Unitário"},0),ROUND(ROUND(BM.MEDAcumulado,15-13*BM!$A$9)/100*BM!$I402,15-13*ORÇAMENTO!$AF$11),ROUND(ROUND(BM.MEDAcumulado,15-13*BM!$A$9)*ROUND(BM!$H402,15-13*ORÇAMENTO!$AF$10),15-13*ORÇAMENTO!$AF$11))),IF($A402=0,0,ROUND(SomaAgrupBM,15-13*ORÇAMENTO!$AF$11)))</f>
        <v>0</v>
      </c>
    </row>
    <row r="403" spans="1:41" ht="38.25" x14ac:dyDescent="0.2">
      <c r="A403" t="str">
        <f ca="1">ORÇAMENTO!C403</f>
        <v>S</v>
      </c>
      <c r="B403">
        <f ca="1">ORÇAMENTO!D403</f>
        <v>0</v>
      </c>
      <c r="C403" s="114" t="str">
        <f t="shared" ca="1" si="43"/>
        <v>F</v>
      </c>
      <c r="D403" s="117" t="str">
        <f ca="1">ORÇAMENTO!O403</f>
        <v>1.8.2.3.3.</v>
      </c>
      <c r="E403" s="163" t="str">
        <f t="shared" ca="1" si="44"/>
        <v>CABO DE COBRE FLEXÍVEL ISOLADO, 16 MM², ANTI-CHAMA 450/750 V, PARA CIRCUITOS TERMINAIS - FORNECIMENTO E INSTALAÇÃO. AF_03/2023</v>
      </c>
      <c r="F403" s="164" t="str">
        <f ca="1">IF(RegimeExecucao="Global","",ORÇAMENTO.Unidade)</f>
        <v>M</v>
      </c>
      <c r="G403" s="122">
        <f ca="1">IF(RegimeExecucao="Global","",ORÇAMENTO!T403)</f>
        <v>16</v>
      </c>
      <c r="H403" s="122">
        <f ca="1">IF(RegimeExecucao="Global","",ORÇAMENTO!W403)</f>
        <v>30.6</v>
      </c>
      <c r="I403" s="125">
        <f ca="1">ORÇAMENTO!X403</f>
        <v>489.6</v>
      </c>
      <c r="J403" s="333" cm="1">
        <f t="array" aca="1" ref="J403" ca="1">_xlfn.SINGLE(IF($A403="S",IF(CAIXA.Modo,BM.AFAnterior,BM.MEDAnterior),IF(AND(_xlfn.SINGLE(RegimeExecucao)="Global",$I403&gt;0,COUNTIF($AB$13:$AM$13,BM.medicao-1)&gt;0),M403/$I403*100,0)))</f>
        <v>0</v>
      </c>
      <c r="K403" s="122">
        <f t="shared" ca="1" si="45"/>
        <v>0</v>
      </c>
      <c r="L403" s="334" cm="1">
        <f t="array" aca="1" ref="L403" ca="1">_xlfn.SINGLE(IF($A403="S",IF(CAIXA.Modo,BM.AFAcumulado,BM.MEDAcumulado),IF(AND(_xlfn.SINGLE(RegimeExecucao)="Global",$I403&gt;0,COUNTIF($AB$13:$AM$13,BM.medicao)&gt;0),O403/$I403*100,0)))</f>
        <v>0</v>
      </c>
      <c r="M403" s="335">
        <f ca="1">IF($A403="S",VTOTALBM,IF($A403=0,0,ROUND(SomaAgrupBM,15-13*ORÇAMENTO!$AF$11)))</f>
        <v>0</v>
      </c>
      <c r="N403" s="336">
        <f t="shared" ca="1" si="46"/>
        <v>0</v>
      </c>
      <c r="O403" s="125">
        <f ca="1">IF($A403="S",VTOTALBM,IF($A403=0,0,ROUND(SomaAgrupBM,15-13*ORÇAMENTO!$AF$11)))</f>
        <v>0</v>
      </c>
      <c r="Q403" s="337"/>
      <c r="R403" s="338"/>
      <c r="T403" s="117" t="str">
        <f t="shared" ca="1" si="47"/>
        <v/>
      </c>
      <c r="U403" s="163" t="str">
        <f t="shared" ca="1" si="48"/>
        <v/>
      </c>
      <c r="V403" s="164" t="str">
        <f ca="1">IF(AND($W403&gt;0,RegimeExecucao="Unitário"),$F403,"")</f>
        <v/>
      </c>
      <c r="W403" s="454">
        <f ca="1">IF($Y403&gt;0,CHOOSE(MATCH(RegimeExecucao,{"Unitário","Global"},0),IF($A403="S",$Y403/$X403,""),($Y403/$X403)*100),0)</f>
        <v>0</v>
      </c>
      <c r="X403" s="339" t="str">
        <f ca="1">IF($Y403&gt;0,CHOOSE(MATCH(RegimeExecucao,{"Unitário","Global"},0),IF($A403="S",ROUND($H403,ORÇAMENTO!$AF$10),""),ROUND($I403,ORÇAMENTO!$AF$11)),"")</f>
        <v/>
      </c>
      <c r="Y403" s="339">
        <f t="shared" ca="1" si="49"/>
        <v>0</v>
      </c>
      <c r="Z403" s="473"/>
      <c r="AB403" s="337"/>
      <c r="AC403" s="437"/>
      <c r="AD403" s="437"/>
      <c r="AE403" s="437"/>
      <c r="AF403" s="437"/>
      <c r="AG403" s="437"/>
      <c r="AH403" s="437"/>
      <c r="AI403" s="437"/>
      <c r="AJ403" s="437"/>
      <c r="AK403" s="437"/>
      <c r="AL403" s="437"/>
      <c r="AM403" s="338"/>
      <c r="AO403">
        <f ca="1">IF($A403="S",IF(BM!$I403=0,0,CHOOSE(MATCH(RegimeExecucao,{"Global","Unitário"},0),ROUND(ROUND(BM.MEDAcumulado,15-13*BM!$A$9)/100*BM!$I403,15-13*ORÇAMENTO!$AF$11),ROUND(ROUND(BM.MEDAcumulado,15-13*BM!$A$9)*ROUND(BM!$H403,15-13*ORÇAMENTO!$AF$10),15-13*ORÇAMENTO!$AF$11))),IF($A403=0,0,ROUND(SomaAgrupBM,15-13*ORÇAMENTO!$AF$11)))</f>
        <v>0</v>
      </c>
    </row>
    <row r="404" spans="1:41" ht="38.25" x14ac:dyDescent="0.2">
      <c r="A404" t="str">
        <f ca="1">ORÇAMENTO!C404</f>
        <v>S</v>
      </c>
      <c r="B404">
        <f ca="1">ORÇAMENTO!D404</f>
        <v>0</v>
      </c>
      <c r="C404" s="114" t="str">
        <f t="shared" ca="1" si="43"/>
        <v>F</v>
      </c>
      <c r="D404" s="117" t="str">
        <f ca="1">ORÇAMENTO!O404</f>
        <v>1.8.2.3.4.</v>
      </c>
      <c r="E404" s="163" t="str">
        <f t="shared" ca="1" si="44"/>
        <v>CABO DE COBRE FLEXÍVEL, CLASSE 5, ISOLAMENTO TIPO LSHF/ATOX, NÃO HALOGENADO, ANTICHAMA, TERMOPLÁSTICO, UNIPOLAR, SEÇÃO 16 MM2, 70°C, 450/750V</v>
      </c>
      <c r="F404" s="164" t="str">
        <f ca="1">IF(RegimeExecucao="Global","",ORÇAMENTO.Unidade)</f>
        <v>M</v>
      </c>
      <c r="G404" s="122">
        <f ca="1">IF(RegimeExecucao="Global","",ORÇAMENTO!T404)</f>
        <v>209</v>
      </c>
      <c r="H404" s="122">
        <f ca="1">IF(RegimeExecucao="Global","",ORÇAMENTO!W404)</f>
        <v>22.58</v>
      </c>
      <c r="I404" s="125">
        <f ca="1">ORÇAMENTO!X404</f>
        <v>4719.22</v>
      </c>
      <c r="J404" s="333" cm="1">
        <f t="array" aca="1" ref="J404" ca="1">_xlfn.SINGLE(IF($A404="S",IF(CAIXA.Modo,BM.AFAnterior,BM.MEDAnterior),IF(AND(_xlfn.SINGLE(RegimeExecucao)="Global",$I404&gt;0,COUNTIF($AB$13:$AM$13,BM.medicao-1)&gt;0),M404/$I404*100,0)))</f>
        <v>0</v>
      </c>
      <c r="K404" s="122">
        <f t="shared" ca="1" si="45"/>
        <v>0</v>
      </c>
      <c r="L404" s="334" cm="1">
        <f t="array" aca="1" ref="L404" ca="1">_xlfn.SINGLE(IF($A404="S",IF(CAIXA.Modo,BM.AFAcumulado,BM.MEDAcumulado),IF(AND(_xlfn.SINGLE(RegimeExecucao)="Global",$I404&gt;0,COUNTIF($AB$13:$AM$13,BM.medicao)&gt;0),O404/$I404*100,0)))</f>
        <v>0</v>
      </c>
      <c r="M404" s="335">
        <f ca="1">IF($A404="S",VTOTALBM,IF($A404=0,0,ROUND(SomaAgrupBM,15-13*ORÇAMENTO!$AF$11)))</f>
        <v>0</v>
      </c>
      <c r="N404" s="336">
        <f t="shared" ca="1" si="46"/>
        <v>0</v>
      </c>
      <c r="O404" s="125">
        <f ca="1">IF($A404="S",VTOTALBM,IF($A404=0,0,ROUND(SomaAgrupBM,15-13*ORÇAMENTO!$AF$11)))</f>
        <v>0</v>
      </c>
      <c r="Q404" s="337"/>
      <c r="R404" s="338"/>
      <c r="T404" s="117" t="str">
        <f t="shared" ca="1" si="47"/>
        <v/>
      </c>
      <c r="U404" s="163" t="str">
        <f t="shared" ca="1" si="48"/>
        <v/>
      </c>
      <c r="V404" s="164" t="str">
        <f ca="1">IF(AND($W404&gt;0,RegimeExecucao="Unitário"),$F404,"")</f>
        <v/>
      </c>
      <c r="W404" s="454">
        <f ca="1">IF($Y404&gt;0,CHOOSE(MATCH(RegimeExecucao,{"Unitário","Global"},0),IF($A404="S",$Y404/$X404,""),($Y404/$X404)*100),0)</f>
        <v>0</v>
      </c>
      <c r="X404" s="339" t="str">
        <f ca="1">IF($Y404&gt;0,CHOOSE(MATCH(RegimeExecucao,{"Unitário","Global"},0),IF($A404="S",ROUND($H404,ORÇAMENTO!$AF$10),""),ROUND($I404,ORÇAMENTO!$AF$11)),"")</f>
        <v/>
      </c>
      <c r="Y404" s="339">
        <f t="shared" ca="1" si="49"/>
        <v>0</v>
      </c>
      <c r="Z404" s="473"/>
      <c r="AB404" s="337"/>
      <c r="AC404" s="437"/>
      <c r="AD404" s="437"/>
      <c r="AE404" s="437"/>
      <c r="AF404" s="437"/>
      <c r="AG404" s="437"/>
      <c r="AH404" s="437"/>
      <c r="AI404" s="437"/>
      <c r="AJ404" s="437"/>
      <c r="AK404" s="437"/>
      <c r="AL404" s="437"/>
      <c r="AM404" s="338"/>
      <c r="AO404">
        <f ca="1">IF($A404="S",IF(BM!$I404=0,0,CHOOSE(MATCH(RegimeExecucao,{"Global","Unitário"},0),ROUND(ROUND(BM.MEDAcumulado,15-13*BM!$A$9)/100*BM!$I404,15-13*ORÇAMENTO!$AF$11),ROUND(ROUND(BM.MEDAcumulado,15-13*BM!$A$9)*ROUND(BM!$H404,15-13*ORÇAMENTO!$AF$10),15-13*ORÇAMENTO!$AF$11))),IF($A404=0,0,ROUND(SomaAgrupBM,15-13*ORÇAMENTO!$AF$11)))</f>
        <v>0</v>
      </c>
    </row>
    <row r="405" spans="1:41" ht="38.25" x14ac:dyDescent="0.2">
      <c r="A405" t="str">
        <f ca="1">ORÇAMENTO!C405</f>
        <v>S</v>
      </c>
      <c r="B405">
        <f ca="1">ORÇAMENTO!D405</f>
        <v>0</v>
      </c>
      <c r="C405" s="114" t="str">
        <f t="shared" ca="1" si="43"/>
        <v>F</v>
      </c>
      <c r="D405" s="117" t="str">
        <f ca="1">ORÇAMENTO!O405</f>
        <v>1.8.2.3.5.</v>
      </c>
      <c r="E405" s="163" t="str">
        <f t="shared" ca="1" si="44"/>
        <v>CABO DE COBRE FLEXÍVEL, CLASSE 5, ISOLAMENTO TIPO EPR/HEPR, NÃO HALOGENADO, ANTICHAMA, TERMOFIXO, UNIPOLAR, SEÇÃO 25 MM2, 90°C, 0,6/1KV</v>
      </c>
      <c r="F405" s="164" t="str">
        <f ca="1">IF(RegimeExecucao="Global","",ORÇAMENTO.Unidade)</f>
        <v>M</v>
      </c>
      <c r="G405" s="122">
        <f ca="1">IF(RegimeExecucao="Global","",ORÇAMENTO!T405)</f>
        <v>637</v>
      </c>
      <c r="H405" s="122">
        <f ca="1">IF(RegimeExecucao="Global","",ORÇAMENTO!W405)</f>
        <v>36.49</v>
      </c>
      <c r="I405" s="125">
        <f ca="1">ORÇAMENTO!X405</f>
        <v>23244.13</v>
      </c>
      <c r="J405" s="333" cm="1">
        <f t="array" aca="1" ref="J405" ca="1">_xlfn.SINGLE(IF($A405="S",IF(CAIXA.Modo,BM.AFAnterior,BM.MEDAnterior),IF(AND(_xlfn.SINGLE(RegimeExecucao)="Global",$I405&gt;0,COUNTIF($AB$13:$AM$13,BM.medicao-1)&gt;0),M405/$I405*100,0)))</f>
        <v>0</v>
      </c>
      <c r="K405" s="122">
        <f t="shared" ca="1" si="45"/>
        <v>0</v>
      </c>
      <c r="L405" s="334" cm="1">
        <f t="array" aca="1" ref="L405" ca="1">_xlfn.SINGLE(IF($A405="S",IF(CAIXA.Modo,BM.AFAcumulado,BM.MEDAcumulado),IF(AND(_xlfn.SINGLE(RegimeExecucao)="Global",$I405&gt;0,COUNTIF($AB$13:$AM$13,BM.medicao)&gt;0),O405/$I405*100,0)))</f>
        <v>0</v>
      </c>
      <c r="M405" s="335">
        <f ca="1">IF($A405="S",VTOTALBM,IF($A405=0,0,ROUND(SomaAgrupBM,15-13*ORÇAMENTO!$AF$11)))</f>
        <v>0</v>
      </c>
      <c r="N405" s="336">
        <f t="shared" ca="1" si="46"/>
        <v>0</v>
      </c>
      <c r="O405" s="125">
        <f ca="1">IF($A405="S",VTOTALBM,IF($A405=0,0,ROUND(SomaAgrupBM,15-13*ORÇAMENTO!$AF$11)))</f>
        <v>0</v>
      </c>
      <c r="Q405" s="337"/>
      <c r="R405" s="338"/>
      <c r="T405" s="117" t="str">
        <f t="shared" ca="1" si="47"/>
        <v/>
      </c>
      <c r="U405" s="163" t="str">
        <f t="shared" ca="1" si="48"/>
        <v/>
      </c>
      <c r="V405" s="164" t="str">
        <f ca="1">IF(AND($W405&gt;0,RegimeExecucao="Unitário"),$F405,"")</f>
        <v/>
      </c>
      <c r="W405" s="454">
        <f ca="1">IF($Y405&gt;0,CHOOSE(MATCH(RegimeExecucao,{"Unitário","Global"},0),IF($A405="S",$Y405/$X405,""),($Y405/$X405)*100),0)</f>
        <v>0</v>
      </c>
      <c r="X405" s="339" t="str">
        <f ca="1">IF($Y405&gt;0,CHOOSE(MATCH(RegimeExecucao,{"Unitário","Global"},0),IF($A405="S",ROUND($H405,ORÇAMENTO!$AF$10),""),ROUND($I405,ORÇAMENTO!$AF$11)),"")</f>
        <v/>
      </c>
      <c r="Y405" s="339">
        <f t="shared" ca="1" si="49"/>
        <v>0</v>
      </c>
      <c r="Z405" s="473"/>
      <c r="AB405" s="337"/>
      <c r="AC405" s="437"/>
      <c r="AD405" s="437"/>
      <c r="AE405" s="437"/>
      <c r="AF405" s="437"/>
      <c r="AG405" s="437"/>
      <c r="AH405" s="437"/>
      <c r="AI405" s="437"/>
      <c r="AJ405" s="437"/>
      <c r="AK405" s="437"/>
      <c r="AL405" s="437"/>
      <c r="AM405" s="338"/>
      <c r="AO405">
        <f ca="1">IF($A405="S",IF(BM!$I405=0,0,CHOOSE(MATCH(RegimeExecucao,{"Global","Unitário"},0),ROUND(ROUND(BM.MEDAcumulado,15-13*BM!$A$9)/100*BM!$I405,15-13*ORÇAMENTO!$AF$11),ROUND(ROUND(BM.MEDAcumulado,15-13*BM!$A$9)*ROUND(BM!$H405,15-13*ORÇAMENTO!$AF$10),15-13*ORÇAMENTO!$AF$11))),IF($A405=0,0,ROUND(SomaAgrupBM,15-13*ORÇAMENTO!$AF$11)))</f>
        <v>0</v>
      </c>
    </row>
    <row r="406" spans="1:41" ht="38.25" x14ac:dyDescent="0.2">
      <c r="A406" t="str">
        <f ca="1">ORÇAMENTO!C406</f>
        <v>S</v>
      </c>
      <c r="B406">
        <f ca="1">ORÇAMENTO!D406</f>
        <v>0</v>
      </c>
      <c r="C406" s="114" t="str">
        <f t="shared" ca="1" si="43"/>
        <v>F</v>
      </c>
      <c r="D406" s="117" t="str">
        <f ca="1">ORÇAMENTO!O406</f>
        <v>1.8.2.3.6.</v>
      </c>
      <c r="E406" s="163" t="str">
        <f t="shared" ca="1" si="44"/>
        <v>CABO DE COBRE FLEXÍVEL, CLASSE 5, ISOLAMENTO TIPO EPR/HEPR, NÃO HALOGENADO, ANTICHAMA, TERMOFIXO, UNIPOLAR, SEÇÃO 50 MM2, 90°C, 0,6/1KV</v>
      </c>
      <c r="F406" s="164" t="str">
        <f ca="1">IF(RegimeExecucao="Global","",ORÇAMENTO.Unidade)</f>
        <v>M</v>
      </c>
      <c r="G406" s="122">
        <f ca="1">IF(RegimeExecucao="Global","",ORÇAMENTO!T406)</f>
        <v>123</v>
      </c>
      <c r="H406" s="122">
        <f ca="1">IF(RegimeExecucao="Global","",ORÇAMENTO!W406)</f>
        <v>57.45</v>
      </c>
      <c r="I406" s="125">
        <f ca="1">ORÇAMENTO!X406</f>
        <v>7066.35</v>
      </c>
      <c r="J406" s="333" cm="1">
        <f t="array" aca="1" ref="J406" ca="1">_xlfn.SINGLE(IF($A406="S",IF(CAIXA.Modo,BM.AFAnterior,BM.MEDAnterior),IF(AND(_xlfn.SINGLE(RegimeExecucao)="Global",$I406&gt;0,COUNTIF($AB$13:$AM$13,BM.medicao-1)&gt;0),M406/$I406*100,0)))</f>
        <v>0</v>
      </c>
      <c r="K406" s="122">
        <f t="shared" ca="1" si="45"/>
        <v>0</v>
      </c>
      <c r="L406" s="334" cm="1">
        <f t="array" aca="1" ref="L406" ca="1">_xlfn.SINGLE(IF($A406="S",IF(CAIXA.Modo,BM.AFAcumulado,BM.MEDAcumulado),IF(AND(_xlfn.SINGLE(RegimeExecucao)="Global",$I406&gt;0,COUNTIF($AB$13:$AM$13,BM.medicao)&gt;0),O406/$I406*100,0)))</f>
        <v>0</v>
      </c>
      <c r="M406" s="335">
        <f ca="1">IF($A406="S",VTOTALBM,IF($A406=0,0,ROUND(SomaAgrupBM,15-13*ORÇAMENTO!$AF$11)))</f>
        <v>0</v>
      </c>
      <c r="N406" s="336">
        <f t="shared" ca="1" si="46"/>
        <v>0</v>
      </c>
      <c r="O406" s="125">
        <f ca="1">IF($A406="S",VTOTALBM,IF($A406=0,0,ROUND(SomaAgrupBM,15-13*ORÇAMENTO!$AF$11)))</f>
        <v>0</v>
      </c>
      <c r="Q406" s="337"/>
      <c r="R406" s="338"/>
      <c r="T406" s="117" t="str">
        <f t="shared" ca="1" si="47"/>
        <v/>
      </c>
      <c r="U406" s="163" t="str">
        <f t="shared" ca="1" si="48"/>
        <v/>
      </c>
      <c r="V406" s="164" t="str">
        <f ca="1">IF(AND($W406&gt;0,RegimeExecucao="Unitário"),$F406,"")</f>
        <v/>
      </c>
      <c r="W406" s="454">
        <f ca="1">IF($Y406&gt;0,CHOOSE(MATCH(RegimeExecucao,{"Unitário","Global"},0),IF($A406="S",$Y406/$X406,""),($Y406/$X406)*100),0)</f>
        <v>0</v>
      </c>
      <c r="X406" s="339" t="str">
        <f ca="1">IF($Y406&gt;0,CHOOSE(MATCH(RegimeExecucao,{"Unitário","Global"},0),IF($A406="S",ROUND($H406,ORÇAMENTO!$AF$10),""),ROUND($I406,ORÇAMENTO!$AF$11)),"")</f>
        <v/>
      </c>
      <c r="Y406" s="339">
        <f t="shared" ca="1" si="49"/>
        <v>0</v>
      </c>
      <c r="Z406" s="473"/>
      <c r="AB406" s="337"/>
      <c r="AC406" s="437"/>
      <c r="AD406" s="437"/>
      <c r="AE406" s="437"/>
      <c r="AF406" s="437"/>
      <c r="AG406" s="437"/>
      <c r="AH406" s="437"/>
      <c r="AI406" s="437"/>
      <c r="AJ406" s="437"/>
      <c r="AK406" s="437"/>
      <c r="AL406" s="437"/>
      <c r="AM406" s="338"/>
      <c r="AO406">
        <f ca="1">IF($A406="S",IF(BM!$I406=0,0,CHOOSE(MATCH(RegimeExecucao,{"Global","Unitário"},0),ROUND(ROUND(BM.MEDAcumulado,15-13*BM!$A$9)/100*BM!$I406,15-13*ORÇAMENTO!$AF$11),ROUND(ROUND(BM.MEDAcumulado,15-13*BM!$A$9)*ROUND(BM!$H406,15-13*ORÇAMENTO!$AF$10),15-13*ORÇAMENTO!$AF$11))),IF($A406=0,0,ROUND(SomaAgrupBM,15-13*ORÇAMENTO!$AF$11)))</f>
        <v>0</v>
      </c>
    </row>
    <row r="407" spans="1:41" ht="38.25" x14ac:dyDescent="0.2">
      <c r="A407" t="str">
        <f ca="1">ORÇAMENTO!C407</f>
        <v>S</v>
      </c>
      <c r="B407">
        <f ca="1">ORÇAMENTO!D407</f>
        <v>0</v>
      </c>
      <c r="C407" s="114" t="str">
        <f t="shared" ca="1" si="43"/>
        <v>F</v>
      </c>
      <c r="D407" s="117" t="str">
        <f ca="1">ORÇAMENTO!O407</f>
        <v>1.8.2.3.7.</v>
      </c>
      <c r="E407" s="163" t="str">
        <f t="shared" ca="1" si="44"/>
        <v>CABO DE COBRE FLEXÍVEL, CLASSE 5, ISOLAMENTO TIPO EPR/HEPR, NÃO HALOGENADO, ANTICHAMA, TERMOFIXO, UNIPOLAR, SEÇÃO 95 MM2, 90°C, 0,6/1KV</v>
      </c>
      <c r="F407" s="164" t="str">
        <f ca="1">IF(RegimeExecucao="Global","",ORÇAMENTO.Unidade)</f>
        <v>M</v>
      </c>
      <c r="G407" s="122">
        <f ca="1">IF(RegimeExecucao="Global","",ORÇAMENTO!T407)</f>
        <v>321</v>
      </c>
      <c r="H407" s="122">
        <f ca="1">IF(RegimeExecucao="Global","",ORÇAMENTO!W407)</f>
        <v>121.56</v>
      </c>
      <c r="I407" s="125">
        <f ca="1">ORÇAMENTO!X407</f>
        <v>39020.76</v>
      </c>
      <c r="J407" s="333" cm="1">
        <f t="array" aca="1" ref="J407" ca="1">_xlfn.SINGLE(IF($A407="S",IF(CAIXA.Modo,BM.AFAnterior,BM.MEDAnterior),IF(AND(_xlfn.SINGLE(RegimeExecucao)="Global",$I407&gt;0,COUNTIF($AB$13:$AM$13,BM.medicao-1)&gt;0),M407/$I407*100,0)))</f>
        <v>0</v>
      </c>
      <c r="K407" s="122">
        <f t="shared" ca="1" si="45"/>
        <v>0</v>
      </c>
      <c r="L407" s="334" cm="1">
        <f t="array" aca="1" ref="L407" ca="1">_xlfn.SINGLE(IF($A407="S",IF(CAIXA.Modo,BM.AFAcumulado,BM.MEDAcumulado),IF(AND(_xlfn.SINGLE(RegimeExecucao)="Global",$I407&gt;0,COUNTIF($AB$13:$AM$13,BM.medicao)&gt;0),O407/$I407*100,0)))</f>
        <v>0</v>
      </c>
      <c r="M407" s="335">
        <f ca="1">IF($A407="S",VTOTALBM,IF($A407=0,0,ROUND(SomaAgrupBM,15-13*ORÇAMENTO!$AF$11)))</f>
        <v>0</v>
      </c>
      <c r="N407" s="336">
        <f t="shared" ca="1" si="46"/>
        <v>0</v>
      </c>
      <c r="O407" s="125">
        <f ca="1">IF($A407="S",VTOTALBM,IF($A407=0,0,ROUND(SomaAgrupBM,15-13*ORÇAMENTO!$AF$11)))</f>
        <v>0</v>
      </c>
      <c r="Q407" s="337"/>
      <c r="R407" s="338"/>
      <c r="T407" s="117" t="str">
        <f t="shared" ca="1" si="47"/>
        <v/>
      </c>
      <c r="U407" s="163" t="str">
        <f t="shared" ca="1" si="48"/>
        <v/>
      </c>
      <c r="V407" s="164" t="str">
        <f ca="1">IF(AND($W407&gt;0,RegimeExecucao="Unitário"),$F407,"")</f>
        <v/>
      </c>
      <c r="W407" s="454">
        <f ca="1">IF($Y407&gt;0,CHOOSE(MATCH(RegimeExecucao,{"Unitário","Global"},0),IF($A407="S",$Y407/$X407,""),($Y407/$X407)*100),0)</f>
        <v>0</v>
      </c>
      <c r="X407" s="339" t="str">
        <f ca="1">IF($Y407&gt;0,CHOOSE(MATCH(RegimeExecucao,{"Unitário","Global"},0),IF($A407="S",ROUND($H407,ORÇAMENTO!$AF$10),""),ROUND($I407,ORÇAMENTO!$AF$11)),"")</f>
        <v/>
      </c>
      <c r="Y407" s="339">
        <f t="shared" ca="1" si="49"/>
        <v>0</v>
      </c>
      <c r="Z407" s="473"/>
      <c r="AB407" s="337"/>
      <c r="AC407" s="437"/>
      <c r="AD407" s="437"/>
      <c r="AE407" s="437"/>
      <c r="AF407" s="437"/>
      <c r="AG407" s="437"/>
      <c r="AH407" s="437"/>
      <c r="AI407" s="437"/>
      <c r="AJ407" s="437"/>
      <c r="AK407" s="437"/>
      <c r="AL407" s="437"/>
      <c r="AM407" s="338"/>
      <c r="AO407">
        <f ca="1">IF($A407="S",IF(BM!$I407=0,0,CHOOSE(MATCH(RegimeExecucao,{"Global","Unitário"},0),ROUND(ROUND(BM.MEDAcumulado,15-13*BM!$A$9)/100*BM!$I407,15-13*ORÇAMENTO!$AF$11),ROUND(ROUND(BM.MEDAcumulado,15-13*BM!$A$9)*ROUND(BM!$H407,15-13*ORÇAMENTO!$AF$10),15-13*ORÇAMENTO!$AF$11))),IF($A407=0,0,ROUND(SomaAgrupBM,15-13*ORÇAMENTO!$AF$11)))</f>
        <v>0</v>
      </c>
    </row>
    <row r="408" spans="1:41" ht="38.25" x14ac:dyDescent="0.2">
      <c r="A408" t="str">
        <f ca="1">ORÇAMENTO!C408</f>
        <v>S</v>
      </c>
      <c r="B408">
        <f ca="1">ORÇAMENTO!D408</f>
        <v>0</v>
      </c>
      <c r="C408" s="114" t="str">
        <f t="shared" ca="1" si="43"/>
        <v>F</v>
      </c>
      <c r="D408" s="117" t="str">
        <f ca="1">ORÇAMENTO!O408</f>
        <v>1.8.2.3.8.</v>
      </c>
      <c r="E408" s="163" t="str">
        <f t="shared" ca="1" si="44"/>
        <v>CABO DE COBRE FLEXÍVEL, CLASSE 5, ISOLAMENTO TIPO EPR/HEPR, NÃO HALOGENADO, ANTICHAMA, TERMOFIXO, UNIPOLAR, SEÇÃO 1,5 MM2, 90°C, 0,6/1KV</v>
      </c>
      <c r="F408" s="164" t="str">
        <f ca="1">IF(RegimeExecucao="Global","",ORÇAMENTO.Unidade)</f>
        <v>M</v>
      </c>
      <c r="G408" s="122">
        <f ca="1">IF(RegimeExecucao="Global","",ORÇAMENTO!T408)</f>
        <v>40</v>
      </c>
      <c r="H408" s="122">
        <f ca="1">IF(RegimeExecucao="Global","",ORÇAMENTO!W408)</f>
        <v>4.47</v>
      </c>
      <c r="I408" s="125">
        <f ca="1">ORÇAMENTO!X408</f>
        <v>178.8</v>
      </c>
      <c r="J408" s="333" cm="1">
        <f t="array" aca="1" ref="J408" ca="1">_xlfn.SINGLE(IF($A408="S",IF(CAIXA.Modo,BM.AFAnterior,BM.MEDAnterior),IF(AND(_xlfn.SINGLE(RegimeExecucao)="Global",$I408&gt;0,COUNTIF($AB$13:$AM$13,BM.medicao-1)&gt;0),M408/$I408*100,0)))</f>
        <v>0</v>
      </c>
      <c r="K408" s="122">
        <f t="shared" ca="1" si="45"/>
        <v>0</v>
      </c>
      <c r="L408" s="334" cm="1">
        <f t="array" aca="1" ref="L408" ca="1">_xlfn.SINGLE(IF($A408="S",IF(CAIXA.Modo,BM.AFAcumulado,BM.MEDAcumulado),IF(AND(_xlfn.SINGLE(RegimeExecucao)="Global",$I408&gt;0,COUNTIF($AB$13:$AM$13,BM.medicao)&gt;0),O408/$I408*100,0)))</f>
        <v>0</v>
      </c>
      <c r="M408" s="335">
        <f ca="1">IF($A408="S",VTOTALBM,IF($A408=0,0,ROUND(SomaAgrupBM,15-13*ORÇAMENTO!$AF$11)))</f>
        <v>0</v>
      </c>
      <c r="N408" s="336">
        <f t="shared" ca="1" si="46"/>
        <v>0</v>
      </c>
      <c r="O408" s="125">
        <f ca="1">IF($A408="S",VTOTALBM,IF($A408=0,0,ROUND(SomaAgrupBM,15-13*ORÇAMENTO!$AF$11)))</f>
        <v>0</v>
      </c>
      <c r="Q408" s="337"/>
      <c r="R408" s="338"/>
      <c r="T408" s="117" t="str">
        <f t="shared" ca="1" si="47"/>
        <v/>
      </c>
      <c r="U408" s="163" t="str">
        <f t="shared" ca="1" si="48"/>
        <v/>
      </c>
      <c r="V408" s="164" t="str">
        <f ca="1">IF(AND($W408&gt;0,RegimeExecucao="Unitário"),$F408,"")</f>
        <v/>
      </c>
      <c r="W408" s="454">
        <f ca="1">IF($Y408&gt;0,CHOOSE(MATCH(RegimeExecucao,{"Unitário","Global"},0),IF($A408="S",$Y408/$X408,""),($Y408/$X408)*100),0)</f>
        <v>0</v>
      </c>
      <c r="X408" s="339" t="str">
        <f ca="1">IF($Y408&gt;0,CHOOSE(MATCH(RegimeExecucao,{"Unitário","Global"},0),IF($A408="S",ROUND($H408,ORÇAMENTO!$AF$10),""),ROUND($I408,ORÇAMENTO!$AF$11)),"")</f>
        <v/>
      </c>
      <c r="Y408" s="339">
        <f t="shared" ca="1" si="49"/>
        <v>0</v>
      </c>
      <c r="Z408" s="473"/>
      <c r="AB408" s="337"/>
      <c r="AC408" s="437"/>
      <c r="AD408" s="437"/>
      <c r="AE408" s="437"/>
      <c r="AF408" s="437"/>
      <c r="AG408" s="437"/>
      <c r="AH408" s="437"/>
      <c r="AI408" s="437"/>
      <c r="AJ408" s="437"/>
      <c r="AK408" s="437"/>
      <c r="AL408" s="437"/>
      <c r="AM408" s="338"/>
      <c r="AO408">
        <f ca="1">IF($A408="S",IF(BM!$I408=0,0,CHOOSE(MATCH(RegimeExecucao,{"Global","Unitário"},0),ROUND(ROUND(BM.MEDAcumulado,15-13*BM!$A$9)/100*BM!$I408,15-13*ORÇAMENTO!$AF$11),ROUND(ROUND(BM.MEDAcumulado,15-13*BM!$A$9)*ROUND(BM!$H408,15-13*ORÇAMENTO!$AF$10),15-13*ORÇAMENTO!$AF$11))),IF($A408=0,0,ROUND(SomaAgrupBM,15-13*ORÇAMENTO!$AF$11)))</f>
        <v>0</v>
      </c>
    </row>
    <row r="409" spans="1:41" ht="38.25" x14ac:dyDescent="0.2">
      <c r="A409" t="str">
        <f ca="1">ORÇAMENTO!C409</f>
        <v>S</v>
      </c>
      <c r="B409">
        <f ca="1">ORÇAMENTO!D409</f>
        <v>0</v>
      </c>
      <c r="C409" s="114" t="str">
        <f t="shared" ca="1" si="43"/>
        <v>F</v>
      </c>
      <c r="D409" s="117" t="str">
        <f ca="1">ORÇAMENTO!O409</f>
        <v>1.8.2.3.9.</v>
      </c>
      <c r="E409" s="163" t="str">
        <f t="shared" ca="1" si="44"/>
        <v>CABO DE COBRE FLEXÍVEL, CLASSE 5, ISOLAMENTO TIPO EPR/HEPR, NÃO HALOGENADO, ANTICHAMA, TERMOFIXO, UNIPOLAR, SEÇÃO 2,5 MM2, 90°C, 0,6/1KV</v>
      </c>
      <c r="F409" s="164" t="str">
        <f ca="1">IF(RegimeExecucao="Global","",ORÇAMENTO.Unidade)</f>
        <v>M</v>
      </c>
      <c r="G409" s="122">
        <f ca="1">IF(RegimeExecucao="Global","",ORÇAMENTO!T409)</f>
        <v>950.4</v>
      </c>
      <c r="H409" s="122">
        <f ca="1">IF(RegimeExecucao="Global","",ORÇAMENTO!W409)</f>
        <v>6.61</v>
      </c>
      <c r="I409" s="125">
        <f ca="1">ORÇAMENTO!X409</f>
        <v>6282.14</v>
      </c>
      <c r="J409" s="333" cm="1">
        <f t="array" aca="1" ref="J409" ca="1">_xlfn.SINGLE(IF($A409="S",IF(CAIXA.Modo,BM.AFAnterior,BM.MEDAnterior),IF(AND(_xlfn.SINGLE(RegimeExecucao)="Global",$I409&gt;0,COUNTIF($AB$13:$AM$13,BM.medicao-1)&gt;0),M409/$I409*100,0)))</f>
        <v>0</v>
      </c>
      <c r="K409" s="122">
        <f t="shared" ca="1" si="45"/>
        <v>0</v>
      </c>
      <c r="L409" s="334" cm="1">
        <f t="array" aca="1" ref="L409" ca="1">_xlfn.SINGLE(IF($A409="S",IF(CAIXA.Modo,BM.AFAcumulado,BM.MEDAcumulado),IF(AND(_xlfn.SINGLE(RegimeExecucao)="Global",$I409&gt;0,COUNTIF($AB$13:$AM$13,BM.medicao)&gt;0),O409/$I409*100,0)))</f>
        <v>0</v>
      </c>
      <c r="M409" s="335">
        <f ca="1">IF($A409="S",VTOTALBM,IF($A409=0,0,ROUND(SomaAgrupBM,15-13*ORÇAMENTO!$AF$11)))</f>
        <v>0</v>
      </c>
      <c r="N409" s="336">
        <f t="shared" ca="1" si="46"/>
        <v>0</v>
      </c>
      <c r="O409" s="125">
        <f ca="1">IF($A409="S",VTOTALBM,IF($A409=0,0,ROUND(SomaAgrupBM,15-13*ORÇAMENTO!$AF$11)))</f>
        <v>0</v>
      </c>
      <c r="Q409" s="337"/>
      <c r="R409" s="338"/>
      <c r="T409" s="117" t="str">
        <f t="shared" ca="1" si="47"/>
        <v/>
      </c>
      <c r="U409" s="163" t="str">
        <f t="shared" ca="1" si="48"/>
        <v/>
      </c>
      <c r="V409" s="164" t="str">
        <f ca="1">IF(AND($W409&gt;0,RegimeExecucao="Unitário"),$F409,"")</f>
        <v/>
      </c>
      <c r="W409" s="454">
        <f ca="1">IF($Y409&gt;0,CHOOSE(MATCH(RegimeExecucao,{"Unitário","Global"},0),IF($A409="S",$Y409/$X409,""),($Y409/$X409)*100),0)</f>
        <v>0</v>
      </c>
      <c r="X409" s="339" t="str">
        <f ca="1">IF($Y409&gt;0,CHOOSE(MATCH(RegimeExecucao,{"Unitário","Global"},0),IF($A409="S",ROUND($H409,ORÇAMENTO!$AF$10),""),ROUND($I409,ORÇAMENTO!$AF$11)),"")</f>
        <v/>
      </c>
      <c r="Y409" s="339">
        <f t="shared" ca="1" si="49"/>
        <v>0</v>
      </c>
      <c r="Z409" s="473"/>
      <c r="AB409" s="337"/>
      <c r="AC409" s="437"/>
      <c r="AD409" s="437"/>
      <c r="AE409" s="437"/>
      <c r="AF409" s="437"/>
      <c r="AG409" s="437"/>
      <c r="AH409" s="437"/>
      <c r="AI409" s="437"/>
      <c r="AJ409" s="437"/>
      <c r="AK409" s="437"/>
      <c r="AL409" s="437"/>
      <c r="AM409" s="338"/>
      <c r="AO409">
        <f ca="1">IF($A409="S",IF(BM!$I409=0,0,CHOOSE(MATCH(RegimeExecucao,{"Global","Unitário"},0),ROUND(ROUND(BM.MEDAcumulado,15-13*BM!$A$9)/100*BM!$I409,15-13*ORÇAMENTO!$AF$11),ROUND(ROUND(BM.MEDAcumulado,15-13*BM!$A$9)*ROUND(BM!$H409,15-13*ORÇAMENTO!$AF$10),15-13*ORÇAMENTO!$AF$11))),IF($A409=0,0,ROUND(SomaAgrupBM,15-13*ORÇAMENTO!$AF$11)))</f>
        <v>0</v>
      </c>
    </row>
    <row r="410" spans="1:41" x14ac:dyDescent="0.2">
      <c r="A410">
        <f ca="1">ORÇAMENTO!C410</f>
        <v>4</v>
      </c>
      <c r="B410">
        <f ca="1">ORÇAMENTO!D410</f>
        <v>24</v>
      </c>
      <c r="C410" s="114" t="str">
        <f t="shared" ca="1" si="43"/>
        <v>F</v>
      </c>
      <c r="D410" s="117" t="str">
        <f ca="1">ORÇAMENTO!O410</f>
        <v>1.8.2.4.</v>
      </c>
      <c r="E410" s="163" t="str">
        <f t="shared" si="44"/>
        <v>QUADRO DE DISTRIBUIÇÃO DE CIRCUITOS (QUV)</v>
      </c>
      <c r="F410" s="164" t="str">
        <f ca="1">IF(RegimeExecucao="Global","",ORÇAMENTO.Unidade)</f>
        <v>-</v>
      </c>
      <c r="G410" s="122">
        <f ca="1">IF(RegimeExecucao="Global","",ORÇAMENTO!T410)</f>
        <v>0</v>
      </c>
      <c r="H410" s="122">
        <f ca="1">IF(RegimeExecucao="Global","",ORÇAMENTO!W410)</f>
        <v>0</v>
      </c>
      <c r="I410" s="125">
        <f ca="1">ORÇAMENTO!X410</f>
        <v>19418.900000000001</v>
      </c>
      <c r="J410" s="333" cm="1">
        <f t="array" aca="1" ref="J410" ca="1">_xlfn.SINGLE(IF($A410="S",IF(CAIXA.Modo,BM.AFAnterior,BM.MEDAnterior),IF(AND(_xlfn.SINGLE(RegimeExecucao)="Global",$I410&gt;0,COUNTIF($AB$13:$AM$13,BM.medicao-1)&gt;0),M410/$I410*100,0)))</f>
        <v>0</v>
      </c>
      <c r="K410" s="122">
        <f t="shared" ca="1" si="45"/>
        <v>0</v>
      </c>
      <c r="L410" s="334" cm="1">
        <f t="array" aca="1" ref="L410" ca="1">_xlfn.SINGLE(IF($A410="S",IF(CAIXA.Modo,BM.AFAcumulado,BM.MEDAcumulado),IF(AND(_xlfn.SINGLE(RegimeExecucao)="Global",$I410&gt;0,COUNTIF($AB$13:$AM$13,BM.medicao)&gt;0),O410/$I410*100,0)))</f>
        <v>0</v>
      </c>
      <c r="M410" s="335">
        <f ca="1">IF($A410="S",VTOTALBM,IF($A410=0,0,ROUND(SomaAgrupBM,15-13*ORÇAMENTO!$AF$11)))</f>
        <v>0</v>
      </c>
      <c r="N410" s="336">
        <f t="shared" ca="1" si="46"/>
        <v>0</v>
      </c>
      <c r="O410" s="125">
        <f ca="1">IF($A410="S",VTOTALBM,IF($A410=0,0,ROUND(SomaAgrupBM,15-13*ORÇAMENTO!$AF$11)))</f>
        <v>0</v>
      </c>
      <c r="Q410" s="337"/>
      <c r="R410" s="338"/>
      <c r="T410" s="117" t="str">
        <f t="shared" ca="1" si="47"/>
        <v/>
      </c>
      <c r="U410" s="163" t="str">
        <f t="shared" ca="1" si="48"/>
        <v/>
      </c>
      <c r="V410" s="164" t="str">
        <f ca="1">IF(AND($W410&gt;0,RegimeExecucao="Unitário"),$F410,"")</f>
        <v/>
      </c>
      <c r="W410" s="454">
        <f ca="1">IF($Y410&gt;0,CHOOSE(MATCH(RegimeExecucao,{"Unitário","Global"},0),IF($A410="S",$Y410/$X410,""),($Y410/$X410)*100),0)</f>
        <v>0</v>
      </c>
      <c r="X410" s="339" t="str">
        <f ca="1">IF($Y410&gt;0,CHOOSE(MATCH(RegimeExecucao,{"Unitário","Global"},0),IF($A410="S",ROUND($H410,ORÇAMENTO!$AF$10),""),ROUND($I410,ORÇAMENTO!$AF$11)),"")</f>
        <v/>
      </c>
      <c r="Y410" s="339">
        <f t="shared" ca="1" si="49"/>
        <v>0</v>
      </c>
      <c r="Z410" s="473"/>
      <c r="AB410" s="337"/>
      <c r="AC410" s="437"/>
      <c r="AD410" s="437"/>
      <c r="AE410" s="437"/>
      <c r="AF410" s="437"/>
      <c r="AG410" s="437"/>
      <c r="AH410" s="437"/>
      <c r="AI410" s="437"/>
      <c r="AJ410" s="437"/>
      <c r="AK410" s="437"/>
      <c r="AL410" s="437"/>
      <c r="AM410" s="338"/>
      <c r="AO410">
        <f ca="1">IF($A410="S",IF(BM!$I410=0,0,CHOOSE(MATCH(RegimeExecucao,{"Global","Unitário"},0),ROUND(ROUND(BM.MEDAcumulado,15-13*BM!$A$9)/100*BM!$I410,15-13*ORÇAMENTO!$AF$11),ROUND(ROUND(BM.MEDAcumulado,15-13*BM!$A$9)*ROUND(BM!$H410,15-13*ORÇAMENTO!$AF$10),15-13*ORÇAMENTO!$AF$11))),IF($A410=0,0,ROUND(SomaAgrupBM,15-13*ORÇAMENTO!$AF$11)))</f>
        <v>0</v>
      </c>
    </row>
    <row r="411" spans="1:41" ht="38.25" x14ac:dyDescent="0.2">
      <c r="A411" t="str">
        <f ca="1">ORÇAMENTO!C411</f>
        <v>S</v>
      </c>
      <c r="B411">
        <f ca="1">ORÇAMENTO!D411</f>
        <v>0</v>
      </c>
      <c r="C411" s="114" t="str">
        <f t="shared" ca="1" si="43"/>
        <v>F</v>
      </c>
      <c r="D411" s="117" t="str">
        <f ca="1">ORÇAMENTO!O411</f>
        <v>1.8.2.4.1.</v>
      </c>
      <c r="E411" s="163" t="str">
        <f t="shared" ca="1" si="44"/>
        <v>QUADRO DE DISTRIBUIÇÃO DE SOBREPOR EM CHAPA, PARA 24 DISJUNTORES DIN, INCLUSIVE BARRAMENTOS NEUTRO/TERRA E BARRAMENTO TRIFÁSICO DE 100A</v>
      </c>
      <c r="F411" s="164" t="str">
        <f ca="1">IF(RegimeExecucao="Global","",ORÇAMENTO.Unidade)</f>
        <v>UN</v>
      </c>
      <c r="G411" s="122">
        <f ca="1">IF(RegimeExecucao="Global","",ORÇAMENTO!T411)</f>
        <v>1</v>
      </c>
      <c r="H411" s="122">
        <f ca="1">IF(RegimeExecucao="Global","",ORÇAMENTO!W411)</f>
        <v>644.97</v>
      </c>
      <c r="I411" s="125">
        <f ca="1">ORÇAMENTO!X411</f>
        <v>644.97</v>
      </c>
      <c r="J411" s="333" cm="1">
        <f t="array" aca="1" ref="J411" ca="1">_xlfn.SINGLE(IF($A411="S",IF(CAIXA.Modo,BM.AFAnterior,BM.MEDAnterior),IF(AND(_xlfn.SINGLE(RegimeExecucao)="Global",$I411&gt;0,COUNTIF($AB$13:$AM$13,BM.medicao-1)&gt;0),M411/$I411*100,0)))</f>
        <v>0</v>
      </c>
      <c r="K411" s="122">
        <f t="shared" ca="1" si="45"/>
        <v>0</v>
      </c>
      <c r="L411" s="334" cm="1">
        <f t="array" aca="1" ref="L411" ca="1">_xlfn.SINGLE(IF($A411="S",IF(CAIXA.Modo,BM.AFAcumulado,BM.MEDAcumulado),IF(AND(_xlfn.SINGLE(RegimeExecucao)="Global",$I411&gt;0,COUNTIF($AB$13:$AM$13,BM.medicao)&gt;0),O411/$I411*100,0)))</f>
        <v>0</v>
      </c>
      <c r="M411" s="335">
        <f ca="1">IF($A411="S",VTOTALBM,IF($A411=0,0,ROUND(SomaAgrupBM,15-13*ORÇAMENTO!$AF$11)))</f>
        <v>0</v>
      </c>
      <c r="N411" s="336">
        <f t="shared" ca="1" si="46"/>
        <v>0</v>
      </c>
      <c r="O411" s="125">
        <f ca="1">IF($A411="S",VTOTALBM,IF($A411=0,0,ROUND(SomaAgrupBM,15-13*ORÇAMENTO!$AF$11)))</f>
        <v>0</v>
      </c>
      <c r="Q411" s="337"/>
      <c r="R411" s="338"/>
      <c r="T411" s="117" t="str">
        <f t="shared" ca="1" si="47"/>
        <v/>
      </c>
      <c r="U411" s="163" t="str">
        <f t="shared" ca="1" si="48"/>
        <v/>
      </c>
      <c r="V411" s="164" t="str">
        <f ca="1">IF(AND($W411&gt;0,RegimeExecucao="Unitário"),$F411,"")</f>
        <v/>
      </c>
      <c r="W411" s="454">
        <f ca="1">IF($Y411&gt;0,CHOOSE(MATCH(RegimeExecucao,{"Unitário","Global"},0),IF($A411="S",$Y411/$X411,""),($Y411/$X411)*100),0)</f>
        <v>0</v>
      </c>
      <c r="X411" s="339" t="str">
        <f ca="1">IF($Y411&gt;0,CHOOSE(MATCH(RegimeExecucao,{"Unitário","Global"},0),IF($A411="S",ROUND($H411,ORÇAMENTO!$AF$10),""),ROUND($I411,ORÇAMENTO!$AF$11)),"")</f>
        <v/>
      </c>
      <c r="Y411" s="339">
        <f t="shared" ca="1" si="49"/>
        <v>0</v>
      </c>
      <c r="Z411" s="473"/>
      <c r="AB411" s="337"/>
      <c r="AC411" s="437"/>
      <c r="AD411" s="437"/>
      <c r="AE411" s="437"/>
      <c r="AF411" s="437"/>
      <c r="AG411" s="437"/>
      <c r="AH411" s="437"/>
      <c r="AI411" s="437"/>
      <c r="AJ411" s="437"/>
      <c r="AK411" s="437"/>
      <c r="AL411" s="437"/>
      <c r="AM411" s="338"/>
      <c r="AO411">
        <f ca="1">IF($A411="S",IF(BM!$I411=0,0,CHOOSE(MATCH(RegimeExecucao,{"Global","Unitário"},0),ROUND(ROUND(BM.MEDAcumulado,15-13*BM!$A$9)/100*BM!$I411,15-13*ORÇAMENTO!$AF$11),ROUND(ROUND(BM.MEDAcumulado,15-13*BM!$A$9)*ROUND(BM!$H411,15-13*ORÇAMENTO!$AF$10),15-13*ORÇAMENTO!$AF$11))),IF($A411=0,0,ROUND(SomaAgrupBM,15-13*ORÇAMENTO!$AF$11)))</f>
        <v>0</v>
      </c>
    </row>
    <row r="412" spans="1:41" ht="25.5" x14ac:dyDescent="0.2">
      <c r="A412" t="str">
        <f ca="1">ORÇAMENTO!C412</f>
        <v>S</v>
      </c>
      <c r="B412">
        <f ca="1">ORÇAMENTO!D412</f>
        <v>0</v>
      </c>
      <c r="C412" s="114" t="str">
        <f t="shared" ca="1" si="43"/>
        <v>F</v>
      </c>
      <c r="D412" s="117" t="str">
        <f ca="1">ORÇAMENTO!O412</f>
        <v>1.8.2.4.2.</v>
      </c>
      <c r="E412" s="163" t="str">
        <f t="shared" ca="1" si="44"/>
        <v xml:space="preserve">DISPOSITIVO SUPRESSOR DE SURTO - CLASSE I e II -  BASEADO EM SETOP (ED-49527) </v>
      </c>
      <c r="F412" s="164" t="str">
        <f ca="1">IF(RegimeExecucao="Global","",ORÇAMENTO.Unidade)</f>
        <v>UN</v>
      </c>
      <c r="G412" s="122">
        <f ca="1">IF(RegimeExecucao="Global","",ORÇAMENTO!T412)</f>
        <v>3</v>
      </c>
      <c r="H412" s="122">
        <f ca="1">IF(RegimeExecucao="Global","",ORÇAMENTO!W412)</f>
        <v>469.93</v>
      </c>
      <c r="I412" s="125">
        <f ca="1">ORÇAMENTO!X412</f>
        <v>1409.79</v>
      </c>
      <c r="J412" s="333" cm="1">
        <f t="array" aca="1" ref="J412" ca="1">_xlfn.SINGLE(IF($A412="S",IF(CAIXA.Modo,BM.AFAnterior,BM.MEDAnterior),IF(AND(_xlfn.SINGLE(RegimeExecucao)="Global",$I412&gt;0,COUNTIF($AB$13:$AM$13,BM.medicao-1)&gt;0),M412/$I412*100,0)))</f>
        <v>0</v>
      </c>
      <c r="K412" s="122">
        <f t="shared" ca="1" si="45"/>
        <v>0</v>
      </c>
      <c r="L412" s="334" cm="1">
        <f t="array" aca="1" ref="L412" ca="1">_xlfn.SINGLE(IF($A412="S",IF(CAIXA.Modo,BM.AFAcumulado,BM.MEDAcumulado),IF(AND(_xlfn.SINGLE(RegimeExecucao)="Global",$I412&gt;0,COUNTIF($AB$13:$AM$13,BM.medicao)&gt;0),O412/$I412*100,0)))</f>
        <v>0</v>
      </c>
      <c r="M412" s="335">
        <f ca="1">IF($A412="S",VTOTALBM,IF($A412=0,0,ROUND(SomaAgrupBM,15-13*ORÇAMENTO!$AF$11)))</f>
        <v>0</v>
      </c>
      <c r="N412" s="336">
        <f t="shared" ca="1" si="46"/>
        <v>0</v>
      </c>
      <c r="O412" s="125">
        <f ca="1">IF($A412="S",VTOTALBM,IF($A412=0,0,ROUND(SomaAgrupBM,15-13*ORÇAMENTO!$AF$11)))</f>
        <v>0</v>
      </c>
      <c r="Q412" s="337"/>
      <c r="R412" s="338"/>
      <c r="T412" s="117" t="str">
        <f t="shared" ca="1" si="47"/>
        <v/>
      </c>
      <c r="U412" s="163" t="str">
        <f t="shared" ca="1" si="48"/>
        <v/>
      </c>
      <c r="V412" s="164" t="str">
        <f ca="1">IF(AND($W412&gt;0,RegimeExecucao="Unitário"),$F412,"")</f>
        <v/>
      </c>
      <c r="W412" s="454">
        <f ca="1">IF($Y412&gt;0,CHOOSE(MATCH(RegimeExecucao,{"Unitário","Global"},0),IF($A412="S",$Y412/$X412,""),($Y412/$X412)*100),0)</f>
        <v>0</v>
      </c>
      <c r="X412" s="339" t="str">
        <f ca="1">IF($Y412&gt;0,CHOOSE(MATCH(RegimeExecucao,{"Unitário","Global"},0),IF($A412="S",ROUND($H412,ORÇAMENTO!$AF$10),""),ROUND($I412,ORÇAMENTO!$AF$11)),"")</f>
        <v/>
      </c>
      <c r="Y412" s="339">
        <f t="shared" ca="1" si="49"/>
        <v>0</v>
      </c>
      <c r="Z412" s="473"/>
      <c r="AB412" s="337"/>
      <c r="AC412" s="437"/>
      <c r="AD412" s="437"/>
      <c r="AE412" s="437"/>
      <c r="AF412" s="437"/>
      <c r="AG412" s="437"/>
      <c r="AH412" s="437"/>
      <c r="AI412" s="437"/>
      <c r="AJ412" s="437"/>
      <c r="AK412" s="437"/>
      <c r="AL412" s="437"/>
      <c r="AM412" s="338"/>
      <c r="AO412">
        <f ca="1">IF($A412="S",IF(BM!$I412=0,0,CHOOSE(MATCH(RegimeExecucao,{"Global","Unitário"},0),ROUND(ROUND(BM.MEDAcumulado,15-13*BM!$A$9)/100*BM!$I412,15-13*ORÇAMENTO!$AF$11),ROUND(ROUND(BM.MEDAcumulado,15-13*BM!$A$9)*ROUND(BM!$H412,15-13*ORÇAMENTO!$AF$10),15-13*ORÇAMENTO!$AF$11))),IF($A412=0,0,ROUND(SomaAgrupBM,15-13*ORÇAMENTO!$AF$11)))</f>
        <v>0</v>
      </c>
    </row>
    <row r="413" spans="1:41" ht="25.5" x14ac:dyDescent="0.2">
      <c r="A413" t="str">
        <f ca="1">ORÇAMENTO!C413</f>
        <v>S</v>
      </c>
      <c r="B413">
        <f ca="1">ORÇAMENTO!D413</f>
        <v>0</v>
      </c>
      <c r="C413" s="114" t="str">
        <f t="shared" ca="1" si="43"/>
        <v>F</v>
      </c>
      <c r="D413" s="117" t="str">
        <f ca="1">ORÇAMENTO!O413</f>
        <v>1.8.2.4.3.</v>
      </c>
      <c r="E413" s="163" t="str">
        <f t="shared" ca="1" si="44"/>
        <v>DISJUNTOR MONOPOLAR TIPO DIN, CORRENTE NOMINAL DE 10A, FORNECIMENTO E INSTALAÇÃO, INCLUSIVE TERMINAL ILHÓS</v>
      </c>
      <c r="F413" s="164" t="str">
        <f ca="1">IF(RegimeExecucao="Global","",ORÇAMENTO.Unidade)</f>
        <v>UN</v>
      </c>
      <c r="G413" s="122">
        <f ca="1">IF(RegimeExecucao="Global","",ORÇAMENTO!T413)</f>
        <v>4</v>
      </c>
      <c r="H413" s="122">
        <f ca="1">IF(RegimeExecucao="Global","",ORÇAMENTO!W413)</f>
        <v>22.45</v>
      </c>
      <c r="I413" s="125">
        <f ca="1">ORÇAMENTO!X413</f>
        <v>89.8</v>
      </c>
      <c r="J413" s="333" cm="1">
        <f t="array" aca="1" ref="J413" ca="1">_xlfn.SINGLE(IF($A413="S",IF(CAIXA.Modo,BM.AFAnterior,BM.MEDAnterior),IF(AND(_xlfn.SINGLE(RegimeExecucao)="Global",$I413&gt;0,COUNTIF($AB$13:$AM$13,BM.medicao-1)&gt;0),M413/$I413*100,0)))</f>
        <v>0</v>
      </c>
      <c r="K413" s="122">
        <f t="shared" ca="1" si="45"/>
        <v>0</v>
      </c>
      <c r="L413" s="334" cm="1">
        <f t="array" aca="1" ref="L413" ca="1">_xlfn.SINGLE(IF($A413="S",IF(CAIXA.Modo,BM.AFAcumulado,BM.MEDAcumulado),IF(AND(_xlfn.SINGLE(RegimeExecucao)="Global",$I413&gt;0,COUNTIF($AB$13:$AM$13,BM.medicao)&gt;0),O413/$I413*100,0)))</f>
        <v>0</v>
      </c>
      <c r="M413" s="335">
        <f ca="1">IF($A413="S",VTOTALBM,IF($A413=0,0,ROUND(SomaAgrupBM,15-13*ORÇAMENTO!$AF$11)))</f>
        <v>0</v>
      </c>
      <c r="N413" s="336">
        <f t="shared" ca="1" si="46"/>
        <v>0</v>
      </c>
      <c r="O413" s="125">
        <f ca="1">IF($A413="S",VTOTALBM,IF($A413=0,0,ROUND(SomaAgrupBM,15-13*ORÇAMENTO!$AF$11)))</f>
        <v>0</v>
      </c>
      <c r="Q413" s="337"/>
      <c r="R413" s="338"/>
      <c r="T413" s="117" t="str">
        <f t="shared" ca="1" si="47"/>
        <v/>
      </c>
      <c r="U413" s="163" t="str">
        <f t="shared" ca="1" si="48"/>
        <v/>
      </c>
      <c r="V413" s="164" t="str">
        <f ca="1">IF(AND($W413&gt;0,RegimeExecucao="Unitário"),$F413,"")</f>
        <v/>
      </c>
      <c r="W413" s="454">
        <f ca="1">IF($Y413&gt;0,CHOOSE(MATCH(RegimeExecucao,{"Unitário","Global"},0),IF($A413="S",$Y413/$X413,""),($Y413/$X413)*100),0)</f>
        <v>0</v>
      </c>
      <c r="X413" s="339" t="str">
        <f ca="1">IF($Y413&gt;0,CHOOSE(MATCH(RegimeExecucao,{"Unitário","Global"},0),IF($A413="S",ROUND($H413,ORÇAMENTO!$AF$10),""),ROUND($I413,ORÇAMENTO!$AF$11)),"")</f>
        <v/>
      </c>
      <c r="Y413" s="339">
        <f t="shared" ca="1" si="49"/>
        <v>0</v>
      </c>
      <c r="Z413" s="473"/>
      <c r="AB413" s="337"/>
      <c r="AC413" s="437"/>
      <c r="AD413" s="437"/>
      <c r="AE413" s="437"/>
      <c r="AF413" s="437"/>
      <c r="AG413" s="437"/>
      <c r="AH413" s="437"/>
      <c r="AI413" s="437"/>
      <c r="AJ413" s="437"/>
      <c r="AK413" s="437"/>
      <c r="AL413" s="437"/>
      <c r="AM413" s="338"/>
      <c r="AO413">
        <f ca="1">IF($A413="S",IF(BM!$I413=0,0,CHOOSE(MATCH(RegimeExecucao,{"Global","Unitário"},0),ROUND(ROUND(BM.MEDAcumulado,15-13*BM!$A$9)/100*BM!$I413,15-13*ORÇAMENTO!$AF$11),ROUND(ROUND(BM.MEDAcumulado,15-13*BM!$A$9)*ROUND(BM!$H413,15-13*ORÇAMENTO!$AF$10),15-13*ORÇAMENTO!$AF$11))),IF($A413=0,0,ROUND(SomaAgrupBM,15-13*ORÇAMENTO!$AF$11)))</f>
        <v>0</v>
      </c>
    </row>
    <row r="414" spans="1:41" ht="25.5" x14ac:dyDescent="0.2">
      <c r="A414" t="str">
        <f ca="1">ORÇAMENTO!C414</f>
        <v>S</v>
      </c>
      <c r="B414">
        <f ca="1">ORÇAMENTO!D414</f>
        <v>0</v>
      </c>
      <c r="C414" s="114" t="str">
        <f t="shared" ca="1" si="43"/>
        <v>F</v>
      </c>
      <c r="D414" s="117" t="str">
        <f ca="1">ORÇAMENTO!O414</f>
        <v>1.8.2.4.4.</v>
      </c>
      <c r="E414" s="163" t="str">
        <f t="shared" ca="1" si="44"/>
        <v>DISJUNTOR MONOPOLAR TIPO DIN, CORRENTE NOMINAL DE 20A, FORNECIMENTO E INSTALAÇÃO, INCLUSIVE TERMINAL ILHÓS</v>
      </c>
      <c r="F414" s="164" t="str">
        <f ca="1">IF(RegimeExecucao="Global","",ORÇAMENTO.Unidade)</f>
        <v>UN</v>
      </c>
      <c r="G414" s="122">
        <f ca="1">IF(RegimeExecucao="Global","",ORÇAMENTO!T414)</f>
        <v>1</v>
      </c>
      <c r="H414" s="122">
        <f ca="1">IF(RegimeExecucao="Global","",ORÇAMENTO!W414)</f>
        <v>22.13</v>
      </c>
      <c r="I414" s="125">
        <f ca="1">ORÇAMENTO!X414</f>
        <v>22.13</v>
      </c>
      <c r="J414" s="333" cm="1">
        <f t="array" aca="1" ref="J414" ca="1">_xlfn.SINGLE(IF($A414="S",IF(CAIXA.Modo,BM.AFAnterior,BM.MEDAnterior),IF(AND(_xlfn.SINGLE(RegimeExecucao)="Global",$I414&gt;0,COUNTIF($AB$13:$AM$13,BM.medicao-1)&gt;0),M414/$I414*100,0)))</f>
        <v>0</v>
      </c>
      <c r="K414" s="122">
        <f t="shared" ca="1" si="45"/>
        <v>0</v>
      </c>
      <c r="L414" s="334" cm="1">
        <f t="array" aca="1" ref="L414" ca="1">_xlfn.SINGLE(IF($A414="S",IF(CAIXA.Modo,BM.AFAcumulado,BM.MEDAcumulado),IF(AND(_xlfn.SINGLE(RegimeExecucao)="Global",$I414&gt;0,COUNTIF($AB$13:$AM$13,BM.medicao)&gt;0),O414/$I414*100,0)))</f>
        <v>0</v>
      </c>
      <c r="M414" s="335">
        <f ca="1">IF($A414="S",VTOTALBM,IF($A414=0,0,ROUND(SomaAgrupBM,15-13*ORÇAMENTO!$AF$11)))</f>
        <v>0</v>
      </c>
      <c r="N414" s="336">
        <f t="shared" ca="1" si="46"/>
        <v>0</v>
      </c>
      <c r="O414" s="125">
        <f ca="1">IF($A414="S",VTOTALBM,IF($A414=0,0,ROUND(SomaAgrupBM,15-13*ORÇAMENTO!$AF$11)))</f>
        <v>0</v>
      </c>
      <c r="Q414" s="337"/>
      <c r="R414" s="338"/>
      <c r="T414" s="117" t="str">
        <f t="shared" ca="1" si="47"/>
        <v/>
      </c>
      <c r="U414" s="163" t="str">
        <f t="shared" ca="1" si="48"/>
        <v/>
      </c>
      <c r="V414" s="164" t="str">
        <f ca="1">IF(AND($W414&gt;0,RegimeExecucao="Unitário"),$F414,"")</f>
        <v/>
      </c>
      <c r="W414" s="454">
        <f ca="1">IF($Y414&gt;0,CHOOSE(MATCH(RegimeExecucao,{"Unitário","Global"},0),IF($A414="S",$Y414/$X414,""),($Y414/$X414)*100),0)</f>
        <v>0</v>
      </c>
      <c r="X414" s="339" t="str">
        <f ca="1">IF($Y414&gt;0,CHOOSE(MATCH(RegimeExecucao,{"Unitário","Global"},0),IF($A414="S",ROUND($H414,ORÇAMENTO!$AF$10),""),ROUND($I414,ORÇAMENTO!$AF$11)),"")</f>
        <v/>
      </c>
      <c r="Y414" s="339">
        <f t="shared" ca="1" si="49"/>
        <v>0</v>
      </c>
      <c r="Z414" s="473"/>
      <c r="AB414" s="337"/>
      <c r="AC414" s="437"/>
      <c r="AD414" s="437"/>
      <c r="AE414" s="437"/>
      <c r="AF414" s="437"/>
      <c r="AG414" s="437"/>
      <c r="AH414" s="437"/>
      <c r="AI414" s="437"/>
      <c r="AJ414" s="437"/>
      <c r="AK414" s="437"/>
      <c r="AL414" s="437"/>
      <c r="AM414" s="338"/>
      <c r="AO414">
        <f ca="1">IF($A414="S",IF(BM!$I414=0,0,CHOOSE(MATCH(RegimeExecucao,{"Global","Unitário"},0),ROUND(ROUND(BM.MEDAcumulado,15-13*BM!$A$9)/100*BM!$I414,15-13*ORÇAMENTO!$AF$11),ROUND(ROUND(BM.MEDAcumulado,15-13*BM!$A$9)*ROUND(BM!$H414,15-13*ORÇAMENTO!$AF$10),15-13*ORÇAMENTO!$AF$11))),IF($A414=0,0,ROUND(SomaAgrupBM,15-13*ORÇAMENTO!$AF$11)))</f>
        <v>0</v>
      </c>
    </row>
    <row r="415" spans="1:41" ht="25.5" x14ac:dyDescent="0.2">
      <c r="A415" t="str">
        <f ca="1">ORÇAMENTO!C415</f>
        <v>S</v>
      </c>
      <c r="B415">
        <f ca="1">ORÇAMENTO!D415</f>
        <v>0</v>
      </c>
      <c r="C415" s="114" t="str">
        <f t="shared" ca="1" si="43"/>
        <v>F</v>
      </c>
      <c r="D415" s="117" t="str">
        <f ca="1">ORÇAMENTO!O415</f>
        <v>1.8.2.4.5.</v>
      </c>
      <c r="E415" s="163" t="str">
        <f t="shared" ca="1" si="44"/>
        <v xml:space="preserve">DISJUNTOR MOTOR, FAIXA DE AJUSTE: 4-6,3A, ICU: 50KA EM 380/400V - BASEADO EM </v>
      </c>
      <c r="F415" s="164" t="str">
        <f ca="1">IF(RegimeExecucao="Global","",ORÇAMENTO.Unidade)</f>
        <v>UN</v>
      </c>
      <c r="G415" s="122">
        <f ca="1">IF(RegimeExecucao="Global","",ORÇAMENTO!T415)</f>
        <v>1</v>
      </c>
      <c r="H415" s="122">
        <f ca="1">IF(RegimeExecucao="Global","",ORÇAMENTO!W415)</f>
        <v>348</v>
      </c>
      <c r="I415" s="125">
        <f ca="1">ORÇAMENTO!X415</f>
        <v>348</v>
      </c>
      <c r="J415" s="333" cm="1">
        <f t="array" aca="1" ref="J415" ca="1">_xlfn.SINGLE(IF($A415="S",IF(CAIXA.Modo,BM.AFAnterior,BM.MEDAnterior),IF(AND(_xlfn.SINGLE(RegimeExecucao)="Global",$I415&gt;0,COUNTIF($AB$13:$AM$13,BM.medicao-1)&gt;0),M415/$I415*100,0)))</f>
        <v>0</v>
      </c>
      <c r="K415" s="122">
        <f t="shared" ca="1" si="45"/>
        <v>0</v>
      </c>
      <c r="L415" s="334" cm="1">
        <f t="array" aca="1" ref="L415" ca="1">_xlfn.SINGLE(IF($A415="S",IF(CAIXA.Modo,BM.AFAcumulado,BM.MEDAcumulado),IF(AND(_xlfn.SINGLE(RegimeExecucao)="Global",$I415&gt;0,COUNTIF($AB$13:$AM$13,BM.medicao)&gt;0),O415/$I415*100,0)))</f>
        <v>0</v>
      </c>
      <c r="M415" s="335">
        <f ca="1">IF($A415="S",VTOTALBM,IF($A415=0,0,ROUND(SomaAgrupBM,15-13*ORÇAMENTO!$AF$11)))</f>
        <v>0</v>
      </c>
      <c r="N415" s="336">
        <f t="shared" ca="1" si="46"/>
        <v>0</v>
      </c>
      <c r="O415" s="125">
        <f ca="1">IF($A415="S",VTOTALBM,IF($A415=0,0,ROUND(SomaAgrupBM,15-13*ORÇAMENTO!$AF$11)))</f>
        <v>0</v>
      </c>
      <c r="Q415" s="337"/>
      <c r="R415" s="338"/>
      <c r="T415" s="117" t="str">
        <f t="shared" ca="1" si="47"/>
        <v/>
      </c>
      <c r="U415" s="163" t="str">
        <f t="shared" ca="1" si="48"/>
        <v/>
      </c>
      <c r="V415" s="164" t="str">
        <f ca="1">IF(AND($W415&gt;0,RegimeExecucao="Unitário"),$F415,"")</f>
        <v/>
      </c>
      <c r="W415" s="454">
        <f ca="1">IF($Y415&gt;0,CHOOSE(MATCH(RegimeExecucao,{"Unitário","Global"},0),IF($A415="S",$Y415/$X415,""),($Y415/$X415)*100),0)</f>
        <v>0</v>
      </c>
      <c r="X415" s="339" t="str">
        <f ca="1">IF($Y415&gt;0,CHOOSE(MATCH(RegimeExecucao,{"Unitário","Global"},0),IF($A415="S",ROUND($H415,ORÇAMENTO!$AF$10),""),ROUND($I415,ORÇAMENTO!$AF$11)),"")</f>
        <v/>
      </c>
      <c r="Y415" s="339">
        <f t="shared" ca="1" si="49"/>
        <v>0</v>
      </c>
      <c r="Z415" s="473"/>
      <c r="AB415" s="337"/>
      <c r="AC415" s="437"/>
      <c r="AD415" s="437"/>
      <c r="AE415" s="437"/>
      <c r="AF415" s="437"/>
      <c r="AG415" s="437"/>
      <c r="AH415" s="437"/>
      <c r="AI415" s="437"/>
      <c r="AJ415" s="437"/>
      <c r="AK415" s="437"/>
      <c r="AL415" s="437"/>
      <c r="AM415" s="338"/>
      <c r="AO415">
        <f ca="1">IF($A415="S",IF(BM!$I415=0,0,CHOOSE(MATCH(RegimeExecucao,{"Global","Unitário"},0),ROUND(ROUND(BM.MEDAcumulado,15-13*BM!$A$9)/100*BM!$I415,15-13*ORÇAMENTO!$AF$11),ROUND(ROUND(BM.MEDAcumulado,15-13*BM!$A$9)*ROUND(BM!$H415,15-13*ORÇAMENTO!$AF$10),15-13*ORÇAMENTO!$AF$11))),IF($A415=0,0,ROUND(SomaAgrupBM,15-13*ORÇAMENTO!$AF$11)))</f>
        <v>0</v>
      </c>
    </row>
    <row r="416" spans="1:41" ht="25.5" x14ac:dyDescent="0.2">
      <c r="A416" t="str">
        <f ca="1">ORÇAMENTO!C416</f>
        <v>S</v>
      </c>
      <c r="B416">
        <f ca="1">ORÇAMENTO!D416</f>
        <v>0</v>
      </c>
      <c r="C416" s="114" t="str">
        <f t="shared" ca="1" si="43"/>
        <v>F</v>
      </c>
      <c r="D416" s="117" t="str">
        <f ca="1">ORÇAMENTO!O416</f>
        <v>1.8.2.4.6.</v>
      </c>
      <c r="E416" s="163" t="str">
        <f t="shared" ca="1" si="44"/>
        <v>DISJUNTOR TRIPOLAR TIPO DIN, CORRENTE NOMINAL DE 63A, FORNECIMENTO E INSTALAÇÃO, INCLUSIVE TERMINAL ILHÓS</v>
      </c>
      <c r="F416" s="164" t="str">
        <f ca="1">IF(RegimeExecucao="Global","",ORÇAMENTO.Unidade)</f>
        <v>UN</v>
      </c>
      <c r="G416" s="122">
        <f ca="1">IF(RegimeExecucao="Global","",ORÇAMENTO!T416)</f>
        <v>1</v>
      </c>
      <c r="H416" s="122">
        <f ca="1">IF(RegimeExecucao="Global","",ORÇAMENTO!W416)</f>
        <v>104.04</v>
      </c>
      <c r="I416" s="125">
        <f ca="1">ORÇAMENTO!X416</f>
        <v>104.04</v>
      </c>
      <c r="J416" s="333" cm="1">
        <f t="array" aca="1" ref="J416" ca="1">_xlfn.SINGLE(IF($A416="S",IF(CAIXA.Modo,BM.AFAnterior,BM.MEDAnterior),IF(AND(_xlfn.SINGLE(RegimeExecucao)="Global",$I416&gt;0,COUNTIF($AB$13:$AM$13,BM.medicao-1)&gt;0),M416/$I416*100,0)))</f>
        <v>0</v>
      </c>
      <c r="K416" s="122">
        <f t="shared" ca="1" si="45"/>
        <v>0</v>
      </c>
      <c r="L416" s="334" cm="1">
        <f t="array" aca="1" ref="L416" ca="1">_xlfn.SINGLE(IF($A416="S",IF(CAIXA.Modo,BM.AFAcumulado,BM.MEDAcumulado),IF(AND(_xlfn.SINGLE(RegimeExecucao)="Global",$I416&gt;0,COUNTIF($AB$13:$AM$13,BM.medicao)&gt;0),O416/$I416*100,0)))</f>
        <v>0</v>
      </c>
      <c r="M416" s="335">
        <f ca="1">IF($A416="S",VTOTALBM,IF($A416=0,0,ROUND(SomaAgrupBM,15-13*ORÇAMENTO!$AF$11)))</f>
        <v>0</v>
      </c>
      <c r="N416" s="336">
        <f t="shared" ca="1" si="46"/>
        <v>0</v>
      </c>
      <c r="O416" s="125">
        <f ca="1">IF($A416="S",VTOTALBM,IF($A416=0,0,ROUND(SomaAgrupBM,15-13*ORÇAMENTO!$AF$11)))</f>
        <v>0</v>
      </c>
      <c r="Q416" s="337"/>
      <c r="R416" s="338"/>
      <c r="T416" s="117" t="str">
        <f t="shared" ca="1" si="47"/>
        <v/>
      </c>
      <c r="U416" s="163" t="str">
        <f t="shared" ca="1" si="48"/>
        <v/>
      </c>
      <c r="V416" s="164" t="str">
        <f ca="1">IF(AND($W416&gt;0,RegimeExecucao="Unitário"),$F416,"")</f>
        <v/>
      </c>
      <c r="W416" s="454">
        <f ca="1">IF($Y416&gt;0,CHOOSE(MATCH(RegimeExecucao,{"Unitário","Global"},0),IF($A416="S",$Y416/$X416,""),($Y416/$X416)*100),0)</f>
        <v>0</v>
      </c>
      <c r="X416" s="339" t="str">
        <f ca="1">IF($Y416&gt;0,CHOOSE(MATCH(RegimeExecucao,{"Unitário","Global"},0),IF($A416="S",ROUND($H416,ORÇAMENTO!$AF$10),""),ROUND($I416,ORÇAMENTO!$AF$11)),"")</f>
        <v/>
      </c>
      <c r="Y416" s="339">
        <f t="shared" ca="1" si="49"/>
        <v>0</v>
      </c>
      <c r="Z416" s="473"/>
      <c r="AB416" s="337"/>
      <c r="AC416" s="437"/>
      <c r="AD416" s="437"/>
      <c r="AE416" s="437"/>
      <c r="AF416" s="437"/>
      <c r="AG416" s="437"/>
      <c r="AH416" s="437"/>
      <c r="AI416" s="437"/>
      <c r="AJ416" s="437"/>
      <c r="AK416" s="437"/>
      <c r="AL416" s="437"/>
      <c r="AM416" s="338"/>
      <c r="AO416">
        <f ca="1">IF($A416="S",IF(BM!$I416=0,0,CHOOSE(MATCH(RegimeExecucao,{"Global","Unitário"},0),ROUND(ROUND(BM.MEDAcumulado,15-13*BM!$A$9)/100*BM!$I416,15-13*ORÇAMENTO!$AF$11),ROUND(ROUND(BM.MEDAcumulado,15-13*BM!$A$9)*ROUND(BM!$H416,15-13*ORÇAMENTO!$AF$10),15-13*ORÇAMENTO!$AF$11))),IF($A416=0,0,ROUND(SomaAgrupBM,15-13*ORÇAMENTO!$AF$11)))</f>
        <v>0</v>
      </c>
    </row>
    <row r="417" spans="1:41" ht="25.5" x14ac:dyDescent="0.2">
      <c r="A417" t="str">
        <f ca="1">ORÇAMENTO!C417</f>
        <v>S</v>
      </c>
      <c r="B417">
        <f ca="1">ORÇAMENTO!D417</f>
        <v>0</v>
      </c>
      <c r="C417" s="114" t="str">
        <f t="shared" ca="1" si="43"/>
        <v>F</v>
      </c>
      <c r="D417" s="117" t="str">
        <f ca="1">ORÇAMENTO!O417</f>
        <v>1.8.2.4.7.</v>
      </c>
      <c r="E417" s="163" t="str">
        <f t="shared" ca="1" si="44"/>
        <v>DISJUNTOR TRIPOLAR TIPO DIN, CORRENTE NOMINAL DE 70A, FORNECIMENTO E INSTALAÇÃO, INCLUSIVE TERMINAL ILHÓS</v>
      </c>
      <c r="F417" s="164" t="str">
        <f ca="1">IF(RegimeExecucao="Global","",ORÇAMENTO.Unidade)</f>
        <v>UN</v>
      </c>
      <c r="G417" s="122">
        <f ca="1">IF(RegimeExecucao="Global","",ORÇAMENTO!T417)</f>
        <v>1</v>
      </c>
      <c r="H417" s="122">
        <f ca="1">IF(RegimeExecucao="Global","",ORÇAMENTO!W417)</f>
        <v>129.44</v>
      </c>
      <c r="I417" s="125">
        <f ca="1">ORÇAMENTO!X417</f>
        <v>129.44</v>
      </c>
      <c r="J417" s="333" cm="1">
        <f t="array" aca="1" ref="J417" ca="1">_xlfn.SINGLE(IF($A417="S",IF(CAIXA.Modo,BM.AFAnterior,BM.MEDAnterior),IF(AND(_xlfn.SINGLE(RegimeExecucao)="Global",$I417&gt;0,COUNTIF($AB$13:$AM$13,BM.medicao-1)&gt;0),M417/$I417*100,0)))</f>
        <v>0</v>
      </c>
      <c r="K417" s="122">
        <f t="shared" ca="1" si="45"/>
        <v>0</v>
      </c>
      <c r="L417" s="334" cm="1">
        <f t="array" aca="1" ref="L417" ca="1">_xlfn.SINGLE(IF($A417="S",IF(CAIXA.Modo,BM.AFAcumulado,BM.MEDAcumulado),IF(AND(_xlfn.SINGLE(RegimeExecucao)="Global",$I417&gt;0,COUNTIF($AB$13:$AM$13,BM.medicao)&gt;0),O417/$I417*100,0)))</f>
        <v>0</v>
      </c>
      <c r="M417" s="335">
        <f ca="1">IF($A417="S",VTOTALBM,IF($A417=0,0,ROUND(SomaAgrupBM,15-13*ORÇAMENTO!$AF$11)))</f>
        <v>0</v>
      </c>
      <c r="N417" s="336">
        <f t="shared" ca="1" si="46"/>
        <v>0</v>
      </c>
      <c r="O417" s="125">
        <f ca="1">IF($A417="S",VTOTALBM,IF($A417=0,0,ROUND(SomaAgrupBM,15-13*ORÇAMENTO!$AF$11)))</f>
        <v>0</v>
      </c>
      <c r="Q417" s="337"/>
      <c r="R417" s="338"/>
      <c r="T417" s="117" t="str">
        <f t="shared" ca="1" si="47"/>
        <v/>
      </c>
      <c r="U417" s="163" t="str">
        <f t="shared" ca="1" si="48"/>
        <v/>
      </c>
      <c r="V417" s="164" t="str">
        <f ca="1">IF(AND($W417&gt;0,RegimeExecucao="Unitário"),$F417,"")</f>
        <v/>
      </c>
      <c r="W417" s="454">
        <f ca="1">IF($Y417&gt;0,CHOOSE(MATCH(RegimeExecucao,{"Unitário","Global"},0),IF($A417="S",$Y417/$X417,""),($Y417/$X417)*100),0)</f>
        <v>0</v>
      </c>
      <c r="X417" s="339" t="str">
        <f ca="1">IF($Y417&gt;0,CHOOSE(MATCH(RegimeExecucao,{"Unitário","Global"},0),IF($A417="S",ROUND($H417,ORÇAMENTO!$AF$10),""),ROUND($I417,ORÇAMENTO!$AF$11)),"")</f>
        <v/>
      </c>
      <c r="Y417" s="339">
        <f t="shared" ca="1" si="49"/>
        <v>0</v>
      </c>
      <c r="Z417" s="473"/>
      <c r="AB417" s="337"/>
      <c r="AC417" s="437"/>
      <c r="AD417" s="437"/>
      <c r="AE417" s="437"/>
      <c r="AF417" s="437"/>
      <c r="AG417" s="437"/>
      <c r="AH417" s="437"/>
      <c r="AI417" s="437"/>
      <c r="AJ417" s="437"/>
      <c r="AK417" s="437"/>
      <c r="AL417" s="437"/>
      <c r="AM417" s="338"/>
      <c r="AO417">
        <f ca="1">IF($A417="S",IF(BM!$I417=0,0,CHOOSE(MATCH(RegimeExecucao,{"Global","Unitário"},0),ROUND(ROUND(BM.MEDAcumulado,15-13*BM!$A$9)/100*BM!$I417,15-13*ORÇAMENTO!$AF$11),ROUND(ROUND(BM.MEDAcumulado,15-13*BM!$A$9)*ROUND(BM!$H417,15-13*ORÇAMENTO!$AF$10),15-13*ORÇAMENTO!$AF$11))),IF($A417=0,0,ROUND(SomaAgrupBM,15-13*ORÇAMENTO!$AF$11)))</f>
        <v>0</v>
      </c>
    </row>
    <row r="418" spans="1:41" ht="25.5" x14ac:dyDescent="0.2">
      <c r="A418" t="str">
        <f ca="1">ORÇAMENTO!C418</f>
        <v>S</v>
      </c>
      <c r="B418">
        <f ca="1">ORÇAMENTO!D418</f>
        <v>0</v>
      </c>
      <c r="C418" s="114" t="str">
        <f t="shared" ca="1" si="43"/>
        <v>F</v>
      </c>
      <c r="D418" s="117" t="str">
        <f ca="1">ORÇAMENTO!O418</f>
        <v>1.8.2.4.8.</v>
      </c>
      <c r="E418" s="163" t="str">
        <f t="shared" ca="1" si="44"/>
        <v>AUTOTRANSFORMADOR TRIFÁSICO 1.01kVA E/S 220/440V 60Hz IP00, FORNECIMENTO E INSTALAÇÃO - BASEADO EM SIURB (9014034)</v>
      </c>
      <c r="F418" s="164" t="str">
        <f ca="1">IF(RegimeExecucao="Global","",ORÇAMENTO.Unidade)</f>
        <v>UN</v>
      </c>
      <c r="G418" s="122">
        <f ca="1">IF(RegimeExecucao="Global","",ORÇAMENTO!T418)</f>
        <v>1</v>
      </c>
      <c r="H418" s="122">
        <f ca="1">IF(RegimeExecucao="Global","",ORÇAMENTO!W418)</f>
        <v>750.23</v>
      </c>
      <c r="I418" s="125">
        <f ca="1">ORÇAMENTO!X418</f>
        <v>750.23</v>
      </c>
      <c r="J418" s="333" cm="1">
        <f t="array" aca="1" ref="J418" ca="1">_xlfn.SINGLE(IF($A418="S",IF(CAIXA.Modo,BM.AFAnterior,BM.MEDAnterior),IF(AND(_xlfn.SINGLE(RegimeExecucao)="Global",$I418&gt;0,COUNTIF($AB$13:$AM$13,BM.medicao-1)&gt;0),M418/$I418*100,0)))</f>
        <v>0</v>
      </c>
      <c r="K418" s="122">
        <f t="shared" ca="1" si="45"/>
        <v>0</v>
      </c>
      <c r="L418" s="334" cm="1">
        <f t="array" aca="1" ref="L418" ca="1">_xlfn.SINGLE(IF($A418="S",IF(CAIXA.Modo,BM.AFAcumulado,BM.MEDAcumulado),IF(AND(_xlfn.SINGLE(RegimeExecucao)="Global",$I418&gt;0,COUNTIF($AB$13:$AM$13,BM.medicao)&gt;0),O418/$I418*100,0)))</f>
        <v>0</v>
      </c>
      <c r="M418" s="335">
        <f ca="1">IF($A418="S",VTOTALBM,IF($A418=0,0,ROUND(SomaAgrupBM,15-13*ORÇAMENTO!$AF$11)))</f>
        <v>0</v>
      </c>
      <c r="N418" s="336">
        <f t="shared" ca="1" si="46"/>
        <v>0</v>
      </c>
      <c r="O418" s="125">
        <f ca="1">IF($A418="S",VTOTALBM,IF($A418=0,0,ROUND(SomaAgrupBM,15-13*ORÇAMENTO!$AF$11)))</f>
        <v>0</v>
      </c>
      <c r="Q418" s="337"/>
      <c r="R418" s="338"/>
      <c r="T418" s="117" t="str">
        <f t="shared" ca="1" si="47"/>
        <v/>
      </c>
      <c r="U418" s="163" t="str">
        <f t="shared" ca="1" si="48"/>
        <v/>
      </c>
      <c r="V418" s="164" t="str">
        <f ca="1">IF(AND($W418&gt;0,RegimeExecucao="Unitário"),$F418,"")</f>
        <v/>
      </c>
      <c r="W418" s="454">
        <f ca="1">IF($Y418&gt;0,CHOOSE(MATCH(RegimeExecucao,{"Unitário","Global"},0),IF($A418="S",$Y418/$X418,""),($Y418/$X418)*100),0)</f>
        <v>0</v>
      </c>
      <c r="X418" s="339" t="str">
        <f ca="1">IF($Y418&gt;0,CHOOSE(MATCH(RegimeExecucao,{"Unitário","Global"},0),IF($A418="S",ROUND($H418,ORÇAMENTO!$AF$10),""),ROUND($I418,ORÇAMENTO!$AF$11)),"")</f>
        <v/>
      </c>
      <c r="Y418" s="339">
        <f t="shared" ca="1" si="49"/>
        <v>0</v>
      </c>
      <c r="Z418" s="473"/>
      <c r="AB418" s="337"/>
      <c r="AC418" s="437"/>
      <c r="AD418" s="437"/>
      <c r="AE418" s="437"/>
      <c r="AF418" s="437"/>
      <c r="AG418" s="437"/>
      <c r="AH418" s="437"/>
      <c r="AI418" s="437"/>
      <c r="AJ418" s="437"/>
      <c r="AK418" s="437"/>
      <c r="AL418" s="437"/>
      <c r="AM418" s="338"/>
      <c r="AO418">
        <f ca="1">IF($A418="S",IF(BM!$I418=0,0,CHOOSE(MATCH(RegimeExecucao,{"Global","Unitário"},0),ROUND(ROUND(BM.MEDAcumulado,15-13*BM!$A$9)/100*BM!$I418,15-13*ORÇAMENTO!$AF$11),ROUND(ROUND(BM.MEDAcumulado,15-13*BM!$A$9)*ROUND(BM!$H418,15-13*ORÇAMENTO!$AF$10),15-13*ORÇAMENTO!$AF$11))),IF($A418=0,0,ROUND(SomaAgrupBM,15-13*ORÇAMENTO!$AF$11)))</f>
        <v>0</v>
      </c>
    </row>
    <row r="419" spans="1:41" ht="51" x14ac:dyDescent="0.2">
      <c r="A419" t="str">
        <f ca="1">ORÇAMENTO!C419</f>
        <v>S</v>
      </c>
      <c r="B419">
        <f ca="1">ORÇAMENTO!D419</f>
        <v>0</v>
      </c>
      <c r="C419" s="114" t="str">
        <f t="shared" ca="1" si="43"/>
        <v>F</v>
      </c>
      <c r="D419" s="117" t="str">
        <f ca="1">ORÇAMENTO!O419</f>
        <v>1.8.2.4.9.</v>
      </c>
      <c r="E419" s="163" t="str">
        <f t="shared" ca="1" si="44"/>
        <v>QCM-COMPORTA - PAINEL DE COMANDO EM CHAPA DE AÇO SAE 1008, 1200X800X350MM, COMPOSTO POR CAIXA, PLACA DE MONTAGEM E FLANGE. REF.: CEMAR QCS-8060, FORNECIMENTO E INSTALAÇÃO - BASEADO SINAPI (102136)</v>
      </c>
      <c r="F419" s="164" t="str">
        <f ca="1">IF(RegimeExecucao="Global","",ORÇAMENTO.Unidade)</f>
        <v>UN</v>
      </c>
      <c r="G419" s="122">
        <f ca="1">IF(RegimeExecucao="Global","",ORÇAMENTO!T419)</f>
        <v>1</v>
      </c>
      <c r="H419" s="122">
        <f ca="1">IF(RegimeExecucao="Global","",ORÇAMENTO!W419)</f>
        <v>1012.48</v>
      </c>
      <c r="I419" s="125">
        <f ca="1">ORÇAMENTO!X419</f>
        <v>1012.48</v>
      </c>
      <c r="J419" s="333" cm="1">
        <f t="array" aca="1" ref="J419" ca="1">_xlfn.SINGLE(IF($A419="S",IF(CAIXA.Modo,BM.AFAnterior,BM.MEDAnterior),IF(AND(_xlfn.SINGLE(RegimeExecucao)="Global",$I419&gt;0,COUNTIF($AB$13:$AM$13,BM.medicao-1)&gt;0),M419/$I419*100,0)))</f>
        <v>0</v>
      </c>
      <c r="K419" s="122">
        <f t="shared" ca="1" si="45"/>
        <v>0</v>
      </c>
      <c r="L419" s="334" cm="1">
        <f t="array" aca="1" ref="L419" ca="1">_xlfn.SINGLE(IF($A419="S",IF(CAIXA.Modo,BM.AFAcumulado,BM.MEDAcumulado),IF(AND(_xlfn.SINGLE(RegimeExecucao)="Global",$I419&gt;0,COUNTIF($AB$13:$AM$13,BM.medicao)&gt;0),O419/$I419*100,0)))</f>
        <v>0</v>
      </c>
      <c r="M419" s="335">
        <f ca="1">IF($A419="S",VTOTALBM,IF($A419=0,0,ROUND(SomaAgrupBM,15-13*ORÇAMENTO!$AF$11)))</f>
        <v>0</v>
      </c>
      <c r="N419" s="336">
        <f t="shared" ca="1" si="46"/>
        <v>0</v>
      </c>
      <c r="O419" s="125">
        <f ca="1">IF($A419="S",VTOTALBM,IF($A419=0,0,ROUND(SomaAgrupBM,15-13*ORÇAMENTO!$AF$11)))</f>
        <v>0</v>
      </c>
      <c r="Q419" s="337"/>
      <c r="R419" s="338"/>
      <c r="T419" s="117" t="str">
        <f t="shared" ca="1" si="47"/>
        <v/>
      </c>
      <c r="U419" s="163" t="str">
        <f t="shared" ca="1" si="48"/>
        <v/>
      </c>
      <c r="V419" s="164" t="str">
        <f ca="1">IF(AND($W419&gt;0,RegimeExecucao="Unitário"),$F419,"")</f>
        <v/>
      </c>
      <c r="W419" s="454">
        <f ca="1">IF($Y419&gt;0,CHOOSE(MATCH(RegimeExecucao,{"Unitário","Global"},0),IF($A419="S",$Y419/$X419,""),($Y419/$X419)*100),0)</f>
        <v>0</v>
      </c>
      <c r="X419" s="339" t="str">
        <f ca="1">IF($Y419&gt;0,CHOOSE(MATCH(RegimeExecucao,{"Unitário","Global"},0),IF($A419="S",ROUND($H419,ORÇAMENTO!$AF$10),""),ROUND($I419,ORÇAMENTO!$AF$11)),"")</f>
        <v/>
      </c>
      <c r="Y419" s="339">
        <f t="shared" ca="1" si="49"/>
        <v>0</v>
      </c>
      <c r="Z419" s="473"/>
      <c r="AB419" s="337"/>
      <c r="AC419" s="437"/>
      <c r="AD419" s="437"/>
      <c r="AE419" s="437"/>
      <c r="AF419" s="437"/>
      <c r="AG419" s="437"/>
      <c r="AH419" s="437"/>
      <c r="AI419" s="437"/>
      <c r="AJ419" s="437"/>
      <c r="AK419" s="437"/>
      <c r="AL419" s="437"/>
      <c r="AM419" s="338"/>
      <c r="AO419">
        <f ca="1">IF($A419="S",IF(BM!$I419=0,0,CHOOSE(MATCH(RegimeExecucao,{"Global","Unitário"},0),ROUND(ROUND(BM.MEDAcumulado,15-13*BM!$A$9)/100*BM!$I419,15-13*ORÇAMENTO!$AF$11),ROUND(ROUND(BM.MEDAcumulado,15-13*BM!$A$9)*ROUND(BM!$H419,15-13*ORÇAMENTO!$AF$10),15-13*ORÇAMENTO!$AF$11))),IF($A419=0,0,ROUND(SomaAgrupBM,15-13*ORÇAMENTO!$AF$11)))</f>
        <v>0</v>
      </c>
    </row>
    <row r="420" spans="1:41" ht="25.5" x14ac:dyDescent="0.2">
      <c r="A420" t="str">
        <f ca="1">ORÇAMENTO!C420</f>
        <v>S</v>
      </c>
      <c r="B420">
        <f ca="1">ORÇAMENTO!D420</f>
        <v>0</v>
      </c>
      <c r="C420" s="114" t="str">
        <f t="shared" ca="1" si="43"/>
        <v>F</v>
      </c>
      <c r="D420" s="117" t="str">
        <f ca="1">ORÇAMENTO!O420</f>
        <v>1.8.2.4.10.</v>
      </c>
      <c r="E420" s="163" t="str">
        <f t="shared" ca="1" si="44"/>
        <v>DISJUNTOR MONOPOLAR TIPO DIN, CORRENTE NOMINAL DE 10A - FORNECIMENTO E INSTALAÇÃO. AF_10/2020</v>
      </c>
      <c r="F420" s="164" t="str">
        <f ca="1">IF(RegimeExecucao="Global","",ORÇAMENTO.Unidade)</f>
        <v>UN</v>
      </c>
      <c r="G420" s="122">
        <f ca="1">IF(RegimeExecucao="Global","",ORÇAMENTO!T420)</f>
        <v>1</v>
      </c>
      <c r="H420" s="122">
        <f ca="1">IF(RegimeExecucao="Global","",ORÇAMENTO!W420)</f>
        <v>18.02</v>
      </c>
      <c r="I420" s="125">
        <f ca="1">ORÇAMENTO!X420</f>
        <v>18.02</v>
      </c>
      <c r="J420" s="333" cm="1">
        <f t="array" aca="1" ref="J420" ca="1">_xlfn.SINGLE(IF($A420="S",IF(CAIXA.Modo,BM.AFAnterior,BM.MEDAnterior),IF(AND(_xlfn.SINGLE(RegimeExecucao)="Global",$I420&gt;0,COUNTIF($AB$13:$AM$13,BM.medicao-1)&gt;0),M420/$I420*100,0)))</f>
        <v>0</v>
      </c>
      <c r="K420" s="122">
        <f t="shared" ca="1" si="45"/>
        <v>0</v>
      </c>
      <c r="L420" s="334" cm="1">
        <f t="array" aca="1" ref="L420" ca="1">_xlfn.SINGLE(IF($A420="S",IF(CAIXA.Modo,BM.AFAcumulado,BM.MEDAcumulado),IF(AND(_xlfn.SINGLE(RegimeExecucao)="Global",$I420&gt;0,COUNTIF($AB$13:$AM$13,BM.medicao)&gt;0),O420/$I420*100,0)))</f>
        <v>0</v>
      </c>
      <c r="M420" s="335">
        <f ca="1">IF($A420="S",VTOTALBM,IF($A420=0,0,ROUND(SomaAgrupBM,15-13*ORÇAMENTO!$AF$11)))</f>
        <v>0</v>
      </c>
      <c r="N420" s="336">
        <f t="shared" ca="1" si="46"/>
        <v>0</v>
      </c>
      <c r="O420" s="125">
        <f ca="1">IF($A420="S",VTOTALBM,IF($A420=0,0,ROUND(SomaAgrupBM,15-13*ORÇAMENTO!$AF$11)))</f>
        <v>0</v>
      </c>
      <c r="Q420" s="337"/>
      <c r="R420" s="338"/>
      <c r="T420" s="117" t="str">
        <f t="shared" ca="1" si="47"/>
        <v/>
      </c>
      <c r="U420" s="163" t="str">
        <f t="shared" ca="1" si="48"/>
        <v/>
      </c>
      <c r="V420" s="164" t="str">
        <f ca="1">IF(AND($W420&gt;0,RegimeExecucao="Unitário"),$F420,"")</f>
        <v/>
      </c>
      <c r="W420" s="454">
        <f ca="1">IF($Y420&gt;0,CHOOSE(MATCH(RegimeExecucao,{"Unitário","Global"},0),IF($A420="S",$Y420/$X420,""),($Y420/$X420)*100),0)</f>
        <v>0</v>
      </c>
      <c r="X420" s="339" t="str">
        <f ca="1">IF($Y420&gt;0,CHOOSE(MATCH(RegimeExecucao,{"Unitário","Global"},0),IF($A420="S",ROUND($H420,ORÇAMENTO!$AF$10),""),ROUND($I420,ORÇAMENTO!$AF$11)),"")</f>
        <v/>
      </c>
      <c r="Y420" s="339">
        <f t="shared" ca="1" si="49"/>
        <v>0</v>
      </c>
      <c r="Z420" s="473"/>
      <c r="AB420" s="337"/>
      <c r="AC420" s="437"/>
      <c r="AD420" s="437"/>
      <c r="AE420" s="437"/>
      <c r="AF420" s="437"/>
      <c r="AG420" s="437"/>
      <c r="AH420" s="437"/>
      <c r="AI420" s="437"/>
      <c r="AJ420" s="437"/>
      <c r="AK420" s="437"/>
      <c r="AL420" s="437"/>
      <c r="AM420" s="338"/>
      <c r="AO420">
        <f ca="1">IF($A420="S",IF(BM!$I420=0,0,CHOOSE(MATCH(RegimeExecucao,{"Global","Unitário"},0),ROUND(ROUND(BM.MEDAcumulado,15-13*BM!$A$9)/100*BM!$I420,15-13*ORÇAMENTO!$AF$11),ROUND(ROUND(BM.MEDAcumulado,15-13*BM!$A$9)*ROUND(BM!$H420,15-13*ORÇAMENTO!$AF$10),15-13*ORÇAMENTO!$AF$11))),IF($A420=0,0,ROUND(SomaAgrupBM,15-13*ORÇAMENTO!$AF$11)))</f>
        <v>0</v>
      </c>
    </row>
    <row r="421" spans="1:41" ht="25.5" x14ac:dyDescent="0.2">
      <c r="A421" t="str">
        <f ca="1">ORÇAMENTO!C421</f>
        <v>S</v>
      </c>
      <c r="B421">
        <f ca="1">ORÇAMENTO!D421</f>
        <v>0</v>
      </c>
      <c r="C421" s="114" t="str">
        <f t="shared" ca="1" si="43"/>
        <v>F</v>
      </c>
      <c r="D421" s="117" t="str">
        <f ca="1">ORÇAMENTO!O421</f>
        <v>1.8.2.4.11.</v>
      </c>
      <c r="E421" s="163" t="str">
        <f t="shared" ca="1" si="44"/>
        <v>DISJUNTOR TRIPOLAR TIPO DIN, CORRENTE NOMINAL DE 10A - FORNECIMENTO E INSTALAÇÃO. AF_10/2020</v>
      </c>
      <c r="F421" s="164" t="str">
        <f ca="1">IF(RegimeExecucao="Global","",ORÇAMENTO.Unidade)</f>
        <v>UN</v>
      </c>
      <c r="G421" s="122">
        <f ca="1">IF(RegimeExecucao="Global","",ORÇAMENTO!T421)</f>
        <v>1</v>
      </c>
      <c r="H421" s="122">
        <f ca="1">IF(RegimeExecucao="Global","",ORÇAMENTO!W421)</f>
        <v>109.75</v>
      </c>
      <c r="I421" s="125">
        <f ca="1">ORÇAMENTO!X421</f>
        <v>109.75</v>
      </c>
      <c r="J421" s="333" cm="1">
        <f t="array" aca="1" ref="J421" ca="1">_xlfn.SINGLE(IF($A421="S",IF(CAIXA.Modo,BM.AFAnterior,BM.MEDAnterior),IF(AND(_xlfn.SINGLE(RegimeExecucao)="Global",$I421&gt;0,COUNTIF($AB$13:$AM$13,BM.medicao-1)&gt;0),M421/$I421*100,0)))</f>
        <v>0</v>
      </c>
      <c r="K421" s="122">
        <f t="shared" ca="1" si="45"/>
        <v>0</v>
      </c>
      <c r="L421" s="334" cm="1">
        <f t="array" aca="1" ref="L421" ca="1">_xlfn.SINGLE(IF($A421="S",IF(CAIXA.Modo,BM.AFAcumulado,BM.MEDAcumulado),IF(AND(_xlfn.SINGLE(RegimeExecucao)="Global",$I421&gt;0,COUNTIF($AB$13:$AM$13,BM.medicao)&gt;0),O421/$I421*100,0)))</f>
        <v>0</v>
      </c>
      <c r="M421" s="335">
        <f ca="1">IF($A421="S",VTOTALBM,IF($A421=0,0,ROUND(SomaAgrupBM,15-13*ORÇAMENTO!$AF$11)))</f>
        <v>0</v>
      </c>
      <c r="N421" s="336">
        <f t="shared" ca="1" si="46"/>
        <v>0</v>
      </c>
      <c r="O421" s="125">
        <f ca="1">IF($A421="S",VTOTALBM,IF($A421=0,0,ROUND(SomaAgrupBM,15-13*ORÇAMENTO!$AF$11)))</f>
        <v>0</v>
      </c>
      <c r="Q421" s="337"/>
      <c r="R421" s="338"/>
      <c r="T421" s="117" t="str">
        <f t="shared" ca="1" si="47"/>
        <v/>
      </c>
      <c r="U421" s="163" t="str">
        <f t="shared" ca="1" si="48"/>
        <v/>
      </c>
      <c r="V421" s="164" t="str">
        <f ca="1">IF(AND($W421&gt;0,RegimeExecucao="Unitário"),$F421,"")</f>
        <v/>
      </c>
      <c r="W421" s="454">
        <f ca="1">IF($Y421&gt;0,CHOOSE(MATCH(RegimeExecucao,{"Unitário","Global"},0),IF($A421="S",$Y421/$X421,""),($Y421/$X421)*100),0)</f>
        <v>0</v>
      </c>
      <c r="X421" s="339" t="str">
        <f ca="1">IF($Y421&gt;0,CHOOSE(MATCH(RegimeExecucao,{"Unitário","Global"},0),IF($A421="S",ROUND($H421,ORÇAMENTO!$AF$10),""),ROUND($I421,ORÇAMENTO!$AF$11)),"")</f>
        <v/>
      </c>
      <c r="Y421" s="339">
        <f t="shared" ca="1" si="49"/>
        <v>0</v>
      </c>
      <c r="Z421" s="473"/>
      <c r="AB421" s="337"/>
      <c r="AC421" s="437"/>
      <c r="AD421" s="437"/>
      <c r="AE421" s="437"/>
      <c r="AF421" s="437"/>
      <c r="AG421" s="437"/>
      <c r="AH421" s="437"/>
      <c r="AI421" s="437"/>
      <c r="AJ421" s="437"/>
      <c r="AK421" s="437"/>
      <c r="AL421" s="437"/>
      <c r="AM421" s="338"/>
      <c r="AO421">
        <f ca="1">IF($A421="S",IF(BM!$I421=0,0,CHOOSE(MATCH(RegimeExecucao,{"Global","Unitário"},0),ROUND(ROUND(BM.MEDAcumulado,15-13*BM!$A$9)/100*BM!$I421,15-13*ORÇAMENTO!$AF$11),ROUND(ROUND(BM.MEDAcumulado,15-13*BM!$A$9)*ROUND(BM!$H421,15-13*ORÇAMENTO!$AF$10),15-13*ORÇAMENTO!$AF$11))),IF($A421=0,0,ROUND(SomaAgrupBM,15-13*ORÇAMENTO!$AF$11)))</f>
        <v>0</v>
      </c>
    </row>
    <row r="422" spans="1:41" ht="38.25" x14ac:dyDescent="0.2">
      <c r="A422" t="str">
        <f ca="1">ORÇAMENTO!C422</f>
        <v>S</v>
      </c>
      <c r="B422">
        <f ca="1">ORÇAMENTO!D422</f>
        <v>0</v>
      </c>
      <c r="C422" s="114" t="str">
        <f t="shared" ca="1" si="43"/>
        <v>F</v>
      </c>
      <c r="D422" s="117" t="str">
        <f ca="1">ORÇAMENTO!O422</f>
        <v>1.8.2.4.12.</v>
      </c>
      <c r="E422" s="163" t="str">
        <f t="shared" ca="1" si="44"/>
        <v>DISJUNTOR MOTOR, CORRENTE NOMINAL MÁXIMA 40A, TERMINAL PARAFUSO. REF.: WEG MPW40-3-U040 , FORNECIMENTO E INSTALAÇÃO - BASEADO EM SINAPI (93655)</v>
      </c>
      <c r="F422" s="164" t="str">
        <f ca="1">IF(RegimeExecucao="Global","",ORÇAMENTO.Unidade)</f>
        <v>UN</v>
      </c>
      <c r="G422" s="122">
        <f ca="1">IF(RegimeExecucao="Global","",ORÇAMENTO!T422)</f>
        <v>1</v>
      </c>
      <c r="H422" s="122">
        <f ca="1">IF(RegimeExecucao="Global","",ORÇAMENTO!W422)</f>
        <v>778.79</v>
      </c>
      <c r="I422" s="125">
        <f ca="1">ORÇAMENTO!X422</f>
        <v>778.79</v>
      </c>
      <c r="J422" s="333" cm="1">
        <f t="array" aca="1" ref="J422" ca="1">_xlfn.SINGLE(IF($A422="S",IF(CAIXA.Modo,BM.AFAnterior,BM.MEDAnterior),IF(AND(_xlfn.SINGLE(RegimeExecucao)="Global",$I422&gt;0,COUNTIF($AB$13:$AM$13,BM.medicao-1)&gt;0),M422/$I422*100,0)))</f>
        <v>0</v>
      </c>
      <c r="K422" s="122">
        <f t="shared" ca="1" si="45"/>
        <v>0</v>
      </c>
      <c r="L422" s="334" cm="1">
        <f t="array" aca="1" ref="L422" ca="1">_xlfn.SINGLE(IF($A422="S",IF(CAIXA.Modo,BM.AFAcumulado,BM.MEDAcumulado),IF(AND(_xlfn.SINGLE(RegimeExecucao)="Global",$I422&gt;0,COUNTIF($AB$13:$AM$13,BM.medicao)&gt;0),O422/$I422*100,0)))</f>
        <v>0</v>
      </c>
      <c r="M422" s="335">
        <f ca="1">IF($A422="S",VTOTALBM,IF($A422=0,0,ROUND(SomaAgrupBM,15-13*ORÇAMENTO!$AF$11)))</f>
        <v>0</v>
      </c>
      <c r="N422" s="336">
        <f t="shared" ca="1" si="46"/>
        <v>0</v>
      </c>
      <c r="O422" s="125">
        <f ca="1">IF($A422="S",VTOTALBM,IF($A422=0,0,ROUND(SomaAgrupBM,15-13*ORÇAMENTO!$AF$11)))</f>
        <v>0</v>
      </c>
      <c r="Q422" s="337"/>
      <c r="R422" s="338"/>
      <c r="T422" s="117" t="str">
        <f t="shared" ca="1" si="47"/>
        <v/>
      </c>
      <c r="U422" s="163" t="str">
        <f t="shared" ca="1" si="48"/>
        <v/>
      </c>
      <c r="V422" s="164" t="str">
        <f ca="1">IF(AND($W422&gt;0,RegimeExecucao="Unitário"),$F422,"")</f>
        <v/>
      </c>
      <c r="W422" s="454">
        <f ca="1">IF($Y422&gt;0,CHOOSE(MATCH(RegimeExecucao,{"Unitário","Global"},0),IF($A422="S",$Y422/$X422,""),($Y422/$X422)*100),0)</f>
        <v>0</v>
      </c>
      <c r="X422" s="339" t="str">
        <f ca="1">IF($Y422&gt;0,CHOOSE(MATCH(RegimeExecucao,{"Unitário","Global"},0),IF($A422="S",ROUND($H422,ORÇAMENTO!$AF$10),""),ROUND($I422,ORÇAMENTO!$AF$11)),"")</f>
        <v/>
      </c>
      <c r="Y422" s="339">
        <f t="shared" ca="1" si="49"/>
        <v>0</v>
      </c>
      <c r="Z422" s="473"/>
      <c r="AB422" s="337"/>
      <c r="AC422" s="437"/>
      <c r="AD422" s="437"/>
      <c r="AE422" s="437"/>
      <c r="AF422" s="437"/>
      <c r="AG422" s="437"/>
      <c r="AH422" s="437"/>
      <c r="AI422" s="437"/>
      <c r="AJ422" s="437"/>
      <c r="AK422" s="437"/>
      <c r="AL422" s="437"/>
      <c r="AM422" s="338"/>
      <c r="AO422">
        <f ca="1">IF($A422="S",IF(BM!$I422=0,0,CHOOSE(MATCH(RegimeExecucao,{"Global","Unitário"},0),ROUND(ROUND(BM.MEDAcumulado,15-13*BM!$A$9)/100*BM!$I422,15-13*ORÇAMENTO!$AF$11),ROUND(ROUND(BM.MEDAcumulado,15-13*BM!$A$9)*ROUND(BM!$H422,15-13*ORÇAMENTO!$AF$10),15-13*ORÇAMENTO!$AF$11))),IF($A422=0,0,ROUND(SomaAgrupBM,15-13*ORÇAMENTO!$AF$11)))</f>
        <v>0</v>
      </c>
    </row>
    <row r="423" spans="1:41" ht="38.25" x14ac:dyDescent="0.2">
      <c r="A423" t="str">
        <f ca="1">ORÇAMENTO!C423</f>
        <v>S</v>
      </c>
      <c r="B423">
        <f ca="1">ORÇAMENTO!D423</f>
        <v>0</v>
      </c>
      <c r="C423" s="114" t="str">
        <f t="shared" ca="1" si="43"/>
        <v>F</v>
      </c>
      <c r="D423" s="117" t="str">
        <f ca="1">ORÇAMENTO!O423</f>
        <v>1.8.2.4.13.</v>
      </c>
      <c r="E423" s="163" t="str">
        <f t="shared" ca="1" si="44"/>
        <v>CONTATOR DE POTÊNCIA 18A 100-250VCC/CA. REF.: WEG, FORNECIMENTO E INSTALAÇÃO- BASEADO EM CPOS/CDHU (40.10.040)</v>
      </c>
      <c r="F423" s="164" t="str">
        <f ca="1">IF(RegimeExecucao="Global","",ORÇAMENTO.Unidade)</f>
        <v>UN</v>
      </c>
      <c r="G423" s="122">
        <f ca="1">IF(RegimeExecucao="Global","",ORÇAMENTO!T423)</f>
        <v>1</v>
      </c>
      <c r="H423" s="122">
        <f ca="1">IF(RegimeExecucao="Global","",ORÇAMENTO!W423)</f>
        <v>130.21</v>
      </c>
      <c r="I423" s="125">
        <f ca="1">ORÇAMENTO!X423</f>
        <v>130.21</v>
      </c>
      <c r="J423" s="333" cm="1">
        <f t="array" aca="1" ref="J423" ca="1">_xlfn.SINGLE(IF($A423="S",IF(CAIXA.Modo,BM.AFAnterior,BM.MEDAnterior),IF(AND(_xlfn.SINGLE(RegimeExecucao)="Global",$I423&gt;0,COUNTIF($AB$13:$AM$13,BM.medicao-1)&gt;0),M423/$I423*100,0)))</f>
        <v>0</v>
      </c>
      <c r="K423" s="122">
        <f t="shared" ca="1" si="45"/>
        <v>0</v>
      </c>
      <c r="L423" s="334" cm="1">
        <f t="array" aca="1" ref="L423" ca="1">_xlfn.SINGLE(IF($A423="S",IF(CAIXA.Modo,BM.AFAcumulado,BM.MEDAcumulado),IF(AND(_xlfn.SINGLE(RegimeExecucao)="Global",$I423&gt;0,COUNTIF($AB$13:$AM$13,BM.medicao)&gt;0),O423/$I423*100,0)))</f>
        <v>0</v>
      </c>
      <c r="M423" s="335">
        <f ca="1">IF($A423="S",VTOTALBM,IF($A423=0,0,ROUND(SomaAgrupBM,15-13*ORÇAMENTO!$AF$11)))</f>
        <v>0</v>
      </c>
      <c r="N423" s="336">
        <f t="shared" ca="1" si="46"/>
        <v>0</v>
      </c>
      <c r="O423" s="125">
        <f ca="1">IF($A423="S",VTOTALBM,IF($A423=0,0,ROUND(SomaAgrupBM,15-13*ORÇAMENTO!$AF$11)))</f>
        <v>0</v>
      </c>
      <c r="Q423" s="337"/>
      <c r="R423" s="338"/>
      <c r="T423" s="117" t="str">
        <f t="shared" ca="1" si="47"/>
        <v/>
      </c>
      <c r="U423" s="163" t="str">
        <f t="shared" ca="1" si="48"/>
        <v/>
      </c>
      <c r="V423" s="164" t="str">
        <f ca="1">IF(AND($W423&gt;0,RegimeExecucao="Unitário"),$F423,"")</f>
        <v/>
      </c>
      <c r="W423" s="454">
        <f ca="1">IF($Y423&gt;0,CHOOSE(MATCH(RegimeExecucao,{"Unitário","Global"},0),IF($A423="S",$Y423/$X423,""),($Y423/$X423)*100),0)</f>
        <v>0</v>
      </c>
      <c r="X423" s="339" t="str">
        <f ca="1">IF($Y423&gt;0,CHOOSE(MATCH(RegimeExecucao,{"Unitário","Global"},0),IF($A423="S",ROUND($H423,ORÇAMENTO!$AF$10),""),ROUND($I423,ORÇAMENTO!$AF$11)),"")</f>
        <v/>
      </c>
      <c r="Y423" s="339">
        <f t="shared" ca="1" si="49"/>
        <v>0</v>
      </c>
      <c r="Z423" s="473"/>
      <c r="AB423" s="337"/>
      <c r="AC423" s="437"/>
      <c r="AD423" s="437"/>
      <c r="AE423" s="437"/>
      <c r="AF423" s="437"/>
      <c r="AG423" s="437"/>
      <c r="AH423" s="437"/>
      <c r="AI423" s="437"/>
      <c r="AJ423" s="437"/>
      <c r="AK423" s="437"/>
      <c r="AL423" s="437"/>
      <c r="AM423" s="338"/>
      <c r="AO423">
        <f ca="1">IF($A423="S",IF(BM!$I423=0,0,CHOOSE(MATCH(RegimeExecucao,{"Global","Unitário"},0),ROUND(ROUND(BM.MEDAcumulado,15-13*BM!$A$9)/100*BM!$I423,15-13*ORÇAMENTO!$AF$11),ROUND(ROUND(BM.MEDAcumulado,15-13*BM!$A$9)*ROUND(BM!$H423,15-13*ORÇAMENTO!$AF$10),15-13*ORÇAMENTO!$AF$11))),IF($A423=0,0,ROUND(SomaAgrupBM,15-13*ORÇAMENTO!$AF$11)))</f>
        <v>0</v>
      </c>
    </row>
    <row r="424" spans="1:41" ht="25.5" x14ac:dyDescent="0.2">
      <c r="A424" t="str">
        <f ca="1">ORÇAMENTO!C424</f>
        <v>S</v>
      </c>
      <c r="B424">
        <f ca="1">ORÇAMENTO!D424</f>
        <v>0</v>
      </c>
      <c r="C424" s="114" t="str">
        <f t="shared" ca="1" si="43"/>
        <v>F</v>
      </c>
      <c r="D424" s="117" t="str">
        <f ca="1">ORÇAMENTO!O424</f>
        <v>1.8.2.4.14.</v>
      </c>
      <c r="E424" s="163" t="str">
        <f t="shared" ca="1" si="44"/>
        <v xml:space="preserve">INVERSOR DE FREQUÊNCIA 47A 220V. REF.: WEG CFW900C56P0T2, FORNECIMENTO E INSTALAÇÃO - BASEADO EM ORSE (3821) </v>
      </c>
      <c r="F424" s="164" t="str">
        <f ca="1">IF(RegimeExecucao="Global","",ORÇAMENTO.Unidade)</f>
        <v>UN</v>
      </c>
      <c r="G424" s="122">
        <f ca="1">IF(RegimeExecucao="Global","",ORÇAMENTO!T424)</f>
        <v>1</v>
      </c>
      <c r="H424" s="122">
        <f ca="1">IF(RegimeExecucao="Global","",ORÇAMENTO!W424)</f>
        <v>11185.35</v>
      </c>
      <c r="I424" s="125">
        <f ca="1">ORÇAMENTO!X424</f>
        <v>11185.35</v>
      </c>
      <c r="J424" s="333" cm="1">
        <f t="array" aca="1" ref="J424" ca="1">_xlfn.SINGLE(IF($A424="S",IF(CAIXA.Modo,BM.AFAnterior,BM.MEDAnterior),IF(AND(_xlfn.SINGLE(RegimeExecucao)="Global",$I424&gt;0,COUNTIF($AB$13:$AM$13,BM.medicao-1)&gt;0),M424/$I424*100,0)))</f>
        <v>0</v>
      </c>
      <c r="K424" s="122">
        <f t="shared" ca="1" si="45"/>
        <v>0</v>
      </c>
      <c r="L424" s="334" cm="1">
        <f t="array" aca="1" ref="L424" ca="1">_xlfn.SINGLE(IF($A424="S",IF(CAIXA.Modo,BM.AFAcumulado,BM.MEDAcumulado),IF(AND(_xlfn.SINGLE(RegimeExecucao)="Global",$I424&gt;0,COUNTIF($AB$13:$AM$13,BM.medicao)&gt;0),O424/$I424*100,0)))</f>
        <v>0</v>
      </c>
      <c r="M424" s="335">
        <f ca="1">IF($A424="S",VTOTALBM,IF($A424=0,0,ROUND(SomaAgrupBM,15-13*ORÇAMENTO!$AF$11)))</f>
        <v>0</v>
      </c>
      <c r="N424" s="336">
        <f t="shared" ca="1" si="46"/>
        <v>0</v>
      </c>
      <c r="O424" s="125">
        <f ca="1">IF($A424="S",VTOTALBM,IF($A424=0,0,ROUND(SomaAgrupBM,15-13*ORÇAMENTO!$AF$11)))</f>
        <v>0</v>
      </c>
      <c r="Q424" s="337"/>
      <c r="R424" s="338"/>
      <c r="T424" s="117" t="str">
        <f t="shared" ca="1" si="47"/>
        <v/>
      </c>
      <c r="U424" s="163" t="str">
        <f t="shared" ca="1" si="48"/>
        <v/>
      </c>
      <c r="V424" s="164" t="str">
        <f ca="1">IF(AND($W424&gt;0,RegimeExecucao="Unitário"),$F424,"")</f>
        <v/>
      </c>
      <c r="W424" s="454">
        <f ca="1">IF($Y424&gt;0,CHOOSE(MATCH(RegimeExecucao,{"Unitário","Global"},0),IF($A424="S",$Y424/$X424,""),($Y424/$X424)*100),0)</f>
        <v>0</v>
      </c>
      <c r="X424" s="339" t="str">
        <f ca="1">IF($Y424&gt;0,CHOOSE(MATCH(RegimeExecucao,{"Unitário","Global"},0),IF($A424="S",ROUND($H424,ORÇAMENTO!$AF$10),""),ROUND($I424,ORÇAMENTO!$AF$11)),"")</f>
        <v/>
      </c>
      <c r="Y424" s="339">
        <f t="shared" ca="1" si="49"/>
        <v>0</v>
      </c>
      <c r="Z424" s="473"/>
      <c r="AB424" s="337"/>
      <c r="AC424" s="437"/>
      <c r="AD424" s="437"/>
      <c r="AE424" s="437"/>
      <c r="AF424" s="437"/>
      <c r="AG424" s="437"/>
      <c r="AH424" s="437"/>
      <c r="AI424" s="437"/>
      <c r="AJ424" s="437"/>
      <c r="AK424" s="437"/>
      <c r="AL424" s="437"/>
      <c r="AM424" s="338"/>
      <c r="AO424">
        <f ca="1">IF($A424="S",IF(BM!$I424=0,0,CHOOSE(MATCH(RegimeExecucao,{"Global","Unitário"},0),ROUND(ROUND(BM.MEDAcumulado,15-13*BM!$A$9)/100*BM!$I424,15-13*ORÇAMENTO!$AF$11),ROUND(ROUND(BM.MEDAcumulado,15-13*BM!$A$9)*ROUND(BM!$H424,15-13*ORÇAMENTO!$AF$10),15-13*ORÇAMENTO!$AF$11))),IF($A424=0,0,ROUND(SomaAgrupBM,15-13*ORÇAMENTO!$AF$11)))</f>
        <v>0</v>
      </c>
    </row>
    <row r="425" spans="1:41" ht="25.5" x14ac:dyDescent="0.2">
      <c r="A425" t="str">
        <f ca="1">ORÇAMENTO!C425</f>
        <v>S</v>
      </c>
      <c r="B425">
        <f ca="1">ORÇAMENTO!D425</f>
        <v>0</v>
      </c>
      <c r="C425" s="114" t="str">
        <f t="shared" ca="1" si="43"/>
        <v>F</v>
      </c>
      <c r="D425" s="117" t="str">
        <f ca="1">ORÇAMENTO!O425</f>
        <v>1.8.2.4.15.</v>
      </c>
      <c r="E425" s="163" t="str">
        <f t="shared" ca="1" si="44"/>
        <v>RELÉ PROTETOR DE FALTA DE FASE 24V. REF.: WEG , FORNECIMENTO E INSTALAÇÃO - BASEADO EM SBC (064568)</v>
      </c>
      <c r="F425" s="164" t="str">
        <f ca="1">IF(RegimeExecucao="Global","",ORÇAMENTO.Unidade)</f>
        <v>UN</v>
      </c>
      <c r="G425" s="122">
        <f ca="1">IF(RegimeExecucao="Global","",ORÇAMENTO!T425)</f>
        <v>1</v>
      </c>
      <c r="H425" s="122">
        <f ca="1">IF(RegimeExecucao="Global","",ORÇAMENTO!W425)</f>
        <v>263.29000000000002</v>
      </c>
      <c r="I425" s="125">
        <f ca="1">ORÇAMENTO!X425</f>
        <v>263.29000000000002</v>
      </c>
      <c r="J425" s="333" cm="1">
        <f t="array" aca="1" ref="J425" ca="1">_xlfn.SINGLE(IF($A425="S",IF(CAIXA.Modo,BM.AFAnterior,BM.MEDAnterior),IF(AND(_xlfn.SINGLE(RegimeExecucao)="Global",$I425&gt;0,COUNTIF($AB$13:$AM$13,BM.medicao-1)&gt;0),M425/$I425*100,0)))</f>
        <v>0</v>
      </c>
      <c r="K425" s="122">
        <f t="shared" ca="1" si="45"/>
        <v>0</v>
      </c>
      <c r="L425" s="334" cm="1">
        <f t="array" aca="1" ref="L425" ca="1">_xlfn.SINGLE(IF($A425="S",IF(CAIXA.Modo,BM.AFAcumulado,BM.MEDAcumulado),IF(AND(_xlfn.SINGLE(RegimeExecucao)="Global",$I425&gt;0,COUNTIF($AB$13:$AM$13,BM.medicao)&gt;0),O425/$I425*100,0)))</f>
        <v>0</v>
      </c>
      <c r="M425" s="335">
        <f ca="1">IF($A425="S",VTOTALBM,IF($A425=0,0,ROUND(SomaAgrupBM,15-13*ORÇAMENTO!$AF$11)))</f>
        <v>0</v>
      </c>
      <c r="N425" s="336">
        <f t="shared" ca="1" si="46"/>
        <v>0</v>
      </c>
      <c r="O425" s="125">
        <f ca="1">IF($A425="S",VTOTALBM,IF($A425=0,0,ROUND(SomaAgrupBM,15-13*ORÇAMENTO!$AF$11)))</f>
        <v>0</v>
      </c>
      <c r="Q425" s="337"/>
      <c r="R425" s="338"/>
      <c r="T425" s="117" t="str">
        <f t="shared" ca="1" si="47"/>
        <v/>
      </c>
      <c r="U425" s="163" t="str">
        <f t="shared" ca="1" si="48"/>
        <v/>
      </c>
      <c r="V425" s="164" t="str">
        <f ca="1">IF(AND($W425&gt;0,RegimeExecucao="Unitário"),$F425,"")</f>
        <v/>
      </c>
      <c r="W425" s="454">
        <f ca="1">IF($Y425&gt;0,CHOOSE(MATCH(RegimeExecucao,{"Unitário","Global"},0),IF($A425="S",$Y425/$X425,""),($Y425/$X425)*100),0)</f>
        <v>0</v>
      </c>
      <c r="X425" s="339" t="str">
        <f ca="1">IF($Y425&gt;0,CHOOSE(MATCH(RegimeExecucao,{"Unitário","Global"},0),IF($A425="S",ROUND($H425,ORÇAMENTO!$AF$10),""),ROUND($I425,ORÇAMENTO!$AF$11)),"")</f>
        <v/>
      </c>
      <c r="Y425" s="339">
        <f t="shared" ca="1" si="49"/>
        <v>0</v>
      </c>
      <c r="Z425" s="473"/>
      <c r="AB425" s="337"/>
      <c r="AC425" s="437"/>
      <c r="AD425" s="437"/>
      <c r="AE425" s="437"/>
      <c r="AF425" s="437"/>
      <c r="AG425" s="437"/>
      <c r="AH425" s="437"/>
      <c r="AI425" s="437"/>
      <c r="AJ425" s="437"/>
      <c r="AK425" s="437"/>
      <c r="AL425" s="437"/>
      <c r="AM425" s="338"/>
      <c r="AO425">
        <f ca="1">IF($A425="S",IF(BM!$I425=0,0,CHOOSE(MATCH(RegimeExecucao,{"Global","Unitário"},0),ROUND(ROUND(BM.MEDAcumulado,15-13*BM!$A$9)/100*BM!$I425,15-13*ORÇAMENTO!$AF$11),ROUND(ROUND(BM.MEDAcumulado,15-13*BM!$A$9)*ROUND(BM!$H425,15-13*ORÇAMENTO!$AF$10),15-13*ORÇAMENTO!$AF$11))),IF($A425=0,0,ROUND(SomaAgrupBM,15-13*ORÇAMENTO!$AF$11)))</f>
        <v>0</v>
      </c>
    </row>
    <row r="426" spans="1:41" ht="25.5" x14ac:dyDescent="0.2">
      <c r="A426" t="str">
        <f ca="1">ORÇAMENTO!C426</f>
        <v>S</v>
      </c>
      <c r="B426">
        <f ca="1">ORÇAMENTO!D426</f>
        <v>0</v>
      </c>
      <c r="C426" s="114" t="str">
        <f t="shared" ca="1" si="43"/>
        <v>F</v>
      </c>
      <c r="D426" s="117" t="str">
        <f ca="1">ORÇAMENTO!O426</f>
        <v>1.8.2.4.16.</v>
      </c>
      <c r="E426" s="163" t="str">
        <f t="shared" ca="1" si="44"/>
        <v>BOTÃO PULSADOR, FORNECIMENTO E INSTALAÇÃO - BASEADO EM  ORSE (3803)</v>
      </c>
      <c r="F426" s="164" t="str">
        <f ca="1">IF(RegimeExecucao="Global","",ORÇAMENTO.Unidade)</f>
        <v>UN</v>
      </c>
      <c r="G426" s="122">
        <f ca="1">IF(RegimeExecucao="Global","",ORÇAMENTO!T426)</f>
        <v>4</v>
      </c>
      <c r="H426" s="122">
        <f ca="1">IF(RegimeExecucao="Global","",ORÇAMENTO!W426)</f>
        <v>52.66</v>
      </c>
      <c r="I426" s="125">
        <f ca="1">ORÇAMENTO!X426</f>
        <v>210.64</v>
      </c>
      <c r="J426" s="333" cm="1">
        <f t="array" aca="1" ref="J426" ca="1">_xlfn.SINGLE(IF($A426="S",IF(CAIXA.Modo,BM.AFAnterior,BM.MEDAnterior),IF(AND(_xlfn.SINGLE(RegimeExecucao)="Global",$I426&gt;0,COUNTIF($AB$13:$AM$13,BM.medicao-1)&gt;0),M426/$I426*100,0)))</f>
        <v>0</v>
      </c>
      <c r="K426" s="122">
        <f t="shared" ca="1" si="45"/>
        <v>0</v>
      </c>
      <c r="L426" s="334" cm="1">
        <f t="array" aca="1" ref="L426" ca="1">_xlfn.SINGLE(IF($A426="S",IF(CAIXA.Modo,BM.AFAcumulado,BM.MEDAcumulado),IF(AND(_xlfn.SINGLE(RegimeExecucao)="Global",$I426&gt;0,COUNTIF($AB$13:$AM$13,BM.medicao)&gt;0),O426/$I426*100,0)))</f>
        <v>0</v>
      </c>
      <c r="M426" s="335">
        <f ca="1">IF($A426="S",VTOTALBM,IF($A426=0,0,ROUND(SomaAgrupBM,15-13*ORÇAMENTO!$AF$11)))</f>
        <v>0</v>
      </c>
      <c r="N426" s="336">
        <f t="shared" ca="1" si="46"/>
        <v>0</v>
      </c>
      <c r="O426" s="125">
        <f ca="1">IF($A426="S",VTOTALBM,IF($A426=0,0,ROUND(SomaAgrupBM,15-13*ORÇAMENTO!$AF$11)))</f>
        <v>0</v>
      </c>
      <c r="Q426" s="337"/>
      <c r="R426" s="338"/>
      <c r="T426" s="117" t="str">
        <f t="shared" ca="1" si="47"/>
        <v/>
      </c>
      <c r="U426" s="163" t="str">
        <f t="shared" ca="1" si="48"/>
        <v/>
      </c>
      <c r="V426" s="164" t="str">
        <f ca="1">IF(AND($W426&gt;0,RegimeExecucao="Unitário"),$F426,"")</f>
        <v/>
      </c>
      <c r="W426" s="454">
        <f ca="1">IF($Y426&gt;0,CHOOSE(MATCH(RegimeExecucao,{"Unitário","Global"},0),IF($A426="S",$Y426/$X426,""),($Y426/$X426)*100),0)</f>
        <v>0</v>
      </c>
      <c r="X426" s="339" t="str">
        <f ca="1">IF($Y426&gt;0,CHOOSE(MATCH(RegimeExecucao,{"Unitário","Global"},0),IF($A426="S",ROUND($H426,ORÇAMENTO!$AF$10),""),ROUND($I426,ORÇAMENTO!$AF$11)),"")</f>
        <v/>
      </c>
      <c r="Y426" s="339">
        <f t="shared" ca="1" si="49"/>
        <v>0</v>
      </c>
      <c r="Z426" s="473"/>
      <c r="AB426" s="337"/>
      <c r="AC426" s="437"/>
      <c r="AD426" s="437"/>
      <c r="AE426" s="437"/>
      <c r="AF426" s="437"/>
      <c r="AG426" s="437"/>
      <c r="AH426" s="437"/>
      <c r="AI426" s="437"/>
      <c r="AJ426" s="437"/>
      <c r="AK426" s="437"/>
      <c r="AL426" s="437"/>
      <c r="AM426" s="338"/>
      <c r="AO426">
        <f ca="1">IF($A426="S",IF(BM!$I426=0,0,CHOOSE(MATCH(RegimeExecucao,{"Global","Unitário"},0),ROUND(ROUND(BM.MEDAcumulado,15-13*BM!$A$9)/100*BM!$I426,15-13*ORÇAMENTO!$AF$11),ROUND(ROUND(BM.MEDAcumulado,15-13*BM!$A$9)*ROUND(BM!$H426,15-13*ORÇAMENTO!$AF$10),15-13*ORÇAMENTO!$AF$11))),IF($A426=0,0,ROUND(SomaAgrupBM,15-13*ORÇAMENTO!$AF$11)))</f>
        <v>0</v>
      </c>
    </row>
    <row r="427" spans="1:41" ht="25.5" x14ac:dyDescent="0.2">
      <c r="A427" t="str">
        <f ca="1">ORÇAMENTO!C427</f>
        <v>S</v>
      </c>
      <c r="B427">
        <f ca="1">ORÇAMENTO!D427</f>
        <v>0</v>
      </c>
      <c r="C427" s="114" t="str">
        <f t="shared" ca="1" si="43"/>
        <v>F</v>
      </c>
      <c r="D427" s="117" t="str">
        <f ca="1">ORÇAMENTO!O427</f>
        <v>1.8.2.4.17.</v>
      </c>
      <c r="E427" s="163" t="str">
        <f t="shared" ca="1" si="44"/>
        <v>VOLTÍMETRO/ AMPERÍMETRO, FORNECIMENTO E INSTALAÇÃO - BASEADO EM SEDOP (171083)</v>
      </c>
      <c r="F427" s="164" t="str">
        <f ca="1">IF(RegimeExecucao="Global","",ORÇAMENTO.Unidade)</f>
        <v>UN</v>
      </c>
      <c r="G427" s="122">
        <f ca="1">IF(RegimeExecucao="Global","",ORÇAMENTO!T427)</f>
        <v>1</v>
      </c>
      <c r="H427" s="122">
        <f ca="1">IF(RegimeExecucao="Global","",ORÇAMENTO!W427)</f>
        <v>208.86</v>
      </c>
      <c r="I427" s="125">
        <f ca="1">ORÇAMENTO!X427</f>
        <v>208.86</v>
      </c>
      <c r="J427" s="333" cm="1">
        <f t="array" aca="1" ref="J427" ca="1">_xlfn.SINGLE(IF($A427="S",IF(CAIXA.Modo,BM.AFAnterior,BM.MEDAnterior),IF(AND(_xlfn.SINGLE(RegimeExecucao)="Global",$I427&gt;0,COUNTIF($AB$13:$AM$13,BM.medicao-1)&gt;0),M427/$I427*100,0)))</f>
        <v>0</v>
      </c>
      <c r="K427" s="122">
        <f t="shared" ca="1" si="45"/>
        <v>0</v>
      </c>
      <c r="L427" s="334" cm="1">
        <f t="array" aca="1" ref="L427" ca="1">_xlfn.SINGLE(IF($A427="S",IF(CAIXA.Modo,BM.AFAcumulado,BM.MEDAcumulado),IF(AND(_xlfn.SINGLE(RegimeExecucao)="Global",$I427&gt;0,COUNTIF($AB$13:$AM$13,BM.medicao)&gt;0),O427/$I427*100,0)))</f>
        <v>0</v>
      </c>
      <c r="M427" s="335">
        <f ca="1">IF($A427="S",VTOTALBM,IF($A427=0,0,ROUND(SomaAgrupBM,15-13*ORÇAMENTO!$AF$11)))</f>
        <v>0</v>
      </c>
      <c r="N427" s="336">
        <f t="shared" ca="1" si="46"/>
        <v>0</v>
      </c>
      <c r="O427" s="125">
        <f ca="1">IF($A427="S",VTOTALBM,IF($A427=0,0,ROUND(SomaAgrupBM,15-13*ORÇAMENTO!$AF$11)))</f>
        <v>0</v>
      </c>
      <c r="Q427" s="337"/>
      <c r="R427" s="338"/>
      <c r="T427" s="117" t="str">
        <f t="shared" ca="1" si="47"/>
        <v/>
      </c>
      <c r="U427" s="163" t="str">
        <f t="shared" ca="1" si="48"/>
        <v/>
      </c>
      <c r="V427" s="164" t="str">
        <f ca="1">IF(AND($W427&gt;0,RegimeExecucao="Unitário"),$F427,"")</f>
        <v/>
      </c>
      <c r="W427" s="454">
        <f ca="1">IF($Y427&gt;0,CHOOSE(MATCH(RegimeExecucao,{"Unitário","Global"},0),IF($A427="S",$Y427/$X427,""),($Y427/$X427)*100),0)</f>
        <v>0</v>
      </c>
      <c r="X427" s="339" t="str">
        <f ca="1">IF($Y427&gt;0,CHOOSE(MATCH(RegimeExecucao,{"Unitário","Global"},0),IF($A427="S",ROUND($H427,ORÇAMENTO!$AF$10),""),ROUND($I427,ORÇAMENTO!$AF$11)),"")</f>
        <v/>
      </c>
      <c r="Y427" s="339">
        <f t="shared" ca="1" si="49"/>
        <v>0</v>
      </c>
      <c r="Z427" s="473"/>
      <c r="AB427" s="337"/>
      <c r="AC427" s="437"/>
      <c r="AD427" s="437"/>
      <c r="AE427" s="437"/>
      <c r="AF427" s="437"/>
      <c r="AG427" s="437"/>
      <c r="AH427" s="437"/>
      <c r="AI427" s="437"/>
      <c r="AJ427" s="437"/>
      <c r="AK427" s="437"/>
      <c r="AL427" s="437"/>
      <c r="AM427" s="338"/>
      <c r="AO427">
        <f ca="1">IF($A427="S",IF(BM!$I427=0,0,CHOOSE(MATCH(RegimeExecucao,{"Global","Unitário"},0),ROUND(ROUND(BM.MEDAcumulado,15-13*BM!$A$9)/100*BM!$I427,15-13*ORÇAMENTO!$AF$11),ROUND(ROUND(BM.MEDAcumulado,15-13*BM!$A$9)*ROUND(BM!$H427,15-13*ORÇAMENTO!$AF$10),15-13*ORÇAMENTO!$AF$11))),IF($A427=0,0,ROUND(SomaAgrupBM,15-13*ORÇAMENTO!$AF$11)))</f>
        <v>0</v>
      </c>
    </row>
    <row r="428" spans="1:41" ht="25.5" x14ac:dyDescent="0.2">
      <c r="A428" t="str">
        <f ca="1">ORÇAMENTO!C428</f>
        <v>S</v>
      </c>
      <c r="B428">
        <f ca="1">ORÇAMENTO!D428</f>
        <v>0</v>
      </c>
      <c r="C428" s="114" t="str">
        <f t="shared" ca="1" si="43"/>
        <v>F</v>
      </c>
      <c r="D428" s="117" t="str">
        <f ca="1">ORÇAMENTO!O428</f>
        <v>1.8.2.4.18.</v>
      </c>
      <c r="E428" s="163" t="str">
        <f t="shared" ca="1" si="44"/>
        <v>AUTOTRANSFORMADOR TRIFÁSICO 1.01kVA E/S 220/440V 60Hz IP00, FORNECIMENTO E INSTALAÇÃO - BASEADO EM SIURB (9014034)</v>
      </c>
      <c r="F428" s="164" t="str">
        <f ca="1">IF(RegimeExecucao="Global","",ORÇAMENTO.Unidade)</f>
        <v>UN</v>
      </c>
      <c r="G428" s="122">
        <f ca="1">IF(RegimeExecucao="Global","",ORÇAMENTO!T428)</f>
        <v>1</v>
      </c>
      <c r="H428" s="122">
        <f ca="1">IF(RegimeExecucao="Global","",ORÇAMENTO!W428)</f>
        <v>750.23</v>
      </c>
      <c r="I428" s="125">
        <f ca="1">ORÇAMENTO!X428</f>
        <v>750.23</v>
      </c>
      <c r="J428" s="333" cm="1">
        <f t="array" aca="1" ref="J428" ca="1">_xlfn.SINGLE(IF($A428="S",IF(CAIXA.Modo,BM.AFAnterior,BM.MEDAnterior),IF(AND(_xlfn.SINGLE(RegimeExecucao)="Global",$I428&gt;0,COUNTIF($AB$13:$AM$13,BM.medicao-1)&gt;0),M428/$I428*100,0)))</f>
        <v>0</v>
      </c>
      <c r="K428" s="122">
        <f t="shared" ca="1" si="45"/>
        <v>0</v>
      </c>
      <c r="L428" s="334" cm="1">
        <f t="array" aca="1" ref="L428" ca="1">_xlfn.SINGLE(IF($A428="S",IF(CAIXA.Modo,BM.AFAcumulado,BM.MEDAcumulado),IF(AND(_xlfn.SINGLE(RegimeExecucao)="Global",$I428&gt;0,COUNTIF($AB$13:$AM$13,BM.medicao)&gt;0),O428/$I428*100,0)))</f>
        <v>0</v>
      </c>
      <c r="M428" s="335">
        <f ca="1">IF($A428="S",VTOTALBM,IF($A428=0,0,ROUND(SomaAgrupBM,15-13*ORÇAMENTO!$AF$11)))</f>
        <v>0</v>
      </c>
      <c r="N428" s="336">
        <f t="shared" ca="1" si="46"/>
        <v>0</v>
      </c>
      <c r="O428" s="125">
        <f ca="1">IF($A428="S",VTOTALBM,IF($A428=0,0,ROUND(SomaAgrupBM,15-13*ORÇAMENTO!$AF$11)))</f>
        <v>0</v>
      </c>
      <c r="Q428" s="337"/>
      <c r="R428" s="338"/>
      <c r="T428" s="117" t="str">
        <f t="shared" ca="1" si="47"/>
        <v/>
      </c>
      <c r="U428" s="163" t="str">
        <f t="shared" ca="1" si="48"/>
        <v/>
      </c>
      <c r="V428" s="164" t="str">
        <f ca="1">IF(AND($W428&gt;0,RegimeExecucao="Unitário"),$F428,"")</f>
        <v/>
      </c>
      <c r="W428" s="454">
        <f ca="1">IF($Y428&gt;0,CHOOSE(MATCH(RegimeExecucao,{"Unitário","Global"},0),IF($A428="S",$Y428/$X428,""),($Y428/$X428)*100),0)</f>
        <v>0</v>
      </c>
      <c r="X428" s="339" t="str">
        <f ca="1">IF($Y428&gt;0,CHOOSE(MATCH(RegimeExecucao,{"Unitário","Global"},0),IF($A428="S",ROUND($H428,ORÇAMENTO!$AF$10),""),ROUND($I428,ORÇAMENTO!$AF$11)),"")</f>
        <v/>
      </c>
      <c r="Y428" s="339">
        <f t="shared" ca="1" si="49"/>
        <v>0</v>
      </c>
      <c r="Z428" s="473"/>
      <c r="AB428" s="337"/>
      <c r="AC428" s="437"/>
      <c r="AD428" s="437"/>
      <c r="AE428" s="437"/>
      <c r="AF428" s="437"/>
      <c r="AG428" s="437"/>
      <c r="AH428" s="437"/>
      <c r="AI428" s="437"/>
      <c r="AJ428" s="437"/>
      <c r="AK428" s="437"/>
      <c r="AL428" s="437"/>
      <c r="AM428" s="338"/>
      <c r="AO428">
        <f ca="1">IF($A428="S",IF(BM!$I428=0,0,CHOOSE(MATCH(RegimeExecucao,{"Global","Unitário"},0),ROUND(ROUND(BM.MEDAcumulado,15-13*BM!$A$9)/100*BM!$I428,15-13*ORÇAMENTO!$AF$11),ROUND(ROUND(BM.MEDAcumulado,15-13*BM!$A$9)*ROUND(BM!$H428,15-13*ORÇAMENTO!$AF$10),15-13*ORÇAMENTO!$AF$11))),IF($A428=0,0,ROUND(SomaAgrupBM,15-13*ORÇAMENTO!$AF$11)))</f>
        <v>0</v>
      </c>
    </row>
    <row r="429" spans="1:41" ht="25.5" x14ac:dyDescent="0.2">
      <c r="A429" t="str">
        <f ca="1">ORÇAMENTO!C429</f>
        <v>S</v>
      </c>
      <c r="B429">
        <f ca="1">ORÇAMENTO!D429</f>
        <v>0</v>
      </c>
      <c r="C429" s="114" t="str">
        <f t="shared" ca="1" si="43"/>
        <v>F</v>
      </c>
      <c r="D429" s="117" t="str">
        <f ca="1">ORÇAMENTO!O429</f>
        <v>1.8.2.4.19.</v>
      </c>
      <c r="E429" s="163" t="str">
        <f t="shared" ca="1" si="44"/>
        <v>TRANSFORMADOR DE COMANDO 110/220V PARA 24V-5A 120 VA - BASEADA EM SBC (055692)</v>
      </c>
      <c r="F429" s="164" t="str">
        <f ca="1">IF(RegimeExecucao="Global","",ORÇAMENTO.Unidade)</f>
        <v>UN</v>
      </c>
      <c r="G429" s="122">
        <f ca="1">IF(RegimeExecucao="Global","",ORÇAMENTO!T429)</f>
        <v>1</v>
      </c>
      <c r="H429" s="122">
        <f ca="1">IF(RegimeExecucao="Global","",ORÇAMENTO!W429)</f>
        <v>309.55</v>
      </c>
      <c r="I429" s="125">
        <f ca="1">ORÇAMENTO!X429</f>
        <v>309.55</v>
      </c>
      <c r="J429" s="333" cm="1">
        <f t="array" aca="1" ref="J429" ca="1">_xlfn.SINGLE(IF($A429="S",IF(CAIXA.Modo,BM.AFAnterior,BM.MEDAnterior),IF(AND(_xlfn.SINGLE(RegimeExecucao)="Global",$I429&gt;0,COUNTIF($AB$13:$AM$13,BM.medicao-1)&gt;0),M429/$I429*100,0)))</f>
        <v>0</v>
      </c>
      <c r="K429" s="122">
        <f t="shared" ca="1" si="45"/>
        <v>0</v>
      </c>
      <c r="L429" s="334" cm="1">
        <f t="array" aca="1" ref="L429" ca="1">_xlfn.SINGLE(IF($A429="S",IF(CAIXA.Modo,BM.AFAcumulado,BM.MEDAcumulado),IF(AND(_xlfn.SINGLE(RegimeExecucao)="Global",$I429&gt;0,COUNTIF($AB$13:$AM$13,BM.medicao)&gt;0),O429/$I429*100,0)))</f>
        <v>0</v>
      </c>
      <c r="M429" s="335">
        <f ca="1">IF($A429="S",VTOTALBM,IF($A429=0,0,ROUND(SomaAgrupBM,15-13*ORÇAMENTO!$AF$11)))</f>
        <v>0</v>
      </c>
      <c r="N429" s="336">
        <f t="shared" ca="1" si="46"/>
        <v>0</v>
      </c>
      <c r="O429" s="125">
        <f ca="1">IF($A429="S",VTOTALBM,IF($A429=0,0,ROUND(SomaAgrupBM,15-13*ORÇAMENTO!$AF$11)))</f>
        <v>0</v>
      </c>
      <c r="Q429" s="337"/>
      <c r="R429" s="338"/>
      <c r="T429" s="117" t="str">
        <f t="shared" ca="1" si="47"/>
        <v/>
      </c>
      <c r="U429" s="163" t="str">
        <f t="shared" ca="1" si="48"/>
        <v/>
      </c>
      <c r="V429" s="164" t="str">
        <f ca="1">IF(AND($W429&gt;0,RegimeExecucao="Unitário"),$F429,"")</f>
        <v/>
      </c>
      <c r="W429" s="454">
        <f ca="1">IF($Y429&gt;0,CHOOSE(MATCH(RegimeExecucao,{"Unitário","Global"},0),IF($A429="S",$Y429/$X429,""),($Y429/$X429)*100),0)</f>
        <v>0</v>
      </c>
      <c r="X429" s="339" t="str">
        <f ca="1">IF($Y429&gt;0,CHOOSE(MATCH(RegimeExecucao,{"Unitário","Global"},0),IF($A429="S",ROUND($H429,ORÇAMENTO!$AF$10),""),ROUND($I429,ORÇAMENTO!$AF$11)),"")</f>
        <v/>
      </c>
      <c r="Y429" s="339">
        <f t="shared" ca="1" si="49"/>
        <v>0</v>
      </c>
      <c r="Z429" s="473"/>
      <c r="AB429" s="337"/>
      <c r="AC429" s="437"/>
      <c r="AD429" s="437"/>
      <c r="AE429" s="437"/>
      <c r="AF429" s="437"/>
      <c r="AG429" s="437"/>
      <c r="AH429" s="437"/>
      <c r="AI429" s="437"/>
      <c r="AJ429" s="437"/>
      <c r="AK429" s="437"/>
      <c r="AL429" s="437"/>
      <c r="AM429" s="338"/>
      <c r="AO429">
        <f ca="1">IF($A429="S",IF(BM!$I429=0,0,CHOOSE(MATCH(RegimeExecucao,{"Global","Unitário"},0),ROUND(ROUND(BM.MEDAcumulado,15-13*BM!$A$9)/100*BM!$I429,15-13*ORÇAMENTO!$AF$11),ROUND(ROUND(BM.MEDAcumulado,15-13*BM!$A$9)*ROUND(BM!$H429,15-13*ORÇAMENTO!$AF$10),15-13*ORÇAMENTO!$AF$11))),IF($A429=0,0,ROUND(SomaAgrupBM,15-13*ORÇAMENTO!$AF$11)))</f>
        <v>0</v>
      </c>
    </row>
    <row r="430" spans="1:41" ht="25.5" x14ac:dyDescent="0.2">
      <c r="A430" t="str">
        <f ca="1">ORÇAMENTO!C430</f>
        <v>S</v>
      </c>
      <c r="B430">
        <f ca="1">ORÇAMENTO!D430</f>
        <v>0</v>
      </c>
      <c r="C430" s="114" t="str">
        <f t="shared" ca="1" si="43"/>
        <v>F</v>
      </c>
      <c r="D430" s="117" t="str">
        <f ca="1">ORÇAMENTO!O430</f>
        <v>1.8.2.4.20.</v>
      </c>
      <c r="E430" s="163" t="str">
        <f t="shared" ca="1" si="44"/>
        <v xml:space="preserve">VENTILADOR COOLER PAINEL ELETRICO BIVOLT 120x120x25mm - BASEADO EM SBC (059468) </v>
      </c>
      <c r="F430" s="164" t="str">
        <f ca="1">IF(RegimeExecucao="Global","",ORÇAMENTO.Unidade)</f>
        <v>UN</v>
      </c>
      <c r="G430" s="122">
        <f ca="1">IF(RegimeExecucao="Global","",ORÇAMENTO!T430)</f>
        <v>1</v>
      </c>
      <c r="H430" s="122">
        <f ca="1">IF(RegimeExecucao="Global","",ORÇAMENTO!W430)</f>
        <v>199.08</v>
      </c>
      <c r="I430" s="125">
        <f ca="1">ORÇAMENTO!X430</f>
        <v>199.08</v>
      </c>
      <c r="J430" s="333" cm="1">
        <f t="array" aca="1" ref="J430" ca="1">_xlfn.SINGLE(IF($A430="S",IF(CAIXA.Modo,BM.AFAnterior,BM.MEDAnterior),IF(AND(_xlfn.SINGLE(RegimeExecucao)="Global",$I430&gt;0,COUNTIF($AB$13:$AM$13,BM.medicao-1)&gt;0),M430/$I430*100,0)))</f>
        <v>0</v>
      </c>
      <c r="K430" s="122">
        <f t="shared" ca="1" si="45"/>
        <v>0</v>
      </c>
      <c r="L430" s="334" cm="1">
        <f t="array" aca="1" ref="L430" ca="1">_xlfn.SINGLE(IF($A430="S",IF(CAIXA.Modo,BM.AFAcumulado,BM.MEDAcumulado),IF(AND(_xlfn.SINGLE(RegimeExecucao)="Global",$I430&gt;0,COUNTIF($AB$13:$AM$13,BM.medicao)&gt;0),O430/$I430*100,0)))</f>
        <v>0</v>
      </c>
      <c r="M430" s="335">
        <f ca="1">IF($A430="S",VTOTALBM,IF($A430=0,0,ROUND(SomaAgrupBM,15-13*ORÇAMENTO!$AF$11)))</f>
        <v>0</v>
      </c>
      <c r="N430" s="336">
        <f t="shared" ca="1" si="46"/>
        <v>0</v>
      </c>
      <c r="O430" s="125">
        <f ca="1">IF($A430="S",VTOTALBM,IF($A430=0,0,ROUND(SomaAgrupBM,15-13*ORÇAMENTO!$AF$11)))</f>
        <v>0</v>
      </c>
      <c r="Q430" s="337"/>
      <c r="R430" s="338"/>
      <c r="T430" s="117" t="str">
        <f t="shared" ca="1" si="47"/>
        <v/>
      </c>
      <c r="U430" s="163" t="str">
        <f t="shared" ca="1" si="48"/>
        <v/>
      </c>
      <c r="V430" s="164" t="str">
        <f ca="1">IF(AND($W430&gt;0,RegimeExecucao="Unitário"),$F430,"")</f>
        <v/>
      </c>
      <c r="W430" s="454">
        <f ca="1">IF($Y430&gt;0,CHOOSE(MATCH(RegimeExecucao,{"Unitário","Global"},0),IF($A430="S",$Y430/$X430,""),($Y430/$X430)*100),0)</f>
        <v>0</v>
      </c>
      <c r="X430" s="339" t="str">
        <f ca="1">IF($Y430&gt;0,CHOOSE(MATCH(RegimeExecucao,{"Unitário","Global"},0),IF($A430="S",ROUND($H430,ORÇAMENTO!$AF$10),""),ROUND($I430,ORÇAMENTO!$AF$11)),"")</f>
        <v/>
      </c>
      <c r="Y430" s="339">
        <f t="shared" ca="1" si="49"/>
        <v>0</v>
      </c>
      <c r="Z430" s="473"/>
      <c r="AB430" s="337"/>
      <c r="AC430" s="437"/>
      <c r="AD430" s="437"/>
      <c r="AE430" s="437"/>
      <c r="AF430" s="437"/>
      <c r="AG430" s="437"/>
      <c r="AH430" s="437"/>
      <c r="AI430" s="437"/>
      <c r="AJ430" s="437"/>
      <c r="AK430" s="437"/>
      <c r="AL430" s="437"/>
      <c r="AM430" s="338"/>
      <c r="AO430">
        <f ca="1">IF($A430="S",IF(BM!$I430=0,0,CHOOSE(MATCH(RegimeExecucao,{"Global","Unitário"},0),ROUND(ROUND(BM.MEDAcumulado,15-13*BM!$A$9)/100*BM!$I430,15-13*ORÇAMENTO!$AF$11),ROUND(ROUND(BM.MEDAcumulado,15-13*BM!$A$9)*ROUND(BM!$H430,15-13*ORÇAMENTO!$AF$10),15-13*ORÇAMENTO!$AF$11))),IF($A430=0,0,ROUND(SomaAgrupBM,15-13*ORÇAMENTO!$AF$11)))</f>
        <v>0</v>
      </c>
    </row>
    <row r="431" spans="1:41" ht="25.5" x14ac:dyDescent="0.2">
      <c r="A431" t="str">
        <f ca="1">ORÇAMENTO!C431</f>
        <v>S</v>
      </c>
      <c r="B431">
        <f ca="1">ORÇAMENTO!D431</f>
        <v>0</v>
      </c>
      <c r="C431" s="114" t="str">
        <f t="shared" ca="1" si="43"/>
        <v>F</v>
      </c>
      <c r="D431" s="117" t="str">
        <f ca="1">ORÇAMENTO!O431</f>
        <v>1.8.2.4.21.</v>
      </c>
      <c r="E431" s="163" t="str">
        <f t="shared" ca="1" si="44"/>
        <v xml:space="preserve">RELE FALTA DE FASE TRIPOLAR 380V COM CONTATO REVERSIVEL - BASEADO EM  SBC (064568) </v>
      </c>
      <c r="F431" s="164" t="str">
        <f ca="1">IF(RegimeExecucao="Global","",ORÇAMENTO.Unidade)</f>
        <v>UN</v>
      </c>
      <c r="G431" s="122">
        <f ca="1">IF(RegimeExecucao="Global","",ORÇAMENTO!T431)</f>
        <v>1</v>
      </c>
      <c r="H431" s="122">
        <f ca="1">IF(RegimeExecucao="Global","",ORÇAMENTO!W431)</f>
        <v>203.13</v>
      </c>
      <c r="I431" s="125">
        <f ca="1">ORÇAMENTO!X431</f>
        <v>203.13</v>
      </c>
      <c r="J431" s="333" cm="1">
        <f t="array" aca="1" ref="J431" ca="1">_xlfn.SINGLE(IF($A431="S",IF(CAIXA.Modo,BM.AFAnterior,BM.MEDAnterior),IF(AND(_xlfn.SINGLE(RegimeExecucao)="Global",$I431&gt;0,COUNTIF($AB$13:$AM$13,BM.medicao-1)&gt;0),M431/$I431*100,0)))</f>
        <v>0</v>
      </c>
      <c r="K431" s="122">
        <f t="shared" ca="1" si="45"/>
        <v>0</v>
      </c>
      <c r="L431" s="334" cm="1">
        <f t="array" aca="1" ref="L431" ca="1">_xlfn.SINGLE(IF($A431="S",IF(CAIXA.Modo,BM.AFAcumulado,BM.MEDAcumulado),IF(AND(_xlfn.SINGLE(RegimeExecucao)="Global",$I431&gt;0,COUNTIF($AB$13:$AM$13,BM.medicao)&gt;0),O431/$I431*100,0)))</f>
        <v>0</v>
      </c>
      <c r="M431" s="335">
        <f ca="1">IF($A431="S",VTOTALBM,IF($A431=0,0,ROUND(SomaAgrupBM,15-13*ORÇAMENTO!$AF$11)))</f>
        <v>0</v>
      </c>
      <c r="N431" s="336">
        <f t="shared" ca="1" si="46"/>
        <v>0</v>
      </c>
      <c r="O431" s="125">
        <f ca="1">IF($A431="S",VTOTALBM,IF($A431=0,0,ROUND(SomaAgrupBM,15-13*ORÇAMENTO!$AF$11)))</f>
        <v>0</v>
      </c>
      <c r="Q431" s="337"/>
      <c r="R431" s="338"/>
      <c r="T431" s="117" t="str">
        <f t="shared" ca="1" si="47"/>
        <v/>
      </c>
      <c r="U431" s="163" t="str">
        <f t="shared" ca="1" si="48"/>
        <v/>
      </c>
      <c r="V431" s="164" t="str">
        <f ca="1">IF(AND($W431&gt;0,RegimeExecucao="Unitário"),$F431,"")</f>
        <v/>
      </c>
      <c r="W431" s="454">
        <f ca="1">IF($Y431&gt;0,CHOOSE(MATCH(RegimeExecucao,{"Unitário","Global"},0),IF($A431="S",$Y431/$X431,""),($Y431/$X431)*100),0)</f>
        <v>0</v>
      </c>
      <c r="X431" s="339" t="str">
        <f ca="1">IF($Y431&gt;0,CHOOSE(MATCH(RegimeExecucao,{"Unitário","Global"},0),IF($A431="S",ROUND($H431,ORÇAMENTO!$AF$10),""),ROUND($I431,ORÇAMENTO!$AF$11)),"")</f>
        <v/>
      </c>
      <c r="Y431" s="339">
        <f t="shared" ca="1" si="49"/>
        <v>0</v>
      </c>
      <c r="Z431" s="473"/>
      <c r="AB431" s="337"/>
      <c r="AC431" s="437"/>
      <c r="AD431" s="437"/>
      <c r="AE431" s="437"/>
      <c r="AF431" s="437"/>
      <c r="AG431" s="437"/>
      <c r="AH431" s="437"/>
      <c r="AI431" s="437"/>
      <c r="AJ431" s="437"/>
      <c r="AK431" s="437"/>
      <c r="AL431" s="437"/>
      <c r="AM431" s="338"/>
      <c r="AO431">
        <f ca="1">IF($A431="S",IF(BM!$I431=0,0,CHOOSE(MATCH(RegimeExecucao,{"Global","Unitário"},0),ROUND(ROUND(BM.MEDAcumulado,15-13*BM!$A$9)/100*BM!$I431,15-13*ORÇAMENTO!$AF$11),ROUND(ROUND(BM.MEDAcumulado,15-13*BM!$A$9)*ROUND(BM!$H431,15-13*ORÇAMENTO!$AF$10),15-13*ORÇAMENTO!$AF$11))),IF($A431=0,0,ROUND(SomaAgrupBM,15-13*ORÇAMENTO!$AF$11)))</f>
        <v>0</v>
      </c>
    </row>
    <row r="432" spans="1:41" ht="25.5" x14ac:dyDescent="0.2">
      <c r="A432" t="str">
        <f ca="1">ORÇAMENTO!C432</f>
        <v>S</v>
      </c>
      <c r="B432">
        <f ca="1">ORÇAMENTO!D432</f>
        <v>0</v>
      </c>
      <c r="C432" s="114" t="str">
        <f t="shared" ca="1" si="43"/>
        <v>F</v>
      </c>
      <c r="D432" s="117" t="str">
        <f ca="1">ORÇAMENTO!O432</f>
        <v>1.8.2.4.22.</v>
      </c>
      <c r="E432" s="163" t="str">
        <f t="shared" ca="1" si="44"/>
        <v>SINALIZADOR SIRENE MODELO TBY METALTEX - BASEADA DA AGETOP CIVIL (085042)</v>
      </c>
      <c r="F432" s="164" t="str">
        <f ca="1">IF(RegimeExecucao="Global","",ORÇAMENTO.Unidade)</f>
        <v>UN</v>
      </c>
      <c r="G432" s="122">
        <f ca="1">IF(RegimeExecucao="Global","",ORÇAMENTO!T432)</f>
        <v>1</v>
      </c>
      <c r="H432" s="122">
        <f ca="1">IF(RegimeExecucao="Global","",ORÇAMENTO!W432)</f>
        <v>192.47</v>
      </c>
      <c r="I432" s="125">
        <f ca="1">ORÇAMENTO!X432</f>
        <v>192.47</v>
      </c>
      <c r="J432" s="333" cm="1">
        <f t="array" aca="1" ref="J432" ca="1">_xlfn.SINGLE(IF($A432="S",IF(CAIXA.Modo,BM.AFAnterior,BM.MEDAnterior),IF(AND(_xlfn.SINGLE(RegimeExecucao)="Global",$I432&gt;0,COUNTIF($AB$13:$AM$13,BM.medicao-1)&gt;0),M432/$I432*100,0)))</f>
        <v>0</v>
      </c>
      <c r="K432" s="122">
        <f t="shared" ca="1" si="45"/>
        <v>0</v>
      </c>
      <c r="L432" s="334" cm="1">
        <f t="array" aca="1" ref="L432" ca="1">_xlfn.SINGLE(IF($A432="S",IF(CAIXA.Modo,BM.AFAcumulado,BM.MEDAcumulado),IF(AND(_xlfn.SINGLE(RegimeExecucao)="Global",$I432&gt;0,COUNTIF($AB$13:$AM$13,BM.medicao)&gt;0),O432/$I432*100,0)))</f>
        <v>0</v>
      </c>
      <c r="M432" s="335">
        <f ca="1">IF($A432="S",VTOTALBM,IF($A432=0,0,ROUND(SomaAgrupBM,15-13*ORÇAMENTO!$AF$11)))</f>
        <v>0</v>
      </c>
      <c r="N432" s="336">
        <f t="shared" ca="1" si="46"/>
        <v>0</v>
      </c>
      <c r="O432" s="125">
        <f ca="1">IF($A432="S",VTOTALBM,IF($A432=0,0,ROUND(SomaAgrupBM,15-13*ORÇAMENTO!$AF$11)))</f>
        <v>0</v>
      </c>
      <c r="Q432" s="337"/>
      <c r="R432" s="338"/>
      <c r="T432" s="117" t="str">
        <f t="shared" ca="1" si="47"/>
        <v/>
      </c>
      <c r="U432" s="163" t="str">
        <f t="shared" ca="1" si="48"/>
        <v/>
      </c>
      <c r="V432" s="164" t="str">
        <f ca="1">IF(AND($W432&gt;0,RegimeExecucao="Unitário"),$F432,"")</f>
        <v/>
      </c>
      <c r="W432" s="454">
        <f ca="1">IF($Y432&gt;0,CHOOSE(MATCH(RegimeExecucao,{"Unitário","Global"},0),IF($A432="S",$Y432/$X432,""),($Y432/$X432)*100),0)</f>
        <v>0</v>
      </c>
      <c r="X432" s="339" t="str">
        <f ca="1">IF($Y432&gt;0,CHOOSE(MATCH(RegimeExecucao,{"Unitário","Global"},0),IF($A432="S",ROUND($H432,ORÇAMENTO!$AF$10),""),ROUND($I432,ORÇAMENTO!$AF$11)),"")</f>
        <v/>
      </c>
      <c r="Y432" s="339">
        <f t="shared" ca="1" si="49"/>
        <v>0</v>
      </c>
      <c r="Z432" s="473"/>
      <c r="AB432" s="337"/>
      <c r="AC432" s="437"/>
      <c r="AD432" s="437"/>
      <c r="AE432" s="437"/>
      <c r="AF432" s="437"/>
      <c r="AG432" s="437"/>
      <c r="AH432" s="437"/>
      <c r="AI432" s="437"/>
      <c r="AJ432" s="437"/>
      <c r="AK432" s="437"/>
      <c r="AL432" s="437"/>
      <c r="AM432" s="338"/>
      <c r="AO432">
        <f ca="1">IF($A432="S",IF(BM!$I432=0,0,CHOOSE(MATCH(RegimeExecucao,{"Global","Unitário"},0),ROUND(ROUND(BM.MEDAcumulado,15-13*BM!$A$9)/100*BM!$I432,15-13*ORÇAMENTO!$AF$11),ROUND(ROUND(BM.MEDAcumulado,15-13*BM!$A$9)*ROUND(BM!$H432,15-13*ORÇAMENTO!$AF$10),15-13*ORÇAMENTO!$AF$11))),IF($A432=0,0,ROUND(SomaAgrupBM,15-13*ORÇAMENTO!$AF$11)))</f>
        <v>0</v>
      </c>
    </row>
    <row r="433" spans="1:41" x14ac:dyDescent="0.2">
      <c r="A433" t="str">
        <f ca="1">ORÇAMENTO!C433</f>
        <v>S</v>
      </c>
      <c r="B433">
        <f ca="1">ORÇAMENTO!D433</f>
        <v>0</v>
      </c>
      <c r="C433" s="114" t="str">
        <f t="shared" ca="1" si="43"/>
        <v>F</v>
      </c>
      <c r="D433" s="117" t="str">
        <f ca="1">ORÇAMENTO!O433</f>
        <v>1.8.2.4.23.</v>
      </c>
      <c r="E433" s="163" t="str">
        <f t="shared" ca="1" si="44"/>
        <v xml:space="preserve">SINALEIRO MONOBLOCO LED110/220V - BASEADO EM ORSE (11444) </v>
      </c>
      <c r="F433" s="164" t="str">
        <f ca="1">IF(RegimeExecucao="Global","",ORÇAMENTO.Unidade)</f>
        <v>UN</v>
      </c>
      <c r="G433" s="122">
        <f ca="1">IF(RegimeExecucao="Global","",ORÇAMENTO!T433)</f>
        <v>5</v>
      </c>
      <c r="H433" s="122">
        <f ca="1">IF(RegimeExecucao="Global","",ORÇAMENTO!W433)</f>
        <v>69.73</v>
      </c>
      <c r="I433" s="125">
        <f ca="1">ORÇAMENTO!X433</f>
        <v>348.65</v>
      </c>
      <c r="J433" s="333" cm="1">
        <f t="array" aca="1" ref="J433" ca="1">_xlfn.SINGLE(IF($A433="S",IF(CAIXA.Modo,BM.AFAnterior,BM.MEDAnterior),IF(AND(_xlfn.SINGLE(RegimeExecucao)="Global",$I433&gt;0,COUNTIF($AB$13:$AM$13,BM.medicao-1)&gt;0),M433/$I433*100,0)))</f>
        <v>0</v>
      </c>
      <c r="K433" s="122">
        <f t="shared" ca="1" si="45"/>
        <v>0</v>
      </c>
      <c r="L433" s="334" cm="1">
        <f t="array" aca="1" ref="L433" ca="1">_xlfn.SINGLE(IF($A433="S",IF(CAIXA.Modo,BM.AFAcumulado,BM.MEDAcumulado),IF(AND(_xlfn.SINGLE(RegimeExecucao)="Global",$I433&gt;0,COUNTIF($AB$13:$AM$13,BM.medicao)&gt;0),O433/$I433*100,0)))</f>
        <v>0</v>
      </c>
      <c r="M433" s="335">
        <f ca="1">IF($A433="S",VTOTALBM,IF($A433=0,0,ROUND(SomaAgrupBM,15-13*ORÇAMENTO!$AF$11)))</f>
        <v>0</v>
      </c>
      <c r="N433" s="336">
        <f t="shared" ca="1" si="46"/>
        <v>0</v>
      </c>
      <c r="O433" s="125">
        <f ca="1">IF($A433="S",VTOTALBM,IF($A433=0,0,ROUND(SomaAgrupBM,15-13*ORÇAMENTO!$AF$11)))</f>
        <v>0</v>
      </c>
      <c r="Q433" s="337"/>
      <c r="R433" s="338"/>
      <c r="T433" s="117" t="str">
        <f t="shared" ca="1" si="47"/>
        <v/>
      </c>
      <c r="U433" s="163" t="str">
        <f t="shared" ca="1" si="48"/>
        <v/>
      </c>
      <c r="V433" s="164" t="str">
        <f ca="1">IF(AND($W433&gt;0,RegimeExecucao="Unitário"),$F433,"")</f>
        <v/>
      </c>
      <c r="W433" s="454">
        <f ca="1">IF($Y433&gt;0,CHOOSE(MATCH(RegimeExecucao,{"Unitário","Global"},0),IF($A433="S",$Y433/$X433,""),($Y433/$X433)*100),0)</f>
        <v>0</v>
      </c>
      <c r="X433" s="339" t="str">
        <f ca="1">IF($Y433&gt;0,CHOOSE(MATCH(RegimeExecucao,{"Unitário","Global"},0),IF($A433="S",ROUND($H433,ORÇAMENTO!$AF$10),""),ROUND($I433,ORÇAMENTO!$AF$11)),"")</f>
        <v/>
      </c>
      <c r="Y433" s="339">
        <f t="shared" ca="1" si="49"/>
        <v>0</v>
      </c>
      <c r="Z433" s="473"/>
      <c r="AB433" s="337"/>
      <c r="AC433" s="437"/>
      <c r="AD433" s="437"/>
      <c r="AE433" s="437"/>
      <c r="AF433" s="437"/>
      <c r="AG433" s="437"/>
      <c r="AH433" s="437"/>
      <c r="AI433" s="437"/>
      <c r="AJ433" s="437"/>
      <c r="AK433" s="437"/>
      <c r="AL433" s="437"/>
      <c r="AM433" s="338"/>
      <c r="AO433">
        <f ca="1">IF($A433="S",IF(BM!$I433=0,0,CHOOSE(MATCH(RegimeExecucao,{"Global","Unitário"},0),ROUND(ROUND(BM.MEDAcumulado,15-13*BM!$A$9)/100*BM!$I433,15-13*ORÇAMENTO!$AF$11),ROUND(ROUND(BM.MEDAcumulado,15-13*BM!$A$9)*ROUND(BM!$H433,15-13*ORÇAMENTO!$AF$10),15-13*ORÇAMENTO!$AF$11))),IF($A433=0,0,ROUND(SomaAgrupBM,15-13*ORÇAMENTO!$AF$11)))</f>
        <v>0</v>
      </c>
    </row>
    <row r="434" spans="1:41" x14ac:dyDescent="0.2">
      <c r="A434">
        <f ca="1">ORÇAMENTO!C434</f>
        <v>4</v>
      </c>
      <c r="B434">
        <f ca="1">ORÇAMENTO!D434</f>
        <v>7</v>
      </c>
      <c r="C434" s="114" t="str">
        <f t="shared" ca="1" si="43"/>
        <v>F</v>
      </c>
      <c r="D434" s="117" t="str">
        <f ca="1">ORÇAMENTO!O434</f>
        <v>1.8.2.5.</v>
      </c>
      <c r="E434" s="163" t="str">
        <f t="shared" si="44"/>
        <v>GRUPO GERADOR</v>
      </c>
      <c r="F434" s="164" t="str">
        <f ca="1">IF(RegimeExecucao="Global","",ORÇAMENTO.Unidade)</f>
        <v>-</v>
      </c>
      <c r="G434" s="122">
        <f ca="1">IF(RegimeExecucao="Global","",ORÇAMENTO!T434)</f>
        <v>0</v>
      </c>
      <c r="H434" s="122">
        <f ca="1">IF(RegimeExecucao="Global","",ORÇAMENTO!W434)</f>
        <v>0</v>
      </c>
      <c r="I434" s="125">
        <f ca="1">ORÇAMENTO!X434</f>
        <v>508492.93</v>
      </c>
      <c r="J434" s="333" cm="1">
        <f t="array" aca="1" ref="J434" ca="1">_xlfn.SINGLE(IF($A434="S",IF(CAIXA.Modo,BM.AFAnterior,BM.MEDAnterior),IF(AND(_xlfn.SINGLE(RegimeExecucao)="Global",$I434&gt;0,COUNTIF($AB$13:$AM$13,BM.medicao-1)&gt;0),M434/$I434*100,0)))</f>
        <v>0</v>
      </c>
      <c r="K434" s="122">
        <f t="shared" ca="1" si="45"/>
        <v>0</v>
      </c>
      <c r="L434" s="334" cm="1">
        <f t="array" aca="1" ref="L434" ca="1">_xlfn.SINGLE(IF($A434="S",IF(CAIXA.Modo,BM.AFAcumulado,BM.MEDAcumulado),IF(AND(_xlfn.SINGLE(RegimeExecucao)="Global",$I434&gt;0,COUNTIF($AB$13:$AM$13,BM.medicao)&gt;0),O434/$I434*100,0)))</f>
        <v>0</v>
      </c>
      <c r="M434" s="335">
        <f ca="1">IF($A434="S",VTOTALBM,IF($A434=0,0,ROUND(SomaAgrupBM,15-13*ORÇAMENTO!$AF$11)))</f>
        <v>0</v>
      </c>
      <c r="N434" s="336">
        <f t="shared" ca="1" si="46"/>
        <v>0</v>
      </c>
      <c r="O434" s="125">
        <f ca="1">IF($A434="S",VTOTALBM,IF($A434=0,0,ROUND(SomaAgrupBM,15-13*ORÇAMENTO!$AF$11)))</f>
        <v>0</v>
      </c>
      <c r="Q434" s="337"/>
      <c r="R434" s="338"/>
      <c r="T434" s="117" t="str">
        <f t="shared" ca="1" si="47"/>
        <v/>
      </c>
      <c r="U434" s="163" t="str">
        <f t="shared" ca="1" si="48"/>
        <v/>
      </c>
      <c r="V434" s="164" t="str">
        <f ca="1">IF(AND($W434&gt;0,RegimeExecucao="Unitário"),$F434,"")</f>
        <v/>
      </c>
      <c r="W434" s="454">
        <f ca="1">IF($Y434&gt;0,CHOOSE(MATCH(RegimeExecucao,{"Unitário","Global"},0),IF($A434="S",$Y434/$X434,""),($Y434/$X434)*100),0)</f>
        <v>0</v>
      </c>
      <c r="X434" s="339" t="str">
        <f ca="1">IF($Y434&gt;0,CHOOSE(MATCH(RegimeExecucao,{"Unitário","Global"},0),IF($A434="S",ROUND($H434,ORÇAMENTO!$AF$10),""),ROUND($I434,ORÇAMENTO!$AF$11)),"")</f>
        <v/>
      </c>
      <c r="Y434" s="339">
        <f t="shared" ca="1" si="49"/>
        <v>0</v>
      </c>
      <c r="Z434" s="473"/>
      <c r="AB434" s="337"/>
      <c r="AC434" s="437"/>
      <c r="AD434" s="437"/>
      <c r="AE434" s="437"/>
      <c r="AF434" s="437"/>
      <c r="AG434" s="437"/>
      <c r="AH434" s="437"/>
      <c r="AI434" s="437"/>
      <c r="AJ434" s="437"/>
      <c r="AK434" s="437"/>
      <c r="AL434" s="437"/>
      <c r="AM434" s="338"/>
      <c r="AO434">
        <f ca="1">IF($A434="S",IF(BM!$I434=0,0,CHOOSE(MATCH(RegimeExecucao,{"Global","Unitário"},0),ROUND(ROUND(BM.MEDAcumulado,15-13*BM!$A$9)/100*BM!$I434,15-13*ORÇAMENTO!$AF$11),ROUND(ROUND(BM.MEDAcumulado,15-13*BM!$A$9)*ROUND(BM!$H434,15-13*ORÇAMENTO!$AF$10),15-13*ORÇAMENTO!$AF$11))),IF($A434=0,0,ROUND(SomaAgrupBM,15-13*ORÇAMENTO!$AF$11)))</f>
        <v>0</v>
      </c>
    </row>
    <row r="435" spans="1:41" ht="25.5" x14ac:dyDescent="0.2">
      <c r="A435" t="str">
        <f ca="1">ORÇAMENTO!C435</f>
        <v>S</v>
      </c>
      <c r="B435">
        <f ca="1">ORÇAMENTO!D435</f>
        <v>0</v>
      </c>
      <c r="C435" s="114" t="str">
        <f t="shared" ca="1" si="43"/>
        <v>F</v>
      </c>
      <c r="D435" s="117" t="str">
        <f ca="1">ORÇAMENTO!O435</f>
        <v>1.8.2.5.1.</v>
      </c>
      <c r="E435" s="163" t="str">
        <f t="shared" ca="1" si="44"/>
        <v>INSTALAÇÃO DE GRUPO GERADOR DIESEL 150KVA 220/380/440V - SILENCIADO C/ QTA - BASEADO EM SBC 065023</v>
      </c>
      <c r="F435" s="164" t="str">
        <f ca="1">IF(RegimeExecucao="Global","",ORÇAMENTO.Unidade)</f>
        <v>UN</v>
      </c>
      <c r="G435" s="122">
        <f ca="1">IF(RegimeExecucao="Global","",ORÇAMENTO!T435)</f>
        <v>2</v>
      </c>
      <c r="H435" s="122">
        <f ca="1">IF(RegimeExecucao="Global","",ORÇAMENTO!W435)</f>
        <v>1801.91</v>
      </c>
      <c r="I435" s="125">
        <f ca="1">ORÇAMENTO!X435</f>
        <v>3603.82</v>
      </c>
      <c r="J435" s="333" cm="1">
        <f t="array" aca="1" ref="J435" ca="1">_xlfn.SINGLE(IF($A435="S",IF(CAIXA.Modo,BM.AFAnterior,BM.MEDAnterior),IF(AND(_xlfn.SINGLE(RegimeExecucao)="Global",$I435&gt;0,COUNTIF($AB$13:$AM$13,BM.medicao-1)&gt;0),M435/$I435*100,0)))</f>
        <v>0</v>
      </c>
      <c r="K435" s="122">
        <f t="shared" ca="1" si="45"/>
        <v>0</v>
      </c>
      <c r="L435" s="334" cm="1">
        <f t="array" aca="1" ref="L435" ca="1">_xlfn.SINGLE(IF($A435="S",IF(CAIXA.Modo,BM.AFAcumulado,BM.MEDAcumulado),IF(AND(_xlfn.SINGLE(RegimeExecucao)="Global",$I435&gt;0,COUNTIF($AB$13:$AM$13,BM.medicao)&gt;0),O435/$I435*100,0)))</f>
        <v>0</v>
      </c>
      <c r="M435" s="335">
        <f ca="1">IF($A435="S",VTOTALBM,IF($A435=0,0,ROUND(SomaAgrupBM,15-13*ORÇAMENTO!$AF$11)))</f>
        <v>0</v>
      </c>
      <c r="N435" s="336">
        <f t="shared" ca="1" si="46"/>
        <v>0</v>
      </c>
      <c r="O435" s="125">
        <f ca="1">IF($A435="S",VTOTALBM,IF($A435=0,0,ROUND(SomaAgrupBM,15-13*ORÇAMENTO!$AF$11)))</f>
        <v>0</v>
      </c>
      <c r="Q435" s="337"/>
      <c r="R435" s="338"/>
      <c r="T435" s="117" t="str">
        <f t="shared" ca="1" si="47"/>
        <v/>
      </c>
      <c r="U435" s="163" t="str">
        <f t="shared" ca="1" si="48"/>
        <v/>
      </c>
      <c r="V435" s="164" t="str">
        <f ca="1">IF(AND($W435&gt;0,RegimeExecucao="Unitário"),$F435,"")</f>
        <v/>
      </c>
      <c r="W435" s="454">
        <f ca="1">IF($Y435&gt;0,CHOOSE(MATCH(RegimeExecucao,{"Unitário","Global"},0),IF($A435="S",$Y435/$X435,""),($Y435/$X435)*100),0)</f>
        <v>0</v>
      </c>
      <c r="X435" s="339" t="str">
        <f ca="1">IF($Y435&gt;0,CHOOSE(MATCH(RegimeExecucao,{"Unitário","Global"},0),IF($A435="S",ROUND($H435,ORÇAMENTO!$AF$10),""),ROUND($I435,ORÇAMENTO!$AF$11)),"")</f>
        <v/>
      </c>
      <c r="Y435" s="339">
        <f t="shared" ca="1" si="49"/>
        <v>0</v>
      </c>
      <c r="Z435" s="473"/>
      <c r="AB435" s="337"/>
      <c r="AC435" s="437"/>
      <c r="AD435" s="437"/>
      <c r="AE435" s="437"/>
      <c r="AF435" s="437"/>
      <c r="AG435" s="437"/>
      <c r="AH435" s="437"/>
      <c r="AI435" s="437"/>
      <c r="AJ435" s="437"/>
      <c r="AK435" s="437"/>
      <c r="AL435" s="437"/>
      <c r="AM435" s="338"/>
      <c r="AO435">
        <f ca="1">IF($A435="S",IF(BM!$I435=0,0,CHOOSE(MATCH(RegimeExecucao,{"Global","Unitário"},0),ROUND(ROUND(BM.MEDAcumulado,15-13*BM!$A$9)/100*BM!$I435,15-13*ORÇAMENTO!$AF$11),ROUND(ROUND(BM.MEDAcumulado,15-13*BM!$A$9)*ROUND(BM!$H435,15-13*ORÇAMENTO!$AF$10),15-13*ORÇAMENTO!$AF$11))),IF($A435=0,0,ROUND(SomaAgrupBM,15-13*ORÇAMENTO!$AF$11)))</f>
        <v>0</v>
      </c>
    </row>
    <row r="436" spans="1:41" ht="25.5" x14ac:dyDescent="0.2">
      <c r="A436" t="str">
        <f ca="1">ORÇAMENTO!C436</f>
        <v>S</v>
      </c>
      <c r="B436">
        <f ca="1">ORÇAMENTO!D436</f>
        <v>0</v>
      </c>
      <c r="C436" s="114" t="str">
        <f t="shared" ca="1" si="43"/>
        <v>F</v>
      </c>
      <c r="D436" s="117" t="str">
        <f ca="1">ORÇAMENTO!O436</f>
        <v>1.8.2.5.2.</v>
      </c>
      <c r="E436" s="163" t="str">
        <f t="shared" ca="1" si="44"/>
        <v>GRUPO GERADOR ESTACIONÁRIO, POTÊNCIA 150 KVA, MOTOR A DIESEL- CHP DIURNO. AF_03/2016</v>
      </c>
      <c r="F436" s="164" t="str">
        <f ca="1">IF(RegimeExecucao="Global","",ORÇAMENTO.Unidade)</f>
        <v>CHP</v>
      </c>
      <c r="G436" s="122">
        <f ca="1">IF(RegimeExecucao="Global","",ORÇAMENTO!T436)</f>
        <v>1760</v>
      </c>
      <c r="H436" s="122">
        <f ca="1">IF(RegimeExecucao="Global","",ORÇAMENTO!W436)</f>
        <v>221.39</v>
      </c>
      <c r="I436" s="125">
        <f ca="1">ORÇAMENTO!X436</f>
        <v>389646.4</v>
      </c>
      <c r="J436" s="333" cm="1">
        <f t="array" aca="1" ref="J436" ca="1">_xlfn.SINGLE(IF($A436="S",IF(CAIXA.Modo,BM.AFAnterior,BM.MEDAnterior),IF(AND(_xlfn.SINGLE(RegimeExecucao)="Global",$I436&gt;0,COUNTIF($AB$13:$AM$13,BM.medicao-1)&gt;0),M436/$I436*100,0)))</f>
        <v>0</v>
      </c>
      <c r="K436" s="122">
        <f t="shared" ca="1" si="45"/>
        <v>0</v>
      </c>
      <c r="L436" s="334" cm="1">
        <f t="array" aca="1" ref="L436" ca="1">_xlfn.SINGLE(IF($A436="S",IF(CAIXA.Modo,BM.AFAcumulado,BM.MEDAcumulado),IF(AND(_xlfn.SINGLE(RegimeExecucao)="Global",$I436&gt;0,COUNTIF($AB$13:$AM$13,BM.medicao)&gt;0),O436/$I436*100,0)))</f>
        <v>0</v>
      </c>
      <c r="M436" s="335">
        <f ca="1">IF($A436="S",VTOTALBM,IF($A436=0,0,ROUND(SomaAgrupBM,15-13*ORÇAMENTO!$AF$11)))</f>
        <v>0</v>
      </c>
      <c r="N436" s="336">
        <f t="shared" ca="1" si="46"/>
        <v>0</v>
      </c>
      <c r="O436" s="125">
        <f ca="1">IF($A436="S",VTOTALBM,IF($A436=0,0,ROUND(SomaAgrupBM,15-13*ORÇAMENTO!$AF$11)))</f>
        <v>0</v>
      </c>
      <c r="Q436" s="337"/>
      <c r="R436" s="338"/>
      <c r="T436" s="117" t="str">
        <f t="shared" ca="1" si="47"/>
        <v/>
      </c>
      <c r="U436" s="163" t="str">
        <f t="shared" ca="1" si="48"/>
        <v/>
      </c>
      <c r="V436" s="164" t="str">
        <f ca="1">IF(AND($W436&gt;0,RegimeExecucao="Unitário"),$F436,"")</f>
        <v/>
      </c>
      <c r="W436" s="454">
        <f ca="1">IF($Y436&gt;0,CHOOSE(MATCH(RegimeExecucao,{"Unitário","Global"},0),IF($A436="S",$Y436/$X436,""),($Y436/$X436)*100),0)</f>
        <v>0</v>
      </c>
      <c r="X436" s="339" t="str">
        <f ca="1">IF($Y436&gt;0,CHOOSE(MATCH(RegimeExecucao,{"Unitário","Global"},0),IF($A436="S",ROUND($H436,ORÇAMENTO!$AF$10),""),ROUND($I436,ORÇAMENTO!$AF$11)),"")</f>
        <v/>
      </c>
      <c r="Y436" s="339">
        <f t="shared" ca="1" si="49"/>
        <v>0</v>
      </c>
      <c r="Z436" s="473"/>
      <c r="AB436" s="337"/>
      <c r="AC436" s="437"/>
      <c r="AD436" s="437"/>
      <c r="AE436" s="437"/>
      <c r="AF436" s="437"/>
      <c r="AG436" s="437"/>
      <c r="AH436" s="437"/>
      <c r="AI436" s="437"/>
      <c r="AJ436" s="437"/>
      <c r="AK436" s="437"/>
      <c r="AL436" s="437"/>
      <c r="AM436" s="338"/>
      <c r="AO436">
        <f ca="1">IF($A436="S",IF(BM!$I436=0,0,CHOOSE(MATCH(RegimeExecucao,{"Global","Unitário"},0),ROUND(ROUND(BM.MEDAcumulado,15-13*BM!$A$9)/100*BM!$I436,15-13*ORÇAMENTO!$AF$11),ROUND(ROUND(BM.MEDAcumulado,15-13*BM!$A$9)*ROUND(BM!$H436,15-13*ORÇAMENTO!$AF$10),15-13*ORÇAMENTO!$AF$11))),IF($A436=0,0,ROUND(SomaAgrupBM,15-13*ORÇAMENTO!$AF$11)))</f>
        <v>0</v>
      </c>
    </row>
    <row r="437" spans="1:41" ht="25.5" x14ac:dyDescent="0.2">
      <c r="A437" t="str">
        <f ca="1">ORÇAMENTO!C437</f>
        <v>S</v>
      </c>
      <c r="B437">
        <f ca="1">ORÇAMENTO!D437</f>
        <v>0</v>
      </c>
      <c r="C437" s="114" t="str">
        <f ca="1">IF(OR($I437&gt;0,$A437=1,$A437=2,$A437=3,$A437=4),"F","")</f>
        <v>F</v>
      </c>
      <c r="D437" s="117" t="str">
        <f ca="1">ORÇAMENTO!O437</f>
        <v>1.8.2.5.3.</v>
      </c>
      <c r="E437" s="163" t="str">
        <f ca="1">ORÇAMENTO.Descricao</f>
        <v>GRUPO GERADOR ESTACIONÁRIO, POTÊNCIA 150 KVA, MOTOR A DIESEL- CHI DIURNO. AF_03/2016</v>
      </c>
      <c r="F437" s="164" t="str">
        <f ca="1">IF(RegimeExecucao="Global","",ORÇAMENTO.Unidade)</f>
        <v>CHI</v>
      </c>
      <c r="G437" s="122">
        <f ca="1">IF(RegimeExecucao="Global","",ORÇAMENTO!T437)</f>
        <v>1760</v>
      </c>
      <c r="H437" s="122">
        <f ca="1">IF(RegimeExecucao="Global","",ORÇAMENTO!W437)</f>
        <v>11.39</v>
      </c>
      <c r="I437" s="125">
        <f ca="1">ORÇAMENTO!X437</f>
        <v>20046.400000000001</v>
      </c>
      <c r="J437" s="333" cm="1">
        <f t="array" aca="1" ref="J437" ca="1">_xlfn.SINGLE(IF($A437="S",IF(CAIXA.Modo,BM.AFAnterior,BM.MEDAnterior),IF(AND(_xlfn.SINGLE(RegimeExecucao)="Global",$I437&gt;0,COUNTIF($AB$13:$AM$13,BM.medicao-1)&gt;0),M437/$I437*100,0)))</f>
        <v>0</v>
      </c>
      <c r="K437" s="122">
        <f ca="1">L437-J437</f>
        <v>0</v>
      </c>
      <c r="L437" s="334" cm="1">
        <f t="array" aca="1" ref="L437" ca="1">_xlfn.SINGLE(IF($A437="S",IF(CAIXA.Modo,BM.AFAcumulado,BM.MEDAcumulado),IF(AND(_xlfn.SINGLE(RegimeExecucao)="Global",$I437&gt;0,COUNTIF($AB$13:$AM$13,BM.medicao)&gt;0),O437/$I437*100,0)))</f>
        <v>0</v>
      </c>
      <c r="M437" s="335">
        <f ca="1">IF($A437="S",VTOTALBM,IF($A437=0,0,ROUND(SomaAgrupBM,15-13*ORÇAMENTO!$AF$11)))</f>
        <v>0</v>
      </c>
      <c r="N437" s="336">
        <f ca="1">O437-M437</f>
        <v>0</v>
      </c>
      <c r="O437" s="125">
        <f ca="1">IF($A437="S",VTOTALBM,IF($A437=0,0,ROUND(SomaAgrupBM,15-13*ORÇAMENTO!$AF$11)))</f>
        <v>0</v>
      </c>
      <c r="Q437" s="337"/>
      <c r="R437" s="338"/>
      <c r="T437" s="117" t="str">
        <f ca="1">IF($W437&gt;0,$D437,"")</f>
        <v/>
      </c>
      <c r="U437" s="163" t="str">
        <f ca="1">IF($W437&gt;0,$E437,"")</f>
        <v/>
      </c>
      <c r="V437" s="164" t="str">
        <f ca="1">IF(AND($W437&gt;0,RegimeExecucao="Unitário"),$F437,"")</f>
        <v/>
      </c>
      <c r="W437" s="454">
        <f ca="1">IF($Y437&gt;0,CHOOSE(MATCH(RegimeExecucao,{"Unitário","Global"},0),IF($A437="S",$Y437/$X437,""),($Y437/$X437)*100),0)</f>
        <v>0</v>
      </c>
      <c r="X437" s="339" t="str">
        <f ca="1">IF($Y437&gt;0,CHOOSE(MATCH(RegimeExecucao,{"Unitário","Global"},0),IF($A437="S",ROUND($H437,ORÇAMENTO!$AF$10),""),ROUND($I437,ORÇAMENTO!$AF$11)),"")</f>
        <v/>
      </c>
      <c r="Y437" s="339">
        <f ca="1">AO437-O437</f>
        <v>0</v>
      </c>
      <c r="Z437" s="473"/>
      <c r="AB437" s="337"/>
      <c r="AC437" s="437"/>
      <c r="AD437" s="437"/>
      <c r="AE437" s="437"/>
      <c r="AF437" s="437"/>
      <c r="AG437" s="437"/>
      <c r="AH437" s="437"/>
      <c r="AI437" s="437"/>
      <c r="AJ437" s="437"/>
      <c r="AK437" s="437"/>
      <c r="AL437" s="437"/>
      <c r="AM437" s="338"/>
      <c r="AO437">
        <f ca="1">IF($A437="S",IF(BM!$I437=0,0,CHOOSE(MATCH(RegimeExecucao,{"Global","Unitário"},0),ROUND(ROUND(BM.MEDAcumulado,15-13*BM!$A$9)/100*BM!$I437,15-13*ORÇAMENTO!$AF$11),ROUND(ROUND(BM.MEDAcumulado,15-13*BM!$A$9)*ROUND(BM!$H437,15-13*ORÇAMENTO!$AF$10),15-13*ORÇAMENTO!$AF$11))),IF($A437=0,0,ROUND(SomaAgrupBM,15-13*ORÇAMENTO!$AF$11)))</f>
        <v>0</v>
      </c>
    </row>
    <row r="438" spans="1:41" ht="38.25" x14ac:dyDescent="0.2">
      <c r="A438" t="str">
        <f ca="1">ORÇAMENTO!C438</f>
        <v>S</v>
      </c>
      <c r="B438">
        <f ca="1">ORÇAMENTO!D438</f>
        <v>0</v>
      </c>
      <c r="C438" s="114" t="str">
        <f t="shared" ca="1" si="43"/>
        <v>F</v>
      </c>
      <c r="D438" s="117" t="str">
        <f ca="1">ORÇAMENTO!O438</f>
        <v>1.8.2.5.4.</v>
      </c>
      <c r="E438" s="163" t="str">
        <f t="shared" ca="1" si="44"/>
        <v>INSTALAÇÃO DE GRUPO GERADOR DIESEL 50KVA, CARENADO SILENCIOSO, FREQUÊNCIA 60HZ, INCLUSO QTA - BASEADO EM SBC 065023</v>
      </c>
      <c r="F438" s="164" t="str">
        <f ca="1">IF(RegimeExecucao="Global","",ORÇAMENTO.Unidade)</f>
        <v>UN</v>
      </c>
      <c r="G438" s="122">
        <f ca="1">IF(RegimeExecucao="Global","",ORÇAMENTO!T438)</f>
        <v>1</v>
      </c>
      <c r="H438" s="122">
        <f ca="1">IF(RegimeExecucao="Global","",ORÇAMENTO!W438)</f>
        <v>1801.91</v>
      </c>
      <c r="I438" s="125">
        <f ca="1">ORÇAMENTO!X438</f>
        <v>1801.91</v>
      </c>
      <c r="J438" s="333" cm="1">
        <f t="array" aca="1" ref="J438" ca="1">_xlfn.SINGLE(IF($A438="S",IF(CAIXA.Modo,BM.AFAnterior,BM.MEDAnterior),IF(AND(_xlfn.SINGLE(RegimeExecucao)="Global",$I438&gt;0,COUNTIF($AB$13:$AM$13,BM.medicao-1)&gt;0),M438/$I438*100,0)))</f>
        <v>0</v>
      </c>
      <c r="K438" s="122">
        <f t="shared" ca="1" si="45"/>
        <v>0</v>
      </c>
      <c r="L438" s="334" cm="1">
        <f t="array" aca="1" ref="L438" ca="1">_xlfn.SINGLE(IF($A438="S",IF(CAIXA.Modo,BM.AFAcumulado,BM.MEDAcumulado),IF(AND(_xlfn.SINGLE(RegimeExecucao)="Global",$I438&gt;0,COUNTIF($AB$13:$AM$13,BM.medicao)&gt;0),O438/$I438*100,0)))</f>
        <v>0</v>
      </c>
      <c r="M438" s="335">
        <f ca="1">IF($A438="S",VTOTALBM,IF($A438=0,0,ROUND(SomaAgrupBM,15-13*ORÇAMENTO!$AF$11)))</f>
        <v>0</v>
      </c>
      <c r="N438" s="336">
        <f t="shared" ca="1" si="46"/>
        <v>0</v>
      </c>
      <c r="O438" s="125">
        <f ca="1">IF($A438="S",VTOTALBM,IF($A438=0,0,ROUND(SomaAgrupBM,15-13*ORÇAMENTO!$AF$11)))</f>
        <v>0</v>
      </c>
      <c r="Q438" s="337"/>
      <c r="R438" s="338"/>
      <c r="T438" s="117" t="str">
        <f t="shared" ca="1" si="47"/>
        <v/>
      </c>
      <c r="U438" s="163" t="str">
        <f t="shared" ca="1" si="48"/>
        <v/>
      </c>
      <c r="V438" s="164" t="str">
        <f ca="1">IF(AND($W438&gt;0,RegimeExecucao="Unitário"),$F438,"")</f>
        <v/>
      </c>
      <c r="W438" s="454">
        <f ca="1">IF($Y438&gt;0,CHOOSE(MATCH(RegimeExecucao,{"Unitário","Global"},0),IF($A438="S",$Y438/$X438,""),($Y438/$X438)*100),0)</f>
        <v>0</v>
      </c>
      <c r="X438" s="339" t="str">
        <f ca="1">IF($Y438&gt;0,CHOOSE(MATCH(RegimeExecucao,{"Unitário","Global"},0),IF($A438="S",ROUND($H438,ORÇAMENTO!$AF$10),""),ROUND($I438,ORÇAMENTO!$AF$11)),"")</f>
        <v/>
      </c>
      <c r="Y438" s="339">
        <f t="shared" ca="1" si="49"/>
        <v>0</v>
      </c>
      <c r="Z438" s="473"/>
      <c r="AB438" s="337"/>
      <c r="AC438" s="437"/>
      <c r="AD438" s="437"/>
      <c r="AE438" s="437"/>
      <c r="AF438" s="437"/>
      <c r="AG438" s="437"/>
      <c r="AH438" s="437"/>
      <c r="AI438" s="437"/>
      <c r="AJ438" s="437"/>
      <c r="AK438" s="437"/>
      <c r="AL438" s="437"/>
      <c r="AM438" s="338"/>
      <c r="AO438">
        <f ca="1">IF($A438="S",IF(BM!$I438=0,0,CHOOSE(MATCH(RegimeExecucao,{"Global","Unitário"},0),ROUND(ROUND(BM.MEDAcumulado,15-13*BM!$A$9)/100*BM!$I438,15-13*ORÇAMENTO!$AF$11),ROUND(ROUND(BM.MEDAcumulado,15-13*BM!$A$9)*ROUND(BM!$H438,15-13*ORÇAMENTO!$AF$10),15-13*ORÇAMENTO!$AF$11))),IF($A438=0,0,ROUND(SomaAgrupBM,15-13*ORÇAMENTO!$AF$11)))</f>
        <v>0</v>
      </c>
    </row>
    <row r="439" spans="1:41" ht="25.5" x14ac:dyDescent="0.2">
      <c r="A439" t="str">
        <f ca="1">ORÇAMENTO!C439</f>
        <v>S</v>
      </c>
      <c r="B439">
        <f ca="1">ORÇAMENTO!D439</f>
        <v>0</v>
      </c>
      <c r="C439" s="114" t="str">
        <f t="shared" ca="1" si="43"/>
        <v>F</v>
      </c>
      <c r="D439" s="117" t="str">
        <f ca="1">ORÇAMENTO!O439</f>
        <v>1.8.2.5.5.</v>
      </c>
      <c r="E439" s="163" t="str">
        <f t="shared" ca="1" si="44"/>
        <v>GRUPO GERADOR REBOCÁVEL, POTÊNCIA 66 KVA, MOTOR A DIESEL - CHP DIURNO. AF_03/2016</v>
      </c>
      <c r="F439" s="164" t="str">
        <f ca="1">IF(RegimeExecucao="Global","",ORÇAMENTO.Unidade)</f>
        <v>CHP</v>
      </c>
      <c r="G439" s="122">
        <f ca="1">IF(RegimeExecucao="Global","",ORÇAMENTO!T439)</f>
        <v>880</v>
      </c>
      <c r="H439" s="122">
        <f ca="1">IF(RegimeExecucao="Global","",ORÇAMENTO!W439)</f>
        <v>98.08</v>
      </c>
      <c r="I439" s="125">
        <f ca="1">ORÇAMENTO!X439</f>
        <v>86310.399999999994</v>
      </c>
      <c r="J439" s="333" cm="1">
        <f t="array" aca="1" ref="J439" ca="1">_xlfn.SINGLE(IF($A439="S",IF(CAIXA.Modo,BM.AFAnterior,BM.MEDAnterior),IF(AND(_xlfn.SINGLE(RegimeExecucao)="Global",$I439&gt;0,COUNTIF($AB$13:$AM$13,BM.medicao-1)&gt;0),M439/$I439*100,0)))</f>
        <v>0</v>
      </c>
      <c r="K439" s="122">
        <f t="shared" ca="1" si="45"/>
        <v>0</v>
      </c>
      <c r="L439" s="334" cm="1">
        <f t="array" aca="1" ref="L439" ca="1">_xlfn.SINGLE(IF($A439="S",IF(CAIXA.Modo,BM.AFAcumulado,BM.MEDAcumulado),IF(AND(_xlfn.SINGLE(RegimeExecucao)="Global",$I439&gt;0,COUNTIF($AB$13:$AM$13,BM.medicao)&gt;0),O439/$I439*100,0)))</f>
        <v>0</v>
      </c>
      <c r="M439" s="335">
        <f ca="1">IF($A439="S",VTOTALBM,IF($A439=0,0,ROUND(SomaAgrupBM,15-13*ORÇAMENTO!$AF$11)))</f>
        <v>0</v>
      </c>
      <c r="N439" s="336">
        <f t="shared" ca="1" si="46"/>
        <v>0</v>
      </c>
      <c r="O439" s="125">
        <f ca="1">IF($A439="S",VTOTALBM,IF($A439=0,0,ROUND(SomaAgrupBM,15-13*ORÇAMENTO!$AF$11)))</f>
        <v>0</v>
      </c>
      <c r="Q439" s="337"/>
      <c r="R439" s="338"/>
      <c r="T439" s="117" t="str">
        <f t="shared" ca="1" si="47"/>
        <v/>
      </c>
      <c r="U439" s="163" t="str">
        <f t="shared" ca="1" si="48"/>
        <v/>
      </c>
      <c r="V439" s="164" t="str">
        <f ca="1">IF(AND($W439&gt;0,RegimeExecucao="Unitário"),$F439,"")</f>
        <v/>
      </c>
      <c r="W439" s="454">
        <f ca="1">IF($Y439&gt;0,CHOOSE(MATCH(RegimeExecucao,{"Unitário","Global"},0),IF($A439="S",$Y439/$X439,""),($Y439/$X439)*100),0)</f>
        <v>0</v>
      </c>
      <c r="X439" s="339" t="str">
        <f ca="1">IF($Y439&gt;0,CHOOSE(MATCH(RegimeExecucao,{"Unitário","Global"},0),IF($A439="S",ROUND($H439,ORÇAMENTO!$AF$10),""),ROUND($I439,ORÇAMENTO!$AF$11)),"")</f>
        <v/>
      </c>
      <c r="Y439" s="339">
        <f t="shared" ca="1" si="49"/>
        <v>0</v>
      </c>
      <c r="Z439" s="473"/>
      <c r="AB439" s="337"/>
      <c r="AC439" s="437"/>
      <c r="AD439" s="437"/>
      <c r="AE439" s="437"/>
      <c r="AF439" s="437"/>
      <c r="AG439" s="437"/>
      <c r="AH439" s="437"/>
      <c r="AI439" s="437"/>
      <c r="AJ439" s="437"/>
      <c r="AK439" s="437"/>
      <c r="AL439" s="437"/>
      <c r="AM439" s="338"/>
      <c r="AO439">
        <f ca="1">IF($A439="S",IF(BM!$I439=0,0,CHOOSE(MATCH(RegimeExecucao,{"Global","Unitário"},0),ROUND(ROUND(BM.MEDAcumulado,15-13*BM!$A$9)/100*BM!$I439,15-13*ORÇAMENTO!$AF$11),ROUND(ROUND(BM.MEDAcumulado,15-13*BM!$A$9)*ROUND(BM!$H439,15-13*ORÇAMENTO!$AF$10),15-13*ORÇAMENTO!$AF$11))),IF($A439=0,0,ROUND(SomaAgrupBM,15-13*ORÇAMENTO!$AF$11)))</f>
        <v>0</v>
      </c>
    </row>
    <row r="440" spans="1:41" ht="25.5" x14ac:dyDescent="0.2">
      <c r="A440" t="str">
        <f ca="1">ORÇAMENTO!C440</f>
        <v>S</v>
      </c>
      <c r="B440">
        <f ca="1">ORÇAMENTO!D440</f>
        <v>0</v>
      </c>
      <c r="C440" s="114" t="str">
        <f ca="1">IF(OR($I440&gt;0,$A440=1,$A440=2,$A440=3,$A440=4),"F","")</f>
        <v>F</v>
      </c>
      <c r="D440" s="117" t="str">
        <f ca="1">ORÇAMENTO!O440</f>
        <v>1.8.2.5.6.</v>
      </c>
      <c r="E440" s="163" t="str">
        <f ca="1">ORÇAMENTO.Descricao</f>
        <v>GRUPO GERADOR REBOCÁVEL, POTÊNCIA 66 KVA, MOTOR A DIESEL - CHI DIURNO. AF_03/2016</v>
      </c>
      <c r="F440" s="164" t="str">
        <f ca="1">IF(RegimeExecucao="Global","",ORÇAMENTO.Unidade)</f>
        <v>CHI</v>
      </c>
      <c r="G440" s="122">
        <f ca="1">IF(RegimeExecucao="Global","",ORÇAMENTO!T440)</f>
        <v>880</v>
      </c>
      <c r="H440" s="122">
        <f ca="1">IF(RegimeExecucao="Global","",ORÇAMENTO!W440)</f>
        <v>8.0500000000000007</v>
      </c>
      <c r="I440" s="125">
        <f ca="1">ORÇAMENTO!X440</f>
        <v>7084</v>
      </c>
      <c r="J440" s="333" cm="1">
        <f t="array" aca="1" ref="J440" ca="1">_xlfn.SINGLE(IF($A440="S",IF(CAIXA.Modo,BM.AFAnterior,BM.MEDAnterior),IF(AND(_xlfn.SINGLE(RegimeExecucao)="Global",$I440&gt;0,COUNTIF($AB$13:$AM$13,BM.medicao-1)&gt;0),M440/$I440*100,0)))</f>
        <v>0</v>
      </c>
      <c r="K440" s="122">
        <f ca="1">L440-J440</f>
        <v>0</v>
      </c>
      <c r="L440" s="334" cm="1">
        <f t="array" aca="1" ref="L440" ca="1">_xlfn.SINGLE(IF($A440="S",IF(CAIXA.Modo,BM.AFAcumulado,BM.MEDAcumulado),IF(AND(_xlfn.SINGLE(RegimeExecucao)="Global",$I440&gt;0,COUNTIF($AB$13:$AM$13,BM.medicao)&gt;0),O440/$I440*100,0)))</f>
        <v>0</v>
      </c>
      <c r="M440" s="335">
        <f ca="1">IF($A440="S",VTOTALBM,IF($A440=0,0,ROUND(SomaAgrupBM,15-13*ORÇAMENTO!$AF$11)))</f>
        <v>0</v>
      </c>
      <c r="N440" s="336">
        <f ca="1">O440-M440</f>
        <v>0</v>
      </c>
      <c r="O440" s="125">
        <f ca="1">IF($A440="S",VTOTALBM,IF($A440=0,0,ROUND(SomaAgrupBM,15-13*ORÇAMENTO!$AF$11)))</f>
        <v>0</v>
      </c>
      <c r="Q440" s="337"/>
      <c r="R440" s="338"/>
      <c r="T440" s="117" t="str">
        <f ca="1">IF($W440&gt;0,$D440,"")</f>
        <v/>
      </c>
      <c r="U440" s="163" t="str">
        <f ca="1">IF($W440&gt;0,$E440,"")</f>
        <v/>
      </c>
      <c r="V440" s="164" t="str">
        <f ca="1">IF(AND($W440&gt;0,RegimeExecucao="Unitário"),$F440,"")</f>
        <v/>
      </c>
      <c r="W440" s="454">
        <f ca="1">IF($Y440&gt;0,CHOOSE(MATCH(RegimeExecucao,{"Unitário","Global"},0),IF($A440="S",$Y440/$X440,""),($Y440/$X440)*100),0)</f>
        <v>0</v>
      </c>
      <c r="X440" s="339" t="str">
        <f ca="1">IF($Y440&gt;0,CHOOSE(MATCH(RegimeExecucao,{"Unitário","Global"},0),IF($A440="S",ROUND($H440,ORÇAMENTO!$AF$10),""),ROUND($I440,ORÇAMENTO!$AF$11)),"")</f>
        <v/>
      </c>
      <c r="Y440" s="339">
        <f ca="1">AO440-O440</f>
        <v>0</v>
      </c>
      <c r="Z440" s="473"/>
      <c r="AB440" s="337"/>
      <c r="AC440" s="437"/>
      <c r="AD440" s="437"/>
      <c r="AE440" s="437"/>
      <c r="AF440" s="437"/>
      <c r="AG440" s="437"/>
      <c r="AH440" s="437"/>
      <c r="AI440" s="437"/>
      <c r="AJ440" s="437"/>
      <c r="AK440" s="437"/>
      <c r="AL440" s="437"/>
      <c r="AM440" s="338"/>
      <c r="AO440">
        <f ca="1">IF($A440="S",IF(BM!$I440=0,0,CHOOSE(MATCH(RegimeExecucao,{"Global","Unitário"},0),ROUND(ROUND(BM.MEDAcumulado,15-13*BM!$A$9)/100*BM!$I440,15-13*ORÇAMENTO!$AF$11),ROUND(ROUND(BM.MEDAcumulado,15-13*BM!$A$9)*ROUND(BM!$H440,15-13*ORÇAMENTO!$AF$10),15-13*ORÇAMENTO!$AF$11))),IF($A440=0,0,ROUND(SomaAgrupBM,15-13*ORÇAMENTO!$AF$11)))</f>
        <v>0</v>
      </c>
    </row>
    <row r="441" spans="1:41" x14ac:dyDescent="0.2">
      <c r="A441">
        <f ca="1">ORÇAMENTO!C441</f>
        <v>2</v>
      </c>
      <c r="B441">
        <f ca="1">ORÇAMENTO!D441</f>
        <v>38</v>
      </c>
      <c r="C441" s="114" t="str">
        <f t="shared" ca="1" si="43"/>
        <v>F</v>
      </c>
      <c r="D441" s="117" t="str">
        <f ca="1">ORÇAMENTO!O441</f>
        <v>1.9.</v>
      </c>
      <c r="E441" s="163" t="str">
        <f t="shared" si="44"/>
        <v>CFTV</v>
      </c>
      <c r="F441" s="164" t="str">
        <f ca="1">IF(RegimeExecucao="Global","",ORÇAMENTO.Unidade)</f>
        <v>-</v>
      </c>
      <c r="G441" s="122">
        <f ca="1">IF(RegimeExecucao="Global","",ORÇAMENTO!T441)</f>
        <v>0</v>
      </c>
      <c r="H441" s="122">
        <f ca="1">IF(RegimeExecucao="Global","",ORÇAMENTO!W441)</f>
        <v>0</v>
      </c>
      <c r="I441" s="125">
        <f ca="1">ORÇAMENTO!X441</f>
        <v>205008.59</v>
      </c>
      <c r="J441" s="333" cm="1">
        <f t="array" aca="1" ref="J441" ca="1">_xlfn.SINGLE(IF($A441="S",IF(CAIXA.Modo,BM.AFAnterior,BM.MEDAnterior),IF(AND(_xlfn.SINGLE(RegimeExecucao)="Global",$I441&gt;0,COUNTIF($AB$13:$AM$13,BM.medicao-1)&gt;0),M441/$I441*100,0)))</f>
        <v>0</v>
      </c>
      <c r="K441" s="122">
        <f t="shared" ca="1" si="45"/>
        <v>0</v>
      </c>
      <c r="L441" s="334" cm="1">
        <f t="array" aca="1" ref="L441" ca="1">_xlfn.SINGLE(IF($A441="S",IF(CAIXA.Modo,BM.AFAcumulado,BM.MEDAcumulado),IF(AND(_xlfn.SINGLE(RegimeExecucao)="Global",$I441&gt;0,COUNTIF($AB$13:$AM$13,BM.medicao)&gt;0),O441/$I441*100,0)))</f>
        <v>0</v>
      </c>
      <c r="M441" s="335">
        <f ca="1">IF($A441="S",VTOTALBM,IF($A441=0,0,ROUND(SomaAgrupBM,15-13*ORÇAMENTO!$AF$11)))</f>
        <v>0</v>
      </c>
      <c r="N441" s="336">
        <f t="shared" ca="1" si="46"/>
        <v>0</v>
      </c>
      <c r="O441" s="125">
        <f ca="1">IF($A441="S",VTOTALBM,IF($A441=0,0,ROUND(SomaAgrupBM,15-13*ORÇAMENTO!$AF$11)))</f>
        <v>0</v>
      </c>
      <c r="Q441" s="337"/>
      <c r="R441" s="338"/>
      <c r="T441" s="117" t="str">
        <f t="shared" ca="1" si="47"/>
        <v/>
      </c>
      <c r="U441" s="163" t="str">
        <f t="shared" ca="1" si="48"/>
        <v/>
      </c>
      <c r="V441" s="164" t="str">
        <f ca="1">IF(AND($W441&gt;0,RegimeExecucao="Unitário"),$F441,"")</f>
        <v/>
      </c>
      <c r="W441" s="454">
        <f ca="1">IF($Y441&gt;0,CHOOSE(MATCH(RegimeExecucao,{"Unitário","Global"},0),IF($A441="S",$Y441/$X441,""),($Y441/$X441)*100),0)</f>
        <v>0</v>
      </c>
      <c r="X441" s="339" t="str">
        <f ca="1">IF($Y441&gt;0,CHOOSE(MATCH(RegimeExecucao,{"Unitário","Global"},0),IF($A441="S",ROUND($H441,ORÇAMENTO!$AF$10),""),ROUND($I441,ORÇAMENTO!$AF$11)),"")</f>
        <v/>
      </c>
      <c r="Y441" s="339">
        <f t="shared" ca="1" si="49"/>
        <v>0</v>
      </c>
      <c r="Z441" s="473"/>
      <c r="AB441" s="337"/>
      <c r="AC441" s="437"/>
      <c r="AD441" s="437"/>
      <c r="AE441" s="437"/>
      <c r="AF441" s="437"/>
      <c r="AG441" s="437"/>
      <c r="AH441" s="437"/>
      <c r="AI441" s="437"/>
      <c r="AJ441" s="437"/>
      <c r="AK441" s="437"/>
      <c r="AL441" s="437"/>
      <c r="AM441" s="338"/>
      <c r="AO441">
        <f ca="1">IF($A441="S",IF(BM!$I441=0,0,CHOOSE(MATCH(RegimeExecucao,{"Global","Unitário"},0),ROUND(ROUND(BM.MEDAcumulado,15-13*BM!$A$9)/100*BM!$I441,15-13*ORÇAMENTO!$AF$11),ROUND(ROUND(BM.MEDAcumulado,15-13*BM!$A$9)*ROUND(BM!$H441,15-13*ORÇAMENTO!$AF$10),15-13*ORÇAMENTO!$AF$11))),IF($A441=0,0,ROUND(SomaAgrupBM,15-13*ORÇAMENTO!$AF$11)))</f>
        <v>0</v>
      </c>
    </row>
    <row r="442" spans="1:41" x14ac:dyDescent="0.2">
      <c r="A442">
        <f ca="1">ORÇAMENTO!C442</f>
        <v>3</v>
      </c>
      <c r="B442">
        <f ca="1">ORÇAMENTO!D442</f>
        <v>11</v>
      </c>
      <c r="C442" s="114" t="str">
        <f t="shared" ca="1" si="43"/>
        <v>F</v>
      </c>
      <c r="D442" s="117" t="str">
        <f ca="1">ORÇAMENTO!O442</f>
        <v>1.9.1.</v>
      </c>
      <c r="E442" s="163" t="str">
        <f t="shared" si="44"/>
        <v>INFRAESTRUTURA</v>
      </c>
      <c r="F442" s="164" t="str">
        <f ca="1">IF(RegimeExecucao="Global","",ORÇAMENTO.Unidade)</f>
        <v>-</v>
      </c>
      <c r="G442" s="122">
        <f ca="1">IF(RegimeExecucao="Global","",ORÇAMENTO!T442)</f>
        <v>0</v>
      </c>
      <c r="H442" s="122">
        <f ca="1">IF(RegimeExecucao="Global","",ORÇAMENTO!W442)</f>
        <v>0</v>
      </c>
      <c r="I442" s="125">
        <f ca="1">ORÇAMENTO!X442</f>
        <v>67473.7</v>
      </c>
      <c r="J442" s="333" cm="1">
        <f t="array" aca="1" ref="J442" ca="1">_xlfn.SINGLE(IF($A442="S",IF(CAIXA.Modo,BM.AFAnterior,BM.MEDAnterior),IF(AND(_xlfn.SINGLE(RegimeExecucao)="Global",$I442&gt;0,COUNTIF($AB$13:$AM$13,BM.medicao-1)&gt;0),M442/$I442*100,0)))</f>
        <v>0</v>
      </c>
      <c r="K442" s="122">
        <f t="shared" ca="1" si="45"/>
        <v>0</v>
      </c>
      <c r="L442" s="334" cm="1">
        <f t="array" aca="1" ref="L442" ca="1">_xlfn.SINGLE(IF($A442="S",IF(CAIXA.Modo,BM.AFAcumulado,BM.MEDAcumulado),IF(AND(_xlfn.SINGLE(RegimeExecucao)="Global",$I442&gt;0,COUNTIF($AB$13:$AM$13,BM.medicao)&gt;0),O442/$I442*100,0)))</f>
        <v>0</v>
      </c>
      <c r="M442" s="335">
        <f ca="1">IF($A442="S",VTOTALBM,IF($A442=0,0,ROUND(SomaAgrupBM,15-13*ORÇAMENTO!$AF$11)))</f>
        <v>0</v>
      </c>
      <c r="N442" s="336">
        <f t="shared" ca="1" si="46"/>
        <v>0</v>
      </c>
      <c r="O442" s="125">
        <f ca="1">IF($A442="S",VTOTALBM,IF($A442=0,0,ROUND(SomaAgrupBM,15-13*ORÇAMENTO!$AF$11)))</f>
        <v>0</v>
      </c>
      <c r="Q442" s="337"/>
      <c r="R442" s="338"/>
      <c r="T442" s="117" t="str">
        <f t="shared" ca="1" si="47"/>
        <v/>
      </c>
      <c r="U442" s="163" t="str">
        <f t="shared" ca="1" si="48"/>
        <v/>
      </c>
      <c r="V442" s="164" t="str">
        <f ca="1">IF(AND($W442&gt;0,RegimeExecucao="Unitário"),$F442,"")</f>
        <v/>
      </c>
      <c r="W442" s="454">
        <f ca="1">IF($Y442&gt;0,CHOOSE(MATCH(RegimeExecucao,{"Unitário","Global"},0),IF($A442="S",$Y442/$X442,""),($Y442/$X442)*100),0)</f>
        <v>0</v>
      </c>
      <c r="X442" s="339" t="str">
        <f ca="1">IF($Y442&gt;0,CHOOSE(MATCH(RegimeExecucao,{"Unitário","Global"},0),IF($A442="S",ROUND($H442,ORÇAMENTO!$AF$10),""),ROUND($I442,ORÇAMENTO!$AF$11)),"")</f>
        <v/>
      </c>
      <c r="Y442" s="339">
        <f t="shared" ca="1" si="49"/>
        <v>0</v>
      </c>
      <c r="Z442" s="473"/>
      <c r="AB442" s="337"/>
      <c r="AC442" s="437"/>
      <c r="AD442" s="437"/>
      <c r="AE442" s="437"/>
      <c r="AF442" s="437"/>
      <c r="AG442" s="437"/>
      <c r="AH442" s="437"/>
      <c r="AI442" s="437"/>
      <c r="AJ442" s="437"/>
      <c r="AK442" s="437"/>
      <c r="AL442" s="437"/>
      <c r="AM442" s="338"/>
      <c r="AO442">
        <f ca="1">IF($A442="S",IF(BM!$I442=0,0,CHOOSE(MATCH(RegimeExecucao,{"Global","Unitário"},0),ROUND(ROUND(BM.MEDAcumulado,15-13*BM!$A$9)/100*BM!$I442,15-13*ORÇAMENTO!$AF$11),ROUND(ROUND(BM.MEDAcumulado,15-13*BM!$A$9)*ROUND(BM!$H442,15-13*ORÇAMENTO!$AF$10),15-13*ORÇAMENTO!$AF$11))),IF($A442=0,0,ROUND(SomaAgrupBM,15-13*ORÇAMENTO!$AF$11)))</f>
        <v>0</v>
      </c>
    </row>
    <row r="443" spans="1:41" ht="25.5" x14ac:dyDescent="0.2">
      <c r="A443" t="str">
        <f ca="1">ORÇAMENTO!C443</f>
        <v>S</v>
      </c>
      <c r="B443">
        <f ca="1">ORÇAMENTO!D443</f>
        <v>0</v>
      </c>
      <c r="C443" s="114" t="str">
        <f t="shared" ca="1" si="43"/>
        <v>F</v>
      </c>
      <c r="D443" s="117" t="str">
        <f ca="1">ORÇAMENTO!O443</f>
        <v>1.9.1.0.1.</v>
      </c>
      <c r="E443" s="163" t="str">
        <f t="shared" ca="1" si="44"/>
        <v>ELETRODUTO DE AÇO GALVANIZADO LEVE, INCLUSIVE CONEXÕES, SUPORTES E FIXAÇÃO DN 25 (1")</v>
      </c>
      <c r="F443" s="164" t="str">
        <f ca="1">IF(RegimeExecucao="Global","",ORÇAMENTO.Unidade)</f>
        <v>M</v>
      </c>
      <c r="G443" s="122">
        <f ca="1">IF(RegimeExecucao="Global","",ORÇAMENTO!T443)</f>
        <v>144</v>
      </c>
      <c r="H443" s="122">
        <f ca="1">IF(RegimeExecucao="Global","",ORÇAMENTO!W443)</f>
        <v>37.770000000000003</v>
      </c>
      <c r="I443" s="125">
        <f ca="1">ORÇAMENTO!X443</f>
        <v>5438.88</v>
      </c>
      <c r="J443" s="333" cm="1">
        <f t="array" aca="1" ref="J443" ca="1">_xlfn.SINGLE(IF($A443="S",IF(CAIXA.Modo,BM.AFAnterior,BM.MEDAnterior),IF(AND(_xlfn.SINGLE(RegimeExecucao)="Global",$I443&gt;0,COUNTIF($AB$13:$AM$13,BM.medicao-1)&gt;0),M443/$I443*100,0)))</f>
        <v>0</v>
      </c>
      <c r="K443" s="122">
        <f t="shared" ca="1" si="45"/>
        <v>0</v>
      </c>
      <c r="L443" s="334" cm="1">
        <f t="array" aca="1" ref="L443" ca="1">_xlfn.SINGLE(IF($A443="S",IF(CAIXA.Modo,BM.AFAcumulado,BM.MEDAcumulado),IF(AND(_xlfn.SINGLE(RegimeExecucao)="Global",$I443&gt;0,COUNTIF($AB$13:$AM$13,BM.medicao)&gt;0),O443/$I443*100,0)))</f>
        <v>0</v>
      </c>
      <c r="M443" s="335">
        <f ca="1">IF($A443="S",VTOTALBM,IF($A443=0,0,ROUND(SomaAgrupBM,15-13*ORÇAMENTO!$AF$11)))</f>
        <v>0</v>
      </c>
      <c r="N443" s="336">
        <f t="shared" ca="1" si="46"/>
        <v>0</v>
      </c>
      <c r="O443" s="125">
        <f ca="1">IF($A443="S",VTOTALBM,IF($A443=0,0,ROUND(SomaAgrupBM,15-13*ORÇAMENTO!$AF$11)))</f>
        <v>0</v>
      </c>
      <c r="Q443" s="337"/>
      <c r="R443" s="338"/>
      <c r="T443" s="117" t="str">
        <f t="shared" ca="1" si="47"/>
        <v/>
      </c>
      <c r="U443" s="163" t="str">
        <f t="shared" ca="1" si="48"/>
        <v/>
      </c>
      <c r="V443" s="164" t="str">
        <f ca="1">IF(AND($W443&gt;0,RegimeExecucao="Unitário"),$F443,"")</f>
        <v/>
      </c>
      <c r="W443" s="454">
        <f ca="1">IF($Y443&gt;0,CHOOSE(MATCH(RegimeExecucao,{"Unitário","Global"},0),IF($A443="S",$Y443/$X443,""),($Y443/$X443)*100),0)</f>
        <v>0</v>
      </c>
      <c r="X443" s="339" t="str">
        <f ca="1">IF($Y443&gt;0,CHOOSE(MATCH(RegimeExecucao,{"Unitário","Global"},0),IF($A443="S",ROUND($H443,ORÇAMENTO!$AF$10),""),ROUND($I443,ORÇAMENTO!$AF$11)),"")</f>
        <v/>
      </c>
      <c r="Y443" s="339">
        <f t="shared" ca="1" si="49"/>
        <v>0</v>
      </c>
      <c r="Z443" s="473"/>
      <c r="AB443" s="337"/>
      <c r="AC443" s="437"/>
      <c r="AD443" s="437"/>
      <c r="AE443" s="437"/>
      <c r="AF443" s="437"/>
      <c r="AG443" s="437"/>
      <c r="AH443" s="437"/>
      <c r="AI443" s="437"/>
      <c r="AJ443" s="437"/>
      <c r="AK443" s="437"/>
      <c r="AL443" s="437"/>
      <c r="AM443" s="338"/>
      <c r="AO443">
        <f ca="1">IF($A443="S",IF(BM!$I443=0,0,CHOOSE(MATCH(RegimeExecucao,{"Global","Unitário"},0),ROUND(ROUND(BM.MEDAcumulado,15-13*BM!$A$9)/100*BM!$I443,15-13*ORÇAMENTO!$AF$11),ROUND(ROUND(BM.MEDAcumulado,15-13*BM!$A$9)*ROUND(BM!$H443,15-13*ORÇAMENTO!$AF$10),15-13*ORÇAMENTO!$AF$11))),IF($A443=0,0,ROUND(SomaAgrupBM,15-13*ORÇAMENTO!$AF$11)))</f>
        <v>0</v>
      </c>
    </row>
    <row r="444" spans="1:41" ht="25.5" x14ac:dyDescent="0.2">
      <c r="A444" t="str">
        <f ca="1">ORÇAMENTO!C444</f>
        <v>S</v>
      </c>
      <c r="B444">
        <f ca="1">ORÇAMENTO!D444</f>
        <v>0</v>
      </c>
      <c r="C444" s="114" t="str">
        <f t="shared" ca="1" si="43"/>
        <v>F</v>
      </c>
      <c r="D444" s="117" t="str">
        <f ca="1">ORÇAMENTO!O444</f>
        <v>1.9.1.0.2.</v>
      </c>
      <c r="E444" s="163" t="str">
        <f t="shared" ca="1" si="44"/>
        <v>ELETRODUTO DE AÇO GALVANIZADO MÉDIO, INCLUSIVE CONEXÕES, SUPORTES E FIXAÇÃO DN 40 (1.1/2")</v>
      </c>
      <c r="F444" s="164" t="str">
        <f ca="1">IF(RegimeExecucao="Global","",ORÇAMENTO.Unidade)</f>
        <v>M</v>
      </c>
      <c r="G444" s="122">
        <f ca="1">IF(RegimeExecucao="Global","",ORÇAMENTO!T444)</f>
        <v>4</v>
      </c>
      <c r="H444" s="122">
        <f ca="1">IF(RegimeExecucao="Global","",ORÇAMENTO!W444)</f>
        <v>62.23</v>
      </c>
      <c r="I444" s="125">
        <f ca="1">ORÇAMENTO!X444</f>
        <v>248.92</v>
      </c>
      <c r="J444" s="333" cm="1">
        <f t="array" aca="1" ref="J444" ca="1">_xlfn.SINGLE(IF($A444="S",IF(CAIXA.Modo,BM.AFAnterior,BM.MEDAnterior),IF(AND(_xlfn.SINGLE(RegimeExecucao)="Global",$I444&gt;0,COUNTIF($AB$13:$AM$13,BM.medicao-1)&gt;0),M444/$I444*100,0)))</f>
        <v>0</v>
      </c>
      <c r="K444" s="122">
        <f t="shared" ca="1" si="45"/>
        <v>0</v>
      </c>
      <c r="L444" s="334" cm="1">
        <f t="array" aca="1" ref="L444" ca="1">_xlfn.SINGLE(IF($A444="S",IF(CAIXA.Modo,BM.AFAcumulado,BM.MEDAcumulado),IF(AND(_xlfn.SINGLE(RegimeExecucao)="Global",$I444&gt;0,COUNTIF($AB$13:$AM$13,BM.medicao)&gt;0),O444/$I444*100,0)))</f>
        <v>0</v>
      </c>
      <c r="M444" s="335">
        <f ca="1">IF($A444="S",VTOTALBM,IF($A444=0,0,ROUND(SomaAgrupBM,15-13*ORÇAMENTO!$AF$11)))</f>
        <v>0</v>
      </c>
      <c r="N444" s="336">
        <f t="shared" ca="1" si="46"/>
        <v>0</v>
      </c>
      <c r="O444" s="125">
        <f ca="1">IF($A444="S",VTOTALBM,IF($A444=0,0,ROUND(SomaAgrupBM,15-13*ORÇAMENTO!$AF$11)))</f>
        <v>0</v>
      </c>
      <c r="Q444" s="337"/>
      <c r="R444" s="338"/>
      <c r="T444" s="117" t="str">
        <f t="shared" ca="1" si="47"/>
        <v/>
      </c>
      <c r="U444" s="163" t="str">
        <f t="shared" ca="1" si="48"/>
        <v/>
      </c>
      <c r="V444" s="164" t="str">
        <f ca="1">IF(AND($W444&gt;0,RegimeExecucao="Unitário"),$F444,"")</f>
        <v/>
      </c>
      <c r="W444" s="454">
        <f ca="1">IF($Y444&gt;0,CHOOSE(MATCH(RegimeExecucao,{"Unitário","Global"},0),IF($A444="S",$Y444/$X444,""),($Y444/$X444)*100),0)</f>
        <v>0</v>
      </c>
      <c r="X444" s="339" t="str">
        <f ca="1">IF($Y444&gt;0,CHOOSE(MATCH(RegimeExecucao,{"Unitário","Global"},0),IF($A444="S",ROUND($H444,ORÇAMENTO!$AF$10),""),ROUND($I444,ORÇAMENTO!$AF$11)),"")</f>
        <v/>
      </c>
      <c r="Y444" s="339">
        <f t="shared" ca="1" si="49"/>
        <v>0</v>
      </c>
      <c r="Z444" s="473"/>
      <c r="AB444" s="337"/>
      <c r="AC444" s="437"/>
      <c r="AD444" s="437"/>
      <c r="AE444" s="437"/>
      <c r="AF444" s="437"/>
      <c r="AG444" s="437"/>
      <c r="AH444" s="437"/>
      <c r="AI444" s="437"/>
      <c r="AJ444" s="437"/>
      <c r="AK444" s="437"/>
      <c r="AL444" s="437"/>
      <c r="AM444" s="338"/>
      <c r="AO444">
        <f ca="1">IF($A444="S",IF(BM!$I444=0,0,CHOOSE(MATCH(RegimeExecucao,{"Global","Unitário"},0),ROUND(ROUND(BM.MEDAcumulado,15-13*BM!$A$9)/100*BM!$I444,15-13*ORÇAMENTO!$AF$11),ROUND(ROUND(BM.MEDAcumulado,15-13*BM!$A$9)*ROUND(BM!$H444,15-13*ORÇAMENTO!$AF$10),15-13*ORÇAMENTO!$AF$11))),IF($A444=0,0,ROUND(SomaAgrupBM,15-13*ORÇAMENTO!$AF$11)))</f>
        <v>0</v>
      </c>
    </row>
    <row r="445" spans="1:41" ht="38.25" x14ac:dyDescent="0.2">
      <c r="A445" t="str">
        <f ca="1">ORÇAMENTO!C445</f>
        <v>S</v>
      </c>
      <c r="B445">
        <f ca="1">ORÇAMENTO!D445</f>
        <v>0</v>
      </c>
      <c r="C445" s="114" t="str">
        <f t="shared" ca="1" si="43"/>
        <v>F</v>
      </c>
      <c r="D445" s="117" t="str">
        <f ca="1">ORÇAMENTO!O445</f>
        <v>1.9.1.0.3.</v>
      </c>
      <c r="E445" s="163" t="str">
        <f t="shared" ca="1" si="44"/>
        <v>CONDULETE DE ALUMÍNIO, TIPO T, PARA ELETRODUTO DE AÇO GALVANIZADO DN 25 MM (1''), APARENTE - FORNECIMENTO E INSTALAÇÃO. AF_10/2022</v>
      </c>
      <c r="F445" s="164" t="str">
        <f ca="1">IF(RegimeExecucao="Global","",ORÇAMENTO.Unidade)</f>
        <v>UN</v>
      </c>
      <c r="G445" s="122">
        <f ca="1">IF(RegimeExecucao="Global","",ORÇAMENTO!T445)</f>
        <v>13</v>
      </c>
      <c r="H445" s="122">
        <f ca="1">IF(RegimeExecucao="Global","",ORÇAMENTO!W445)</f>
        <v>70.12</v>
      </c>
      <c r="I445" s="125">
        <f ca="1">ORÇAMENTO!X445</f>
        <v>911.56</v>
      </c>
      <c r="J445" s="333" cm="1">
        <f t="array" aca="1" ref="J445" ca="1">_xlfn.SINGLE(IF($A445="S",IF(CAIXA.Modo,BM.AFAnterior,BM.MEDAnterior),IF(AND(_xlfn.SINGLE(RegimeExecucao)="Global",$I445&gt;0,COUNTIF($AB$13:$AM$13,BM.medicao-1)&gt;0),M445/$I445*100,0)))</f>
        <v>0</v>
      </c>
      <c r="K445" s="122">
        <f t="shared" ca="1" si="45"/>
        <v>0</v>
      </c>
      <c r="L445" s="334" cm="1">
        <f t="array" aca="1" ref="L445" ca="1">_xlfn.SINGLE(IF($A445="S",IF(CAIXA.Modo,BM.AFAcumulado,BM.MEDAcumulado),IF(AND(_xlfn.SINGLE(RegimeExecucao)="Global",$I445&gt;0,COUNTIF($AB$13:$AM$13,BM.medicao)&gt;0),O445/$I445*100,0)))</f>
        <v>0</v>
      </c>
      <c r="M445" s="335">
        <f ca="1">IF($A445="S",VTOTALBM,IF($A445=0,0,ROUND(SomaAgrupBM,15-13*ORÇAMENTO!$AF$11)))</f>
        <v>0</v>
      </c>
      <c r="N445" s="336">
        <f t="shared" ca="1" si="46"/>
        <v>0</v>
      </c>
      <c r="O445" s="125">
        <f ca="1">IF($A445="S",VTOTALBM,IF($A445=0,0,ROUND(SomaAgrupBM,15-13*ORÇAMENTO!$AF$11)))</f>
        <v>0</v>
      </c>
      <c r="Q445" s="337"/>
      <c r="R445" s="338"/>
      <c r="T445" s="117" t="str">
        <f t="shared" ca="1" si="47"/>
        <v/>
      </c>
      <c r="U445" s="163" t="str">
        <f t="shared" ca="1" si="48"/>
        <v/>
      </c>
      <c r="V445" s="164" t="str">
        <f ca="1">IF(AND($W445&gt;0,RegimeExecucao="Unitário"),$F445,"")</f>
        <v/>
      </c>
      <c r="W445" s="454">
        <f ca="1">IF($Y445&gt;0,CHOOSE(MATCH(RegimeExecucao,{"Unitário","Global"},0),IF($A445="S",$Y445/$X445,""),($Y445/$X445)*100),0)</f>
        <v>0</v>
      </c>
      <c r="X445" s="339" t="str">
        <f ca="1">IF($Y445&gt;0,CHOOSE(MATCH(RegimeExecucao,{"Unitário","Global"},0),IF($A445="S",ROUND($H445,ORÇAMENTO!$AF$10),""),ROUND($I445,ORÇAMENTO!$AF$11)),"")</f>
        <v/>
      </c>
      <c r="Y445" s="339">
        <f t="shared" ca="1" si="49"/>
        <v>0</v>
      </c>
      <c r="Z445" s="473"/>
      <c r="AB445" s="337"/>
      <c r="AC445" s="437"/>
      <c r="AD445" s="437"/>
      <c r="AE445" s="437"/>
      <c r="AF445" s="437"/>
      <c r="AG445" s="437"/>
      <c r="AH445" s="437"/>
      <c r="AI445" s="437"/>
      <c r="AJ445" s="437"/>
      <c r="AK445" s="437"/>
      <c r="AL445" s="437"/>
      <c r="AM445" s="338"/>
      <c r="AO445">
        <f ca="1">IF($A445="S",IF(BM!$I445=0,0,CHOOSE(MATCH(RegimeExecucao,{"Global","Unitário"},0),ROUND(ROUND(BM.MEDAcumulado,15-13*BM!$A$9)/100*BM!$I445,15-13*ORÇAMENTO!$AF$11),ROUND(ROUND(BM.MEDAcumulado,15-13*BM!$A$9)*ROUND(BM!$H445,15-13*ORÇAMENTO!$AF$10),15-13*ORÇAMENTO!$AF$11))),IF($A445=0,0,ROUND(SomaAgrupBM,15-13*ORÇAMENTO!$AF$11)))</f>
        <v>0</v>
      </c>
    </row>
    <row r="446" spans="1:41" ht="25.5" x14ac:dyDescent="0.2">
      <c r="A446" t="str">
        <f ca="1">ORÇAMENTO!C446</f>
        <v>S</v>
      </c>
      <c r="B446">
        <f ca="1">ORÇAMENTO!D446</f>
        <v>0</v>
      </c>
      <c r="C446" s="114" t="str">
        <f t="shared" ca="1" si="43"/>
        <v>F</v>
      </c>
      <c r="D446" s="117" t="str">
        <f ca="1">ORÇAMENTO!O446</f>
        <v>1.9.1.0.4.</v>
      </c>
      <c r="E446" s="163" t="str">
        <f t="shared" ca="1" si="44"/>
        <v>CONDULETE DE ALUMÍNIO, TIPO "T", DIÂMETRO DE SAÍDA 1.1/2" (40MM), EXCLUSIVE MÓDULO E PLACA, INCLUSIVE FIXAÇÃO</v>
      </c>
      <c r="F446" s="164" t="str">
        <f ca="1">IF(RegimeExecucao="Global","",ORÇAMENTO.Unidade)</f>
        <v>UN</v>
      </c>
      <c r="G446" s="122">
        <f ca="1">IF(RegimeExecucao="Global","",ORÇAMENTO!T446)</f>
        <v>1</v>
      </c>
      <c r="H446" s="122">
        <f ca="1">IF(RegimeExecucao="Global","",ORÇAMENTO!W446)</f>
        <v>83.65</v>
      </c>
      <c r="I446" s="125">
        <f ca="1">ORÇAMENTO!X446</f>
        <v>83.65</v>
      </c>
      <c r="J446" s="333" cm="1">
        <f t="array" aca="1" ref="J446" ca="1">_xlfn.SINGLE(IF($A446="S",IF(CAIXA.Modo,BM.AFAnterior,BM.MEDAnterior),IF(AND(_xlfn.SINGLE(RegimeExecucao)="Global",$I446&gt;0,COUNTIF($AB$13:$AM$13,BM.medicao-1)&gt;0),M446/$I446*100,0)))</f>
        <v>0</v>
      </c>
      <c r="K446" s="122">
        <f t="shared" ca="1" si="45"/>
        <v>0</v>
      </c>
      <c r="L446" s="334" cm="1">
        <f t="array" aca="1" ref="L446" ca="1">_xlfn.SINGLE(IF($A446="S",IF(CAIXA.Modo,BM.AFAcumulado,BM.MEDAcumulado),IF(AND(_xlfn.SINGLE(RegimeExecucao)="Global",$I446&gt;0,COUNTIF($AB$13:$AM$13,BM.medicao)&gt;0),O446/$I446*100,0)))</f>
        <v>0</v>
      </c>
      <c r="M446" s="335">
        <f ca="1">IF($A446="S",VTOTALBM,IF($A446=0,0,ROUND(SomaAgrupBM,15-13*ORÇAMENTO!$AF$11)))</f>
        <v>0</v>
      </c>
      <c r="N446" s="336">
        <f t="shared" ca="1" si="46"/>
        <v>0</v>
      </c>
      <c r="O446" s="125">
        <f ca="1">IF($A446="S",VTOTALBM,IF($A446=0,0,ROUND(SomaAgrupBM,15-13*ORÇAMENTO!$AF$11)))</f>
        <v>0</v>
      </c>
      <c r="Q446" s="337"/>
      <c r="R446" s="338"/>
      <c r="T446" s="117" t="str">
        <f t="shared" ca="1" si="47"/>
        <v/>
      </c>
      <c r="U446" s="163" t="str">
        <f t="shared" ca="1" si="48"/>
        <v/>
      </c>
      <c r="V446" s="164" t="str">
        <f ca="1">IF(AND($W446&gt;0,RegimeExecucao="Unitário"),$F446,"")</f>
        <v/>
      </c>
      <c r="W446" s="454">
        <f ca="1">IF($Y446&gt;0,CHOOSE(MATCH(RegimeExecucao,{"Unitário","Global"},0),IF($A446="S",$Y446/$X446,""),($Y446/$X446)*100),0)</f>
        <v>0</v>
      </c>
      <c r="X446" s="339" t="str">
        <f ca="1">IF($Y446&gt;0,CHOOSE(MATCH(RegimeExecucao,{"Unitário","Global"},0),IF($A446="S",ROUND($H446,ORÇAMENTO!$AF$10),""),ROUND($I446,ORÇAMENTO!$AF$11)),"")</f>
        <v/>
      </c>
      <c r="Y446" s="339">
        <f t="shared" ca="1" si="49"/>
        <v>0</v>
      </c>
      <c r="Z446" s="473"/>
      <c r="AB446" s="337"/>
      <c r="AC446" s="437"/>
      <c r="AD446" s="437"/>
      <c r="AE446" s="437"/>
      <c r="AF446" s="437"/>
      <c r="AG446" s="437"/>
      <c r="AH446" s="437"/>
      <c r="AI446" s="437"/>
      <c r="AJ446" s="437"/>
      <c r="AK446" s="437"/>
      <c r="AL446" s="437"/>
      <c r="AM446" s="338"/>
      <c r="AO446">
        <f ca="1">IF($A446="S",IF(BM!$I446=0,0,CHOOSE(MATCH(RegimeExecucao,{"Global","Unitário"},0),ROUND(ROUND(BM.MEDAcumulado,15-13*BM!$A$9)/100*BM!$I446,15-13*ORÇAMENTO!$AF$11),ROUND(ROUND(BM.MEDAcumulado,15-13*BM!$A$9)*ROUND(BM!$H446,15-13*ORÇAMENTO!$AF$10),15-13*ORÇAMENTO!$AF$11))),IF($A446=0,0,ROUND(SomaAgrupBM,15-13*ORÇAMENTO!$AF$11)))</f>
        <v>0</v>
      </c>
    </row>
    <row r="447" spans="1:41" ht="38.25" x14ac:dyDescent="0.2">
      <c r="A447" t="str">
        <f ca="1">ORÇAMENTO!C447</f>
        <v>S</v>
      </c>
      <c r="B447">
        <f ca="1">ORÇAMENTO!D447</f>
        <v>0</v>
      </c>
      <c r="C447" s="114" t="str">
        <f t="shared" ca="1" si="43"/>
        <v>F</v>
      </c>
      <c r="D447" s="117" t="str">
        <f ca="1">ORÇAMENTO!O447</f>
        <v>1.9.1.0.5.</v>
      </c>
      <c r="E447" s="163" t="str">
        <f t="shared" ca="1" si="44"/>
        <v>CONDULETE DE ALUMÍNIO, TIPO LR, PARA ELETRODUTO DE AÇO GALVANIZADO DN 25 MM (1''), APARENTE - FORNECIMENTO E INSTALAÇÃO. AF_10/2022</v>
      </c>
      <c r="F447" s="164" t="str">
        <f ca="1">IF(RegimeExecucao="Global","",ORÇAMENTO.Unidade)</f>
        <v>UN</v>
      </c>
      <c r="G447" s="122">
        <f ca="1">IF(RegimeExecucao="Global","",ORÇAMENTO!T447)</f>
        <v>17</v>
      </c>
      <c r="H447" s="122">
        <f ca="1">IF(RegimeExecucao="Global","",ORÇAMENTO!W447)</f>
        <v>59.65</v>
      </c>
      <c r="I447" s="125">
        <f ca="1">ORÇAMENTO!X447</f>
        <v>1014.05</v>
      </c>
      <c r="J447" s="333" cm="1">
        <f t="array" aca="1" ref="J447" ca="1">_xlfn.SINGLE(IF($A447="S",IF(CAIXA.Modo,BM.AFAnterior,BM.MEDAnterior),IF(AND(_xlfn.SINGLE(RegimeExecucao)="Global",$I447&gt;0,COUNTIF($AB$13:$AM$13,BM.medicao-1)&gt;0),M447/$I447*100,0)))</f>
        <v>0</v>
      </c>
      <c r="K447" s="122">
        <f t="shared" ca="1" si="45"/>
        <v>0</v>
      </c>
      <c r="L447" s="334" cm="1">
        <f t="array" aca="1" ref="L447" ca="1">_xlfn.SINGLE(IF($A447="S",IF(CAIXA.Modo,BM.AFAcumulado,BM.MEDAcumulado),IF(AND(_xlfn.SINGLE(RegimeExecucao)="Global",$I447&gt;0,COUNTIF($AB$13:$AM$13,BM.medicao)&gt;0),O447/$I447*100,0)))</f>
        <v>0</v>
      </c>
      <c r="M447" s="335">
        <f ca="1">IF($A447="S",VTOTALBM,IF($A447=0,0,ROUND(SomaAgrupBM,15-13*ORÇAMENTO!$AF$11)))</f>
        <v>0</v>
      </c>
      <c r="N447" s="336">
        <f t="shared" ca="1" si="46"/>
        <v>0</v>
      </c>
      <c r="O447" s="125">
        <f ca="1">IF($A447="S",VTOTALBM,IF($A447=0,0,ROUND(SomaAgrupBM,15-13*ORÇAMENTO!$AF$11)))</f>
        <v>0</v>
      </c>
      <c r="Q447" s="337"/>
      <c r="R447" s="338"/>
      <c r="T447" s="117" t="str">
        <f t="shared" ca="1" si="47"/>
        <v/>
      </c>
      <c r="U447" s="163" t="str">
        <f t="shared" ca="1" si="48"/>
        <v/>
      </c>
      <c r="V447" s="164" t="str">
        <f ca="1">IF(AND($W447&gt;0,RegimeExecucao="Unitário"),$F447,"")</f>
        <v/>
      </c>
      <c r="W447" s="454">
        <f ca="1">IF($Y447&gt;0,CHOOSE(MATCH(RegimeExecucao,{"Unitário","Global"},0),IF($A447="S",$Y447/$X447,""),($Y447/$X447)*100),0)</f>
        <v>0</v>
      </c>
      <c r="X447" s="339" t="str">
        <f ca="1">IF($Y447&gt;0,CHOOSE(MATCH(RegimeExecucao,{"Unitário","Global"},0),IF($A447="S",ROUND($H447,ORÇAMENTO!$AF$10),""),ROUND($I447,ORÇAMENTO!$AF$11)),"")</f>
        <v/>
      </c>
      <c r="Y447" s="339">
        <f t="shared" ca="1" si="49"/>
        <v>0</v>
      </c>
      <c r="Z447" s="473"/>
      <c r="AB447" s="337"/>
      <c r="AC447" s="437"/>
      <c r="AD447" s="437"/>
      <c r="AE447" s="437"/>
      <c r="AF447" s="437"/>
      <c r="AG447" s="437"/>
      <c r="AH447" s="437"/>
      <c r="AI447" s="437"/>
      <c r="AJ447" s="437"/>
      <c r="AK447" s="437"/>
      <c r="AL447" s="437"/>
      <c r="AM447" s="338"/>
      <c r="AO447">
        <f ca="1">IF($A447="S",IF(BM!$I447=0,0,CHOOSE(MATCH(RegimeExecucao,{"Global","Unitário"},0),ROUND(ROUND(BM.MEDAcumulado,15-13*BM!$A$9)/100*BM!$I447,15-13*ORÇAMENTO!$AF$11),ROUND(ROUND(BM.MEDAcumulado,15-13*BM!$A$9)*ROUND(BM!$H447,15-13*ORÇAMENTO!$AF$10),15-13*ORÇAMENTO!$AF$11))),IF($A447=0,0,ROUND(SomaAgrupBM,15-13*ORÇAMENTO!$AF$11)))</f>
        <v>0</v>
      </c>
    </row>
    <row r="448" spans="1:41" ht="25.5" x14ac:dyDescent="0.2">
      <c r="A448" t="str">
        <f ca="1">ORÇAMENTO!C448</f>
        <v>S</v>
      </c>
      <c r="B448">
        <f ca="1">ORÇAMENTO!D448</f>
        <v>0</v>
      </c>
      <c r="C448" s="114" t="str">
        <f t="shared" ca="1" si="43"/>
        <v>F</v>
      </c>
      <c r="D448" s="117" t="str">
        <f ca="1">ORÇAMENTO!O448</f>
        <v>1.9.1.0.6.</v>
      </c>
      <c r="E448" s="163" t="str">
        <f t="shared" ca="1" si="44"/>
        <v>CONDULETE DE ALUMÍNIO, TIPO "LR", DIÂMETRO DE SAÍDA 1.1/2" (40MM), EXCLUSIVE MÓDULO E PLACA, INCLUSIVE FIXAÇÃO</v>
      </c>
      <c r="F448" s="164" t="str">
        <f ca="1">IF(RegimeExecucao="Global","",ORÇAMENTO.Unidade)</f>
        <v>UN</v>
      </c>
      <c r="G448" s="122">
        <f ca="1">IF(RegimeExecucao="Global","",ORÇAMENTO!T448)</f>
        <v>1</v>
      </c>
      <c r="H448" s="122">
        <f ca="1">IF(RegimeExecucao="Global","",ORÇAMENTO!W448)</f>
        <v>75.66</v>
      </c>
      <c r="I448" s="125">
        <f ca="1">ORÇAMENTO!X448</f>
        <v>75.66</v>
      </c>
      <c r="J448" s="333" cm="1">
        <f t="array" aca="1" ref="J448" ca="1">_xlfn.SINGLE(IF($A448="S",IF(CAIXA.Modo,BM.AFAnterior,BM.MEDAnterior),IF(AND(_xlfn.SINGLE(RegimeExecucao)="Global",$I448&gt;0,COUNTIF($AB$13:$AM$13,BM.medicao-1)&gt;0),M448/$I448*100,0)))</f>
        <v>0</v>
      </c>
      <c r="K448" s="122">
        <f t="shared" ca="1" si="45"/>
        <v>0</v>
      </c>
      <c r="L448" s="334" cm="1">
        <f t="array" aca="1" ref="L448" ca="1">_xlfn.SINGLE(IF($A448="S",IF(CAIXA.Modo,BM.AFAcumulado,BM.MEDAcumulado),IF(AND(_xlfn.SINGLE(RegimeExecucao)="Global",$I448&gt;0,COUNTIF($AB$13:$AM$13,BM.medicao)&gt;0),O448/$I448*100,0)))</f>
        <v>0</v>
      </c>
      <c r="M448" s="335">
        <f ca="1">IF($A448="S",VTOTALBM,IF($A448=0,0,ROUND(SomaAgrupBM,15-13*ORÇAMENTO!$AF$11)))</f>
        <v>0</v>
      </c>
      <c r="N448" s="336">
        <f t="shared" ca="1" si="46"/>
        <v>0</v>
      </c>
      <c r="O448" s="125">
        <f ca="1">IF($A448="S",VTOTALBM,IF($A448=0,0,ROUND(SomaAgrupBM,15-13*ORÇAMENTO!$AF$11)))</f>
        <v>0</v>
      </c>
      <c r="Q448" s="337"/>
      <c r="R448" s="338"/>
      <c r="T448" s="117" t="str">
        <f t="shared" ca="1" si="47"/>
        <v/>
      </c>
      <c r="U448" s="163" t="str">
        <f t="shared" ca="1" si="48"/>
        <v/>
      </c>
      <c r="V448" s="164" t="str">
        <f ca="1">IF(AND($W448&gt;0,RegimeExecucao="Unitário"),$F448,"")</f>
        <v/>
      </c>
      <c r="W448" s="454">
        <f ca="1">IF($Y448&gt;0,CHOOSE(MATCH(RegimeExecucao,{"Unitário","Global"},0),IF($A448="S",$Y448/$X448,""),($Y448/$X448)*100),0)</f>
        <v>0</v>
      </c>
      <c r="X448" s="339" t="str">
        <f ca="1">IF($Y448&gt;0,CHOOSE(MATCH(RegimeExecucao,{"Unitário","Global"},0),IF($A448="S",ROUND($H448,ORÇAMENTO!$AF$10),""),ROUND($I448,ORÇAMENTO!$AF$11)),"")</f>
        <v/>
      </c>
      <c r="Y448" s="339">
        <f t="shared" ca="1" si="49"/>
        <v>0</v>
      </c>
      <c r="Z448" s="473"/>
      <c r="AB448" s="337"/>
      <c r="AC448" s="437"/>
      <c r="AD448" s="437"/>
      <c r="AE448" s="437"/>
      <c r="AF448" s="437"/>
      <c r="AG448" s="437"/>
      <c r="AH448" s="437"/>
      <c r="AI448" s="437"/>
      <c r="AJ448" s="437"/>
      <c r="AK448" s="437"/>
      <c r="AL448" s="437"/>
      <c r="AM448" s="338"/>
      <c r="AO448">
        <f ca="1">IF($A448="S",IF(BM!$I448=0,0,CHOOSE(MATCH(RegimeExecucao,{"Global","Unitário"},0),ROUND(ROUND(BM.MEDAcumulado,15-13*BM!$A$9)/100*BM!$I448,15-13*ORÇAMENTO!$AF$11),ROUND(ROUND(BM.MEDAcumulado,15-13*BM!$A$9)*ROUND(BM!$H448,15-13*ORÇAMENTO!$AF$10),15-13*ORÇAMENTO!$AF$11))),IF($A448=0,0,ROUND(SomaAgrupBM,15-13*ORÇAMENTO!$AF$11)))</f>
        <v>0</v>
      </c>
    </row>
    <row r="449" spans="1:41" ht="25.5" x14ac:dyDescent="0.2">
      <c r="A449" t="str">
        <f ca="1">ORÇAMENTO!C449</f>
        <v>S</v>
      </c>
      <c r="B449">
        <f ca="1">ORÇAMENTO!D449</f>
        <v>0</v>
      </c>
      <c r="C449" s="114" t="str">
        <f t="shared" ca="1" si="43"/>
        <v>F</v>
      </c>
      <c r="D449" s="117" t="str">
        <f ca="1">ORÇAMENTO!O449</f>
        <v>1.9.1.0.7.</v>
      </c>
      <c r="E449" s="163" t="str">
        <f t="shared" ca="1" si="44"/>
        <v>CONDULETE DE ALUMÍNIO, TIPO "X", DIÂMETRO DE SAÍDA 1" (25MM), EXCLUSIVE MÓDULO E PLACA, INCLUSIVE FIXAÇÃO</v>
      </c>
      <c r="F449" s="164" t="str">
        <f ca="1">IF(RegimeExecucao="Global","",ORÇAMENTO.Unidade)</f>
        <v>UN</v>
      </c>
      <c r="G449" s="122">
        <f ca="1">IF(RegimeExecucao="Global","",ORÇAMENTO!T449)</f>
        <v>28</v>
      </c>
      <c r="H449" s="122">
        <f ca="1">IF(RegimeExecucao="Global","",ORÇAMENTO!W449)</f>
        <v>61.32</v>
      </c>
      <c r="I449" s="125">
        <f ca="1">ORÇAMENTO!X449</f>
        <v>1716.96</v>
      </c>
      <c r="J449" s="333" cm="1">
        <f t="array" aca="1" ref="J449" ca="1">_xlfn.SINGLE(IF($A449="S",IF(CAIXA.Modo,BM.AFAnterior,BM.MEDAnterior),IF(AND(_xlfn.SINGLE(RegimeExecucao)="Global",$I449&gt;0,COUNTIF($AB$13:$AM$13,BM.medicao-1)&gt;0),M449/$I449*100,0)))</f>
        <v>0</v>
      </c>
      <c r="K449" s="122">
        <f t="shared" ca="1" si="45"/>
        <v>0</v>
      </c>
      <c r="L449" s="334" cm="1">
        <f t="array" aca="1" ref="L449" ca="1">_xlfn.SINGLE(IF($A449="S",IF(CAIXA.Modo,BM.AFAcumulado,BM.MEDAcumulado),IF(AND(_xlfn.SINGLE(RegimeExecucao)="Global",$I449&gt;0,COUNTIF($AB$13:$AM$13,BM.medicao)&gt;0),O449/$I449*100,0)))</f>
        <v>0</v>
      </c>
      <c r="M449" s="335">
        <f ca="1">IF($A449="S",VTOTALBM,IF($A449=0,0,ROUND(SomaAgrupBM,15-13*ORÇAMENTO!$AF$11)))</f>
        <v>0</v>
      </c>
      <c r="N449" s="336">
        <f t="shared" ca="1" si="46"/>
        <v>0</v>
      </c>
      <c r="O449" s="125">
        <f ca="1">IF($A449="S",VTOTALBM,IF($A449=0,0,ROUND(SomaAgrupBM,15-13*ORÇAMENTO!$AF$11)))</f>
        <v>0</v>
      </c>
      <c r="Q449" s="337"/>
      <c r="R449" s="338"/>
      <c r="T449" s="117" t="str">
        <f t="shared" ca="1" si="47"/>
        <v/>
      </c>
      <c r="U449" s="163" t="str">
        <f t="shared" ca="1" si="48"/>
        <v/>
      </c>
      <c r="V449" s="164" t="str">
        <f ca="1">IF(AND($W449&gt;0,RegimeExecucao="Unitário"),$F449,"")</f>
        <v/>
      </c>
      <c r="W449" s="454">
        <f ca="1">IF($Y449&gt;0,CHOOSE(MATCH(RegimeExecucao,{"Unitário","Global"},0),IF($A449="S",$Y449/$X449,""),($Y449/$X449)*100),0)</f>
        <v>0</v>
      </c>
      <c r="X449" s="339" t="str">
        <f ca="1">IF($Y449&gt;0,CHOOSE(MATCH(RegimeExecucao,{"Unitário","Global"},0),IF($A449="S",ROUND($H449,ORÇAMENTO!$AF$10),""),ROUND($I449,ORÇAMENTO!$AF$11)),"")</f>
        <v/>
      </c>
      <c r="Y449" s="339">
        <f t="shared" ca="1" si="49"/>
        <v>0</v>
      </c>
      <c r="Z449" s="473"/>
      <c r="AB449" s="337"/>
      <c r="AC449" s="437"/>
      <c r="AD449" s="437"/>
      <c r="AE449" s="437"/>
      <c r="AF449" s="437"/>
      <c r="AG449" s="437"/>
      <c r="AH449" s="437"/>
      <c r="AI449" s="437"/>
      <c r="AJ449" s="437"/>
      <c r="AK449" s="437"/>
      <c r="AL449" s="437"/>
      <c r="AM449" s="338"/>
      <c r="AO449">
        <f ca="1">IF($A449="S",IF(BM!$I449=0,0,CHOOSE(MATCH(RegimeExecucao,{"Global","Unitário"},0),ROUND(ROUND(BM.MEDAcumulado,15-13*BM!$A$9)/100*BM!$I449,15-13*ORÇAMENTO!$AF$11),ROUND(ROUND(BM.MEDAcumulado,15-13*BM!$A$9)*ROUND(BM!$H449,15-13*ORÇAMENTO!$AF$10),15-13*ORÇAMENTO!$AF$11))),IF($A449=0,0,ROUND(SomaAgrupBM,15-13*ORÇAMENTO!$AF$11)))</f>
        <v>0</v>
      </c>
    </row>
    <row r="450" spans="1:41" ht="25.5" x14ac:dyDescent="0.2">
      <c r="A450" t="str">
        <f ca="1">ORÇAMENTO!C450</f>
        <v>S</v>
      </c>
      <c r="B450">
        <f ca="1">ORÇAMENTO!D450</f>
        <v>0</v>
      </c>
      <c r="C450" s="114" t="str">
        <f t="shared" ca="1" si="43"/>
        <v>F</v>
      </c>
      <c r="D450" s="117" t="str">
        <f ca="1">ORÇAMENTO!O450</f>
        <v>1.9.1.0.8.</v>
      </c>
      <c r="E450" s="163" t="str">
        <f t="shared" ca="1" si="44"/>
        <v>DUTO CORRUGADO EM PEAD (POLIETILENO DE ALTA DENSIDADE), PARA PROTEÇÃO DE CABOS SUBTERRÂNEOS DN 30 MM (1.1/4")</v>
      </c>
      <c r="F450" s="164" t="str">
        <f ca="1">IF(RegimeExecucao="Global","",ORÇAMENTO.Unidade)</f>
        <v>M</v>
      </c>
      <c r="G450" s="122">
        <f ca="1">IF(RegimeExecucao="Global","",ORÇAMENTO!T450)</f>
        <v>637</v>
      </c>
      <c r="H450" s="122">
        <f ca="1">IF(RegimeExecucao="Global","",ORÇAMENTO!W450)</f>
        <v>36.96</v>
      </c>
      <c r="I450" s="125">
        <f ca="1">ORÇAMENTO!X450</f>
        <v>23543.52</v>
      </c>
      <c r="J450" s="333" cm="1">
        <f t="array" aca="1" ref="J450" ca="1">_xlfn.SINGLE(IF($A450="S",IF(CAIXA.Modo,BM.AFAnterior,BM.MEDAnterior),IF(AND(_xlfn.SINGLE(RegimeExecucao)="Global",$I450&gt;0,COUNTIF($AB$13:$AM$13,BM.medicao-1)&gt;0),M450/$I450*100,0)))</f>
        <v>0</v>
      </c>
      <c r="K450" s="122">
        <f t="shared" ca="1" si="45"/>
        <v>0</v>
      </c>
      <c r="L450" s="334" cm="1">
        <f t="array" aca="1" ref="L450" ca="1">_xlfn.SINGLE(IF($A450="S",IF(CAIXA.Modo,BM.AFAcumulado,BM.MEDAcumulado),IF(AND(_xlfn.SINGLE(RegimeExecucao)="Global",$I450&gt;0,COUNTIF($AB$13:$AM$13,BM.medicao)&gt;0),O450/$I450*100,0)))</f>
        <v>0</v>
      </c>
      <c r="M450" s="335">
        <f ca="1">IF($A450="S",VTOTALBM,IF($A450=0,0,ROUND(SomaAgrupBM,15-13*ORÇAMENTO!$AF$11)))</f>
        <v>0</v>
      </c>
      <c r="N450" s="336">
        <f t="shared" ca="1" si="46"/>
        <v>0</v>
      </c>
      <c r="O450" s="125">
        <f ca="1">IF($A450="S",VTOTALBM,IF($A450=0,0,ROUND(SomaAgrupBM,15-13*ORÇAMENTO!$AF$11)))</f>
        <v>0</v>
      </c>
      <c r="Q450" s="337"/>
      <c r="R450" s="338"/>
      <c r="T450" s="117" t="str">
        <f t="shared" ca="1" si="47"/>
        <v/>
      </c>
      <c r="U450" s="163" t="str">
        <f t="shared" ca="1" si="48"/>
        <v/>
      </c>
      <c r="V450" s="164" t="str">
        <f ca="1">IF(AND($W450&gt;0,RegimeExecucao="Unitário"),$F450,"")</f>
        <v/>
      </c>
      <c r="W450" s="454">
        <f ca="1">IF($Y450&gt;0,CHOOSE(MATCH(RegimeExecucao,{"Unitário","Global"},0),IF($A450="S",$Y450/$X450,""),($Y450/$X450)*100),0)</f>
        <v>0</v>
      </c>
      <c r="X450" s="339" t="str">
        <f ca="1">IF($Y450&gt;0,CHOOSE(MATCH(RegimeExecucao,{"Unitário","Global"},0),IF($A450="S",ROUND($H450,ORÇAMENTO!$AF$10),""),ROUND($I450,ORÇAMENTO!$AF$11)),"")</f>
        <v/>
      </c>
      <c r="Y450" s="339">
        <f t="shared" ca="1" si="49"/>
        <v>0</v>
      </c>
      <c r="Z450" s="473"/>
      <c r="AB450" s="337"/>
      <c r="AC450" s="437"/>
      <c r="AD450" s="437"/>
      <c r="AE450" s="437"/>
      <c r="AF450" s="437"/>
      <c r="AG450" s="437"/>
      <c r="AH450" s="437"/>
      <c r="AI450" s="437"/>
      <c r="AJ450" s="437"/>
      <c r="AK450" s="437"/>
      <c r="AL450" s="437"/>
      <c r="AM450" s="338"/>
      <c r="AO450">
        <f ca="1">IF($A450="S",IF(BM!$I450=0,0,CHOOSE(MATCH(RegimeExecucao,{"Global","Unitário"},0),ROUND(ROUND(BM.MEDAcumulado,15-13*BM!$A$9)/100*BM!$I450,15-13*ORÇAMENTO!$AF$11),ROUND(ROUND(BM.MEDAcumulado,15-13*BM!$A$9)*ROUND(BM!$H450,15-13*ORÇAMENTO!$AF$10),15-13*ORÇAMENTO!$AF$11))),IF($A450=0,0,ROUND(SomaAgrupBM,15-13*ORÇAMENTO!$AF$11)))</f>
        <v>0</v>
      </c>
    </row>
    <row r="451" spans="1:41" ht="38.25" x14ac:dyDescent="0.2">
      <c r="A451" t="str">
        <f ca="1">ORÇAMENTO!C451</f>
        <v>S</v>
      </c>
      <c r="B451">
        <f ca="1">ORÇAMENTO!D451</f>
        <v>0</v>
      </c>
      <c r="C451" s="114" t="str">
        <f t="shared" ca="1" si="43"/>
        <v>F</v>
      </c>
      <c r="D451" s="117" t="str">
        <f ca="1">ORÇAMENTO!O451</f>
        <v>1.9.1.0.9.</v>
      </c>
      <c r="E451" s="163" t="str">
        <f t="shared" ca="1" si="44"/>
        <v>CAIXA DE PASSAGEM PARA PISO EM ALUMÍNIO, TAMPA REVERSÍVEL (ANTIDERRAPANTE OU LISA), DIMENSÃO (200X200X100)MM, INCLUSIVE ACESSÓRIOS E FIXAÇÃO</v>
      </c>
      <c r="F451" s="164" t="str">
        <f ca="1">IF(RegimeExecucao="Global","",ORÇAMENTO.Unidade)</f>
        <v>UN</v>
      </c>
      <c r="G451" s="122">
        <f ca="1">IF(RegimeExecucao="Global","",ORÇAMENTO!T451)</f>
        <v>36</v>
      </c>
      <c r="H451" s="122">
        <f ca="1">IF(RegimeExecucao="Global","",ORÇAMENTO!W451)</f>
        <v>198.5</v>
      </c>
      <c r="I451" s="125">
        <f ca="1">ORÇAMENTO!X451</f>
        <v>7146</v>
      </c>
      <c r="J451" s="333" cm="1">
        <f t="array" aca="1" ref="J451" ca="1">_xlfn.SINGLE(IF($A451="S",IF(CAIXA.Modo,BM.AFAnterior,BM.MEDAnterior),IF(AND(_xlfn.SINGLE(RegimeExecucao)="Global",$I451&gt;0,COUNTIF($AB$13:$AM$13,BM.medicao-1)&gt;0),M451/$I451*100,0)))</f>
        <v>0</v>
      </c>
      <c r="K451" s="122">
        <f t="shared" ca="1" si="45"/>
        <v>0</v>
      </c>
      <c r="L451" s="334" cm="1">
        <f t="array" aca="1" ref="L451" ca="1">_xlfn.SINGLE(IF($A451="S",IF(CAIXA.Modo,BM.AFAcumulado,BM.MEDAcumulado),IF(AND(_xlfn.SINGLE(RegimeExecucao)="Global",$I451&gt;0,COUNTIF($AB$13:$AM$13,BM.medicao)&gt;0),O451/$I451*100,0)))</f>
        <v>0</v>
      </c>
      <c r="M451" s="335">
        <f ca="1">IF($A451="S",VTOTALBM,IF($A451=0,0,ROUND(SomaAgrupBM,15-13*ORÇAMENTO!$AF$11)))</f>
        <v>0</v>
      </c>
      <c r="N451" s="336">
        <f t="shared" ca="1" si="46"/>
        <v>0</v>
      </c>
      <c r="O451" s="125">
        <f ca="1">IF($A451="S",VTOTALBM,IF($A451=0,0,ROUND(SomaAgrupBM,15-13*ORÇAMENTO!$AF$11)))</f>
        <v>0</v>
      </c>
      <c r="Q451" s="337"/>
      <c r="R451" s="338"/>
      <c r="T451" s="117" t="str">
        <f t="shared" ca="1" si="47"/>
        <v/>
      </c>
      <c r="U451" s="163" t="str">
        <f t="shared" ca="1" si="48"/>
        <v/>
      </c>
      <c r="V451" s="164" t="str">
        <f ca="1">IF(AND($W451&gt;0,RegimeExecucao="Unitário"),$F451,"")</f>
        <v/>
      </c>
      <c r="W451" s="454">
        <f ca="1">IF($Y451&gt;0,CHOOSE(MATCH(RegimeExecucao,{"Unitário","Global"},0),IF($A451="S",$Y451/$X451,""),($Y451/$X451)*100),0)</f>
        <v>0</v>
      </c>
      <c r="X451" s="339" t="str">
        <f ca="1">IF($Y451&gt;0,CHOOSE(MATCH(RegimeExecucao,{"Unitário","Global"},0),IF($A451="S",ROUND($H451,ORÇAMENTO!$AF$10),""),ROUND($I451,ORÇAMENTO!$AF$11)),"")</f>
        <v/>
      </c>
      <c r="Y451" s="339">
        <f t="shared" ca="1" si="49"/>
        <v>0</v>
      </c>
      <c r="Z451" s="473"/>
      <c r="AB451" s="337"/>
      <c r="AC451" s="437"/>
      <c r="AD451" s="437"/>
      <c r="AE451" s="437"/>
      <c r="AF451" s="437"/>
      <c r="AG451" s="437"/>
      <c r="AH451" s="437"/>
      <c r="AI451" s="437"/>
      <c r="AJ451" s="437"/>
      <c r="AK451" s="437"/>
      <c r="AL451" s="437"/>
      <c r="AM451" s="338"/>
      <c r="AO451">
        <f ca="1">IF($A451="S",IF(BM!$I451=0,0,CHOOSE(MATCH(RegimeExecucao,{"Global","Unitário"},0),ROUND(ROUND(BM.MEDAcumulado,15-13*BM!$A$9)/100*BM!$I451,15-13*ORÇAMENTO!$AF$11),ROUND(ROUND(BM.MEDAcumulado,15-13*BM!$A$9)*ROUND(BM!$H451,15-13*ORÇAMENTO!$AF$10),15-13*ORÇAMENTO!$AF$11))),IF($A451=0,0,ROUND(SomaAgrupBM,15-13*ORÇAMENTO!$AF$11)))</f>
        <v>0</v>
      </c>
    </row>
    <row r="452" spans="1:41" ht="25.5" x14ac:dyDescent="0.2">
      <c r="A452" t="str">
        <f ca="1">ORÇAMENTO!C452</f>
        <v>S</v>
      </c>
      <c r="B452">
        <f ca="1">ORÇAMENTO!D452</f>
        <v>0</v>
      </c>
      <c r="C452" s="114" t="str">
        <f t="shared" ca="1" si="43"/>
        <v>F</v>
      </c>
      <c r="D452" s="117" t="str">
        <f ca="1">ORÇAMENTO!O452</f>
        <v>1.9.1.0.10.</v>
      </c>
      <c r="E452" s="163" t="str">
        <f t="shared" ca="1" si="44"/>
        <v>POSTE DE AÇO GALVANIZADO, TIPO RETO H=4M - BASEADO EM SIURB 9083072</v>
      </c>
      <c r="F452" s="164" t="str">
        <f ca="1">IF(RegimeExecucao="Global","",ORÇAMENTO.Unidade)</f>
        <v>UN</v>
      </c>
      <c r="G452" s="122">
        <f ca="1">IF(RegimeExecucao="Global","",ORÇAMENTO!T452)</f>
        <v>10</v>
      </c>
      <c r="H452" s="122">
        <f ca="1">IF(RegimeExecucao="Global","",ORÇAMENTO!W452)</f>
        <v>2729.45</v>
      </c>
      <c r="I452" s="125">
        <f ca="1">ORÇAMENTO!X452</f>
        <v>27294.5</v>
      </c>
      <c r="J452" s="333" cm="1">
        <f t="array" aca="1" ref="J452" ca="1">_xlfn.SINGLE(IF($A452="S",IF(CAIXA.Modo,BM.AFAnterior,BM.MEDAnterior),IF(AND(_xlfn.SINGLE(RegimeExecucao)="Global",$I452&gt;0,COUNTIF($AB$13:$AM$13,BM.medicao-1)&gt;0),M452/$I452*100,0)))</f>
        <v>0</v>
      </c>
      <c r="K452" s="122">
        <f t="shared" ca="1" si="45"/>
        <v>0</v>
      </c>
      <c r="L452" s="334" cm="1">
        <f t="array" aca="1" ref="L452" ca="1">_xlfn.SINGLE(IF($A452="S",IF(CAIXA.Modo,BM.AFAcumulado,BM.MEDAcumulado),IF(AND(_xlfn.SINGLE(RegimeExecucao)="Global",$I452&gt;0,COUNTIF($AB$13:$AM$13,BM.medicao)&gt;0),O452/$I452*100,0)))</f>
        <v>0</v>
      </c>
      <c r="M452" s="335">
        <f ca="1">IF($A452="S",VTOTALBM,IF($A452=0,0,ROUND(SomaAgrupBM,15-13*ORÇAMENTO!$AF$11)))</f>
        <v>0</v>
      </c>
      <c r="N452" s="336">
        <f t="shared" ca="1" si="46"/>
        <v>0</v>
      </c>
      <c r="O452" s="125">
        <f ca="1">IF($A452="S",VTOTALBM,IF($A452=0,0,ROUND(SomaAgrupBM,15-13*ORÇAMENTO!$AF$11)))</f>
        <v>0</v>
      </c>
      <c r="Q452" s="337"/>
      <c r="R452" s="338"/>
      <c r="T452" s="117" t="str">
        <f t="shared" ca="1" si="47"/>
        <v/>
      </c>
      <c r="U452" s="163" t="str">
        <f t="shared" ca="1" si="48"/>
        <v/>
      </c>
      <c r="V452" s="164" t="str">
        <f ca="1">IF(AND($W452&gt;0,RegimeExecucao="Unitário"),$F452,"")</f>
        <v/>
      </c>
      <c r="W452" s="454">
        <f ca="1">IF($Y452&gt;0,CHOOSE(MATCH(RegimeExecucao,{"Unitário","Global"},0),IF($A452="S",$Y452/$X452,""),($Y452/$X452)*100),0)</f>
        <v>0</v>
      </c>
      <c r="X452" s="339" t="str">
        <f ca="1">IF($Y452&gt;0,CHOOSE(MATCH(RegimeExecucao,{"Unitário","Global"},0),IF($A452="S",ROUND($H452,ORÇAMENTO!$AF$10),""),ROUND($I452,ORÇAMENTO!$AF$11)),"")</f>
        <v/>
      </c>
      <c r="Y452" s="339">
        <f t="shared" ca="1" si="49"/>
        <v>0</v>
      </c>
      <c r="Z452" s="473"/>
      <c r="AB452" s="337"/>
      <c r="AC452" s="437"/>
      <c r="AD452" s="437"/>
      <c r="AE452" s="437"/>
      <c r="AF452" s="437"/>
      <c r="AG452" s="437"/>
      <c r="AH452" s="437"/>
      <c r="AI452" s="437"/>
      <c r="AJ452" s="437"/>
      <c r="AK452" s="437"/>
      <c r="AL452" s="437"/>
      <c r="AM452" s="338"/>
      <c r="AO452">
        <f ca="1">IF($A452="S",IF(BM!$I452=0,0,CHOOSE(MATCH(RegimeExecucao,{"Global","Unitário"},0),ROUND(ROUND(BM.MEDAcumulado,15-13*BM!$A$9)/100*BM!$I452,15-13*ORÇAMENTO!$AF$11),ROUND(ROUND(BM.MEDAcumulado,15-13*BM!$A$9)*ROUND(BM!$H452,15-13*ORÇAMENTO!$AF$10),15-13*ORÇAMENTO!$AF$11))),IF($A452=0,0,ROUND(SomaAgrupBM,15-13*ORÇAMENTO!$AF$11)))</f>
        <v>0</v>
      </c>
    </row>
    <row r="453" spans="1:41" x14ac:dyDescent="0.2">
      <c r="A453">
        <f ca="1">ORÇAMENTO!C453</f>
        <v>3</v>
      </c>
      <c r="B453">
        <f ca="1">ORÇAMENTO!D453</f>
        <v>4</v>
      </c>
      <c r="C453" s="114" t="str">
        <f t="shared" ca="1" si="43"/>
        <v>F</v>
      </c>
      <c r="D453" s="117" t="str">
        <f ca="1">ORÇAMENTO!O453</f>
        <v>1.9.2.</v>
      </c>
      <c r="E453" s="163" t="str">
        <f t="shared" si="44"/>
        <v>CABEAMENTO</v>
      </c>
      <c r="F453" s="164" t="str">
        <f ca="1">IF(RegimeExecucao="Global","",ORÇAMENTO.Unidade)</f>
        <v>-</v>
      </c>
      <c r="G453" s="122">
        <f ca="1">IF(RegimeExecucao="Global","",ORÇAMENTO!T453)</f>
        <v>0</v>
      </c>
      <c r="H453" s="122">
        <f ca="1">IF(RegimeExecucao="Global","",ORÇAMENTO!W453)</f>
        <v>0</v>
      </c>
      <c r="I453" s="125">
        <f ca="1">ORÇAMENTO!X453</f>
        <v>7806.34</v>
      </c>
      <c r="J453" s="333" cm="1">
        <f t="array" aca="1" ref="J453" ca="1">_xlfn.SINGLE(IF($A453="S",IF(CAIXA.Modo,BM.AFAnterior,BM.MEDAnterior),IF(AND(_xlfn.SINGLE(RegimeExecucao)="Global",$I453&gt;0,COUNTIF($AB$13:$AM$13,BM.medicao-1)&gt;0),M453/$I453*100,0)))</f>
        <v>0</v>
      </c>
      <c r="K453" s="122">
        <f t="shared" ca="1" si="45"/>
        <v>0</v>
      </c>
      <c r="L453" s="334" cm="1">
        <f t="array" aca="1" ref="L453" ca="1">_xlfn.SINGLE(IF($A453="S",IF(CAIXA.Modo,BM.AFAcumulado,BM.MEDAcumulado),IF(AND(_xlfn.SINGLE(RegimeExecucao)="Global",$I453&gt;0,COUNTIF($AB$13:$AM$13,BM.medicao)&gt;0),O453/$I453*100,0)))</f>
        <v>0</v>
      </c>
      <c r="M453" s="335">
        <f ca="1">IF($A453="S",VTOTALBM,IF($A453=0,0,ROUND(SomaAgrupBM,15-13*ORÇAMENTO!$AF$11)))</f>
        <v>0</v>
      </c>
      <c r="N453" s="336">
        <f t="shared" ca="1" si="46"/>
        <v>0</v>
      </c>
      <c r="O453" s="125">
        <f ca="1">IF($A453="S",VTOTALBM,IF($A453=0,0,ROUND(SomaAgrupBM,15-13*ORÇAMENTO!$AF$11)))</f>
        <v>0</v>
      </c>
      <c r="Q453" s="337"/>
      <c r="R453" s="338"/>
      <c r="T453" s="117" t="str">
        <f t="shared" ca="1" si="47"/>
        <v/>
      </c>
      <c r="U453" s="163" t="str">
        <f t="shared" ca="1" si="48"/>
        <v/>
      </c>
      <c r="V453" s="164" t="str">
        <f ca="1">IF(AND($W453&gt;0,RegimeExecucao="Unitário"),$F453,"")</f>
        <v/>
      </c>
      <c r="W453" s="454">
        <f ca="1">IF($Y453&gt;0,CHOOSE(MATCH(RegimeExecucao,{"Unitário","Global"},0),IF($A453="S",$Y453/$X453,""),($Y453/$X453)*100),0)</f>
        <v>0</v>
      </c>
      <c r="X453" s="339" t="str">
        <f ca="1">IF($Y453&gt;0,CHOOSE(MATCH(RegimeExecucao,{"Unitário","Global"},0),IF($A453="S",ROUND($H453,ORÇAMENTO!$AF$10),""),ROUND($I453,ORÇAMENTO!$AF$11)),"")</f>
        <v/>
      </c>
      <c r="Y453" s="339">
        <f t="shared" ca="1" si="49"/>
        <v>0</v>
      </c>
      <c r="Z453" s="473"/>
      <c r="AB453" s="337"/>
      <c r="AC453" s="437"/>
      <c r="AD453" s="437"/>
      <c r="AE453" s="437"/>
      <c r="AF453" s="437"/>
      <c r="AG453" s="437"/>
      <c r="AH453" s="437"/>
      <c r="AI453" s="437"/>
      <c r="AJ453" s="437"/>
      <c r="AK453" s="437"/>
      <c r="AL453" s="437"/>
      <c r="AM453" s="338"/>
      <c r="AO453">
        <f ca="1">IF($A453="S",IF(BM!$I453=0,0,CHOOSE(MATCH(RegimeExecucao,{"Global","Unitário"},0),ROUND(ROUND(BM.MEDAcumulado,15-13*BM!$A$9)/100*BM!$I453,15-13*ORÇAMENTO!$AF$11),ROUND(ROUND(BM.MEDAcumulado,15-13*BM!$A$9)*ROUND(BM!$H453,15-13*ORÇAMENTO!$AF$10),15-13*ORÇAMENTO!$AF$11))),IF($A453=0,0,ROUND(SomaAgrupBM,15-13*ORÇAMENTO!$AF$11)))</f>
        <v>0</v>
      </c>
    </row>
    <row r="454" spans="1:41" ht="38.25" x14ac:dyDescent="0.2">
      <c r="A454" t="str">
        <f ca="1">ORÇAMENTO!C454</f>
        <v>S</v>
      </c>
      <c r="B454">
        <f ca="1">ORÇAMENTO!D454</f>
        <v>0</v>
      </c>
      <c r="C454" s="114" t="str">
        <f t="shared" ca="1" si="43"/>
        <v>F</v>
      </c>
      <c r="D454" s="117" t="str">
        <f ca="1">ORÇAMENTO!O454</f>
        <v>1.9.2.0.1.</v>
      </c>
      <c r="E454" s="163" t="str">
        <f t="shared" ca="1" si="44"/>
        <v>CABO UTP COM QUATRO (4) PARES, CATEGORIA 6, CLASSIFICAÇÃO LSZH, COM ISOLAMENTO NÃO HALOGENADO E ANTICHAMA, EXCLUSIVE CONECTOR/PLUG MACHO RJ45 E CRIMPAGEM</v>
      </c>
      <c r="F454" s="164" t="str">
        <f ca="1">IF(RegimeExecucao="Global","",ORÇAMENTO.Unidade)</f>
        <v>M</v>
      </c>
      <c r="G454" s="122">
        <f ca="1">IF(RegimeExecucao="Global","",ORÇAMENTO!T454)</f>
        <v>926</v>
      </c>
      <c r="H454" s="122">
        <f ca="1">IF(RegimeExecucao="Global","",ORÇAMENTO!W454)</f>
        <v>6.27</v>
      </c>
      <c r="I454" s="125">
        <f ca="1">ORÇAMENTO!X454</f>
        <v>5806.02</v>
      </c>
      <c r="J454" s="333" cm="1">
        <f t="array" aca="1" ref="J454" ca="1">_xlfn.SINGLE(IF($A454="S",IF(CAIXA.Modo,BM.AFAnterior,BM.MEDAnterior),IF(AND(_xlfn.SINGLE(RegimeExecucao)="Global",$I454&gt;0,COUNTIF($AB$13:$AM$13,BM.medicao-1)&gt;0),M454/$I454*100,0)))</f>
        <v>0</v>
      </c>
      <c r="K454" s="122">
        <f t="shared" ca="1" si="45"/>
        <v>0</v>
      </c>
      <c r="L454" s="334" cm="1">
        <f t="array" aca="1" ref="L454" ca="1">_xlfn.SINGLE(IF($A454="S",IF(CAIXA.Modo,BM.AFAcumulado,BM.MEDAcumulado),IF(AND(_xlfn.SINGLE(RegimeExecucao)="Global",$I454&gt;0,COUNTIF($AB$13:$AM$13,BM.medicao)&gt;0),O454/$I454*100,0)))</f>
        <v>0</v>
      </c>
      <c r="M454" s="335">
        <f ca="1">IF($A454="S",VTOTALBM,IF($A454=0,0,ROUND(SomaAgrupBM,15-13*ORÇAMENTO!$AF$11)))</f>
        <v>0</v>
      </c>
      <c r="N454" s="336">
        <f t="shared" ca="1" si="46"/>
        <v>0</v>
      </c>
      <c r="O454" s="125">
        <f ca="1">IF($A454="S",VTOTALBM,IF($A454=0,0,ROUND(SomaAgrupBM,15-13*ORÇAMENTO!$AF$11)))</f>
        <v>0</v>
      </c>
      <c r="Q454" s="337"/>
      <c r="R454" s="338"/>
      <c r="T454" s="117" t="str">
        <f t="shared" ca="1" si="47"/>
        <v/>
      </c>
      <c r="U454" s="163" t="str">
        <f t="shared" ca="1" si="48"/>
        <v/>
      </c>
      <c r="V454" s="164" t="str">
        <f ca="1">IF(AND($W454&gt;0,RegimeExecucao="Unitário"),$F454,"")</f>
        <v/>
      </c>
      <c r="W454" s="454">
        <f ca="1">IF($Y454&gt;0,CHOOSE(MATCH(RegimeExecucao,{"Unitário","Global"},0),IF($A454="S",$Y454/$X454,""),($Y454/$X454)*100),0)</f>
        <v>0</v>
      </c>
      <c r="X454" s="339" t="str">
        <f ca="1">IF($Y454&gt;0,CHOOSE(MATCH(RegimeExecucao,{"Unitário","Global"},0),IF($A454="S",ROUND($H454,ORÇAMENTO!$AF$10),""),ROUND($I454,ORÇAMENTO!$AF$11)),"")</f>
        <v/>
      </c>
      <c r="Y454" s="339">
        <f t="shared" ca="1" si="49"/>
        <v>0</v>
      </c>
      <c r="Z454" s="473"/>
      <c r="AB454" s="337"/>
      <c r="AC454" s="437"/>
      <c r="AD454" s="437"/>
      <c r="AE454" s="437"/>
      <c r="AF454" s="437"/>
      <c r="AG454" s="437"/>
      <c r="AH454" s="437"/>
      <c r="AI454" s="437"/>
      <c r="AJ454" s="437"/>
      <c r="AK454" s="437"/>
      <c r="AL454" s="437"/>
      <c r="AM454" s="338"/>
      <c r="AO454">
        <f ca="1">IF($A454="S",IF(BM!$I454=0,0,CHOOSE(MATCH(RegimeExecucao,{"Global","Unitário"},0),ROUND(ROUND(BM.MEDAcumulado,15-13*BM!$A$9)/100*BM!$I454,15-13*ORÇAMENTO!$AF$11),ROUND(ROUND(BM.MEDAcumulado,15-13*BM!$A$9)*ROUND(BM!$H454,15-13*ORÇAMENTO!$AF$10),15-13*ORÇAMENTO!$AF$11))),IF($A454=0,0,ROUND(SomaAgrupBM,15-13*ORÇAMENTO!$AF$11)))</f>
        <v>0</v>
      </c>
    </row>
    <row r="455" spans="1:41" ht="25.5" x14ac:dyDescent="0.2">
      <c r="A455" t="str">
        <f ca="1">ORÇAMENTO!C455</f>
        <v>S</v>
      </c>
      <c r="B455">
        <f ca="1">ORÇAMENTO!D455</f>
        <v>0</v>
      </c>
      <c r="C455" s="114" t="str">
        <f t="shared" ca="1" si="43"/>
        <v>F</v>
      </c>
      <c r="D455" s="117" t="str">
        <f ca="1">ORÇAMENTO!O455</f>
        <v>1.9.2.0.2.</v>
      </c>
      <c r="E455" s="163" t="str">
        <f t="shared" ca="1" si="44"/>
        <v>PATCH CORD RJ45/RJ45 UTP-4P METÁLICO CATEGORIA 6, PINAGEM T568A (VOZ), COMPRIMENTO 3 METROS</v>
      </c>
      <c r="F455" s="164" t="str">
        <f ca="1">IF(RegimeExecucao="Global","",ORÇAMENTO.Unidade)</f>
        <v>UN</v>
      </c>
      <c r="G455" s="122">
        <f ca="1">IF(RegimeExecucao="Global","",ORÇAMENTO!T455)</f>
        <v>28</v>
      </c>
      <c r="H455" s="122">
        <f ca="1">IF(RegimeExecucao="Global","",ORÇAMENTO!W455)</f>
        <v>27.8</v>
      </c>
      <c r="I455" s="125">
        <f ca="1">ORÇAMENTO!X455</f>
        <v>778.4</v>
      </c>
      <c r="J455" s="333" cm="1">
        <f t="array" aca="1" ref="J455" ca="1">_xlfn.SINGLE(IF($A455="S",IF(CAIXA.Modo,BM.AFAnterior,BM.MEDAnterior),IF(AND(_xlfn.SINGLE(RegimeExecucao)="Global",$I455&gt;0,COUNTIF($AB$13:$AM$13,BM.medicao-1)&gt;0),M455/$I455*100,0)))</f>
        <v>0</v>
      </c>
      <c r="K455" s="122">
        <f t="shared" ca="1" si="45"/>
        <v>0</v>
      </c>
      <c r="L455" s="334" cm="1">
        <f t="array" aca="1" ref="L455" ca="1">_xlfn.SINGLE(IF($A455="S",IF(CAIXA.Modo,BM.AFAcumulado,BM.MEDAcumulado),IF(AND(_xlfn.SINGLE(RegimeExecucao)="Global",$I455&gt;0,COUNTIF($AB$13:$AM$13,BM.medicao)&gt;0),O455/$I455*100,0)))</f>
        <v>0</v>
      </c>
      <c r="M455" s="335">
        <f ca="1">IF($A455="S",VTOTALBM,IF($A455=0,0,ROUND(SomaAgrupBM,15-13*ORÇAMENTO!$AF$11)))</f>
        <v>0</v>
      </c>
      <c r="N455" s="336">
        <f t="shared" ca="1" si="46"/>
        <v>0</v>
      </c>
      <c r="O455" s="125">
        <f ca="1">IF($A455="S",VTOTALBM,IF($A455=0,0,ROUND(SomaAgrupBM,15-13*ORÇAMENTO!$AF$11)))</f>
        <v>0</v>
      </c>
      <c r="Q455" s="337"/>
      <c r="R455" s="338"/>
      <c r="T455" s="117" t="str">
        <f t="shared" ca="1" si="47"/>
        <v/>
      </c>
      <c r="U455" s="163" t="str">
        <f t="shared" ca="1" si="48"/>
        <v/>
      </c>
      <c r="V455" s="164" t="str">
        <f ca="1">IF(AND($W455&gt;0,RegimeExecucao="Unitário"),$F455,"")</f>
        <v/>
      </c>
      <c r="W455" s="454">
        <f ca="1">IF($Y455&gt;0,CHOOSE(MATCH(RegimeExecucao,{"Unitário","Global"},0),IF($A455="S",$Y455/$X455,""),($Y455/$X455)*100),0)</f>
        <v>0</v>
      </c>
      <c r="X455" s="339" t="str">
        <f ca="1">IF($Y455&gt;0,CHOOSE(MATCH(RegimeExecucao,{"Unitário","Global"},0),IF($A455="S",ROUND($H455,ORÇAMENTO!$AF$10),""),ROUND($I455,ORÇAMENTO!$AF$11)),"")</f>
        <v/>
      </c>
      <c r="Y455" s="339">
        <f t="shared" ca="1" si="49"/>
        <v>0</v>
      </c>
      <c r="Z455" s="473"/>
      <c r="AB455" s="337"/>
      <c r="AC455" s="437"/>
      <c r="AD455" s="437"/>
      <c r="AE455" s="437"/>
      <c r="AF455" s="437"/>
      <c r="AG455" s="437"/>
      <c r="AH455" s="437"/>
      <c r="AI455" s="437"/>
      <c r="AJ455" s="437"/>
      <c r="AK455" s="437"/>
      <c r="AL455" s="437"/>
      <c r="AM455" s="338"/>
      <c r="AO455">
        <f ca="1">IF($A455="S",IF(BM!$I455=0,0,CHOOSE(MATCH(RegimeExecucao,{"Global","Unitário"},0),ROUND(ROUND(BM.MEDAcumulado,15-13*BM!$A$9)/100*BM!$I455,15-13*ORÇAMENTO!$AF$11),ROUND(ROUND(BM.MEDAcumulado,15-13*BM!$A$9)*ROUND(BM!$H455,15-13*ORÇAMENTO!$AF$10),15-13*ORÇAMENTO!$AF$11))),IF($A455=0,0,ROUND(SomaAgrupBM,15-13*ORÇAMENTO!$AF$11)))</f>
        <v>0</v>
      </c>
    </row>
    <row r="456" spans="1:41" ht="25.5" x14ac:dyDescent="0.2">
      <c r="A456" t="str">
        <f ca="1">ORÇAMENTO!C456</f>
        <v>S</v>
      </c>
      <c r="B456">
        <f ca="1">ORÇAMENTO!D456</f>
        <v>0</v>
      </c>
      <c r="C456" s="114" t="str">
        <f t="shared" ca="1" si="43"/>
        <v>F</v>
      </c>
      <c r="D456" s="117" t="str">
        <f ca="1">ORÇAMENTO!O456</f>
        <v>1.9.2.0.3.</v>
      </c>
      <c r="E456" s="163" t="str">
        <f t="shared" ca="1" si="44"/>
        <v>ETIQUETA PARA IDENTIFICAÇÃO DE CIRCUTIOS, FORNECIMENTO E INSTALAÇÃO - BASEADO EM ORSE (12930)</v>
      </c>
      <c r="F456" s="164" t="str">
        <f ca="1">IF(RegimeExecucao="Global","",ORÇAMENTO.Unidade)</f>
        <v>UN</v>
      </c>
      <c r="G456" s="122">
        <f ca="1">IF(RegimeExecucao="Global","",ORÇAMENTO!T456)</f>
        <v>56</v>
      </c>
      <c r="H456" s="122">
        <f ca="1">IF(RegimeExecucao="Global","",ORÇAMENTO!W456)</f>
        <v>21.82</v>
      </c>
      <c r="I456" s="125">
        <f ca="1">ORÇAMENTO!X456</f>
        <v>1221.92</v>
      </c>
      <c r="J456" s="333" cm="1">
        <f t="array" aca="1" ref="J456" ca="1">_xlfn.SINGLE(IF($A456="S",IF(CAIXA.Modo,BM.AFAnterior,BM.MEDAnterior),IF(AND(_xlfn.SINGLE(RegimeExecucao)="Global",$I456&gt;0,COUNTIF($AB$13:$AM$13,BM.medicao-1)&gt;0),M456/$I456*100,0)))</f>
        <v>0</v>
      </c>
      <c r="K456" s="122">
        <f t="shared" ca="1" si="45"/>
        <v>0</v>
      </c>
      <c r="L456" s="334" cm="1">
        <f t="array" aca="1" ref="L456" ca="1">_xlfn.SINGLE(IF($A456="S",IF(CAIXA.Modo,BM.AFAcumulado,BM.MEDAcumulado),IF(AND(_xlfn.SINGLE(RegimeExecucao)="Global",$I456&gt;0,COUNTIF($AB$13:$AM$13,BM.medicao)&gt;0),O456/$I456*100,0)))</f>
        <v>0</v>
      </c>
      <c r="M456" s="335">
        <f ca="1">IF($A456="S",VTOTALBM,IF($A456=0,0,ROUND(SomaAgrupBM,15-13*ORÇAMENTO!$AF$11)))</f>
        <v>0</v>
      </c>
      <c r="N456" s="336">
        <f t="shared" ca="1" si="46"/>
        <v>0</v>
      </c>
      <c r="O456" s="125">
        <f ca="1">IF($A456="S",VTOTALBM,IF($A456=0,0,ROUND(SomaAgrupBM,15-13*ORÇAMENTO!$AF$11)))</f>
        <v>0</v>
      </c>
      <c r="Q456" s="337"/>
      <c r="R456" s="338"/>
      <c r="T456" s="117" t="str">
        <f t="shared" ca="1" si="47"/>
        <v/>
      </c>
      <c r="U456" s="163" t="str">
        <f t="shared" ca="1" si="48"/>
        <v/>
      </c>
      <c r="V456" s="164" t="str">
        <f ca="1">IF(AND($W456&gt;0,RegimeExecucao="Unitário"),$F456,"")</f>
        <v/>
      </c>
      <c r="W456" s="454">
        <f ca="1">IF($Y456&gt;0,CHOOSE(MATCH(RegimeExecucao,{"Unitário","Global"},0),IF($A456="S",$Y456/$X456,""),($Y456/$X456)*100),0)</f>
        <v>0</v>
      </c>
      <c r="X456" s="339" t="str">
        <f ca="1">IF($Y456&gt;0,CHOOSE(MATCH(RegimeExecucao,{"Unitário","Global"},0),IF($A456="S",ROUND($H456,ORÇAMENTO!$AF$10),""),ROUND($I456,ORÇAMENTO!$AF$11)),"")</f>
        <v/>
      </c>
      <c r="Y456" s="339">
        <f t="shared" ca="1" si="49"/>
        <v>0</v>
      </c>
      <c r="Z456" s="473"/>
      <c r="AB456" s="337"/>
      <c r="AC456" s="437"/>
      <c r="AD456" s="437"/>
      <c r="AE456" s="437"/>
      <c r="AF456" s="437"/>
      <c r="AG456" s="437"/>
      <c r="AH456" s="437"/>
      <c r="AI456" s="437"/>
      <c r="AJ456" s="437"/>
      <c r="AK456" s="437"/>
      <c r="AL456" s="437"/>
      <c r="AM456" s="338"/>
      <c r="AO456">
        <f ca="1">IF($A456="S",IF(BM!$I456=0,0,CHOOSE(MATCH(RegimeExecucao,{"Global","Unitário"},0),ROUND(ROUND(BM.MEDAcumulado,15-13*BM!$A$9)/100*BM!$I456,15-13*ORÇAMENTO!$AF$11),ROUND(ROUND(BM.MEDAcumulado,15-13*BM!$A$9)*ROUND(BM!$H456,15-13*ORÇAMENTO!$AF$10),15-13*ORÇAMENTO!$AF$11))),IF($A456=0,0,ROUND(SomaAgrupBM,15-13*ORÇAMENTO!$AF$11)))</f>
        <v>0</v>
      </c>
    </row>
    <row r="457" spans="1:41" x14ac:dyDescent="0.2">
      <c r="A457">
        <f ca="1">ORÇAMENTO!C457</f>
        <v>3</v>
      </c>
      <c r="B457">
        <f ca="1">ORÇAMENTO!D457</f>
        <v>2</v>
      </c>
      <c r="C457" s="114" t="str">
        <f t="shared" ca="1" si="43"/>
        <v>F</v>
      </c>
      <c r="D457" s="117" t="str">
        <f ca="1">ORÇAMENTO!O457</f>
        <v>1.9.3.</v>
      </c>
      <c r="E457" s="163" t="str">
        <f t="shared" si="44"/>
        <v>TESTES</v>
      </c>
      <c r="F457" s="164" t="str">
        <f ca="1">IF(RegimeExecucao="Global","",ORÇAMENTO.Unidade)</f>
        <v>-</v>
      </c>
      <c r="G457" s="122">
        <f ca="1">IF(RegimeExecucao="Global","",ORÇAMENTO!T457)</f>
        <v>0</v>
      </c>
      <c r="H457" s="122">
        <f ca="1">IF(RegimeExecucao="Global","",ORÇAMENTO!W457)</f>
        <v>0</v>
      </c>
      <c r="I457" s="125">
        <f ca="1">ORÇAMENTO!X457</f>
        <v>1086.96</v>
      </c>
      <c r="J457" s="333" cm="1">
        <f t="array" aca="1" ref="J457" ca="1">_xlfn.SINGLE(IF($A457="S",IF(CAIXA.Modo,BM.AFAnterior,BM.MEDAnterior),IF(AND(_xlfn.SINGLE(RegimeExecucao)="Global",$I457&gt;0,COUNTIF($AB$13:$AM$13,BM.medicao-1)&gt;0),M457/$I457*100,0)))</f>
        <v>0</v>
      </c>
      <c r="K457" s="122">
        <f t="shared" ca="1" si="45"/>
        <v>0</v>
      </c>
      <c r="L457" s="334" cm="1">
        <f t="array" aca="1" ref="L457" ca="1">_xlfn.SINGLE(IF($A457="S",IF(CAIXA.Modo,BM.AFAcumulado,BM.MEDAcumulado),IF(AND(_xlfn.SINGLE(RegimeExecucao)="Global",$I457&gt;0,COUNTIF($AB$13:$AM$13,BM.medicao)&gt;0),O457/$I457*100,0)))</f>
        <v>0</v>
      </c>
      <c r="M457" s="335">
        <f ca="1">IF($A457="S",VTOTALBM,IF($A457=0,0,ROUND(SomaAgrupBM,15-13*ORÇAMENTO!$AF$11)))</f>
        <v>0</v>
      </c>
      <c r="N457" s="336">
        <f t="shared" ca="1" si="46"/>
        <v>0</v>
      </c>
      <c r="O457" s="125">
        <f ca="1">IF($A457="S",VTOTALBM,IF($A457=0,0,ROUND(SomaAgrupBM,15-13*ORÇAMENTO!$AF$11)))</f>
        <v>0</v>
      </c>
      <c r="Q457" s="337"/>
      <c r="R457" s="338"/>
      <c r="T457" s="117" t="str">
        <f t="shared" ca="1" si="47"/>
        <v/>
      </c>
      <c r="U457" s="163" t="str">
        <f t="shared" ca="1" si="48"/>
        <v/>
      </c>
      <c r="V457" s="164" t="str">
        <f ca="1">IF(AND($W457&gt;0,RegimeExecucao="Unitário"),$F457,"")</f>
        <v/>
      </c>
      <c r="W457" s="454">
        <f ca="1">IF($Y457&gt;0,CHOOSE(MATCH(RegimeExecucao,{"Unitário","Global"},0),IF($A457="S",$Y457/$X457,""),($Y457/$X457)*100),0)</f>
        <v>0</v>
      </c>
      <c r="X457" s="339" t="str">
        <f ca="1">IF($Y457&gt;0,CHOOSE(MATCH(RegimeExecucao,{"Unitário","Global"},0),IF($A457="S",ROUND($H457,ORÇAMENTO!$AF$10),""),ROUND($I457,ORÇAMENTO!$AF$11)),"")</f>
        <v/>
      </c>
      <c r="Y457" s="339">
        <f t="shared" ca="1" si="49"/>
        <v>0</v>
      </c>
      <c r="Z457" s="473"/>
      <c r="AB457" s="337"/>
      <c r="AC457" s="437"/>
      <c r="AD457" s="437"/>
      <c r="AE457" s="437"/>
      <c r="AF457" s="437"/>
      <c r="AG457" s="437"/>
      <c r="AH457" s="437"/>
      <c r="AI457" s="437"/>
      <c r="AJ457" s="437"/>
      <c r="AK457" s="437"/>
      <c r="AL457" s="437"/>
      <c r="AM457" s="338"/>
      <c r="AO457">
        <f ca="1">IF($A457="S",IF(BM!$I457=0,0,CHOOSE(MATCH(RegimeExecucao,{"Global","Unitário"},0),ROUND(ROUND(BM.MEDAcumulado,15-13*BM!$A$9)/100*BM!$I457,15-13*ORÇAMENTO!$AF$11),ROUND(ROUND(BM.MEDAcumulado,15-13*BM!$A$9)*ROUND(BM!$H457,15-13*ORÇAMENTO!$AF$10),15-13*ORÇAMENTO!$AF$11))),IF($A457=0,0,ROUND(SomaAgrupBM,15-13*ORÇAMENTO!$AF$11)))</f>
        <v>0</v>
      </c>
    </row>
    <row r="458" spans="1:41" ht="25.5" x14ac:dyDescent="0.2">
      <c r="A458" t="str">
        <f ca="1">ORÇAMENTO!C458</f>
        <v>S</v>
      </c>
      <c r="B458">
        <f ca="1">ORÇAMENTO!D458</f>
        <v>0</v>
      </c>
      <c r="C458" s="114" t="str">
        <f t="shared" ca="1" si="43"/>
        <v>F</v>
      </c>
      <c r="D458" s="117" t="str">
        <f ca="1">ORÇAMENTO!O458</f>
        <v>1.9.3.0.1.</v>
      </c>
      <c r="E458" s="163" t="str">
        <f t="shared" ca="1" si="44"/>
        <v>CERTIFICAÇÃO DE GARANTIA DE TRANSMISSÃO DE CABOS LÓGICOS CAT. 5/6</v>
      </c>
      <c r="F458" s="164" t="str">
        <f ca="1">IF(RegimeExecucao="Global","",ORÇAMENTO.Unidade)</f>
        <v>UN</v>
      </c>
      <c r="G458" s="122">
        <f ca="1">IF(RegimeExecucao="Global","",ORÇAMENTO!T458)</f>
        <v>56</v>
      </c>
      <c r="H458" s="122">
        <f ca="1">IF(RegimeExecucao="Global","",ORÇAMENTO!W458)</f>
        <v>19.41</v>
      </c>
      <c r="I458" s="125">
        <f ca="1">ORÇAMENTO!X458</f>
        <v>1086.96</v>
      </c>
      <c r="J458" s="333" cm="1">
        <f t="array" aca="1" ref="J458" ca="1">_xlfn.SINGLE(IF($A458="S",IF(CAIXA.Modo,BM.AFAnterior,BM.MEDAnterior),IF(AND(_xlfn.SINGLE(RegimeExecucao)="Global",$I458&gt;0,COUNTIF($AB$13:$AM$13,BM.medicao-1)&gt;0),M458/$I458*100,0)))</f>
        <v>0</v>
      </c>
      <c r="K458" s="122">
        <f t="shared" ca="1" si="45"/>
        <v>0</v>
      </c>
      <c r="L458" s="334" cm="1">
        <f t="array" aca="1" ref="L458" ca="1">_xlfn.SINGLE(IF($A458="S",IF(CAIXA.Modo,BM.AFAcumulado,BM.MEDAcumulado),IF(AND(_xlfn.SINGLE(RegimeExecucao)="Global",$I458&gt;0,COUNTIF($AB$13:$AM$13,BM.medicao)&gt;0),O458/$I458*100,0)))</f>
        <v>0</v>
      </c>
      <c r="M458" s="335">
        <f ca="1">IF($A458="S",VTOTALBM,IF($A458=0,0,ROUND(SomaAgrupBM,15-13*ORÇAMENTO!$AF$11)))</f>
        <v>0</v>
      </c>
      <c r="N458" s="336">
        <f t="shared" ca="1" si="46"/>
        <v>0</v>
      </c>
      <c r="O458" s="125">
        <f ca="1">IF($A458="S",VTOTALBM,IF($A458=0,0,ROUND(SomaAgrupBM,15-13*ORÇAMENTO!$AF$11)))</f>
        <v>0</v>
      </c>
      <c r="Q458" s="337"/>
      <c r="R458" s="338"/>
      <c r="T458" s="117" t="str">
        <f t="shared" ca="1" si="47"/>
        <v/>
      </c>
      <c r="U458" s="163" t="str">
        <f t="shared" ca="1" si="48"/>
        <v/>
      </c>
      <c r="V458" s="164" t="str">
        <f ca="1">IF(AND($W458&gt;0,RegimeExecucao="Unitário"),$F458,"")</f>
        <v/>
      </c>
      <c r="W458" s="454">
        <f ca="1">IF($Y458&gt;0,CHOOSE(MATCH(RegimeExecucao,{"Unitário","Global"},0),IF($A458="S",$Y458/$X458,""),($Y458/$X458)*100),0)</f>
        <v>0</v>
      </c>
      <c r="X458" s="339" t="str">
        <f ca="1">IF($Y458&gt;0,CHOOSE(MATCH(RegimeExecucao,{"Unitário","Global"},0),IF($A458="S",ROUND($H458,ORÇAMENTO!$AF$10),""),ROUND($I458,ORÇAMENTO!$AF$11)),"")</f>
        <v/>
      </c>
      <c r="Y458" s="339">
        <f t="shared" ca="1" si="49"/>
        <v>0</v>
      </c>
      <c r="Z458" s="473"/>
      <c r="AB458" s="337"/>
      <c r="AC458" s="437"/>
      <c r="AD458" s="437"/>
      <c r="AE458" s="437"/>
      <c r="AF458" s="437"/>
      <c r="AG458" s="437"/>
      <c r="AH458" s="437"/>
      <c r="AI458" s="437"/>
      <c r="AJ458" s="437"/>
      <c r="AK458" s="437"/>
      <c r="AL458" s="437"/>
      <c r="AM458" s="338"/>
      <c r="AO458">
        <f ca="1">IF($A458="S",IF(BM!$I458=0,0,CHOOSE(MATCH(RegimeExecucao,{"Global","Unitário"},0),ROUND(ROUND(BM.MEDAcumulado,15-13*BM!$A$9)/100*BM!$I458,15-13*ORÇAMENTO!$AF$11),ROUND(ROUND(BM.MEDAcumulado,15-13*BM!$A$9)*ROUND(BM!$H458,15-13*ORÇAMENTO!$AF$10),15-13*ORÇAMENTO!$AF$11))),IF($A458=0,0,ROUND(SomaAgrupBM,15-13*ORÇAMENTO!$AF$11)))</f>
        <v>0</v>
      </c>
    </row>
    <row r="459" spans="1:41" x14ac:dyDescent="0.2">
      <c r="A459">
        <f ca="1">ORÇAMENTO!C459</f>
        <v>3</v>
      </c>
      <c r="B459">
        <f ca="1">ORÇAMENTO!D459</f>
        <v>3</v>
      </c>
      <c r="C459" s="114" t="str">
        <f t="shared" ca="1" si="43"/>
        <v>F</v>
      </c>
      <c r="D459" s="117" t="str">
        <f ca="1">ORÇAMENTO!O459</f>
        <v>1.9.4.</v>
      </c>
      <c r="E459" s="163" t="str">
        <f t="shared" si="44"/>
        <v>CÂMERAS</v>
      </c>
      <c r="F459" s="164" t="str">
        <f ca="1">IF(RegimeExecucao="Global","",ORÇAMENTO.Unidade)</f>
        <v>-</v>
      </c>
      <c r="G459" s="122">
        <f ca="1">IF(RegimeExecucao="Global","",ORÇAMENTO!T459)</f>
        <v>0</v>
      </c>
      <c r="H459" s="122">
        <f ca="1">IF(RegimeExecucao="Global","",ORÇAMENTO!W459)</f>
        <v>0</v>
      </c>
      <c r="I459" s="125">
        <f ca="1">ORÇAMENTO!X459</f>
        <v>59680.25</v>
      </c>
      <c r="J459" s="333" cm="1">
        <f t="array" aca="1" ref="J459" ca="1">_xlfn.SINGLE(IF($A459="S",IF(CAIXA.Modo,BM.AFAnterior,BM.MEDAnterior),IF(AND(_xlfn.SINGLE(RegimeExecucao)="Global",$I459&gt;0,COUNTIF($AB$13:$AM$13,BM.medicao-1)&gt;0),M459/$I459*100,0)))</f>
        <v>0</v>
      </c>
      <c r="K459" s="122">
        <f t="shared" ca="1" si="45"/>
        <v>0</v>
      </c>
      <c r="L459" s="334" cm="1">
        <f t="array" aca="1" ref="L459" ca="1">_xlfn.SINGLE(IF($A459="S",IF(CAIXA.Modo,BM.AFAcumulado,BM.MEDAcumulado),IF(AND(_xlfn.SINGLE(RegimeExecucao)="Global",$I459&gt;0,COUNTIF($AB$13:$AM$13,BM.medicao)&gt;0),O459/$I459*100,0)))</f>
        <v>0</v>
      </c>
      <c r="M459" s="335">
        <f ca="1">IF($A459="S",VTOTALBM,IF($A459=0,0,ROUND(SomaAgrupBM,15-13*ORÇAMENTO!$AF$11)))</f>
        <v>0</v>
      </c>
      <c r="N459" s="336">
        <f t="shared" ca="1" si="46"/>
        <v>0</v>
      </c>
      <c r="O459" s="125">
        <f ca="1">IF($A459="S",VTOTALBM,IF($A459=0,0,ROUND(SomaAgrupBM,15-13*ORÇAMENTO!$AF$11)))</f>
        <v>0</v>
      </c>
      <c r="Q459" s="337"/>
      <c r="R459" s="338"/>
      <c r="T459" s="117" t="str">
        <f t="shared" ca="1" si="47"/>
        <v/>
      </c>
      <c r="U459" s="163" t="str">
        <f t="shared" ca="1" si="48"/>
        <v/>
      </c>
      <c r="V459" s="164" t="str">
        <f ca="1">IF(AND($W459&gt;0,RegimeExecucao="Unitário"),$F459,"")</f>
        <v/>
      </c>
      <c r="W459" s="454">
        <f ca="1">IF($Y459&gt;0,CHOOSE(MATCH(RegimeExecucao,{"Unitário","Global"},0),IF($A459="S",$Y459/$X459,""),($Y459/$X459)*100),0)</f>
        <v>0</v>
      </c>
      <c r="X459" s="339" t="str">
        <f ca="1">IF($Y459&gt;0,CHOOSE(MATCH(RegimeExecucao,{"Unitário","Global"},0),IF($A459="S",ROUND($H459,ORÇAMENTO!$AF$10),""),ROUND($I459,ORÇAMENTO!$AF$11)),"")</f>
        <v/>
      </c>
      <c r="Y459" s="339">
        <f t="shared" ca="1" si="49"/>
        <v>0</v>
      </c>
      <c r="Z459" s="473"/>
      <c r="AB459" s="337"/>
      <c r="AC459" s="437"/>
      <c r="AD459" s="437"/>
      <c r="AE459" s="437"/>
      <c r="AF459" s="437"/>
      <c r="AG459" s="437"/>
      <c r="AH459" s="437"/>
      <c r="AI459" s="437"/>
      <c r="AJ459" s="437"/>
      <c r="AK459" s="437"/>
      <c r="AL459" s="437"/>
      <c r="AM459" s="338"/>
      <c r="AO459">
        <f ca="1">IF($A459="S",IF(BM!$I459=0,0,CHOOSE(MATCH(RegimeExecucao,{"Global","Unitário"},0),ROUND(ROUND(BM.MEDAcumulado,15-13*BM!$A$9)/100*BM!$I459,15-13*ORÇAMENTO!$AF$11),ROUND(ROUND(BM.MEDAcumulado,15-13*BM!$A$9)*ROUND(BM!$H459,15-13*ORÇAMENTO!$AF$10),15-13*ORÇAMENTO!$AF$11))),IF($A459=0,0,ROUND(SomaAgrupBM,15-13*ORÇAMENTO!$AF$11)))</f>
        <v>0</v>
      </c>
    </row>
    <row r="460" spans="1:41" ht="25.5" x14ac:dyDescent="0.2">
      <c r="A460" t="str">
        <f ca="1">ORÇAMENTO!C460</f>
        <v>S</v>
      </c>
      <c r="B460">
        <f ca="1">ORÇAMENTO!D460</f>
        <v>0</v>
      </c>
      <c r="C460" s="114" t="str">
        <f t="shared" ca="1" si="43"/>
        <v>F</v>
      </c>
      <c r="D460" s="117" t="str">
        <f ca="1">ORÇAMENTO!O460</f>
        <v>1.9.4.0.1.</v>
      </c>
      <c r="E460" s="163" t="str">
        <f t="shared" ca="1" si="44"/>
        <v>CÂMERA IP MINI BULLET VIP S3330 G2 3MP - BASEADO EM SBC (068399)</v>
      </c>
      <c r="F460" s="164" t="str">
        <f ca="1">IF(RegimeExecucao="Global","",ORÇAMENTO.Unidade)</f>
        <v>UN</v>
      </c>
      <c r="G460" s="122">
        <f ca="1">IF(RegimeExecucao="Global","",ORÇAMENTO!T460)</f>
        <v>21</v>
      </c>
      <c r="H460" s="122">
        <f ca="1">IF(RegimeExecucao="Global","",ORÇAMENTO!W460)</f>
        <v>833.8</v>
      </c>
      <c r="I460" s="125">
        <f ca="1">ORÇAMENTO!X460</f>
        <v>17509.8</v>
      </c>
      <c r="J460" s="333" cm="1">
        <f t="array" aca="1" ref="J460" ca="1">_xlfn.SINGLE(IF($A460="S",IF(CAIXA.Modo,BM.AFAnterior,BM.MEDAnterior),IF(AND(_xlfn.SINGLE(RegimeExecucao)="Global",$I460&gt;0,COUNTIF($AB$13:$AM$13,BM.medicao-1)&gt;0),M460/$I460*100,0)))</f>
        <v>0</v>
      </c>
      <c r="K460" s="122">
        <f t="shared" ca="1" si="45"/>
        <v>0</v>
      </c>
      <c r="L460" s="334" cm="1">
        <f t="array" aca="1" ref="L460" ca="1">_xlfn.SINGLE(IF($A460="S",IF(CAIXA.Modo,BM.AFAcumulado,BM.MEDAcumulado),IF(AND(_xlfn.SINGLE(RegimeExecucao)="Global",$I460&gt;0,COUNTIF($AB$13:$AM$13,BM.medicao)&gt;0),O460/$I460*100,0)))</f>
        <v>0</v>
      </c>
      <c r="M460" s="335">
        <f ca="1">IF($A460="S",VTOTALBM,IF($A460=0,0,ROUND(SomaAgrupBM,15-13*ORÇAMENTO!$AF$11)))</f>
        <v>0</v>
      </c>
      <c r="N460" s="336">
        <f t="shared" ca="1" si="46"/>
        <v>0</v>
      </c>
      <c r="O460" s="125">
        <f ca="1">IF($A460="S",VTOTALBM,IF($A460=0,0,ROUND(SomaAgrupBM,15-13*ORÇAMENTO!$AF$11)))</f>
        <v>0</v>
      </c>
      <c r="Q460" s="337"/>
      <c r="R460" s="338"/>
      <c r="T460" s="117" t="str">
        <f t="shared" ca="1" si="47"/>
        <v/>
      </c>
      <c r="U460" s="163" t="str">
        <f t="shared" ca="1" si="48"/>
        <v/>
      </c>
      <c r="V460" s="164" t="str">
        <f ca="1">IF(AND($W460&gt;0,RegimeExecucao="Unitário"),$F460,"")</f>
        <v/>
      </c>
      <c r="W460" s="454">
        <f ca="1">IF($Y460&gt;0,CHOOSE(MATCH(RegimeExecucao,{"Unitário","Global"},0),IF($A460="S",$Y460/$X460,""),($Y460/$X460)*100),0)</f>
        <v>0</v>
      </c>
      <c r="X460" s="339" t="str">
        <f ca="1">IF($Y460&gt;0,CHOOSE(MATCH(RegimeExecucao,{"Unitário","Global"},0),IF($A460="S",ROUND($H460,ORÇAMENTO!$AF$10),""),ROUND($I460,ORÇAMENTO!$AF$11)),"")</f>
        <v/>
      </c>
      <c r="Y460" s="339">
        <f t="shared" ca="1" si="49"/>
        <v>0</v>
      </c>
      <c r="Z460" s="473"/>
      <c r="AB460" s="337"/>
      <c r="AC460" s="437"/>
      <c r="AD460" s="437"/>
      <c r="AE460" s="437"/>
      <c r="AF460" s="437"/>
      <c r="AG460" s="437"/>
      <c r="AH460" s="437"/>
      <c r="AI460" s="437"/>
      <c r="AJ460" s="437"/>
      <c r="AK460" s="437"/>
      <c r="AL460" s="437"/>
      <c r="AM460" s="338"/>
      <c r="AO460">
        <f ca="1">IF($A460="S",IF(BM!$I460=0,0,CHOOSE(MATCH(RegimeExecucao,{"Global","Unitário"},0),ROUND(ROUND(BM.MEDAcumulado,15-13*BM!$A$9)/100*BM!$I460,15-13*ORÇAMENTO!$AF$11),ROUND(ROUND(BM.MEDAcumulado,15-13*BM!$A$9)*ROUND(BM!$H460,15-13*ORÇAMENTO!$AF$10),15-13*ORÇAMENTO!$AF$11))),IF($A460=0,0,ROUND(SomaAgrupBM,15-13*ORÇAMENTO!$AF$11)))</f>
        <v>0</v>
      </c>
    </row>
    <row r="461" spans="1:41" ht="38.25" x14ac:dyDescent="0.2">
      <c r="A461" t="str">
        <f ca="1">ORÇAMENTO!C461</f>
        <v>S</v>
      </c>
      <c r="B461">
        <f ca="1">ORÇAMENTO!D461</f>
        <v>0</v>
      </c>
      <c r="C461" s="114" t="str">
        <f t="shared" ca="1" si="43"/>
        <v>F</v>
      </c>
      <c r="D461" s="117" t="str">
        <f ca="1">ORÇAMENTO!O461</f>
        <v>1.9.4.0.2.</v>
      </c>
      <c r="E461" s="163" t="str">
        <f t="shared" ca="1" si="44"/>
        <v>SPEED DOME IP INTELBRAS VIP 3225 SD IR INFRAVERMELHO 150 METROS STARLIGHT ZOOM 25X, FORNECIMENTO E INSTALAÇÃO- BASEADA DA SBC (068399)</v>
      </c>
      <c r="F461" s="164" t="str">
        <f ca="1">IF(RegimeExecucao="Global","",ORÇAMENTO.Unidade)</f>
        <v>UN</v>
      </c>
      <c r="G461" s="122">
        <f ca="1">IF(RegimeExecucao="Global","",ORÇAMENTO!T461)</f>
        <v>7</v>
      </c>
      <c r="H461" s="122">
        <f ca="1">IF(RegimeExecucao="Global","",ORÇAMENTO!W461)</f>
        <v>6024.35</v>
      </c>
      <c r="I461" s="125">
        <f ca="1">ORÇAMENTO!X461</f>
        <v>42170.45</v>
      </c>
      <c r="J461" s="333" cm="1">
        <f t="array" aca="1" ref="J461" ca="1">_xlfn.SINGLE(IF($A461="S",IF(CAIXA.Modo,BM.AFAnterior,BM.MEDAnterior),IF(AND(_xlfn.SINGLE(RegimeExecucao)="Global",$I461&gt;0,COUNTIF($AB$13:$AM$13,BM.medicao-1)&gt;0),M461/$I461*100,0)))</f>
        <v>0</v>
      </c>
      <c r="K461" s="122">
        <f t="shared" ca="1" si="45"/>
        <v>0</v>
      </c>
      <c r="L461" s="334" cm="1">
        <f t="array" aca="1" ref="L461" ca="1">_xlfn.SINGLE(IF($A461="S",IF(CAIXA.Modo,BM.AFAcumulado,BM.MEDAcumulado),IF(AND(_xlfn.SINGLE(RegimeExecucao)="Global",$I461&gt;0,COUNTIF($AB$13:$AM$13,BM.medicao)&gt;0),O461/$I461*100,0)))</f>
        <v>0</v>
      </c>
      <c r="M461" s="335">
        <f ca="1">IF($A461="S",VTOTALBM,IF($A461=0,0,ROUND(SomaAgrupBM,15-13*ORÇAMENTO!$AF$11)))</f>
        <v>0</v>
      </c>
      <c r="N461" s="336">
        <f t="shared" ca="1" si="46"/>
        <v>0</v>
      </c>
      <c r="O461" s="125">
        <f ca="1">IF($A461="S",VTOTALBM,IF($A461=0,0,ROUND(SomaAgrupBM,15-13*ORÇAMENTO!$AF$11)))</f>
        <v>0</v>
      </c>
      <c r="Q461" s="337"/>
      <c r="R461" s="338"/>
      <c r="T461" s="117" t="str">
        <f t="shared" ca="1" si="47"/>
        <v/>
      </c>
      <c r="U461" s="163" t="str">
        <f t="shared" ca="1" si="48"/>
        <v/>
      </c>
      <c r="V461" s="164" t="str">
        <f ca="1">IF(AND($W461&gt;0,RegimeExecucao="Unitário"),$F461,"")</f>
        <v/>
      </c>
      <c r="W461" s="454">
        <f ca="1">IF($Y461&gt;0,CHOOSE(MATCH(RegimeExecucao,{"Unitário","Global"},0),IF($A461="S",$Y461/$X461,""),($Y461/$X461)*100),0)</f>
        <v>0</v>
      </c>
      <c r="X461" s="339" t="str">
        <f ca="1">IF($Y461&gt;0,CHOOSE(MATCH(RegimeExecucao,{"Unitário","Global"},0),IF($A461="S",ROUND($H461,ORÇAMENTO!$AF$10),""),ROUND($I461,ORÇAMENTO!$AF$11)),"")</f>
        <v/>
      </c>
      <c r="Y461" s="339">
        <f t="shared" ca="1" si="49"/>
        <v>0</v>
      </c>
      <c r="Z461" s="473"/>
      <c r="AB461" s="337"/>
      <c r="AC461" s="437"/>
      <c r="AD461" s="437"/>
      <c r="AE461" s="437"/>
      <c r="AF461" s="437"/>
      <c r="AG461" s="437"/>
      <c r="AH461" s="437"/>
      <c r="AI461" s="437"/>
      <c r="AJ461" s="437"/>
      <c r="AK461" s="437"/>
      <c r="AL461" s="437"/>
      <c r="AM461" s="338"/>
      <c r="AO461">
        <f ca="1">IF($A461="S",IF(BM!$I461=0,0,CHOOSE(MATCH(RegimeExecucao,{"Global","Unitário"},0),ROUND(ROUND(BM.MEDAcumulado,15-13*BM!$A$9)/100*BM!$I461,15-13*ORÇAMENTO!$AF$11),ROUND(ROUND(BM.MEDAcumulado,15-13*BM!$A$9)*ROUND(BM!$H461,15-13*ORÇAMENTO!$AF$10),15-13*ORÇAMENTO!$AF$11))),IF($A461=0,0,ROUND(SomaAgrupBM,15-13*ORÇAMENTO!$AF$11)))</f>
        <v>0</v>
      </c>
    </row>
    <row r="462" spans="1:41" x14ac:dyDescent="0.2">
      <c r="A462">
        <f ca="1">ORÇAMENTO!C462</f>
        <v>3</v>
      </c>
      <c r="B462">
        <f ca="1">ORÇAMENTO!D462</f>
        <v>12</v>
      </c>
      <c r="C462" s="114" t="str">
        <f t="shared" ca="1" si="43"/>
        <v>F</v>
      </c>
      <c r="D462" s="117" t="str">
        <f ca="1">ORÇAMENTO!O462</f>
        <v>1.9.5.</v>
      </c>
      <c r="E462" s="163" t="str">
        <f t="shared" si="44"/>
        <v>SISTEMA DE GRAVAÇÃO</v>
      </c>
      <c r="F462" s="164" t="str">
        <f ca="1">IF(RegimeExecucao="Global","",ORÇAMENTO.Unidade)</f>
        <v>-</v>
      </c>
      <c r="G462" s="122">
        <f ca="1">IF(RegimeExecucao="Global","",ORÇAMENTO!T462)</f>
        <v>0</v>
      </c>
      <c r="H462" s="122">
        <f ca="1">IF(RegimeExecucao="Global","",ORÇAMENTO!W462)</f>
        <v>0</v>
      </c>
      <c r="I462" s="125">
        <f ca="1">ORÇAMENTO!X462</f>
        <v>59708.15</v>
      </c>
      <c r="J462" s="333" cm="1">
        <f t="array" aca="1" ref="J462" ca="1">_xlfn.SINGLE(IF($A462="S",IF(CAIXA.Modo,BM.AFAnterior,BM.MEDAnterior),IF(AND(_xlfn.SINGLE(RegimeExecucao)="Global",$I462&gt;0,COUNTIF($AB$13:$AM$13,BM.medicao-1)&gt;0),M462/$I462*100,0)))</f>
        <v>0</v>
      </c>
      <c r="K462" s="122">
        <f t="shared" ca="1" si="45"/>
        <v>0</v>
      </c>
      <c r="L462" s="334" cm="1">
        <f t="array" aca="1" ref="L462" ca="1">_xlfn.SINGLE(IF($A462="S",IF(CAIXA.Modo,BM.AFAcumulado,BM.MEDAcumulado),IF(AND(_xlfn.SINGLE(RegimeExecucao)="Global",$I462&gt;0,COUNTIF($AB$13:$AM$13,BM.medicao)&gt;0),O462/$I462*100,0)))</f>
        <v>0</v>
      </c>
      <c r="M462" s="335">
        <f ca="1">IF($A462="S",VTOTALBM,IF($A462=0,0,ROUND(SomaAgrupBM,15-13*ORÇAMENTO!$AF$11)))</f>
        <v>0</v>
      </c>
      <c r="N462" s="336">
        <f t="shared" ca="1" si="46"/>
        <v>0</v>
      </c>
      <c r="O462" s="125">
        <f ca="1">IF($A462="S",VTOTALBM,IF($A462=0,0,ROUND(SomaAgrupBM,15-13*ORÇAMENTO!$AF$11)))</f>
        <v>0</v>
      </c>
      <c r="Q462" s="337"/>
      <c r="R462" s="338"/>
      <c r="T462" s="117" t="str">
        <f t="shared" ca="1" si="47"/>
        <v/>
      </c>
      <c r="U462" s="163" t="str">
        <f t="shared" ca="1" si="48"/>
        <v/>
      </c>
      <c r="V462" s="164" t="str">
        <f ca="1">IF(AND($W462&gt;0,RegimeExecucao="Unitário"),$F462,"")</f>
        <v/>
      </c>
      <c r="W462" s="454">
        <f ca="1">IF($Y462&gt;0,CHOOSE(MATCH(RegimeExecucao,{"Unitário","Global"},0),IF($A462="S",$Y462/$X462,""),($Y462/$X462)*100),0)</f>
        <v>0</v>
      </c>
      <c r="X462" s="339" t="str">
        <f ca="1">IF($Y462&gt;0,CHOOSE(MATCH(RegimeExecucao,{"Unitário","Global"},0),IF($A462="S",ROUND($H462,ORÇAMENTO!$AF$10),""),ROUND($I462,ORÇAMENTO!$AF$11)),"")</f>
        <v/>
      </c>
      <c r="Y462" s="339">
        <f t="shared" ca="1" si="49"/>
        <v>0</v>
      </c>
      <c r="Z462" s="473"/>
      <c r="AB462" s="337"/>
      <c r="AC462" s="437"/>
      <c r="AD462" s="437"/>
      <c r="AE462" s="437"/>
      <c r="AF462" s="437"/>
      <c r="AG462" s="437"/>
      <c r="AH462" s="437"/>
      <c r="AI462" s="437"/>
      <c r="AJ462" s="437"/>
      <c r="AK462" s="437"/>
      <c r="AL462" s="437"/>
      <c r="AM462" s="338"/>
      <c r="AO462">
        <f ca="1">IF($A462="S",IF(BM!$I462=0,0,CHOOSE(MATCH(RegimeExecucao,{"Global","Unitário"},0),ROUND(ROUND(BM.MEDAcumulado,15-13*BM!$A$9)/100*BM!$I462,15-13*ORÇAMENTO!$AF$11),ROUND(ROUND(BM.MEDAcumulado,15-13*BM!$A$9)*ROUND(BM!$H462,15-13*ORÇAMENTO!$AF$10),15-13*ORÇAMENTO!$AF$11))),IF($A462=0,0,ROUND(SomaAgrupBM,15-13*ORÇAMENTO!$AF$11)))</f>
        <v>0</v>
      </c>
    </row>
    <row r="463" spans="1:41" ht="38.25" x14ac:dyDescent="0.2">
      <c r="A463" t="str">
        <f ca="1">ORÇAMENTO!C463</f>
        <v>S</v>
      </c>
      <c r="B463">
        <f ca="1">ORÇAMENTO!D463</f>
        <v>0</v>
      </c>
      <c r="C463" s="114" t="str">
        <f t="shared" ca="1" si="43"/>
        <v>F</v>
      </c>
      <c r="D463" s="117" t="str">
        <f ca="1">ORÇAMENTO!O463</f>
        <v>1.9.5.0.1.</v>
      </c>
      <c r="E463" s="163" t="str">
        <f t="shared" ca="1" si="44"/>
        <v>ARMAZENADOR E GERENCIADOR DE IMAGENS DE CÂMERAS, PARA ATÉ 24 CÂMERAS IP, CAPACIDADE PARA ATÉ 4 HDS REF.: NVD 5124 INTELBRÁS OU EQUIVALENTE. - BASEADO CPOS/CDHU (66.08.610)</v>
      </c>
      <c r="F463" s="164" t="str">
        <f ca="1">IF(RegimeExecucao="Global","",ORÇAMENTO.Unidade)</f>
        <v>UN</v>
      </c>
      <c r="G463" s="122">
        <f ca="1">IF(RegimeExecucao="Global","",ORÇAMENTO!T463)</f>
        <v>2</v>
      </c>
      <c r="H463" s="122">
        <f ca="1">IF(RegimeExecucao="Global","",ORÇAMENTO!W463)</f>
        <v>5231.6499999999996</v>
      </c>
      <c r="I463" s="125">
        <f ca="1">ORÇAMENTO!X463</f>
        <v>10463.299999999999</v>
      </c>
      <c r="J463" s="333" cm="1">
        <f t="array" aca="1" ref="J463" ca="1">_xlfn.SINGLE(IF($A463="S",IF(CAIXA.Modo,BM.AFAnterior,BM.MEDAnterior),IF(AND(_xlfn.SINGLE(RegimeExecucao)="Global",$I463&gt;0,COUNTIF($AB$13:$AM$13,BM.medicao-1)&gt;0),M463/$I463*100,0)))</f>
        <v>0</v>
      </c>
      <c r="K463" s="122">
        <f t="shared" ca="1" si="45"/>
        <v>0</v>
      </c>
      <c r="L463" s="334" cm="1">
        <f t="array" aca="1" ref="L463" ca="1">_xlfn.SINGLE(IF($A463="S",IF(CAIXA.Modo,BM.AFAcumulado,BM.MEDAcumulado),IF(AND(_xlfn.SINGLE(RegimeExecucao)="Global",$I463&gt;0,COUNTIF($AB$13:$AM$13,BM.medicao)&gt;0),O463/$I463*100,0)))</f>
        <v>0</v>
      </c>
      <c r="M463" s="335">
        <f ca="1">IF($A463="S",VTOTALBM,IF($A463=0,0,ROUND(SomaAgrupBM,15-13*ORÇAMENTO!$AF$11)))</f>
        <v>0</v>
      </c>
      <c r="N463" s="336">
        <f t="shared" ca="1" si="46"/>
        <v>0</v>
      </c>
      <c r="O463" s="125">
        <f ca="1">IF($A463="S",VTOTALBM,IF($A463=0,0,ROUND(SomaAgrupBM,15-13*ORÇAMENTO!$AF$11)))</f>
        <v>0</v>
      </c>
      <c r="Q463" s="337"/>
      <c r="R463" s="338"/>
      <c r="T463" s="117" t="str">
        <f t="shared" ca="1" si="47"/>
        <v/>
      </c>
      <c r="U463" s="163" t="str">
        <f t="shared" ca="1" si="48"/>
        <v/>
      </c>
      <c r="V463" s="164" t="str">
        <f ca="1">IF(AND($W463&gt;0,RegimeExecucao="Unitário"),$F463,"")</f>
        <v/>
      </c>
      <c r="W463" s="454">
        <f ca="1">IF($Y463&gt;0,CHOOSE(MATCH(RegimeExecucao,{"Unitário","Global"},0),IF($A463="S",$Y463/$X463,""),($Y463/$X463)*100),0)</f>
        <v>0</v>
      </c>
      <c r="X463" s="339" t="str">
        <f ca="1">IF($Y463&gt;0,CHOOSE(MATCH(RegimeExecucao,{"Unitário","Global"},0),IF($A463="S",ROUND($H463,ORÇAMENTO!$AF$10),""),ROUND($I463,ORÇAMENTO!$AF$11)),"")</f>
        <v/>
      </c>
      <c r="Y463" s="339">
        <f t="shared" ca="1" si="49"/>
        <v>0</v>
      </c>
      <c r="Z463" s="473"/>
      <c r="AB463" s="337"/>
      <c r="AC463" s="437"/>
      <c r="AD463" s="437"/>
      <c r="AE463" s="437"/>
      <c r="AF463" s="437"/>
      <c r="AG463" s="437"/>
      <c r="AH463" s="437"/>
      <c r="AI463" s="437"/>
      <c r="AJ463" s="437"/>
      <c r="AK463" s="437"/>
      <c r="AL463" s="437"/>
      <c r="AM463" s="338"/>
      <c r="AO463">
        <f ca="1">IF($A463="S",IF(BM!$I463=0,0,CHOOSE(MATCH(RegimeExecucao,{"Global","Unitário"},0),ROUND(ROUND(BM.MEDAcumulado,15-13*BM!$A$9)/100*BM!$I463,15-13*ORÇAMENTO!$AF$11),ROUND(ROUND(BM.MEDAcumulado,15-13*BM!$A$9)*ROUND(BM!$H463,15-13*ORÇAMENTO!$AF$10),15-13*ORÇAMENTO!$AF$11))),IF($A463=0,0,ROUND(SomaAgrupBM,15-13*ORÇAMENTO!$AF$11)))</f>
        <v>0</v>
      </c>
    </row>
    <row r="464" spans="1:41" ht="25.5" x14ac:dyDescent="0.2">
      <c r="A464" t="str">
        <f ca="1">ORÇAMENTO!C464</f>
        <v>S</v>
      </c>
      <c r="B464">
        <f ca="1">ORÇAMENTO!D464</f>
        <v>0</v>
      </c>
      <c r="C464" s="114" t="str">
        <f t="shared" ca="1" si="43"/>
        <v>F</v>
      </c>
      <c r="D464" s="117" t="str">
        <f ca="1">ORÇAMENTO!O464</f>
        <v>1.9.5.0.2.</v>
      </c>
      <c r="E464" s="163" t="str">
        <f t="shared" ca="1" si="44"/>
        <v>UNIDADE DE DISCO RÍGIDO HD 8TB. REF.:HD WD PURPLE 8TB, 3.5', SATA - WD84PURZ- BASEADA EM CPOS (66.08.340)</v>
      </c>
      <c r="F464" s="164" t="str">
        <f ca="1">IF(RegimeExecucao="Global","",ORÇAMENTO.Unidade)</f>
        <v>UN</v>
      </c>
      <c r="G464" s="122">
        <f ca="1">IF(RegimeExecucao="Global","",ORÇAMENTO!T464)</f>
        <v>2</v>
      </c>
      <c r="H464" s="122">
        <f ca="1">IF(RegimeExecucao="Global","",ORÇAMENTO!W464)</f>
        <v>2384.64</v>
      </c>
      <c r="I464" s="125">
        <f ca="1">ORÇAMENTO!X464</f>
        <v>4769.28</v>
      </c>
      <c r="J464" s="333" cm="1">
        <f t="array" aca="1" ref="J464" ca="1">_xlfn.SINGLE(IF($A464="S",IF(CAIXA.Modo,BM.AFAnterior,BM.MEDAnterior),IF(AND(_xlfn.SINGLE(RegimeExecucao)="Global",$I464&gt;0,COUNTIF($AB$13:$AM$13,BM.medicao-1)&gt;0),M464/$I464*100,0)))</f>
        <v>0</v>
      </c>
      <c r="K464" s="122">
        <f t="shared" ca="1" si="45"/>
        <v>0</v>
      </c>
      <c r="L464" s="334" cm="1">
        <f t="array" aca="1" ref="L464" ca="1">_xlfn.SINGLE(IF($A464="S",IF(CAIXA.Modo,BM.AFAcumulado,BM.MEDAcumulado),IF(AND(_xlfn.SINGLE(RegimeExecucao)="Global",$I464&gt;0,COUNTIF($AB$13:$AM$13,BM.medicao)&gt;0),O464/$I464*100,0)))</f>
        <v>0</v>
      </c>
      <c r="M464" s="335">
        <f ca="1">IF($A464="S",VTOTALBM,IF($A464=0,0,ROUND(SomaAgrupBM,15-13*ORÇAMENTO!$AF$11)))</f>
        <v>0</v>
      </c>
      <c r="N464" s="336">
        <f t="shared" ca="1" si="46"/>
        <v>0</v>
      </c>
      <c r="O464" s="125">
        <f ca="1">IF($A464="S",VTOTALBM,IF($A464=0,0,ROUND(SomaAgrupBM,15-13*ORÇAMENTO!$AF$11)))</f>
        <v>0</v>
      </c>
      <c r="Q464" s="337"/>
      <c r="R464" s="338"/>
      <c r="T464" s="117" t="str">
        <f t="shared" ca="1" si="47"/>
        <v/>
      </c>
      <c r="U464" s="163" t="str">
        <f t="shared" ca="1" si="48"/>
        <v/>
      </c>
      <c r="V464" s="164" t="str">
        <f ca="1">IF(AND($W464&gt;0,RegimeExecucao="Unitário"),$F464,"")</f>
        <v/>
      </c>
      <c r="W464" s="454">
        <f ca="1">IF($Y464&gt;0,CHOOSE(MATCH(RegimeExecucao,{"Unitário","Global"},0),IF($A464="S",$Y464/$X464,""),($Y464/$X464)*100),0)</f>
        <v>0</v>
      </c>
      <c r="X464" s="339" t="str">
        <f ca="1">IF($Y464&gt;0,CHOOSE(MATCH(RegimeExecucao,{"Unitário","Global"},0),IF($A464="S",ROUND($H464,ORÇAMENTO!$AF$10),""),ROUND($I464,ORÇAMENTO!$AF$11)),"")</f>
        <v/>
      </c>
      <c r="Y464" s="339">
        <f t="shared" ca="1" si="49"/>
        <v>0</v>
      </c>
      <c r="Z464" s="473"/>
      <c r="AB464" s="337"/>
      <c r="AC464" s="437"/>
      <c r="AD464" s="437"/>
      <c r="AE464" s="437"/>
      <c r="AF464" s="437"/>
      <c r="AG464" s="437"/>
      <c r="AH464" s="437"/>
      <c r="AI464" s="437"/>
      <c r="AJ464" s="437"/>
      <c r="AK464" s="437"/>
      <c r="AL464" s="437"/>
      <c r="AM464" s="338"/>
      <c r="AO464">
        <f ca="1">IF($A464="S",IF(BM!$I464=0,0,CHOOSE(MATCH(RegimeExecucao,{"Global","Unitário"},0),ROUND(ROUND(BM.MEDAcumulado,15-13*BM!$A$9)/100*BM!$I464,15-13*ORÇAMENTO!$AF$11),ROUND(ROUND(BM.MEDAcumulado,15-13*BM!$A$9)*ROUND(BM!$H464,15-13*ORÇAMENTO!$AF$10),15-13*ORÇAMENTO!$AF$11))),IF($A464=0,0,ROUND(SomaAgrupBM,15-13*ORÇAMENTO!$AF$11)))</f>
        <v>0</v>
      </c>
    </row>
    <row r="465" spans="1:41" ht="25.5" x14ac:dyDescent="0.2">
      <c r="A465" t="str">
        <f ca="1">ORÇAMENTO!C465</f>
        <v>S</v>
      </c>
      <c r="B465">
        <f ca="1">ORÇAMENTO!D465</f>
        <v>0</v>
      </c>
      <c r="C465" s="114" t="str">
        <f t="shared" ca="1" si="43"/>
        <v>F</v>
      </c>
      <c r="D465" s="117" t="str">
        <f ca="1">ORÇAMENTO!O465</f>
        <v>1.9.5.0.3.</v>
      </c>
      <c r="E465" s="163" t="str">
        <f t="shared" ca="1" si="44"/>
        <v>CONVERSOR DE MIDIA 10/100BASE TX (RJ45) PARA FIBRA OTICA 100 - BASEADO EM SBC (079156)</v>
      </c>
      <c r="F465" s="164" t="str">
        <f ca="1">IF(RegimeExecucao="Global","",ORÇAMENTO.Unidade)</f>
        <v>UN</v>
      </c>
      <c r="G465" s="122">
        <f ca="1">IF(RegimeExecucao="Global","",ORÇAMENTO!T465)</f>
        <v>6</v>
      </c>
      <c r="H465" s="122">
        <f ca="1">IF(RegimeExecucao="Global","",ORÇAMENTO!W465)</f>
        <v>2212</v>
      </c>
      <c r="I465" s="125">
        <f ca="1">ORÇAMENTO!X465</f>
        <v>13272</v>
      </c>
      <c r="J465" s="333" cm="1">
        <f t="array" aca="1" ref="J465" ca="1">_xlfn.SINGLE(IF($A465="S",IF(CAIXA.Modo,BM.AFAnterior,BM.MEDAnterior),IF(AND(_xlfn.SINGLE(RegimeExecucao)="Global",$I465&gt;0,COUNTIF($AB$13:$AM$13,BM.medicao-1)&gt;0),M465/$I465*100,0)))</f>
        <v>0</v>
      </c>
      <c r="K465" s="122">
        <f t="shared" ca="1" si="45"/>
        <v>0</v>
      </c>
      <c r="L465" s="334" cm="1">
        <f t="array" aca="1" ref="L465" ca="1">_xlfn.SINGLE(IF($A465="S",IF(CAIXA.Modo,BM.AFAcumulado,BM.MEDAcumulado),IF(AND(_xlfn.SINGLE(RegimeExecucao)="Global",$I465&gt;0,COUNTIF($AB$13:$AM$13,BM.medicao)&gt;0),O465/$I465*100,0)))</f>
        <v>0</v>
      </c>
      <c r="M465" s="335">
        <f ca="1">IF($A465="S",VTOTALBM,IF($A465=0,0,ROUND(SomaAgrupBM,15-13*ORÇAMENTO!$AF$11)))</f>
        <v>0</v>
      </c>
      <c r="N465" s="336">
        <f t="shared" ca="1" si="46"/>
        <v>0</v>
      </c>
      <c r="O465" s="125">
        <f ca="1">IF($A465="S",VTOTALBM,IF($A465=0,0,ROUND(SomaAgrupBM,15-13*ORÇAMENTO!$AF$11)))</f>
        <v>0</v>
      </c>
      <c r="Q465" s="337"/>
      <c r="R465" s="338"/>
      <c r="T465" s="117" t="str">
        <f t="shared" ca="1" si="47"/>
        <v/>
      </c>
      <c r="U465" s="163" t="str">
        <f t="shared" ca="1" si="48"/>
        <v/>
      </c>
      <c r="V465" s="164" t="str">
        <f ca="1">IF(AND($W465&gt;0,RegimeExecucao="Unitário"),$F465,"")</f>
        <v/>
      </c>
      <c r="W465" s="454">
        <f ca="1">IF($Y465&gt;0,CHOOSE(MATCH(RegimeExecucao,{"Unitário","Global"},0),IF($A465="S",$Y465/$X465,""),($Y465/$X465)*100),0)</f>
        <v>0</v>
      </c>
      <c r="X465" s="339" t="str">
        <f ca="1">IF($Y465&gt;0,CHOOSE(MATCH(RegimeExecucao,{"Unitário","Global"},0),IF($A465="S",ROUND($H465,ORÇAMENTO!$AF$10),""),ROUND($I465,ORÇAMENTO!$AF$11)),"")</f>
        <v/>
      </c>
      <c r="Y465" s="339">
        <f t="shared" ca="1" si="49"/>
        <v>0</v>
      </c>
      <c r="Z465" s="473"/>
      <c r="AB465" s="337"/>
      <c r="AC465" s="437"/>
      <c r="AD465" s="437"/>
      <c r="AE465" s="437"/>
      <c r="AF465" s="437"/>
      <c r="AG465" s="437"/>
      <c r="AH465" s="437"/>
      <c r="AI465" s="437"/>
      <c r="AJ465" s="437"/>
      <c r="AK465" s="437"/>
      <c r="AL465" s="437"/>
      <c r="AM465" s="338"/>
      <c r="AO465">
        <f ca="1">IF($A465="S",IF(BM!$I465=0,0,CHOOSE(MATCH(RegimeExecucao,{"Global","Unitário"},0),ROUND(ROUND(BM.MEDAcumulado,15-13*BM!$A$9)/100*BM!$I465,15-13*ORÇAMENTO!$AF$11),ROUND(ROUND(BM.MEDAcumulado,15-13*BM!$A$9)*ROUND(BM!$H465,15-13*ORÇAMENTO!$AF$10),15-13*ORÇAMENTO!$AF$11))),IF($A465=0,0,ROUND(SomaAgrupBM,15-13*ORÇAMENTO!$AF$11)))</f>
        <v>0</v>
      </c>
    </row>
    <row r="466" spans="1:41" ht="25.5" x14ac:dyDescent="0.2">
      <c r="A466" t="str">
        <f ca="1">ORÇAMENTO!C466</f>
        <v>S</v>
      </c>
      <c r="B466">
        <f ca="1">ORÇAMENTO!D466</f>
        <v>0</v>
      </c>
      <c r="C466" s="114" t="str">
        <f t="shared" ca="1" si="43"/>
        <v>F</v>
      </c>
      <c r="D466" s="117" t="str">
        <f ca="1">ORÇAMENTO!O466</f>
        <v>1.9.5.0.4.</v>
      </c>
      <c r="E466" s="163" t="str">
        <f t="shared" ca="1" si="44"/>
        <v>FORNECIMENTO E INSTALAÇÃO DE NOBREAK 1200VA 6 TOMADAS BIVOLT- BASEADO EM IOPES (160866)</v>
      </c>
      <c r="F466" s="164" t="str">
        <f ca="1">IF(RegimeExecucao="Global","",ORÇAMENTO.Unidade)</f>
        <v>UN</v>
      </c>
      <c r="G466" s="122">
        <f ca="1">IF(RegimeExecucao="Global","",ORÇAMENTO!T466)</f>
        <v>3</v>
      </c>
      <c r="H466" s="122">
        <f ca="1">IF(RegimeExecucao="Global","",ORÇAMENTO!W466)</f>
        <v>1135.8399999999999</v>
      </c>
      <c r="I466" s="125">
        <f ca="1">ORÇAMENTO!X466</f>
        <v>3407.52</v>
      </c>
      <c r="J466" s="333" cm="1">
        <f t="array" aca="1" ref="J466" ca="1">_xlfn.SINGLE(IF($A466="S",IF(CAIXA.Modo,BM.AFAnterior,BM.MEDAnterior),IF(AND(_xlfn.SINGLE(RegimeExecucao)="Global",$I466&gt;0,COUNTIF($AB$13:$AM$13,BM.medicao-1)&gt;0),M466/$I466*100,0)))</f>
        <v>0</v>
      </c>
      <c r="K466" s="122">
        <f t="shared" ca="1" si="45"/>
        <v>0</v>
      </c>
      <c r="L466" s="334" cm="1">
        <f t="array" aca="1" ref="L466" ca="1">_xlfn.SINGLE(IF($A466="S",IF(CAIXA.Modo,BM.AFAcumulado,BM.MEDAcumulado),IF(AND(_xlfn.SINGLE(RegimeExecucao)="Global",$I466&gt;0,COUNTIF($AB$13:$AM$13,BM.medicao)&gt;0),O466/$I466*100,0)))</f>
        <v>0</v>
      </c>
      <c r="M466" s="335">
        <f ca="1">IF($A466="S",VTOTALBM,IF($A466=0,0,ROUND(SomaAgrupBM,15-13*ORÇAMENTO!$AF$11)))</f>
        <v>0</v>
      </c>
      <c r="N466" s="336">
        <f t="shared" ca="1" si="46"/>
        <v>0</v>
      </c>
      <c r="O466" s="125">
        <f ca="1">IF($A466="S",VTOTALBM,IF($A466=0,0,ROUND(SomaAgrupBM,15-13*ORÇAMENTO!$AF$11)))</f>
        <v>0</v>
      </c>
      <c r="Q466" s="337"/>
      <c r="R466" s="338"/>
      <c r="T466" s="117" t="str">
        <f t="shared" ca="1" si="47"/>
        <v/>
      </c>
      <c r="U466" s="163" t="str">
        <f t="shared" ca="1" si="48"/>
        <v/>
      </c>
      <c r="V466" s="164" t="str">
        <f ca="1">IF(AND($W466&gt;0,RegimeExecucao="Unitário"),$F466,"")</f>
        <v/>
      </c>
      <c r="W466" s="454">
        <f ca="1">IF($Y466&gt;0,CHOOSE(MATCH(RegimeExecucao,{"Unitário","Global"},0),IF($A466="S",$Y466/$X466,""),($Y466/$X466)*100),0)</f>
        <v>0</v>
      </c>
      <c r="X466" s="339" t="str">
        <f ca="1">IF($Y466&gt;0,CHOOSE(MATCH(RegimeExecucao,{"Unitário","Global"},0),IF($A466="S",ROUND($H466,ORÇAMENTO!$AF$10),""),ROUND($I466,ORÇAMENTO!$AF$11)),"")</f>
        <v/>
      </c>
      <c r="Y466" s="339">
        <f t="shared" ca="1" si="49"/>
        <v>0</v>
      </c>
      <c r="Z466" s="473"/>
      <c r="AB466" s="337"/>
      <c r="AC466" s="437"/>
      <c r="AD466" s="437"/>
      <c r="AE466" s="437"/>
      <c r="AF466" s="437"/>
      <c r="AG466" s="437"/>
      <c r="AH466" s="437"/>
      <c r="AI466" s="437"/>
      <c r="AJ466" s="437"/>
      <c r="AK466" s="437"/>
      <c r="AL466" s="437"/>
      <c r="AM466" s="338"/>
      <c r="AO466">
        <f ca="1">IF($A466="S",IF(BM!$I466=0,0,CHOOSE(MATCH(RegimeExecucao,{"Global","Unitário"},0),ROUND(ROUND(BM.MEDAcumulado,15-13*BM!$A$9)/100*BM!$I466,15-13*ORÇAMENTO!$AF$11),ROUND(ROUND(BM.MEDAcumulado,15-13*BM!$A$9)*ROUND(BM!$H466,15-13*ORÇAMENTO!$AF$10),15-13*ORÇAMENTO!$AF$11))),IF($A466=0,0,ROUND(SomaAgrupBM,15-13*ORÇAMENTO!$AF$11)))</f>
        <v>0</v>
      </c>
    </row>
    <row r="467" spans="1:41" ht="38.25" x14ac:dyDescent="0.2">
      <c r="A467" t="str">
        <f ca="1">ORÇAMENTO!C467</f>
        <v>S</v>
      </c>
      <c r="B467">
        <f ca="1">ORÇAMENTO!D467</f>
        <v>0</v>
      </c>
      <c r="C467" s="114" t="str">
        <f t="shared" ca="1" si="43"/>
        <v>F</v>
      </c>
      <c r="D467" s="117" t="str">
        <f ca="1">ORÇAMENTO!O467</f>
        <v>1.9.5.0.5.</v>
      </c>
      <c r="E467" s="163" t="str">
        <f t="shared" ca="1" si="44"/>
        <v>SWITCH GERENCIAVEL 24 PORTAS GIGA + 4 PORTAS SFP 1000 BASE-X POE S2328G - INTELBRAS OU SIMILAR - BASEADO EM CPOS/CDHU (66.20.225)</v>
      </c>
      <c r="F467" s="164" t="str">
        <f ca="1">IF(RegimeExecucao="Global","",ORÇAMENTO.Unidade)</f>
        <v>UN</v>
      </c>
      <c r="G467" s="122">
        <f ca="1">IF(RegimeExecucao="Global","",ORÇAMENTO!T467)</f>
        <v>2</v>
      </c>
      <c r="H467" s="122">
        <f ca="1">IF(RegimeExecucao="Global","",ORÇAMENTO!W467)</f>
        <v>5002.6400000000003</v>
      </c>
      <c r="I467" s="125">
        <f ca="1">ORÇAMENTO!X467</f>
        <v>10005.280000000001</v>
      </c>
      <c r="J467" s="333" cm="1">
        <f t="array" aca="1" ref="J467" ca="1">_xlfn.SINGLE(IF($A467="S",IF(CAIXA.Modo,BM.AFAnterior,BM.MEDAnterior),IF(AND(_xlfn.SINGLE(RegimeExecucao)="Global",$I467&gt;0,COUNTIF($AB$13:$AM$13,BM.medicao-1)&gt;0),M467/$I467*100,0)))</f>
        <v>0</v>
      </c>
      <c r="K467" s="122">
        <f t="shared" ca="1" si="45"/>
        <v>0</v>
      </c>
      <c r="L467" s="334" cm="1">
        <f t="array" aca="1" ref="L467" ca="1">_xlfn.SINGLE(IF($A467="S",IF(CAIXA.Modo,BM.AFAcumulado,BM.MEDAcumulado),IF(AND(_xlfn.SINGLE(RegimeExecucao)="Global",$I467&gt;0,COUNTIF($AB$13:$AM$13,BM.medicao)&gt;0),O467/$I467*100,0)))</f>
        <v>0</v>
      </c>
      <c r="M467" s="335">
        <f ca="1">IF($A467="S",VTOTALBM,IF($A467=0,0,ROUND(SomaAgrupBM,15-13*ORÇAMENTO!$AF$11)))</f>
        <v>0</v>
      </c>
      <c r="N467" s="336">
        <f t="shared" ca="1" si="46"/>
        <v>0</v>
      </c>
      <c r="O467" s="125">
        <f ca="1">IF($A467="S",VTOTALBM,IF($A467=0,0,ROUND(SomaAgrupBM,15-13*ORÇAMENTO!$AF$11)))</f>
        <v>0</v>
      </c>
      <c r="Q467" s="337"/>
      <c r="R467" s="338"/>
      <c r="T467" s="117" t="str">
        <f t="shared" ca="1" si="47"/>
        <v/>
      </c>
      <c r="U467" s="163" t="str">
        <f t="shared" ca="1" si="48"/>
        <v/>
      </c>
      <c r="V467" s="164" t="str">
        <f ca="1">IF(AND($W467&gt;0,RegimeExecucao="Unitário"),$F467,"")</f>
        <v/>
      </c>
      <c r="W467" s="454">
        <f ca="1">IF($Y467&gt;0,CHOOSE(MATCH(RegimeExecucao,{"Unitário","Global"},0),IF($A467="S",$Y467/$X467,""),($Y467/$X467)*100),0)</f>
        <v>0</v>
      </c>
      <c r="X467" s="339" t="str">
        <f ca="1">IF($Y467&gt;0,CHOOSE(MATCH(RegimeExecucao,{"Unitário","Global"},0),IF($A467="S",ROUND($H467,ORÇAMENTO!$AF$10),""),ROUND($I467,ORÇAMENTO!$AF$11)),"")</f>
        <v/>
      </c>
      <c r="Y467" s="339">
        <f t="shared" ca="1" si="49"/>
        <v>0</v>
      </c>
      <c r="Z467" s="473"/>
      <c r="AB467" s="337"/>
      <c r="AC467" s="437"/>
      <c r="AD467" s="437"/>
      <c r="AE467" s="437"/>
      <c r="AF467" s="437"/>
      <c r="AG467" s="437"/>
      <c r="AH467" s="437"/>
      <c r="AI467" s="437"/>
      <c r="AJ467" s="437"/>
      <c r="AK467" s="437"/>
      <c r="AL467" s="437"/>
      <c r="AM467" s="338"/>
      <c r="AO467">
        <f ca="1">IF($A467="S",IF(BM!$I467=0,0,CHOOSE(MATCH(RegimeExecucao,{"Global","Unitário"},0),ROUND(ROUND(BM.MEDAcumulado,15-13*BM!$A$9)/100*BM!$I467,15-13*ORÇAMENTO!$AF$11),ROUND(ROUND(BM.MEDAcumulado,15-13*BM!$A$9)*ROUND(BM!$H467,15-13*ORÇAMENTO!$AF$10),15-13*ORÇAMENTO!$AF$11))),IF($A467=0,0,ROUND(SomaAgrupBM,15-13*ORÇAMENTO!$AF$11)))</f>
        <v>0</v>
      </c>
    </row>
    <row r="468" spans="1:41" ht="25.5" x14ac:dyDescent="0.2">
      <c r="A468" t="str">
        <f ca="1">ORÇAMENTO!C468</f>
        <v>S</v>
      </c>
      <c r="B468">
        <f ca="1">ORÇAMENTO!D468</f>
        <v>0</v>
      </c>
      <c r="C468" s="114" t="str">
        <f t="shared" ca="1" si="43"/>
        <v>F</v>
      </c>
      <c r="D468" s="117" t="str">
        <f ca="1">ORÇAMENTO!O468</f>
        <v>1.9.5.0.6.</v>
      </c>
      <c r="E468" s="163" t="str">
        <f t="shared" ca="1" si="44"/>
        <v>Switch POE 9 portas Fast10/100 (8 PORTAS POE+) TL-SF1009P - BASEADO EM SBC (059332)</v>
      </c>
      <c r="F468" s="164" t="str">
        <f ca="1">IF(RegimeExecucao="Global","",ORÇAMENTO.Unidade)</f>
        <v>UN</v>
      </c>
      <c r="G468" s="122">
        <f ca="1">IF(RegimeExecucao="Global","",ORÇAMENTO!T468)</f>
        <v>3</v>
      </c>
      <c r="H468" s="122">
        <f ca="1">IF(RegimeExecucao="Global","",ORÇAMENTO!W468)</f>
        <v>425.69</v>
      </c>
      <c r="I468" s="125">
        <f ca="1">ORÇAMENTO!X468</f>
        <v>1277.07</v>
      </c>
      <c r="J468" s="333" cm="1">
        <f t="array" aca="1" ref="J468" ca="1">_xlfn.SINGLE(IF($A468="S",IF(CAIXA.Modo,BM.AFAnterior,BM.MEDAnterior),IF(AND(_xlfn.SINGLE(RegimeExecucao)="Global",$I468&gt;0,COUNTIF($AB$13:$AM$13,BM.medicao-1)&gt;0),M468/$I468*100,0)))</f>
        <v>0</v>
      </c>
      <c r="K468" s="122">
        <f t="shared" ca="1" si="45"/>
        <v>0</v>
      </c>
      <c r="L468" s="334" cm="1">
        <f t="array" aca="1" ref="L468" ca="1">_xlfn.SINGLE(IF($A468="S",IF(CAIXA.Modo,BM.AFAcumulado,BM.MEDAcumulado),IF(AND(_xlfn.SINGLE(RegimeExecucao)="Global",$I468&gt;0,COUNTIF($AB$13:$AM$13,BM.medicao)&gt;0),O468/$I468*100,0)))</f>
        <v>0</v>
      </c>
      <c r="M468" s="335">
        <f ca="1">IF($A468="S",VTOTALBM,IF($A468=0,0,ROUND(SomaAgrupBM,15-13*ORÇAMENTO!$AF$11)))</f>
        <v>0</v>
      </c>
      <c r="N468" s="336">
        <f t="shared" ca="1" si="46"/>
        <v>0</v>
      </c>
      <c r="O468" s="125">
        <f ca="1">IF($A468="S",VTOTALBM,IF($A468=0,0,ROUND(SomaAgrupBM,15-13*ORÇAMENTO!$AF$11)))</f>
        <v>0</v>
      </c>
      <c r="Q468" s="337"/>
      <c r="R468" s="338"/>
      <c r="T468" s="117" t="str">
        <f t="shared" ca="1" si="47"/>
        <v/>
      </c>
      <c r="U468" s="163" t="str">
        <f t="shared" ca="1" si="48"/>
        <v/>
      </c>
      <c r="V468" s="164" t="str">
        <f ca="1">IF(AND($W468&gt;0,RegimeExecucao="Unitário"),$F468,"")</f>
        <v/>
      </c>
      <c r="W468" s="454">
        <f ca="1">IF($Y468&gt;0,CHOOSE(MATCH(RegimeExecucao,{"Unitário","Global"},0),IF($A468="S",$Y468/$X468,""),($Y468/$X468)*100),0)</f>
        <v>0</v>
      </c>
      <c r="X468" s="339" t="str">
        <f ca="1">IF($Y468&gt;0,CHOOSE(MATCH(RegimeExecucao,{"Unitário","Global"},0),IF($A468="S",ROUND($H468,ORÇAMENTO!$AF$10),""),ROUND($I468,ORÇAMENTO!$AF$11)),"")</f>
        <v/>
      </c>
      <c r="Y468" s="339">
        <f t="shared" ca="1" si="49"/>
        <v>0</v>
      </c>
      <c r="Z468" s="473"/>
      <c r="AB468" s="337"/>
      <c r="AC468" s="437"/>
      <c r="AD468" s="437"/>
      <c r="AE468" s="437"/>
      <c r="AF468" s="437"/>
      <c r="AG468" s="437"/>
      <c r="AH468" s="437"/>
      <c r="AI468" s="437"/>
      <c r="AJ468" s="437"/>
      <c r="AK468" s="437"/>
      <c r="AL468" s="437"/>
      <c r="AM468" s="338"/>
      <c r="AO468">
        <f ca="1">IF($A468="S",IF(BM!$I468=0,0,CHOOSE(MATCH(RegimeExecucao,{"Global","Unitário"},0),ROUND(ROUND(BM.MEDAcumulado,15-13*BM!$A$9)/100*BM!$I468,15-13*ORÇAMENTO!$AF$11),ROUND(ROUND(BM.MEDAcumulado,15-13*BM!$A$9)*ROUND(BM!$H468,15-13*ORÇAMENTO!$AF$10),15-13*ORÇAMENTO!$AF$11))),IF($A468=0,0,ROUND(SomaAgrupBM,15-13*ORÇAMENTO!$AF$11)))</f>
        <v>0</v>
      </c>
    </row>
    <row r="469" spans="1:41" ht="25.5" x14ac:dyDescent="0.2">
      <c r="A469" t="str">
        <f ca="1">ORÇAMENTO!C469</f>
        <v>S</v>
      </c>
      <c r="B469">
        <f ca="1">ORÇAMENTO!D469</f>
        <v>0</v>
      </c>
      <c r="C469" s="114" t="str">
        <f t="shared" ref="C469:C507" ca="1" si="50">IF(OR($I469&gt;0,$A469=1,$A469=2,$A469=3,$A469=4),"F","")</f>
        <v>F</v>
      </c>
      <c r="D469" s="117" t="str">
        <f ca="1">ORÇAMENTO!O469</f>
        <v>1.9.5.0.7.</v>
      </c>
      <c r="E469" s="163" t="str">
        <f t="shared" ref="E469:E507" ca="1" si="51">ORÇAMENTO.Descricao</f>
        <v>CABO DE FIBRA ÓPTICA, MULTIMODO, LSZH, 2 PARES - BASEADO EM SBC (059560)</v>
      </c>
      <c r="F469" s="164" t="str">
        <f ca="1">IF(RegimeExecucao="Global","",ORÇAMENTO.Unidade)</f>
        <v>M</v>
      </c>
      <c r="G469" s="122">
        <f ca="1">IF(RegimeExecucao="Global","",ORÇAMENTO!T469)</f>
        <v>653</v>
      </c>
      <c r="H469" s="122">
        <f ca="1">IF(RegimeExecucao="Global","",ORÇAMENTO!W469)</f>
        <v>18.28</v>
      </c>
      <c r="I469" s="125">
        <f ca="1">ORÇAMENTO!X469</f>
        <v>11936.84</v>
      </c>
      <c r="J469" s="333" cm="1">
        <f t="array" aca="1" ref="J469" ca="1">_xlfn.SINGLE(IF($A469="S",IF(CAIXA.Modo,BM.AFAnterior,BM.MEDAnterior),IF(AND(_xlfn.SINGLE(RegimeExecucao)="Global",$I469&gt;0,COUNTIF($AB$13:$AM$13,BM.medicao-1)&gt;0),M469/$I469*100,0)))</f>
        <v>0</v>
      </c>
      <c r="K469" s="122">
        <f t="shared" ref="K469:K507" ca="1" si="52">L469-J469</f>
        <v>0</v>
      </c>
      <c r="L469" s="334" cm="1">
        <f t="array" aca="1" ref="L469" ca="1">_xlfn.SINGLE(IF($A469="S",IF(CAIXA.Modo,BM.AFAcumulado,BM.MEDAcumulado),IF(AND(_xlfn.SINGLE(RegimeExecucao)="Global",$I469&gt;0,COUNTIF($AB$13:$AM$13,BM.medicao)&gt;0),O469/$I469*100,0)))</f>
        <v>0</v>
      </c>
      <c r="M469" s="335">
        <f ca="1">IF($A469="S",VTOTALBM,IF($A469=0,0,ROUND(SomaAgrupBM,15-13*ORÇAMENTO!$AF$11)))</f>
        <v>0</v>
      </c>
      <c r="N469" s="336">
        <f t="shared" ref="N469:N507" ca="1" si="53">O469-M469</f>
        <v>0</v>
      </c>
      <c r="O469" s="125">
        <f ca="1">IF($A469="S",VTOTALBM,IF($A469=0,0,ROUND(SomaAgrupBM,15-13*ORÇAMENTO!$AF$11)))</f>
        <v>0</v>
      </c>
      <c r="Q469" s="337"/>
      <c r="R469" s="338"/>
      <c r="T469" s="117" t="str">
        <f t="shared" ref="T469:T507" ca="1" si="54">IF($W469&gt;0,$D469,"")</f>
        <v/>
      </c>
      <c r="U469" s="163" t="str">
        <f t="shared" ref="U469:U507" ca="1" si="55">IF($W469&gt;0,$E469,"")</f>
        <v/>
      </c>
      <c r="V469" s="164" t="str">
        <f ca="1">IF(AND($W469&gt;0,RegimeExecucao="Unitário"),$F469,"")</f>
        <v/>
      </c>
      <c r="W469" s="454">
        <f ca="1">IF($Y469&gt;0,CHOOSE(MATCH(RegimeExecucao,{"Unitário","Global"},0),IF($A469="S",$Y469/$X469,""),($Y469/$X469)*100),0)</f>
        <v>0</v>
      </c>
      <c r="X469" s="339" t="str">
        <f ca="1">IF($Y469&gt;0,CHOOSE(MATCH(RegimeExecucao,{"Unitário","Global"},0),IF($A469="S",ROUND($H469,ORÇAMENTO!$AF$10),""),ROUND($I469,ORÇAMENTO!$AF$11)),"")</f>
        <v/>
      </c>
      <c r="Y469" s="339">
        <f t="shared" ref="Y469:Y507" ca="1" si="56">AO469-O469</f>
        <v>0</v>
      </c>
      <c r="Z469" s="473"/>
      <c r="AB469" s="337"/>
      <c r="AC469" s="437"/>
      <c r="AD469" s="437"/>
      <c r="AE469" s="437"/>
      <c r="AF469" s="437"/>
      <c r="AG469" s="437"/>
      <c r="AH469" s="437"/>
      <c r="AI469" s="437"/>
      <c r="AJ469" s="437"/>
      <c r="AK469" s="437"/>
      <c r="AL469" s="437"/>
      <c r="AM469" s="338"/>
      <c r="AO469">
        <f ca="1">IF($A469="S",IF(BM!$I469=0,0,CHOOSE(MATCH(RegimeExecucao,{"Global","Unitário"},0),ROUND(ROUND(BM.MEDAcumulado,15-13*BM!$A$9)/100*BM!$I469,15-13*ORÇAMENTO!$AF$11),ROUND(ROUND(BM.MEDAcumulado,15-13*BM!$A$9)*ROUND(BM!$H469,15-13*ORÇAMENTO!$AF$10),15-13*ORÇAMENTO!$AF$11))),IF($A469=0,0,ROUND(SomaAgrupBM,15-13*ORÇAMENTO!$AF$11)))</f>
        <v>0</v>
      </c>
    </row>
    <row r="470" spans="1:41" ht="25.5" x14ac:dyDescent="0.2">
      <c r="A470" t="str">
        <f ca="1">ORÇAMENTO!C470</f>
        <v>S</v>
      </c>
      <c r="B470">
        <f ca="1">ORÇAMENTO!D470</f>
        <v>0</v>
      </c>
      <c r="C470" s="114" t="str">
        <f t="shared" ca="1" si="50"/>
        <v>F</v>
      </c>
      <c r="D470" s="117" t="str">
        <f ca="1">ORÇAMENTO!O470</f>
        <v>1.9.5.0.8.</v>
      </c>
      <c r="E470" s="163" t="str">
        <f t="shared" ca="1" si="51"/>
        <v>CORDAO OPTICO DUPLEX MULTIMODO, CONECTORES DIVERSOS - 1,5M OU 2,5 M - BASEADO EM SBC (059566)</v>
      </c>
      <c r="F470" s="164" t="str">
        <f ca="1">IF(RegimeExecucao="Global","",ORÇAMENTO.Unidade)</f>
        <v>UN</v>
      </c>
      <c r="G470" s="122">
        <f ca="1">IF(RegimeExecucao="Global","",ORÇAMENTO!T470)</f>
        <v>3</v>
      </c>
      <c r="H470" s="122">
        <f ca="1">IF(RegimeExecucao="Global","",ORÇAMENTO!W470)</f>
        <v>63.06</v>
      </c>
      <c r="I470" s="125">
        <f ca="1">ORÇAMENTO!X470</f>
        <v>189.18</v>
      </c>
      <c r="J470" s="333" cm="1">
        <f t="array" aca="1" ref="J470" ca="1">_xlfn.SINGLE(IF($A470="S",IF(CAIXA.Modo,BM.AFAnterior,BM.MEDAnterior),IF(AND(_xlfn.SINGLE(RegimeExecucao)="Global",$I470&gt;0,COUNTIF($AB$13:$AM$13,BM.medicao-1)&gt;0),M470/$I470*100,0)))</f>
        <v>0</v>
      </c>
      <c r="K470" s="122">
        <f t="shared" ca="1" si="52"/>
        <v>0</v>
      </c>
      <c r="L470" s="334" cm="1">
        <f t="array" aca="1" ref="L470" ca="1">_xlfn.SINGLE(IF($A470="S",IF(CAIXA.Modo,BM.AFAcumulado,BM.MEDAcumulado),IF(AND(_xlfn.SINGLE(RegimeExecucao)="Global",$I470&gt;0,COUNTIF($AB$13:$AM$13,BM.medicao)&gt;0),O470/$I470*100,0)))</f>
        <v>0</v>
      </c>
      <c r="M470" s="335">
        <f ca="1">IF($A470="S",VTOTALBM,IF($A470=0,0,ROUND(SomaAgrupBM,15-13*ORÇAMENTO!$AF$11)))</f>
        <v>0</v>
      </c>
      <c r="N470" s="336">
        <f t="shared" ca="1" si="53"/>
        <v>0</v>
      </c>
      <c r="O470" s="125">
        <f ca="1">IF($A470="S",VTOTALBM,IF($A470=0,0,ROUND(SomaAgrupBM,15-13*ORÇAMENTO!$AF$11)))</f>
        <v>0</v>
      </c>
      <c r="Q470" s="337"/>
      <c r="R470" s="338"/>
      <c r="T470" s="117" t="str">
        <f t="shared" ca="1" si="54"/>
        <v/>
      </c>
      <c r="U470" s="163" t="str">
        <f t="shared" ca="1" si="55"/>
        <v/>
      </c>
      <c r="V470" s="164" t="str">
        <f ca="1">IF(AND($W470&gt;0,RegimeExecucao="Unitário"),$F470,"")</f>
        <v/>
      </c>
      <c r="W470" s="454">
        <f ca="1">IF($Y470&gt;0,CHOOSE(MATCH(RegimeExecucao,{"Unitário","Global"},0),IF($A470="S",$Y470/$X470,""),($Y470/$X470)*100),0)</f>
        <v>0</v>
      </c>
      <c r="X470" s="339" t="str">
        <f ca="1">IF($Y470&gt;0,CHOOSE(MATCH(RegimeExecucao,{"Unitário","Global"},0),IF($A470="S",ROUND($H470,ORÇAMENTO!$AF$10),""),ROUND($I470,ORÇAMENTO!$AF$11)),"")</f>
        <v/>
      </c>
      <c r="Y470" s="339">
        <f t="shared" ca="1" si="56"/>
        <v>0</v>
      </c>
      <c r="Z470" s="473"/>
      <c r="AB470" s="337"/>
      <c r="AC470" s="437"/>
      <c r="AD470" s="437"/>
      <c r="AE470" s="437"/>
      <c r="AF470" s="437"/>
      <c r="AG470" s="437"/>
      <c r="AH470" s="437"/>
      <c r="AI470" s="437"/>
      <c r="AJ470" s="437"/>
      <c r="AK470" s="437"/>
      <c r="AL470" s="437"/>
      <c r="AM470" s="338"/>
      <c r="AO470">
        <f ca="1">IF($A470="S",IF(BM!$I470=0,0,CHOOSE(MATCH(RegimeExecucao,{"Global","Unitário"},0),ROUND(ROUND(BM.MEDAcumulado,15-13*BM!$A$9)/100*BM!$I470,15-13*ORÇAMENTO!$AF$11),ROUND(ROUND(BM.MEDAcumulado,15-13*BM!$A$9)*ROUND(BM!$H470,15-13*ORÇAMENTO!$AF$10),15-13*ORÇAMENTO!$AF$11))),IF($A470=0,0,ROUND(SomaAgrupBM,15-13*ORÇAMENTO!$AF$11)))</f>
        <v>0</v>
      </c>
    </row>
    <row r="471" spans="1:41" ht="25.5" x14ac:dyDescent="0.2">
      <c r="A471" t="str">
        <f ca="1">ORÇAMENTO!C471</f>
        <v>S</v>
      </c>
      <c r="B471">
        <f ca="1">ORÇAMENTO!D471</f>
        <v>0</v>
      </c>
      <c r="C471" s="114" t="str">
        <f t="shared" ca="1" si="50"/>
        <v>F</v>
      </c>
      <c r="D471" s="117" t="str">
        <f ca="1">ORÇAMENTO!O471</f>
        <v>1.9.5.0.9.</v>
      </c>
      <c r="E471" s="163" t="str">
        <f t="shared" ca="1" si="51"/>
        <v>DISTRIBUIDOR INTERNO OPTICO DIO 24 FIBRAS  - BASEADO EM SBC (059251)</v>
      </c>
      <c r="F471" s="164" t="str">
        <f ca="1">IF(RegimeExecucao="Global","",ORÇAMENTO.Unidade)</f>
        <v>UN</v>
      </c>
      <c r="G471" s="122">
        <f ca="1">IF(RegimeExecucao="Global","",ORÇAMENTO!T471)</f>
        <v>2</v>
      </c>
      <c r="H471" s="122">
        <f ca="1">IF(RegimeExecucao="Global","",ORÇAMENTO!W471)</f>
        <v>591.96</v>
      </c>
      <c r="I471" s="125">
        <f ca="1">ORÇAMENTO!X471</f>
        <v>1183.92</v>
      </c>
      <c r="J471" s="333" cm="1">
        <f t="array" aca="1" ref="J471" ca="1">_xlfn.SINGLE(IF($A471="S",IF(CAIXA.Modo,BM.AFAnterior,BM.MEDAnterior),IF(AND(_xlfn.SINGLE(RegimeExecucao)="Global",$I471&gt;0,COUNTIF($AB$13:$AM$13,BM.medicao-1)&gt;0),M471/$I471*100,0)))</f>
        <v>0</v>
      </c>
      <c r="K471" s="122">
        <f t="shared" ca="1" si="52"/>
        <v>0</v>
      </c>
      <c r="L471" s="334" cm="1">
        <f t="array" aca="1" ref="L471" ca="1">_xlfn.SINGLE(IF($A471="S",IF(CAIXA.Modo,BM.AFAcumulado,BM.MEDAcumulado),IF(AND(_xlfn.SINGLE(RegimeExecucao)="Global",$I471&gt;0,COUNTIF($AB$13:$AM$13,BM.medicao)&gt;0),O471/$I471*100,0)))</f>
        <v>0</v>
      </c>
      <c r="M471" s="335">
        <f ca="1">IF($A471="S",VTOTALBM,IF($A471=0,0,ROUND(SomaAgrupBM,15-13*ORÇAMENTO!$AF$11)))</f>
        <v>0</v>
      </c>
      <c r="N471" s="336">
        <f t="shared" ca="1" si="53"/>
        <v>0</v>
      </c>
      <c r="O471" s="125">
        <f ca="1">IF($A471="S",VTOTALBM,IF($A471=0,0,ROUND(SomaAgrupBM,15-13*ORÇAMENTO!$AF$11)))</f>
        <v>0</v>
      </c>
      <c r="Q471" s="337"/>
      <c r="R471" s="338"/>
      <c r="T471" s="117" t="str">
        <f t="shared" ca="1" si="54"/>
        <v/>
      </c>
      <c r="U471" s="163" t="str">
        <f t="shared" ca="1" si="55"/>
        <v/>
      </c>
      <c r="V471" s="164" t="str">
        <f ca="1">IF(AND($W471&gt;0,RegimeExecucao="Unitário"),$F471,"")</f>
        <v/>
      </c>
      <c r="W471" s="454">
        <f ca="1">IF($Y471&gt;0,CHOOSE(MATCH(RegimeExecucao,{"Unitário","Global"},0),IF($A471="S",$Y471/$X471,""),($Y471/$X471)*100),0)</f>
        <v>0</v>
      </c>
      <c r="X471" s="339" t="str">
        <f ca="1">IF($Y471&gt;0,CHOOSE(MATCH(RegimeExecucao,{"Unitário","Global"},0),IF($A471="S",ROUND($H471,ORÇAMENTO!$AF$10),""),ROUND($I471,ORÇAMENTO!$AF$11)),"")</f>
        <v/>
      </c>
      <c r="Y471" s="339">
        <f t="shared" ca="1" si="56"/>
        <v>0</v>
      </c>
      <c r="Z471" s="473"/>
      <c r="AB471" s="337"/>
      <c r="AC471" s="437"/>
      <c r="AD471" s="437"/>
      <c r="AE471" s="437"/>
      <c r="AF471" s="437"/>
      <c r="AG471" s="437"/>
      <c r="AH471" s="437"/>
      <c r="AI471" s="437"/>
      <c r="AJ471" s="437"/>
      <c r="AK471" s="437"/>
      <c r="AL471" s="437"/>
      <c r="AM471" s="338"/>
      <c r="AO471">
        <f ca="1">IF($A471="S",IF(BM!$I471=0,0,CHOOSE(MATCH(RegimeExecucao,{"Global","Unitário"},0),ROUND(ROUND(BM.MEDAcumulado,15-13*BM!$A$9)/100*BM!$I471,15-13*ORÇAMENTO!$AF$11),ROUND(ROUND(BM.MEDAcumulado,15-13*BM!$A$9)*ROUND(BM!$H471,15-13*ORÇAMENTO!$AF$10),15-13*ORÇAMENTO!$AF$11))),IF($A471=0,0,ROUND(SomaAgrupBM,15-13*ORÇAMENTO!$AF$11)))</f>
        <v>0</v>
      </c>
    </row>
    <row r="472" spans="1:41" ht="25.5" x14ac:dyDescent="0.2">
      <c r="A472" t="str">
        <f ca="1">ORÇAMENTO!C472</f>
        <v>S</v>
      </c>
      <c r="B472">
        <f ca="1">ORÇAMENTO!D472</f>
        <v>0</v>
      </c>
      <c r="C472" s="114" t="str">
        <f t="shared" ca="1" si="50"/>
        <v>F</v>
      </c>
      <c r="D472" s="117" t="str">
        <f ca="1">ORÇAMENTO!O472</f>
        <v>1.9.5.0.10.</v>
      </c>
      <c r="E472" s="163" t="str">
        <f t="shared" ca="1" si="51"/>
        <v>QUADRO OUTDOOR (RACK ) 19" X 12U X 450MM - BASEADO EM ORSE (8682)</v>
      </c>
      <c r="F472" s="164" t="str">
        <f ca="1">IF(RegimeExecucao="Global","",ORÇAMENTO.Unidade)</f>
        <v>UN</v>
      </c>
      <c r="G472" s="122">
        <f ca="1">IF(RegimeExecucao="Global","",ORÇAMENTO!T472)</f>
        <v>3</v>
      </c>
      <c r="H472" s="122">
        <f ca="1">IF(RegimeExecucao="Global","",ORÇAMENTO!W472)</f>
        <v>841.92</v>
      </c>
      <c r="I472" s="125">
        <f ca="1">ORÇAMENTO!X472</f>
        <v>2525.7600000000002</v>
      </c>
      <c r="J472" s="333" cm="1">
        <f t="array" aca="1" ref="J472" ca="1">_xlfn.SINGLE(IF($A472="S",IF(CAIXA.Modo,BM.AFAnterior,BM.MEDAnterior),IF(AND(_xlfn.SINGLE(RegimeExecucao)="Global",$I472&gt;0,COUNTIF($AB$13:$AM$13,BM.medicao-1)&gt;0),M472/$I472*100,0)))</f>
        <v>0</v>
      </c>
      <c r="K472" s="122">
        <f t="shared" ca="1" si="52"/>
        <v>0</v>
      </c>
      <c r="L472" s="334" cm="1">
        <f t="array" aca="1" ref="L472" ca="1">_xlfn.SINGLE(IF($A472="S",IF(CAIXA.Modo,BM.AFAcumulado,BM.MEDAcumulado),IF(AND(_xlfn.SINGLE(RegimeExecucao)="Global",$I472&gt;0,COUNTIF($AB$13:$AM$13,BM.medicao)&gt;0),O472/$I472*100,0)))</f>
        <v>0</v>
      </c>
      <c r="M472" s="335">
        <f ca="1">IF($A472="S",VTOTALBM,IF($A472=0,0,ROUND(SomaAgrupBM,15-13*ORÇAMENTO!$AF$11)))</f>
        <v>0</v>
      </c>
      <c r="N472" s="336">
        <f t="shared" ca="1" si="53"/>
        <v>0</v>
      </c>
      <c r="O472" s="125">
        <f ca="1">IF($A472="S",VTOTALBM,IF($A472=0,0,ROUND(SomaAgrupBM,15-13*ORÇAMENTO!$AF$11)))</f>
        <v>0</v>
      </c>
      <c r="Q472" s="337"/>
      <c r="R472" s="338"/>
      <c r="T472" s="117" t="str">
        <f t="shared" ca="1" si="54"/>
        <v/>
      </c>
      <c r="U472" s="163" t="str">
        <f t="shared" ca="1" si="55"/>
        <v/>
      </c>
      <c r="V472" s="164" t="str">
        <f ca="1">IF(AND($W472&gt;0,RegimeExecucao="Unitário"),$F472,"")</f>
        <v/>
      </c>
      <c r="W472" s="454">
        <f ca="1">IF($Y472&gt;0,CHOOSE(MATCH(RegimeExecucao,{"Unitário","Global"},0),IF($A472="S",$Y472/$X472,""),($Y472/$X472)*100),0)</f>
        <v>0</v>
      </c>
      <c r="X472" s="339" t="str">
        <f ca="1">IF($Y472&gt;0,CHOOSE(MATCH(RegimeExecucao,{"Unitário","Global"},0),IF($A472="S",ROUND($H472,ORÇAMENTO!$AF$10),""),ROUND($I472,ORÇAMENTO!$AF$11)),"")</f>
        <v/>
      </c>
      <c r="Y472" s="339">
        <f t="shared" ca="1" si="56"/>
        <v>0</v>
      </c>
      <c r="Z472" s="473"/>
      <c r="AB472" s="337"/>
      <c r="AC472" s="437"/>
      <c r="AD472" s="437"/>
      <c r="AE472" s="437"/>
      <c r="AF472" s="437"/>
      <c r="AG472" s="437"/>
      <c r="AH472" s="437"/>
      <c r="AI472" s="437"/>
      <c r="AJ472" s="437"/>
      <c r="AK472" s="437"/>
      <c r="AL472" s="437"/>
      <c r="AM472" s="338"/>
      <c r="AO472">
        <f ca="1">IF($A472="S",IF(BM!$I472=0,0,CHOOSE(MATCH(RegimeExecucao,{"Global","Unitário"},0),ROUND(ROUND(BM.MEDAcumulado,15-13*BM!$A$9)/100*BM!$I472,15-13*ORÇAMENTO!$AF$11),ROUND(ROUND(BM.MEDAcumulado,15-13*BM!$A$9)*ROUND(BM!$H472,15-13*ORÇAMENTO!$AF$10),15-13*ORÇAMENTO!$AF$11))),IF($A472=0,0,ROUND(SomaAgrupBM,15-13*ORÇAMENTO!$AF$11)))</f>
        <v>0</v>
      </c>
    </row>
    <row r="473" spans="1:41" ht="25.5" x14ac:dyDescent="0.2">
      <c r="A473" t="str">
        <f ca="1">ORÇAMENTO!C473</f>
        <v>S</v>
      </c>
      <c r="B473">
        <f ca="1">ORÇAMENTO!D473</f>
        <v>0</v>
      </c>
      <c r="C473" s="114" t="str">
        <f t="shared" ca="1" si="50"/>
        <v>F</v>
      </c>
      <c r="D473" s="117" t="str">
        <f ca="1">ORÇAMENTO!O473</f>
        <v>1.9.5.0.11.</v>
      </c>
      <c r="E473" s="163" t="str">
        <f t="shared" ca="1" si="51"/>
        <v>INJETOR POE PASSIVO FAST ETHERNET INTELBRAS 4805 PF, FORNECIMENTO E INSTALAÇÃO - BASEADO EM SBC (059434)</v>
      </c>
      <c r="F473" s="164" t="str">
        <f ca="1">IF(RegimeExecucao="Global","",ORÇAMENTO.Unidade)</f>
        <v>UN</v>
      </c>
      <c r="G473" s="122">
        <f ca="1">IF(RegimeExecucao="Global","",ORÇAMENTO!T473)</f>
        <v>6</v>
      </c>
      <c r="H473" s="122">
        <f ca="1">IF(RegimeExecucao="Global","",ORÇAMENTO!W473)</f>
        <v>113</v>
      </c>
      <c r="I473" s="125">
        <f ca="1">ORÇAMENTO!X473</f>
        <v>678</v>
      </c>
      <c r="J473" s="333" cm="1">
        <f t="array" aca="1" ref="J473" ca="1">_xlfn.SINGLE(IF($A473="S",IF(CAIXA.Modo,BM.AFAnterior,BM.MEDAnterior),IF(AND(_xlfn.SINGLE(RegimeExecucao)="Global",$I473&gt;0,COUNTIF($AB$13:$AM$13,BM.medicao-1)&gt;0),M473/$I473*100,0)))</f>
        <v>0</v>
      </c>
      <c r="K473" s="122">
        <f t="shared" ca="1" si="52"/>
        <v>0</v>
      </c>
      <c r="L473" s="334" cm="1">
        <f t="array" aca="1" ref="L473" ca="1">_xlfn.SINGLE(IF($A473="S",IF(CAIXA.Modo,BM.AFAcumulado,BM.MEDAcumulado),IF(AND(_xlfn.SINGLE(RegimeExecucao)="Global",$I473&gt;0,COUNTIF($AB$13:$AM$13,BM.medicao)&gt;0),O473/$I473*100,0)))</f>
        <v>0</v>
      </c>
      <c r="M473" s="335">
        <f ca="1">IF($A473="S",VTOTALBM,IF($A473=0,0,ROUND(SomaAgrupBM,15-13*ORÇAMENTO!$AF$11)))</f>
        <v>0</v>
      </c>
      <c r="N473" s="336">
        <f t="shared" ca="1" si="53"/>
        <v>0</v>
      </c>
      <c r="O473" s="125">
        <f ca="1">IF($A473="S",VTOTALBM,IF($A473=0,0,ROUND(SomaAgrupBM,15-13*ORÇAMENTO!$AF$11)))</f>
        <v>0</v>
      </c>
      <c r="Q473" s="337"/>
      <c r="R473" s="338"/>
      <c r="T473" s="117" t="str">
        <f t="shared" ca="1" si="54"/>
        <v/>
      </c>
      <c r="U473" s="163" t="str">
        <f t="shared" ca="1" si="55"/>
        <v/>
      </c>
      <c r="V473" s="164" t="str">
        <f ca="1">IF(AND($W473&gt;0,RegimeExecucao="Unitário"),$F473,"")</f>
        <v/>
      </c>
      <c r="W473" s="454">
        <f ca="1">IF($Y473&gt;0,CHOOSE(MATCH(RegimeExecucao,{"Unitário","Global"},0),IF($A473="S",$Y473/$X473,""),($Y473/$X473)*100),0)</f>
        <v>0</v>
      </c>
      <c r="X473" s="339" t="str">
        <f ca="1">IF($Y473&gt;0,CHOOSE(MATCH(RegimeExecucao,{"Unitário","Global"},0),IF($A473="S",ROUND($H473,ORÇAMENTO!$AF$10),""),ROUND($I473,ORÇAMENTO!$AF$11)),"")</f>
        <v/>
      </c>
      <c r="Y473" s="339">
        <f t="shared" ca="1" si="56"/>
        <v>0</v>
      </c>
      <c r="Z473" s="473"/>
      <c r="AB473" s="337"/>
      <c r="AC473" s="437"/>
      <c r="AD473" s="437"/>
      <c r="AE473" s="437"/>
      <c r="AF473" s="437"/>
      <c r="AG473" s="437"/>
      <c r="AH473" s="437"/>
      <c r="AI473" s="437"/>
      <c r="AJ473" s="437"/>
      <c r="AK473" s="437"/>
      <c r="AL473" s="437"/>
      <c r="AM473" s="338"/>
      <c r="AO473">
        <f ca="1">IF($A473="S",IF(BM!$I473=0,0,CHOOSE(MATCH(RegimeExecucao,{"Global","Unitário"},0),ROUND(ROUND(BM.MEDAcumulado,15-13*BM!$A$9)/100*BM!$I473,15-13*ORÇAMENTO!$AF$11),ROUND(ROUND(BM.MEDAcumulado,15-13*BM!$A$9)*ROUND(BM!$H473,15-13*ORÇAMENTO!$AF$10),15-13*ORÇAMENTO!$AF$11))),IF($A473=0,0,ROUND(SomaAgrupBM,15-13*ORÇAMENTO!$AF$11)))</f>
        <v>0</v>
      </c>
    </row>
    <row r="474" spans="1:41" x14ac:dyDescent="0.2">
      <c r="A474">
        <f ca="1">ORÇAMENTO!C474</f>
        <v>3</v>
      </c>
      <c r="B474">
        <f ca="1">ORÇAMENTO!D474</f>
        <v>5</v>
      </c>
      <c r="C474" s="114" t="str">
        <f t="shared" ca="1" si="50"/>
        <v>F</v>
      </c>
      <c r="D474" s="117" t="str">
        <f ca="1">ORÇAMENTO!O474</f>
        <v>1.9.6.</v>
      </c>
      <c r="E474" s="163" t="str">
        <f t="shared" si="51"/>
        <v>RACKS DE TELECOMUNICAÇÕES</v>
      </c>
      <c r="F474" s="164" t="str">
        <f ca="1">IF(RegimeExecucao="Global","",ORÇAMENTO.Unidade)</f>
        <v>-</v>
      </c>
      <c r="G474" s="122">
        <f ca="1">IF(RegimeExecucao="Global","",ORÇAMENTO!T474)</f>
        <v>0</v>
      </c>
      <c r="H474" s="122">
        <f ca="1">IF(RegimeExecucao="Global","",ORÇAMENTO!W474)</f>
        <v>0</v>
      </c>
      <c r="I474" s="125">
        <f ca="1">ORÇAMENTO!X474</f>
        <v>9253.19</v>
      </c>
      <c r="J474" s="333" cm="1">
        <f t="array" aca="1" ref="J474" ca="1">_xlfn.SINGLE(IF($A474="S",IF(CAIXA.Modo,BM.AFAnterior,BM.MEDAnterior),IF(AND(_xlfn.SINGLE(RegimeExecucao)="Global",$I474&gt;0,COUNTIF($AB$13:$AM$13,BM.medicao-1)&gt;0),M474/$I474*100,0)))</f>
        <v>0</v>
      </c>
      <c r="K474" s="122">
        <f t="shared" ca="1" si="52"/>
        <v>0</v>
      </c>
      <c r="L474" s="334" cm="1">
        <f t="array" aca="1" ref="L474" ca="1">_xlfn.SINGLE(IF($A474="S",IF(CAIXA.Modo,BM.AFAcumulado,BM.MEDAcumulado),IF(AND(_xlfn.SINGLE(RegimeExecucao)="Global",$I474&gt;0,COUNTIF($AB$13:$AM$13,BM.medicao)&gt;0),O474/$I474*100,0)))</f>
        <v>0</v>
      </c>
      <c r="M474" s="335">
        <f ca="1">IF($A474="S",VTOTALBM,IF($A474=0,0,ROUND(SomaAgrupBM,15-13*ORÇAMENTO!$AF$11)))</f>
        <v>0</v>
      </c>
      <c r="N474" s="336">
        <f t="shared" ca="1" si="53"/>
        <v>0</v>
      </c>
      <c r="O474" s="125">
        <f ca="1">IF($A474="S",VTOTALBM,IF($A474=0,0,ROUND(SomaAgrupBM,15-13*ORÇAMENTO!$AF$11)))</f>
        <v>0</v>
      </c>
      <c r="Q474" s="337"/>
      <c r="R474" s="338"/>
      <c r="T474" s="117" t="str">
        <f t="shared" ca="1" si="54"/>
        <v/>
      </c>
      <c r="U474" s="163" t="str">
        <f t="shared" ca="1" si="55"/>
        <v/>
      </c>
      <c r="V474" s="164" t="str">
        <f ca="1">IF(AND($W474&gt;0,RegimeExecucao="Unitário"),$F474,"")</f>
        <v/>
      </c>
      <c r="W474" s="454">
        <f ca="1">IF($Y474&gt;0,CHOOSE(MATCH(RegimeExecucao,{"Unitário","Global"},0),IF($A474="S",$Y474/$X474,""),($Y474/$X474)*100),0)</f>
        <v>0</v>
      </c>
      <c r="X474" s="339" t="str">
        <f ca="1">IF($Y474&gt;0,CHOOSE(MATCH(RegimeExecucao,{"Unitário","Global"},0),IF($A474="S",ROUND($H474,ORÇAMENTO!$AF$10),""),ROUND($I474,ORÇAMENTO!$AF$11)),"")</f>
        <v/>
      </c>
      <c r="Y474" s="339">
        <f t="shared" ca="1" si="56"/>
        <v>0</v>
      </c>
      <c r="Z474" s="473"/>
      <c r="AB474" s="337"/>
      <c r="AC474" s="437"/>
      <c r="AD474" s="437"/>
      <c r="AE474" s="437"/>
      <c r="AF474" s="437"/>
      <c r="AG474" s="437"/>
      <c r="AH474" s="437"/>
      <c r="AI474" s="437"/>
      <c r="AJ474" s="437"/>
      <c r="AK474" s="437"/>
      <c r="AL474" s="437"/>
      <c r="AM474" s="338"/>
      <c r="AO474">
        <f ca="1">IF($A474="S",IF(BM!$I474=0,0,CHOOSE(MATCH(RegimeExecucao,{"Global","Unitário"},0),ROUND(ROUND(BM.MEDAcumulado,15-13*BM!$A$9)/100*BM!$I474,15-13*ORÇAMENTO!$AF$11),ROUND(ROUND(BM.MEDAcumulado,15-13*BM!$A$9)*ROUND(BM!$H474,15-13*ORÇAMENTO!$AF$10),15-13*ORÇAMENTO!$AF$11))),IF($A474=0,0,ROUND(SomaAgrupBM,15-13*ORÇAMENTO!$AF$11)))</f>
        <v>0</v>
      </c>
    </row>
    <row r="475" spans="1:41" ht="25.5" x14ac:dyDescent="0.2">
      <c r="A475" t="str">
        <f ca="1">ORÇAMENTO!C475</f>
        <v>S</v>
      </c>
      <c r="B475">
        <f ca="1">ORÇAMENTO!D475</f>
        <v>0</v>
      </c>
      <c r="C475" s="114" t="str">
        <f t="shared" ca="1" si="50"/>
        <v>F</v>
      </c>
      <c r="D475" s="117" t="str">
        <f ca="1">ORÇAMENTO!O475</f>
        <v>1.9.6.0.1.</v>
      </c>
      <c r="E475" s="163" t="str">
        <f t="shared" ca="1" si="51"/>
        <v>FORNECIMENTO E INSTALAÇÃO DE RACK DE PAREDE 19" x 8U - BASEADO EM IOPES (160810)</v>
      </c>
      <c r="F475" s="164" t="str">
        <f ca="1">IF(RegimeExecucao="Global","",ORÇAMENTO.Unidade)</f>
        <v>UN</v>
      </c>
      <c r="G475" s="122">
        <f ca="1">IF(RegimeExecucao="Global","",ORÇAMENTO!T475)</f>
        <v>1</v>
      </c>
      <c r="H475" s="122">
        <f ca="1">IF(RegimeExecucao="Global","",ORÇAMENTO!W475)</f>
        <v>658.49</v>
      </c>
      <c r="I475" s="125">
        <f ca="1">ORÇAMENTO!X475</f>
        <v>658.49</v>
      </c>
      <c r="J475" s="333" cm="1">
        <f t="array" aca="1" ref="J475" ca="1">_xlfn.SINGLE(IF($A475="S",IF(CAIXA.Modo,BM.AFAnterior,BM.MEDAnterior),IF(AND(_xlfn.SINGLE(RegimeExecucao)="Global",$I475&gt;0,COUNTIF($AB$13:$AM$13,BM.medicao-1)&gt;0),M475/$I475*100,0)))</f>
        <v>0</v>
      </c>
      <c r="K475" s="122">
        <f t="shared" ca="1" si="52"/>
        <v>0</v>
      </c>
      <c r="L475" s="334" cm="1">
        <f t="array" aca="1" ref="L475" ca="1">_xlfn.SINGLE(IF($A475="S",IF(CAIXA.Modo,BM.AFAcumulado,BM.MEDAcumulado),IF(AND(_xlfn.SINGLE(RegimeExecucao)="Global",$I475&gt;0,COUNTIF($AB$13:$AM$13,BM.medicao)&gt;0),O475/$I475*100,0)))</f>
        <v>0</v>
      </c>
      <c r="M475" s="335">
        <f ca="1">IF($A475="S",VTOTALBM,IF($A475=0,0,ROUND(SomaAgrupBM,15-13*ORÇAMENTO!$AF$11)))</f>
        <v>0</v>
      </c>
      <c r="N475" s="336">
        <f t="shared" ca="1" si="53"/>
        <v>0</v>
      </c>
      <c r="O475" s="125">
        <f ca="1">IF($A475="S",VTOTALBM,IF($A475=0,0,ROUND(SomaAgrupBM,15-13*ORÇAMENTO!$AF$11)))</f>
        <v>0</v>
      </c>
      <c r="Q475" s="337"/>
      <c r="R475" s="338"/>
      <c r="T475" s="117" t="str">
        <f t="shared" ca="1" si="54"/>
        <v/>
      </c>
      <c r="U475" s="163" t="str">
        <f t="shared" ca="1" si="55"/>
        <v/>
      </c>
      <c r="V475" s="164" t="str">
        <f ca="1">IF(AND($W475&gt;0,RegimeExecucao="Unitário"),$F475,"")</f>
        <v/>
      </c>
      <c r="W475" s="454">
        <f ca="1">IF($Y475&gt;0,CHOOSE(MATCH(RegimeExecucao,{"Unitário","Global"},0),IF($A475="S",$Y475/$X475,""),($Y475/$X475)*100),0)</f>
        <v>0</v>
      </c>
      <c r="X475" s="339" t="str">
        <f ca="1">IF($Y475&gt;0,CHOOSE(MATCH(RegimeExecucao,{"Unitário","Global"},0),IF($A475="S",ROUND($H475,ORÇAMENTO!$AF$10),""),ROUND($I475,ORÇAMENTO!$AF$11)),"")</f>
        <v/>
      </c>
      <c r="Y475" s="339">
        <f t="shared" ca="1" si="56"/>
        <v>0</v>
      </c>
      <c r="Z475" s="473"/>
      <c r="AB475" s="337"/>
      <c r="AC475" s="437"/>
      <c r="AD475" s="437"/>
      <c r="AE475" s="437"/>
      <c r="AF475" s="437"/>
      <c r="AG475" s="437"/>
      <c r="AH475" s="437"/>
      <c r="AI475" s="437"/>
      <c r="AJ475" s="437"/>
      <c r="AK475" s="437"/>
      <c r="AL475" s="437"/>
      <c r="AM475" s="338"/>
      <c r="AO475">
        <f ca="1">IF($A475="S",IF(BM!$I475=0,0,CHOOSE(MATCH(RegimeExecucao,{"Global","Unitário"},0),ROUND(ROUND(BM.MEDAcumulado,15-13*BM!$A$9)/100*BM!$I475,15-13*ORÇAMENTO!$AF$11),ROUND(ROUND(BM.MEDAcumulado,15-13*BM!$A$9)*ROUND(BM!$H475,15-13*ORÇAMENTO!$AF$10),15-13*ORÇAMENTO!$AF$11))),IF($A475=0,0,ROUND(SomaAgrupBM,15-13*ORÇAMENTO!$AF$11)))</f>
        <v>0</v>
      </c>
    </row>
    <row r="476" spans="1:41" ht="25.5" x14ac:dyDescent="0.2">
      <c r="A476" t="str">
        <f ca="1">ORÇAMENTO!C476</f>
        <v>S</v>
      </c>
      <c r="B476">
        <f ca="1">ORÇAMENTO!D476</f>
        <v>0</v>
      </c>
      <c r="C476" s="114" t="str">
        <f t="shared" ca="1" si="50"/>
        <v>F</v>
      </c>
      <c r="D476" s="117" t="str">
        <f ca="1">ORÇAMENTO!O476</f>
        <v>1.9.6.0.2.</v>
      </c>
      <c r="E476" s="163" t="str">
        <f t="shared" ca="1" si="51"/>
        <v>PATCH PANEL 24 PORTAS, CATEGORIA 6 - FORNECIMENTO E INSTALAÇÃO. AF_11/2019</v>
      </c>
      <c r="F476" s="164" t="str">
        <f ca="1">IF(RegimeExecucao="Global","",ORÇAMENTO.Unidade)</f>
        <v>UN</v>
      </c>
      <c r="G476" s="122">
        <f ca="1">IF(RegimeExecucao="Global","",ORÇAMENTO!T476)</f>
        <v>5</v>
      </c>
      <c r="H476" s="122">
        <f ca="1">IF(RegimeExecucao="Global","",ORÇAMENTO!W476)</f>
        <v>1565.44</v>
      </c>
      <c r="I476" s="125">
        <f ca="1">ORÇAMENTO!X476</f>
        <v>7827.2</v>
      </c>
      <c r="J476" s="333" cm="1">
        <f t="array" aca="1" ref="J476" ca="1">_xlfn.SINGLE(IF($A476="S",IF(CAIXA.Modo,BM.AFAnterior,BM.MEDAnterior),IF(AND(_xlfn.SINGLE(RegimeExecucao)="Global",$I476&gt;0,COUNTIF($AB$13:$AM$13,BM.medicao-1)&gt;0),M476/$I476*100,0)))</f>
        <v>0</v>
      </c>
      <c r="K476" s="122">
        <f t="shared" ca="1" si="52"/>
        <v>0</v>
      </c>
      <c r="L476" s="334" cm="1">
        <f t="array" aca="1" ref="L476" ca="1">_xlfn.SINGLE(IF($A476="S",IF(CAIXA.Modo,BM.AFAcumulado,BM.MEDAcumulado),IF(AND(_xlfn.SINGLE(RegimeExecucao)="Global",$I476&gt;0,COUNTIF($AB$13:$AM$13,BM.medicao)&gt;0),O476/$I476*100,0)))</f>
        <v>0</v>
      </c>
      <c r="M476" s="335">
        <f ca="1">IF($A476="S",VTOTALBM,IF($A476=0,0,ROUND(SomaAgrupBM,15-13*ORÇAMENTO!$AF$11)))</f>
        <v>0</v>
      </c>
      <c r="N476" s="336">
        <f t="shared" ca="1" si="53"/>
        <v>0</v>
      </c>
      <c r="O476" s="125">
        <f ca="1">IF($A476="S",VTOTALBM,IF($A476=0,0,ROUND(SomaAgrupBM,15-13*ORÇAMENTO!$AF$11)))</f>
        <v>0</v>
      </c>
      <c r="Q476" s="337"/>
      <c r="R476" s="338"/>
      <c r="T476" s="117" t="str">
        <f t="shared" ca="1" si="54"/>
        <v/>
      </c>
      <c r="U476" s="163" t="str">
        <f t="shared" ca="1" si="55"/>
        <v/>
      </c>
      <c r="V476" s="164" t="str">
        <f ca="1">IF(AND($W476&gt;0,RegimeExecucao="Unitário"),$F476,"")</f>
        <v/>
      </c>
      <c r="W476" s="454">
        <f ca="1">IF($Y476&gt;0,CHOOSE(MATCH(RegimeExecucao,{"Unitário","Global"},0),IF($A476="S",$Y476/$X476,""),($Y476/$X476)*100),0)</f>
        <v>0</v>
      </c>
      <c r="X476" s="339" t="str">
        <f ca="1">IF($Y476&gt;0,CHOOSE(MATCH(RegimeExecucao,{"Unitário","Global"},0),IF($A476="S",ROUND($H476,ORÇAMENTO!$AF$10),""),ROUND($I476,ORÇAMENTO!$AF$11)),"")</f>
        <v/>
      </c>
      <c r="Y476" s="339">
        <f t="shared" ca="1" si="56"/>
        <v>0</v>
      </c>
      <c r="Z476" s="473"/>
      <c r="AB476" s="337"/>
      <c r="AC476" s="437"/>
      <c r="AD476" s="437"/>
      <c r="AE476" s="437"/>
      <c r="AF476" s="437"/>
      <c r="AG476" s="437"/>
      <c r="AH476" s="437"/>
      <c r="AI476" s="437"/>
      <c r="AJ476" s="437"/>
      <c r="AK476" s="437"/>
      <c r="AL476" s="437"/>
      <c r="AM476" s="338"/>
      <c r="AO476">
        <f ca="1">IF($A476="S",IF(BM!$I476=0,0,CHOOSE(MATCH(RegimeExecucao,{"Global","Unitário"},0),ROUND(ROUND(BM.MEDAcumulado,15-13*BM!$A$9)/100*BM!$I476,15-13*ORÇAMENTO!$AF$11),ROUND(ROUND(BM.MEDAcumulado,15-13*BM!$A$9)*ROUND(BM!$H476,15-13*ORÇAMENTO!$AF$10),15-13*ORÇAMENTO!$AF$11))),IF($A476=0,0,ROUND(SomaAgrupBM,15-13*ORÇAMENTO!$AF$11)))</f>
        <v>0</v>
      </c>
    </row>
    <row r="477" spans="1:41" x14ac:dyDescent="0.2">
      <c r="A477" t="str">
        <f ca="1">ORÇAMENTO!C477</f>
        <v>S</v>
      </c>
      <c r="B477">
        <f ca="1">ORÇAMENTO!D477</f>
        <v>0</v>
      </c>
      <c r="C477" s="114" t="str">
        <f t="shared" ca="1" si="50"/>
        <v>F</v>
      </c>
      <c r="D477" s="117" t="str">
        <f ca="1">ORÇAMENTO!O477</f>
        <v>1.9.6.0.3.</v>
      </c>
      <c r="E477" s="163" t="str">
        <f t="shared" ca="1" si="51"/>
        <v>GUIA DE CABOS PARA RACK 1U</v>
      </c>
      <c r="F477" s="164" t="str">
        <f ca="1">IF(RegimeExecucao="Global","",ORÇAMENTO.Unidade)</f>
        <v>UN</v>
      </c>
      <c r="G477" s="122">
        <f ca="1">IF(RegimeExecucao="Global","",ORÇAMENTO!T477)</f>
        <v>5</v>
      </c>
      <c r="H477" s="122">
        <f ca="1">IF(RegimeExecucao="Global","",ORÇAMENTO!W477)</f>
        <v>43.18</v>
      </c>
      <c r="I477" s="125">
        <f ca="1">ORÇAMENTO!X477</f>
        <v>215.9</v>
      </c>
      <c r="J477" s="333" cm="1">
        <f t="array" aca="1" ref="J477" ca="1">_xlfn.SINGLE(IF($A477="S",IF(CAIXA.Modo,BM.AFAnterior,BM.MEDAnterior),IF(AND(_xlfn.SINGLE(RegimeExecucao)="Global",$I477&gt;0,COUNTIF($AB$13:$AM$13,BM.medicao-1)&gt;0),M477/$I477*100,0)))</f>
        <v>0</v>
      </c>
      <c r="K477" s="122">
        <f t="shared" ca="1" si="52"/>
        <v>0</v>
      </c>
      <c r="L477" s="334" cm="1">
        <f t="array" aca="1" ref="L477" ca="1">_xlfn.SINGLE(IF($A477="S",IF(CAIXA.Modo,BM.AFAcumulado,BM.MEDAcumulado),IF(AND(_xlfn.SINGLE(RegimeExecucao)="Global",$I477&gt;0,COUNTIF($AB$13:$AM$13,BM.medicao)&gt;0),O477/$I477*100,0)))</f>
        <v>0</v>
      </c>
      <c r="M477" s="335">
        <f ca="1">IF($A477="S",VTOTALBM,IF($A477=0,0,ROUND(SomaAgrupBM,15-13*ORÇAMENTO!$AF$11)))</f>
        <v>0</v>
      </c>
      <c r="N477" s="336">
        <f t="shared" ca="1" si="53"/>
        <v>0</v>
      </c>
      <c r="O477" s="125">
        <f ca="1">IF($A477="S",VTOTALBM,IF($A477=0,0,ROUND(SomaAgrupBM,15-13*ORÇAMENTO!$AF$11)))</f>
        <v>0</v>
      </c>
      <c r="Q477" s="337"/>
      <c r="R477" s="338"/>
      <c r="T477" s="117" t="str">
        <f t="shared" ca="1" si="54"/>
        <v/>
      </c>
      <c r="U477" s="163" t="str">
        <f t="shared" ca="1" si="55"/>
        <v/>
      </c>
      <c r="V477" s="164" t="str">
        <f ca="1">IF(AND($W477&gt;0,RegimeExecucao="Unitário"),$F477,"")</f>
        <v/>
      </c>
      <c r="W477" s="454">
        <f ca="1">IF($Y477&gt;0,CHOOSE(MATCH(RegimeExecucao,{"Unitário","Global"},0),IF($A477="S",$Y477/$X477,""),($Y477/$X477)*100),0)</f>
        <v>0</v>
      </c>
      <c r="X477" s="339" t="str">
        <f ca="1">IF($Y477&gt;0,CHOOSE(MATCH(RegimeExecucao,{"Unitário","Global"},0),IF($A477="S",ROUND($H477,ORÇAMENTO!$AF$10),""),ROUND($I477,ORÇAMENTO!$AF$11)),"")</f>
        <v/>
      </c>
      <c r="Y477" s="339">
        <f t="shared" ca="1" si="56"/>
        <v>0</v>
      </c>
      <c r="Z477" s="473"/>
      <c r="AB477" s="337"/>
      <c r="AC477" s="437"/>
      <c r="AD477" s="437"/>
      <c r="AE477" s="437"/>
      <c r="AF477" s="437"/>
      <c r="AG477" s="437"/>
      <c r="AH477" s="437"/>
      <c r="AI477" s="437"/>
      <c r="AJ477" s="437"/>
      <c r="AK477" s="437"/>
      <c r="AL477" s="437"/>
      <c r="AM477" s="338"/>
      <c r="AO477">
        <f ca="1">IF($A477="S",IF(BM!$I477=0,0,CHOOSE(MATCH(RegimeExecucao,{"Global","Unitário"},0),ROUND(ROUND(BM.MEDAcumulado,15-13*BM!$A$9)/100*BM!$I477,15-13*ORÇAMENTO!$AF$11),ROUND(ROUND(BM.MEDAcumulado,15-13*BM!$A$9)*ROUND(BM!$H477,15-13*ORÇAMENTO!$AF$10),15-13*ORÇAMENTO!$AF$11))),IF($A477=0,0,ROUND(SomaAgrupBM,15-13*ORÇAMENTO!$AF$11)))</f>
        <v>0</v>
      </c>
    </row>
    <row r="478" spans="1:41" ht="25.5" x14ac:dyDescent="0.2">
      <c r="A478" t="str">
        <f ca="1">ORÇAMENTO!C478</f>
        <v>S</v>
      </c>
      <c r="B478">
        <f ca="1">ORÇAMENTO!D478</f>
        <v>0</v>
      </c>
      <c r="C478" s="114" t="str">
        <f t="shared" ca="1" si="50"/>
        <v>F</v>
      </c>
      <c r="D478" s="117" t="str">
        <f ca="1">ORÇAMENTO!O478</f>
        <v>1.9.6.0.4.</v>
      </c>
      <c r="E478" s="163" t="str">
        <f t="shared" ca="1" si="51"/>
        <v>RÉGUA COM 8 TOMADAS (2P+T), PARA FIXAÇÃO NO RACK DE 19" (1U)</v>
      </c>
      <c r="F478" s="164" t="str">
        <f ca="1">IF(RegimeExecucao="Global","",ORÇAMENTO.Unidade)</f>
        <v>UN</v>
      </c>
      <c r="G478" s="122">
        <f ca="1">IF(RegimeExecucao="Global","",ORÇAMENTO!T478)</f>
        <v>5</v>
      </c>
      <c r="H478" s="122">
        <f ca="1">IF(RegimeExecucao="Global","",ORÇAMENTO!W478)</f>
        <v>110.32</v>
      </c>
      <c r="I478" s="125">
        <f ca="1">ORÇAMENTO!X478</f>
        <v>551.6</v>
      </c>
      <c r="J478" s="333" cm="1">
        <f t="array" aca="1" ref="J478" ca="1">_xlfn.SINGLE(IF($A478="S",IF(CAIXA.Modo,BM.AFAnterior,BM.MEDAnterior),IF(AND(_xlfn.SINGLE(RegimeExecucao)="Global",$I478&gt;0,COUNTIF($AB$13:$AM$13,BM.medicao-1)&gt;0),M478/$I478*100,0)))</f>
        <v>0</v>
      </c>
      <c r="K478" s="122">
        <f t="shared" ca="1" si="52"/>
        <v>0</v>
      </c>
      <c r="L478" s="334" cm="1">
        <f t="array" aca="1" ref="L478" ca="1">_xlfn.SINGLE(IF($A478="S",IF(CAIXA.Modo,BM.AFAcumulado,BM.MEDAcumulado),IF(AND(_xlfn.SINGLE(RegimeExecucao)="Global",$I478&gt;0,COUNTIF($AB$13:$AM$13,BM.medicao)&gt;0),O478/$I478*100,0)))</f>
        <v>0</v>
      </c>
      <c r="M478" s="335">
        <f ca="1">IF($A478="S",VTOTALBM,IF($A478=0,0,ROUND(SomaAgrupBM,15-13*ORÇAMENTO!$AF$11)))</f>
        <v>0</v>
      </c>
      <c r="N478" s="336">
        <f t="shared" ca="1" si="53"/>
        <v>0</v>
      </c>
      <c r="O478" s="125">
        <f ca="1">IF($A478="S",VTOTALBM,IF($A478=0,0,ROUND(SomaAgrupBM,15-13*ORÇAMENTO!$AF$11)))</f>
        <v>0</v>
      </c>
      <c r="Q478" s="337"/>
      <c r="R478" s="338"/>
      <c r="T478" s="117" t="str">
        <f t="shared" ca="1" si="54"/>
        <v/>
      </c>
      <c r="U478" s="163" t="str">
        <f t="shared" ca="1" si="55"/>
        <v/>
      </c>
      <c r="V478" s="164" t="str">
        <f ca="1">IF(AND($W478&gt;0,RegimeExecucao="Unitário"),$F478,"")</f>
        <v/>
      </c>
      <c r="W478" s="454">
        <f ca="1">IF($Y478&gt;0,CHOOSE(MATCH(RegimeExecucao,{"Unitário","Global"},0),IF($A478="S",$Y478/$X478,""),($Y478/$X478)*100),0)</f>
        <v>0</v>
      </c>
      <c r="X478" s="339" t="str">
        <f ca="1">IF($Y478&gt;0,CHOOSE(MATCH(RegimeExecucao,{"Unitário","Global"},0),IF($A478="S",ROUND($H478,ORÇAMENTO!$AF$10),""),ROUND($I478,ORÇAMENTO!$AF$11)),"")</f>
        <v/>
      </c>
      <c r="Y478" s="339">
        <f t="shared" ca="1" si="56"/>
        <v>0</v>
      </c>
      <c r="Z478" s="473"/>
      <c r="AB478" s="337"/>
      <c r="AC478" s="437"/>
      <c r="AD478" s="437"/>
      <c r="AE478" s="437"/>
      <c r="AF478" s="437"/>
      <c r="AG478" s="437"/>
      <c r="AH478" s="437"/>
      <c r="AI478" s="437"/>
      <c r="AJ478" s="437"/>
      <c r="AK478" s="437"/>
      <c r="AL478" s="437"/>
      <c r="AM478" s="338"/>
      <c r="AO478">
        <f ca="1">IF($A478="S",IF(BM!$I478=0,0,CHOOSE(MATCH(RegimeExecucao,{"Global","Unitário"},0),ROUND(ROUND(BM.MEDAcumulado,15-13*BM!$A$9)/100*BM!$I478,15-13*ORÇAMENTO!$AF$11),ROUND(ROUND(BM.MEDAcumulado,15-13*BM!$A$9)*ROUND(BM!$H478,15-13*ORÇAMENTO!$AF$10),15-13*ORÇAMENTO!$AF$11))),IF($A478=0,0,ROUND(SomaAgrupBM,15-13*ORÇAMENTO!$AF$11)))</f>
        <v>0</v>
      </c>
    </row>
    <row r="479" spans="1:41" x14ac:dyDescent="0.2">
      <c r="A479">
        <f ca="1">ORÇAMENTO!C479</f>
        <v>2</v>
      </c>
      <c r="B479">
        <f ca="1">ORÇAMENTO!D479</f>
        <v>29</v>
      </c>
      <c r="C479" s="114" t="str">
        <f t="shared" ca="1" si="50"/>
        <v>F</v>
      </c>
      <c r="D479" s="117" t="str">
        <f ca="1">ORÇAMENTO!O479</f>
        <v>1.10.</v>
      </c>
      <c r="E479" s="163" t="str">
        <f t="shared" si="51"/>
        <v>ARQUITETURA</v>
      </c>
      <c r="F479" s="164" t="str">
        <f ca="1">IF(RegimeExecucao="Global","",ORÇAMENTO.Unidade)</f>
        <v>-</v>
      </c>
      <c r="G479" s="122">
        <f ca="1">IF(RegimeExecucao="Global","",ORÇAMENTO!T479)</f>
        <v>0</v>
      </c>
      <c r="H479" s="122">
        <f ca="1">IF(RegimeExecucao="Global","",ORÇAMENTO!W479)</f>
        <v>0</v>
      </c>
      <c r="I479" s="125">
        <f ca="1">ORÇAMENTO!X479</f>
        <v>113493.85</v>
      </c>
      <c r="J479" s="333" cm="1">
        <f t="array" aca="1" ref="J479" ca="1">_xlfn.SINGLE(IF($A479="S",IF(CAIXA.Modo,BM.AFAnterior,BM.MEDAnterior),IF(AND(_xlfn.SINGLE(RegimeExecucao)="Global",$I479&gt;0,COUNTIF($AB$13:$AM$13,BM.medicao-1)&gt;0),M479/$I479*100,0)))</f>
        <v>0</v>
      </c>
      <c r="K479" s="122">
        <f t="shared" ca="1" si="52"/>
        <v>0</v>
      </c>
      <c r="L479" s="334" cm="1">
        <f t="array" aca="1" ref="L479" ca="1">_xlfn.SINGLE(IF($A479="S",IF(CAIXA.Modo,BM.AFAcumulado,BM.MEDAcumulado),IF(AND(_xlfn.SINGLE(RegimeExecucao)="Global",$I479&gt;0,COUNTIF($AB$13:$AM$13,BM.medicao)&gt;0),O479/$I479*100,0)))</f>
        <v>0</v>
      </c>
      <c r="M479" s="335">
        <f ca="1">IF($A479="S",VTOTALBM,IF($A479=0,0,ROUND(SomaAgrupBM,15-13*ORÇAMENTO!$AF$11)))</f>
        <v>0</v>
      </c>
      <c r="N479" s="336">
        <f t="shared" ca="1" si="53"/>
        <v>0</v>
      </c>
      <c r="O479" s="125">
        <f ca="1">IF($A479="S",VTOTALBM,IF($A479=0,0,ROUND(SomaAgrupBM,15-13*ORÇAMENTO!$AF$11)))</f>
        <v>0</v>
      </c>
      <c r="Q479" s="337"/>
      <c r="R479" s="338"/>
      <c r="T479" s="117" t="str">
        <f t="shared" ca="1" si="54"/>
        <v/>
      </c>
      <c r="U479" s="163" t="str">
        <f t="shared" ca="1" si="55"/>
        <v/>
      </c>
      <c r="V479" s="164" t="str">
        <f ca="1">IF(AND($W479&gt;0,RegimeExecucao="Unitário"),$F479,"")</f>
        <v/>
      </c>
      <c r="W479" s="454">
        <f ca="1">IF($Y479&gt;0,CHOOSE(MATCH(RegimeExecucao,{"Unitário","Global"},0),IF($A479="S",$Y479/$X479,""),($Y479/$X479)*100),0)</f>
        <v>0</v>
      </c>
      <c r="X479" s="339" t="str">
        <f ca="1">IF($Y479&gt;0,CHOOSE(MATCH(RegimeExecucao,{"Unitário","Global"},0),IF($A479="S",ROUND($H479,ORÇAMENTO!$AF$10),""),ROUND($I479,ORÇAMENTO!$AF$11)),"")</f>
        <v/>
      </c>
      <c r="Y479" s="339">
        <f t="shared" ca="1" si="56"/>
        <v>0</v>
      </c>
      <c r="Z479" s="473"/>
      <c r="AB479" s="337"/>
      <c r="AC479" s="437"/>
      <c r="AD479" s="437"/>
      <c r="AE479" s="437"/>
      <c r="AF479" s="437"/>
      <c r="AG479" s="437"/>
      <c r="AH479" s="437"/>
      <c r="AI479" s="437"/>
      <c r="AJ479" s="437"/>
      <c r="AK479" s="437"/>
      <c r="AL479" s="437"/>
      <c r="AM479" s="338"/>
      <c r="AO479">
        <f ca="1">IF($A479="S",IF(BM!$I479=0,0,CHOOSE(MATCH(RegimeExecucao,{"Global","Unitário"},0),ROUND(ROUND(BM.MEDAcumulado,15-13*BM!$A$9)/100*BM!$I479,15-13*ORÇAMENTO!$AF$11),ROUND(ROUND(BM.MEDAcumulado,15-13*BM!$A$9)*ROUND(BM!$H479,15-13*ORÇAMENTO!$AF$10),15-13*ORÇAMENTO!$AF$11))),IF($A479=0,0,ROUND(SomaAgrupBM,15-13*ORÇAMENTO!$AF$11)))</f>
        <v>0</v>
      </c>
    </row>
    <row r="480" spans="1:41" x14ac:dyDescent="0.2">
      <c r="A480">
        <f ca="1">ORÇAMENTO!C480</f>
        <v>3</v>
      </c>
      <c r="B480">
        <f ca="1">ORÇAMENTO!D480</f>
        <v>3</v>
      </c>
      <c r="C480" s="114" t="str">
        <f t="shared" ca="1" si="50"/>
        <v>F</v>
      </c>
      <c r="D480" s="117" t="str">
        <f ca="1">ORÇAMENTO!O480</f>
        <v>1.10.1.</v>
      </c>
      <c r="E480" s="163" t="str">
        <f t="shared" si="51"/>
        <v>ANDAIME FACHADEIRO</v>
      </c>
      <c r="F480" s="164" t="str">
        <f ca="1">IF(RegimeExecucao="Global","",ORÇAMENTO.Unidade)</f>
        <v>-</v>
      </c>
      <c r="G480" s="122">
        <f ca="1">IF(RegimeExecucao="Global","",ORÇAMENTO!T480)</f>
        <v>0</v>
      </c>
      <c r="H480" s="122">
        <f ca="1">IF(RegimeExecucao="Global","",ORÇAMENTO!W480)</f>
        <v>0</v>
      </c>
      <c r="I480" s="125">
        <f ca="1">ORÇAMENTO!X480</f>
        <v>965.98</v>
      </c>
      <c r="J480" s="333" cm="1">
        <f t="array" aca="1" ref="J480" ca="1">_xlfn.SINGLE(IF($A480="S",IF(CAIXA.Modo,BM.AFAnterior,BM.MEDAnterior),IF(AND(_xlfn.SINGLE(RegimeExecucao)="Global",$I480&gt;0,COUNTIF($AB$13:$AM$13,BM.medicao-1)&gt;0),M480/$I480*100,0)))</f>
        <v>0</v>
      </c>
      <c r="K480" s="122">
        <f t="shared" ca="1" si="52"/>
        <v>0</v>
      </c>
      <c r="L480" s="334" cm="1">
        <f t="array" aca="1" ref="L480" ca="1">_xlfn.SINGLE(IF($A480="S",IF(CAIXA.Modo,BM.AFAcumulado,BM.MEDAcumulado),IF(AND(_xlfn.SINGLE(RegimeExecucao)="Global",$I480&gt;0,COUNTIF($AB$13:$AM$13,BM.medicao)&gt;0),O480/$I480*100,0)))</f>
        <v>0</v>
      </c>
      <c r="M480" s="335">
        <f ca="1">IF($A480="S",VTOTALBM,IF($A480=0,0,ROUND(SomaAgrupBM,15-13*ORÇAMENTO!$AF$11)))</f>
        <v>0</v>
      </c>
      <c r="N480" s="336">
        <f t="shared" ca="1" si="53"/>
        <v>0</v>
      </c>
      <c r="O480" s="125">
        <f ca="1">IF($A480="S",VTOTALBM,IF($A480=0,0,ROUND(SomaAgrupBM,15-13*ORÇAMENTO!$AF$11)))</f>
        <v>0</v>
      </c>
      <c r="Q480" s="337"/>
      <c r="R480" s="338"/>
      <c r="T480" s="117" t="str">
        <f t="shared" ca="1" si="54"/>
        <v/>
      </c>
      <c r="U480" s="163" t="str">
        <f t="shared" ca="1" si="55"/>
        <v/>
      </c>
      <c r="V480" s="164" t="str">
        <f ca="1">IF(AND($W480&gt;0,RegimeExecucao="Unitário"),$F480,"")</f>
        <v/>
      </c>
      <c r="W480" s="454">
        <f ca="1">IF($Y480&gt;0,CHOOSE(MATCH(RegimeExecucao,{"Unitário","Global"},0),IF($A480="S",$Y480/$X480,""),($Y480/$X480)*100),0)</f>
        <v>0</v>
      </c>
      <c r="X480" s="339" t="str">
        <f ca="1">IF($Y480&gt;0,CHOOSE(MATCH(RegimeExecucao,{"Unitário","Global"},0),IF($A480="S",ROUND($H480,ORÇAMENTO!$AF$10),""),ROUND($I480,ORÇAMENTO!$AF$11)),"")</f>
        <v/>
      </c>
      <c r="Y480" s="339">
        <f t="shared" ca="1" si="56"/>
        <v>0</v>
      </c>
      <c r="Z480" s="473"/>
      <c r="AB480" s="337"/>
      <c r="AC480" s="437"/>
      <c r="AD480" s="437"/>
      <c r="AE480" s="437"/>
      <c r="AF480" s="437"/>
      <c r="AG480" s="437"/>
      <c r="AH480" s="437"/>
      <c r="AI480" s="437"/>
      <c r="AJ480" s="437"/>
      <c r="AK480" s="437"/>
      <c r="AL480" s="437"/>
      <c r="AM480" s="338"/>
      <c r="AO480">
        <f ca="1">IF($A480="S",IF(BM!$I480=0,0,CHOOSE(MATCH(RegimeExecucao,{"Global","Unitário"},0),ROUND(ROUND(BM.MEDAcumulado,15-13*BM!$A$9)/100*BM!$I480,15-13*ORÇAMENTO!$AF$11),ROUND(ROUND(BM.MEDAcumulado,15-13*BM!$A$9)*ROUND(BM!$H480,15-13*ORÇAMENTO!$AF$10),15-13*ORÇAMENTO!$AF$11))),IF($A480=0,0,ROUND(SomaAgrupBM,15-13*ORÇAMENTO!$AF$11)))</f>
        <v>0</v>
      </c>
    </row>
    <row r="481" spans="1:41" ht="38.25" x14ac:dyDescent="0.2">
      <c r="A481" t="str">
        <f ca="1">ORÇAMENTO!C481</f>
        <v>S</v>
      </c>
      <c r="B481">
        <f ca="1">ORÇAMENTO!D481</f>
        <v>0</v>
      </c>
      <c r="C481" s="114" t="str">
        <f t="shared" ca="1" si="50"/>
        <v>F</v>
      </c>
      <c r="D481" s="117" t="str">
        <f ca="1">ORÇAMENTO!O481</f>
        <v>1.10.1.0.1.</v>
      </c>
      <c r="E481" s="163" t="str">
        <f t="shared" ca="1" si="51"/>
        <v>FORNECIMENTO DE ANDAIME METÁLICO PARA FACHADA (LOCAÇÃO), INCLUSIVE PISO METÁLICO E SAPATAS, EXCLUSIVE MONTAGEM E DESMONTAGEM</v>
      </c>
      <c r="F481" s="164" t="str">
        <f ca="1">IF(RegimeExecucao="Global","",ORÇAMENTO.Unidade)</f>
        <v>M2</v>
      </c>
      <c r="G481" s="122">
        <f ca="1">IF(RegimeExecucao="Global","",ORÇAMENTO!T481)</f>
        <v>26.4</v>
      </c>
      <c r="H481" s="122">
        <f ca="1">IF(RegimeExecucao="Global","",ORÇAMENTO!W481)</f>
        <v>16.670000000000002</v>
      </c>
      <c r="I481" s="125">
        <f ca="1">ORÇAMENTO!X481</f>
        <v>440.09</v>
      </c>
      <c r="J481" s="333" cm="1">
        <f t="array" aca="1" ref="J481" ca="1">_xlfn.SINGLE(IF($A481="S",IF(CAIXA.Modo,BM.AFAnterior,BM.MEDAnterior),IF(AND(_xlfn.SINGLE(RegimeExecucao)="Global",$I481&gt;0,COUNTIF($AB$13:$AM$13,BM.medicao-1)&gt;0),M481/$I481*100,0)))</f>
        <v>0</v>
      </c>
      <c r="K481" s="122">
        <f t="shared" ca="1" si="52"/>
        <v>0</v>
      </c>
      <c r="L481" s="334" cm="1">
        <f t="array" aca="1" ref="L481" ca="1">_xlfn.SINGLE(IF($A481="S",IF(CAIXA.Modo,BM.AFAcumulado,BM.MEDAcumulado),IF(AND(_xlfn.SINGLE(RegimeExecucao)="Global",$I481&gt;0,COUNTIF($AB$13:$AM$13,BM.medicao)&gt;0),O481/$I481*100,0)))</f>
        <v>0</v>
      </c>
      <c r="M481" s="335">
        <f ca="1">IF($A481="S",VTOTALBM,IF($A481=0,0,ROUND(SomaAgrupBM,15-13*ORÇAMENTO!$AF$11)))</f>
        <v>0</v>
      </c>
      <c r="N481" s="336">
        <f t="shared" ca="1" si="53"/>
        <v>0</v>
      </c>
      <c r="O481" s="125">
        <f ca="1">IF($A481="S",VTOTALBM,IF($A481=0,0,ROUND(SomaAgrupBM,15-13*ORÇAMENTO!$AF$11)))</f>
        <v>0</v>
      </c>
      <c r="Q481" s="337"/>
      <c r="R481" s="338"/>
      <c r="T481" s="117" t="str">
        <f t="shared" ca="1" si="54"/>
        <v/>
      </c>
      <c r="U481" s="163" t="str">
        <f t="shared" ca="1" si="55"/>
        <v/>
      </c>
      <c r="V481" s="164" t="str">
        <f ca="1">IF(AND($W481&gt;0,RegimeExecucao="Unitário"),$F481,"")</f>
        <v/>
      </c>
      <c r="W481" s="454">
        <f ca="1">IF($Y481&gt;0,CHOOSE(MATCH(RegimeExecucao,{"Unitário","Global"},0),IF($A481="S",$Y481/$X481,""),($Y481/$X481)*100),0)</f>
        <v>0</v>
      </c>
      <c r="X481" s="339" t="str">
        <f ca="1">IF($Y481&gt;0,CHOOSE(MATCH(RegimeExecucao,{"Unitário","Global"},0),IF($A481="S",ROUND($H481,ORÇAMENTO!$AF$10),""),ROUND($I481,ORÇAMENTO!$AF$11)),"")</f>
        <v/>
      </c>
      <c r="Y481" s="339">
        <f t="shared" ca="1" si="56"/>
        <v>0</v>
      </c>
      <c r="Z481" s="473"/>
      <c r="AB481" s="337"/>
      <c r="AC481" s="437"/>
      <c r="AD481" s="437"/>
      <c r="AE481" s="437"/>
      <c r="AF481" s="437"/>
      <c r="AG481" s="437"/>
      <c r="AH481" s="437"/>
      <c r="AI481" s="437"/>
      <c r="AJ481" s="437"/>
      <c r="AK481" s="437"/>
      <c r="AL481" s="437"/>
      <c r="AM481" s="338"/>
      <c r="AO481">
        <f ca="1">IF($A481="S",IF(BM!$I481=0,0,CHOOSE(MATCH(RegimeExecucao,{"Global","Unitário"},0),ROUND(ROUND(BM.MEDAcumulado,15-13*BM!$A$9)/100*BM!$I481,15-13*ORÇAMENTO!$AF$11),ROUND(ROUND(BM.MEDAcumulado,15-13*BM!$A$9)*ROUND(BM!$H481,15-13*ORÇAMENTO!$AF$10),15-13*ORÇAMENTO!$AF$11))),IF($A481=0,0,ROUND(SomaAgrupBM,15-13*ORÇAMENTO!$AF$11)))</f>
        <v>0</v>
      </c>
    </row>
    <row r="482" spans="1:41" ht="38.25" x14ac:dyDescent="0.2">
      <c r="A482" t="str">
        <f ca="1">ORÇAMENTO!C482</f>
        <v>S</v>
      </c>
      <c r="B482">
        <f ca="1">ORÇAMENTO!D482</f>
        <v>0</v>
      </c>
      <c r="C482" s="114" t="str">
        <f t="shared" ca="1" si="50"/>
        <v>F</v>
      </c>
      <c r="D482" s="117" t="str">
        <f ca="1">ORÇAMENTO!O482</f>
        <v>1.10.1.0.2.</v>
      </c>
      <c r="E482" s="163" t="str">
        <f t="shared" ca="1" si="51"/>
        <v>MONTAGEM E DESMONTAGEM DE ANDAIME METÁLICO PARA FACHADA COM PISO METÁLICO, INCLUSIVE RODAPÉ/GUARDA-CORPO EM MADEIRA, EXCLUSIVE FORNECIMENTO DO ANDAIME</v>
      </c>
      <c r="F482" s="164" t="str">
        <f ca="1">IF(RegimeExecucao="Global","",ORÇAMENTO.Unidade)</f>
        <v>M2</v>
      </c>
      <c r="G482" s="122">
        <f ca="1">IF(RegimeExecucao="Global","",ORÇAMENTO!T482)</f>
        <v>26.4</v>
      </c>
      <c r="H482" s="122">
        <f ca="1">IF(RegimeExecucao="Global","",ORÇAMENTO!W482)</f>
        <v>19.920000000000002</v>
      </c>
      <c r="I482" s="125">
        <f ca="1">ORÇAMENTO!X482</f>
        <v>525.89</v>
      </c>
      <c r="J482" s="333" cm="1">
        <f t="array" aca="1" ref="J482" ca="1">_xlfn.SINGLE(IF($A482="S",IF(CAIXA.Modo,BM.AFAnterior,BM.MEDAnterior),IF(AND(_xlfn.SINGLE(RegimeExecucao)="Global",$I482&gt;0,COUNTIF($AB$13:$AM$13,BM.medicao-1)&gt;0),M482/$I482*100,0)))</f>
        <v>0</v>
      </c>
      <c r="K482" s="122">
        <f t="shared" ca="1" si="52"/>
        <v>0</v>
      </c>
      <c r="L482" s="334" cm="1">
        <f t="array" aca="1" ref="L482" ca="1">_xlfn.SINGLE(IF($A482="S",IF(CAIXA.Modo,BM.AFAcumulado,BM.MEDAcumulado),IF(AND(_xlfn.SINGLE(RegimeExecucao)="Global",$I482&gt;0,COUNTIF($AB$13:$AM$13,BM.medicao)&gt;0),O482/$I482*100,0)))</f>
        <v>0</v>
      </c>
      <c r="M482" s="335">
        <f ca="1">IF($A482="S",VTOTALBM,IF($A482=0,0,ROUND(SomaAgrupBM,15-13*ORÇAMENTO!$AF$11)))</f>
        <v>0</v>
      </c>
      <c r="N482" s="336">
        <f t="shared" ca="1" si="53"/>
        <v>0</v>
      </c>
      <c r="O482" s="125">
        <f ca="1">IF($A482="S",VTOTALBM,IF($A482=0,0,ROUND(SomaAgrupBM,15-13*ORÇAMENTO!$AF$11)))</f>
        <v>0</v>
      </c>
      <c r="Q482" s="337"/>
      <c r="R482" s="338"/>
      <c r="T482" s="117" t="str">
        <f t="shared" ca="1" si="54"/>
        <v/>
      </c>
      <c r="U482" s="163" t="str">
        <f t="shared" ca="1" si="55"/>
        <v/>
      </c>
      <c r="V482" s="164" t="str">
        <f ca="1">IF(AND($W482&gt;0,RegimeExecucao="Unitário"),$F482,"")</f>
        <v/>
      </c>
      <c r="W482" s="454">
        <f ca="1">IF($Y482&gt;0,CHOOSE(MATCH(RegimeExecucao,{"Unitário","Global"},0),IF($A482="S",$Y482/$X482,""),($Y482/$X482)*100),0)</f>
        <v>0</v>
      </c>
      <c r="X482" s="339" t="str">
        <f ca="1">IF($Y482&gt;0,CHOOSE(MATCH(RegimeExecucao,{"Unitário","Global"},0),IF($A482="S",ROUND($H482,ORÇAMENTO!$AF$10),""),ROUND($I482,ORÇAMENTO!$AF$11)),"")</f>
        <v/>
      </c>
      <c r="Y482" s="339">
        <f t="shared" ca="1" si="56"/>
        <v>0</v>
      </c>
      <c r="Z482" s="473"/>
      <c r="AB482" s="337"/>
      <c r="AC482" s="437"/>
      <c r="AD482" s="437"/>
      <c r="AE482" s="437"/>
      <c r="AF482" s="437"/>
      <c r="AG482" s="437"/>
      <c r="AH482" s="437"/>
      <c r="AI482" s="437"/>
      <c r="AJ482" s="437"/>
      <c r="AK482" s="437"/>
      <c r="AL482" s="437"/>
      <c r="AM482" s="338"/>
      <c r="AO482">
        <f ca="1">IF($A482="S",IF(BM!$I482=0,0,CHOOSE(MATCH(RegimeExecucao,{"Global","Unitário"},0),ROUND(ROUND(BM.MEDAcumulado,15-13*BM!$A$9)/100*BM!$I482,15-13*ORÇAMENTO!$AF$11),ROUND(ROUND(BM.MEDAcumulado,15-13*BM!$A$9)*ROUND(BM!$H482,15-13*ORÇAMENTO!$AF$10),15-13*ORÇAMENTO!$AF$11))),IF($A482=0,0,ROUND(SomaAgrupBM,15-13*ORÇAMENTO!$AF$11)))</f>
        <v>0</v>
      </c>
    </row>
    <row r="483" spans="1:41" x14ac:dyDescent="0.2">
      <c r="A483">
        <f ca="1">ORÇAMENTO!C483</f>
        <v>3</v>
      </c>
      <c r="B483">
        <f ca="1">ORÇAMENTO!D483</f>
        <v>3</v>
      </c>
      <c r="C483" s="114" t="str">
        <f t="shared" ca="1" si="50"/>
        <v>F</v>
      </c>
      <c r="D483" s="117" t="str">
        <f ca="1">ORÇAMENTO!O483</f>
        <v>1.10.2.</v>
      </c>
      <c r="E483" s="163" t="str">
        <f t="shared" si="51"/>
        <v>ALVENARIA</v>
      </c>
      <c r="F483" s="164" t="str">
        <f ca="1">IF(RegimeExecucao="Global","",ORÇAMENTO.Unidade)</f>
        <v>-</v>
      </c>
      <c r="G483" s="122">
        <f ca="1">IF(RegimeExecucao="Global","",ORÇAMENTO!T483)</f>
        <v>0</v>
      </c>
      <c r="H483" s="122">
        <f ca="1">IF(RegimeExecucao="Global","",ORÇAMENTO!W483)</f>
        <v>0</v>
      </c>
      <c r="I483" s="125">
        <f ca="1">ORÇAMENTO!X483</f>
        <v>9890.81</v>
      </c>
      <c r="J483" s="333" cm="1">
        <f t="array" aca="1" ref="J483" ca="1">_xlfn.SINGLE(IF($A483="S",IF(CAIXA.Modo,BM.AFAnterior,BM.MEDAnterior),IF(AND(_xlfn.SINGLE(RegimeExecucao)="Global",$I483&gt;0,COUNTIF($AB$13:$AM$13,BM.medicao-1)&gt;0),M483/$I483*100,0)))</f>
        <v>0</v>
      </c>
      <c r="K483" s="122">
        <f t="shared" ca="1" si="52"/>
        <v>0</v>
      </c>
      <c r="L483" s="334" cm="1">
        <f t="array" aca="1" ref="L483" ca="1">_xlfn.SINGLE(IF($A483="S",IF(CAIXA.Modo,BM.AFAcumulado,BM.MEDAcumulado),IF(AND(_xlfn.SINGLE(RegimeExecucao)="Global",$I483&gt;0,COUNTIF($AB$13:$AM$13,BM.medicao)&gt;0),O483/$I483*100,0)))</f>
        <v>0</v>
      </c>
      <c r="M483" s="335">
        <f ca="1">IF($A483="S",VTOTALBM,IF($A483=0,0,ROUND(SomaAgrupBM,15-13*ORÇAMENTO!$AF$11)))</f>
        <v>0</v>
      </c>
      <c r="N483" s="336">
        <f t="shared" ca="1" si="53"/>
        <v>0</v>
      </c>
      <c r="O483" s="125">
        <f ca="1">IF($A483="S",VTOTALBM,IF($A483=0,0,ROUND(SomaAgrupBM,15-13*ORÇAMENTO!$AF$11)))</f>
        <v>0</v>
      </c>
      <c r="Q483" s="337"/>
      <c r="R483" s="338"/>
      <c r="T483" s="117" t="str">
        <f t="shared" ca="1" si="54"/>
        <v/>
      </c>
      <c r="U483" s="163" t="str">
        <f t="shared" ca="1" si="55"/>
        <v/>
      </c>
      <c r="V483" s="164" t="str">
        <f ca="1">IF(AND($W483&gt;0,RegimeExecucao="Unitário"),$F483,"")</f>
        <v/>
      </c>
      <c r="W483" s="454">
        <f ca="1">IF($Y483&gt;0,CHOOSE(MATCH(RegimeExecucao,{"Unitário","Global"},0),IF($A483="S",$Y483/$X483,""),($Y483/$X483)*100),0)</f>
        <v>0</v>
      </c>
      <c r="X483" s="339" t="str">
        <f ca="1">IF($Y483&gt;0,CHOOSE(MATCH(RegimeExecucao,{"Unitário","Global"},0),IF($A483="S",ROUND($H483,ORÇAMENTO!$AF$10),""),ROUND($I483,ORÇAMENTO!$AF$11)),"")</f>
        <v/>
      </c>
      <c r="Y483" s="339">
        <f t="shared" ca="1" si="56"/>
        <v>0</v>
      </c>
      <c r="Z483" s="473"/>
      <c r="AB483" s="337"/>
      <c r="AC483" s="437"/>
      <c r="AD483" s="437"/>
      <c r="AE483" s="437"/>
      <c r="AF483" s="437"/>
      <c r="AG483" s="437"/>
      <c r="AH483" s="437"/>
      <c r="AI483" s="437"/>
      <c r="AJ483" s="437"/>
      <c r="AK483" s="437"/>
      <c r="AL483" s="437"/>
      <c r="AM483" s="338"/>
      <c r="AO483">
        <f ca="1">IF($A483="S",IF(BM!$I483=0,0,CHOOSE(MATCH(RegimeExecucao,{"Global","Unitário"},0),ROUND(ROUND(BM.MEDAcumulado,15-13*BM!$A$9)/100*BM!$I483,15-13*ORÇAMENTO!$AF$11),ROUND(ROUND(BM.MEDAcumulado,15-13*BM!$A$9)*ROUND(BM!$H483,15-13*ORÇAMENTO!$AF$10),15-13*ORÇAMENTO!$AF$11))),IF($A483=0,0,ROUND(SomaAgrupBM,15-13*ORÇAMENTO!$AF$11)))</f>
        <v>0</v>
      </c>
    </row>
    <row r="484" spans="1:41" ht="51" x14ac:dyDescent="0.2">
      <c r="A484" t="str">
        <f ca="1">ORÇAMENTO!C484</f>
        <v>S</v>
      </c>
      <c r="B484">
        <f ca="1">ORÇAMENTO!D484</f>
        <v>0</v>
      </c>
      <c r="C484" s="114" t="str">
        <f t="shared" ca="1" si="50"/>
        <v>F</v>
      </c>
      <c r="D484" s="117" t="str">
        <f ca="1">ORÇAMENTO!O484</f>
        <v>1.10.2.0.1.</v>
      </c>
      <c r="E484" s="163" t="str">
        <f t="shared" ca="1" si="51"/>
        <v>ALVENARIA DE VEDAÇÃO DE BLOCOS CERÂMICOS FURADOS NA HORIZONTAL DE 14X9X19 CM (ESPESSURA 14 CM, BLOCO DEITADO) E ARGAMASSA DE ASSENTAMENTO COM PREPARO EM BETONEIRA. AF_12/2021</v>
      </c>
      <c r="F484" s="164" t="str">
        <f ca="1">IF(RegimeExecucao="Global","",ORÇAMENTO.Unidade)</f>
        <v>M2</v>
      </c>
      <c r="G484" s="122">
        <f ca="1">IF(RegimeExecucao="Global","",ORÇAMENTO!T484)</f>
        <v>52.53</v>
      </c>
      <c r="H484" s="122">
        <f ca="1">IF(RegimeExecucao="Global","",ORÇAMENTO!W484)</f>
        <v>185.84</v>
      </c>
      <c r="I484" s="125">
        <f ca="1">ORÇAMENTO!X484</f>
        <v>9762.18</v>
      </c>
      <c r="J484" s="333" cm="1">
        <f t="array" aca="1" ref="J484" ca="1">_xlfn.SINGLE(IF($A484="S",IF(CAIXA.Modo,BM.AFAnterior,BM.MEDAnterior),IF(AND(_xlfn.SINGLE(RegimeExecucao)="Global",$I484&gt;0,COUNTIF($AB$13:$AM$13,BM.medicao-1)&gt;0),M484/$I484*100,0)))</f>
        <v>0</v>
      </c>
      <c r="K484" s="122">
        <f t="shared" ca="1" si="52"/>
        <v>0</v>
      </c>
      <c r="L484" s="334" cm="1">
        <f t="array" aca="1" ref="L484" ca="1">_xlfn.SINGLE(IF($A484="S",IF(CAIXA.Modo,BM.AFAcumulado,BM.MEDAcumulado),IF(AND(_xlfn.SINGLE(RegimeExecucao)="Global",$I484&gt;0,COUNTIF($AB$13:$AM$13,BM.medicao)&gt;0),O484/$I484*100,0)))</f>
        <v>0</v>
      </c>
      <c r="M484" s="335">
        <f ca="1">IF($A484="S",VTOTALBM,IF($A484=0,0,ROUND(SomaAgrupBM,15-13*ORÇAMENTO!$AF$11)))</f>
        <v>0</v>
      </c>
      <c r="N484" s="336">
        <f t="shared" ca="1" si="53"/>
        <v>0</v>
      </c>
      <c r="O484" s="125">
        <f ca="1">IF($A484="S",VTOTALBM,IF($A484=0,0,ROUND(SomaAgrupBM,15-13*ORÇAMENTO!$AF$11)))</f>
        <v>0</v>
      </c>
      <c r="Q484" s="337"/>
      <c r="R484" s="338"/>
      <c r="T484" s="117" t="str">
        <f t="shared" ca="1" si="54"/>
        <v/>
      </c>
      <c r="U484" s="163" t="str">
        <f t="shared" ca="1" si="55"/>
        <v/>
      </c>
      <c r="V484" s="164" t="str">
        <f ca="1">IF(AND($W484&gt;0,RegimeExecucao="Unitário"),$F484,"")</f>
        <v/>
      </c>
      <c r="W484" s="454">
        <f ca="1">IF($Y484&gt;0,CHOOSE(MATCH(RegimeExecucao,{"Unitário","Global"},0),IF($A484="S",$Y484/$X484,""),($Y484/$X484)*100),0)</f>
        <v>0</v>
      </c>
      <c r="X484" s="339" t="str">
        <f ca="1">IF($Y484&gt;0,CHOOSE(MATCH(RegimeExecucao,{"Unitário","Global"},0),IF($A484="S",ROUND($H484,ORÇAMENTO!$AF$10),""),ROUND($I484,ORÇAMENTO!$AF$11)),"")</f>
        <v/>
      </c>
      <c r="Y484" s="339">
        <f t="shared" ca="1" si="56"/>
        <v>0</v>
      </c>
      <c r="Z484" s="473"/>
      <c r="AB484" s="337"/>
      <c r="AC484" s="437"/>
      <c r="AD484" s="437"/>
      <c r="AE484" s="437"/>
      <c r="AF484" s="437"/>
      <c r="AG484" s="437"/>
      <c r="AH484" s="437"/>
      <c r="AI484" s="437"/>
      <c r="AJ484" s="437"/>
      <c r="AK484" s="437"/>
      <c r="AL484" s="437"/>
      <c r="AM484" s="338"/>
      <c r="AO484">
        <f ca="1">IF($A484="S",IF(BM!$I484=0,0,CHOOSE(MATCH(RegimeExecucao,{"Global","Unitário"},0),ROUND(ROUND(BM.MEDAcumulado,15-13*BM!$A$9)/100*BM!$I484,15-13*ORÇAMENTO!$AF$11),ROUND(ROUND(BM.MEDAcumulado,15-13*BM!$A$9)*ROUND(BM!$H484,15-13*ORÇAMENTO!$AF$10),15-13*ORÇAMENTO!$AF$11))),IF($A484=0,0,ROUND(SomaAgrupBM,15-13*ORÇAMENTO!$AF$11)))</f>
        <v>0</v>
      </c>
    </row>
    <row r="485" spans="1:41" ht="25.5" x14ac:dyDescent="0.2">
      <c r="A485" t="str">
        <f ca="1">ORÇAMENTO!C485</f>
        <v>S</v>
      </c>
      <c r="B485">
        <f ca="1">ORÇAMENTO!D485</f>
        <v>0</v>
      </c>
      <c r="C485" s="114" t="str">
        <f t="shared" ca="1" si="50"/>
        <v>F</v>
      </c>
      <c r="D485" s="117" t="str">
        <f ca="1">ORÇAMENTO!O485</f>
        <v>1.10.2.0.2.</v>
      </c>
      <c r="E485" s="163" t="str">
        <f t="shared" ca="1" si="51"/>
        <v>ENCUNHAMENTO DE ALVENARIA DE VEDAÇÃO COM ARGAMASSA, INCLUSIVE ADITIVO EXPANSOR PARA ENCUNHAMENTO</v>
      </c>
      <c r="F485" s="164" t="str">
        <f ca="1">IF(RegimeExecucao="Global","",ORÇAMENTO.Unidade)</f>
        <v>M</v>
      </c>
      <c r="G485" s="122">
        <f ca="1">IF(RegimeExecucao="Global","",ORÇAMENTO!T485)</f>
        <v>14.12</v>
      </c>
      <c r="H485" s="122">
        <f ca="1">IF(RegimeExecucao="Global","",ORÇAMENTO!W485)</f>
        <v>9.11</v>
      </c>
      <c r="I485" s="125">
        <f ca="1">ORÇAMENTO!X485</f>
        <v>128.63</v>
      </c>
      <c r="J485" s="333" cm="1">
        <f t="array" aca="1" ref="J485" ca="1">_xlfn.SINGLE(IF($A485="S",IF(CAIXA.Modo,BM.AFAnterior,BM.MEDAnterior),IF(AND(_xlfn.SINGLE(RegimeExecucao)="Global",$I485&gt;0,COUNTIF($AB$13:$AM$13,BM.medicao-1)&gt;0),M485/$I485*100,0)))</f>
        <v>0</v>
      </c>
      <c r="K485" s="122">
        <f t="shared" ca="1" si="52"/>
        <v>0</v>
      </c>
      <c r="L485" s="334" cm="1">
        <f t="array" aca="1" ref="L485" ca="1">_xlfn.SINGLE(IF($A485="S",IF(CAIXA.Modo,BM.AFAcumulado,BM.MEDAcumulado),IF(AND(_xlfn.SINGLE(RegimeExecucao)="Global",$I485&gt;0,COUNTIF($AB$13:$AM$13,BM.medicao)&gt;0),O485/$I485*100,0)))</f>
        <v>0</v>
      </c>
      <c r="M485" s="335">
        <f ca="1">IF($A485="S",VTOTALBM,IF($A485=0,0,ROUND(SomaAgrupBM,15-13*ORÇAMENTO!$AF$11)))</f>
        <v>0</v>
      </c>
      <c r="N485" s="336">
        <f t="shared" ca="1" si="53"/>
        <v>0</v>
      </c>
      <c r="O485" s="125">
        <f ca="1">IF($A485="S",VTOTALBM,IF($A485=0,0,ROUND(SomaAgrupBM,15-13*ORÇAMENTO!$AF$11)))</f>
        <v>0</v>
      </c>
      <c r="Q485" s="337"/>
      <c r="R485" s="338"/>
      <c r="T485" s="117" t="str">
        <f t="shared" ca="1" si="54"/>
        <v/>
      </c>
      <c r="U485" s="163" t="str">
        <f t="shared" ca="1" si="55"/>
        <v/>
      </c>
      <c r="V485" s="164" t="str">
        <f ca="1">IF(AND($W485&gt;0,RegimeExecucao="Unitário"),$F485,"")</f>
        <v/>
      </c>
      <c r="W485" s="454">
        <f ca="1">IF($Y485&gt;0,CHOOSE(MATCH(RegimeExecucao,{"Unitário","Global"},0),IF($A485="S",$Y485/$X485,""),($Y485/$X485)*100),0)</f>
        <v>0</v>
      </c>
      <c r="X485" s="339" t="str">
        <f ca="1">IF($Y485&gt;0,CHOOSE(MATCH(RegimeExecucao,{"Unitário","Global"},0),IF($A485="S",ROUND($H485,ORÇAMENTO!$AF$10),""),ROUND($I485,ORÇAMENTO!$AF$11)),"")</f>
        <v/>
      </c>
      <c r="Y485" s="339">
        <f t="shared" ca="1" si="56"/>
        <v>0</v>
      </c>
      <c r="Z485" s="473"/>
      <c r="AB485" s="337"/>
      <c r="AC485" s="437"/>
      <c r="AD485" s="437"/>
      <c r="AE485" s="437"/>
      <c r="AF485" s="437"/>
      <c r="AG485" s="437"/>
      <c r="AH485" s="437"/>
      <c r="AI485" s="437"/>
      <c r="AJ485" s="437"/>
      <c r="AK485" s="437"/>
      <c r="AL485" s="437"/>
      <c r="AM485" s="338"/>
      <c r="AO485">
        <f ca="1">IF($A485="S",IF(BM!$I485=0,0,CHOOSE(MATCH(RegimeExecucao,{"Global","Unitário"},0),ROUND(ROUND(BM.MEDAcumulado,15-13*BM!$A$9)/100*BM!$I485,15-13*ORÇAMENTO!$AF$11),ROUND(ROUND(BM.MEDAcumulado,15-13*BM!$A$9)*ROUND(BM!$H485,15-13*ORÇAMENTO!$AF$10),15-13*ORÇAMENTO!$AF$11))),IF($A485=0,0,ROUND(SomaAgrupBM,15-13*ORÇAMENTO!$AF$11)))</f>
        <v>0</v>
      </c>
    </row>
    <row r="486" spans="1:41" x14ac:dyDescent="0.2">
      <c r="A486">
        <f ca="1">ORÇAMENTO!C486</f>
        <v>3</v>
      </c>
      <c r="B486">
        <f ca="1">ORÇAMENTO!D486</f>
        <v>3</v>
      </c>
      <c r="C486" s="114" t="str">
        <f t="shared" ca="1" si="50"/>
        <v>F</v>
      </c>
      <c r="D486" s="117" t="str">
        <f ca="1">ORÇAMENTO!O486</f>
        <v>1.10.3.</v>
      </c>
      <c r="E486" s="163" t="str">
        <f t="shared" si="51"/>
        <v>ACABAMENTOS PAREDE</v>
      </c>
      <c r="F486" s="164" t="str">
        <f ca="1">IF(RegimeExecucao="Global","",ORÇAMENTO.Unidade)</f>
        <v>-</v>
      </c>
      <c r="G486" s="122">
        <f ca="1">IF(RegimeExecucao="Global","",ORÇAMENTO!T486)</f>
        <v>0</v>
      </c>
      <c r="H486" s="122">
        <f ca="1">IF(RegimeExecucao="Global","",ORÇAMENTO!W486)</f>
        <v>0</v>
      </c>
      <c r="I486" s="125">
        <f ca="1">ORÇAMENTO!X486</f>
        <v>5879.17</v>
      </c>
      <c r="J486" s="333" cm="1">
        <f t="array" aca="1" ref="J486" ca="1">_xlfn.SINGLE(IF($A486="S",IF(CAIXA.Modo,BM.AFAnterior,BM.MEDAnterior),IF(AND(_xlfn.SINGLE(RegimeExecucao)="Global",$I486&gt;0,COUNTIF($AB$13:$AM$13,BM.medicao-1)&gt;0),M486/$I486*100,0)))</f>
        <v>0</v>
      </c>
      <c r="K486" s="122">
        <f t="shared" ca="1" si="52"/>
        <v>0</v>
      </c>
      <c r="L486" s="334" cm="1">
        <f t="array" aca="1" ref="L486" ca="1">_xlfn.SINGLE(IF($A486="S",IF(CAIXA.Modo,BM.AFAcumulado,BM.MEDAcumulado),IF(AND(_xlfn.SINGLE(RegimeExecucao)="Global",$I486&gt;0,COUNTIF($AB$13:$AM$13,BM.medicao)&gt;0),O486/$I486*100,0)))</f>
        <v>0</v>
      </c>
      <c r="M486" s="335">
        <f ca="1">IF($A486="S",VTOTALBM,IF($A486=0,0,ROUND(SomaAgrupBM,15-13*ORÇAMENTO!$AF$11)))</f>
        <v>0</v>
      </c>
      <c r="N486" s="336">
        <f t="shared" ca="1" si="53"/>
        <v>0</v>
      </c>
      <c r="O486" s="125">
        <f ca="1">IF($A486="S",VTOTALBM,IF($A486=0,0,ROUND(SomaAgrupBM,15-13*ORÇAMENTO!$AF$11)))</f>
        <v>0</v>
      </c>
      <c r="Q486" s="337"/>
      <c r="R486" s="338"/>
      <c r="T486" s="117" t="str">
        <f t="shared" ca="1" si="54"/>
        <v/>
      </c>
      <c r="U486" s="163" t="str">
        <f t="shared" ca="1" si="55"/>
        <v/>
      </c>
      <c r="V486" s="164" t="str">
        <f ca="1">IF(AND($W486&gt;0,RegimeExecucao="Unitário"),$F486,"")</f>
        <v/>
      </c>
      <c r="W486" s="454">
        <f ca="1">IF($Y486&gt;0,CHOOSE(MATCH(RegimeExecucao,{"Unitário","Global"},0),IF($A486="S",$Y486/$X486,""),($Y486/$X486)*100),0)</f>
        <v>0</v>
      </c>
      <c r="X486" s="339" t="str">
        <f ca="1">IF($Y486&gt;0,CHOOSE(MATCH(RegimeExecucao,{"Unitário","Global"},0),IF($A486="S",ROUND($H486,ORÇAMENTO!$AF$10),""),ROUND($I486,ORÇAMENTO!$AF$11)),"")</f>
        <v/>
      </c>
      <c r="Y486" s="339">
        <f t="shared" ca="1" si="56"/>
        <v>0</v>
      </c>
      <c r="Z486" s="473"/>
      <c r="AB486" s="337"/>
      <c r="AC486" s="437"/>
      <c r="AD486" s="437"/>
      <c r="AE486" s="437"/>
      <c r="AF486" s="437"/>
      <c r="AG486" s="437"/>
      <c r="AH486" s="437"/>
      <c r="AI486" s="437"/>
      <c r="AJ486" s="437"/>
      <c r="AK486" s="437"/>
      <c r="AL486" s="437"/>
      <c r="AM486" s="338"/>
      <c r="AO486">
        <f ca="1">IF($A486="S",IF(BM!$I486=0,0,CHOOSE(MATCH(RegimeExecucao,{"Global","Unitário"},0),ROUND(ROUND(BM.MEDAcumulado,15-13*BM!$A$9)/100*BM!$I486,15-13*ORÇAMENTO!$AF$11),ROUND(ROUND(BM.MEDAcumulado,15-13*BM!$A$9)*ROUND(BM!$H486,15-13*ORÇAMENTO!$AF$10),15-13*ORÇAMENTO!$AF$11))),IF($A486=0,0,ROUND(SomaAgrupBM,15-13*ORÇAMENTO!$AF$11)))</f>
        <v>0</v>
      </c>
    </row>
    <row r="487" spans="1:41" ht="38.25" x14ac:dyDescent="0.2">
      <c r="A487" t="str">
        <f ca="1">ORÇAMENTO!C487</f>
        <v>S</v>
      </c>
      <c r="B487">
        <f ca="1">ORÇAMENTO!D487</f>
        <v>0</v>
      </c>
      <c r="C487" s="114" t="str">
        <f t="shared" ca="1" si="50"/>
        <v>F</v>
      </c>
      <c r="D487" s="117" t="str">
        <f ca="1">ORÇAMENTO!O487</f>
        <v>1.10.3.0.1.</v>
      </c>
      <c r="E487" s="163" t="str">
        <f t="shared" ca="1" si="51"/>
        <v>CHAPISCO COM ARGAMASSA, TRAÇO 1:2:3 (CIMENTO, AREIA E PEDRISCO), APLICADO COM COLHER, ESP. 5MM, INCLUSIVE ARGAMASSA COM PREPARO MECANIZADO</v>
      </c>
      <c r="F487" s="164" t="str">
        <f ca="1">IF(RegimeExecucao="Global","",ORÇAMENTO.Unidade)</f>
        <v>M2</v>
      </c>
      <c r="G487" s="122">
        <f ca="1">IF(RegimeExecucao="Global","",ORÇAMENTO!T487)</f>
        <v>86.97</v>
      </c>
      <c r="H487" s="122">
        <f ca="1">IF(RegimeExecucao="Global","",ORÇAMENTO!W487)</f>
        <v>19.190000000000001</v>
      </c>
      <c r="I487" s="125">
        <f ca="1">ORÇAMENTO!X487</f>
        <v>1668.95</v>
      </c>
      <c r="J487" s="333" cm="1">
        <f t="array" aca="1" ref="J487" ca="1">_xlfn.SINGLE(IF($A487="S",IF(CAIXA.Modo,BM.AFAnterior,BM.MEDAnterior),IF(AND(_xlfn.SINGLE(RegimeExecucao)="Global",$I487&gt;0,COUNTIF($AB$13:$AM$13,BM.medicao-1)&gt;0),M487/$I487*100,0)))</f>
        <v>0</v>
      </c>
      <c r="K487" s="122">
        <f t="shared" ca="1" si="52"/>
        <v>0</v>
      </c>
      <c r="L487" s="334" cm="1">
        <f t="array" aca="1" ref="L487" ca="1">_xlfn.SINGLE(IF($A487="S",IF(CAIXA.Modo,BM.AFAcumulado,BM.MEDAcumulado),IF(AND(_xlfn.SINGLE(RegimeExecucao)="Global",$I487&gt;0,COUNTIF($AB$13:$AM$13,BM.medicao)&gt;0),O487/$I487*100,0)))</f>
        <v>0</v>
      </c>
      <c r="M487" s="335">
        <f ca="1">IF($A487="S",VTOTALBM,IF($A487=0,0,ROUND(SomaAgrupBM,15-13*ORÇAMENTO!$AF$11)))</f>
        <v>0</v>
      </c>
      <c r="N487" s="336">
        <f t="shared" ca="1" si="53"/>
        <v>0</v>
      </c>
      <c r="O487" s="125">
        <f ca="1">IF($A487="S",VTOTALBM,IF($A487=0,0,ROUND(SomaAgrupBM,15-13*ORÇAMENTO!$AF$11)))</f>
        <v>0</v>
      </c>
      <c r="Q487" s="337"/>
      <c r="R487" s="338"/>
      <c r="T487" s="117" t="str">
        <f t="shared" ca="1" si="54"/>
        <v/>
      </c>
      <c r="U487" s="163" t="str">
        <f t="shared" ca="1" si="55"/>
        <v/>
      </c>
      <c r="V487" s="164" t="str">
        <f ca="1">IF(AND($W487&gt;0,RegimeExecucao="Unitário"),$F487,"")</f>
        <v/>
      </c>
      <c r="W487" s="454">
        <f ca="1">IF($Y487&gt;0,CHOOSE(MATCH(RegimeExecucao,{"Unitário","Global"},0),IF($A487="S",$Y487/$X487,""),($Y487/$X487)*100),0)</f>
        <v>0</v>
      </c>
      <c r="X487" s="339" t="str">
        <f ca="1">IF($Y487&gt;0,CHOOSE(MATCH(RegimeExecucao,{"Unitário","Global"},0),IF($A487="S",ROUND($H487,ORÇAMENTO!$AF$10),""),ROUND($I487,ORÇAMENTO!$AF$11)),"")</f>
        <v/>
      </c>
      <c r="Y487" s="339">
        <f t="shared" ca="1" si="56"/>
        <v>0</v>
      </c>
      <c r="Z487" s="473"/>
      <c r="AB487" s="337"/>
      <c r="AC487" s="437"/>
      <c r="AD487" s="437"/>
      <c r="AE487" s="437"/>
      <c r="AF487" s="437"/>
      <c r="AG487" s="437"/>
      <c r="AH487" s="437"/>
      <c r="AI487" s="437"/>
      <c r="AJ487" s="437"/>
      <c r="AK487" s="437"/>
      <c r="AL487" s="437"/>
      <c r="AM487" s="338"/>
      <c r="AO487">
        <f ca="1">IF($A487="S",IF(BM!$I487=0,0,CHOOSE(MATCH(RegimeExecucao,{"Global","Unitário"},0),ROUND(ROUND(BM.MEDAcumulado,15-13*BM!$A$9)/100*BM!$I487,15-13*ORÇAMENTO!$AF$11),ROUND(ROUND(BM.MEDAcumulado,15-13*BM!$A$9)*ROUND(BM!$H487,15-13*ORÇAMENTO!$AF$10),15-13*ORÇAMENTO!$AF$11))),IF($A487=0,0,ROUND(SomaAgrupBM,15-13*ORÇAMENTO!$AF$11)))</f>
        <v>0</v>
      </c>
    </row>
    <row r="488" spans="1:41" ht="38.25" x14ac:dyDescent="0.2">
      <c r="A488" t="str">
        <f ca="1">ORÇAMENTO!C488</f>
        <v>S</v>
      </c>
      <c r="B488">
        <f ca="1">ORÇAMENTO!D488</f>
        <v>0</v>
      </c>
      <c r="C488" s="114" t="str">
        <f t="shared" ca="1" si="50"/>
        <v>F</v>
      </c>
      <c r="D488" s="117" t="str">
        <f ca="1">ORÇAMENTO!O488</f>
        <v>1.10.3.0.2.</v>
      </c>
      <c r="E488" s="163" t="str">
        <f t="shared" ca="1" si="51"/>
        <v>REBOCO COM ARGAMASSA, TRAÇO 1:2:8 (CIMENTO, CAL E AREIA), ESP. 20MM, APLICAÇÃO MANUAL, INCLUSIVE ARGAMASSA COM PREPARO MECANIZADO, EXCLUSIVE CHAPISCO</v>
      </c>
      <c r="F488" s="164" t="str">
        <f ca="1">IF(RegimeExecucao="Global","",ORÇAMENTO.Unidade)</f>
        <v>M2</v>
      </c>
      <c r="G488" s="122">
        <f ca="1">IF(RegimeExecucao="Global","",ORÇAMENTO!T488)</f>
        <v>86.97</v>
      </c>
      <c r="H488" s="122">
        <f ca="1">IF(RegimeExecucao="Global","",ORÇAMENTO!W488)</f>
        <v>48.41</v>
      </c>
      <c r="I488" s="125">
        <f ca="1">ORÇAMENTO!X488</f>
        <v>4210.22</v>
      </c>
      <c r="J488" s="333" cm="1">
        <f t="array" aca="1" ref="J488" ca="1">_xlfn.SINGLE(IF($A488="S",IF(CAIXA.Modo,BM.AFAnterior,BM.MEDAnterior),IF(AND(_xlfn.SINGLE(RegimeExecucao)="Global",$I488&gt;0,COUNTIF($AB$13:$AM$13,BM.medicao-1)&gt;0),M488/$I488*100,0)))</f>
        <v>0</v>
      </c>
      <c r="K488" s="122">
        <f t="shared" ca="1" si="52"/>
        <v>0</v>
      </c>
      <c r="L488" s="334" cm="1">
        <f t="array" aca="1" ref="L488" ca="1">_xlfn.SINGLE(IF($A488="S",IF(CAIXA.Modo,BM.AFAcumulado,BM.MEDAcumulado),IF(AND(_xlfn.SINGLE(RegimeExecucao)="Global",$I488&gt;0,COUNTIF($AB$13:$AM$13,BM.medicao)&gt;0),O488/$I488*100,0)))</f>
        <v>0</v>
      </c>
      <c r="M488" s="335">
        <f ca="1">IF($A488="S",VTOTALBM,IF($A488=0,0,ROUND(SomaAgrupBM,15-13*ORÇAMENTO!$AF$11)))</f>
        <v>0</v>
      </c>
      <c r="N488" s="336">
        <f t="shared" ca="1" si="53"/>
        <v>0</v>
      </c>
      <c r="O488" s="125">
        <f ca="1">IF($A488="S",VTOTALBM,IF($A488=0,0,ROUND(SomaAgrupBM,15-13*ORÇAMENTO!$AF$11)))</f>
        <v>0</v>
      </c>
      <c r="Q488" s="337"/>
      <c r="R488" s="338"/>
      <c r="T488" s="117" t="str">
        <f t="shared" ca="1" si="54"/>
        <v/>
      </c>
      <c r="U488" s="163" t="str">
        <f t="shared" ca="1" si="55"/>
        <v/>
      </c>
      <c r="V488" s="164" t="str">
        <f ca="1">IF(AND($W488&gt;0,RegimeExecucao="Unitário"),$F488,"")</f>
        <v/>
      </c>
      <c r="W488" s="454">
        <f ca="1">IF($Y488&gt;0,CHOOSE(MATCH(RegimeExecucao,{"Unitário","Global"},0),IF($A488="S",$Y488/$X488,""),($Y488/$X488)*100),0)</f>
        <v>0</v>
      </c>
      <c r="X488" s="339" t="str">
        <f ca="1">IF($Y488&gt;0,CHOOSE(MATCH(RegimeExecucao,{"Unitário","Global"},0),IF($A488="S",ROUND($H488,ORÇAMENTO!$AF$10),""),ROUND($I488,ORÇAMENTO!$AF$11)),"")</f>
        <v/>
      </c>
      <c r="Y488" s="339">
        <f t="shared" ca="1" si="56"/>
        <v>0</v>
      </c>
      <c r="Z488" s="473"/>
      <c r="AB488" s="337"/>
      <c r="AC488" s="437"/>
      <c r="AD488" s="437"/>
      <c r="AE488" s="437"/>
      <c r="AF488" s="437"/>
      <c r="AG488" s="437"/>
      <c r="AH488" s="437"/>
      <c r="AI488" s="437"/>
      <c r="AJ488" s="437"/>
      <c r="AK488" s="437"/>
      <c r="AL488" s="437"/>
      <c r="AM488" s="338"/>
      <c r="AO488">
        <f ca="1">IF($A488="S",IF(BM!$I488=0,0,CHOOSE(MATCH(RegimeExecucao,{"Global","Unitário"},0),ROUND(ROUND(BM.MEDAcumulado,15-13*BM!$A$9)/100*BM!$I488,15-13*ORÇAMENTO!$AF$11),ROUND(ROUND(BM.MEDAcumulado,15-13*BM!$A$9)*ROUND(BM!$H488,15-13*ORÇAMENTO!$AF$10),15-13*ORÇAMENTO!$AF$11))),IF($A488=0,0,ROUND(SomaAgrupBM,15-13*ORÇAMENTO!$AF$11)))</f>
        <v>0</v>
      </c>
    </row>
    <row r="489" spans="1:41" x14ac:dyDescent="0.2">
      <c r="A489">
        <f ca="1">ORÇAMENTO!C489</f>
        <v>3</v>
      </c>
      <c r="B489">
        <f ca="1">ORÇAMENTO!D489</f>
        <v>3</v>
      </c>
      <c r="C489" s="114" t="str">
        <f t="shared" ca="1" si="50"/>
        <v>F</v>
      </c>
      <c r="D489" s="117" t="str">
        <f ca="1">ORÇAMENTO!O489</f>
        <v>1.10.4.</v>
      </c>
      <c r="E489" s="163" t="str">
        <f t="shared" si="51"/>
        <v>PINTURA</v>
      </c>
      <c r="F489" s="164" t="str">
        <f ca="1">IF(RegimeExecucao="Global","",ORÇAMENTO.Unidade)</f>
        <v>-</v>
      </c>
      <c r="G489" s="122">
        <f ca="1">IF(RegimeExecucao="Global","",ORÇAMENTO!T489)</f>
        <v>0</v>
      </c>
      <c r="H489" s="122">
        <f ca="1">IF(RegimeExecucao="Global","",ORÇAMENTO!W489)</f>
        <v>0</v>
      </c>
      <c r="I489" s="125">
        <f ca="1">ORÇAMENTO!X489</f>
        <v>1558.5</v>
      </c>
      <c r="J489" s="333" cm="1">
        <f t="array" aca="1" ref="J489" ca="1">_xlfn.SINGLE(IF($A489="S",IF(CAIXA.Modo,BM.AFAnterior,BM.MEDAnterior),IF(AND(_xlfn.SINGLE(RegimeExecucao)="Global",$I489&gt;0,COUNTIF($AB$13:$AM$13,BM.medicao-1)&gt;0),M489/$I489*100,0)))</f>
        <v>0</v>
      </c>
      <c r="K489" s="122">
        <f t="shared" ca="1" si="52"/>
        <v>0</v>
      </c>
      <c r="L489" s="334" cm="1">
        <f t="array" aca="1" ref="L489" ca="1">_xlfn.SINGLE(IF($A489="S",IF(CAIXA.Modo,BM.AFAcumulado,BM.MEDAcumulado),IF(AND(_xlfn.SINGLE(RegimeExecucao)="Global",$I489&gt;0,COUNTIF($AB$13:$AM$13,BM.medicao)&gt;0),O489/$I489*100,0)))</f>
        <v>0</v>
      </c>
      <c r="M489" s="335">
        <f ca="1">IF($A489="S",VTOTALBM,IF($A489=0,0,ROUND(SomaAgrupBM,15-13*ORÇAMENTO!$AF$11)))</f>
        <v>0</v>
      </c>
      <c r="N489" s="336">
        <f t="shared" ca="1" si="53"/>
        <v>0</v>
      </c>
      <c r="O489" s="125">
        <f ca="1">IF($A489="S",VTOTALBM,IF($A489=0,0,ROUND(SomaAgrupBM,15-13*ORÇAMENTO!$AF$11)))</f>
        <v>0</v>
      </c>
      <c r="Q489" s="337"/>
      <c r="R489" s="338"/>
      <c r="T489" s="117" t="str">
        <f t="shared" ca="1" si="54"/>
        <v/>
      </c>
      <c r="U489" s="163" t="str">
        <f t="shared" ca="1" si="55"/>
        <v/>
      </c>
      <c r="V489" s="164" t="str">
        <f ca="1">IF(AND($W489&gt;0,RegimeExecucao="Unitário"),$F489,"")</f>
        <v/>
      </c>
      <c r="W489" s="454">
        <f ca="1">IF($Y489&gt;0,CHOOSE(MATCH(RegimeExecucao,{"Unitário","Global"},0),IF($A489="S",$Y489/$X489,""),($Y489/$X489)*100),0)</f>
        <v>0</v>
      </c>
      <c r="X489" s="339" t="str">
        <f ca="1">IF($Y489&gt;0,CHOOSE(MATCH(RegimeExecucao,{"Unitário","Global"},0),IF($A489="S",ROUND($H489,ORÇAMENTO!$AF$10),""),ROUND($I489,ORÇAMENTO!$AF$11)),"")</f>
        <v/>
      </c>
      <c r="Y489" s="339">
        <f t="shared" ca="1" si="56"/>
        <v>0</v>
      </c>
      <c r="Z489" s="473"/>
      <c r="AB489" s="337"/>
      <c r="AC489" s="437"/>
      <c r="AD489" s="437"/>
      <c r="AE489" s="437"/>
      <c r="AF489" s="437"/>
      <c r="AG489" s="437"/>
      <c r="AH489" s="437"/>
      <c r="AI489" s="437"/>
      <c r="AJ489" s="437"/>
      <c r="AK489" s="437"/>
      <c r="AL489" s="437"/>
      <c r="AM489" s="338"/>
      <c r="AO489">
        <f ca="1">IF($A489="S",IF(BM!$I489=0,0,CHOOSE(MATCH(RegimeExecucao,{"Global","Unitário"},0),ROUND(ROUND(BM.MEDAcumulado,15-13*BM!$A$9)/100*BM!$I489,15-13*ORÇAMENTO!$AF$11),ROUND(ROUND(BM.MEDAcumulado,15-13*BM!$A$9)*ROUND(BM!$H489,15-13*ORÇAMENTO!$AF$10),15-13*ORÇAMENTO!$AF$11))),IF($A489=0,0,ROUND(SomaAgrupBM,15-13*ORÇAMENTO!$AF$11)))</f>
        <v>0</v>
      </c>
    </row>
    <row r="490" spans="1:41" ht="25.5" x14ac:dyDescent="0.2">
      <c r="A490" t="str">
        <f ca="1">ORÇAMENTO!C490</f>
        <v>S</v>
      </c>
      <c r="B490">
        <f ca="1">ORÇAMENTO!D490</f>
        <v>0</v>
      </c>
      <c r="C490" s="114" t="str">
        <f t="shared" ca="1" si="50"/>
        <v>F</v>
      </c>
      <c r="D490" s="117" t="str">
        <f ca="1">ORÇAMENTO!O490</f>
        <v>1.10.4.0.1.</v>
      </c>
      <c r="E490" s="163" t="str">
        <f t="shared" ca="1" si="51"/>
        <v>FUNDO SELADOR ACRÍLICO, APLICAÇÃO MANUAL EM PAREDE, UMA DEMÃO. AF_04/2023</v>
      </c>
      <c r="F490" s="164" t="str">
        <f ca="1">IF(RegimeExecucao="Global","",ORÇAMENTO.Unidade)</f>
        <v>M2</v>
      </c>
      <c r="G490" s="122">
        <f ca="1">IF(RegimeExecucao="Global","",ORÇAMENTO!T490)</f>
        <v>86.97</v>
      </c>
      <c r="H490" s="122">
        <f ca="1">IF(RegimeExecucao="Global","",ORÇAMENTO!W490)</f>
        <v>5.59</v>
      </c>
      <c r="I490" s="125">
        <f ca="1">ORÇAMENTO!X490</f>
        <v>486.16</v>
      </c>
      <c r="J490" s="333" cm="1">
        <f t="array" aca="1" ref="J490" ca="1">_xlfn.SINGLE(IF($A490="S",IF(CAIXA.Modo,BM.AFAnterior,BM.MEDAnterior),IF(AND(_xlfn.SINGLE(RegimeExecucao)="Global",$I490&gt;0,COUNTIF($AB$13:$AM$13,BM.medicao-1)&gt;0),M490/$I490*100,0)))</f>
        <v>0</v>
      </c>
      <c r="K490" s="122">
        <f t="shared" ca="1" si="52"/>
        <v>0</v>
      </c>
      <c r="L490" s="334" cm="1">
        <f t="array" aca="1" ref="L490" ca="1">_xlfn.SINGLE(IF($A490="S",IF(CAIXA.Modo,BM.AFAcumulado,BM.MEDAcumulado),IF(AND(_xlfn.SINGLE(RegimeExecucao)="Global",$I490&gt;0,COUNTIF($AB$13:$AM$13,BM.medicao)&gt;0),O490/$I490*100,0)))</f>
        <v>0</v>
      </c>
      <c r="M490" s="335">
        <f ca="1">IF($A490="S",VTOTALBM,IF($A490=0,0,ROUND(SomaAgrupBM,15-13*ORÇAMENTO!$AF$11)))</f>
        <v>0</v>
      </c>
      <c r="N490" s="336">
        <f t="shared" ca="1" si="53"/>
        <v>0</v>
      </c>
      <c r="O490" s="125">
        <f ca="1">IF($A490="S",VTOTALBM,IF($A490=0,0,ROUND(SomaAgrupBM,15-13*ORÇAMENTO!$AF$11)))</f>
        <v>0</v>
      </c>
      <c r="Q490" s="337"/>
      <c r="R490" s="338"/>
      <c r="T490" s="117" t="str">
        <f t="shared" ca="1" si="54"/>
        <v/>
      </c>
      <c r="U490" s="163" t="str">
        <f t="shared" ca="1" si="55"/>
        <v/>
      </c>
      <c r="V490" s="164" t="str">
        <f ca="1">IF(AND($W490&gt;0,RegimeExecucao="Unitário"),$F490,"")</f>
        <v/>
      </c>
      <c r="W490" s="454">
        <f ca="1">IF($Y490&gt;0,CHOOSE(MATCH(RegimeExecucao,{"Unitário","Global"},0),IF($A490="S",$Y490/$X490,""),($Y490/$X490)*100),0)</f>
        <v>0</v>
      </c>
      <c r="X490" s="339" t="str">
        <f ca="1">IF($Y490&gt;0,CHOOSE(MATCH(RegimeExecucao,{"Unitário","Global"},0),IF($A490="S",ROUND($H490,ORÇAMENTO!$AF$10),""),ROUND($I490,ORÇAMENTO!$AF$11)),"")</f>
        <v/>
      </c>
      <c r="Y490" s="339">
        <f t="shared" ca="1" si="56"/>
        <v>0</v>
      </c>
      <c r="Z490" s="473"/>
      <c r="AB490" s="337"/>
      <c r="AC490" s="437"/>
      <c r="AD490" s="437"/>
      <c r="AE490" s="437"/>
      <c r="AF490" s="437"/>
      <c r="AG490" s="437"/>
      <c r="AH490" s="437"/>
      <c r="AI490" s="437"/>
      <c r="AJ490" s="437"/>
      <c r="AK490" s="437"/>
      <c r="AL490" s="437"/>
      <c r="AM490" s="338"/>
      <c r="AO490">
        <f ca="1">IF($A490="S",IF(BM!$I490=0,0,CHOOSE(MATCH(RegimeExecucao,{"Global","Unitário"},0),ROUND(ROUND(BM.MEDAcumulado,15-13*BM!$A$9)/100*BM!$I490,15-13*ORÇAMENTO!$AF$11),ROUND(ROUND(BM.MEDAcumulado,15-13*BM!$A$9)*ROUND(BM!$H490,15-13*ORÇAMENTO!$AF$10),15-13*ORÇAMENTO!$AF$11))),IF($A490=0,0,ROUND(SomaAgrupBM,15-13*ORÇAMENTO!$AF$11)))</f>
        <v>0</v>
      </c>
    </row>
    <row r="491" spans="1:41" ht="25.5" x14ac:dyDescent="0.2">
      <c r="A491" t="str">
        <f ca="1">ORÇAMENTO!C491</f>
        <v>S</v>
      </c>
      <c r="B491">
        <f ca="1">ORÇAMENTO!D491</f>
        <v>0</v>
      </c>
      <c r="C491" s="114" t="str">
        <f t="shared" ca="1" si="50"/>
        <v>F</v>
      </c>
      <c r="D491" s="117" t="str">
        <f ca="1">ORÇAMENTO!O491</f>
        <v>1.10.4.0.2.</v>
      </c>
      <c r="E491" s="163" t="str">
        <f t="shared" ca="1" si="51"/>
        <v>PINTURA LÁTEX ACRÍLICA ECONÔMICA, APLICAÇÃO MANUAL EM PAREDES, DUAS DEMÃOS. AF_04/2023</v>
      </c>
      <c r="F491" s="164" t="str">
        <f ca="1">IF(RegimeExecucao="Global","",ORÇAMENTO.Unidade)</f>
        <v>M2</v>
      </c>
      <c r="G491" s="122">
        <f ca="1">IF(RegimeExecucao="Global","",ORÇAMENTO!T491)</f>
        <v>86.97</v>
      </c>
      <c r="H491" s="122">
        <f ca="1">IF(RegimeExecucao="Global","",ORÇAMENTO!W491)</f>
        <v>12.33</v>
      </c>
      <c r="I491" s="125">
        <f ca="1">ORÇAMENTO!X491</f>
        <v>1072.3399999999999</v>
      </c>
      <c r="J491" s="333" cm="1">
        <f t="array" aca="1" ref="J491" ca="1">_xlfn.SINGLE(IF($A491="S",IF(CAIXA.Modo,BM.AFAnterior,BM.MEDAnterior),IF(AND(_xlfn.SINGLE(RegimeExecucao)="Global",$I491&gt;0,COUNTIF($AB$13:$AM$13,BM.medicao-1)&gt;0),M491/$I491*100,0)))</f>
        <v>0</v>
      </c>
      <c r="K491" s="122">
        <f t="shared" ca="1" si="52"/>
        <v>0</v>
      </c>
      <c r="L491" s="334" cm="1">
        <f t="array" aca="1" ref="L491" ca="1">_xlfn.SINGLE(IF($A491="S",IF(CAIXA.Modo,BM.AFAcumulado,BM.MEDAcumulado),IF(AND(_xlfn.SINGLE(RegimeExecucao)="Global",$I491&gt;0,COUNTIF($AB$13:$AM$13,BM.medicao)&gt;0),O491/$I491*100,0)))</f>
        <v>0</v>
      </c>
      <c r="M491" s="335">
        <f ca="1">IF($A491="S",VTOTALBM,IF($A491=0,0,ROUND(SomaAgrupBM,15-13*ORÇAMENTO!$AF$11)))</f>
        <v>0</v>
      </c>
      <c r="N491" s="336">
        <f t="shared" ca="1" si="53"/>
        <v>0</v>
      </c>
      <c r="O491" s="125">
        <f ca="1">IF($A491="S",VTOTALBM,IF($A491=0,0,ROUND(SomaAgrupBM,15-13*ORÇAMENTO!$AF$11)))</f>
        <v>0</v>
      </c>
      <c r="Q491" s="337"/>
      <c r="R491" s="338"/>
      <c r="T491" s="117" t="str">
        <f t="shared" ca="1" si="54"/>
        <v/>
      </c>
      <c r="U491" s="163" t="str">
        <f t="shared" ca="1" si="55"/>
        <v/>
      </c>
      <c r="V491" s="164" t="str">
        <f ca="1">IF(AND($W491&gt;0,RegimeExecucao="Unitário"),$F491,"")</f>
        <v/>
      </c>
      <c r="W491" s="454">
        <f ca="1">IF($Y491&gt;0,CHOOSE(MATCH(RegimeExecucao,{"Unitário","Global"},0),IF($A491="S",$Y491/$X491,""),($Y491/$X491)*100),0)</f>
        <v>0</v>
      </c>
      <c r="X491" s="339" t="str">
        <f ca="1">IF($Y491&gt;0,CHOOSE(MATCH(RegimeExecucao,{"Unitário","Global"},0),IF($A491="S",ROUND($H491,ORÇAMENTO!$AF$10),""),ROUND($I491,ORÇAMENTO!$AF$11)),"")</f>
        <v/>
      </c>
      <c r="Y491" s="339">
        <f t="shared" ca="1" si="56"/>
        <v>0</v>
      </c>
      <c r="Z491" s="473"/>
      <c r="AB491" s="337"/>
      <c r="AC491" s="437"/>
      <c r="AD491" s="437"/>
      <c r="AE491" s="437"/>
      <c r="AF491" s="437"/>
      <c r="AG491" s="437"/>
      <c r="AH491" s="437"/>
      <c r="AI491" s="437"/>
      <c r="AJ491" s="437"/>
      <c r="AK491" s="437"/>
      <c r="AL491" s="437"/>
      <c r="AM491" s="338"/>
      <c r="AO491">
        <f ca="1">IF($A491="S",IF(BM!$I491=0,0,CHOOSE(MATCH(RegimeExecucao,{"Global","Unitário"},0),ROUND(ROUND(BM.MEDAcumulado,15-13*BM!$A$9)/100*BM!$I491,15-13*ORÇAMENTO!$AF$11),ROUND(ROUND(BM.MEDAcumulado,15-13*BM!$A$9)*ROUND(BM!$H491,15-13*ORÇAMENTO!$AF$10),15-13*ORÇAMENTO!$AF$11))),IF($A491=0,0,ROUND(SomaAgrupBM,15-13*ORÇAMENTO!$AF$11)))</f>
        <v>0</v>
      </c>
    </row>
    <row r="492" spans="1:41" x14ac:dyDescent="0.2">
      <c r="A492">
        <f ca="1">ORÇAMENTO!C492</f>
        <v>3</v>
      </c>
      <c r="B492">
        <f ca="1">ORÇAMENTO!D492</f>
        <v>6</v>
      </c>
      <c r="C492" s="114" t="str">
        <f t="shared" ca="1" si="50"/>
        <v>F</v>
      </c>
      <c r="D492" s="117" t="str">
        <f ca="1">ORÇAMENTO!O492</f>
        <v>1.10.5.</v>
      </c>
      <c r="E492" s="163" t="str">
        <f t="shared" si="51"/>
        <v>PISOS</v>
      </c>
      <c r="F492" s="164" t="str">
        <f ca="1">IF(RegimeExecucao="Global","",ORÇAMENTO.Unidade)</f>
        <v>-</v>
      </c>
      <c r="G492" s="122">
        <f ca="1">IF(RegimeExecucao="Global","",ORÇAMENTO!T492)</f>
        <v>0</v>
      </c>
      <c r="H492" s="122">
        <f ca="1">IF(RegimeExecucao="Global","",ORÇAMENTO!W492)</f>
        <v>0</v>
      </c>
      <c r="I492" s="125">
        <f ca="1">ORÇAMENTO!X492</f>
        <v>48053.77</v>
      </c>
      <c r="J492" s="333" cm="1">
        <f t="array" aca="1" ref="J492" ca="1">_xlfn.SINGLE(IF($A492="S",IF(CAIXA.Modo,BM.AFAnterior,BM.MEDAnterior),IF(AND(_xlfn.SINGLE(RegimeExecucao)="Global",$I492&gt;0,COUNTIF($AB$13:$AM$13,BM.medicao-1)&gt;0),M492/$I492*100,0)))</f>
        <v>0</v>
      </c>
      <c r="K492" s="122">
        <f t="shared" ca="1" si="52"/>
        <v>0</v>
      </c>
      <c r="L492" s="334" cm="1">
        <f t="array" aca="1" ref="L492" ca="1">_xlfn.SINGLE(IF($A492="S",IF(CAIXA.Modo,BM.AFAcumulado,BM.MEDAcumulado),IF(AND(_xlfn.SINGLE(RegimeExecucao)="Global",$I492&gt;0,COUNTIF($AB$13:$AM$13,BM.medicao)&gt;0),O492/$I492*100,0)))</f>
        <v>0</v>
      </c>
      <c r="M492" s="335">
        <f ca="1">IF($A492="S",VTOTALBM,IF($A492=0,0,ROUND(SomaAgrupBM,15-13*ORÇAMENTO!$AF$11)))</f>
        <v>0</v>
      </c>
      <c r="N492" s="336">
        <f t="shared" ca="1" si="53"/>
        <v>0</v>
      </c>
      <c r="O492" s="125">
        <f ca="1">IF($A492="S",VTOTALBM,IF($A492=0,0,ROUND(SomaAgrupBM,15-13*ORÇAMENTO!$AF$11)))</f>
        <v>0</v>
      </c>
      <c r="Q492" s="337"/>
      <c r="R492" s="338"/>
      <c r="T492" s="117" t="str">
        <f t="shared" ca="1" si="54"/>
        <v/>
      </c>
      <c r="U492" s="163" t="str">
        <f t="shared" ca="1" si="55"/>
        <v/>
      </c>
      <c r="V492" s="164" t="str">
        <f ca="1">IF(AND($W492&gt;0,RegimeExecucao="Unitário"),$F492,"")</f>
        <v/>
      </c>
      <c r="W492" s="454">
        <f ca="1">IF($Y492&gt;0,CHOOSE(MATCH(RegimeExecucao,{"Unitário","Global"},0),IF($A492="S",$Y492/$X492,""),($Y492/$X492)*100),0)</f>
        <v>0</v>
      </c>
      <c r="X492" s="339" t="str">
        <f ca="1">IF($Y492&gt;0,CHOOSE(MATCH(RegimeExecucao,{"Unitário","Global"},0),IF($A492="S",ROUND($H492,ORÇAMENTO!$AF$10),""),ROUND($I492,ORÇAMENTO!$AF$11)),"")</f>
        <v/>
      </c>
      <c r="Y492" s="339">
        <f t="shared" ca="1" si="56"/>
        <v>0</v>
      </c>
      <c r="Z492" s="473"/>
      <c r="AB492" s="337"/>
      <c r="AC492" s="437"/>
      <c r="AD492" s="437"/>
      <c r="AE492" s="437"/>
      <c r="AF492" s="437"/>
      <c r="AG492" s="437"/>
      <c r="AH492" s="437"/>
      <c r="AI492" s="437"/>
      <c r="AJ492" s="437"/>
      <c r="AK492" s="437"/>
      <c r="AL492" s="437"/>
      <c r="AM492" s="338"/>
      <c r="AO492">
        <f ca="1">IF($A492="S",IF(BM!$I492=0,0,CHOOSE(MATCH(RegimeExecucao,{"Global","Unitário"},0),ROUND(ROUND(BM.MEDAcumulado,15-13*BM!$A$9)/100*BM!$I492,15-13*ORÇAMENTO!$AF$11),ROUND(ROUND(BM.MEDAcumulado,15-13*BM!$A$9)*ROUND(BM!$H492,15-13*ORÇAMENTO!$AF$10),15-13*ORÇAMENTO!$AF$11))),IF($A492=0,0,ROUND(SomaAgrupBM,15-13*ORÇAMENTO!$AF$11)))</f>
        <v>0</v>
      </c>
    </row>
    <row r="493" spans="1:41" ht="38.25" x14ac:dyDescent="0.2">
      <c r="A493" t="str">
        <f ca="1">ORÇAMENTO!C493</f>
        <v>S</v>
      </c>
      <c r="B493">
        <f ca="1">ORÇAMENTO!D493</f>
        <v>0</v>
      </c>
      <c r="C493" s="114" t="str">
        <f t="shared" ca="1" si="50"/>
        <v>F</v>
      </c>
      <c r="D493" s="117" t="str">
        <f ca="1">ORÇAMENTO!O493</f>
        <v>1.10.5.0.1.</v>
      </c>
      <c r="E493" s="163" t="str">
        <f t="shared" ca="1" si="51"/>
        <v>COMPACTAÇÃO MECÂNICA DE SOLO PARA EXECUÇÃO DE RADIER, PISO DE CONCRETO OU LAJE SOBRE SOLO, COM COMPACTADOR DE SOLOS TIPO PLACA VIBRATÓRIA. AF_09/2021</v>
      </c>
      <c r="F493" s="164" t="str">
        <f ca="1">IF(RegimeExecucao="Global","",ORÇAMENTO.Unidade)</f>
        <v>M2</v>
      </c>
      <c r="G493" s="122">
        <f ca="1">IF(RegimeExecucao="Global","",ORÇAMENTO!T493)</f>
        <v>192.42</v>
      </c>
      <c r="H493" s="122">
        <f ca="1">IF(RegimeExecucao="Global","",ORÇAMENTO!W493)</f>
        <v>0.94</v>
      </c>
      <c r="I493" s="125">
        <f ca="1">ORÇAMENTO!X493</f>
        <v>180.87</v>
      </c>
      <c r="J493" s="333" cm="1">
        <f t="array" aca="1" ref="J493" ca="1">_xlfn.SINGLE(IF($A493="S",IF(CAIXA.Modo,BM.AFAnterior,BM.MEDAnterior),IF(AND(_xlfn.SINGLE(RegimeExecucao)="Global",$I493&gt;0,COUNTIF($AB$13:$AM$13,BM.medicao-1)&gt;0),M493/$I493*100,0)))</f>
        <v>0</v>
      </c>
      <c r="K493" s="122">
        <f t="shared" ca="1" si="52"/>
        <v>0</v>
      </c>
      <c r="L493" s="334" cm="1">
        <f t="array" aca="1" ref="L493" ca="1">_xlfn.SINGLE(IF($A493="S",IF(CAIXA.Modo,BM.AFAcumulado,BM.MEDAcumulado),IF(AND(_xlfn.SINGLE(RegimeExecucao)="Global",$I493&gt;0,COUNTIF($AB$13:$AM$13,BM.medicao)&gt;0),O493/$I493*100,0)))</f>
        <v>0</v>
      </c>
      <c r="M493" s="335">
        <f ca="1">IF($A493="S",VTOTALBM,IF($A493=0,0,ROUND(SomaAgrupBM,15-13*ORÇAMENTO!$AF$11)))</f>
        <v>0</v>
      </c>
      <c r="N493" s="336">
        <f t="shared" ca="1" si="53"/>
        <v>0</v>
      </c>
      <c r="O493" s="125">
        <f ca="1">IF($A493="S",VTOTALBM,IF($A493=0,0,ROUND(SomaAgrupBM,15-13*ORÇAMENTO!$AF$11)))</f>
        <v>0</v>
      </c>
      <c r="Q493" s="337"/>
      <c r="R493" s="338"/>
      <c r="T493" s="117" t="str">
        <f t="shared" ca="1" si="54"/>
        <v/>
      </c>
      <c r="U493" s="163" t="str">
        <f t="shared" ca="1" si="55"/>
        <v/>
      </c>
      <c r="V493" s="164" t="str">
        <f ca="1">IF(AND($W493&gt;0,RegimeExecucao="Unitário"),$F493,"")</f>
        <v/>
      </c>
      <c r="W493" s="454">
        <f ca="1">IF($Y493&gt;0,CHOOSE(MATCH(RegimeExecucao,{"Unitário","Global"},0),IF($A493="S",$Y493/$X493,""),($Y493/$X493)*100),0)</f>
        <v>0</v>
      </c>
      <c r="X493" s="339" t="str">
        <f ca="1">IF($Y493&gt;0,CHOOSE(MATCH(RegimeExecucao,{"Unitário","Global"},0),IF($A493="S",ROUND($H493,ORÇAMENTO!$AF$10),""),ROUND($I493,ORÇAMENTO!$AF$11)),"")</f>
        <v/>
      </c>
      <c r="Y493" s="339">
        <f t="shared" ca="1" si="56"/>
        <v>0</v>
      </c>
      <c r="Z493" s="473"/>
      <c r="AB493" s="337"/>
      <c r="AC493" s="437"/>
      <c r="AD493" s="437"/>
      <c r="AE493" s="437"/>
      <c r="AF493" s="437"/>
      <c r="AG493" s="437"/>
      <c r="AH493" s="437"/>
      <c r="AI493" s="437"/>
      <c r="AJ493" s="437"/>
      <c r="AK493" s="437"/>
      <c r="AL493" s="437"/>
      <c r="AM493" s="338"/>
      <c r="AO493">
        <f ca="1">IF($A493="S",IF(BM!$I493=0,0,CHOOSE(MATCH(RegimeExecucao,{"Global","Unitário"},0),ROUND(ROUND(BM.MEDAcumulado,15-13*BM!$A$9)/100*BM!$I493,15-13*ORÇAMENTO!$AF$11),ROUND(ROUND(BM.MEDAcumulado,15-13*BM!$A$9)*ROUND(BM!$H493,15-13*ORÇAMENTO!$AF$10),15-13*ORÇAMENTO!$AF$11))),IF($A493=0,0,ROUND(SomaAgrupBM,15-13*ORÇAMENTO!$AF$11)))</f>
        <v>0</v>
      </c>
    </row>
    <row r="494" spans="1:41" ht="38.25" x14ac:dyDescent="0.2">
      <c r="A494" t="str">
        <f ca="1">ORÇAMENTO!C494</f>
        <v>S</v>
      </c>
      <c r="B494">
        <f ca="1">ORÇAMENTO!D494</f>
        <v>0</v>
      </c>
      <c r="C494" s="114" t="str">
        <f t="shared" ca="1" si="50"/>
        <v>F</v>
      </c>
      <c r="D494" s="117" t="str">
        <f ca="1">ORÇAMENTO!O494</f>
        <v>1.10.5.0.2.</v>
      </c>
      <c r="E494" s="163" t="str">
        <f t="shared" ca="1" si="51"/>
        <v>EXECUÇÃO DE PASSEIO (CALÇADA) OU PISO DE CONCRETO COM CONCRETO MOLDADO IN LOCO, FEITO EM OBRA, ACABAMENTO CONVENCIONAL, NÃO ARMADO. AF_08/2022</v>
      </c>
      <c r="F494" s="164" t="str">
        <f ca="1">IF(RegimeExecucao="Global","",ORÇAMENTO.Unidade)</f>
        <v>M3</v>
      </c>
      <c r="G494" s="122">
        <f ca="1">IF(RegimeExecucao="Global","",ORÇAMENTO!T494)</f>
        <v>29.62</v>
      </c>
      <c r="H494" s="122">
        <f ca="1">IF(RegimeExecucao="Global","",ORÇAMENTO!W494)</f>
        <v>1042.25</v>
      </c>
      <c r="I494" s="125">
        <f ca="1">ORÇAMENTO!X494</f>
        <v>30871.45</v>
      </c>
      <c r="J494" s="333" cm="1">
        <f t="array" aca="1" ref="J494" ca="1">_xlfn.SINGLE(IF($A494="S",IF(CAIXA.Modo,BM.AFAnterior,BM.MEDAnterior),IF(AND(_xlfn.SINGLE(RegimeExecucao)="Global",$I494&gt;0,COUNTIF($AB$13:$AM$13,BM.medicao-1)&gt;0),M494/$I494*100,0)))</f>
        <v>0</v>
      </c>
      <c r="K494" s="122">
        <f t="shared" ca="1" si="52"/>
        <v>0</v>
      </c>
      <c r="L494" s="334" cm="1">
        <f t="array" aca="1" ref="L494" ca="1">_xlfn.SINGLE(IF($A494="S",IF(CAIXA.Modo,BM.AFAcumulado,BM.MEDAcumulado),IF(AND(_xlfn.SINGLE(RegimeExecucao)="Global",$I494&gt;0,COUNTIF($AB$13:$AM$13,BM.medicao)&gt;0),O494/$I494*100,0)))</f>
        <v>0</v>
      </c>
      <c r="M494" s="335">
        <f ca="1">IF($A494="S",VTOTALBM,IF($A494=0,0,ROUND(SomaAgrupBM,15-13*ORÇAMENTO!$AF$11)))</f>
        <v>0</v>
      </c>
      <c r="N494" s="336">
        <f t="shared" ca="1" si="53"/>
        <v>0</v>
      </c>
      <c r="O494" s="125">
        <f ca="1">IF($A494="S",VTOTALBM,IF($A494=0,0,ROUND(SomaAgrupBM,15-13*ORÇAMENTO!$AF$11)))</f>
        <v>0</v>
      </c>
      <c r="Q494" s="337"/>
      <c r="R494" s="338"/>
      <c r="T494" s="117" t="str">
        <f t="shared" ca="1" si="54"/>
        <v/>
      </c>
      <c r="U494" s="163" t="str">
        <f t="shared" ca="1" si="55"/>
        <v/>
      </c>
      <c r="V494" s="164" t="str">
        <f ca="1">IF(AND($W494&gt;0,RegimeExecucao="Unitário"),$F494,"")</f>
        <v/>
      </c>
      <c r="W494" s="454">
        <f ca="1">IF($Y494&gt;0,CHOOSE(MATCH(RegimeExecucao,{"Unitário","Global"},0),IF($A494="S",$Y494/$X494,""),($Y494/$X494)*100),0)</f>
        <v>0</v>
      </c>
      <c r="X494" s="339" t="str">
        <f ca="1">IF($Y494&gt;0,CHOOSE(MATCH(RegimeExecucao,{"Unitário","Global"},0),IF($A494="S",ROUND($H494,ORÇAMENTO!$AF$10),""),ROUND($I494,ORÇAMENTO!$AF$11)),"")</f>
        <v/>
      </c>
      <c r="Y494" s="339">
        <f t="shared" ca="1" si="56"/>
        <v>0</v>
      </c>
      <c r="Z494" s="473"/>
      <c r="AB494" s="337"/>
      <c r="AC494" s="437"/>
      <c r="AD494" s="437"/>
      <c r="AE494" s="437"/>
      <c r="AF494" s="437"/>
      <c r="AG494" s="437"/>
      <c r="AH494" s="437"/>
      <c r="AI494" s="437"/>
      <c r="AJ494" s="437"/>
      <c r="AK494" s="437"/>
      <c r="AL494" s="437"/>
      <c r="AM494" s="338"/>
      <c r="AO494">
        <f ca="1">IF($A494="S",IF(BM!$I494=0,0,CHOOSE(MATCH(RegimeExecucao,{"Global","Unitário"},0),ROUND(ROUND(BM.MEDAcumulado,15-13*BM!$A$9)/100*BM!$I494,15-13*ORÇAMENTO!$AF$11),ROUND(ROUND(BM.MEDAcumulado,15-13*BM!$A$9)*ROUND(BM!$H494,15-13*ORÇAMENTO!$AF$10),15-13*ORÇAMENTO!$AF$11))),IF($A494=0,0,ROUND(SomaAgrupBM,15-13*ORÇAMENTO!$AF$11)))</f>
        <v>0</v>
      </c>
    </row>
    <row r="495" spans="1:41" ht="25.5" x14ac:dyDescent="0.2">
      <c r="A495" t="str">
        <f ca="1">ORÇAMENTO!C495</f>
        <v>S</v>
      </c>
      <c r="B495">
        <f ca="1">ORÇAMENTO!D495</f>
        <v>0</v>
      </c>
      <c r="C495" s="114" t="str">
        <f t="shared" ca="1" si="50"/>
        <v>F</v>
      </c>
      <c r="D495" s="117" t="str">
        <f ca="1">ORÇAMENTO!O495</f>
        <v>1.10.5.0.3.</v>
      </c>
      <c r="E495" s="163" t="str">
        <f t="shared" ca="1" si="51"/>
        <v>CAMADA SEPARADORA PARA EXECUÇÃO DE RADIER, PISO DE CONCRETO OU LAJE SOBRE SOLO, EM LONA PLÁSTICA. AF_09/2021</v>
      </c>
      <c r="F495" s="164" t="str">
        <f ca="1">IF(RegimeExecucao="Global","",ORÇAMENTO.Unidade)</f>
        <v>M2</v>
      </c>
      <c r="G495" s="122">
        <f ca="1">IF(RegimeExecucao="Global","",ORÇAMENTO!T495)</f>
        <v>192.42</v>
      </c>
      <c r="H495" s="122">
        <f ca="1">IF(RegimeExecucao="Global","",ORÇAMENTO!W495)</f>
        <v>3.25</v>
      </c>
      <c r="I495" s="125">
        <f ca="1">ORÇAMENTO!X495</f>
        <v>625.37</v>
      </c>
      <c r="J495" s="333" cm="1">
        <f t="array" aca="1" ref="J495" ca="1">_xlfn.SINGLE(IF($A495="S",IF(CAIXA.Modo,BM.AFAnterior,BM.MEDAnterior),IF(AND(_xlfn.SINGLE(RegimeExecucao)="Global",$I495&gt;0,COUNTIF($AB$13:$AM$13,BM.medicao-1)&gt;0),M495/$I495*100,0)))</f>
        <v>0</v>
      </c>
      <c r="K495" s="122">
        <f t="shared" ca="1" si="52"/>
        <v>0</v>
      </c>
      <c r="L495" s="334" cm="1">
        <f t="array" aca="1" ref="L495" ca="1">_xlfn.SINGLE(IF($A495="S",IF(CAIXA.Modo,BM.AFAcumulado,BM.MEDAcumulado),IF(AND(_xlfn.SINGLE(RegimeExecucao)="Global",$I495&gt;0,COUNTIF($AB$13:$AM$13,BM.medicao)&gt;0),O495/$I495*100,0)))</f>
        <v>0</v>
      </c>
      <c r="M495" s="335">
        <f ca="1">IF($A495="S",VTOTALBM,IF($A495=0,0,ROUND(SomaAgrupBM,15-13*ORÇAMENTO!$AF$11)))</f>
        <v>0</v>
      </c>
      <c r="N495" s="336">
        <f t="shared" ca="1" si="53"/>
        <v>0</v>
      </c>
      <c r="O495" s="125">
        <f ca="1">IF($A495="S",VTOTALBM,IF($A495=0,0,ROUND(SomaAgrupBM,15-13*ORÇAMENTO!$AF$11)))</f>
        <v>0</v>
      </c>
      <c r="Q495" s="337"/>
      <c r="R495" s="338"/>
      <c r="T495" s="117" t="str">
        <f t="shared" ca="1" si="54"/>
        <v/>
      </c>
      <c r="U495" s="163" t="str">
        <f t="shared" ca="1" si="55"/>
        <v/>
      </c>
      <c r="V495" s="164" t="str">
        <f ca="1">IF(AND($W495&gt;0,RegimeExecucao="Unitário"),$F495,"")</f>
        <v/>
      </c>
      <c r="W495" s="454">
        <f ca="1">IF($Y495&gt;0,CHOOSE(MATCH(RegimeExecucao,{"Unitário","Global"},0),IF($A495="S",$Y495/$X495,""),($Y495/$X495)*100),0)</f>
        <v>0</v>
      </c>
      <c r="X495" s="339" t="str">
        <f ca="1">IF($Y495&gt;0,CHOOSE(MATCH(RegimeExecucao,{"Unitário","Global"},0),IF($A495="S",ROUND($H495,ORÇAMENTO!$AF$10),""),ROUND($I495,ORÇAMENTO!$AF$11)),"")</f>
        <v/>
      </c>
      <c r="Y495" s="339">
        <f t="shared" ca="1" si="56"/>
        <v>0</v>
      </c>
      <c r="Z495" s="473"/>
      <c r="AB495" s="337"/>
      <c r="AC495" s="437"/>
      <c r="AD495" s="437"/>
      <c r="AE495" s="437"/>
      <c r="AF495" s="437"/>
      <c r="AG495" s="437"/>
      <c r="AH495" s="437"/>
      <c r="AI495" s="437"/>
      <c r="AJ495" s="437"/>
      <c r="AK495" s="437"/>
      <c r="AL495" s="437"/>
      <c r="AM495" s="338"/>
      <c r="AO495">
        <f ca="1">IF($A495="S",IF(BM!$I495=0,0,CHOOSE(MATCH(RegimeExecucao,{"Global","Unitário"},0),ROUND(ROUND(BM.MEDAcumulado,15-13*BM!$A$9)/100*BM!$I495,15-13*ORÇAMENTO!$AF$11),ROUND(ROUND(BM.MEDAcumulado,15-13*BM!$A$9)*ROUND(BM!$H495,15-13*ORÇAMENTO!$AF$10),15-13*ORÇAMENTO!$AF$11))),IF($A495=0,0,ROUND(SomaAgrupBM,15-13*ORÇAMENTO!$AF$11)))</f>
        <v>0</v>
      </c>
    </row>
    <row r="496" spans="1:41" x14ac:dyDescent="0.2">
      <c r="A496" t="str">
        <f ca="1">ORÇAMENTO!C496</f>
        <v>S</v>
      </c>
      <c r="B496">
        <f ca="1">ORÇAMENTO!D496</f>
        <v>0</v>
      </c>
      <c r="C496" s="114" t="str">
        <f t="shared" ca="1" si="50"/>
        <v>F</v>
      </c>
      <c r="D496" s="117" t="str">
        <f ca="1">ORÇAMENTO!O496</f>
        <v>1.10.5.0.4.</v>
      </c>
      <c r="E496" s="163" t="str">
        <f t="shared" ca="1" si="51"/>
        <v>ACABAMENTO CAMURÇADO EM PISO - BASEADO EM IOPES (130209)</v>
      </c>
      <c r="F496" s="164" t="str">
        <f ca="1">IF(RegimeExecucao="Global","",ORÇAMENTO.Unidade)</f>
        <v>M2</v>
      </c>
      <c r="G496" s="122">
        <f ca="1">IF(RegimeExecucao="Global","",ORÇAMENTO!T496)</f>
        <v>192.42</v>
      </c>
      <c r="H496" s="122">
        <f ca="1">IF(RegimeExecucao="Global","",ORÇAMENTO!W496)</f>
        <v>82.1</v>
      </c>
      <c r="I496" s="125">
        <f ca="1">ORÇAMENTO!X496</f>
        <v>15797.68</v>
      </c>
      <c r="J496" s="333" cm="1">
        <f t="array" aca="1" ref="J496" ca="1">_xlfn.SINGLE(IF($A496="S",IF(CAIXA.Modo,BM.AFAnterior,BM.MEDAnterior),IF(AND(_xlfn.SINGLE(RegimeExecucao)="Global",$I496&gt;0,COUNTIF($AB$13:$AM$13,BM.medicao-1)&gt;0),M496/$I496*100,0)))</f>
        <v>0</v>
      </c>
      <c r="K496" s="122">
        <f t="shared" ca="1" si="52"/>
        <v>0</v>
      </c>
      <c r="L496" s="334" cm="1">
        <f t="array" aca="1" ref="L496" ca="1">_xlfn.SINGLE(IF($A496="S",IF(CAIXA.Modo,BM.AFAcumulado,BM.MEDAcumulado),IF(AND(_xlfn.SINGLE(RegimeExecucao)="Global",$I496&gt;0,COUNTIF($AB$13:$AM$13,BM.medicao)&gt;0),O496/$I496*100,0)))</f>
        <v>0</v>
      </c>
      <c r="M496" s="335">
        <f ca="1">IF($A496="S",VTOTALBM,IF($A496=0,0,ROUND(SomaAgrupBM,15-13*ORÇAMENTO!$AF$11)))</f>
        <v>0</v>
      </c>
      <c r="N496" s="336">
        <f t="shared" ca="1" si="53"/>
        <v>0</v>
      </c>
      <c r="O496" s="125">
        <f ca="1">IF($A496="S",VTOTALBM,IF($A496=0,0,ROUND(SomaAgrupBM,15-13*ORÇAMENTO!$AF$11)))</f>
        <v>0</v>
      </c>
      <c r="Q496" s="337"/>
      <c r="R496" s="338"/>
      <c r="T496" s="117" t="str">
        <f t="shared" ca="1" si="54"/>
        <v/>
      </c>
      <c r="U496" s="163" t="str">
        <f t="shared" ca="1" si="55"/>
        <v/>
      </c>
      <c r="V496" s="164" t="str">
        <f ca="1">IF(AND($W496&gt;0,RegimeExecucao="Unitário"),$F496,"")</f>
        <v/>
      </c>
      <c r="W496" s="454">
        <f ca="1">IF($Y496&gt;0,CHOOSE(MATCH(RegimeExecucao,{"Unitário","Global"},0),IF($A496="S",$Y496/$X496,""),($Y496/$X496)*100),0)</f>
        <v>0</v>
      </c>
      <c r="X496" s="339" t="str">
        <f ca="1">IF($Y496&gt;0,CHOOSE(MATCH(RegimeExecucao,{"Unitário","Global"},0),IF($A496="S",ROUND($H496,ORÇAMENTO!$AF$10),""),ROUND($I496,ORÇAMENTO!$AF$11)),"")</f>
        <v/>
      </c>
      <c r="Y496" s="339">
        <f t="shared" ca="1" si="56"/>
        <v>0</v>
      </c>
      <c r="Z496" s="473"/>
      <c r="AB496" s="337"/>
      <c r="AC496" s="437"/>
      <c r="AD496" s="437"/>
      <c r="AE496" s="437"/>
      <c r="AF496" s="437"/>
      <c r="AG496" s="437"/>
      <c r="AH496" s="437"/>
      <c r="AI496" s="437"/>
      <c r="AJ496" s="437"/>
      <c r="AK496" s="437"/>
      <c r="AL496" s="437"/>
      <c r="AM496" s="338"/>
      <c r="AO496">
        <f ca="1">IF($A496="S",IF(BM!$I496=0,0,CHOOSE(MATCH(RegimeExecucao,{"Global","Unitário"},0),ROUND(ROUND(BM.MEDAcumulado,15-13*BM!$A$9)/100*BM!$I496,15-13*ORÇAMENTO!$AF$11),ROUND(ROUND(BM.MEDAcumulado,15-13*BM!$A$9)*ROUND(BM!$H496,15-13*ORÇAMENTO!$AF$10),15-13*ORÇAMENTO!$AF$11))),IF($A496=0,0,ROUND(SomaAgrupBM,15-13*ORÇAMENTO!$AF$11)))</f>
        <v>0</v>
      </c>
    </row>
    <row r="497" spans="1:41" ht="25.5" x14ac:dyDescent="0.2">
      <c r="A497" t="str">
        <f ca="1">ORÇAMENTO!C497</f>
        <v>S</v>
      </c>
      <c r="B497">
        <f ca="1">ORÇAMENTO!D497</f>
        <v>0</v>
      </c>
      <c r="C497" s="114" t="str">
        <f ca="1">IF(OR($I497&gt;0,$A497=1,$A497=2,$A497=3,$A497=4),"F","")</f>
        <v>F</v>
      </c>
      <c r="D497" s="117" t="str">
        <f ca="1">ORÇAMENTO!O497</f>
        <v>1.10.5.0.5.</v>
      </c>
      <c r="E497" s="163" t="str">
        <f ca="1">ORÇAMENTO.Descricao</f>
        <v>PISO PODOTÁTIL DE ALERTA OU DIRECIONAL, DE CONCRETO, ASSENTADO SOBRE ARGAMASSA. AF_03/2024</v>
      </c>
      <c r="F497" s="164" t="str">
        <f ca="1">IF(RegimeExecucao="Global","",ORÇAMENTO.Unidade)</f>
        <v>M2</v>
      </c>
      <c r="G497" s="122">
        <f ca="1">IF(RegimeExecucao="Global","",ORÇAMENTO!T497)</f>
        <v>3</v>
      </c>
      <c r="H497" s="122">
        <f ca="1">IF(RegimeExecucao="Global","",ORÇAMENTO!W497)</f>
        <v>192.8</v>
      </c>
      <c r="I497" s="125">
        <f ca="1">ORÇAMENTO!X497</f>
        <v>578.4</v>
      </c>
      <c r="J497" s="333" cm="1">
        <f t="array" aca="1" ref="J497" ca="1">_xlfn.SINGLE(IF($A497="S",IF(CAIXA.Modo,BM.AFAnterior,BM.MEDAnterior),IF(AND(_xlfn.SINGLE(RegimeExecucao)="Global",$I497&gt;0,COUNTIF($AB$13:$AM$13,BM.medicao-1)&gt;0),M497/$I497*100,0)))</f>
        <v>0</v>
      </c>
      <c r="K497" s="122">
        <f ca="1">L497-J497</f>
        <v>0</v>
      </c>
      <c r="L497" s="334" cm="1">
        <f t="array" aca="1" ref="L497" ca="1">_xlfn.SINGLE(IF($A497="S",IF(CAIXA.Modo,BM.AFAcumulado,BM.MEDAcumulado),IF(AND(_xlfn.SINGLE(RegimeExecucao)="Global",$I497&gt;0,COUNTIF($AB$13:$AM$13,BM.medicao)&gt;0),O497/$I497*100,0)))</f>
        <v>0</v>
      </c>
      <c r="M497" s="335">
        <f ca="1">IF($A497="S",VTOTALBM,IF($A497=0,0,ROUND(SomaAgrupBM,15-13*ORÇAMENTO!$AF$11)))</f>
        <v>0</v>
      </c>
      <c r="N497" s="336">
        <f ca="1">O497-M497</f>
        <v>0</v>
      </c>
      <c r="O497" s="125">
        <f ca="1">IF($A497="S",VTOTALBM,IF($A497=0,0,ROUND(SomaAgrupBM,15-13*ORÇAMENTO!$AF$11)))</f>
        <v>0</v>
      </c>
      <c r="Q497" s="337"/>
      <c r="R497" s="338"/>
      <c r="T497" s="117" t="str">
        <f ca="1">IF($W497&gt;0,$D497,"")</f>
        <v/>
      </c>
      <c r="U497" s="163" t="str">
        <f ca="1">IF($W497&gt;0,$E497,"")</f>
        <v/>
      </c>
      <c r="V497" s="164" t="str">
        <f ca="1">IF(AND($W497&gt;0,RegimeExecucao="Unitário"),$F497,"")</f>
        <v/>
      </c>
      <c r="W497" s="454">
        <f ca="1">IF($Y497&gt;0,CHOOSE(MATCH(RegimeExecucao,{"Unitário","Global"},0),IF($A497="S",$Y497/$X497,""),($Y497/$X497)*100),0)</f>
        <v>0</v>
      </c>
      <c r="X497" s="339" t="str">
        <f ca="1">IF($Y497&gt;0,CHOOSE(MATCH(RegimeExecucao,{"Unitário","Global"},0),IF($A497="S",ROUND($H497,ORÇAMENTO!$AF$10),""),ROUND($I497,ORÇAMENTO!$AF$11)),"")</f>
        <v/>
      </c>
      <c r="Y497" s="339">
        <f ca="1">AO497-O497</f>
        <v>0</v>
      </c>
      <c r="Z497" s="473"/>
      <c r="AB497" s="337"/>
      <c r="AC497" s="437"/>
      <c r="AD497" s="437"/>
      <c r="AE497" s="437"/>
      <c r="AF497" s="437"/>
      <c r="AG497" s="437"/>
      <c r="AH497" s="437"/>
      <c r="AI497" s="437"/>
      <c r="AJ497" s="437"/>
      <c r="AK497" s="437"/>
      <c r="AL497" s="437"/>
      <c r="AM497" s="338"/>
      <c r="AO497">
        <f ca="1">IF($A497="S",IF(BM!$I497=0,0,CHOOSE(MATCH(RegimeExecucao,{"Global","Unitário"},0),ROUND(ROUND(BM.MEDAcumulado,15-13*BM!$A$9)/100*BM!$I497,15-13*ORÇAMENTO!$AF$11),ROUND(ROUND(BM.MEDAcumulado,15-13*BM!$A$9)*ROUND(BM!$H497,15-13*ORÇAMENTO!$AF$10),15-13*ORÇAMENTO!$AF$11))),IF($A497=0,0,ROUND(SomaAgrupBM,15-13*ORÇAMENTO!$AF$11)))</f>
        <v>0</v>
      </c>
    </row>
    <row r="498" spans="1:41" x14ac:dyDescent="0.2">
      <c r="A498">
        <f ca="1">ORÇAMENTO!C498</f>
        <v>3</v>
      </c>
      <c r="B498">
        <f ca="1">ORÇAMENTO!D498</f>
        <v>2</v>
      </c>
      <c r="C498" s="114" t="str">
        <f t="shared" ca="1" si="50"/>
        <v>F</v>
      </c>
      <c r="D498" s="117" t="str">
        <f ca="1">ORÇAMENTO!O498</f>
        <v>1.10.6.</v>
      </c>
      <c r="E498" s="163" t="str">
        <f t="shared" si="51"/>
        <v>ESQUADRIAS</v>
      </c>
      <c r="F498" s="164" t="str">
        <f ca="1">IF(RegimeExecucao="Global","",ORÇAMENTO.Unidade)</f>
        <v>-</v>
      </c>
      <c r="G498" s="122">
        <f ca="1">IF(RegimeExecucao="Global","",ORÇAMENTO!T498)</f>
        <v>0</v>
      </c>
      <c r="H498" s="122">
        <f ca="1">IF(RegimeExecucao="Global","",ORÇAMENTO!W498)</f>
        <v>0</v>
      </c>
      <c r="I498" s="125">
        <f ca="1">ORÇAMENTO!X498</f>
        <v>1325.02</v>
      </c>
      <c r="J498" s="333" cm="1">
        <f t="array" aca="1" ref="J498" ca="1">_xlfn.SINGLE(IF($A498="S",IF(CAIXA.Modo,BM.AFAnterior,BM.MEDAnterior),IF(AND(_xlfn.SINGLE(RegimeExecucao)="Global",$I498&gt;0,COUNTIF($AB$13:$AM$13,BM.medicao-1)&gt;0),M498/$I498*100,0)))</f>
        <v>0</v>
      </c>
      <c r="K498" s="122">
        <f t="shared" ca="1" si="52"/>
        <v>0</v>
      </c>
      <c r="L498" s="334" cm="1">
        <f t="array" aca="1" ref="L498" ca="1">_xlfn.SINGLE(IF($A498="S",IF(CAIXA.Modo,BM.AFAcumulado,BM.MEDAcumulado),IF(AND(_xlfn.SINGLE(RegimeExecucao)="Global",$I498&gt;0,COUNTIF($AB$13:$AM$13,BM.medicao)&gt;0),O498/$I498*100,0)))</f>
        <v>0</v>
      </c>
      <c r="M498" s="335">
        <f ca="1">IF($A498="S",VTOTALBM,IF($A498=0,0,ROUND(SomaAgrupBM,15-13*ORÇAMENTO!$AF$11)))</f>
        <v>0</v>
      </c>
      <c r="N498" s="336">
        <f t="shared" ca="1" si="53"/>
        <v>0</v>
      </c>
      <c r="O498" s="125">
        <f ca="1">IF($A498="S",VTOTALBM,IF($A498=0,0,ROUND(SomaAgrupBM,15-13*ORÇAMENTO!$AF$11)))</f>
        <v>0</v>
      </c>
      <c r="Q498" s="337"/>
      <c r="R498" s="338"/>
      <c r="T498" s="117" t="str">
        <f t="shared" ca="1" si="54"/>
        <v/>
      </c>
      <c r="U498" s="163" t="str">
        <f t="shared" ca="1" si="55"/>
        <v/>
      </c>
      <c r="V498" s="164" t="str">
        <f ca="1">IF(AND($W498&gt;0,RegimeExecucao="Unitário"),$F498,"")</f>
        <v/>
      </c>
      <c r="W498" s="454">
        <f ca="1">IF($Y498&gt;0,CHOOSE(MATCH(RegimeExecucao,{"Unitário","Global"},0),IF($A498="S",$Y498/$X498,""),($Y498/$X498)*100),0)</f>
        <v>0</v>
      </c>
      <c r="X498" s="339" t="str">
        <f ca="1">IF($Y498&gt;0,CHOOSE(MATCH(RegimeExecucao,{"Unitário","Global"},0),IF($A498="S",ROUND($H498,ORÇAMENTO!$AF$10),""),ROUND($I498,ORÇAMENTO!$AF$11)),"")</f>
        <v/>
      </c>
      <c r="Y498" s="339">
        <f t="shared" ca="1" si="56"/>
        <v>0</v>
      </c>
      <c r="Z498" s="473"/>
      <c r="AB498" s="337"/>
      <c r="AC498" s="437"/>
      <c r="AD498" s="437"/>
      <c r="AE498" s="437"/>
      <c r="AF498" s="437"/>
      <c r="AG498" s="437"/>
      <c r="AH498" s="437"/>
      <c r="AI498" s="437"/>
      <c r="AJ498" s="437"/>
      <c r="AK498" s="437"/>
      <c r="AL498" s="437"/>
      <c r="AM498" s="338"/>
      <c r="AO498">
        <f ca="1">IF($A498="S",IF(BM!$I498=0,0,CHOOSE(MATCH(RegimeExecucao,{"Global","Unitário"},0),ROUND(ROUND(BM.MEDAcumulado,15-13*BM!$A$9)/100*BM!$I498,15-13*ORÇAMENTO!$AF$11),ROUND(ROUND(BM.MEDAcumulado,15-13*BM!$A$9)*ROUND(BM!$H498,15-13*ORÇAMENTO!$AF$10),15-13*ORÇAMENTO!$AF$11))),IF($A498=0,0,ROUND(SomaAgrupBM,15-13*ORÇAMENTO!$AF$11)))</f>
        <v>0</v>
      </c>
    </row>
    <row r="499" spans="1:41" ht="38.25" x14ac:dyDescent="0.2">
      <c r="A499" t="str">
        <f ca="1">ORÇAMENTO!C499</f>
        <v>S</v>
      </c>
      <c r="B499">
        <f ca="1">ORÇAMENTO!D499</f>
        <v>0</v>
      </c>
      <c r="C499" s="114" t="str">
        <f t="shared" ca="1" si="50"/>
        <v>F</v>
      </c>
      <c r="D499" s="117" t="str">
        <f ca="1">ORÇAMENTO!O499</f>
        <v>1.10.6.0.1.</v>
      </c>
      <c r="E499" s="163" t="str">
        <f t="shared" ca="1" si="51"/>
        <v>PORTA EM ALUMÍNIO DE ABRIR TIPO VENEZIANA COM GUARNIÇÃO, FIXAÇÃO COM PARAFUSOS - FORNECIMENTO E INSTALAÇÃO. AF_12/2019</v>
      </c>
      <c r="F499" s="164" t="str">
        <f ca="1">IF(RegimeExecucao="Global","",ORÇAMENTO.Unidade)</f>
        <v>M2</v>
      </c>
      <c r="G499" s="122">
        <f ca="1">IF(RegimeExecucao="Global","",ORÇAMENTO!T499)</f>
        <v>1.68</v>
      </c>
      <c r="H499" s="122">
        <f ca="1">IF(RegimeExecucao="Global","",ORÇAMENTO!W499)</f>
        <v>788.7</v>
      </c>
      <c r="I499" s="125">
        <f ca="1">ORÇAMENTO!X499</f>
        <v>1325.02</v>
      </c>
      <c r="J499" s="333" cm="1">
        <f t="array" aca="1" ref="J499" ca="1">_xlfn.SINGLE(IF($A499="S",IF(CAIXA.Modo,BM.AFAnterior,BM.MEDAnterior),IF(AND(_xlfn.SINGLE(RegimeExecucao)="Global",$I499&gt;0,COUNTIF($AB$13:$AM$13,BM.medicao-1)&gt;0),M499/$I499*100,0)))</f>
        <v>0</v>
      </c>
      <c r="K499" s="122">
        <f t="shared" ca="1" si="52"/>
        <v>0</v>
      </c>
      <c r="L499" s="334" cm="1">
        <f t="array" aca="1" ref="L499" ca="1">_xlfn.SINGLE(IF($A499="S",IF(CAIXA.Modo,BM.AFAcumulado,BM.MEDAcumulado),IF(AND(_xlfn.SINGLE(RegimeExecucao)="Global",$I499&gt;0,COUNTIF($AB$13:$AM$13,BM.medicao)&gt;0),O499/$I499*100,0)))</f>
        <v>0</v>
      </c>
      <c r="M499" s="335">
        <f ca="1">IF($A499="S",VTOTALBM,IF($A499=0,0,ROUND(SomaAgrupBM,15-13*ORÇAMENTO!$AF$11)))</f>
        <v>0</v>
      </c>
      <c r="N499" s="336">
        <f t="shared" ca="1" si="53"/>
        <v>0</v>
      </c>
      <c r="O499" s="125">
        <f ca="1">IF($A499="S",VTOTALBM,IF($A499=0,0,ROUND(SomaAgrupBM,15-13*ORÇAMENTO!$AF$11)))</f>
        <v>0</v>
      </c>
      <c r="Q499" s="337"/>
      <c r="R499" s="338"/>
      <c r="T499" s="117" t="str">
        <f t="shared" ca="1" si="54"/>
        <v/>
      </c>
      <c r="U499" s="163" t="str">
        <f t="shared" ca="1" si="55"/>
        <v/>
      </c>
      <c r="V499" s="164" t="str">
        <f ca="1">IF(AND($W499&gt;0,RegimeExecucao="Unitário"),$F499,"")</f>
        <v/>
      </c>
      <c r="W499" s="454">
        <f ca="1">IF($Y499&gt;0,CHOOSE(MATCH(RegimeExecucao,{"Unitário","Global"},0),IF($A499="S",$Y499/$X499,""),($Y499/$X499)*100),0)</f>
        <v>0</v>
      </c>
      <c r="X499" s="339" t="str">
        <f ca="1">IF($Y499&gt;0,CHOOSE(MATCH(RegimeExecucao,{"Unitário","Global"},0),IF($A499="S",ROUND($H499,ORÇAMENTO!$AF$10),""),ROUND($I499,ORÇAMENTO!$AF$11)),"")</f>
        <v/>
      </c>
      <c r="Y499" s="339">
        <f t="shared" ca="1" si="56"/>
        <v>0</v>
      </c>
      <c r="Z499" s="473"/>
      <c r="AB499" s="337"/>
      <c r="AC499" s="437"/>
      <c r="AD499" s="437"/>
      <c r="AE499" s="437"/>
      <c r="AF499" s="437"/>
      <c r="AG499" s="437"/>
      <c r="AH499" s="437"/>
      <c r="AI499" s="437"/>
      <c r="AJ499" s="437"/>
      <c r="AK499" s="437"/>
      <c r="AL499" s="437"/>
      <c r="AM499" s="338"/>
      <c r="AO499">
        <f ca="1">IF($A499="S",IF(BM!$I499=0,0,CHOOSE(MATCH(RegimeExecucao,{"Global","Unitário"},0),ROUND(ROUND(BM.MEDAcumulado,15-13*BM!$A$9)/100*BM!$I499,15-13*ORÇAMENTO!$AF$11),ROUND(ROUND(BM.MEDAcumulado,15-13*BM!$A$9)*ROUND(BM!$H499,15-13*ORÇAMENTO!$AF$10),15-13*ORÇAMENTO!$AF$11))),IF($A499=0,0,ROUND(SomaAgrupBM,15-13*ORÇAMENTO!$AF$11)))</f>
        <v>0</v>
      </c>
    </row>
    <row r="500" spans="1:41" x14ac:dyDescent="0.2">
      <c r="A500">
        <f ca="1">ORÇAMENTO!C500</f>
        <v>3</v>
      </c>
      <c r="B500">
        <f ca="1">ORÇAMENTO!D500</f>
        <v>3</v>
      </c>
      <c r="C500" s="114" t="str">
        <f t="shared" ca="1" si="50"/>
        <v>F</v>
      </c>
      <c r="D500" s="117" t="str">
        <f ca="1">ORÇAMENTO!O500</f>
        <v>1.10.7.</v>
      </c>
      <c r="E500" s="163" t="str">
        <f t="shared" si="51"/>
        <v>COBERTURA</v>
      </c>
      <c r="F500" s="164" t="str">
        <f ca="1">IF(RegimeExecucao="Global","",ORÇAMENTO.Unidade)</f>
        <v>-</v>
      </c>
      <c r="G500" s="122">
        <f ca="1">IF(RegimeExecucao="Global","",ORÇAMENTO!T500)</f>
        <v>0</v>
      </c>
      <c r="H500" s="122">
        <f ca="1">IF(RegimeExecucao="Global","",ORÇAMENTO!W500)</f>
        <v>0</v>
      </c>
      <c r="I500" s="125">
        <f ca="1">ORÇAMENTO!X500</f>
        <v>22487.4</v>
      </c>
      <c r="J500" s="333" cm="1">
        <f t="array" aca="1" ref="J500" ca="1">_xlfn.SINGLE(IF($A500="S",IF(CAIXA.Modo,BM.AFAnterior,BM.MEDAnterior),IF(AND(_xlfn.SINGLE(RegimeExecucao)="Global",$I500&gt;0,COUNTIF($AB$13:$AM$13,BM.medicao-1)&gt;0),M500/$I500*100,0)))</f>
        <v>0</v>
      </c>
      <c r="K500" s="122">
        <f t="shared" ca="1" si="52"/>
        <v>0</v>
      </c>
      <c r="L500" s="334" cm="1">
        <f t="array" aca="1" ref="L500" ca="1">_xlfn.SINGLE(IF($A500="S",IF(CAIXA.Modo,BM.AFAcumulado,BM.MEDAcumulado),IF(AND(_xlfn.SINGLE(RegimeExecucao)="Global",$I500&gt;0,COUNTIF($AB$13:$AM$13,BM.medicao)&gt;0),O500/$I500*100,0)))</f>
        <v>0</v>
      </c>
      <c r="M500" s="335">
        <f ca="1">IF($A500="S",VTOTALBM,IF($A500=0,0,ROUND(SomaAgrupBM,15-13*ORÇAMENTO!$AF$11)))</f>
        <v>0</v>
      </c>
      <c r="N500" s="336">
        <f t="shared" ca="1" si="53"/>
        <v>0</v>
      </c>
      <c r="O500" s="125">
        <f ca="1">IF($A500="S",VTOTALBM,IF($A500=0,0,ROUND(SomaAgrupBM,15-13*ORÇAMENTO!$AF$11)))</f>
        <v>0</v>
      </c>
      <c r="Q500" s="337"/>
      <c r="R500" s="338"/>
      <c r="T500" s="117" t="str">
        <f t="shared" ca="1" si="54"/>
        <v/>
      </c>
      <c r="U500" s="163" t="str">
        <f t="shared" ca="1" si="55"/>
        <v/>
      </c>
      <c r="V500" s="164" t="str">
        <f ca="1">IF(AND($W500&gt;0,RegimeExecucao="Unitário"),$F500,"")</f>
        <v/>
      </c>
      <c r="W500" s="454">
        <f ca="1">IF($Y500&gt;0,CHOOSE(MATCH(RegimeExecucao,{"Unitário","Global"},0),IF($A500="S",$Y500/$X500,""),($Y500/$X500)*100),0)</f>
        <v>0</v>
      </c>
      <c r="X500" s="339" t="str">
        <f ca="1">IF($Y500&gt;0,CHOOSE(MATCH(RegimeExecucao,{"Unitário","Global"},0),IF($A500="S",ROUND($H500,ORÇAMENTO!$AF$10),""),ROUND($I500,ORÇAMENTO!$AF$11)),"")</f>
        <v/>
      </c>
      <c r="Y500" s="339">
        <f t="shared" ca="1" si="56"/>
        <v>0</v>
      </c>
      <c r="Z500" s="473"/>
      <c r="AB500" s="337"/>
      <c r="AC500" s="437"/>
      <c r="AD500" s="437"/>
      <c r="AE500" s="437"/>
      <c r="AF500" s="437"/>
      <c r="AG500" s="437"/>
      <c r="AH500" s="437"/>
      <c r="AI500" s="437"/>
      <c r="AJ500" s="437"/>
      <c r="AK500" s="437"/>
      <c r="AL500" s="437"/>
      <c r="AM500" s="338"/>
      <c r="AO500">
        <f ca="1">IF($A500="S",IF(BM!$I500=0,0,CHOOSE(MATCH(RegimeExecucao,{"Global","Unitário"},0),ROUND(ROUND(BM.MEDAcumulado,15-13*BM!$A$9)/100*BM!$I500,15-13*ORÇAMENTO!$AF$11),ROUND(ROUND(BM.MEDAcumulado,15-13*BM!$A$9)*ROUND(BM!$H500,15-13*ORÇAMENTO!$AF$10),15-13*ORÇAMENTO!$AF$11))),IF($A500=0,0,ROUND(SomaAgrupBM,15-13*ORÇAMENTO!$AF$11)))</f>
        <v>0</v>
      </c>
    </row>
    <row r="501" spans="1:41" ht="38.25" x14ac:dyDescent="0.2">
      <c r="A501" t="str">
        <f ca="1">ORÇAMENTO!C501</f>
        <v>S</v>
      </c>
      <c r="B501">
        <f ca="1">ORÇAMENTO!D501</f>
        <v>0</v>
      </c>
      <c r="C501" s="114" t="str">
        <f t="shared" ca="1" si="50"/>
        <v>F</v>
      </c>
      <c r="D501" s="117" t="str">
        <f ca="1">ORÇAMENTO!O501</f>
        <v>1.10.7.0.1.</v>
      </c>
      <c r="E501" s="163" t="str">
        <f t="shared" ca="1" si="51"/>
        <v>CALHA EM CHAPA DE AÇO GALVANIZADO NÚMERO 24, DESENVOLVIMENTO DE 33 CM, INCLUSO TRANSPORTE VERTICAL. AF_07/2019</v>
      </c>
      <c r="F501" s="164" t="str">
        <f ca="1">IF(RegimeExecucao="Global","",ORÇAMENTO.Unidade)</f>
        <v>M</v>
      </c>
      <c r="G501" s="122">
        <f ca="1">IF(RegimeExecucao="Global","",ORÇAMENTO!T501)</f>
        <v>28.14</v>
      </c>
      <c r="H501" s="122">
        <f ca="1">IF(RegimeExecucao="Global","",ORÇAMENTO!W501)</f>
        <v>89.32</v>
      </c>
      <c r="I501" s="125">
        <f ca="1">ORÇAMENTO!X501</f>
        <v>2513.46</v>
      </c>
      <c r="J501" s="333" cm="1">
        <f t="array" aca="1" ref="J501" ca="1">_xlfn.SINGLE(IF($A501="S",IF(CAIXA.Modo,BM.AFAnterior,BM.MEDAnterior),IF(AND(_xlfn.SINGLE(RegimeExecucao)="Global",$I501&gt;0,COUNTIF($AB$13:$AM$13,BM.medicao-1)&gt;0),M501/$I501*100,0)))</f>
        <v>0</v>
      </c>
      <c r="K501" s="122">
        <f t="shared" ca="1" si="52"/>
        <v>0</v>
      </c>
      <c r="L501" s="334" cm="1">
        <f t="array" aca="1" ref="L501" ca="1">_xlfn.SINGLE(IF($A501="S",IF(CAIXA.Modo,BM.AFAcumulado,BM.MEDAcumulado),IF(AND(_xlfn.SINGLE(RegimeExecucao)="Global",$I501&gt;0,COUNTIF($AB$13:$AM$13,BM.medicao)&gt;0),O501/$I501*100,0)))</f>
        <v>0</v>
      </c>
      <c r="M501" s="335">
        <f ca="1">IF($A501="S",VTOTALBM,IF($A501=0,0,ROUND(SomaAgrupBM,15-13*ORÇAMENTO!$AF$11)))</f>
        <v>0</v>
      </c>
      <c r="N501" s="336">
        <f t="shared" ca="1" si="53"/>
        <v>0</v>
      </c>
      <c r="O501" s="125">
        <f ca="1">IF($A501="S",VTOTALBM,IF($A501=0,0,ROUND(SomaAgrupBM,15-13*ORÇAMENTO!$AF$11)))</f>
        <v>0</v>
      </c>
      <c r="Q501" s="337"/>
      <c r="R501" s="338"/>
      <c r="T501" s="117" t="str">
        <f t="shared" ca="1" si="54"/>
        <v/>
      </c>
      <c r="U501" s="163" t="str">
        <f t="shared" ca="1" si="55"/>
        <v/>
      </c>
      <c r="V501" s="164" t="str">
        <f ca="1">IF(AND($W501&gt;0,RegimeExecucao="Unitário"),$F501,"")</f>
        <v/>
      </c>
      <c r="W501" s="454">
        <f ca="1">IF($Y501&gt;0,CHOOSE(MATCH(RegimeExecucao,{"Unitário","Global"},0),IF($A501="S",$Y501/$X501,""),($Y501/$X501)*100),0)</f>
        <v>0</v>
      </c>
      <c r="X501" s="339" t="str">
        <f ca="1">IF($Y501&gt;0,CHOOSE(MATCH(RegimeExecucao,{"Unitário","Global"},0),IF($A501="S",ROUND($H501,ORÇAMENTO!$AF$10),""),ROUND($I501,ORÇAMENTO!$AF$11)),"")</f>
        <v/>
      </c>
      <c r="Y501" s="339">
        <f t="shared" ca="1" si="56"/>
        <v>0</v>
      </c>
      <c r="Z501" s="473"/>
      <c r="AB501" s="337"/>
      <c r="AC501" s="437"/>
      <c r="AD501" s="437"/>
      <c r="AE501" s="437"/>
      <c r="AF501" s="437"/>
      <c r="AG501" s="437"/>
      <c r="AH501" s="437"/>
      <c r="AI501" s="437"/>
      <c r="AJ501" s="437"/>
      <c r="AK501" s="437"/>
      <c r="AL501" s="437"/>
      <c r="AM501" s="338"/>
      <c r="AO501">
        <f ca="1">IF($A501="S",IF(BM!$I501=0,0,CHOOSE(MATCH(RegimeExecucao,{"Global","Unitário"},0),ROUND(ROUND(BM.MEDAcumulado,15-13*BM!$A$9)/100*BM!$I501,15-13*ORÇAMENTO!$AF$11),ROUND(ROUND(BM.MEDAcumulado,15-13*BM!$A$9)*ROUND(BM!$H501,15-13*ORÇAMENTO!$AF$10),15-13*ORÇAMENTO!$AF$11))),IF($A501=0,0,ROUND(SomaAgrupBM,15-13*ORÇAMENTO!$AF$11)))</f>
        <v>0</v>
      </c>
    </row>
    <row r="502" spans="1:41" ht="25.5" x14ac:dyDescent="0.2">
      <c r="A502" t="str">
        <f ca="1">ORÇAMENTO!C502</f>
        <v>S</v>
      </c>
      <c r="B502">
        <f ca="1">ORÇAMENTO!D502</f>
        <v>0</v>
      </c>
      <c r="C502" s="114" t="str">
        <f ca="1">IF(OR($I502&gt;0,$A502=1,$A502=2,$A502=3,$A502=4),"F","")</f>
        <v>F</v>
      </c>
      <c r="D502" s="117" t="str">
        <f ca="1">ORÇAMENTO!O502</f>
        <v>1.10.7.0.2.</v>
      </c>
      <c r="E502" s="163" t="str">
        <f ca="1">ORÇAMENTO.Descricao</f>
        <v>TELHAMENTO COM TELHA METÁLICA TERMOACÚSTICA E = 30 MM, COM ATÉ 2 ÁGUAS, INCLUSO IÇAMENTO. AF_07/2019</v>
      </c>
      <c r="F502" s="164" t="str">
        <f ca="1">IF(RegimeExecucao="Global","",ORÇAMENTO.Unidade)</f>
        <v>M2</v>
      </c>
      <c r="G502" s="122">
        <f ca="1">IF(RegimeExecucao="Global","",ORÇAMENTO!T502)</f>
        <v>98.52</v>
      </c>
      <c r="H502" s="122">
        <f ca="1">IF(RegimeExecucao="Global","",ORÇAMENTO!W502)</f>
        <v>202.74</v>
      </c>
      <c r="I502" s="125">
        <f ca="1">ORÇAMENTO!X502</f>
        <v>19973.939999999999</v>
      </c>
      <c r="J502" s="333" cm="1">
        <f t="array" aca="1" ref="J502" ca="1">_xlfn.SINGLE(IF($A502="S",IF(CAIXA.Modo,BM.AFAnterior,BM.MEDAnterior),IF(AND(_xlfn.SINGLE(RegimeExecucao)="Global",$I502&gt;0,COUNTIF($AB$13:$AM$13,BM.medicao-1)&gt;0),M502/$I502*100,0)))</f>
        <v>0</v>
      </c>
      <c r="K502" s="122">
        <f ca="1">L502-J502</f>
        <v>0</v>
      </c>
      <c r="L502" s="334" cm="1">
        <f t="array" aca="1" ref="L502" ca="1">_xlfn.SINGLE(IF($A502="S",IF(CAIXA.Modo,BM.AFAcumulado,BM.MEDAcumulado),IF(AND(_xlfn.SINGLE(RegimeExecucao)="Global",$I502&gt;0,COUNTIF($AB$13:$AM$13,BM.medicao)&gt;0),O502/$I502*100,0)))</f>
        <v>0</v>
      </c>
      <c r="M502" s="335">
        <f ca="1">IF($A502="S",VTOTALBM,IF($A502=0,0,ROUND(SomaAgrupBM,15-13*ORÇAMENTO!$AF$11)))</f>
        <v>0</v>
      </c>
      <c r="N502" s="336">
        <f ca="1">O502-M502</f>
        <v>0</v>
      </c>
      <c r="O502" s="125">
        <f ca="1">IF($A502="S",VTOTALBM,IF($A502=0,0,ROUND(SomaAgrupBM,15-13*ORÇAMENTO!$AF$11)))</f>
        <v>0</v>
      </c>
      <c r="Q502" s="337"/>
      <c r="R502" s="338"/>
      <c r="T502" s="117" t="str">
        <f ca="1">IF($W502&gt;0,$D502,"")</f>
        <v/>
      </c>
      <c r="U502" s="163" t="str">
        <f ca="1">IF($W502&gt;0,$E502,"")</f>
        <v/>
      </c>
      <c r="V502" s="164" t="str">
        <f ca="1">IF(AND($W502&gt;0,RegimeExecucao="Unitário"),$F502,"")</f>
        <v/>
      </c>
      <c r="W502" s="454">
        <f ca="1">IF($Y502&gt;0,CHOOSE(MATCH(RegimeExecucao,{"Unitário","Global"},0),IF($A502="S",$Y502/$X502,""),($Y502/$X502)*100),0)</f>
        <v>0</v>
      </c>
      <c r="X502" s="339" t="str">
        <f ca="1">IF($Y502&gt;0,CHOOSE(MATCH(RegimeExecucao,{"Unitário","Global"},0),IF($A502="S",ROUND($H502,ORÇAMENTO!$AF$10),""),ROUND($I502,ORÇAMENTO!$AF$11)),"")</f>
        <v/>
      </c>
      <c r="Y502" s="339">
        <f ca="1">AO502-O502</f>
        <v>0</v>
      </c>
      <c r="Z502" s="473"/>
      <c r="AB502" s="337"/>
      <c r="AC502" s="437"/>
      <c r="AD502" s="437"/>
      <c r="AE502" s="437"/>
      <c r="AF502" s="437"/>
      <c r="AG502" s="437"/>
      <c r="AH502" s="437"/>
      <c r="AI502" s="437"/>
      <c r="AJ502" s="437"/>
      <c r="AK502" s="437"/>
      <c r="AL502" s="437"/>
      <c r="AM502" s="338"/>
      <c r="AO502">
        <f ca="1">IF($A502="S",IF(BM!$I502=0,0,CHOOSE(MATCH(RegimeExecucao,{"Global","Unitário"},0),ROUND(ROUND(BM.MEDAcumulado,15-13*BM!$A$9)/100*BM!$I502,15-13*ORÇAMENTO!$AF$11),ROUND(ROUND(BM.MEDAcumulado,15-13*BM!$A$9)*ROUND(BM!$H502,15-13*ORÇAMENTO!$AF$10),15-13*ORÇAMENTO!$AF$11))),IF($A502=0,0,ROUND(SomaAgrupBM,15-13*ORÇAMENTO!$AF$11)))</f>
        <v>0</v>
      </c>
    </row>
    <row r="503" spans="1:41" x14ac:dyDescent="0.2">
      <c r="A503">
        <f ca="1">ORÇAMENTO!C503</f>
        <v>3</v>
      </c>
      <c r="B503">
        <f ca="1">ORÇAMENTO!D503</f>
        <v>3</v>
      </c>
      <c r="C503" s="114" t="str">
        <f t="shared" ca="1" si="50"/>
        <v>F</v>
      </c>
      <c r="D503" s="117" t="str">
        <f ca="1">ORÇAMENTO!O503</f>
        <v>1.10.8.</v>
      </c>
      <c r="E503" s="163" t="str">
        <f t="shared" si="51"/>
        <v>PAISAGISMO</v>
      </c>
      <c r="F503" s="164" t="str">
        <f ca="1">IF(RegimeExecucao="Global","",ORÇAMENTO.Unidade)</f>
        <v>-</v>
      </c>
      <c r="G503" s="122">
        <f ca="1">IF(RegimeExecucao="Global","",ORÇAMENTO!T503)</f>
        <v>0</v>
      </c>
      <c r="H503" s="122">
        <f ca="1">IF(RegimeExecucao="Global","",ORÇAMENTO!W503)</f>
        <v>0</v>
      </c>
      <c r="I503" s="125">
        <f ca="1">ORÇAMENTO!X503</f>
        <v>22014.34</v>
      </c>
      <c r="J503" s="333" cm="1">
        <f t="array" aca="1" ref="J503" ca="1">_xlfn.SINGLE(IF($A503="S",IF(CAIXA.Modo,BM.AFAnterior,BM.MEDAnterior),IF(AND(_xlfn.SINGLE(RegimeExecucao)="Global",$I503&gt;0,COUNTIF($AB$13:$AM$13,BM.medicao-1)&gt;0),M503/$I503*100,0)))</f>
        <v>0</v>
      </c>
      <c r="K503" s="122">
        <f t="shared" ca="1" si="52"/>
        <v>0</v>
      </c>
      <c r="L503" s="334" cm="1">
        <f t="array" aca="1" ref="L503" ca="1">_xlfn.SINGLE(IF($A503="S",IF(CAIXA.Modo,BM.AFAcumulado,BM.MEDAcumulado),IF(AND(_xlfn.SINGLE(RegimeExecucao)="Global",$I503&gt;0,COUNTIF($AB$13:$AM$13,BM.medicao)&gt;0),O503/$I503*100,0)))</f>
        <v>0</v>
      </c>
      <c r="M503" s="335">
        <f ca="1">IF($A503="S",VTOTALBM,IF($A503=0,0,ROUND(SomaAgrupBM,15-13*ORÇAMENTO!$AF$11)))</f>
        <v>0</v>
      </c>
      <c r="N503" s="336">
        <f t="shared" ca="1" si="53"/>
        <v>0</v>
      </c>
      <c r="O503" s="125">
        <f ca="1">IF($A503="S",VTOTALBM,IF($A503=0,0,ROUND(SomaAgrupBM,15-13*ORÇAMENTO!$AF$11)))</f>
        <v>0</v>
      </c>
      <c r="Q503" s="337"/>
      <c r="R503" s="338"/>
      <c r="T503" s="117" t="str">
        <f t="shared" ca="1" si="54"/>
        <v/>
      </c>
      <c r="U503" s="163" t="str">
        <f t="shared" ca="1" si="55"/>
        <v/>
      </c>
      <c r="V503" s="164" t="str">
        <f ca="1">IF(AND($W503&gt;0,RegimeExecucao="Unitário"),$F503,"")</f>
        <v/>
      </c>
      <c r="W503" s="454">
        <f ca="1">IF($Y503&gt;0,CHOOSE(MATCH(RegimeExecucao,{"Unitário","Global"},0),IF($A503="S",$Y503/$X503,""),($Y503/$X503)*100),0)</f>
        <v>0</v>
      </c>
      <c r="X503" s="339" t="str">
        <f ca="1">IF($Y503&gt;0,CHOOSE(MATCH(RegimeExecucao,{"Unitário","Global"},0),IF($A503="S",ROUND($H503,ORÇAMENTO!$AF$10),""),ROUND($I503,ORÇAMENTO!$AF$11)),"")</f>
        <v/>
      </c>
      <c r="Y503" s="339">
        <f t="shared" ca="1" si="56"/>
        <v>0</v>
      </c>
      <c r="Z503" s="473"/>
      <c r="AB503" s="337"/>
      <c r="AC503" s="437"/>
      <c r="AD503" s="437"/>
      <c r="AE503" s="437"/>
      <c r="AF503" s="437"/>
      <c r="AG503" s="437"/>
      <c r="AH503" s="437"/>
      <c r="AI503" s="437"/>
      <c r="AJ503" s="437"/>
      <c r="AK503" s="437"/>
      <c r="AL503" s="437"/>
      <c r="AM503" s="338"/>
      <c r="AO503">
        <f ca="1">IF($A503="S",IF(BM!$I503=0,0,CHOOSE(MATCH(RegimeExecucao,{"Global","Unitário"},0),ROUND(ROUND(BM.MEDAcumulado,15-13*BM!$A$9)/100*BM!$I503,15-13*ORÇAMENTO!$AF$11),ROUND(ROUND(BM.MEDAcumulado,15-13*BM!$A$9)*ROUND(BM!$H503,15-13*ORÇAMENTO!$AF$10),15-13*ORÇAMENTO!$AF$11))),IF($A503=0,0,ROUND(SomaAgrupBM,15-13*ORÇAMENTO!$AF$11)))</f>
        <v>0</v>
      </c>
    </row>
    <row r="504" spans="1:41" ht="25.5" x14ac:dyDescent="0.2">
      <c r="A504" t="str">
        <f ca="1">ORÇAMENTO!C504</f>
        <v>S</v>
      </c>
      <c r="B504">
        <f ca="1">ORÇAMENTO!D504</f>
        <v>0</v>
      </c>
      <c r="C504" s="114" t="str">
        <f t="shared" ca="1" si="50"/>
        <v>F</v>
      </c>
      <c r="D504" s="117" t="str">
        <f ca="1">ORÇAMENTO!O504</f>
        <v>1.10.8.0.1.</v>
      </c>
      <c r="E504" s="163" t="str">
        <f t="shared" ca="1" si="51"/>
        <v>PLANTIO DE GRAMA ESMERALDA OU SÃO CARLOS OU CURITIBANA, EM PLACAS. AF_07/2024</v>
      </c>
      <c r="F504" s="164" t="str">
        <f ca="1">IF(RegimeExecucao="Global","",ORÇAMENTO.Unidade)</f>
        <v>M2</v>
      </c>
      <c r="G504" s="122">
        <f ca="1">IF(RegimeExecucao="Global","",ORÇAMENTO!T504)</f>
        <v>1013.19</v>
      </c>
      <c r="H504" s="122">
        <f ca="1">IF(RegimeExecucao="Global","",ORÇAMENTO!W504)</f>
        <v>19.899999999999999</v>
      </c>
      <c r="I504" s="125">
        <f ca="1">ORÇAMENTO!X504</f>
        <v>20162.48</v>
      </c>
      <c r="J504" s="333" cm="1">
        <f t="array" aca="1" ref="J504" ca="1">_xlfn.SINGLE(IF($A504="S",IF(CAIXA.Modo,BM.AFAnterior,BM.MEDAnterior),IF(AND(_xlfn.SINGLE(RegimeExecucao)="Global",$I504&gt;0,COUNTIF($AB$13:$AM$13,BM.medicao-1)&gt;0),M504/$I504*100,0)))</f>
        <v>0</v>
      </c>
      <c r="K504" s="122">
        <f t="shared" ca="1" si="52"/>
        <v>0</v>
      </c>
      <c r="L504" s="334" cm="1">
        <f t="array" aca="1" ref="L504" ca="1">_xlfn.SINGLE(IF($A504="S",IF(CAIXA.Modo,BM.AFAcumulado,BM.MEDAcumulado),IF(AND(_xlfn.SINGLE(RegimeExecucao)="Global",$I504&gt;0,COUNTIF($AB$13:$AM$13,BM.medicao)&gt;0),O504/$I504*100,0)))</f>
        <v>0</v>
      </c>
      <c r="M504" s="335">
        <f ca="1">IF($A504="S",VTOTALBM,IF($A504=0,0,ROUND(SomaAgrupBM,15-13*ORÇAMENTO!$AF$11)))</f>
        <v>0</v>
      </c>
      <c r="N504" s="336">
        <f t="shared" ca="1" si="53"/>
        <v>0</v>
      </c>
      <c r="O504" s="125">
        <f ca="1">IF($A504="S",VTOTALBM,IF($A504=0,0,ROUND(SomaAgrupBM,15-13*ORÇAMENTO!$AF$11)))</f>
        <v>0</v>
      </c>
      <c r="Q504" s="337"/>
      <c r="R504" s="338"/>
      <c r="T504" s="117" t="str">
        <f t="shared" ca="1" si="54"/>
        <v/>
      </c>
      <c r="U504" s="163" t="str">
        <f t="shared" ca="1" si="55"/>
        <v/>
      </c>
      <c r="V504" s="164" t="str">
        <f ca="1">IF(AND($W504&gt;0,RegimeExecucao="Unitário"),$F504,"")</f>
        <v/>
      </c>
      <c r="W504" s="454">
        <f ca="1">IF($Y504&gt;0,CHOOSE(MATCH(RegimeExecucao,{"Unitário","Global"},0),IF($A504="S",$Y504/$X504,""),($Y504/$X504)*100),0)</f>
        <v>0</v>
      </c>
      <c r="X504" s="339" t="str">
        <f ca="1">IF($Y504&gt;0,CHOOSE(MATCH(RegimeExecucao,{"Unitário","Global"},0),IF($A504="S",ROUND($H504,ORÇAMENTO!$AF$10),""),ROUND($I504,ORÇAMENTO!$AF$11)),"")</f>
        <v/>
      </c>
      <c r="Y504" s="339">
        <f t="shared" ca="1" si="56"/>
        <v>0</v>
      </c>
      <c r="Z504" s="473"/>
      <c r="AB504" s="337"/>
      <c r="AC504" s="437"/>
      <c r="AD504" s="437"/>
      <c r="AE504" s="437"/>
      <c r="AF504" s="437"/>
      <c r="AG504" s="437"/>
      <c r="AH504" s="437"/>
      <c r="AI504" s="437"/>
      <c r="AJ504" s="437"/>
      <c r="AK504" s="437"/>
      <c r="AL504" s="437"/>
      <c r="AM504" s="338"/>
      <c r="AO504">
        <f ca="1">IF($A504="S",IF(BM!$I504=0,0,CHOOSE(MATCH(RegimeExecucao,{"Global","Unitário"},0),ROUND(ROUND(BM.MEDAcumulado,15-13*BM!$A$9)/100*BM!$I504,15-13*ORÇAMENTO!$AF$11),ROUND(ROUND(BM.MEDAcumulado,15-13*BM!$A$9)*ROUND(BM!$H504,15-13*ORÇAMENTO!$AF$10),15-13*ORÇAMENTO!$AF$11))),IF($A504=0,0,ROUND(SomaAgrupBM,15-13*ORÇAMENTO!$AF$11)))</f>
        <v>0</v>
      </c>
    </row>
    <row r="505" spans="1:41" ht="63.75" x14ac:dyDescent="0.2">
      <c r="A505" t="str">
        <f ca="1">ORÇAMENTO!C505</f>
        <v>S</v>
      </c>
      <c r="B505">
        <f ca="1">ORÇAMENTO!D505</f>
        <v>0</v>
      </c>
      <c r="C505" s="114" t="str">
        <f ca="1">IF(OR($I505&gt;0,$A505=1,$A505=2,$A505=3,$A505=4),"F","")</f>
        <v>F</v>
      </c>
      <c r="D505" s="117" t="str">
        <f ca="1">ORÇAMENTO!O505</f>
        <v>1.10.8.0.2.</v>
      </c>
      <c r="E505" s="163" t="str">
        <f ca="1">ORÇAMENTO.Descricao</f>
        <v>GUIA DE CORDÃO BOLEADO, EM CONCRETO COM FCK 20MPA, PRÉ MOLDADA, 10X10CM (ALTURA X LARGURA), INCLUSIVE UMA (1) FIADA DE BLOCO DE CONCRETO, ESP. 9CM, ESCAVAÇÃO, APILOAMENTO E TRANSPORTE COM RETIRADA DO MATERIAL ESCAVADO (EM CAÇAMBA) - BASEADO EM SETOP (ED-51135)</v>
      </c>
      <c r="F505" s="164" t="str">
        <f ca="1">IF(RegimeExecucao="Global","",ORÇAMENTO.Unidade)</f>
        <v>M</v>
      </c>
      <c r="G505" s="122">
        <f ca="1">IF(RegimeExecucao="Global","",ORÇAMENTO!T505)</f>
        <v>21.9</v>
      </c>
      <c r="H505" s="122">
        <f ca="1">IF(RegimeExecucao="Global","",ORÇAMENTO!W505)</f>
        <v>84.56</v>
      </c>
      <c r="I505" s="125">
        <f ca="1">ORÇAMENTO!X505</f>
        <v>1851.86</v>
      </c>
      <c r="J505" s="333" cm="1">
        <f t="array" aca="1" ref="J505" ca="1">_xlfn.SINGLE(IF($A505="S",IF(CAIXA.Modo,BM.AFAnterior,BM.MEDAnterior),IF(AND(_xlfn.SINGLE(RegimeExecucao)="Global",$I505&gt;0,COUNTIF($AB$13:$AM$13,BM.medicao-1)&gt;0),M505/$I505*100,0)))</f>
        <v>0</v>
      </c>
      <c r="K505" s="122">
        <f ca="1">L505-J505</f>
        <v>0</v>
      </c>
      <c r="L505" s="334" cm="1">
        <f t="array" aca="1" ref="L505" ca="1">_xlfn.SINGLE(IF($A505="S",IF(CAIXA.Modo,BM.AFAcumulado,BM.MEDAcumulado),IF(AND(_xlfn.SINGLE(RegimeExecucao)="Global",$I505&gt;0,COUNTIF($AB$13:$AM$13,BM.medicao)&gt;0),O505/$I505*100,0)))</f>
        <v>0</v>
      </c>
      <c r="M505" s="335">
        <f ca="1">IF($A505="S",VTOTALBM,IF($A505=0,0,ROUND(SomaAgrupBM,15-13*ORÇAMENTO!$AF$11)))</f>
        <v>0</v>
      </c>
      <c r="N505" s="336">
        <f ca="1">O505-M505</f>
        <v>0</v>
      </c>
      <c r="O505" s="125">
        <f ca="1">IF($A505="S",VTOTALBM,IF($A505=0,0,ROUND(SomaAgrupBM,15-13*ORÇAMENTO!$AF$11)))</f>
        <v>0</v>
      </c>
      <c r="Q505" s="337"/>
      <c r="R505" s="338"/>
      <c r="T505" s="117" t="str">
        <f ca="1">IF($W505&gt;0,$D505,"")</f>
        <v/>
      </c>
      <c r="U505" s="163" t="str">
        <f ca="1">IF($W505&gt;0,$E505,"")</f>
        <v/>
      </c>
      <c r="V505" s="164" t="str">
        <f ca="1">IF(AND($W505&gt;0,RegimeExecucao="Unitário"),$F505,"")</f>
        <v/>
      </c>
      <c r="W505" s="454">
        <f ca="1">IF($Y505&gt;0,CHOOSE(MATCH(RegimeExecucao,{"Unitário","Global"},0),IF($A505="S",$Y505/$X505,""),($Y505/$X505)*100),0)</f>
        <v>0</v>
      </c>
      <c r="X505" s="339" t="str">
        <f ca="1">IF($Y505&gt;0,CHOOSE(MATCH(RegimeExecucao,{"Unitário","Global"},0),IF($A505="S",ROUND($H505,ORÇAMENTO!$AF$10),""),ROUND($I505,ORÇAMENTO!$AF$11)),"")</f>
        <v/>
      </c>
      <c r="Y505" s="339">
        <f ca="1">AO505-O505</f>
        <v>0</v>
      </c>
      <c r="Z505" s="473"/>
      <c r="AB505" s="337"/>
      <c r="AC505" s="437"/>
      <c r="AD505" s="437"/>
      <c r="AE505" s="437"/>
      <c r="AF505" s="437"/>
      <c r="AG505" s="437"/>
      <c r="AH505" s="437"/>
      <c r="AI505" s="437"/>
      <c r="AJ505" s="437"/>
      <c r="AK505" s="437"/>
      <c r="AL505" s="437"/>
      <c r="AM505" s="338"/>
      <c r="AO505">
        <f ca="1">IF($A505="S",IF(BM!$I505=0,0,CHOOSE(MATCH(RegimeExecucao,{"Global","Unitário"},0),ROUND(ROUND(BM.MEDAcumulado,15-13*BM!$A$9)/100*BM!$I505,15-13*ORÇAMENTO!$AF$11),ROUND(ROUND(BM.MEDAcumulado,15-13*BM!$A$9)*ROUND(BM!$H505,15-13*ORÇAMENTO!$AF$10),15-13*ORÇAMENTO!$AF$11))),IF($A505=0,0,ROUND(SomaAgrupBM,15-13*ORÇAMENTO!$AF$11)))</f>
        <v>0</v>
      </c>
    </row>
    <row r="506" spans="1:41" x14ac:dyDescent="0.2">
      <c r="A506">
        <f ca="1">ORÇAMENTO!C506</f>
        <v>3</v>
      </c>
      <c r="B506">
        <f ca="1">ORÇAMENTO!D506</f>
        <v>2</v>
      </c>
      <c r="C506" s="114" t="str">
        <f t="shared" ca="1" si="50"/>
        <v>F</v>
      </c>
      <c r="D506" s="117" t="str">
        <f ca="1">ORÇAMENTO!O506</f>
        <v>1.10.9.</v>
      </c>
      <c r="E506" s="163" t="str">
        <f t="shared" si="51"/>
        <v>LIMPEZA FINAL DE OBRA</v>
      </c>
      <c r="F506" s="164" t="str">
        <f ca="1">IF(RegimeExecucao="Global","",ORÇAMENTO.Unidade)</f>
        <v>-</v>
      </c>
      <c r="G506" s="122">
        <f ca="1">IF(RegimeExecucao="Global","",ORÇAMENTO!T506)</f>
        <v>0</v>
      </c>
      <c r="H506" s="122">
        <f ca="1">IF(RegimeExecucao="Global","",ORÇAMENTO!W506)</f>
        <v>0</v>
      </c>
      <c r="I506" s="125">
        <f ca="1">ORÇAMENTO!X506</f>
        <v>1318.86</v>
      </c>
      <c r="J506" s="333" cm="1">
        <f t="array" aca="1" ref="J506" ca="1">_xlfn.SINGLE(IF($A506="S",IF(CAIXA.Modo,BM.AFAnterior,BM.MEDAnterior),IF(AND(_xlfn.SINGLE(RegimeExecucao)="Global",$I506&gt;0,COUNTIF($AB$13:$AM$13,BM.medicao-1)&gt;0),M506/$I506*100,0)))</f>
        <v>0</v>
      </c>
      <c r="K506" s="122">
        <f t="shared" ca="1" si="52"/>
        <v>0</v>
      </c>
      <c r="L506" s="334" cm="1">
        <f t="array" aca="1" ref="L506" ca="1">_xlfn.SINGLE(IF($A506="S",IF(CAIXA.Modo,BM.AFAcumulado,BM.MEDAcumulado),IF(AND(_xlfn.SINGLE(RegimeExecucao)="Global",$I506&gt;0,COUNTIF($AB$13:$AM$13,BM.medicao)&gt;0),O506/$I506*100,0)))</f>
        <v>0</v>
      </c>
      <c r="M506" s="335">
        <f ca="1">IF($A506="S",VTOTALBM,IF($A506=0,0,ROUND(SomaAgrupBM,15-13*ORÇAMENTO!$AF$11)))</f>
        <v>0</v>
      </c>
      <c r="N506" s="336">
        <f t="shared" ca="1" si="53"/>
        <v>0</v>
      </c>
      <c r="O506" s="125">
        <f ca="1">IF($A506="S",VTOTALBM,IF($A506=0,0,ROUND(SomaAgrupBM,15-13*ORÇAMENTO!$AF$11)))</f>
        <v>0</v>
      </c>
      <c r="Q506" s="337"/>
      <c r="R506" s="338"/>
      <c r="T506" s="117" t="str">
        <f t="shared" ca="1" si="54"/>
        <v/>
      </c>
      <c r="U506" s="163" t="str">
        <f t="shared" ca="1" si="55"/>
        <v/>
      </c>
      <c r="V506" s="164" t="str">
        <f ca="1">IF(AND($W506&gt;0,RegimeExecucao="Unitário"),$F506,"")</f>
        <v/>
      </c>
      <c r="W506" s="454">
        <f ca="1">IF($Y506&gt;0,CHOOSE(MATCH(RegimeExecucao,{"Unitário","Global"},0),IF($A506="S",$Y506/$X506,""),($Y506/$X506)*100),0)</f>
        <v>0</v>
      </c>
      <c r="X506" s="339" t="str">
        <f ca="1">IF($Y506&gt;0,CHOOSE(MATCH(RegimeExecucao,{"Unitário","Global"},0),IF($A506="S",ROUND($H506,ORÇAMENTO!$AF$10),""),ROUND($I506,ORÇAMENTO!$AF$11)),"")</f>
        <v/>
      </c>
      <c r="Y506" s="339">
        <f t="shared" ca="1" si="56"/>
        <v>0</v>
      </c>
      <c r="Z506" s="473"/>
      <c r="AB506" s="337"/>
      <c r="AC506" s="437"/>
      <c r="AD506" s="437"/>
      <c r="AE506" s="437"/>
      <c r="AF506" s="437"/>
      <c r="AG506" s="437"/>
      <c r="AH506" s="437"/>
      <c r="AI506" s="437"/>
      <c r="AJ506" s="437"/>
      <c r="AK506" s="437"/>
      <c r="AL506" s="437"/>
      <c r="AM506" s="338"/>
      <c r="AO506">
        <f ca="1">IF($A506="S",IF(BM!$I506=0,0,CHOOSE(MATCH(RegimeExecucao,{"Global","Unitário"},0),ROUND(ROUND(BM.MEDAcumulado,15-13*BM!$A$9)/100*BM!$I506,15-13*ORÇAMENTO!$AF$11),ROUND(ROUND(BM.MEDAcumulado,15-13*BM!$A$9)*ROUND(BM!$H506,15-13*ORÇAMENTO!$AF$10),15-13*ORÇAMENTO!$AF$11))),IF($A506=0,0,ROUND(SomaAgrupBM,15-13*ORÇAMENTO!$AF$11)))</f>
        <v>0</v>
      </c>
    </row>
    <row r="507" spans="1:41" x14ac:dyDescent="0.2">
      <c r="A507" t="str">
        <f ca="1">ORÇAMENTO!C507</f>
        <v>S</v>
      </c>
      <c r="B507">
        <f ca="1">ORÇAMENTO!D507</f>
        <v>0</v>
      </c>
      <c r="C507" s="114" t="str">
        <f t="shared" ca="1" si="50"/>
        <v>F</v>
      </c>
      <c r="D507" s="117" t="str">
        <f ca="1">ORÇAMENTO!O507</f>
        <v>1.10.9.0.1.</v>
      </c>
      <c r="E507" s="163" t="str">
        <f t="shared" ca="1" si="51"/>
        <v>LIMPEZA FINAL PARA ENTREGA DA OBRA</v>
      </c>
      <c r="F507" s="164" t="str">
        <f ca="1">IF(RegimeExecucao="Global","",ORÇAMENTO.Unidade)</f>
        <v>M2</v>
      </c>
      <c r="G507" s="122">
        <f ca="1">IF(RegimeExecucao="Global","",ORÇAMENTO!T507)</f>
        <v>129.30000000000001</v>
      </c>
      <c r="H507" s="122">
        <f ca="1">IF(RegimeExecucao="Global","",ORÇAMENTO!W507)</f>
        <v>10.199999999999999</v>
      </c>
      <c r="I507" s="125">
        <f ca="1">ORÇAMENTO!X507</f>
        <v>1318.86</v>
      </c>
      <c r="J507" s="333" cm="1">
        <f t="array" aca="1" ref="J507" ca="1">_xlfn.SINGLE(IF($A507="S",IF(CAIXA.Modo,BM.AFAnterior,BM.MEDAnterior),IF(AND(_xlfn.SINGLE(RegimeExecucao)="Global",$I507&gt;0,COUNTIF($AB$13:$AM$13,BM.medicao-1)&gt;0),M507/$I507*100,0)))</f>
        <v>0</v>
      </c>
      <c r="K507" s="122">
        <f t="shared" ca="1" si="52"/>
        <v>0</v>
      </c>
      <c r="L507" s="334" cm="1">
        <f t="array" aca="1" ref="L507" ca="1">_xlfn.SINGLE(IF($A507="S",IF(CAIXA.Modo,BM.AFAcumulado,BM.MEDAcumulado),IF(AND(_xlfn.SINGLE(RegimeExecucao)="Global",$I507&gt;0,COUNTIF($AB$13:$AM$13,BM.medicao)&gt;0),O507/$I507*100,0)))</f>
        <v>0</v>
      </c>
      <c r="M507" s="335">
        <f ca="1">IF($A507="S",VTOTALBM,IF($A507=0,0,ROUND(SomaAgrupBM,15-13*ORÇAMENTO!$AF$11)))</f>
        <v>0</v>
      </c>
      <c r="N507" s="336">
        <f t="shared" ca="1" si="53"/>
        <v>0</v>
      </c>
      <c r="O507" s="125">
        <f ca="1">IF($A507="S",VTOTALBM,IF($A507=0,0,ROUND(SomaAgrupBM,15-13*ORÇAMENTO!$AF$11)))</f>
        <v>0</v>
      </c>
      <c r="Q507" s="337"/>
      <c r="R507" s="338"/>
      <c r="T507" s="117" t="str">
        <f t="shared" ca="1" si="54"/>
        <v/>
      </c>
      <c r="U507" s="163" t="str">
        <f t="shared" ca="1" si="55"/>
        <v/>
      </c>
      <c r="V507" s="164" t="str">
        <f ca="1">IF(AND($W507&gt;0,RegimeExecucao="Unitário"),$F507,"")</f>
        <v/>
      </c>
      <c r="W507" s="454">
        <f ca="1">IF($Y507&gt;0,CHOOSE(MATCH(RegimeExecucao,{"Unitário","Global"},0),IF($A507="S",$Y507/$X507,""),($Y507/$X507)*100),0)</f>
        <v>0</v>
      </c>
      <c r="X507" s="339" t="str">
        <f ca="1">IF($Y507&gt;0,CHOOSE(MATCH(RegimeExecucao,{"Unitário","Global"},0),IF($A507="S",ROUND($H507,ORÇAMENTO!$AF$10),""),ROUND($I507,ORÇAMENTO!$AF$11)),"")</f>
        <v/>
      </c>
      <c r="Y507" s="339">
        <f t="shared" ca="1" si="56"/>
        <v>0</v>
      </c>
      <c r="Z507" s="473"/>
      <c r="AB507" s="337"/>
      <c r="AC507" s="437"/>
      <c r="AD507" s="437"/>
      <c r="AE507" s="437"/>
      <c r="AF507" s="437"/>
      <c r="AG507" s="437"/>
      <c r="AH507" s="437"/>
      <c r="AI507" s="437"/>
      <c r="AJ507" s="437"/>
      <c r="AK507" s="437"/>
      <c r="AL507" s="437"/>
      <c r="AM507" s="338"/>
      <c r="AO507">
        <f ca="1">IF($A507="S",IF(BM!$I507=0,0,CHOOSE(MATCH(RegimeExecucao,{"Global","Unitário"},0),ROUND(ROUND(BM.MEDAcumulado,15-13*BM!$A$9)/100*BM!$I507,15-13*ORÇAMENTO!$AF$11),ROUND(ROUND(BM.MEDAcumulado,15-13*BM!$A$9)*ROUND(BM!$H507,15-13*ORÇAMENTO!$AF$10),15-13*ORÇAMENTO!$AF$11))),IF($A507=0,0,ROUND(SomaAgrupBM,15-13*ORÇAMENTO!$AF$11)))</f>
        <v>0</v>
      </c>
    </row>
    <row r="508" spans="1:41" ht="5.0999999999999996" customHeight="1" x14ac:dyDescent="0.2">
      <c r="C508" s="114" t="s">
        <v>536</v>
      </c>
      <c r="D508" s="608"/>
      <c r="E508" s="609"/>
      <c r="F508" s="609"/>
      <c r="G508" s="609"/>
      <c r="H508" s="609"/>
      <c r="I508" s="419"/>
      <c r="J508" s="608"/>
      <c r="K508" s="609"/>
      <c r="L508" s="419"/>
      <c r="M508" s="434"/>
      <c r="N508" s="435"/>
      <c r="O508" s="436"/>
      <c r="Q508" s="608"/>
      <c r="R508" s="419"/>
      <c r="T508" s="608"/>
      <c r="U508" s="609"/>
      <c r="V508" s="609"/>
      <c r="W508" s="609"/>
      <c r="X508" s="609"/>
      <c r="Y508" s="609"/>
      <c r="Z508" s="419"/>
      <c r="AB508" s="608"/>
      <c r="AC508" s="609"/>
      <c r="AD508" s="609"/>
      <c r="AE508" s="609"/>
      <c r="AF508" s="609"/>
      <c r="AG508" s="609"/>
      <c r="AH508" s="609"/>
      <c r="AI508" s="609"/>
      <c r="AJ508" s="609"/>
      <c r="AK508" s="609"/>
      <c r="AL508" s="609"/>
      <c r="AM508" s="419"/>
    </row>
    <row r="510" spans="1:41" ht="14.25" x14ac:dyDescent="0.2">
      <c r="D510" s="814" t="s">
        <v>689</v>
      </c>
      <c r="E510" s="814"/>
      <c r="F510" s="814"/>
      <c r="G510" s="814"/>
      <c r="H510" s="814"/>
      <c r="I510" s="814"/>
      <c r="J510" s="814"/>
      <c r="K510" s="814"/>
      <c r="L510" s="814"/>
      <c r="M510" s="814"/>
      <c r="N510" s="814"/>
      <c r="O510" s="814"/>
      <c r="T510" s="815" t="s">
        <v>865</v>
      </c>
      <c r="U510" s="815"/>
      <c r="V510" s="815"/>
      <c r="W510" s="815"/>
      <c r="X510" s="815"/>
      <c r="Y510" s="815"/>
      <c r="Z510" s="815"/>
    </row>
    <row r="511" spans="1:41" ht="12.75" customHeight="1" x14ac:dyDescent="0.2">
      <c r="D511" s="681"/>
      <c r="E511" s="681"/>
      <c r="F511" s="681"/>
      <c r="G511" s="681"/>
      <c r="H511" s="681"/>
      <c r="I511" s="681"/>
      <c r="J511" s="681"/>
      <c r="K511" s="681"/>
      <c r="L511" s="681"/>
      <c r="M511" s="681"/>
      <c r="N511" s="681"/>
      <c r="O511" s="681"/>
      <c r="T511" s="816"/>
      <c r="U511" s="816"/>
      <c r="V511" s="816"/>
      <c r="W511" s="816"/>
      <c r="X511" s="816"/>
      <c r="Y511" s="816"/>
      <c r="Z511" s="816"/>
    </row>
    <row r="512" spans="1:41" ht="12.75" customHeight="1" x14ac:dyDescent="0.2">
      <c r="D512" s="681"/>
      <c r="E512" s="681"/>
      <c r="F512" s="681"/>
      <c r="G512" s="681"/>
      <c r="H512" s="681"/>
      <c r="I512" s="681"/>
      <c r="J512" s="681"/>
      <c r="K512" s="681"/>
      <c r="L512" s="681"/>
      <c r="M512" s="681"/>
      <c r="N512" s="681"/>
      <c r="O512" s="681"/>
      <c r="T512" s="816"/>
      <c r="U512" s="816"/>
      <c r="V512" s="816"/>
      <c r="W512" s="816"/>
      <c r="X512" s="816"/>
      <c r="Y512" s="816"/>
      <c r="Z512" s="816"/>
    </row>
    <row r="513" spans="4:26" ht="12.75" customHeight="1" x14ac:dyDescent="0.2">
      <c r="D513" s="681"/>
      <c r="E513" s="681"/>
      <c r="F513" s="681"/>
      <c r="G513" s="681"/>
      <c r="H513" s="681"/>
      <c r="I513" s="681"/>
      <c r="J513" s="681"/>
      <c r="K513" s="681"/>
      <c r="L513" s="681"/>
      <c r="M513" s="681"/>
      <c r="N513" s="681"/>
      <c r="O513" s="681"/>
      <c r="T513" s="816"/>
      <c r="U513" s="816"/>
      <c r="V513" s="816"/>
      <c r="W513" s="816"/>
      <c r="X513" s="816"/>
      <c r="Y513" s="816"/>
      <c r="Z513" s="816"/>
    </row>
    <row r="514" spans="4:26" ht="14.25" x14ac:dyDescent="0.2">
      <c r="D514" s="443"/>
      <c r="E514" s="443"/>
      <c r="F514" s="443"/>
      <c r="G514" s="443"/>
      <c r="H514" s="443"/>
      <c r="I514" s="443"/>
      <c r="J514" s="443"/>
      <c r="K514" s="443"/>
      <c r="L514" s="443"/>
      <c r="M514" s="443"/>
      <c r="N514" s="443"/>
      <c r="O514" s="443"/>
    </row>
    <row r="515" spans="4:26" ht="15" customHeight="1" x14ac:dyDescent="0.25">
      <c r="D515" s="682"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15" s="682"/>
      <c r="F515" s="682"/>
      <c r="G515" s="682"/>
      <c r="H515" s="682"/>
      <c r="I515" s="682"/>
      <c r="J515" s="682"/>
      <c r="K515" s="682"/>
      <c r="L515" s="682"/>
    </row>
    <row r="516" spans="4:26" x14ac:dyDescent="0.2">
      <c r="D516" s="812"/>
      <c r="E516" s="812"/>
      <c r="F516" s="812"/>
      <c r="G516" s="812"/>
      <c r="H516" s="812"/>
      <c r="I516" s="812"/>
    </row>
    <row r="517" spans="4:26" x14ac:dyDescent="0.2">
      <c r="D517" s="81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17" s="819"/>
      <c r="F517" s="819"/>
      <c r="G517" s="819"/>
      <c r="H517" s="819"/>
      <c r="I517" s="819"/>
      <c r="J517" s="819"/>
      <c r="K517" s="819"/>
      <c r="L517" s="819"/>
      <c r="M517" s="819"/>
      <c r="N517" s="819"/>
      <c r="O517" s="819"/>
    </row>
    <row r="518" spans="4:26" ht="39.950000000000003" customHeight="1" x14ac:dyDescent="0.25">
      <c r="E518" s="138" t="str">
        <f>Import.Município</f>
        <v>Araguari / MG</v>
      </c>
      <c r="J518" s="585" t="str">
        <f ca="1">IF(DADOS!$D$50&lt;&gt;"","Preencher os Dados do Responsável pela Fiscalização, na aba DADOS.","")</f>
        <v/>
      </c>
      <c r="K518" s="585"/>
      <c r="L518" s="585"/>
      <c r="M518" s="585"/>
      <c r="W518" s="820"/>
      <c r="X518" s="820"/>
      <c r="Y518" s="820"/>
      <c r="Z518" s="820"/>
    </row>
    <row r="519" spans="4:26" x14ac:dyDescent="0.2">
      <c r="E519" s="9" t="s">
        <v>693</v>
      </c>
      <c r="J519" s="181" t="s">
        <v>841</v>
      </c>
      <c r="W519" s="181" t="s">
        <v>866</v>
      </c>
    </row>
    <row r="520" spans="4:26" x14ac:dyDescent="0.2">
      <c r="J520" s="77" t="s">
        <v>240</v>
      </c>
      <c r="K520" s="271">
        <f t="array" ref="K520:K523">Import.RespFiscalização</f>
        <v>0</v>
      </c>
      <c r="L520" s="78"/>
      <c r="W520" s="77" t="s">
        <v>240</v>
      </c>
      <c r="X520" s="818"/>
      <c r="Y520" s="818"/>
      <c r="Z520" s="818"/>
    </row>
    <row r="521" spans="4:26" x14ac:dyDescent="0.2">
      <c r="E521" s="459">
        <f>DADOS!$C$48</f>
        <v>0</v>
      </c>
      <c r="J521" s="77" t="s">
        <v>319</v>
      </c>
      <c r="K521" s="271">
        <v>0</v>
      </c>
      <c r="L521" s="78"/>
      <c r="W521" s="77" t="s">
        <v>867</v>
      </c>
      <c r="X521" s="818"/>
      <c r="Y521" s="818"/>
      <c r="Z521" s="818"/>
    </row>
    <row r="522" spans="4:26" x14ac:dyDescent="0.2">
      <c r="E522" s="140" t="s">
        <v>694</v>
      </c>
      <c r="J522" s="77" t="s">
        <v>243</v>
      </c>
      <c r="K522" s="271">
        <v>0</v>
      </c>
      <c r="L522" s="78"/>
      <c r="W522" s="77" t="s">
        <v>243</v>
      </c>
      <c r="X522" s="818"/>
      <c r="Y522" s="818"/>
      <c r="Z522" s="818"/>
    </row>
    <row r="523" spans="4:26" x14ac:dyDescent="0.2">
      <c r="J523" s="77" t="s">
        <v>246</v>
      </c>
      <c r="K523" s="12">
        <v>0</v>
      </c>
      <c r="W523" s="77"/>
      <c r="X523" s="12"/>
    </row>
  </sheetData>
  <sheetProtection algorithmName="SHA-512" hashValue="P+RZbHz2bZ0LTpuibA5COwj9/J9Y5e//dBYuCsBDrnCRYZkKIt394ng4IGEQdXbzYu+WPT2+s1grhTAjy7j01Q==" saltValue="2owe31wwNis/gR2CRrpxtw==" spinCount="100000" sheet="1" objects="1" scenarios="1" autoFilter="0"/>
  <autoFilter ref="C15:C508" xr:uid="{00000000-0001-0000-0B00-000000000000}"/>
  <mergeCells count="33">
    <mergeCell ref="X522:Z522"/>
    <mergeCell ref="D517:O517"/>
    <mergeCell ref="W518:Z518"/>
    <mergeCell ref="X520:Z520"/>
    <mergeCell ref="X521:Z521"/>
    <mergeCell ref="D515:L515"/>
    <mergeCell ref="D516:I516"/>
    <mergeCell ref="AB15:AM15"/>
    <mergeCell ref="D510:O510"/>
    <mergeCell ref="T510:Z510"/>
    <mergeCell ref="D511:O513"/>
    <mergeCell ref="T511:Z513"/>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291:O298 T291:Z298 D317:O324 T317:Z324 D361:O368 T361:Z368 D405:O412 T405:Z412">
    <cfRule type="expression" dxfId="343" priority="17039" stopIfTrue="1">
      <formula>OR(ACOMPANHAMENTO="PLE",TIPOORCAMENTO="Proposto",$L14&lt;0,AND($L14&gt;100,RegimeExecucao="Global"),$O14&gt;$I14,$O14&lt;0)</formula>
    </cfRule>
    <cfRule type="expression" dxfId="342" priority="17040" stopIfTrue="1">
      <formula>$A14=1</formula>
    </cfRule>
    <cfRule type="expression" dxfId="341" priority="17041" stopIfTrue="1">
      <formula>$A14&lt;&gt;"S"</formula>
    </cfRule>
  </conditionalFormatting>
  <conditionalFormatting sqref="Q14:R14 AB14:AM14 Q291:R298 AB291:AM298 Q317:R324 AB317:AM324 Q361:R368 AB361:AM368 Q405:R412 AB405:AM412">
    <cfRule type="expression" dxfId="340" priority="17042" stopIfTrue="1">
      <formula>$A14=1</formula>
    </cfRule>
    <cfRule type="expression" dxfId="339" priority="17043" stopIfTrue="1">
      <formula>$A14&lt;&gt;"S"</formula>
    </cfRule>
  </conditionalFormatting>
  <conditionalFormatting sqref="E2">
    <cfRule type="expression" dxfId="338" priority="17044" stopIfTrue="1">
      <formula>Import.RegimeExecução="(SELECIONAR)"</formula>
    </cfRule>
  </conditionalFormatting>
  <conditionalFormatting sqref="F13:H13">
    <cfRule type="expression" dxfId="337" priority="17045" stopIfTrue="1">
      <formula>RegimeExecucao="Global"</formula>
    </cfRule>
  </conditionalFormatting>
  <conditionalFormatting sqref="D15:O15">
    <cfRule type="expression" dxfId="336" priority="17046" stopIfTrue="1">
      <formula>OR(ACOMPANHAMENTO="PLE",TIPOORCAMENTO="Proposto")</formula>
    </cfRule>
  </conditionalFormatting>
  <conditionalFormatting sqref="AB13">
    <cfRule type="cellIs" dxfId="335" priority="17047" stopIfTrue="1" operator="notEqual">
      <formula>1</formula>
    </cfRule>
  </conditionalFormatting>
  <conditionalFormatting sqref="O11">
    <cfRule type="expression" dxfId="334" priority="11906">
      <formula>ROUND($P$11,4)&gt;ROUND($P$10,4)</formula>
    </cfRule>
  </conditionalFormatting>
  <conditionalFormatting sqref="D16:O16 T16:Z16 T24:Z29 D24:O29 T18:Z19 D18:O19">
    <cfRule type="expression" dxfId="333" priority="306" stopIfTrue="1">
      <formula>OR(ACOMPANHAMENTO="PLE",TIPOORCAMENTO="Proposto",$L16&lt;0,AND($L16&gt;100,RegimeExecucao="Global"),$O16&gt;$I16,$O16&lt;0)</formula>
    </cfRule>
    <cfRule type="expression" dxfId="332" priority="307" stopIfTrue="1">
      <formula>$A16=1</formula>
    </cfRule>
    <cfRule type="expression" dxfId="331" priority="308" stopIfTrue="1">
      <formula>$A16&lt;&gt;"S"</formula>
    </cfRule>
  </conditionalFormatting>
  <conditionalFormatting sqref="Q16:R16 AB16:AM16 AB24:AM29 Q24:R29 AB18:AM19 Q18:R19">
    <cfRule type="expression" dxfId="330" priority="309" stopIfTrue="1">
      <formula>$A16=1</formula>
    </cfRule>
    <cfRule type="expression" dxfId="329" priority="310" stopIfTrue="1">
      <formula>$A16&lt;&gt;"S"</formula>
    </cfRule>
  </conditionalFormatting>
  <conditionalFormatting sqref="D30:O38 T30:Z38">
    <cfRule type="expression" dxfId="328" priority="301" stopIfTrue="1">
      <formula>OR(ACOMPANHAMENTO="PLE",TIPOORCAMENTO="Proposto",$L30&lt;0,AND($L30&gt;100,RegimeExecucao="Global"),$O30&gt;$I30,$O30&lt;0)</formula>
    </cfRule>
    <cfRule type="expression" dxfId="327" priority="302" stopIfTrue="1">
      <formula>$A30=1</formula>
    </cfRule>
    <cfRule type="expression" dxfId="326" priority="303" stopIfTrue="1">
      <formula>$A30&lt;&gt;"S"</formula>
    </cfRule>
  </conditionalFormatting>
  <conditionalFormatting sqref="Q30:R38 AB30:AM38">
    <cfRule type="expression" dxfId="325" priority="304" stopIfTrue="1">
      <formula>$A30=1</formula>
    </cfRule>
    <cfRule type="expression" dxfId="324" priority="305" stopIfTrue="1">
      <formula>$A30&lt;&gt;"S"</formula>
    </cfRule>
  </conditionalFormatting>
  <conditionalFormatting sqref="D39:O47 T39:Z47">
    <cfRule type="expression" dxfId="323" priority="296" stopIfTrue="1">
      <formula>OR(ACOMPANHAMENTO="PLE",TIPOORCAMENTO="Proposto",$L39&lt;0,AND($L39&gt;100,RegimeExecucao="Global"),$O39&gt;$I39,$O39&lt;0)</formula>
    </cfRule>
    <cfRule type="expression" dxfId="322" priority="297" stopIfTrue="1">
      <formula>$A39=1</formula>
    </cfRule>
    <cfRule type="expression" dxfId="321" priority="298" stopIfTrue="1">
      <formula>$A39&lt;&gt;"S"</formula>
    </cfRule>
  </conditionalFormatting>
  <conditionalFormatting sqref="Q39:R47 AB39:AM47">
    <cfRule type="expression" dxfId="320" priority="299" stopIfTrue="1">
      <formula>$A39=1</formula>
    </cfRule>
    <cfRule type="expression" dxfId="319" priority="300" stopIfTrue="1">
      <formula>$A39&lt;&gt;"S"</formula>
    </cfRule>
  </conditionalFormatting>
  <conditionalFormatting sqref="D48:O56 T48:Z56">
    <cfRule type="expression" dxfId="318" priority="291" stopIfTrue="1">
      <formula>OR(ACOMPANHAMENTO="PLE",TIPOORCAMENTO="Proposto",$L48&lt;0,AND($L48&gt;100,RegimeExecucao="Global"),$O48&gt;$I48,$O48&lt;0)</formula>
    </cfRule>
    <cfRule type="expression" dxfId="317" priority="292" stopIfTrue="1">
      <formula>$A48=1</formula>
    </cfRule>
    <cfRule type="expression" dxfId="316" priority="293" stopIfTrue="1">
      <formula>$A48&lt;&gt;"S"</formula>
    </cfRule>
  </conditionalFormatting>
  <conditionalFormatting sqref="Q48:R56 AB48:AM56">
    <cfRule type="expression" dxfId="315" priority="294" stopIfTrue="1">
      <formula>$A48=1</formula>
    </cfRule>
    <cfRule type="expression" dxfId="314" priority="295" stopIfTrue="1">
      <formula>$A48&lt;&gt;"S"</formula>
    </cfRule>
  </conditionalFormatting>
  <conditionalFormatting sqref="D57:O65 T57:Z65">
    <cfRule type="expression" dxfId="313" priority="286" stopIfTrue="1">
      <formula>OR(ACOMPANHAMENTO="PLE",TIPOORCAMENTO="Proposto",$L57&lt;0,AND($L57&gt;100,RegimeExecucao="Global"),$O57&gt;$I57,$O57&lt;0)</formula>
    </cfRule>
    <cfRule type="expression" dxfId="312" priority="287" stopIfTrue="1">
      <formula>$A57=1</formula>
    </cfRule>
    <cfRule type="expression" dxfId="311" priority="288" stopIfTrue="1">
      <formula>$A57&lt;&gt;"S"</formula>
    </cfRule>
  </conditionalFormatting>
  <conditionalFormatting sqref="Q57:R65 AB57:AM65">
    <cfRule type="expression" dxfId="310" priority="289" stopIfTrue="1">
      <formula>$A57=1</formula>
    </cfRule>
    <cfRule type="expression" dxfId="309" priority="290" stopIfTrue="1">
      <formula>$A57&lt;&gt;"S"</formula>
    </cfRule>
  </conditionalFormatting>
  <conditionalFormatting sqref="D66:O74 T66:Z74">
    <cfRule type="expression" dxfId="308" priority="281" stopIfTrue="1">
      <formula>OR(ACOMPANHAMENTO="PLE",TIPOORCAMENTO="Proposto",$L66&lt;0,AND($L66&gt;100,RegimeExecucao="Global"),$O66&gt;$I66,$O66&lt;0)</formula>
    </cfRule>
    <cfRule type="expression" dxfId="307" priority="282" stopIfTrue="1">
      <formula>$A66=1</formula>
    </cfRule>
    <cfRule type="expression" dxfId="306" priority="283" stopIfTrue="1">
      <formula>$A66&lt;&gt;"S"</formula>
    </cfRule>
  </conditionalFormatting>
  <conditionalFormatting sqref="Q66:R74 AB66:AM74">
    <cfRule type="expression" dxfId="305" priority="284" stopIfTrue="1">
      <formula>$A66=1</formula>
    </cfRule>
    <cfRule type="expression" dxfId="304" priority="285" stopIfTrue="1">
      <formula>$A66&lt;&gt;"S"</formula>
    </cfRule>
  </conditionalFormatting>
  <conditionalFormatting sqref="D75:O83 T75:Z83">
    <cfRule type="expression" dxfId="303" priority="276" stopIfTrue="1">
      <formula>OR(ACOMPANHAMENTO="PLE",TIPOORCAMENTO="Proposto",$L75&lt;0,AND($L75&gt;100,RegimeExecucao="Global"),$O75&gt;$I75,$O75&lt;0)</formula>
    </cfRule>
    <cfRule type="expression" dxfId="302" priority="277" stopIfTrue="1">
      <formula>$A75=1</formula>
    </cfRule>
    <cfRule type="expression" dxfId="301" priority="278" stopIfTrue="1">
      <formula>$A75&lt;&gt;"S"</formula>
    </cfRule>
  </conditionalFormatting>
  <conditionalFormatting sqref="Q75:R83 AB75:AM83">
    <cfRule type="expression" dxfId="300" priority="279" stopIfTrue="1">
      <formula>$A75=1</formula>
    </cfRule>
    <cfRule type="expression" dxfId="299" priority="280" stopIfTrue="1">
      <formula>$A75&lt;&gt;"S"</formula>
    </cfRule>
  </conditionalFormatting>
  <conditionalFormatting sqref="D84:O92 T84:Z92">
    <cfRule type="expression" dxfId="298" priority="271" stopIfTrue="1">
      <formula>OR(ACOMPANHAMENTO="PLE",TIPOORCAMENTO="Proposto",$L84&lt;0,AND($L84&gt;100,RegimeExecucao="Global"),$O84&gt;$I84,$O84&lt;0)</formula>
    </cfRule>
    <cfRule type="expression" dxfId="297" priority="272" stopIfTrue="1">
      <formula>$A84=1</formula>
    </cfRule>
    <cfRule type="expression" dxfId="296" priority="273" stopIfTrue="1">
      <formula>$A84&lt;&gt;"S"</formula>
    </cfRule>
  </conditionalFormatting>
  <conditionalFormatting sqref="Q84:R92 AB84:AM92">
    <cfRule type="expression" dxfId="295" priority="274" stopIfTrue="1">
      <formula>$A84=1</formula>
    </cfRule>
    <cfRule type="expression" dxfId="294" priority="275" stopIfTrue="1">
      <formula>$A84&lt;&gt;"S"</formula>
    </cfRule>
  </conditionalFormatting>
  <conditionalFormatting sqref="D93:O101 T93:Z101">
    <cfRule type="expression" dxfId="293" priority="266" stopIfTrue="1">
      <formula>OR(ACOMPANHAMENTO="PLE",TIPOORCAMENTO="Proposto",$L93&lt;0,AND($L93&gt;100,RegimeExecucao="Global"),$O93&gt;$I93,$O93&lt;0)</formula>
    </cfRule>
    <cfRule type="expression" dxfId="292" priority="267" stopIfTrue="1">
      <formula>$A93=1</formula>
    </cfRule>
    <cfRule type="expression" dxfId="291" priority="268" stopIfTrue="1">
      <formula>$A93&lt;&gt;"S"</formula>
    </cfRule>
  </conditionalFormatting>
  <conditionalFormatting sqref="Q93:R101 AB93:AM101">
    <cfRule type="expression" dxfId="290" priority="269" stopIfTrue="1">
      <formula>$A93=1</formula>
    </cfRule>
    <cfRule type="expression" dxfId="289" priority="270" stopIfTrue="1">
      <formula>$A93&lt;&gt;"S"</formula>
    </cfRule>
  </conditionalFormatting>
  <conditionalFormatting sqref="D102:O110 T102:Z110">
    <cfRule type="expression" dxfId="288" priority="261" stopIfTrue="1">
      <formula>OR(ACOMPANHAMENTO="PLE",TIPOORCAMENTO="Proposto",$L102&lt;0,AND($L102&gt;100,RegimeExecucao="Global"),$O102&gt;$I102,$O102&lt;0)</formula>
    </cfRule>
    <cfRule type="expression" dxfId="287" priority="262" stopIfTrue="1">
      <formula>$A102=1</formula>
    </cfRule>
    <cfRule type="expression" dxfId="286" priority="263" stopIfTrue="1">
      <formula>$A102&lt;&gt;"S"</formula>
    </cfRule>
  </conditionalFormatting>
  <conditionalFormatting sqref="Q102:R110 AB102:AM110">
    <cfRule type="expression" dxfId="285" priority="264" stopIfTrue="1">
      <formula>$A102=1</formula>
    </cfRule>
    <cfRule type="expression" dxfId="284" priority="265" stopIfTrue="1">
      <formula>$A102&lt;&gt;"S"</formula>
    </cfRule>
  </conditionalFormatting>
  <conditionalFormatting sqref="D111:O119 T111:Z119">
    <cfRule type="expression" dxfId="283" priority="256" stopIfTrue="1">
      <formula>OR(ACOMPANHAMENTO="PLE",TIPOORCAMENTO="Proposto",$L111&lt;0,AND($L111&gt;100,RegimeExecucao="Global"),$O111&gt;$I111,$O111&lt;0)</formula>
    </cfRule>
    <cfRule type="expression" dxfId="282" priority="257" stopIfTrue="1">
      <formula>$A111=1</formula>
    </cfRule>
    <cfRule type="expression" dxfId="281" priority="258" stopIfTrue="1">
      <formula>$A111&lt;&gt;"S"</formula>
    </cfRule>
  </conditionalFormatting>
  <conditionalFormatting sqref="Q111:R119 AB111:AM119">
    <cfRule type="expression" dxfId="280" priority="259" stopIfTrue="1">
      <formula>$A111=1</formula>
    </cfRule>
    <cfRule type="expression" dxfId="279" priority="260" stopIfTrue="1">
      <formula>$A111&lt;&gt;"S"</formula>
    </cfRule>
  </conditionalFormatting>
  <conditionalFormatting sqref="D120:O128 T120:Z128">
    <cfRule type="expression" dxfId="278" priority="251" stopIfTrue="1">
      <formula>OR(ACOMPANHAMENTO="PLE",TIPOORCAMENTO="Proposto",$L120&lt;0,AND($L120&gt;100,RegimeExecucao="Global"),$O120&gt;$I120,$O120&lt;0)</formula>
    </cfRule>
    <cfRule type="expression" dxfId="277" priority="252" stopIfTrue="1">
      <formula>$A120=1</formula>
    </cfRule>
    <cfRule type="expression" dxfId="276" priority="253" stopIfTrue="1">
      <formula>$A120&lt;&gt;"S"</formula>
    </cfRule>
  </conditionalFormatting>
  <conditionalFormatting sqref="Q120:R128 AB120:AM128">
    <cfRule type="expression" dxfId="275" priority="254" stopIfTrue="1">
      <formula>$A120=1</formula>
    </cfRule>
    <cfRule type="expression" dxfId="274" priority="255" stopIfTrue="1">
      <formula>$A120&lt;&gt;"S"</formula>
    </cfRule>
  </conditionalFormatting>
  <conditionalFormatting sqref="D129:O137 T129:Z137">
    <cfRule type="expression" dxfId="273" priority="246" stopIfTrue="1">
      <formula>OR(ACOMPANHAMENTO="PLE",TIPOORCAMENTO="Proposto",$L129&lt;0,AND($L129&gt;100,RegimeExecucao="Global"),$O129&gt;$I129,$O129&lt;0)</formula>
    </cfRule>
    <cfRule type="expression" dxfId="272" priority="247" stopIfTrue="1">
      <formula>$A129=1</formula>
    </cfRule>
    <cfRule type="expression" dxfId="271" priority="248" stopIfTrue="1">
      <formula>$A129&lt;&gt;"S"</formula>
    </cfRule>
  </conditionalFormatting>
  <conditionalFormatting sqref="Q129:R137 AB129:AM137">
    <cfRule type="expression" dxfId="270" priority="249" stopIfTrue="1">
      <formula>$A129=1</formula>
    </cfRule>
    <cfRule type="expression" dxfId="269" priority="250" stopIfTrue="1">
      <formula>$A129&lt;&gt;"S"</formula>
    </cfRule>
  </conditionalFormatting>
  <conditionalFormatting sqref="D138:O146 T138:Z146">
    <cfRule type="expression" dxfId="268" priority="241" stopIfTrue="1">
      <formula>OR(ACOMPANHAMENTO="PLE",TIPOORCAMENTO="Proposto",$L138&lt;0,AND($L138&gt;100,RegimeExecucao="Global"),$O138&gt;$I138,$O138&lt;0)</formula>
    </cfRule>
    <cfRule type="expression" dxfId="267" priority="242" stopIfTrue="1">
      <formula>$A138=1</formula>
    </cfRule>
    <cfRule type="expression" dxfId="266" priority="243" stopIfTrue="1">
      <formula>$A138&lt;&gt;"S"</formula>
    </cfRule>
  </conditionalFormatting>
  <conditionalFormatting sqref="Q138:R146 AB138:AM146">
    <cfRule type="expression" dxfId="265" priority="244" stopIfTrue="1">
      <formula>$A138=1</formula>
    </cfRule>
    <cfRule type="expression" dxfId="264" priority="245" stopIfTrue="1">
      <formula>$A138&lt;&gt;"S"</formula>
    </cfRule>
  </conditionalFormatting>
  <conditionalFormatting sqref="D147:O155 T147:Z155">
    <cfRule type="expression" dxfId="263" priority="236" stopIfTrue="1">
      <formula>OR(ACOMPANHAMENTO="PLE",TIPOORCAMENTO="Proposto",$L147&lt;0,AND($L147&gt;100,RegimeExecucao="Global"),$O147&gt;$I147,$O147&lt;0)</formula>
    </cfRule>
    <cfRule type="expression" dxfId="262" priority="237" stopIfTrue="1">
      <formula>$A147=1</formula>
    </cfRule>
    <cfRule type="expression" dxfId="261" priority="238" stopIfTrue="1">
      <formula>$A147&lt;&gt;"S"</formula>
    </cfRule>
  </conditionalFormatting>
  <conditionalFormatting sqref="Q147:R155 AB147:AM155">
    <cfRule type="expression" dxfId="260" priority="239" stopIfTrue="1">
      <formula>$A147=1</formula>
    </cfRule>
    <cfRule type="expression" dxfId="259" priority="240" stopIfTrue="1">
      <formula>$A147&lt;&gt;"S"</formula>
    </cfRule>
  </conditionalFormatting>
  <conditionalFormatting sqref="D156:O164 T156:Z164">
    <cfRule type="expression" dxfId="258" priority="231" stopIfTrue="1">
      <formula>OR(ACOMPANHAMENTO="PLE",TIPOORCAMENTO="Proposto",$L156&lt;0,AND($L156&gt;100,RegimeExecucao="Global"),$O156&gt;$I156,$O156&lt;0)</formula>
    </cfRule>
    <cfRule type="expression" dxfId="257" priority="232" stopIfTrue="1">
      <formula>$A156=1</formula>
    </cfRule>
    <cfRule type="expression" dxfId="256" priority="233" stopIfTrue="1">
      <formula>$A156&lt;&gt;"S"</formula>
    </cfRule>
  </conditionalFormatting>
  <conditionalFormatting sqref="Q156:R164 AB156:AM164">
    <cfRule type="expression" dxfId="255" priority="234" stopIfTrue="1">
      <formula>$A156=1</formula>
    </cfRule>
    <cfRule type="expression" dxfId="254" priority="235" stopIfTrue="1">
      <formula>$A156&lt;&gt;"S"</formula>
    </cfRule>
  </conditionalFormatting>
  <conditionalFormatting sqref="D165:O173 T165:Z173">
    <cfRule type="expression" dxfId="253" priority="226" stopIfTrue="1">
      <formula>OR(ACOMPANHAMENTO="PLE",TIPOORCAMENTO="Proposto",$L165&lt;0,AND($L165&gt;100,RegimeExecucao="Global"),$O165&gt;$I165,$O165&lt;0)</formula>
    </cfRule>
    <cfRule type="expression" dxfId="252" priority="227" stopIfTrue="1">
      <formula>$A165=1</formula>
    </cfRule>
    <cfRule type="expression" dxfId="251" priority="228" stopIfTrue="1">
      <formula>$A165&lt;&gt;"S"</formula>
    </cfRule>
  </conditionalFormatting>
  <conditionalFormatting sqref="Q165:R173 AB165:AM173">
    <cfRule type="expression" dxfId="250" priority="229" stopIfTrue="1">
      <formula>$A165=1</formula>
    </cfRule>
    <cfRule type="expression" dxfId="249" priority="230" stopIfTrue="1">
      <formula>$A165&lt;&gt;"S"</formula>
    </cfRule>
  </conditionalFormatting>
  <conditionalFormatting sqref="D174:O182 T174:Z182">
    <cfRule type="expression" dxfId="248" priority="221" stopIfTrue="1">
      <formula>OR(ACOMPANHAMENTO="PLE",TIPOORCAMENTO="Proposto",$L174&lt;0,AND($L174&gt;100,RegimeExecucao="Global"),$O174&gt;$I174,$O174&lt;0)</formula>
    </cfRule>
    <cfRule type="expression" dxfId="247" priority="222" stopIfTrue="1">
      <formula>$A174=1</formula>
    </cfRule>
    <cfRule type="expression" dxfId="246" priority="223" stopIfTrue="1">
      <formula>$A174&lt;&gt;"S"</formula>
    </cfRule>
  </conditionalFormatting>
  <conditionalFormatting sqref="Q174:R182 AB174:AM182">
    <cfRule type="expression" dxfId="245" priority="224" stopIfTrue="1">
      <formula>$A174=1</formula>
    </cfRule>
    <cfRule type="expression" dxfId="244" priority="225" stopIfTrue="1">
      <formula>$A174&lt;&gt;"S"</formula>
    </cfRule>
  </conditionalFormatting>
  <conditionalFormatting sqref="D183:O191 T183:Z191">
    <cfRule type="expression" dxfId="243" priority="216" stopIfTrue="1">
      <formula>OR(ACOMPANHAMENTO="PLE",TIPOORCAMENTO="Proposto",$L183&lt;0,AND($L183&gt;100,RegimeExecucao="Global"),$O183&gt;$I183,$O183&lt;0)</formula>
    </cfRule>
    <cfRule type="expression" dxfId="242" priority="217" stopIfTrue="1">
      <formula>$A183=1</formula>
    </cfRule>
    <cfRule type="expression" dxfId="241" priority="218" stopIfTrue="1">
      <formula>$A183&lt;&gt;"S"</formula>
    </cfRule>
  </conditionalFormatting>
  <conditionalFormatting sqref="Q183:R191 AB183:AM191">
    <cfRule type="expression" dxfId="240" priority="219" stopIfTrue="1">
      <formula>$A183=1</formula>
    </cfRule>
    <cfRule type="expression" dxfId="239" priority="220" stopIfTrue="1">
      <formula>$A183&lt;&gt;"S"</formula>
    </cfRule>
  </conditionalFormatting>
  <conditionalFormatting sqref="D192:O200 T192:Z200">
    <cfRule type="expression" dxfId="238" priority="211" stopIfTrue="1">
      <formula>OR(ACOMPANHAMENTO="PLE",TIPOORCAMENTO="Proposto",$L192&lt;0,AND($L192&gt;100,RegimeExecucao="Global"),$O192&gt;$I192,$O192&lt;0)</formula>
    </cfRule>
    <cfRule type="expression" dxfId="237" priority="212" stopIfTrue="1">
      <formula>$A192=1</formula>
    </cfRule>
    <cfRule type="expression" dxfId="236" priority="213" stopIfTrue="1">
      <formula>$A192&lt;&gt;"S"</formula>
    </cfRule>
  </conditionalFormatting>
  <conditionalFormatting sqref="Q192:R200 AB192:AM200">
    <cfRule type="expression" dxfId="235" priority="214" stopIfTrue="1">
      <formula>$A192=1</formula>
    </cfRule>
    <cfRule type="expression" dxfId="234" priority="215" stopIfTrue="1">
      <formula>$A192&lt;&gt;"S"</formula>
    </cfRule>
  </conditionalFormatting>
  <conditionalFormatting sqref="D201:O209 T201:Z209">
    <cfRule type="expression" dxfId="233" priority="206" stopIfTrue="1">
      <formula>OR(ACOMPANHAMENTO="PLE",TIPOORCAMENTO="Proposto",$L201&lt;0,AND($L201&gt;100,RegimeExecucao="Global"),$O201&gt;$I201,$O201&lt;0)</formula>
    </cfRule>
    <cfRule type="expression" dxfId="232" priority="207" stopIfTrue="1">
      <formula>$A201=1</formula>
    </cfRule>
    <cfRule type="expression" dxfId="231" priority="208" stopIfTrue="1">
      <formula>$A201&lt;&gt;"S"</formula>
    </cfRule>
  </conditionalFormatting>
  <conditionalFormatting sqref="Q201:R209 AB201:AM209">
    <cfRule type="expression" dxfId="230" priority="209" stopIfTrue="1">
      <formula>$A201=1</formula>
    </cfRule>
    <cfRule type="expression" dxfId="229" priority="210" stopIfTrue="1">
      <formula>$A201&lt;&gt;"S"</formula>
    </cfRule>
  </conditionalFormatting>
  <conditionalFormatting sqref="D210:O218 T210:Z218">
    <cfRule type="expression" dxfId="228" priority="201" stopIfTrue="1">
      <formula>OR(ACOMPANHAMENTO="PLE",TIPOORCAMENTO="Proposto",$L210&lt;0,AND($L210&gt;100,RegimeExecucao="Global"),$O210&gt;$I210,$O210&lt;0)</formula>
    </cfRule>
    <cfRule type="expression" dxfId="227" priority="202" stopIfTrue="1">
      <formula>$A210=1</formula>
    </cfRule>
    <cfRule type="expression" dxfId="226" priority="203" stopIfTrue="1">
      <formula>$A210&lt;&gt;"S"</formula>
    </cfRule>
  </conditionalFormatting>
  <conditionalFormatting sqref="Q210:R218 AB210:AM218">
    <cfRule type="expression" dxfId="225" priority="204" stopIfTrue="1">
      <formula>$A210=1</formula>
    </cfRule>
    <cfRule type="expression" dxfId="224" priority="205" stopIfTrue="1">
      <formula>$A210&lt;&gt;"S"</formula>
    </cfRule>
  </conditionalFormatting>
  <conditionalFormatting sqref="D219:O227 T219:Z227">
    <cfRule type="expression" dxfId="223" priority="196" stopIfTrue="1">
      <formula>OR(ACOMPANHAMENTO="PLE",TIPOORCAMENTO="Proposto",$L219&lt;0,AND($L219&gt;100,RegimeExecucao="Global"),$O219&gt;$I219,$O219&lt;0)</formula>
    </cfRule>
    <cfRule type="expression" dxfId="222" priority="197" stopIfTrue="1">
      <formula>$A219=1</formula>
    </cfRule>
    <cfRule type="expression" dxfId="221" priority="198" stopIfTrue="1">
      <formula>$A219&lt;&gt;"S"</formula>
    </cfRule>
  </conditionalFormatting>
  <conditionalFormatting sqref="Q219:R227 AB219:AM227">
    <cfRule type="expression" dxfId="220" priority="199" stopIfTrue="1">
      <formula>$A219=1</formula>
    </cfRule>
    <cfRule type="expression" dxfId="219" priority="200" stopIfTrue="1">
      <formula>$A219&lt;&gt;"S"</formula>
    </cfRule>
  </conditionalFormatting>
  <conditionalFormatting sqref="D228:O236 T228:Z236">
    <cfRule type="expression" dxfId="218" priority="191" stopIfTrue="1">
      <formula>OR(ACOMPANHAMENTO="PLE",TIPOORCAMENTO="Proposto",$L228&lt;0,AND($L228&gt;100,RegimeExecucao="Global"),$O228&gt;$I228,$O228&lt;0)</formula>
    </cfRule>
    <cfRule type="expression" dxfId="217" priority="192" stopIfTrue="1">
      <formula>$A228=1</formula>
    </cfRule>
    <cfRule type="expression" dxfId="216" priority="193" stopIfTrue="1">
      <formula>$A228&lt;&gt;"S"</formula>
    </cfRule>
  </conditionalFormatting>
  <conditionalFormatting sqref="Q228:R236 AB228:AM236">
    <cfRule type="expression" dxfId="215" priority="194" stopIfTrue="1">
      <formula>$A228=1</formula>
    </cfRule>
    <cfRule type="expression" dxfId="214" priority="195" stopIfTrue="1">
      <formula>$A228&lt;&gt;"S"</formula>
    </cfRule>
  </conditionalFormatting>
  <conditionalFormatting sqref="D237:O245 T237:Z245">
    <cfRule type="expression" dxfId="213" priority="186" stopIfTrue="1">
      <formula>OR(ACOMPANHAMENTO="PLE",TIPOORCAMENTO="Proposto",$L237&lt;0,AND($L237&gt;100,RegimeExecucao="Global"),$O237&gt;$I237,$O237&lt;0)</formula>
    </cfRule>
    <cfRule type="expression" dxfId="212" priority="187" stopIfTrue="1">
      <formula>$A237=1</formula>
    </cfRule>
    <cfRule type="expression" dxfId="211" priority="188" stopIfTrue="1">
      <formula>$A237&lt;&gt;"S"</formula>
    </cfRule>
  </conditionalFormatting>
  <conditionalFormatting sqref="Q237:R245 AB237:AM245">
    <cfRule type="expression" dxfId="210" priority="189" stopIfTrue="1">
      <formula>$A237=1</formula>
    </cfRule>
    <cfRule type="expression" dxfId="209" priority="190" stopIfTrue="1">
      <formula>$A237&lt;&gt;"S"</formula>
    </cfRule>
  </conditionalFormatting>
  <conditionalFormatting sqref="D246:O254 T246:Z254">
    <cfRule type="expression" dxfId="208" priority="181" stopIfTrue="1">
      <formula>OR(ACOMPANHAMENTO="PLE",TIPOORCAMENTO="Proposto",$L246&lt;0,AND($L246&gt;100,RegimeExecucao="Global"),$O246&gt;$I246,$O246&lt;0)</formula>
    </cfRule>
    <cfRule type="expression" dxfId="207" priority="182" stopIfTrue="1">
      <formula>$A246=1</formula>
    </cfRule>
    <cfRule type="expression" dxfId="206" priority="183" stopIfTrue="1">
      <formula>$A246&lt;&gt;"S"</formula>
    </cfRule>
  </conditionalFormatting>
  <conditionalFormatting sqref="Q246:R254 AB246:AM254">
    <cfRule type="expression" dxfId="205" priority="184" stopIfTrue="1">
      <formula>$A246=1</formula>
    </cfRule>
    <cfRule type="expression" dxfId="204" priority="185" stopIfTrue="1">
      <formula>$A246&lt;&gt;"S"</formula>
    </cfRule>
  </conditionalFormatting>
  <conditionalFormatting sqref="D255:O263 T255:Z263">
    <cfRule type="expression" dxfId="203" priority="176" stopIfTrue="1">
      <formula>OR(ACOMPANHAMENTO="PLE",TIPOORCAMENTO="Proposto",$L255&lt;0,AND($L255&gt;100,RegimeExecucao="Global"),$O255&gt;$I255,$O255&lt;0)</formula>
    </cfRule>
    <cfRule type="expression" dxfId="202" priority="177" stopIfTrue="1">
      <formula>$A255=1</formula>
    </cfRule>
    <cfRule type="expression" dxfId="201" priority="178" stopIfTrue="1">
      <formula>$A255&lt;&gt;"S"</formula>
    </cfRule>
  </conditionalFormatting>
  <conditionalFormatting sqref="Q255:R263 AB255:AM263">
    <cfRule type="expression" dxfId="200" priority="179" stopIfTrue="1">
      <formula>$A255=1</formula>
    </cfRule>
    <cfRule type="expression" dxfId="199" priority="180" stopIfTrue="1">
      <formula>$A255&lt;&gt;"S"</formula>
    </cfRule>
  </conditionalFormatting>
  <conditionalFormatting sqref="D264:O272 T264:Z272">
    <cfRule type="expression" dxfId="198" priority="171" stopIfTrue="1">
      <formula>OR(ACOMPANHAMENTO="PLE",TIPOORCAMENTO="Proposto",$L264&lt;0,AND($L264&gt;100,RegimeExecucao="Global"),$O264&gt;$I264,$O264&lt;0)</formula>
    </cfRule>
    <cfRule type="expression" dxfId="197" priority="172" stopIfTrue="1">
      <formula>$A264=1</formula>
    </cfRule>
    <cfRule type="expression" dxfId="196" priority="173" stopIfTrue="1">
      <formula>$A264&lt;&gt;"S"</formula>
    </cfRule>
  </conditionalFormatting>
  <conditionalFormatting sqref="Q264:R272 AB264:AM272">
    <cfRule type="expression" dxfId="195" priority="174" stopIfTrue="1">
      <formula>$A264=1</formula>
    </cfRule>
    <cfRule type="expression" dxfId="194" priority="175" stopIfTrue="1">
      <formula>$A264&lt;&gt;"S"</formula>
    </cfRule>
  </conditionalFormatting>
  <conditionalFormatting sqref="D273:O281 T273:Z281">
    <cfRule type="expression" dxfId="193" priority="166" stopIfTrue="1">
      <formula>OR(ACOMPANHAMENTO="PLE",TIPOORCAMENTO="Proposto",$L273&lt;0,AND($L273&gt;100,RegimeExecucao="Global"),$O273&gt;$I273,$O273&lt;0)</formula>
    </cfRule>
    <cfRule type="expression" dxfId="192" priority="167" stopIfTrue="1">
      <formula>$A273=1</formula>
    </cfRule>
    <cfRule type="expression" dxfId="191" priority="168" stopIfTrue="1">
      <formula>$A273&lt;&gt;"S"</formula>
    </cfRule>
  </conditionalFormatting>
  <conditionalFormatting sqref="Q273:R281 AB273:AM281">
    <cfRule type="expression" dxfId="190" priority="169" stopIfTrue="1">
      <formula>$A273=1</formula>
    </cfRule>
    <cfRule type="expression" dxfId="189" priority="170" stopIfTrue="1">
      <formula>$A273&lt;&gt;"S"</formula>
    </cfRule>
  </conditionalFormatting>
  <conditionalFormatting sqref="D282:O290 T282:Z290">
    <cfRule type="expression" dxfId="188" priority="161" stopIfTrue="1">
      <formula>OR(ACOMPANHAMENTO="PLE",TIPOORCAMENTO="Proposto",$L282&lt;0,AND($L282&gt;100,RegimeExecucao="Global"),$O282&gt;$I282,$O282&lt;0)</formula>
    </cfRule>
    <cfRule type="expression" dxfId="187" priority="162" stopIfTrue="1">
      <formula>$A282=1</formula>
    </cfRule>
    <cfRule type="expression" dxfId="186" priority="163" stopIfTrue="1">
      <formula>$A282&lt;&gt;"S"</formula>
    </cfRule>
  </conditionalFormatting>
  <conditionalFormatting sqref="Q282:R290 AB282:AM290">
    <cfRule type="expression" dxfId="185" priority="164" stopIfTrue="1">
      <formula>$A282=1</formula>
    </cfRule>
    <cfRule type="expression" dxfId="184" priority="165" stopIfTrue="1">
      <formula>$A282&lt;&gt;"S"</formula>
    </cfRule>
  </conditionalFormatting>
  <conditionalFormatting sqref="D299:O307 T299:Z307">
    <cfRule type="expression" dxfId="183" priority="151" stopIfTrue="1">
      <formula>OR(ACOMPANHAMENTO="PLE",TIPOORCAMENTO="Proposto",$L299&lt;0,AND($L299&gt;100,RegimeExecucao="Global"),$O299&gt;$I299,$O299&lt;0)</formula>
    </cfRule>
    <cfRule type="expression" dxfId="182" priority="152" stopIfTrue="1">
      <formula>$A299=1</formula>
    </cfRule>
    <cfRule type="expression" dxfId="181" priority="153" stopIfTrue="1">
      <formula>$A299&lt;&gt;"S"</formula>
    </cfRule>
  </conditionalFormatting>
  <conditionalFormatting sqref="Q299:R307 AB299:AM307">
    <cfRule type="expression" dxfId="180" priority="154" stopIfTrue="1">
      <formula>$A299=1</formula>
    </cfRule>
    <cfRule type="expression" dxfId="179" priority="155" stopIfTrue="1">
      <formula>$A299&lt;&gt;"S"</formula>
    </cfRule>
  </conditionalFormatting>
  <conditionalFormatting sqref="D308:O316 T308:Z316">
    <cfRule type="expression" dxfId="178" priority="146" stopIfTrue="1">
      <formula>OR(ACOMPANHAMENTO="PLE",TIPOORCAMENTO="Proposto",$L308&lt;0,AND($L308&gt;100,RegimeExecucao="Global"),$O308&gt;$I308,$O308&lt;0)</formula>
    </cfRule>
    <cfRule type="expression" dxfId="177" priority="147" stopIfTrue="1">
      <formula>$A308=1</formula>
    </cfRule>
    <cfRule type="expression" dxfId="176" priority="148" stopIfTrue="1">
      <formula>$A308&lt;&gt;"S"</formula>
    </cfRule>
  </conditionalFormatting>
  <conditionalFormatting sqref="Q308:R316 AB308:AM316">
    <cfRule type="expression" dxfId="175" priority="149" stopIfTrue="1">
      <formula>$A308=1</formula>
    </cfRule>
    <cfRule type="expression" dxfId="174" priority="150" stopIfTrue="1">
      <formula>$A308&lt;&gt;"S"</formula>
    </cfRule>
  </conditionalFormatting>
  <conditionalFormatting sqref="D325:O333 T325:Z333">
    <cfRule type="expression" dxfId="173" priority="136" stopIfTrue="1">
      <formula>OR(ACOMPANHAMENTO="PLE",TIPOORCAMENTO="Proposto",$L325&lt;0,AND($L325&gt;100,RegimeExecucao="Global"),$O325&gt;$I325,$O325&lt;0)</formula>
    </cfRule>
    <cfRule type="expression" dxfId="172" priority="137" stopIfTrue="1">
      <formula>$A325=1</formula>
    </cfRule>
    <cfRule type="expression" dxfId="171" priority="138" stopIfTrue="1">
      <formula>$A325&lt;&gt;"S"</formula>
    </cfRule>
  </conditionalFormatting>
  <conditionalFormatting sqref="Q325:R333 AB325:AM333">
    <cfRule type="expression" dxfId="170" priority="139" stopIfTrue="1">
      <formula>$A325=1</formula>
    </cfRule>
    <cfRule type="expression" dxfId="169" priority="140" stopIfTrue="1">
      <formula>$A325&lt;&gt;"S"</formula>
    </cfRule>
  </conditionalFormatting>
  <conditionalFormatting sqref="D334:O342 T334:Z342">
    <cfRule type="expression" dxfId="168" priority="131" stopIfTrue="1">
      <formula>OR(ACOMPANHAMENTO="PLE",TIPOORCAMENTO="Proposto",$L334&lt;0,AND($L334&gt;100,RegimeExecucao="Global"),$O334&gt;$I334,$O334&lt;0)</formula>
    </cfRule>
    <cfRule type="expression" dxfId="167" priority="132" stopIfTrue="1">
      <formula>$A334=1</formula>
    </cfRule>
    <cfRule type="expression" dxfId="166" priority="133" stopIfTrue="1">
      <formula>$A334&lt;&gt;"S"</formula>
    </cfRule>
  </conditionalFormatting>
  <conditionalFormatting sqref="Q334:R342 AB334:AM342">
    <cfRule type="expression" dxfId="165" priority="134" stopIfTrue="1">
      <formula>$A334=1</formula>
    </cfRule>
    <cfRule type="expression" dxfId="164" priority="135" stopIfTrue="1">
      <formula>$A334&lt;&gt;"S"</formula>
    </cfRule>
  </conditionalFormatting>
  <conditionalFormatting sqref="D343:O351 T343:Z351">
    <cfRule type="expression" dxfId="163" priority="126" stopIfTrue="1">
      <formula>OR(ACOMPANHAMENTO="PLE",TIPOORCAMENTO="Proposto",$L343&lt;0,AND($L343&gt;100,RegimeExecucao="Global"),$O343&gt;$I343,$O343&lt;0)</formula>
    </cfRule>
    <cfRule type="expression" dxfId="162" priority="127" stopIfTrue="1">
      <formula>$A343=1</formula>
    </cfRule>
    <cfRule type="expression" dxfId="161" priority="128" stopIfTrue="1">
      <formula>$A343&lt;&gt;"S"</formula>
    </cfRule>
  </conditionalFormatting>
  <conditionalFormatting sqref="Q343:R351 AB343:AM351">
    <cfRule type="expression" dxfId="160" priority="129" stopIfTrue="1">
      <formula>$A343=1</formula>
    </cfRule>
    <cfRule type="expression" dxfId="159" priority="130" stopIfTrue="1">
      <formula>$A343&lt;&gt;"S"</formula>
    </cfRule>
  </conditionalFormatting>
  <conditionalFormatting sqref="D352:O360 T352:Z360">
    <cfRule type="expression" dxfId="158" priority="121" stopIfTrue="1">
      <formula>OR(ACOMPANHAMENTO="PLE",TIPOORCAMENTO="Proposto",$L352&lt;0,AND($L352&gt;100,RegimeExecucao="Global"),$O352&gt;$I352,$O352&lt;0)</formula>
    </cfRule>
    <cfRule type="expression" dxfId="157" priority="122" stopIfTrue="1">
      <formula>$A352=1</formula>
    </cfRule>
    <cfRule type="expression" dxfId="156" priority="123" stopIfTrue="1">
      <formula>$A352&lt;&gt;"S"</formula>
    </cfRule>
  </conditionalFormatting>
  <conditionalFormatting sqref="Q352:R360 AB352:AM360">
    <cfRule type="expression" dxfId="155" priority="124" stopIfTrue="1">
      <formula>$A352=1</formula>
    </cfRule>
    <cfRule type="expression" dxfId="154" priority="125" stopIfTrue="1">
      <formula>$A352&lt;&gt;"S"</formula>
    </cfRule>
  </conditionalFormatting>
  <conditionalFormatting sqref="D369:O377 T369:Z377">
    <cfRule type="expression" dxfId="153" priority="111" stopIfTrue="1">
      <formula>OR(ACOMPANHAMENTO="PLE",TIPOORCAMENTO="Proposto",$L369&lt;0,AND($L369&gt;100,RegimeExecucao="Global"),$O369&gt;$I369,$O369&lt;0)</formula>
    </cfRule>
    <cfRule type="expression" dxfId="152" priority="112" stopIfTrue="1">
      <formula>$A369=1</formula>
    </cfRule>
    <cfRule type="expression" dxfId="151" priority="113" stopIfTrue="1">
      <formula>$A369&lt;&gt;"S"</formula>
    </cfRule>
  </conditionalFormatting>
  <conditionalFormatting sqref="Q369:R377 AB369:AM377">
    <cfRule type="expression" dxfId="150" priority="114" stopIfTrue="1">
      <formula>$A369=1</formula>
    </cfRule>
    <cfRule type="expression" dxfId="149" priority="115" stopIfTrue="1">
      <formula>$A369&lt;&gt;"S"</formula>
    </cfRule>
  </conditionalFormatting>
  <conditionalFormatting sqref="D378:O386 T378:Z386">
    <cfRule type="expression" dxfId="148" priority="106" stopIfTrue="1">
      <formula>OR(ACOMPANHAMENTO="PLE",TIPOORCAMENTO="Proposto",$L378&lt;0,AND($L378&gt;100,RegimeExecucao="Global"),$O378&gt;$I378,$O378&lt;0)</formula>
    </cfRule>
    <cfRule type="expression" dxfId="147" priority="107" stopIfTrue="1">
      <formula>$A378=1</formula>
    </cfRule>
    <cfRule type="expression" dxfId="146" priority="108" stopIfTrue="1">
      <formula>$A378&lt;&gt;"S"</formula>
    </cfRule>
  </conditionalFormatting>
  <conditionalFormatting sqref="Q378:R386 AB378:AM386">
    <cfRule type="expression" dxfId="145" priority="109" stopIfTrue="1">
      <formula>$A378=1</formula>
    </cfRule>
    <cfRule type="expression" dxfId="144" priority="110" stopIfTrue="1">
      <formula>$A378&lt;&gt;"S"</formula>
    </cfRule>
  </conditionalFormatting>
  <conditionalFormatting sqref="D387:O395 T387:Z395">
    <cfRule type="expression" dxfId="143" priority="101" stopIfTrue="1">
      <formula>OR(ACOMPANHAMENTO="PLE",TIPOORCAMENTO="Proposto",$L387&lt;0,AND($L387&gt;100,RegimeExecucao="Global"),$O387&gt;$I387,$O387&lt;0)</formula>
    </cfRule>
    <cfRule type="expression" dxfId="142" priority="102" stopIfTrue="1">
      <formula>$A387=1</formula>
    </cfRule>
    <cfRule type="expression" dxfId="141" priority="103" stopIfTrue="1">
      <formula>$A387&lt;&gt;"S"</formula>
    </cfRule>
  </conditionalFormatting>
  <conditionalFormatting sqref="Q387:R395 AB387:AM395">
    <cfRule type="expression" dxfId="140" priority="104" stopIfTrue="1">
      <formula>$A387=1</formula>
    </cfRule>
    <cfRule type="expression" dxfId="139" priority="105" stopIfTrue="1">
      <formula>$A387&lt;&gt;"S"</formula>
    </cfRule>
  </conditionalFormatting>
  <conditionalFormatting sqref="D396:O404 T396:Z404">
    <cfRule type="expression" dxfId="138" priority="96" stopIfTrue="1">
      <formula>OR(ACOMPANHAMENTO="PLE",TIPOORCAMENTO="Proposto",$L396&lt;0,AND($L396&gt;100,RegimeExecucao="Global"),$O396&gt;$I396,$O396&lt;0)</formula>
    </cfRule>
    <cfRule type="expression" dxfId="137" priority="97" stopIfTrue="1">
      <formula>$A396=1</formula>
    </cfRule>
    <cfRule type="expression" dxfId="136" priority="98" stopIfTrue="1">
      <formula>$A396&lt;&gt;"S"</formula>
    </cfRule>
  </conditionalFormatting>
  <conditionalFormatting sqref="Q396:R404 AB396:AM404">
    <cfRule type="expression" dxfId="135" priority="99" stopIfTrue="1">
      <formula>$A396=1</formula>
    </cfRule>
    <cfRule type="expression" dxfId="134" priority="100" stopIfTrue="1">
      <formula>$A396&lt;&gt;"S"</formula>
    </cfRule>
  </conditionalFormatting>
  <conditionalFormatting sqref="D413:O421 T413:Z421">
    <cfRule type="expression" dxfId="133" priority="86" stopIfTrue="1">
      <formula>OR(ACOMPANHAMENTO="PLE",TIPOORCAMENTO="Proposto",$L413&lt;0,AND($L413&gt;100,RegimeExecucao="Global"),$O413&gt;$I413,$O413&lt;0)</formula>
    </cfRule>
    <cfRule type="expression" dxfId="132" priority="87" stopIfTrue="1">
      <formula>$A413=1</formula>
    </cfRule>
    <cfRule type="expression" dxfId="131" priority="88" stopIfTrue="1">
      <formula>$A413&lt;&gt;"S"</formula>
    </cfRule>
  </conditionalFormatting>
  <conditionalFormatting sqref="Q413:R421 AB413:AM421">
    <cfRule type="expression" dxfId="130" priority="89" stopIfTrue="1">
      <formula>$A413=1</formula>
    </cfRule>
    <cfRule type="expression" dxfId="129" priority="90" stopIfTrue="1">
      <formula>$A413&lt;&gt;"S"</formula>
    </cfRule>
  </conditionalFormatting>
  <conditionalFormatting sqref="D422:O430 T422:Z430">
    <cfRule type="expression" dxfId="128" priority="81" stopIfTrue="1">
      <formula>OR(ACOMPANHAMENTO="PLE",TIPOORCAMENTO="Proposto",$L422&lt;0,AND($L422&gt;100,RegimeExecucao="Global"),$O422&gt;$I422,$O422&lt;0)</formula>
    </cfRule>
    <cfRule type="expression" dxfId="127" priority="82" stopIfTrue="1">
      <formula>$A422=1</formula>
    </cfRule>
    <cfRule type="expression" dxfId="126" priority="83" stopIfTrue="1">
      <formula>$A422&lt;&gt;"S"</formula>
    </cfRule>
  </conditionalFormatting>
  <conditionalFormatting sqref="Q422:R430 AB422:AM430">
    <cfRule type="expression" dxfId="125" priority="84" stopIfTrue="1">
      <formula>$A422=1</formula>
    </cfRule>
    <cfRule type="expression" dxfId="124" priority="85" stopIfTrue="1">
      <formula>$A422&lt;&gt;"S"</formula>
    </cfRule>
  </conditionalFormatting>
  <conditionalFormatting sqref="D431:O435 T431:Z435 T439:Z439 D439:O439 D441:O443 T441:Z443">
    <cfRule type="expression" dxfId="123" priority="76" stopIfTrue="1">
      <formula>OR(ACOMPANHAMENTO="PLE",TIPOORCAMENTO="Proposto",$L431&lt;0,AND($L431&gt;100,RegimeExecucao="Global"),$O431&gt;$I431,$O431&lt;0)</formula>
    </cfRule>
    <cfRule type="expression" dxfId="122" priority="77" stopIfTrue="1">
      <formula>$A431=1</formula>
    </cfRule>
    <cfRule type="expression" dxfId="121" priority="78" stopIfTrue="1">
      <formula>$A431&lt;&gt;"S"</formula>
    </cfRule>
  </conditionalFormatting>
  <conditionalFormatting sqref="Q431:R435 AB431:AM435 AB439:AM439 Q439:R439 Q441:R443 AB441:AM443">
    <cfRule type="expression" dxfId="120" priority="79" stopIfTrue="1">
      <formula>$A431=1</formula>
    </cfRule>
    <cfRule type="expression" dxfId="119" priority="80" stopIfTrue="1">
      <formula>$A431&lt;&gt;"S"</formula>
    </cfRule>
  </conditionalFormatting>
  <conditionalFormatting sqref="D444:O452 T444:Z452">
    <cfRule type="expression" dxfId="118" priority="71" stopIfTrue="1">
      <formula>OR(ACOMPANHAMENTO="PLE",TIPOORCAMENTO="Proposto",$L444&lt;0,AND($L444&gt;100,RegimeExecucao="Global"),$O444&gt;$I444,$O444&lt;0)</formula>
    </cfRule>
    <cfRule type="expression" dxfId="117" priority="72" stopIfTrue="1">
      <formula>$A444=1</formula>
    </cfRule>
    <cfRule type="expression" dxfId="116" priority="73" stopIfTrue="1">
      <formula>$A444&lt;&gt;"S"</formula>
    </cfRule>
  </conditionalFormatting>
  <conditionalFormatting sqref="Q444:R452 AB444:AM452">
    <cfRule type="expression" dxfId="115" priority="74" stopIfTrue="1">
      <formula>$A444=1</formula>
    </cfRule>
    <cfRule type="expression" dxfId="114" priority="75" stopIfTrue="1">
      <formula>$A444&lt;&gt;"S"</formula>
    </cfRule>
  </conditionalFormatting>
  <conditionalFormatting sqref="D453:O461 T453:Z461">
    <cfRule type="expression" dxfId="113" priority="66" stopIfTrue="1">
      <formula>OR(ACOMPANHAMENTO="PLE",TIPOORCAMENTO="Proposto",$L453&lt;0,AND($L453&gt;100,RegimeExecucao="Global"),$O453&gt;$I453,$O453&lt;0)</formula>
    </cfRule>
    <cfRule type="expression" dxfId="112" priority="67" stopIfTrue="1">
      <formula>$A453=1</formula>
    </cfRule>
    <cfRule type="expression" dxfId="111" priority="68" stopIfTrue="1">
      <formula>$A453&lt;&gt;"S"</formula>
    </cfRule>
  </conditionalFormatting>
  <conditionalFormatting sqref="Q453:R461 AB453:AM461">
    <cfRule type="expression" dxfId="110" priority="69" stopIfTrue="1">
      <formula>$A453=1</formula>
    </cfRule>
    <cfRule type="expression" dxfId="109" priority="70" stopIfTrue="1">
      <formula>$A453&lt;&gt;"S"</formula>
    </cfRule>
  </conditionalFormatting>
  <conditionalFormatting sqref="D462:O470 T462:Z470">
    <cfRule type="expression" dxfId="108" priority="61" stopIfTrue="1">
      <formula>OR(ACOMPANHAMENTO="PLE",TIPOORCAMENTO="Proposto",$L462&lt;0,AND($L462&gt;100,RegimeExecucao="Global"),$O462&gt;$I462,$O462&lt;0)</formula>
    </cfRule>
    <cfRule type="expression" dxfId="107" priority="62" stopIfTrue="1">
      <formula>$A462=1</formula>
    </cfRule>
    <cfRule type="expression" dxfId="106" priority="63" stopIfTrue="1">
      <formula>$A462&lt;&gt;"S"</formula>
    </cfRule>
  </conditionalFormatting>
  <conditionalFormatting sqref="Q462:R470 AB462:AM470">
    <cfRule type="expression" dxfId="105" priority="64" stopIfTrue="1">
      <formula>$A462=1</formula>
    </cfRule>
    <cfRule type="expression" dxfId="104" priority="65" stopIfTrue="1">
      <formula>$A462&lt;&gt;"S"</formula>
    </cfRule>
  </conditionalFormatting>
  <conditionalFormatting sqref="D471:O479 T471:Z479">
    <cfRule type="expression" dxfId="103" priority="56" stopIfTrue="1">
      <formula>OR(ACOMPANHAMENTO="PLE",TIPOORCAMENTO="Proposto",$L471&lt;0,AND($L471&gt;100,RegimeExecucao="Global"),$O471&gt;$I471,$O471&lt;0)</formula>
    </cfRule>
    <cfRule type="expression" dxfId="102" priority="57" stopIfTrue="1">
      <formula>$A471=1</formula>
    </cfRule>
    <cfRule type="expression" dxfId="101" priority="58" stopIfTrue="1">
      <formula>$A471&lt;&gt;"S"</formula>
    </cfRule>
  </conditionalFormatting>
  <conditionalFormatting sqref="Q471:R479 AB471:AM479">
    <cfRule type="expression" dxfId="100" priority="59" stopIfTrue="1">
      <formula>$A471=1</formula>
    </cfRule>
    <cfRule type="expression" dxfId="99" priority="60" stopIfTrue="1">
      <formula>$A471&lt;&gt;"S"</formula>
    </cfRule>
  </conditionalFormatting>
  <conditionalFormatting sqref="D480:O488 T480:Z488">
    <cfRule type="expression" dxfId="98" priority="51" stopIfTrue="1">
      <formula>OR(ACOMPANHAMENTO="PLE",TIPOORCAMENTO="Proposto",$L480&lt;0,AND($L480&gt;100,RegimeExecucao="Global"),$O480&gt;$I480,$O480&lt;0)</formula>
    </cfRule>
    <cfRule type="expression" dxfId="97" priority="52" stopIfTrue="1">
      <formula>$A480=1</formula>
    </cfRule>
    <cfRule type="expression" dxfId="96" priority="53" stopIfTrue="1">
      <formula>$A480&lt;&gt;"S"</formula>
    </cfRule>
  </conditionalFormatting>
  <conditionalFormatting sqref="Q480:R488 AB480:AM488">
    <cfRule type="expression" dxfId="95" priority="54" stopIfTrue="1">
      <formula>$A480=1</formula>
    </cfRule>
    <cfRule type="expression" dxfId="94" priority="55" stopIfTrue="1">
      <formula>$A480&lt;&gt;"S"</formula>
    </cfRule>
  </conditionalFormatting>
  <conditionalFormatting sqref="D489:O496 T489:Z496 T498:Z498 D498:O498">
    <cfRule type="expression" dxfId="93" priority="46" stopIfTrue="1">
      <formula>OR(ACOMPANHAMENTO="PLE",TIPOORCAMENTO="Proposto",$L489&lt;0,AND($L489&gt;100,RegimeExecucao="Global"),$O489&gt;$I489,$O489&lt;0)</formula>
    </cfRule>
    <cfRule type="expression" dxfId="92" priority="47" stopIfTrue="1">
      <formula>$A489=1</formula>
    </cfRule>
    <cfRule type="expression" dxfId="91" priority="48" stopIfTrue="1">
      <formula>$A489&lt;&gt;"S"</formula>
    </cfRule>
  </conditionalFormatting>
  <conditionalFormatting sqref="Q489:R496 AB489:AM496 AB498:AM498 Q498:R498">
    <cfRule type="expression" dxfId="90" priority="49" stopIfTrue="1">
      <formula>$A489=1</formula>
    </cfRule>
    <cfRule type="expression" dxfId="89" priority="50" stopIfTrue="1">
      <formula>$A489&lt;&gt;"S"</formula>
    </cfRule>
  </conditionalFormatting>
  <conditionalFormatting sqref="D499:O501 T499:Z501 T503:Z504 D503:O504 D506:O507 T506:Z507">
    <cfRule type="expression" dxfId="88" priority="41" stopIfTrue="1">
      <formula>OR(ACOMPANHAMENTO="PLE",TIPOORCAMENTO="Proposto",$L499&lt;0,AND($L499&gt;100,RegimeExecucao="Global"),$O499&gt;$I499,$O499&lt;0)</formula>
    </cfRule>
    <cfRule type="expression" dxfId="87" priority="42" stopIfTrue="1">
      <formula>$A499=1</formula>
    </cfRule>
    <cfRule type="expression" dxfId="86" priority="43" stopIfTrue="1">
      <formula>$A499&lt;&gt;"S"</formula>
    </cfRule>
  </conditionalFormatting>
  <conditionalFormatting sqref="Q499:R501 AB499:AM501 AB503:AM504 Q503:R504 Q506:R507 AB506:AM507">
    <cfRule type="expression" dxfId="85" priority="44" stopIfTrue="1">
      <formula>$A499=1</formula>
    </cfRule>
    <cfRule type="expression" dxfId="84" priority="45" stopIfTrue="1">
      <formula>$A499&lt;&gt;"S"</formula>
    </cfRule>
  </conditionalFormatting>
  <conditionalFormatting sqref="D20:O23 T20:Z23">
    <cfRule type="expression" dxfId="83" priority="36" stopIfTrue="1">
      <formula>OR(ACOMPANHAMENTO="PLE",TIPOORCAMENTO="Proposto",$L20&lt;0,AND($L20&gt;100,RegimeExecucao="Global"),$O20&gt;$I20,$O20&lt;0)</formula>
    </cfRule>
    <cfRule type="expression" dxfId="82" priority="37" stopIfTrue="1">
      <formula>$A20=1</formula>
    </cfRule>
    <cfRule type="expression" dxfId="81" priority="38" stopIfTrue="1">
      <formula>$A20&lt;&gt;"S"</formula>
    </cfRule>
  </conditionalFormatting>
  <conditionalFormatting sqref="Q20:R23 AB20:AM23">
    <cfRule type="expression" dxfId="80" priority="39" stopIfTrue="1">
      <formula>$A20=1</formula>
    </cfRule>
    <cfRule type="expression" dxfId="79" priority="40" stopIfTrue="1">
      <formula>$A20&lt;&gt;"S"</formula>
    </cfRule>
  </conditionalFormatting>
  <conditionalFormatting sqref="D497:O497 T497:Z497">
    <cfRule type="expression" dxfId="78" priority="31" stopIfTrue="1">
      <formula>OR(ACOMPANHAMENTO="PLE",TIPOORCAMENTO="Proposto",$L497&lt;0,AND($L497&gt;100,RegimeExecucao="Global"),$O497&gt;$I497,$O497&lt;0)</formula>
    </cfRule>
    <cfRule type="expression" dxfId="77" priority="32" stopIfTrue="1">
      <formula>$A497=1</formula>
    </cfRule>
    <cfRule type="expression" dxfId="76" priority="33" stopIfTrue="1">
      <formula>$A497&lt;&gt;"S"</formula>
    </cfRule>
  </conditionalFormatting>
  <conditionalFormatting sqref="Q497:R497 AB497:AM497">
    <cfRule type="expression" dxfId="75" priority="34" stopIfTrue="1">
      <formula>$A497=1</formula>
    </cfRule>
    <cfRule type="expression" dxfId="74" priority="35" stopIfTrue="1">
      <formula>$A497&lt;&gt;"S"</formula>
    </cfRule>
  </conditionalFormatting>
  <conditionalFormatting sqref="D502:O502 T502:Z502">
    <cfRule type="expression" dxfId="73" priority="26" stopIfTrue="1">
      <formula>OR(ACOMPANHAMENTO="PLE",TIPOORCAMENTO="Proposto",$L502&lt;0,AND($L502&gt;100,RegimeExecucao="Global"),$O502&gt;$I502,$O502&lt;0)</formula>
    </cfRule>
    <cfRule type="expression" dxfId="72" priority="27" stopIfTrue="1">
      <formula>$A502=1</formula>
    </cfRule>
    <cfRule type="expression" dxfId="71" priority="28" stopIfTrue="1">
      <formula>$A502&lt;&gt;"S"</formula>
    </cfRule>
  </conditionalFormatting>
  <conditionalFormatting sqref="Q502:R502 AB502:AM502">
    <cfRule type="expression" dxfId="70" priority="29" stopIfTrue="1">
      <formula>$A502=1</formula>
    </cfRule>
    <cfRule type="expression" dxfId="69" priority="30" stopIfTrue="1">
      <formula>$A502&lt;&gt;"S"</formula>
    </cfRule>
  </conditionalFormatting>
  <conditionalFormatting sqref="D505:O505 T505:Z505">
    <cfRule type="expression" dxfId="68" priority="21" stopIfTrue="1">
      <formula>OR(ACOMPANHAMENTO="PLE",TIPOORCAMENTO="Proposto",$L505&lt;0,AND($L505&gt;100,RegimeExecucao="Global"),$O505&gt;$I505,$O505&lt;0)</formula>
    </cfRule>
    <cfRule type="expression" dxfId="67" priority="22" stopIfTrue="1">
      <formula>$A505=1</formula>
    </cfRule>
    <cfRule type="expression" dxfId="66" priority="23" stopIfTrue="1">
      <formula>$A505&lt;&gt;"S"</formula>
    </cfRule>
  </conditionalFormatting>
  <conditionalFormatting sqref="Q505:R505 AB505:AM505">
    <cfRule type="expression" dxfId="65" priority="24" stopIfTrue="1">
      <formula>$A505=1</formula>
    </cfRule>
    <cfRule type="expression" dxfId="64" priority="25" stopIfTrue="1">
      <formula>$A505&lt;&gt;"S"</formula>
    </cfRule>
  </conditionalFormatting>
  <conditionalFormatting sqref="D436:O436 T436:Z436 T438:Z438 D438:O438">
    <cfRule type="expression" dxfId="63" priority="16" stopIfTrue="1">
      <formula>OR(ACOMPANHAMENTO="PLE",TIPOORCAMENTO="Proposto",$L436&lt;0,AND($L436&gt;100,RegimeExecucao="Global"),$O436&gt;$I436,$O436&lt;0)</formula>
    </cfRule>
    <cfRule type="expression" dxfId="62" priority="17" stopIfTrue="1">
      <formula>$A436=1</formula>
    </cfRule>
    <cfRule type="expression" dxfId="61" priority="18" stopIfTrue="1">
      <formula>$A436&lt;&gt;"S"</formula>
    </cfRule>
  </conditionalFormatting>
  <conditionalFormatting sqref="Q436:R436 AB436:AM436 AB438:AM438 Q438:R438">
    <cfRule type="expression" dxfId="60" priority="19" stopIfTrue="1">
      <formula>$A436=1</formula>
    </cfRule>
    <cfRule type="expression" dxfId="59" priority="20" stopIfTrue="1">
      <formula>$A436&lt;&gt;"S"</formula>
    </cfRule>
  </conditionalFormatting>
  <conditionalFormatting sqref="D17:O17 T17:Z17">
    <cfRule type="expression" dxfId="58" priority="11" stopIfTrue="1">
      <formula>OR(ACOMPANHAMENTO="PLE",TIPOORCAMENTO="Proposto",$L17&lt;0,AND($L17&gt;100,RegimeExecucao="Global"),$O17&gt;$I17,$O17&lt;0)</formula>
    </cfRule>
    <cfRule type="expression" dxfId="57" priority="12" stopIfTrue="1">
      <formula>$A17=1</formula>
    </cfRule>
    <cfRule type="expression" dxfId="56" priority="13" stopIfTrue="1">
      <formula>$A17&lt;&gt;"S"</formula>
    </cfRule>
  </conditionalFormatting>
  <conditionalFormatting sqref="Q17:R17 AB17:AM17">
    <cfRule type="expression" dxfId="55" priority="14" stopIfTrue="1">
      <formula>$A17=1</formula>
    </cfRule>
    <cfRule type="expression" dxfId="54" priority="15" stopIfTrue="1">
      <formula>$A17&lt;&gt;"S"</formula>
    </cfRule>
  </conditionalFormatting>
  <conditionalFormatting sqref="D437:O437 T437:Z437">
    <cfRule type="expression" dxfId="53" priority="6" stopIfTrue="1">
      <formula>OR(ACOMPANHAMENTO="PLE",TIPOORCAMENTO="Proposto",$L437&lt;0,AND($L437&gt;100,RegimeExecucao="Global"),$O437&gt;$I437,$O437&lt;0)</formula>
    </cfRule>
    <cfRule type="expression" dxfId="52" priority="7" stopIfTrue="1">
      <formula>$A437=1</formula>
    </cfRule>
    <cfRule type="expression" dxfId="51" priority="8" stopIfTrue="1">
      <formula>$A437&lt;&gt;"S"</formula>
    </cfRule>
  </conditionalFormatting>
  <conditionalFormatting sqref="Q437:R437 AB437:AM437">
    <cfRule type="expression" dxfId="50" priority="9" stopIfTrue="1">
      <formula>$A437=1</formula>
    </cfRule>
    <cfRule type="expression" dxfId="49" priority="10" stopIfTrue="1">
      <formula>$A437&lt;&gt;"S"</formula>
    </cfRule>
  </conditionalFormatting>
  <conditionalFormatting sqref="D440:O440 T440:Z440">
    <cfRule type="expression" dxfId="48" priority="1" stopIfTrue="1">
      <formula>OR(ACOMPANHAMENTO="PLE",TIPOORCAMENTO="Proposto",$L440&lt;0,AND($L440&gt;100,RegimeExecucao="Global"),$O440&gt;$I440,$O440&lt;0)</formula>
    </cfRule>
    <cfRule type="expression" dxfId="47" priority="2" stopIfTrue="1">
      <formula>$A440=1</formula>
    </cfRule>
    <cfRule type="expression" dxfId="46" priority="3" stopIfTrue="1">
      <formula>$A440&lt;&gt;"S"</formula>
    </cfRule>
  </conditionalFormatting>
  <conditionalFormatting sqref="Q440:R440 AB440:AM440">
    <cfRule type="expression" dxfId="45" priority="4" stopIfTrue="1">
      <formula>$A440=1</formula>
    </cfRule>
    <cfRule type="expression" dxfId="44" priority="5" stopIfTrue="1">
      <formula>$A440&lt;&gt;"S"</formula>
    </cfRule>
  </conditionalFormatting>
  <dataValidations count="4">
    <dataValidation type="list" allowBlank="1" showErrorMessage="1" sqref="Z14 Z16:Z507"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507"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507"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37" t="s">
        <v>869</v>
      </c>
      <c r="AE1" s="347" t="s">
        <v>870</v>
      </c>
    </row>
    <row r="2" spans="1:41" x14ac:dyDescent="0.2">
      <c r="AC2" s="348" t="str">
        <f>J16</f>
        <v>Repasse</v>
      </c>
      <c r="AD2" s="349">
        <f ca="1">AD6-AD4-AD3</f>
        <v>0</v>
      </c>
      <c r="AE2" s="349">
        <f ca="1">AE6-AE4-AE3</f>
        <v>0</v>
      </c>
    </row>
    <row r="3" spans="1:41" x14ac:dyDescent="0.2">
      <c r="E3" s="691" t="s">
        <v>652</v>
      </c>
      <c r="F3" s="691"/>
      <c r="G3" s="691"/>
      <c r="H3" s="691"/>
      <c r="I3" s="685" t="s">
        <v>650</v>
      </c>
      <c r="J3" s="685"/>
      <c r="K3" s="685"/>
      <c r="L3" s="87" t="s">
        <v>707</v>
      </c>
      <c r="M3" s="146"/>
      <c r="O3" s="350"/>
      <c r="P3" s="274" t="s">
        <v>715</v>
      </c>
      <c r="R3" s="146"/>
      <c r="S3" s="146"/>
      <c r="T3" s="146"/>
      <c r="U3" s="146"/>
      <c r="AC3" s="348" t="s">
        <v>456</v>
      </c>
      <c r="AD3" s="349">
        <f ca="1">SUM(T13:OFFSET(T15,-1,0))</f>
        <v>0</v>
      </c>
      <c r="AE3" s="349">
        <f ca="1">IF(OR($O$19&lt;$M$19,$M$17&gt;$AD$3),MIN($M$17,$L$17),MIN($AD$3,$N$19-$N$18+$M$17))</f>
        <v>0</v>
      </c>
    </row>
    <row r="4" spans="1:41" ht="12.75" customHeight="1" x14ac:dyDescent="0.2">
      <c r="E4" s="689" t="str">
        <f>Import.Proponente</f>
        <v>Prefeitura Municipal</v>
      </c>
      <c r="F4" s="689"/>
      <c r="G4" s="689"/>
      <c r="H4" s="689"/>
      <c r="I4" s="686" t="str">
        <f>Import.CR</f>
        <v>1098284-30/2024</v>
      </c>
      <c r="J4" s="686"/>
      <c r="K4" s="686"/>
      <c r="L4" s="56" t="str">
        <f>Import.TransfereGOV</f>
        <v>968559/2024</v>
      </c>
      <c r="M4" s="833" t="s">
        <v>809</v>
      </c>
      <c r="N4" s="834"/>
      <c r="O4" s="835"/>
      <c r="P4" s="351" t="str">
        <f>import.recurso</f>
        <v>OGU</v>
      </c>
      <c r="R4" s="146"/>
      <c r="S4" s="146"/>
      <c r="T4" s="350"/>
      <c r="U4" s="350"/>
      <c r="AC4" s="348" t="s">
        <v>871</v>
      </c>
      <c r="AD4" s="349">
        <f ca="1">SUM(U13:OFFSET(U15,-1,0))</f>
        <v>0</v>
      </c>
      <c r="AE4" s="349">
        <f ca="1">IF(OR($O$19&lt;$M$19,$M$18&gt;$AD$4),MIN($M$18,$L$18),MIN($AD$4,$N$19+$M$18))</f>
        <v>0</v>
      </c>
    </row>
    <row r="5" spans="1:41" ht="5.0999999999999996" customHeight="1" x14ac:dyDescent="0.2">
      <c r="H5" s="277"/>
      <c r="I5" s="277"/>
      <c r="J5" s="277"/>
      <c r="K5" s="277"/>
      <c r="L5" s="277"/>
      <c r="M5" s="352"/>
      <c r="N5" s="265"/>
      <c r="O5" s="4"/>
      <c r="R5" s="146"/>
      <c r="S5" s="146"/>
      <c r="T5" s="146"/>
      <c r="U5" s="146"/>
    </row>
    <row r="6" spans="1:41" ht="12.75" customHeight="1" x14ac:dyDescent="0.2">
      <c r="E6" s="685" t="s">
        <v>708</v>
      </c>
      <c r="F6" s="685"/>
      <c r="G6" s="685"/>
      <c r="H6" s="685"/>
      <c r="I6" s="821" t="s">
        <v>808</v>
      </c>
      <c r="J6" s="821"/>
      <c r="K6" s="821"/>
      <c r="L6" s="821"/>
      <c r="M6" s="55" t="str">
        <f>IF(import.recurso="FGTS","FINANCIAMENTO","REPASSE")</f>
        <v>REPASSE</v>
      </c>
      <c r="N6" s="96" t="s">
        <v>810</v>
      </c>
      <c r="O6" s="55" t="s">
        <v>811</v>
      </c>
      <c r="P6" s="147" t="s">
        <v>872</v>
      </c>
      <c r="R6" s="146"/>
      <c r="S6" s="146"/>
      <c r="T6" s="146"/>
      <c r="U6" s="146"/>
      <c r="AC6" s="348" t="s">
        <v>873</v>
      </c>
      <c r="AD6" s="349">
        <f ca="1">$O$19</f>
        <v>0</v>
      </c>
      <c r="AE6" s="349">
        <f ca="1">AD6</f>
        <v>0</v>
      </c>
    </row>
    <row r="7" spans="1:41" ht="12.75" customHeight="1" x14ac:dyDescent="0.2">
      <c r="D7" s="688" t="s">
        <v>655</v>
      </c>
      <c r="E7" s="686" t="str">
        <f>Import.Apelido</f>
        <v>ETE - BREJO ALEGRE - FASE II</v>
      </c>
      <c r="F7" s="686"/>
      <c r="G7" s="686"/>
      <c r="H7" s="686"/>
      <c r="I7" s="822" t="str">
        <f>Import.Município</f>
        <v>Araguari / MG</v>
      </c>
      <c r="J7" s="822"/>
      <c r="K7" s="822"/>
      <c r="L7" s="822"/>
      <c r="M7" s="353">
        <f>Import.Repasse</f>
        <v>10480784.359999999</v>
      </c>
      <c r="N7" s="354">
        <f>Import.Contrapartida</f>
        <v>0</v>
      </c>
      <c r="O7" s="353">
        <f>M7+N7</f>
        <v>10480784.359999999</v>
      </c>
      <c r="P7" s="423">
        <f ca="1">IF(ACOMPANHAMENTO="PLE",PLE.Medicao,BM.medicao)</f>
        <v>1</v>
      </c>
      <c r="R7" s="146"/>
      <c r="S7" s="146"/>
      <c r="T7" s="146"/>
      <c r="U7" s="146"/>
    </row>
    <row r="8" spans="1:41" x14ac:dyDescent="0.2">
      <c r="D8" s="688"/>
      <c r="E8" s="92"/>
      <c r="F8" s="92"/>
      <c r="G8" s="92"/>
      <c r="H8" s="92"/>
      <c r="I8" s="92"/>
      <c r="J8" s="92"/>
      <c r="K8" s="92"/>
      <c r="L8" s="92"/>
      <c r="M8" s="92"/>
      <c r="N8" s="92"/>
      <c r="O8" s="92"/>
      <c r="P8" s="92"/>
      <c r="R8" s="146"/>
      <c r="S8" s="146"/>
      <c r="T8" s="146"/>
      <c r="U8" s="146"/>
    </row>
    <row r="9" spans="1:41" ht="12.75" customHeight="1" x14ac:dyDescent="0.2">
      <c r="D9" s="688"/>
      <c r="G9" s="823" t="s">
        <v>874</v>
      </c>
      <c r="H9" s="823"/>
      <c r="I9" s="823" t="s">
        <v>875</v>
      </c>
      <c r="J9" s="823"/>
      <c r="K9" s="355"/>
      <c r="L9" s="824" t="s">
        <v>815</v>
      </c>
      <c r="M9" s="356" t="s">
        <v>818</v>
      </c>
      <c r="N9" s="278" t="s">
        <v>741</v>
      </c>
      <c r="P9" s="357"/>
      <c r="R9" s="146"/>
      <c r="S9" s="146"/>
      <c r="T9" s="146"/>
      <c r="U9" s="146"/>
      <c r="V9" s="7" t="s">
        <v>876</v>
      </c>
    </row>
    <row r="10" spans="1:41" ht="12.75" customHeight="1" x14ac:dyDescent="0.2">
      <c r="D10" s="688"/>
      <c r="G10" s="700" t="str">
        <f ca="1">IF(J10="-","-",IF($P$15&lt;J10,"Atrasada",IF($P$15&gt;J10,"Adiantada","Normal")))</f>
        <v>Normal</v>
      </c>
      <c r="H10" s="700"/>
      <c r="I10" s="358">
        <f>DATE(YEAR($L$26),MONTH($L$26),1)</f>
        <v>1</v>
      </c>
      <c r="J10" s="359">
        <f ca="1">IF($I$10&lt;DATE(YEAR(CRONO!$U$13),MONTH(CRONO!$U$13),1),0,IF($I$10&gt;OFFSET(CRONO!$AG$13,0,-1),1,INDEX(CRONO!$T$62:$AH$62,MATCH(RRE!$I$10,CRONO!$T$13:$AG$13,0))))</f>
        <v>0</v>
      </c>
      <c r="K10" s="355"/>
      <c r="L10" s="824"/>
      <c r="M10" s="360">
        <f ca="1">QCI!L10</f>
        <v>2177814.2299999995</v>
      </c>
      <c r="N10" s="280">
        <f ca="1">QCI!M10</f>
        <v>0</v>
      </c>
      <c r="P10" s="357"/>
      <c r="R10" s="146"/>
      <c r="S10" s="146"/>
      <c r="T10" s="146"/>
      <c r="U10" s="146"/>
      <c r="AC10" s="825" t="s">
        <v>76</v>
      </c>
      <c r="AD10" s="825"/>
      <c r="AE10" s="825"/>
      <c r="AF10" s="825"/>
      <c r="AG10" s="825"/>
      <c r="AH10" s="825"/>
      <c r="AJ10" s="825" t="s">
        <v>78</v>
      </c>
      <c r="AK10" s="825"/>
      <c r="AL10" s="825"/>
      <c r="AM10" s="825"/>
      <c r="AN10" s="825"/>
      <c r="AO10" s="825"/>
    </row>
    <row r="11" spans="1:41" ht="20.100000000000001" customHeight="1" x14ac:dyDescent="0.2">
      <c r="D11" s="688"/>
      <c r="M11" s="451" t="str">
        <f>IF(CAIXA.Modo,"Valores Aferidos (R$)","Valores Medidos (R$)")</f>
        <v>Valores Medidos (R$)</v>
      </c>
      <c r="N11" s="451"/>
      <c r="O11" s="451"/>
      <c r="R11" s="361"/>
      <c r="S11" s="361"/>
      <c r="T11" s="451"/>
      <c r="U11" s="451"/>
      <c r="V11" s="448" t="s">
        <v>877</v>
      </c>
      <c r="Y11" s="826" t="str">
        <f>IF(CAIXA.Modo,"Valores Aferidos (R$)","Valores Medidos (R$)")</f>
        <v>Valores Medidos (R$)</v>
      </c>
      <c r="Z11" s="826"/>
      <c r="AC11" s="827" t="s">
        <v>878</v>
      </c>
      <c r="AD11" s="827"/>
      <c r="AE11" s="827"/>
      <c r="AF11" s="827" t="s">
        <v>879</v>
      </c>
      <c r="AG11" s="827"/>
      <c r="AH11" s="827"/>
      <c r="AJ11" s="827" t="s">
        <v>878</v>
      </c>
      <c r="AK11" s="827"/>
      <c r="AL11" s="827"/>
      <c r="AM11" s="827" t="s">
        <v>879</v>
      </c>
      <c r="AN11" s="827"/>
      <c r="AO11" s="827"/>
    </row>
    <row r="12" spans="1:41" ht="30" hidden="1" customHeight="1" x14ac:dyDescent="0.2">
      <c r="A12" t="e">
        <f ca="1">MATCH(E12,ORÇAMENTO!$E$15:$E$508,0)-1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f ca="1">_xlfn.SINGLE(IF($C12="Automático",IF(_xlfn.SINGLE(ACOMPANHAMENTO)="BM",BM.medicao,PLE.Medicao),IF(ISBLANK($X12),"",$X12)))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f ca="1">IF(_xlfn.SINGLE(ACOMPANHAMENTO)&lt;&gt;"PLE",0,SUMPRODUCT((OFFSET(CÁLCULO!$BV$15:$CN$15,$A12,0,$B12)&lt;=(PLE.Medicao-1))*OFFSET(CÁLCULO!$AJ$15:$BB$15,$A12,0,$B12)*OFFSET(ORÇAMENTO!$AA$15,$A12,0,$B12)/(OFFSET(ORÇAMENTO!$X$15,$A12,0,$B12)+10^-12))+IF(AUTOEVENTO="Manual",SUMPRODUCT((OFFSET(CÁLCULO!$M$15,$A12,0,$B12)=1)*OFFSET(ORÇAMENTO!$AA$15,$A12,0,$B12)*(PLE!$AE$9-PLE!$Y$9)),0))</f>
        <v>0</v>
      </c>
      <c r="AD12" s="183">
        <f ca="1">IF(_xlfn.SINGLE(ACOMPANHAMENTO)&lt;&gt;"PLE",0,SUMPRODUCT((OFFSET(CÁLCULO!$BV$15:$CN$15,$A12,0,$B12)&lt;=(PLE.Medicao-1))*OFFSET(CÁLCULO!$AJ$15:$BB$15,$A12,0,$B12)*OFFSET(ORÇAMENTO!$AB$15,$A12,0,$B12)/(OFFSET(ORÇAMENTO!$X$15,$A12,0,$B12)+10^-12))+IF(AUTOEVENTO="Manual",SUMPRODUCT((OFFSET(CÁLCULO!$M$15,$A12,0,$B12)=1)*OFFSET(ORÇAMENTO!$AB$15,$A12,0,$B12)*(PLE!$AE$9-PLE!$Y$9)),0))</f>
        <v>0</v>
      </c>
      <c r="AE12" s="183">
        <f ca="1">ROUND(
            IF(ACOMPANHAMENTO&lt;&gt;"PLE",0,
                      SUMIF(OFFSET(CÁLCULO!$BV$15:$CN$15,$A12,0,$B12),"&lt;="&amp;(PLE.Medicao-1),OFFSET(CÁLCULO!$AJ$15:$BB$15,$A12,0,$B12))
                      +IF(AdmLocal="Automática",
                              SUMIF(OFFSET(CÁLCULO!$M$15,$A12,0,$B12),1,OFFSET(ORÇAMENTO!$X$15,$A12,0,$B12))*(PLE!$AE$9-PLE!$Y$9),
                              0)),
            2)</f>
        <v>0</v>
      </c>
      <c r="AF12" s="183">
        <f ca="1">IF(_xlfn.SINGLE(ACOMPANHAMENTO)&lt;&gt;"PLE",0,SUMPRODUCT((OFFSET(CÁLCULO!$BV$15:$CN$15,$A12,0,$B12)&lt;=PLE.Medicao)*OFFSET(CÁLCULO!$AJ$15:$BB$15,$A12,0,$B12)*OFFSET(ORÇAMENTO!$AA$15,$A12,0,$B12)/(OFFSET(ORÇAMENTO!$X$15,$A12,0,$B12)+10^-12))+IF(AUTOEVENTO="Manual",SUMPRODUCT((OFFSET(CÁLCULO!$M$15,$A12,0,$B12)=1)*OFFSET(ORÇAMENTO!$AA$15,$A12,0,$B12)*PLE!$AE$9),0))</f>
        <v>0</v>
      </c>
      <c r="AG12" s="183">
        <f ca="1">IF(_xlfn.SINGLE(ACOMPANHAMENTO)&lt;&gt;"PLE",0,SUMPRODUCT((OFFSET(CÁLCULO!$BV$15:$CN$15,$A12,0,$B12)&lt;=PLE.Medicao)*OFFSET(CÁLCULO!$AJ$15:$BB$15,$A12,0,$B12)*OFFSET(ORÇAMENTO!$AB$15,$A12,0,$B12)/(OFFSET(ORÇAMENTO!$X$15,$A12,0,$B12)+10^-12))+IF(AUTOEVENTO="Manual",SUMPRODUCT((OFFSET(CÁLCULO!$M$15,$A12,0,$B12)=1)*OFFSET(ORÇAMENTO!$AB$15,$A12,0,$B12)*PLE!$AE$9),0))</f>
        <v>0</v>
      </c>
      <c r="AH12" s="183">
        <f ca="1">ROUND(IF(_xlfn.SINGLE(ACOMPANHAMENTO)&lt;&gt;"PLE",0,SUMIF(OFFSET(CÁLCULO!$BV$15:$CN$15,$A12,0,$B12),"&lt;="&amp;PLE.Medicao,OFFSET(CÁLCULO!$AJ$15:$BB$15,$A12,0,$B12))+IF(AdmLocal="Automática",SUMIF(OFFSET(CÁLCULO!$M$15,$A12,0,$B12),1,OFFSET(ORÇAMENTO!$X$15,$A12,0,$B12))*PLE!$AE$9,0)),2)</f>
        <v>0</v>
      </c>
      <c r="AJ12" s="183" t="e">
        <f ca="1">IF(_xlfn.SINGLE(ACOMPANHAMENTO)&lt;&gt;"BM",0,SUMPRODUCT(OFFSET(BM!$M$15,$A12,0,$B12)*(OFFSET(BM!$A$15,$A12,0,$B12)="S")*OFFSET(ORÇAMENTO!AA$15,$A12,0,$B12)/(OFFSET(ORÇAMENTO!$X$15,$A12,0,$B12)+10^-12)))</f>
        <v>#N/A</v>
      </c>
      <c r="AK12" s="183" t="e">
        <f ca="1">IF(_xlfn.SINGLE(ACOMPANHAMENTO)&lt;&gt;"BM",0,SUMPRODUCT(OFFSET(BM!$M$15,$A12,0,$B12)*(OFFSET(BM!$A$15,$A12,0,$B12)="S")*OFFSET(ORÇAMENTO!AB$15,$A12,0,$B12)/(OFFSET(ORÇAMENTO!$X$15,$A12,0,$B12)+10^-12)))</f>
        <v>#N/A</v>
      </c>
      <c r="AL12" s="183" t="e">
        <f ca="1">IF(_xlfn.SINGLE(ACOMPANHAMENTO)&lt;&gt;"BM",0,OFFSET(BM!$M$15,$A12,0))</f>
        <v>#N/A</v>
      </c>
      <c r="AM12" s="183" t="e">
        <f ca="1">IF(_xlfn.SINGLE(ACOMPANHAMENTO)&lt;&gt;"BM",0,SUMPRODUCT(OFFSET(BM!$O$15,$A12,0,$B12)*(OFFSET(BM!$A$15,$A12,0,$B12)="S")*OFFSET(ORÇAMENTO!AA$15,$A12,0,$B12)/(OFFSET(ORÇAMENTO!$X$15,$A12,0,$B12)+10^-12)))</f>
        <v>#N/A</v>
      </c>
      <c r="AN12" s="183" t="e">
        <f ca="1">IF(_xlfn.SINGLE(ACOMPANHAMENTO)&lt;&gt;"BM",0,SUMPRODUCT(OFFSET(BM!$O$15,$A12,0,$B12)*(OFFSET(BM!$A$15,$A12,0,$B12)="S")*OFFSET(ORÇAMENTO!AB$15,$A12,0,$B12)/(OFFSET(ORÇAMENTO!$X$15,$A12,0,$B12)+10^-12)))</f>
        <v>#N/A</v>
      </c>
      <c r="AO12" s="183" t="e">
        <f ca="1">IF(_xlfn.SINGLE(ACOMPANHAMENTO)&lt;&gt;"BM",0,OFFSET(BM!$O$15,$A12,0))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35" t="s">
        <v>881</v>
      </c>
      <c r="L13" s="107" t="s">
        <v>882</v>
      </c>
      <c r="M13" s="635" t="s">
        <v>878</v>
      </c>
      <c r="N13" s="636" t="s">
        <v>883</v>
      </c>
      <c r="O13" s="291" t="s">
        <v>879</v>
      </c>
      <c r="P13" s="107" t="s">
        <v>884</v>
      </c>
      <c r="R13" s="368" t="s">
        <v>885</v>
      </c>
      <c r="S13" s="368" t="s">
        <v>886</v>
      </c>
      <c r="T13" s="368" t="s">
        <v>887</v>
      </c>
      <c r="U13" s="368" t="s">
        <v>888</v>
      </c>
      <c r="V13" s="450"/>
      <c r="X13" s="63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MATCH(E14,ORÇAMENTO!$E$15:$E$508,0)-1</f>
        <v>1</v>
      </c>
      <c r="B14">
        <f ca="1">IF(ISERROR($A14),NA(),OFFSET(ORÇAMENTO!$D$15,$A14,0))</f>
        <v>492</v>
      </c>
      <c r="C14" t="str">
        <f ca="1">QCI!B14</f>
        <v>Automático</v>
      </c>
      <c r="D14" t="str">
        <f t="shared" ref="D14" ca="1" si="0">IF(L14&gt;0,"F","")</f>
        <v>F</v>
      </c>
      <c r="E14" s="281">
        <f>QCI!D14</f>
        <v>1</v>
      </c>
      <c r="F14" s="362" t="str">
        <f ca="1">QCI!G14</f>
        <v>ETE - BREJO ALEGRE - FASE II</v>
      </c>
      <c r="G14" s="363" t="str">
        <f>QCI!H14</f>
        <v>Em Análise</v>
      </c>
      <c r="H14" s="282">
        <f>QCI!I14</f>
        <v>1</v>
      </c>
      <c r="I14" s="282" t="str">
        <f ca="1">QCI!J14</f>
        <v>m³/s</v>
      </c>
      <c r="J14" s="364" t="str">
        <f ca="1">QCI!K14</f>
        <v>LOTE 1</v>
      </c>
      <c r="K14" s="365">
        <f ca="1">_xlfn.SINGLE(IF($C14="Automático",IF(_xlfn.SINGLE(ACOMPANHAMENTO)="BM",BM.medicao,PLE.Medicao),IF(ISBLANK($X14),"",$X14)))</f>
        <v>1</v>
      </c>
      <c r="L14" s="286">
        <f ca="1">QCI!$O14</f>
        <v>8302970.1299999999</v>
      </c>
      <c r="M14" s="283">
        <f t="shared" ref="M14" ca="1" si="1">ROUND(IF(C14="Automático",AE14+AL14,Y14),2)</f>
        <v>0</v>
      </c>
      <c r="N14" s="284">
        <f t="shared" ref="N14" ca="1" si="2">O14-M14</f>
        <v>0</v>
      </c>
      <c r="O14" s="285">
        <f t="shared" ref="O14" ca="1" si="3">ROUND(IF(C14="Automático",AH14+AO14,Z14),2)</f>
        <v>0</v>
      </c>
      <c r="P14" s="367">
        <f t="shared" ref="P14"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f ca="1">IF(_xlfn.SINGLE(ACOMPANHAMENTO)&lt;&gt;"PLE",0,SUMPRODUCT((OFFSET(CÁLCULO!$BV$15:$CN$15,$A14,0,$B14)&lt;=(PLE.Medicao-1))*OFFSET(CÁLCULO!$AJ$15:$BB$15,$A14,0,$B14)*OFFSET(ORÇAMENTO!$AA$15,$A14,0,$B14)/(OFFSET(ORÇAMENTO!$X$15,$A14,0,$B14)+10^-12))+IF(AUTOEVENTO="Manual",SUMPRODUCT((OFFSET(CÁLCULO!$M$15,$A14,0,$B14)=1)*OFFSET(ORÇAMENTO!$AA$15,$A14,0,$B14)*(PLE!$AE$9-PLE!$Y$9)),0))</f>
        <v>0</v>
      </c>
      <c r="AD14" s="183">
        <f ca="1">IF(_xlfn.SINGLE(ACOMPANHAMENTO)&lt;&gt;"PLE",0,SUMPRODUCT((OFFSET(CÁLCULO!$BV$15:$CN$15,$A14,0,$B14)&lt;=(PLE.Medicao-1))*OFFSET(CÁLCULO!$AJ$15:$BB$15,$A14,0,$B14)*OFFSET(ORÇAMENTO!$AB$15,$A14,0,$B14)/(OFFSET(ORÇAMENTO!$X$15,$A14,0,$B14)+10^-12))+IF(AUTOEVENTO="Manual",SUMPRODUCT((OFFSET(CÁLCULO!$M$15,$A14,0,$B14)=1)*OFFSET(ORÇAMENTO!$AB$15,$A14,0,$B14)*(PLE!$AE$9-PLE!$Y$9)),0))</f>
        <v>0</v>
      </c>
      <c r="AE14" s="183">
        <f ca="1">ROUND(
            IF(ACOMPANHAMENTO&lt;&gt;"PLE",0,
                      SUMIF(OFFSET(CÁLCULO!$BV$15:$CN$15,$A14,0,$B14),"&lt;="&amp;(PLE.Medicao-1),OFFSET(CÁLCULO!$AJ$15:$BB$15,$A14,0,$B14))
                      +IF(AdmLocal="Automática",
                              SUMIF(OFFSET(CÁLCULO!$M$15,$A14,0,$B14),1,OFFSET(ORÇAMENTO!$X$15,$A14,0,$B14))*(PLE!$AE$9-PLE!$Y$9),
                              0)),
            2)</f>
        <v>0</v>
      </c>
      <c r="AF14" s="183">
        <f ca="1">IF(_xlfn.SINGLE(ACOMPANHAMENTO)&lt;&gt;"PLE",0,SUMPRODUCT((OFFSET(CÁLCULO!$BV$15:$CN$15,$A14,0,$B14)&lt;=PLE.Medicao)*OFFSET(CÁLCULO!$AJ$15:$BB$15,$A14,0,$B14)*OFFSET(ORÇAMENTO!$AA$15,$A14,0,$B14)/(OFFSET(ORÇAMENTO!$X$15,$A14,0,$B14)+10^-12))+IF(AUTOEVENTO="Manual",SUMPRODUCT((OFFSET(CÁLCULO!$M$15,$A14,0,$B14)=1)*OFFSET(ORÇAMENTO!$AA$15,$A14,0,$B14)*PLE!$AE$9),0))</f>
        <v>0</v>
      </c>
      <c r="AG14" s="183">
        <f ca="1">IF(_xlfn.SINGLE(ACOMPANHAMENTO)&lt;&gt;"PLE",0,SUMPRODUCT((OFFSET(CÁLCULO!$BV$15:$CN$15,$A14,0,$B14)&lt;=PLE.Medicao)*OFFSET(CÁLCULO!$AJ$15:$BB$15,$A14,0,$B14)*OFFSET(ORÇAMENTO!$AB$15,$A14,0,$B14)/(OFFSET(ORÇAMENTO!$X$15,$A14,0,$B14)+10^-12))+IF(AUTOEVENTO="Manual",SUMPRODUCT((OFFSET(CÁLCULO!$M$15,$A14,0,$B14)=1)*OFFSET(ORÇAMENTO!$AB$15,$A14,0,$B14)*PLE!$AE$9),0))</f>
        <v>0</v>
      </c>
      <c r="AH14" s="183">
        <f ca="1">ROUND(IF(_xlfn.SINGLE(ACOMPANHAMENTO)&lt;&gt;"PLE",0,SUMIF(OFFSET(CÁLCULO!$BV$15:$CN$15,$A14,0,$B14),"&lt;="&amp;PLE.Medicao,OFFSET(CÁLCULO!$AJ$15:$BB$15,$A14,0,$B14))+IF(AdmLocal="Automática",SUMIF(OFFSET(CÁLCULO!$M$15,$A14,0,$B14),1,OFFSET(ORÇAMENTO!$X$15,$A14,0,$B14))*PLE!$AE$9,0)),2)</f>
        <v>0</v>
      </c>
      <c r="AJ14" s="183">
        <f ca="1">IF(_xlfn.SINGLE(ACOMPANHAMENTO)&lt;&gt;"BM",0,SUMPRODUCT(OFFSET(BM!$M$15,$A14,0,$B14)*(OFFSET(BM!$A$15,$A14,0,$B14)="S")*OFFSET(ORÇAMENTO!AA$15,$A14,0,$B14)/(OFFSET(ORÇAMENTO!$X$15,$A14,0,$B14)+10^-12)))</f>
        <v>0</v>
      </c>
      <c r="AK14" s="183">
        <f ca="1">IF(_xlfn.SINGLE(ACOMPANHAMENTO)&lt;&gt;"BM",0,SUMPRODUCT(OFFSET(BM!$M$15,$A14,0,$B14)*(OFFSET(BM!$A$15,$A14,0,$B14)="S")*OFFSET(ORÇAMENTO!AB$15,$A14,0,$B14)/(OFFSET(ORÇAMENTO!$X$15,$A14,0,$B14)+10^-12)))</f>
        <v>0</v>
      </c>
      <c r="AL14" s="183">
        <f ca="1">IF(_xlfn.SINGLE(ACOMPANHAMENTO)&lt;&gt;"BM",0,OFFSET(BM!$M$15,$A14,0))</f>
        <v>0</v>
      </c>
      <c r="AM14" s="183">
        <f ca="1">IF(_xlfn.SINGLE(ACOMPANHAMENTO)&lt;&gt;"BM",0,SUMPRODUCT(OFFSET(BM!$O$15,$A14,0,$B14)*(OFFSET(BM!$A$15,$A14,0,$B14)="S")*OFFSET(ORÇAMENTO!AA$15,$A14,0,$B14)/(OFFSET(ORÇAMENTO!$X$15,$A14,0,$B14)+10^-12)))</f>
        <v>0</v>
      </c>
      <c r="AN14" s="183">
        <f ca="1">IF(_xlfn.SINGLE(ACOMPANHAMENTO)&lt;&gt;"BM",0,SUMPRODUCT(OFFSET(BM!$O$15,$A14,0,$B14)*(OFFSET(BM!$A$15,$A14,0,$B14)="S")*OFFSET(ORÇAMENTO!AB$15,$A14,0,$B14)/(OFFSET(ORÇAMENTO!$X$15,$A14,0,$B14)+10^-12)))</f>
        <v>0</v>
      </c>
      <c r="AO14" s="183">
        <f ca="1">IF(_xlfn.SINGLE(ACOMPANHAMENTO)&lt;&gt;"BM",0,OFFSET(BM!$O$15,$A14,0))</f>
        <v>0</v>
      </c>
    </row>
    <row r="15" spans="1:41" ht="12.95" customHeight="1" x14ac:dyDescent="0.2">
      <c r="D15" t="s">
        <v>536</v>
      </c>
      <c r="E15" s="1"/>
      <c r="F15" s="1"/>
      <c r="G15" s="1"/>
      <c r="H15" s="1"/>
      <c r="I15" s="2"/>
      <c r="J15" s="842" t="s">
        <v>889</v>
      </c>
      <c r="K15" s="843"/>
      <c r="L15" s="369">
        <f ca="1">IF(ISERROR(L19/$L19),0,ROUND(L19/$L19,4))</f>
        <v>1</v>
      </c>
      <c r="M15" s="371">
        <f ca="1">IF(ISERROR(M19/$L19),0,ROUND(M19/$L19,4))</f>
        <v>0</v>
      </c>
      <c r="N15" s="370">
        <f ca="1">IF(ISERROR(N19/$L19),0,ROUND(N19/$L19,4))</f>
        <v>0</v>
      </c>
      <c r="O15" s="372">
        <f ca="1">IF(ISERROR(O19/$L19),0,ROUND(O19/$L19,4))</f>
        <v>0</v>
      </c>
      <c r="P15" s="844">
        <f ca="1">O19/(L19+10^-12)</f>
        <v>0</v>
      </c>
      <c r="X15" s="302"/>
      <c r="Y15" s="304"/>
      <c r="Z15" s="305"/>
    </row>
    <row r="16" spans="1:41" ht="12.95" customHeight="1" x14ac:dyDescent="0.2">
      <c r="D16" t="s">
        <v>536</v>
      </c>
      <c r="I16" s="4"/>
      <c r="J16" s="845" t="str">
        <f>IF(import.recurso="FGTS","Financiamento","Repasse")</f>
        <v>Repasse</v>
      </c>
      <c r="K16" s="846"/>
      <c r="L16" s="286">
        <f ca="1">QCI!L15</f>
        <v>8302970.1299999999</v>
      </c>
      <c r="M16" s="283">
        <f ca="1">M19-M18-M17</f>
        <v>0</v>
      </c>
      <c r="N16" s="284">
        <f ca="1">O16-M16</f>
        <v>0</v>
      </c>
      <c r="O16" s="285">
        <f ca="1">O19-O18-O17</f>
        <v>0</v>
      </c>
      <c r="P16" s="844"/>
      <c r="X16" s="373"/>
      <c r="Y16" s="374" t="s">
        <v>890</v>
      </c>
      <c r="Z16" s="375" t="s">
        <v>891</v>
      </c>
      <c r="AC16" s="376" t="s">
        <v>892</v>
      </c>
      <c r="AD16" s="376" t="s">
        <v>893</v>
      </c>
    </row>
    <row r="17" spans="4:30" ht="12.95" customHeight="1" x14ac:dyDescent="0.2">
      <c r="D17" t="s">
        <v>536</v>
      </c>
      <c r="I17" s="4"/>
      <c r="J17" s="847" t="s">
        <v>894</v>
      </c>
      <c r="K17" s="848"/>
      <c r="L17" s="377">
        <f ca="1">QCI!M15</f>
        <v>0</v>
      </c>
      <c r="M17" s="378">
        <f ca="1">ROUND(IF(OFFSET($X$17,0,1)&lt;&gt;"",OFFSET($X$17,0,1),SUM(R13:OFFSET(R15,-1,0))),2)</f>
        <v>0</v>
      </c>
      <c r="N17" s="379">
        <f ca="1">O17-M17</f>
        <v>0</v>
      </c>
      <c r="O17" s="380">
        <f ca="1">IF(OFFSET($X$17,0,2)&lt;&gt;"",OFFSET($X$17,0,2),$AE$3)</f>
        <v>0</v>
      </c>
      <c r="P17" s="844"/>
      <c r="X17" s="381" t="s">
        <v>456</v>
      </c>
      <c r="Y17" s="444"/>
      <c r="Z17" s="445"/>
      <c r="AC17" s="382">
        <f ca="1">MIN($L17,$O$19-OFFSET($X$18,0,1))</f>
        <v>0</v>
      </c>
      <c r="AD17" s="382">
        <f ca="1">MIN($L17,$O$19-OFFSET($X$18,0,2))</f>
        <v>0</v>
      </c>
    </row>
    <row r="18" spans="4:30" ht="12.95" customHeight="1" x14ac:dyDescent="0.2">
      <c r="D18" t="s">
        <v>536</v>
      </c>
      <c r="I18" s="4"/>
      <c r="J18" s="828" t="s">
        <v>871</v>
      </c>
      <c r="K18" s="829"/>
      <c r="L18" s="383">
        <f ca="1">QCI!N15</f>
        <v>0</v>
      </c>
      <c r="M18" s="384">
        <f ca="1">ROUND(IF(OFFSET($X$18,0,1)&lt;&gt;"",OFFSET($X$18,0,1),SUM(S13:OFFSET(S15,-1,0))),2)</f>
        <v>0</v>
      </c>
      <c r="N18" s="385">
        <f ca="1">O18-M18</f>
        <v>0</v>
      </c>
      <c r="O18" s="386">
        <f ca="1">IF(OFFSET($X$18,0,2)&lt;&gt;"",OFFSET($X$18,0,2),$AE$4)</f>
        <v>0</v>
      </c>
      <c r="P18" s="844"/>
      <c r="X18" s="387" t="s">
        <v>794</v>
      </c>
      <c r="Y18" s="446"/>
      <c r="Z18" s="447"/>
      <c r="AC18" s="382">
        <f ca="1">MIN($L18,$O$19-OFFSET($X$17,0,1))</f>
        <v>0</v>
      </c>
      <c r="AD18" s="382">
        <f ca="1">MIN($L18,$O$19-OFFSET($X$17,0,2))</f>
        <v>0</v>
      </c>
    </row>
    <row r="19" spans="4:30" ht="15" x14ac:dyDescent="0.2">
      <c r="D19" t="s">
        <v>536</v>
      </c>
      <c r="I19" s="4"/>
      <c r="J19" s="830" t="s">
        <v>873</v>
      </c>
      <c r="K19" s="831"/>
      <c r="L19" s="388">
        <f ca="1">SUM(L13:OFFSET(L15,-1,0))</f>
        <v>8302970.1299999999</v>
      </c>
      <c r="M19" s="638">
        <f ca="1">ROUND(SUM(M13:OFFSET(M15,-1,0)),2)</f>
        <v>0</v>
      </c>
      <c r="N19" s="639">
        <f ca="1">O19-M19</f>
        <v>0</v>
      </c>
      <c r="O19" s="389">
        <f ca="1">SUM(O13:OFFSET(O15,-1,0))</f>
        <v>0</v>
      </c>
      <c r="P19" s="844"/>
      <c r="X19" s="314"/>
      <c r="Y19" s="316"/>
      <c r="Z19" s="317"/>
    </row>
    <row r="20" spans="4:30" x14ac:dyDescent="0.2">
      <c r="O20" s="832" t="str">
        <f ca="1">"Acumulado Anterior:  "&amp;TEXT($M$19/($L$19+10^-12),"0,00%")</f>
        <v>Acumulado Anterior:  0,00%</v>
      </c>
      <c r="P20" s="832"/>
    </row>
    <row r="21" spans="4:30" ht="14.25" x14ac:dyDescent="0.2">
      <c r="E21" s="135" t="s">
        <v>689</v>
      </c>
      <c r="P21" s="414"/>
    </row>
    <row r="22" spans="4:30" ht="12.75" customHeight="1" x14ac:dyDescent="0.2">
      <c r="E22" s="836"/>
      <c r="F22" s="837"/>
      <c r="G22" s="837"/>
      <c r="H22" s="837"/>
      <c r="I22" s="837"/>
      <c r="J22" s="837"/>
      <c r="K22" s="837"/>
      <c r="L22" s="837"/>
      <c r="M22" s="837"/>
      <c r="N22" s="837"/>
      <c r="O22" s="837"/>
      <c r="P22" s="838"/>
    </row>
    <row r="23" spans="4:30" ht="12.75" customHeight="1" x14ac:dyDescent="0.2">
      <c r="E23" s="836"/>
      <c r="F23" s="837"/>
      <c r="G23" s="837"/>
      <c r="H23" s="837"/>
      <c r="I23" s="837"/>
      <c r="J23" s="837"/>
      <c r="K23" s="837"/>
      <c r="L23" s="837"/>
      <c r="M23" s="837"/>
      <c r="N23" s="837"/>
      <c r="O23" s="837"/>
      <c r="P23" s="838"/>
      <c r="Y23" s="390"/>
      <c r="Z23" s="390"/>
    </row>
    <row r="24" spans="4:30" ht="12.75" customHeight="1" x14ac:dyDescent="0.2">
      <c r="E24" s="839"/>
      <c r="F24" s="840"/>
      <c r="G24" s="840"/>
      <c r="H24" s="840"/>
      <c r="I24" s="840"/>
      <c r="J24" s="840"/>
      <c r="K24" s="840"/>
      <c r="L24" s="840"/>
      <c r="M24" s="840"/>
      <c r="N24" s="840"/>
      <c r="O24" s="840"/>
      <c r="P24" s="841"/>
    </row>
    <row r="25" spans="4:30" x14ac:dyDescent="0.2">
      <c r="L25" s="571" t="str">
        <f>IF(L26=0,"Preencher a data de fechamento do RRE na aba DADOS (célula "&amp;ADDRESS(ROW(Import.DataFechaRRE),COLUMN(Import.DataFechaRRE),4)&amp;")","")</f>
        <v>Preencher a data de fechamento do RRE na aba DADOS (célula C48)</v>
      </c>
    </row>
    <row r="26" spans="4:30" ht="15" x14ac:dyDescent="0.2">
      <c r="E26" s="683" t="str">
        <f>Import.Município</f>
        <v>Araguari / MG</v>
      </c>
      <c r="F26" s="683"/>
      <c r="G26" s="683"/>
      <c r="I26" s="391"/>
      <c r="K26" s="584"/>
      <c r="L26" s="770">
        <f>DADOS!$C$48</f>
        <v>0</v>
      </c>
      <c r="M26" s="770"/>
      <c r="N26" s="770"/>
      <c r="O26" s="770"/>
    </row>
    <row r="27" spans="4:30" x14ac:dyDescent="0.2">
      <c r="E27" s="9" t="s">
        <v>693</v>
      </c>
      <c r="L27" s="9" t="s">
        <v>694</v>
      </c>
    </row>
    <row r="29" spans="4:30" x14ac:dyDescent="0.2">
      <c r="E29" s="180"/>
      <c r="F29" s="180"/>
      <c r="G29" s="180"/>
      <c r="L29" s="180"/>
      <c r="M29" s="180"/>
      <c r="N29" s="180"/>
      <c r="O29" s="180"/>
    </row>
    <row r="30" spans="4:30" x14ac:dyDescent="0.2">
      <c r="E30" s="392" t="str">
        <f>IF(CAIXA.Modo,"Responsável Gerencial CAIXA","Representante Tomador")</f>
        <v>Representante Tomador</v>
      </c>
      <c r="F30" s="7"/>
      <c r="L30" s="392" t="str">
        <f>IF(CAIXA.Modo,"Responsável Técnico CAIXA","Responsável Técnico pela Fiscalização")</f>
        <v>Responsável Técnico pela Fiscalização</v>
      </c>
    </row>
    <row r="31" spans="4:30" x14ac:dyDescent="0.2">
      <c r="E31" s="77" t="s">
        <v>240</v>
      </c>
      <c r="F31" s="271" t="str">
        <f>IF(CAIXA.Modo,DADOS!C60,DADOS!C28)</f>
        <v>RENATO CARVALHO FERNANDES</v>
      </c>
      <c r="L31" s="77" t="s">
        <v>240</v>
      </c>
      <c r="M31" s="819">
        <f>IF(CAIXA.Modo,BM!X520,DADOS!C51)</f>
        <v>0</v>
      </c>
      <c r="N31" s="819"/>
      <c r="O31" s="819"/>
    </row>
    <row r="32" spans="4:30" x14ac:dyDescent="0.2">
      <c r="E32" s="77" t="str">
        <f>IF(CAIXA.Modo,"Função:","Cargo:")</f>
        <v>Cargo:</v>
      </c>
      <c r="F32" s="271" t="str">
        <f>IF(CAIXA.Modo,DADOS!C61,DADOS!C29)</f>
        <v>PREFEITO MUNICIPAL</v>
      </c>
      <c r="L32" s="77" t="str">
        <f>IF(CAIXA.Modo,"Matrícula:","Profissão:")</f>
        <v>Profissão:</v>
      </c>
      <c r="M32" s="819">
        <f>IF(CAIXA.Modo,BM!X521,DADOS!C52)</f>
        <v>0</v>
      </c>
      <c r="N32" s="819"/>
      <c r="O32" s="819"/>
    </row>
    <row r="33" spans="5:15" x14ac:dyDescent="0.2">
      <c r="L33" s="77" t="s">
        <v>243</v>
      </c>
      <c r="M33" s="819">
        <f>IF(CAIXA.Modo,BM!X522,DADOS!C53)</f>
        <v>0</v>
      </c>
      <c r="N33" s="819"/>
      <c r="O33" s="819"/>
    </row>
    <row r="34" spans="5:15" x14ac:dyDescent="0.2">
      <c r="L34" s="77" t="str">
        <f>IF(CAIXA.Modo,"","ART/RRT:")</f>
        <v>ART/RRT:</v>
      </c>
      <c r="M34" s="12">
        <f>IF(CAIXA.Modo,"",DADOS!C54)</f>
        <v>0</v>
      </c>
    </row>
    <row r="36" spans="5:15" x14ac:dyDescent="0.2">
      <c r="E36" s="180"/>
      <c r="F36" s="180"/>
      <c r="G36" s="180"/>
      <c r="L36" s="180"/>
      <c r="M36" s="180"/>
      <c r="N36" s="180"/>
      <c r="O36" s="180"/>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7" t="s">
        <v>240</v>
      </c>
      <c r="F38" s="818"/>
      <c r="G38" s="818"/>
      <c r="L38" s="77" t="s">
        <v>240</v>
      </c>
      <c r="M38" s="818"/>
      <c r="N38" s="818"/>
      <c r="O38" s="818"/>
    </row>
    <row r="39" spans="5:15" x14ac:dyDescent="0.2">
      <c r="E39" s="77" t="str">
        <f>IF(CAIXA.Modo,"Função:","Cargo:")</f>
        <v>Cargo:</v>
      </c>
      <c r="F39" s="818"/>
      <c r="G39" s="818"/>
      <c r="L39" s="77" t="str">
        <f>IF(CAIXA.Modo,"Função:","Cargo:")</f>
        <v>Cargo:</v>
      </c>
      <c r="M39" s="818"/>
      <c r="N39" s="818"/>
      <c r="O39" s="818"/>
    </row>
    <row r="40" spans="5:15" x14ac:dyDescent="0.2">
      <c r="E40" s="77" t="str">
        <f>IF(CAIXA.Modo,"Matr:","")</f>
        <v/>
      </c>
      <c r="F40" s="818"/>
      <c r="G40" s="818"/>
      <c r="L40" s="77" t="str">
        <f>IF(CAIXA.Modo,"Matrícula:","")</f>
        <v/>
      </c>
      <c r="M40" s="818"/>
      <c r="N40" s="818"/>
      <c r="O40" s="818"/>
    </row>
  </sheetData>
  <sheetProtection algorithmName="SHA-512" hashValue="rRTb/JRK6bmitPDxmtupwwP+eqvXmk8A7aviWf6k3ZqzBSP+fb9O061J98yFjXfH1mpPhhY38hqW+s5AMhyGUA==" saltValue="QNSPokQhMZyf0+AV0gOD0w==" spinCount="100000" sheet="1" objects="1" scenarios="1" autoFilter="0"/>
  <autoFilter ref="D13:D21" xr:uid="{00000000-0009-0000-0000-00000C000000}"/>
  <mergeCells count="4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 ref="J18:K18"/>
    <mergeCell ref="J19:K19"/>
    <mergeCell ref="O20:P20"/>
    <mergeCell ref="M39:O39"/>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X14:Z14">
    <cfRule type="expression" dxfId="43" priority="426" stopIfTrue="1">
      <formula>OR($C12="Automático",$C12="Branco")</formula>
    </cfRule>
  </conditionalFormatting>
  <conditionalFormatting sqref="F40:G40 M40:O40">
    <cfRule type="expression" dxfId="42" priority="427" stopIfTrue="1">
      <formula>CAIXA.Modo=FALSE</formula>
    </cfRule>
  </conditionalFormatting>
  <conditionalFormatting sqref="M12 M16:M19 O12 O16:O19 M14 O14">
    <cfRule type="cellIs" dxfId="41" priority="428" stopIfTrue="1" operator="notBetween">
      <formula>0</formula>
      <formula>$L12</formula>
    </cfRule>
  </conditionalFormatting>
  <conditionalFormatting sqref="M10:N10">
    <cfRule type="cellIs" dxfId="40" priority="429" stopIfTrue="1" operator="lessThan">
      <formula>0</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2"/>
      <c r="C1" s="852"/>
      <c r="D1" s="49"/>
      <c r="E1" s="49"/>
      <c r="F1" s="49"/>
      <c r="G1" s="52" t="s">
        <v>644</v>
      </c>
    </row>
    <row r="2" spans="2:13" x14ac:dyDescent="0.2">
      <c r="B2" s="852"/>
      <c r="C2" s="852"/>
      <c r="D2" s="49"/>
      <c r="E2" s="49"/>
      <c r="F2" s="49"/>
      <c r="G2" s="11" t="s">
        <v>895</v>
      </c>
    </row>
    <row r="3" spans="2:13" ht="26.1" customHeight="1" x14ac:dyDescent="0.2">
      <c r="B3" s="852"/>
      <c r="C3" s="852"/>
      <c r="D3" s="49"/>
      <c r="E3" s="49"/>
      <c r="F3" s="49"/>
      <c r="G3" s="393"/>
    </row>
    <row r="4" spans="2:13" ht="12.75" customHeight="1" x14ac:dyDescent="0.2">
      <c r="B4" s="852"/>
      <c r="C4" s="852"/>
      <c r="D4" s="49"/>
      <c r="E4" s="49"/>
      <c r="F4" s="49"/>
      <c r="G4" s="49"/>
    </row>
    <row r="5" spans="2:13" x14ac:dyDescent="0.2">
      <c r="C5" s="571" t="str">
        <f>IF(Import.Ofício.Num=0,"Preencher o número do Ofício","")</f>
        <v>Preencher o número do Ofício</v>
      </c>
    </row>
    <row r="6" spans="2:13" x14ac:dyDescent="0.2">
      <c r="B6" s="394" t="s">
        <v>896</v>
      </c>
      <c r="C6" s="849"/>
      <c r="D6" s="849"/>
      <c r="E6" s="394"/>
      <c r="F6" s="394"/>
      <c r="G6" s="49"/>
      <c r="J6" s="9"/>
    </row>
    <row r="7" spans="2:13" x14ac:dyDescent="0.2">
      <c r="B7" s="49"/>
      <c r="C7" s="49"/>
      <c r="D7" s="49"/>
      <c r="E7" s="49"/>
      <c r="F7" s="49"/>
      <c r="G7" s="49"/>
    </row>
    <row r="8" spans="2:13" x14ac:dyDescent="0.2">
      <c r="B8" s="850" t="str">
        <f>CONCATENATE(RRE!$E$26,", ",TEXT(RRE!$L$26,"dd"" de ""mmmm"" de ""aaaa"))</f>
        <v>Araguari / MG, 00 de janeiro de 1900</v>
      </c>
      <c r="C8" s="850"/>
      <c r="D8" s="850"/>
      <c r="E8" s="850"/>
      <c r="F8" s="850"/>
      <c r="G8" s="850"/>
      <c r="H8" s="395"/>
      <c r="J8" s="395"/>
      <c r="K8" s="395"/>
      <c r="L8" s="395"/>
      <c r="M8" s="395"/>
    </row>
    <row r="9" spans="2:13" x14ac:dyDescent="0.2">
      <c r="B9" s="396" t="s">
        <v>897</v>
      </c>
      <c r="C9" s="49"/>
      <c r="D9" s="49"/>
      <c r="G9" s="49"/>
      <c r="H9" s="395"/>
      <c r="J9" s="395"/>
      <c r="K9" s="395"/>
      <c r="L9" s="395"/>
      <c r="M9" s="395"/>
    </row>
    <row r="10" spans="2:13" x14ac:dyDescent="0.2">
      <c r="B10" s="851" t="s">
        <v>898</v>
      </c>
      <c r="C10" s="851"/>
      <c r="D10" s="851"/>
      <c r="G10" s="49"/>
      <c r="H10" s="395"/>
      <c r="J10" s="395"/>
      <c r="K10" s="395"/>
      <c r="L10" s="395"/>
      <c r="M10" s="395"/>
    </row>
    <row r="11" spans="2:13" x14ac:dyDescent="0.2">
      <c r="B11" s="397" t="s">
        <v>899</v>
      </c>
      <c r="C11" s="818"/>
      <c r="D11" s="818"/>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1" t="str">
        <f ca="1">CONCATENATE(RRE.Numero,"ª"," Solicitação de ",IF(import.recurso="OGU","Desbloqueio","Desembolso")," de Recursos.")</f>
        <v>1ª Solicitação de Desbloqueio de Recursos.</v>
      </c>
      <c r="D14" s="851"/>
      <c r="E14" s="851"/>
      <c r="F14" s="851"/>
      <c r="G14" s="851"/>
    </row>
    <row r="15" spans="2:13" ht="12.75" customHeight="1" x14ac:dyDescent="0.2">
      <c r="B15" s="396" t="s">
        <v>901</v>
      </c>
      <c r="C15" s="857" t="str">
        <f>CONCATENATE("Contrato de ",IF(import.recurso="OGU","Repasse","Financiamento")," - Operação nº ",Import.CR,IF(Import.TransfereGOV="","",CONCATENATE(" - TransfereGOV nº ",Import.TransfereGOV)))</f>
        <v>Contrato de Repasse - Operação nº 1098284-30/2024 - TransfereGOV nº 968559/2024</v>
      </c>
      <c r="D15" s="857"/>
      <c r="E15" s="857"/>
      <c r="F15" s="857"/>
      <c r="G15" s="857"/>
    </row>
    <row r="16" spans="2:13" x14ac:dyDescent="0.2">
      <c r="B16" s="396"/>
      <c r="C16" s="857"/>
      <c r="D16" s="857"/>
      <c r="E16" s="857"/>
      <c r="F16" s="857"/>
      <c r="G16" s="857"/>
    </row>
    <row r="17" spans="2:7" x14ac:dyDescent="0.2">
      <c r="B17" s="49"/>
      <c r="C17" s="49"/>
      <c r="D17" s="49"/>
      <c r="E17" s="49"/>
      <c r="F17" s="49"/>
      <c r="G17" s="49"/>
    </row>
    <row r="18" spans="2:7" ht="12.75" customHeight="1" x14ac:dyDescent="0.2">
      <c r="B18" s="271" t="s">
        <v>902</v>
      </c>
      <c r="C18" s="853" t="str">
        <f>Import.DescLote</f>
        <v>ETE - BREJO ALEGRE - FASE II</v>
      </c>
      <c r="D18" s="853"/>
      <c r="E18" s="853"/>
      <c r="F18" s="853"/>
      <c r="G18" s="853"/>
    </row>
    <row r="19" spans="2:7" ht="12.75" customHeight="1" x14ac:dyDescent="0.2">
      <c r="B19" s="855" t="s">
        <v>903</v>
      </c>
      <c r="C19" s="856" t="str">
        <f>Import.Proponente</f>
        <v>Prefeitura Municipal</v>
      </c>
      <c r="D19" s="856"/>
      <c r="E19" s="856"/>
      <c r="F19" s="856"/>
      <c r="G19" s="856"/>
    </row>
    <row r="20" spans="2:7" x14ac:dyDescent="0.2">
      <c r="B20" s="855"/>
      <c r="C20" s="856"/>
      <c r="D20" s="856"/>
      <c r="E20" s="856"/>
      <c r="F20" s="856"/>
      <c r="G20" s="856"/>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3"/>
      <c r="D24" s="853"/>
      <c r="E24" s="853"/>
      <c r="F24" s="853"/>
      <c r="G24" s="853"/>
    </row>
    <row r="25" spans="2:7" x14ac:dyDescent="0.2">
      <c r="B25" s="853"/>
      <c r="C25" s="853"/>
      <c r="D25" s="853"/>
      <c r="E25" s="853"/>
      <c r="F25" s="853"/>
      <c r="G25" s="853"/>
    </row>
    <row r="26" spans="2:7" x14ac:dyDescent="0.2">
      <c r="B26" s="853"/>
      <c r="C26" s="853"/>
      <c r="D26" s="853"/>
      <c r="E26" s="853"/>
      <c r="F26" s="853"/>
      <c r="G26" s="853"/>
    </row>
    <row r="27" spans="2:7" x14ac:dyDescent="0.2">
      <c r="B27" s="49"/>
      <c r="C27" s="49"/>
      <c r="D27" s="49"/>
      <c r="E27" s="49"/>
      <c r="F27" s="49"/>
      <c r="G27" s="49"/>
    </row>
    <row r="28" spans="2:7" ht="12.75" customHeight="1" x14ac:dyDescent="0.2">
      <c r="B28" s="854"/>
      <c r="C28" s="854"/>
      <c r="D28" s="858" t="s">
        <v>904</v>
      </c>
      <c r="E28" s="858" t="str">
        <f ca="1">"Evolução da "&amp;RRE.Numero&amp;"ª Medição"</f>
        <v>Evolução da 1ª Medição</v>
      </c>
      <c r="F28" s="859" t="s">
        <v>905</v>
      </c>
      <c r="G28" s="859"/>
    </row>
    <row r="29" spans="2:7" x14ac:dyDescent="0.2">
      <c r="B29" s="854"/>
      <c r="C29" s="854"/>
      <c r="D29" s="858"/>
      <c r="E29" s="858"/>
      <c r="F29" s="859"/>
      <c r="G29" s="859"/>
    </row>
    <row r="30" spans="2:7" x14ac:dyDescent="0.2">
      <c r="B30" s="860" t="str">
        <f>IF(import.recurso="FGTS","Financiamento:","Repasse:")</f>
        <v>Repasse:</v>
      </c>
      <c r="C30" s="860"/>
      <c r="D30" s="399">
        <f ca="1">RRE!L16</f>
        <v>8302970.1299999999</v>
      </c>
      <c r="E30" s="399">
        <f ca="1">RRE!N16</f>
        <v>0</v>
      </c>
      <c r="F30" s="861">
        <f ca="1">RRE!O16</f>
        <v>0</v>
      </c>
      <c r="G30" s="861"/>
    </row>
    <row r="31" spans="2:7" x14ac:dyDescent="0.2">
      <c r="B31" s="860" t="s">
        <v>906</v>
      </c>
      <c r="C31" s="860"/>
      <c r="D31" s="399">
        <f ca="1">RRE!L17</f>
        <v>0</v>
      </c>
      <c r="E31" s="399">
        <f ca="1">RRE!N17</f>
        <v>0</v>
      </c>
      <c r="F31" s="861">
        <f ca="1">RRE!O17</f>
        <v>0</v>
      </c>
      <c r="G31" s="861"/>
    </row>
    <row r="32" spans="2:7" x14ac:dyDescent="0.2">
      <c r="B32" s="860" t="s">
        <v>801</v>
      </c>
      <c r="C32" s="860"/>
      <c r="D32" s="399">
        <f ca="1">RRE!L18</f>
        <v>0</v>
      </c>
      <c r="E32" s="399">
        <f ca="1">RRE!N18</f>
        <v>0</v>
      </c>
      <c r="F32" s="861">
        <f ca="1">RRE!O18</f>
        <v>0</v>
      </c>
      <c r="G32" s="861"/>
    </row>
    <row r="33" spans="2:7" x14ac:dyDescent="0.2">
      <c r="B33" s="860" t="s">
        <v>802</v>
      </c>
      <c r="C33" s="860"/>
      <c r="D33" s="399">
        <f ca="1">RRE!L19</f>
        <v>8302970.1299999999</v>
      </c>
      <c r="E33" s="399">
        <f ca="1">RRE!N19</f>
        <v>0</v>
      </c>
      <c r="F33" s="861">
        <f ca="1">RRE!O19</f>
        <v>0</v>
      </c>
      <c r="G33" s="861"/>
    </row>
    <row r="34" spans="2:7" x14ac:dyDescent="0.2">
      <c r="B34" s="864" t="s">
        <v>907</v>
      </c>
      <c r="C34" s="864"/>
      <c r="D34" s="400" t="s">
        <v>688</v>
      </c>
      <c r="E34" s="401">
        <f ca="1">RRE!$N$19/(RRE!$L$19+10^-12)</f>
        <v>0</v>
      </c>
      <c r="F34" s="865">
        <f ca="1">RRE!P15</f>
        <v>0</v>
      </c>
      <c r="G34" s="865"/>
    </row>
    <row r="35" spans="2:7" x14ac:dyDescent="0.2">
      <c r="B35" s="181"/>
      <c r="C35" s="49"/>
      <c r="D35" s="49"/>
      <c r="E35" s="49"/>
      <c r="F35" s="49"/>
      <c r="G35" s="49"/>
    </row>
    <row r="36" spans="2:7" x14ac:dyDescent="0.2">
      <c r="B36" s="181"/>
      <c r="C36" s="181"/>
      <c r="D36" s="181"/>
      <c r="E36" s="181"/>
      <c r="F36" s="181"/>
      <c r="G36" s="49"/>
    </row>
    <row r="37" spans="2:7" x14ac:dyDescent="0.2">
      <c r="B37" s="866" t="str">
        <f ca="1">IF(RRE.Numero&gt;1,"2. Encaminhamos ainda a documentação relativa à prestação de contas da etapa físico-financeira anterior.","")</f>
        <v/>
      </c>
      <c r="C37" s="866"/>
      <c r="D37" s="866"/>
      <c r="E37" s="866"/>
      <c r="F37" s="866"/>
      <c r="G37" s="866"/>
    </row>
    <row r="38" spans="2:7" x14ac:dyDescent="0.2">
      <c r="B38" s="866"/>
      <c r="C38" s="866"/>
      <c r="D38" s="866"/>
      <c r="E38" s="866"/>
      <c r="F38" s="866"/>
      <c r="G38" s="866"/>
    </row>
    <row r="39" spans="2:7" ht="12.75" customHeight="1" x14ac:dyDescent="0.2">
      <c r="B39" s="866" t="str">
        <f ca="1">IF(AND(RRE.Numero&gt;1,NOT(ISBLANK(Import.TransfereGOV))),"3. Na oportunidade, informamos que a execução financeira da parcela anterior está devidamente comprovada no TransfereGOV.","")</f>
        <v/>
      </c>
      <c r="C39" s="866"/>
      <c r="D39" s="866"/>
      <c r="E39" s="866"/>
      <c r="F39" s="866"/>
      <c r="G39" s="866"/>
    </row>
    <row r="40" spans="2:7" x14ac:dyDescent="0.2">
      <c r="B40" s="866"/>
      <c r="C40" s="866"/>
      <c r="D40" s="866"/>
      <c r="E40" s="866"/>
      <c r="F40" s="866"/>
      <c r="G40" s="866"/>
    </row>
    <row r="41" spans="2:7" x14ac:dyDescent="0.2">
      <c r="B41" s="402"/>
      <c r="C41" s="397"/>
      <c r="D41" s="397"/>
      <c r="E41" s="397"/>
      <c r="F41" s="397"/>
      <c r="G41" s="397"/>
    </row>
    <row r="42" spans="2:7" ht="12.75" customHeight="1" x14ac:dyDescent="0.2">
      <c r="B42" s="866"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6"/>
      <c r="D42" s="866"/>
      <c r="E42" s="866"/>
      <c r="F42" s="866"/>
      <c r="G42" s="866"/>
    </row>
    <row r="43" spans="2:7" x14ac:dyDescent="0.2">
      <c r="B43" s="866"/>
      <c r="C43" s="866"/>
      <c r="D43" s="866"/>
      <c r="E43" s="866"/>
      <c r="F43" s="866"/>
      <c r="G43" s="866"/>
    </row>
    <row r="44" spans="2:7" x14ac:dyDescent="0.2">
      <c r="B44" s="866"/>
      <c r="C44" s="866"/>
      <c r="D44" s="866"/>
      <c r="E44" s="866"/>
      <c r="F44" s="866"/>
      <c r="G44" s="866"/>
    </row>
    <row r="45" spans="2:7" x14ac:dyDescent="0.2">
      <c r="B45" s="866"/>
      <c r="C45" s="866"/>
      <c r="D45" s="866"/>
      <c r="E45" s="866"/>
      <c r="F45" s="866"/>
      <c r="G45" s="866"/>
    </row>
    <row r="46" spans="2:7" x14ac:dyDescent="0.2">
      <c r="B46" s="866"/>
      <c r="C46" s="866"/>
      <c r="D46" s="866"/>
      <c r="E46" s="866"/>
      <c r="F46" s="866"/>
      <c r="G46" s="866"/>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62" t="str">
        <f>DADOS!$C$28</f>
        <v>RENATO CARVALHO FERNANDES</v>
      </c>
      <c r="C54" s="862"/>
      <c r="D54" s="862"/>
      <c r="E54" s="862"/>
      <c r="F54" s="862"/>
      <c r="G54" s="862"/>
    </row>
    <row r="55" spans="2:7" x14ac:dyDescent="0.2">
      <c r="B55" s="862" t="str">
        <f>DADOS!$C$29</f>
        <v>PREFEITO MUNICIPAL</v>
      </c>
      <c r="C55" s="862"/>
      <c r="D55" s="862"/>
      <c r="E55" s="862"/>
      <c r="F55" s="862"/>
      <c r="G55" s="862"/>
    </row>
    <row r="56" spans="2:7" x14ac:dyDescent="0.2">
      <c r="B56" s="863"/>
      <c r="C56" s="863"/>
      <c r="D56" s="863"/>
      <c r="E56" s="863"/>
      <c r="F56" s="863"/>
      <c r="G56" s="863"/>
    </row>
  </sheetData>
  <sheetProtection algorithmName="SHA-512" hashValue="eDAwEB78lmIrfqkaKA4YqQGtlbkh1GVRu0+c2lgkXhZ4KJnfBEYOSUYcbl0Kq7KBW0RDKQ2yL7h1DwYuS2W0Vg==" saltValue="TdELdnIyQtseiXA45aC8Uw=="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&amp;LPMv3.13&amp;R&amp;P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55"/>
      <c r="B2" s="656"/>
      <c r="C2" s="655"/>
      <c r="D2" s="655"/>
      <c r="E2" s="655"/>
      <c r="F2" s="657"/>
      <c r="G2" s="655"/>
      <c r="H2" s="658"/>
      <c r="I2" s="658"/>
      <c r="J2" s="659"/>
      <c r="K2" s="660"/>
      <c r="L2" s="661"/>
      <c r="M2" s="655"/>
      <c r="N2" s="662"/>
      <c r="O2" s="655"/>
      <c r="P2" s="662"/>
      <c r="Q2" s="655"/>
      <c r="R2" s="663"/>
      <c r="S2" s="660"/>
    </row>
  </sheetData>
  <sheetProtection algorithmName="SHA-512" hashValue="ptMQPyMngICzmO3cVoKhv4wJH7zACffxB8QbyPVw4xCQdQiHxPtQfA8XMF/PdWiFbvtNMDiNLf+bV9fxhBU/yQ==" saltValue="40IXiKANd6QbeLp7sQXrxQ==" spinCount="100000" sheet="1" objects="1" scenarios="1"/>
  <conditionalFormatting sqref="A2:S2">
    <cfRule type="expression" dxfId="38" priority="77">
      <formula>$A2="Macrosserviço"</formula>
    </cfRule>
  </conditionalFormatting>
  <conditionalFormatting sqref="E2">
    <cfRule type="expression" dxfId="37" priority="83">
      <formula>OR(E2="",IF($A2="Macrosserviço",LEN($E2)&gt;100,LEN($E2)&gt;500))</formula>
    </cfRule>
  </conditionalFormatting>
  <conditionalFormatting sqref="M2">
    <cfRule type="expression" dxfId="36" priority="78">
      <formula>IF($A2="Serviço",LEN(M2)&gt;500,M2&lt;&gt;"")</formula>
    </cfRule>
  </conditionalFormatting>
  <conditionalFormatting sqref="A2">
    <cfRule type="expression" dxfId="35" priority="70">
      <formula>AND(A2&lt;&gt;"Macrosserviço",A2&lt;&gt;"Serviço")</formula>
    </cfRule>
  </conditionalFormatting>
  <conditionalFormatting sqref="C2">
    <cfRule type="expression" dxfId="34" priority="69">
      <formula>IF($A2="Serviço",AND(C2&lt;&gt;"Composição",C2&lt;&gt;"Cotação",C2&lt;&gt;"SINAPI",C2&lt;&gt;"Outros"),C2&lt;&gt;"")</formula>
    </cfRule>
  </conditionalFormatting>
  <conditionalFormatting sqref="D2">
    <cfRule type="expression" dxfId="33" priority="68">
      <formula>IF($A2="Serviço",OR(D2="",LEN($D2)&gt;13),D2&lt;&gt;"")</formula>
    </cfRule>
  </conditionalFormatting>
  <conditionalFormatting sqref="H2">
    <cfRule type="expression" dxfId="32" priority="67">
      <formula>IF(A2="Serviço",OR(NOT(ISNUMBER(H2)),H2&lt;&gt;ROUND(H2,2),AND(C2&lt;&gt;"SINAPI",H2=0),H2&lt;0,H2&gt;9999999999.99),H2&lt;&gt;"")</formula>
    </cfRule>
  </conditionalFormatting>
  <conditionalFormatting sqref="I2">
    <cfRule type="expression" dxfId="31" priority="66">
      <formula>IF($A2="Serviço",OR(NOT(ISNUMBER(I2)),I2&lt;&gt;ROUND(I2,2),I2&lt;=0,I2&gt;9999999999.99,AND(I2&gt;H2,H2&gt;0)),I2&lt;&gt;"")</formula>
    </cfRule>
  </conditionalFormatting>
  <conditionalFormatting sqref="J2">
    <cfRule type="expression" dxfId="30" priority="65">
      <formula>IF($A2="Serviço",OR(NOT(ISNUMBER(VALUE(J2))),VALUE(J2)&lt;&gt;ROUND(VALUE(J2),4),VALUE(J2)&lt;=0,VALUE(J2)&gt;100%),J2&lt;&gt;"")</formula>
    </cfRule>
  </conditionalFormatting>
  <conditionalFormatting sqref="N2">
    <cfRule type="expression" dxfId="29" priority="64">
      <formula>IF($A2="Serviço",OR(NOT(ISNUMBER(N2)),N2&lt;&gt;ROUND(N2,0),N2&lt;1,N2&gt;999),N2&lt;&gt;"")</formula>
    </cfRule>
  </conditionalFormatting>
  <conditionalFormatting sqref="O2">
    <cfRule type="expression" dxfId="28" priority="63">
      <formula>IF($A2="Serviço",OR(O2="",LEN(O2)&gt;100),O2&lt;&gt;"")</formula>
    </cfRule>
  </conditionalFormatting>
  <conditionalFormatting sqref="P2">
    <cfRule type="expression" dxfId="27" priority="62">
      <formula>IF($A2="Macrosserviço",P2&lt;&gt;"",OR(NOT(ISNUMBER(P2)),P2&lt;&gt;ROUND(P2,0),P2&lt;1,P2&gt;999))</formula>
    </cfRule>
  </conditionalFormatting>
  <conditionalFormatting sqref="Q2">
    <cfRule type="expression" dxfId="26" priority="61">
      <formula>IF($A2="Macrosserviço",Q2&lt;&gt;"",OR(Q2="",LEN(Q2)&gt;100))</formula>
    </cfRule>
  </conditionalFormatting>
  <conditionalFormatting sqref="B2">
    <cfRule type="cellIs" dxfId="25" priority="60" operator="equal">
      <formula>""</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65"/>
      <c r="B2" s="665"/>
      <c r="C2" s="664"/>
      <c r="D2" s="664"/>
      <c r="E2" s="664"/>
    </row>
  </sheetData>
  <sheetProtection algorithmName="SHA-512" hashValue="8RKp7T4N49JC4FrMfEXu7oN9e28AYE9u1CqrcfFVSw3Of+lhuOeAHPTDgE9bX2q4J6XhHbxDgFxYVzt47kfltQ==" saltValue="p2RdAxDka/m4yMefC3YJdg=="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666"/>
      <c r="B2" s="667"/>
      <c r="C2" s="666"/>
      <c r="D2" s="666"/>
      <c r="E2" s="666"/>
      <c r="F2" s="668"/>
      <c r="G2" s="666"/>
      <c r="H2" s="669"/>
      <c r="I2" s="669"/>
      <c r="J2" s="670"/>
      <c r="K2" s="671"/>
      <c r="L2" s="671"/>
      <c r="M2" s="666"/>
      <c r="N2" s="672"/>
      <c r="O2" s="666"/>
      <c r="P2" s="673"/>
      <c r="Q2" s="671"/>
    </row>
  </sheetData>
  <sheetProtection algorithmName="SHA-512" hashValue="ctem0ruFwV4x1xLk9kWI+4y3D0krCj6Zy8jjdFiu3clA9UY610pI4ajH9wM7eqPbjGuu8JJj4vT+j200/la2iQ==" saltValue="38RtgUe//vmQ+nBaRW9kpA==" spinCount="100000" sheet="1" objects="1" scenarios="1"/>
  <conditionalFormatting sqref="A2:Q2">
    <cfRule type="expression" dxfId="17" priority="42">
      <formula>$A2="Macrosserviço"</formula>
    </cfRule>
  </conditionalFormatting>
  <conditionalFormatting sqref="E2">
    <cfRule type="expression" dxfId="16" priority="44">
      <formula>OR(E2="",IF($A2="Macrosserviço",LEN($E2)&gt;100,LEN($E2)&gt;500))</formula>
    </cfRule>
  </conditionalFormatting>
  <conditionalFormatting sqref="M2">
    <cfRule type="expression" dxfId="15" priority="43">
      <formula>IF($A2="Serviço",LEN(M2)&gt;500,M2&lt;&gt;"")</formula>
    </cfRule>
  </conditionalFormatting>
  <conditionalFormatting sqref="A2">
    <cfRule type="expression" dxfId="14" priority="41">
      <formula>AND(A2&lt;&gt;"Macrosserviço",A2&lt;&gt;"Serviço")</formula>
    </cfRule>
  </conditionalFormatting>
  <conditionalFormatting sqref="C2">
    <cfRule type="expression" dxfId="13" priority="40">
      <formula>IF($A2="Serviço",AND(C2&lt;&gt;"Composição",C2&lt;&gt;"Cotação",C2&lt;&gt;"SINAPI",C2&lt;&gt;"Outros"),C2&lt;&gt;"")</formula>
    </cfRule>
  </conditionalFormatting>
  <conditionalFormatting sqref="D2">
    <cfRule type="expression" dxfId="12" priority="39">
      <formula>IF($A2="Serviço",OR(D2="",LEN($D2)&gt;13),D2&lt;&gt;"")</formula>
    </cfRule>
  </conditionalFormatting>
  <conditionalFormatting sqref="H2">
    <cfRule type="expression" dxfId="11" priority="38">
      <formula>IF(A2="Serviço",OR(NOT(ISNUMBER(H2)),H2&lt;&gt;ROUND(H2,2),AND(C2&lt;&gt;"SINAPI",H2=0),H2&lt;0,H2&gt;9999999999.99),H2&lt;&gt;"")</formula>
    </cfRule>
  </conditionalFormatting>
  <conditionalFormatting sqref="I2">
    <cfRule type="expression" dxfId="10" priority="37">
      <formula>IF($A2="Serviço",OR(NOT(ISNUMBER(I2)),I2&lt;&gt;ROUND(I2,2),I2&lt;=0,I2&gt;9999999999.99,AND(I2&gt;H2,H2&gt;0)),I2&lt;&gt;"")</formula>
    </cfRule>
  </conditionalFormatting>
  <conditionalFormatting sqref="J2">
    <cfRule type="expression" dxfId="9" priority="36">
      <formula>IF($A2="Serviço",OR(NOT(ISNUMBER(VALUE(J2))),VALUE(J2)&lt;&gt;ROUND(VALUE(J2),4),VALUE(J2)&lt;=0,VALUE(J2)&gt;100%),J2&lt;&gt;"")</formula>
    </cfRule>
  </conditionalFormatting>
  <conditionalFormatting sqref="B2">
    <cfRule type="cellIs" dxfId="8" priority="35" operator="equal">
      <formula>""</formula>
    </cfRule>
  </conditionalFormatting>
  <conditionalFormatting sqref="N2">
    <cfRule type="expression" dxfId="7" priority="33">
      <formula>IF($A2="Macrosserviço",N2&lt;&gt;"",OR(NOT(ISNUMBER(N2)),N2&lt;&gt;ROUND(N2,0),N2&lt;1,N2&gt;999))</formula>
    </cfRule>
  </conditionalFormatting>
  <conditionalFormatting sqref="O2">
    <cfRule type="expression" dxfId="6" priority="32">
      <formula>IF($A2="Macrosserviço",O2&lt;&gt;"",OR(O2="",LEN(O2)&gt;100))</formula>
    </cfRule>
  </conditionalFormatting>
  <conditionalFormatting sqref="P2">
    <cfRule type="expression" dxfId="5" priority="31">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45"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676"/>
      <c r="B2" s="676"/>
      <c r="C2" s="674"/>
      <c r="D2" s="675"/>
    </row>
  </sheetData>
  <sheetProtection algorithmName="SHA-512" hashValue="HGpXNlYV1n6wu4NUuE3MC1dcQtlWaBBTcKS9LPUGgRQemJwQm2MOnn8Rxheu57prAnQ7JMhxMAyGVCmyVSTx2A==" saltValue="6AGEFkpPrfaAJKNMAQC7jA=="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20</vt:i4>
      </vt:variant>
    </vt:vector>
  </HeadingPairs>
  <TitlesOfParts>
    <vt:vector size="38"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DADOS!Area_de_impressao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Usuário</cp:lastModifiedBy>
  <cp:revision>5</cp:revision>
  <cp:lastPrinted>2025-12-05T10:35:36Z</cp:lastPrinted>
  <dcterms:created xsi:type="dcterms:W3CDTF">1997-01-10T22:22:50Z</dcterms:created>
  <dcterms:modified xsi:type="dcterms:W3CDTF">2026-03-18T19:16:07Z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